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tables/table1.xml" ContentType="application/vnd.openxmlformats-officedocument.spreadsheetml.table+xml"/>
  <Override PartName="/xl/drawings/drawing4.xml" ContentType="application/vnd.openxmlformats-officedocument.drawing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drawings/drawing5.xml" ContentType="application/vnd.openxmlformats-officedocument.drawing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tables/table22.xml" ContentType="application/vnd.openxmlformats-officedocument.spreadsheetml.table+xml"/>
  <Override PartName="/xl/tables/table23.xml" ContentType="application/vnd.openxmlformats-officedocument.spreadsheetml.table+xml"/>
  <Override PartName="/xl/tables/table24.xml" ContentType="application/vnd.openxmlformats-officedocument.spreadsheetml.table+xml"/>
  <Override PartName="/xl/tables/table25.xml" ContentType="application/vnd.openxmlformats-officedocument.spreadsheetml.table+xml"/>
  <Override PartName="/xl/drawings/drawing6.xml" ContentType="application/vnd.openxmlformats-officedocument.drawing+xml"/>
  <Override PartName="/xl/tables/table26.xml" ContentType="application/vnd.openxmlformats-officedocument.spreadsheetml.table+xml"/>
  <Override PartName="/xl/tables/table27.xml" ContentType="application/vnd.openxmlformats-officedocument.spreadsheetml.table+xml"/>
  <Override PartName="/xl/tables/table28.xml" ContentType="application/vnd.openxmlformats-officedocument.spreadsheetml.table+xml"/>
  <Override PartName="/xl/tables/table29.xml" ContentType="application/vnd.openxmlformats-officedocument.spreadsheetml.table+xml"/>
  <Override PartName="/xl/tables/table30.xml" ContentType="application/vnd.openxmlformats-officedocument.spreadsheetml.table+xml"/>
  <Override PartName="/xl/tables/table31.xml" ContentType="application/vnd.openxmlformats-officedocument.spreadsheetml.table+xml"/>
  <Override PartName="/xl/tables/table32.xml" ContentType="application/vnd.openxmlformats-officedocument.spreadsheetml.table+xml"/>
  <Override PartName="/xl/tables/table33.xml" ContentType="application/vnd.openxmlformats-officedocument.spreadsheetml.table+xml"/>
  <Override PartName="/xl/tables/table34.xml" ContentType="application/vnd.openxmlformats-officedocument.spreadsheetml.table+xml"/>
  <Override PartName="/xl/tables/table35.xml" ContentType="application/vnd.openxmlformats-officedocument.spreadsheetml.table+xml"/>
  <Override PartName="/xl/tables/table36.xml" ContentType="application/vnd.openxmlformats-officedocument.spreadsheetml.table+xml"/>
  <Override PartName="/xl/tables/table37.xml" ContentType="application/vnd.openxmlformats-officedocument.spreadsheetml.table+xml"/>
  <Override PartName="/xl/drawings/drawing7.xml" ContentType="application/vnd.openxmlformats-officedocument.drawing+xml"/>
  <Override PartName="/xl/tables/table38.xml" ContentType="application/vnd.openxmlformats-officedocument.spreadsheetml.table+xml"/>
  <Override PartName="/xl/tables/table39.xml" ContentType="application/vnd.openxmlformats-officedocument.spreadsheetml.table+xml"/>
  <Override PartName="/xl/tables/table40.xml" ContentType="application/vnd.openxmlformats-officedocument.spreadsheetml.table+xml"/>
  <Override PartName="/xl/tables/table41.xml" ContentType="application/vnd.openxmlformats-officedocument.spreadsheetml.table+xml"/>
  <Override PartName="/xl/tables/table42.xml" ContentType="application/vnd.openxmlformats-officedocument.spreadsheetml.table+xml"/>
  <Override PartName="/xl/tables/table43.xml" ContentType="application/vnd.openxmlformats-officedocument.spreadsheetml.table+xml"/>
  <Override PartName="/xl/tables/table44.xml" ContentType="application/vnd.openxmlformats-officedocument.spreadsheetml.table+xml"/>
  <Override PartName="/xl/tables/table45.xml" ContentType="application/vnd.openxmlformats-officedocument.spreadsheetml.table+xml"/>
  <Override PartName="/xl/tables/table46.xml" ContentType="application/vnd.openxmlformats-officedocument.spreadsheetml.table+xml"/>
  <Override PartName="/xl/tables/table47.xml" ContentType="application/vnd.openxmlformats-officedocument.spreadsheetml.table+xml"/>
  <Override PartName="/xl/tables/table48.xml" ContentType="application/vnd.openxmlformats-officedocument.spreadsheetml.table+xml"/>
  <Override PartName="/xl/tables/table49.xml" ContentType="application/vnd.openxmlformats-officedocument.spreadsheetml.table+xml"/>
  <Override PartName="/xl/drawings/drawing8.xml" ContentType="application/vnd.openxmlformats-officedocument.drawing+xml"/>
  <Override PartName="/xl/tables/table50.xml" ContentType="application/vnd.openxmlformats-officedocument.spreadsheetml.table+xml"/>
  <Override PartName="/xl/tables/table51.xml" ContentType="application/vnd.openxmlformats-officedocument.spreadsheetml.table+xml"/>
  <Override PartName="/xl/tables/table52.xml" ContentType="application/vnd.openxmlformats-officedocument.spreadsheetml.table+xml"/>
  <Override PartName="/xl/tables/table53.xml" ContentType="application/vnd.openxmlformats-officedocument.spreadsheetml.table+xml"/>
  <Override PartName="/xl/tables/table54.xml" ContentType="application/vnd.openxmlformats-officedocument.spreadsheetml.table+xml"/>
  <Override PartName="/xl/tables/table55.xml" ContentType="application/vnd.openxmlformats-officedocument.spreadsheetml.table+xml"/>
  <Override PartName="/xl/tables/table56.xml" ContentType="application/vnd.openxmlformats-officedocument.spreadsheetml.table+xml"/>
  <Override PartName="/xl/tables/table57.xml" ContentType="application/vnd.openxmlformats-officedocument.spreadsheetml.table+xml"/>
  <Override PartName="/xl/tables/table58.xml" ContentType="application/vnd.openxmlformats-officedocument.spreadsheetml.table+xml"/>
  <Override PartName="/xl/tables/table59.xml" ContentType="application/vnd.openxmlformats-officedocument.spreadsheetml.table+xml"/>
  <Override PartName="/xl/tables/table60.xml" ContentType="application/vnd.openxmlformats-officedocument.spreadsheetml.table+xml"/>
  <Override PartName="/xl/tables/table61.xml" ContentType="application/vnd.openxmlformats-officedocument.spreadsheetml.table+xml"/>
  <Override PartName="/xl/drawings/drawing9.xml" ContentType="application/vnd.openxmlformats-officedocument.drawing+xml"/>
  <Override PartName="/xl/tables/table62.xml" ContentType="application/vnd.openxmlformats-officedocument.spreadsheetml.table+xml"/>
  <Override PartName="/xl/tables/table63.xml" ContentType="application/vnd.openxmlformats-officedocument.spreadsheetml.table+xml"/>
  <Override PartName="/xl/tables/table64.xml" ContentType="application/vnd.openxmlformats-officedocument.spreadsheetml.table+xml"/>
  <Override PartName="/xl/tables/table65.xml" ContentType="application/vnd.openxmlformats-officedocument.spreadsheetml.table+xml"/>
  <Override PartName="/xl/tables/table66.xml" ContentType="application/vnd.openxmlformats-officedocument.spreadsheetml.table+xml"/>
  <Override PartName="/xl/tables/table67.xml" ContentType="application/vnd.openxmlformats-officedocument.spreadsheetml.table+xml"/>
  <Override PartName="/xl/tables/table68.xml" ContentType="application/vnd.openxmlformats-officedocument.spreadsheetml.table+xml"/>
  <Override PartName="/xl/tables/table69.xml" ContentType="application/vnd.openxmlformats-officedocument.spreadsheetml.table+xml"/>
  <Override PartName="/xl/tables/table70.xml" ContentType="application/vnd.openxmlformats-officedocument.spreadsheetml.table+xml"/>
  <Override PartName="/xl/tables/table71.xml" ContentType="application/vnd.openxmlformats-officedocument.spreadsheetml.table+xml"/>
  <Override PartName="/xl/tables/table72.xml" ContentType="application/vnd.openxmlformats-officedocument.spreadsheetml.table+xml"/>
  <Override PartName="/xl/tables/table73.xml" ContentType="application/vnd.openxmlformats-officedocument.spreadsheetml.table+xml"/>
  <Override PartName="/xl/drawings/drawing10.xml" ContentType="application/vnd.openxmlformats-officedocument.drawing+xml"/>
  <Override PartName="/xl/tables/table74.xml" ContentType="application/vnd.openxmlformats-officedocument.spreadsheetml.table+xml"/>
  <Override PartName="/xl/tables/table75.xml" ContentType="application/vnd.openxmlformats-officedocument.spreadsheetml.table+xml"/>
  <Override PartName="/xl/tables/table76.xml" ContentType="application/vnd.openxmlformats-officedocument.spreadsheetml.table+xml"/>
  <Override PartName="/xl/tables/table77.xml" ContentType="application/vnd.openxmlformats-officedocument.spreadsheetml.table+xml"/>
  <Override PartName="/xl/tables/table78.xml" ContentType="application/vnd.openxmlformats-officedocument.spreadsheetml.table+xml"/>
  <Override PartName="/xl/tables/table79.xml" ContentType="application/vnd.openxmlformats-officedocument.spreadsheetml.table+xml"/>
  <Override PartName="/xl/tables/table80.xml" ContentType="application/vnd.openxmlformats-officedocument.spreadsheetml.table+xml"/>
  <Override PartName="/xl/tables/table81.xml" ContentType="application/vnd.openxmlformats-officedocument.spreadsheetml.table+xml"/>
  <Override PartName="/xl/tables/table82.xml" ContentType="application/vnd.openxmlformats-officedocument.spreadsheetml.table+xml"/>
  <Override PartName="/xl/tables/table83.xml" ContentType="application/vnd.openxmlformats-officedocument.spreadsheetml.table+xml"/>
  <Override PartName="/xl/tables/table84.xml" ContentType="application/vnd.openxmlformats-officedocument.spreadsheetml.table+xml"/>
  <Override PartName="/xl/tables/table85.xml" ContentType="application/vnd.openxmlformats-officedocument.spreadsheetml.table+xml"/>
  <Override PartName="/xl/drawings/drawing11.xml" ContentType="application/vnd.openxmlformats-officedocument.drawing+xml"/>
  <Override PartName="/xl/tables/table86.xml" ContentType="application/vnd.openxmlformats-officedocument.spreadsheetml.table+xml"/>
  <Override PartName="/xl/tables/table87.xml" ContentType="application/vnd.openxmlformats-officedocument.spreadsheetml.table+xml"/>
  <Override PartName="/xl/tables/table88.xml" ContentType="application/vnd.openxmlformats-officedocument.spreadsheetml.table+xml"/>
  <Override PartName="/xl/tables/table89.xml" ContentType="application/vnd.openxmlformats-officedocument.spreadsheetml.table+xml"/>
  <Override PartName="/xl/tables/table90.xml" ContentType="application/vnd.openxmlformats-officedocument.spreadsheetml.table+xml"/>
  <Override PartName="/xl/tables/table91.xml" ContentType="application/vnd.openxmlformats-officedocument.spreadsheetml.table+xml"/>
  <Override PartName="/xl/tables/table92.xml" ContentType="application/vnd.openxmlformats-officedocument.spreadsheetml.table+xml"/>
  <Override PartName="/xl/tables/table93.xml" ContentType="application/vnd.openxmlformats-officedocument.spreadsheetml.table+xml"/>
  <Override PartName="/xl/tables/table94.xml" ContentType="application/vnd.openxmlformats-officedocument.spreadsheetml.table+xml"/>
  <Override PartName="/xl/tables/table95.xml" ContentType="application/vnd.openxmlformats-officedocument.spreadsheetml.table+xml"/>
  <Override PartName="/xl/tables/table96.xml" ContentType="application/vnd.openxmlformats-officedocument.spreadsheetml.table+xml"/>
  <Override PartName="/xl/tables/table97.xml" ContentType="application/vnd.openxmlformats-officedocument.spreadsheetml.table+xml"/>
  <Override PartName="/xl/drawings/drawing12.xml" ContentType="application/vnd.openxmlformats-officedocument.drawing+xml"/>
  <Override PartName="/xl/tables/table98.xml" ContentType="application/vnd.openxmlformats-officedocument.spreadsheetml.table+xml"/>
  <Override PartName="/xl/tables/table99.xml" ContentType="application/vnd.openxmlformats-officedocument.spreadsheetml.table+xml"/>
  <Override PartName="/xl/tables/table100.xml" ContentType="application/vnd.openxmlformats-officedocument.spreadsheetml.table+xml"/>
  <Override PartName="/xl/tables/table101.xml" ContentType="application/vnd.openxmlformats-officedocument.spreadsheetml.table+xml"/>
  <Override PartName="/xl/tables/table102.xml" ContentType="application/vnd.openxmlformats-officedocument.spreadsheetml.table+xml"/>
  <Override PartName="/xl/tables/table103.xml" ContentType="application/vnd.openxmlformats-officedocument.spreadsheetml.table+xml"/>
  <Override PartName="/xl/tables/table104.xml" ContentType="application/vnd.openxmlformats-officedocument.spreadsheetml.table+xml"/>
  <Override PartName="/xl/tables/table105.xml" ContentType="application/vnd.openxmlformats-officedocument.spreadsheetml.table+xml"/>
  <Override PartName="/xl/tables/table106.xml" ContentType="application/vnd.openxmlformats-officedocument.spreadsheetml.table+xml"/>
  <Override PartName="/xl/tables/table107.xml" ContentType="application/vnd.openxmlformats-officedocument.spreadsheetml.table+xml"/>
  <Override PartName="/xl/tables/table108.xml" ContentType="application/vnd.openxmlformats-officedocument.spreadsheetml.table+xml"/>
  <Override PartName="/xl/tables/table109.xml" ContentType="application/vnd.openxmlformats-officedocument.spreadsheetml.table+xml"/>
  <Override PartName="/xl/drawings/drawing13.xml" ContentType="application/vnd.openxmlformats-officedocument.drawing+xml"/>
  <Override PartName="/xl/tables/table110.xml" ContentType="application/vnd.openxmlformats-officedocument.spreadsheetml.table+xml"/>
  <Override PartName="/xl/tables/table111.xml" ContentType="application/vnd.openxmlformats-officedocument.spreadsheetml.table+xml"/>
  <Override PartName="/xl/tables/table112.xml" ContentType="application/vnd.openxmlformats-officedocument.spreadsheetml.table+xml"/>
  <Override PartName="/xl/tables/table113.xml" ContentType="application/vnd.openxmlformats-officedocument.spreadsheetml.table+xml"/>
  <Override PartName="/xl/tables/table114.xml" ContentType="application/vnd.openxmlformats-officedocument.spreadsheetml.table+xml"/>
  <Override PartName="/xl/tables/table115.xml" ContentType="application/vnd.openxmlformats-officedocument.spreadsheetml.table+xml"/>
  <Override PartName="/xl/tables/table116.xml" ContentType="application/vnd.openxmlformats-officedocument.spreadsheetml.table+xml"/>
  <Override PartName="/xl/tables/table117.xml" ContentType="application/vnd.openxmlformats-officedocument.spreadsheetml.table+xml"/>
  <Override PartName="/xl/tables/table118.xml" ContentType="application/vnd.openxmlformats-officedocument.spreadsheetml.table+xml"/>
  <Override PartName="/xl/tables/table119.xml" ContentType="application/vnd.openxmlformats-officedocument.spreadsheetml.table+xml"/>
  <Override PartName="/xl/tables/table120.xml" ContentType="application/vnd.openxmlformats-officedocument.spreadsheetml.table+xml"/>
  <Override PartName="/xl/tables/table121.xml" ContentType="application/vnd.openxmlformats-officedocument.spreadsheetml.table+xml"/>
  <Override PartName="/xl/drawings/drawing14.xml" ContentType="application/vnd.openxmlformats-officedocument.drawing+xml"/>
  <Override PartName="/xl/tables/table122.xml" ContentType="application/vnd.openxmlformats-officedocument.spreadsheetml.table+xml"/>
  <Override PartName="/xl/tables/table123.xml" ContentType="application/vnd.openxmlformats-officedocument.spreadsheetml.table+xml"/>
  <Override PartName="/xl/tables/table124.xml" ContentType="application/vnd.openxmlformats-officedocument.spreadsheetml.table+xml"/>
  <Override PartName="/xl/tables/table125.xml" ContentType="application/vnd.openxmlformats-officedocument.spreadsheetml.table+xml"/>
  <Override PartName="/xl/tables/table126.xml" ContentType="application/vnd.openxmlformats-officedocument.spreadsheetml.table+xml"/>
  <Override PartName="/xl/tables/table127.xml" ContentType="application/vnd.openxmlformats-officedocument.spreadsheetml.table+xml"/>
  <Override PartName="/xl/tables/table128.xml" ContentType="application/vnd.openxmlformats-officedocument.spreadsheetml.table+xml"/>
  <Override PartName="/xl/tables/table129.xml" ContentType="application/vnd.openxmlformats-officedocument.spreadsheetml.table+xml"/>
  <Override PartName="/xl/tables/table130.xml" ContentType="application/vnd.openxmlformats-officedocument.spreadsheetml.table+xml"/>
  <Override PartName="/xl/tables/table131.xml" ContentType="application/vnd.openxmlformats-officedocument.spreadsheetml.table+xml"/>
  <Override PartName="/xl/tables/table132.xml" ContentType="application/vnd.openxmlformats-officedocument.spreadsheetml.table+xml"/>
  <Override PartName="/xl/tables/table133.xml" ContentType="application/vnd.openxmlformats-officedocument.spreadsheetml.table+xml"/>
  <Override PartName="/xl/drawings/drawing15.xml" ContentType="application/vnd.openxmlformats-officedocument.drawing+xml"/>
  <Override PartName="/xl/tables/table134.xml" ContentType="application/vnd.openxmlformats-officedocument.spreadsheetml.table+xml"/>
  <Override PartName="/xl/tables/table135.xml" ContentType="application/vnd.openxmlformats-officedocument.spreadsheetml.table+xml"/>
  <Override PartName="/xl/tables/table136.xml" ContentType="application/vnd.openxmlformats-officedocument.spreadsheetml.table+xml"/>
  <Override PartName="/xl/tables/table137.xml" ContentType="application/vnd.openxmlformats-officedocument.spreadsheetml.table+xml"/>
  <Override PartName="/xl/tables/table138.xml" ContentType="application/vnd.openxmlformats-officedocument.spreadsheetml.table+xml"/>
  <Override PartName="/xl/tables/table139.xml" ContentType="application/vnd.openxmlformats-officedocument.spreadsheetml.table+xml"/>
  <Override PartName="/xl/tables/table140.xml" ContentType="application/vnd.openxmlformats-officedocument.spreadsheetml.table+xml"/>
  <Override PartName="/xl/tables/table141.xml" ContentType="application/vnd.openxmlformats-officedocument.spreadsheetml.table+xml"/>
  <Override PartName="/xl/tables/table142.xml" ContentType="application/vnd.openxmlformats-officedocument.spreadsheetml.table+xml"/>
  <Override PartName="/xl/tables/table143.xml" ContentType="application/vnd.openxmlformats-officedocument.spreadsheetml.table+xml"/>
  <Override PartName="/xl/tables/table144.xml" ContentType="application/vnd.openxmlformats-officedocument.spreadsheetml.table+xml"/>
  <Override PartName="/xl/tables/table145.xml" ContentType="application/vnd.openxmlformats-officedocument.spreadsheetml.table+xml"/>
  <Override PartName="/xl/drawings/drawing16.xml" ContentType="application/vnd.openxmlformats-officedocument.drawing+xml"/>
  <Override PartName="/xl/tables/table146.xml" ContentType="application/vnd.openxmlformats-officedocument.spreadsheetml.table+xml"/>
  <Override PartName="/xl/tables/table147.xml" ContentType="application/vnd.openxmlformats-officedocument.spreadsheetml.table+xml"/>
  <Override PartName="/xl/tables/table148.xml" ContentType="application/vnd.openxmlformats-officedocument.spreadsheetml.table+xml"/>
  <Override PartName="/xl/tables/table149.xml" ContentType="application/vnd.openxmlformats-officedocument.spreadsheetml.table+xml"/>
  <Override PartName="/xl/tables/table150.xml" ContentType="application/vnd.openxmlformats-officedocument.spreadsheetml.table+xml"/>
  <Override PartName="/xl/tables/table151.xml" ContentType="application/vnd.openxmlformats-officedocument.spreadsheetml.table+xml"/>
  <Override PartName="/xl/tables/table152.xml" ContentType="application/vnd.openxmlformats-officedocument.spreadsheetml.table+xml"/>
  <Override PartName="/xl/tables/table153.xml" ContentType="application/vnd.openxmlformats-officedocument.spreadsheetml.table+xml"/>
  <Override PartName="/xl/tables/table154.xml" ContentType="application/vnd.openxmlformats-officedocument.spreadsheetml.table+xml"/>
  <Override PartName="/xl/tables/table155.xml" ContentType="application/vnd.openxmlformats-officedocument.spreadsheetml.table+xml"/>
  <Override PartName="/xl/tables/table156.xml" ContentType="application/vnd.openxmlformats-officedocument.spreadsheetml.table+xml"/>
  <Override PartName="/xl/tables/table157.xml" ContentType="application/vnd.openxmlformats-officedocument.spreadsheetml.table+xml"/>
  <Override PartName="/xl/drawings/drawing17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heme/themeOverride1.xml" ContentType="application/vnd.openxmlformats-officedocument.themeOverrid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heme/themeOverride2.xml" ContentType="application/vnd.openxmlformats-officedocument.themeOverrid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Ex1.xml" ContentType="application/vnd.ms-office.chartex+xml"/>
  <Override PartName="/xl/charts/style4.xml" ContentType="application/vnd.ms-office.chartstyle+xml"/>
  <Override PartName="/xl/charts/colors4.xml" ContentType="application/vnd.ms-office.chartcolorstyle+xml"/>
  <Override PartName="/xl/charts/chartEx2.xml" ContentType="application/vnd.ms-office.chartex+xml"/>
  <Override PartName="/xl/charts/style5.xml" ContentType="application/vnd.ms-office.chartstyle+xml"/>
  <Override PartName="/xl/charts/colors5.xml" ContentType="application/vnd.ms-office.chartcolorstyle+xml"/>
  <Override PartName="/xl/charts/chartEx3.xml" ContentType="application/vnd.ms-office.chartex+xml"/>
  <Override PartName="/xl/charts/style6.xml" ContentType="application/vnd.ms-office.chartstyle+xml"/>
  <Override PartName="/xl/charts/colors6.xml" ContentType="application/vnd.ms-office.chartcolorstyle+xml"/>
  <Override PartName="/xl/charts/chartEx4.xml" ContentType="application/vnd.ms-office.chartex+xml"/>
  <Override PartName="/xl/charts/style7.xml" ContentType="application/vnd.ms-office.chartstyle+xml"/>
  <Override PartName="/xl/charts/colors7.xml" ContentType="application/vnd.ms-office.chartcolorstyle+xml"/>
  <Override PartName="/xl/charts/chart4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5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6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7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8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Ex5.xml" ContentType="application/vnd.ms-office.chartex+xml"/>
  <Override PartName="/xl/charts/style13.xml" ContentType="application/vnd.ms-office.chartstyle+xml"/>
  <Override PartName="/xl/charts/colors13.xml" ContentType="application/vnd.ms-office.chartcolorstyle+xml"/>
  <Override PartName="/xl/charts/chartEx6.xml" ContentType="application/vnd.ms-office.chartex+xml"/>
  <Override PartName="/xl/charts/style14.xml" ContentType="application/vnd.ms-office.chartstyle+xml"/>
  <Override PartName="/xl/charts/colors14.xml" ContentType="application/vnd.ms-office.chartcolorstyle+xml"/>
  <Override PartName="/xl/charts/chartEx7.xml" ContentType="application/vnd.ms-office.chartex+xml"/>
  <Override PartName="/xl/charts/style15.xml" ContentType="application/vnd.ms-office.chartstyle+xml"/>
  <Override PartName="/xl/charts/colors15.xml" ContentType="application/vnd.ms-office.chartcolorstyle+xml"/>
  <Override PartName="/xl/charts/chartEx8.xml" ContentType="application/vnd.ms-office.chartex+xml"/>
  <Override PartName="/xl/charts/style16.xml" ContentType="application/vnd.ms-office.chartstyle+xml"/>
  <Override PartName="/xl/charts/colors16.xml" ContentType="application/vnd.ms-office.chartcolorstyle+xml"/>
  <Override PartName="/xl/charts/chartEx9.xml" ContentType="application/vnd.ms-office.chartex+xml"/>
  <Override PartName="/xl/charts/style17.xml" ContentType="application/vnd.ms-office.chartstyle+xml"/>
  <Override PartName="/xl/charts/colors17.xml" ContentType="application/vnd.ms-office.chartcolorstyle+xml"/>
  <Override PartName="/xl/charts/chartEx10.xml" ContentType="application/vnd.ms-office.chartex+xml"/>
  <Override PartName="/xl/charts/style18.xml" ContentType="application/vnd.ms-office.chartstyle+xml"/>
  <Override PartName="/xl/charts/colors18.xml" ContentType="application/vnd.ms-office.chartcolorstyle+xml"/>
  <Override PartName="/xl/charts/chart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1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harts/chart1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charts/chart1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charts/chart1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drawings/drawing18.xml" ContentType="application/vnd.openxmlformats-officedocument.drawing+xml"/>
  <Override PartName="/xl/tables/table158.xml" ContentType="application/vnd.openxmlformats-officedocument.spreadsheetml.table+xml"/>
  <Override PartName="/xl/tables/table159.xml" ContentType="application/vnd.openxmlformats-officedocument.spreadsheetml.table+xml"/>
  <Override PartName="/xl/tables/table160.xml" ContentType="application/vnd.openxmlformats-officedocument.spreadsheetml.table+xml"/>
  <Override PartName="/xl/tables/table161.xml" ContentType="application/vnd.openxmlformats-officedocument.spreadsheetml.table+xml"/>
  <Override PartName="/xl/tables/table162.xml" ContentType="application/vnd.openxmlformats-officedocument.spreadsheetml.table+xml"/>
  <Override PartName="/xl/tables/table163.xml" ContentType="application/vnd.openxmlformats-officedocument.spreadsheetml.table+xml"/>
  <Override PartName="/xl/tables/table164.xml" ContentType="application/vnd.openxmlformats-officedocument.spreadsheetml.table+xml"/>
  <Override PartName="/xl/tables/table165.xml" ContentType="application/vnd.openxmlformats-officedocument.spreadsheetml.table+xml"/>
  <Override PartName="/xl/tables/table166.xml" ContentType="application/vnd.openxmlformats-officedocument.spreadsheetml.table+xml"/>
  <Override PartName="/xl/tables/table167.xml" ContentType="application/vnd.openxmlformats-officedocument.spreadsheetml.table+xml"/>
  <Override PartName="/xl/tables/table168.xml" ContentType="application/vnd.openxmlformats-officedocument.spreadsheetml.table+xml"/>
  <Override PartName="/xl/tables/table169.xml" ContentType="application/vnd.openxmlformats-officedocument.spreadsheetml.table+xml"/>
  <Override PartName="/xl/tables/table170.xml" ContentType="application/vnd.openxmlformats-officedocument.spreadsheetml.table+xml"/>
  <Override PartName="/xl/tables/table171.xml" ContentType="application/vnd.openxmlformats-officedocument.spreadsheetml.table+xml"/>
  <Override PartName="/xl/tables/table172.xml" ContentType="application/vnd.openxmlformats-officedocument.spreadsheetml.table+xml"/>
  <Override PartName="/xl/tables/table173.xml" ContentType="application/vnd.openxmlformats-officedocument.spreadsheetml.table+xml"/>
  <Override PartName="/xl/tables/table174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codeName="EstaPastaDeTrabalho" defaultThemeVersion="166925"/>
  <mc:AlternateContent xmlns:mc="http://schemas.openxmlformats.org/markup-compatibility/2006">
    <mc:Choice Requires="x15">
      <x15ac:absPath xmlns:x15ac="http://schemas.microsoft.com/office/spreadsheetml/2010/11/ac" url="D:\NEGÓCIOS\BLOGS\Planilhas\"/>
    </mc:Choice>
  </mc:AlternateContent>
  <xr:revisionPtr revIDLastSave="0" documentId="13_ncr:1_{570AF79E-F312-458D-9DB4-A3C524A2BD8C}" xr6:coauthVersionLast="47" xr6:coauthVersionMax="47" xr10:uidLastSave="{00000000-0000-0000-0000-000000000000}"/>
  <bookViews>
    <workbookView xWindow="-108" yWindow="-108" windowWidth="23256" windowHeight="12576" tabRatio="808" xr2:uid="{0D757802-C257-4B05-8C8B-FECACE4F76F6}"/>
  </bookViews>
  <sheets>
    <sheet name="🏠" sheetId="19" r:id="rId1"/>
    <sheet name="⚙️" sheetId="18" r:id="rId2"/>
    <sheet name="🔒" sheetId="17" r:id="rId3"/>
    <sheet name="ANUAL" sheetId="16" r:id="rId4"/>
    <sheet name="1" sheetId="15" r:id="rId5"/>
    <sheet name="2" sheetId="14" r:id="rId6"/>
    <sheet name="3" sheetId="13" r:id="rId7"/>
    <sheet name="4" sheetId="12" r:id="rId8"/>
    <sheet name="5" sheetId="11" r:id="rId9"/>
    <sheet name="6" sheetId="10" r:id="rId10"/>
    <sheet name="7" sheetId="9" r:id="rId11"/>
    <sheet name="8" sheetId="8" r:id="rId12"/>
    <sheet name="9" sheetId="7" r:id="rId13"/>
    <sheet name="10" sheetId="6" r:id="rId14"/>
    <sheet name="11" sheetId="5" r:id="rId15"/>
    <sheet name="12" sheetId="4" r:id="rId16"/>
    <sheet name="📈" sheetId="2" r:id="rId17"/>
    <sheet name="DADOS" sheetId="3" state="hidden" r:id="rId18"/>
  </sheets>
  <definedNames>
    <definedName name="_xlchart.v1.0" hidden="1">ANUAL!$AQ$82:$AQ$86</definedName>
    <definedName name="_xlchart.v1.1" hidden="1">DADOS!$X$3:$X$7</definedName>
    <definedName name="_xlchart.v1.10" hidden="1">ANUAL!$AQ$132:$AQ$141</definedName>
    <definedName name="_xlchart.v1.11" hidden="1">DADOS!$AF$3:$AF$12</definedName>
    <definedName name="_xlchart.v1.12" hidden="1">ANUAL!$AQ$113:$AQ$122</definedName>
    <definedName name="_xlchart.v1.13" hidden="1">DADOS!$AD$3:$AD$12</definedName>
    <definedName name="_xlchart.v1.14" hidden="1">ANUAL!$AQ$168:$AQ$177</definedName>
    <definedName name="_xlchart.v1.15" hidden="1">DADOS!$AL$3:$AL$12</definedName>
    <definedName name="_xlchart.v1.16" hidden="1">ANUAL!$AQ$151:$AQ$158</definedName>
    <definedName name="_xlchart.v1.17" hidden="1">DADOS!$AH$3:$AH$10</definedName>
    <definedName name="_xlchart.v1.18" hidden="1">ANUAL!$AQ$187:$AQ$196</definedName>
    <definedName name="_xlchart.v1.19" hidden="1">DADOS!$AN$3:$AN$12</definedName>
    <definedName name="_xlchart.v1.2" hidden="1">ANUAL!$AQ$60:$AQ$72</definedName>
    <definedName name="_xlchart.v1.3" hidden="1">DADOS!$T$3:$T$15</definedName>
    <definedName name="_xlchart.v1.4" hidden="1">ANUAL!$AQ$96:$AQ$103</definedName>
    <definedName name="_xlchart.v1.5" hidden="1">DADOS!$Z$3:$Z$10</definedName>
    <definedName name="_xlchart.v1.6" hidden="1">ANUAL!$AQ$37:$AQ$50</definedName>
    <definedName name="_xlchart.v1.7" hidden="1">DADOS!$R$3:$R$16</definedName>
    <definedName name="_xlchart.v1.8" hidden="1">ANUAL!$AQ$206:$AQ$213</definedName>
    <definedName name="_xlchart.v1.9" hidden="1">DADOS!$AP$3:$AP$10</definedName>
    <definedName name="AnoCalendário">'📈'!$R$3</definedName>
    <definedName name="DiasESemanas" localSheetId="1">{0,1,2,3,4,5,6} + {0;1;2;3;4;5}*7</definedName>
    <definedName name="DiasESemanas" localSheetId="4">{0,1,2,3,4,5,6} + {0;1;2;3;4;5}*7</definedName>
    <definedName name="DiasESemanas" localSheetId="13">{0,1,2,3,4,5,6} + {0;1;2;3;4;5}*7</definedName>
    <definedName name="DiasESemanas" localSheetId="14">{0,1,2,3,4,5,6} + {0;1;2;3;4;5}*7</definedName>
    <definedName name="DiasESemanas" localSheetId="15">{0,1,2,3,4,5,6} + {0;1;2;3;4;5}*7</definedName>
    <definedName name="DiasESemanas" localSheetId="5">{0,1,2,3,4,5,6} + {0;1;2;3;4;5}*7</definedName>
    <definedName name="DiasESemanas" localSheetId="6">{0,1,2,3,4,5,6} + {0;1;2;3;4;5}*7</definedName>
    <definedName name="DiasESemanas" localSheetId="7">{0,1,2,3,4,5,6} + {0;1;2;3;4;5}*7</definedName>
    <definedName name="DiasESemanas" localSheetId="8">{0,1,2,3,4,5,6} + {0;1;2;3;4;5}*7</definedName>
    <definedName name="DiasESemanas" localSheetId="9">{0,1,2,3,4,5,6} + {0;1;2;3;4;5}*7</definedName>
    <definedName name="DiasESemanas" localSheetId="10">{0,1,2,3,4,5,6} + {0;1;2;3;4;5}*7</definedName>
    <definedName name="DiasESemanas" localSheetId="11">{0,1,2,3,4,5,6} + {0;1;2;3;4;5}*7</definedName>
    <definedName name="DiasESemanas" localSheetId="12">{0,1,2,3,4,5,6} + {0;1;2;3;4;5}*7</definedName>
    <definedName name="DiasESemanas" localSheetId="3">{0,1,2,3,4,5,6} + {0;1;2;3;4;5}*7</definedName>
    <definedName name="DiasESemanas" localSheetId="17">{0,1,2,3,4,5,6} + {0;1;2;3;4;5}*7</definedName>
    <definedName name="DiasESemanas" localSheetId="0">{0,1,2,3,4,5,6} + {0;1;2;3;4;5}*7</definedName>
    <definedName name="DiasESemanas" localSheetId="2">{0,1,2,3,4,5,6} + {0;1;2;3;4;5}*7</definedName>
    <definedName name="DiasESemanas">{0,1,2,3,4,5,6} + {0;1;2;3;4;5}*7</definedName>
    <definedName name="InícioDaSemana">'📈'!$R$4</definedName>
    <definedName name="RegiãoTítuloColuna1..H12.1">'📈'!$E$12</definedName>
    <definedName name="RegiãoTítuloColuna1..H12.4">'📈'!$E$12</definedName>
    <definedName name="RegiãoTítuloColuna2..C14.1">'📈'!$E$12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76" i="17" l="1"/>
  <c r="C76" i="17"/>
  <c r="B75" i="17"/>
  <c r="C75" i="17"/>
  <c r="B74" i="17"/>
  <c r="C74" i="17"/>
  <c r="B73" i="17"/>
  <c r="C73" i="17"/>
  <c r="B72" i="17"/>
  <c r="C72" i="17"/>
  <c r="B71" i="17"/>
  <c r="C71" i="17"/>
  <c r="B70" i="17"/>
  <c r="C70" i="17"/>
  <c r="B69" i="17" l="1"/>
  <c r="C69" i="17"/>
  <c r="L13" i="18" l="1"/>
  <c r="B68" i="17"/>
  <c r="C68" i="17"/>
  <c r="B67" i="17" l="1"/>
  <c r="C67" i="17"/>
  <c r="B66" i="17"/>
  <c r="C66" i="17"/>
  <c r="B65" i="17"/>
  <c r="C65" i="17"/>
  <c r="N25" i="18"/>
  <c r="Q3" i="18"/>
  <c r="L23" i="18" l="1"/>
  <c r="L21" i="18"/>
  <c r="L19" i="18"/>
  <c r="L17" i="18"/>
  <c r="L15" i="18"/>
  <c r="L25" i="18" l="1"/>
  <c r="AJ1" i="16"/>
  <c r="B7" i="17"/>
  <c r="C7" i="17"/>
  <c r="B8" i="17"/>
  <c r="C8" i="17"/>
  <c r="B9" i="17"/>
  <c r="C9" i="17"/>
  <c r="B10" i="17"/>
  <c r="C10" i="17"/>
  <c r="B11" i="17"/>
  <c r="C11" i="17"/>
  <c r="B12" i="17"/>
  <c r="C12" i="17"/>
  <c r="B13" i="17"/>
  <c r="C13" i="17"/>
  <c r="B14" i="17"/>
  <c r="C14" i="17"/>
  <c r="B15" i="17"/>
  <c r="C15" i="17"/>
  <c r="B16" i="17"/>
  <c r="C16" i="17"/>
  <c r="B17" i="17"/>
  <c r="C17" i="17"/>
  <c r="B18" i="17"/>
  <c r="C18" i="17"/>
  <c r="B19" i="17"/>
  <c r="C19" i="17"/>
  <c r="B20" i="17"/>
  <c r="C20" i="17"/>
  <c r="B21" i="17"/>
  <c r="C21" i="17"/>
  <c r="B22" i="17"/>
  <c r="C22" i="17"/>
  <c r="B23" i="17"/>
  <c r="C23" i="17"/>
  <c r="B24" i="17"/>
  <c r="C24" i="17"/>
  <c r="B25" i="17"/>
  <c r="C25" i="17"/>
  <c r="B26" i="17"/>
  <c r="C26" i="17"/>
  <c r="B27" i="17"/>
  <c r="C27" i="17"/>
  <c r="B28" i="17"/>
  <c r="C28" i="17"/>
  <c r="B29" i="17"/>
  <c r="C29" i="17"/>
  <c r="B30" i="17"/>
  <c r="C30" i="17"/>
  <c r="B31" i="17"/>
  <c r="C31" i="17"/>
  <c r="B32" i="17"/>
  <c r="C32" i="17"/>
  <c r="B33" i="17"/>
  <c r="C33" i="17"/>
  <c r="B34" i="17"/>
  <c r="C34" i="17"/>
  <c r="B35" i="17"/>
  <c r="C35" i="17"/>
  <c r="B36" i="17"/>
  <c r="C36" i="17"/>
  <c r="B37" i="17"/>
  <c r="C37" i="17"/>
  <c r="B38" i="17"/>
  <c r="C38" i="17"/>
  <c r="B39" i="17"/>
  <c r="C39" i="17"/>
  <c r="B40" i="17"/>
  <c r="C40" i="17"/>
  <c r="B41" i="17"/>
  <c r="C41" i="17"/>
  <c r="B42" i="17"/>
  <c r="C42" i="17"/>
  <c r="B43" i="17"/>
  <c r="C43" i="17"/>
  <c r="B44" i="17"/>
  <c r="C44" i="17"/>
  <c r="B45" i="17"/>
  <c r="C45" i="17"/>
  <c r="B46" i="17"/>
  <c r="C46" i="17"/>
  <c r="B47" i="17"/>
  <c r="C47" i="17"/>
  <c r="B48" i="17"/>
  <c r="C48" i="17"/>
  <c r="B49" i="17"/>
  <c r="C49" i="17"/>
  <c r="B50" i="17"/>
  <c r="C50" i="17"/>
  <c r="B51" i="17"/>
  <c r="C51" i="17"/>
  <c r="B52" i="17"/>
  <c r="C52" i="17"/>
  <c r="B53" i="17"/>
  <c r="C53" i="17"/>
  <c r="B54" i="17"/>
  <c r="C54" i="17"/>
  <c r="B55" i="17"/>
  <c r="C55" i="17"/>
  <c r="B56" i="17"/>
  <c r="C56" i="17"/>
  <c r="B57" i="17"/>
  <c r="C57" i="17"/>
  <c r="B58" i="17"/>
  <c r="C58" i="17"/>
  <c r="B59" i="17"/>
  <c r="C59" i="17"/>
  <c r="B60" i="17"/>
  <c r="C60" i="17"/>
  <c r="B61" i="17"/>
  <c r="C61" i="17"/>
  <c r="B62" i="17"/>
  <c r="C62" i="17"/>
  <c r="B63" i="17"/>
  <c r="C63" i="17"/>
  <c r="B64" i="17"/>
  <c r="C64" i="17"/>
  <c r="AD24" i="16"/>
  <c r="C37" i="16"/>
  <c r="C38" i="16"/>
  <c r="C39" i="16"/>
  <c r="C40" i="16"/>
  <c r="C41" i="16"/>
  <c r="C42" i="16"/>
  <c r="C43" i="16"/>
  <c r="C44" i="16"/>
  <c r="C45" i="16"/>
  <c r="C46" i="16"/>
  <c r="C47" i="16"/>
  <c r="C48" i="16"/>
  <c r="C49" i="16"/>
  <c r="C50" i="16"/>
  <c r="AQ51" i="16"/>
  <c r="C60" i="16"/>
  <c r="C61" i="16"/>
  <c r="C62" i="16"/>
  <c r="C63" i="16"/>
  <c r="C64" i="16"/>
  <c r="C65" i="16"/>
  <c r="C66" i="16"/>
  <c r="C67" i="16"/>
  <c r="C68" i="16"/>
  <c r="C69" i="16"/>
  <c r="C70" i="16"/>
  <c r="C71" i="16"/>
  <c r="C72" i="16"/>
  <c r="AQ73" i="16"/>
  <c r="C82" i="16"/>
  <c r="C83" i="16"/>
  <c r="C84" i="16"/>
  <c r="C85" i="16"/>
  <c r="C86" i="16"/>
  <c r="AQ87" i="16"/>
  <c r="C96" i="16"/>
  <c r="C97" i="16"/>
  <c r="C98" i="16"/>
  <c r="C99" i="16"/>
  <c r="C100" i="16"/>
  <c r="C101" i="16"/>
  <c r="C102" i="16"/>
  <c r="C103" i="16"/>
  <c r="AQ104" i="16"/>
  <c r="C113" i="16"/>
  <c r="C114" i="16"/>
  <c r="C115" i="16"/>
  <c r="C116" i="16"/>
  <c r="C117" i="16"/>
  <c r="C118" i="16"/>
  <c r="C119" i="16"/>
  <c r="C120" i="16"/>
  <c r="C121" i="16"/>
  <c r="C122" i="16"/>
  <c r="AQ123" i="16"/>
  <c r="C132" i="16"/>
  <c r="C133" i="16"/>
  <c r="C134" i="16"/>
  <c r="C135" i="16"/>
  <c r="C136" i="16"/>
  <c r="C137" i="16"/>
  <c r="C138" i="16"/>
  <c r="C139" i="16"/>
  <c r="C140" i="16"/>
  <c r="C141" i="16"/>
  <c r="AQ142" i="16"/>
  <c r="C151" i="16"/>
  <c r="C152" i="16"/>
  <c r="C153" i="16"/>
  <c r="C154" i="16"/>
  <c r="C155" i="16"/>
  <c r="C156" i="16"/>
  <c r="C157" i="16"/>
  <c r="C158" i="16"/>
  <c r="AQ159" i="16"/>
  <c r="C168" i="16"/>
  <c r="C169" i="16"/>
  <c r="C170" i="16"/>
  <c r="C171" i="16"/>
  <c r="C172" i="16"/>
  <c r="C173" i="16"/>
  <c r="C174" i="16"/>
  <c r="C175" i="16"/>
  <c r="C176" i="16"/>
  <c r="C177" i="16"/>
  <c r="AQ178" i="16"/>
  <c r="C187" i="16"/>
  <c r="C188" i="16"/>
  <c r="C189" i="16"/>
  <c r="C190" i="16"/>
  <c r="C191" i="16"/>
  <c r="C192" i="16"/>
  <c r="C193" i="16"/>
  <c r="C194" i="16"/>
  <c r="C195" i="16"/>
  <c r="C196" i="16"/>
  <c r="AQ197" i="16"/>
  <c r="C206" i="16"/>
  <c r="C207" i="16"/>
  <c r="C208" i="16"/>
  <c r="C209" i="16"/>
  <c r="C210" i="16"/>
  <c r="C211" i="16"/>
  <c r="C212" i="16"/>
  <c r="C213" i="16"/>
  <c r="AQ214" i="16"/>
  <c r="C37" i="15"/>
  <c r="C38" i="15"/>
  <c r="C39" i="15"/>
  <c r="C40" i="15"/>
  <c r="C41" i="15"/>
  <c r="C42" i="15"/>
  <c r="C43" i="15"/>
  <c r="C44" i="15"/>
  <c r="C45" i="15"/>
  <c r="C46" i="15"/>
  <c r="C47" i="15"/>
  <c r="C48" i="15"/>
  <c r="C49" i="15"/>
  <c r="C50" i="15"/>
  <c r="C60" i="15"/>
  <c r="C61" i="15"/>
  <c r="C62" i="15"/>
  <c r="C63" i="15"/>
  <c r="C64" i="15"/>
  <c r="C65" i="15"/>
  <c r="C66" i="15"/>
  <c r="C67" i="15"/>
  <c r="C68" i="15"/>
  <c r="C69" i="15"/>
  <c r="C70" i="15"/>
  <c r="C71" i="15"/>
  <c r="C72" i="15"/>
  <c r="C82" i="15"/>
  <c r="C83" i="15"/>
  <c r="C84" i="15"/>
  <c r="C85" i="15"/>
  <c r="C86" i="15"/>
  <c r="C96" i="15"/>
  <c r="C97" i="15"/>
  <c r="C98" i="15"/>
  <c r="C99" i="15"/>
  <c r="C100" i="15"/>
  <c r="C101" i="15"/>
  <c r="C102" i="15"/>
  <c r="C103" i="15"/>
  <c r="C113" i="15"/>
  <c r="C114" i="15"/>
  <c r="C115" i="15"/>
  <c r="C116" i="15"/>
  <c r="C117" i="15"/>
  <c r="C118" i="15"/>
  <c r="C119" i="15"/>
  <c r="C120" i="15"/>
  <c r="C121" i="15"/>
  <c r="C122" i="15"/>
  <c r="C132" i="15"/>
  <c r="C133" i="15"/>
  <c r="C134" i="15"/>
  <c r="C135" i="15"/>
  <c r="C136" i="15"/>
  <c r="C137" i="15"/>
  <c r="C138" i="15"/>
  <c r="C139" i="15"/>
  <c r="C140" i="15"/>
  <c r="C141" i="15"/>
  <c r="C151" i="15"/>
  <c r="C152" i="15"/>
  <c r="C153" i="15"/>
  <c r="C154" i="15"/>
  <c r="C155" i="15"/>
  <c r="C156" i="15"/>
  <c r="C157" i="15"/>
  <c r="C158" i="15"/>
  <c r="C168" i="15"/>
  <c r="C169" i="15"/>
  <c r="C170" i="15"/>
  <c r="C171" i="15"/>
  <c r="C172" i="15"/>
  <c r="C173" i="15"/>
  <c r="C174" i="15"/>
  <c r="C175" i="15"/>
  <c r="C176" i="15"/>
  <c r="C177" i="15"/>
  <c r="C187" i="15"/>
  <c r="C188" i="15"/>
  <c r="C189" i="15"/>
  <c r="C190" i="15"/>
  <c r="C191" i="15"/>
  <c r="C192" i="15"/>
  <c r="C193" i="15"/>
  <c r="C194" i="15"/>
  <c r="C195" i="15"/>
  <c r="C196" i="15"/>
  <c r="C206" i="15"/>
  <c r="C207" i="15"/>
  <c r="C208" i="15"/>
  <c r="C209" i="15"/>
  <c r="C210" i="15"/>
  <c r="C211" i="15"/>
  <c r="C212" i="15"/>
  <c r="C213" i="15"/>
  <c r="C37" i="14"/>
  <c r="C38" i="14"/>
  <c r="C39" i="14"/>
  <c r="C40" i="14"/>
  <c r="C41" i="14"/>
  <c r="C42" i="14"/>
  <c r="C43" i="14"/>
  <c r="C44" i="14"/>
  <c r="C45" i="14"/>
  <c r="C46" i="14"/>
  <c r="C47" i="14"/>
  <c r="C48" i="14"/>
  <c r="C49" i="14"/>
  <c r="C50" i="14"/>
  <c r="C60" i="14"/>
  <c r="C61" i="14"/>
  <c r="C62" i="14"/>
  <c r="C63" i="14"/>
  <c r="C64" i="14"/>
  <c r="C65" i="14"/>
  <c r="C66" i="14"/>
  <c r="C67" i="14"/>
  <c r="C68" i="14"/>
  <c r="C69" i="14"/>
  <c r="C70" i="14"/>
  <c r="C71" i="14"/>
  <c r="C72" i="14"/>
  <c r="C82" i="14"/>
  <c r="C83" i="14"/>
  <c r="C84" i="14"/>
  <c r="C85" i="14"/>
  <c r="C86" i="14"/>
  <c r="C96" i="14"/>
  <c r="C97" i="14"/>
  <c r="C98" i="14"/>
  <c r="C99" i="14"/>
  <c r="C100" i="14"/>
  <c r="C101" i="14"/>
  <c r="C102" i="14"/>
  <c r="C103" i="14"/>
  <c r="C113" i="14"/>
  <c r="C114" i="14"/>
  <c r="C115" i="14"/>
  <c r="C116" i="14"/>
  <c r="C117" i="14"/>
  <c r="C118" i="14"/>
  <c r="C119" i="14"/>
  <c r="C120" i="14"/>
  <c r="C121" i="14"/>
  <c r="C122" i="14"/>
  <c r="C132" i="14"/>
  <c r="C133" i="14"/>
  <c r="C134" i="14"/>
  <c r="C135" i="14"/>
  <c r="C136" i="14"/>
  <c r="C137" i="14"/>
  <c r="C138" i="14"/>
  <c r="C139" i="14"/>
  <c r="C140" i="14"/>
  <c r="C141" i="14"/>
  <c r="C151" i="14"/>
  <c r="C152" i="14"/>
  <c r="C153" i="14"/>
  <c r="C154" i="14"/>
  <c r="C155" i="14"/>
  <c r="C156" i="14"/>
  <c r="C157" i="14"/>
  <c r="C158" i="14"/>
  <c r="C168" i="14"/>
  <c r="C169" i="14"/>
  <c r="C170" i="14"/>
  <c r="C171" i="14"/>
  <c r="C172" i="14"/>
  <c r="C173" i="14"/>
  <c r="C174" i="14"/>
  <c r="C175" i="14"/>
  <c r="C176" i="14"/>
  <c r="C177" i="14"/>
  <c r="C187" i="14"/>
  <c r="C188" i="14"/>
  <c r="C189" i="14"/>
  <c r="C190" i="14"/>
  <c r="C191" i="14"/>
  <c r="C192" i="14"/>
  <c r="C193" i="14"/>
  <c r="C194" i="14"/>
  <c r="C195" i="14"/>
  <c r="C196" i="14"/>
  <c r="C206" i="14"/>
  <c r="C207" i="14"/>
  <c r="C208" i="14"/>
  <c r="C209" i="14"/>
  <c r="C210" i="14"/>
  <c r="C211" i="14"/>
  <c r="C212" i="14"/>
  <c r="C213" i="14"/>
  <c r="C37" i="13"/>
  <c r="C38" i="13"/>
  <c r="C39" i="13"/>
  <c r="C40" i="13"/>
  <c r="C41" i="13"/>
  <c r="C42" i="13"/>
  <c r="C43" i="13"/>
  <c r="C44" i="13"/>
  <c r="C45" i="13"/>
  <c r="C46" i="13"/>
  <c r="C47" i="13"/>
  <c r="C48" i="13"/>
  <c r="C49" i="13"/>
  <c r="C50" i="13"/>
  <c r="C60" i="13"/>
  <c r="C61" i="13"/>
  <c r="C62" i="13"/>
  <c r="C63" i="13"/>
  <c r="C64" i="13"/>
  <c r="C65" i="13"/>
  <c r="C66" i="13"/>
  <c r="C67" i="13"/>
  <c r="C68" i="13"/>
  <c r="C69" i="13"/>
  <c r="C70" i="13"/>
  <c r="C71" i="13"/>
  <c r="C72" i="13"/>
  <c r="C82" i="13"/>
  <c r="C83" i="13"/>
  <c r="C84" i="13"/>
  <c r="C85" i="13"/>
  <c r="C86" i="13"/>
  <c r="C96" i="13"/>
  <c r="C97" i="13"/>
  <c r="C98" i="13"/>
  <c r="C99" i="13"/>
  <c r="C100" i="13"/>
  <c r="C101" i="13"/>
  <c r="C102" i="13"/>
  <c r="C103" i="13"/>
  <c r="C113" i="13"/>
  <c r="C114" i="13"/>
  <c r="C115" i="13"/>
  <c r="C116" i="13"/>
  <c r="C117" i="13"/>
  <c r="C118" i="13"/>
  <c r="C119" i="13"/>
  <c r="C120" i="13"/>
  <c r="C121" i="13"/>
  <c r="C122" i="13"/>
  <c r="C132" i="13"/>
  <c r="C133" i="13"/>
  <c r="C134" i="13"/>
  <c r="C135" i="13"/>
  <c r="C136" i="13"/>
  <c r="C137" i="13"/>
  <c r="C138" i="13"/>
  <c r="C139" i="13"/>
  <c r="C140" i="13"/>
  <c r="C141" i="13"/>
  <c r="C151" i="13"/>
  <c r="C152" i="13"/>
  <c r="C153" i="13"/>
  <c r="C154" i="13"/>
  <c r="C155" i="13"/>
  <c r="C156" i="13"/>
  <c r="C157" i="13"/>
  <c r="C158" i="13"/>
  <c r="C168" i="13"/>
  <c r="C169" i="13"/>
  <c r="C170" i="13"/>
  <c r="C171" i="13"/>
  <c r="C172" i="13"/>
  <c r="C173" i="13"/>
  <c r="C174" i="13"/>
  <c r="C175" i="13"/>
  <c r="C176" i="13"/>
  <c r="C177" i="13"/>
  <c r="C187" i="13"/>
  <c r="C188" i="13"/>
  <c r="C189" i="13"/>
  <c r="C190" i="13"/>
  <c r="C191" i="13"/>
  <c r="C192" i="13"/>
  <c r="C193" i="13"/>
  <c r="C194" i="13"/>
  <c r="C195" i="13"/>
  <c r="C196" i="13"/>
  <c r="C206" i="13"/>
  <c r="C207" i="13"/>
  <c r="C208" i="13"/>
  <c r="C209" i="13"/>
  <c r="C210" i="13"/>
  <c r="C211" i="13"/>
  <c r="C212" i="13"/>
  <c r="C213" i="13"/>
  <c r="N14" i="15" l="1"/>
  <c r="F206" i="15"/>
  <c r="K206" i="13"/>
  <c r="AP25" i="16"/>
  <c r="L208" i="13"/>
  <c r="AI195" i="13"/>
  <c r="AB194" i="13"/>
  <c r="L116" i="13"/>
  <c r="G156" i="13"/>
  <c r="Z194" i="14"/>
  <c r="Q194" i="13"/>
  <c r="Q187" i="13"/>
  <c r="N118" i="13"/>
  <c r="N209" i="13"/>
  <c r="E195" i="13"/>
  <c r="O60" i="13"/>
  <c r="G194" i="13"/>
  <c r="F196" i="13"/>
  <c r="AA209" i="13"/>
  <c r="T195" i="13"/>
  <c r="J189" i="13"/>
  <c r="E153" i="13"/>
  <c r="G49" i="13"/>
  <c r="H212" i="13"/>
  <c r="E207" i="13"/>
  <c r="AF196" i="13"/>
  <c r="E194" i="13"/>
  <c r="K170" i="13"/>
  <c r="S137" i="13"/>
  <c r="H209" i="13"/>
  <c r="Y206" i="13"/>
  <c r="P190" i="13"/>
  <c r="O188" i="13"/>
  <c r="K154" i="13"/>
  <c r="M152" i="13"/>
  <c r="X101" i="13"/>
  <c r="X211" i="13"/>
  <c r="AI209" i="13"/>
  <c r="AF208" i="13"/>
  <c r="AH206" i="13"/>
  <c r="AA196" i="13"/>
  <c r="AA194" i="13"/>
  <c r="P194" i="13"/>
  <c r="F188" i="13"/>
  <c r="X171" i="13"/>
  <c r="E152" i="13"/>
  <c r="J44" i="13"/>
  <c r="Y208" i="14"/>
  <c r="X209" i="13"/>
  <c r="S206" i="13"/>
  <c r="AC195" i="13"/>
  <c r="U191" i="13"/>
  <c r="W176" i="13"/>
  <c r="Q103" i="13"/>
  <c r="Z39" i="13"/>
  <c r="W210" i="13"/>
  <c r="V209" i="13"/>
  <c r="AA208" i="13"/>
  <c r="R206" i="13"/>
  <c r="T196" i="13"/>
  <c r="M195" i="13"/>
  <c r="AG194" i="13"/>
  <c r="W194" i="13"/>
  <c r="L194" i="13"/>
  <c r="AD189" i="13"/>
  <c r="AH188" i="13"/>
  <c r="K176" i="13"/>
  <c r="O173" i="13"/>
  <c r="Y169" i="13"/>
  <c r="AA158" i="13"/>
  <c r="X156" i="13"/>
  <c r="V155" i="13"/>
  <c r="AA153" i="13"/>
  <c r="AC152" i="13"/>
  <c r="AI136" i="13"/>
  <c r="AE134" i="13"/>
  <c r="F132" i="13"/>
  <c r="X86" i="13"/>
  <c r="R83" i="13"/>
  <c r="AI68" i="13"/>
  <c r="AA25" i="13"/>
  <c r="N193" i="13"/>
  <c r="AB213" i="13"/>
  <c r="AG210" i="13"/>
  <c r="L209" i="13"/>
  <c r="E208" i="13"/>
  <c r="I206" i="13"/>
  <c r="O195" i="13"/>
  <c r="I190" i="13"/>
  <c r="I187" i="13"/>
  <c r="AI156" i="13"/>
  <c r="AI132" i="13"/>
  <c r="S72" i="13"/>
  <c r="T41" i="13"/>
  <c r="R26" i="13"/>
  <c r="P211" i="13"/>
  <c r="AH209" i="13"/>
  <c r="G209" i="13"/>
  <c r="AD206" i="13"/>
  <c r="F206" i="13"/>
  <c r="AA195" i="13"/>
  <c r="X212" i="13"/>
  <c r="H211" i="13"/>
  <c r="N210" i="13"/>
  <c r="AF209" i="13"/>
  <c r="R209" i="13"/>
  <c r="F209" i="13"/>
  <c r="S208" i="13"/>
  <c r="P207" i="13"/>
  <c r="AA206" i="13"/>
  <c r="Q206" i="13"/>
  <c r="U195" i="13"/>
  <c r="H195" i="13"/>
  <c r="AF194" i="13"/>
  <c r="U194" i="13"/>
  <c r="K194" i="13"/>
  <c r="K192" i="13"/>
  <c r="AF190" i="13"/>
  <c r="U189" i="13"/>
  <c r="Z188" i="13"/>
  <c r="AB187" i="13"/>
  <c r="AC177" i="13"/>
  <c r="AA170" i="13"/>
  <c r="J169" i="13"/>
  <c r="O156" i="13"/>
  <c r="P153" i="13"/>
  <c r="U152" i="13"/>
  <c r="S136" i="13"/>
  <c r="AB116" i="13"/>
  <c r="E64" i="13"/>
  <c r="AF49" i="13"/>
  <c r="Y40" i="13"/>
  <c r="Q15" i="13"/>
  <c r="W134" i="15"/>
  <c r="AA137" i="15"/>
  <c r="K171" i="15"/>
  <c r="W173" i="15"/>
  <c r="Y191" i="15"/>
  <c r="J206" i="15"/>
  <c r="H209" i="15"/>
  <c r="U212" i="15"/>
  <c r="W14" i="14"/>
  <c r="AH14" i="14"/>
  <c r="L15" i="14"/>
  <c r="S15" i="14"/>
  <c r="X15" i="14"/>
  <c r="AB15" i="14"/>
  <c r="AF15" i="14"/>
  <c r="E25" i="14"/>
  <c r="I25" i="14"/>
  <c r="M25" i="14"/>
  <c r="Q25" i="14"/>
  <c r="U25" i="14"/>
  <c r="Y25" i="14"/>
  <c r="AC25" i="14"/>
  <c r="AG25" i="14"/>
  <c r="F26" i="14"/>
  <c r="J26" i="14"/>
  <c r="N26" i="14"/>
  <c r="R26" i="14"/>
  <c r="V26" i="14"/>
  <c r="Z26" i="14"/>
  <c r="AD26" i="14"/>
  <c r="AH26" i="14"/>
  <c r="W37" i="14"/>
  <c r="R43" i="14"/>
  <c r="E44" i="14"/>
  <c r="J44" i="14"/>
  <c r="P44" i="14"/>
  <c r="U44" i="14"/>
  <c r="Z44" i="14"/>
  <c r="AF44" i="14"/>
  <c r="G45" i="14"/>
  <c r="S45" i="14"/>
  <c r="AI45" i="14"/>
  <c r="S47" i="14"/>
  <c r="H60" i="14"/>
  <c r="I61" i="14"/>
  <c r="AI61" i="14"/>
  <c r="L64" i="14"/>
  <c r="T64" i="14"/>
  <c r="AB64" i="14"/>
  <c r="S65" i="14"/>
  <c r="AF65" i="14"/>
  <c r="N66" i="14"/>
  <c r="Z66" i="14"/>
  <c r="Q67" i="14"/>
  <c r="AE67" i="14"/>
  <c r="AG68" i="14"/>
  <c r="I69" i="14"/>
  <c r="P69" i="14"/>
  <c r="X69" i="14"/>
  <c r="AE69" i="14"/>
  <c r="J72" i="14"/>
  <c r="P72" i="14"/>
  <c r="W72" i="14"/>
  <c r="AE72" i="14"/>
  <c r="K82" i="14"/>
  <c r="AE82" i="14"/>
  <c r="I83" i="14"/>
  <c r="Q83" i="14"/>
  <c r="Y83" i="14"/>
  <c r="AG83" i="14"/>
  <c r="S84" i="14"/>
  <c r="J97" i="14"/>
  <c r="AE97" i="14"/>
  <c r="I101" i="14"/>
  <c r="S101" i="14"/>
  <c r="AD101" i="14"/>
  <c r="AF102" i="14"/>
  <c r="G153" i="15"/>
  <c r="AF177" i="15"/>
  <c r="AI189" i="15"/>
  <c r="O195" i="15"/>
  <c r="M208" i="15"/>
  <c r="O209" i="15"/>
  <c r="Z14" i="14"/>
  <c r="G15" i="14"/>
  <c r="O15" i="14"/>
  <c r="T15" i="14"/>
  <c r="Y15" i="14"/>
  <c r="AC15" i="14"/>
  <c r="AG15" i="14"/>
  <c r="F25" i="14"/>
  <c r="J25" i="14"/>
  <c r="N25" i="14"/>
  <c r="R25" i="14"/>
  <c r="V25" i="14"/>
  <c r="Z25" i="14"/>
  <c r="AD25" i="14"/>
  <c r="AH25" i="14"/>
  <c r="G26" i="14"/>
  <c r="K26" i="14"/>
  <c r="O26" i="14"/>
  <c r="S26" i="14"/>
  <c r="W26" i="14"/>
  <c r="AA26" i="14"/>
  <c r="AE26" i="14"/>
  <c r="AI26" i="14"/>
  <c r="AE37" i="14"/>
  <c r="P39" i="14"/>
  <c r="P40" i="14"/>
  <c r="Y43" i="14"/>
  <c r="F44" i="14"/>
  <c r="L44" i="14"/>
  <c r="Q44" i="14"/>
  <c r="V44" i="14"/>
  <c r="AB44" i="14"/>
  <c r="AG44" i="14"/>
  <c r="H45" i="14"/>
  <c r="X45" i="14"/>
  <c r="AI47" i="14"/>
  <c r="AE49" i="14"/>
  <c r="T60" i="14"/>
  <c r="T61" i="14"/>
  <c r="G64" i="14"/>
  <c r="O64" i="14"/>
  <c r="W64" i="14"/>
  <c r="AE64" i="14"/>
  <c r="I65" i="14"/>
  <c r="X65" i="14"/>
  <c r="P66" i="14"/>
  <c r="AA66" i="14"/>
  <c r="I67" i="14"/>
  <c r="V67" i="14"/>
  <c r="K69" i="14"/>
  <c r="S69" i="14"/>
  <c r="Y69" i="14"/>
  <c r="AF69" i="14"/>
  <c r="K72" i="14"/>
  <c r="R72" i="14"/>
  <c r="Z72" i="14"/>
  <c r="AF72" i="14"/>
  <c r="P82" i="14"/>
  <c r="L83" i="14"/>
  <c r="T83" i="14"/>
  <c r="AB83" i="14"/>
  <c r="Y84" i="14"/>
  <c r="L86" i="14"/>
  <c r="S96" i="14"/>
  <c r="N97" i="14"/>
  <c r="AI97" i="14"/>
  <c r="J101" i="14"/>
  <c r="E14" i="15"/>
  <c r="F151" i="15"/>
  <c r="AB172" i="15"/>
  <c r="M207" i="15"/>
  <c r="X208" i="15"/>
  <c r="AA209" i="15"/>
  <c r="X211" i="15"/>
  <c r="J14" i="14"/>
  <c r="AD14" i="14"/>
  <c r="H15" i="14"/>
  <c r="P15" i="14"/>
  <c r="U15" i="14"/>
  <c r="Z15" i="14"/>
  <c r="AD15" i="14"/>
  <c r="AH15" i="14"/>
  <c r="G25" i="14"/>
  <c r="K25" i="14"/>
  <c r="O25" i="14"/>
  <c r="S25" i="14"/>
  <c r="W25" i="14"/>
  <c r="AA25" i="14"/>
  <c r="AE25" i="14"/>
  <c r="AI25" i="14"/>
  <c r="H26" i="14"/>
  <c r="L26" i="14"/>
  <c r="P26" i="14"/>
  <c r="T26" i="14"/>
  <c r="X26" i="14"/>
  <c r="AB26" i="14"/>
  <c r="AF26" i="14"/>
  <c r="T39" i="14"/>
  <c r="T40" i="14"/>
  <c r="AG43" i="14"/>
  <c r="H44" i="14"/>
  <c r="M44" i="14"/>
  <c r="R44" i="14"/>
  <c r="X44" i="14"/>
  <c r="AC44" i="14"/>
  <c r="AH44" i="14"/>
  <c r="M45" i="14"/>
  <c r="AB45" i="14"/>
  <c r="T46" i="14"/>
  <c r="X60" i="14"/>
  <c r="X61" i="14"/>
  <c r="H64" i="14"/>
  <c r="P64" i="14"/>
  <c r="X64" i="14"/>
  <c r="AF64" i="14"/>
  <c r="K65" i="14"/>
  <c r="Y65" i="14"/>
  <c r="F66" i="14"/>
  <c r="S66" i="14"/>
  <c r="AF66" i="14"/>
  <c r="J67" i="14"/>
  <c r="Y67" i="14"/>
  <c r="O68" i="14"/>
  <c r="E69" i="14"/>
  <c r="M69" i="14"/>
  <c r="T69" i="14"/>
  <c r="AA69" i="14"/>
  <c r="AI69" i="14"/>
  <c r="F72" i="14"/>
  <c r="L72" i="14"/>
  <c r="AI209" i="15"/>
  <c r="Q15" i="14"/>
  <c r="AI15" i="14"/>
  <c r="T25" i="14"/>
  <c r="E26" i="14"/>
  <c r="U26" i="14"/>
  <c r="Y44" i="14"/>
  <c r="AC45" i="14"/>
  <c r="X48" i="14"/>
  <c r="AH63" i="14"/>
  <c r="AA64" i="14"/>
  <c r="AE65" i="14"/>
  <c r="AI66" i="14"/>
  <c r="O69" i="14"/>
  <c r="T72" i="14"/>
  <c r="AH72" i="14"/>
  <c r="P83" i="14"/>
  <c r="AF83" i="14"/>
  <c r="AC84" i="14"/>
  <c r="AB86" i="14"/>
  <c r="U97" i="14"/>
  <c r="N101" i="14"/>
  <c r="Z101" i="14"/>
  <c r="M114" i="14"/>
  <c r="AA114" i="14"/>
  <c r="E115" i="14"/>
  <c r="I115" i="14"/>
  <c r="M115" i="14"/>
  <c r="Q115" i="14"/>
  <c r="U115" i="14"/>
  <c r="Y115" i="14"/>
  <c r="AC115" i="14"/>
  <c r="AG115" i="14"/>
  <c r="G116" i="14"/>
  <c r="O116" i="14"/>
  <c r="W116" i="14"/>
  <c r="AE116" i="14"/>
  <c r="S117" i="14"/>
  <c r="I118" i="14"/>
  <c r="R118" i="14"/>
  <c r="AC118" i="14"/>
  <c r="W119" i="14"/>
  <c r="P120" i="14"/>
  <c r="E122" i="14"/>
  <c r="J122" i="14"/>
  <c r="O122" i="14"/>
  <c r="U122" i="14"/>
  <c r="Z122" i="14"/>
  <c r="AE122" i="14"/>
  <c r="H134" i="14"/>
  <c r="R134" i="14"/>
  <c r="AB134" i="14"/>
  <c r="F136" i="14"/>
  <c r="K136" i="14"/>
  <c r="P136" i="14"/>
  <c r="V136" i="14"/>
  <c r="AA136" i="14"/>
  <c r="AF136" i="14"/>
  <c r="AF137" i="14"/>
  <c r="G139" i="14"/>
  <c r="N139" i="14"/>
  <c r="V139" i="14"/>
  <c r="AA139" i="14"/>
  <c r="AG139" i="14"/>
  <c r="I140" i="14"/>
  <c r="N151" i="14"/>
  <c r="AG154" i="14"/>
  <c r="W155" i="14"/>
  <c r="AC156" i="14"/>
  <c r="G157" i="14"/>
  <c r="L157" i="14"/>
  <c r="Q157" i="14"/>
  <c r="W157" i="14"/>
  <c r="AB157" i="14"/>
  <c r="AG157" i="14"/>
  <c r="L158" i="14"/>
  <c r="X158" i="14"/>
  <c r="I169" i="14"/>
  <c r="AD169" i="14"/>
  <c r="Y170" i="14"/>
  <c r="S172" i="14"/>
  <c r="AI172" i="14"/>
  <c r="Z176" i="14"/>
  <c r="L177" i="14"/>
  <c r="AB177" i="14"/>
  <c r="O187" i="14"/>
  <c r="G189" i="14"/>
  <c r="S189" i="14"/>
  <c r="AD189" i="14"/>
  <c r="L190" i="14"/>
  <c r="O191" i="14"/>
  <c r="AB192" i="14"/>
  <c r="F194" i="14"/>
  <c r="K194" i="14"/>
  <c r="AB207" i="15"/>
  <c r="O14" i="14"/>
  <c r="W15" i="14"/>
  <c r="H25" i="14"/>
  <c r="X25" i="14"/>
  <c r="I26" i="14"/>
  <c r="Y26" i="14"/>
  <c r="O37" i="14"/>
  <c r="AF39" i="14"/>
  <c r="I44" i="14"/>
  <c r="AD44" i="14"/>
  <c r="AE61" i="14"/>
  <c r="AI64" i="14"/>
  <c r="Y68" i="14"/>
  <c r="U69" i="14"/>
  <c r="V72" i="14"/>
  <c r="E83" i="14"/>
  <c r="U83" i="14"/>
  <c r="Y97" i="14"/>
  <c r="O101" i="14"/>
  <c r="AE101" i="14"/>
  <c r="S103" i="14"/>
  <c r="R114" i="14"/>
  <c r="AG114" i="14"/>
  <c r="F115" i="14"/>
  <c r="J115" i="14"/>
  <c r="N115" i="14"/>
  <c r="R115" i="14"/>
  <c r="V115" i="14"/>
  <c r="Z115" i="14"/>
  <c r="AD115" i="14"/>
  <c r="AH115" i="14"/>
  <c r="H116" i="14"/>
  <c r="P116" i="14"/>
  <c r="X116" i="14"/>
  <c r="AF116" i="14"/>
  <c r="AI117" i="14"/>
  <c r="K118" i="14"/>
  <c r="V118" i="14"/>
  <c r="AD118" i="14"/>
  <c r="L119" i="14"/>
  <c r="AB119" i="14"/>
  <c r="AI120" i="14"/>
  <c r="F122" i="14"/>
  <c r="K122" i="14"/>
  <c r="Q122" i="14"/>
  <c r="V122" i="14"/>
  <c r="AA122" i="14"/>
  <c r="AG122" i="14"/>
  <c r="K134" i="14"/>
  <c r="V134" i="14"/>
  <c r="AD134" i="14"/>
  <c r="Y135" i="14"/>
  <c r="G136" i="14"/>
  <c r="L136" i="14"/>
  <c r="R136" i="14"/>
  <c r="W136" i="14"/>
  <c r="AB136" i="14"/>
  <c r="AH136" i="14"/>
  <c r="I139" i="14"/>
  <c r="Q139" i="14"/>
  <c r="W139" i="14"/>
  <c r="AC139" i="14"/>
  <c r="AH139" i="14"/>
  <c r="AD140" i="14"/>
  <c r="X151" i="14"/>
  <c r="N153" i="14"/>
  <c r="M154" i="14"/>
  <c r="AH155" i="14"/>
  <c r="AD156" i="14"/>
  <c r="H157" i="14"/>
  <c r="M157" i="14"/>
  <c r="S157" i="14"/>
  <c r="X157" i="14"/>
  <c r="AC157" i="14"/>
  <c r="AI157" i="14"/>
  <c r="M158" i="14"/>
  <c r="AB158" i="14"/>
  <c r="K168" i="14"/>
  <c r="N169" i="14"/>
  <c r="J65" i="15"/>
  <c r="Z85" i="15"/>
  <c r="S97" i="15"/>
  <c r="G113" i="15"/>
  <c r="AE158" i="15"/>
  <c r="AE14" i="14"/>
  <c r="AA15" i="14"/>
  <c r="L25" i="14"/>
  <c r="AB25" i="14"/>
  <c r="M26" i="14"/>
  <c r="AC26" i="14"/>
  <c r="N44" i="14"/>
  <c r="K64" i="14"/>
  <c r="J66" i="14"/>
  <c r="O67" i="14"/>
  <c r="AC69" i="14"/>
  <c r="G72" i="14"/>
  <c r="AA72" i="14"/>
  <c r="Z82" i="14"/>
  <c r="H83" i="14"/>
  <c r="X83" i="14"/>
  <c r="H84" i="14"/>
  <c r="AI96" i="14"/>
  <c r="U101" i="14"/>
  <c r="AI101" i="14"/>
  <c r="T103" i="14"/>
  <c r="F114" i="14"/>
  <c r="S114" i="14"/>
  <c r="AH114" i="14"/>
  <c r="G115" i="14"/>
  <c r="K115" i="14"/>
  <c r="O115" i="14"/>
  <c r="S115" i="14"/>
  <c r="W115" i="14"/>
  <c r="AA115" i="14"/>
  <c r="AE115" i="14"/>
  <c r="AI115" i="14"/>
  <c r="K116" i="14"/>
  <c r="S116" i="14"/>
  <c r="AA116" i="14"/>
  <c r="AI116" i="14"/>
  <c r="N118" i="14"/>
  <c r="W118" i="14"/>
  <c r="AG118" i="14"/>
  <c r="O119" i="14"/>
  <c r="AE119" i="14"/>
  <c r="G122" i="14"/>
  <c r="M122" i="14"/>
  <c r="R122" i="14"/>
  <c r="W122" i="14"/>
  <c r="AC122" i="14"/>
  <c r="AH122" i="14"/>
  <c r="N134" i="14"/>
  <c r="W134" i="14"/>
  <c r="AF134" i="14"/>
  <c r="AG135" i="14"/>
  <c r="H136" i="14"/>
  <c r="N136" i="14"/>
  <c r="S136" i="14"/>
  <c r="X136" i="14"/>
  <c r="AD136" i="14"/>
  <c r="AI136" i="14"/>
  <c r="K139" i="14"/>
  <c r="R139" i="14"/>
  <c r="Y139" i="14"/>
  <c r="AD139" i="14"/>
  <c r="AI139" i="14"/>
  <c r="AB151" i="14"/>
  <c r="W153" i="14"/>
  <c r="S154" i="14"/>
  <c r="P25" i="14"/>
  <c r="S64" i="14"/>
  <c r="X66" i="14"/>
  <c r="AD82" i="14"/>
  <c r="T86" i="14"/>
  <c r="T98" i="14"/>
  <c r="E101" i="14"/>
  <c r="AB103" i="14"/>
  <c r="Y114" i="14"/>
  <c r="P115" i="14"/>
  <c r="AF115" i="14"/>
  <c r="AB116" i="14"/>
  <c r="Q118" i="14"/>
  <c r="T119" i="14"/>
  <c r="I122" i="14"/>
  <c r="AD122" i="14"/>
  <c r="AI134" i="14"/>
  <c r="O136" i="14"/>
  <c r="M139" i="14"/>
  <c r="K157" i="14"/>
  <c r="U157" i="14"/>
  <c r="AF157" i="14"/>
  <c r="W158" i="14"/>
  <c r="AH168" i="14"/>
  <c r="K172" i="14"/>
  <c r="AD172" i="14"/>
  <c r="AI176" i="14"/>
  <c r="T177" i="14"/>
  <c r="I187" i="14"/>
  <c r="K189" i="14"/>
  <c r="W189" i="14"/>
  <c r="Y191" i="14"/>
  <c r="AH193" i="14"/>
  <c r="J194" i="14"/>
  <c r="P194" i="14"/>
  <c r="V194" i="14"/>
  <c r="AA194" i="14"/>
  <c r="AF194" i="14"/>
  <c r="G195" i="14"/>
  <c r="M195" i="14"/>
  <c r="T195" i="14"/>
  <c r="AB195" i="14"/>
  <c r="AI195" i="14"/>
  <c r="G206" i="14"/>
  <c r="O206" i="14"/>
  <c r="W206" i="14"/>
  <c r="AE206" i="14"/>
  <c r="I207" i="14"/>
  <c r="H208" i="14"/>
  <c r="S208" i="14"/>
  <c r="AC208" i="14"/>
  <c r="K209" i="14"/>
  <c r="AA209" i="14"/>
  <c r="R210" i="14"/>
  <c r="L211" i="14"/>
  <c r="T211" i="14"/>
  <c r="AB211" i="14"/>
  <c r="O212" i="14"/>
  <c r="Y212" i="14"/>
  <c r="O213" i="14"/>
  <c r="Z213" i="14"/>
  <c r="E14" i="13"/>
  <c r="I14" i="13"/>
  <c r="M14" i="13"/>
  <c r="Q14" i="13"/>
  <c r="U14" i="13"/>
  <c r="Y14" i="13"/>
  <c r="AC14" i="13"/>
  <c r="AG14" i="13"/>
  <c r="F15" i="13"/>
  <c r="J15" i="13"/>
  <c r="N15" i="13"/>
  <c r="R15" i="13"/>
  <c r="V15" i="13"/>
  <c r="Z15" i="13"/>
  <c r="AD15" i="13"/>
  <c r="AH15" i="13"/>
  <c r="G25" i="13"/>
  <c r="K25" i="13"/>
  <c r="O25" i="13"/>
  <c r="S25" i="13"/>
  <c r="AF25" i="14"/>
  <c r="AF40" i="14"/>
  <c r="K43" i="14"/>
  <c r="Q45" i="14"/>
  <c r="H69" i="14"/>
  <c r="O72" i="14"/>
  <c r="O84" i="14"/>
  <c r="Y101" i="14"/>
  <c r="T115" i="14"/>
  <c r="Y118" i="14"/>
  <c r="N122" i="14"/>
  <c r="AI122" i="14"/>
  <c r="G134" i="14"/>
  <c r="T136" i="14"/>
  <c r="S139" i="14"/>
  <c r="AH153" i="14"/>
  <c r="G155" i="14"/>
  <c r="O157" i="14"/>
  <c r="Y157" i="14"/>
  <c r="AG158" i="14"/>
  <c r="K170" i="14"/>
  <c r="S171" i="14"/>
  <c r="N172" i="14"/>
  <c r="X177" i="14"/>
  <c r="T187" i="14"/>
  <c r="AI188" i="14"/>
  <c r="N189" i="14"/>
  <c r="AA189" i="14"/>
  <c r="T190" i="14"/>
  <c r="L194" i="14"/>
  <c r="R194" i="14"/>
  <c r="W194" i="14"/>
  <c r="AB194" i="14"/>
  <c r="AH194" i="14"/>
  <c r="H195" i="14"/>
  <c r="O195" i="14"/>
  <c r="W195" i="14"/>
  <c r="AC195" i="14"/>
  <c r="J206" i="14"/>
  <c r="R206" i="14"/>
  <c r="Z206" i="14"/>
  <c r="AH206" i="14"/>
  <c r="Y207" i="14"/>
  <c r="I208" i="14"/>
  <c r="T208" i="14"/>
  <c r="AE208" i="14"/>
  <c r="L209" i="14"/>
  <c r="AB209" i="14"/>
  <c r="S210" i="14"/>
  <c r="E211" i="14"/>
  <c r="M211" i="14"/>
  <c r="U211" i="14"/>
  <c r="AC211" i="14"/>
  <c r="E212" i="14"/>
  <c r="P212" i="14"/>
  <c r="AA212" i="14"/>
  <c r="F213" i="14"/>
  <c r="P213" i="14"/>
  <c r="AA213" i="14"/>
  <c r="F14" i="13"/>
  <c r="J14" i="13"/>
  <c r="N14" i="13"/>
  <c r="R14" i="13"/>
  <c r="V14" i="13"/>
  <c r="Z14" i="13"/>
  <c r="AD14" i="13"/>
  <c r="AH14" i="13"/>
  <c r="G15" i="13"/>
  <c r="K15" i="13"/>
  <c r="O15" i="13"/>
  <c r="S15" i="13"/>
  <c r="W15" i="13"/>
  <c r="AA15" i="13"/>
  <c r="AE15" i="13"/>
  <c r="AI15" i="13"/>
  <c r="H25" i="13"/>
  <c r="L25" i="13"/>
  <c r="P25" i="13"/>
  <c r="T25" i="13"/>
  <c r="X25" i="13"/>
  <c r="AB25" i="13"/>
  <c r="AF25" i="13"/>
  <c r="E26" i="13"/>
  <c r="I26" i="13"/>
  <c r="M26" i="13"/>
  <c r="Q26" i="13"/>
  <c r="U26" i="13"/>
  <c r="Y26" i="13"/>
  <c r="AC26" i="13"/>
  <c r="AG26" i="13"/>
  <c r="K39" i="13"/>
  <c r="S39" i="13"/>
  <c r="AA39" i="13"/>
  <c r="AI39" i="13"/>
  <c r="G40" i="13"/>
  <c r="M40" i="13"/>
  <c r="R40" i="13"/>
  <c r="W40" i="13"/>
  <c r="AB40" i="13"/>
  <c r="AF40" i="13"/>
  <c r="Z41" i="13"/>
  <c r="I44" i="13"/>
  <c r="S44" i="13"/>
  <c r="AD44" i="13"/>
  <c r="S47" i="13"/>
  <c r="R48" i="13"/>
  <c r="AG48" i="13"/>
  <c r="F49" i="13"/>
  <c r="L49" i="13"/>
  <c r="Q49" i="13"/>
  <c r="V49" i="13"/>
  <c r="AB49" i="13"/>
  <c r="AG49" i="13"/>
  <c r="S50" i="13"/>
  <c r="K15" i="14"/>
  <c r="Q26" i="14"/>
  <c r="AI38" i="14"/>
  <c r="P65" i="14"/>
  <c r="AD67" i="14"/>
  <c r="AB72" i="14"/>
  <c r="M83" i="14"/>
  <c r="H115" i="14"/>
  <c r="X115" i="14"/>
  <c r="L116" i="14"/>
  <c r="AI118" i="14"/>
  <c r="S122" i="14"/>
  <c r="P134" i="14"/>
  <c r="Z136" i="14"/>
  <c r="Z139" i="14"/>
  <c r="R155" i="14"/>
  <c r="E157" i="14"/>
  <c r="P157" i="14"/>
  <c r="AA157" i="14"/>
  <c r="G158" i="14"/>
  <c r="AI158" i="14"/>
  <c r="T169" i="14"/>
  <c r="Q170" i="14"/>
  <c r="V172" i="14"/>
  <c r="J176" i="14"/>
  <c r="H177" i="14"/>
  <c r="AF177" i="14"/>
  <c r="Y187" i="14"/>
  <c r="O189" i="14"/>
  <c r="AE189" i="14"/>
  <c r="AB190" i="14"/>
  <c r="S192" i="14"/>
  <c r="G194" i="14"/>
  <c r="N194" i="14"/>
  <c r="S194" i="14"/>
  <c r="X194" i="14"/>
  <c r="AD194" i="14"/>
  <c r="AI194" i="14"/>
  <c r="I195" i="14"/>
  <c r="Q195" i="14"/>
  <c r="X195" i="14"/>
  <c r="AE195" i="14"/>
  <c r="K206" i="14"/>
  <c r="S206" i="14"/>
  <c r="AA206" i="14"/>
  <c r="AI206" i="14"/>
  <c r="AD207" i="14"/>
  <c r="M208" i="14"/>
  <c r="X208" i="14"/>
  <c r="AI208" i="14"/>
  <c r="S209" i="14"/>
  <c r="AI209" i="14"/>
  <c r="AH210" i="14"/>
  <c r="H211" i="14"/>
  <c r="P211" i="14"/>
  <c r="X211" i="14"/>
  <c r="AF211" i="14"/>
  <c r="I212" i="14"/>
  <c r="T212" i="14"/>
  <c r="AE212" i="14"/>
  <c r="J213" i="14"/>
  <c r="T213" i="14"/>
  <c r="AE213" i="14"/>
  <c r="G14" i="13"/>
  <c r="K14" i="13"/>
  <c r="O14" i="13"/>
  <c r="S14" i="13"/>
  <c r="W14" i="13"/>
  <c r="AA14" i="13"/>
  <c r="AE14" i="13"/>
  <c r="AI14" i="13"/>
  <c r="H15" i="13"/>
  <c r="L15" i="13"/>
  <c r="P15" i="13"/>
  <c r="T15" i="13"/>
  <c r="X15" i="13"/>
  <c r="AB15" i="13"/>
  <c r="AF15" i="13"/>
  <c r="E25" i="13"/>
  <c r="I25" i="13"/>
  <c r="T44" i="14"/>
  <c r="K114" i="14"/>
  <c r="G118" i="14"/>
  <c r="J136" i="14"/>
  <c r="AE157" i="14"/>
  <c r="F189" i="14"/>
  <c r="H194" i="14"/>
  <c r="AE194" i="14"/>
  <c r="Y195" i="14"/>
  <c r="F206" i="14"/>
  <c r="AG211" i="14"/>
  <c r="AF212" i="14"/>
  <c r="AF213" i="14"/>
  <c r="T14" i="13"/>
  <c r="E15" i="13"/>
  <c r="U15" i="13"/>
  <c r="F25" i="13"/>
  <c r="Q25" i="13"/>
  <c r="W25" i="13"/>
  <c r="AC25" i="13"/>
  <c r="AH25" i="13"/>
  <c r="H26" i="13"/>
  <c r="N26" i="13"/>
  <c r="S26" i="13"/>
  <c r="X26" i="13"/>
  <c r="AD26" i="13"/>
  <c r="AI26" i="13"/>
  <c r="G39" i="13"/>
  <c r="R39" i="13"/>
  <c r="AD39" i="13"/>
  <c r="E40" i="13"/>
  <c r="K40" i="13"/>
  <c r="S40" i="13"/>
  <c r="Z40" i="13"/>
  <c r="AE40" i="13"/>
  <c r="AE41" i="13"/>
  <c r="S43" i="13"/>
  <c r="N44" i="13"/>
  <c r="Z44" i="13"/>
  <c r="Z47" i="13"/>
  <c r="F48" i="13"/>
  <c r="Y48" i="13"/>
  <c r="E49" i="13"/>
  <c r="M49" i="13"/>
  <c r="T49" i="13"/>
  <c r="Z49" i="13"/>
  <c r="AH49" i="13"/>
  <c r="V60" i="13"/>
  <c r="Y61" i="13"/>
  <c r="I64" i="13"/>
  <c r="S64" i="13"/>
  <c r="AD64" i="13"/>
  <c r="R68" i="13"/>
  <c r="S69" i="13"/>
  <c r="AD69" i="13"/>
  <c r="AF82" i="13"/>
  <c r="V83" i="13"/>
  <c r="O85" i="13"/>
  <c r="H86" i="13"/>
  <c r="AF86" i="13"/>
  <c r="H97" i="13"/>
  <c r="AD97" i="13"/>
  <c r="I99" i="13"/>
  <c r="AE99" i="13"/>
  <c r="E103" i="13"/>
  <c r="L103" i="13"/>
  <c r="T103" i="13"/>
  <c r="AA103" i="13"/>
  <c r="AG103" i="13"/>
  <c r="X114" i="13"/>
  <c r="E116" i="13"/>
  <c r="I116" i="13"/>
  <c r="M116" i="13"/>
  <c r="Q116" i="13"/>
  <c r="U116" i="13"/>
  <c r="Y116" i="13"/>
  <c r="AC116" i="13"/>
  <c r="AG116" i="13"/>
  <c r="M117" i="13"/>
  <c r="F118" i="13"/>
  <c r="P118" i="13"/>
  <c r="AA118" i="13"/>
  <c r="K121" i="13"/>
  <c r="K122" i="13"/>
  <c r="H132" i="13"/>
  <c r="O132" i="13"/>
  <c r="V132" i="13"/>
  <c r="AD132" i="13"/>
  <c r="X133" i="13"/>
  <c r="L134" i="13"/>
  <c r="S134" i="13"/>
  <c r="Z134" i="13"/>
  <c r="AH134" i="13"/>
  <c r="Q135" i="13"/>
  <c r="H136" i="13"/>
  <c r="L136" i="13"/>
  <c r="P136" i="13"/>
  <c r="T136" i="13"/>
  <c r="X136" i="13"/>
  <c r="AB136" i="13"/>
  <c r="AF136" i="13"/>
  <c r="I137" i="13"/>
  <c r="O137" i="13"/>
  <c r="T137" i="13"/>
  <c r="Y137" i="13"/>
  <c r="AD137" i="13"/>
  <c r="AH137" i="13"/>
  <c r="O139" i="13"/>
  <c r="AG140" i="13"/>
  <c r="AA141" i="13"/>
  <c r="T116" i="14"/>
  <c r="Y122" i="14"/>
  <c r="X134" i="14"/>
  <c r="AE136" i="14"/>
  <c r="F139" i="14"/>
  <c r="X154" i="14"/>
  <c r="Y169" i="14"/>
  <c r="S176" i="14"/>
  <c r="AE187" i="14"/>
  <c r="V189" i="14"/>
  <c r="O194" i="14"/>
  <c r="AG195" i="14"/>
  <c r="N206" i="14"/>
  <c r="T209" i="14"/>
  <c r="I211" i="14"/>
  <c r="H14" i="13"/>
  <c r="X14" i="13"/>
  <c r="I15" i="13"/>
  <c r="Y15" i="13"/>
  <c r="J25" i="13"/>
  <c r="R25" i="13"/>
  <c r="Y25" i="13"/>
  <c r="AD25" i="13"/>
  <c r="AI25" i="13"/>
  <c r="J26" i="13"/>
  <c r="O26" i="13"/>
  <c r="T26" i="13"/>
  <c r="Z26" i="13"/>
  <c r="AE26" i="13"/>
  <c r="J39" i="13"/>
  <c r="V39" i="13"/>
  <c r="AE39" i="13"/>
  <c r="F40" i="13"/>
  <c r="N40" i="13"/>
  <c r="U40" i="13"/>
  <c r="AA40" i="13"/>
  <c r="AG40" i="13"/>
  <c r="J41" i="13"/>
  <c r="O44" i="13"/>
  <c r="AE44" i="13"/>
  <c r="AA47" i="13"/>
  <c r="K48" i="13"/>
  <c r="AA48" i="13"/>
  <c r="H49" i="13"/>
  <c r="N49" i="13"/>
  <c r="U49" i="13"/>
  <c r="AC49" i="13"/>
  <c r="E60" i="13"/>
  <c r="Y60" i="13"/>
  <c r="I61" i="13"/>
  <c r="AE61" i="13"/>
  <c r="AE63" i="13"/>
  <c r="J64" i="13"/>
  <c r="U64" i="13"/>
  <c r="AE64" i="13"/>
  <c r="S68" i="13"/>
  <c r="F69" i="13"/>
  <c r="T69" i="13"/>
  <c r="AF69" i="13"/>
  <c r="AI71" i="13"/>
  <c r="K82" i="13"/>
  <c r="AF83" i="13"/>
  <c r="Z85" i="13"/>
  <c r="P86" i="13"/>
  <c r="N97" i="13"/>
  <c r="AI97" i="13"/>
  <c r="O99" i="13"/>
  <c r="N102" i="13"/>
  <c r="G103" i="13"/>
  <c r="O103" i="13"/>
  <c r="U103" i="13"/>
  <c r="AB103" i="13"/>
  <c r="F116" i="13"/>
  <c r="J116" i="13"/>
  <c r="N116" i="13"/>
  <c r="R116" i="13"/>
  <c r="V116" i="13"/>
  <c r="Z116" i="13"/>
  <c r="AD116" i="13"/>
  <c r="AH116" i="13"/>
  <c r="X117" i="13"/>
  <c r="H118" i="13"/>
  <c r="S118" i="13"/>
  <c r="AD118" i="13"/>
  <c r="Y119" i="13"/>
  <c r="Z121" i="13"/>
  <c r="AI122" i="13"/>
  <c r="J132" i="13"/>
  <c r="P132" i="13"/>
  <c r="X132" i="13"/>
  <c r="AE132" i="13"/>
  <c r="G133" i="13"/>
  <c r="Y133" i="13"/>
  <c r="G134" i="13"/>
  <c r="N134" i="13"/>
  <c r="T134" i="13"/>
  <c r="AB134" i="13"/>
  <c r="AI134" i="13"/>
  <c r="W135" i="13"/>
  <c r="E136" i="13"/>
  <c r="I136" i="13"/>
  <c r="M136" i="13"/>
  <c r="Q136" i="13"/>
  <c r="U136" i="13"/>
  <c r="Y136" i="13"/>
  <c r="AC136" i="13"/>
  <c r="AG136" i="13"/>
  <c r="E137" i="13"/>
  <c r="K137" i="13"/>
  <c r="P137" i="13"/>
  <c r="U137" i="13"/>
  <c r="AA137" i="13"/>
  <c r="AE137" i="13"/>
  <c r="AI137" i="13"/>
  <c r="Z139" i="13"/>
  <c r="AB141" i="13"/>
  <c r="F152" i="13"/>
  <c r="J152" i="13"/>
  <c r="N152" i="13"/>
  <c r="R152" i="13"/>
  <c r="V152" i="13"/>
  <c r="Z152" i="13"/>
  <c r="AD152" i="13"/>
  <c r="AH152" i="13"/>
  <c r="G153" i="13"/>
  <c r="L153" i="13"/>
  <c r="Q153" i="13"/>
  <c r="W153" i="13"/>
  <c r="AB153" i="13"/>
  <c r="AG153" i="13"/>
  <c r="S154" i="13"/>
  <c r="AE15" i="14"/>
  <c r="AC83" i="14"/>
  <c r="L115" i="14"/>
  <c r="AE139" i="14"/>
  <c r="I157" i="14"/>
  <c r="Q158" i="14"/>
  <c r="F172" i="14"/>
  <c r="Y174" i="14"/>
  <c r="AI189" i="14"/>
  <c r="T194" i="14"/>
  <c r="L195" i="14"/>
  <c r="V206" i="14"/>
  <c r="O208" i="14"/>
  <c r="Q211" i="14"/>
  <c r="K212" i="14"/>
  <c r="K213" i="14"/>
  <c r="L14" i="13"/>
  <c r="AB14" i="13"/>
  <c r="M15" i="13"/>
  <c r="AC15" i="13"/>
  <c r="M25" i="13"/>
  <c r="U25" i="13"/>
  <c r="Z25" i="13"/>
  <c r="AE25" i="13"/>
  <c r="F26" i="13"/>
  <c r="K26" i="13"/>
  <c r="P26" i="13"/>
  <c r="V26" i="13"/>
  <c r="AA26" i="13"/>
  <c r="AF26" i="13"/>
  <c r="N39" i="13"/>
  <c r="W39" i="13"/>
  <c r="AH39" i="13"/>
  <c r="I40" i="13"/>
  <c r="O40" i="13"/>
  <c r="V40" i="13"/>
  <c r="AC40" i="13"/>
  <c r="AH40" i="13"/>
  <c r="O41" i="13"/>
  <c r="AA42" i="13"/>
  <c r="E44" i="13"/>
  <c r="U44" i="13"/>
  <c r="AI44" i="13"/>
  <c r="J47" i="13"/>
  <c r="AI47" i="13"/>
  <c r="M48" i="13"/>
  <c r="AH48" i="13"/>
  <c r="I49" i="13"/>
  <c r="P49" i="13"/>
  <c r="X49" i="13"/>
  <c r="AD49" i="13"/>
  <c r="G50" i="13"/>
  <c r="K60" i="13"/>
  <c r="AE60" i="13"/>
  <c r="O61" i="13"/>
  <c r="N64" i="13"/>
  <c r="Y64" i="13"/>
  <c r="AI64" i="13"/>
  <c r="Y68" i="13"/>
  <c r="K69" i="13"/>
  <c r="Y69" i="13"/>
  <c r="Q82" i="13"/>
  <c r="G83" i="13"/>
  <c r="AI85" i="13"/>
  <c r="T86" i="13"/>
  <c r="X96" i="13"/>
  <c r="S97" i="13"/>
  <c r="T99" i="13"/>
  <c r="AC100" i="13"/>
  <c r="Y102" i="13"/>
  <c r="I103" i="13"/>
  <c r="P103" i="13"/>
  <c r="W103" i="13"/>
  <c r="AE103" i="13"/>
  <c r="X113" i="13"/>
  <c r="S115" i="13"/>
  <c r="G116" i="13"/>
  <c r="K116" i="13"/>
  <c r="O116" i="13"/>
  <c r="S116" i="13"/>
  <c r="W116" i="13"/>
  <c r="AA116" i="13"/>
  <c r="AE116" i="13"/>
  <c r="AI116" i="13"/>
  <c r="AI117" i="13"/>
  <c r="K118" i="13"/>
  <c r="V118" i="13"/>
  <c r="AF118" i="13"/>
  <c r="AF121" i="13"/>
  <c r="K132" i="13"/>
  <c r="S132" i="13"/>
  <c r="Z132" i="13"/>
  <c r="AF132" i="13"/>
  <c r="M133" i="13"/>
  <c r="AG133" i="13"/>
  <c r="H134" i="13"/>
  <c r="O134" i="13"/>
  <c r="W134" i="13"/>
  <c r="AD134" i="13"/>
  <c r="Y135" i="13"/>
  <c r="F136" i="13"/>
  <c r="J136" i="13"/>
  <c r="N136" i="13"/>
  <c r="R136" i="13"/>
  <c r="V136" i="13"/>
  <c r="Z136" i="13"/>
  <c r="AD136" i="13"/>
  <c r="AH136" i="13"/>
  <c r="G137" i="13"/>
  <c r="L137" i="13"/>
  <c r="Q137" i="13"/>
  <c r="W137" i="13"/>
  <c r="AB137" i="13"/>
  <c r="AF137" i="13"/>
  <c r="H141" i="13"/>
  <c r="G152" i="13"/>
  <c r="K152" i="13"/>
  <c r="O152" i="13"/>
  <c r="S152" i="13"/>
  <c r="W152" i="13"/>
  <c r="AA152" i="13"/>
  <c r="AE152" i="13"/>
  <c r="AI152" i="13"/>
  <c r="H153" i="13"/>
  <c r="M153" i="13"/>
  <c r="S153" i="13"/>
  <c r="X153" i="13"/>
  <c r="AC153" i="13"/>
  <c r="AI153" i="13"/>
  <c r="AA154" i="13"/>
  <c r="K155" i="13"/>
  <c r="L156" i="13"/>
  <c r="S156" i="13"/>
  <c r="Y156" i="13"/>
  <c r="AG156" i="13"/>
  <c r="E169" i="13"/>
  <c r="P169" i="13"/>
  <c r="Z169" i="13"/>
  <c r="E170" i="13"/>
  <c r="T170" i="13"/>
  <c r="AG170" i="13"/>
  <c r="T173" i="13"/>
  <c r="L174" i="13"/>
  <c r="F176" i="13"/>
  <c r="O176" i="13"/>
  <c r="AA176" i="13"/>
  <c r="Y177" i="13"/>
  <c r="E187" i="13"/>
  <c r="L187" i="13"/>
  <c r="T187" i="13"/>
  <c r="AA187" i="13"/>
  <c r="AG187" i="13"/>
  <c r="J188" i="13"/>
  <c r="P188" i="13"/>
  <c r="W188" i="13"/>
  <c r="AE188" i="13"/>
  <c r="E189" i="13"/>
  <c r="K189" i="13"/>
  <c r="S189" i="13"/>
  <c r="Z189" i="13"/>
  <c r="L213" i="13"/>
  <c r="AF211" i="13"/>
  <c r="G210" i="13"/>
  <c r="AB209" i="13"/>
  <c r="S209" i="13"/>
  <c r="K209" i="13"/>
  <c r="AG208" i="13"/>
  <c r="Q208" i="13"/>
  <c r="AF207" i="13"/>
  <c r="AG206" i="13"/>
  <c r="W206" i="13"/>
  <c r="M206" i="13"/>
  <c r="N196" i="13"/>
  <c r="AF195" i="13"/>
  <c r="Y195" i="13"/>
  <c r="S195" i="13"/>
  <c r="K195" i="13"/>
  <c r="AE194" i="13"/>
  <c r="Y194" i="13"/>
  <c r="T194" i="13"/>
  <c r="O194" i="13"/>
  <c r="I194" i="13"/>
  <c r="AF192" i="13"/>
  <c r="G192" i="13"/>
  <c r="O191" i="13"/>
  <c r="Z190" i="13"/>
  <c r="N190" i="13"/>
  <c r="AI189" i="13"/>
  <c r="AA189" i="13"/>
  <c r="Q189" i="13"/>
  <c r="I189" i="13"/>
  <c r="AF188" i="13"/>
  <c r="V188" i="13"/>
  <c r="L188" i="13"/>
  <c r="H188" i="13"/>
  <c r="Y187" i="13"/>
  <c r="P187" i="13"/>
  <c r="G187" i="13"/>
  <c r="U177" i="13"/>
  <c r="AI176" i="13"/>
  <c r="V176" i="13"/>
  <c r="G176" i="13"/>
  <c r="J173" i="13"/>
  <c r="S171" i="13"/>
  <c r="Y170" i="13"/>
  <c r="U169" i="13"/>
  <c r="I169" i="13"/>
  <c r="AE156" i="13"/>
  <c r="W156" i="13"/>
  <c r="M156" i="13"/>
  <c r="F155" i="13"/>
  <c r="L154" i="13"/>
  <c r="Y153" i="13"/>
  <c r="O153" i="13"/>
  <c r="F153" i="13"/>
  <c r="AB152" i="13"/>
  <c r="T152" i="13"/>
  <c r="L152" i="13"/>
  <c r="S140" i="13"/>
  <c r="AG137" i="13"/>
  <c r="M137" i="13"/>
  <c r="AE136" i="13"/>
  <c r="O136" i="13"/>
  <c r="AH135" i="13"/>
  <c r="X134" i="13"/>
  <c r="AI133" i="13"/>
  <c r="AA132" i="13"/>
  <c r="X116" i="13"/>
  <c r="H116" i="13"/>
  <c r="K103" i="13"/>
  <c r="X97" i="13"/>
  <c r="Z69" i="13"/>
  <c r="G68" i="13"/>
  <c r="I65" i="13"/>
  <c r="T61" i="13"/>
  <c r="Y49" i="13"/>
  <c r="S48" i="13"/>
  <c r="Q40" i="13"/>
  <c r="O39" i="13"/>
  <c r="AH26" i="13"/>
  <c r="L26" i="13"/>
  <c r="V25" i="13"/>
  <c r="AF14" i="13"/>
  <c r="U212" i="14"/>
  <c r="AI210" i="14"/>
  <c r="P177" i="14"/>
  <c r="AB115" i="14"/>
  <c r="AG26" i="14"/>
  <c r="AE195" i="13"/>
  <c r="X195" i="13"/>
  <c r="P195" i="13"/>
  <c r="I195" i="13"/>
  <c r="AI194" i="13"/>
  <c r="AC194" i="13"/>
  <c r="X194" i="13"/>
  <c r="S194" i="13"/>
  <c r="M194" i="13"/>
  <c r="H194" i="13"/>
  <c r="Z193" i="13"/>
  <c r="Z192" i="13"/>
  <c r="AG191" i="13"/>
  <c r="E191" i="13"/>
  <c r="Y190" i="13"/>
  <c r="J190" i="13"/>
  <c r="AG189" i="13"/>
  <c r="Y189" i="13"/>
  <c r="O189" i="13"/>
  <c r="F189" i="13"/>
  <c r="AB188" i="13"/>
  <c r="T188" i="13"/>
  <c r="K188" i="13"/>
  <c r="AF187" i="13"/>
  <c r="W187" i="13"/>
  <c r="O187" i="13"/>
  <c r="H187" i="13"/>
  <c r="O177" i="13"/>
  <c r="AE176" i="13"/>
  <c r="S176" i="13"/>
  <c r="J176" i="13"/>
  <c r="AE173" i="13"/>
  <c r="H171" i="13"/>
  <c r="Q170" i="13"/>
  <c r="AF169" i="13"/>
  <c r="T169" i="13"/>
  <c r="X157" i="13"/>
  <c r="AC156" i="13"/>
  <c r="T156" i="13"/>
  <c r="I156" i="13"/>
  <c r="AI155" i="13"/>
  <c r="S155" i="13"/>
  <c r="AF153" i="13"/>
  <c r="U153" i="13"/>
  <c r="K153" i="13"/>
  <c r="AG152" i="13"/>
  <c r="Y152" i="13"/>
  <c r="Q152" i="13"/>
  <c r="I152" i="13"/>
  <c r="AC137" i="13"/>
  <c r="H137" i="13"/>
  <c r="AA136" i="13"/>
  <c r="K136" i="13"/>
  <c r="F135" i="13"/>
  <c r="R134" i="13"/>
  <c r="Q133" i="13"/>
  <c r="T132" i="13"/>
  <c r="S122" i="13"/>
  <c r="AI118" i="13"/>
  <c r="T116" i="13"/>
  <c r="AF103" i="13"/>
  <c r="F103" i="13"/>
  <c r="Y99" i="13"/>
  <c r="X82" i="13"/>
  <c r="N69" i="13"/>
  <c r="Z64" i="13"/>
  <c r="AI50" i="13"/>
  <c r="R49" i="13"/>
  <c r="T45" i="13"/>
  <c r="AI40" i="13"/>
  <c r="J40" i="13"/>
  <c r="H39" i="13"/>
  <c r="AB26" i="13"/>
  <c r="G26" i="13"/>
  <c r="N25" i="13"/>
  <c r="P14" i="13"/>
  <c r="S195" i="14"/>
  <c r="AF170" i="14"/>
  <c r="AI155" i="14"/>
  <c r="R192" i="13"/>
  <c r="Y191" i="13"/>
  <c r="L191" i="13"/>
  <c r="U190" i="13"/>
  <c r="E190" i="13"/>
  <c r="AE189" i="13"/>
  <c r="V189" i="13"/>
  <c r="N189" i="13"/>
  <c r="G189" i="13"/>
  <c r="AA188" i="13"/>
  <c r="R188" i="13"/>
  <c r="G188" i="13"/>
  <c r="AE187" i="13"/>
  <c r="U187" i="13"/>
  <c r="K187" i="13"/>
  <c r="AG177" i="13"/>
  <c r="J177" i="13"/>
  <c r="AD176" i="13"/>
  <c r="N176" i="13"/>
  <c r="AA175" i="13"/>
  <c r="Z173" i="13"/>
  <c r="AF170" i="13"/>
  <c r="L170" i="13"/>
  <c r="AD169" i="13"/>
  <c r="N169" i="13"/>
  <c r="AB156" i="13"/>
  <c r="Q156" i="13"/>
  <c r="H156" i="13"/>
  <c r="AA155" i="13"/>
  <c r="AI154" i="13"/>
  <c r="AE153" i="13"/>
  <c r="T153" i="13"/>
  <c r="I153" i="13"/>
  <c r="AF152" i="13"/>
  <c r="X152" i="13"/>
  <c r="P152" i="13"/>
  <c r="H152" i="13"/>
  <c r="P141" i="13"/>
  <c r="X137" i="13"/>
  <c r="W136" i="13"/>
  <c r="G136" i="13"/>
  <c r="J134" i="13"/>
  <c r="N132" i="13"/>
  <c r="S121" i="13"/>
  <c r="X118" i="13"/>
  <c r="AF116" i="13"/>
  <c r="P116" i="13"/>
  <c r="Y103" i="13"/>
  <c r="Q70" i="13"/>
  <c r="O64" i="13"/>
  <c r="O62" i="13"/>
  <c r="AG60" i="13"/>
  <c r="J49" i="13"/>
  <c r="K47" i="13"/>
  <c r="Y44" i="13"/>
  <c r="AD40" i="13"/>
  <c r="H40" i="13"/>
  <c r="W26" i="13"/>
  <c r="AG25" i="13"/>
  <c r="AG15" i="13"/>
  <c r="V213" i="14"/>
  <c r="Y211" i="14"/>
  <c r="AD206" i="14"/>
  <c r="AA172" i="14"/>
  <c r="T157" i="14"/>
  <c r="K158" i="13"/>
  <c r="Z151" i="13"/>
  <c r="M135" i="13"/>
  <c r="O120" i="13"/>
  <c r="I72" i="13"/>
  <c r="AC70" i="13"/>
  <c r="I68" i="13"/>
  <c r="H64" i="13"/>
  <c r="F210" i="14"/>
  <c r="J193" i="14"/>
  <c r="S141" i="13"/>
  <c r="J83" i="13"/>
  <c r="N67" i="13"/>
  <c r="W50" i="13"/>
  <c r="H47" i="13"/>
  <c r="H44" i="13"/>
  <c r="L42" i="13"/>
  <c r="F208" i="14"/>
  <c r="I133" i="13"/>
  <c r="S102" i="13"/>
  <c r="E82" i="13"/>
  <c r="N71" i="13"/>
  <c r="G69" i="13"/>
  <c r="R63" i="13"/>
  <c r="F60" i="13"/>
  <c r="G209" i="14"/>
  <c r="H207" i="14"/>
  <c r="K191" i="14"/>
  <c r="F187" i="14"/>
  <c r="H122" i="14"/>
  <c r="H189" i="14"/>
  <c r="T174" i="14"/>
  <c r="H151" i="14"/>
  <c r="E136" i="14"/>
  <c r="H97" i="14"/>
  <c r="H48" i="13"/>
  <c r="K43" i="13"/>
  <c r="E41" i="13"/>
  <c r="S38" i="13"/>
  <c r="AA196" i="14"/>
  <c r="O192" i="14"/>
  <c r="E177" i="14"/>
  <c r="H176" i="14"/>
  <c r="T173" i="14"/>
  <c r="E169" i="14"/>
  <c r="S120" i="14"/>
  <c r="E116" i="14"/>
  <c r="G213" i="14"/>
  <c r="G212" i="14"/>
  <c r="F211" i="14"/>
  <c r="G171" i="14"/>
  <c r="R156" i="14"/>
  <c r="T140" i="14"/>
  <c r="AF141" i="14"/>
  <c r="J134" i="14"/>
  <c r="AA121" i="14"/>
  <c r="H118" i="14"/>
  <c r="H101" i="14"/>
  <c r="H47" i="14"/>
  <c r="I45" i="14"/>
  <c r="J117" i="15"/>
  <c r="E170" i="14"/>
  <c r="X138" i="14"/>
  <c r="AF133" i="14"/>
  <c r="U85" i="14"/>
  <c r="J82" i="14"/>
  <c r="G188" i="14"/>
  <c r="S175" i="14"/>
  <c r="H172" i="14"/>
  <c r="G153" i="14"/>
  <c r="AB132" i="14"/>
  <c r="G119" i="14"/>
  <c r="K103" i="14"/>
  <c r="G44" i="14"/>
  <c r="O140" i="15"/>
  <c r="J63" i="14"/>
  <c r="T50" i="14"/>
  <c r="H48" i="14"/>
  <c r="H43" i="14"/>
  <c r="S38" i="14"/>
  <c r="E37" i="14"/>
  <c r="O100" i="15"/>
  <c r="AF207" i="15"/>
  <c r="I84" i="14"/>
  <c r="F83" i="14"/>
  <c r="E72" i="14"/>
  <c r="K66" i="14"/>
  <c r="L62" i="14"/>
  <c r="E46" i="14"/>
  <c r="K42" i="14"/>
  <c r="K213" i="15"/>
  <c r="G207" i="15"/>
  <c r="E67" i="14"/>
  <c r="E65" i="14"/>
  <c r="E64" i="14"/>
  <c r="I49" i="14"/>
  <c r="O41" i="14"/>
  <c r="H40" i="14"/>
  <c r="H39" i="14"/>
  <c r="R14" i="14"/>
  <c r="G14" i="14"/>
  <c r="J193" i="13"/>
  <c r="S193" i="13"/>
  <c r="AA193" i="13"/>
  <c r="V210" i="13"/>
  <c r="G213" i="13"/>
  <c r="T213" i="13"/>
  <c r="P212" i="13"/>
  <c r="K196" i="13"/>
  <c r="Z196" i="13"/>
  <c r="U193" i="13"/>
  <c r="F193" i="13"/>
  <c r="G177" i="13"/>
  <c r="F177" i="13"/>
  <c r="M177" i="13"/>
  <c r="R177" i="13"/>
  <c r="W177" i="13"/>
  <c r="AA177" i="13"/>
  <c r="AE177" i="13"/>
  <c r="AI177" i="13"/>
  <c r="I177" i="13"/>
  <c r="N177" i="13"/>
  <c r="S177" i="13"/>
  <c r="X177" i="13"/>
  <c r="AB177" i="13"/>
  <c r="AF177" i="13"/>
  <c r="H157" i="13"/>
  <c r="O157" i="13"/>
  <c r="AF157" i="13"/>
  <c r="U157" i="13"/>
  <c r="G140" i="13"/>
  <c r="M140" i="13"/>
  <c r="T140" i="13"/>
  <c r="AB140" i="13"/>
  <c r="AI140" i="13"/>
  <c r="H140" i="13"/>
  <c r="O140" i="13"/>
  <c r="W140" i="13"/>
  <c r="AC140" i="13"/>
  <c r="F139" i="13"/>
  <c r="K139" i="13"/>
  <c r="P139" i="13"/>
  <c r="V139" i="13"/>
  <c r="AA139" i="13"/>
  <c r="AF139" i="13"/>
  <c r="G139" i="13"/>
  <c r="L139" i="13"/>
  <c r="R139" i="13"/>
  <c r="W139" i="13"/>
  <c r="AB139" i="13"/>
  <c r="AH139" i="13"/>
  <c r="AA120" i="13"/>
  <c r="AD210" i="13"/>
  <c r="K210" i="13"/>
  <c r="Z207" i="13"/>
  <c r="N207" i="13"/>
  <c r="E211" i="13"/>
  <c r="L211" i="13"/>
  <c r="AB211" i="13"/>
  <c r="AC210" i="13"/>
  <c r="R210" i="13"/>
  <c r="I210" i="13"/>
  <c r="Y207" i="13"/>
  <c r="J207" i="13"/>
  <c r="AG193" i="13"/>
  <c r="AF212" i="13"/>
  <c r="T211" i="13"/>
  <c r="AI210" i="13"/>
  <c r="Y210" i="13"/>
  <c r="Q210" i="13"/>
  <c r="G208" i="13"/>
  <c r="K208" i="13"/>
  <c r="X208" i="13"/>
  <c r="U207" i="13"/>
  <c r="AI196" i="13"/>
  <c r="S196" i="13"/>
  <c r="AE193" i="13"/>
  <c r="Q193" i="13"/>
  <c r="E193" i="13"/>
  <c r="AF191" i="13"/>
  <c r="AD190" i="13"/>
  <c r="T190" i="13"/>
  <c r="AD177" i="13"/>
  <c r="V177" i="13"/>
  <c r="K177" i="13"/>
  <c r="S174" i="13"/>
  <c r="Y174" i="13"/>
  <c r="AG174" i="13"/>
  <c r="G170" i="13"/>
  <c r="O170" i="13"/>
  <c r="U170" i="13"/>
  <c r="AB170" i="13"/>
  <c r="I170" i="13"/>
  <c r="P170" i="13"/>
  <c r="W170" i="13"/>
  <c r="AE170" i="13"/>
  <c r="F169" i="13"/>
  <c r="L169" i="13"/>
  <c r="Q169" i="13"/>
  <c r="V169" i="13"/>
  <c r="AB169" i="13"/>
  <c r="AG169" i="13"/>
  <c r="H169" i="13"/>
  <c r="M169" i="13"/>
  <c r="R169" i="13"/>
  <c r="X169" i="13"/>
  <c r="AC169" i="13"/>
  <c r="AH169" i="13"/>
  <c r="AE157" i="13"/>
  <c r="AE140" i="13"/>
  <c r="Q140" i="13"/>
  <c r="AI139" i="13"/>
  <c r="X139" i="13"/>
  <c r="N139" i="13"/>
  <c r="AG135" i="13"/>
  <c r="H114" i="13"/>
  <c r="AD114" i="13"/>
  <c r="N114" i="13"/>
  <c r="AI114" i="13"/>
  <c r="S114" i="13"/>
  <c r="F99" i="13"/>
  <c r="E99" i="13"/>
  <c r="K99" i="13"/>
  <c r="P99" i="13"/>
  <c r="U99" i="13"/>
  <c r="AA99" i="13"/>
  <c r="AF99" i="13"/>
  <c r="G99" i="13"/>
  <c r="L99" i="13"/>
  <c r="Q99" i="13"/>
  <c r="W99" i="13"/>
  <c r="AB99" i="13"/>
  <c r="AG99" i="13"/>
  <c r="H99" i="13"/>
  <c r="M99" i="13"/>
  <c r="S99" i="13"/>
  <c r="X99" i="13"/>
  <c r="AC99" i="13"/>
  <c r="AI99" i="13"/>
  <c r="F85" i="13"/>
  <c r="G85" i="13"/>
  <c r="R85" i="13"/>
  <c r="AA85" i="13"/>
  <c r="J85" i="13"/>
  <c r="S85" i="13"/>
  <c r="AE85" i="13"/>
  <c r="K85" i="13"/>
  <c r="W85" i="13"/>
  <c r="AH85" i="13"/>
  <c r="H207" i="13"/>
  <c r="I207" i="13"/>
  <c r="T207" i="13"/>
  <c r="AD207" i="13"/>
  <c r="K168" i="13"/>
  <c r="Z168" i="13"/>
  <c r="AA168" i="13"/>
  <c r="Y140" i="13"/>
  <c r="L140" i="13"/>
  <c r="AE139" i="13"/>
  <c r="T139" i="13"/>
  <c r="J139" i="13"/>
  <c r="G120" i="13"/>
  <c r="S120" i="13"/>
  <c r="AC120" i="13"/>
  <c r="K120" i="13"/>
  <c r="U120" i="13"/>
  <c r="AE120" i="13"/>
  <c r="M120" i="13"/>
  <c r="W120" i="13"/>
  <c r="AI120" i="13"/>
  <c r="S98" i="13"/>
  <c r="N98" i="13"/>
  <c r="Y98" i="13"/>
  <c r="AI98" i="13"/>
  <c r="I84" i="13"/>
  <c r="M84" i="13"/>
  <c r="U84" i="13"/>
  <c r="AC84" i="13"/>
  <c r="E212" i="13"/>
  <c r="L212" i="13"/>
  <c r="AB212" i="13"/>
  <c r="F210" i="13"/>
  <c r="M210" i="13"/>
  <c r="S210" i="13"/>
  <c r="AA210" i="13"/>
  <c r="AH210" i="13"/>
  <c r="T212" i="13"/>
  <c r="AI193" i="13"/>
  <c r="Y193" i="13"/>
  <c r="K193" i="13"/>
  <c r="G191" i="13"/>
  <c r="Q191" i="13"/>
  <c r="AA191" i="13"/>
  <c r="T191" i="13"/>
  <c r="K191" i="13"/>
  <c r="AB191" i="13"/>
  <c r="G190" i="13"/>
  <c r="F190" i="13"/>
  <c r="L190" i="13"/>
  <c r="Q190" i="13"/>
  <c r="V190" i="13"/>
  <c r="AB190" i="13"/>
  <c r="AG190" i="13"/>
  <c r="M190" i="13"/>
  <c r="X190" i="13"/>
  <c r="AH190" i="13"/>
  <c r="H190" i="13"/>
  <c r="R190" i="13"/>
  <c r="AC190" i="13"/>
  <c r="AH177" i="13"/>
  <c r="Z177" i="13"/>
  <c r="Q177" i="13"/>
  <c r="E177" i="13"/>
  <c r="S175" i="13"/>
  <c r="AI175" i="13"/>
  <c r="K157" i="13"/>
  <c r="X140" i="13"/>
  <c r="I140" i="13"/>
  <c r="AD139" i="13"/>
  <c r="S139" i="13"/>
  <c r="H139" i="13"/>
  <c r="I135" i="13"/>
  <c r="R135" i="13"/>
  <c r="AA135" i="13"/>
  <c r="K135" i="13"/>
  <c r="S135" i="13"/>
  <c r="AD135" i="13"/>
  <c r="F121" i="13"/>
  <c r="N121" i="13"/>
  <c r="T121" i="13"/>
  <c r="AA121" i="13"/>
  <c r="AI121" i="13"/>
  <c r="H121" i="13"/>
  <c r="O121" i="13"/>
  <c r="V121" i="13"/>
  <c r="AD121" i="13"/>
  <c r="J121" i="13"/>
  <c r="P121" i="13"/>
  <c r="X121" i="13"/>
  <c r="AE121" i="13"/>
  <c r="M100" i="13"/>
  <c r="H100" i="13"/>
  <c r="S100" i="13"/>
  <c r="X100" i="13"/>
  <c r="AC82" i="13"/>
  <c r="W82" i="13"/>
  <c r="P82" i="13"/>
  <c r="H82" i="13"/>
  <c r="AI72" i="13"/>
  <c r="R72" i="13"/>
  <c r="S42" i="13"/>
  <c r="AI41" i="13"/>
  <c r="AD41" i="13"/>
  <c r="X41" i="13"/>
  <c r="S41" i="13"/>
  <c r="N41" i="13"/>
  <c r="H41" i="13"/>
  <c r="Z193" i="14"/>
  <c r="AE188" i="14"/>
  <c r="AI187" i="14"/>
  <c r="AC187" i="14"/>
  <c r="X187" i="14"/>
  <c r="S187" i="14"/>
  <c r="M187" i="14"/>
  <c r="H187" i="14"/>
  <c r="AI177" i="14"/>
  <c r="AE177" i="14"/>
  <c r="AA177" i="14"/>
  <c r="W177" i="14"/>
  <c r="S177" i="14"/>
  <c r="O177" i="14"/>
  <c r="K177" i="14"/>
  <c r="G177" i="14"/>
  <c r="AE170" i="14"/>
  <c r="W170" i="14"/>
  <c r="P170" i="14"/>
  <c r="I170" i="14"/>
  <c r="AH169" i="14"/>
  <c r="AC169" i="14"/>
  <c r="X169" i="14"/>
  <c r="R169" i="14"/>
  <c r="M169" i="14"/>
  <c r="H169" i="14"/>
  <c r="G168" i="14"/>
  <c r="O168" i="14"/>
  <c r="AI168" i="14"/>
  <c r="J155" i="14"/>
  <c r="H155" i="14"/>
  <c r="S155" i="14"/>
  <c r="AD155" i="14"/>
  <c r="AD153" i="14"/>
  <c r="T153" i="14"/>
  <c r="L153" i="14"/>
  <c r="K135" i="14"/>
  <c r="Q135" i="14"/>
  <c r="R135" i="14"/>
  <c r="AF120" i="14"/>
  <c r="AI119" i="14"/>
  <c r="AA119" i="14"/>
  <c r="S119" i="14"/>
  <c r="K119" i="14"/>
  <c r="O113" i="14"/>
  <c r="AE113" i="14"/>
  <c r="AI113" i="14"/>
  <c r="H102" i="14"/>
  <c r="P102" i="14"/>
  <c r="T102" i="14"/>
  <c r="J71" i="14"/>
  <c r="Q71" i="14"/>
  <c r="AE71" i="14"/>
  <c r="AE133" i="13"/>
  <c r="T133" i="13"/>
  <c r="L133" i="13"/>
  <c r="AB83" i="13"/>
  <c r="O83" i="13"/>
  <c r="AI82" i="13"/>
  <c r="AB82" i="13"/>
  <c r="U82" i="13"/>
  <c r="M82" i="13"/>
  <c r="G82" i="13"/>
  <c r="AD72" i="13"/>
  <c r="N72" i="13"/>
  <c r="AH69" i="13"/>
  <c r="AC69" i="13"/>
  <c r="X69" i="13"/>
  <c r="P69" i="13"/>
  <c r="J69" i="13"/>
  <c r="Y65" i="13"/>
  <c r="AH64" i="13"/>
  <c r="AC64" i="13"/>
  <c r="W64" i="13"/>
  <c r="R64" i="13"/>
  <c r="M64" i="13"/>
  <c r="G64" i="13"/>
  <c r="AD60" i="13"/>
  <c r="S60" i="13"/>
  <c r="J60" i="13"/>
  <c r="AD48" i="13"/>
  <c r="W48" i="13"/>
  <c r="Q48" i="13"/>
  <c r="I48" i="13"/>
  <c r="AH44" i="13"/>
  <c r="AC44" i="13"/>
  <c r="W44" i="13"/>
  <c r="R44" i="13"/>
  <c r="M44" i="13"/>
  <c r="G44" i="13"/>
  <c r="AI43" i="13"/>
  <c r="AI42" i="13"/>
  <c r="P42" i="13"/>
  <c r="AH41" i="13"/>
  <c r="AB41" i="13"/>
  <c r="W41" i="13"/>
  <c r="R41" i="13"/>
  <c r="L41" i="13"/>
  <c r="G41" i="13"/>
  <c r="AI213" i="14"/>
  <c r="AD213" i="14"/>
  <c r="X213" i="14"/>
  <c r="S213" i="14"/>
  <c r="N213" i="14"/>
  <c r="H213" i="14"/>
  <c r="AI212" i="14"/>
  <c r="AC212" i="14"/>
  <c r="X212" i="14"/>
  <c r="S212" i="14"/>
  <c r="M212" i="14"/>
  <c r="H212" i="14"/>
  <c r="AI211" i="14"/>
  <c r="AE211" i="14"/>
  <c r="AA211" i="14"/>
  <c r="W211" i="14"/>
  <c r="S211" i="14"/>
  <c r="O211" i="14"/>
  <c r="K211" i="14"/>
  <c r="G211" i="14"/>
  <c r="T207" i="14"/>
  <c r="R193" i="14"/>
  <c r="S188" i="14"/>
  <c r="AG187" i="14"/>
  <c r="AB187" i="14"/>
  <c r="W187" i="14"/>
  <c r="Q187" i="14"/>
  <c r="L187" i="14"/>
  <c r="G187" i="14"/>
  <c r="AH177" i="14"/>
  <c r="AD177" i="14"/>
  <c r="Z177" i="14"/>
  <c r="V177" i="14"/>
  <c r="R177" i="14"/>
  <c r="N177" i="14"/>
  <c r="J177" i="14"/>
  <c r="F177" i="14"/>
  <c r="AH176" i="14"/>
  <c r="R176" i="14"/>
  <c r="AI175" i="14"/>
  <c r="AH172" i="14"/>
  <c r="Z172" i="14"/>
  <c r="R172" i="14"/>
  <c r="J172" i="14"/>
  <c r="AI171" i="14"/>
  <c r="AI170" i="14"/>
  <c r="AB170" i="14"/>
  <c r="U170" i="14"/>
  <c r="O170" i="14"/>
  <c r="G170" i="14"/>
  <c r="AG169" i="14"/>
  <c r="AB169" i="14"/>
  <c r="V169" i="14"/>
  <c r="Q169" i="14"/>
  <c r="L169" i="14"/>
  <c r="F169" i="14"/>
  <c r="Z168" i="14"/>
  <c r="AB155" i="14"/>
  <c r="N155" i="14"/>
  <c r="H154" i="14"/>
  <c r="L154" i="14"/>
  <c r="AC154" i="14"/>
  <c r="AB153" i="14"/>
  <c r="S153" i="14"/>
  <c r="H153" i="14"/>
  <c r="AD151" i="14"/>
  <c r="Y140" i="14"/>
  <c r="K137" i="14"/>
  <c r="X137" i="14"/>
  <c r="AF119" i="14"/>
  <c r="X119" i="14"/>
  <c r="P119" i="14"/>
  <c r="H119" i="14"/>
  <c r="E85" i="14"/>
  <c r="H85" i="14"/>
  <c r="X85" i="14"/>
  <c r="M85" i="14"/>
  <c r="AC85" i="14"/>
  <c r="P85" i="14"/>
  <c r="AF85" i="14"/>
  <c r="S70" i="14"/>
  <c r="K70" i="14"/>
  <c r="Z70" i="14"/>
  <c r="AF70" i="14"/>
  <c r="AH189" i="13"/>
  <c r="AC189" i="13"/>
  <c r="W189" i="13"/>
  <c r="R189" i="13"/>
  <c r="M189" i="13"/>
  <c r="AI188" i="13"/>
  <c r="AD188" i="13"/>
  <c r="X188" i="13"/>
  <c r="S188" i="13"/>
  <c r="N188" i="13"/>
  <c r="AI187" i="13"/>
  <c r="AC187" i="13"/>
  <c r="X187" i="13"/>
  <c r="S187" i="13"/>
  <c r="M187" i="13"/>
  <c r="AH176" i="13"/>
  <c r="Z176" i="13"/>
  <c r="R176" i="13"/>
  <c r="AB133" i="13"/>
  <c r="S133" i="13"/>
  <c r="AI103" i="13"/>
  <c r="AC103" i="13"/>
  <c r="X103" i="13"/>
  <c r="S103" i="13"/>
  <c r="M103" i="13"/>
  <c r="H103" i="13"/>
  <c r="AI102" i="13"/>
  <c r="Z83" i="13"/>
  <c r="K83" i="13"/>
  <c r="AG82" i="13"/>
  <c r="AA82" i="13"/>
  <c r="S82" i="13"/>
  <c r="L82" i="13"/>
  <c r="AC72" i="13"/>
  <c r="G72" i="13"/>
  <c r="AG69" i="13"/>
  <c r="AB69" i="13"/>
  <c r="V69" i="13"/>
  <c r="O69" i="13"/>
  <c r="H69" i="13"/>
  <c r="N65" i="13"/>
  <c r="AG64" i="13"/>
  <c r="AA64" i="13"/>
  <c r="V64" i="13"/>
  <c r="Q64" i="13"/>
  <c r="K64" i="13"/>
  <c r="F64" i="13"/>
  <c r="Z60" i="13"/>
  <c r="Q60" i="13"/>
  <c r="I60" i="13"/>
  <c r="AI49" i="13"/>
  <c r="AE49" i="13"/>
  <c r="AA49" i="13"/>
  <c r="W49" i="13"/>
  <c r="S49" i="13"/>
  <c r="O49" i="13"/>
  <c r="K49" i="13"/>
  <c r="AI48" i="13"/>
  <c r="AC48" i="13"/>
  <c r="V48" i="13"/>
  <c r="N48" i="13"/>
  <c r="G48" i="13"/>
  <c r="AH47" i="13"/>
  <c r="R47" i="13"/>
  <c r="AG44" i="13"/>
  <c r="AA44" i="13"/>
  <c r="V44" i="13"/>
  <c r="Q44" i="13"/>
  <c r="K44" i="13"/>
  <c r="F44" i="13"/>
  <c r="AA43" i="13"/>
  <c r="AF42" i="13"/>
  <c r="K42" i="13"/>
  <c r="AF41" i="13"/>
  <c r="AA41" i="13"/>
  <c r="V41" i="13"/>
  <c r="P41" i="13"/>
  <c r="K41" i="13"/>
  <c r="F41" i="13"/>
  <c r="AH213" i="14"/>
  <c r="AB213" i="14"/>
  <c r="W213" i="14"/>
  <c r="R213" i="14"/>
  <c r="L213" i="14"/>
  <c r="AG212" i="14"/>
  <c r="AB212" i="14"/>
  <c r="W212" i="14"/>
  <c r="Q212" i="14"/>
  <c r="L212" i="14"/>
  <c r="AH211" i="14"/>
  <c r="AD211" i="14"/>
  <c r="Z211" i="14"/>
  <c r="V211" i="14"/>
  <c r="R211" i="14"/>
  <c r="N211" i="14"/>
  <c r="J211" i="14"/>
  <c r="AI207" i="14"/>
  <c r="N207" i="14"/>
  <c r="AI193" i="14"/>
  <c r="O188" i="14"/>
  <c r="AF187" i="14"/>
  <c r="AA187" i="14"/>
  <c r="U187" i="14"/>
  <c r="P187" i="14"/>
  <c r="K187" i="14"/>
  <c r="E187" i="14"/>
  <c r="AG177" i="14"/>
  <c r="AC177" i="14"/>
  <c r="Y177" i="14"/>
  <c r="U177" i="14"/>
  <c r="Q177" i="14"/>
  <c r="M177" i="14"/>
  <c r="I177" i="14"/>
  <c r="AA176" i="14"/>
  <c r="K176" i="14"/>
  <c r="AE172" i="14"/>
  <c r="W172" i="14"/>
  <c r="O172" i="14"/>
  <c r="G172" i="14"/>
  <c r="AE171" i="14"/>
  <c r="AG170" i="14"/>
  <c r="AA170" i="14"/>
  <c r="T170" i="14"/>
  <c r="L170" i="14"/>
  <c r="AF169" i="14"/>
  <c r="Z169" i="14"/>
  <c r="U169" i="14"/>
  <c r="P169" i="14"/>
  <c r="J169" i="14"/>
  <c r="W168" i="14"/>
  <c r="G156" i="14"/>
  <c r="N156" i="14"/>
  <c r="X155" i="14"/>
  <c r="L155" i="14"/>
  <c r="AI153" i="14"/>
  <c r="Z153" i="14"/>
  <c r="O153" i="14"/>
  <c r="G151" i="14"/>
  <c r="R151" i="14"/>
  <c r="N140" i="14"/>
  <c r="H114" i="14"/>
  <c r="G114" i="14"/>
  <c r="N114" i="14"/>
  <c r="V114" i="14"/>
  <c r="AC114" i="14"/>
  <c r="AI114" i="14"/>
  <c r="I114" i="14"/>
  <c r="Q114" i="14"/>
  <c r="W114" i="14"/>
  <c r="AD114" i="14"/>
  <c r="AB102" i="14"/>
  <c r="F170" i="14"/>
  <c r="H170" i="14"/>
  <c r="M170" i="14"/>
  <c r="S170" i="14"/>
  <c r="X170" i="14"/>
  <c r="AC170" i="14"/>
  <c r="G169" i="14"/>
  <c r="K169" i="14"/>
  <c r="O169" i="14"/>
  <c r="S169" i="14"/>
  <c r="W169" i="14"/>
  <c r="AA169" i="14"/>
  <c r="AE169" i="14"/>
  <c r="AI169" i="14"/>
  <c r="F153" i="14"/>
  <c r="J153" i="14"/>
  <c r="R153" i="14"/>
  <c r="X153" i="14"/>
  <c r="AE153" i="14"/>
  <c r="L120" i="14"/>
  <c r="H120" i="14"/>
  <c r="X120" i="14"/>
  <c r="K120" i="14"/>
  <c r="AA120" i="14"/>
  <c r="E119" i="14"/>
  <c r="I119" i="14"/>
  <c r="M119" i="14"/>
  <c r="Q119" i="14"/>
  <c r="U119" i="14"/>
  <c r="Y119" i="14"/>
  <c r="AC119" i="14"/>
  <c r="AG119" i="14"/>
  <c r="F119" i="14"/>
  <c r="J119" i="14"/>
  <c r="N119" i="14"/>
  <c r="R119" i="14"/>
  <c r="V119" i="14"/>
  <c r="Z119" i="14"/>
  <c r="AD119" i="14"/>
  <c r="AH119" i="14"/>
  <c r="S113" i="14"/>
  <c r="L102" i="14"/>
  <c r="G96" i="14"/>
  <c r="W96" i="14"/>
  <c r="K96" i="14"/>
  <c r="AA96" i="14"/>
  <c r="O96" i="14"/>
  <c r="AE96" i="14"/>
  <c r="E86" i="14"/>
  <c r="G86" i="14"/>
  <c r="O86" i="14"/>
  <c r="W86" i="14"/>
  <c r="AE86" i="14"/>
  <c r="H86" i="14"/>
  <c r="P86" i="14"/>
  <c r="X86" i="14"/>
  <c r="AF86" i="14"/>
  <c r="K86" i="14"/>
  <c r="S86" i="14"/>
  <c r="AA86" i="14"/>
  <c r="AI86" i="14"/>
  <c r="F68" i="14"/>
  <c r="P68" i="14"/>
  <c r="Z68" i="14"/>
  <c r="AH68" i="14"/>
  <c r="J68" i="14"/>
  <c r="T68" i="14"/>
  <c r="AC68" i="14"/>
  <c r="K68" i="14"/>
  <c r="V68" i="14"/>
  <c r="AD68" i="14"/>
  <c r="G211" i="15"/>
  <c r="F211" i="15"/>
  <c r="P211" i="15"/>
  <c r="AB211" i="15"/>
  <c r="H211" i="15"/>
  <c r="T211" i="15"/>
  <c r="AD211" i="15"/>
  <c r="O176" i="15"/>
  <c r="AE176" i="15"/>
  <c r="F176" i="15"/>
  <c r="AC176" i="15"/>
  <c r="N176" i="15"/>
  <c r="V176" i="15"/>
  <c r="H14" i="14"/>
  <c r="L14" i="14"/>
  <c r="P14" i="14"/>
  <c r="T14" i="14"/>
  <c r="X14" i="14"/>
  <c r="AB14" i="14"/>
  <c r="AF14" i="14"/>
  <c r="E15" i="14"/>
  <c r="I15" i="14"/>
  <c r="M15" i="14"/>
  <c r="E14" i="14"/>
  <c r="I14" i="14"/>
  <c r="M14" i="14"/>
  <c r="Q14" i="14"/>
  <c r="U14" i="14"/>
  <c r="Y14" i="14"/>
  <c r="AC14" i="14"/>
  <c r="AG14" i="14"/>
  <c r="F15" i="14"/>
  <c r="J15" i="14"/>
  <c r="N15" i="14"/>
  <c r="R15" i="14"/>
  <c r="V15" i="14"/>
  <c r="F14" i="15"/>
  <c r="J14" i="15"/>
  <c r="R14" i="15"/>
  <c r="V14" i="15"/>
  <c r="Z14" i="15"/>
  <c r="AD14" i="15"/>
  <c r="AH14" i="15"/>
  <c r="G15" i="15"/>
  <c r="K15" i="15"/>
  <c r="O15" i="15"/>
  <c r="S15" i="15"/>
  <c r="W15" i="15"/>
  <c r="AA15" i="15"/>
  <c r="AE15" i="15"/>
  <c r="AI15" i="15"/>
  <c r="H25" i="15"/>
  <c r="L25" i="15"/>
  <c r="P25" i="15"/>
  <c r="T25" i="15"/>
  <c r="X25" i="15"/>
  <c r="AB25" i="15"/>
  <c r="AF25" i="15"/>
  <c r="E26" i="15"/>
  <c r="I26" i="15"/>
  <c r="M26" i="15"/>
  <c r="Q26" i="15"/>
  <c r="U26" i="15"/>
  <c r="Y26" i="15"/>
  <c r="AC26" i="15"/>
  <c r="AG26" i="15"/>
  <c r="T39" i="15"/>
  <c r="O40" i="15"/>
  <c r="Z40" i="15"/>
  <c r="AI40" i="15"/>
  <c r="Y41" i="15"/>
  <c r="L46" i="15"/>
  <c r="S46" i="15"/>
  <c r="Y46" i="15"/>
  <c r="AG46" i="15"/>
  <c r="H65" i="15"/>
  <c r="L65" i="15"/>
  <c r="P65" i="15"/>
  <c r="T65" i="15"/>
  <c r="X65" i="15"/>
  <c r="AB65" i="15"/>
  <c r="AF65" i="15"/>
  <c r="Y68" i="15"/>
  <c r="L82" i="15"/>
  <c r="S82" i="15"/>
  <c r="Y82" i="15"/>
  <c r="AG82" i="15"/>
  <c r="G14" i="15"/>
  <c r="K14" i="15"/>
  <c r="O14" i="15"/>
  <c r="S14" i="15"/>
  <c r="W14" i="15"/>
  <c r="AA14" i="15"/>
  <c r="AE14" i="15"/>
  <c r="AI14" i="15"/>
  <c r="H15" i="15"/>
  <c r="L15" i="15"/>
  <c r="P15" i="15"/>
  <c r="T15" i="15"/>
  <c r="X15" i="15"/>
  <c r="AB15" i="15"/>
  <c r="AF15" i="15"/>
  <c r="E25" i="15"/>
  <c r="I25" i="15"/>
  <c r="M25" i="15"/>
  <c r="Q25" i="15"/>
  <c r="U25" i="15"/>
  <c r="Y25" i="15"/>
  <c r="AC25" i="15"/>
  <c r="AG25" i="15"/>
  <c r="F26" i="15"/>
  <c r="J26" i="15"/>
  <c r="N26" i="15"/>
  <c r="R26" i="15"/>
  <c r="V26" i="15"/>
  <c r="Z26" i="15"/>
  <c r="AD26" i="15"/>
  <c r="AH26" i="15"/>
  <c r="AA39" i="15"/>
  <c r="G40" i="15"/>
  <c r="R40" i="15"/>
  <c r="AA40" i="15"/>
  <c r="AD41" i="15"/>
  <c r="M43" i="15"/>
  <c r="G46" i="15"/>
  <c r="M46" i="15"/>
  <c r="T46" i="15"/>
  <c r="AB46" i="15"/>
  <c r="AI46" i="15"/>
  <c r="L63" i="15"/>
  <c r="Q64" i="15"/>
  <c r="E65" i="15"/>
  <c r="I65" i="15"/>
  <c r="M65" i="15"/>
  <c r="Q65" i="15"/>
  <c r="U65" i="15"/>
  <c r="Y65" i="15"/>
  <c r="AC65" i="15"/>
  <c r="AG65" i="15"/>
  <c r="S66" i="15"/>
  <c r="J68" i="15"/>
  <c r="Z68" i="15"/>
  <c r="AG70" i="15"/>
  <c r="G82" i="15"/>
  <c r="M82" i="15"/>
  <c r="H14" i="15"/>
  <c r="L14" i="15"/>
  <c r="P14" i="15"/>
  <c r="T14" i="15"/>
  <c r="X14" i="15"/>
  <c r="AB14" i="15"/>
  <c r="AF14" i="15"/>
  <c r="E15" i="15"/>
  <c r="I15" i="15"/>
  <c r="M15" i="15"/>
  <c r="Q15" i="15"/>
  <c r="U15" i="15"/>
  <c r="Y15" i="15"/>
  <c r="AC15" i="15"/>
  <c r="AG15" i="15"/>
  <c r="F25" i="15"/>
  <c r="J25" i="15"/>
  <c r="N25" i="15"/>
  <c r="R25" i="15"/>
  <c r="V25" i="15"/>
  <c r="Z25" i="15"/>
  <c r="AD25" i="15"/>
  <c r="AH25" i="15"/>
  <c r="G26" i="15"/>
  <c r="K26" i="15"/>
  <c r="O26" i="15"/>
  <c r="S26" i="15"/>
  <c r="W26" i="15"/>
  <c r="AA26" i="15"/>
  <c r="AE26" i="15"/>
  <c r="AI26" i="15"/>
  <c r="K38" i="15"/>
  <c r="P38" i="15"/>
  <c r="V38" i="15"/>
  <c r="AA38" i="15"/>
  <c r="AF38" i="15"/>
  <c r="L39" i="15"/>
  <c r="AE39" i="15"/>
  <c r="J40" i="15"/>
  <c r="S40" i="15"/>
  <c r="AE40" i="15"/>
  <c r="I41" i="15"/>
  <c r="AI41" i="15"/>
  <c r="X43" i="15"/>
  <c r="H46" i="15"/>
  <c r="O46" i="15"/>
  <c r="W46" i="15"/>
  <c r="AC46" i="15"/>
  <c r="X47" i="15"/>
  <c r="I14" i="15"/>
  <c r="Y14" i="15"/>
  <c r="J15" i="15"/>
  <c r="Z15" i="15"/>
  <c r="K25" i="15"/>
  <c r="AA25" i="15"/>
  <c r="L26" i="15"/>
  <c r="AB26" i="15"/>
  <c r="W38" i="15"/>
  <c r="O39" i="15"/>
  <c r="W40" i="15"/>
  <c r="Q46" i="15"/>
  <c r="K47" i="15"/>
  <c r="AF61" i="15"/>
  <c r="AH63" i="15"/>
  <c r="K65" i="15"/>
  <c r="S65" i="15"/>
  <c r="AA65" i="15"/>
  <c r="AI65" i="15"/>
  <c r="R69" i="15"/>
  <c r="AG69" i="15"/>
  <c r="AI70" i="15"/>
  <c r="Q82" i="15"/>
  <c r="AB82" i="15"/>
  <c r="U99" i="15"/>
  <c r="AI102" i="15"/>
  <c r="K134" i="15"/>
  <c r="Q134" i="15"/>
  <c r="Y134" i="15"/>
  <c r="AF134" i="15"/>
  <c r="AD136" i="15"/>
  <c r="Y158" i="15"/>
  <c r="W170" i="15"/>
  <c r="N171" i="15"/>
  <c r="AC171" i="15"/>
  <c r="R190" i="15"/>
  <c r="AF190" i="15"/>
  <c r="M14" i="15"/>
  <c r="AC14" i="15"/>
  <c r="N15" i="15"/>
  <c r="AD15" i="15"/>
  <c r="O25" i="15"/>
  <c r="AE25" i="15"/>
  <c r="P26" i="15"/>
  <c r="AF26" i="15"/>
  <c r="G38" i="15"/>
  <c r="AB38" i="15"/>
  <c r="AI39" i="15"/>
  <c r="AH40" i="15"/>
  <c r="Q42" i="15"/>
  <c r="X46" i="15"/>
  <c r="AA47" i="15"/>
  <c r="I61" i="15"/>
  <c r="F65" i="15"/>
  <c r="N65" i="15"/>
  <c r="V65" i="15"/>
  <c r="AD65" i="15"/>
  <c r="M68" i="15"/>
  <c r="I69" i="15"/>
  <c r="X69" i="15"/>
  <c r="M72" i="15"/>
  <c r="H82" i="15"/>
  <c r="T82" i="15"/>
  <c r="AC82" i="15"/>
  <c r="T84" i="15"/>
  <c r="AG84" i="15"/>
  <c r="L85" i="15"/>
  <c r="W85" i="15"/>
  <c r="AE85" i="15"/>
  <c r="AF97" i="15"/>
  <c r="J99" i="15"/>
  <c r="AA99" i="15"/>
  <c r="O102" i="15"/>
  <c r="K113" i="15"/>
  <c r="Q113" i="15"/>
  <c r="Y113" i="15"/>
  <c r="AF113" i="15"/>
  <c r="K117" i="15"/>
  <c r="R117" i="15"/>
  <c r="Z117" i="15"/>
  <c r="AF117" i="15"/>
  <c r="AI132" i="15"/>
  <c r="E134" i="15"/>
  <c r="L134" i="15"/>
  <c r="T134" i="15"/>
  <c r="AA134" i="15"/>
  <c r="AG134" i="15"/>
  <c r="K136" i="15"/>
  <c r="Q137" i="15"/>
  <c r="AI137" i="15"/>
  <c r="P140" i="15"/>
  <c r="AD140" i="15"/>
  <c r="N151" i="15"/>
  <c r="Z151" i="15"/>
  <c r="L153" i="15"/>
  <c r="V153" i="15"/>
  <c r="AF153" i="15"/>
  <c r="Q155" i="15"/>
  <c r="AE155" i="15"/>
  <c r="Q14" i="15"/>
  <c r="AG14" i="15"/>
  <c r="R15" i="15"/>
  <c r="AH15" i="15"/>
  <c r="S25" i="15"/>
  <c r="AI25" i="15"/>
  <c r="T26" i="15"/>
  <c r="L38" i="15"/>
  <c r="AH38" i="15"/>
  <c r="AF42" i="15"/>
  <c r="AE46" i="15"/>
  <c r="T61" i="15"/>
  <c r="Y64" i="15"/>
  <c r="G65" i="15"/>
  <c r="O65" i="15"/>
  <c r="W65" i="15"/>
  <c r="AE65" i="15"/>
  <c r="AI66" i="15"/>
  <c r="R68" i="15"/>
  <c r="L69" i="15"/>
  <c r="Y69" i="15"/>
  <c r="M70" i="15"/>
  <c r="S71" i="15"/>
  <c r="AE72" i="15"/>
  <c r="I82" i="15"/>
  <c r="W82" i="15"/>
  <c r="AE82" i="15"/>
  <c r="I84" i="15"/>
  <c r="W84" i="15"/>
  <c r="O85" i="15"/>
  <c r="X85" i="15"/>
  <c r="AH85" i="15"/>
  <c r="K99" i="15"/>
  <c r="AE99" i="15"/>
  <c r="S102" i="15"/>
  <c r="N103" i="15"/>
  <c r="E113" i="15"/>
  <c r="L113" i="15"/>
  <c r="T113" i="15"/>
  <c r="AA113" i="15"/>
  <c r="AG113" i="15"/>
  <c r="O115" i="15"/>
  <c r="F117" i="15"/>
  <c r="L117" i="15"/>
  <c r="T117" i="15"/>
  <c r="AA117" i="15"/>
  <c r="AH117" i="15"/>
  <c r="S119" i="15"/>
  <c r="W122" i="15"/>
  <c r="H132" i="15"/>
  <c r="G134" i="15"/>
  <c r="O134" i="15"/>
  <c r="U134" i="15"/>
  <c r="AB134" i="15"/>
  <c r="T136" i="15"/>
  <c r="F137" i="15"/>
  <c r="V137" i="15"/>
  <c r="O138" i="15"/>
  <c r="Y138" i="15"/>
  <c r="X139" i="15"/>
  <c r="H140" i="15"/>
  <c r="U14" i="15"/>
  <c r="W25" i="15"/>
  <c r="Y37" i="15"/>
  <c r="U61" i="15"/>
  <c r="R65" i="15"/>
  <c r="Q69" i="15"/>
  <c r="Z100" i="15"/>
  <c r="X101" i="15"/>
  <c r="O113" i="15"/>
  <c r="G117" i="15"/>
  <c r="AE134" i="15"/>
  <c r="V136" i="15"/>
  <c r="J140" i="15"/>
  <c r="Q151" i="15"/>
  <c r="O153" i="15"/>
  <c r="AH153" i="15"/>
  <c r="Y155" i="15"/>
  <c r="Y156" i="15"/>
  <c r="Z157" i="15"/>
  <c r="N158" i="15"/>
  <c r="L170" i="15"/>
  <c r="AH170" i="15"/>
  <c r="M171" i="15"/>
  <c r="AG171" i="15"/>
  <c r="M172" i="15"/>
  <c r="AG172" i="15"/>
  <c r="K173" i="15"/>
  <c r="Q173" i="15"/>
  <c r="X173" i="15"/>
  <c r="AF173" i="15"/>
  <c r="O174" i="15"/>
  <c r="Q177" i="15"/>
  <c r="AG177" i="15"/>
  <c r="O187" i="15"/>
  <c r="AB187" i="15"/>
  <c r="O188" i="15"/>
  <c r="K189" i="15"/>
  <c r="Z189" i="15"/>
  <c r="T190" i="15"/>
  <c r="L194" i="15"/>
  <c r="AB194" i="15"/>
  <c r="F15" i="15"/>
  <c r="H26" i="15"/>
  <c r="K40" i="15"/>
  <c r="I46" i="15"/>
  <c r="AI64" i="15"/>
  <c r="Z65" i="15"/>
  <c r="AD69" i="15"/>
  <c r="X71" i="15"/>
  <c r="O82" i="15"/>
  <c r="H85" i="15"/>
  <c r="Z98" i="15"/>
  <c r="J100" i="15"/>
  <c r="AE100" i="15"/>
  <c r="AF101" i="15"/>
  <c r="V103" i="15"/>
  <c r="U113" i="15"/>
  <c r="AA115" i="15"/>
  <c r="O117" i="15"/>
  <c r="V132" i="15"/>
  <c r="I134" i="15"/>
  <c r="H138" i="15"/>
  <c r="K139" i="15"/>
  <c r="S140" i="15"/>
  <c r="U151" i="15"/>
  <c r="R153" i="15"/>
  <c r="G155" i="15"/>
  <c r="AF156" i="15"/>
  <c r="AF157" i="15"/>
  <c r="R158" i="15"/>
  <c r="P170" i="15"/>
  <c r="S171" i="15"/>
  <c r="AH171" i="15"/>
  <c r="R172" i="15"/>
  <c r="L173" i="15"/>
  <c r="S173" i="15"/>
  <c r="AA173" i="15"/>
  <c r="AG173" i="15"/>
  <c r="AA174" i="15"/>
  <c r="T177" i="15"/>
  <c r="T187" i="15"/>
  <c r="AE187" i="15"/>
  <c r="AI188" i="15"/>
  <c r="N189" i="15"/>
  <c r="AD189" i="15"/>
  <c r="H190" i="15"/>
  <c r="Z190" i="15"/>
  <c r="P194" i="15"/>
  <c r="AF194" i="15"/>
  <c r="AF208" i="15"/>
  <c r="K209" i="15"/>
  <c r="T209" i="15"/>
  <c r="AD209" i="15"/>
  <c r="V15" i="15"/>
  <c r="X26" i="15"/>
  <c r="R38" i="15"/>
  <c r="AH65" i="15"/>
  <c r="AE68" i="15"/>
  <c r="X82" i="15"/>
  <c r="L84" i="15"/>
  <c r="R85" i="15"/>
  <c r="AB113" i="15"/>
  <c r="V117" i="15"/>
  <c r="I122" i="15"/>
  <c r="P134" i="15"/>
  <c r="X135" i="15"/>
  <c r="I137" i="15"/>
  <c r="S138" i="15"/>
  <c r="AE139" i="15"/>
  <c r="X140" i="15"/>
  <c r="E151" i="15"/>
  <c r="AF151" i="15"/>
  <c r="F153" i="15"/>
  <c r="Z153" i="15"/>
  <c r="I155" i="15"/>
  <c r="AC158" i="15"/>
  <c r="X170" i="15"/>
  <c r="F171" i="15"/>
  <c r="V171" i="15"/>
  <c r="Y172" i="15"/>
  <c r="S189" i="15"/>
  <c r="AH189" i="15"/>
  <c r="J190" i="15"/>
  <c r="AB190" i="15"/>
  <c r="T194" i="15"/>
  <c r="N209" i="15"/>
  <c r="V209" i="15"/>
  <c r="AF209" i="15"/>
  <c r="AD97" i="14"/>
  <c r="S97" i="14"/>
  <c r="I97" i="14"/>
  <c r="AI67" i="14"/>
  <c r="AA67" i="14"/>
  <c r="U67" i="14"/>
  <c r="N67" i="14"/>
  <c r="F67" i="14"/>
  <c r="AC65" i="14"/>
  <c r="U65" i="14"/>
  <c r="O65" i="14"/>
  <c r="H65" i="14"/>
  <c r="AH64" i="14"/>
  <c r="AD64" i="14"/>
  <c r="Z64" i="14"/>
  <c r="V64" i="14"/>
  <c r="R64" i="14"/>
  <c r="N64" i="14"/>
  <c r="J64" i="14"/>
  <c r="F64" i="14"/>
  <c r="Z63" i="14"/>
  <c r="AA62" i="14"/>
  <c r="Y49" i="14"/>
  <c r="T48" i="14"/>
  <c r="AD47" i="14"/>
  <c r="N47" i="14"/>
  <c r="AE46" i="14"/>
  <c r="O46" i="14"/>
  <c r="AD43" i="14"/>
  <c r="W43" i="14"/>
  <c r="Q43" i="14"/>
  <c r="I43" i="14"/>
  <c r="AI42" i="14"/>
  <c r="AA41" i="14"/>
  <c r="AB40" i="14"/>
  <c r="L40" i="14"/>
  <c r="AB39" i="14"/>
  <c r="L39" i="14"/>
  <c r="AB37" i="14"/>
  <c r="T37" i="14"/>
  <c r="L37" i="14"/>
  <c r="V14" i="14"/>
  <c r="N14" i="14"/>
  <c r="F14" i="14"/>
  <c r="S212" i="15"/>
  <c r="V211" i="15"/>
  <c r="AE210" i="15"/>
  <c r="Z209" i="15"/>
  <c r="F209" i="15"/>
  <c r="Y207" i="15"/>
  <c r="L207" i="15"/>
  <c r="Y206" i="15"/>
  <c r="AE206" i="15"/>
  <c r="U193" i="15"/>
  <c r="T191" i="15"/>
  <c r="I191" i="15"/>
  <c r="AG191" i="15"/>
  <c r="L191" i="15"/>
  <c r="W191" i="15"/>
  <c r="V189" i="15"/>
  <c r="W187" i="15"/>
  <c r="K177" i="15"/>
  <c r="P173" i="15"/>
  <c r="L172" i="15"/>
  <c r="AB169" i="15"/>
  <c r="J158" i="15"/>
  <c r="U156" i="15"/>
  <c r="AD154" i="15"/>
  <c r="AE122" i="15"/>
  <c r="O101" i="15"/>
  <c r="S99" i="15"/>
  <c r="AI82" i="15"/>
  <c r="N41" i="15"/>
  <c r="AG136" i="14"/>
  <c r="AC136" i="14"/>
  <c r="Y136" i="14"/>
  <c r="U136" i="14"/>
  <c r="Q136" i="14"/>
  <c r="M136" i="14"/>
  <c r="I136" i="14"/>
  <c r="AH134" i="14"/>
  <c r="AA134" i="14"/>
  <c r="S134" i="14"/>
  <c r="L134" i="14"/>
  <c r="F134" i="14"/>
  <c r="AH118" i="14"/>
  <c r="AA118" i="14"/>
  <c r="S118" i="14"/>
  <c r="M118" i="14"/>
  <c r="F118" i="14"/>
  <c r="AI103" i="14"/>
  <c r="L103" i="14"/>
  <c r="Z97" i="14"/>
  <c r="O97" i="14"/>
  <c r="E97" i="14"/>
  <c r="S82" i="14"/>
  <c r="AI72" i="14"/>
  <c r="AD72" i="14"/>
  <c r="X72" i="14"/>
  <c r="S72" i="14"/>
  <c r="N72" i="14"/>
  <c r="H72" i="14"/>
  <c r="AG67" i="14"/>
  <c r="Z67" i="14"/>
  <c r="S67" i="14"/>
  <c r="K67" i="14"/>
  <c r="AE66" i="14"/>
  <c r="T66" i="14"/>
  <c r="AI65" i="14"/>
  <c r="AA65" i="14"/>
  <c r="T65" i="14"/>
  <c r="M65" i="14"/>
  <c r="AG64" i="14"/>
  <c r="AC64" i="14"/>
  <c r="Y64" i="14"/>
  <c r="U64" i="14"/>
  <c r="Q64" i="14"/>
  <c r="M64" i="14"/>
  <c r="I64" i="14"/>
  <c r="S63" i="14"/>
  <c r="W62" i="14"/>
  <c r="AA47" i="14"/>
  <c r="K47" i="14"/>
  <c r="AB46" i="14"/>
  <c r="L46" i="14"/>
  <c r="AG45" i="14"/>
  <c r="W45" i="14"/>
  <c r="L45" i="14"/>
  <c r="AI44" i="14"/>
  <c r="AE44" i="14"/>
  <c r="AA44" i="14"/>
  <c r="W44" i="14"/>
  <c r="S44" i="14"/>
  <c r="O44" i="14"/>
  <c r="K44" i="14"/>
  <c r="AI43" i="14"/>
  <c r="AC43" i="14"/>
  <c r="V43" i="14"/>
  <c r="N43" i="14"/>
  <c r="G43" i="14"/>
  <c r="AA42" i="14"/>
  <c r="X40" i="14"/>
  <c r="X39" i="14"/>
  <c r="AI37" i="14"/>
  <c r="AA37" i="14"/>
  <c r="S37" i="14"/>
  <c r="K37" i="14"/>
  <c r="AI14" i="14"/>
  <c r="AA14" i="14"/>
  <c r="S14" i="14"/>
  <c r="K14" i="14"/>
  <c r="I212" i="15"/>
  <c r="H212" i="15"/>
  <c r="Y212" i="15"/>
  <c r="K212" i="15"/>
  <c r="AF212" i="15"/>
  <c r="N211" i="15"/>
  <c r="F210" i="15"/>
  <c r="K210" i="15"/>
  <c r="V210" i="15"/>
  <c r="S209" i="15"/>
  <c r="AG207" i="15"/>
  <c r="T207" i="15"/>
  <c r="Z196" i="15"/>
  <c r="X194" i="15"/>
  <c r="AI192" i="15"/>
  <c r="P190" i="15"/>
  <c r="J189" i="15"/>
  <c r="L187" i="15"/>
  <c r="E177" i="15"/>
  <c r="H173" i="15"/>
  <c r="AD170" i="15"/>
  <c r="G169" i="15"/>
  <c r="W169" i="15"/>
  <c r="H169" i="15"/>
  <c r="AF169" i="15"/>
  <c r="P169" i="15"/>
  <c r="AI169" i="15"/>
  <c r="Q169" i="15"/>
  <c r="H156" i="15"/>
  <c r="S154" i="15"/>
  <c r="AC138" i="15"/>
  <c r="AD133" i="15"/>
  <c r="Y84" i="15"/>
  <c r="O70" i="15"/>
  <c r="O62" i="14"/>
  <c r="V47" i="14"/>
  <c r="F47" i="14"/>
  <c r="W46" i="14"/>
  <c r="G46" i="14"/>
  <c r="AH43" i="14"/>
  <c r="AA43" i="14"/>
  <c r="S43" i="14"/>
  <c r="M43" i="14"/>
  <c r="F43" i="14"/>
  <c r="S42" i="14"/>
  <c r="AF37" i="14"/>
  <c r="X37" i="14"/>
  <c r="P37" i="14"/>
  <c r="H37" i="14"/>
  <c r="F213" i="15"/>
  <c r="AF213" i="15"/>
  <c r="AF211" i="15"/>
  <c r="L211" i="15"/>
  <c r="S207" i="15"/>
  <c r="H207" i="15"/>
  <c r="O207" i="15"/>
  <c r="W207" i="15"/>
  <c r="AC207" i="15"/>
  <c r="AI207" i="15"/>
  <c r="I207" i="15"/>
  <c r="Q207" i="15"/>
  <c r="X207" i="15"/>
  <c r="AE207" i="15"/>
  <c r="Y195" i="15"/>
  <c r="H194" i="15"/>
  <c r="O192" i="15"/>
  <c r="I187" i="15"/>
  <c r="W176" i="15"/>
  <c r="AC173" i="15"/>
  <c r="F173" i="15"/>
  <c r="Y171" i="15"/>
  <c r="K170" i="15"/>
  <c r="R168" i="15"/>
  <c r="K157" i="15"/>
  <c r="T155" i="15"/>
  <c r="AA153" i="15"/>
  <c r="AG151" i="15"/>
  <c r="AF140" i="15"/>
  <c r="M121" i="15"/>
  <c r="AC121" i="15"/>
  <c r="N121" i="15"/>
  <c r="AH121" i="15"/>
  <c r="R121" i="15"/>
  <c r="Y121" i="15"/>
  <c r="AB117" i="15"/>
  <c r="AC114" i="15"/>
  <c r="AF102" i="15"/>
  <c r="T100" i="15"/>
  <c r="AH72" i="15"/>
  <c r="S63" i="15"/>
  <c r="G25" i="15"/>
  <c r="J209" i="15"/>
  <c r="H208" i="15"/>
  <c r="G195" i="15"/>
  <c r="E194" i="15"/>
  <c r="F189" i="15"/>
  <c r="R189" i="15"/>
  <c r="AA189" i="15"/>
  <c r="AG187" i="15"/>
  <c r="U187" i="15"/>
  <c r="Y177" i="15"/>
  <c r="W175" i="15"/>
  <c r="AI173" i="15"/>
  <c r="AB173" i="15"/>
  <c r="U173" i="15"/>
  <c r="M173" i="15"/>
  <c r="F172" i="15"/>
  <c r="T172" i="15"/>
  <c r="AH172" i="15"/>
  <c r="AF168" i="15"/>
  <c r="K120" i="15"/>
  <c r="AA120" i="15"/>
  <c r="AI120" i="15"/>
  <c r="I113" i="15"/>
  <c r="H101" i="15"/>
  <c r="P101" i="15"/>
  <c r="Y101" i="15"/>
  <c r="I101" i="15"/>
  <c r="S101" i="15"/>
  <c r="AC101" i="15"/>
  <c r="K101" i="15"/>
  <c r="U101" i="15"/>
  <c r="AE101" i="15"/>
  <c r="G187" i="15"/>
  <c r="P187" i="15"/>
  <c r="AA187" i="15"/>
  <c r="L177" i="15"/>
  <c r="AA177" i="15"/>
  <c r="I173" i="15"/>
  <c r="O173" i="15"/>
  <c r="T173" i="15"/>
  <c r="Y173" i="15"/>
  <c r="AE173" i="15"/>
  <c r="K156" i="15"/>
  <c r="I154" i="15"/>
  <c r="AE154" i="15"/>
  <c r="Q154" i="15"/>
  <c r="K153" i="15"/>
  <c r="L151" i="15"/>
  <c r="P122" i="15"/>
  <c r="N96" i="15"/>
  <c r="AG96" i="15"/>
  <c r="Y50" i="15"/>
  <c r="O193" i="15"/>
  <c r="K168" i="15"/>
  <c r="O155" i="15"/>
  <c r="K141" i="15"/>
  <c r="M139" i="15"/>
  <c r="I138" i="15"/>
  <c r="Z132" i="15"/>
  <c r="AC118" i="15"/>
  <c r="AE103" i="15"/>
  <c r="E100" i="15"/>
  <c r="F100" i="15"/>
  <c r="K100" i="15"/>
  <c r="P100" i="15"/>
  <c r="V100" i="15"/>
  <c r="AA100" i="15"/>
  <c r="AF100" i="15"/>
  <c r="G100" i="15"/>
  <c r="L100" i="15"/>
  <c r="R100" i="15"/>
  <c r="W100" i="15"/>
  <c r="AB100" i="15"/>
  <c r="AH100" i="15"/>
  <c r="H100" i="15"/>
  <c r="N100" i="15"/>
  <c r="S100" i="15"/>
  <c r="X100" i="15"/>
  <c r="AD100" i="15"/>
  <c r="AI100" i="15"/>
  <c r="W86" i="15"/>
  <c r="E86" i="15"/>
  <c r="M86" i="15"/>
  <c r="AE86" i="15"/>
  <c r="AE67" i="15"/>
  <c r="F49" i="15"/>
  <c r="S49" i="15"/>
  <c r="AI49" i="15"/>
  <c r="Q49" i="15"/>
  <c r="O135" i="15"/>
  <c r="V133" i="15"/>
  <c r="O98" i="15"/>
  <c r="H97" i="15"/>
  <c r="F85" i="15"/>
  <c r="G37" i="15"/>
  <c r="M37" i="15"/>
  <c r="AH37" i="15"/>
  <c r="N37" i="15"/>
  <c r="AI37" i="15"/>
  <c r="W37" i="15"/>
  <c r="T139" i="15"/>
  <c r="AI138" i="15"/>
  <c r="X138" i="15"/>
  <c r="M138" i="15"/>
  <c r="N137" i="15"/>
  <c r="Q122" i="15"/>
  <c r="E84" i="15"/>
  <c r="H71" i="15"/>
  <c r="L71" i="15"/>
  <c r="AD71" i="15"/>
  <c r="O71" i="15"/>
  <c r="AE71" i="15"/>
  <c r="M50" i="15"/>
  <c r="AI50" i="15"/>
  <c r="AB155" i="15"/>
  <c r="AB153" i="15"/>
  <c r="T153" i="15"/>
  <c r="Y151" i="15"/>
  <c r="Z140" i="15"/>
  <c r="AF139" i="15"/>
  <c r="AE138" i="15"/>
  <c r="T138" i="15"/>
  <c r="AE137" i="15"/>
  <c r="O137" i="15"/>
  <c r="AF122" i="15"/>
  <c r="AE117" i="15"/>
  <c r="W117" i="15"/>
  <c r="P117" i="15"/>
  <c r="AE113" i="15"/>
  <c r="W113" i="15"/>
  <c r="P113" i="15"/>
  <c r="F102" i="15"/>
  <c r="E99" i="15"/>
  <c r="T97" i="15"/>
  <c r="AD85" i="15"/>
  <c r="S85" i="15"/>
  <c r="J85" i="15"/>
  <c r="AE84" i="15"/>
  <c r="O84" i="15"/>
  <c r="X83" i="15"/>
  <c r="E72" i="15"/>
  <c r="N72" i="15"/>
  <c r="U72" i="15"/>
  <c r="G69" i="15"/>
  <c r="F69" i="15"/>
  <c r="M69" i="15"/>
  <c r="T69" i="15"/>
  <c r="AB69" i="15"/>
  <c r="AH69" i="15"/>
  <c r="H69" i="15"/>
  <c r="N69" i="15"/>
  <c r="V69" i="15"/>
  <c r="AC69" i="15"/>
  <c r="E61" i="15"/>
  <c r="K61" i="15"/>
  <c r="Y61" i="15"/>
  <c r="O61" i="15"/>
  <c r="AE61" i="15"/>
  <c r="H44" i="15"/>
  <c r="N44" i="15"/>
  <c r="X44" i="15"/>
  <c r="AD44" i="15"/>
  <c r="E42" i="15"/>
  <c r="I42" i="15"/>
  <c r="V42" i="15"/>
  <c r="J42" i="15"/>
  <c r="Y42" i="15"/>
  <c r="P42" i="15"/>
  <c r="AD42" i="15"/>
  <c r="E47" i="15"/>
  <c r="E38" i="15"/>
  <c r="G70" i="15"/>
  <c r="P47" i="15"/>
  <c r="G39" i="15"/>
  <c r="AE38" i="15"/>
  <c r="Z38" i="15"/>
  <c r="T38" i="15"/>
  <c r="O38" i="15"/>
  <c r="J38" i="15"/>
  <c r="W70" i="15"/>
  <c r="E68" i="15"/>
  <c r="K66" i="15"/>
  <c r="G64" i="15"/>
  <c r="AF47" i="15"/>
  <c r="M47" i="15"/>
  <c r="E46" i="15"/>
  <c r="AI43" i="15"/>
  <c r="F40" i="15"/>
  <c r="AI38" i="15"/>
  <c r="AD38" i="15"/>
  <c r="X38" i="15"/>
  <c r="S38" i="15"/>
  <c r="N38" i="15"/>
  <c r="H38" i="15"/>
  <c r="AP14" i="16"/>
  <c r="H138" i="13"/>
  <c r="G138" i="13"/>
  <c r="O138" i="13"/>
  <c r="W138" i="13"/>
  <c r="AE138" i="13"/>
  <c r="F138" i="13"/>
  <c r="R138" i="13"/>
  <c r="AA138" i="13"/>
  <c r="J138" i="13"/>
  <c r="S138" i="13"/>
  <c r="AD138" i="13"/>
  <c r="K138" i="13"/>
  <c r="V138" i="13"/>
  <c r="AH138" i="13"/>
  <c r="N138" i="13"/>
  <c r="Z138" i="13"/>
  <c r="AI138" i="13"/>
  <c r="M66" i="13"/>
  <c r="AB66" i="13"/>
  <c r="G66" i="13"/>
  <c r="X66" i="13"/>
  <c r="H66" i="13"/>
  <c r="AC66" i="13"/>
  <c r="Q66" i="13"/>
  <c r="AI66" i="13"/>
  <c r="S66" i="13"/>
  <c r="E37" i="13"/>
  <c r="I37" i="13"/>
  <c r="M37" i="13"/>
  <c r="Q37" i="13"/>
  <c r="U37" i="13"/>
  <c r="Y37" i="13"/>
  <c r="AC37" i="13"/>
  <c r="AG37" i="13"/>
  <c r="F37" i="13"/>
  <c r="J37" i="13"/>
  <c r="N37" i="13"/>
  <c r="R37" i="13"/>
  <c r="V37" i="13"/>
  <c r="Z37" i="13"/>
  <c r="AD37" i="13"/>
  <c r="AH37" i="13"/>
  <c r="G37" i="13"/>
  <c r="K37" i="13"/>
  <c r="O37" i="13"/>
  <c r="S37" i="13"/>
  <c r="W37" i="13"/>
  <c r="AA37" i="13"/>
  <c r="AE37" i="13"/>
  <c r="AI37" i="13"/>
  <c r="H37" i="13"/>
  <c r="X37" i="13"/>
  <c r="L37" i="13"/>
  <c r="AB37" i="13"/>
  <c r="P37" i="13"/>
  <c r="AF37" i="13"/>
  <c r="T37" i="13"/>
  <c r="AI213" i="13"/>
  <c r="S213" i="13"/>
  <c r="AI212" i="13"/>
  <c r="AA212" i="13"/>
  <c r="O212" i="13"/>
  <c r="G212" i="13"/>
  <c r="AE211" i="13"/>
  <c r="W211" i="13"/>
  <c r="O211" i="13"/>
  <c r="G211" i="13"/>
  <c r="AE192" i="13"/>
  <c r="W192" i="13"/>
  <c r="P192" i="13"/>
  <c r="J192" i="13"/>
  <c r="E173" i="13"/>
  <c r="I173" i="13"/>
  <c r="M173" i="13"/>
  <c r="Q173" i="13"/>
  <c r="U173" i="13"/>
  <c r="Y173" i="13"/>
  <c r="AC173" i="13"/>
  <c r="AG173" i="13"/>
  <c r="F173" i="13"/>
  <c r="K173" i="13"/>
  <c r="P173" i="13"/>
  <c r="V173" i="13"/>
  <c r="AA173" i="13"/>
  <c r="AF173" i="13"/>
  <c r="G173" i="13"/>
  <c r="L173" i="13"/>
  <c r="R173" i="13"/>
  <c r="W173" i="13"/>
  <c r="AB173" i="13"/>
  <c r="AH173" i="13"/>
  <c r="H173" i="13"/>
  <c r="N173" i="13"/>
  <c r="S173" i="13"/>
  <c r="X173" i="13"/>
  <c r="AD173" i="13"/>
  <c r="AI173" i="13"/>
  <c r="AA213" i="13"/>
  <c r="K213" i="13"/>
  <c r="AE212" i="13"/>
  <c r="W212" i="13"/>
  <c r="S212" i="13"/>
  <c r="K212" i="13"/>
  <c r="AI211" i="13"/>
  <c r="AA211" i="13"/>
  <c r="S211" i="13"/>
  <c r="K211" i="13"/>
  <c r="G196" i="13"/>
  <c r="L196" i="13"/>
  <c r="R196" i="13"/>
  <c r="W196" i="13"/>
  <c r="AB196" i="13"/>
  <c r="AH196" i="13"/>
  <c r="X213" i="13"/>
  <c r="H213" i="13"/>
  <c r="AD212" i="13"/>
  <c r="V212" i="13"/>
  <c r="N212" i="13"/>
  <c r="AH211" i="13"/>
  <c r="W208" i="13"/>
  <c r="H208" i="13"/>
  <c r="AC207" i="13"/>
  <c r="R207" i="13"/>
  <c r="AE196" i="13"/>
  <c r="X196" i="13"/>
  <c r="P196" i="13"/>
  <c r="J196" i="13"/>
  <c r="G193" i="13"/>
  <c r="M193" i="13"/>
  <c r="R193" i="13"/>
  <c r="W193" i="13"/>
  <c r="AC193" i="13"/>
  <c r="AH193" i="13"/>
  <c r="AB192" i="13"/>
  <c r="V192" i="13"/>
  <c r="O192" i="13"/>
  <c r="H191" i="13"/>
  <c r="M191" i="13"/>
  <c r="S191" i="13"/>
  <c r="X191" i="13"/>
  <c r="AC191" i="13"/>
  <c r="AI191" i="13"/>
  <c r="F172" i="13"/>
  <c r="S172" i="13"/>
  <c r="K172" i="13"/>
  <c r="AA172" i="13"/>
  <c r="AI172" i="13"/>
  <c r="H192" i="13"/>
  <c r="N192" i="13"/>
  <c r="S192" i="13"/>
  <c r="X192" i="13"/>
  <c r="AD192" i="13"/>
  <c r="AI192" i="13"/>
  <c r="G207" i="13"/>
  <c r="K207" i="13"/>
  <c r="O207" i="13"/>
  <c r="S207" i="13"/>
  <c r="W207" i="13"/>
  <c r="AA207" i="13"/>
  <c r="AE207" i="13"/>
  <c r="AI207" i="13"/>
  <c r="AF213" i="13"/>
  <c r="P213" i="13"/>
  <c r="AH212" i="13"/>
  <c r="Z212" i="13"/>
  <c r="R212" i="13"/>
  <c r="J212" i="13"/>
  <c r="F212" i="13"/>
  <c r="AD211" i="13"/>
  <c r="Z211" i="13"/>
  <c r="V211" i="13"/>
  <c r="R211" i="13"/>
  <c r="N211" i="13"/>
  <c r="J211" i="13"/>
  <c r="F211" i="13"/>
  <c r="AC208" i="13"/>
  <c r="P208" i="13"/>
  <c r="AH207" i="13"/>
  <c r="X207" i="13"/>
  <c r="M207" i="13"/>
  <c r="AE213" i="13"/>
  <c r="W213" i="13"/>
  <c r="O213" i="13"/>
  <c r="AG212" i="13"/>
  <c r="AC212" i="13"/>
  <c r="Y212" i="13"/>
  <c r="U212" i="13"/>
  <c r="Q212" i="13"/>
  <c r="M212" i="13"/>
  <c r="I212" i="13"/>
  <c r="AG211" i="13"/>
  <c r="AC211" i="13"/>
  <c r="Y211" i="13"/>
  <c r="U211" i="13"/>
  <c r="Q211" i="13"/>
  <c r="M211" i="13"/>
  <c r="I211" i="13"/>
  <c r="AD209" i="13"/>
  <c r="W209" i="13"/>
  <c r="P209" i="13"/>
  <c r="AI208" i="13"/>
  <c r="AB208" i="13"/>
  <c r="U208" i="13"/>
  <c r="M208" i="13"/>
  <c r="AG207" i="13"/>
  <c r="AB207" i="13"/>
  <c r="V207" i="13"/>
  <c r="Q207" i="13"/>
  <c r="L207" i="13"/>
  <c r="F207" i="13"/>
  <c r="G206" i="13"/>
  <c r="N206" i="13"/>
  <c r="V206" i="13"/>
  <c r="AC206" i="13"/>
  <c r="AI206" i="13"/>
  <c r="AD196" i="13"/>
  <c r="V196" i="13"/>
  <c r="O196" i="13"/>
  <c r="H196" i="13"/>
  <c r="G195" i="13"/>
  <c r="L195" i="13"/>
  <c r="Q195" i="13"/>
  <c r="W195" i="13"/>
  <c r="AB195" i="13"/>
  <c r="AG195" i="13"/>
  <c r="F194" i="13"/>
  <c r="J194" i="13"/>
  <c r="N194" i="13"/>
  <c r="R194" i="13"/>
  <c r="V194" i="13"/>
  <c r="Z194" i="13"/>
  <c r="AD194" i="13"/>
  <c r="AH194" i="13"/>
  <c r="AD193" i="13"/>
  <c r="V193" i="13"/>
  <c r="O193" i="13"/>
  <c r="I193" i="13"/>
  <c r="AH192" i="13"/>
  <c r="AA192" i="13"/>
  <c r="T192" i="13"/>
  <c r="L192" i="13"/>
  <c r="F192" i="13"/>
  <c r="AE191" i="13"/>
  <c r="W191" i="13"/>
  <c r="P191" i="13"/>
  <c r="I191" i="13"/>
  <c r="F174" i="13"/>
  <c r="E174" i="13"/>
  <c r="K174" i="13"/>
  <c r="P174" i="13"/>
  <c r="U174" i="13"/>
  <c r="AA174" i="13"/>
  <c r="AF174" i="13"/>
  <c r="G174" i="13"/>
  <c r="M174" i="13"/>
  <c r="T174" i="13"/>
  <c r="AB174" i="13"/>
  <c r="AI174" i="13"/>
  <c r="H174" i="13"/>
  <c r="O174" i="13"/>
  <c r="W174" i="13"/>
  <c r="AC174" i="13"/>
  <c r="I174" i="13"/>
  <c r="Q174" i="13"/>
  <c r="X174" i="13"/>
  <c r="AE174" i="13"/>
  <c r="H151" i="13"/>
  <c r="F151" i="13"/>
  <c r="N151" i="13"/>
  <c r="V151" i="13"/>
  <c r="AD151" i="13"/>
  <c r="J151" i="13"/>
  <c r="S151" i="13"/>
  <c r="AE151" i="13"/>
  <c r="K151" i="13"/>
  <c r="W151" i="13"/>
  <c r="AH151" i="13"/>
  <c r="G151" i="13"/>
  <c r="AA151" i="13"/>
  <c r="O151" i="13"/>
  <c r="AI151" i="13"/>
  <c r="R151" i="13"/>
  <c r="AI171" i="13"/>
  <c r="K171" i="13"/>
  <c r="F170" i="13"/>
  <c r="H170" i="13"/>
  <c r="M170" i="13"/>
  <c r="S170" i="13"/>
  <c r="X170" i="13"/>
  <c r="AC170" i="13"/>
  <c r="AI170" i="13"/>
  <c r="G169" i="13"/>
  <c r="K169" i="13"/>
  <c r="O169" i="13"/>
  <c r="S169" i="13"/>
  <c r="W169" i="13"/>
  <c r="AA169" i="13"/>
  <c r="AE169" i="13"/>
  <c r="AI169" i="13"/>
  <c r="R168" i="13"/>
  <c r="AC157" i="13"/>
  <c r="S157" i="13"/>
  <c r="I157" i="13"/>
  <c r="F156" i="13"/>
  <c r="J156" i="13"/>
  <c r="N156" i="13"/>
  <c r="R156" i="13"/>
  <c r="V156" i="13"/>
  <c r="Z156" i="13"/>
  <c r="AD156" i="13"/>
  <c r="AH156" i="13"/>
  <c r="E156" i="13"/>
  <c r="K156" i="13"/>
  <c r="P156" i="13"/>
  <c r="U156" i="13"/>
  <c r="AA156" i="13"/>
  <c r="AF156" i="13"/>
  <c r="AI190" i="13"/>
  <c r="AE190" i="13"/>
  <c r="AA190" i="13"/>
  <c r="W190" i="13"/>
  <c r="S190" i="13"/>
  <c r="O190" i="13"/>
  <c r="K190" i="13"/>
  <c r="T177" i="13"/>
  <c r="P177" i="13"/>
  <c r="L177" i="13"/>
  <c r="H177" i="13"/>
  <c r="L175" i="13"/>
  <c r="K175" i="13"/>
  <c r="AA171" i="13"/>
  <c r="AH168" i="13"/>
  <c r="L158" i="13"/>
  <c r="S158" i="13"/>
  <c r="AI158" i="13"/>
  <c r="Y157" i="13"/>
  <c r="P157" i="13"/>
  <c r="E46" i="13"/>
  <c r="K46" i="13"/>
  <c r="P46" i="13"/>
  <c r="T46" i="13"/>
  <c r="X46" i="13"/>
  <c r="AB46" i="13"/>
  <c r="AF46" i="13"/>
  <c r="G46" i="13"/>
  <c r="L46" i="13"/>
  <c r="Q46" i="13"/>
  <c r="U46" i="13"/>
  <c r="Y46" i="13"/>
  <c r="AC46" i="13"/>
  <c r="AG46" i="13"/>
  <c r="H46" i="13"/>
  <c r="M46" i="13"/>
  <c r="R46" i="13"/>
  <c r="V46" i="13"/>
  <c r="Z46" i="13"/>
  <c r="AD46" i="13"/>
  <c r="AH46" i="13"/>
  <c r="I46" i="13"/>
  <c r="AA46" i="13"/>
  <c r="O46" i="13"/>
  <c r="AE46" i="13"/>
  <c r="S46" i="13"/>
  <c r="AI46" i="13"/>
  <c r="W46" i="13"/>
  <c r="L171" i="13"/>
  <c r="P171" i="13"/>
  <c r="AF171" i="13"/>
  <c r="F168" i="13"/>
  <c r="J168" i="13"/>
  <c r="S168" i="13"/>
  <c r="AI168" i="13"/>
  <c r="F157" i="13"/>
  <c r="G157" i="13"/>
  <c r="L157" i="13"/>
  <c r="Q157" i="13"/>
  <c r="W157" i="13"/>
  <c r="AB157" i="13"/>
  <c r="AG157" i="13"/>
  <c r="E157" i="13"/>
  <c r="M157" i="13"/>
  <c r="T157" i="13"/>
  <c r="AA157" i="13"/>
  <c r="AI157" i="13"/>
  <c r="E141" i="13"/>
  <c r="G141" i="13"/>
  <c r="O141" i="13"/>
  <c r="W141" i="13"/>
  <c r="AE141" i="13"/>
  <c r="E135" i="13"/>
  <c r="J135" i="13"/>
  <c r="O135" i="13"/>
  <c r="U135" i="13"/>
  <c r="Z135" i="13"/>
  <c r="AE135" i="13"/>
  <c r="E133" i="13"/>
  <c r="K133" i="13"/>
  <c r="P133" i="13"/>
  <c r="U133" i="13"/>
  <c r="AA133" i="13"/>
  <c r="AF133" i="13"/>
  <c r="E132" i="13"/>
  <c r="I132" i="13"/>
  <c r="M132" i="13"/>
  <c r="Q132" i="13"/>
  <c r="U132" i="13"/>
  <c r="Y132" i="13"/>
  <c r="AC132" i="13"/>
  <c r="AG132" i="13"/>
  <c r="N119" i="13"/>
  <c r="AI119" i="13"/>
  <c r="I115" i="13"/>
  <c r="Y115" i="13"/>
  <c r="N115" i="13"/>
  <c r="H96" i="13"/>
  <c r="AC96" i="13"/>
  <c r="M96" i="13"/>
  <c r="AI96" i="13"/>
  <c r="S96" i="13"/>
  <c r="E86" i="13"/>
  <c r="I86" i="13"/>
  <c r="M86" i="13"/>
  <c r="Q86" i="13"/>
  <c r="U86" i="13"/>
  <c r="Y86" i="13"/>
  <c r="AC86" i="13"/>
  <c r="AG86" i="13"/>
  <c r="F86" i="13"/>
  <c r="J86" i="13"/>
  <c r="N86" i="13"/>
  <c r="R86" i="13"/>
  <c r="V86" i="13"/>
  <c r="Z86" i="13"/>
  <c r="AD86" i="13"/>
  <c r="AH86" i="13"/>
  <c r="G86" i="13"/>
  <c r="K86" i="13"/>
  <c r="O86" i="13"/>
  <c r="S86" i="13"/>
  <c r="W86" i="13"/>
  <c r="AA86" i="13"/>
  <c r="AE86" i="13"/>
  <c r="AI86" i="13"/>
  <c r="Y84" i="13"/>
  <c r="AD65" i="13"/>
  <c r="H62" i="13"/>
  <c r="P62" i="13"/>
  <c r="X62" i="13"/>
  <c r="AF62" i="13"/>
  <c r="G62" i="13"/>
  <c r="S62" i="13"/>
  <c r="AB62" i="13"/>
  <c r="K62" i="13"/>
  <c r="T62" i="13"/>
  <c r="AE62" i="13"/>
  <c r="L62" i="13"/>
  <c r="W62" i="13"/>
  <c r="AI62" i="13"/>
  <c r="AI141" i="13"/>
  <c r="X141" i="13"/>
  <c r="L141" i="13"/>
  <c r="H84" i="13"/>
  <c r="E84" i="13"/>
  <c r="J84" i="13"/>
  <c r="N84" i="13"/>
  <c r="R84" i="13"/>
  <c r="V84" i="13"/>
  <c r="Z84" i="13"/>
  <c r="AD84" i="13"/>
  <c r="AH84" i="13"/>
  <c r="F84" i="13"/>
  <c r="K84" i="13"/>
  <c r="O84" i="13"/>
  <c r="S84" i="13"/>
  <c r="W84" i="13"/>
  <c r="AA84" i="13"/>
  <c r="AE84" i="13"/>
  <c r="AI84" i="13"/>
  <c r="G84" i="13"/>
  <c r="L84" i="13"/>
  <c r="P84" i="13"/>
  <c r="T84" i="13"/>
  <c r="X84" i="13"/>
  <c r="AB84" i="13"/>
  <c r="AF84" i="13"/>
  <c r="G65" i="13"/>
  <c r="K65" i="13"/>
  <c r="O65" i="13"/>
  <c r="S65" i="13"/>
  <c r="W65" i="13"/>
  <c r="AA65" i="13"/>
  <c r="AE65" i="13"/>
  <c r="AI65" i="13"/>
  <c r="E65" i="13"/>
  <c r="J65" i="13"/>
  <c r="P65" i="13"/>
  <c r="U65" i="13"/>
  <c r="Z65" i="13"/>
  <c r="AF65" i="13"/>
  <c r="F65" i="13"/>
  <c r="L65" i="13"/>
  <c r="Q65" i="13"/>
  <c r="V65" i="13"/>
  <c r="AB65" i="13"/>
  <c r="AG65" i="13"/>
  <c r="H65" i="13"/>
  <c r="M65" i="13"/>
  <c r="R65" i="13"/>
  <c r="X65" i="13"/>
  <c r="AC65" i="13"/>
  <c r="AH65" i="13"/>
  <c r="F63" i="13"/>
  <c r="J63" i="13"/>
  <c r="S63" i="13"/>
  <c r="AD63" i="13"/>
  <c r="G63" i="13"/>
  <c r="W63" i="13"/>
  <c r="AH63" i="13"/>
  <c r="K63" i="13"/>
  <c r="Z63" i="13"/>
  <c r="AI63" i="13"/>
  <c r="O63" i="13"/>
  <c r="AA63" i="13"/>
  <c r="E45" i="13"/>
  <c r="I45" i="13"/>
  <c r="M45" i="13"/>
  <c r="Q45" i="13"/>
  <c r="U45" i="13"/>
  <c r="Y45" i="13"/>
  <c r="AC45" i="13"/>
  <c r="AG45" i="13"/>
  <c r="F45" i="13"/>
  <c r="J45" i="13"/>
  <c r="N45" i="13"/>
  <c r="R45" i="13"/>
  <c r="V45" i="13"/>
  <c r="Z45" i="13"/>
  <c r="AD45" i="13"/>
  <c r="AH45" i="13"/>
  <c r="G45" i="13"/>
  <c r="K45" i="13"/>
  <c r="O45" i="13"/>
  <c r="S45" i="13"/>
  <c r="W45" i="13"/>
  <c r="AA45" i="13"/>
  <c r="AE45" i="13"/>
  <c r="AI45" i="13"/>
  <c r="H45" i="13"/>
  <c r="X45" i="13"/>
  <c r="L45" i="13"/>
  <c r="AB45" i="13"/>
  <c r="P45" i="13"/>
  <c r="AF45" i="13"/>
  <c r="G155" i="13"/>
  <c r="N155" i="13"/>
  <c r="AD155" i="13"/>
  <c r="AF141" i="13"/>
  <c r="T141" i="13"/>
  <c r="K141" i="13"/>
  <c r="F140" i="13"/>
  <c r="E140" i="13"/>
  <c r="K140" i="13"/>
  <c r="P140" i="13"/>
  <c r="U140" i="13"/>
  <c r="AA140" i="13"/>
  <c r="AF140" i="13"/>
  <c r="E139" i="13"/>
  <c r="I139" i="13"/>
  <c r="M139" i="13"/>
  <c r="Q139" i="13"/>
  <c r="U139" i="13"/>
  <c r="Y139" i="13"/>
  <c r="AC139" i="13"/>
  <c r="AG139" i="13"/>
  <c r="AI135" i="13"/>
  <c r="AC135" i="13"/>
  <c r="V135" i="13"/>
  <c r="N135" i="13"/>
  <c r="G135" i="13"/>
  <c r="F134" i="13"/>
  <c r="K134" i="13"/>
  <c r="P134" i="13"/>
  <c r="V134" i="13"/>
  <c r="AA134" i="13"/>
  <c r="AF134" i="13"/>
  <c r="AC133" i="13"/>
  <c r="W133" i="13"/>
  <c r="O133" i="13"/>
  <c r="H133" i="13"/>
  <c r="AH132" i="13"/>
  <c r="AB132" i="13"/>
  <c r="W132" i="13"/>
  <c r="R132" i="13"/>
  <c r="L132" i="13"/>
  <c r="G132" i="13"/>
  <c r="AA122" i="13"/>
  <c r="E121" i="13"/>
  <c r="G121" i="13"/>
  <c r="L121" i="13"/>
  <c r="R121" i="13"/>
  <c r="W121" i="13"/>
  <c r="AB121" i="13"/>
  <c r="AH121" i="13"/>
  <c r="E120" i="13"/>
  <c r="I120" i="13"/>
  <c r="Q120" i="13"/>
  <c r="Y120" i="13"/>
  <c r="AG120" i="13"/>
  <c r="AI115" i="13"/>
  <c r="AB86" i="13"/>
  <c r="L86" i="13"/>
  <c r="AG84" i="13"/>
  <c r="Q84" i="13"/>
  <c r="G70" i="13"/>
  <c r="S70" i="13"/>
  <c r="AI70" i="13"/>
  <c r="H70" i="13"/>
  <c r="X70" i="13"/>
  <c r="M70" i="13"/>
  <c r="AB70" i="13"/>
  <c r="T65" i="13"/>
  <c r="AA62" i="13"/>
  <c r="F61" i="13"/>
  <c r="J61" i="13"/>
  <c r="N61" i="13"/>
  <c r="R61" i="13"/>
  <c r="V61" i="13"/>
  <c r="Z61" i="13"/>
  <c r="AD61" i="13"/>
  <c r="AH61" i="13"/>
  <c r="E61" i="13"/>
  <c r="K61" i="13"/>
  <c r="P61" i="13"/>
  <c r="U61" i="13"/>
  <c r="AA61" i="13"/>
  <c r="AF61" i="13"/>
  <c r="G61" i="13"/>
  <c r="L61" i="13"/>
  <c r="Q61" i="13"/>
  <c r="W61" i="13"/>
  <c r="AB61" i="13"/>
  <c r="AG61" i="13"/>
  <c r="H61" i="13"/>
  <c r="M61" i="13"/>
  <c r="S61" i="13"/>
  <c r="X61" i="13"/>
  <c r="AC61" i="13"/>
  <c r="AI61" i="13"/>
  <c r="AH103" i="13"/>
  <c r="AD103" i="13"/>
  <c r="Z103" i="13"/>
  <c r="V103" i="13"/>
  <c r="R103" i="13"/>
  <c r="N103" i="13"/>
  <c r="J103" i="13"/>
  <c r="AD102" i="13"/>
  <c r="I102" i="13"/>
  <c r="AI100" i="13"/>
  <c r="AH99" i="13"/>
  <c r="AD99" i="13"/>
  <c r="Z99" i="13"/>
  <c r="V99" i="13"/>
  <c r="R99" i="13"/>
  <c r="N99" i="13"/>
  <c r="J99" i="13"/>
  <c r="AD98" i="13"/>
  <c r="I98" i="13"/>
  <c r="AH83" i="13"/>
  <c r="AA83" i="13"/>
  <c r="T83" i="13"/>
  <c r="L83" i="13"/>
  <c r="F83" i="13"/>
  <c r="Y72" i="13"/>
  <c r="X71" i="13"/>
  <c r="AI69" i="13"/>
  <c r="AE69" i="13"/>
  <c r="AA69" i="13"/>
  <c r="W69" i="13"/>
  <c r="R69" i="13"/>
  <c r="L69" i="13"/>
  <c r="AD68" i="13"/>
  <c r="AI60" i="13"/>
  <c r="AA60" i="13"/>
  <c r="U60" i="13"/>
  <c r="N60" i="13"/>
  <c r="AE83" i="13"/>
  <c r="W83" i="13"/>
  <c r="P83" i="13"/>
  <c r="E69" i="13"/>
  <c r="I69" i="13"/>
  <c r="M69" i="13"/>
  <c r="Q69" i="13"/>
  <c r="U69" i="13"/>
  <c r="N68" i="13"/>
  <c r="AC68" i="13"/>
  <c r="H60" i="13"/>
  <c r="G60" i="13"/>
  <c r="M60" i="13"/>
  <c r="R60" i="13"/>
  <c r="W60" i="13"/>
  <c r="AC60" i="13"/>
  <c r="AH60" i="13"/>
  <c r="AE48" i="13"/>
  <c r="Z48" i="13"/>
  <c r="U48" i="13"/>
  <c r="O48" i="13"/>
  <c r="J48" i="13"/>
  <c r="E48" i="13"/>
  <c r="AE47" i="13"/>
  <c r="W47" i="13"/>
  <c r="O47" i="13"/>
  <c r="G47" i="13"/>
  <c r="X42" i="13"/>
  <c r="H42" i="13"/>
  <c r="AG41" i="13"/>
  <c r="AC41" i="13"/>
  <c r="Y41" i="13"/>
  <c r="U41" i="13"/>
  <c r="Q41" i="13"/>
  <c r="M41" i="13"/>
  <c r="I41" i="13"/>
  <c r="F39" i="13"/>
  <c r="AD47" i="13"/>
  <c r="V47" i="13"/>
  <c r="N47" i="13"/>
  <c r="F47" i="13"/>
  <c r="L196" i="14"/>
  <c r="H196" i="14"/>
  <c r="X196" i="14"/>
  <c r="F190" i="14"/>
  <c r="J190" i="14"/>
  <c r="N190" i="14"/>
  <c r="R190" i="14"/>
  <c r="V190" i="14"/>
  <c r="Z190" i="14"/>
  <c r="AD190" i="14"/>
  <c r="AH190" i="14"/>
  <c r="G190" i="14"/>
  <c r="K190" i="14"/>
  <c r="O190" i="14"/>
  <c r="S190" i="14"/>
  <c r="W190" i="14"/>
  <c r="AA190" i="14"/>
  <c r="AE190" i="14"/>
  <c r="AI190" i="14"/>
  <c r="E173" i="14"/>
  <c r="I173" i="14"/>
  <c r="M173" i="14"/>
  <c r="Q173" i="14"/>
  <c r="U173" i="14"/>
  <c r="Y173" i="14"/>
  <c r="AC173" i="14"/>
  <c r="AG173" i="14"/>
  <c r="F173" i="14"/>
  <c r="J173" i="14"/>
  <c r="N173" i="14"/>
  <c r="R173" i="14"/>
  <c r="V173" i="14"/>
  <c r="Z173" i="14"/>
  <c r="AD173" i="14"/>
  <c r="AH173" i="14"/>
  <c r="G173" i="14"/>
  <c r="K173" i="14"/>
  <c r="O173" i="14"/>
  <c r="S173" i="14"/>
  <c r="W173" i="14"/>
  <c r="AA173" i="14"/>
  <c r="AE173" i="14"/>
  <c r="AI173" i="14"/>
  <c r="H141" i="14"/>
  <c r="M141" i="14"/>
  <c r="S141" i="14"/>
  <c r="X141" i="14"/>
  <c r="AC141" i="14"/>
  <c r="AI141" i="14"/>
  <c r="E141" i="14"/>
  <c r="L141" i="14"/>
  <c r="T141" i="14"/>
  <c r="AA141" i="14"/>
  <c r="AG141" i="14"/>
  <c r="G141" i="14"/>
  <c r="O141" i="14"/>
  <c r="U141" i="14"/>
  <c r="AB141" i="14"/>
  <c r="I141" i="14"/>
  <c r="P141" i="14"/>
  <c r="W141" i="14"/>
  <c r="AE141" i="14"/>
  <c r="AA210" i="14"/>
  <c r="K210" i="14"/>
  <c r="AF209" i="14"/>
  <c r="X209" i="14"/>
  <c r="P209" i="14"/>
  <c r="H209" i="14"/>
  <c r="AG208" i="14"/>
  <c r="AB208" i="14"/>
  <c r="W208" i="14"/>
  <c r="Q208" i="14"/>
  <c r="L208" i="14"/>
  <c r="G208" i="14"/>
  <c r="AH207" i="14"/>
  <c r="AC207" i="14"/>
  <c r="X207" i="14"/>
  <c r="R207" i="14"/>
  <c r="M207" i="14"/>
  <c r="S196" i="14"/>
  <c r="F193" i="14"/>
  <c r="K193" i="14"/>
  <c r="AA193" i="14"/>
  <c r="AA192" i="14"/>
  <c r="AF191" i="14"/>
  <c r="U191" i="14"/>
  <c r="AG190" i="14"/>
  <c r="Y190" i="14"/>
  <c r="Q190" i="14"/>
  <c r="I190" i="14"/>
  <c r="AF173" i="14"/>
  <c r="P173" i="14"/>
  <c r="Y141" i="14"/>
  <c r="F138" i="14"/>
  <c r="H138" i="14"/>
  <c r="W138" i="14"/>
  <c r="K138" i="14"/>
  <c r="AD138" i="14"/>
  <c r="P138" i="14"/>
  <c r="AF138" i="14"/>
  <c r="R138" i="14"/>
  <c r="E98" i="14"/>
  <c r="I98" i="14"/>
  <c r="M98" i="14"/>
  <c r="Q98" i="14"/>
  <c r="U98" i="14"/>
  <c r="Y98" i="14"/>
  <c r="AC98" i="14"/>
  <c r="AG98" i="14"/>
  <c r="F98" i="14"/>
  <c r="J98" i="14"/>
  <c r="N98" i="14"/>
  <c r="R98" i="14"/>
  <c r="V98" i="14"/>
  <c r="Z98" i="14"/>
  <c r="AD98" i="14"/>
  <c r="AH98" i="14"/>
  <c r="G98" i="14"/>
  <c r="K98" i="14"/>
  <c r="O98" i="14"/>
  <c r="S98" i="14"/>
  <c r="W98" i="14"/>
  <c r="AA98" i="14"/>
  <c r="AE98" i="14"/>
  <c r="AI98" i="14"/>
  <c r="H98" i="14"/>
  <c r="X98" i="14"/>
  <c r="L98" i="14"/>
  <c r="AB98" i="14"/>
  <c r="P98" i="14"/>
  <c r="AF98" i="14"/>
  <c r="G207" i="14"/>
  <c r="K207" i="14"/>
  <c r="O207" i="14"/>
  <c r="S207" i="14"/>
  <c r="W207" i="14"/>
  <c r="AA207" i="14"/>
  <c r="AE207" i="14"/>
  <c r="H192" i="14"/>
  <c r="P192" i="14"/>
  <c r="X192" i="14"/>
  <c r="AF192" i="14"/>
  <c r="K192" i="14"/>
  <c r="F191" i="14"/>
  <c r="G191" i="14"/>
  <c r="L191" i="14"/>
  <c r="Q191" i="14"/>
  <c r="W191" i="14"/>
  <c r="AB191" i="14"/>
  <c r="AG191" i="14"/>
  <c r="H191" i="14"/>
  <c r="M191" i="14"/>
  <c r="S191" i="14"/>
  <c r="X191" i="14"/>
  <c r="AC191" i="14"/>
  <c r="AI191" i="14"/>
  <c r="F174" i="14"/>
  <c r="E174" i="14"/>
  <c r="K174" i="14"/>
  <c r="P174" i="14"/>
  <c r="U174" i="14"/>
  <c r="AA174" i="14"/>
  <c r="AF174" i="14"/>
  <c r="G174" i="14"/>
  <c r="L174" i="14"/>
  <c r="Q174" i="14"/>
  <c r="W174" i="14"/>
  <c r="AB174" i="14"/>
  <c r="AG174" i="14"/>
  <c r="H174" i="14"/>
  <c r="M174" i="14"/>
  <c r="S174" i="14"/>
  <c r="X174" i="14"/>
  <c r="AC174" i="14"/>
  <c r="AI174" i="14"/>
  <c r="E152" i="14"/>
  <c r="I152" i="14"/>
  <c r="S152" i="14"/>
  <c r="AD152" i="14"/>
  <c r="G152" i="14"/>
  <c r="W152" i="14"/>
  <c r="AI152" i="14"/>
  <c r="M152" i="14"/>
  <c r="Y152" i="14"/>
  <c r="N152" i="14"/>
  <c r="AC152" i="14"/>
  <c r="I133" i="14"/>
  <c r="H133" i="14"/>
  <c r="P133" i="14"/>
  <c r="W133" i="14"/>
  <c r="AC133" i="14"/>
  <c r="E133" i="14"/>
  <c r="M133" i="14"/>
  <c r="X133" i="14"/>
  <c r="AG133" i="14"/>
  <c r="G133" i="14"/>
  <c r="Q133" i="14"/>
  <c r="AA133" i="14"/>
  <c r="AI133" i="14"/>
  <c r="K133" i="14"/>
  <c r="S133" i="14"/>
  <c r="AB133" i="14"/>
  <c r="F132" i="14"/>
  <c r="J132" i="14"/>
  <c r="N132" i="14"/>
  <c r="R132" i="14"/>
  <c r="V132" i="14"/>
  <c r="Z132" i="14"/>
  <c r="AD132" i="14"/>
  <c r="AH132" i="14"/>
  <c r="G132" i="14"/>
  <c r="K132" i="14"/>
  <c r="O132" i="14"/>
  <c r="S132" i="14"/>
  <c r="W132" i="14"/>
  <c r="AA132" i="14"/>
  <c r="AE132" i="14"/>
  <c r="AI132" i="14"/>
  <c r="E132" i="14"/>
  <c r="M132" i="14"/>
  <c r="U132" i="14"/>
  <c r="AC132" i="14"/>
  <c r="H132" i="14"/>
  <c r="P132" i="14"/>
  <c r="X132" i="14"/>
  <c r="AF132" i="14"/>
  <c r="I132" i="14"/>
  <c r="Q132" i="14"/>
  <c r="Y132" i="14"/>
  <c r="AG132" i="14"/>
  <c r="Z210" i="14"/>
  <c r="J210" i="14"/>
  <c r="AE209" i="14"/>
  <c r="W209" i="14"/>
  <c r="O209" i="14"/>
  <c r="AF208" i="14"/>
  <c r="AA208" i="14"/>
  <c r="U208" i="14"/>
  <c r="P208" i="14"/>
  <c r="K208" i="14"/>
  <c r="E208" i="14"/>
  <c r="AG207" i="14"/>
  <c r="AB207" i="14"/>
  <c r="V207" i="14"/>
  <c r="Q207" i="14"/>
  <c r="L207" i="14"/>
  <c r="F207" i="14"/>
  <c r="AI196" i="14"/>
  <c r="P196" i="14"/>
  <c r="F195" i="14"/>
  <c r="E195" i="14"/>
  <c r="K195" i="14"/>
  <c r="P195" i="14"/>
  <c r="U195" i="14"/>
  <c r="AA195" i="14"/>
  <c r="AF195" i="14"/>
  <c r="E194" i="14"/>
  <c r="I194" i="14"/>
  <c r="M194" i="14"/>
  <c r="Q194" i="14"/>
  <c r="U194" i="14"/>
  <c r="Y194" i="14"/>
  <c r="AC194" i="14"/>
  <c r="AG194" i="14"/>
  <c r="S193" i="14"/>
  <c r="AI192" i="14"/>
  <c r="W192" i="14"/>
  <c r="L192" i="14"/>
  <c r="AE191" i="14"/>
  <c r="T191" i="14"/>
  <c r="I191" i="14"/>
  <c r="AF190" i="14"/>
  <c r="X190" i="14"/>
  <c r="P190" i="14"/>
  <c r="H190" i="14"/>
  <c r="G175" i="14"/>
  <c r="W175" i="14"/>
  <c r="K175" i="14"/>
  <c r="AA175" i="14"/>
  <c r="O175" i="14"/>
  <c r="AE175" i="14"/>
  <c r="O174" i="14"/>
  <c r="AB173" i="14"/>
  <c r="L173" i="14"/>
  <c r="AH152" i="14"/>
  <c r="Q141" i="14"/>
  <c r="G140" i="14"/>
  <c r="K140" i="14"/>
  <c r="O140" i="14"/>
  <c r="S140" i="14"/>
  <c r="W140" i="14"/>
  <c r="AA140" i="14"/>
  <c r="AE140" i="14"/>
  <c r="AI140" i="14"/>
  <c r="E140" i="14"/>
  <c r="J140" i="14"/>
  <c r="P140" i="14"/>
  <c r="U140" i="14"/>
  <c r="Z140" i="14"/>
  <c r="AF140" i="14"/>
  <c r="F140" i="14"/>
  <c r="L140" i="14"/>
  <c r="Q140" i="14"/>
  <c r="V140" i="14"/>
  <c r="AB140" i="14"/>
  <c r="AG140" i="14"/>
  <c r="H140" i="14"/>
  <c r="M140" i="14"/>
  <c r="R140" i="14"/>
  <c r="X140" i="14"/>
  <c r="AC140" i="14"/>
  <c r="AH140" i="14"/>
  <c r="U133" i="14"/>
  <c r="T132" i="14"/>
  <c r="S100" i="14"/>
  <c r="AI100" i="14"/>
  <c r="AF207" i="14"/>
  <c r="Z207" i="14"/>
  <c r="U207" i="14"/>
  <c r="P207" i="14"/>
  <c r="J207" i="14"/>
  <c r="E207" i="14"/>
  <c r="AF196" i="14"/>
  <c r="K196" i="14"/>
  <c r="AE192" i="14"/>
  <c r="T192" i="14"/>
  <c r="G192" i="14"/>
  <c r="AA191" i="14"/>
  <c r="P191" i="14"/>
  <c r="E191" i="14"/>
  <c r="AC190" i="14"/>
  <c r="U190" i="14"/>
  <c r="M190" i="14"/>
  <c r="E190" i="14"/>
  <c r="AE174" i="14"/>
  <c r="I174" i="14"/>
  <c r="X173" i="14"/>
  <c r="H173" i="14"/>
  <c r="R152" i="14"/>
  <c r="K141" i="14"/>
  <c r="L133" i="14"/>
  <c r="L132" i="14"/>
  <c r="E99" i="14"/>
  <c r="G99" i="14"/>
  <c r="O99" i="14"/>
  <c r="W99" i="14"/>
  <c r="AE99" i="14"/>
  <c r="H99" i="14"/>
  <c r="P99" i="14"/>
  <c r="X99" i="14"/>
  <c r="AF99" i="14"/>
  <c r="K99" i="14"/>
  <c r="S99" i="14"/>
  <c r="AA99" i="14"/>
  <c r="AI99" i="14"/>
  <c r="L99" i="14"/>
  <c r="T99" i="14"/>
  <c r="AB99" i="14"/>
  <c r="AE176" i="14"/>
  <c r="W176" i="14"/>
  <c r="O176" i="14"/>
  <c r="G176" i="14"/>
  <c r="O171" i="14"/>
  <c r="AE168" i="14"/>
  <c r="S168" i="14"/>
  <c r="J168" i="14"/>
  <c r="I158" i="14"/>
  <c r="H158" i="14"/>
  <c r="S158" i="14"/>
  <c r="AC158" i="14"/>
  <c r="F157" i="14"/>
  <c r="J157" i="14"/>
  <c r="N157" i="14"/>
  <c r="R157" i="14"/>
  <c r="V157" i="14"/>
  <c r="Z157" i="14"/>
  <c r="AD157" i="14"/>
  <c r="AH157" i="14"/>
  <c r="Y156" i="14"/>
  <c r="I156" i="14"/>
  <c r="AI154" i="14"/>
  <c r="W154" i="14"/>
  <c r="AF153" i="14"/>
  <c r="AA153" i="14"/>
  <c r="V153" i="14"/>
  <c r="P153" i="14"/>
  <c r="K153" i="14"/>
  <c r="AI151" i="14"/>
  <c r="S151" i="14"/>
  <c r="AD135" i="14"/>
  <c r="AA103" i="14"/>
  <c r="X102" i="14"/>
  <c r="AH189" i="14"/>
  <c r="Z189" i="14"/>
  <c r="R189" i="14"/>
  <c r="J189" i="14"/>
  <c r="AD176" i="14"/>
  <c r="V176" i="14"/>
  <c r="N176" i="14"/>
  <c r="F176" i="14"/>
  <c r="AA168" i="14"/>
  <c r="R168" i="14"/>
  <c r="AI156" i="14"/>
  <c r="S156" i="14"/>
  <c r="I154" i="14"/>
  <c r="G154" i="14"/>
  <c r="Q154" i="14"/>
  <c r="AB154" i="14"/>
  <c r="E153" i="14"/>
  <c r="I153" i="14"/>
  <c r="M153" i="14"/>
  <c r="Q153" i="14"/>
  <c r="U153" i="14"/>
  <c r="Y153" i="14"/>
  <c r="AC153" i="14"/>
  <c r="AG153" i="14"/>
  <c r="J151" i="14"/>
  <c r="L151" i="14"/>
  <c r="W151" i="14"/>
  <c r="AH151" i="14"/>
  <c r="F135" i="14"/>
  <c r="I135" i="14"/>
  <c r="W135" i="14"/>
  <c r="G113" i="14"/>
  <c r="W113" i="14"/>
  <c r="K113" i="14"/>
  <c r="AA113" i="14"/>
  <c r="E103" i="14"/>
  <c r="G103" i="14"/>
  <c r="O103" i="14"/>
  <c r="W103" i="14"/>
  <c r="AE103" i="14"/>
  <c r="H103" i="14"/>
  <c r="P103" i="14"/>
  <c r="X103" i="14"/>
  <c r="AF103" i="14"/>
  <c r="E102" i="14"/>
  <c r="I102" i="14"/>
  <c r="M102" i="14"/>
  <c r="Q102" i="14"/>
  <c r="U102" i="14"/>
  <c r="Y102" i="14"/>
  <c r="AC102" i="14"/>
  <c r="AG102" i="14"/>
  <c r="F102" i="14"/>
  <c r="J102" i="14"/>
  <c r="N102" i="14"/>
  <c r="R102" i="14"/>
  <c r="V102" i="14"/>
  <c r="Z102" i="14"/>
  <c r="AD102" i="14"/>
  <c r="AH102" i="14"/>
  <c r="G102" i="14"/>
  <c r="K102" i="14"/>
  <c r="O102" i="14"/>
  <c r="S102" i="14"/>
  <c r="W102" i="14"/>
  <c r="AA102" i="14"/>
  <c r="AE102" i="14"/>
  <c r="AI102" i="14"/>
  <c r="H168" i="14"/>
  <c r="F168" i="14"/>
  <c r="N168" i="14"/>
  <c r="V168" i="14"/>
  <c r="AD168" i="14"/>
  <c r="E156" i="14"/>
  <c r="M156" i="14"/>
  <c r="W156" i="14"/>
  <c r="AH156" i="14"/>
  <c r="K121" i="14"/>
  <c r="AI121" i="14"/>
  <c r="F70" i="14"/>
  <c r="N70" i="14"/>
  <c r="T70" i="14"/>
  <c r="AA70" i="14"/>
  <c r="AI70" i="14"/>
  <c r="H70" i="14"/>
  <c r="O70" i="14"/>
  <c r="V70" i="14"/>
  <c r="AD70" i="14"/>
  <c r="J70" i="14"/>
  <c r="P70" i="14"/>
  <c r="X70" i="14"/>
  <c r="AE70" i="14"/>
  <c r="E68" i="14"/>
  <c r="I68" i="14"/>
  <c r="M68" i="14"/>
  <c r="Q68" i="14"/>
  <c r="U68" i="14"/>
  <c r="F63" i="14"/>
  <c r="N63" i="14"/>
  <c r="V63" i="14"/>
  <c r="AD63" i="14"/>
  <c r="AI63" i="14"/>
  <c r="G63" i="14"/>
  <c r="O63" i="14"/>
  <c r="W63" i="14"/>
  <c r="AE63" i="14"/>
  <c r="F61" i="14"/>
  <c r="E61" i="14"/>
  <c r="K61" i="14"/>
  <c r="P61" i="14"/>
  <c r="U61" i="14"/>
  <c r="AA61" i="14"/>
  <c r="AF61" i="14"/>
  <c r="G61" i="14"/>
  <c r="L61" i="14"/>
  <c r="Q61" i="14"/>
  <c r="W61" i="14"/>
  <c r="AB61" i="14"/>
  <c r="AG61" i="14"/>
  <c r="H61" i="14"/>
  <c r="M61" i="14"/>
  <c r="E60" i="14"/>
  <c r="I60" i="14"/>
  <c r="M60" i="14"/>
  <c r="Q60" i="14"/>
  <c r="U60" i="14"/>
  <c r="Y60" i="14"/>
  <c r="AC60" i="14"/>
  <c r="AG60" i="14"/>
  <c r="F60" i="14"/>
  <c r="J60" i="14"/>
  <c r="N60" i="14"/>
  <c r="R60" i="14"/>
  <c r="V60" i="14"/>
  <c r="Z60" i="14"/>
  <c r="AD60" i="14"/>
  <c r="AH60" i="14"/>
  <c r="G60" i="14"/>
  <c r="K60" i="14"/>
  <c r="O60" i="14"/>
  <c r="S60" i="14"/>
  <c r="W60" i="14"/>
  <c r="AA60" i="14"/>
  <c r="AE60" i="14"/>
  <c r="AI60" i="14"/>
  <c r="F49" i="14"/>
  <c r="E49" i="14"/>
  <c r="K49" i="14"/>
  <c r="P49" i="14"/>
  <c r="U49" i="14"/>
  <c r="AA49" i="14"/>
  <c r="AF49" i="14"/>
  <c r="G49" i="14"/>
  <c r="L49" i="14"/>
  <c r="Q49" i="14"/>
  <c r="W49" i="14"/>
  <c r="AB49" i="14"/>
  <c r="AG49" i="14"/>
  <c r="H49" i="14"/>
  <c r="M49" i="14"/>
  <c r="S49" i="14"/>
  <c r="X49" i="14"/>
  <c r="AC49" i="14"/>
  <c r="AI49" i="14"/>
  <c r="E48" i="14"/>
  <c r="I48" i="14"/>
  <c r="M48" i="14"/>
  <c r="Q48" i="14"/>
  <c r="U48" i="14"/>
  <c r="Y48" i="14"/>
  <c r="AC48" i="14"/>
  <c r="AG48" i="14"/>
  <c r="F48" i="14"/>
  <c r="J48" i="14"/>
  <c r="N48" i="14"/>
  <c r="R48" i="14"/>
  <c r="V48" i="14"/>
  <c r="Z48" i="14"/>
  <c r="AD48" i="14"/>
  <c r="AH48" i="14"/>
  <c r="G48" i="14"/>
  <c r="K48" i="14"/>
  <c r="O48" i="14"/>
  <c r="S48" i="14"/>
  <c r="W48" i="14"/>
  <c r="AA48" i="14"/>
  <c r="AE48" i="14"/>
  <c r="AI48" i="14"/>
  <c r="AE118" i="14"/>
  <c r="Z118" i="14"/>
  <c r="U118" i="14"/>
  <c r="O118" i="14"/>
  <c r="J118" i="14"/>
  <c r="E118" i="14"/>
  <c r="AE114" i="14"/>
  <c r="Z114" i="14"/>
  <c r="U114" i="14"/>
  <c r="O114" i="14"/>
  <c r="J114" i="14"/>
  <c r="E114" i="14"/>
  <c r="AH101" i="14"/>
  <c r="AC101" i="14"/>
  <c r="W101" i="14"/>
  <c r="R101" i="14"/>
  <c r="M101" i="14"/>
  <c r="G101" i="14"/>
  <c r="AH97" i="14"/>
  <c r="AC97" i="14"/>
  <c r="W97" i="14"/>
  <c r="R97" i="14"/>
  <c r="M97" i="14"/>
  <c r="G97" i="14"/>
  <c r="AB85" i="14"/>
  <c r="T85" i="14"/>
  <c r="L85" i="14"/>
  <c r="AI84" i="14"/>
  <c r="X84" i="14"/>
  <c r="M84" i="14"/>
  <c r="AI83" i="14"/>
  <c r="AE83" i="14"/>
  <c r="AA83" i="14"/>
  <c r="W83" i="14"/>
  <c r="S83" i="14"/>
  <c r="O83" i="14"/>
  <c r="K83" i="14"/>
  <c r="G83" i="14"/>
  <c r="AI82" i="14"/>
  <c r="X82" i="14"/>
  <c r="AG72" i="14"/>
  <c r="AC72" i="14"/>
  <c r="Y72" i="14"/>
  <c r="U72" i="14"/>
  <c r="Q72" i="14"/>
  <c r="M72" i="14"/>
  <c r="I72" i="14"/>
  <c r="AF68" i="14"/>
  <c r="AB68" i="14"/>
  <c r="X68" i="14"/>
  <c r="S68" i="14"/>
  <c r="N68" i="14"/>
  <c r="H68" i="14"/>
  <c r="H66" i="14"/>
  <c r="O66" i="14"/>
  <c r="V66" i="14"/>
  <c r="AD66" i="14"/>
  <c r="AG63" i="14"/>
  <c r="R63" i="14"/>
  <c r="AI62" i="14"/>
  <c r="AC61" i="14"/>
  <c r="S61" i="14"/>
  <c r="AF60" i="14"/>
  <c r="P60" i="14"/>
  <c r="T49" i="14"/>
  <c r="AF48" i="14"/>
  <c r="P48" i="14"/>
  <c r="G41" i="14"/>
  <c r="S41" i="14"/>
  <c r="AB41" i="14"/>
  <c r="K41" i="14"/>
  <c r="T41" i="14"/>
  <c r="AE41" i="14"/>
  <c r="L41" i="14"/>
  <c r="W41" i="14"/>
  <c r="AI41" i="14"/>
  <c r="E40" i="14"/>
  <c r="I40" i="14"/>
  <c r="M40" i="14"/>
  <c r="Q40" i="14"/>
  <c r="U40" i="14"/>
  <c r="Y40" i="14"/>
  <c r="AC40" i="14"/>
  <c r="AG40" i="14"/>
  <c r="F40" i="14"/>
  <c r="J40" i="14"/>
  <c r="N40" i="14"/>
  <c r="R40" i="14"/>
  <c r="V40" i="14"/>
  <c r="Z40" i="14"/>
  <c r="AD40" i="14"/>
  <c r="AH40" i="14"/>
  <c r="G40" i="14"/>
  <c r="K40" i="14"/>
  <c r="O40" i="14"/>
  <c r="S40" i="14"/>
  <c r="W40" i="14"/>
  <c r="AA40" i="14"/>
  <c r="AE40" i="14"/>
  <c r="AI40" i="14"/>
  <c r="E39" i="14"/>
  <c r="I39" i="14"/>
  <c r="M39" i="14"/>
  <c r="Q39" i="14"/>
  <c r="U39" i="14"/>
  <c r="Y39" i="14"/>
  <c r="AC39" i="14"/>
  <c r="AG39" i="14"/>
  <c r="F39" i="14"/>
  <c r="J39" i="14"/>
  <c r="N39" i="14"/>
  <c r="R39" i="14"/>
  <c r="V39" i="14"/>
  <c r="Z39" i="14"/>
  <c r="AD39" i="14"/>
  <c r="AH39" i="14"/>
  <c r="G39" i="14"/>
  <c r="K39" i="14"/>
  <c r="O39" i="14"/>
  <c r="S39" i="14"/>
  <c r="W39" i="14"/>
  <c r="AA39" i="14"/>
  <c r="AE39" i="14"/>
  <c r="AI39" i="14"/>
  <c r="AG101" i="14"/>
  <c r="AA101" i="14"/>
  <c r="V101" i="14"/>
  <c r="Q101" i="14"/>
  <c r="K101" i="14"/>
  <c r="F101" i="14"/>
  <c r="AG97" i="14"/>
  <c r="AA97" i="14"/>
  <c r="V97" i="14"/>
  <c r="Q97" i="14"/>
  <c r="K97" i="14"/>
  <c r="F97" i="14"/>
  <c r="AG85" i="14"/>
  <c r="Y85" i="14"/>
  <c r="Q85" i="14"/>
  <c r="I85" i="14"/>
  <c r="AE84" i="14"/>
  <c r="T84" i="14"/>
  <c r="AH83" i="14"/>
  <c r="AD83" i="14"/>
  <c r="Z83" i="14"/>
  <c r="V83" i="14"/>
  <c r="R83" i="14"/>
  <c r="N83" i="14"/>
  <c r="J83" i="14"/>
  <c r="AI68" i="14"/>
  <c r="AE68" i="14"/>
  <c r="AA68" i="14"/>
  <c r="W68" i="14"/>
  <c r="R68" i="14"/>
  <c r="L68" i="14"/>
  <c r="G68" i="14"/>
  <c r="AA63" i="14"/>
  <c r="K63" i="14"/>
  <c r="G62" i="14"/>
  <c r="S62" i="14"/>
  <c r="AB62" i="14"/>
  <c r="K62" i="14"/>
  <c r="T62" i="14"/>
  <c r="AE62" i="14"/>
  <c r="Y61" i="14"/>
  <c r="O61" i="14"/>
  <c r="AB60" i="14"/>
  <c r="L60" i="14"/>
  <c r="K50" i="14"/>
  <c r="AA50" i="14"/>
  <c r="L50" i="14"/>
  <c r="AB50" i="14"/>
  <c r="S50" i="14"/>
  <c r="AI50" i="14"/>
  <c r="O49" i="14"/>
  <c r="AB48" i="14"/>
  <c r="L48" i="14"/>
  <c r="F42" i="14"/>
  <c r="N42" i="14"/>
  <c r="V42" i="14"/>
  <c r="AD42" i="14"/>
  <c r="G42" i="14"/>
  <c r="O42" i="14"/>
  <c r="W42" i="14"/>
  <c r="AE42" i="14"/>
  <c r="J42" i="14"/>
  <c r="R42" i="14"/>
  <c r="Z42" i="14"/>
  <c r="AH42" i="14"/>
  <c r="AH47" i="14"/>
  <c r="Z47" i="14"/>
  <c r="R47" i="14"/>
  <c r="J47" i="14"/>
  <c r="AI46" i="14"/>
  <c r="AA46" i="14"/>
  <c r="S46" i="14"/>
  <c r="K46" i="14"/>
  <c r="AE43" i="14"/>
  <c r="Z43" i="14"/>
  <c r="U43" i="14"/>
  <c r="O43" i="14"/>
  <c r="J43" i="14"/>
  <c r="E43" i="14"/>
  <c r="G37" i="14"/>
  <c r="AE47" i="14"/>
  <c r="W47" i="14"/>
  <c r="O47" i="14"/>
  <c r="G47" i="14"/>
  <c r="AF46" i="14"/>
  <c r="X46" i="14"/>
  <c r="P46" i="14"/>
  <c r="H46" i="14"/>
  <c r="K175" i="15"/>
  <c r="AA175" i="15"/>
  <c r="E174" i="15"/>
  <c r="H174" i="15"/>
  <c r="P174" i="15"/>
  <c r="X174" i="15"/>
  <c r="AF174" i="15"/>
  <c r="H152" i="15"/>
  <c r="E152" i="15"/>
  <c r="L152" i="15"/>
  <c r="T152" i="15"/>
  <c r="AA152" i="15"/>
  <c r="AG152" i="15"/>
  <c r="G152" i="15"/>
  <c r="P152" i="15"/>
  <c r="Y152" i="15"/>
  <c r="I152" i="15"/>
  <c r="Q152" i="15"/>
  <c r="AB152" i="15"/>
  <c r="K152" i="15"/>
  <c r="U152" i="15"/>
  <c r="AE152" i="15"/>
  <c r="AE208" i="15"/>
  <c r="T208" i="15"/>
  <c r="K208" i="15"/>
  <c r="G196" i="15"/>
  <c r="O196" i="15"/>
  <c r="AI193" i="15"/>
  <c r="L192" i="15"/>
  <c r="K192" i="15"/>
  <c r="AE192" i="15"/>
  <c r="F177" i="15"/>
  <c r="H177" i="15"/>
  <c r="M177" i="15"/>
  <c r="S177" i="15"/>
  <c r="X177" i="15"/>
  <c r="AC177" i="15"/>
  <c r="AI177" i="15"/>
  <c r="E176" i="15"/>
  <c r="K176" i="15"/>
  <c r="S176" i="15"/>
  <c r="Y176" i="15"/>
  <c r="AD176" i="15"/>
  <c r="AI176" i="15"/>
  <c r="S175" i="15"/>
  <c r="AI174" i="15"/>
  <c r="W174" i="15"/>
  <c r="L174" i="15"/>
  <c r="G172" i="15"/>
  <c r="K172" i="15"/>
  <c r="O172" i="15"/>
  <c r="S172" i="15"/>
  <c r="W172" i="15"/>
  <c r="AA172" i="15"/>
  <c r="AE172" i="15"/>
  <c r="AI172" i="15"/>
  <c r="E172" i="15"/>
  <c r="J172" i="15"/>
  <c r="P172" i="15"/>
  <c r="U172" i="15"/>
  <c r="Z172" i="15"/>
  <c r="AF172" i="15"/>
  <c r="AF152" i="15"/>
  <c r="H118" i="15"/>
  <c r="S118" i="15"/>
  <c r="AB118" i="15"/>
  <c r="G118" i="15"/>
  <c r="T118" i="15"/>
  <c r="AG118" i="15"/>
  <c r="L118" i="15"/>
  <c r="W118" i="15"/>
  <c r="AI118" i="15"/>
  <c r="M118" i="15"/>
  <c r="O118" i="15"/>
  <c r="Y118" i="15"/>
  <c r="H114" i="15"/>
  <c r="S114" i="15"/>
  <c r="AA114" i="15"/>
  <c r="K114" i="15"/>
  <c r="U114" i="15"/>
  <c r="AI114" i="15"/>
  <c r="M114" i="15"/>
  <c r="Y114" i="15"/>
  <c r="E114" i="15"/>
  <c r="AF114" i="15"/>
  <c r="O114" i="15"/>
  <c r="T114" i="15"/>
  <c r="G188" i="15"/>
  <c r="AA188" i="15"/>
  <c r="AE177" i="15"/>
  <c r="I177" i="15"/>
  <c r="AD172" i="15"/>
  <c r="X172" i="15"/>
  <c r="Q172" i="15"/>
  <c r="I172" i="15"/>
  <c r="H168" i="15"/>
  <c r="N168" i="15"/>
  <c r="S168" i="15"/>
  <c r="X168" i="15"/>
  <c r="AD168" i="15"/>
  <c r="AI168" i="15"/>
  <c r="F168" i="15"/>
  <c r="L168" i="15"/>
  <c r="T168" i="15"/>
  <c r="AA168" i="15"/>
  <c r="AH168" i="15"/>
  <c r="G168" i="15"/>
  <c r="O168" i="15"/>
  <c r="V168" i="15"/>
  <c r="AB168" i="15"/>
  <c r="J168" i="15"/>
  <c r="P168" i="15"/>
  <c r="W168" i="15"/>
  <c r="AE168" i="15"/>
  <c r="W152" i="15"/>
  <c r="G193" i="15"/>
  <c r="J193" i="15"/>
  <c r="Y193" i="15"/>
  <c r="AD210" i="15"/>
  <c r="S210" i="15"/>
  <c r="J210" i="15"/>
  <c r="Z213" i="15"/>
  <c r="Z210" i="15"/>
  <c r="Q210" i="15"/>
  <c r="I210" i="15"/>
  <c r="AA208" i="15"/>
  <c r="S208" i="15"/>
  <c r="I208" i="15"/>
  <c r="AE193" i="15"/>
  <c r="N193" i="15"/>
  <c r="AA192" i="15"/>
  <c r="F191" i="15"/>
  <c r="G191" i="15"/>
  <c r="Q191" i="15"/>
  <c r="AB191" i="15"/>
  <c r="G190" i="15"/>
  <c r="F190" i="15"/>
  <c r="N190" i="15"/>
  <c r="V190" i="15"/>
  <c r="AD190" i="15"/>
  <c r="W177" i="15"/>
  <c r="P177" i="15"/>
  <c r="AH176" i="15"/>
  <c r="AA176" i="15"/>
  <c r="U176" i="15"/>
  <c r="J176" i="15"/>
  <c r="AI175" i="15"/>
  <c r="O175" i="15"/>
  <c r="AE174" i="15"/>
  <c r="T174" i="15"/>
  <c r="K174" i="15"/>
  <c r="S213" i="15"/>
  <c r="AC212" i="15"/>
  <c r="O212" i="15"/>
  <c r="AH211" i="15"/>
  <c r="Z211" i="15"/>
  <c r="R211" i="15"/>
  <c r="J211" i="15"/>
  <c r="AG210" i="15"/>
  <c r="Y210" i="15"/>
  <c r="O210" i="15"/>
  <c r="E210" i="15"/>
  <c r="AE209" i="15"/>
  <c r="X209" i="15"/>
  <c r="P209" i="15"/>
  <c r="AI208" i="15"/>
  <c r="Y208" i="15"/>
  <c r="P208" i="15"/>
  <c r="E208" i="15"/>
  <c r="F207" i="15"/>
  <c r="E207" i="15"/>
  <c r="K207" i="15"/>
  <c r="P207" i="15"/>
  <c r="U207" i="15"/>
  <c r="AA207" i="15"/>
  <c r="E206" i="15"/>
  <c r="Q206" i="15"/>
  <c r="Z193" i="15"/>
  <c r="E193" i="15"/>
  <c r="T192" i="15"/>
  <c r="AE191" i="15"/>
  <c r="O191" i="15"/>
  <c r="AH190" i="15"/>
  <c r="X190" i="15"/>
  <c r="L190" i="15"/>
  <c r="H189" i="15"/>
  <c r="G189" i="15"/>
  <c r="O189" i="15"/>
  <c r="W189" i="15"/>
  <c r="AE189" i="15"/>
  <c r="E187" i="15"/>
  <c r="K187" i="15"/>
  <c r="Q187" i="15"/>
  <c r="Y187" i="15"/>
  <c r="AF187" i="15"/>
  <c r="AB177" i="15"/>
  <c r="U177" i="15"/>
  <c r="O177" i="15"/>
  <c r="G177" i="15"/>
  <c r="AG176" i="15"/>
  <c r="Z176" i="15"/>
  <c r="Q176" i="15"/>
  <c r="I176" i="15"/>
  <c r="AE175" i="15"/>
  <c r="G175" i="15"/>
  <c r="AB174" i="15"/>
  <c r="S174" i="15"/>
  <c r="G174" i="15"/>
  <c r="G173" i="15"/>
  <c r="E173" i="15"/>
  <c r="J173" i="15"/>
  <c r="N173" i="15"/>
  <c r="R173" i="15"/>
  <c r="V173" i="15"/>
  <c r="Z173" i="15"/>
  <c r="AD173" i="15"/>
  <c r="AH173" i="15"/>
  <c r="AC172" i="15"/>
  <c r="V172" i="15"/>
  <c r="N172" i="15"/>
  <c r="H172" i="15"/>
  <c r="Z168" i="15"/>
  <c r="O152" i="15"/>
  <c r="E154" i="15"/>
  <c r="O154" i="15"/>
  <c r="Y154" i="15"/>
  <c r="AG154" i="15"/>
  <c r="J141" i="15"/>
  <c r="AE141" i="15"/>
  <c r="E96" i="15"/>
  <c r="F96" i="15"/>
  <c r="M96" i="15"/>
  <c r="T96" i="15"/>
  <c r="AB96" i="15"/>
  <c r="AH96" i="15"/>
  <c r="H96" i="15"/>
  <c r="Q96" i="15"/>
  <c r="Y96" i="15"/>
  <c r="I96" i="15"/>
  <c r="R96" i="15"/>
  <c r="AC96" i="15"/>
  <c r="L96" i="15"/>
  <c r="V96" i="15"/>
  <c r="AD96" i="15"/>
  <c r="K169" i="15"/>
  <c r="U169" i="15"/>
  <c r="AC169" i="15"/>
  <c r="E156" i="15"/>
  <c r="O156" i="15"/>
  <c r="AC156" i="15"/>
  <c r="Z154" i="15"/>
  <c r="K154" i="15"/>
  <c r="I151" i="15"/>
  <c r="P151" i="15"/>
  <c r="V151" i="15"/>
  <c r="AD151" i="15"/>
  <c r="F140" i="15"/>
  <c r="N140" i="15"/>
  <c r="T140" i="15"/>
  <c r="AA140" i="15"/>
  <c r="AI140" i="15"/>
  <c r="J133" i="15"/>
  <c r="U133" i="15"/>
  <c r="G171" i="15"/>
  <c r="R171" i="15"/>
  <c r="AA171" i="15"/>
  <c r="AI171" i="15"/>
  <c r="F170" i="15"/>
  <c r="S170" i="15"/>
  <c r="AF170" i="15"/>
  <c r="X169" i="15"/>
  <c r="M169" i="15"/>
  <c r="E158" i="15"/>
  <c r="G158" i="15"/>
  <c r="U158" i="15"/>
  <c r="AI158" i="15"/>
  <c r="H157" i="15"/>
  <c r="S157" i="15"/>
  <c r="S156" i="15"/>
  <c r="E155" i="15"/>
  <c r="L155" i="15"/>
  <c r="W155" i="15"/>
  <c r="AG155" i="15"/>
  <c r="V154" i="15"/>
  <c r="J154" i="15"/>
  <c r="J153" i="15"/>
  <c r="P153" i="15"/>
  <c r="W153" i="15"/>
  <c r="AE153" i="15"/>
  <c r="AB151" i="15"/>
  <c r="T151" i="15"/>
  <c r="J151" i="15"/>
  <c r="V141" i="15"/>
  <c r="AE140" i="15"/>
  <c r="V140" i="15"/>
  <c r="K140" i="15"/>
  <c r="F132" i="15"/>
  <c r="S132" i="15"/>
  <c r="N132" i="15"/>
  <c r="AA132" i="15"/>
  <c r="O132" i="15"/>
  <c r="AF132" i="15"/>
  <c r="X96" i="15"/>
  <c r="AA102" i="15"/>
  <c r="H102" i="15"/>
  <c r="AI99" i="15"/>
  <c r="Z99" i="15"/>
  <c r="Q99" i="15"/>
  <c r="F99" i="15"/>
  <c r="X98" i="15"/>
  <c r="AC97" i="15"/>
  <c r="K97" i="15"/>
  <c r="Y72" i="15"/>
  <c r="G63" i="15"/>
  <c r="N63" i="15"/>
  <c r="T63" i="15"/>
  <c r="AB63" i="15"/>
  <c r="AI63" i="15"/>
  <c r="H63" i="15"/>
  <c r="O63" i="15"/>
  <c r="W63" i="15"/>
  <c r="AD63" i="15"/>
  <c r="J63" i="15"/>
  <c r="R63" i="15"/>
  <c r="X63" i="15"/>
  <c r="AE63" i="15"/>
  <c r="H41" i="15"/>
  <c r="E41" i="15"/>
  <c r="J41" i="15"/>
  <c r="O41" i="15"/>
  <c r="U41" i="15"/>
  <c r="Z41" i="15"/>
  <c r="AE41" i="15"/>
  <c r="F41" i="15"/>
  <c r="K41" i="15"/>
  <c r="Q41" i="15"/>
  <c r="V41" i="15"/>
  <c r="AA41" i="15"/>
  <c r="AG41" i="15"/>
  <c r="G41" i="15"/>
  <c r="M41" i="15"/>
  <c r="R41" i="15"/>
  <c r="W41" i="15"/>
  <c r="AC41" i="15"/>
  <c r="AH41" i="15"/>
  <c r="Y137" i="15"/>
  <c r="H121" i="15"/>
  <c r="X121" i="15"/>
  <c r="F120" i="15"/>
  <c r="S120" i="15"/>
  <c r="V102" i="15"/>
  <c r="AG99" i="15"/>
  <c r="Y99" i="15"/>
  <c r="N99" i="15"/>
  <c r="U97" i="15"/>
  <c r="Y86" i="15"/>
  <c r="G72" i="15"/>
  <c r="R72" i="15"/>
  <c r="Z72" i="15"/>
  <c r="AI72" i="15"/>
  <c r="J72" i="15"/>
  <c r="S72" i="15"/>
  <c r="AC72" i="15"/>
  <c r="Z63" i="15"/>
  <c r="E62" i="15"/>
  <c r="Q62" i="15"/>
  <c r="U62" i="15"/>
  <c r="AG62" i="15"/>
  <c r="K45" i="15"/>
  <c r="AI45" i="15"/>
  <c r="S41" i="15"/>
  <c r="N102" i="15"/>
  <c r="Z102" i="15"/>
  <c r="I99" i="15"/>
  <c r="O99" i="15"/>
  <c r="V99" i="15"/>
  <c r="AD99" i="15"/>
  <c r="H98" i="15"/>
  <c r="AE98" i="15"/>
  <c r="E97" i="15"/>
  <c r="M97" i="15"/>
  <c r="AA97" i="15"/>
  <c r="AI85" i="15"/>
  <c r="AB85" i="15"/>
  <c r="T85" i="15"/>
  <c r="N85" i="15"/>
  <c r="G85" i="15"/>
  <c r="AB84" i="15"/>
  <c r="Q84" i="15"/>
  <c r="G84" i="15"/>
  <c r="AH71" i="15"/>
  <c r="W71" i="15"/>
  <c r="J71" i="15"/>
  <c r="Y70" i="15"/>
  <c r="AF69" i="15"/>
  <c r="Z69" i="15"/>
  <c r="U69" i="15"/>
  <c r="P69" i="15"/>
  <c r="J69" i="15"/>
  <c r="E69" i="15"/>
  <c r="O64" i="15"/>
  <c r="O50" i="15"/>
  <c r="AD49" i="15"/>
  <c r="I49" i="15"/>
  <c r="AI47" i="15"/>
  <c r="U47" i="15"/>
  <c r="AF46" i="15"/>
  <c r="AA46" i="15"/>
  <c r="U46" i="15"/>
  <c r="P46" i="15"/>
  <c r="K46" i="15"/>
  <c r="AI44" i="15"/>
  <c r="AB42" i="15"/>
  <c r="U42" i="15"/>
  <c r="N42" i="15"/>
  <c r="F42" i="15"/>
  <c r="W39" i="15"/>
  <c r="K39" i="15"/>
  <c r="F38" i="15"/>
  <c r="AD37" i="15"/>
  <c r="S37" i="15"/>
  <c r="I37" i="15"/>
  <c r="Y49" i="15"/>
  <c r="AG42" i="15"/>
  <c r="Z42" i="15"/>
  <c r="T42" i="15"/>
  <c r="L42" i="15"/>
  <c r="AC37" i="15"/>
  <c r="R37" i="15"/>
  <c r="AE213" i="15"/>
  <c r="X213" i="15"/>
  <c r="P213" i="15"/>
  <c r="J213" i="15"/>
  <c r="AI212" i="15"/>
  <c r="AA212" i="15"/>
  <c r="T212" i="15"/>
  <c r="M212" i="15"/>
  <c r="E212" i="15"/>
  <c r="AG211" i="15"/>
  <c r="AC211" i="15"/>
  <c r="Y211" i="15"/>
  <c r="U211" i="15"/>
  <c r="Q211" i="15"/>
  <c r="M211" i="15"/>
  <c r="I211" i="15"/>
  <c r="E211" i="15"/>
  <c r="AD206" i="15"/>
  <c r="V206" i="15"/>
  <c r="O206" i="15"/>
  <c r="I206" i="15"/>
  <c r="AI196" i="15"/>
  <c r="X196" i="15"/>
  <c r="N196" i="15"/>
  <c r="AI195" i="15"/>
  <c r="X195" i="15"/>
  <c r="M195" i="15"/>
  <c r="AI194" i="15"/>
  <c r="AE194" i="15"/>
  <c r="AA194" i="15"/>
  <c r="W194" i="15"/>
  <c r="S194" i="15"/>
  <c r="O194" i="15"/>
  <c r="K194" i="15"/>
  <c r="G194" i="15"/>
  <c r="AB192" i="15"/>
  <c r="S192" i="15"/>
  <c r="G192" i="15"/>
  <c r="AF191" i="15"/>
  <c r="AA191" i="15"/>
  <c r="U191" i="15"/>
  <c r="P191" i="15"/>
  <c r="K191" i="15"/>
  <c r="E191" i="15"/>
  <c r="AG190" i="15"/>
  <c r="AC190" i="15"/>
  <c r="Y190" i="15"/>
  <c r="U190" i="15"/>
  <c r="Q190" i="15"/>
  <c r="M190" i="15"/>
  <c r="I190" i="15"/>
  <c r="E190" i="15"/>
  <c r="AE188" i="15"/>
  <c r="K188" i="15"/>
  <c r="J170" i="15"/>
  <c r="G170" i="15"/>
  <c r="N170" i="15"/>
  <c r="V170" i="15"/>
  <c r="AB170" i="15"/>
  <c r="AI170" i="15"/>
  <c r="AH158" i="15"/>
  <c r="Z158" i="15"/>
  <c r="S158" i="15"/>
  <c r="M158" i="15"/>
  <c r="AE157" i="15"/>
  <c r="X157" i="15"/>
  <c r="P157" i="15"/>
  <c r="J157" i="15"/>
  <c r="AI156" i="15"/>
  <c r="AA156" i="15"/>
  <c r="T156" i="15"/>
  <c r="M156" i="15"/>
  <c r="AF155" i="15"/>
  <c r="AA155" i="15"/>
  <c r="U155" i="15"/>
  <c r="P155" i="15"/>
  <c r="K155" i="15"/>
  <c r="G154" i="15"/>
  <c r="M154" i="15"/>
  <c r="R154" i="15"/>
  <c r="W154" i="15"/>
  <c r="AC154" i="15"/>
  <c r="AH154" i="15"/>
  <c r="AD141" i="15"/>
  <c r="J136" i="15"/>
  <c r="P136" i="15"/>
  <c r="X136" i="15"/>
  <c r="AE136" i="15"/>
  <c r="F136" i="15"/>
  <c r="O136" i="15"/>
  <c r="Z136" i="15"/>
  <c r="AI136" i="15"/>
  <c r="H136" i="15"/>
  <c r="S136" i="15"/>
  <c r="AA136" i="15"/>
  <c r="P135" i="15"/>
  <c r="E133" i="15"/>
  <c r="K133" i="15"/>
  <c r="S133" i="15"/>
  <c r="Z133" i="15"/>
  <c r="AG133" i="15"/>
  <c r="F133" i="15"/>
  <c r="O133" i="15"/>
  <c r="Y133" i="15"/>
  <c r="AI133" i="15"/>
  <c r="I133" i="15"/>
  <c r="Q133" i="15"/>
  <c r="AA133" i="15"/>
  <c r="F122" i="15"/>
  <c r="H122" i="15"/>
  <c r="M122" i="15"/>
  <c r="S122" i="15"/>
  <c r="X122" i="15"/>
  <c r="AC122" i="15"/>
  <c r="AI122" i="15"/>
  <c r="E122" i="15"/>
  <c r="L122" i="15"/>
  <c r="T122" i="15"/>
  <c r="AA122" i="15"/>
  <c r="AG122" i="15"/>
  <c r="G122" i="15"/>
  <c r="O122" i="15"/>
  <c r="U122" i="15"/>
  <c r="AB122" i="15"/>
  <c r="G121" i="15"/>
  <c r="K121" i="15"/>
  <c r="O121" i="15"/>
  <c r="S121" i="15"/>
  <c r="W121" i="15"/>
  <c r="AA121" i="15"/>
  <c r="AE121" i="15"/>
  <c r="AI121" i="15"/>
  <c r="E121" i="15"/>
  <c r="J121" i="15"/>
  <c r="P121" i="15"/>
  <c r="U121" i="15"/>
  <c r="Z121" i="15"/>
  <c r="AF121" i="15"/>
  <c r="F121" i="15"/>
  <c r="L121" i="15"/>
  <c r="Q121" i="15"/>
  <c r="V121" i="15"/>
  <c r="AB121" i="15"/>
  <c r="AG121" i="15"/>
  <c r="L119" i="15"/>
  <c r="H119" i="15"/>
  <c r="X119" i="15"/>
  <c r="K119" i="15"/>
  <c r="AF119" i="15"/>
  <c r="P119" i="15"/>
  <c r="AI119" i="15"/>
  <c r="F116" i="15"/>
  <c r="J116" i="15"/>
  <c r="S116" i="15"/>
  <c r="AE116" i="15"/>
  <c r="G116" i="15"/>
  <c r="W116" i="15"/>
  <c r="AI116" i="15"/>
  <c r="K116" i="15"/>
  <c r="Z116" i="15"/>
  <c r="O116" i="15"/>
  <c r="AA116" i="15"/>
  <c r="F48" i="15"/>
  <c r="V48" i="15"/>
  <c r="AI48" i="15"/>
  <c r="N48" i="15"/>
  <c r="AF48" i="15"/>
  <c r="P48" i="15"/>
  <c r="K48" i="15"/>
  <c r="X48" i="15"/>
  <c r="AA48" i="15"/>
  <c r="AD213" i="15"/>
  <c r="O213" i="15"/>
  <c r="H213" i="15"/>
  <c r="AI206" i="15"/>
  <c r="U206" i="15"/>
  <c r="N206" i="15"/>
  <c r="AE196" i="15"/>
  <c r="J196" i="15"/>
  <c r="T195" i="15"/>
  <c r="AH194" i="15"/>
  <c r="Z194" i="15"/>
  <c r="R194" i="15"/>
  <c r="J194" i="15"/>
  <c r="F158" i="15"/>
  <c r="K158" i="15"/>
  <c r="Q158" i="15"/>
  <c r="V158" i="15"/>
  <c r="AA158" i="15"/>
  <c r="AG158" i="15"/>
  <c r="AD157" i="15"/>
  <c r="V157" i="15"/>
  <c r="O157" i="15"/>
  <c r="G156" i="15"/>
  <c r="L156" i="15"/>
  <c r="Q156" i="15"/>
  <c r="W156" i="15"/>
  <c r="AB156" i="15"/>
  <c r="AG156" i="15"/>
  <c r="F155" i="15"/>
  <c r="J155" i="15"/>
  <c r="N155" i="15"/>
  <c r="R155" i="15"/>
  <c r="V155" i="15"/>
  <c r="Z155" i="15"/>
  <c r="AD155" i="15"/>
  <c r="AH155" i="15"/>
  <c r="F141" i="15"/>
  <c r="N141" i="15"/>
  <c r="U141" i="15"/>
  <c r="AA141" i="15"/>
  <c r="AI141" i="15"/>
  <c r="E141" i="15"/>
  <c r="O141" i="15"/>
  <c r="Y141" i="15"/>
  <c r="AG141" i="15"/>
  <c r="I141" i="15"/>
  <c r="Q141" i="15"/>
  <c r="Z141" i="15"/>
  <c r="AF135" i="15"/>
  <c r="AH116" i="15"/>
  <c r="H83" i="15"/>
  <c r="O83" i="15"/>
  <c r="W83" i="15"/>
  <c r="AD83" i="15"/>
  <c r="J83" i="15"/>
  <c r="S83" i="15"/>
  <c r="AB83" i="15"/>
  <c r="L83" i="15"/>
  <c r="T83" i="15"/>
  <c r="AE83" i="15"/>
  <c r="G83" i="15"/>
  <c r="Z83" i="15"/>
  <c r="N83" i="15"/>
  <c r="AH83" i="15"/>
  <c r="R83" i="15"/>
  <c r="AI83" i="15"/>
  <c r="E67" i="15"/>
  <c r="F67" i="15"/>
  <c r="K67" i="15"/>
  <c r="P67" i="15"/>
  <c r="V67" i="15"/>
  <c r="H67" i="15"/>
  <c r="O67" i="15"/>
  <c r="W67" i="15"/>
  <c r="AB67" i="15"/>
  <c r="AH67" i="15"/>
  <c r="J67" i="15"/>
  <c r="R67" i="15"/>
  <c r="X67" i="15"/>
  <c r="AD67" i="15"/>
  <c r="AI67" i="15"/>
  <c r="L67" i="15"/>
  <c r="Z67" i="15"/>
  <c r="N67" i="15"/>
  <c r="AA67" i="15"/>
  <c r="G67" i="15"/>
  <c r="AF67" i="15"/>
  <c r="S67" i="15"/>
  <c r="T67" i="15"/>
  <c r="X60" i="15"/>
  <c r="N60" i="15"/>
  <c r="AI60" i="15"/>
  <c r="G157" i="15"/>
  <c r="L157" i="15"/>
  <c r="R157" i="15"/>
  <c r="W157" i="15"/>
  <c r="AB157" i="15"/>
  <c r="AH157" i="15"/>
  <c r="E135" i="15"/>
  <c r="M135" i="15"/>
  <c r="T135" i="15"/>
  <c r="AA135" i="15"/>
  <c r="AI135" i="15"/>
  <c r="I135" i="15"/>
  <c r="S135" i="15"/>
  <c r="AC135" i="15"/>
  <c r="K135" i="15"/>
  <c r="U135" i="15"/>
  <c r="AE135" i="15"/>
  <c r="V213" i="15"/>
  <c r="AA206" i="15"/>
  <c r="T196" i="15"/>
  <c r="AE195" i="15"/>
  <c r="I195" i="15"/>
  <c r="AD194" i="15"/>
  <c r="V194" i="15"/>
  <c r="N194" i="15"/>
  <c r="F194" i="15"/>
  <c r="AI213" i="15"/>
  <c r="AA213" i="15"/>
  <c r="T213" i="15"/>
  <c r="N213" i="15"/>
  <c r="AE212" i="15"/>
  <c r="X212" i="15"/>
  <c r="P212" i="15"/>
  <c r="AI211" i="15"/>
  <c r="AE211" i="15"/>
  <c r="AA211" i="15"/>
  <c r="W211" i="15"/>
  <c r="S211" i="15"/>
  <c r="O211" i="15"/>
  <c r="K211" i="15"/>
  <c r="AI210" i="15"/>
  <c r="AA210" i="15"/>
  <c r="U210" i="15"/>
  <c r="N210" i="15"/>
  <c r="AC208" i="15"/>
  <c r="U208" i="15"/>
  <c r="O208" i="15"/>
  <c r="AH207" i="15"/>
  <c r="AD207" i="15"/>
  <c r="Z207" i="15"/>
  <c r="V207" i="15"/>
  <c r="R207" i="15"/>
  <c r="N207" i="15"/>
  <c r="J207" i="15"/>
  <c r="AG206" i="15"/>
  <c r="Z206" i="15"/>
  <c r="S206" i="15"/>
  <c r="K206" i="15"/>
  <c r="AD196" i="15"/>
  <c r="S196" i="15"/>
  <c r="H196" i="15"/>
  <c r="AC195" i="15"/>
  <c r="S195" i="15"/>
  <c r="H195" i="15"/>
  <c r="AG194" i="15"/>
  <c r="AC194" i="15"/>
  <c r="Y194" i="15"/>
  <c r="U194" i="15"/>
  <c r="Q194" i="15"/>
  <c r="M194" i="15"/>
  <c r="I194" i="15"/>
  <c r="AD193" i="15"/>
  <c r="S193" i="15"/>
  <c r="I193" i="15"/>
  <c r="AH192" i="15"/>
  <c r="W192" i="15"/>
  <c r="AI191" i="15"/>
  <c r="AC191" i="15"/>
  <c r="X191" i="15"/>
  <c r="S191" i="15"/>
  <c r="M191" i="15"/>
  <c r="H191" i="15"/>
  <c r="AI190" i="15"/>
  <c r="AE190" i="15"/>
  <c r="AA190" i="15"/>
  <c r="W190" i="15"/>
  <c r="S190" i="15"/>
  <c r="O190" i="15"/>
  <c r="K190" i="15"/>
  <c r="S188" i="15"/>
  <c r="AI187" i="15"/>
  <c r="AC187" i="15"/>
  <c r="X187" i="15"/>
  <c r="S187" i="15"/>
  <c r="M187" i="15"/>
  <c r="H187" i="15"/>
  <c r="AH177" i="15"/>
  <c r="AD177" i="15"/>
  <c r="Z177" i="15"/>
  <c r="V177" i="15"/>
  <c r="R177" i="15"/>
  <c r="N177" i="15"/>
  <c r="J177" i="15"/>
  <c r="H176" i="15"/>
  <c r="G176" i="15"/>
  <c r="M176" i="15"/>
  <c r="R176" i="15"/>
  <c r="E171" i="15"/>
  <c r="I171" i="15"/>
  <c r="Q171" i="15"/>
  <c r="W171" i="15"/>
  <c r="AD171" i="15"/>
  <c r="AA170" i="15"/>
  <c r="R170" i="15"/>
  <c r="H170" i="15"/>
  <c r="I169" i="15"/>
  <c r="E169" i="15"/>
  <c r="L169" i="15"/>
  <c r="S169" i="15"/>
  <c r="AA169" i="15"/>
  <c r="AG169" i="15"/>
  <c r="E168" i="15"/>
  <c r="I168" i="15"/>
  <c r="M168" i="15"/>
  <c r="Q168" i="15"/>
  <c r="U168" i="15"/>
  <c r="Y168" i="15"/>
  <c r="AC168" i="15"/>
  <c r="AG168" i="15"/>
  <c r="AD158" i="15"/>
  <c r="W158" i="15"/>
  <c r="O158" i="15"/>
  <c r="I158" i="15"/>
  <c r="AI157" i="15"/>
  <c r="AA157" i="15"/>
  <c r="T157" i="15"/>
  <c r="N157" i="15"/>
  <c r="F157" i="15"/>
  <c r="AE156" i="15"/>
  <c r="X156" i="15"/>
  <c r="P156" i="15"/>
  <c r="I156" i="15"/>
  <c r="AI155" i="15"/>
  <c r="AC155" i="15"/>
  <c r="X155" i="15"/>
  <c r="S155" i="15"/>
  <c r="M155" i="15"/>
  <c r="H155" i="15"/>
  <c r="AI154" i="15"/>
  <c r="AA154" i="15"/>
  <c r="U154" i="15"/>
  <c r="N154" i="15"/>
  <c r="F154" i="15"/>
  <c r="H153" i="15"/>
  <c r="N153" i="15"/>
  <c r="S153" i="15"/>
  <c r="X153" i="15"/>
  <c r="AD153" i="15"/>
  <c r="AI153" i="15"/>
  <c r="S141" i="15"/>
  <c r="H139" i="15"/>
  <c r="O139" i="15"/>
  <c r="U139" i="15"/>
  <c r="AC139" i="15"/>
  <c r="E139" i="15"/>
  <c r="P139" i="15"/>
  <c r="Y139" i="15"/>
  <c r="AI139" i="15"/>
  <c r="I139" i="15"/>
  <c r="S139" i="15"/>
  <c r="AA139" i="15"/>
  <c r="F138" i="15"/>
  <c r="J138" i="15"/>
  <c r="N138" i="15"/>
  <c r="R138" i="15"/>
  <c r="V138" i="15"/>
  <c r="Z138" i="15"/>
  <c r="AD138" i="15"/>
  <c r="AH138" i="15"/>
  <c r="E138" i="15"/>
  <c r="K138" i="15"/>
  <c r="P138" i="15"/>
  <c r="U138" i="15"/>
  <c r="AA138" i="15"/>
  <c r="AF138" i="15"/>
  <c r="G138" i="15"/>
  <c r="L138" i="15"/>
  <c r="Q138" i="15"/>
  <c r="W138" i="15"/>
  <c r="AB138" i="15"/>
  <c r="AG138" i="15"/>
  <c r="AF136" i="15"/>
  <c r="N136" i="15"/>
  <c r="Y135" i="15"/>
  <c r="H135" i="15"/>
  <c r="AE133" i="15"/>
  <c r="N133" i="15"/>
  <c r="Y122" i="15"/>
  <c r="K122" i="15"/>
  <c r="AD121" i="15"/>
  <c r="T121" i="15"/>
  <c r="I121" i="15"/>
  <c r="AA119" i="15"/>
  <c r="R116" i="15"/>
  <c r="H115" i="15"/>
  <c r="P115" i="15"/>
  <c r="X115" i="15"/>
  <c r="AF115" i="15"/>
  <c r="G115" i="15"/>
  <c r="S115" i="15"/>
  <c r="AB115" i="15"/>
  <c r="K115" i="15"/>
  <c r="T115" i="15"/>
  <c r="AE115" i="15"/>
  <c r="L115" i="15"/>
  <c r="W115" i="15"/>
  <c r="AI115" i="15"/>
  <c r="E103" i="15"/>
  <c r="K103" i="15"/>
  <c r="S103" i="15"/>
  <c r="Z103" i="15"/>
  <c r="AG103" i="15"/>
  <c r="F103" i="15"/>
  <c r="O103" i="15"/>
  <c r="Y103" i="15"/>
  <c r="AI103" i="15"/>
  <c r="I103" i="15"/>
  <c r="Q103" i="15"/>
  <c r="AA103" i="15"/>
  <c r="J103" i="15"/>
  <c r="U103" i="15"/>
  <c r="AD103" i="15"/>
  <c r="G151" i="15"/>
  <c r="K151" i="15"/>
  <c r="O151" i="15"/>
  <c r="S151" i="15"/>
  <c r="W151" i="15"/>
  <c r="AA151" i="15"/>
  <c r="AE151" i="15"/>
  <c r="AI151" i="15"/>
  <c r="E137" i="15"/>
  <c r="K137" i="15"/>
  <c r="S137" i="15"/>
  <c r="Z137" i="15"/>
  <c r="AG137" i="15"/>
  <c r="F134" i="15"/>
  <c r="J134" i="15"/>
  <c r="N134" i="15"/>
  <c r="R134" i="15"/>
  <c r="V134" i="15"/>
  <c r="Z134" i="15"/>
  <c r="AD134" i="15"/>
  <c r="AH134" i="15"/>
  <c r="J132" i="15"/>
  <c r="P132" i="15"/>
  <c r="X132" i="15"/>
  <c r="AE132" i="15"/>
  <c r="F118" i="15"/>
  <c r="E118" i="15"/>
  <c r="K118" i="15"/>
  <c r="P118" i="15"/>
  <c r="U118" i="15"/>
  <c r="AA118" i="15"/>
  <c r="AF118" i="15"/>
  <c r="E117" i="15"/>
  <c r="I117" i="15"/>
  <c r="M117" i="15"/>
  <c r="Q117" i="15"/>
  <c r="U117" i="15"/>
  <c r="Y117" i="15"/>
  <c r="AC117" i="15"/>
  <c r="AG117" i="15"/>
  <c r="F114" i="15"/>
  <c r="G114" i="15"/>
  <c r="L114" i="15"/>
  <c r="Q114" i="15"/>
  <c r="W114" i="15"/>
  <c r="AB114" i="15"/>
  <c r="AG114" i="15"/>
  <c r="F113" i="15"/>
  <c r="J113" i="15"/>
  <c r="N113" i="15"/>
  <c r="R113" i="15"/>
  <c r="V113" i="15"/>
  <c r="Z113" i="15"/>
  <c r="AD113" i="15"/>
  <c r="AH113" i="15"/>
  <c r="J102" i="15"/>
  <c r="P102" i="15"/>
  <c r="X102" i="15"/>
  <c r="AE102" i="15"/>
  <c r="F98" i="15"/>
  <c r="N98" i="15"/>
  <c r="T98" i="15"/>
  <c r="J98" i="15"/>
  <c r="S98" i="15"/>
  <c r="AA98" i="15"/>
  <c r="AI98" i="15"/>
  <c r="K98" i="15"/>
  <c r="V98" i="15"/>
  <c r="AD98" i="15"/>
  <c r="F86" i="15"/>
  <c r="G86" i="15"/>
  <c r="N86" i="15"/>
  <c r="U86" i="15"/>
  <c r="AC86" i="15"/>
  <c r="AI86" i="15"/>
  <c r="I86" i="15"/>
  <c r="R86" i="15"/>
  <c r="Z86" i="15"/>
  <c r="J86" i="15"/>
  <c r="S86" i="15"/>
  <c r="AD86" i="15"/>
  <c r="F50" i="15"/>
  <c r="J50" i="15"/>
  <c r="N50" i="15"/>
  <c r="R50" i="15"/>
  <c r="V50" i="15"/>
  <c r="Z50" i="15"/>
  <c r="AD50" i="15"/>
  <c r="AH50" i="15"/>
  <c r="E50" i="15"/>
  <c r="K50" i="15"/>
  <c r="P50" i="15"/>
  <c r="U50" i="15"/>
  <c r="AA50" i="15"/>
  <c r="AF50" i="15"/>
  <c r="G50" i="15"/>
  <c r="L50" i="15"/>
  <c r="Q50" i="15"/>
  <c r="W50" i="15"/>
  <c r="AB50" i="15"/>
  <c r="AG50" i="15"/>
  <c r="H50" i="15"/>
  <c r="S50" i="15"/>
  <c r="AC50" i="15"/>
  <c r="I50" i="15"/>
  <c r="T50" i="15"/>
  <c r="AE50" i="15"/>
  <c r="AI152" i="15"/>
  <c r="AC152" i="15"/>
  <c r="X152" i="15"/>
  <c r="S152" i="15"/>
  <c r="M152" i="15"/>
  <c r="AH151" i="15"/>
  <c r="AC151" i="15"/>
  <c r="X151" i="15"/>
  <c r="R151" i="15"/>
  <c r="M151" i="15"/>
  <c r="H151" i="15"/>
  <c r="AD137" i="15"/>
  <c r="U137" i="15"/>
  <c r="J137" i="15"/>
  <c r="AI134" i="15"/>
  <c r="AC134" i="15"/>
  <c r="X134" i="15"/>
  <c r="S134" i="15"/>
  <c r="M134" i="15"/>
  <c r="H134" i="15"/>
  <c r="AD132" i="15"/>
  <c r="T132" i="15"/>
  <c r="K132" i="15"/>
  <c r="AE118" i="15"/>
  <c r="X118" i="15"/>
  <c r="Q118" i="15"/>
  <c r="I118" i="15"/>
  <c r="AI117" i="15"/>
  <c r="AD117" i="15"/>
  <c r="X117" i="15"/>
  <c r="S117" i="15"/>
  <c r="N117" i="15"/>
  <c r="H117" i="15"/>
  <c r="AE114" i="15"/>
  <c r="X114" i="15"/>
  <c r="P114" i="15"/>
  <c r="I114" i="15"/>
  <c r="AI113" i="15"/>
  <c r="AC113" i="15"/>
  <c r="X113" i="15"/>
  <c r="S113" i="15"/>
  <c r="M113" i="15"/>
  <c r="H113" i="15"/>
  <c r="AD102" i="15"/>
  <c r="T102" i="15"/>
  <c r="K102" i="15"/>
  <c r="E101" i="15"/>
  <c r="M101" i="15"/>
  <c r="T101" i="15"/>
  <c r="AA101" i="15"/>
  <c r="AI101" i="15"/>
  <c r="AF98" i="15"/>
  <c r="P98" i="15"/>
  <c r="AH86" i="15"/>
  <c r="O86" i="15"/>
  <c r="I70" i="15"/>
  <c r="Q70" i="15"/>
  <c r="X70" i="15"/>
  <c r="AE70" i="15"/>
  <c r="H70" i="15"/>
  <c r="S70" i="15"/>
  <c r="AB70" i="15"/>
  <c r="L70" i="15"/>
  <c r="T70" i="15"/>
  <c r="AC70" i="15"/>
  <c r="X50" i="15"/>
  <c r="AG100" i="15"/>
  <c r="AC100" i="15"/>
  <c r="Y100" i="15"/>
  <c r="U100" i="15"/>
  <c r="Q100" i="15"/>
  <c r="M100" i="15"/>
  <c r="I100" i="15"/>
  <c r="AI97" i="15"/>
  <c r="Y97" i="15"/>
  <c r="O97" i="15"/>
  <c r="AF96" i="15"/>
  <c r="Z96" i="15"/>
  <c r="U96" i="15"/>
  <c r="P96" i="15"/>
  <c r="J96" i="15"/>
  <c r="I72" i="15"/>
  <c r="O72" i="15"/>
  <c r="W72" i="15"/>
  <c r="AD72" i="15"/>
  <c r="Z71" i="15"/>
  <c r="R71" i="15"/>
  <c r="AH68" i="15"/>
  <c r="S68" i="15"/>
  <c r="AA64" i="15"/>
  <c r="AI62" i="15"/>
  <c r="AA61" i="15"/>
  <c r="P61" i="15"/>
  <c r="I97" i="15"/>
  <c r="P97" i="15"/>
  <c r="X97" i="15"/>
  <c r="AE97" i="15"/>
  <c r="G96" i="15"/>
  <c r="K96" i="15"/>
  <c r="O96" i="15"/>
  <c r="S96" i="15"/>
  <c r="W96" i="15"/>
  <c r="AA96" i="15"/>
  <c r="AE96" i="15"/>
  <c r="AI96" i="15"/>
  <c r="G71" i="15"/>
  <c r="N71" i="15"/>
  <c r="T71" i="15"/>
  <c r="AB71" i="15"/>
  <c r="AI71" i="15"/>
  <c r="G68" i="15"/>
  <c r="N68" i="15"/>
  <c r="U68" i="15"/>
  <c r="AC68" i="15"/>
  <c r="AI68" i="15"/>
  <c r="I68" i="15"/>
  <c r="O68" i="15"/>
  <c r="W68" i="15"/>
  <c r="AD68" i="15"/>
  <c r="E64" i="15"/>
  <c r="M64" i="15"/>
  <c r="U64" i="15"/>
  <c r="AC64" i="15"/>
  <c r="I64" i="15"/>
  <c r="S64" i="15"/>
  <c r="AE64" i="15"/>
  <c r="K64" i="15"/>
  <c r="W64" i="15"/>
  <c r="AG64" i="15"/>
  <c r="I62" i="15"/>
  <c r="S62" i="15"/>
  <c r="AC62" i="15"/>
  <c r="K62" i="15"/>
  <c r="Y62" i="15"/>
  <c r="M62" i="15"/>
  <c r="AA62" i="15"/>
  <c r="F61" i="15"/>
  <c r="J61" i="15"/>
  <c r="N61" i="15"/>
  <c r="R61" i="15"/>
  <c r="V61" i="15"/>
  <c r="Z61" i="15"/>
  <c r="AD61" i="15"/>
  <c r="AH61" i="15"/>
  <c r="G61" i="15"/>
  <c r="L61" i="15"/>
  <c r="Q61" i="15"/>
  <c r="W61" i="15"/>
  <c r="AB61" i="15"/>
  <c r="AG61" i="15"/>
  <c r="H61" i="15"/>
  <c r="M61" i="15"/>
  <c r="S61" i="15"/>
  <c r="X61" i="15"/>
  <c r="AC61" i="15"/>
  <c r="AI61" i="15"/>
  <c r="K49" i="15"/>
  <c r="V49" i="15"/>
  <c r="AG49" i="15"/>
  <c r="G42" i="15"/>
  <c r="K42" i="15"/>
  <c r="O42" i="15"/>
  <c r="S42" i="15"/>
  <c r="W42" i="15"/>
  <c r="AA42" i="15"/>
  <c r="AE42" i="15"/>
  <c r="AI42" i="15"/>
  <c r="H37" i="15"/>
  <c r="E37" i="15"/>
  <c r="J37" i="15"/>
  <c r="O37" i="15"/>
  <c r="U37" i="15"/>
  <c r="Z37" i="15"/>
  <c r="AE37" i="15"/>
  <c r="F37" i="15"/>
  <c r="K37" i="15"/>
  <c r="Q37" i="15"/>
  <c r="V37" i="15"/>
  <c r="AA37" i="15"/>
  <c r="AG37" i="15"/>
  <c r="AI69" i="15"/>
  <c r="AE69" i="15"/>
  <c r="AA69" i="15"/>
  <c r="W69" i="15"/>
  <c r="S69" i="15"/>
  <c r="O69" i="15"/>
  <c r="K69" i="15"/>
  <c r="E63" i="15"/>
  <c r="F63" i="15"/>
  <c r="K63" i="15"/>
  <c r="P63" i="15"/>
  <c r="V63" i="15"/>
  <c r="AA63" i="15"/>
  <c r="AF63" i="15"/>
  <c r="AA49" i="15"/>
  <c r="N49" i="15"/>
  <c r="I47" i="15"/>
  <c r="H47" i="15"/>
  <c r="S47" i="15"/>
  <c r="AC47" i="15"/>
  <c r="F46" i="15"/>
  <c r="J46" i="15"/>
  <c r="N46" i="15"/>
  <c r="R46" i="15"/>
  <c r="V46" i="15"/>
  <c r="Z46" i="15"/>
  <c r="AD46" i="15"/>
  <c r="AH46" i="15"/>
  <c r="G44" i="15"/>
  <c r="S44" i="15"/>
  <c r="AH42" i="15"/>
  <c r="AC42" i="15"/>
  <c r="X42" i="15"/>
  <c r="R42" i="15"/>
  <c r="M42" i="15"/>
  <c r="H42" i="15"/>
  <c r="AD40" i="15"/>
  <c r="V40" i="15"/>
  <c r="N40" i="15"/>
  <c r="AB39" i="15"/>
  <c r="S39" i="15"/>
  <c r="AG38" i="15"/>
  <c r="AC38" i="15"/>
  <c r="Y38" i="15"/>
  <c r="U38" i="15"/>
  <c r="Q38" i="15"/>
  <c r="M38" i="15"/>
  <c r="I38" i="15"/>
  <c r="AI1" i="15"/>
  <c r="AI1" i="13"/>
  <c r="AL1" i="16"/>
  <c r="AI1" i="14"/>
  <c r="AH1" i="16"/>
  <c r="AO14" i="16"/>
  <c r="AO26" i="16"/>
  <c r="AP15" i="16"/>
  <c r="AO15" i="16"/>
  <c r="AP26" i="16"/>
  <c r="AP27" i="16" s="1"/>
  <c r="AO25" i="16"/>
  <c r="E213" i="15"/>
  <c r="I213" i="15"/>
  <c r="M213" i="15"/>
  <c r="Q213" i="15"/>
  <c r="U213" i="15"/>
  <c r="Y213" i="15"/>
  <c r="AC213" i="15"/>
  <c r="AG213" i="15"/>
  <c r="F212" i="15"/>
  <c r="J212" i="15"/>
  <c r="N212" i="15"/>
  <c r="R212" i="15"/>
  <c r="V212" i="15"/>
  <c r="Z212" i="15"/>
  <c r="AD212" i="15"/>
  <c r="AH212" i="15"/>
  <c r="H210" i="15"/>
  <c r="L210" i="15"/>
  <c r="P210" i="15"/>
  <c r="T210" i="15"/>
  <c r="X210" i="15"/>
  <c r="AB210" i="15"/>
  <c r="AF210" i="15"/>
  <c r="E209" i="15"/>
  <c r="I209" i="15"/>
  <c r="M209" i="15"/>
  <c r="Q209" i="15"/>
  <c r="U209" i="15"/>
  <c r="Y209" i="15"/>
  <c r="AC209" i="15"/>
  <c r="AG209" i="15"/>
  <c r="F208" i="15"/>
  <c r="J208" i="15"/>
  <c r="N208" i="15"/>
  <c r="R208" i="15"/>
  <c r="V208" i="15"/>
  <c r="Z208" i="15"/>
  <c r="AD208" i="15"/>
  <c r="AH208" i="15"/>
  <c r="H206" i="15"/>
  <c r="L206" i="15"/>
  <c r="P206" i="15"/>
  <c r="T206" i="15"/>
  <c r="X206" i="15"/>
  <c r="AB206" i="15"/>
  <c r="AF206" i="15"/>
  <c r="AH196" i="15"/>
  <c r="AB196" i="15"/>
  <c r="W196" i="15"/>
  <c r="R196" i="15"/>
  <c r="L196" i="15"/>
  <c r="AG195" i="15"/>
  <c r="AB195" i="15"/>
  <c r="W195" i="15"/>
  <c r="Q195" i="15"/>
  <c r="L195" i="15"/>
  <c r="AH193" i="15"/>
  <c r="AC193" i="15"/>
  <c r="W193" i="15"/>
  <c r="R193" i="15"/>
  <c r="M193" i="15"/>
  <c r="E192" i="15"/>
  <c r="I192" i="15"/>
  <c r="M192" i="15"/>
  <c r="Q192" i="15"/>
  <c r="U192" i="15"/>
  <c r="Y192" i="15"/>
  <c r="AC192" i="15"/>
  <c r="AG192" i="15"/>
  <c r="F192" i="15"/>
  <c r="J192" i="15"/>
  <c r="N192" i="15"/>
  <c r="R192" i="15"/>
  <c r="V192" i="15"/>
  <c r="Z192" i="15"/>
  <c r="AD192" i="15"/>
  <c r="W188" i="15"/>
  <c r="H175" i="15"/>
  <c r="L175" i="15"/>
  <c r="P175" i="15"/>
  <c r="T175" i="15"/>
  <c r="X175" i="15"/>
  <c r="AB175" i="15"/>
  <c r="AF175" i="15"/>
  <c r="E175" i="15"/>
  <c r="I175" i="15"/>
  <c r="M175" i="15"/>
  <c r="Q175" i="15"/>
  <c r="U175" i="15"/>
  <c r="Y175" i="15"/>
  <c r="AC175" i="15"/>
  <c r="AG175" i="15"/>
  <c r="R175" i="15"/>
  <c r="Z175" i="15"/>
  <c r="AH175" i="15"/>
  <c r="F175" i="15"/>
  <c r="J175" i="15"/>
  <c r="N175" i="15"/>
  <c r="V175" i="15"/>
  <c r="AD175" i="15"/>
  <c r="E196" i="15"/>
  <c r="I196" i="15"/>
  <c r="M196" i="15"/>
  <c r="Q196" i="15"/>
  <c r="U196" i="15"/>
  <c r="Y196" i="15"/>
  <c r="AC196" i="15"/>
  <c r="AG196" i="15"/>
  <c r="F195" i="15"/>
  <c r="J195" i="15"/>
  <c r="N195" i="15"/>
  <c r="R195" i="15"/>
  <c r="V195" i="15"/>
  <c r="Z195" i="15"/>
  <c r="AD195" i="15"/>
  <c r="AH195" i="15"/>
  <c r="H193" i="15"/>
  <c r="L193" i="15"/>
  <c r="P193" i="15"/>
  <c r="T193" i="15"/>
  <c r="X193" i="15"/>
  <c r="AB193" i="15"/>
  <c r="AF193" i="15"/>
  <c r="AH213" i="15"/>
  <c r="AB213" i="15"/>
  <c r="W213" i="15"/>
  <c r="R213" i="15"/>
  <c r="L213" i="15"/>
  <c r="G213" i="15"/>
  <c r="AG212" i="15"/>
  <c r="AB212" i="15"/>
  <c r="W212" i="15"/>
  <c r="Q212" i="15"/>
  <c r="L212" i="15"/>
  <c r="G212" i="15"/>
  <c r="AH210" i="15"/>
  <c r="AC210" i="15"/>
  <c r="W210" i="15"/>
  <c r="R210" i="15"/>
  <c r="M210" i="15"/>
  <c r="G210" i="15"/>
  <c r="AH209" i="15"/>
  <c r="AB209" i="15"/>
  <c r="W209" i="15"/>
  <c r="R209" i="15"/>
  <c r="L209" i="15"/>
  <c r="G209" i="15"/>
  <c r="AG208" i="15"/>
  <c r="AB208" i="15"/>
  <c r="W208" i="15"/>
  <c r="Q208" i="15"/>
  <c r="L208" i="15"/>
  <c r="G208" i="15"/>
  <c r="AH206" i="15"/>
  <c r="AC206" i="15"/>
  <c r="W206" i="15"/>
  <c r="R206" i="15"/>
  <c r="M206" i="15"/>
  <c r="G206" i="15"/>
  <c r="AF196" i="15"/>
  <c r="AA196" i="15"/>
  <c r="V196" i="15"/>
  <c r="P196" i="15"/>
  <c r="K196" i="15"/>
  <c r="F196" i="15"/>
  <c r="AF195" i="15"/>
  <c r="AA195" i="15"/>
  <c r="U195" i="15"/>
  <c r="P195" i="15"/>
  <c r="K195" i="15"/>
  <c r="E195" i="15"/>
  <c r="AG193" i="15"/>
  <c r="AA193" i="15"/>
  <c r="V193" i="15"/>
  <c r="Q193" i="15"/>
  <c r="K193" i="15"/>
  <c r="F193" i="15"/>
  <c r="AF192" i="15"/>
  <c r="X192" i="15"/>
  <c r="P192" i="15"/>
  <c r="H192" i="15"/>
  <c r="H188" i="15"/>
  <c r="L188" i="15"/>
  <c r="P188" i="15"/>
  <c r="T188" i="15"/>
  <c r="X188" i="15"/>
  <c r="AB188" i="15"/>
  <c r="AF188" i="15"/>
  <c r="E188" i="15"/>
  <c r="I188" i="15"/>
  <c r="M188" i="15"/>
  <c r="Q188" i="15"/>
  <c r="U188" i="15"/>
  <c r="Y188" i="15"/>
  <c r="AC188" i="15"/>
  <c r="AG188" i="15"/>
  <c r="F188" i="15"/>
  <c r="N188" i="15"/>
  <c r="R188" i="15"/>
  <c r="Z188" i="15"/>
  <c r="AH188" i="15"/>
  <c r="J188" i="15"/>
  <c r="V188" i="15"/>
  <c r="AD188" i="15"/>
  <c r="AG189" i="15"/>
  <c r="U189" i="15"/>
  <c r="M189" i="15"/>
  <c r="E189" i="15"/>
  <c r="H141" i="15"/>
  <c r="L141" i="15"/>
  <c r="P141" i="15"/>
  <c r="T141" i="15"/>
  <c r="X141" i="15"/>
  <c r="AB141" i="15"/>
  <c r="AF141" i="15"/>
  <c r="E140" i="15"/>
  <c r="I140" i="15"/>
  <c r="M140" i="15"/>
  <c r="Q140" i="15"/>
  <c r="U140" i="15"/>
  <c r="Y140" i="15"/>
  <c r="AC140" i="15"/>
  <c r="AG140" i="15"/>
  <c r="F139" i="15"/>
  <c r="J139" i="15"/>
  <c r="N139" i="15"/>
  <c r="R139" i="15"/>
  <c r="V139" i="15"/>
  <c r="Z139" i="15"/>
  <c r="AD139" i="15"/>
  <c r="AH139" i="15"/>
  <c r="H137" i="15"/>
  <c r="L137" i="15"/>
  <c r="P137" i="15"/>
  <c r="T137" i="15"/>
  <c r="X137" i="15"/>
  <c r="AB137" i="15"/>
  <c r="AF137" i="15"/>
  <c r="E136" i="15"/>
  <c r="I136" i="15"/>
  <c r="M136" i="15"/>
  <c r="Q136" i="15"/>
  <c r="U136" i="15"/>
  <c r="Y136" i="15"/>
  <c r="AC136" i="15"/>
  <c r="AG136" i="15"/>
  <c r="F135" i="15"/>
  <c r="J135" i="15"/>
  <c r="N135" i="15"/>
  <c r="R135" i="15"/>
  <c r="V135" i="15"/>
  <c r="Z135" i="15"/>
  <c r="AD135" i="15"/>
  <c r="AH135" i="15"/>
  <c r="H133" i="15"/>
  <c r="L133" i="15"/>
  <c r="P133" i="15"/>
  <c r="T133" i="15"/>
  <c r="X133" i="15"/>
  <c r="AB133" i="15"/>
  <c r="AF133" i="15"/>
  <c r="E132" i="15"/>
  <c r="I132" i="15"/>
  <c r="M132" i="15"/>
  <c r="Q132" i="15"/>
  <c r="U132" i="15"/>
  <c r="Y132" i="15"/>
  <c r="AC132" i="15"/>
  <c r="AG132" i="15"/>
  <c r="AH120" i="15"/>
  <c r="Z120" i="15"/>
  <c r="R120" i="15"/>
  <c r="J120" i="15"/>
  <c r="AE119" i="15"/>
  <c r="W119" i="15"/>
  <c r="O119" i="15"/>
  <c r="G119" i="15"/>
  <c r="AC189" i="15"/>
  <c r="Y189" i="15"/>
  <c r="Q189" i="15"/>
  <c r="I189" i="15"/>
  <c r="AH191" i="15"/>
  <c r="AD191" i="15"/>
  <c r="Z191" i="15"/>
  <c r="V191" i="15"/>
  <c r="R191" i="15"/>
  <c r="N191" i="15"/>
  <c r="J191" i="15"/>
  <c r="AF189" i="15"/>
  <c r="AB189" i="15"/>
  <c r="X189" i="15"/>
  <c r="T189" i="15"/>
  <c r="P189" i="15"/>
  <c r="L189" i="15"/>
  <c r="AH187" i="15"/>
  <c r="AD187" i="15"/>
  <c r="Z187" i="15"/>
  <c r="V187" i="15"/>
  <c r="R187" i="15"/>
  <c r="N187" i="15"/>
  <c r="J187" i="15"/>
  <c r="F187" i="15"/>
  <c r="AF176" i="15"/>
  <c r="AB176" i="15"/>
  <c r="X176" i="15"/>
  <c r="T176" i="15"/>
  <c r="P176" i="15"/>
  <c r="L176" i="15"/>
  <c r="AH174" i="15"/>
  <c r="AD174" i="15"/>
  <c r="Z174" i="15"/>
  <c r="V174" i="15"/>
  <c r="R174" i="15"/>
  <c r="N174" i="15"/>
  <c r="J174" i="15"/>
  <c r="F174" i="15"/>
  <c r="AE171" i="15"/>
  <c r="Z171" i="15"/>
  <c r="U171" i="15"/>
  <c r="O171" i="15"/>
  <c r="J171" i="15"/>
  <c r="AE170" i="15"/>
  <c r="Z170" i="15"/>
  <c r="T170" i="15"/>
  <c r="O170" i="15"/>
  <c r="AE169" i="15"/>
  <c r="Y169" i="15"/>
  <c r="T169" i="15"/>
  <c r="O169" i="15"/>
  <c r="H158" i="15"/>
  <c r="L158" i="15"/>
  <c r="P158" i="15"/>
  <c r="T158" i="15"/>
  <c r="X158" i="15"/>
  <c r="AB158" i="15"/>
  <c r="AF158" i="15"/>
  <c r="E157" i="15"/>
  <c r="I157" i="15"/>
  <c r="M157" i="15"/>
  <c r="Q157" i="15"/>
  <c r="U157" i="15"/>
  <c r="Y157" i="15"/>
  <c r="AC157" i="15"/>
  <c r="AG157" i="15"/>
  <c r="F156" i="15"/>
  <c r="J156" i="15"/>
  <c r="N156" i="15"/>
  <c r="R156" i="15"/>
  <c r="V156" i="15"/>
  <c r="Z156" i="15"/>
  <c r="AD156" i="15"/>
  <c r="AH156" i="15"/>
  <c r="H154" i="15"/>
  <c r="L154" i="15"/>
  <c r="P154" i="15"/>
  <c r="T154" i="15"/>
  <c r="X154" i="15"/>
  <c r="AB154" i="15"/>
  <c r="AF154" i="15"/>
  <c r="E153" i="15"/>
  <c r="I153" i="15"/>
  <c r="M153" i="15"/>
  <c r="Q153" i="15"/>
  <c r="U153" i="15"/>
  <c r="Y153" i="15"/>
  <c r="AC153" i="15"/>
  <c r="AG153" i="15"/>
  <c r="F152" i="15"/>
  <c r="J152" i="15"/>
  <c r="N152" i="15"/>
  <c r="R152" i="15"/>
  <c r="V152" i="15"/>
  <c r="Z152" i="15"/>
  <c r="AD152" i="15"/>
  <c r="AH152" i="15"/>
  <c r="AH141" i="15"/>
  <c r="AC141" i="15"/>
  <c r="W141" i="15"/>
  <c r="R141" i="15"/>
  <c r="M141" i="15"/>
  <c r="G141" i="15"/>
  <c r="AH140" i="15"/>
  <c r="AB140" i="15"/>
  <c r="W140" i="15"/>
  <c r="R140" i="15"/>
  <c r="L140" i="15"/>
  <c r="G140" i="15"/>
  <c r="AG139" i="15"/>
  <c r="AB139" i="15"/>
  <c r="W139" i="15"/>
  <c r="Q139" i="15"/>
  <c r="L139" i="15"/>
  <c r="G139" i="15"/>
  <c r="AH137" i="15"/>
  <c r="AC137" i="15"/>
  <c r="W137" i="15"/>
  <c r="R137" i="15"/>
  <c r="M137" i="15"/>
  <c r="G137" i="15"/>
  <c r="AH136" i="15"/>
  <c r="AB136" i="15"/>
  <c r="W136" i="15"/>
  <c r="R136" i="15"/>
  <c r="L136" i="15"/>
  <c r="G136" i="15"/>
  <c r="AG135" i="15"/>
  <c r="AB135" i="15"/>
  <c r="W135" i="15"/>
  <c r="Q135" i="15"/>
  <c r="L135" i="15"/>
  <c r="G135" i="15"/>
  <c r="AH133" i="15"/>
  <c r="AC133" i="15"/>
  <c r="W133" i="15"/>
  <c r="R133" i="15"/>
  <c r="M133" i="15"/>
  <c r="G133" i="15"/>
  <c r="AH132" i="15"/>
  <c r="AB132" i="15"/>
  <c r="W132" i="15"/>
  <c r="R132" i="15"/>
  <c r="L132" i="15"/>
  <c r="G132" i="15"/>
  <c r="AE120" i="15"/>
  <c r="W120" i="15"/>
  <c r="O120" i="15"/>
  <c r="G120" i="15"/>
  <c r="AB119" i="15"/>
  <c r="T119" i="15"/>
  <c r="AD116" i="15"/>
  <c r="V116" i="15"/>
  <c r="N116" i="15"/>
  <c r="E115" i="15"/>
  <c r="I115" i="15"/>
  <c r="M115" i="15"/>
  <c r="Q115" i="15"/>
  <c r="U115" i="15"/>
  <c r="Y115" i="15"/>
  <c r="AC115" i="15"/>
  <c r="AG115" i="15"/>
  <c r="F115" i="15"/>
  <c r="J115" i="15"/>
  <c r="N115" i="15"/>
  <c r="R115" i="15"/>
  <c r="V115" i="15"/>
  <c r="Z115" i="15"/>
  <c r="AD115" i="15"/>
  <c r="AH115" i="15"/>
  <c r="AG174" i="15"/>
  <c r="AC174" i="15"/>
  <c r="Y174" i="15"/>
  <c r="U174" i="15"/>
  <c r="Q174" i="15"/>
  <c r="M174" i="15"/>
  <c r="I174" i="15"/>
  <c r="H171" i="15"/>
  <c r="L171" i="15"/>
  <c r="P171" i="15"/>
  <c r="T171" i="15"/>
  <c r="X171" i="15"/>
  <c r="AB171" i="15"/>
  <c r="AF171" i="15"/>
  <c r="E170" i="15"/>
  <c r="I170" i="15"/>
  <c r="M170" i="15"/>
  <c r="Q170" i="15"/>
  <c r="U170" i="15"/>
  <c r="Y170" i="15"/>
  <c r="AC170" i="15"/>
  <c r="AG170" i="15"/>
  <c r="F169" i="15"/>
  <c r="J169" i="15"/>
  <c r="N169" i="15"/>
  <c r="R169" i="15"/>
  <c r="V169" i="15"/>
  <c r="Z169" i="15"/>
  <c r="AD169" i="15"/>
  <c r="AH169" i="15"/>
  <c r="AD120" i="15"/>
  <c r="V120" i="15"/>
  <c r="N120" i="15"/>
  <c r="E119" i="15"/>
  <c r="I119" i="15"/>
  <c r="M119" i="15"/>
  <c r="Q119" i="15"/>
  <c r="U119" i="15"/>
  <c r="Y119" i="15"/>
  <c r="AC119" i="15"/>
  <c r="AG119" i="15"/>
  <c r="F119" i="15"/>
  <c r="J119" i="15"/>
  <c r="N119" i="15"/>
  <c r="R119" i="15"/>
  <c r="V119" i="15"/>
  <c r="Z119" i="15"/>
  <c r="AD119" i="15"/>
  <c r="AH119" i="15"/>
  <c r="H116" i="15"/>
  <c r="L116" i="15"/>
  <c r="P116" i="15"/>
  <c r="T116" i="15"/>
  <c r="X116" i="15"/>
  <c r="AB116" i="15"/>
  <c r="AF116" i="15"/>
  <c r="E116" i="15"/>
  <c r="I116" i="15"/>
  <c r="M116" i="15"/>
  <c r="Q116" i="15"/>
  <c r="U116" i="15"/>
  <c r="Y116" i="15"/>
  <c r="AC116" i="15"/>
  <c r="AG116" i="15"/>
  <c r="H120" i="15"/>
  <c r="L120" i="15"/>
  <c r="P120" i="15"/>
  <c r="T120" i="15"/>
  <c r="X120" i="15"/>
  <c r="AB120" i="15"/>
  <c r="AF120" i="15"/>
  <c r="E120" i="15"/>
  <c r="I120" i="15"/>
  <c r="M120" i="15"/>
  <c r="Q120" i="15"/>
  <c r="U120" i="15"/>
  <c r="Y120" i="15"/>
  <c r="AC120" i="15"/>
  <c r="AG120" i="15"/>
  <c r="H103" i="15"/>
  <c r="L103" i="15"/>
  <c r="P103" i="15"/>
  <c r="T103" i="15"/>
  <c r="X103" i="15"/>
  <c r="AB103" i="15"/>
  <c r="AF103" i="15"/>
  <c r="E102" i="15"/>
  <c r="I102" i="15"/>
  <c r="M102" i="15"/>
  <c r="Q102" i="15"/>
  <c r="U102" i="15"/>
  <c r="Y102" i="15"/>
  <c r="AC102" i="15"/>
  <c r="AG102" i="15"/>
  <c r="F101" i="15"/>
  <c r="J101" i="15"/>
  <c r="N101" i="15"/>
  <c r="R101" i="15"/>
  <c r="V101" i="15"/>
  <c r="Z101" i="15"/>
  <c r="AD101" i="15"/>
  <c r="AH101" i="15"/>
  <c r="H99" i="15"/>
  <c r="L99" i="15"/>
  <c r="P99" i="15"/>
  <c r="T99" i="15"/>
  <c r="X99" i="15"/>
  <c r="AB99" i="15"/>
  <c r="AF99" i="15"/>
  <c r="E98" i="15"/>
  <c r="I98" i="15"/>
  <c r="M98" i="15"/>
  <c r="Q98" i="15"/>
  <c r="U98" i="15"/>
  <c r="Y98" i="15"/>
  <c r="AC98" i="15"/>
  <c r="AG98" i="15"/>
  <c r="F97" i="15"/>
  <c r="J97" i="15"/>
  <c r="N97" i="15"/>
  <c r="R97" i="15"/>
  <c r="V97" i="15"/>
  <c r="Z97" i="15"/>
  <c r="AD97" i="15"/>
  <c r="AH97" i="15"/>
  <c r="AH122" i="15"/>
  <c r="AD122" i="15"/>
  <c r="Z122" i="15"/>
  <c r="V122" i="15"/>
  <c r="R122" i="15"/>
  <c r="N122" i="15"/>
  <c r="J122" i="15"/>
  <c r="AH118" i="15"/>
  <c r="AD118" i="15"/>
  <c r="Z118" i="15"/>
  <c r="V118" i="15"/>
  <c r="R118" i="15"/>
  <c r="N118" i="15"/>
  <c r="J118" i="15"/>
  <c r="AH114" i="15"/>
  <c r="AD114" i="15"/>
  <c r="Z114" i="15"/>
  <c r="V114" i="15"/>
  <c r="R114" i="15"/>
  <c r="N114" i="15"/>
  <c r="J114" i="15"/>
  <c r="AH103" i="15"/>
  <c r="AC103" i="15"/>
  <c r="W103" i="15"/>
  <c r="R103" i="15"/>
  <c r="M103" i="15"/>
  <c r="G103" i="15"/>
  <c r="AH102" i="15"/>
  <c r="AB102" i="15"/>
  <c r="W102" i="15"/>
  <c r="R102" i="15"/>
  <c r="L102" i="15"/>
  <c r="G102" i="15"/>
  <c r="AG101" i="15"/>
  <c r="AB101" i="15"/>
  <c r="W101" i="15"/>
  <c r="Q101" i="15"/>
  <c r="L101" i="15"/>
  <c r="G101" i="15"/>
  <c r="AH99" i="15"/>
  <c r="AC99" i="15"/>
  <c r="W99" i="15"/>
  <c r="R99" i="15"/>
  <c r="M99" i="15"/>
  <c r="G99" i="15"/>
  <c r="AH98" i="15"/>
  <c r="AB98" i="15"/>
  <c r="W98" i="15"/>
  <c r="R98" i="15"/>
  <c r="L98" i="15"/>
  <c r="G98" i="15"/>
  <c r="AG97" i="15"/>
  <c r="AB97" i="15"/>
  <c r="W97" i="15"/>
  <c r="Q97" i="15"/>
  <c r="L97" i="15"/>
  <c r="G97" i="15"/>
  <c r="AG86" i="15"/>
  <c r="AA86" i="15"/>
  <c r="V86" i="15"/>
  <c r="Q86" i="15"/>
  <c r="K86" i="15"/>
  <c r="AF85" i="15"/>
  <c r="AA85" i="15"/>
  <c r="V85" i="15"/>
  <c r="P85" i="15"/>
  <c r="K85" i="15"/>
  <c r="AF84" i="15"/>
  <c r="AA84" i="15"/>
  <c r="U84" i="15"/>
  <c r="P84" i="15"/>
  <c r="K84" i="15"/>
  <c r="F84" i="15"/>
  <c r="J84" i="15"/>
  <c r="N84" i="15"/>
  <c r="R84" i="15"/>
  <c r="V84" i="15"/>
  <c r="Z84" i="15"/>
  <c r="AD84" i="15"/>
  <c r="AH84" i="15"/>
  <c r="H66" i="15"/>
  <c r="L66" i="15"/>
  <c r="P66" i="15"/>
  <c r="T66" i="15"/>
  <c r="X66" i="15"/>
  <c r="AB66" i="15"/>
  <c r="AF66" i="15"/>
  <c r="F66" i="15"/>
  <c r="J66" i="15"/>
  <c r="N66" i="15"/>
  <c r="R66" i="15"/>
  <c r="V66" i="15"/>
  <c r="Z66" i="15"/>
  <c r="AD66" i="15"/>
  <c r="AH66" i="15"/>
  <c r="E66" i="15"/>
  <c r="M66" i="15"/>
  <c r="U66" i="15"/>
  <c r="AC66" i="15"/>
  <c r="G66" i="15"/>
  <c r="O66" i="15"/>
  <c r="W66" i="15"/>
  <c r="AE66" i="15"/>
  <c r="I66" i="15"/>
  <c r="Q66" i="15"/>
  <c r="Y66" i="15"/>
  <c r="AG66" i="15"/>
  <c r="H86" i="15"/>
  <c r="L86" i="15"/>
  <c r="P86" i="15"/>
  <c r="T86" i="15"/>
  <c r="X86" i="15"/>
  <c r="AB86" i="15"/>
  <c r="AF86" i="15"/>
  <c r="E85" i="15"/>
  <c r="I85" i="15"/>
  <c r="M85" i="15"/>
  <c r="Q85" i="15"/>
  <c r="U85" i="15"/>
  <c r="Y85" i="15"/>
  <c r="AC85" i="15"/>
  <c r="AG85" i="15"/>
  <c r="AI84" i="15"/>
  <c r="AC84" i="15"/>
  <c r="X84" i="15"/>
  <c r="S84" i="15"/>
  <c r="M84" i="15"/>
  <c r="H84" i="15"/>
  <c r="AA66" i="15"/>
  <c r="E60" i="15"/>
  <c r="I60" i="15"/>
  <c r="M60" i="15"/>
  <c r="Q60" i="15"/>
  <c r="U60" i="15"/>
  <c r="Y60" i="15"/>
  <c r="AC60" i="15"/>
  <c r="AG60" i="15"/>
  <c r="G60" i="15"/>
  <c r="L60" i="15"/>
  <c r="R60" i="15"/>
  <c r="W60" i="15"/>
  <c r="AB60" i="15"/>
  <c r="AH60" i="15"/>
  <c r="J60" i="15"/>
  <c r="O60" i="15"/>
  <c r="T60" i="15"/>
  <c r="Z60" i="15"/>
  <c r="AE60" i="15"/>
  <c r="S45" i="15"/>
  <c r="E83" i="15"/>
  <c r="I83" i="15"/>
  <c r="M83" i="15"/>
  <c r="Q83" i="15"/>
  <c r="U83" i="15"/>
  <c r="Y83" i="15"/>
  <c r="AC83" i="15"/>
  <c r="AG83" i="15"/>
  <c r="F82" i="15"/>
  <c r="J82" i="15"/>
  <c r="N82" i="15"/>
  <c r="R82" i="15"/>
  <c r="V82" i="15"/>
  <c r="Z82" i="15"/>
  <c r="AD82" i="15"/>
  <c r="AH82" i="15"/>
  <c r="H72" i="15"/>
  <c r="L72" i="15"/>
  <c r="P72" i="15"/>
  <c r="T72" i="15"/>
  <c r="X72" i="15"/>
  <c r="AB72" i="15"/>
  <c r="AF72" i="15"/>
  <c r="E71" i="15"/>
  <c r="I71" i="15"/>
  <c r="M71" i="15"/>
  <c r="Q71" i="15"/>
  <c r="U71" i="15"/>
  <c r="Y71" i="15"/>
  <c r="AC71" i="15"/>
  <c r="AG71" i="15"/>
  <c r="F70" i="15"/>
  <c r="J70" i="15"/>
  <c r="N70" i="15"/>
  <c r="R70" i="15"/>
  <c r="V70" i="15"/>
  <c r="Z70" i="15"/>
  <c r="AD70" i="15"/>
  <c r="AH70" i="15"/>
  <c r="H68" i="15"/>
  <c r="L68" i="15"/>
  <c r="P68" i="15"/>
  <c r="T68" i="15"/>
  <c r="X68" i="15"/>
  <c r="AB68" i="15"/>
  <c r="AF68" i="15"/>
  <c r="H62" i="15"/>
  <c r="L62" i="15"/>
  <c r="P62" i="15"/>
  <c r="T62" i="15"/>
  <c r="X62" i="15"/>
  <c r="AB62" i="15"/>
  <c r="AF62" i="15"/>
  <c r="F62" i="15"/>
  <c r="J62" i="15"/>
  <c r="N62" i="15"/>
  <c r="R62" i="15"/>
  <c r="V62" i="15"/>
  <c r="Z62" i="15"/>
  <c r="AD62" i="15"/>
  <c r="AH62" i="15"/>
  <c r="AF60" i="15"/>
  <c r="V60" i="15"/>
  <c r="K60" i="15"/>
  <c r="E48" i="15"/>
  <c r="I48" i="15"/>
  <c r="M48" i="15"/>
  <c r="Q48" i="15"/>
  <c r="U48" i="15"/>
  <c r="Y48" i="15"/>
  <c r="AC48" i="15"/>
  <c r="AG48" i="15"/>
  <c r="G48" i="15"/>
  <c r="L48" i="15"/>
  <c r="R48" i="15"/>
  <c r="W48" i="15"/>
  <c r="AB48" i="15"/>
  <c r="AH48" i="15"/>
  <c r="J48" i="15"/>
  <c r="O48" i="15"/>
  <c r="T48" i="15"/>
  <c r="Z48" i="15"/>
  <c r="AE48" i="15"/>
  <c r="AD60" i="15"/>
  <c r="S60" i="15"/>
  <c r="H60" i="15"/>
  <c r="H45" i="15"/>
  <c r="L45" i="15"/>
  <c r="P45" i="15"/>
  <c r="T45" i="15"/>
  <c r="X45" i="15"/>
  <c r="AB45" i="15"/>
  <c r="AF45" i="15"/>
  <c r="E45" i="15"/>
  <c r="I45" i="15"/>
  <c r="M45" i="15"/>
  <c r="Q45" i="15"/>
  <c r="U45" i="15"/>
  <c r="Y45" i="15"/>
  <c r="AC45" i="15"/>
  <c r="AG45" i="15"/>
  <c r="F45" i="15"/>
  <c r="N45" i="15"/>
  <c r="V45" i="15"/>
  <c r="AD45" i="15"/>
  <c r="G45" i="15"/>
  <c r="O45" i="15"/>
  <c r="W45" i="15"/>
  <c r="AE45" i="15"/>
  <c r="J45" i="15"/>
  <c r="R45" i="15"/>
  <c r="Z45" i="15"/>
  <c r="AH45" i="15"/>
  <c r="AF83" i="15"/>
  <c r="AA83" i="15"/>
  <c r="V83" i="15"/>
  <c r="P83" i="15"/>
  <c r="K83" i="15"/>
  <c r="F83" i="15"/>
  <c r="AF82" i="15"/>
  <c r="AA82" i="15"/>
  <c r="U82" i="15"/>
  <c r="P82" i="15"/>
  <c r="K82" i="15"/>
  <c r="E82" i="15"/>
  <c r="AG72" i="15"/>
  <c r="AA72" i="15"/>
  <c r="V72" i="15"/>
  <c r="Q72" i="15"/>
  <c r="K72" i="15"/>
  <c r="F72" i="15"/>
  <c r="AF71" i="15"/>
  <c r="AA71" i="15"/>
  <c r="V71" i="15"/>
  <c r="P71" i="15"/>
  <c r="K71" i="15"/>
  <c r="F71" i="15"/>
  <c r="AF70" i="15"/>
  <c r="AA70" i="15"/>
  <c r="U70" i="15"/>
  <c r="P70" i="15"/>
  <c r="K70" i="15"/>
  <c r="E70" i="15"/>
  <c r="AG68" i="15"/>
  <c r="AA68" i="15"/>
  <c r="V68" i="15"/>
  <c r="Q68" i="15"/>
  <c r="K68" i="15"/>
  <c r="F68" i="15"/>
  <c r="F64" i="15"/>
  <c r="J64" i="15"/>
  <c r="N64" i="15"/>
  <c r="R64" i="15"/>
  <c r="V64" i="15"/>
  <c r="Z64" i="15"/>
  <c r="AD64" i="15"/>
  <c r="AH64" i="15"/>
  <c r="H64" i="15"/>
  <c r="L64" i="15"/>
  <c r="P64" i="15"/>
  <c r="T64" i="15"/>
  <c r="X64" i="15"/>
  <c r="AB64" i="15"/>
  <c r="AF64" i="15"/>
  <c r="AE62" i="15"/>
  <c r="W62" i="15"/>
  <c r="O62" i="15"/>
  <c r="G62" i="15"/>
  <c r="AA60" i="15"/>
  <c r="P60" i="15"/>
  <c r="F60" i="15"/>
  <c r="H49" i="15"/>
  <c r="L49" i="15"/>
  <c r="P49" i="15"/>
  <c r="T49" i="15"/>
  <c r="X49" i="15"/>
  <c r="AB49" i="15"/>
  <c r="AF49" i="15"/>
  <c r="G49" i="15"/>
  <c r="M49" i="15"/>
  <c r="R49" i="15"/>
  <c r="W49" i="15"/>
  <c r="AC49" i="15"/>
  <c r="AH49" i="15"/>
  <c r="E49" i="15"/>
  <c r="J49" i="15"/>
  <c r="O49" i="15"/>
  <c r="U49" i="15"/>
  <c r="Z49" i="15"/>
  <c r="AE49" i="15"/>
  <c r="AD48" i="15"/>
  <c r="S48" i="15"/>
  <c r="H48" i="15"/>
  <c r="AA45" i="15"/>
  <c r="F43" i="15"/>
  <c r="J43" i="15"/>
  <c r="N43" i="15"/>
  <c r="R43" i="15"/>
  <c r="V43" i="15"/>
  <c r="Z43" i="15"/>
  <c r="AD43" i="15"/>
  <c r="AH43" i="15"/>
  <c r="I43" i="15"/>
  <c r="O43" i="15"/>
  <c r="T43" i="15"/>
  <c r="Y43" i="15"/>
  <c r="AE43" i="15"/>
  <c r="E43" i="15"/>
  <c r="K43" i="15"/>
  <c r="P43" i="15"/>
  <c r="U43" i="15"/>
  <c r="AA43" i="15"/>
  <c r="AF43" i="15"/>
  <c r="AG67" i="15"/>
  <c r="AC67" i="15"/>
  <c r="Y67" i="15"/>
  <c r="U67" i="15"/>
  <c r="Q67" i="15"/>
  <c r="M67" i="15"/>
  <c r="I67" i="15"/>
  <c r="AG63" i="15"/>
  <c r="AC63" i="15"/>
  <c r="Y63" i="15"/>
  <c r="U63" i="15"/>
  <c r="Q63" i="15"/>
  <c r="M63" i="15"/>
  <c r="I63" i="15"/>
  <c r="AE47" i="15"/>
  <c r="Y47" i="15"/>
  <c r="T47" i="15"/>
  <c r="O47" i="15"/>
  <c r="AB44" i="15"/>
  <c r="R44" i="15"/>
  <c r="AG43" i="15"/>
  <c r="W43" i="15"/>
  <c r="L43" i="15"/>
  <c r="F47" i="15"/>
  <c r="J47" i="15"/>
  <c r="N47" i="15"/>
  <c r="R47" i="15"/>
  <c r="V47" i="15"/>
  <c r="Z47" i="15"/>
  <c r="AD47" i="15"/>
  <c r="AH47" i="15"/>
  <c r="E44" i="15"/>
  <c r="I44" i="15"/>
  <c r="M44" i="15"/>
  <c r="Q44" i="15"/>
  <c r="U44" i="15"/>
  <c r="Y44" i="15"/>
  <c r="AC44" i="15"/>
  <c r="AG44" i="15"/>
  <c r="J44" i="15"/>
  <c r="O44" i="15"/>
  <c r="T44" i="15"/>
  <c r="Z44" i="15"/>
  <c r="AE44" i="15"/>
  <c r="F44" i="15"/>
  <c r="K44" i="15"/>
  <c r="P44" i="15"/>
  <c r="V44" i="15"/>
  <c r="AA44" i="15"/>
  <c r="AF44" i="15"/>
  <c r="AC43" i="15"/>
  <c r="S43" i="15"/>
  <c r="H43" i="15"/>
  <c r="AG47" i="15"/>
  <c r="AB47" i="15"/>
  <c r="W47" i="15"/>
  <c r="Q47" i="15"/>
  <c r="L47" i="15"/>
  <c r="G47" i="15"/>
  <c r="AH44" i="15"/>
  <c r="W44" i="15"/>
  <c r="L44" i="15"/>
  <c r="AB43" i="15"/>
  <c r="Q43" i="15"/>
  <c r="G43" i="15"/>
  <c r="E39" i="15"/>
  <c r="I39" i="15"/>
  <c r="M39" i="15"/>
  <c r="Q39" i="15"/>
  <c r="U39" i="15"/>
  <c r="Y39" i="15"/>
  <c r="AC39" i="15"/>
  <c r="AG39" i="15"/>
  <c r="F39" i="15"/>
  <c r="J39" i="15"/>
  <c r="N39" i="15"/>
  <c r="R39" i="15"/>
  <c r="V39" i="15"/>
  <c r="Z39" i="15"/>
  <c r="AD39" i="15"/>
  <c r="AH39" i="15"/>
  <c r="H40" i="15"/>
  <c r="L40" i="15"/>
  <c r="P40" i="15"/>
  <c r="T40" i="15"/>
  <c r="X40" i="15"/>
  <c r="AB40" i="15"/>
  <c r="AF40" i="15"/>
  <c r="E40" i="15"/>
  <c r="I40" i="15"/>
  <c r="M40" i="15"/>
  <c r="Q40" i="15"/>
  <c r="U40" i="15"/>
  <c r="Y40" i="15"/>
  <c r="AC40" i="15"/>
  <c r="AG40" i="15"/>
  <c r="AF39" i="15"/>
  <c r="X39" i="15"/>
  <c r="P39" i="15"/>
  <c r="H39" i="15"/>
  <c r="AF41" i="15"/>
  <c r="AB41" i="15"/>
  <c r="X41" i="15"/>
  <c r="T41" i="15"/>
  <c r="P41" i="15"/>
  <c r="L41" i="15"/>
  <c r="AF37" i="15"/>
  <c r="AB37" i="15"/>
  <c r="X37" i="15"/>
  <c r="T37" i="15"/>
  <c r="P37" i="15"/>
  <c r="L37" i="15"/>
  <c r="E213" i="14"/>
  <c r="I213" i="14"/>
  <c r="M213" i="14"/>
  <c r="Q213" i="14"/>
  <c r="U213" i="14"/>
  <c r="Y213" i="14"/>
  <c r="AC213" i="14"/>
  <c r="AG213" i="14"/>
  <c r="F212" i="14"/>
  <c r="J212" i="14"/>
  <c r="N212" i="14"/>
  <c r="R212" i="14"/>
  <c r="V212" i="14"/>
  <c r="Z212" i="14"/>
  <c r="AD212" i="14"/>
  <c r="AH212" i="14"/>
  <c r="AE210" i="14"/>
  <c r="W210" i="14"/>
  <c r="O210" i="14"/>
  <c r="G210" i="14"/>
  <c r="AE196" i="14"/>
  <c r="W196" i="14"/>
  <c r="O196" i="14"/>
  <c r="G196" i="14"/>
  <c r="AE193" i="14"/>
  <c r="W193" i="14"/>
  <c r="O193" i="14"/>
  <c r="G193" i="14"/>
  <c r="AA188" i="14"/>
  <c r="K188" i="14"/>
  <c r="AA171" i="14"/>
  <c r="K171" i="14"/>
  <c r="Q137" i="14"/>
  <c r="AD210" i="14"/>
  <c r="V210" i="14"/>
  <c r="N210" i="14"/>
  <c r="E209" i="14"/>
  <c r="I209" i="14"/>
  <c r="M209" i="14"/>
  <c r="Q209" i="14"/>
  <c r="U209" i="14"/>
  <c r="Y209" i="14"/>
  <c r="AC209" i="14"/>
  <c r="AG209" i="14"/>
  <c r="F209" i="14"/>
  <c r="N209" i="14"/>
  <c r="V209" i="14"/>
  <c r="AD209" i="14"/>
  <c r="J209" i="14"/>
  <c r="R209" i="14"/>
  <c r="Z209" i="14"/>
  <c r="AH209" i="14"/>
  <c r="H206" i="14"/>
  <c r="L206" i="14"/>
  <c r="P206" i="14"/>
  <c r="T206" i="14"/>
  <c r="X206" i="14"/>
  <c r="AB206" i="14"/>
  <c r="AF206" i="14"/>
  <c r="E206" i="14"/>
  <c r="M206" i="14"/>
  <c r="U206" i="14"/>
  <c r="AC206" i="14"/>
  <c r="I206" i="14"/>
  <c r="Q206" i="14"/>
  <c r="Y206" i="14"/>
  <c r="AG206" i="14"/>
  <c r="AB196" i="14"/>
  <c r="T196" i="14"/>
  <c r="AD193" i="14"/>
  <c r="V193" i="14"/>
  <c r="N193" i="14"/>
  <c r="E192" i="14"/>
  <c r="I192" i="14"/>
  <c r="M192" i="14"/>
  <c r="Q192" i="14"/>
  <c r="U192" i="14"/>
  <c r="Y192" i="14"/>
  <c r="AC192" i="14"/>
  <c r="AG192" i="14"/>
  <c r="F192" i="14"/>
  <c r="J192" i="14"/>
  <c r="N192" i="14"/>
  <c r="R192" i="14"/>
  <c r="V192" i="14"/>
  <c r="Z192" i="14"/>
  <c r="AD192" i="14"/>
  <c r="AH192" i="14"/>
  <c r="W188" i="14"/>
  <c r="H175" i="14"/>
  <c r="L175" i="14"/>
  <c r="P175" i="14"/>
  <c r="T175" i="14"/>
  <c r="X175" i="14"/>
  <c r="AB175" i="14"/>
  <c r="AF175" i="14"/>
  <c r="E175" i="14"/>
  <c r="I175" i="14"/>
  <c r="M175" i="14"/>
  <c r="Q175" i="14"/>
  <c r="U175" i="14"/>
  <c r="Y175" i="14"/>
  <c r="AC175" i="14"/>
  <c r="AG175" i="14"/>
  <c r="F175" i="14"/>
  <c r="J175" i="14"/>
  <c r="N175" i="14"/>
  <c r="R175" i="14"/>
  <c r="V175" i="14"/>
  <c r="Z175" i="14"/>
  <c r="AD175" i="14"/>
  <c r="AH175" i="14"/>
  <c r="W171" i="14"/>
  <c r="H210" i="14"/>
  <c r="L210" i="14"/>
  <c r="P210" i="14"/>
  <c r="T210" i="14"/>
  <c r="X210" i="14"/>
  <c r="AB210" i="14"/>
  <c r="AF210" i="14"/>
  <c r="I210" i="14"/>
  <c r="Q210" i="14"/>
  <c r="Y210" i="14"/>
  <c r="AG210" i="14"/>
  <c r="E210" i="14"/>
  <c r="M210" i="14"/>
  <c r="U210" i="14"/>
  <c r="AC210" i="14"/>
  <c r="E196" i="14"/>
  <c r="I196" i="14"/>
  <c r="M196" i="14"/>
  <c r="Q196" i="14"/>
  <c r="U196" i="14"/>
  <c r="Y196" i="14"/>
  <c r="AC196" i="14"/>
  <c r="AG196" i="14"/>
  <c r="F196" i="14"/>
  <c r="J196" i="14"/>
  <c r="R196" i="14"/>
  <c r="V196" i="14"/>
  <c r="AD196" i="14"/>
  <c r="N196" i="14"/>
  <c r="Z196" i="14"/>
  <c r="AH196" i="14"/>
  <c r="H193" i="14"/>
  <c r="L193" i="14"/>
  <c r="P193" i="14"/>
  <c r="T193" i="14"/>
  <c r="X193" i="14"/>
  <c r="AB193" i="14"/>
  <c r="AF193" i="14"/>
  <c r="E193" i="14"/>
  <c r="I193" i="14"/>
  <c r="M193" i="14"/>
  <c r="Q193" i="14"/>
  <c r="U193" i="14"/>
  <c r="Y193" i="14"/>
  <c r="AC193" i="14"/>
  <c r="AG193" i="14"/>
  <c r="H188" i="14"/>
  <c r="L188" i="14"/>
  <c r="P188" i="14"/>
  <c r="T188" i="14"/>
  <c r="X188" i="14"/>
  <c r="AB188" i="14"/>
  <c r="AF188" i="14"/>
  <c r="E188" i="14"/>
  <c r="I188" i="14"/>
  <c r="M188" i="14"/>
  <c r="Q188" i="14"/>
  <c r="U188" i="14"/>
  <c r="Y188" i="14"/>
  <c r="AC188" i="14"/>
  <c r="AG188" i="14"/>
  <c r="F188" i="14"/>
  <c r="J188" i="14"/>
  <c r="N188" i="14"/>
  <c r="R188" i="14"/>
  <c r="V188" i="14"/>
  <c r="Z188" i="14"/>
  <c r="AD188" i="14"/>
  <c r="AH188" i="14"/>
  <c r="H171" i="14"/>
  <c r="L171" i="14"/>
  <c r="P171" i="14"/>
  <c r="T171" i="14"/>
  <c r="X171" i="14"/>
  <c r="AB171" i="14"/>
  <c r="AF171" i="14"/>
  <c r="E171" i="14"/>
  <c r="I171" i="14"/>
  <c r="M171" i="14"/>
  <c r="Q171" i="14"/>
  <c r="U171" i="14"/>
  <c r="Y171" i="14"/>
  <c r="AC171" i="14"/>
  <c r="AG171" i="14"/>
  <c r="F171" i="14"/>
  <c r="J171" i="14"/>
  <c r="N171" i="14"/>
  <c r="R171" i="14"/>
  <c r="V171" i="14"/>
  <c r="Z171" i="14"/>
  <c r="AD171" i="14"/>
  <c r="AH171" i="14"/>
  <c r="F137" i="14"/>
  <c r="J137" i="14"/>
  <c r="N137" i="14"/>
  <c r="R137" i="14"/>
  <c r="V137" i="14"/>
  <c r="Z137" i="14"/>
  <c r="AD137" i="14"/>
  <c r="AH137" i="14"/>
  <c r="I137" i="14"/>
  <c r="O137" i="14"/>
  <c r="T137" i="14"/>
  <c r="Y137" i="14"/>
  <c r="AE137" i="14"/>
  <c r="E137" i="14"/>
  <c r="L137" i="14"/>
  <c r="S137" i="14"/>
  <c r="AA137" i="14"/>
  <c r="AG137" i="14"/>
  <c r="G137" i="14"/>
  <c r="M137" i="14"/>
  <c r="U137" i="14"/>
  <c r="AB137" i="14"/>
  <c r="AI137" i="14"/>
  <c r="H137" i="14"/>
  <c r="P137" i="14"/>
  <c r="W137" i="14"/>
  <c r="AC137" i="14"/>
  <c r="AG176" i="14"/>
  <c r="AC176" i="14"/>
  <c r="Y176" i="14"/>
  <c r="U176" i="14"/>
  <c r="Q176" i="14"/>
  <c r="M176" i="14"/>
  <c r="I176" i="14"/>
  <c r="E176" i="14"/>
  <c r="AG172" i="14"/>
  <c r="AC172" i="14"/>
  <c r="Y172" i="14"/>
  <c r="U172" i="14"/>
  <c r="Q172" i="14"/>
  <c r="M172" i="14"/>
  <c r="I172" i="14"/>
  <c r="E172" i="14"/>
  <c r="AG168" i="14"/>
  <c r="AC168" i="14"/>
  <c r="Y168" i="14"/>
  <c r="U168" i="14"/>
  <c r="Q168" i="14"/>
  <c r="M168" i="14"/>
  <c r="I168" i="14"/>
  <c r="E168" i="14"/>
  <c r="AF158" i="14"/>
  <c r="AA158" i="14"/>
  <c r="U158" i="14"/>
  <c r="P158" i="14"/>
  <c r="K158" i="14"/>
  <c r="E158" i="14"/>
  <c r="AG156" i="14"/>
  <c r="AA156" i="14"/>
  <c r="V156" i="14"/>
  <c r="Q156" i="14"/>
  <c r="K156" i="14"/>
  <c r="F156" i="14"/>
  <c r="AF155" i="14"/>
  <c r="AA155" i="14"/>
  <c r="V155" i="14"/>
  <c r="P155" i="14"/>
  <c r="K155" i="14"/>
  <c r="F155" i="14"/>
  <c r="AF154" i="14"/>
  <c r="AA154" i="14"/>
  <c r="U154" i="14"/>
  <c r="P154" i="14"/>
  <c r="K154" i="14"/>
  <c r="E154" i="14"/>
  <c r="AG152" i="14"/>
  <c r="AA152" i="14"/>
  <c r="V152" i="14"/>
  <c r="Q152" i="14"/>
  <c r="K152" i="14"/>
  <c r="F152" i="14"/>
  <c r="AF151" i="14"/>
  <c r="AA151" i="14"/>
  <c r="V151" i="14"/>
  <c r="P151" i="14"/>
  <c r="K151" i="14"/>
  <c r="F151" i="14"/>
  <c r="AI138" i="14"/>
  <c r="AB138" i="14"/>
  <c r="V138" i="14"/>
  <c r="N138" i="14"/>
  <c r="G138" i="14"/>
  <c r="AI135" i="14"/>
  <c r="AC135" i="14"/>
  <c r="V135" i="14"/>
  <c r="N135" i="14"/>
  <c r="G135" i="14"/>
  <c r="S121" i="14"/>
  <c r="H117" i="14"/>
  <c r="L117" i="14"/>
  <c r="P117" i="14"/>
  <c r="T117" i="14"/>
  <c r="X117" i="14"/>
  <c r="AB117" i="14"/>
  <c r="AF117" i="14"/>
  <c r="E117" i="14"/>
  <c r="I117" i="14"/>
  <c r="M117" i="14"/>
  <c r="Q117" i="14"/>
  <c r="U117" i="14"/>
  <c r="Y117" i="14"/>
  <c r="AC117" i="14"/>
  <c r="AG117" i="14"/>
  <c r="F117" i="14"/>
  <c r="J117" i="14"/>
  <c r="N117" i="14"/>
  <c r="R117" i="14"/>
  <c r="V117" i="14"/>
  <c r="Z117" i="14"/>
  <c r="AD117" i="14"/>
  <c r="AH117" i="14"/>
  <c r="G117" i="14"/>
  <c r="W117" i="14"/>
  <c r="K117" i="14"/>
  <c r="AA117" i="14"/>
  <c r="O117" i="14"/>
  <c r="AE117" i="14"/>
  <c r="H100" i="14"/>
  <c r="L100" i="14"/>
  <c r="P100" i="14"/>
  <c r="T100" i="14"/>
  <c r="X100" i="14"/>
  <c r="AB100" i="14"/>
  <c r="AF100" i="14"/>
  <c r="E100" i="14"/>
  <c r="I100" i="14"/>
  <c r="M100" i="14"/>
  <c r="Q100" i="14"/>
  <c r="U100" i="14"/>
  <c r="Y100" i="14"/>
  <c r="AC100" i="14"/>
  <c r="AG100" i="14"/>
  <c r="F100" i="14"/>
  <c r="J100" i="14"/>
  <c r="N100" i="14"/>
  <c r="R100" i="14"/>
  <c r="V100" i="14"/>
  <c r="Z100" i="14"/>
  <c r="AD100" i="14"/>
  <c r="AH100" i="14"/>
  <c r="G100" i="14"/>
  <c r="W100" i="14"/>
  <c r="K100" i="14"/>
  <c r="AA100" i="14"/>
  <c r="O100" i="14"/>
  <c r="AE100" i="14"/>
  <c r="AG189" i="14"/>
  <c r="AC189" i="14"/>
  <c r="Y189" i="14"/>
  <c r="U189" i="14"/>
  <c r="Q189" i="14"/>
  <c r="M189" i="14"/>
  <c r="I189" i="14"/>
  <c r="E189" i="14"/>
  <c r="AH208" i="14"/>
  <c r="AD208" i="14"/>
  <c r="Z208" i="14"/>
  <c r="V208" i="14"/>
  <c r="R208" i="14"/>
  <c r="N208" i="14"/>
  <c r="J208" i="14"/>
  <c r="AH195" i="14"/>
  <c r="AD195" i="14"/>
  <c r="Z195" i="14"/>
  <c r="V195" i="14"/>
  <c r="R195" i="14"/>
  <c r="N195" i="14"/>
  <c r="J195" i="14"/>
  <c r="AH191" i="14"/>
  <c r="AD191" i="14"/>
  <c r="Z191" i="14"/>
  <c r="V191" i="14"/>
  <c r="R191" i="14"/>
  <c r="N191" i="14"/>
  <c r="J191" i="14"/>
  <c r="AF189" i="14"/>
  <c r="AB189" i="14"/>
  <c r="X189" i="14"/>
  <c r="T189" i="14"/>
  <c r="P189" i="14"/>
  <c r="L189" i="14"/>
  <c r="AH187" i="14"/>
  <c r="AD187" i="14"/>
  <c r="Z187" i="14"/>
  <c r="V187" i="14"/>
  <c r="R187" i="14"/>
  <c r="N187" i="14"/>
  <c r="J187" i="14"/>
  <c r="AF176" i="14"/>
  <c r="AB176" i="14"/>
  <c r="X176" i="14"/>
  <c r="T176" i="14"/>
  <c r="P176" i="14"/>
  <c r="L176" i="14"/>
  <c r="AH174" i="14"/>
  <c r="AD174" i="14"/>
  <c r="Z174" i="14"/>
  <c r="V174" i="14"/>
  <c r="R174" i="14"/>
  <c r="N174" i="14"/>
  <c r="J174" i="14"/>
  <c r="AF172" i="14"/>
  <c r="AB172" i="14"/>
  <c r="X172" i="14"/>
  <c r="T172" i="14"/>
  <c r="P172" i="14"/>
  <c r="L172" i="14"/>
  <c r="AH170" i="14"/>
  <c r="AD170" i="14"/>
  <c r="Z170" i="14"/>
  <c r="V170" i="14"/>
  <c r="R170" i="14"/>
  <c r="N170" i="14"/>
  <c r="J170" i="14"/>
  <c r="AF168" i="14"/>
  <c r="AB168" i="14"/>
  <c r="X168" i="14"/>
  <c r="T168" i="14"/>
  <c r="P168" i="14"/>
  <c r="L168" i="14"/>
  <c r="AE158" i="14"/>
  <c r="Y158" i="14"/>
  <c r="T158" i="14"/>
  <c r="O158" i="14"/>
  <c r="AE156" i="14"/>
  <c r="Z156" i="14"/>
  <c r="U156" i="14"/>
  <c r="O156" i="14"/>
  <c r="J156" i="14"/>
  <c r="AE155" i="14"/>
  <c r="Z155" i="14"/>
  <c r="T155" i="14"/>
  <c r="O155" i="14"/>
  <c r="AE154" i="14"/>
  <c r="Y154" i="14"/>
  <c r="T154" i="14"/>
  <c r="O154" i="14"/>
  <c r="AE152" i="14"/>
  <c r="Z152" i="14"/>
  <c r="U152" i="14"/>
  <c r="O152" i="14"/>
  <c r="J152" i="14"/>
  <c r="AE151" i="14"/>
  <c r="Z151" i="14"/>
  <c r="T151" i="14"/>
  <c r="O151" i="14"/>
  <c r="F141" i="14"/>
  <c r="J141" i="14"/>
  <c r="N141" i="14"/>
  <c r="R141" i="14"/>
  <c r="V141" i="14"/>
  <c r="Z141" i="14"/>
  <c r="AD141" i="14"/>
  <c r="AH141" i="14"/>
  <c r="H139" i="14"/>
  <c r="L139" i="14"/>
  <c r="P139" i="14"/>
  <c r="T139" i="14"/>
  <c r="X139" i="14"/>
  <c r="AB139" i="14"/>
  <c r="AF139" i="14"/>
  <c r="E139" i="14"/>
  <c r="J139" i="14"/>
  <c r="O139" i="14"/>
  <c r="U139" i="14"/>
  <c r="AH138" i="14"/>
  <c r="AA138" i="14"/>
  <c r="S138" i="14"/>
  <c r="L138" i="14"/>
  <c r="AH135" i="14"/>
  <c r="AA135" i="14"/>
  <c r="S135" i="14"/>
  <c r="M135" i="14"/>
  <c r="F158" i="14"/>
  <c r="J158" i="14"/>
  <c r="N158" i="14"/>
  <c r="R158" i="14"/>
  <c r="V158" i="14"/>
  <c r="Z158" i="14"/>
  <c r="AD158" i="14"/>
  <c r="AH158" i="14"/>
  <c r="H156" i="14"/>
  <c r="L156" i="14"/>
  <c r="P156" i="14"/>
  <c r="T156" i="14"/>
  <c r="X156" i="14"/>
  <c r="AB156" i="14"/>
  <c r="AF156" i="14"/>
  <c r="E155" i="14"/>
  <c r="I155" i="14"/>
  <c r="M155" i="14"/>
  <c r="Q155" i="14"/>
  <c r="U155" i="14"/>
  <c r="Y155" i="14"/>
  <c r="AC155" i="14"/>
  <c r="AG155" i="14"/>
  <c r="F154" i="14"/>
  <c r="J154" i="14"/>
  <c r="N154" i="14"/>
  <c r="R154" i="14"/>
  <c r="V154" i="14"/>
  <c r="Z154" i="14"/>
  <c r="AD154" i="14"/>
  <c r="AH154" i="14"/>
  <c r="H152" i="14"/>
  <c r="L152" i="14"/>
  <c r="P152" i="14"/>
  <c r="T152" i="14"/>
  <c r="X152" i="14"/>
  <c r="AB152" i="14"/>
  <c r="AF152" i="14"/>
  <c r="E151" i="14"/>
  <c r="I151" i="14"/>
  <c r="M151" i="14"/>
  <c r="Q151" i="14"/>
  <c r="U151" i="14"/>
  <c r="Y151" i="14"/>
  <c r="AC151" i="14"/>
  <c r="AG151" i="14"/>
  <c r="E138" i="14"/>
  <c r="I138" i="14"/>
  <c r="M138" i="14"/>
  <c r="Q138" i="14"/>
  <c r="U138" i="14"/>
  <c r="Y138" i="14"/>
  <c r="AC138" i="14"/>
  <c r="AG138" i="14"/>
  <c r="J138" i="14"/>
  <c r="O138" i="14"/>
  <c r="T138" i="14"/>
  <c r="Z138" i="14"/>
  <c r="AE138" i="14"/>
  <c r="H135" i="14"/>
  <c r="L135" i="14"/>
  <c r="P135" i="14"/>
  <c r="T135" i="14"/>
  <c r="X135" i="14"/>
  <c r="AB135" i="14"/>
  <c r="AF135" i="14"/>
  <c r="E135" i="14"/>
  <c r="J135" i="14"/>
  <c r="O135" i="14"/>
  <c r="U135" i="14"/>
  <c r="Z135" i="14"/>
  <c r="AE135" i="14"/>
  <c r="H121" i="14"/>
  <c r="L121" i="14"/>
  <c r="P121" i="14"/>
  <c r="T121" i="14"/>
  <c r="X121" i="14"/>
  <c r="AB121" i="14"/>
  <c r="AF121" i="14"/>
  <c r="E121" i="14"/>
  <c r="I121" i="14"/>
  <c r="M121" i="14"/>
  <c r="Q121" i="14"/>
  <c r="U121" i="14"/>
  <c r="Y121" i="14"/>
  <c r="AC121" i="14"/>
  <c r="AG121" i="14"/>
  <c r="F121" i="14"/>
  <c r="N121" i="14"/>
  <c r="V121" i="14"/>
  <c r="AD121" i="14"/>
  <c r="G121" i="14"/>
  <c r="O121" i="14"/>
  <c r="W121" i="14"/>
  <c r="AE121" i="14"/>
  <c r="J121" i="14"/>
  <c r="R121" i="14"/>
  <c r="Z121" i="14"/>
  <c r="AH121" i="14"/>
  <c r="AE134" i="14"/>
  <c r="Z134" i="14"/>
  <c r="T134" i="14"/>
  <c r="O134" i="14"/>
  <c r="AE133" i="14"/>
  <c r="Y133" i="14"/>
  <c r="T133" i="14"/>
  <c r="O133" i="14"/>
  <c r="AE120" i="14"/>
  <c r="W120" i="14"/>
  <c r="O120" i="14"/>
  <c r="G120" i="14"/>
  <c r="H113" i="14"/>
  <c r="L113" i="14"/>
  <c r="P113" i="14"/>
  <c r="T113" i="14"/>
  <c r="X113" i="14"/>
  <c r="AB113" i="14"/>
  <c r="AF113" i="14"/>
  <c r="E113" i="14"/>
  <c r="I113" i="14"/>
  <c r="M113" i="14"/>
  <c r="Q113" i="14"/>
  <c r="U113" i="14"/>
  <c r="Y113" i="14"/>
  <c r="AC113" i="14"/>
  <c r="AG113" i="14"/>
  <c r="F113" i="14"/>
  <c r="J113" i="14"/>
  <c r="N113" i="14"/>
  <c r="R113" i="14"/>
  <c r="V113" i="14"/>
  <c r="Z113" i="14"/>
  <c r="AD113" i="14"/>
  <c r="AH113" i="14"/>
  <c r="H96" i="14"/>
  <c r="L96" i="14"/>
  <c r="P96" i="14"/>
  <c r="T96" i="14"/>
  <c r="X96" i="14"/>
  <c r="AB96" i="14"/>
  <c r="AF96" i="14"/>
  <c r="E96" i="14"/>
  <c r="I96" i="14"/>
  <c r="M96" i="14"/>
  <c r="Q96" i="14"/>
  <c r="U96" i="14"/>
  <c r="Y96" i="14"/>
  <c r="AC96" i="14"/>
  <c r="AG96" i="14"/>
  <c r="F96" i="14"/>
  <c r="J96" i="14"/>
  <c r="N96" i="14"/>
  <c r="R96" i="14"/>
  <c r="V96" i="14"/>
  <c r="Z96" i="14"/>
  <c r="AD96" i="14"/>
  <c r="AH96" i="14"/>
  <c r="E134" i="14"/>
  <c r="I134" i="14"/>
  <c r="M134" i="14"/>
  <c r="Q134" i="14"/>
  <c r="U134" i="14"/>
  <c r="Y134" i="14"/>
  <c r="AC134" i="14"/>
  <c r="AG134" i="14"/>
  <c r="F133" i="14"/>
  <c r="J133" i="14"/>
  <c r="N133" i="14"/>
  <c r="R133" i="14"/>
  <c r="V133" i="14"/>
  <c r="Z133" i="14"/>
  <c r="AD133" i="14"/>
  <c r="AH133" i="14"/>
  <c r="AB120" i="14"/>
  <c r="T120" i="14"/>
  <c r="H71" i="14"/>
  <c r="L71" i="14"/>
  <c r="P71" i="14"/>
  <c r="T71" i="14"/>
  <c r="X71" i="14"/>
  <c r="AB71" i="14"/>
  <c r="AF71" i="14"/>
  <c r="G71" i="14"/>
  <c r="M71" i="14"/>
  <c r="R71" i="14"/>
  <c r="W71" i="14"/>
  <c r="AC71" i="14"/>
  <c r="AH71" i="14"/>
  <c r="E71" i="14"/>
  <c r="K71" i="14"/>
  <c r="S71" i="14"/>
  <c r="Z71" i="14"/>
  <c r="AG71" i="14"/>
  <c r="F71" i="14"/>
  <c r="N71" i="14"/>
  <c r="U71" i="14"/>
  <c r="AA71" i="14"/>
  <c r="AI71" i="14"/>
  <c r="I71" i="14"/>
  <c r="O71" i="14"/>
  <c r="V71" i="14"/>
  <c r="AD71" i="14"/>
  <c r="E120" i="14"/>
  <c r="I120" i="14"/>
  <c r="M120" i="14"/>
  <c r="Q120" i="14"/>
  <c r="U120" i="14"/>
  <c r="Y120" i="14"/>
  <c r="AC120" i="14"/>
  <c r="AG120" i="14"/>
  <c r="F120" i="14"/>
  <c r="J120" i="14"/>
  <c r="N120" i="14"/>
  <c r="R120" i="14"/>
  <c r="V120" i="14"/>
  <c r="Z120" i="14"/>
  <c r="AD120" i="14"/>
  <c r="AH120" i="14"/>
  <c r="Y71" i="14"/>
  <c r="F84" i="14"/>
  <c r="J84" i="14"/>
  <c r="N84" i="14"/>
  <c r="R84" i="14"/>
  <c r="V84" i="14"/>
  <c r="Z84" i="14"/>
  <c r="AD84" i="14"/>
  <c r="AH84" i="14"/>
  <c r="E82" i="14"/>
  <c r="I82" i="14"/>
  <c r="M82" i="14"/>
  <c r="Q82" i="14"/>
  <c r="U82" i="14"/>
  <c r="Y82" i="14"/>
  <c r="G82" i="14"/>
  <c r="L82" i="14"/>
  <c r="R82" i="14"/>
  <c r="W82" i="14"/>
  <c r="AB82" i="14"/>
  <c r="AF82" i="14"/>
  <c r="AF122" i="14"/>
  <c r="AB122" i="14"/>
  <c r="X122" i="14"/>
  <c r="T122" i="14"/>
  <c r="P122" i="14"/>
  <c r="L122" i="14"/>
  <c r="AF118" i="14"/>
  <c r="AB118" i="14"/>
  <c r="X118" i="14"/>
  <c r="T118" i="14"/>
  <c r="P118" i="14"/>
  <c r="L118" i="14"/>
  <c r="AH116" i="14"/>
  <c r="AD116" i="14"/>
  <c r="Z116" i="14"/>
  <c r="V116" i="14"/>
  <c r="R116" i="14"/>
  <c r="N116" i="14"/>
  <c r="J116" i="14"/>
  <c r="F116" i="14"/>
  <c r="AF114" i="14"/>
  <c r="AB114" i="14"/>
  <c r="X114" i="14"/>
  <c r="T114" i="14"/>
  <c r="P114" i="14"/>
  <c r="L114" i="14"/>
  <c r="AH103" i="14"/>
  <c r="AD103" i="14"/>
  <c r="Z103" i="14"/>
  <c r="V103" i="14"/>
  <c r="R103" i="14"/>
  <c r="N103" i="14"/>
  <c r="J103" i="14"/>
  <c r="F103" i="14"/>
  <c r="AF101" i="14"/>
  <c r="AB101" i="14"/>
  <c r="X101" i="14"/>
  <c r="T101" i="14"/>
  <c r="P101" i="14"/>
  <c r="L101" i="14"/>
  <c r="AH99" i="14"/>
  <c r="AD99" i="14"/>
  <c r="Z99" i="14"/>
  <c r="V99" i="14"/>
  <c r="R99" i="14"/>
  <c r="N99" i="14"/>
  <c r="J99" i="14"/>
  <c r="F99" i="14"/>
  <c r="AF97" i="14"/>
  <c r="AB97" i="14"/>
  <c r="X97" i="14"/>
  <c r="T97" i="14"/>
  <c r="P97" i="14"/>
  <c r="L97" i="14"/>
  <c r="AH86" i="14"/>
  <c r="AD86" i="14"/>
  <c r="Z86" i="14"/>
  <c r="V86" i="14"/>
  <c r="R86" i="14"/>
  <c r="N86" i="14"/>
  <c r="J86" i="14"/>
  <c r="F86" i="14"/>
  <c r="AI85" i="14"/>
  <c r="AE85" i="14"/>
  <c r="AA85" i="14"/>
  <c r="W85" i="14"/>
  <c r="S85" i="14"/>
  <c r="O85" i="14"/>
  <c r="K85" i="14"/>
  <c r="G85" i="14"/>
  <c r="AG84" i="14"/>
  <c r="AB84" i="14"/>
  <c r="W84" i="14"/>
  <c r="Q84" i="14"/>
  <c r="L84" i="14"/>
  <c r="G84" i="14"/>
  <c r="AH82" i="14"/>
  <c r="AC82" i="14"/>
  <c r="V82" i="14"/>
  <c r="O82" i="14"/>
  <c r="H82" i="14"/>
  <c r="AG116" i="14"/>
  <c r="AC116" i="14"/>
  <c r="Y116" i="14"/>
  <c r="U116" i="14"/>
  <c r="Q116" i="14"/>
  <c r="M116" i="14"/>
  <c r="I116" i="14"/>
  <c r="AG103" i="14"/>
  <c r="AC103" i="14"/>
  <c r="Y103" i="14"/>
  <c r="U103" i="14"/>
  <c r="Q103" i="14"/>
  <c r="M103" i="14"/>
  <c r="I103" i="14"/>
  <c r="AG99" i="14"/>
  <c r="AC99" i="14"/>
  <c r="Y99" i="14"/>
  <c r="U99" i="14"/>
  <c r="Q99" i="14"/>
  <c r="M99" i="14"/>
  <c r="I99" i="14"/>
  <c r="AG86" i="14"/>
  <c r="AC86" i="14"/>
  <c r="Y86" i="14"/>
  <c r="U86" i="14"/>
  <c r="Q86" i="14"/>
  <c r="M86" i="14"/>
  <c r="I86" i="14"/>
  <c r="AH85" i="14"/>
  <c r="AD85" i="14"/>
  <c r="Z85" i="14"/>
  <c r="V85" i="14"/>
  <c r="R85" i="14"/>
  <c r="N85" i="14"/>
  <c r="J85" i="14"/>
  <c r="F85" i="14"/>
  <c r="AF84" i="14"/>
  <c r="AA84" i="14"/>
  <c r="U84" i="14"/>
  <c r="P84" i="14"/>
  <c r="K84" i="14"/>
  <c r="E84" i="14"/>
  <c r="AG82" i="14"/>
  <c r="AA82" i="14"/>
  <c r="T82" i="14"/>
  <c r="N82" i="14"/>
  <c r="F82" i="14"/>
  <c r="E50" i="14"/>
  <c r="I50" i="14"/>
  <c r="M50" i="14"/>
  <c r="Q50" i="14"/>
  <c r="U50" i="14"/>
  <c r="Y50" i="14"/>
  <c r="AC50" i="14"/>
  <c r="AG50" i="14"/>
  <c r="F50" i="14"/>
  <c r="J50" i="14"/>
  <c r="N50" i="14"/>
  <c r="R50" i="14"/>
  <c r="V50" i="14"/>
  <c r="Z50" i="14"/>
  <c r="AD50" i="14"/>
  <c r="AH50" i="14"/>
  <c r="E70" i="14"/>
  <c r="I70" i="14"/>
  <c r="M70" i="14"/>
  <c r="Q70" i="14"/>
  <c r="U70" i="14"/>
  <c r="Y70" i="14"/>
  <c r="AC70" i="14"/>
  <c r="AG70" i="14"/>
  <c r="F69" i="14"/>
  <c r="J69" i="14"/>
  <c r="N69" i="14"/>
  <c r="R69" i="14"/>
  <c r="V69" i="14"/>
  <c r="Z69" i="14"/>
  <c r="AD69" i="14"/>
  <c r="AH69" i="14"/>
  <c r="H67" i="14"/>
  <c r="L67" i="14"/>
  <c r="P67" i="14"/>
  <c r="T67" i="14"/>
  <c r="X67" i="14"/>
  <c r="AB67" i="14"/>
  <c r="AF67" i="14"/>
  <c r="E66" i="14"/>
  <c r="I66" i="14"/>
  <c r="M66" i="14"/>
  <c r="Q66" i="14"/>
  <c r="U66" i="14"/>
  <c r="Y66" i="14"/>
  <c r="AC66" i="14"/>
  <c r="AG66" i="14"/>
  <c r="F65" i="14"/>
  <c r="J65" i="14"/>
  <c r="N65" i="14"/>
  <c r="R65" i="14"/>
  <c r="V65" i="14"/>
  <c r="Z65" i="14"/>
  <c r="AD65" i="14"/>
  <c r="AH65" i="14"/>
  <c r="E62" i="14"/>
  <c r="I62" i="14"/>
  <c r="M62" i="14"/>
  <c r="Q62" i="14"/>
  <c r="U62" i="14"/>
  <c r="Y62" i="14"/>
  <c r="AC62" i="14"/>
  <c r="AG62" i="14"/>
  <c r="F62" i="14"/>
  <c r="J62" i="14"/>
  <c r="N62" i="14"/>
  <c r="R62" i="14"/>
  <c r="V62" i="14"/>
  <c r="Z62" i="14"/>
  <c r="AD62" i="14"/>
  <c r="AH62" i="14"/>
  <c r="AF50" i="14"/>
  <c r="X50" i="14"/>
  <c r="P50" i="14"/>
  <c r="H50" i="14"/>
  <c r="H38" i="14"/>
  <c r="L38" i="14"/>
  <c r="P38" i="14"/>
  <c r="T38" i="14"/>
  <c r="X38" i="14"/>
  <c r="AB38" i="14"/>
  <c r="AF38" i="14"/>
  <c r="E38" i="14"/>
  <c r="I38" i="14"/>
  <c r="M38" i="14"/>
  <c r="Q38" i="14"/>
  <c r="U38" i="14"/>
  <c r="Y38" i="14"/>
  <c r="AC38" i="14"/>
  <c r="AG38" i="14"/>
  <c r="F38" i="14"/>
  <c r="J38" i="14"/>
  <c r="N38" i="14"/>
  <c r="R38" i="14"/>
  <c r="V38" i="14"/>
  <c r="Z38" i="14"/>
  <c r="AD38" i="14"/>
  <c r="AH38" i="14"/>
  <c r="G38" i="14"/>
  <c r="W38" i="14"/>
  <c r="K38" i="14"/>
  <c r="AA38" i="14"/>
  <c r="O38" i="14"/>
  <c r="AE38" i="14"/>
  <c r="AH70" i="14"/>
  <c r="AB70" i="14"/>
  <c r="W70" i="14"/>
  <c r="R70" i="14"/>
  <c r="L70" i="14"/>
  <c r="G70" i="14"/>
  <c r="AG69" i="14"/>
  <c r="AB69" i="14"/>
  <c r="W69" i="14"/>
  <c r="Q69" i="14"/>
  <c r="L69" i="14"/>
  <c r="G69" i="14"/>
  <c r="AH67" i="14"/>
  <c r="AC67" i="14"/>
  <c r="W67" i="14"/>
  <c r="R67" i="14"/>
  <c r="M67" i="14"/>
  <c r="G67" i="14"/>
  <c r="AH66" i="14"/>
  <c r="AB66" i="14"/>
  <c r="W66" i="14"/>
  <c r="R66" i="14"/>
  <c r="L66" i="14"/>
  <c r="G66" i="14"/>
  <c r="AG65" i="14"/>
  <c r="AB65" i="14"/>
  <c r="W65" i="14"/>
  <c r="Q65" i="14"/>
  <c r="L65" i="14"/>
  <c r="G65" i="14"/>
  <c r="H63" i="14"/>
  <c r="L63" i="14"/>
  <c r="P63" i="14"/>
  <c r="T63" i="14"/>
  <c r="X63" i="14"/>
  <c r="AB63" i="14"/>
  <c r="AF63" i="14"/>
  <c r="E63" i="14"/>
  <c r="I63" i="14"/>
  <c r="M63" i="14"/>
  <c r="Q63" i="14"/>
  <c r="U63" i="14"/>
  <c r="Y63" i="14"/>
  <c r="AC63" i="14"/>
  <c r="AF62" i="14"/>
  <c r="X62" i="14"/>
  <c r="P62" i="14"/>
  <c r="H62" i="14"/>
  <c r="AE50" i="14"/>
  <c r="W50" i="14"/>
  <c r="O50" i="14"/>
  <c r="G50" i="14"/>
  <c r="AG47" i="14"/>
  <c r="AC47" i="14"/>
  <c r="Y47" i="14"/>
  <c r="U47" i="14"/>
  <c r="Q47" i="14"/>
  <c r="M47" i="14"/>
  <c r="I47" i="14"/>
  <c r="E47" i="14"/>
  <c r="AH46" i="14"/>
  <c r="AD46" i="14"/>
  <c r="Z46" i="14"/>
  <c r="V46" i="14"/>
  <c r="R46" i="14"/>
  <c r="N46" i="14"/>
  <c r="J46" i="14"/>
  <c r="F46" i="14"/>
  <c r="AF45" i="14"/>
  <c r="AA45" i="14"/>
  <c r="U45" i="14"/>
  <c r="P45" i="14"/>
  <c r="K45" i="14"/>
  <c r="E45" i="14"/>
  <c r="E41" i="14"/>
  <c r="I41" i="14"/>
  <c r="M41" i="14"/>
  <c r="Q41" i="14"/>
  <c r="U41" i="14"/>
  <c r="Y41" i="14"/>
  <c r="AC41" i="14"/>
  <c r="AG41" i="14"/>
  <c r="F41" i="14"/>
  <c r="J41" i="14"/>
  <c r="N41" i="14"/>
  <c r="R41" i="14"/>
  <c r="V41" i="14"/>
  <c r="Z41" i="14"/>
  <c r="AD41" i="14"/>
  <c r="AH41" i="14"/>
  <c r="AH61" i="14"/>
  <c r="AD61" i="14"/>
  <c r="Z61" i="14"/>
  <c r="V61" i="14"/>
  <c r="R61" i="14"/>
  <c r="N61" i="14"/>
  <c r="J61" i="14"/>
  <c r="AH49" i="14"/>
  <c r="AD49" i="14"/>
  <c r="Z49" i="14"/>
  <c r="V49" i="14"/>
  <c r="R49" i="14"/>
  <c r="N49" i="14"/>
  <c r="J49" i="14"/>
  <c r="AF47" i="14"/>
  <c r="AB47" i="14"/>
  <c r="X47" i="14"/>
  <c r="T47" i="14"/>
  <c r="P47" i="14"/>
  <c r="L47" i="14"/>
  <c r="AG46" i="14"/>
  <c r="AC46" i="14"/>
  <c r="Y46" i="14"/>
  <c r="U46" i="14"/>
  <c r="Q46" i="14"/>
  <c r="M46" i="14"/>
  <c r="I46" i="14"/>
  <c r="AE45" i="14"/>
  <c r="Y45" i="14"/>
  <c r="T45" i="14"/>
  <c r="O45" i="14"/>
  <c r="H42" i="14"/>
  <c r="L42" i="14"/>
  <c r="P42" i="14"/>
  <c r="T42" i="14"/>
  <c r="X42" i="14"/>
  <c r="AB42" i="14"/>
  <c r="AF42" i="14"/>
  <c r="E42" i="14"/>
  <c r="I42" i="14"/>
  <c r="M42" i="14"/>
  <c r="Q42" i="14"/>
  <c r="U42" i="14"/>
  <c r="Y42" i="14"/>
  <c r="AC42" i="14"/>
  <c r="AG42" i="14"/>
  <c r="AF41" i="14"/>
  <c r="X41" i="14"/>
  <c r="P41" i="14"/>
  <c r="H41" i="14"/>
  <c r="AJ26" i="14"/>
  <c r="F26" i="16" s="1"/>
  <c r="F45" i="14"/>
  <c r="J45" i="14"/>
  <c r="N45" i="14"/>
  <c r="R45" i="14"/>
  <c r="V45" i="14"/>
  <c r="Z45" i="14"/>
  <c r="AD45" i="14"/>
  <c r="AH45" i="14"/>
  <c r="AF43" i="14"/>
  <c r="AB43" i="14"/>
  <c r="X43" i="14"/>
  <c r="T43" i="14"/>
  <c r="P43" i="14"/>
  <c r="L43" i="14"/>
  <c r="AH37" i="14"/>
  <c r="AD37" i="14"/>
  <c r="Z37" i="14"/>
  <c r="V37" i="14"/>
  <c r="R37" i="14"/>
  <c r="N37" i="14"/>
  <c r="J37" i="14"/>
  <c r="F37" i="14"/>
  <c r="AG37" i="14"/>
  <c r="AC37" i="14"/>
  <c r="Y37" i="14"/>
  <c r="U37" i="14"/>
  <c r="Q37" i="14"/>
  <c r="M37" i="14"/>
  <c r="I37" i="14"/>
  <c r="F213" i="13"/>
  <c r="J213" i="13"/>
  <c r="N213" i="13"/>
  <c r="R213" i="13"/>
  <c r="V213" i="13"/>
  <c r="Z213" i="13"/>
  <c r="AD213" i="13"/>
  <c r="AH213" i="13"/>
  <c r="E213" i="13"/>
  <c r="I213" i="13"/>
  <c r="M213" i="13"/>
  <c r="Q213" i="13"/>
  <c r="U213" i="13"/>
  <c r="Y213" i="13"/>
  <c r="AC213" i="13"/>
  <c r="AG213" i="13"/>
  <c r="H210" i="13"/>
  <c r="L210" i="13"/>
  <c r="P210" i="13"/>
  <c r="T210" i="13"/>
  <c r="X210" i="13"/>
  <c r="AB210" i="13"/>
  <c r="AF210" i="13"/>
  <c r="E209" i="13"/>
  <c r="I209" i="13"/>
  <c r="M209" i="13"/>
  <c r="Q209" i="13"/>
  <c r="U209" i="13"/>
  <c r="Y209" i="13"/>
  <c r="AC209" i="13"/>
  <c r="AG209" i="13"/>
  <c r="F208" i="13"/>
  <c r="J208" i="13"/>
  <c r="N208" i="13"/>
  <c r="R208" i="13"/>
  <c r="V208" i="13"/>
  <c r="Z208" i="13"/>
  <c r="AD208" i="13"/>
  <c r="AH208" i="13"/>
  <c r="H206" i="13"/>
  <c r="L206" i="13"/>
  <c r="P206" i="13"/>
  <c r="T206" i="13"/>
  <c r="X206" i="13"/>
  <c r="AB206" i="13"/>
  <c r="AF206" i="13"/>
  <c r="AE175" i="13"/>
  <c r="W175" i="13"/>
  <c r="O175" i="13"/>
  <c r="G175" i="13"/>
  <c r="AE172" i="13"/>
  <c r="W172" i="13"/>
  <c r="O172" i="13"/>
  <c r="G172" i="13"/>
  <c r="AB171" i="13"/>
  <c r="T171" i="13"/>
  <c r="AD168" i="13"/>
  <c r="V168" i="13"/>
  <c r="N168" i="13"/>
  <c r="AE158" i="13"/>
  <c r="W158" i="13"/>
  <c r="O158" i="13"/>
  <c r="G158" i="13"/>
  <c r="AE155" i="13"/>
  <c r="W155" i="13"/>
  <c r="O155" i="13"/>
  <c r="AB154" i="13"/>
  <c r="T154" i="13"/>
  <c r="AB175" i="13"/>
  <c r="T175" i="13"/>
  <c r="AD172" i="13"/>
  <c r="V172" i="13"/>
  <c r="N172" i="13"/>
  <c r="E171" i="13"/>
  <c r="I171" i="13"/>
  <c r="M171" i="13"/>
  <c r="Q171" i="13"/>
  <c r="U171" i="13"/>
  <c r="Y171" i="13"/>
  <c r="AC171" i="13"/>
  <c r="AG171" i="13"/>
  <c r="F171" i="13"/>
  <c r="J171" i="13"/>
  <c r="N171" i="13"/>
  <c r="R171" i="13"/>
  <c r="V171" i="13"/>
  <c r="Z171" i="13"/>
  <c r="AD171" i="13"/>
  <c r="AH171" i="13"/>
  <c r="H168" i="13"/>
  <c r="L168" i="13"/>
  <c r="P168" i="13"/>
  <c r="T168" i="13"/>
  <c r="X168" i="13"/>
  <c r="AB168" i="13"/>
  <c r="AF168" i="13"/>
  <c r="E168" i="13"/>
  <c r="I168" i="13"/>
  <c r="M168" i="13"/>
  <c r="Q168" i="13"/>
  <c r="U168" i="13"/>
  <c r="Y168" i="13"/>
  <c r="AC168" i="13"/>
  <c r="AG168" i="13"/>
  <c r="AB158" i="13"/>
  <c r="T158" i="13"/>
  <c r="E154" i="13"/>
  <c r="I154" i="13"/>
  <c r="M154" i="13"/>
  <c r="Q154" i="13"/>
  <c r="U154" i="13"/>
  <c r="Y154" i="13"/>
  <c r="AC154" i="13"/>
  <c r="AG154" i="13"/>
  <c r="F154" i="13"/>
  <c r="J154" i="13"/>
  <c r="N154" i="13"/>
  <c r="R154" i="13"/>
  <c r="V154" i="13"/>
  <c r="Z154" i="13"/>
  <c r="AD154" i="13"/>
  <c r="AH154" i="13"/>
  <c r="E175" i="13"/>
  <c r="I175" i="13"/>
  <c r="M175" i="13"/>
  <c r="Q175" i="13"/>
  <c r="U175" i="13"/>
  <c r="Y175" i="13"/>
  <c r="AC175" i="13"/>
  <c r="AG175" i="13"/>
  <c r="F175" i="13"/>
  <c r="J175" i="13"/>
  <c r="N175" i="13"/>
  <c r="R175" i="13"/>
  <c r="V175" i="13"/>
  <c r="Z175" i="13"/>
  <c r="AD175" i="13"/>
  <c r="AH175" i="13"/>
  <c r="H172" i="13"/>
  <c r="L172" i="13"/>
  <c r="P172" i="13"/>
  <c r="T172" i="13"/>
  <c r="X172" i="13"/>
  <c r="AB172" i="13"/>
  <c r="AF172" i="13"/>
  <c r="E172" i="13"/>
  <c r="I172" i="13"/>
  <c r="M172" i="13"/>
  <c r="Q172" i="13"/>
  <c r="U172" i="13"/>
  <c r="Y172" i="13"/>
  <c r="AC172" i="13"/>
  <c r="AG172" i="13"/>
  <c r="E158" i="13"/>
  <c r="I158" i="13"/>
  <c r="M158" i="13"/>
  <c r="Q158" i="13"/>
  <c r="U158" i="13"/>
  <c r="Y158" i="13"/>
  <c r="AC158" i="13"/>
  <c r="AG158" i="13"/>
  <c r="F158" i="13"/>
  <c r="J158" i="13"/>
  <c r="N158" i="13"/>
  <c r="R158" i="13"/>
  <c r="V158" i="13"/>
  <c r="Z158" i="13"/>
  <c r="AD158" i="13"/>
  <c r="AH158" i="13"/>
  <c r="H155" i="13"/>
  <c r="L155" i="13"/>
  <c r="P155" i="13"/>
  <c r="T155" i="13"/>
  <c r="X155" i="13"/>
  <c r="AB155" i="13"/>
  <c r="AF155" i="13"/>
  <c r="E155" i="13"/>
  <c r="I155" i="13"/>
  <c r="M155" i="13"/>
  <c r="Q155" i="13"/>
  <c r="U155" i="13"/>
  <c r="Y155" i="13"/>
  <c r="AC155" i="13"/>
  <c r="AG155" i="13"/>
  <c r="AF154" i="13"/>
  <c r="X154" i="13"/>
  <c r="P154" i="13"/>
  <c r="H154" i="13"/>
  <c r="AE210" i="13"/>
  <c r="Z210" i="13"/>
  <c r="U210" i="13"/>
  <c r="O210" i="13"/>
  <c r="J210" i="13"/>
  <c r="E210" i="13"/>
  <c r="AE209" i="13"/>
  <c r="Z209" i="13"/>
  <c r="T209" i="13"/>
  <c r="O209" i="13"/>
  <c r="J209" i="13"/>
  <c r="AE208" i="13"/>
  <c r="Y208" i="13"/>
  <c r="T208" i="13"/>
  <c r="O208" i="13"/>
  <c r="I208" i="13"/>
  <c r="AE206" i="13"/>
  <c r="Z206" i="13"/>
  <c r="U206" i="13"/>
  <c r="O206" i="13"/>
  <c r="J206" i="13"/>
  <c r="E206" i="13"/>
  <c r="E196" i="13"/>
  <c r="I196" i="13"/>
  <c r="M196" i="13"/>
  <c r="Q196" i="13"/>
  <c r="U196" i="13"/>
  <c r="Y196" i="13"/>
  <c r="AC196" i="13"/>
  <c r="AG196" i="13"/>
  <c r="F195" i="13"/>
  <c r="J195" i="13"/>
  <c r="N195" i="13"/>
  <c r="R195" i="13"/>
  <c r="V195" i="13"/>
  <c r="Z195" i="13"/>
  <c r="AD195" i="13"/>
  <c r="AH195" i="13"/>
  <c r="H193" i="13"/>
  <c r="L193" i="13"/>
  <c r="P193" i="13"/>
  <c r="T193" i="13"/>
  <c r="X193" i="13"/>
  <c r="AB193" i="13"/>
  <c r="AF193" i="13"/>
  <c r="E192" i="13"/>
  <c r="I192" i="13"/>
  <c r="M192" i="13"/>
  <c r="Q192" i="13"/>
  <c r="U192" i="13"/>
  <c r="Y192" i="13"/>
  <c r="AC192" i="13"/>
  <c r="AG192" i="13"/>
  <c r="F191" i="13"/>
  <c r="J191" i="13"/>
  <c r="N191" i="13"/>
  <c r="R191" i="13"/>
  <c r="V191" i="13"/>
  <c r="Z191" i="13"/>
  <c r="AD191" i="13"/>
  <c r="AH191" i="13"/>
  <c r="H189" i="13"/>
  <c r="L189" i="13"/>
  <c r="P189" i="13"/>
  <c r="T189" i="13"/>
  <c r="X189" i="13"/>
  <c r="AB189" i="13"/>
  <c r="AF189" i="13"/>
  <c r="E188" i="13"/>
  <c r="I188" i="13"/>
  <c r="M188" i="13"/>
  <c r="Q188" i="13"/>
  <c r="U188" i="13"/>
  <c r="Y188" i="13"/>
  <c r="AC188" i="13"/>
  <c r="AG188" i="13"/>
  <c r="F187" i="13"/>
  <c r="J187" i="13"/>
  <c r="N187" i="13"/>
  <c r="R187" i="13"/>
  <c r="V187" i="13"/>
  <c r="Z187" i="13"/>
  <c r="AD187" i="13"/>
  <c r="AH187" i="13"/>
  <c r="H176" i="13"/>
  <c r="L176" i="13"/>
  <c r="P176" i="13"/>
  <c r="T176" i="13"/>
  <c r="X176" i="13"/>
  <c r="AB176" i="13"/>
  <c r="AF176" i="13"/>
  <c r="E176" i="13"/>
  <c r="I176" i="13"/>
  <c r="M176" i="13"/>
  <c r="Q176" i="13"/>
  <c r="U176" i="13"/>
  <c r="Y176" i="13"/>
  <c r="AC176" i="13"/>
  <c r="AG176" i="13"/>
  <c r="AF175" i="13"/>
  <c r="X175" i="13"/>
  <c r="P175" i="13"/>
  <c r="H175" i="13"/>
  <c r="AH172" i="13"/>
  <c r="Z172" i="13"/>
  <c r="R172" i="13"/>
  <c r="J172" i="13"/>
  <c r="AE171" i="13"/>
  <c r="W171" i="13"/>
  <c r="O171" i="13"/>
  <c r="G171" i="13"/>
  <c r="AE168" i="13"/>
  <c r="W168" i="13"/>
  <c r="O168" i="13"/>
  <c r="G168" i="13"/>
  <c r="AF158" i="13"/>
  <c r="X158" i="13"/>
  <c r="P158" i="13"/>
  <c r="H158" i="13"/>
  <c r="AH155" i="13"/>
  <c r="Z155" i="13"/>
  <c r="R155" i="13"/>
  <c r="J155" i="13"/>
  <c r="AE154" i="13"/>
  <c r="W154" i="13"/>
  <c r="O154" i="13"/>
  <c r="G154" i="13"/>
  <c r="F122" i="13"/>
  <c r="J122" i="13"/>
  <c r="N122" i="13"/>
  <c r="R122" i="13"/>
  <c r="V122" i="13"/>
  <c r="Z122" i="13"/>
  <c r="AD122" i="13"/>
  <c r="AH122" i="13"/>
  <c r="H122" i="13"/>
  <c r="L122" i="13"/>
  <c r="P122" i="13"/>
  <c r="T122" i="13"/>
  <c r="X122" i="13"/>
  <c r="AB122" i="13"/>
  <c r="AF122" i="13"/>
  <c r="H119" i="13"/>
  <c r="L119" i="13"/>
  <c r="P119" i="13"/>
  <c r="T119" i="13"/>
  <c r="X119" i="13"/>
  <c r="AB119" i="13"/>
  <c r="AF119" i="13"/>
  <c r="E119" i="13"/>
  <c r="J119" i="13"/>
  <c r="O119" i="13"/>
  <c r="U119" i="13"/>
  <c r="Z119" i="13"/>
  <c r="AE119" i="13"/>
  <c r="G119" i="13"/>
  <c r="M119" i="13"/>
  <c r="R119" i="13"/>
  <c r="W119" i="13"/>
  <c r="AC119" i="13"/>
  <c r="AH119" i="13"/>
  <c r="F117" i="13"/>
  <c r="J117" i="13"/>
  <c r="N117" i="13"/>
  <c r="R117" i="13"/>
  <c r="V117" i="13"/>
  <c r="Z117" i="13"/>
  <c r="AD117" i="13"/>
  <c r="AH117" i="13"/>
  <c r="I117" i="13"/>
  <c r="O117" i="13"/>
  <c r="T117" i="13"/>
  <c r="Y117" i="13"/>
  <c r="AE117" i="13"/>
  <c r="G117" i="13"/>
  <c r="L117" i="13"/>
  <c r="Q117" i="13"/>
  <c r="W117" i="13"/>
  <c r="AB117" i="13"/>
  <c r="AG117" i="13"/>
  <c r="F113" i="13"/>
  <c r="J113" i="13"/>
  <c r="N113" i="13"/>
  <c r="R113" i="13"/>
  <c r="V113" i="13"/>
  <c r="Z113" i="13"/>
  <c r="AD113" i="13"/>
  <c r="AH113" i="13"/>
  <c r="I113" i="13"/>
  <c r="O113" i="13"/>
  <c r="T113" i="13"/>
  <c r="Y113" i="13"/>
  <c r="AE113" i="13"/>
  <c r="E113" i="13"/>
  <c r="K113" i="13"/>
  <c r="P113" i="13"/>
  <c r="U113" i="13"/>
  <c r="AA113" i="13"/>
  <c r="AF113" i="13"/>
  <c r="G113" i="13"/>
  <c r="L113" i="13"/>
  <c r="Q113" i="13"/>
  <c r="W113" i="13"/>
  <c r="AB113" i="13"/>
  <c r="AG113" i="13"/>
  <c r="E101" i="13"/>
  <c r="I101" i="13"/>
  <c r="M101" i="13"/>
  <c r="Q101" i="13"/>
  <c r="U101" i="13"/>
  <c r="Y101" i="13"/>
  <c r="AC101" i="13"/>
  <c r="AG101" i="13"/>
  <c r="J101" i="13"/>
  <c r="O101" i="13"/>
  <c r="T101" i="13"/>
  <c r="Z101" i="13"/>
  <c r="AE101" i="13"/>
  <c r="F101" i="13"/>
  <c r="K101" i="13"/>
  <c r="P101" i="13"/>
  <c r="V101" i="13"/>
  <c r="AA101" i="13"/>
  <c r="AF101" i="13"/>
  <c r="G101" i="13"/>
  <c r="L101" i="13"/>
  <c r="R101" i="13"/>
  <c r="W101" i="13"/>
  <c r="AB101" i="13"/>
  <c r="AH101" i="13"/>
  <c r="AG122" i="13"/>
  <c r="Y122" i="13"/>
  <c r="Q122" i="13"/>
  <c r="I122" i="13"/>
  <c r="AG119" i="13"/>
  <c r="V119" i="13"/>
  <c r="K119" i="13"/>
  <c r="AF117" i="13"/>
  <c r="U117" i="13"/>
  <c r="K117" i="13"/>
  <c r="AD115" i="13"/>
  <c r="E114" i="13"/>
  <c r="I114" i="13"/>
  <c r="M114" i="13"/>
  <c r="Q114" i="13"/>
  <c r="U114" i="13"/>
  <c r="Y114" i="13"/>
  <c r="AC114" i="13"/>
  <c r="AG114" i="13"/>
  <c r="J114" i="13"/>
  <c r="O114" i="13"/>
  <c r="T114" i="13"/>
  <c r="Z114" i="13"/>
  <c r="AE114" i="13"/>
  <c r="F114" i="13"/>
  <c r="K114" i="13"/>
  <c r="P114" i="13"/>
  <c r="V114" i="13"/>
  <c r="AA114" i="13"/>
  <c r="AF114" i="13"/>
  <c r="G114" i="13"/>
  <c r="L114" i="13"/>
  <c r="R114" i="13"/>
  <c r="W114" i="13"/>
  <c r="AB114" i="13"/>
  <c r="AH114" i="13"/>
  <c r="S113" i="13"/>
  <c r="H102" i="13"/>
  <c r="L102" i="13"/>
  <c r="P102" i="13"/>
  <c r="T102" i="13"/>
  <c r="X102" i="13"/>
  <c r="AB102" i="13"/>
  <c r="AF102" i="13"/>
  <c r="E102" i="13"/>
  <c r="J102" i="13"/>
  <c r="O102" i="13"/>
  <c r="U102" i="13"/>
  <c r="Z102" i="13"/>
  <c r="AE102" i="13"/>
  <c r="F102" i="13"/>
  <c r="K102" i="13"/>
  <c r="Q102" i="13"/>
  <c r="V102" i="13"/>
  <c r="AA102" i="13"/>
  <c r="AG102" i="13"/>
  <c r="G102" i="13"/>
  <c r="M102" i="13"/>
  <c r="R102" i="13"/>
  <c r="W102" i="13"/>
  <c r="AC102" i="13"/>
  <c r="AH102" i="13"/>
  <c r="S101" i="13"/>
  <c r="AG151" i="13"/>
  <c r="AC151" i="13"/>
  <c r="Y151" i="13"/>
  <c r="U151" i="13"/>
  <c r="Q151" i="13"/>
  <c r="M151" i="13"/>
  <c r="I151" i="13"/>
  <c r="E151" i="13"/>
  <c r="AH141" i="13"/>
  <c r="AD141" i="13"/>
  <c r="Z141" i="13"/>
  <c r="V141" i="13"/>
  <c r="R141" i="13"/>
  <c r="N141" i="13"/>
  <c r="J141" i="13"/>
  <c r="F141" i="13"/>
  <c r="AG138" i="13"/>
  <c r="AC138" i="13"/>
  <c r="Y138" i="13"/>
  <c r="U138" i="13"/>
  <c r="Q138" i="13"/>
  <c r="M138" i="13"/>
  <c r="I138" i="13"/>
  <c r="E138" i="13"/>
  <c r="AE122" i="13"/>
  <c r="W122" i="13"/>
  <c r="O122" i="13"/>
  <c r="G122" i="13"/>
  <c r="H120" i="13"/>
  <c r="L120" i="13"/>
  <c r="P120" i="13"/>
  <c r="T120" i="13"/>
  <c r="X120" i="13"/>
  <c r="AB120" i="13"/>
  <c r="AF120" i="13"/>
  <c r="F120" i="13"/>
  <c r="J120" i="13"/>
  <c r="N120" i="13"/>
  <c r="R120" i="13"/>
  <c r="V120" i="13"/>
  <c r="Z120" i="13"/>
  <c r="AD120" i="13"/>
  <c r="AH120" i="13"/>
  <c r="AD119" i="13"/>
  <c r="S119" i="13"/>
  <c r="I119" i="13"/>
  <c r="E118" i="13"/>
  <c r="I118" i="13"/>
  <c r="M118" i="13"/>
  <c r="Q118" i="13"/>
  <c r="U118" i="13"/>
  <c r="Y118" i="13"/>
  <c r="AC118" i="13"/>
  <c r="AG118" i="13"/>
  <c r="J118" i="13"/>
  <c r="O118" i="13"/>
  <c r="T118" i="13"/>
  <c r="Z118" i="13"/>
  <c r="AE118" i="13"/>
  <c r="G118" i="13"/>
  <c r="L118" i="13"/>
  <c r="R118" i="13"/>
  <c r="W118" i="13"/>
  <c r="AB118" i="13"/>
  <c r="AH118" i="13"/>
  <c r="AC117" i="13"/>
  <c r="S117" i="13"/>
  <c r="H117" i="13"/>
  <c r="H115" i="13"/>
  <c r="L115" i="13"/>
  <c r="P115" i="13"/>
  <c r="T115" i="13"/>
  <c r="X115" i="13"/>
  <c r="AB115" i="13"/>
  <c r="AF115" i="13"/>
  <c r="E115" i="13"/>
  <c r="J115" i="13"/>
  <c r="O115" i="13"/>
  <c r="U115" i="13"/>
  <c r="Z115" i="13"/>
  <c r="AE115" i="13"/>
  <c r="F115" i="13"/>
  <c r="K115" i="13"/>
  <c r="Q115" i="13"/>
  <c r="V115" i="13"/>
  <c r="AA115" i="13"/>
  <c r="AG115" i="13"/>
  <c r="G115" i="13"/>
  <c r="M115" i="13"/>
  <c r="R115" i="13"/>
  <c r="W115" i="13"/>
  <c r="AC115" i="13"/>
  <c r="AH115" i="13"/>
  <c r="AI113" i="13"/>
  <c r="M113" i="13"/>
  <c r="AI101" i="13"/>
  <c r="N101" i="13"/>
  <c r="AH174" i="13"/>
  <c r="AD174" i="13"/>
  <c r="Z174" i="13"/>
  <c r="V174" i="13"/>
  <c r="R174" i="13"/>
  <c r="N174" i="13"/>
  <c r="J174" i="13"/>
  <c r="AH170" i="13"/>
  <c r="AD170" i="13"/>
  <c r="Z170" i="13"/>
  <c r="V170" i="13"/>
  <c r="R170" i="13"/>
  <c r="N170" i="13"/>
  <c r="J170" i="13"/>
  <c r="AH157" i="13"/>
  <c r="AD157" i="13"/>
  <c r="Z157" i="13"/>
  <c r="V157" i="13"/>
  <c r="R157" i="13"/>
  <c r="N157" i="13"/>
  <c r="J157" i="13"/>
  <c r="AH153" i="13"/>
  <c r="AD153" i="13"/>
  <c r="Z153" i="13"/>
  <c r="V153" i="13"/>
  <c r="R153" i="13"/>
  <c r="N153" i="13"/>
  <c r="J153" i="13"/>
  <c r="AF151" i="13"/>
  <c r="AB151" i="13"/>
  <c r="X151" i="13"/>
  <c r="T151" i="13"/>
  <c r="P151" i="13"/>
  <c r="L151" i="13"/>
  <c r="AG141" i="13"/>
  <c r="AC141" i="13"/>
  <c r="Y141" i="13"/>
  <c r="U141" i="13"/>
  <c r="Q141" i="13"/>
  <c r="M141" i="13"/>
  <c r="I141" i="13"/>
  <c r="AH140" i="13"/>
  <c r="AD140" i="13"/>
  <c r="Z140" i="13"/>
  <c r="V140" i="13"/>
  <c r="R140" i="13"/>
  <c r="N140" i="13"/>
  <c r="J140" i="13"/>
  <c r="AF138" i="13"/>
  <c r="AB138" i="13"/>
  <c r="X138" i="13"/>
  <c r="T138" i="13"/>
  <c r="P138" i="13"/>
  <c r="L138" i="13"/>
  <c r="F137" i="13"/>
  <c r="J137" i="13"/>
  <c r="N137" i="13"/>
  <c r="R137" i="13"/>
  <c r="V137" i="13"/>
  <c r="Z137" i="13"/>
  <c r="H135" i="13"/>
  <c r="L135" i="13"/>
  <c r="P135" i="13"/>
  <c r="T135" i="13"/>
  <c r="X135" i="13"/>
  <c r="AB135" i="13"/>
  <c r="AF135" i="13"/>
  <c r="E134" i="13"/>
  <c r="I134" i="13"/>
  <c r="M134" i="13"/>
  <c r="Q134" i="13"/>
  <c r="U134" i="13"/>
  <c r="Y134" i="13"/>
  <c r="AC134" i="13"/>
  <c r="AG134" i="13"/>
  <c r="F133" i="13"/>
  <c r="J133" i="13"/>
  <c r="N133" i="13"/>
  <c r="R133" i="13"/>
  <c r="V133" i="13"/>
  <c r="Z133" i="13"/>
  <c r="AD133" i="13"/>
  <c r="AH133" i="13"/>
  <c r="AC122" i="13"/>
  <c r="U122" i="13"/>
  <c r="M122" i="13"/>
  <c r="E122" i="13"/>
  <c r="AA119" i="13"/>
  <c r="Q119" i="13"/>
  <c r="F119" i="13"/>
  <c r="AA117" i="13"/>
  <c r="P117" i="13"/>
  <c r="E117" i="13"/>
  <c r="AC113" i="13"/>
  <c r="H113" i="13"/>
  <c r="AD101" i="13"/>
  <c r="H101" i="13"/>
  <c r="F100" i="13"/>
  <c r="J100" i="13"/>
  <c r="N100" i="13"/>
  <c r="R100" i="13"/>
  <c r="V100" i="13"/>
  <c r="Z100" i="13"/>
  <c r="AD100" i="13"/>
  <c r="AH100" i="13"/>
  <c r="H98" i="13"/>
  <c r="L98" i="13"/>
  <c r="P98" i="13"/>
  <c r="T98" i="13"/>
  <c r="X98" i="13"/>
  <c r="AB98" i="13"/>
  <c r="AF98" i="13"/>
  <c r="E97" i="13"/>
  <c r="I97" i="13"/>
  <c r="M97" i="13"/>
  <c r="Q97" i="13"/>
  <c r="U97" i="13"/>
  <c r="Y97" i="13"/>
  <c r="AC97" i="13"/>
  <c r="AG97" i="13"/>
  <c r="F96" i="13"/>
  <c r="J96" i="13"/>
  <c r="N96" i="13"/>
  <c r="R96" i="13"/>
  <c r="V96" i="13"/>
  <c r="Z96" i="13"/>
  <c r="AD96" i="13"/>
  <c r="AH96" i="13"/>
  <c r="AG121" i="13"/>
  <c r="AC121" i="13"/>
  <c r="Y121" i="13"/>
  <c r="U121" i="13"/>
  <c r="Q121" i="13"/>
  <c r="M121" i="13"/>
  <c r="I121" i="13"/>
  <c r="AG100" i="13"/>
  <c r="AB100" i="13"/>
  <c r="W100" i="13"/>
  <c r="Q100" i="13"/>
  <c r="L100" i="13"/>
  <c r="G100" i="13"/>
  <c r="AH98" i="13"/>
  <c r="AC98" i="13"/>
  <c r="W98" i="13"/>
  <c r="R98" i="13"/>
  <c r="M98" i="13"/>
  <c r="G98" i="13"/>
  <c r="AH97" i="13"/>
  <c r="AB97" i="13"/>
  <c r="W97" i="13"/>
  <c r="R97" i="13"/>
  <c r="L97" i="13"/>
  <c r="G97" i="13"/>
  <c r="AG96" i="13"/>
  <c r="AB96" i="13"/>
  <c r="W96" i="13"/>
  <c r="Q96" i="13"/>
  <c r="L96" i="13"/>
  <c r="G96" i="13"/>
  <c r="AD85" i="13"/>
  <c r="V85" i="13"/>
  <c r="N85" i="13"/>
  <c r="E67" i="13"/>
  <c r="I67" i="13"/>
  <c r="M67" i="13"/>
  <c r="Q67" i="13"/>
  <c r="U67" i="13"/>
  <c r="Y67" i="13"/>
  <c r="AC67" i="13"/>
  <c r="AG67" i="13"/>
  <c r="J67" i="13"/>
  <c r="O67" i="13"/>
  <c r="T67" i="13"/>
  <c r="Z67" i="13"/>
  <c r="AE67" i="13"/>
  <c r="F67" i="13"/>
  <c r="K67" i="13"/>
  <c r="P67" i="13"/>
  <c r="V67" i="13"/>
  <c r="AA67" i="13"/>
  <c r="AF67" i="13"/>
  <c r="G67" i="13"/>
  <c r="R67" i="13"/>
  <c r="AB67" i="13"/>
  <c r="H67" i="13"/>
  <c r="S67" i="13"/>
  <c r="AD67" i="13"/>
  <c r="L67" i="13"/>
  <c r="W67" i="13"/>
  <c r="AH67" i="13"/>
  <c r="AF100" i="13"/>
  <c r="AA100" i="13"/>
  <c r="U100" i="13"/>
  <c r="P100" i="13"/>
  <c r="K100" i="13"/>
  <c r="E100" i="13"/>
  <c r="AG98" i="13"/>
  <c r="AA98" i="13"/>
  <c r="V98" i="13"/>
  <c r="Q98" i="13"/>
  <c r="K98" i="13"/>
  <c r="F98" i="13"/>
  <c r="AF97" i="13"/>
  <c r="AA97" i="13"/>
  <c r="V97" i="13"/>
  <c r="P97" i="13"/>
  <c r="K97" i="13"/>
  <c r="F97" i="13"/>
  <c r="AF96" i="13"/>
  <c r="AA96" i="13"/>
  <c r="U96" i="13"/>
  <c r="P96" i="13"/>
  <c r="K96" i="13"/>
  <c r="E96" i="13"/>
  <c r="H85" i="13"/>
  <c r="L85" i="13"/>
  <c r="P85" i="13"/>
  <c r="T85" i="13"/>
  <c r="X85" i="13"/>
  <c r="AB85" i="13"/>
  <c r="AF85" i="13"/>
  <c r="E85" i="13"/>
  <c r="I85" i="13"/>
  <c r="M85" i="13"/>
  <c r="Q85" i="13"/>
  <c r="U85" i="13"/>
  <c r="Y85" i="13"/>
  <c r="AC85" i="13"/>
  <c r="AG85" i="13"/>
  <c r="AI67" i="13"/>
  <c r="AE100" i="13"/>
  <c r="Y100" i="13"/>
  <c r="T100" i="13"/>
  <c r="O100" i="13"/>
  <c r="I100" i="13"/>
  <c r="AE98" i="13"/>
  <c r="Z98" i="13"/>
  <c r="U98" i="13"/>
  <c r="O98" i="13"/>
  <c r="J98" i="13"/>
  <c r="E98" i="13"/>
  <c r="AE97" i="13"/>
  <c r="Z97" i="13"/>
  <c r="T97" i="13"/>
  <c r="O97" i="13"/>
  <c r="J97" i="13"/>
  <c r="AE96" i="13"/>
  <c r="Y96" i="13"/>
  <c r="T96" i="13"/>
  <c r="O96" i="13"/>
  <c r="I96" i="13"/>
  <c r="E71" i="13"/>
  <c r="I71" i="13"/>
  <c r="M71" i="13"/>
  <c r="Q71" i="13"/>
  <c r="U71" i="13"/>
  <c r="Y71" i="13"/>
  <c r="AC71" i="13"/>
  <c r="AG71" i="13"/>
  <c r="J71" i="13"/>
  <c r="O71" i="13"/>
  <c r="T71" i="13"/>
  <c r="Z71" i="13"/>
  <c r="AE71" i="13"/>
  <c r="F71" i="13"/>
  <c r="K71" i="13"/>
  <c r="P71" i="13"/>
  <c r="V71" i="13"/>
  <c r="AA71" i="13"/>
  <c r="AF71" i="13"/>
  <c r="G71" i="13"/>
  <c r="R71" i="13"/>
  <c r="AB71" i="13"/>
  <c r="H71" i="13"/>
  <c r="S71" i="13"/>
  <c r="AD71" i="13"/>
  <c r="L71" i="13"/>
  <c r="W71" i="13"/>
  <c r="AH71" i="13"/>
  <c r="X67" i="13"/>
  <c r="E83" i="13"/>
  <c r="I83" i="13"/>
  <c r="M83" i="13"/>
  <c r="Q83" i="13"/>
  <c r="U83" i="13"/>
  <c r="Y83" i="13"/>
  <c r="AC83" i="13"/>
  <c r="AG83" i="13"/>
  <c r="H72" i="13"/>
  <c r="L72" i="13"/>
  <c r="P72" i="13"/>
  <c r="T72" i="13"/>
  <c r="X72" i="13"/>
  <c r="AB72" i="13"/>
  <c r="AF72" i="13"/>
  <c r="E72" i="13"/>
  <c r="J72" i="13"/>
  <c r="O72" i="13"/>
  <c r="U72" i="13"/>
  <c r="Z72" i="13"/>
  <c r="AE72" i="13"/>
  <c r="F72" i="13"/>
  <c r="K72" i="13"/>
  <c r="Q72" i="13"/>
  <c r="V72" i="13"/>
  <c r="AA72" i="13"/>
  <c r="AG72" i="13"/>
  <c r="F70" i="13"/>
  <c r="J70" i="13"/>
  <c r="N70" i="13"/>
  <c r="R70" i="13"/>
  <c r="V70" i="13"/>
  <c r="Z70" i="13"/>
  <c r="AD70" i="13"/>
  <c r="AH70" i="13"/>
  <c r="I70" i="13"/>
  <c r="O70" i="13"/>
  <c r="T70" i="13"/>
  <c r="Y70" i="13"/>
  <c r="AE70" i="13"/>
  <c r="E70" i="13"/>
  <c r="K70" i="13"/>
  <c r="P70" i="13"/>
  <c r="U70" i="13"/>
  <c r="AA70" i="13"/>
  <c r="AF70" i="13"/>
  <c r="H68" i="13"/>
  <c r="L68" i="13"/>
  <c r="P68" i="13"/>
  <c r="T68" i="13"/>
  <c r="X68" i="13"/>
  <c r="AB68" i="13"/>
  <c r="AF68" i="13"/>
  <c r="E68" i="13"/>
  <c r="J68" i="13"/>
  <c r="O68" i="13"/>
  <c r="U68" i="13"/>
  <c r="Z68" i="13"/>
  <c r="AE68" i="13"/>
  <c r="F68" i="13"/>
  <c r="K68" i="13"/>
  <c r="Q68" i="13"/>
  <c r="V68" i="13"/>
  <c r="AA68" i="13"/>
  <c r="AG68" i="13"/>
  <c r="F66" i="13"/>
  <c r="J66" i="13"/>
  <c r="N66" i="13"/>
  <c r="R66" i="13"/>
  <c r="V66" i="13"/>
  <c r="Z66" i="13"/>
  <c r="AD66" i="13"/>
  <c r="AH66" i="13"/>
  <c r="I66" i="13"/>
  <c r="O66" i="13"/>
  <c r="T66" i="13"/>
  <c r="Y66" i="13"/>
  <c r="AE66" i="13"/>
  <c r="E66" i="13"/>
  <c r="K66" i="13"/>
  <c r="P66" i="13"/>
  <c r="U66" i="13"/>
  <c r="AA66" i="13"/>
  <c r="AF66" i="13"/>
  <c r="AI83" i="13"/>
  <c r="AD83" i="13"/>
  <c r="X83" i="13"/>
  <c r="S83" i="13"/>
  <c r="N83" i="13"/>
  <c r="H83" i="13"/>
  <c r="F82" i="13"/>
  <c r="J82" i="13"/>
  <c r="N82" i="13"/>
  <c r="R82" i="13"/>
  <c r="V82" i="13"/>
  <c r="Z82" i="13"/>
  <c r="AD82" i="13"/>
  <c r="AH82" i="13"/>
  <c r="I82" i="13"/>
  <c r="O82" i="13"/>
  <c r="T82" i="13"/>
  <c r="Y82" i="13"/>
  <c r="AE82" i="13"/>
  <c r="AH72" i="13"/>
  <c r="W72" i="13"/>
  <c r="M72" i="13"/>
  <c r="AG70" i="13"/>
  <c r="W70" i="13"/>
  <c r="L70" i="13"/>
  <c r="AH68" i="13"/>
  <c r="W68" i="13"/>
  <c r="M68" i="13"/>
  <c r="AG66" i="13"/>
  <c r="W66" i="13"/>
  <c r="L66" i="13"/>
  <c r="H50" i="13"/>
  <c r="L50" i="13"/>
  <c r="P50" i="13"/>
  <c r="T50" i="13"/>
  <c r="X50" i="13"/>
  <c r="AB50" i="13"/>
  <c r="AF50" i="13"/>
  <c r="E50" i="13"/>
  <c r="I50" i="13"/>
  <c r="M50" i="13"/>
  <c r="Q50" i="13"/>
  <c r="U50" i="13"/>
  <c r="Y50" i="13"/>
  <c r="AC50" i="13"/>
  <c r="AG50" i="13"/>
  <c r="F50" i="13"/>
  <c r="J50" i="13"/>
  <c r="N50" i="13"/>
  <c r="R50" i="13"/>
  <c r="V50" i="13"/>
  <c r="Z50" i="13"/>
  <c r="AD50" i="13"/>
  <c r="AH50" i="13"/>
  <c r="H38" i="13"/>
  <c r="L38" i="13"/>
  <c r="P38" i="13"/>
  <c r="T38" i="13"/>
  <c r="X38" i="13"/>
  <c r="AB38" i="13"/>
  <c r="AF38" i="13"/>
  <c r="E38" i="13"/>
  <c r="I38" i="13"/>
  <c r="M38" i="13"/>
  <c r="Q38" i="13"/>
  <c r="U38" i="13"/>
  <c r="Y38" i="13"/>
  <c r="AC38" i="13"/>
  <c r="AG38" i="13"/>
  <c r="F38" i="13"/>
  <c r="J38" i="13"/>
  <c r="N38" i="13"/>
  <c r="R38" i="13"/>
  <c r="V38" i="13"/>
  <c r="Z38" i="13"/>
  <c r="AD38" i="13"/>
  <c r="AH38" i="13"/>
  <c r="G38" i="13"/>
  <c r="W38" i="13"/>
  <c r="K38" i="13"/>
  <c r="AA38" i="13"/>
  <c r="O38" i="13"/>
  <c r="AE38" i="13"/>
  <c r="V63" i="13"/>
  <c r="N63" i="13"/>
  <c r="E62" i="13"/>
  <c r="I62" i="13"/>
  <c r="M62" i="13"/>
  <c r="Q62" i="13"/>
  <c r="U62" i="13"/>
  <c r="Y62" i="13"/>
  <c r="AC62" i="13"/>
  <c r="AG62" i="13"/>
  <c r="F62" i="13"/>
  <c r="J62" i="13"/>
  <c r="N62" i="13"/>
  <c r="R62" i="13"/>
  <c r="V62" i="13"/>
  <c r="Z62" i="13"/>
  <c r="AD62" i="13"/>
  <c r="AH62" i="13"/>
  <c r="AE50" i="13"/>
  <c r="O50" i="13"/>
  <c r="H63" i="13"/>
  <c r="L63" i="13"/>
  <c r="P63" i="13"/>
  <c r="T63" i="13"/>
  <c r="X63" i="13"/>
  <c r="AB63" i="13"/>
  <c r="AF63" i="13"/>
  <c r="E63" i="13"/>
  <c r="I63" i="13"/>
  <c r="M63" i="13"/>
  <c r="Q63" i="13"/>
  <c r="U63" i="13"/>
  <c r="Y63" i="13"/>
  <c r="AC63" i="13"/>
  <c r="AG63" i="13"/>
  <c r="AA50" i="13"/>
  <c r="K50" i="13"/>
  <c r="H43" i="13"/>
  <c r="L43" i="13"/>
  <c r="P43" i="13"/>
  <c r="T43" i="13"/>
  <c r="X43" i="13"/>
  <c r="AB43" i="13"/>
  <c r="AF43" i="13"/>
  <c r="E43" i="13"/>
  <c r="I43" i="13"/>
  <c r="M43" i="13"/>
  <c r="Q43" i="13"/>
  <c r="U43" i="13"/>
  <c r="Y43" i="13"/>
  <c r="AC43" i="13"/>
  <c r="AG43" i="13"/>
  <c r="F43" i="13"/>
  <c r="N43" i="13"/>
  <c r="V43" i="13"/>
  <c r="AD43" i="13"/>
  <c r="G43" i="13"/>
  <c r="O43" i="13"/>
  <c r="W43" i="13"/>
  <c r="AE43" i="13"/>
  <c r="J43" i="13"/>
  <c r="R43" i="13"/>
  <c r="Z43" i="13"/>
  <c r="AH43" i="13"/>
  <c r="AI38" i="13"/>
  <c r="AJ25" i="13"/>
  <c r="G25" i="16" s="1"/>
  <c r="AF64" i="13"/>
  <c r="AB64" i="13"/>
  <c r="X64" i="13"/>
  <c r="T64" i="13"/>
  <c r="P64" i="13"/>
  <c r="L64" i="13"/>
  <c r="AF60" i="13"/>
  <c r="AB60" i="13"/>
  <c r="X60" i="13"/>
  <c r="T60" i="13"/>
  <c r="P60" i="13"/>
  <c r="L60" i="13"/>
  <c r="AF48" i="13"/>
  <c r="AB48" i="13"/>
  <c r="X48" i="13"/>
  <c r="T48" i="13"/>
  <c r="P48" i="13"/>
  <c r="L48" i="13"/>
  <c r="AG47" i="13"/>
  <c r="AC47" i="13"/>
  <c r="Y47" i="13"/>
  <c r="U47" i="13"/>
  <c r="Q47" i="13"/>
  <c r="M47" i="13"/>
  <c r="I47" i="13"/>
  <c r="E47" i="13"/>
  <c r="F46" i="13"/>
  <c r="J46" i="13"/>
  <c r="N46" i="13"/>
  <c r="AE42" i="13"/>
  <c r="W42" i="13"/>
  <c r="O42" i="13"/>
  <c r="G42" i="13"/>
  <c r="AF47" i="13"/>
  <c r="AB47" i="13"/>
  <c r="X47" i="13"/>
  <c r="T47" i="13"/>
  <c r="P47" i="13"/>
  <c r="L47" i="13"/>
  <c r="AB42" i="13"/>
  <c r="T42" i="13"/>
  <c r="E42" i="13"/>
  <c r="I42" i="13"/>
  <c r="M42" i="13"/>
  <c r="Q42" i="13"/>
  <c r="U42" i="13"/>
  <c r="Y42" i="13"/>
  <c r="AC42" i="13"/>
  <c r="AG42" i="13"/>
  <c r="F42" i="13"/>
  <c r="J42" i="13"/>
  <c r="N42" i="13"/>
  <c r="R42" i="13"/>
  <c r="V42" i="13"/>
  <c r="Z42" i="13"/>
  <c r="AD42" i="13"/>
  <c r="AH42" i="13"/>
  <c r="AF44" i="13"/>
  <c r="AB44" i="13"/>
  <c r="X44" i="13"/>
  <c r="T44" i="13"/>
  <c r="P44" i="13"/>
  <c r="L44" i="13"/>
  <c r="X40" i="13"/>
  <c r="T40" i="13"/>
  <c r="P40" i="13"/>
  <c r="L40" i="13"/>
  <c r="AG39" i="13"/>
  <c r="AC39" i="13"/>
  <c r="Y39" i="13"/>
  <c r="U39" i="13"/>
  <c r="Q39" i="13"/>
  <c r="M39" i="13"/>
  <c r="I39" i="13"/>
  <c r="E39" i="13"/>
  <c r="AF39" i="13"/>
  <c r="AB39" i="13"/>
  <c r="X39" i="13"/>
  <c r="T39" i="13"/>
  <c r="P39" i="13"/>
  <c r="L39" i="13"/>
  <c r="E14" i="12"/>
  <c r="F14" i="12"/>
  <c r="G14" i="12"/>
  <c r="H14" i="12"/>
  <c r="I14" i="12"/>
  <c r="J14" i="12"/>
  <c r="K14" i="12"/>
  <c r="L14" i="12"/>
  <c r="M14" i="12"/>
  <c r="N14" i="12"/>
  <c r="O14" i="12"/>
  <c r="P14" i="12"/>
  <c r="Q14" i="12"/>
  <c r="R14" i="12"/>
  <c r="S14" i="12"/>
  <c r="T14" i="12"/>
  <c r="U14" i="12"/>
  <c r="V14" i="12"/>
  <c r="W14" i="12"/>
  <c r="X14" i="12"/>
  <c r="Y14" i="12"/>
  <c r="Z14" i="12"/>
  <c r="AA14" i="12"/>
  <c r="AB14" i="12"/>
  <c r="AC14" i="12"/>
  <c r="AD14" i="12"/>
  <c r="AE14" i="12"/>
  <c r="AF14" i="12"/>
  <c r="AG14" i="12"/>
  <c r="AH14" i="12"/>
  <c r="AI14" i="12"/>
  <c r="E15" i="12"/>
  <c r="F15" i="12"/>
  <c r="G15" i="12"/>
  <c r="H15" i="12"/>
  <c r="I15" i="12"/>
  <c r="J15" i="12"/>
  <c r="K15" i="12"/>
  <c r="L15" i="12"/>
  <c r="M15" i="12"/>
  <c r="N15" i="12"/>
  <c r="O15" i="12"/>
  <c r="P15" i="12"/>
  <c r="Q15" i="12"/>
  <c r="R15" i="12"/>
  <c r="S15" i="12"/>
  <c r="T15" i="12"/>
  <c r="U15" i="12"/>
  <c r="V15" i="12"/>
  <c r="W15" i="12"/>
  <c r="X15" i="12"/>
  <c r="Y15" i="12"/>
  <c r="Z15" i="12"/>
  <c r="AA15" i="12"/>
  <c r="AB15" i="12"/>
  <c r="AC15" i="12"/>
  <c r="AD15" i="12"/>
  <c r="AE15" i="12"/>
  <c r="AF15" i="12"/>
  <c r="AG15" i="12"/>
  <c r="AH15" i="12"/>
  <c r="AI15" i="12"/>
  <c r="E25" i="12"/>
  <c r="F25" i="12"/>
  <c r="G25" i="12"/>
  <c r="H25" i="12"/>
  <c r="I25" i="12"/>
  <c r="J25" i="12"/>
  <c r="K25" i="12"/>
  <c r="L25" i="12"/>
  <c r="M25" i="12"/>
  <c r="N25" i="12"/>
  <c r="O25" i="12"/>
  <c r="P25" i="12"/>
  <c r="Q25" i="12"/>
  <c r="R25" i="12"/>
  <c r="S25" i="12"/>
  <c r="T25" i="12"/>
  <c r="U25" i="12"/>
  <c r="V25" i="12"/>
  <c r="W25" i="12"/>
  <c r="X25" i="12"/>
  <c r="Y25" i="12"/>
  <c r="Z25" i="12"/>
  <c r="AA25" i="12"/>
  <c r="AB25" i="12"/>
  <c r="AC25" i="12"/>
  <c r="AD25" i="12"/>
  <c r="AE25" i="12"/>
  <c r="AF25" i="12"/>
  <c r="AG25" i="12"/>
  <c r="AH25" i="12"/>
  <c r="AI25" i="12"/>
  <c r="E26" i="12"/>
  <c r="F26" i="12"/>
  <c r="G26" i="12"/>
  <c r="H26" i="12"/>
  <c r="I26" i="12"/>
  <c r="J26" i="12"/>
  <c r="K26" i="12"/>
  <c r="L26" i="12"/>
  <c r="M26" i="12"/>
  <c r="N26" i="12"/>
  <c r="O26" i="12"/>
  <c r="P26" i="12"/>
  <c r="Q26" i="12"/>
  <c r="R26" i="12"/>
  <c r="S26" i="12"/>
  <c r="T26" i="12"/>
  <c r="U26" i="12"/>
  <c r="V26" i="12"/>
  <c r="W26" i="12"/>
  <c r="X26" i="12"/>
  <c r="Y26" i="12"/>
  <c r="Z26" i="12"/>
  <c r="AA26" i="12"/>
  <c r="AB26" i="12"/>
  <c r="AC26" i="12"/>
  <c r="AD26" i="12"/>
  <c r="AE26" i="12"/>
  <c r="AF26" i="12"/>
  <c r="AG26" i="12"/>
  <c r="AH26" i="12"/>
  <c r="AI26" i="12"/>
  <c r="C37" i="12"/>
  <c r="C38" i="12"/>
  <c r="F38" i="12"/>
  <c r="J38" i="12"/>
  <c r="K38" i="12"/>
  <c r="O38" i="12"/>
  <c r="P38" i="12"/>
  <c r="T38" i="12"/>
  <c r="V38" i="12"/>
  <c r="Z38" i="12"/>
  <c r="AA38" i="12"/>
  <c r="AE38" i="12"/>
  <c r="AF38" i="12"/>
  <c r="C39" i="12"/>
  <c r="C40" i="12"/>
  <c r="Z40" i="12" s="1"/>
  <c r="G40" i="12"/>
  <c r="C41" i="12"/>
  <c r="C42" i="12"/>
  <c r="H42" i="12" s="1"/>
  <c r="E42" i="12"/>
  <c r="G42" i="12"/>
  <c r="I42" i="12"/>
  <c r="K42" i="12"/>
  <c r="L42" i="12"/>
  <c r="O42" i="12"/>
  <c r="P42" i="12"/>
  <c r="Q42" i="12"/>
  <c r="T42" i="12"/>
  <c r="U42" i="12"/>
  <c r="W42" i="12"/>
  <c r="Y42" i="12"/>
  <c r="AA42" i="12"/>
  <c r="AB42" i="12"/>
  <c r="AE42" i="12"/>
  <c r="AF42" i="12"/>
  <c r="AG42" i="12"/>
  <c r="C43" i="12"/>
  <c r="I43" i="12" s="1"/>
  <c r="E43" i="12"/>
  <c r="G43" i="12"/>
  <c r="K43" i="12"/>
  <c r="M43" i="12"/>
  <c r="O43" i="12"/>
  <c r="S43" i="12"/>
  <c r="T43" i="12"/>
  <c r="U43" i="12"/>
  <c r="X43" i="12"/>
  <c r="Y43" i="12"/>
  <c r="AA43" i="12"/>
  <c r="AC43" i="12"/>
  <c r="AE43" i="12"/>
  <c r="AF43" i="12"/>
  <c r="AI43" i="12"/>
  <c r="C44" i="12"/>
  <c r="F44" i="12" s="1"/>
  <c r="O44" i="12"/>
  <c r="S44" i="12"/>
  <c r="AA44" i="12"/>
  <c r="C45" i="12"/>
  <c r="C46" i="12"/>
  <c r="C47" i="12"/>
  <c r="C48" i="12"/>
  <c r="E48" i="12"/>
  <c r="C49" i="12"/>
  <c r="I49" i="12"/>
  <c r="C50" i="12"/>
  <c r="R50" i="12" s="1"/>
  <c r="C60" i="12"/>
  <c r="E60" i="12" s="1"/>
  <c r="G60" i="12"/>
  <c r="I60" i="12"/>
  <c r="Q60" i="12"/>
  <c r="T60" i="12"/>
  <c r="Y60" i="12"/>
  <c r="AE60" i="12"/>
  <c r="C61" i="12"/>
  <c r="M61" i="12" s="1"/>
  <c r="C62" i="12"/>
  <c r="G62" i="12" s="1"/>
  <c r="H62" i="12"/>
  <c r="L62" i="12"/>
  <c r="W62" i="12"/>
  <c r="Z62" i="12"/>
  <c r="AH62" i="12"/>
  <c r="C63" i="12"/>
  <c r="C64" i="12"/>
  <c r="S64" i="12" s="1"/>
  <c r="H64" i="12"/>
  <c r="O64" i="12"/>
  <c r="W64" i="12"/>
  <c r="X64" i="12"/>
  <c r="AB64" i="12"/>
  <c r="AH64" i="12"/>
  <c r="AI64" i="12"/>
  <c r="C65" i="12"/>
  <c r="AF65" i="12" s="1"/>
  <c r="C66" i="12"/>
  <c r="J66" i="12" s="1"/>
  <c r="F66" i="12"/>
  <c r="K66" i="12"/>
  <c r="N66" i="12"/>
  <c r="P66" i="12"/>
  <c r="T66" i="12"/>
  <c r="V66" i="12"/>
  <c r="X66" i="12"/>
  <c r="AB66" i="12"/>
  <c r="AD66" i="12"/>
  <c r="AF66" i="12"/>
  <c r="C67" i="12"/>
  <c r="C68" i="12"/>
  <c r="AE68" i="12"/>
  <c r="C69" i="12"/>
  <c r="Q69" i="12" s="1"/>
  <c r="C70" i="12"/>
  <c r="E70" i="12"/>
  <c r="Q70" i="12"/>
  <c r="T70" i="12"/>
  <c r="AF70" i="12"/>
  <c r="AG70" i="12"/>
  <c r="C71" i="12"/>
  <c r="K71" i="12" s="1"/>
  <c r="S71" i="12"/>
  <c r="AI71" i="12"/>
  <c r="C72" i="12"/>
  <c r="Z72" i="12"/>
  <c r="AD72" i="12"/>
  <c r="C82" i="12"/>
  <c r="Y82" i="12" s="1"/>
  <c r="N82" i="12"/>
  <c r="P82" i="12"/>
  <c r="C83" i="12"/>
  <c r="AC83" i="12" s="1"/>
  <c r="E83" i="12"/>
  <c r="C84" i="12"/>
  <c r="J84" i="12"/>
  <c r="K84" i="12"/>
  <c r="P84" i="12"/>
  <c r="S84" i="12"/>
  <c r="X84" i="12"/>
  <c r="Z84" i="12"/>
  <c r="AE84" i="12"/>
  <c r="AF84" i="12"/>
  <c r="C85" i="12"/>
  <c r="W85" i="12" s="1"/>
  <c r="C86" i="12"/>
  <c r="O86" i="12" s="1"/>
  <c r="C96" i="12"/>
  <c r="C97" i="12"/>
  <c r="AH97" i="12" s="1"/>
  <c r="N97" i="12"/>
  <c r="V97" i="12"/>
  <c r="C98" i="12"/>
  <c r="C99" i="12"/>
  <c r="K99" i="12" s="1"/>
  <c r="C100" i="12"/>
  <c r="Q100" i="12" s="1"/>
  <c r="C101" i="12"/>
  <c r="C102" i="12"/>
  <c r="T102" i="12" s="1"/>
  <c r="C103" i="12"/>
  <c r="N103" i="12"/>
  <c r="C113" i="12"/>
  <c r="C114" i="12"/>
  <c r="AE114" i="12" s="1"/>
  <c r="C115" i="12"/>
  <c r="AD115" i="12" s="1"/>
  <c r="N115" i="12"/>
  <c r="S115" i="12"/>
  <c r="AH115" i="12"/>
  <c r="C116" i="12"/>
  <c r="G116" i="12"/>
  <c r="W116" i="12"/>
  <c r="Z116" i="12"/>
  <c r="C117" i="12"/>
  <c r="Q117" i="12" s="1"/>
  <c r="C118" i="12"/>
  <c r="P118" i="12" s="1"/>
  <c r="H118" i="12"/>
  <c r="Z118" i="12"/>
  <c r="C119" i="12"/>
  <c r="AE119" i="12"/>
  <c r="C120" i="12"/>
  <c r="C121" i="12"/>
  <c r="C122" i="12"/>
  <c r="K122" i="12" s="1"/>
  <c r="AE122" i="12"/>
  <c r="AI122" i="12"/>
  <c r="C132" i="12"/>
  <c r="E132" i="12"/>
  <c r="F132" i="12"/>
  <c r="I132" i="12"/>
  <c r="J132" i="12"/>
  <c r="L132" i="12"/>
  <c r="N132" i="12"/>
  <c r="P132" i="12"/>
  <c r="Q132" i="12"/>
  <c r="T132" i="12"/>
  <c r="U132" i="12"/>
  <c r="V132" i="12"/>
  <c r="Y132" i="12"/>
  <c r="Z132" i="12"/>
  <c r="AB132" i="12"/>
  <c r="AD132" i="12"/>
  <c r="AF132" i="12"/>
  <c r="AG132" i="12"/>
  <c r="C133" i="12"/>
  <c r="L133" i="12" s="1"/>
  <c r="C134" i="12"/>
  <c r="G134" i="12" s="1"/>
  <c r="L134" i="12"/>
  <c r="O134" i="12"/>
  <c r="T134" i="12"/>
  <c r="AB134" i="12"/>
  <c r="AE134" i="12"/>
  <c r="AI134" i="12"/>
  <c r="C135" i="12"/>
  <c r="C136" i="12"/>
  <c r="Z136" i="12"/>
  <c r="C137" i="12"/>
  <c r="T137" i="12" s="1"/>
  <c r="C138" i="12"/>
  <c r="T138" i="12" s="1"/>
  <c r="K138" i="12"/>
  <c r="AB138" i="12"/>
  <c r="C139" i="12"/>
  <c r="S139" i="12" s="1"/>
  <c r="AI139" i="12"/>
  <c r="C140" i="12"/>
  <c r="C141" i="12"/>
  <c r="C151" i="12"/>
  <c r="H151" i="12"/>
  <c r="L151" i="12"/>
  <c r="O151" i="12"/>
  <c r="T151" i="12"/>
  <c r="W151" i="12"/>
  <c r="X151" i="12"/>
  <c r="AE151" i="12"/>
  <c r="AF151" i="12"/>
  <c r="C152" i="12"/>
  <c r="W152" i="12" s="1"/>
  <c r="S152" i="12"/>
  <c r="AI152" i="12"/>
  <c r="C153" i="12"/>
  <c r="Y153" i="12" s="1"/>
  <c r="C154" i="12"/>
  <c r="X154" i="12"/>
  <c r="AE154" i="12"/>
  <c r="C155" i="12"/>
  <c r="H155" i="12" s="1"/>
  <c r="K155" i="12"/>
  <c r="L155" i="12"/>
  <c r="P155" i="12"/>
  <c r="T155" i="12"/>
  <c r="X155" i="12"/>
  <c r="AA155" i="12"/>
  <c r="AF155" i="12"/>
  <c r="AI155" i="12"/>
  <c r="C156" i="12"/>
  <c r="G156" i="12" s="1"/>
  <c r="W156" i="12"/>
  <c r="AI156" i="12"/>
  <c r="C157" i="12"/>
  <c r="H157" i="12" s="1"/>
  <c r="F157" i="12"/>
  <c r="N157" i="12"/>
  <c r="R157" i="12"/>
  <c r="Z157" i="12"/>
  <c r="AD157" i="12"/>
  <c r="C158" i="12"/>
  <c r="Y158" i="12"/>
  <c r="C168" i="12"/>
  <c r="L168" i="12"/>
  <c r="P168" i="12"/>
  <c r="T168" i="12"/>
  <c r="AA168" i="12"/>
  <c r="AF168" i="12"/>
  <c r="AI168" i="12"/>
  <c r="C169" i="12"/>
  <c r="C170" i="12"/>
  <c r="G170" i="12"/>
  <c r="J170" i="12"/>
  <c r="L170" i="12"/>
  <c r="N170" i="12"/>
  <c r="R170" i="12"/>
  <c r="S170" i="12"/>
  <c r="T170" i="12"/>
  <c r="X170" i="12"/>
  <c r="Z170" i="12"/>
  <c r="AB170" i="12"/>
  <c r="AE170" i="12"/>
  <c r="AH170" i="12"/>
  <c r="AI170" i="12"/>
  <c r="C171" i="12"/>
  <c r="M171" i="12"/>
  <c r="O171" i="12"/>
  <c r="T171" i="12"/>
  <c r="Y171" i="12"/>
  <c r="AE171" i="12"/>
  <c r="AI171" i="12"/>
  <c r="C172" i="12"/>
  <c r="AA172" i="12" s="1"/>
  <c r="AI172" i="12"/>
  <c r="C173" i="12"/>
  <c r="N173" i="12" s="1"/>
  <c r="U173" i="12"/>
  <c r="Y173" i="12"/>
  <c r="AC173" i="12"/>
  <c r="C174" i="12"/>
  <c r="C175" i="12"/>
  <c r="C176" i="12"/>
  <c r="C177" i="12"/>
  <c r="S177" i="12" s="1"/>
  <c r="Y177" i="12"/>
  <c r="C187" i="12"/>
  <c r="Y187" i="12" s="1"/>
  <c r="C188" i="12"/>
  <c r="P188" i="12" s="1"/>
  <c r="U188" i="12"/>
  <c r="C189" i="12"/>
  <c r="C190" i="12"/>
  <c r="C191" i="12"/>
  <c r="C192" i="12"/>
  <c r="Y192" i="12" s="1"/>
  <c r="C193" i="12"/>
  <c r="X193" i="12" s="1"/>
  <c r="C194" i="12"/>
  <c r="C195" i="12"/>
  <c r="F195" i="12"/>
  <c r="H195" i="12"/>
  <c r="J195" i="12"/>
  <c r="K195" i="12"/>
  <c r="N195" i="12"/>
  <c r="O195" i="12"/>
  <c r="P195" i="12"/>
  <c r="S195" i="12"/>
  <c r="T195" i="12"/>
  <c r="V195" i="12"/>
  <c r="X195" i="12"/>
  <c r="Z195" i="12"/>
  <c r="AA195" i="12"/>
  <c r="AD195" i="12"/>
  <c r="AE195" i="12"/>
  <c r="AF195" i="12"/>
  <c r="AI195" i="12"/>
  <c r="C196" i="12"/>
  <c r="Y196" i="12"/>
  <c r="AE196" i="12"/>
  <c r="C206" i="12"/>
  <c r="O206" i="12" s="1"/>
  <c r="X206" i="12"/>
  <c r="C207" i="12"/>
  <c r="C208" i="12"/>
  <c r="N208" i="12"/>
  <c r="T208" i="12"/>
  <c r="Y208" i="12"/>
  <c r="C209" i="12"/>
  <c r="X209" i="12" s="1"/>
  <c r="C210" i="12"/>
  <c r="J210" i="12"/>
  <c r="C211" i="12"/>
  <c r="J211" i="12"/>
  <c r="O211" i="12"/>
  <c r="Y211" i="12"/>
  <c r="AD211" i="12"/>
  <c r="AI211" i="12"/>
  <c r="C212" i="12"/>
  <c r="AE212" i="12" s="1"/>
  <c r="C213" i="12"/>
  <c r="E213" i="12" s="1"/>
  <c r="H213" i="12"/>
  <c r="J213" i="12"/>
  <c r="L213" i="12"/>
  <c r="O213" i="12"/>
  <c r="R213" i="12"/>
  <c r="S213" i="12"/>
  <c r="W213" i="12"/>
  <c r="X213" i="12"/>
  <c r="Z213" i="12"/>
  <c r="AD213" i="12"/>
  <c r="AE213" i="12"/>
  <c r="AH213" i="12"/>
  <c r="E14" i="11"/>
  <c r="F14" i="11"/>
  <c r="G14" i="11"/>
  <c r="H14" i="11"/>
  <c r="I14" i="11"/>
  <c r="J14" i="11"/>
  <c r="K14" i="11"/>
  <c r="L14" i="11"/>
  <c r="M14" i="11"/>
  <c r="N14" i="11"/>
  <c r="O14" i="11"/>
  <c r="P14" i="11"/>
  <c r="Q14" i="11"/>
  <c r="R14" i="11"/>
  <c r="S14" i="11"/>
  <c r="T14" i="11"/>
  <c r="U14" i="11"/>
  <c r="V14" i="11"/>
  <c r="W14" i="11"/>
  <c r="X14" i="11"/>
  <c r="Y14" i="11"/>
  <c r="Z14" i="11"/>
  <c r="AA14" i="11"/>
  <c r="AB14" i="11"/>
  <c r="AC14" i="11"/>
  <c r="AD14" i="11"/>
  <c r="AE14" i="11"/>
  <c r="AF14" i="11"/>
  <c r="AG14" i="11"/>
  <c r="AH14" i="11"/>
  <c r="AI14" i="11"/>
  <c r="E15" i="11"/>
  <c r="F15" i="11"/>
  <c r="G15" i="11"/>
  <c r="H15" i="11"/>
  <c r="I15" i="11"/>
  <c r="J15" i="11"/>
  <c r="K15" i="11"/>
  <c r="L15" i="11"/>
  <c r="M15" i="11"/>
  <c r="N15" i="11"/>
  <c r="O15" i="11"/>
  <c r="P15" i="11"/>
  <c r="Q15" i="11"/>
  <c r="R15" i="11"/>
  <c r="S15" i="11"/>
  <c r="T15" i="11"/>
  <c r="U15" i="11"/>
  <c r="V15" i="11"/>
  <c r="W15" i="11"/>
  <c r="X15" i="11"/>
  <c r="Y15" i="11"/>
  <c r="Z15" i="11"/>
  <c r="AA15" i="11"/>
  <c r="AB15" i="11"/>
  <c r="AC15" i="11"/>
  <c r="AD15" i="11"/>
  <c r="AE15" i="11"/>
  <c r="AF15" i="11"/>
  <c r="AG15" i="11"/>
  <c r="AH15" i="11"/>
  <c r="AI15" i="11"/>
  <c r="E25" i="11"/>
  <c r="F25" i="11"/>
  <c r="G25" i="11"/>
  <c r="H25" i="11"/>
  <c r="I25" i="11"/>
  <c r="J25" i="11"/>
  <c r="K25" i="11"/>
  <c r="L25" i="11"/>
  <c r="M25" i="11"/>
  <c r="N25" i="11"/>
  <c r="O25" i="11"/>
  <c r="P25" i="11"/>
  <c r="Q25" i="11"/>
  <c r="R25" i="11"/>
  <c r="S25" i="11"/>
  <c r="T25" i="11"/>
  <c r="U25" i="11"/>
  <c r="V25" i="11"/>
  <c r="W25" i="11"/>
  <c r="X25" i="11"/>
  <c r="Y25" i="11"/>
  <c r="Z25" i="11"/>
  <c r="AA25" i="11"/>
  <c r="AB25" i="11"/>
  <c r="AC25" i="11"/>
  <c r="AD25" i="11"/>
  <c r="AE25" i="11"/>
  <c r="AF25" i="11"/>
  <c r="AG25" i="11"/>
  <c r="AH25" i="11"/>
  <c r="AI25" i="11"/>
  <c r="E26" i="11"/>
  <c r="F26" i="11"/>
  <c r="G26" i="11"/>
  <c r="H26" i="11"/>
  <c r="I26" i="11"/>
  <c r="J26" i="11"/>
  <c r="K26" i="11"/>
  <c r="L26" i="11"/>
  <c r="M26" i="11"/>
  <c r="N26" i="11"/>
  <c r="O26" i="11"/>
  <c r="P26" i="11"/>
  <c r="Q26" i="11"/>
  <c r="R26" i="11"/>
  <c r="S26" i="11"/>
  <c r="T26" i="11"/>
  <c r="U26" i="11"/>
  <c r="V26" i="11"/>
  <c r="W26" i="11"/>
  <c r="X26" i="11"/>
  <c r="Y26" i="11"/>
  <c r="Z26" i="11"/>
  <c r="AA26" i="11"/>
  <c r="AB26" i="11"/>
  <c r="AC26" i="11"/>
  <c r="AD26" i="11"/>
  <c r="AE26" i="11"/>
  <c r="AF26" i="11"/>
  <c r="AG26" i="11"/>
  <c r="AH26" i="11"/>
  <c r="AI26" i="11"/>
  <c r="C37" i="11"/>
  <c r="P37" i="11"/>
  <c r="C38" i="11"/>
  <c r="G38" i="11" s="1"/>
  <c r="AI38" i="11"/>
  <c r="C39" i="11"/>
  <c r="E39" i="11" s="1"/>
  <c r="K39" i="11"/>
  <c r="L39" i="11"/>
  <c r="P39" i="11"/>
  <c r="T39" i="11"/>
  <c r="X39" i="11"/>
  <c r="AA39" i="11"/>
  <c r="AF39" i="11"/>
  <c r="AI39" i="11"/>
  <c r="C40" i="11"/>
  <c r="L40" i="11" s="1"/>
  <c r="C41" i="11"/>
  <c r="K41" i="11" s="1"/>
  <c r="C42" i="11"/>
  <c r="K42" i="11" s="1"/>
  <c r="C43" i="11"/>
  <c r="AG43" i="11" s="1"/>
  <c r="C44" i="11"/>
  <c r="L44" i="11" s="1"/>
  <c r="T44" i="11"/>
  <c r="AB44" i="11"/>
  <c r="C45" i="11"/>
  <c r="E45" i="11" s="1"/>
  <c r="G45" i="11"/>
  <c r="H45" i="11"/>
  <c r="I45" i="11"/>
  <c r="L45" i="11"/>
  <c r="M45" i="11"/>
  <c r="O45" i="11"/>
  <c r="Q45" i="11"/>
  <c r="S45" i="11"/>
  <c r="T45" i="11"/>
  <c r="W45" i="11"/>
  <c r="X45" i="11"/>
  <c r="Y45" i="11"/>
  <c r="AB45" i="11"/>
  <c r="AC45" i="11"/>
  <c r="AE45" i="11"/>
  <c r="AG45" i="11"/>
  <c r="AI45" i="11"/>
  <c r="C46" i="11"/>
  <c r="E46" i="11" s="1"/>
  <c r="H46" i="11"/>
  <c r="I46" i="11"/>
  <c r="L46" i="11"/>
  <c r="P46" i="11"/>
  <c r="Q46" i="11"/>
  <c r="T46" i="11"/>
  <c r="X46" i="11"/>
  <c r="Y46" i="11"/>
  <c r="AB46" i="11"/>
  <c r="AF46" i="11"/>
  <c r="AG46" i="11"/>
  <c r="C47" i="11"/>
  <c r="E47" i="11" s="1"/>
  <c r="K47" i="11"/>
  <c r="L47" i="11"/>
  <c r="P47" i="11"/>
  <c r="T47" i="11"/>
  <c r="X47" i="11"/>
  <c r="AA47" i="11"/>
  <c r="AF47" i="11"/>
  <c r="AI47" i="11"/>
  <c r="C48" i="11"/>
  <c r="G48" i="11" s="1"/>
  <c r="C49" i="11"/>
  <c r="N49" i="11" s="1"/>
  <c r="AH49" i="11"/>
  <c r="C50" i="11"/>
  <c r="M50" i="11" s="1"/>
  <c r="T50" i="11"/>
  <c r="AB50" i="11"/>
  <c r="C60" i="11"/>
  <c r="N60" i="11" s="1"/>
  <c r="S60" i="11"/>
  <c r="AA60" i="11"/>
  <c r="AI60" i="11"/>
  <c r="C61" i="11"/>
  <c r="F61" i="11"/>
  <c r="K61" i="11"/>
  <c r="R61" i="11"/>
  <c r="S61" i="11"/>
  <c r="Y61" i="11"/>
  <c r="AG61" i="11"/>
  <c r="AH61" i="11"/>
  <c r="C62" i="11"/>
  <c r="AB62" i="11" s="1"/>
  <c r="T62" i="11"/>
  <c r="C63" i="11"/>
  <c r="O63" i="11" s="1"/>
  <c r="L63" i="11"/>
  <c r="Y63" i="11"/>
  <c r="C64" i="11"/>
  <c r="T64" i="11" s="1"/>
  <c r="C65" i="11"/>
  <c r="R65" i="11" s="1"/>
  <c r="N65" i="11"/>
  <c r="Y65" i="11"/>
  <c r="AI65" i="11"/>
  <c r="C66" i="11"/>
  <c r="T66" i="11" s="1"/>
  <c r="L66" i="11"/>
  <c r="AB66" i="11"/>
  <c r="C67" i="11"/>
  <c r="L67" i="11"/>
  <c r="M67" i="11"/>
  <c r="X67" i="11"/>
  <c r="AB67" i="11"/>
  <c r="AE67" i="11"/>
  <c r="C68" i="11"/>
  <c r="F68" i="11" s="1"/>
  <c r="O68" i="11"/>
  <c r="Z68" i="11"/>
  <c r="C69" i="11"/>
  <c r="E69" i="11" s="1"/>
  <c r="Y69" i="11"/>
  <c r="C70" i="11"/>
  <c r="J70" i="11"/>
  <c r="Z70" i="11"/>
  <c r="C71" i="11"/>
  <c r="Y71" i="11" s="1"/>
  <c r="T71" i="11"/>
  <c r="C72" i="11"/>
  <c r="L72" i="11" s="1"/>
  <c r="H72" i="11"/>
  <c r="O72" i="11"/>
  <c r="S72" i="11"/>
  <c r="W72" i="11"/>
  <c r="AD72" i="11"/>
  <c r="AH72" i="11"/>
  <c r="C82" i="11"/>
  <c r="L82" i="11" s="1"/>
  <c r="C83" i="11"/>
  <c r="L83" i="11"/>
  <c r="AG83" i="11"/>
  <c r="C84" i="11"/>
  <c r="AI84" i="11" s="1"/>
  <c r="C85" i="11"/>
  <c r="C86" i="11"/>
  <c r="AI86" i="11" s="1"/>
  <c r="C96" i="11"/>
  <c r="J96" i="11"/>
  <c r="N96" i="11"/>
  <c r="T96" i="11"/>
  <c r="X96" i="11"/>
  <c r="Z96" i="11"/>
  <c r="AI96" i="11"/>
  <c r="C97" i="11"/>
  <c r="AG97" i="11" s="1"/>
  <c r="C98" i="11"/>
  <c r="S98" i="11" s="1"/>
  <c r="C99" i="11"/>
  <c r="C100" i="11"/>
  <c r="I100" i="11"/>
  <c r="K100" i="11"/>
  <c r="O100" i="11"/>
  <c r="T100" i="11"/>
  <c r="U100" i="11"/>
  <c r="Y100" i="11"/>
  <c r="AE100" i="11"/>
  <c r="AF100" i="11"/>
  <c r="C101" i="11"/>
  <c r="E101" i="11" s="1"/>
  <c r="AA101" i="11"/>
  <c r="C102" i="11"/>
  <c r="C103" i="11"/>
  <c r="C113" i="11"/>
  <c r="I113" i="11"/>
  <c r="J113" i="11"/>
  <c r="R113" i="11"/>
  <c r="X113" i="11"/>
  <c r="Y113" i="11"/>
  <c r="AF113" i="11"/>
  <c r="C114" i="11"/>
  <c r="Q114" i="11"/>
  <c r="Y114" i="11"/>
  <c r="AA114" i="11"/>
  <c r="C115" i="11"/>
  <c r="AF115" i="11" s="1"/>
  <c r="C116" i="11"/>
  <c r="C117" i="11"/>
  <c r="O117" i="11" s="1"/>
  <c r="F117" i="11"/>
  <c r="P117" i="11"/>
  <c r="V117" i="11"/>
  <c r="AF117" i="11"/>
  <c r="C118" i="11"/>
  <c r="S118" i="11"/>
  <c r="AG118" i="11"/>
  <c r="C119" i="11"/>
  <c r="X119" i="11" s="1"/>
  <c r="C120" i="11"/>
  <c r="S120" i="11" s="1"/>
  <c r="Y120" i="11"/>
  <c r="C121" i="11"/>
  <c r="J121" i="11" s="1"/>
  <c r="T121" i="11"/>
  <c r="Z121" i="11"/>
  <c r="C122" i="11"/>
  <c r="C132" i="11"/>
  <c r="F132" i="11" s="1"/>
  <c r="H132" i="11"/>
  <c r="L132" i="11"/>
  <c r="P132" i="11"/>
  <c r="T132" i="11"/>
  <c r="X132" i="11"/>
  <c r="AB132" i="11"/>
  <c r="AF132" i="11"/>
  <c r="C133" i="11"/>
  <c r="H133" i="11" s="1"/>
  <c r="G133" i="11"/>
  <c r="I133" i="11"/>
  <c r="L133" i="11"/>
  <c r="O133" i="11"/>
  <c r="Q133" i="11"/>
  <c r="T133" i="11"/>
  <c r="W133" i="11"/>
  <c r="Y133" i="11"/>
  <c r="AB133" i="11"/>
  <c r="AE133" i="11"/>
  <c r="AG133" i="11"/>
  <c r="C134" i="11"/>
  <c r="H134" i="11" s="1"/>
  <c r="G134" i="11"/>
  <c r="K134" i="11"/>
  <c r="O134" i="11"/>
  <c r="R134" i="11"/>
  <c r="V134" i="11"/>
  <c r="Z134" i="11"/>
  <c r="AB134" i="11"/>
  <c r="AF134" i="11"/>
  <c r="C135" i="11"/>
  <c r="Y135" i="11" s="1"/>
  <c r="N135" i="11"/>
  <c r="C136" i="11"/>
  <c r="H136" i="11" s="1"/>
  <c r="N136" i="11"/>
  <c r="X136" i="11"/>
  <c r="AF136" i="11"/>
  <c r="C137" i="11"/>
  <c r="AE137" i="11" s="1"/>
  <c r="I137" i="11"/>
  <c r="Y137" i="11"/>
  <c r="C138" i="11"/>
  <c r="AI138" i="11" s="1"/>
  <c r="C139" i="11"/>
  <c r="AA139" i="11" s="1"/>
  <c r="K139" i="11"/>
  <c r="C140" i="11"/>
  <c r="N140" i="11" s="1"/>
  <c r="F140" i="11"/>
  <c r="I140" i="11"/>
  <c r="Q140" i="11"/>
  <c r="T140" i="11"/>
  <c r="Y140" i="11"/>
  <c r="AD140" i="11"/>
  <c r="C141" i="11"/>
  <c r="F141" i="11" s="1"/>
  <c r="O141" i="11"/>
  <c r="C151" i="11"/>
  <c r="K151" i="11"/>
  <c r="W151" i="11"/>
  <c r="C152" i="11"/>
  <c r="K152" i="11" s="1"/>
  <c r="AA152" i="11"/>
  <c r="C153" i="11"/>
  <c r="L153" i="11" s="1"/>
  <c r="F153" i="11"/>
  <c r="T153" i="11"/>
  <c r="V153" i="11"/>
  <c r="C154" i="11"/>
  <c r="Y154" i="11" s="1"/>
  <c r="I154" i="11"/>
  <c r="C155" i="11"/>
  <c r="C156" i="11"/>
  <c r="S156" i="11" s="1"/>
  <c r="C157" i="11"/>
  <c r="F157" i="11" s="1"/>
  <c r="E157" i="11"/>
  <c r="H157" i="11"/>
  <c r="L157" i="11"/>
  <c r="M157" i="11"/>
  <c r="P157" i="11"/>
  <c r="T157" i="11"/>
  <c r="U157" i="11"/>
  <c r="X157" i="11"/>
  <c r="AB157" i="11"/>
  <c r="AC157" i="11"/>
  <c r="AF157" i="11"/>
  <c r="C158" i="11"/>
  <c r="F158" i="11" s="1"/>
  <c r="E158" i="11"/>
  <c r="G158" i="11"/>
  <c r="I158" i="11"/>
  <c r="K158" i="11"/>
  <c r="L158" i="11"/>
  <c r="O158" i="11"/>
  <c r="P158" i="11"/>
  <c r="Q158" i="11"/>
  <c r="T158" i="11"/>
  <c r="U158" i="11"/>
  <c r="W158" i="11"/>
  <c r="Y158" i="11"/>
  <c r="AA158" i="11"/>
  <c r="AB158" i="11"/>
  <c r="AE158" i="11"/>
  <c r="AF158" i="11"/>
  <c r="AG158" i="11"/>
  <c r="C168" i="11"/>
  <c r="H168" i="11" s="1"/>
  <c r="G168" i="11"/>
  <c r="L168" i="11"/>
  <c r="T168" i="11"/>
  <c r="W168" i="11"/>
  <c r="AB168" i="11"/>
  <c r="C169" i="11"/>
  <c r="G169" i="11" s="1"/>
  <c r="F169" i="11"/>
  <c r="K169" i="11"/>
  <c r="S169" i="11"/>
  <c r="V169" i="11"/>
  <c r="AA169" i="11"/>
  <c r="AI169" i="11"/>
  <c r="C170" i="11"/>
  <c r="L170" i="11"/>
  <c r="C171" i="11"/>
  <c r="I171" i="11" s="1"/>
  <c r="Y171" i="11"/>
  <c r="C172" i="11"/>
  <c r="X172" i="11" s="1"/>
  <c r="C173" i="11"/>
  <c r="I173" i="11" s="1"/>
  <c r="C174" i="11"/>
  <c r="L174" i="11" s="1"/>
  <c r="T174" i="11"/>
  <c r="C175" i="11"/>
  <c r="X175" i="11" s="1"/>
  <c r="P175" i="11"/>
  <c r="C176" i="11"/>
  <c r="N176" i="11"/>
  <c r="C177" i="11"/>
  <c r="H177" i="11" s="1"/>
  <c r="C187" i="11"/>
  <c r="G187" i="11" s="1"/>
  <c r="C188" i="11"/>
  <c r="Z188" i="11" s="1"/>
  <c r="C189" i="11"/>
  <c r="K189" i="11" s="1"/>
  <c r="Y189" i="11"/>
  <c r="C190" i="11"/>
  <c r="H190" i="11" s="1"/>
  <c r="E190" i="11"/>
  <c r="P190" i="11"/>
  <c r="T190" i="11"/>
  <c r="AC190" i="11"/>
  <c r="C191" i="11"/>
  <c r="E191" i="11" s="1"/>
  <c r="AC191" i="11"/>
  <c r="C192" i="11"/>
  <c r="F192" i="11" s="1"/>
  <c r="V192" i="11"/>
  <c r="AF192" i="11"/>
  <c r="C193" i="11"/>
  <c r="C194" i="11"/>
  <c r="J194" i="11" s="1"/>
  <c r="E194" i="11"/>
  <c r="F194" i="11"/>
  <c r="L194" i="11"/>
  <c r="N194" i="11"/>
  <c r="Q194" i="11"/>
  <c r="U194" i="11"/>
  <c r="Y194" i="11"/>
  <c r="Z194" i="11"/>
  <c r="AF194" i="11"/>
  <c r="AG194" i="11"/>
  <c r="C195" i="11"/>
  <c r="U195" i="11" s="1"/>
  <c r="C196" i="11"/>
  <c r="H196" i="11" s="1"/>
  <c r="N196" i="11"/>
  <c r="V196" i="11"/>
  <c r="AF196" i="11"/>
  <c r="C206" i="11"/>
  <c r="C207" i="11"/>
  <c r="L207" i="11"/>
  <c r="C208" i="11"/>
  <c r="G208" i="11" s="1"/>
  <c r="U208" i="11"/>
  <c r="C209" i="11"/>
  <c r="O209" i="11" s="1"/>
  <c r="C210" i="11"/>
  <c r="W210" i="11" s="1"/>
  <c r="AI210" i="11"/>
  <c r="C211" i="11"/>
  <c r="O211" i="11" s="1"/>
  <c r="I211" i="11"/>
  <c r="T211" i="11"/>
  <c r="U211" i="11"/>
  <c r="AF211" i="11"/>
  <c r="C212" i="11"/>
  <c r="S212" i="11" s="1"/>
  <c r="C213" i="11"/>
  <c r="G213" i="11" s="1"/>
  <c r="N213" i="11"/>
  <c r="AJ26" i="13" l="1"/>
  <c r="G26" i="16" s="1"/>
  <c r="K118" i="11"/>
  <c r="U118" i="11"/>
  <c r="AC118" i="11"/>
  <c r="AA210" i="11"/>
  <c r="Z209" i="11"/>
  <c r="AI208" i="11"/>
  <c r="S208" i="11"/>
  <c r="S191" i="11"/>
  <c r="AB118" i="11"/>
  <c r="P118" i="11"/>
  <c r="S210" i="11"/>
  <c r="T209" i="11"/>
  <c r="AE208" i="11"/>
  <c r="K208" i="11"/>
  <c r="AA175" i="11"/>
  <c r="AE154" i="11"/>
  <c r="AA118" i="11"/>
  <c r="AA117" i="11"/>
  <c r="H96" i="11"/>
  <c r="S96" i="11"/>
  <c r="AD96" i="11"/>
  <c r="L70" i="11"/>
  <c r="T70" i="11"/>
  <c r="E67" i="11"/>
  <c r="I67" i="11"/>
  <c r="T67" i="11"/>
  <c r="AG67" i="11"/>
  <c r="P196" i="12"/>
  <c r="AF196" i="12"/>
  <c r="K196" i="12"/>
  <c r="S196" i="12"/>
  <c r="Z193" i="12"/>
  <c r="S191" i="12"/>
  <c r="AB191" i="12"/>
  <c r="H191" i="12"/>
  <c r="AA191" i="12"/>
  <c r="U86" i="12"/>
  <c r="H72" i="12"/>
  <c r="S72" i="12"/>
  <c r="AF72" i="12"/>
  <c r="J72" i="12"/>
  <c r="X72" i="12"/>
  <c r="O72" i="12"/>
  <c r="P72" i="12"/>
  <c r="AD40" i="12"/>
  <c r="L98" i="11"/>
  <c r="X98" i="11"/>
  <c r="Q189" i="11"/>
  <c r="AD136" i="11"/>
  <c r="J136" i="11"/>
  <c r="J117" i="11"/>
  <c r="T117" i="11"/>
  <c r="AE117" i="11"/>
  <c r="AH98" i="11"/>
  <c r="AH213" i="11"/>
  <c r="O191" i="11"/>
  <c r="AB190" i="11"/>
  <c r="M190" i="11"/>
  <c r="AI189" i="11"/>
  <c r="O189" i="11"/>
  <c r="AD153" i="11"/>
  <c r="N153" i="11"/>
  <c r="AC136" i="11"/>
  <c r="R136" i="11"/>
  <c r="I136" i="11"/>
  <c r="M118" i="11"/>
  <c r="W213" i="11"/>
  <c r="K210" i="11"/>
  <c r="W208" i="11"/>
  <c r="AB194" i="11"/>
  <c r="T194" i="11"/>
  <c r="AI191" i="11"/>
  <c r="G191" i="11"/>
  <c r="X190" i="11"/>
  <c r="AA189" i="11"/>
  <c r="G189" i="11"/>
  <c r="AD169" i="11"/>
  <c r="N169" i="11"/>
  <c r="AE168" i="11"/>
  <c r="O168" i="11"/>
  <c r="AI158" i="11"/>
  <c r="AC158" i="11"/>
  <c r="X158" i="11"/>
  <c r="S158" i="11"/>
  <c r="M158" i="11"/>
  <c r="H158" i="11"/>
  <c r="AG157" i="11"/>
  <c r="Y157" i="11"/>
  <c r="Q157" i="11"/>
  <c r="I157" i="11"/>
  <c r="AA156" i="11"/>
  <c r="AB153" i="11"/>
  <c r="Y141" i="11"/>
  <c r="AB140" i="11"/>
  <c r="AH136" i="11"/>
  <c r="Y136" i="11"/>
  <c r="P136" i="11"/>
  <c r="AI118" i="11"/>
  <c r="W118" i="11"/>
  <c r="E118" i="11"/>
  <c r="Z117" i="11"/>
  <c r="K117" i="11"/>
  <c r="O114" i="11"/>
  <c r="G114" i="11"/>
  <c r="E100" i="11"/>
  <c r="P100" i="11"/>
  <c r="AA100" i="11"/>
  <c r="J98" i="11"/>
  <c r="AE96" i="11"/>
  <c r="O96" i="11"/>
  <c r="S67" i="11"/>
  <c r="AG63" i="11"/>
  <c r="X210" i="12"/>
  <c r="AE210" i="12"/>
  <c r="J116" i="12"/>
  <c r="H116" i="12"/>
  <c r="S116" i="12"/>
  <c r="AB116" i="12"/>
  <c r="L116" i="12"/>
  <c r="T116" i="12"/>
  <c r="AD116" i="12"/>
  <c r="N116" i="12"/>
  <c r="AH116" i="12"/>
  <c r="O116" i="12"/>
  <c r="AI116" i="12"/>
  <c r="F70" i="12"/>
  <c r="G70" i="12"/>
  <c r="O70" i="12"/>
  <c r="U70" i="12"/>
  <c r="AB70" i="12"/>
  <c r="I70" i="12"/>
  <c r="P70" i="12"/>
  <c r="W70" i="12"/>
  <c r="AE70" i="12"/>
  <c r="K70" i="12"/>
  <c r="Y70" i="12"/>
  <c r="L70" i="12"/>
  <c r="AA70" i="12"/>
  <c r="L48" i="12"/>
  <c r="AB48" i="12"/>
  <c r="M48" i="12"/>
  <c r="AC48" i="12"/>
  <c r="T48" i="12"/>
  <c r="U48" i="12"/>
  <c r="G136" i="11"/>
  <c r="E136" i="11"/>
  <c r="M136" i="11"/>
  <c r="T136" i="11"/>
  <c r="Z136" i="11"/>
  <c r="K193" i="12"/>
  <c r="O193" i="12"/>
  <c r="AF193" i="12"/>
  <c r="H193" i="12"/>
  <c r="P193" i="12"/>
  <c r="K189" i="12"/>
  <c r="P189" i="12"/>
  <c r="AF189" i="12"/>
  <c r="AA169" i="12"/>
  <c r="AI169" i="12"/>
  <c r="H86" i="12"/>
  <c r="S86" i="12"/>
  <c r="AA86" i="12"/>
  <c r="K86" i="12"/>
  <c r="T86" i="12"/>
  <c r="AC86" i="12"/>
  <c r="E86" i="12"/>
  <c r="Y86" i="12"/>
  <c r="M86" i="12"/>
  <c r="AF86" i="12"/>
  <c r="U136" i="11"/>
  <c r="E37" i="11"/>
  <c r="X37" i="11"/>
  <c r="AA37" i="11"/>
  <c r="AE207" i="12"/>
  <c r="J207" i="12"/>
  <c r="L140" i="12"/>
  <c r="T140" i="12"/>
  <c r="AB140" i="12"/>
  <c r="AI86" i="12"/>
  <c r="AF46" i="12"/>
  <c r="L46" i="12"/>
  <c r="J40" i="12"/>
  <c r="H40" i="12"/>
  <c r="V40" i="12"/>
  <c r="AE40" i="12"/>
  <c r="N40" i="12"/>
  <c r="X40" i="12"/>
  <c r="AF40" i="12"/>
  <c r="O40" i="12"/>
  <c r="AI40" i="12"/>
  <c r="S40" i="12"/>
  <c r="K60" i="11"/>
  <c r="L50" i="11"/>
  <c r="AI48" i="11"/>
  <c r="AB47" i="11"/>
  <c r="S47" i="11"/>
  <c r="H47" i="11"/>
  <c r="AC46" i="11"/>
  <c r="U46" i="11"/>
  <c r="M46" i="11"/>
  <c r="AF45" i="11"/>
  <c r="AA45" i="11"/>
  <c r="U45" i="11"/>
  <c r="P45" i="11"/>
  <c r="K45" i="11"/>
  <c r="AB39" i="11"/>
  <c r="S39" i="11"/>
  <c r="H39" i="11"/>
  <c r="AI213" i="12"/>
  <c r="AB213" i="12"/>
  <c r="T213" i="12"/>
  <c r="N213" i="12"/>
  <c r="G213" i="12"/>
  <c r="F208" i="12"/>
  <c r="I208" i="12"/>
  <c r="AD208" i="12"/>
  <c r="G195" i="12"/>
  <c r="L195" i="12"/>
  <c r="R195" i="12"/>
  <c r="W195" i="12"/>
  <c r="AB195" i="12"/>
  <c r="AH195" i="12"/>
  <c r="AI173" i="12"/>
  <c r="H170" i="12"/>
  <c r="O170" i="12"/>
  <c r="W170" i="12"/>
  <c r="AD170" i="12"/>
  <c r="S156" i="12"/>
  <c r="AB155" i="12"/>
  <c r="S155" i="12"/>
  <c r="W154" i="12"/>
  <c r="L154" i="12"/>
  <c r="K152" i="12"/>
  <c r="AE121" i="12"/>
  <c r="G121" i="12"/>
  <c r="F84" i="12"/>
  <c r="N84" i="12"/>
  <c r="T84" i="12"/>
  <c r="AA84" i="12"/>
  <c r="AI84" i="12"/>
  <c r="H84" i="12"/>
  <c r="O84" i="12"/>
  <c r="V84" i="12"/>
  <c r="AD84" i="12"/>
  <c r="AF44" i="12"/>
  <c r="O41" i="12"/>
  <c r="Y41" i="12"/>
  <c r="F206" i="12"/>
  <c r="Z206" i="12"/>
  <c r="H188" i="12"/>
  <c r="AE188" i="12"/>
  <c r="R173" i="12"/>
  <c r="AD173" i="12"/>
  <c r="F155" i="12"/>
  <c r="G155" i="12"/>
  <c r="O155" i="12"/>
  <c r="W155" i="12"/>
  <c r="AE155" i="12"/>
  <c r="AE139" i="12"/>
  <c r="O139" i="12"/>
  <c r="AA69" i="12"/>
  <c r="AE69" i="12"/>
  <c r="AI61" i="12"/>
  <c r="W61" i="12"/>
  <c r="J44" i="12"/>
  <c r="H44" i="12"/>
  <c r="V44" i="12"/>
  <c r="AI44" i="12"/>
  <c r="N44" i="12"/>
  <c r="Z44" i="12"/>
  <c r="AD64" i="12"/>
  <c r="S62" i="12"/>
  <c r="AB60" i="12"/>
  <c r="O60" i="12"/>
  <c r="AG43" i="12"/>
  <c r="AB43" i="12"/>
  <c r="W43" i="12"/>
  <c r="Q43" i="12"/>
  <c r="AI42" i="12"/>
  <c r="AC42" i="12"/>
  <c r="X42" i="12"/>
  <c r="S42" i="12"/>
  <c r="M42" i="12"/>
  <c r="E27" i="15"/>
  <c r="E28" i="15" s="1"/>
  <c r="AO27" i="16"/>
  <c r="AJ116" i="13"/>
  <c r="G116" i="16" s="1"/>
  <c r="AJ25" i="14"/>
  <c r="F25" i="16" s="1"/>
  <c r="AJ211" i="13"/>
  <c r="G211" i="16" s="1"/>
  <c r="AJ152" i="13"/>
  <c r="G152" i="16" s="1"/>
  <c r="AJ115" i="14"/>
  <c r="F115" i="16" s="1"/>
  <c r="E27" i="13"/>
  <c r="E28" i="13" s="1"/>
  <c r="AP16" i="16"/>
  <c r="AR15" i="16" s="1"/>
  <c r="AJ44" i="14"/>
  <c r="F44" i="16" s="1"/>
  <c r="AJ65" i="15"/>
  <c r="E65" i="16" s="1"/>
  <c r="AJ194" i="13"/>
  <c r="G194" i="16" s="1"/>
  <c r="AJ14" i="13"/>
  <c r="I4" i="13" s="1"/>
  <c r="AJ84" i="13"/>
  <c r="G84" i="16" s="1"/>
  <c r="AJ68" i="14"/>
  <c r="F68" i="16" s="1"/>
  <c r="AJ102" i="14"/>
  <c r="F102" i="16" s="1"/>
  <c r="AJ207" i="14"/>
  <c r="F207" i="16" s="1"/>
  <c r="E16" i="13"/>
  <c r="F16" i="13" s="1"/>
  <c r="G16" i="13" s="1"/>
  <c r="H16" i="13" s="1"/>
  <c r="I16" i="13" s="1"/>
  <c r="J16" i="13" s="1"/>
  <c r="K16" i="13" s="1"/>
  <c r="L16" i="13" s="1"/>
  <c r="M16" i="13" s="1"/>
  <c r="N16" i="13" s="1"/>
  <c r="O16" i="13" s="1"/>
  <c r="P16" i="13" s="1"/>
  <c r="Q16" i="13" s="1"/>
  <c r="R16" i="13" s="1"/>
  <c r="S16" i="13" s="1"/>
  <c r="T16" i="13" s="1"/>
  <c r="U16" i="13" s="1"/>
  <c r="V16" i="13" s="1"/>
  <c r="W16" i="13" s="1"/>
  <c r="X16" i="13" s="1"/>
  <c r="Y16" i="13" s="1"/>
  <c r="Z16" i="13" s="1"/>
  <c r="AA16" i="13" s="1"/>
  <c r="AB16" i="13" s="1"/>
  <c r="AC16" i="13" s="1"/>
  <c r="AD16" i="13" s="1"/>
  <c r="AE16" i="13" s="1"/>
  <c r="AF16" i="13" s="1"/>
  <c r="AG16" i="13" s="1"/>
  <c r="AH16" i="13" s="1"/>
  <c r="AI16" i="13" s="1"/>
  <c r="AJ16" i="13" s="1"/>
  <c r="E4" i="13" s="1"/>
  <c r="E16" i="15"/>
  <c r="F16" i="15" s="1"/>
  <c r="G16" i="15" s="1"/>
  <c r="H16" i="15" s="1"/>
  <c r="I16" i="15" s="1"/>
  <c r="J16" i="15" s="1"/>
  <c r="K16" i="15" s="1"/>
  <c r="L16" i="15" s="1"/>
  <c r="M16" i="15" s="1"/>
  <c r="N16" i="15" s="1"/>
  <c r="O16" i="15" s="1"/>
  <c r="P16" i="15" s="1"/>
  <c r="Q16" i="15" s="1"/>
  <c r="R16" i="15" s="1"/>
  <c r="S16" i="15" s="1"/>
  <c r="T16" i="15" s="1"/>
  <c r="U16" i="15" s="1"/>
  <c r="V16" i="15" s="1"/>
  <c r="W16" i="15" s="1"/>
  <c r="X16" i="15" s="1"/>
  <c r="Y16" i="15" s="1"/>
  <c r="Z16" i="15" s="1"/>
  <c r="AA16" i="15" s="1"/>
  <c r="AB16" i="15" s="1"/>
  <c r="AC16" i="15" s="1"/>
  <c r="AD16" i="15" s="1"/>
  <c r="AE16" i="15" s="1"/>
  <c r="AF16" i="15" s="1"/>
  <c r="AG16" i="15" s="1"/>
  <c r="AH16" i="15" s="1"/>
  <c r="AI16" i="15" s="1"/>
  <c r="AJ16" i="15" s="1"/>
  <c r="AJ136" i="13"/>
  <c r="D136" i="13" s="1"/>
  <c r="AJ15" i="13"/>
  <c r="M4" i="13" s="1"/>
  <c r="AJ211" i="14"/>
  <c r="F211" i="16" s="1"/>
  <c r="E27" i="14"/>
  <c r="F27" i="14" s="1"/>
  <c r="E16" i="14"/>
  <c r="F16" i="14" s="1"/>
  <c r="G16" i="14" s="1"/>
  <c r="H16" i="14" s="1"/>
  <c r="I16" i="14" s="1"/>
  <c r="J16" i="14" s="1"/>
  <c r="K16" i="14" s="1"/>
  <c r="L16" i="14" s="1"/>
  <c r="M16" i="14" s="1"/>
  <c r="N16" i="14" s="1"/>
  <c r="O16" i="14" s="1"/>
  <c r="P16" i="14" s="1"/>
  <c r="Q16" i="14" s="1"/>
  <c r="R16" i="14" s="1"/>
  <c r="S16" i="14" s="1"/>
  <c r="T16" i="14" s="1"/>
  <c r="U16" i="14" s="1"/>
  <c r="V16" i="14" s="1"/>
  <c r="W16" i="14" s="1"/>
  <c r="X16" i="14" s="1"/>
  <c r="Y16" i="14" s="1"/>
  <c r="Z16" i="14" s="1"/>
  <c r="AA16" i="14" s="1"/>
  <c r="AB16" i="14" s="1"/>
  <c r="AC16" i="14" s="1"/>
  <c r="AD16" i="14" s="1"/>
  <c r="AE16" i="14" s="1"/>
  <c r="AF16" i="14" s="1"/>
  <c r="AG16" i="14" s="1"/>
  <c r="AH16" i="14" s="1"/>
  <c r="AI16" i="14" s="1"/>
  <c r="AJ16" i="14" s="1"/>
  <c r="E4" i="14" s="1"/>
  <c r="AJ26" i="15"/>
  <c r="E26" i="16" s="1"/>
  <c r="AJ14" i="15"/>
  <c r="I4" i="15" s="1"/>
  <c r="AJ15" i="14"/>
  <c r="F15" i="16" s="1"/>
  <c r="AJ14" i="14"/>
  <c r="F14" i="16" s="1"/>
  <c r="AJ83" i="14"/>
  <c r="F83" i="16" s="1"/>
  <c r="AJ96" i="15"/>
  <c r="E96" i="16" s="1"/>
  <c r="AJ64" i="14"/>
  <c r="F64" i="16" s="1"/>
  <c r="AJ136" i="14"/>
  <c r="F136" i="16" s="1"/>
  <c r="AJ49" i="13"/>
  <c r="G49" i="16" s="1"/>
  <c r="AJ60" i="14"/>
  <c r="F60" i="16" s="1"/>
  <c r="AJ65" i="13"/>
  <c r="G65" i="16" s="1"/>
  <c r="AJ132" i="13"/>
  <c r="G132" i="16" s="1"/>
  <c r="AJ119" i="14"/>
  <c r="F119" i="16" s="1"/>
  <c r="AJ169" i="14"/>
  <c r="F169" i="16" s="1"/>
  <c r="AJ177" i="14"/>
  <c r="F177" i="16" s="1"/>
  <c r="AJ39" i="14"/>
  <c r="F39" i="16" s="1"/>
  <c r="AJ72" i="14"/>
  <c r="AJ48" i="14"/>
  <c r="F48" i="16" s="1"/>
  <c r="AJ190" i="14"/>
  <c r="F190" i="16" s="1"/>
  <c r="AJ132" i="14"/>
  <c r="F132" i="16" s="1"/>
  <c r="AJ98" i="14"/>
  <c r="F98" i="16" s="1"/>
  <c r="AJ41" i="13"/>
  <c r="G41" i="16" s="1"/>
  <c r="AJ69" i="13"/>
  <c r="G69" i="16" s="1"/>
  <c r="AJ61" i="13"/>
  <c r="G61" i="16" s="1"/>
  <c r="AJ86" i="13"/>
  <c r="G86" i="16" s="1"/>
  <c r="AJ173" i="15"/>
  <c r="E173" i="16" s="1"/>
  <c r="AJ172" i="15"/>
  <c r="E172" i="16" s="1"/>
  <c r="AJ211" i="15"/>
  <c r="E211" i="16" s="1"/>
  <c r="AJ25" i="15"/>
  <c r="E25" i="16" s="1"/>
  <c r="AJ15" i="15"/>
  <c r="E15" i="16" s="1"/>
  <c r="E27" i="12"/>
  <c r="AJ194" i="15"/>
  <c r="E194" i="16" s="1"/>
  <c r="E104" i="15"/>
  <c r="F104" i="15" s="1"/>
  <c r="G104" i="15" s="1"/>
  <c r="H104" i="15" s="1"/>
  <c r="I104" i="15" s="1"/>
  <c r="J104" i="15" s="1"/>
  <c r="K104" i="15" s="1"/>
  <c r="L104" i="15" s="1"/>
  <c r="M104" i="15" s="1"/>
  <c r="N104" i="15" s="1"/>
  <c r="O104" i="15" s="1"/>
  <c r="P104" i="15" s="1"/>
  <c r="Q104" i="15" s="1"/>
  <c r="R104" i="15" s="1"/>
  <c r="S104" i="15" s="1"/>
  <c r="T104" i="15" s="1"/>
  <c r="U104" i="15" s="1"/>
  <c r="V104" i="15" s="1"/>
  <c r="W104" i="15" s="1"/>
  <c r="X104" i="15" s="1"/>
  <c r="Y104" i="15" s="1"/>
  <c r="Z104" i="15" s="1"/>
  <c r="AA104" i="15" s="1"/>
  <c r="AB104" i="15" s="1"/>
  <c r="AC104" i="15" s="1"/>
  <c r="AD104" i="15" s="1"/>
  <c r="AE104" i="15" s="1"/>
  <c r="AF104" i="15" s="1"/>
  <c r="AG104" i="15" s="1"/>
  <c r="AH104" i="15" s="1"/>
  <c r="AI104" i="15" s="1"/>
  <c r="AJ104" i="15" s="1"/>
  <c r="E104" i="16" s="1"/>
  <c r="AE102" i="11"/>
  <c r="K102" i="11"/>
  <c r="T213" i="11"/>
  <c r="AD196" i="11"/>
  <c r="P170" i="11"/>
  <c r="AB170" i="11"/>
  <c r="W156" i="11"/>
  <c r="S152" i="11"/>
  <c r="G122" i="11"/>
  <c r="X122" i="11"/>
  <c r="G121" i="11"/>
  <c r="H121" i="11"/>
  <c r="P121" i="11"/>
  <c r="X121" i="11"/>
  <c r="AF121" i="11"/>
  <c r="F121" i="11"/>
  <c r="N121" i="11"/>
  <c r="V121" i="11"/>
  <c r="AD121" i="11"/>
  <c r="AB213" i="11"/>
  <c r="S213" i="11"/>
  <c r="H213" i="11"/>
  <c r="U212" i="11"/>
  <c r="AE211" i="11"/>
  <c r="E209" i="11"/>
  <c r="J209" i="11"/>
  <c r="AE209" i="11"/>
  <c r="M208" i="11"/>
  <c r="AC208" i="11"/>
  <c r="AI206" i="11"/>
  <c r="G206" i="11"/>
  <c r="AA196" i="11"/>
  <c r="S196" i="11"/>
  <c r="I194" i="11"/>
  <c r="P194" i="11"/>
  <c r="V194" i="11"/>
  <c r="AD194" i="11"/>
  <c r="P192" i="11"/>
  <c r="W191" i="11"/>
  <c r="AG189" i="11"/>
  <c r="W189" i="11"/>
  <c r="AE188" i="11"/>
  <c r="X177" i="11"/>
  <c r="H175" i="11"/>
  <c r="AC175" i="11"/>
  <c r="AD173" i="11"/>
  <c r="K156" i="11"/>
  <c r="AI152" i="11"/>
  <c r="N152" i="11"/>
  <c r="H139" i="11"/>
  <c r="AI139" i="11"/>
  <c r="AH121" i="11"/>
  <c r="R121" i="11"/>
  <c r="F113" i="11"/>
  <c r="H113" i="11"/>
  <c r="N113" i="11"/>
  <c r="U113" i="11"/>
  <c r="AC113" i="11"/>
  <c r="E113" i="11"/>
  <c r="M113" i="11"/>
  <c r="T113" i="11"/>
  <c r="Z113" i="11"/>
  <c r="AH113" i="11"/>
  <c r="AE98" i="11"/>
  <c r="R98" i="11"/>
  <c r="H83" i="11"/>
  <c r="Y83" i="11"/>
  <c r="S83" i="11"/>
  <c r="AH70" i="11"/>
  <c r="R70" i="11"/>
  <c r="AI69" i="11"/>
  <c r="N69" i="11"/>
  <c r="AE68" i="11"/>
  <c r="T68" i="11"/>
  <c r="J68" i="11"/>
  <c r="Z64" i="11"/>
  <c r="H63" i="11"/>
  <c r="I63" i="11"/>
  <c r="T63" i="11"/>
  <c r="AE63" i="11"/>
  <c r="G63" i="11"/>
  <c r="Q63" i="11"/>
  <c r="AB63" i="11"/>
  <c r="H61" i="11"/>
  <c r="I61" i="11"/>
  <c r="Q61" i="11"/>
  <c r="W61" i="11"/>
  <c r="AD61" i="11"/>
  <c r="G61" i="11"/>
  <c r="N61" i="11"/>
  <c r="V61" i="11"/>
  <c r="AC61" i="11"/>
  <c r="AI61" i="11"/>
  <c r="R49" i="11"/>
  <c r="T41" i="11"/>
  <c r="N194" i="12"/>
  <c r="O194" i="12"/>
  <c r="Q194" i="12"/>
  <c r="F194" i="12"/>
  <c r="AE194" i="12"/>
  <c r="E187" i="12"/>
  <c r="I187" i="12"/>
  <c r="T187" i="12"/>
  <c r="AE187" i="12"/>
  <c r="L187" i="12"/>
  <c r="X187" i="12"/>
  <c r="AF187" i="12"/>
  <c r="H187" i="12"/>
  <c r="Q187" i="12"/>
  <c r="AB187" i="12"/>
  <c r="S135" i="12"/>
  <c r="W135" i="12"/>
  <c r="AF50" i="12"/>
  <c r="J196" i="11"/>
  <c r="P196" i="11"/>
  <c r="X196" i="11"/>
  <c r="AE196" i="11"/>
  <c r="E195" i="11"/>
  <c r="AI195" i="11"/>
  <c r="AD213" i="11"/>
  <c r="L213" i="11"/>
  <c r="AC212" i="11"/>
  <c r="H211" i="11"/>
  <c r="E211" i="11"/>
  <c r="P211" i="11"/>
  <c r="AA211" i="11"/>
  <c r="T207" i="11"/>
  <c r="AF207" i="11"/>
  <c r="T196" i="11"/>
  <c r="K196" i="11"/>
  <c r="AA195" i="11"/>
  <c r="H189" i="11"/>
  <c r="E189" i="11"/>
  <c r="M189" i="11"/>
  <c r="U189" i="11"/>
  <c r="AC189" i="11"/>
  <c r="AB177" i="11"/>
  <c r="AI213" i="11"/>
  <c r="Z213" i="11"/>
  <c r="O213" i="11"/>
  <c r="E212" i="11"/>
  <c r="Y211" i="11"/>
  <c r="K211" i="11"/>
  <c r="AB207" i="11"/>
  <c r="AI196" i="11"/>
  <c r="Z196" i="11"/>
  <c r="O196" i="11"/>
  <c r="F196" i="11"/>
  <c r="K195" i="11"/>
  <c r="M191" i="11"/>
  <c r="AA191" i="11"/>
  <c r="AE189" i="11"/>
  <c r="S189" i="11"/>
  <c r="I189" i="11"/>
  <c r="L177" i="11"/>
  <c r="AB174" i="11"/>
  <c r="T170" i="11"/>
  <c r="AI156" i="11"/>
  <c r="G156" i="11"/>
  <c r="AD152" i="11"/>
  <c r="G140" i="11"/>
  <c r="L140" i="11"/>
  <c r="V140" i="11"/>
  <c r="AG140" i="11"/>
  <c r="E137" i="11"/>
  <c r="T137" i="11"/>
  <c r="AB121" i="11"/>
  <c r="L121" i="11"/>
  <c r="S116" i="11"/>
  <c r="K116" i="11"/>
  <c r="AD113" i="11"/>
  <c r="P113" i="11"/>
  <c r="Y101" i="11"/>
  <c r="Q101" i="11"/>
  <c r="H100" i="11"/>
  <c r="M100" i="11"/>
  <c r="S100" i="11"/>
  <c r="X100" i="11"/>
  <c r="AC100" i="11"/>
  <c r="AI100" i="11"/>
  <c r="G100" i="11"/>
  <c r="L100" i="11"/>
  <c r="Q100" i="11"/>
  <c r="W100" i="11"/>
  <c r="AB100" i="11"/>
  <c r="AG100" i="11"/>
  <c r="Z98" i="11"/>
  <c r="X97" i="11"/>
  <c r="M97" i="11"/>
  <c r="G96" i="11"/>
  <c r="L96" i="11"/>
  <c r="R96" i="11"/>
  <c r="W96" i="11"/>
  <c r="AB96" i="11"/>
  <c r="AH96" i="11"/>
  <c r="F96" i="11"/>
  <c r="K96" i="11"/>
  <c r="P96" i="11"/>
  <c r="V96" i="11"/>
  <c r="AA96" i="11"/>
  <c r="AF96" i="11"/>
  <c r="AB70" i="11"/>
  <c r="Z69" i="11"/>
  <c r="AA68" i="11"/>
  <c r="P68" i="11"/>
  <c r="W63" i="11"/>
  <c r="AA61" i="11"/>
  <c r="M61" i="11"/>
  <c r="AE190" i="12"/>
  <c r="J190" i="12"/>
  <c r="AG187" i="12"/>
  <c r="T174" i="12"/>
  <c r="AB174" i="12"/>
  <c r="L174" i="12"/>
  <c r="F137" i="12"/>
  <c r="O137" i="12"/>
  <c r="AA137" i="12"/>
  <c r="I137" i="12"/>
  <c r="AE137" i="12"/>
  <c r="P137" i="12"/>
  <c r="E137" i="12"/>
  <c r="Y137" i="12"/>
  <c r="M65" i="12"/>
  <c r="AC65" i="12"/>
  <c r="K65" i="12"/>
  <c r="X65" i="12"/>
  <c r="S65" i="12"/>
  <c r="U65" i="12"/>
  <c r="H65" i="12"/>
  <c r="AI65" i="12"/>
  <c r="H152" i="11"/>
  <c r="F152" i="11"/>
  <c r="V152" i="11"/>
  <c r="J69" i="11"/>
  <c r="U69" i="11"/>
  <c r="AE69" i="11"/>
  <c r="I69" i="11"/>
  <c r="S69" i="11"/>
  <c r="AD69" i="11"/>
  <c r="H68" i="11"/>
  <c r="N68" i="11"/>
  <c r="S68" i="11"/>
  <c r="X68" i="11"/>
  <c r="AD68" i="11"/>
  <c r="AI68" i="11"/>
  <c r="G68" i="11"/>
  <c r="L68" i="11"/>
  <c r="R68" i="11"/>
  <c r="W68" i="11"/>
  <c r="AB68" i="11"/>
  <c r="AH68" i="11"/>
  <c r="K64" i="11"/>
  <c r="O64" i="11"/>
  <c r="J64" i="11"/>
  <c r="AE64" i="11"/>
  <c r="I49" i="11"/>
  <c r="M49" i="11"/>
  <c r="Y49" i="11"/>
  <c r="G49" i="11"/>
  <c r="W49" i="11"/>
  <c r="AI49" i="11"/>
  <c r="E41" i="11"/>
  <c r="S41" i="11"/>
  <c r="AI41" i="11"/>
  <c r="L41" i="11"/>
  <c r="AB41" i="11"/>
  <c r="E50" i="12"/>
  <c r="J50" i="12"/>
  <c r="P50" i="12"/>
  <c r="W50" i="12"/>
  <c r="AE50" i="12"/>
  <c r="G50" i="12"/>
  <c r="O50" i="12"/>
  <c r="V50" i="12"/>
  <c r="AB50" i="12"/>
  <c r="K50" i="12"/>
  <c r="Z50" i="12"/>
  <c r="L50" i="12"/>
  <c r="AA50" i="12"/>
  <c r="F50" i="12"/>
  <c r="T50" i="12"/>
  <c r="AH50" i="12"/>
  <c r="H98" i="11"/>
  <c r="O98" i="11"/>
  <c r="W98" i="11"/>
  <c r="AD98" i="11"/>
  <c r="G98" i="11"/>
  <c r="N98" i="11"/>
  <c r="T98" i="11"/>
  <c r="AB98" i="11"/>
  <c r="AI98" i="11"/>
  <c r="O71" i="11"/>
  <c r="I71" i="11"/>
  <c r="AE71" i="11"/>
  <c r="H70" i="11"/>
  <c r="P70" i="11"/>
  <c r="X70" i="11"/>
  <c r="AF70" i="11"/>
  <c r="F70" i="11"/>
  <c r="N70" i="11"/>
  <c r="V70" i="11"/>
  <c r="AD70" i="11"/>
  <c r="O69" i="11"/>
  <c r="AF68" i="11"/>
  <c r="V68" i="11"/>
  <c r="K68" i="11"/>
  <c r="AC49" i="11"/>
  <c r="AA41" i="11"/>
  <c r="AA194" i="12"/>
  <c r="P187" i="12"/>
  <c r="J119" i="12"/>
  <c r="S119" i="12"/>
  <c r="P119" i="12"/>
  <c r="Z119" i="12"/>
  <c r="K119" i="12"/>
  <c r="AF119" i="12"/>
  <c r="AD193" i="12"/>
  <c r="S193" i="12"/>
  <c r="J193" i="12"/>
  <c r="P191" i="12"/>
  <c r="S189" i="12"/>
  <c r="F173" i="12"/>
  <c r="S173" i="12"/>
  <c r="Z173" i="12"/>
  <c r="AH173" i="12"/>
  <c r="F171" i="12"/>
  <c r="H171" i="12"/>
  <c r="S171" i="12"/>
  <c r="AC171" i="12"/>
  <c r="E170" i="12"/>
  <c r="I170" i="12"/>
  <c r="M170" i="12"/>
  <c r="Q170" i="12"/>
  <c r="U170" i="12"/>
  <c r="Y170" i="12"/>
  <c r="AC170" i="12"/>
  <c r="AG170" i="12"/>
  <c r="G168" i="12"/>
  <c r="H168" i="12"/>
  <c r="S168" i="12"/>
  <c r="AB168" i="12"/>
  <c r="AE157" i="12"/>
  <c r="V157" i="12"/>
  <c r="E152" i="12"/>
  <c r="O152" i="12"/>
  <c r="AE152" i="12"/>
  <c r="F151" i="12"/>
  <c r="K151" i="12"/>
  <c r="S151" i="12"/>
  <c r="AA151" i="12"/>
  <c r="AI151" i="12"/>
  <c r="AA121" i="12"/>
  <c r="J82" i="12"/>
  <c r="U82" i="12"/>
  <c r="AF82" i="12"/>
  <c r="I82" i="12"/>
  <c r="T82" i="12"/>
  <c r="AD82" i="12"/>
  <c r="I69" i="12"/>
  <c r="Y69" i="12"/>
  <c r="G69" i="12"/>
  <c r="S69" i="12"/>
  <c r="AI69" i="12"/>
  <c r="S67" i="12"/>
  <c r="O67" i="12"/>
  <c r="E157" i="12"/>
  <c r="L157" i="12"/>
  <c r="T157" i="12"/>
  <c r="AA157" i="12"/>
  <c r="AI157" i="12"/>
  <c r="S138" i="12"/>
  <c r="L138" i="12"/>
  <c r="O118" i="12"/>
  <c r="AF118" i="12"/>
  <c r="AB113" i="12"/>
  <c r="H113" i="12"/>
  <c r="H102" i="12"/>
  <c r="AC102" i="12"/>
  <c r="S83" i="12"/>
  <c r="Q83" i="12"/>
  <c r="W68" i="12"/>
  <c r="J68" i="12"/>
  <c r="T82" i="11"/>
  <c r="AI67" i="11"/>
  <c r="Y67" i="11"/>
  <c r="Q67" i="11"/>
  <c r="G67" i="11"/>
  <c r="AB40" i="11"/>
  <c r="AE39" i="11"/>
  <c r="W39" i="11"/>
  <c r="O39" i="11"/>
  <c r="G39" i="11"/>
  <c r="AI37" i="11"/>
  <c r="L37" i="11"/>
  <c r="AF213" i="12"/>
  <c r="AA213" i="12"/>
  <c r="V213" i="12"/>
  <c r="P213" i="12"/>
  <c r="K213" i="12"/>
  <c r="F213" i="12"/>
  <c r="AI206" i="12"/>
  <c r="N206" i="12"/>
  <c r="AE193" i="12"/>
  <c r="V193" i="12"/>
  <c r="Z189" i="12"/>
  <c r="AF188" i="12"/>
  <c r="AE173" i="12"/>
  <c r="W173" i="12"/>
  <c r="K173" i="12"/>
  <c r="K172" i="12"/>
  <c r="S172" i="12"/>
  <c r="X171" i="12"/>
  <c r="I171" i="12"/>
  <c r="AF170" i="12"/>
  <c r="AA170" i="12"/>
  <c r="V170" i="12"/>
  <c r="P170" i="12"/>
  <c r="K170" i="12"/>
  <c r="F170" i="12"/>
  <c r="K169" i="12"/>
  <c r="S169" i="12"/>
  <c r="X168" i="12"/>
  <c r="K168" i="12"/>
  <c r="AF157" i="12"/>
  <c r="X157" i="12"/>
  <c r="M157" i="12"/>
  <c r="AA152" i="12"/>
  <c r="G152" i="12"/>
  <c r="AB151" i="12"/>
  <c r="P151" i="12"/>
  <c r="G151" i="12"/>
  <c r="AA138" i="12"/>
  <c r="J136" i="12"/>
  <c r="AE136" i="12"/>
  <c r="X118" i="12"/>
  <c r="AF117" i="12"/>
  <c r="G115" i="12"/>
  <c r="M115" i="12"/>
  <c r="Y115" i="12"/>
  <c r="I115" i="12"/>
  <c r="W115" i="12"/>
  <c r="AI115" i="12"/>
  <c r="K101" i="12"/>
  <c r="W101" i="12"/>
  <c r="N101" i="12"/>
  <c r="G97" i="12"/>
  <c r="L97" i="12"/>
  <c r="AF97" i="12"/>
  <c r="F97" i="12"/>
  <c r="X97" i="12"/>
  <c r="N85" i="12"/>
  <c r="AI83" i="12"/>
  <c r="Z82" i="12"/>
  <c r="E82" i="12"/>
  <c r="O69" i="12"/>
  <c r="AI67" i="12"/>
  <c r="AE116" i="12"/>
  <c r="X116" i="12"/>
  <c r="R116" i="12"/>
  <c r="AI70" i="12"/>
  <c r="AC70" i="12"/>
  <c r="X70" i="12"/>
  <c r="S70" i="12"/>
  <c r="M70" i="12"/>
  <c r="H70" i="12"/>
  <c r="AD44" i="12"/>
  <c r="T44" i="12"/>
  <c r="K44" i="12"/>
  <c r="AH40" i="12"/>
  <c r="AA40" i="12"/>
  <c r="T40" i="12"/>
  <c r="L40" i="12"/>
  <c r="AJ99" i="13"/>
  <c r="G99" i="16" s="1"/>
  <c r="AJ103" i="13"/>
  <c r="G103" i="16" s="1"/>
  <c r="AJ139" i="13"/>
  <c r="G139" i="16" s="1"/>
  <c r="AJ153" i="14"/>
  <c r="F153" i="16" s="1"/>
  <c r="AJ157" i="14"/>
  <c r="F157" i="16" s="1"/>
  <c r="AJ140" i="14"/>
  <c r="F140" i="16" s="1"/>
  <c r="AJ194" i="14"/>
  <c r="F194" i="16" s="1"/>
  <c r="AJ173" i="14"/>
  <c r="F173" i="16" s="1"/>
  <c r="AJ177" i="13"/>
  <c r="G177" i="16" s="1"/>
  <c r="AJ190" i="13"/>
  <c r="G190" i="16" s="1"/>
  <c r="AJ156" i="13"/>
  <c r="G156" i="16" s="1"/>
  <c r="AJ169" i="13"/>
  <c r="G169" i="16" s="1"/>
  <c r="AJ207" i="13"/>
  <c r="G207" i="16" s="1"/>
  <c r="AJ212" i="13"/>
  <c r="G212" i="16" s="1"/>
  <c r="AJ173" i="13"/>
  <c r="G173" i="16" s="1"/>
  <c r="K103" i="11"/>
  <c r="O103" i="11"/>
  <c r="AE103" i="11"/>
  <c r="E192" i="11"/>
  <c r="J192" i="11"/>
  <c r="T192" i="11"/>
  <c r="AE192" i="11"/>
  <c r="AI187" i="11"/>
  <c r="Y173" i="11"/>
  <c r="T171" i="11"/>
  <c r="AH170" i="11"/>
  <c r="R170" i="11"/>
  <c r="F154" i="11"/>
  <c r="E154" i="11"/>
  <c r="P154" i="11"/>
  <c r="AA154" i="11"/>
  <c r="K154" i="11"/>
  <c r="U154" i="11"/>
  <c r="AF154" i="11"/>
  <c r="E153" i="11"/>
  <c r="I153" i="11"/>
  <c r="M153" i="11"/>
  <c r="Q153" i="11"/>
  <c r="U153" i="11"/>
  <c r="Y153" i="11"/>
  <c r="AC153" i="11"/>
  <c r="AG153" i="11"/>
  <c r="G153" i="11"/>
  <c r="K153" i="11"/>
  <c r="O153" i="11"/>
  <c r="S153" i="11"/>
  <c r="W153" i="11"/>
  <c r="AA153" i="11"/>
  <c r="AE153" i="11"/>
  <c r="AI153" i="11"/>
  <c r="E102" i="11"/>
  <c r="H102" i="11"/>
  <c r="N102" i="11"/>
  <c r="S102" i="11"/>
  <c r="X102" i="11"/>
  <c r="F102" i="11"/>
  <c r="L102" i="11"/>
  <c r="T102" i="11"/>
  <c r="AA102" i="11"/>
  <c r="AF102" i="11"/>
  <c r="G102" i="11"/>
  <c r="O102" i="11"/>
  <c r="V102" i="11"/>
  <c r="AB102" i="11"/>
  <c r="AH102" i="11"/>
  <c r="J102" i="11"/>
  <c r="P102" i="11"/>
  <c r="W102" i="11"/>
  <c r="AD102" i="11"/>
  <c r="AI102" i="11"/>
  <c r="H43" i="11"/>
  <c r="F43" i="11"/>
  <c r="M43" i="11"/>
  <c r="S43" i="11"/>
  <c r="AA43" i="11"/>
  <c r="AH43" i="11"/>
  <c r="G43" i="11"/>
  <c r="N43" i="11"/>
  <c r="V43" i="11"/>
  <c r="AC43" i="11"/>
  <c r="AI43" i="11"/>
  <c r="I43" i="11"/>
  <c r="Q43" i="11"/>
  <c r="W43" i="11"/>
  <c r="AD43" i="11"/>
  <c r="K43" i="11"/>
  <c r="R43" i="11"/>
  <c r="Y43" i="11"/>
  <c r="E213" i="11"/>
  <c r="F213" i="11"/>
  <c r="K213" i="11"/>
  <c r="P213" i="11"/>
  <c r="V213" i="11"/>
  <c r="AA213" i="11"/>
  <c r="AF213" i="11"/>
  <c r="AI211" i="11"/>
  <c r="AC211" i="11"/>
  <c r="X211" i="11"/>
  <c r="S211" i="11"/>
  <c r="M211" i="11"/>
  <c r="F195" i="11"/>
  <c r="M195" i="11"/>
  <c r="AC195" i="11"/>
  <c r="G194" i="11"/>
  <c r="K194" i="11"/>
  <c r="O194" i="11"/>
  <c r="S194" i="11"/>
  <c r="W194" i="11"/>
  <c r="AA194" i="11"/>
  <c r="AE194" i="11"/>
  <c r="AI194" i="11"/>
  <c r="AA192" i="11"/>
  <c r="O192" i="11"/>
  <c r="F191" i="11"/>
  <c r="I191" i="11"/>
  <c r="Q191" i="11"/>
  <c r="Y191" i="11"/>
  <c r="AG191" i="11"/>
  <c r="F190" i="11"/>
  <c r="I190" i="11"/>
  <c r="Q190" i="11"/>
  <c r="Y190" i="11"/>
  <c r="AG190" i="11"/>
  <c r="S187" i="11"/>
  <c r="E177" i="11"/>
  <c r="P177" i="11"/>
  <c r="AF177" i="11"/>
  <c r="Q173" i="11"/>
  <c r="J172" i="11"/>
  <c r="N172" i="11"/>
  <c r="AI172" i="11"/>
  <c r="AF170" i="11"/>
  <c r="X170" i="11"/>
  <c r="J156" i="11"/>
  <c r="R156" i="11"/>
  <c r="Z156" i="11"/>
  <c r="AH156" i="11"/>
  <c r="F156" i="11"/>
  <c r="N156" i="11"/>
  <c r="V156" i="11"/>
  <c r="AD156" i="11"/>
  <c r="T154" i="11"/>
  <c r="AH153" i="11"/>
  <c r="Z153" i="11"/>
  <c r="R153" i="11"/>
  <c r="J153" i="11"/>
  <c r="O151" i="11"/>
  <c r="G151" i="11"/>
  <c r="AA151" i="11"/>
  <c r="S151" i="11"/>
  <c r="F135" i="11"/>
  <c r="E135" i="11"/>
  <c r="O135" i="11"/>
  <c r="Z135" i="11"/>
  <c r="I135" i="11"/>
  <c r="S135" i="11"/>
  <c r="AD135" i="11"/>
  <c r="J135" i="11"/>
  <c r="U135" i="11"/>
  <c r="AE135" i="11"/>
  <c r="H119" i="11"/>
  <c r="AD119" i="11"/>
  <c r="N119" i="11"/>
  <c r="AI119" i="11"/>
  <c r="S119" i="11"/>
  <c r="Z102" i="11"/>
  <c r="H193" i="11"/>
  <c r="AI193" i="11"/>
  <c r="E188" i="11"/>
  <c r="O188" i="11"/>
  <c r="E170" i="11"/>
  <c r="I170" i="11"/>
  <c r="M170" i="11"/>
  <c r="Q170" i="11"/>
  <c r="U170" i="11"/>
  <c r="Y170" i="11"/>
  <c r="AC170" i="11"/>
  <c r="AG170" i="11"/>
  <c r="G170" i="11"/>
  <c r="K170" i="11"/>
  <c r="O170" i="11"/>
  <c r="S170" i="11"/>
  <c r="W170" i="11"/>
  <c r="AA170" i="11"/>
  <c r="AE170" i="11"/>
  <c r="AI170" i="11"/>
  <c r="F212" i="11"/>
  <c r="K212" i="11"/>
  <c r="AA212" i="11"/>
  <c r="F211" i="11"/>
  <c r="J211" i="11"/>
  <c r="N211" i="11"/>
  <c r="R211" i="11"/>
  <c r="V211" i="11"/>
  <c r="Z211" i="11"/>
  <c r="AD211" i="11"/>
  <c r="AH211" i="11"/>
  <c r="E207" i="11"/>
  <c r="H207" i="11"/>
  <c r="X207" i="11"/>
  <c r="H206" i="11"/>
  <c r="S206" i="11"/>
  <c r="J176" i="11"/>
  <c r="AE176" i="11"/>
  <c r="Z170" i="11"/>
  <c r="J170" i="11"/>
  <c r="T188" i="11"/>
  <c r="O171" i="11"/>
  <c r="H170" i="11"/>
  <c r="AE213" i="11"/>
  <c r="X213" i="11"/>
  <c r="R213" i="11"/>
  <c r="J213" i="11"/>
  <c r="AI212" i="11"/>
  <c r="M212" i="11"/>
  <c r="AG211" i="11"/>
  <c r="AB211" i="11"/>
  <c r="W211" i="11"/>
  <c r="Q211" i="11"/>
  <c r="L211" i="11"/>
  <c r="G211" i="11"/>
  <c r="H210" i="11"/>
  <c r="O210" i="11"/>
  <c r="AE210" i="11"/>
  <c r="F208" i="11"/>
  <c r="E208" i="11"/>
  <c r="O208" i="11"/>
  <c r="AA208" i="11"/>
  <c r="P207" i="11"/>
  <c r="W206" i="11"/>
  <c r="E196" i="11"/>
  <c r="G196" i="11"/>
  <c r="L196" i="11"/>
  <c r="R196" i="11"/>
  <c r="W196" i="11"/>
  <c r="AB196" i="11"/>
  <c r="AH196" i="11"/>
  <c r="S195" i="11"/>
  <c r="AH194" i="11"/>
  <c r="AC194" i="11"/>
  <c r="X194" i="11"/>
  <c r="R194" i="11"/>
  <c r="M194" i="11"/>
  <c r="H194" i="11"/>
  <c r="S193" i="11"/>
  <c r="Z192" i="11"/>
  <c r="K192" i="11"/>
  <c r="AE191" i="11"/>
  <c r="U191" i="11"/>
  <c r="K191" i="11"/>
  <c r="AF190" i="11"/>
  <c r="U190" i="11"/>
  <c r="L190" i="11"/>
  <c r="J188" i="11"/>
  <c r="T177" i="11"/>
  <c r="W176" i="11"/>
  <c r="I175" i="11"/>
  <c r="M175" i="11"/>
  <c r="E175" i="11"/>
  <c r="S175" i="11"/>
  <c r="AI175" i="11"/>
  <c r="E174" i="11"/>
  <c r="P174" i="11"/>
  <c r="AF174" i="11"/>
  <c r="H174" i="11"/>
  <c r="X174" i="11"/>
  <c r="AE171" i="11"/>
  <c r="AD170" i="11"/>
  <c r="V170" i="11"/>
  <c r="N170" i="11"/>
  <c r="F170" i="11"/>
  <c r="AE156" i="11"/>
  <c r="O156" i="11"/>
  <c r="L155" i="11"/>
  <c r="AI155" i="11"/>
  <c r="O154" i="11"/>
  <c r="AF153" i="11"/>
  <c r="X153" i="11"/>
  <c r="P153" i="11"/>
  <c r="H153" i="11"/>
  <c r="AI151" i="11"/>
  <c r="H138" i="11"/>
  <c r="G138" i="11"/>
  <c r="S138" i="11"/>
  <c r="W138" i="11"/>
  <c r="AI135" i="11"/>
  <c r="K115" i="11"/>
  <c r="R115" i="11"/>
  <c r="Z115" i="11"/>
  <c r="AI103" i="11"/>
  <c r="R102" i="11"/>
  <c r="W99" i="11"/>
  <c r="M99" i="11"/>
  <c r="AE99" i="11"/>
  <c r="E187" i="11"/>
  <c r="W187" i="11"/>
  <c r="E173" i="11"/>
  <c r="F173" i="11"/>
  <c r="S173" i="11"/>
  <c r="AI173" i="11"/>
  <c r="N173" i="11"/>
  <c r="AA173" i="11"/>
  <c r="F171" i="11"/>
  <c r="E171" i="11"/>
  <c r="P171" i="11"/>
  <c r="AA171" i="11"/>
  <c r="K171" i="11"/>
  <c r="U171" i="11"/>
  <c r="AF171" i="11"/>
  <c r="J85" i="11"/>
  <c r="S85" i="11"/>
  <c r="H85" i="11"/>
  <c r="AD85" i="11"/>
  <c r="N85" i="11"/>
  <c r="X85" i="11"/>
  <c r="AI85" i="11"/>
  <c r="AE141" i="11"/>
  <c r="I141" i="11"/>
  <c r="AF140" i="11"/>
  <c r="Z140" i="11"/>
  <c r="U140" i="11"/>
  <c r="P140" i="11"/>
  <c r="J140" i="11"/>
  <c r="E140" i="11"/>
  <c r="S139" i="11"/>
  <c r="AI137" i="11"/>
  <c r="O137" i="11"/>
  <c r="AG136" i="11"/>
  <c r="AB136" i="11"/>
  <c r="V136" i="11"/>
  <c r="Q136" i="11"/>
  <c r="L136" i="11"/>
  <c r="F136" i="11"/>
  <c r="AH134" i="11"/>
  <c r="AA134" i="11"/>
  <c r="T134" i="11"/>
  <c r="L134" i="11"/>
  <c r="F134" i="11"/>
  <c r="AF133" i="11"/>
  <c r="AA133" i="11"/>
  <c r="U133" i="11"/>
  <c r="P133" i="11"/>
  <c r="K133" i="11"/>
  <c r="E133" i="11"/>
  <c r="AC132" i="11"/>
  <c r="U132" i="11"/>
  <c r="M132" i="11"/>
  <c r="E132" i="11"/>
  <c r="M122" i="11"/>
  <c r="AG121" i="11"/>
  <c r="AC121" i="11"/>
  <c r="Y121" i="11"/>
  <c r="U121" i="11"/>
  <c r="Q121" i="11"/>
  <c r="M121" i="11"/>
  <c r="I121" i="11"/>
  <c r="E121" i="11"/>
  <c r="AI114" i="11"/>
  <c r="AG113" i="11"/>
  <c r="AB113" i="11"/>
  <c r="V113" i="11"/>
  <c r="Q113" i="11"/>
  <c r="L113" i="11"/>
  <c r="M101" i="11"/>
  <c r="AI101" i="11"/>
  <c r="F100" i="11"/>
  <c r="J100" i="11"/>
  <c r="N100" i="11"/>
  <c r="R100" i="11"/>
  <c r="V100" i="11"/>
  <c r="Z100" i="11"/>
  <c r="AD100" i="11"/>
  <c r="AH100" i="11"/>
  <c r="W83" i="11"/>
  <c r="Z72" i="11"/>
  <c r="H71" i="11"/>
  <c r="S71" i="11"/>
  <c r="AC71" i="11"/>
  <c r="M71" i="11"/>
  <c r="X71" i="11"/>
  <c r="AI71" i="11"/>
  <c r="E70" i="11"/>
  <c r="I70" i="11"/>
  <c r="M70" i="11"/>
  <c r="Q70" i="11"/>
  <c r="U70" i="11"/>
  <c r="Y70" i="11"/>
  <c r="AC70" i="11"/>
  <c r="AG70" i="11"/>
  <c r="G70" i="11"/>
  <c r="K70" i="11"/>
  <c r="O70" i="11"/>
  <c r="S70" i="11"/>
  <c r="W70" i="11"/>
  <c r="AA70" i="11"/>
  <c r="AE70" i="11"/>
  <c r="AI70" i="11"/>
  <c r="E83" i="11"/>
  <c r="I83" i="11"/>
  <c r="Q83" i="11"/>
  <c r="X83" i="11"/>
  <c r="AE83" i="11"/>
  <c r="G83" i="11"/>
  <c r="M83" i="11"/>
  <c r="T83" i="11"/>
  <c r="AB83" i="11"/>
  <c r="AI83" i="11"/>
  <c r="M82" i="11"/>
  <c r="AC82" i="11"/>
  <c r="E82" i="11"/>
  <c r="U82" i="11"/>
  <c r="T141" i="11"/>
  <c r="AH140" i="11"/>
  <c r="AC140" i="11"/>
  <c r="X140" i="11"/>
  <c r="R140" i="11"/>
  <c r="M140" i="11"/>
  <c r="H140" i="11"/>
  <c r="AE134" i="11"/>
  <c r="W134" i="11"/>
  <c r="P134" i="11"/>
  <c r="J134" i="11"/>
  <c r="AI133" i="11"/>
  <c r="AC133" i="11"/>
  <c r="X133" i="11"/>
  <c r="S133" i="11"/>
  <c r="M133" i="11"/>
  <c r="AG132" i="11"/>
  <c r="Y132" i="11"/>
  <c r="Q132" i="11"/>
  <c r="I132" i="11"/>
  <c r="AI122" i="11"/>
  <c r="AI121" i="11"/>
  <c r="AE121" i="11"/>
  <c r="AA121" i="11"/>
  <c r="W121" i="11"/>
  <c r="S121" i="11"/>
  <c r="O121" i="11"/>
  <c r="K121" i="11"/>
  <c r="AC83" i="11"/>
  <c r="O83" i="11"/>
  <c r="AB82" i="11"/>
  <c r="F72" i="11"/>
  <c r="G72" i="11"/>
  <c r="N72" i="11"/>
  <c r="T72" i="11"/>
  <c r="AB72" i="11"/>
  <c r="AI72" i="11"/>
  <c r="J72" i="11"/>
  <c r="R72" i="11"/>
  <c r="X72" i="11"/>
  <c r="AE72" i="11"/>
  <c r="AC67" i="11"/>
  <c r="W67" i="11"/>
  <c r="O67" i="11"/>
  <c r="H67" i="11"/>
  <c r="AC65" i="11"/>
  <c r="G65" i="11"/>
  <c r="AA64" i="11"/>
  <c r="P64" i="11"/>
  <c r="F64" i="11"/>
  <c r="AF63" i="11"/>
  <c r="AA63" i="11"/>
  <c r="U63" i="11"/>
  <c r="P63" i="11"/>
  <c r="K63" i="11"/>
  <c r="E63" i="11"/>
  <c r="L62" i="11"/>
  <c r="V60" i="11"/>
  <c r="F60" i="11"/>
  <c r="U50" i="11"/>
  <c r="E50" i="11"/>
  <c r="AD49" i="11"/>
  <c r="S49" i="11"/>
  <c r="AI42" i="11"/>
  <c r="AF41" i="11"/>
  <c r="X41" i="11"/>
  <c r="P41" i="11"/>
  <c r="H41" i="11"/>
  <c r="T40" i="11"/>
  <c r="AH39" i="11"/>
  <c r="AD39" i="11"/>
  <c r="Z39" i="11"/>
  <c r="V39" i="11"/>
  <c r="R39" i="11"/>
  <c r="N39" i="11"/>
  <c r="J39" i="11"/>
  <c r="F39" i="11"/>
  <c r="W38" i="11"/>
  <c r="AF37" i="11"/>
  <c r="T37" i="11"/>
  <c r="K37" i="11"/>
  <c r="AA42" i="11"/>
  <c r="AE41" i="11"/>
  <c r="W41" i="11"/>
  <c r="O41" i="11"/>
  <c r="G41" i="11"/>
  <c r="AG39" i="11"/>
  <c r="AC39" i="11"/>
  <c r="Y39" i="11"/>
  <c r="U39" i="11"/>
  <c r="Q39" i="11"/>
  <c r="M39" i="11"/>
  <c r="I39" i="11"/>
  <c r="S38" i="11"/>
  <c r="AB37" i="11"/>
  <c r="S37" i="11"/>
  <c r="H37" i="11"/>
  <c r="AF64" i="11"/>
  <c r="V64" i="11"/>
  <c r="AI63" i="11"/>
  <c r="AC63" i="11"/>
  <c r="X63" i="11"/>
  <c r="S63" i="11"/>
  <c r="M63" i="11"/>
  <c r="AD60" i="11"/>
  <c r="AC50" i="11"/>
  <c r="E27" i="11"/>
  <c r="E28" i="11" s="1"/>
  <c r="E209" i="12"/>
  <c r="O209" i="12"/>
  <c r="AE209" i="12"/>
  <c r="H175" i="12"/>
  <c r="S175" i="12"/>
  <c r="X175" i="12"/>
  <c r="E174" i="12"/>
  <c r="I174" i="12"/>
  <c r="M174" i="12"/>
  <c r="Q174" i="12"/>
  <c r="U174" i="12"/>
  <c r="Y174" i="12"/>
  <c r="AC174" i="12"/>
  <c r="AG174" i="12"/>
  <c r="F174" i="12"/>
  <c r="N174" i="12"/>
  <c r="V174" i="12"/>
  <c r="AD174" i="12"/>
  <c r="J174" i="12"/>
  <c r="R174" i="12"/>
  <c r="Z174" i="12"/>
  <c r="AH174" i="12"/>
  <c r="O141" i="12"/>
  <c r="U141" i="12"/>
  <c r="F140" i="12"/>
  <c r="J140" i="12"/>
  <c r="N140" i="12"/>
  <c r="R140" i="12"/>
  <c r="V140" i="12"/>
  <c r="Z140" i="12"/>
  <c r="AD140" i="12"/>
  <c r="AH140" i="12"/>
  <c r="G140" i="12"/>
  <c r="K140" i="12"/>
  <c r="O140" i="12"/>
  <c r="S140" i="12"/>
  <c r="W140" i="12"/>
  <c r="AA140" i="12"/>
  <c r="AE140" i="12"/>
  <c r="AI140" i="12"/>
  <c r="K47" i="12"/>
  <c r="AE47" i="12"/>
  <c r="O47" i="12"/>
  <c r="AI47" i="12"/>
  <c r="S47" i="12"/>
  <c r="AA47" i="12"/>
  <c r="K45" i="12"/>
  <c r="V45" i="12"/>
  <c r="AB45" i="12"/>
  <c r="G117" i="12"/>
  <c r="O117" i="12"/>
  <c r="U117" i="12"/>
  <c r="AB117" i="12"/>
  <c r="I117" i="12"/>
  <c r="P117" i="12"/>
  <c r="W117" i="12"/>
  <c r="AE117" i="12"/>
  <c r="E63" i="12"/>
  <c r="I63" i="12"/>
  <c r="S63" i="12"/>
  <c r="AD63" i="12"/>
  <c r="K63" i="12"/>
  <c r="V63" i="12"/>
  <c r="AG63" i="12"/>
  <c r="F63" i="12"/>
  <c r="AA63" i="12"/>
  <c r="N63" i="12"/>
  <c r="AI63" i="12"/>
  <c r="Q63" i="12"/>
  <c r="F210" i="12"/>
  <c r="N210" i="12"/>
  <c r="Z210" i="12"/>
  <c r="AH208" i="12"/>
  <c r="X208" i="12"/>
  <c r="M208" i="12"/>
  <c r="F207" i="12"/>
  <c r="N207" i="12"/>
  <c r="AI207" i="12"/>
  <c r="K192" i="12"/>
  <c r="S192" i="12"/>
  <c r="E191" i="12"/>
  <c r="G191" i="12"/>
  <c r="O191" i="12"/>
  <c r="W191" i="12"/>
  <c r="AE191" i="12"/>
  <c r="E188" i="12"/>
  <c r="I188" i="12"/>
  <c r="S188" i="12"/>
  <c r="AC188" i="12"/>
  <c r="AF141" i="12"/>
  <c r="AG140" i="12"/>
  <c r="Y140" i="12"/>
  <c r="Q140" i="12"/>
  <c r="I140" i="12"/>
  <c r="K121" i="12"/>
  <c r="X121" i="12"/>
  <c r="AF121" i="12"/>
  <c r="O121" i="12"/>
  <c r="Z121" i="12"/>
  <c r="AI121" i="12"/>
  <c r="AA117" i="12"/>
  <c r="L117" i="12"/>
  <c r="S99" i="12"/>
  <c r="Z99" i="12"/>
  <c r="E211" i="12"/>
  <c r="I211" i="12"/>
  <c r="Z211" i="12"/>
  <c r="T210" i="12"/>
  <c r="AI209" i="12"/>
  <c r="M209" i="12"/>
  <c r="AG208" i="12"/>
  <c r="AB208" i="12"/>
  <c r="V208" i="12"/>
  <c r="Q208" i="12"/>
  <c r="L208" i="12"/>
  <c r="Y207" i="12"/>
  <c r="E196" i="12"/>
  <c r="I196" i="12"/>
  <c r="X196" i="12"/>
  <c r="E195" i="12"/>
  <c r="I195" i="12"/>
  <c r="M195" i="12"/>
  <c r="Q195" i="12"/>
  <c r="U195" i="12"/>
  <c r="Y195" i="12"/>
  <c r="AC195" i="12"/>
  <c r="AG195" i="12"/>
  <c r="Y194" i="12"/>
  <c r="F193" i="12"/>
  <c r="N193" i="12"/>
  <c r="T193" i="12"/>
  <c r="AA193" i="12"/>
  <c r="AI193" i="12"/>
  <c r="AI191" i="12"/>
  <c r="X191" i="12"/>
  <c r="L191" i="12"/>
  <c r="AE189" i="12"/>
  <c r="Y188" i="12"/>
  <c r="O188" i="12"/>
  <c r="AI187" i="12"/>
  <c r="AC187" i="12"/>
  <c r="U187" i="12"/>
  <c r="M187" i="12"/>
  <c r="I177" i="12"/>
  <c r="AD177" i="12"/>
  <c r="AI177" i="12"/>
  <c r="N177" i="12"/>
  <c r="AF174" i="12"/>
  <c r="X174" i="12"/>
  <c r="P174" i="12"/>
  <c r="H174" i="12"/>
  <c r="Y141" i="12"/>
  <c r="AF140" i="12"/>
  <c r="X140" i="12"/>
  <c r="P140" i="12"/>
  <c r="H140" i="12"/>
  <c r="G135" i="12"/>
  <c r="AE135" i="12"/>
  <c r="O135" i="12"/>
  <c r="AI135" i="12"/>
  <c r="W134" i="12"/>
  <c r="T121" i="12"/>
  <c r="X119" i="12"/>
  <c r="Y117" i="12"/>
  <c r="K117" i="12"/>
  <c r="AC115" i="12"/>
  <c r="R115" i="12"/>
  <c r="H212" i="12"/>
  <c r="O212" i="12"/>
  <c r="G208" i="12"/>
  <c r="K208" i="12"/>
  <c r="O208" i="12"/>
  <c r="S208" i="12"/>
  <c r="W208" i="12"/>
  <c r="AA208" i="12"/>
  <c r="AE208" i="12"/>
  <c r="AI208" i="12"/>
  <c r="L96" i="12"/>
  <c r="G96" i="12"/>
  <c r="AF96" i="12"/>
  <c r="Q96" i="12"/>
  <c r="AI96" i="12"/>
  <c r="U96" i="12"/>
  <c r="AI212" i="12"/>
  <c r="T209" i="12"/>
  <c r="AC208" i="12"/>
  <c r="R208" i="12"/>
  <c r="H208" i="12"/>
  <c r="E194" i="12"/>
  <c r="J194" i="12"/>
  <c r="U194" i="12"/>
  <c r="AD194" i="12"/>
  <c r="AI174" i="12"/>
  <c r="AA174" i="12"/>
  <c r="S174" i="12"/>
  <c r="K174" i="12"/>
  <c r="G154" i="12"/>
  <c r="H154" i="12"/>
  <c r="Q154" i="12"/>
  <c r="Y154" i="12"/>
  <c r="I154" i="12"/>
  <c r="S154" i="12"/>
  <c r="AC154" i="12"/>
  <c r="Y133" i="12"/>
  <c r="AG133" i="12"/>
  <c r="P113" i="12"/>
  <c r="AF113" i="12"/>
  <c r="S113" i="12"/>
  <c r="S212" i="12"/>
  <c r="AI210" i="12"/>
  <c r="O210" i="12"/>
  <c r="Y209" i="12"/>
  <c r="I209" i="12"/>
  <c r="AF208" i="12"/>
  <c r="Z208" i="12"/>
  <c r="U208" i="12"/>
  <c r="P208" i="12"/>
  <c r="J208" i="12"/>
  <c r="E208" i="12"/>
  <c r="U207" i="12"/>
  <c r="AI194" i="12"/>
  <c r="V194" i="12"/>
  <c r="I194" i="12"/>
  <c r="AF192" i="12"/>
  <c r="AF191" i="12"/>
  <c r="T191" i="12"/>
  <c r="K191" i="12"/>
  <c r="F189" i="12"/>
  <c r="J189" i="12"/>
  <c r="X189" i="12"/>
  <c r="X188" i="12"/>
  <c r="K188" i="12"/>
  <c r="F187" i="12"/>
  <c r="J187" i="12"/>
  <c r="N187" i="12"/>
  <c r="R187" i="12"/>
  <c r="V187" i="12"/>
  <c r="Z187" i="12"/>
  <c r="AD187" i="12"/>
  <c r="AH187" i="12"/>
  <c r="K187" i="12"/>
  <c r="S187" i="12"/>
  <c r="W187" i="12"/>
  <c r="G187" i="12"/>
  <c r="O187" i="12"/>
  <c r="AA187" i="12"/>
  <c r="AE174" i="12"/>
  <c r="W174" i="12"/>
  <c r="O174" i="12"/>
  <c r="G174" i="12"/>
  <c r="AG154" i="12"/>
  <c r="O154" i="12"/>
  <c r="K141" i="12"/>
  <c r="AC140" i="12"/>
  <c r="U140" i="12"/>
  <c r="M140" i="12"/>
  <c r="E140" i="12"/>
  <c r="O136" i="12"/>
  <c r="AI136" i="12"/>
  <c r="T136" i="12"/>
  <c r="F134" i="12"/>
  <c r="H134" i="12"/>
  <c r="P134" i="12"/>
  <c r="X134" i="12"/>
  <c r="AF134" i="12"/>
  <c r="K134" i="12"/>
  <c r="S134" i="12"/>
  <c r="AA134" i="12"/>
  <c r="AH134" i="12"/>
  <c r="O122" i="12"/>
  <c r="AA122" i="12"/>
  <c r="R121" i="12"/>
  <c r="F119" i="12"/>
  <c r="N119" i="12"/>
  <c r="T119" i="12"/>
  <c r="AA119" i="12"/>
  <c r="AI119" i="12"/>
  <c r="H119" i="12"/>
  <c r="O119" i="12"/>
  <c r="V119" i="12"/>
  <c r="AD119" i="12"/>
  <c r="AG117" i="12"/>
  <c r="T117" i="12"/>
  <c r="E117" i="12"/>
  <c r="H115" i="12"/>
  <c r="E115" i="12"/>
  <c r="J115" i="12"/>
  <c r="O115" i="12"/>
  <c r="U115" i="12"/>
  <c r="Z115" i="12"/>
  <c r="AE115" i="12"/>
  <c r="F115" i="12"/>
  <c r="K115" i="12"/>
  <c r="Q115" i="12"/>
  <c r="V115" i="12"/>
  <c r="AA115" i="12"/>
  <c r="AG115" i="12"/>
  <c r="T113" i="12"/>
  <c r="AF99" i="12"/>
  <c r="AA96" i="12"/>
  <c r="Y63" i="12"/>
  <c r="G83" i="12"/>
  <c r="K83" i="12"/>
  <c r="U83" i="12"/>
  <c r="AG83" i="12"/>
  <c r="G82" i="12"/>
  <c r="K82" i="12"/>
  <c r="O82" i="12"/>
  <c r="S82" i="12"/>
  <c r="W82" i="12"/>
  <c r="AA82" i="12"/>
  <c r="AE82" i="12"/>
  <c r="AI82" i="12"/>
  <c r="G68" i="12"/>
  <c r="L68" i="12"/>
  <c r="Z68" i="12"/>
  <c r="F64" i="12"/>
  <c r="E64" i="12"/>
  <c r="K64" i="12"/>
  <c r="P64" i="12"/>
  <c r="U64" i="12"/>
  <c r="Y64" i="12"/>
  <c r="AC64" i="12"/>
  <c r="AG64" i="12"/>
  <c r="G64" i="12"/>
  <c r="L64" i="12"/>
  <c r="Q64" i="12"/>
  <c r="E49" i="12"/>
  <c r="M49" i="12"/>
  <c r="AI49" i="12"/>
  <c r="S49" i="12"/>
  <c r="F48" i="12"/>
  <c r="J48" i="12"/>
  <c r="N48" i="12"/>
  <c r="R48" i="12"/>
  <c r="V48" i="12"/>
  <c r="Z48" i="12"/>
  <c r="AD48" i="12"/>
  <c r="AH48" i="12"/>
  <c r="G48" i="12"/>
  <c r="K48" i="12"/>
  <c r="O48" i="12"/>
  <c r="S48" i="12"/>
  <c r="W48" i="12"/>
  <c r="AA48" i="12"/>
  <c r="AE48" i="12"/>
  <c r="AI48" i="12"/>
  <c r="AB97" i="12"/>
  <c r="S97" i="12"/>
  <c r="K97" i="12"/>
  <c r="F86" i="12"/>
  <c r="G86" i="12"/>
  <c r="L86" i="12"/>
  <c r="Q86" i="12"/>
  <c r="W86" i="12"/>
  <c r="AB86" i="12"/>
  <c r="AG86" i="12"/>
  <c r="AA83" i="12"/>
  <c r="M83" i="12"/>
  <c r="AH82" i="12"/>
  <c r="AC82" i="12"/>
  <c r="X82" i="12"/>
  <c r="R82" i="12"/>
  <c r="M82" i="12"/>
  <c r="H82" i="12"/>
  <c r="E72" i="12"/>
  <c r="F72" i="12"/>
  <c r="N72" i="12"/>
  <c r="T72" i="12"/>
  <c r="AA72" i="12"/>
  <c r="AI72" i="12"/>
  <c r="F69" i="12"/>
  <c r="E69" i="12"/>
  <c r="M69" i="12"/>
  <c r="U69" i="12"/>
  <c r="AC69" i="12"/>
  <c r="T68" i="12"/>
  <c r="H67" i="12"/>
  <c r="G67" i="12"/>
  <c r="AE67" i="12"/>
  <c r="AF64" i="12"/>
  <c r="AA64" i="12"/>
  <c r="V64" i="12"/>
  <c r="M64" i="12"/>
  <c r="AC49" i="12"/>
  <c r="AG48" i="12"/>
  <c r="Y48" i="12"/>
  <c r="Q48" i="12"/>
  <c r="I48" i="12"/>
  <c r="AH157" i="12"/>
  <c r="AB157" i="12"/>
  <c r="W157" i="12"/>
  <c r="Q157" i="12"/>
  <c r="I157" i="12"/>
  <c r="AI138" i="12"/>
  <c r="AF137" i="12"/>
  <c r="U137" i="12"/>
  <c r="K137" i="12"/>
  <c r="AD101" i="12"/>
  <c r="AI97" i="12"/>
  <c r="AA97" i="12"/>
  <c r="R97" i="12"/>
  <c r="AE86" i="12"/>
  <c r="X86" i="12"/>
  <c r="P86" i="12"/>
  <c r="I86" i="12"/>
  <c r="AD85" i="12"/>
  <c r="E84" i="12"/>
  <c r="G84" i="12"/>
  <c r="L84" i="12"/>
  <c r="R84" i="12"/>
  <c r="W84" i="12"/>
  <c r="AB84" i="12"/>
  <c r="AH84" i="12"/>
  <c r="Y83" i="12"/>
  <c r="I83" i="12"/>
  <c r="AG82" i="12"/>
  <c r="AB82" i="12"/>
  <c r="V82" i="12"/>
  <c r="Q82" i="12"/>
  <c r="L82" i="12"/>
  <c r="F82" i="12"/>
  <c r="AE72" i="12"/>
  <c r="V72" i="12"/>
  <c r="K72" i="12"/>
  <c r="AG69" i="12"/>
  <c r="W69" i="12"/>
  <c r="K69" i="12"/>
  <c r="AH68" i="12"/>
  <c r="O68" i="12"/>
  <c r="W67" i="12"/>
  <c r="I65" i="12"/>
  <c r="E65" i="12"/>
  <c r="P65" i="12"/>
  <c r="AA65" i="12"/>
  <c r="AE64" i="12"/>
  <c r="Z64" i="12"/>
  <c r="T64" i="12"/>
  <c r="I64" i="12"/>
  <c r="Y49" i="12"/>
  <c r="AF48" i="12"/>
  <c r="X48" i="12"/>
  <c r="P48" i="12"/>
  <c r="H48" i="12"/>
  <c r="S46" i="12"/>
  <c r="Z46" i="12"/>
  <c r="AD62" i="12"/>
  <c r="O62" i="12"/>
  <c r="AG60" i="12"/>
  <c r="W60" i="12"/>
  <c r="L60" i="12"/>
  <c r="AI50" i="12"/>
  <c r="AD50" i="12"/>
  <c r="X50" i="12"/>
  <c r="S50" i="12"/>
  <c r="N50" i="12"/>
  <c r="H50" i="12"/>
  <c r="AE44" i="12"/>
  <c r="X44" i="12"/>
  <c r="P44" i="12"/>
  <c r="AB40" i="12"/>
  <c r="W40" i="12"/>
  <c r="R40" i="12"/>
  <c r="F27" i="12"/>
  <c r="G27" i="12" s="1"/>
  <c r="D41" i="13"/>
  <c r="AJ45" i="13"/>
  <c r="AJ37" i="13"/>
  <c r="AJ40" i="13"/>
  <c r="AJ44" i="13"/>
  <c r="G44" i="16" s="1"/>
  <c r="E197" i="13"/>
  <c r="F197" i="13" s="1"/>
  <c r="G197" i="13" s="1"/>
  <c r="H197" i="13" s="1"/>
  <c r="I197" i="13" s="1"/>
  <c r="J197" i="13" s="1"/>
  <c r="K197" i="13" s="1"/>
  <c r="L197" i="13" s="1"/>
  <c r="M197" i="13" s="1"/>
  <c r="N197" i="13" s="1"/>
  <c r="O197" i="13" s="1"/>
  <c r="P197" i="13" s="1"/>
  <c r="Q197" i="13" s="1"/>
  <c r="R197" i="13" s="1"/>
  <c r="S197" i="13" s="1"/>
  <c r="T197" i="13" s="1"/>
  <c r="U197" i="13" s="1"/>
  <c r="V197" i="13" s="1"/>
  <c r="W197" i="13" s="1"/>
  <c r="X197" i="13" s="1"/>
  <c r="Y197" i="13" s="1"/>
  <c r="Z197" i="13" s="1"/>
  <c r="AA197" i="13" s="1"/>
  <c r="AB197" i="13" s="1"/>
  <c r="AC197" i="13" s="1"/>
  <c r="AD197" i="13" s="1"/>
  <c r="AE197" i="13" s="1"/>
  <c r="AF197" i="13" s="1"/>
  <c r="AG197" i="13" s="1"/>
  <c r="AH197" i="13" s="1"/>
  <c r="AI197" i="13" s="1"/>
  <c r="AJ197" i="13" s="1"/>
  <c r="AJ48" i="13"/>
  <c r="AJ64" i="13"/>
  <c r="G64" i="16" s="1"/>
  <c r="F72" i="16"/>
  <c r="D72" i="14"/>
  <c r="AJ40" i="14"/>
  <c r="AJ42" i="15"/>
  <c r="E42" i="16" s="1"/>
  <c r="AJ50" i="15"/>
  <c r="E50" i="16" s="1"/>
  <c r="AJ63" i="15"/>
  <c r="AJ193" i="15"/>
  <c r="E193" i="16" s="1"/>
  <c r="AJ38" i="15"/>
  <c r="E38" i="16" s="1"/>
  <c r="AJ46" i="15"/>
  <c r="E46" i="16" s="1"/>
  <c r="AJ100" i="15"/>
  <c r="AJ117" i="15"/>
  <c r="E117" i="16" s="1"/>
  <c r="AJ151" i="15"/>
  <c r="E151" i="16" s="1"/>
  <c r="AJ190" i="15"/>
  <c r="E190" i="16" s="1"/>
  <c r="AJ121" i="15"/>
  <c r="AJ137" i="15"/>
  <c r="E137" i="16" s="1"/>
  <c r="AJ61" i="15"/>
  <c r="D61" i="15" s="1"/>
  <c r="AJ133" i="15"/>
  <c r="E133" i="16" s="1"/>
  <c r="AJ99" i="15"/>
  <c r="E99" i="16" s="1"/>
  <c r="AJ113" i="15"/>
  <c r="E113" i="16" s="1"/>
  <c r="AJ155" i="15"/>
  <c r="E155" i="16" s="1"/>
  <c r="AJ168" i="15"/>
  <c r="E168" i="16" s="1"/>
  <c r="AJ177" i="15"/>
  <c r="AJ207" i="15"/>
  <c r="E207" i="16" s="1"/>
  <c r="AJ69" i="15"/>
  <c r="E69" i="16" s="1"/>
  <c r="AJ134" i="15"/>
  <c r="D134" i="15" s="1"/>
  <c r="AJ122" i="14"/>
  <c r="AJ195" i="14"/>
  <c r="F195" i="16" s="1"/>
  <c r="AJ41" i="15"/>
  <c r="E41" i="16" s="1"/>
  <c r="AJ176" i="15"/>
  <c r="E176" i="16" s="1"/>
  <c r="AJ138" i="15"/>
  <c r="AJ121" i="13"/>
  <c r="G121" i="16" s="1"/>
  <c r="AJ140" i="13"/>
  <c r="G140" i="16" s="1"/>
  <c r="AJ191" i="13"/>
  <c r="G191" i="16" s="1"/>
  <c r="AJ193" i="13"/>
  <c r="AJ67" i="14"/>
  <c r="F67" i="16" s="1"/>
  <c r="AJ97" i="14"/>
  <c r="F97" i="16" s="1"/>
  <c r="AJ134" i="14"/>
  <c r="F134" i="16" s="1"/>
  <c r="AJ156" i="14"/>
  <c r="F156" i="16" s="1"/>
  <c r="AJ68" i="15"/>
  <c r="E68" i="16" s="1"/>
  <c r="AJ195" i="13"/>
  <c r="G195" i="16" s="1"/>
  <c r="AJ43" i="14"/>
  <c r="AJ49" i="14"/>
  <c r="F49" i="16" s="1"/>
  <c r="AJ116" i="14"/>
  <c r="F116" i="16" s="1"/>
  <c r="AJ118" i="14"/>
  <c r="F118" i="16" s="1"/>
  <c r="AJ210" i="14"/>
  <c r="F210" i="16" s="1"/>
  <c r="AJ72" i="15"/>
  <c r="E72" i="16" s="1"/>
  <c r="AJ62" i="15"/>
  <c r="E62" i="16" s="1"/>
  <c r="AJ86" i="15"/>
  <c r="AJ84" i="15"/>
  <c r="E84" i="16" s="1"/>
  <c r="AJ103" i="15"/>
  <c r="E103" i="16" s="1"/>
  <c r="AJ118" i="15"/>
  <c r="E118" i="16" s="1"/>
  <c r="AJ122" i="15"/>
  <c r="AJ154" i="15"/>
  <c r="E154" i="16" s="1"/>
  <c r="AJ174" i="15"/>
  <c r="E174" i="16" s="1"/>
  <c r="AJ210" i="15"/>
  <c r="E210" i="16" s="1"/>
  <c r="AJ26" i="12"/>
  <c r="AJ117" i="13"/>
  <c r="G117" i="16" s="1"/>
  <c r="AJ122" i="13"/>
  <c r="G122" i="16" s="1"/>
  <c r="AJ153" i="13"/>
  <c r="G153" i="16" s="1"/>
  <c r="AJ157" i="13"/>
  <c r="G157" i="16" s="1"/>
  <c r="AJ170" i="13"/>
  <c r="G170" i="16" s="1"/>
  <c r="AJ174" i="13"/>
  <c r="AJ120" i="13"/>
  <c r="G120" i="16" s="1"/>
  <c r="AJ65" i="14"/>
  <c r="F65" i="16" s="1"/>
  <c r="AJ99" i="14"/>
  <c r="F99" i="16" s="1"/>
  <c r="AJ101" i="14"/>
  <c r="AJ114" i="14"/>
  <c r="F114" i="16" s="1"/>
  <c r="AJ141" i="14"/>
  <c r="F141" i="16" s="1"/>
  <c r="AJ212" i="14"/>
  <c r="F212" i="16" s="1"/>
  <c r="AJ101" i="15"/>
  <c r="E101" i="16" s="1"/>
  <c r="AJ156" i="15"/>
  <c r="E156" i="16" s="1"/>
  <c r="AJ158" i="15"/>
  <c r="E158" i="16" s="1"/>
  <c r="AJ208" i="15"/>
  <c r="E208" i="16" s="1"/>
  <c r="AO16" i="16"/>
  <c r="AJ82" i="13"/>
  <c r="G82" i="16" s="1"/>
  <c r="AJ141" i="13"/>
  <c r="G141" i="16" s="1"/>
  <c r="AJ69" i="14"/>
  <c r="F69" i="16" s="1"/>
  <c r="AJ152" i="14"/>
  <c r="AJ47" i="15"/>
  <c r="E47" i="16" s="1"/>
  <c r="AJ64" i="15"/>
  <c r="E64" i="16" s="1"/>
  <c r="AJ171" i="15"/>
  <c r="E171" i="16" s="1"/>
  <c r="AJ141" i="15"/>
  <c r="E141" i="16" s="1"/>
  <c r="AJ191" i="15"/>
  <c r="E191" i="16" s="1"/>
  <c r="AJ212" i="15"/>
  <c r="E212" i="16" s="1"/>
  <c r="AJ39" i="15"/>
  <c r="E39" i="16" s="1"/>
  <c r="E51" i="15"/>
  <c r="F51" i="15" s="1"/>
  <c r="G51" i="15" s="1"/>
  <c r="H51" i="15" s="1"/>
  <c r="I51" i="15" s="1"/>
  <c r="J51" i="15" s="1"/>
  <c r="K51" i="15" s="1"/>
  <c r="L51" i="15" s="1"/>
  <c r="M51" i="15" s="1"/>
  <c r="N51" i="15" s="1"/>
  <c r="O51" i="15" s="1"/>
  <c r="P51" i="15" s="1"/>
  <c r="Q51" i="15" s="1"/>
  <c r="R51" i="15" s="1"/>
  <c r="S51" i="15" s="1"/>
  <c r="T51" i="15" s="1"/>
  <c r="U51" i="15" s="1"/>
  <c r="V51" i="15" s="1"/>
  <c r="W51" i="15" s="1"/>
  <c r="X51" i="15" s="1"/>
  <c r="Y51" i="15" s="1"/>
  <c r="Z51" i="15" s="1"/>
  <c r="AA51" i="15" s="1"/>
  <c r="AB51" i="15" s="1"/>
  <c r="AC51" i="15" s="1"/>
  <c r="AD51" i="15" s="1"/>
  <c r="AE51" i="15" s="1"/>
  <c r="AF51" i="15" s="1"/>
  <c r="AG51" i="15" s="1"/>
  <c r="AH51" i="15" s="1"/>
  <c r="AI51" i="15" s="1"/>
  <c r="AJ51" i="15" s="1"/>
  <c r="E51" i="16" s="1"/>
  <c r="AJ70" i="15"/>
  <c r="E70" i="16" s="1"/>
  <c r="AJ45" i="15"/>
  <c r="E45" i="16" s="1"/>
  <c r="AJ48" i="15"/>
  <c r="E48" i="16" s="1"/>
  <c r="AJ71" i="15"/>
  <c r="E71" i="16" s="1"/>
  <c r="AJ60" i="15"/>
  <c r="E73" i="15"/>
  <c r="F73" i="15" s="1"/>
  <c r="G73" i="15" s="1"/>
  <c r="H73" i="15" s="1"/>
  <c r="I73" i="15" s="1"/>
  <c r="J73" i="15" s="1"/>
  <c r="K73" i="15" s="1"/>
  <c r="L73" i="15" s="1"/>
  <c r="M73" i="15" s="1"/>
  <c r="N73" i="15" s="1"/>
  <c r="O73" i="15" s="1"/>
  <c r="P73" i="15" s="1"/>
  <c r="Q73" i="15" s="1"/>
  <c r="R73" i="15" s="1"/>
  <c r="S73" i="15" s="1"/>
  <c r="T73" i="15" s="1"/>
  <c r="U73" i="15" s="1"/>
  <c r="V73" i="15" s="1"/>
  <c r="W73" i="15" s="1"/>
  <c r="X73" i="15" s="1"/>
  <c r="Y73" i="15" s="1"/>
  <c r="Z73" i="15" s="1"/>
  <c r="AA73" i="15" s="1"/>
  <c r="AB73" i="15" s="1"/>
  <c r="AC73" i="15" s="1"/>
  <c r="AD73" i="15" s="1"/>
  <c r="AE73" i="15" s="1"/>
  <c r="AF73" i="15" s="1"/>
  <c r="AG73" i="15" s="1"/>
  <c r="AH73" i="15" s="1"/>
  <c r="AI73" i="15" s="1"/>
  <c r="AJ73" i="15" s="1"/>
  <c r="E73" i="16" s="1"/>
  <c r="AJ66" i="15"/>
  <c r="E66" i="16" s="1"/>
  <c r="AJ102" i="15"/>
  <c r="E102" i="16" s="1"/>
  <c r="AJ120" i="15"/>
  <c r="E120" i="16" s="1"/>
  <c r="AJ157" i="15"/>
  <c r="E157" i="16" s="1"/>
  <c r="AJ140" i="15"/>
  <c r="E140" i="16" s="1"/>
  <c r="AJ152" i="15"/>
  <c r="E152" i="16" s="1"/>
  <c r="AJ209" i="15"/>
  <c r="E209" i="16" s="1"/>
  <c r="U4" i="15"/>
  <c r="E87" i="15"/>
  <c r="F87" i="15" s="1"/>
  <c r="G87" i="15" s="1"/>
  <c r="H87" i="15" s="1"/>
  <c r="I87" i="15" s="1"/>
  <c r="J87" i="15" s="1"/>
  <c r="K87" i="15" s="1"/>
  <c r="L87" i="15" s="1"/>
  <c r="M87" i="15" s="1"/>
  <c r="N87" i="15" s="1"/>
  <c r="O87" i="15" s="1"/>
  <c r="P87" i="15" s="1"/>
  <c r="Q87" i="15" s="1"/>
  <c r="R87" i="15" s="1"/>
  <c r="S87" i="15" s="1"/>
  <c r="T87" i="15" s="1"/>
  <c r="U87" i="15" s="1"/>
  <c r="V87" i="15" s="1"/>
  <c r="W87" i="15" s="1"/>
  <c r="X87" i="15" s="1"/>
  <c r="Y87" i="15" s="1"/>
  <c r="Z87" i="15" s="1"/>
  <c r="AA87" i="15" s="1"/>
  <c r="AB87" i="15" s="1"/>
  <c r="AC87" i="15" s="1"/>
  <c r="AD87" i="15" s="1"/>
  <c r="AE87" i="15" s="1"/>
  <c r="AF87" i="15" s="1"/>
  <c r="AG87" i="15" s="1"/>
  <c r="AH87" i="15" s="1"/>
  <c r="AI87" i="15" s="1"/>
  <c r="AJ87" i="15" s="1"/>
  <c r="E87" i="16" s="1"/>
  <c r="AJ82" i="15"/>
  <c r="E82" i="16" s="1"/>
  <c r="AJ83" i="15"/>
  <c r="E83" i="16" s="1"/>
  <c r="AJ116" i="15"/>
  <c r="E116" i="16" s="1"/>
  <c r="AJ170" i="15"/>
  <c r="E170" i="16" s="1"/>
  <c r="E178" i="15"/>
  <c r="F178" i="15" s="1"/>
  <c r="G178" i="15" s="1"/>
  <c r="H178" i="15" s="1"/>
  <c r="I178" i="15" s="1"/>
  <c r="J178" i="15" s="1"/>
  <c r="K178" i="15" s="1"/>
  <c r="L178" i="15" s="1"/>
  <c r="M178" i="15" s="1"/>
  <c r="N178" i="15" s="1"/>
  <c r="O178" i="15" s="1"/>
  <c r="P178" i="15" s="1"/>
  <c r="Q178" i="15" s="1"/>
  <c r="R178" i="15" s="1"/>
  <c r="S178" i="15" s="1"/>
  <c r="T178" i="15" s="1"/>
  <c r="U178" i="15" s="1"/>
  <c r="V178" i="15" s="1"/>
  <c r="W178" i="15" s="1"/>
  <c r="X178" i="15" s="1"/>
  <c r="Y178" i="15" s="1"/>
  <c r="Z178" i="15" s="1"/>
  <c r="AA178" i="15" s="1"/>
  <c r="AB178" i="15" s="1"/>
  <c r="AC178" i="15" s="1"/>
  <c r="AD178" i="15" s="1"/>
  <c r="AE178" i="15" s="1"/>
  <c r="AF178" i="15" s="1"/>
  <c r="AG178" i="15" s="1"/>
  <c r="AH178" i="15" s="1"/>
  <c r="AI178" i="15" s="1"/>
  <c r="AJ178" i="15" s="1"/>
  <c r="E178" i="16" s="1"/>
  <c r="AJ187" i="15"/>
  <c r="E187" i="16" s="1"/>
  <c r="AJ196" i="15"/>
  <c r="E196" i="16" s="1"/>
  <c r="AJ213" i="15"/>
  <c r="E213" i="16" s="1"/>
  <c r="AJ40" i="15"/>
  <c r="E40" i="16" s="1"/>
  <c r="AJ44" i="15"/>
  <c r="E44" i="16" s="1"/>
  <c r="AJ43" i="15"/>
  <c r="E43" i="16" s="1"/>
  <c r="AJ114" i="15"/>
  <c r="E114" i="16" s="1"/>
  <c r="E142" i="15"/>
  <c r="F142" i="15" s="1"/>
  <c r="G142" i="15" s="1"/>
  <c r="H142" i="15" s="1"/>
  <c r="I142" i="15" s="1"/>
  <c r="J142" i="15" s="1"/>
  <c r="K142" i="15" s="1"/>
  <c r="L142" i="15" s="1"/>
  <c r="M142" i="15" s="1"/>
  <c r="N142" i="15" s="1"/>
  <c r="O142" i="15" s="1"/>
  <c r="P142" i="15" s="1"/>
  <c r="Q142" i="15" s="1"/>
  <c r="R142" i="15" s="1"/>
  <c r="S142" i="15" s="1"/>
  <c r="T142" i="15" s="1"/>
  <c r="U142" i="15" s="1"/>
  <c r="V142" i="15" s="1"/>
  <c r="W142" i="15" s="1"/>
  <c r="X142" i="15" s="1"/>
  <c r="Y142" i="15" s="1"/>
  <c r="Z142" i="15" s="1"/>
  <c r="AA142" i="15" s="1"/>
  <c r="AB142" i="15" s="1"/>
  <c r="AC142" i="15" s="1"/>
  <c r="AD142" i="15" s="1"/>
  <c r="AE142" i="15" s="1"/>
  <c r="AF142" i="15" s="1"/>
  <c r="AG142" i="15" s="1"/>
  <c r="AH142" i="15" s="1"/>
  <c r="AI142" i="15" s="1"/>
  <c r="AJ142" i="15" s="1"/>
  <c r="E142" i="16" s="1"/>
  <c r="AJ132" i="15"/>
  <c r="AJ135" i="15"/>
  <c r="E135" i="16" s="1"/>
  <c r="AJ189" i="15"/>
  <c r="E189" i="16" s="1"/>
  <c r="AJ192" i="15"/>
  <c r="E192" i="16" s="1"/>
  <c r="E214" i="15"/>
  <c r="F214" i="15" s="1"/>
  <c r="G214" i="15" s="1"/>
  <c r="H214" i="15" s="1"/>
  <c r="I214" i="15" s="1"/>
  <c r="J214" i="15" s="1"/>
  <c r="K214" i="15" s="1"/>
  <c r="L214" i="15" s="1"/>
  <c r="M214" i="15" s="1"/>
  <c r="N214" i="15" s="1"/>
  <c r="O214" i="15" s="1"/>
  <c r="P214" i="15" s="1"/>
  <c r="Q214" i="15" s="1"/>
  <c r="R214" i="15" s="1"/>
  <c r="S214" i="15" s="1"/>
  <c r="T214" i="15" s="1"/>
  <c r="U214" i="15" s="1"/>
  <c r="V214" i="15" s="1"/>
  <c r="W214" i="15" s="1"/>
  <c r="X214" i="15" s="1"/>
  <c r="Y214" i="15" s="1"/>
  <c r="Z214" i="15" s="1"/>
  <c r="AA214" i="15" s="1"/>
  <c r="AB214" i="15" s="1"/>
  <c r="AC214" i="15" s="1"/>
  <c r="AD214" i="15" s="1"/>
  <c r="AE214" i="15" s="1"/>
  <c r="AF214" i="15" s="1"/>
  <c r="AG214" i="15" s="1"/>
  <c r="AH214" i="15" s="1"/>
  <c r="AI214" i="15" s="1"/>
  <c r="AJ214" i="15" s="1"/>
  <c r="E214" i="16" s="1"/>
  <c r="AJ37" i="15"/>
  <c r="E37" i="16" s="1"/>
  <c r="AJ67" i="15"/>
  <c r="E67" i="16" s="1"/>
  <c r="AJ49" i="15"/>
  <c r="E49" i="16" s="1"/>
  <c r="AJ85" i="15"/>
  <c r="E85" i="16" s="1"/>
  <c r="AJ98" i="15"/>
  <c r="E98" i="16" s="1"/>
  <c r="AJ119" i="15"/>
  <c r="E119" i="16" s="1"/>
  <c r="E123" i="15"/>
  <c r="F123" i="15" s="1"/>
  <c r="G123" i="15" s="1"/>
  <c r="H123" i="15" s="1"/>
  <c r="I123" i="15" s="1"/>
  <c r="J123" i="15" s="1"/>
  <c r="K123" i="15" s="1"/>
  <c r="L123" i="15" s="1"/>
  <c r="M123" i="15" s="1"/>
  <c r="N123" i="15" s="1"/>
  <c r="O123" i="15" s="1"/>
  <c r="P123" i="15" s="1"/>
  <c r="Q123" i="15" s="1"/>
  <c r="R123" i="15" s="1"/>
  <c r="S123" i="15" s="1"/>
  <c r="T123" i="15" s="1"/>
  <c r="U123" i="15" s="1"/>
  <c r="V123" i="15" s="1"/>
  <c r="W123" i="15" s="1"/>
  <c r="X123" i="15" s="1"/>
  <c r="Y123" i="15" s="1"/>
  <c r="Z123" i="15" s="1"/>
  <c r="AA123" i="15" s="1"/>
  <c r="AB123" i="15" s="1"/>
  <c r="AC123" i="15" s="1"/>
  <c r="AD123" i="15" s="1"/>
  <c r="AE123" i="15" s="1"/>
  <c r="AF123" i="15" s="1"/>
  <c r="AG123" i="15" s="1"/>
  <c r="AH123" i="15" s="1"/>
  <c r="AI123" i="15" s="1"/>
  <c r="AJ123" i="15" s="1"/>
  <c r="E123" i="16" s="1"/>
  <c r="AJ115" i="15"/>
  <c r="E115" i="16" s="1"/>
  <c r="AJ153" i="15"/>
  <c r="E153" i="16" s="1"/>
  <c r="AJ97" i="15"/>
  <c r="AJ136" i="15"/>
  <c r="E136" i="16" s="1"/>
  <c r="AJ139" i="15"/>
  <c r="E139" i="16" s="1"/>
  <c r="AJ188" i="15"/>
  <c r="E188" i="16" s="1"/>
  <c r="E197" i="15"/>
  <c r="F197" i="15" s="1"/>
  <c r="G197" i="15" s="1"/>
  <c r="H197" i="15" s="1"/>
  <c r="I197" i="15" s="1"/>
  <c r="J197" i="15" s="1"/>
  <c r="K197" i="15" s="1"/>
  <c r="L197" i="15" s="1"/>
  <c r="M197" i="15" s="1"/>
  <c r="N197" i="15" s="1"/>
  <c r="O197" i="15" s="1"/>
  <c r="P197" i="15" s="1"/>
  <c r="Q197" i="15" s="1"/>
  <c r="R197" i="15" s="1"/>
  <c r="S197" i="15" s="1"/>
  <c r="T197" i="15" s="1"/>
  <c r="U197" i="15" s="1"/>
  <c r="V197" i="15" s="1"/>
  <c r="W197" i="15" s="1"/>
  <c r="X197" i="15" s="1"/>
  <c r="Y197" i="15" s="1"/>
  <c r="Z197" i="15" s="1"/>
  <c r="AA197" i="15" s="1"/>
  <c r="AB197" i="15" s="1"/>
  <c r="AC197" i="15" s="1"/>
  <c r="AD197" i="15" s="1"/>
  <c r="AE197" i="15" s="1"/>
  <c r="AF197" i="15" s="1"/>
  <c r="AG197" i="15" s="1"/>
  <c r="AH197" i="15" s="1"/>
  <c r="AI197" i="15" s="1"/>
  <c r="AJ197" i="15" s="1"/>
  <c r="E197" i="16" s="1"/>
  <c r="AJ195" i="15"/>
  <c r="E195" i="16" s="1"/>
  <c r="AJ169" i="15"/>
  <c r="AJ175" i="15"/>
  <c r="E175" i="16" s="1"/>
  <c r="AJ206" i="15"/>
  <c r="E206" i="16" s="1"/>
  <c r="E159" i="15"/>
  <c r="F159" i="15" s="1"/>
  <c r="G159" i="15" s="1"/>
  <c r="H159" i="15" s="1"/>
  <c r="I159" i="15" s="1"/>
  <c r="J159" i="15" s="1"/>
  <c r="K159" i="15" s="1"/>
  <c r="L159" i="15" s="1"/>
  <c r="M159" i="15" s="1"/>
  <c r="N159" i="15" s="1"/>
  <c r="O159" i="15" s="1"/>
  <c r="P159" i="15" s="1"/>
  <c r="Q159" i="15" s="1"/>
  <c r="R159" i="15" s="1"/>
  <c r="S159" i="15" s="1"/>
  <c r="T159" i="15" s="1"/>
  <c r="U159" i="15" s="1"/>
  <c r="V159" i="15" s="1"/>
  <c r="W159" i="15" s="1"/>
  <c r="X159" i="15" s="1"/>
  <c r="Y159" i="15" s="1"/>
  <c r="Z159" i="15" s="1"/>
  <c r="AA159" i="15" s="1"/>
  <c r="AB159" i="15" s="1"/>
  <c r="AC159" i="15" s="1"/>
  <c r="AD159" i="15" s="1"/>
  <c r="AE159" i="15" s="1"/>
  <c r="AF159" i="15" s="1"/>
  <c r="AG159" i="15" s="1"/>
  <c r="AH159" i="15" s="1"/>
  <c r="AI159" i="15" s="1"/>
  <c r="AJ159" i="15" s="1"/>
  <c r="E159" i="16" s="1"/>
  <c r="AJ66" i="14"/>
  <c r="F66" i="16" s="1"/>
  <c r="AJ121" i="14"/>
  <c r="F121" i="16" s="1"/>
  <c r="AJ100" i="14"/>
  <c r="F100" i="16" s="1"/>
  <c r="AJ117" i="14"/>
  <c r="F117" i="16" s="1"/>
  <c r="AJ154" i="14"/>
  <c r="F154" i="16" s="1"/>
  <c r="AJ168" i="14"/>
  <c r="F168" i="16" s="1"/>
  <c r="E178" i="14"/>
  <c r="F178" i="14" s="1"/>
  <c r="G178" i="14" s="1"/>
  <c r="H178" i="14" s="1"/>
  <c r="I178" i="14" s="1"/>
  <c r="J178" i="14" s="1"/>
  <c r="K178" i="14" s="1"/>
  <c r="L178" i="14" s="1"/>
  <c r="M178" i="14" s="1"/>
  <c r="N178" i="14" s="1"/>
  <c r="O178" i="14" s="1"/>
  <c r="P178" i="14" s="1"/>
  <c r="Q178" i="14" s="1"/>
  <c r="R178" i="14" s="1"/>
  <c r="S178" i="14" s="1"/>
  <c r="T178" i="14" s="1"/>
  <c r="U178" i="14" s="1"/>
  <c r="V178" i="14" s="1"/>
  <c r="W178" i="14" s="1"/>
  <c r="X178" i="14" s="1"/>
  <c r="Y178" i="14" s="1"/>
  <c r="Z178" i="14" s="1"/>
  <c r="AA178" i="14" s="1"/>
  <c r="AB178" i="14" s="1"/>
  <c r="AC178" i="14" s="1"/>
  <c r="AD178" i="14" s="1"/>
  <c r="AE178" i="14" s="1"/>
  <c r="AF178" i="14" s="1"/>
  <c r="AG178" i="14" s="1"/>
  <c r="AH178" i="14" s="1"/>
  <c r="AI178" i="14" s="1"/>
  <c r="AJ178" i="14" s="1"/>
  <c r="E142" i="14"/>
  <c r="F142" i="14" s="1"/>
  <c r="G142" i="14" s="1"/>
  <c r="H142" i="14" s="1"/>
  <c r="I142" i="14" s="1"/>
  <c r="J142" i="14" s="1"/>
  <c r="K142" i="14" s="1"/>
  <c r="L142" i="14" s="1"/>
  <c r="M142" i="14" s="1"/>
  <c r="N142" i="14" s="1"/>
  <c r="O142" i="14" s="1"/>
  <c r="P142" i="14" s="1"/>
  <c r="Q142" i="14" s="1"/>
  <c r="R142" i="14" s="1"/>
  <c r="S142" i="14" s="1"/>
  <c r="T142" i="14" s="1"/>
  <c r="U142" i="14" s="1"/>
  <c r="V142" i="14" s="1"/>
  <c r="W142" i="14" s="1"/>
  <c r="X142" i="14" s="1"/>
  <c r="Y142" i="14" s="1"/>
  <c r="Z142" i="14" s="1"/>
  <c r="AA142" i="14" s="1"/>
  <c r="AB142" i="14" s="1"/>
  <c r="AC142" i="14" s="1"/>
  <c r="AD142" i="14" s="1"/>
  <c r="AE142" i="14" s="1"/>
  <c r="AF142" i="14" s="1"/>
  <c r="AG142" i="14" s="1"/>
  <c r="AH142" i="14" s="1"/>
  <c r="AI142" i="14" s="1"/>
  <c r="AJ142" i="14" s="1"/>
  <c r="AJ171" i="14"/>
  <c r="F171" i="16" s="1"/>
  <c r="AJ206" i="14"/>
  <c r="F206" i="16" s="1"/>
  <c r="E214" i="14"/>
  <c r="F214" i="14" s="1"/>
  <c r="G214" i="14" s="1"/>
  <c r="H214" i="14" s="1"/>
  <c r="I214" i="14" s="1"/>
  <c r="J214" i="14" s="1"/>
  <c r="K214" i="14" s="1"/>
  <c r="L214" i="14" s="1"/>
  <c r="M214" i="14" s="1"/>
  <c r="N214" i="14" s="1"/>
  <c r="O214" i="14" s="1"/>
  <c r="P214" i="14" s="1"/>
  <c r="Q214" i="14" s="1"/>
  <c r="R214" i="14" s="1"/>
  <c r="S214" i="14" s="1"/>
  <c r="T214" i="14" s="1"/>
  <c r="U214" i="14" s="1"/>
  <c r="V214" i="14" s="1"/>
  <c r="W214" i="14" s="1"/>
  <c r="X214" i="14" s="1"/>
  <c r="Y214" i="14" s="1"/>
  <c r="Z214" i="14" s="1"/>
  <c r="AA214" i="14" s="1"/>
  <c r="AB214" i="14" s="1"/>
  <c r="AC214" i="14" s="1"/>
  <c r="AD214" i="14" s="1"/>
  <c r="AE214" i="14" s="1"/>
  <c r="AF214" i="14" s="1"/>
  <c r="AG214" i="14" s="1"/>
  <c r="AH214" i="14" s="1"/>
  <c r="AI214" i="14" s="1"/>
  <c r="AJ214" i="14" s="1"/>
  <c r="AJ213" i="14"/>
  <c r="F213" i="16" s="1"/>
  <c r="AJ70" i="14"/>
  <c r="F70" i="16" s="1"/>
  <c r="AJ86" i="14"/>
  <c r="F86" i="16" s="1"/>
  <c r="AJ82" i="14"/>
  <c r="F82" i="16" s="1"/>
  <c r="E87" i="14"/>
  <c r="F87" i="14" s="1"/>
  <c r="G87" i="14" s="1"/>
  <c r="H87" i="14" s="1"/>
  <c r="I87" i="14" s="1"/>
  <c r="J87" i="14" s="1"/>
  <c r="K87" i="14" s="1"/>
  <c r="L87" i="14" s="1"/>
  <c r="M87" i="14" s="1"/>
  <c r="N87" i="14" s="1"/>
  <c r="O87" i="14" s="1"/>
  <c r="P87" i="14" s="1"/>
  <c r="Q87" i="14" s="1"/>
  <c r="R87" i="14" s="1"/>
  <c r="S87" i="14" s="1"/>
  <c r="T87" i="14" s="1"/>
  <c r="U87" i="14" s="1"/>
  <c r="V87" i="14" s="1"/>
  <c r="W87" i="14" s="1"/>
  <c r="X87" i="14" s="1"/>
  <c r="Y87" i="14" s="1"/>
  <c r="Z87" i="14" s="1"/>
  <c r="AA87" i="14" s="1"/>
  <c r="AB87" i="14" s="1"/>
  <c r="AC87" i="14" s="1"/>
  <c r="AD87" i="14" s="1"/>
  <c r="AE87" i="14" s="1"/>
  <c r="AF87" i="14" s="1"/>
  <c r="AG87" i="14" s="1"/>
  <c r="AH87" i="14" s="1"/>
  <c r="AI87" i="14" s="1"/>
  <c r="AJ87" i="14" s="1"/>
  <c r="AJ71" i="14"/>
  <c r="F71" i="16" s="1"/>
  <c r="E159" i="14"/>
  <c r="F159" i="14" s="1"/>
  <c r="G159" i="14" s="1"/>
  <c r="H159" i="14" s="1"/>
  <c r="I159" i="14" s="1"/>
  <c r="J159" i="14" s="1"/>
  <c r="K159" i="14" s="1"/>
  <c r="L159" i="14" s="1"/>
  <c r="M159" i="14" s="1"/>
  <c r="N159" i="14" s="1"/>
  <c r="O159" i="14" s="1"/>
  <c r="P159" i="14" s="1"/>
  <c r="Q159" i="14" s="1"/>
  <c r="R159" i="14" s="1"/>
  <c r="S159" i="14" s="1"/>
  <c r="T159" i="14" s="1"/>
  <c r="U159" i="14" s="1"/>
  <c r="V159" i="14" s="1"/>
  <c r="W159" i="14" s="1"/>
  <c r="X159" i="14" s="1"/>
  <c r="Y159" i="14" s="1"/>
  <c r="Z159" i="14" s="1"/>
  <c r="AA159" i="14" s="1"/>
  <c r="AB159" i="14" s="1"/>
  <c r="AC159" i="14" s="1"/>
  <c r="AD159" i="14" s="1"/>
  <c r="AE159" i="14" s="1"/>
  <c r="AF159" i="14" s="1"/>
  <c r="AG159" i="14" s="1"/>
  <c r="AH159" i="14" s="1"/>
  <c r="AI159" i="14" s="1"/>
  <c r="AJ159" i="14" s="1"/>
  <c r="AJ151" i="14"/>
  <c r="F151" i="16" s="1"/>
  <c r="AJ170" i="14"/>
  <c r="F170" i="16" s="1"/>
  <c r="AJ187" i="14"/>
  <c r="F187" i="16" s="1"/>
  <c r="AJ158" i="14"/>
  <c r="F158" i="16" s="1"/>
  <c r="AJ172" i="14"/>
  <c r="F172" i="16" s="1"/>
  <c r="AJ133" i="14"/>
  <c r="F133" i="16" s="1"/>
  <c r="AJ193" i="14"/>
  <c r="F193" i="16" s="1"/>
  <c r="AJ175" i="14"/>
  <c r="F175" i="16" s="1"/>
  <c r="AJ192" i="14"/>
  <c r="F192" i="16" s="1"/>
  <c r="U4" i="14"/>
  <c r="AJ42" i="14"/>
  <c r="F42" i="16" s="1"/>
  <c r="AJ41" i="14"/>
  <c r="F41" i="16" s="1"/>
  <c r="AJ46" i="14"/>
  <c r="F46" i="16" s="1"/>
  <c r="AJ63" i="14"/>
  <c r="F63" i="16" s="1"/>
  <c r="AJ62" i="14"/>
  <c r="F62" i="16" s="1"/>
  <c r="E73" i="14"/>
  <c r="F73" i="14" s="1"/>
  <c r="G73" i="14" s="1"/>
  <c r="H73" i="14" s="1"/>
  <c r="I73" i="14" s="1"/>
  <c r="J73" i="14" s="1"/>
  <c r="K73" i="14" s="1"/>
  <c r="L73" i="14" s="1"/>
  <c r="M73" i="14" s="1"/>
  <c r="N73" i="14" s="1"/>
  <c r="O73" i="14" s="1"/>
  <c r="P73" i="14" s="1"/>
  <c r="Q73" i="14" s="1"/>
  <c r="R73" i="14" s="1"/>
  <c r="S73" i="14" s="1"/>
  <c r="T73" i="14" s="1"/>
  <c r="U73" i="14" s="1"/>
  <c r="V73" i="14" s="1"/>
  <c r="W73" i="14" s="1"/>
  <c r="X73" i="14" s="1"/>
  <c r="Y73" i="14" s="1"/>
  <c r="Z73" i="14" s="1"/>
  <c r="AA73" i="14" s="1"/>
  <c r="AB73" i="14" s="1"/>
  <c r="AC73" i="14" s="1"/>
  <c r="AD73" i="14" s="1"/>
  <c r="AE73" i="14" s="1"/>
  <c r="AF73" i="14" s="1"/>
  <c r="AG73" i="14" s="1"/>
  <c r="AH73" i="14" s="1"/>
  <c r="AI73" i="14" s="1"/>
  <c r="AJ73" i="14" s="1"/>
  <c r="AJ50" i="14"/>
  <c r="F50" i="16" s="1"/>
  <c r="AJ85" i="14"/>
  <c r="F85" i="16" s="1"/>
  <c r="AJ120" i="14"/>
  <c r="F120" i="16" s="1"/>
  <c r="D68" i="14"/>
  <c r="AJ96" i="14"/>
  <c r="F96" i="16" s="1"/>
  <c r="E104" i="14"/>
  <c r="F104" i="14" s="1"/>
  <c r="G104" i="14" s="1"/>
  <c r="H104" i="14" s="1"/>
  <c r="I104" i="14" s="1"/>
  <c r="J104" i="14" s="1"/>
  <c r="K104" i="14" s="1"/>
  <c r="L104" i="14" s="1"/>
  <c r="M104" i="14" s="1"/>
  <c r="N104" i="14" s="1"/>
  <c r="O104" i="14" s="1"/>
  <c r="P104" i="14" s="1"/>
  <c r="Q104" i="14" s="1"/>
  <c r="R104" i="14" s="1"/>
  <c r="S104" i="14" s="1"/>
  <c r="T104" i="14" s="1"/>
  <c r="U104" i="14" s="1"/>
  <c r="V104" i="14" s="1"/>
  <c r="W104" i="14" s="1"/>
  <c r="X104" i="14" s="1"/>
  <c r="Y104" i="14" s="1"/>
  <c r="Z104" i="14" s="1"/>
  <c r="AA104" i="14" s="1"/>
  <c r="AB104" i="14" s="1"/>
  <c r="AC104" i="14" s="1"/>
  <c r="AD104" i="14" s="1"/>
  <c r="AE104" i="14" s="1"/>
  <c r="AF104" i="14" s="1"/>
  <c r="AG104" i="14" s="1"/>
  <c r="AH104" i="14" s="1"/>
  <c r="AI104" i="14" s="1"/>
  <c r="AJ104" i="14" s="1"/>
  <c r="AJ113" i="14"/>
  <c r="F113" i="16" s="1"/>
  <c r="E123" i="14"/>
  <c r="F123" i="14" s="1"/>
  <c r="G123" i="14" s="1"/>
  <c r="H123" i="14" s="1"/>
  <c r="I123" i="14" s="1"/>
  <c r="J123" i="14" s="1"/>
  <c r="K123" i="14" s="1"/>
  <c r="L123" i="14" s="1"/>
  <c r="M123" i="14" s="1"/>
  <c r="N123" i="14" s="1"/>
  <c r="O123" i="14" s="1"/>
  <c r="P123" i="14" s="1"/>
  <c r="Q123" i="14" s="1"/>
  <c r="R123" i="14" s="1"/>
  <c r="S123" i="14" s="1"/>
  <c r="T123" i="14" s="1"/>
  <c r="U123" i="14" s="1"/>
  <c r="V123" i="14" s="1"/>
  <c r="W123" i="14" s="1"/>
  <c r="X123" i="14" s="1"/>
  <c r="Y123" i="14" s="1"/>
  <c r="Z123" i="14" s="1"/>
  <c r="AA123" i="14" s="1"/>
  <c r="AB123" i="14" s="1"/>
  <c r="AC123" i="14" s="1"/>
  <c r="AD123" i="14" s="1"/>
  <c r="AE123" i="14" s="1"/>
  <c r="AF123" i="14" s="1"/>
  <c r="AG123" i="14" s="1"/>
  <c r="AH123" i="14" s="1"/>
  <c r="AI123" i="14" s="1"/>
  <c r="AJ123" i="14" s="1"/>
  <c r="AJ139" i="14"/>
  <c r="F139" i="16" s="1"/>
  <c r="AJ176" i="14"/>
  <c r="F176" i="16" s="1"/>
  <c r="D169" i="14"/>
  <c r="AJ209" i="14"/>
  <c r="F209" i="16" s="1"/>
  <c r="AJ61" i="14"/>
  <c r="F61" i="16" s="1"/>
  <c r="AJ138" i="14"/>
  <c r="F138" i="16" s="1"/>
  <c r="AJ37" i="14"/>
  <c r="F37" i="16" s="1"/>
  <c r="Q4" i="14"/>
  <c r="AJ45" i="14"/>
  <c r="F45" i="16" s="1"/>
  <c r="AJ47" i="14"/>
  <c r="F47" i="16" s="1"/>
  <c r="AJ38" i="14"/>
  <c r="F38" i="16" s="1"/>
  <c r="E51" i="14"/>
  <c r="F51" i="14" s="1"/>
  <c r="G51" i="14" s="1"/>
  <c r="H51" i="14" s="1"/>
  <c r="I51" i="14" s="1"/>
  <c r="J51" i="14" s="1"/>
  <c r="K51" i="14" s="1"/>
  <c r="L51" i="14" s="1"/>
  <c r="M51" i="14" s="1"/>
  <c r="N51" i="14" s="1"/>
  <c r="O51" i="14" s="1"/>
  <c r="P51" i="14" s="1"/>
  <c r="Q51" i="14" s="1"/>
  <c r="R51" i="14" s="1"/>
  <c r="S51" i="14" s="1"/>
  <c r="T51" i="14" s="1"/>
  <c r="U51" i="14" s="1"/>
  <c r="V51" i="14" s="1"/>
  <c r="W51" i="14" s="1"/>
  <c r="X51" i="14" s="1"/>
  <c r="Y51" i="14" s="1"/>
  <c r="Z51" i="14" s="1"/>
  <c r="AA51" i="14" s="1"/>
  <c r="AB51" i="14" s="1"/>
  <c r="AC51" i="14" s="1"/>
  <c r="AD51" i="14" s="1"/>
  <c r="AE51" i="14" s="1"/>
  <c r="AF51" i="14" s="1"/>
  <c r="AG51" i="14" s="1"/>
  <c r="AH51" i="14" s="1"/>
  <c r="AI51" i="14" s="1"/>
  <c r="AJ51" i="14" s="1"/>
  <c r="AJ84" i="14"/>
  <c r="F84" i="16" s="1"/>
  <c r="AJ103" i="14"/>
  <c r="F103" i="16" s="1"/>
  <c r="AJ135" i="14"/>
  <c r="F135" i="16" s="1"/>
  <c r="AJ155" i="14"/>
  <c r="F155" i="16" s="1"/>
  <c r="AJ174" i="14"/>
  <c r="F174" i="16" s="1"/>
  <c r="AJ191" i="14"/>
  <c r="F191" i="16" s="1"/>
  <c r="AJ208" i="14"/>
  <c r="F208" i="16" s="1"/>
  <c r="AJ189" i="14"/>
  <c r="F189" i="16" s="1"/>
  <c r="AJ137" i="14"/>
  <c r="F137" i="16" s="1"/>
  <c r="AJ188" i="14"/>
  <c r="F188" i="16" s="1"/>
  <c r="E197" i="14"/>
  <c r="F197" i="14" s="1"/>
  <c r="G197" i="14" s="1"/>
  <c r="H197" i="14" s="1"/>
  <c r="I197" i="14" s="1"/>
  <c r="J197" i="14" s="1"/>
  <c r="K197" i="14" s="1"/>
  <c r="L197" i="14" s="1"/>
  <c r="M197" i="14" s="1"/>
  <c r="N197" i="14" s="1"/>
  <c r="O197" i="14" s="1"/>
  <c r="P197" i="14" s="1"/>
  <c r="Q197" i="14" s="1"/>
  <c r="R197" i="14" s="1"/>
  <c r="S197" i="14" s="1"/>
  <c r="T197" i="14" s="1"/>
  <c r="U197" i="14" s="1"/>
  <c r="V197" i="14" s="1"/>
  <c r="W197" i="14" s="1"/>
  <c r="X197" i="14" s="1"/>
  <c r="Y197" i="14" s="1"/>
  <c r="Z197" i="14" s="1"/>
  <c r="AA197" i="14" s="1"/>
  <c r="AB197" i="14" s="1"/>
  <c r="AC197" i="14" s="1"/>
  <c r="AD197" i="14" s="1"/>
  <c r="AE197" i="14" s="1"/>
  <c r="AF197" i="14" s="1"/>
  <c r="AG197" i="14" s="1"/>
  <c r="AH197" i="14" s="1"/>
  <c r="AI197" i="14" s="1"/>
  <c r="AJ197" i="14" s="1"/>
  <c r="AJ196" i="14"/>
  <c r="F196" i="16" s="1"/>
  <c r="U4" i="13"/>
  <c r="AJ47" i="13"/>
  <c r="G47" i="16" s="1"/>
  <c r="Q4" i="13"/>
  <c r="AJ43" i="13"/>
  <c r="G43" i="16" s="1"/>
  <c r="AJ70" i="13"/>
  <c r="G70" i="16" s="1"/>
  <c r="AJ72" i="13"/>
  <c r="G72" i="16" s="1"/>
  <c r="AJ67" i="13"/>
  <c r="G67" i="16" s="1"/>
  <c r="AJ134" i="13"/>
  <c r="G134" i="16" s="1"/>
  <c r="E142" i="13"/>
  <c r="F142" i="13" s="1"/>
  <c r="G142" i="13" s="1"/>
  <c r="H142" i="13" s="1"/>
  <c r="I142" i="13" s="1"/>
  <c r="J142" i="13" s="1"/>
  <c r="K142" i="13" s="1"/>
  <c r="L142" i="13" s="1"/>
  <c r="M142" i="13" s="1"/>
  <c r="N142" i="13" s="1"/>
  <c r="O142" i="13" s="1"/>
  <c r="P142" i="13" s="1"/>
  <c r="Q142" i="13" s="1"/>
  <c r="R142" i="13" s="1"/>
  <c r="S142" i="13" s="1"/>
  <c r="T142" i="13" s="1"/>
  <c r="U142" i="13" s="1"/>
  <c r="V142" i="13" s="1"/>
  <c r="W142" i="13" s="1"/>
  <c r="X142" i="13" s="1"/>
  <c r="Y142" i="13" s="1"/>
  <c r="Z142" i="13" s="1"/>
  <c r="AA142" i="13" s="1"/>
  <c r="AB142" i="13" s="1"/>
  <c r="AC142" i="13" s="1"/>
  <c r="AD142" i="13" s="1"/>
  <c r="AE142" i="13" s="1"/>
  <c r="AF142" i="13" s="1"/>
  <c r="AG142" i="13" s="1"/>
  <c r="AH142" i="13" s="1"/>
  <c r="AI142" i="13" s="1"/>
  <c r="AJ142" i="13" s="1"/>
  <c r="AJ138" i="13"/>
  <c r="G138" i="16" s="1"/>
  <c r="AJ114" i="13"/>
  <c r="G114" i="16" s="1"/>
  <c r="AJ176" i="13"/>
  <c r="G176" i="16" s="1"/>
  <c r="AJ196" i="13"/>
  <c r="G196" i="16" s="1"/>
  <c r="AJ155" i="13"/>
  <c r="G155" i="16" s="1"/>
  <c r="AJ168" i="13"/>
  <c r="G168" i="16" s="1"/>
  <c r="E178" i="13"/>
  <c r="F178" i="13" s="1"/>
  <c r="G178" i="13" s="1"/>
  <c r="H178" i="13" s="1"/>
  <c r="I178" i="13" s="1"/>
  <c r="J178" i="13" s="1"/>
  <c r="K178" i="13" s="1"/>
  <c r="L178" i="13" s="1"/>
  <c r="M178" i="13" s="1"/>
  <c r="N178" i="13" s="1"/>
  <c r="O178" i="13" s="1"/>
  <c r="P178" i="13" s="1"/>
  <c r="Q178" i="13" s="1"/>
  <c r="R178" i="13" s="1"/>
  <c r="S178" i="13" s="1"/>
  <c r="T178" i="13" s="1"/>
  <c r="U178" i="13" s="1"/>
  <c r="V178" i="13" s="1"/>
  <c r="W178" i="13" s="1"/>
  <c r="X178" i="13" s="1"/>
  <c r="Y178" i="13" s="1"/>
  <c r="Z178" i="13" s="1"/>
  <c r="AA178" i="13" s="1"/>
  <c r="AB178" i="13" s="1"/>
  <c r="AC178" i="13" s="1"/>
  <c r="AD178" i="13" s="1"/>
  <c r="AE178" i="13" s="1"/>
  <c r="AF178" i="13" s="1"/>
  <c r="AG178" i="13" s="1"/>
  <c r="AH178" i="13" s="1"/>
  <c r="AI178" i="13" s="1"/>
  <c r="AJ178" i="13" s="1"/>
  <c r="AJ42" i="13"/>
  <c r="G42" i="16" s="1"/>
  <c r="AJ62" i="13"/>
  <c r="G62" i="16" s="1"/>
  <c r="E73" i="13"/>
  <c r="F73" i="13" s="1"/>
  <c r="G73" i="13" s="1"/>
  <c r="H73" i="13" s="1"/>
  <c r="I73" i="13" s="1"/>
  <c r="J73" i="13" s="1"/>
  <c r="K73" i="13" s="1"/>
  <c r="L73" i="13" s="1"/>
  <c r="M73" i="13" s="1"/>
  <c r="N73" i="13" s="1"/>
  <c r="O73" i="13" s="1"/>
  <c r="P73" i="13" s="1"/>
  <c r="Q73" i="13" s="1"/>
  <c r="R73" i="13" s="1"/>
  <c r="S73" i="13" s="1"/>
  <c r="T73" i="13" s="1"/>
  <c r="U73" i="13" s="1"/>
  <c r="V73" i="13" s="1"/>
  <c r="W73" i="13" s="1"/>
  <c r="X73" i="13" s="1"/>
  <c r="Y73" i="13" s="1"/>
  <c r="Z73" i="13" s="1"/>
  <c r="AA73" i="13" s="1"/>
  <c r="AB73" i="13" s="1"/>
  <c r="AC73" i="13" s="1"/>
  <c r="AD73" i="13" s="1"/>
  <c r="AE73" i="13" s="1"/>
  <c r="AF73" i="13" s="1"/>
  <c r="AG73" i="13" s="1"/>
  <c r="AH73" i="13" s="1"/>
  <c r="AI73" i="13" s="1"/>
  <c r="AJ73" i="13" s="1"/>
  <c r="AJ50" i="13"/>
  <c r="G50" i="16" s="1"/>
  <c r="AJ66" i="13"/>
  <c r="G66" i="16" s="1"/>
  <c r="AJ68" i="13"/>
  <c r="G68" i="16" s="1"/>
  <c r="AJ83" i="13"/>
  <c r="G83" i="16" s="1"/>
  <c r="E87" i="13"/>
  <c r="F87" i="13" s="1"/>
  <c r="G87" i="13" s="1"/>
  <c r="H87" i="13" s="1"/>
  <c r="I87" i="13" s="1"/>
  <c r="J87" i="13" s="1"/>
  <c r="K87" i="13" s="1"/>
  <c r="L87" i="13" s="1"/>
  <c r="M87" i="13" s="1"/>
  <c r="N87" i="13" s="1"/>
  <c r="O87" i="13" s="1"/>
  <c r="P87" i="13" s="1"/>
  <c r="Q87" i="13" s="1"/>
  <c r="R87" i="13" s="1"/>
  <c r="S87" i="13" s="1"/>
  <c r="T87" i="13" s="1"/>
  <c r="U87" i="13" s="1"/>
  <c r="V87" i="13" s="1"/>
  <c r="W87" i="13" s="1"/>
  <c r="X87" i="13" s="1"/>
  <c r="Y87" i="13" s="1"/>
  <c r="Z87" i="13" s="1"/>
  <c r="AA87" i="13" s="1"/>
  <c r="AB87" i="13" s="1"/>
  <c r="AC87" i="13" s="1"/>
  <c r="AD87" i="13" s="1"/>
  <c r="AE87" i="13" s="1"/>
  <c r="AF87" i="13" s="1"/>
  <c r="AG87" i="13" s="1"/>
  <c r="AH87" i="13" s="1"/>
  <c r="AI87" i="13" s="1"/>
  <c r="AJ87" i="13" s="1"/>
  <c r="AJ71" i="13"/>
  <c r="G71" i="16" s="1"/>
  <c r="AJ98" i="13"/>
  <c r="G98" i="16" s="1"/>
  <c r="AJ85" i="13"/>
  <c r="G85" i="16" s="1"/>
  <c r="AJ96" i="13"/>
  <c r="G96" i="16" s="1"/>
  <c r="E104" i="13"/>
  <c r="F104" i="13" s="1"/>
  <c r="G104" i="13" s="1"/>
  <c r="H104" i="13" s="1"/>
  <c r="I104" i="13" s="1"/>
  <c r="J104" i="13" s="1"/>
  <c r="K104" i="13" s="1"/>
  <c r="L104" i="13" s="1"/>
  <c r="M104" i="13" s="1"/>
  <c r="N104" i="13" s="1"/>
  <c r="O104" i="13" s="1"/>
  <c r="P104" i="13" s="1"/>
  <c r="Q104" i="13" s="1"/>
  <c r="R104" i="13" s="1"/>
  <c r="S104" i="13" s="1"/>
  <c r="T104" i="13" s="1"/>
  <c r="U104" i="13" s="1"/>
  <c r="V104" i="13" s="1"/>
  <c r="W104" i="13" s="1"/>
  <c r="X104" i="13" s="1"/>
  <c r="Y104" i="13" s="1"/>
  <c r="Z104" i="13" s="1"/>
  <c r="AA104" i="13" s="1"/>
  <c r="AB104" i="13" s="1"/>
  <c r="AC104" i="13" s="1"/>
  <c r="AD104" i="13" s="1"/>
  <c r="AE104" i="13" s="1"/>
  <c r="AF104" i="13" s="1"/>
  <c r="AG104" i="13" s="1"/>
  <c r="AH104" i="13" s="1"/>
  <c r="AI104" i="13" s="1"/>
  <c r="AJ104" i="13" s="1"/>
  <c r="AJ137" i="13"/>
  <c r="G137" i="16" s="1"/>
  <c r="AJ115" i="13"/>
  <c r="G115" i="16" s="1"/>
  <c r="AJ101" i="13"/>
  <c r="G101" i="16" s="1"/>
  <c r="AJ119" i="13"/>
  <c r="G119" i="16" s="1"/>
  <c r="AJ187" i="13"/>
  <c r="G187" i="16" s="1"/>
  <c r="AJ206" i="13"/>
  <c r="G206" i="16" s="1"/>
  <c r="E214" i="13"/>
  <c r="F214" i="13" s="1"/>
  <c r="G214" i="13" s="1"/>
  <c r="H214" i="13" s="1"/>
  <c r="I214" i="13" s="1"/>
  <c r="J214" i="13" s="1"/>
  <c r="K214" i="13" s="1"/>
  <c r="L214" i="13" s="1"/>
  <c r="M214" i="13" s="1"/>
  <c r="N214" i="13" s="1"/>
  <c r="O214" i="13" s="1"/>
  <c r="P214" i="13" s="1"/>
  <c r="Q214" i="13" s="1"/>
  <c r="R214" i="13" s="1"/>
  <c r="S214" i="13" s="1"/>
  <c r="T214" i="13" s="1"/>
  <c r="U214" i="13" s="1"/>
  <c r="V214" i="13" s="1"/>
  <c r="W214" i="13" s="1"/>
  <c r="X214" i="13" s="1"/>
  <c r="Y214" i="13" s="1"/>
  <c r="Z214" i="13" s="1"/>
  <c r="AA214" i="13" s="1"/>
  <c r="AB214" i="13" s="1"/>
  <c r="AC214" i="13" s="1"/>
  <c r="AD214" i="13" s="1"/>
  <c r="AE214" i="13" s="1"/>
  <c r="AF214" i="13" s="1"/>
  <c r="AG214" i="13" s="1"/>
  <c r="AH214" i="13" s="1"/>
  <c r="AI214" i="13" s="1"/>
  <c r="AJ214" i="13" s="1"/>
  <c r="AJ175" i="13"/>
  <c r="G175" i="16" s="1"/>
  <c r="AJ154" i="13"/>
  <c r="G154" i="16" s="1"/>
  <c r="AJ208" i="13"/>
  <c r="G208" i="16" s="1"/>
  <c r="AJ100" i="13"/>
  <c r="G100" i="16" s="1"/>
  <c r="AJ151" i="13"/>
  <c r="G151" i="16" s="1"/>
  <c r="E159" i="13"/>
  <c r="F159" i="13" s="1"/>
  <c r="G159" i="13" s="1"/>
  <c r="H159" i="13" s="1"/>
  <c r="I159" i="13" s="1"/>
  <c r="J159" i="13" s="1"/>
  <c r="K159" i="13" s="1"/>
  <c r="L159" i="13" s="1"/>
  <c r="M159" i="13" s="1"/>
  <c r="N159" i="13" s="1"/>
  <c r="O159" i="13" s="1"/>
  <c r="P159" i="13" s="1"/>
  <c r="Q159" i="13" s="1"/>
  <c r="R159" i="13" s="1"/>
  <c r="S159" i="13" s="1"/>
  <c r="T159" i="13" s="1"/>
  <c r="U159" i="13" s="1"/>
  <c r="V159" i="13" s="1"/>
  <c r="W159" i="13" s="1"/>
  <c r="X159" i="13" s="1"/>
  <c r="Y159" i="13" s="1"/>
  <c r="Z159" i="13" s="1"/>
  <c r="AA159" i="13" s="1"/>
  <c r="AB159" i="13" s="1"/>
  <c r="AC159" i="13" s="1"/>
  <c r="AD159" i="13" s="1"/>
  <c r="AE159" i="13" s="1"/>
  <c r="AF159" i="13" s="1"/>
  <c r="AG159" i="13" s="1"/>
  <c r="AH159" i="13" s="1"/>
  <c r="AI159" i="13" s="1"/>
  <c r="AJ159" i="13" s="1"/>
  <c r="AJ113" i="13"/>
  <c r="G113" i="16" s="1"/>
  <c r="E123" i="13"/>
  <c r="F123" i="13" s="1"/>
  <c r="G123" i="13" s="1"/>
  <c r="H123" i="13" s="1"/>
  <c r="I123" i="13" s="1"/>
  <c r="J123" i="13" s="1"/>
  <c r="K123" i="13" s="1"/>
  <c r="L123" i="13" s="1"/>
  <c r="M123" i="13" s="1"/>
  <c r="N123" i="13" s="1"/>
  <c r="O123" i="13" s="1"/>
  <c r="P123" i="13" s="1"/>
  <c r="Q123" i="13" s="1"/>
  <c r="R123" i="13" s="1"/>
  <c r="S123" i="13" s="1"/>
  <c r="T123" i="13" s="1"/>
  <c r="U123" i="13" s="1"/>
  <c r="V123" i="13" s="1"/>
  <c r="W123" i="13" s="1"/>
  <c r="X123" i="13" s="1"/>
  <c r="Y123" i="13" s="1"/>
  <c r="Z123" i="13" s="1"/>
  <c r="AA123" i="13" s="1"/>
  <c r="AB123" i="13" s="1"/>
  <c r="AC123" i="13" s="1"/>
  <c r="AD123" i="13" s="1"/>
  <c r="AE123" i="13" s="1"/>
  <c r="AF123" i="13" s="1"/>
  <c r="AG123" i="13" s="1"/>
  <c r="AH123" i="13" s="1"/>
  <c r="AI123" i="13" s="1"/>
  <c r="AJ123" i="13" s="1"/>
  <c r="AJ188" i="13"/>
  <c r="G188" i="16" s="1"/>
  <c r="AJ210" i="13"/>
  <c r="G210" i="16" s="1"/>
  <c r="AJ158" i="13"/>
  <c r="G158" i="16" s="1"/>
  <c r="AJ189" i="13"/>
  <c r="G189" i="16" s="1"/>
  <c r="AJ171" i="13"/>
  <c r="G171" i="16" s="1"/>
  <c r="AJ209" i="13"/>
  <c r="G209" i="16" s="1"/>
  <c r="AJ39" i="13"/>
  <c r="G39" i="16" s="1"/>
  <c r="AJ46" i="13"/>
  <c r="G46" i="16" s="1"/>
  <c r="AJ63" i="13"/>
  <c r="G63" i="16" s="1"/>
  <c r="AJ38" i="13"/>
  <c r="G38" i="16" s="1"/>
  <c r="E51" i="13"/>
  <c r="F51" i="13" s="1"/>
  <c r="G51" i="13" s="1"/>
  <c r="H51" i="13" s="1"/>
  <c r="I51" i="13" s="1"/>
  <c r="J51" i="13" s="1"/>
  <c r="K51" i="13" s="1"/>
  <c r="L51" i="13" s="1"/>
  <c r="M51" i="13" s="1"/>
  <c r="N51" i="13" s="1"/>
  <c r="O51" i="13" s="1"/>
  <c r="P51" i="13" s="1"/>
  <c r="Q51" i="13" s="1"/>
  <c r="R51" i="13" s="1"/>
  <c r="S51" i="13" s="1"/>
  <c r="T51" i="13" s="1"/>
  <c r="U51" i="13" s="1"/>
  <c r="V51" i="13" s="1"/>
  <c r="W51" i="13" s="1"/>
  <c r="X51" i="13" s="1"/>
  <c r="Y51" i="13" s="1"/>
  <c r="Z51" i="13" s="1"/>
  <c r="AA51" i="13" s="1"/>
  <c r="AB51" i="13" s="1"/>
  <c r="AC51" i="13" s="1"/>
  <c r="AD51" i="13" s="1"/>
  <c r="AE51" i="13" s="1"/>
  <c r="AF51" i="13" s="1"/>
  <c r="AG51" i="13" s="1"/>
  <c r="AH51" i="13" s="1"/>
  <c r="AI51" i="13" s="1"/>
  <c r="AJ51" i="13" s="1"/>
  <c r="AJ60" i="13"/>
  <c r="G60" i="16" s="1"/>
  <c r="AJ97" i="13"/>
  <c r="G97" i="16" s="1"/>
  <c r="AJ118" i="13"/>
  <c r="G118" i="16" s="1"/>
  <c r="AJ135" i="13"/>
  <c r="G135" i="16" s="1"/>
  <c r="AJ102" i="13"/>
  <c r="G102" i="16" s="1"/>
  <c r="AJ192" i="13"/>
  <c r="G192" i="16" s="1"/>
  <c r="AJ172" i="13"/>
  <c r="G172" i="16" s="1"/>
  <c r="AJ133" i="13"/>
  <c r="G133" i="16" s="1"/>
  <c r="AJ213" i="13"/>
  <c r="G213" i="16" s="1"/>
  <c r="E115" i="11"/>
  <c r="H115" i="11"/>
  <c r="N115" i="11"/>
  <c r="S115" i="11"/>
  <c r="X115" i="11"/>
  <c r="AD115" i="11"/>
  <c r="AI115" i="11"/>
  <c r="G99" i="11"/>
  <c r="N99" i="11"/>
  <c r="U99" i="11"/>
  <c r="AC99" i="11"/>
  <c r="AH99" i="11"/>
  <c r="H97" i="11"/>
  <c r="O97" i="11"/>
  <c r="W97" i="11"/>
  <c r="AC97" i="11"/>
  <c r="E86" i="11"/>
  <c r="I86" i="11"/>
  <c r="AD86" i="11"/>
  <c r="I84" i="11"/>
  <c r="M84" i="11"/>
  <c r="S84" i="11"/>
  <c r="F66" i="11"/>
  <c r="J66" i="11"/>
  <c r="N66" i="11"/>
  <c r="R66" i="11"/>
  <c r="V66" i="11"/>
  <c r="Z66" i="11"/>
  <c r="AD66" i="11"/>
  <c r="AH66" i="11"/>
  <c r="G66" i="11"/>
  <c r="K66" i="11"/>
  <c r="O66" i="11"/>
  <c r="S66" i="11"/>
  <c r="W66" i="11"/>
  <c r="AA66" i="11"/>
  <c r="AE66" i="11"/>
  <c r="AI66" i="11"/>
  <c r="E62" i="11"/>
  <c r="I62" i="11"/>
  <c r="M62" i="11"/>
  <c r="Q62" i="11"/>
  <c r="U62" i="11"/>
  <c r="Y62" i="11"/>
  <c r="AC62" i="11"/>
  <c r="AG62" i="11"/>
  <c r="F62" i="11"/>
  <c r="J62" i="11"/>
  <c r="N62" i="11"/>
  <c r="R62" i="11"/>
  <c r="V62" i="11"/>
  <c r="Z62" i="11"/>
  <c r="AD62" i="11"/>
  <c r="AH62" i="11"/>
  <c r="E44" i="11"/>
  <c r="I44" i="11"/>
  <c r="M44" i="11"/>
  <c r="Q44" i="11"/>
  <c r="U44" i="11"/>
  <c r="Y44" i="11"/>
  <c r="AC44" i="11"/>
  <c r="AG44" i="11"/>
  <c r="F44" i="11"/>
  <c r="J44" i="11"/>
  <c r="N44" i="11"/>
  <c r="R44" i="11"/>
  <c r="V44" i="11"/>
  <c r="Z44" i="11"/>
  <c r="AD44" i="11"/>
  <c r="AH44" i="11"/>
  <c r="E40" i="11"/>
  <c r="I40" i="11"/>
  <c r="M40" i="11"/>
  <c r="Q40" i="11"/>
  <c r="U40" i="11"/>
  <c r="Y40" i="11"/>
  <c r="AC40" i="11"/>
  <c r="AG40" i="11"/>
  <c r="F40" i="11"/>
  <c r="J40" i="11"/>
  <c r="N40" i="11"/>
  <c r="R40" i="11"/>
  <c r="V40" i="11"/>
  <c r="Z40" i="11"/>
  <c r="AD40" i="11"/>
  <c r="AH40" i="11"/>
  <c r="AJ15" i="11"/>
  <c r="N176" i="12"/>
  <c r="AI176" i="12"/>
  <c r="S176" i="12"/>
  <c r="H176" i="12"/>
  <c r="AD176" i="12"/>
  <c r="F158" i="12"/>
  <c r="G158" i="12"/>
  <c r="L158" i="12"/>
  <c r="Q158" i="12"/>
  <c r="W158" i="12"/>
  <c r="AB158" i="12"/>
  <c r="AG158" i="12"/>
  <c r="H158" i="12"/>
  <c r="M158" i="12"/>
  <c r="S158" i="12"/>
  <c r="X158" i="12"/>
  <c r="AC158" i="12"/>
  <c r="AI158" i="12"/>
  <c r="E158" i="12"/>
  <c r="K158" i="12"/>
  <c r="P158" i="12"/>
  <c r="U158" i="12"/>
  <c r="AA158" i="12"/>
  <c r="AF158" i="12"/>
  <c r="G153" i="12"/>
  <c r="K153" i="12"/>
  <c r="O153" i="12"/>
  <c r="S153" i="12"/>
  <c r="W153" i="12"/>
  <c r="AA153" i="12"/>
  <c r="AE153" i="12"/>
  <c r="AI153" i="12"/>
  <c r="F153" i="12"/>
  <c r="L153" i="12"/>
  <c r="Q153" i="12"/>
  <c r="V153" i="12"/>
  <c r="AB153" i="12"/>
  <c r="AG153" i="12"/>
  <c r="H153" i="12"/>
  <c r="M153" i="12"/>
  <c r="R153" i="12"/>
  <c r="X153" i="12"/>
  <c r="AC153" i="12"/>
  <c r="AH153" i="12"/>
  <c r="E153" i="12"/>
  <c r="J153" i="12"/>
  <c r="P153" i="12"/>
  <c r="U153" i="12"/>
  <c r="Z153" i="12"/>
  <c r="AF153" i="12"/>
  <c r="AI209" i="11"/>
  <c r="AA207" i="11"/>
  <c r="S207" i="11"/>
  <c r="K207" i="11"/>
  <c r="AD188" i="11"/>
  <c r="N188" i="11"/>
  <c r="AE177" i="11"/>
  <c r="W177" i="11"/>
  <c r="O177" i="11"/>
  <c r="G177" i="11"/>
  <c r="AC176" i="11"/>
  <c r="K176" i="11"/>
  <c r="AE174" i="11"/>
  <c r="W174" i="11"/>
  <c r="O174" i="11"/>
  <c r="K174" i="11"/>
  <c r="G174" i="11"/>
  <c r="AF172" i="11"/>
  <c r="V172" i="11"/>
  <c r="AA155" i="11"/>
  <c r="AI141" i="11"/>
  <c r="AC141" i="11"/>
  <c r="X141" i="11"/>
  <c r="S141" i="11"/>
  <c r="M141" i="11"/>
  <c r="H141" i="11"/>
  <c r="AH139" i="11"/>
  <c r="Z139" i="11"/>
  <c r="R139" i="11"/>
  <c r="J139" i="11"/>
  <c r="AH137" i="11"/>
  <c r="AC137" i="11"/>
  <c r="X137" i="11"/>
  <c r="S137" i="11"/>
  <c r="M137" i="11"/>
  <c r="H137" i="11"/>
  <c r="AG122" i="11"/>
  <c r="W122" i="11"/>
  <c r="L122" i="11"/>
  <c r="E117" i="11"/>
  <c r="I117" i="11"/>
  <c r="M117" i="11"/>
  <c r="Q117" i="11"/>
  <c r="U117" i="11"/>
  <c r="Y117" i="11"/>
  <c r="AC117" i="11"/>
  <c r="AG117" i="11"/>
  <c r="AE115" i="11"/>
  <c r="W115" i="11"/>
  <c r="P115" i="11"/>
  <c r="J115" i="11"/>
  <c r="F114" i="11"/>
  <c r="E114" i="11"/>
  <c r="M114" i="11"/>
  <c r="U114" i="11"/>
  <c r="AC114" i="11"/>
  <c r="F101" i="11"/>
  <c r="G101" i="11"/>
  <c r="O101" i="11"/>
  <c r="W101" i="11"/>
  <c r="AE101" i="11"/>
  <c r="AD99" i="11"/>
  <c r="S99" i="11"/>
  <c r="J99" i="11"/>
  <c r="AE97" i="11"/>
  <c r="T97" i="11"/>
  <c r="L97" i="11"/>
  <c r="Y86" i="11"/>
  <c r="AC84" i="11"/>
  <c r="F82" i="11"/>
  <c r="J82" i="11"/>
  <c r="N82" i="11"/>
  <c r="R82" i="11"/>
  <c r="V82" i="11"/>
  <c r="Z82" i="11"/>
  <c r="AD82" i="11"/>
  <c r="AH82" i="11"/>
  <c r="G82" i="11"/>
  <c r="K82" i="11"/>
  <c r="O82" i="11"/>
  <c r="S82" i="11"/>
  <c r="W82" i="11"/>
  <c r="AA82" i="11"/>
  <c r="AE82" i="11"/>
  <c r="AI82" i="11"/>
  <c r="AG66" i="11"/>
  <c r="Y66" i="11"/>
  <c r="Q66" i="11"/>
  <c r="I66" i="11"/>
  <c r="E65" i="11"/>
  <c r="J65" i="11"/>
  <c r="O65" i="11"/>
  <c r="U65" i="11"/>
  <c r="Z65" i="11"/>
  <c r="AE65" i="11"/>
  <c r="F65" i="11"/>
  <c r="K65" i="11"/>
  <c r="Q65" i="11"/>
  <c r="V65" i="11"/>
  <c r="AA65" i="11"/>
  <c r="AG65" i="11"/>
  <c r="AI62" i="11"/>
  <c r="AA62" i="11"/>
  <c r="S62" i="11"/>
  <c r="K62" i="11"/>
  <c r="F50" i="11"/>
  <c r="J50" i="11"/>
  <c r="N50" i="11"/>
  <c r="R50" i="11"/>
  <c r="V50" i="11"/>
  <c r="Z50" i="11"/>
  <c r="AD50" i="11"/>
  <c r="AH50" i="11"/>
  <c r="G50" i="11"/>
  <c r="K50" i="11"/>
  <c r="O50" i="11"/>
  <c r="S50" i="11"/>
  <c r="W50" i="11"/>
  <c r="AA50" i="11"/>
  <c r="AE50" i="11"/>
  <c r="AI50" i="11"/>
  <c r="AI44" i="11"/>
  <c r="AA44" i="11"/>
  <c r="S44" i="11"/>
  <c r="K44" i="11"/>
  <c r="AI40" i="11"/>
  <c r="AA40" i="11"/>
  <c r="S40" i="11"/>
  <c r="K40" i="11"/>
  <c r="F190" i="12"/>
  <c r="N190" i="12"/>
  <c r="U190" i="12"/>
  <c r="AA190" i="12"/>
  <c r="AI190" i="12"/>
  <c r="I190" i="12"/>
  <c r="O190" i="12"/>
  <c r="V190" i="12"/>
  <c r="AD190" i="12"/>
  <c r="E190" i="12"/>
  <c r="K190" i="12"/>
  <c r="S190" i="12"/>
  <c r="Z190" i="12"/>
  <c r="AG190" i="12"/>
  <c r="T158" i="12"/>
  <c r="T153" i="12"/>
  <c r="AE207" i="11"/>
  <c r="AE193" i="11"/>
  <c r="O193" i="11"/>
  <c r="AI188" i="11"/>
  <c r="S188" i="11"/>
  <c r="AI177" i="11"/>
  <c r="AA177" i="11"/>
  <c r="S177" i="11"/>
  <c r="K177" i="11"/>
  <c r="U176" i="11"/>
  <c r="AI174" i="11"/>
  <c r="AA174" i="11"/>
  <c r="S174" i="11"/>
  <c r="AD207" i="11"/>
  <c r="V207" i="11"/>
  <c r="N207" i="11"/>
  <c r="F207" i="11"/>
  <c r="O206" i="11"/>
  <c r="AG195" i="11"/>
  <c r="Y195" i="11"/>
  <c r="Q195" i="11"/>
  <c r="I195" i="11"/>
  <c r="AA193" i="11"/>
  <c r="K193" i="11"/>
  <c r="AI192" i="11"/>
  <c r="AD192" i="11"/>
  <c r="X192" i="11"/>
  <c r="S192" i="11"/>
  <c r="N192" i="11"/>
  <c r="H192" i="11"/>
  <c r="AI190" i="11"/>
  <c r="AE190" i="11"/>
  <c r="AA190" i="11"/>
  <c r="W190" i="11"/>
  <c r="S190" i="11"/>
  <c r="O190" i="11"/>
  <c r="K190" i="11"/>
  <c r="G190" i="11"/>
  <c r="AH188" i="11"/>
  <c r="AB188" i="11"/>
  <c r="W188" i="11"/>
  <c r="R188" i="11"/>
  <c r="L188" i="11"/>
  <c r="G188" i="11"/>
  <c r="AE187" i="11"/>
  <c r="O187" i="11"/>
  <c r="AH177" i="11"/>
  <c r="AD177" i="11"/>
  <c r="Z177" i="11"/>
  <c r="V177" i="11"/>
  <c r="R177" i="11"/>
  <c r="N177" i="11"/>
  <c r="J177" i="11"/>
  <c r="F177" i="11"/>
  <c r="AI176" i="11"/>
  <c r="AA176" i="11"/>
  <c r="S176" i="11"/>
  <c r="H176" i="11"/>
  <c r="AH174" i="11"/>
  <c r="AD174" i="11"/>
  <c r="Z174" i="11"/>
  <c r="V174" i="11"/>
  <c r="R174" i="11"/>
  <c r="N174" i="11"/>
  <c r="J174" i="11"/>
  <c r="F174" i="11"/>
  <c r="AD172" i="11"/>
  <c r="S172" i="11"/>
  <c r="H172" i="11"/>
  <c r="AI171" i="11"/>
  <c r="AC171" i="11"/>
  <c r="X171" i="11"/>
  <c r="S171" i="11"/>
  <c r="M171" i="11"/>
  <c r="H171" i="11"/>
  <c r="AH169" i="11"/>
  <c r="Z169" i="11"/>
  <c r="R169" i="11"/>
  <c r="J169" i="11"/>
  <c r="AI168" i="11"/>
  <c r="AA168" i="11"/>
  <c r="S168" i="11"/>
  <c r="K168" i="11"/>
  <c r="AI157" i="11"/>
  <c r="AE157" i="11"/>
  <c r="AA157" i="11"/>
  <c r="W157" i="11"/>
  <c r="S157" i="11"/>
  <c r="O157" i="11"/>
  <c r="K157" i="11"/>
  <c r="G157" i="11"/>
  <c r="S155" i="11"/>
  <c r="AI154" i="11"/>
  <c r="AC154" i="11"/>
  <c r="X154" i="11"/>
  <c r="S154" i="11"/>
  <c r="M154" i="11"/>
  <c r="H154" i="11"/>
  <c r="AH152" i="11"/>
  <c r="Z152" i="11"/>
  <c r="R152" i="11"/>
  <c r="J152" i="11"/>
  <c r="AG141" i="11"/>
  <c r="AB141" i="11"/>
  <c r="W141" i="11"/>
  <c r="Q141" i="11"/>
  <c r="L141" i="11"/>
  <c r="G141" i="11"/>
  <c r="AE139" i="11"/>
  <c r="W139" i="11"/>
  <c r="O139" i="11"/>
  <c r="G139" i="11"/>
  <c r="AE138" i="11"/>
  <c r="O138" i="11"/>
  <c r="AG137" i="11"/>
  <c r="AB137" i="11"/>
  <c r="W137" i="11"/>
  <c r="Q137" i="11"/>
  <c r="L137" i="11"/>
  <c r="G137" i="11"/>
  <c r="AH135" i="11"/>
  <c r="AC135" i="11"/>
  <c r="W135" i="11"/>
  <c r="R135" i="11"/>
  <c r="M135" i="11"/>
  <c r="G135" i="11"/>
  <c r="AI132" i="11"/>
  <c r="AE132" i="11"/>
  <c r="AA132" i="11"/>
  <c r="W132" i="11"/>
  <c r="S132" i="11"/>
  <c r="O132" i="11"/>
  <c r="K132" i="11"/>
  <c r="G132" i="11"/>
  <c r="AC122" i="11"/>
  <c r="S122" i="11"/>
  <c r="H122" i="11"/>
  <c r="I120" i="11"/>
  <c r="N120" i="11"/>
  <c r="AI117" i="11"/>
  <c r="AD117" i="11"/>
  <c r="X117" i="11"/>
  <c r="S117" i="11"/>
  <c r="N117" i="11"/>
  <c r="H117" i="11"/>
  <c r="AI116" i="11"/>
  <c r="AB115" i="11"/>
  <c r="V115" i="11"/>
  <c r="O115" i="11"/>
  <c r="G115" i="11"/>
  <c r="AG114" i="11"/>
  <c r="W114" i="11"/>
  <c r="K114" i="11"/>
  <c r="G103" i="11"/>
  <c r="S103" i="11"/>
  <c r="AG101" i="11"/>
  <c r="U101" i="11"/>
  <c r="K101" i="11"/>
  <c r="AI99" i="11"/>
  <c r="Z99" i="11"/>
  <c r="R99" i="11"/>
  <c r="I99" i="11"/>
  <c r="AB97" i="11"/>
  <c r="S97" i="11"/>
  <c r="I97" i="11"/>
  <c r="E96" i="11"/>
  <c r="I96" i="11"/>
  <c r="M96" i="11"/>
  <c r="Q96" i="11"/>
  <c r="U96" i="11"/>
  <c r="Y96" i="11"/>
  <c r="AC96" i="11"/>
  <c r="AG96" i="11"/>
  <c r="S86" i="11"/>
  <c r="X84" i="11"/>
  <c r="AG82" i="11"/>
  <c r="Y82" i="11"/>
  <c r="Q82" i="11"/>
  <c r="I82" i="11"/>
  <c r="E71" i="11"/>
  <c r="K71" i="11"/>
  <c r="P71" i="11"/>
  <c r="U71" i="11"/>
  <c r="AA71" i="11"/>
  <c r="AF71" i="11"/>
  <c r="G71" i="11"/>
  <c r="L71" i="11"/>
  <c r="Q71" i="11"/>
  <c r="W71" i="11"/>
  <c r="AB71" i="11"/>
  <c r="AG71" i="11"/>
  <c r="F69" i="11"/>
  <c r="K69" i="11"/>
  <c r="Q69" i="11"/>
  <c r="V69" i="11"/>
  <c r="AA69" i="11"/>
  <c r="AG69" i="11"/>
  <c r="G69" i="11"/>
  <c r="M69" i="11"/>
  <c r="R69" i="11"/>
  <c r="W69" i="11"/>
  <c r="AC69" i="11"/>
  <c r="AH69" i="11"/>
  <c r="AF66" i="11"/>
  <c r="X66" i="11"/>
  <c r="P66" i="11"/>
  <c r="H66" i="11"/>
  <c r="AH65" i="11"/>
  <c r="W65" i="11"/>
  <c r="M65" i="11"/>
  <c r="G64" i="11"/>
  <c r="L64" i="11"/>
  <c r="R64" i="11"/>
  <c r="W64" i="11"/>
  <c r="AB64" i="11"/>
  <c r="AH64" i="11"/>
  <c r="H64" i="11"/>
  <c r="N64" i="11"/>
  <c r="S64" i="11"/>
  <c r="X64" i="11"/>
  <c r="AD64" i="11"/>
  <c r="AI64" i="11"/>
  <c r="AF62" i="11"/>
  <c r="X62" i="11"/>
  <c r="P62" i="11"/>
  <c r="H62" i="11"/>
  <c r="G60" i="11"/>
  <c r="O60" i="11"/>
  <c r="W60" i="11"/>
  <c r="AE60" i="11"/>
  <c r="J60" i="11"/>
  <c r="R60" i="11"/>
  <c r="Z60" i="11"/>
  <c r="AH60" i="11"/>
  <c r="AG50" i="11"/>
  <c r="Y50" i="11"/>
  <c r="Q50" i="11"/>
  <c r="I50" i="11"/>
  <c r="H49" i="11"/>
  <c r="E49" i="11"/>
  <c r="J49" i="11"/>
  <c r="O49" i="11"/>
  <c r="U49" i="11"/>
  <c r="Z49" i="11"/>
  <c r="AE49" i="11"/>
  <c r="F49" i="11"/>
  <c r="K49" i="11"/>
  <c r="Q49" i="11"/>
  <c r="V49" i="11"/>
  <c r="AA49" i="11"/>
  <c r="AG49" i="11"/>
  <c r="F46" i="11"/>
  <c r="J46" i="11"/>
  <c r="N46" i="11"/>
  <c r="R46" i="11"/>
  <c r="V46" i="11"/>
  <c r="Z46" i="11"/>
  <c r="AD46" i="11"/>
  <c r="AH46" i="11"/>
  <c r="G46" i="11"/>
  <c r="K46" i="11"/>
  <c r="O46" i="11"/>
  <c r="S46" i="11"/>
  <c r="W46" i="11"/>
  <c r="AA46" i="11"/>
  <c r="AE46" i="11"/>
  <c r="AI46" i="11"/>
  <c r="AF44" i="11"/>
  <c r="X44" i="11"/>
  <c r="P44" i="11"/>
  <c r="H44" i="11"/>
  <c r="AF40" i="11"/>
  <c r="X40" i="11"/>
  <c r="P40" i="11"/>
  <c r="H40" i="11"/>
  <c r="AJ14" i="11"/>
  <c r="Y190" i="12"/>
  <c r="O158" i="12"/>
  <c r="N153" i="12"/>
  <c r="AD209" i="11"/>
  <c r="X209" i="11"/>
  <c r="S209" i="11"/>
  <c r="N209" i="11"/>
  <c r="H209" i="11"/>
  <c r="AI207" i="11"/>
  <c r="W207" i="11"/>
  <c r="O207" i="11"/>
  <c r="G207" i="11"/>
  <c r="X188" i="11"/>
  <c r="H188" i="11"/>
  <c r="K172" i="11"/>
  <c r="AG212" i="11"/>
  <c r="Y212" i="11"/>
  <c r="Q212" i="11"/>
  <c r="I212" i="11"/>
  <c r="AH209" i="11"/>
  <c r="AB209" i="11"/>
  <c r="W209" i="11"/>
  <c r="R209" i="11"/>
  <c r="L209" i="11"/>
  <c r="G209" i="11"/>
  <c r="AH207" i="11"/>
  <c r="Z207" i="11"/>
  <c r="R207" i="11"/>
  <c r="J207" i="11"/>
  <c r="AE206" i="11"/>
  <c r="AE212" i="11"/>
  <c r="W212" i="11"/>
  <c r="O212" i="11"/>
  <c r="G212" i="11"/>
  <c r="AF209" i="11"/>
  <c r="AA209" i="11"/>
  <c r="V209" i="11"/>
  <c r="P209" i="11"/>
  <c r="K209" i="11"/>
  <c r="F209" i="11"/>
  <c r="AG208" i="11"/>
  <c r="Y208" i="11"/>
  <c r="Q208" i="11"/>
  <c r="I208" i="11"/>
  <c r="AG207" i="11"/>
  <c r="AC207" i="11"/>
  <c r="Y207" i="11"/>
  <c r="U207" i="11"/>
  <c r="Q207" i="11"/>
  <c r="M207" i="11"/>
  <c r="I207" i="11"/>
  <c r="AA206" i="11"/>
  <c r="K206" i="11"/>
  <c r="AE195" i="11"/>
  <c r="W195" i="11"/>
  <c r="O195" i="11"/>
  <c r="G195" i="11"/>
  <c r="W193" i="11"/>
  <c r="G193" i="11"/>
  <c r="AH192" i="11"/>
  <c r="AB192" i="11"/>
  <c r="W192" i="11"/>
  <c r="R192" i="11"/>
  <c r="L192" i="11"/>
  <c r="G192" i="11"/>
  <c r="AH190" i="11"/>
  <c r="AD190" i="11"/>
  <c r="Z190" i="11"/>
  <c r="V190" i="11"/>
  <c r="R190" i="11"/>
  <c r="N190" i="11"/>
  <c r="J190" i="11"/>
  <c r="AF188" i="11"/>
  <c r="AA188" i="11"/>
  <c r="V188" i="11"/>
  <c r="P188" i="11"/>
  <c r="K188" i="11"/>
  <c r="F188" i="11"/>
  <c r="AA187" i="11"/>
  <c r="K187" i="11"/>
  <c r="AG177" i="11"/>
  <c r="AC177" i="11"/>
  <c r="Y177" i="11"/>
  <c r="U177" i="11"/>
  <c r="Q177" i="11"/>
  <c r="M177" i="11"/>
  <c r="I177" i="11"/>
  <c r="AG176" i="11"/>
  <c r="Y176" i="11"/>
  <c r="P176" i="11"/>
  <c r="F176" i="11"/>
  <c r="AF175" i="11"/>
  <c r="U175" i="11"/>
  <c r="K175" i="11"/>
  <c r="AG174" i="11"/>
  <c r="AC174" i="11"/>
  <c r="Y174" i="11"/>
  <c r="U174" i="11"/>
  <c r="Q174" i="11"/>
  <c r="M174" i="11"/>
  <c r="I174" i="11"/>
  <c r="AG173" i="11"/>
  <c r="V173" i="11"/>
  <c r="K173" i="11"/>
  <c r="AA172" i="11"/>
  <c r="P172" i="11"/>
  <c r="F172" i="11"/>
  <c r="AG171" i="11"/>
  <c r="AB171" i="11"/>
  <c r="W171" i="11"/>
  <c r="Q171" i="11"/>
  <c r="L171" i="11"/>
  <c r="G171" i="11"/>
  <c r="AE169" i="11"/>
  <c r="W169" i="11"/>
  <c r="O169" i="11"/>
  <c r="AF168" i="11"/>
  <c r="X168" i="11"/>
  <c r="P168" i="11"/>
  <c r="AH157" i="11"/>
  <c r="AD157" i="11"/>
  <c r="Z157" i="11"/>
  <c r="V157" i="11"/>
  <c r="R157" i="11"/>
  <c r="N157" i="11"/>
  <c r="J157" i="11"/>
  <c r="K155" i="11"/>
  <c r="AG154" i="11"/>
  <c r="AB154" i="11"/>
  <c r="W154" i="11"/>
  <c r="Q154" i="11"/>
  <c r="L154" i="11"/>
  <c r="G154" i="11"/>
  <c r="AE152" i="11"/>
  <c r="W152" i="11"/>
  <c r="O152" i="11"/>
  <c r="G152" i="11"/>
  <c r="AE151" i="11"/>
  <c r="AF141" i="11"/>
  <c r="AA141" i="11"/>
  <c r="U141" i="11"/>
  <c r="P141" i="11"/>
  <c r="K141" i="11"/>
  <c r="E141" i="11"/>
  <c r="AI140" i="11"/>
  <c r="AE140" i="11"/>
  <c r="AA140" i="11"/>
  <c r="W140" i="11"/>
  <c r="S140" i="11"/>
  <c r="O140" i="11"/>
  <c r="K140" i="11"/>
  <c r="AD139" i="11"/>
  <c r="V139" i="11"/>
  <c r="N139" i="11"/>
  <c r="F139" i="11"/>
  <c r="AA138" i="11"/>
  <c r="K138" i="11"/>
  <c r="AF137" i="11"/>
  <c r="AA137" i="11"/>
  <c r="U137" i="11"/>
  <c r="P137" i="11"/>
  <c r="K137" i="11"/>
  <c r="AI136" i="11"/>
  <c r="AE136" i="11"/>
  <c r="AA136" i="11"/>
  <c r="W136" i="11"/>
  <c r="S136" i="11"/>
  <c r="O136" i="11"/>
  <c r="K136" i="11"/>
  <c r="AG135" i="11"/>
  <c r="AA135" i="11"/>
  <c r="V135" i="11"/>
  <c r="Q135" i="11"/>
  <c r="K135" i="11"/>
  <c r="AI134" i="11"/>
  <c r="AD134" i="11"/>
  <c r="X134" i="11"/>
  <c r="S134" i="11"/>
  <c r="N134" i="11"/>
  <c r="AH132" i="11"/>
  <c r="AD132" i="11"/>
  <c r="Z132" i="11"/>
  <c r="V132" i="11"/>
  <c r="R132" i="11"/>
  <c r="N132" i="11"/>
  <c r="J132" i="11"/>
  <c r="AB122" i="11"/>
  <c r="Q122" i="11"/>
  <c r="AI120" i="11"/>
  <c r="I118" i="11"/>
  <c r="Q118" i="11"/>
  <c r="X118" i="11"/>
  <c r="AF118" i="11"/>
  <c r="AH117" i="11"/>
  <c r="AB117" i="11"/>
  <c r="W117" i="11"/>
  <c r="R117" i="11"/>
  <c r="L117" i="11"/>
  <c r="G117" i="11"/>
  <c r="AA116" i="11"/>
  <c r="AH115" i="11"/>
  <c r="AA115" i="11"/>
  <c r="T115" i="11"/>
  <c r="L115" i="11"/>
  <c r="F115" i="11"/>
  <c r="AE114" i="11"/>
  <c r="S114" i="11"/>
  <c r="I114" i="11"/>
  <c r="G113" i="11"/>
  <c r="K113" i="11"/>
  <c r="O113" i="11"/>
  <c r="S113" i="11"/>
  <c r="W113" i="11"/>
  <c r="AA113" i="11"/>
  <c r="AE113" i="11"/>
  <c r="AI113" i="11"/>
  <c r="AA103" i="11"/>
  <c r="AC101" i="11"/>
  <c r="S101" i="11"/>
  <c r="I101" i="11"/>
  <c r="AG99" i="11"/>
  <c r="Y99" i="11"/>
  <c r="O99" i="11"/>
  <c r="E99" i="11"/>
  <c r="AI97" i="11"/>
  <c r="Y97" i="11"/>
  <c r="Q97" i="11"/>
  <c r="G97" i="11"/>
  <c r="N86" i="11"/>
  <c r="H84" i="11"/>
  <c r="AF82" i="11"/>
  <c r="X82" i="11"/>
  <c r="P82" i="11"/>
  <c r="H82" i="11"/>
  <c r="AC66" i="11"/>
  <c r="U66" i="11"/>
  <c r="M66" i="11"/>
  <c r="E66" i="11"/>
  <c r="AD65" i="11"/>
  <c r="S65" i="11"/>
  <c r="I65" i="11"/>
  <c r="AE62" i="11"/>
  <c r="W62" i="11"/>
  <c r="O62" i="11"/>
  <c r="G62" i="11"/>
  <c r="AF50" i="11"/>
  <c r="X50" i="11"/>
  <c r="P50" i="11"/>
  <c r="H50" i="11"/>
  <c r="AE44" i="11"/>
  <c r="W44" i="11"/>
  <c r="O44" i="11"/>
  <c r="G44" i="11"/>
  <c r="AE40" i="11"/>
  <c r="W40" i="11"/>
  <c r="O40" i="11"/>
  <c r="G40" i="11"/>
  <c r="H192" i="12"/>
  <c r="O192" i="12"/>
  <c r="U192" i="12"/>
  <c r="AC192" i="12"/>
  <c r="I192" i="12"/>
  <c r="P192" i="12"/>
  <c r="X192" i="12"/>
  <c r="AE192" i="12"/>
  <c r="E192" i="12"/>
  <c r="M192" i="12"/>
  <c r="T192" i="12"/>
  <c r="AA192" i="12"/>
  <c r="AI192" i="12"/>
  <c r="Q190" i="12"/>
  <c r="X176" i="12"/>
  <c r="AE158" i="12"/>
  <c r="I158" i="12"/>
  <c r="AD153" i="12"/>
  <c r="I153" i="12"/>
  <c r="F141" i="12"/>
  <c r="G141" i="12"/>
  <c r="L141" i="12"/>
  <c r="Q141" i="12"/>
  <c r="W141" i="12"/>
  <c r="AB141" i="12"/>
  <c r="AG141" i="12"/>
  <c r="H141" i="12"/>
  <c r="M141" i="12"/>
  <c r="S141" i="12"/>
  <c r="X141" i="12"/>
  <c r="AC141" i="12"/>
  <c r="AI141" i="12"/>
  <c r="F120" i="12"/>
  <c r="H120" i="12"/>
  <c r="M120" i="12"/>
  <c r="S120" i="12"/>
  <c r="X120" i="12"/>
  <c r="AC120" i="12"/>
  <c r="AI120" i="12"/>
  <c r="E120" i="12"/>
  <c r="L120" i="12"/>
  <c r="T120" i="12"/>
  <c r="AA120" i="12"/>
  <c r="AG120" i="12"/>
  <c r="G120" i="12"/>
  <c r="P120" i="12"/>
  <c r="Y120" i="12"/>
  <c r="I120" i="12"/>
  <c r="Q120" i="12"/>
  <c r="AB120" i="12"/>
  <c r="K120" i="12"/>
  <c r="U120" i="12"/>
  <c r="AE120" i="12"/>
  <c r="N98" i="12"/>
  <c r="W98" i="12"/>
  <c r="AG98" i="12"/>
  <c r="I98" i="12"/>
  <c r="V98" i="12"/>
  <c r="AI98" i="12"/>
  <c r="K98" i="12"/>
  <c r="AC98" i="12"/>
  <c r="Q98" i="12"/>
  <c r="AD98" i="12"/>
  <c r="R98" i="12"/>
  <c r="E37" i="12"/>
  <c r="O37" i="12"/>
  <c r="Y37" i="12"/>
  <c r="AG37" i="12"/>
  <c r="G37" i="12"/>
  <c r="W37" i="12"/>
  <c r="AI37" i="12"/>
  <c r="K37" i="12"/>
  <c r="AA37" i="12"/>
  <c r="S37" i="12"/>
  <c r="AC37" i="12"/>
  <c r="U37" i="12"/>
  <c r="AE37" i="12"/>
  <c r="F133" i="12"/>
  <c r="E133" i="12"/>
  <c r="K133" i="12"/>
  <c r="P133" i="12"/>
  <c r="U133" i="12"/>
  <c r="AA133" i="12"/>
  <c r="AF133" i="12"/>
  <c r="G133" i="12"/>
  <c r="M133" i="12"/>
  <c r="T133" i="12"/>
  <c r="AB133" i="12"/>
  <c r="AI133" i="12"/>
  <c r="H133" i="12"/>
  <c r="O133" i="12"/>
  <c r="W133" i="12"/>
  <c r="AC133" i="12"/>
  <c r="I133" i="12"/>
  <c r="Q133" i="12"/>
  <c r="X133" i="12"/>
  <c r="AE133" i="12"/>
  <c r="AF120" i="12"/>
  <c r="AF83" i="11"/>
  <c r="AA83" i="11"/>
  <c r="U83" i="11"/>
  <c r="P83" i="11"/>
  <c r="K83" i="11"/>
  <c r="AF72" i="11"/>
  <c r="AA72" i="11"/>
  <c r="V72" i="11"/>
  <c r="P72" i="11"/>
  <c r="K72" i="11"/>
  <c r="AF67" i="11"/>
  <c r="AA67" i="11"/>
  <c r="U67" i="11"/>
  <c r="P67" i="11"/>
  <c r="K67" i="11"/>
  <c r="AE61" i="11"/>
  <c r="Z61" i="11"/>
  <c r="U61" i="11"/>
  <c r="O61" i="11"/>
  <c r="J61" i="11"/>
  <c r="E61" i="11"/>
  <c r="S48" i="11"/>
  <c r="AE47" i="11"/>
  <c r="W47" i="11"/>
  <c r="O47" i="11"/>
  <c r="G47" i="11"/>
  <c r="AE43" i="11"/>
  <c r="Z43" i="11"/>
  <c r="U43" i="11"/>
  <c r="O43" i="11"/>
  <c r="J43" i="11"/>
  <c r="E43" i="11"/>
  <c r="AE37" i="11"/>
  <c r="W37" i="11"/>
  <c r="O37" i="11"/>
  <c r="G37" i="11"/>
  <c r="AG213" i="12"/>
  <c r="AC213" i="12"/>
  <c r="Y213" i="12"/>
  <c r="U213" i="12"/>
  <c r="Q213" i="12"/>
  <c r="M213" i="12"/>
  <c r="I213" i="12"/>
  <c r="AA212" i="12"/>
  <c r="K212" i="12"/>
  <c r="AE211" i="12"/>
  <c r="U211" i="12"/>
  <c r="AD210" i="12"/>
  <c r="S210" i="12"/>
  <c r="H210" i="12"/>
  <c r="AC209" i="12"/>
  <c r="S209" i="12"/>
  <c r="H209" i="12"/>
  <c r="AD207" i="12"/>
  <c r="S207" i="12"/>
  <c r="I207" i="12"/>
  <c r="AE206" i="12"/>
  <c r="T206" i="12"/>
  <c r="J206" i="12"/>
  <c r="AC196" i="12"/>
  <c r="U196" i="12"/>
  <c r="O196" i="12"/>
  <c r="H196" i="12"/>
  <c r="AG194" i="12"/>
  <c r="Z194" i="12"/>
  <c r="S194" i="12"/>
  <c r="K194" i="12"/>
  <c r="AH191" i="12"/>
  <c r="AD191" i="12"/>
  <c r="Z191" i="12"/>
  <c r="V191" i="12"/>
  <c r="R191" i="12"/>
  <c r="N191" i="12"/>
  <c r="J191" i="12"/>
  <c r="F191" i="12"/>
  <c r="AD189" i="12"/>
  <c r="V189" i="12"/>
  <c r="O189" i="12"/>
  <c r="H189" i="12"/>
  <c r="AI188" i="12"/>
  <c r="AA188" i="12"/>
  <c r="T188" i="12"/>
  <c r="M188" i="12"/>
  <c r="AI175" i="12"/>
  <c r="M175" i="12"/>
  <c r="AG171" i="12"/>
  <c r="AB171" i="12"/>
  <c r="W171" i="12"/>
  <c r="Q171" i="12"/>
  <c r="L171" i="12"/>
  <c r="G171" i="12"/>
  <c r="AE168" i="12"/>
  <c r="W168" i="12"/>
  <c r="O168" i="12"/>
  <c r="AG157" i="12"/>
  <c r="AC157" i="12"/>
  <c r="Y157" i="12"/>
  <c r="U157" i="12"/>
  <c r="P157" i="12"/>
  <c r="J157" i="12"/>
  <c r="AI154" i="12"/>
  <c r="AB154" i="12"/>
  <c r="T154" i="12"/>
  <c r="M154" i="12"/>
  <c r="AE141" i="12"/>
  <c r="T141" i="12"/>
  <c r="I141" i="12"/>
  <c r="W120" i="12"/>
  <c r="F114" i="12"/>
  <c r="G114" i="12"/>
  <c r="W114" i="12"/>
  <c r="S114" i="12"/>
  <c r="K114" i="12"/>
  <c r="AI114" i="12"/>
  <c r="O114" i="12"/>
  <c r="AA114" i="12"/>
  <c r="E99" i="12"/>
  <c r="I99" i="12"/>
  <c r="M99" i="12"/>
  <c r="Q99" i="12"/>
  <c r="U99" i="12"/>
  <c r="Y99" i="12"/>
  <c r="AC99" i="12"/>
  <c r="AG99" i="12"/>
  <c r="G99" i="12"/>
  <c r="L99" i="12"/>
  <c r="R99" i="12"/>
  <c r="W99" i="12"/>
  <c r="AB99" i="12"/>
  <c r="AH99" i="12"/>
  <c r="F99" i="12"/>
  <c r="N99" i="12"/>
  <c r="T99" i="12"/>
  <c r="AA99" i="12"/>
  <c r="AI99" i="12"/>
  <c r="H99" i="12"/>
  <c r="O99" i="12"/>
  <c r="V99" i="12"/>
  <c r="AD99" i="12"/>
  <c r="J99" i="12"/>
  <c r="P99" i="12"/>
  <c r="X99" i="12"/>
  <c r="AE99" i="12"/>
  <c r="W212" i="12"/>
  <c r="G212" i="12"/>
  <c r="Z207" i="12"/>
  <c r="O207" i="12"/>
  <c r="E207" i="12"/>
  <c r="AD206" i="12"/>
  <c r="S206" i="12"/>
  <c r="H206" i="12"/>
  <c r="AI196" i="12"/>
  <c r="AA196" i="12"/>
  <c r="T196" i="12"/>
  <c r="M196" i="12"/>
  <c r="AG191" i="12"/>
  <c r="AC191" i="12"/>
  <c r="Y191" i="12"/>
  <c r="U191" i="12"/>
  <c r="Q191" i="12"/>
  <c r="M191" i="12"/>
  <c r="I191" i="12"/>
  <c r="AI189" i="12"/>
  <c r="AA189" i="12"/>
  <c r="T189" i="12"/>
  <c r="N189" i="12"/>
  <c r="AC175" i="12"/>
  <c r="AF171" i="12"/>
  <c r="AA171" i="12"/>
  <c r="U171" i="12"/>
  <c r="P171" i="12"/>
  <c r="K171" i="12"/>
  <c r="E171" i="12"/>
  <c r="G157" i="12"/>
  <c r="K157" i="12"/>
  <c r="O157" i="12"/>
  <c r="S157" i="12"/>
  <c r="F154" i="12"/>
  <c r="E154" i="12"/>
  <c r="K154" i="12"/>
  <c r="P154" i="12"/>
  <c r="U154" i="12"/>
  <c r="AA154" i="12"/>
  <c r="AF154" i="12"/>
  <c r="AA141" i="12"/>
  <c r="P141" i="12"/>
  <c r="E141" i="12"/>
  <c r="E139" i="12"/>
  <c r="G139" i="12"/>
  <c r="W139" i="12"/>
  <c r="K139" i="12"/>
  <c r="AA139" i="12"/>
  <c r="F138" i="12"/>
  <c r="G138" i="12"/>
  <c r="O138" i="12"/>
  <c r="W138" i="12"/>
  <c r="AE138" i="12"/>
  <c r="H138" i="12"/>
  <c r="P138" i="12"/>
  <c r="X138" i="12"/>
  <c r="AF138" i="12"/>
  <c r="E136" i="12"/>
  <c r="I136" i="12"/>
  <c r="M136" i="12"/>
  <c r="Q136" i="12"/>
  <c r="U136" i="12"/>
  <c r="Y136" i="12"/>
  <c r="AC136" i="12"/>
  <c r="F136" i="12"/>
  <c r="K136" i="12"/>
  <c r="P136" i="12"/>
  <c r="V136" i="12"/>
  <c r="AA136" i="12"/>
  <c r="AF136" i="12"/>
  <c r="G136" i="12"/>
  <c r="L136" i="12"/>
  <c r="R136" i="12"/>
  <c r="W136" i="12"/>
  <c r="AB136" i="12"/>
  <c r="AG136" i="12"/>
  <c r="H136" i="12"/>
  <c r="N136" i="12"/>
  <c r="S136" i="12"/>
  <c r="X136" i="12"/>
  <c r="AD136" i="12"/>
  <c r="AH136" i="12"/>
  <c r="S133" i="12"/>
  <c r="O120" i="12"/>
  <c r="Y98" i="12"/>
  <c r="G118" i="12"/>
  <c r="L118" i="12"/>
  <c r="R118" i="12"/>
  <c r="W118" i="12"/>
  <c r="AB118" i="12"/>
  <c r="AH118" i="12"/>
  <c r="F118" i="12"/>
  <c r="N118" i="12"/>
  <c r="T118" i="12"/>
  <c r="AA118" i="12"/>
  <c r="AI118" i="12"/>
  <c r="G113" i="12"/>
  <c r="O113" i="12"/>
  <c r="W113" i="12"/>
  <c r="AE113" i="12"/>
  <c r="L113" i="12"/>
  <c r="X113" i="12"/>
  <c r="AI113" i="12"/>
  <c r="O103" i="12"/>
  <c r="X103" i="12"/>
  <c r="X101" i="12"/>
  <c r="E100" i="12"/>
  <c r="X100" i="12"/>
  <c r="K100" i="12"/>
  <c r="AI137" i="12"/>
  <c r="AC137" i="12"/>
  <c r="X137" i="12"/>
  <c r="S137" i="12"/>
  <c r="M137" i="12"/>
  <c r="H137" i="12"/>
  <c r="G132" i="12"/>
  <c r="K132" i="12"/>
  <c r="O132" i="12"/>
  <c r="S132" i="12"/>
  <c r="W132" i="12"/>
  <c r="AA132" i="12"/>
  <c r="AE132" i="12"/>
  <c r="AI132" i="12"/>
  <c r="E122" i="12"/>
  <c r="G122" i="12"/>
  <c r="W122" i="12"/>
  <c r="F121" i="12"/>
  <c r="H121" i="12"/>
  <c r="N121" i="12"/>
  <c r="S121" i="12"/>
  <c r="J121" i="12"/>
  <c r="P121" i="12"/>
  <c r="W121" i="12"/>
  <c r="AB121" i="12"/>
  <c r="AH121" i="12"/>
  <c r="AE118" i="12"/>
  <c r="V118" i="12"/>
  <c r="K118" i="12"/>
  <c r="O102" i="12"/>
  <c r="S102" i="12"/>
  <c r="AE102" i="12"/>
  <c r="M102" i="12"/>
  <c r="AI102" i="12"/>
  <c r="H101" i="12"/>
  <c r="R101" i="12"/>
  <c r="AB101" i="12"/>
  <c r="G101" i="12"/>
  <c r="V101" i="12"/>
  <c r="AF101" i="12"/>
  <c r="H39" i="12"/>
  <c r="I39" i="12"/>
  <c r="Q39" i="12"/>
  <c r="Y39" i="12"/>
  <c r="AG39" i="12"/>
  <c r="E39" i="12"/>
  <c r="O39" i="12"/>
  <c r="AA39" i="12"/>
  <c r="G39" i="12"/>
  <c r="S39" i="12"/>
  <c r="AC39" i="12"/>
  <c r="K39" i="12"/>
  <c r="U39" i="12"/>
  <c r="AE39" i="12"/>
  <c r="M39" i="12"/>
  <c r="W39" i="12"/>
  <c r="AI39" i="12"/>
  <c r="AG137" i="12"/>
  <c r="AB137" i="12"/>
  <c r="W137" i="12"/>
  <c r="Q137" i="12"/>
  <c r="L137" i="12"/>
  <c r="G137" i="12"/>
  <c r="E135" i="12"/>
  <c r="K135" i="12"/>
  <c r="AA135" i="12"/>
  <c r="AH132" i="12"/>
  <c r="AC132" i="12"/>
  <c r="X132" i="12"/>
  <c r="R132" i="12"/>
  <c r="M132" i="12"/>
  <c r="H132" i="12"/>
  <c r="S122" i="12"/>
  <c r="AD121" i="12"/>
  <c r="V121" i="12"/>
  <c r="L121" i="12"/>
  <c r="E119" i="12"/>
  <c r="I119" i="12"/>
  <c r="M119" i="12"/>
  <c r="Q119" i="12"/>
  <c r="U119" i="12"/>
  <c r="Y119" i="12"/>
  <c r="AC119" i="12"/>
  <c r="AG119" i="12"/>
  <c r="G119" i="12"/>
  <c r="L119" i="12"/>
  <c r="R119" i="12"/>
  <c r="W119" i="12"/>
  <c r="AB119" i="12"/>
  <c r="AH119" i="12"/>
  <c r="AD118" i="12"/>
  <c r="S118" i="12"/>
  <c r="J118" i="12"/>
  <c r="E116" i="12"/>
  <c r="I116" i="12"/>
  <c r="M116" i="12"/>
  <c r="Q116" i="12"/>
  <c r="U116" i="12"/>
  <c r="Y116" i="12"/>
  <c r="AC116" i="12"/>
  <c r="AG116" i="12"/>
  <c r="F116" i="12"/>
  <c r="K116" i="12"/>
  <c r="P116" i="12"/>
  <c r="V116" i="12"/>
  <c r="AA116" i="12"/>
  <c r="AF116" i="12"/>
  <c r="AA113" i="12"/>
  <c r="K113" i="12"/>
  <c r="AI103" i="12"/>
  <c r="X102" i="12"/>
  <c r="AH101" i="12"/>
  <c r="P101" i="12"/>
  <c r="AF100" i="12"/>
  <c r="I96" i="12"/>
  <c r="H96" i="12"/>
  <c r="P96" i="12"/>
  <c r="W96" i="12"/>
  <c r="AC96" i="12"/>
  <c r="E96" i="12"/>
  <c r="M96" i="12"/>
  <c r="X96" i="12"/>
  <c r="AG96" i="12"/>
  <c r="K96" i="12"/>
  <c r="S96" i="12"/>
  <c r="AB96" i="12"/>
  <c r="E85" i="12"/>
  <c r="M85" i="12"/>
  <c r="V85" i="12"/>
  <c r="AC85" i="12"/>
  <c r="AI85" i="12"/>
  <c r="G85" i="12"/>
  <c r="R85" i="12"/>
  <c r="Y85" i="12"/>
  <c r="AG85" i="12"/>
  <c r="I85" i="12"/>
  <c r="AA85" i="12"/>
  <c r="S85" i="12"/>
  <c r="AH85" i="12"/>
  <c r="H117" i="12"/>
  <c r="M117" i="12"/>
  <c r="S117" i="12"/>
  <c r="X117" i="12"/>
  <c r="AC117" i="12"/>
  <c r="AI117" i="12"/>
  <c r="J97" i="12"/>
  <c r="H97" i="12"/>
  <c r="P97" i="12"/>
  <c r="W97" i="12"/>
  <c r="AD97" i="12"/>
  <c r="AB68" i="12"/>
  <c r="R68" i="12"/>
  <c r="I61" i="12"/>
  <c r="Q61" i="12"/>
  <c r="Y61" i="12"/>
  <c r="AG61" i="12"/>
  <c r="E61" i="12"/>
  <c r="O61" i="12"/>
  <c r="AA61" i="12"/>
  <c r="G61" i="12"/>
  <c r="S61" i="12"/>
  <c r="AC61" i="12"/>
  <c r="K61" i="12"/>
  <c r="U61" i="12"/>
  <c r="AE61" i="12"/>
  <c r="E46" i="12"/>
  <c r="F46" i="12"/>
  <c r="K46" i="12"/>
  <c r="P46" i="12"/>
  <c r="V46" i="12"/>
  <c r="AA46" i="12"/>
  <c r="AE46" i="12"/>
  <c r="AI46" i="12"/>
  <c r="G46" i="12"/>
  <c r="N46" i="12"/>
  <c r="T46" i="12"/>
  <c r="AB46" i="12"/>
  <c r="AG46" i="12"/>
  <c r="H46" i="12"/>
  <c r="O46" i="12"/>
  <c r="W46" i="12"/>
  <c r="AC46" i="12"/>
  <c r="AH46" i="12"/>
  <c r="J46" i="12"/>
  <c r="R46" i="12"/>
  <c r="X46" i="12"/>
  <c r="AD46" i="12"/>
  <c r="Q45" i="12"/>
  <c r="O71" i="12"/>
  <c r="AE71" i="12"/>
  <c r="G71" i="12"/>
  <c r="W71" i="12"/>
  <c r="E68" i="12"/>
  <c r="F68" i="12"/>
  <c r="K68" i="12"/>
  <c r="P68" i="12"/>
  <c r="V68" i="12"/>
  <c r="AA68" i="12"/>
  <c r="AF68" i="12"/>
  <c r="H68" i="12"/>
  <c r="N68" i="12"/>
  <c r="S68" i="12"/>
  <c r="X68" i="12"/>
  <c r="AD68" i="12"/>
  <c r="AI68" i="12"/>
  <c r="AG45" i="12"/>
  <c r="K41" i="12"/>
  <c r="S41" i="12"/>
  <c r="AA41" i="12"/>
  <c r="AI41" i="12"/>
  <c r="G41" i="12"/>
  <c r="Q41" i="12"/>
  <c r="AC41" i="12"/>
  <c r="I41" i="12"/>
  <c r="U41" i="12"/>
  <c r="AE41" i="12"/>
  <c r="M41" i="12"/>
  <c r="W41" i="12"/>
  <c r="AG41" i="12"/>
  <c r="AA71" i="12"/>
  <c r="E45" i="12"/>
  <c r="J45" i="12"/>
  <c r="O45" i="12"/>
  <c r="S45" i="12"/>
  <c r="W45" i="12"/>
  <c r="AA45" i="12"/>
  <c r="AE45" i="12"/>
  <c r="AI45" i="12"/>
  <c r="F45" i="12"/>
  <c r="M45" i="12"/>
  <c r="R45" i="12"/>
  <c r="X45" i="12"/>
  <c r="AC45" i="12"/>
  <c r="AH45" i="12"/>
  <c r="G45" i="12"/>
  <c r="N45" i="12"/>
  <c r="T45" i="12"/>
  <c r="Y45" i="12"/>
  <c r="AD45" i="12"/>
  <c r="I45" i="12"/>
  <c r="P45" i="12"/>
  <c r="U45" i="12"/>
  <c r="Z45" i="12"/>
  <c r="AF45" i="12"/>
  <c r="AI62" i="12"/>
  <c r="AB62" i="12"/>
  <c r="T62" i="12"/>
  <c r="N62" i="12"/>
  <c r="AF60" i="12"/>
  <c r="AA60" i="12"/>
  <c r="U60" i="12"/>
  <c r="P60" i="12"/>
  <c r="K60" i="12"/>
  <c r="AA49" i="12"/>
  <c r="Q49" i="12"/>
  <c r="E38" i="12"/>
  <c r="I38" i="12"/>
  <c r="M38" i="12"/>
  <c r="Q38" i="12"/>
  <c r="U38" i="12"/>
  <c r="Y38" i="12"/>
  <c r="AC38" i="12"/>
  <c r="AG38" i="12"/>
  <c r="E28" i="12"/>
  <c r="E62" i="12"/>
  <c r="F62" i="12"/>
  <c r="K62" i="12"/>
  <c r="P62" i="12"/>
  <c r="V62" i="12"/>
  <c r="AA62" i="12"/>
  <c r="AF62" i="12"/>
  <c r="F60" i="12"/>
  <c r="J60" i="12"/>
  <c r="N60" i="12"/>
  <c r="R60" i="12"/>
  <c r="V60" i="12"/>
  <c r="Z60" i="12"/>
  <c r="AD60" i="12"/>
  <c r="AH60" i="12"/>
  <c r="F49" i="12"/>
  <c r="G49" i="12"/>
  <c r="O49" i="12"/>
  <c r="W49" i="12"/>
  <c r="AE49" i="12"/>
  <c r="E40" i="12"/>
  <c r="F40" i="12"/>
  <c r="K40" i="12"/>
  <c r="P40" i="12"/>
  <c r="U40" i="12"/>
  <c r="Y40" i="12"/>
  <c r="AC40" i="12"/>
  <c r="AG40" i="12"/>
  <c r="AI38" i="12"/>
  <c r="AD38" i="12"/>
  <c r="X38" i="12"/>
  <c r="S38" i="12"/>
  <c r="N38" i="12"/>
  <c r="H38" i="12"/>
  <c r="AH86" i="12"/>
  <c r="AD86" i="12"/>
  <c r="Z86" i="12"/>
  <c r="V86" i="12"/>
  <c r="R86" i="12"/>
  <c r="N86" i="12"/>
  <c r="J86" i="12"/>
  <c r="AE83" i="12"/>
  <c r="W83" i="12"/>
  <c r="O83" i="12"/>
  <c r="AH72" i="12"/>
  <c r="AB72" i="12"/>
  <c r="W72" i="12"/>
  <c r="R72" i="12"/>
  <c r="L72" i="12"/>
  <c r="G72" i="12"/>
  <c r="AH70" i="12"/>
  <c r="AD70" i="12"/>
  <c r="Z70" i="12"/>
  <c r="V70" i="12"/>
  <c r="R70" i="12"/>
  <c r="N70" i="12"/>
  <c r="J70" i="12"/>
  <c r="AA67" i="12"/>
  <c r="K67" i="12"/>
  <c r="AH66" i="12"/>
  <c r="Z66" i="12"/>
  <c r="R66" i="12"/>
  <c r="H66" i="12"/>
  <c r="R64" i="12"/>
  <c r="N64" i="12"/>
  <c r="J64" i="12"/>
  <c r="AE62" i="12"/>
  <c r="X62" i="12"/>
  <c r="R62" i="12"/>
  <c r="J62" i="12"/>
  <c r="AI60" i="12"/>
  <c r="AC60" i="12"/>
  <c r="X60" i="12"/>
  <c r="S60" i="12"/>
  <c r="M60" i="12"/>
  <c r="H60" i="12"/>
  <c r="AG49" i="12"/>
  <c r="U49" i="12"/>
  <c r="K49" i="12"/>
  <c r="H47" i="12"/>
  <c r="G47" i="12"/>
  <c r="W47" i="12"/>
  <c r="G44" i="12"/>
  <c r="L44" i="12"/>
  <c r="R44" i="12"/>
  <c r="W44" i="12"/>
  <c r="AB44" i="12"/>
  <c r="AH44" i="12"/>
  <c r="F42" i="12"/>
  <c r="J42" i="12"/>
  <c r="N42" i="12"/>
  <c r="R42" i="12"/>
  <c r="V42" i="12"/>
  <c r="Z42" i="12"/>
  <c r="AD42" i="12"/>
  <c r="AH42" i="12"/>
  <c r="AH38" i="12"/>
  <c r="AB38" i="12"/>
  <c r="W38" i="12"/>
  <c r="R38" i="12"/>
  <c r="L38" i="12"/>
  <c r="G38" i="12"/>
  <c r="AJ14" i="12"/>
  <c r="AJ25" i="12"/>
  <c r="H25" i="16" s="1"/>
  <c r="AJ15" i="12"/>
  <c r="AH212" i="12"/>
  <c r="Z212" i="12"/>
  <c r="N212" i="12"/>
  <c r="F212" i="12"/>
  <c r="H211" i="12"/>
  <c r="L211" i="12"/>
  <c r="P211" i="12"/>
  <c r="T211" i="12"/>
  <c r="X211" i="12"/>
  <c r="AB211" i="12"/>
  <c r="AF211" i="12"/>
  <c r="AG212" i="12"/>
  <c r="AC212" i="12"/>
  <c r="Y212" i="12"/>
  <c r="U212" i="12"/>
  <c r="Q212" i="12"/>
  <c r="M212" i="12"/>
  <c r="I212" i="12"/>
  <c r="E212" i="12"/>
  <c r="AH211" i="12"/>
  <c r="AC211" i="12"/>
  <c r="W211" i="12"/>
  <c r="R211" i="12"/>
  <c r="M211" i="12"/>
  <c r="G211" i="12"/>
  <c r="AH210" i="12"/>
  <c r="AB210" i="12"/>
  <c r="W210" i="12"/>
  <c r="R210" i="12"/>
  <c r="L210" i="12"/>
  <c r="G210" i="12"/>
  <c r="AG209" i="12"/>
  <c r="AB209" i="12"/>
  <c r="W209" i="12"/>
  <c r="Q209" i="12"/>
  <c r="L209" i="12"/>
  <c r="G209" i="12"/>
  <c r="AH207" i="12"/>
  <c r="AC207" i="12"/>
  <c r="W207" i="12"/>
  <c r="R207" i="12"/>
  <c r="M207" i="12"/>
  <c r="G207" i="12"/>
  <c r="AH206" i="12"/>
  <c r="AB206" i="12"/>
  <c r="W206" i="12"/>
  <c r="R206" i="12"/>
  <c r="L206" i="12"/>
  <c r="G206" i="12"/>
  <c r="AD212" i="12"/>
  <c r="V212" i="12"/>
  <c r="R212" i="12"/>
  <c r="J212" i="12"/>
  <c r="AF212" i="12"/>
  <c r="AB212" i="12"/>
  <c r="X212" i="12"/>
  <c r="T212" i="12"/>
  <c r="P212" i="12"/>
  <c r="L212" i="12"/>
  <c r="AG211" i="12"/>
  <c r="AA211" i="12"/>
  <c r="V211" i="12"/>
  <c r="Q211" i="12"/>
  <c r="K211" i="12"/>
  <c r="F211" i="12"/>
  <c r="AF210" i="12"/>
  <c r="AA210" i="12"/>
  <c r="V210" i="12"/>
  <c r="P210" i="12"/>
  <c r="K210" i="12"/>
  <c r="AF209" i="12"/>
  <c r="AA209" i="12"/>
  <c r="U209" i="12"/>
  <c r="P209" i="12"/>
  <c r="K209" i="12"/>
  <c r="AG207" i="12"/>
  <c r="AA207" i="12"/>
  <c r="V207" i="12"/>
  <c r="Q207" i="12"/>
  <c r="K207" i="12"/>
  <c r="AF206" i="12"/>
  <c r="AA206" i="12"/>
  <c r="V206" i="12"/>
  <c r="P206" i="12"/>
  <c r="K206" i="12"/>
  <c r="S211" i="12"/>
  <c r="N211" i="12"/>
  <c r="E210" i="12"/>
  <c r="I210" i="12"/>
  <c r="M210" i="12"/>
  <c r="Q210" i="12"/>
  <c r="U210" i="12"/>
  <c r="Y210" i="12"/>
  <c r="AC210" i="12"/>
  <c r="AG210" i="12"/>
  <c r="F209" i="12"/>
  <c r="J209" i="12"/>
  <c r="N209" i="12"/>
  <c r="R209" i="12"/>
  <c r="V209" i="12"/>
  <c r="Z209" i="12"/>
  <c r="AD209" i="12"/>
  <c r="AH209" i="12"/>
  <c r="H207" i="12"/>
  <c r="L207" i="12"/>
  <c r="P207" i="12"/>
  <c r="T207" i="12"/>
  <c r="X207" i="12"/>
  <c r="AB207" i="12"/>
  <c r="AF207" i="12"/>
  <c r="E206" i="12"/>
  <c r="I206" i="12"/>
  <c r="M206" i="12"/>
  <c r="Q206" i="12"/>
  <c r="U206" i="12"/>
  <c r="Y206" i="12"/>
  <c r="AC206" i="12"/>
  <c r="AG206" i="12"/>
  <c r="H177" i="12"/>
  <c r="L177" i="12"/>
  <c r="P177" i="12"/>
  <c r="T177" i="12"/>
  <c r="X177" i="12"/>
  <c r="AB177" i="12"/>
  <c r="AF177" i="12"/>
  <c r="E176" i="12"/>
  <c r="I176" i="12"/>
  <c r="M176" i="12"/>
  <c r="Q176" i="12"/>
  <c r="U176" i="12"/>
  <c r="Y176" i="12"/>
  <c r="AC176" i="12"/>
  <c r="AG176" i="12"/>
  <c r="F175" i="12"/>
  <c r="J175" i="12"/>
  <c r="N175" i="12"/>
  <c r="R175" i="12"/>
  <c r="V175" i="12"/>
  <c r="Z175" i="12"/>
  <c r="AD175" i="12"/>
  <c r="AH175" i="12"/>
  <c r="F172" i="12"/>
  <c r="J172" i="12"/>
  <c r="N172" i="12"/>
  <c r="R172" i="12"/>
  <c r="V172" i="12"/>
  <c r="Z172" i="12"/>
  <c r="AD172" i="12"/>
  <c r="AH172" i="12"/>
  <c r="E172" i="12"/>
  <c r="I172" i="12"/>
  <c r="M172" i="12"/>
  <c r="Q172" i="12"/>
  <c r="U172" i="12"/>
  <c r="Y172" i="12"/>
  <c r="AC172" i="12"/>
  <c r="AG172" i="12"/>
  <c r="E169" i="12"/>
  <c r="I169" i="12"/>
  <c r="M169" i="12"/>
  <c r="Q169" i="12"/>
  <c r="U169" i="12"/>
  <c r="Y169" i="12"/>
  <c r="AC169" i="12"/>
  <c r="AG169" i="12"/>
  <c r="H169" i="12"/>
  <c r="L169" i="12"/>
  <c r="P169" i="12"/>
  <c r="T169" i="12"/>
  <c r="X169" i="12"/>
  <c r="AB169" i="12"/>
  <c r="AF169" i="12"/>
  <c r="F196" i="12"/>
  <c r="J196" i="12"/>
  <c r="N196" i="12"/>
  <c r="R196" i="12"/>
  <c r="V196" i="12"/>
  <c r="Z196" i="12"/>
  <c r="AD196" i="12"/>
  <c r="AH196" i="12"/>
  <c r="H194" i="12"/>
  <c r="L194" i="12"/>
  <c r="P194" i="12"/>
  <c r="T194" i="12"/>
  <c r="X194" i="12"/>
  <c r="AB194" i="12"/>
  <c r="AF194" i="12"/>
  <c r="E193" i="12"/>
  <c r="I193" i="12"/>
  <c r="M193" i="12"/>
  <c r="Q193" i="12"/>
  <c r="U193" i="12"/>
  <c r="Y193" i="12"/>
  <c r="AC193" i="12"/>
  <c r="AG193" i="12"/>
  <c r="F192" i="12"/>
  <c r="J192" i="12"/>
  <c r="N192" i="12"/>
  <c r="R192" i="12"/>
  <c r="V192" i="12"/>
  <c r="Z192" i="12"/>
  <c r="AD192" i="12"/>
  <c r="AH192" i="12"/>
  <c r="H190" i="12"/>
  <c r="L190" i="12"/>
  <c r="P190" i="12"/>
  <c r="T190" i="12"/>
  <c r="X190" i="12"/>
  <c r="AB190" i="12"/>
  <c r="AF190" i="12"/>
  <c r="E189" i="12"/>
  <c r="I189" i="12"/>
  <c r="M189" i="12"/>
  <c r="Q189" i="12"/>
  <c r="U189" i="12"/>
  <c r="Y189" i="12"/>
  <c r="AC189" i="12"/>
  <c r="AG189" i="12"/>
  <c r="F188" i="12"/>
  <c r="J188" i="12"/>
  <c r="N188" i="12"/>
  <c r="R188" i="12"/>
  <c r="V188" i="12"/>
  <c r="Z188" i="12"/>
  <c r="AD188" i="12"/>
  <c r="AH188" i="12"/>
  <c r="AH177" i="12"/>
  <c r="AC177" i="12"/>
  <c r="W177" i="12"/>
  <c r="R177" i="12"/>
  <c r="M177" i="12"/>
  <c r="G177" i="12"/>
  <c r="AH176" i="12"/>
  <c r="AB176" i="12"/>
  <c r="W176" i="12"/>
  <c r="R176" i="12"/>
  <c r="L176" i="12"/>
  <c r="G176" i="12"/>
  <c r="AG175" i="12"/>
  <c r="AB175" i="12"/>
  <c r="W175" i="12"/>
  <c r="Q175" i="12"/>
  <c r="L175" i="12"/>
  <c r="G175" i="12"/>
  <c r="E173" i="12"/>
  <c r="I173" i="12"/>
  <c r="M173" i="12"/>
  <c r="H173" i="12"/>
  <c r="L173" i="12"/>
  <c r="P173" i="12"/>
  <c r="T173" i="12"/>
  <c r="X173" i="12"/>
  <c r="AB173" i="12"/>
  <c r="AF173" i="12"/>
  <c r="AF172" i="12"/>
  <c r="X172" i="12"/>
  <c r="P172" i="12"/>
  <c r="H172" i="12"/>
  <c r="AH169" i="12"/>
  <c r="Z169" i="12"/>
  <c r="R169" i="12"/>
  <c r="J169" i="12"/>
  <c r="E156" i="12"/>
  <c r="I156" i="12"/>
  <c r="M156" i="12"/>
  <c r="Q156" i="12"/>
  <c r="U156" i="12"/>
  <c r="Y156" i="12"/>
  <c r="AC156" i="12"/>
  <c r="AG156" i="12"/>
  <c r="F156" i="12"/>
  <c r="J156" i="12"/>
  <c r="N156" i="12"/>
  <c r="R156" i="12"/>
  <c r="V156" i="12"/>
  <c r="Z156" i="12"/>
  <c r="AD156" i="12"/>
  <c r="AH156" i="12"/>
  <c r="H156" i="12"/>
  <c r="L156" i="12"/>
  <c r="P156" i="12"/>
  <c r="T156" i="12"/>
  <c r="X156" i="12"/>
  <c r="AB156" i="12"/>
  <c r="AF156" i="12"/>
  <c r="AG196" i="12"/>
  <c r="AB196" i="12"/>
  <c r="W196" i="12"/>
  <c r="Q196" i="12"/>
  <c r="L196" i="12"/>
  <c r="G196" i="12"/>
  <c r="AH194" i="12"/>
  <c r="AC194" i="12"/>
  <c r="W194" i="12"/>
  <c r="R194" i="12"/>
  <c r="M194" i="12"/>
  <c r="G194" i="12"/>
  <c r="AH193" i="12"/>
  <c r="AB193" i="12"/>
  <c r="W193" i="12"/>
  <c r="R193" i="12"/>
  <c r="L193" i="12"/>
  <c r="G193" i="12"/>
  <c r="AG192" i="12"/>
  <c r="AB192" i="12"/>
  <c r="W192" i="12"/>
  <c r="Q192" i="12"/>
  <c r="L192" i="12"/>
  <c r="G192" i="12"/>
  <c r="AH190" i="12"/>
  <c r="AC190" i="12"/>
  <c r="W190" i="12"/>
  <c r="R190" i="12"/>
  <c r="M190" i="12"/>
  <c r="G190" i="12"/>
  <c r="AH189" i="12"/>
  <c r="AB189" i="12"/>
  <c r="W189" i="12"/>
  <c r="R189" i="12"/>
  <c r="L189" i="12"/>
  <c r="G189" i="12"/>
  <c r="AG188" i="12"/>
  <c r="AB188" i="12"/>
  <c r="W188" i="12"/>
  <c r="Q188" i="12"/>
  <c r="L188" i="12"/>
  <c r="G188" i="12"/>
  <c r="AG177" i="12"/>
  <c r="AA177" i="12"/>
  <c r="V177" i="12"/>
  <c r="Q177" i="12"/>
  <c r="K177" i="12"/>
  <c r="F177" i="12"/>
  <c r="AF176" i="12"/>
  <c r="AA176" i="12"/>
  <c r="V176" i="12"/>
  <c r="P176" i="12"/>
  <c r="K176" i="12"/>
  <c r="F176" i="12"/>
  <c r="AF175" i="12"/>
  <c r="AA175" i="12"/>
  <c r="U175" i="12"/>
  <c r="P175" i="12"/>
  <c r="K175" i="12"/>
  <c r="E175" i="12"/>
  <c r="AG173" i="12"/>
  <c r="AA173" i="12"/>
  <c r="V173" i="12"/>
  <c r="Q173" i="12"/>
  <c r="J173" i="12"/>
  <c r="AE172" i="12"/>
  <c r="W172" i="12"/>
  <c r="O172" i="12"/>
  <c r="G172" i="12"/>
  <c r="AE169" i="12"/>
  <c r="W169" i="12"/>
  <c r="O169" i="12"/>
  <c r="G169" i="12"/>
  <c r="AE156" i="12"/>
  <c r="O156" i="12"/>
  <c r="AE177" i="12"/>
  <c r="Z177" i="12"/>
  <c r="U177" i="12"/>
  <c r="O177" i="12"/>
  <c r="J177" i="12"/>
  <c r="E177" i="12"/>
  <c r="AE176" i="12"/>
  <c r="Z176" i="12"/>
  <c r="T176" i="12"/>
  <c r="O176" i="12"/>
  <c r="J176" i="12"/>
  <c r="AE175" i="12"/>
  <c r="Y175" i="12"/>
  <c r="T175" i="12"/>
  <c r="O175" i="12"/>
  <c r="I175" i="12"/>
  <c r="O173" i="12"/>
  <c r="G173" i="12"/>
  <c r="AB172" i="12"/>
  <c r="T172" i="12"/>
  <c r="L172" i="12"/>
  <c r="AD169" i="12"/>
  <c r="V169" i="12"/>
  <c r="N169" i="12"/>
  <c r="F169" i="12"/>
  <c r="F168" i="12"/>
  <c r="J168" i="12"/>
  <c r="N168" i="12"/>
  <c r="R168" i="12"/>
  <c r="V168" i="12"/>
  <c r="Z168" i="12"/>
  <c r="AD168" i="12"/>
  <c r="AH168" i="12"/>
  <c r="E168" i="12"/>
  <c r="I168" i="12"/>
  <c r="M168" i="12"/>
  <c r="Q168" i="12"/>
  <c r="U168" i="12"/>
  <c r="Y168" i="12"/>
  <c r="AC168" i="12"/>
  <c r="AG168" i="12"/>
  <c r="AA156" i="12"/>
  <c r="K156" i="12"/>
  <c r="AH171" i="12"/>
  <c r="AD171" i="12"/>
  <c r="Z171" i="12"/>
  <c r="V171" i="12"/>
  <c r="R171" i="12"/>
  <c r="N171" i="12"/>
  <c r="J171" i="12"/>
  <c r="AH158" i="12"/>
  <c r="AD158" i="12"/>
  <c r="Z158" i="12"/>
  <c r="V158" i="12"/>
  <c r="R158" i="12"/>
  <c r="N158" i="12"/>
  <c r="J158" i="12"/>
  <c r="AG155" i="12"/>
  <c r="AC155" i="12"/>
  <c r="Y155" i="12"/>
  <c r="U155" i="12"/>
  <c r="Q155" i="12"/>
  <c r="M155" i="12"/>
  <c r="I155" i="12"/>
  <c r="E155" i="12"/>
  <c r="AH154" i="12"/>
  <c r="AD154" i="12"/>
  <c r="Z154" i="12"/>
  <c r="V154" i="12"/>
  <c r="R154" i="12"/>
  <c r="N154" i="12"/>
  <c r="J154" i="12"/>
  <c r="AF152" i="12"/>
  <c r="AB152" i="12"/>
  <c r="X152" i="12"/>
  <c r="T152" i="12"/>
  <c r="P152" i="12"/>
  <c r="L152" i="12"/>
  <c r="H152" i="12"/>
  <c r="AG151" i="12"/>
  <c r="AC151" i="12"/>
  <c r="Y151" i="12"/>
  <c r="U151" i="12"/>
  <c r="Q151" i="12"/>
  <c r="M151" i="12"/>
  <c r="I151" i="12"/>
  <c r="E151" i="12"/>
  <c r="AH141" i="12"/>
  <c r="AD141" i="12"/>
  <c r="Z141" i="12"/>
  <c r="V141" i="12"/>
  <c r="R141" i="12"/>
  <c r="N141" i="12"/>
  <c r="J141" i="12"/>
  <c r="AF139" i="12"/>
  <c r="AB139" i="12"/>
  <c r="X139" i="12"/>
  <c r="T139" i="12"/>
  <c r="P139" i="12"/>
  <c r="L139" i="12"/>
  <c r="H139" i="12"/>
  <c r="AG138" i="12"/>
  <c r="AC138" i="12"/>
  <c r="Y138" i="12"/>
  <c r="U138" i="12"/>
  <c r="Q138" i="12"/>
  <c r="M138" i="12"/>
  <c r="I138" i="12"/>
  <c r="E138" i="12"/>
  <c r="AH137" i="12"/>
  <c r="AD137" i="12"/>
  <c r="Z137" i="12"/>
  <c r="V137" i="12"/>
  <c r="R137" i="12"/>
  <c r="N137" i="12"/>
  <c r="J137" i="12"/>
  <c r="AF135" i="12"/>
  <c r="AB135" i="12"/>
  <c r="X135" i="12"/>
  <c r="T135" i="12"/>
  <c r="P135" i="12"/>
  <c r="L135" i="12"/>
  <c r="H135" i="12"/>
  <c r="AG134" i="12"/>
  <c r="AC134" i="12"/>
  <c r="Y134" i="12"/>
  <c r="U134" i="12"/>
  <c r="Q134" i="12"/>
  <c r="M134" i="12"/>
  <c r="I134" i="12"/>
  <c r="E134" i="12"/>
  <c r="AH133" i="12"/>
  <c r="AD133" i="12"/>
  <c r="Z133" i="12"/>
  <c r="V133" i="12"/>
  <c r="R133" i="12"/>
  <c r="N133" i="12"/>
  <c r="J133" i="12"/>
  <c r="AF122" i="12"/>
  <c r="AB122" i="12"/>
  <c r="X122" i="12"/>
  <c r="T122" i="12"/>
  <c r="P122" i="12"/>
  <c r="L122" i="12"/>
  <c r="H122" i="12"/>
  <c r="AG121" i="12"/>
  <c r="AC121" i="12"/>
  <c r="Y121" i="12"/>
  <c r="U121" i="12"/>
  <c r="Q121" i="12"/>
  <c r="M121" i="12"/>
  <c r="I121" i="12"/>
  <c r="E121" i="12"/>
  <c r="AH120" i="12"/>
  <c r="AD120" i="12"/>
  <c r="Z120" i="12"/>
  <c r="V120" i="12"/>
  <c r="R120" i="12"/>
  <c r="N120" i="12"/>
  <c r="J120" i="12"/>
  <c r="E118" i="12"/>
  <c r="I118" i="12"/>
  <c r="M118" i="12"/>
  <c r="Q118" i="12"/>
  <c r="U118" i="12"/>
  <c r="Y118" i="12"/>
  <c r="AC118" i="12"/>
  <c r="AG118" i="12"/>
  <c r="F117" i="12"/>
  <c r="J117" i="12"/>
  <c r="N117" i="12"/>
  <c r="R117" i="12"/>
  <c r="V117" i="12"/>
  <c r="Z117" i="12"/>
  <c r="AD117" i="12"/>
  <c r="AH117" i="12"/>
  <c r="AH114" i="12"/>
  <c r="Z114" i="12"/>
  <c r="R114" i="12"/>
  <c r="J114" i="12"/>
  <c r="Z103" i="12"/>
  <c r="I102" i="12"/>
  <c r="E103" i="12"/>
  <c r="I103" i="12"/>
  <c r="M103" i="12"/>
  <c r="Q103" i="12"/>
  <c r="U103" i="12"/>
  <c r="Y103" i="12"/>
  <c r="AC103" i="12"/>
  <c r="AG103" i="12"/>
  <c r="G103" i="12"/>
  <c r="L103" i="12"/>
  <c r="R103" i="12"/>
  <c r="W103" i="12"/>
  <c r="AB103" i="12"/>
  <c r="AH103" i="12"/>
  <c r="F103" i="12"/>
  <c r="K103" i="12"/>
  <c r="P103" i="12"/>
  <c r="V103" i="12"/>
  <c r="AA103" i="12"/>
  <c r="AF103" i="12"/>
  <c r="AH152" i="12"/>
  <c r="AD152" i="12"/>
  <c r="Z152" i="12"/>
  <c r="V152" i="12"/>
  <c r="R152" i="12"/>
  <c r="N152" i="12"/>
  <c r="J152" i="12"/>
  <c r="F152" i="12"/>
  <c r="AH139" i="12"/>
  <c r="AD139" i="12"/>
  <c r="Z139" i="12"/>
  <c r="V139" i="12"/>
  <c r="R139" i="12"/>
  <c r="N139" i="12"/>
  <c r="J139" i="12"/>
  <c r="F139" i="12"/>
  <c r="AH135" i="12"/>
  <c r="AD135" i="12"/>
  <c r="Z135" i="12"/>
  <c r="V135" i="12"/>
  <c r="R135" i="12"/>
  <c r="N135" i="12"/>
  <c r="J135" i="12"/>
  <c r="F135" i="12"/>
  <c r="AH122" i="12"/>
  <c r="AD122" i="12"/>
  <c r="Z122" i="12"/>
  <c r="V122" i="12"/>
  <c r="R122" i="12"/>
  <c r="N122" i="12"/>
  <c r="J122" i="12"/>
  <c r="F122" i="12"/>
  <c r="AD114" i="12"/>
  <c r="V114" i="12"/>
  <c r="N114" i="12"/>
  <c r="F113" i="12"/>
  <c r="J113" i="12"/>
  <c r="N113" i="12"/>
  <c r="R113" i="12"/>
  <c r="V113" i="12"/>
  <c r="Z113" i="12"/>
  <c r="AD113" i="12"/>
  <c r="AH113" i="12"/>
  <c r="E113" i="12"/>
  <c r="I113" i="12"/>
  <c r="M113" i="12"/>
  <c r="Q113" i="12"/>
  <c r="U113" i="12"/>
  <c r="Y113" i="12"/>
  <c r="AC113" i="12"/>
  <c r="AG113" i="12"/>
  <c r="AE103" i="12"/>
  <c r="T103" i="12"/>
  <c r="J103" i="12"/>
  <c r="Y102" i="12"/>
  <c r="AH155" i="12"/>
  <c r="AD155" i="12"/>
  <c r="Z155" i="12"/>
  <c r="V155" i="12"/>
  <c r="R155" i="12"/>
  <c r="N155" i="12"/>
  <c r="J155" i="12"/>
  <c r="AG152" i="12"/>
  <c r="AC152" i="12"/>
  <c r="Y152" i="12"/>
  <c r="U152" i="12"/>
  <c r="Q152" i="12"/>
  <c r="M152" i="12"/>
  <c r="I152" i="12"/>
  <c r="AH151" i="12"/>
  <c r="AD151" i="12"/>
  <c r="Z151" i="12"/>
  <c r="V151" i="12"/>
  <c r="R151" i="12"/>
  <c r="N151" i="12"/>
  <c r="J151" i="12"/>
  <c r="AG139" i="12"/>
  <c r="AC139" i="12"/>
  <c r="Y139" i="12"/>
  <c r="U139" i="12"/>
  <c r="Q139" i="12"/>
  <c r="M139" i="12"/>
  <c r="I139" i="12"/>
  <c r="AH138" i="12"/>
  <c r="AD138" i="12"/>
  <c r="Z138" i="12"/>
  <c r="V138" i="12"/>
  <c r="R138" i="12"/>
  <c r="N138" i="12"/>
  <c r="J138" i="12"/>
  <c r="AG135" i="12"/>
  <c r="AC135" i="12"/>
  <c r="Y135" i="12"/>
  <c r="U135" i="12"/>
  <c r="Q135" i="12"/>
  <c r="M135" i="12"/>
  <c r="I135" i="12"/>
  <c r="AD134" i="12"/>
  <c r="Z134" i="12"/>
  <c r="V134" i="12"/>
  <c r="R134" i="12"/>
  <c r="N134" i="12"/>
  <c r="J134" i="12"/>
  <c r="AG122" i="12"/>
  <c r="AC122" i="12"/>
  <c r="Y122" i="12"/>
  <c r="U122" i="12"/>
  <c r="Q122" i="12"/>
  <c r="M122" i="12"/>
  <c r="I122" i="12"/>
  <c r="E114" i="12"/>
  <c r="I114" i="12"/>
  <c r="M114" i="12"/>
  <c r="Q114" i="12"/>
  <c r="U114" i="12"/>
  <c r="Y114" i="12"/>
  <c r="AC114" i="12"/>
  <c r="AG114" i="12"/>
  <c r="H114" i="12"/>
  <c r="L114" i="12"/>
  <c r="P114" i="12"/>
  <c r="T114" i="12"/>
  <c r="X114" i="12"/>
  <c r="AB114" i="12"/>
  <c r="AF114" i="12"/>
  <c r="AD103" i="12"/>
  <c r="S103" i="12"/>
  <c r="H103" i="12"/>
  <c r="F102" i="12"/>
  <c r="J102" i="12"/>
  <c r="N102" i="12"/>
  <c r="R102" i="12"/>
  <c r="V102" i="12"/>
  <c r="Z102" i="12"/>
  <c r="AD102" i="12"/>
  <c r="AH102" i="12"/>
  <c r="G102" i="12"/>
  <c r="L102" i="12"/>
  <c r="Q102" i="12"/>
  <c r="W102" i="12"/>
  <c r="AB102" i="12"/>
  <c r="AG102" i="12"/>
  <c r="E102" i="12"/>
  <c r="K102" i="12"/>
  <c r="P102" i="12"/>
  <c r="U102" i="12"/>
  <c r="AA102" i="12"/>
  <c r="AF102" i="12"/>
  <c r="E101" i="12"/>
  <c r="I101" i="12"/>
  <c r="M101" i="12"/>
  <c r="Q101" i="12"/>
  <c r="U101" i="12"/>
  <c r="Y101" i="12"/>
  <c r="AC101" i="12"/>
  <c r="J101" i="12"/>
  <c r="O101" i="12"/>
  <c r="T101" i="12"/>
  <c r="Z101" i="12"/>
  <c r="AE101" i="12"/>
  <c r="AI101" i="12"/>
  <c r="AG100" i="12"/>
  <c r="AA100" i="12"/>
  <c r="S100" i="12"/>
  <c r="L100" i="12"/>
  <c r="H98" i="12"/>
  <c r="L98" i="12"/>
  <c r="P98" i="12"/>
  <c r="T98" i="12"/>
  <c r="X98" i="12"/>
  <c r="AB98" i="12"/>
  <c r="AF98" i="12"/>
  <c r="E98" i="12"/>
  <c r="J98" i="12"/>
  <c r="O98" i="12"/>
  <c r="U98" i="12"/>
  <c r="Z98" i="12"/>
  <c r="AE98" i="12"/>
  <c r="F100" i="12"/>
  <c r="J100" i="12"/>
  <c r="N100" i="12"/>
  <c r="R100" i="12"/>
  <c r="V100" i="12"/>
  <c r="Z100" i="12"/>
  <c r="AD100" i="12"/>
  <c r="AH100" i="12"/>
  <c r="I100" i="12"/>
  <c r="O100" i="12"/>
  <c r="T100" i="12"/>
  <c r="Y100" i="12"/>
  <c r="AE100" i="12"/>
  <c r="AC100" i="12"/>
  <c r="W100" i="12"/>
  <c r="P100" i="12"/>
  <c r="H100" i="12"/>
  <c r="G98" i="12"/>
  <c r="AF115" i="12"/>
  <c r="AB115" i="12"/>
  <c r="X115" i="12"/>
  <c r="T115" i="12"/>
  <c r="P115" i="12"/>
  <c r="L115" i="12"/>
  <c r="AG101" i="12"/>
  <c r="AA101" i="12"/>
  <c r="S101" i="12"/>
  <c r="L101" i="12"/>
  <c r="F101" i="12"/>
  <c r="AI100" i="12"/>
  <c r="AB100" i="12"/>
  <c r="U100" i="12"/>
  <c r="M100" i="12"/>
  <c r="G100" i="12"/>
  <c r="AH98" i="12"/>
  <c r="AA98" i="12"/>
  <c r="S98" i="12"/>
  <c r="M98" i="12"/>
  <c r="F98" i="12"/>
  <c r="Q85" i="12"/>
  <c r="K85" i="12"/>
  <c r="F85" i="12"/>
  <c r="H71" i="12"/>
  <c r="L71" i="12"/>
  <c r="P71" i="12"/>
  <c r="T71" i="12"/>
  <c r="X71" i="12"/>
  <c r="AB71" i="12"/>
  <c r="AF71" i="12"/>
  <c r="E71" i="12"/>
  <c r="I71" i="12"/>
  <c r="M71" i="12"/>
  <c r="Q71" i="12"/>
  <c r="U71" i="12"/>
  <c r="Y71" i="12"/>
  <c r="AC71" i="12"/>
  <c r="AG71" i="12"/>
  <c r="F71" i="12"/>
  <c r="J71" i="12"/>
  <c r="N71" i="12"/>
  <c r="R71" i="12"/>
  <c r="V71" i="12"/>
  <c r="Z71" i="12"/>
  <c r="AD71" i="12"/>
  <c r="AH71" i="12"/>
  <c r="AE97" i="12"/>
  <c r="Z97" i="12"/>
  <c r="T97" i="12"/>
  <c r="O97" i="12"/>
  <c r="AE96" i="12"/>
  <c r="Y96" i="12"/>
  <c r="T96" i="12"/>
  <c r="O96" i="12"/>
  <c r="AE85" i="12"/>
  <c r="Z85" i="12"/>
  <c r="U85" i="12"/>
  <c r="O85" i="12"/>
  <c r="J85" i="12"/>
  <c r="H83" i="12"/>
  <c r="L83" i="12"/>
  <c r="P83" i="12"/>
  <c r="T83" i="12"/>
  <c r="X83" i="12"/>
  <c r="AB83" i="12"/>
  <c r="AF83" i="12"/>
  <c r="F83" i="12"/>
  <c r="J83" i="12"/>
  <c r="N83" i="12"/>
  <c r="R83" i="12"/>
  <c r="V83" i="12"/>
  <c r="Z83" i="12"/>
  <c r="AD83" i="12"/>
  <c r="AH83" i="12"/>
  <c r="E97" i="12"/>
  <c r="I97" i="12"/>
  <c r="M97" i="12"/>
  <c r="Q97" i="12"/>
  <c r="U97" i="12"/>
  <c r="Y97" i="12"/>
  <c r="AC97" i="12"/>
  <c r="AG97" i="12"/>
  <c r="F96" i="12"/>
  <c r="J96" i="12"/>
  <c r="N96" i="12"/>
  <c r="R96" i="12"/>
  <c r="V96" i="12"/>
  <c r="Z96" i="12"/>
  <c r="AD96" i="12"/>
  <c r="AH96" i="12"/>
  <c r="H85" i="12"/>
  <c r="L85" i="12"/>
  <c r="P85" i="12"/>
  <c r="T85" i="12"/>
  <c r="X85" i="12"/>
  <c r="AB85" i="12"/>
  <c r="AF85" i="12"/>
  <c r="AG84" i="12"/>
  <c r="AC84" i="12"/>
  <c r="Y84" i="12"/>
  <c r="U84" i="12"/>
  <c r="Q84" i="12"/>
  <c r="M84" i="12"/>
  <c r="I84" i="12"/>
  <c r="AG72" i="12"/>
  <c r="AC72" i="12"/>
  <c r="Y72" i="12"/>
  <c r="U72" i="12"/>
  <c r="Q72" i="12"/>
  <c r="M72" i="12"/>
  <c r="I72" i="12"/>
  <c r="AF69" i="12"/>
  <c r="AB69" i="12"/>
  <c r="X69" i="12"/>
  <c r="T69" i="12"/>
  <c r="P69" i="12"/>
  <c r="L69" i="12"/>
  <c r="H69" i="12"/>
  <c r="AG68" i="12"/>
  <c r="AC68" i="12"/>
  <c r="Y68" i="12"/>
  <c r="U68" i="12"/>
  <c r="Q68" i="12"/>
  <c r="M68" i="12"/>
  <c r="I68" i="12"/>
  <c r="AH67" i="12"/>
  <c r="AD67" i="12"/>
  <c r="Z67" i="12"/>
  <c r="V67" i="12"/>
  <c r="R67" i="12"/>
  <c r="N67" i="12"/>
  <c r="J67" i="12"/>
  <c r="F67" i="12"/>
  <c r="AI66" i="12"/>
  <c r="AE66" i="12"/>
  <c r="AA66" i="12"/>
  <c r="W66" i="12"/>
  <c r="S66" i="12"/>
  <c r="O66" i="12"/>
  <c r="AE65" i="12"/>
  <c r="Y65" i="12"/>
  <c r="T65" i="12"/>
  <c r="O65" i="12"/>
  <c r="AE63" i="12"/>
  <c r="Z63" i="12"/>
  <c r="U63" i="12"/>
  <c r="O63" i="12"/>
  <c r="J63" i="12"/>
  <c r="F61" i="12"/>
  <c r="J61" i="12"/>
  <c r="N61" i="12"/>
  <c r="R61" i="12"/>
  <c r="V61" i="12"/>
  <c r="Z61" i="12"/>
  <c r="AD61" i="12"/>
  <c r="AH61" i="12"/>
  <c r="H61" i="12"/>
  <c r="L61" i="12"/>
  <c r="P61" i="12"/>
  <c r="T61" i="12"/>
  <c r="X61" i="12"/>
  <c r="AB61" i="12"/>
  <c r="AF61" i="12"/>
  <c r="AG67" i="12"/>
  <c r="AC67" i="12"/>
  <c r="Y67" i="12"/>
  <c r="U67" i="12"/>
  <c r="Q67" i="12"/>
  <c r="M67" i="12"/>
  <c r="I67" i="12"/>
  <c r="E67" i="12"/>
  <c r="E66" i="12"/>
  <c r="I66" i="12"/>
  <c r="M66" i="12"/>
  <c r="F65" i="12"/>
  <c r="J65" i="12"/>
  <c r="N65" i="12"/>
  <c r="R65" i="12"/>
  <c r="V65" i="12"/>
  <c r="Z65" i="12"/>
  <c r="AD65" i="12"/>
  <c r="AH65" i="12"/>
  <c r="H63" i="12"/>
  <c r="L63" i="12"/>
  <c r="P63" i="12"/>
  <c r="T63" i="12"/>
  <c r="X63" i="12"/>
  <c r="AB63" i="12"/>
  <c r="AF63" i="12"/>
  <c r="AH69" i="12"/>
  <c r="AD69" i="12"/>
  <c r="Z69" i="12"/>
  <c r="V69" i="12"/>
  <c r="R69" i="12"/>
  <c r="N69" i="12"/>
  <c r="J69" i="12"/>
  <c r="AF67" i="12"/>
  <c r="AB67" i="12"/>
  <c r="X67" i="12"/>
  <c r="T67" i="12"/>
  <c r="P67" i="12"/>
  <c r="L67" i="12"/>
  <c r="AG66" i="12"/>
  <c r="AC66" i="12"/>
  <c r="Y66" i="12"/>
  <c r="U66" i="12"/>
  <c r="Q66" i="12"/>
  <c r="L66" i="12"/>
  <c r="G66" i="12"/>
  <c r="AG65" i="12"/>
  <c r="AB65" i="12"/>
  <c r="W65" i="12"/>
  <c r="Q65" i="12"/>
  <c r="L65" i="12"/>
  <c r="G65" i="12"/>
  <c r="AH63" i="12"/>
  <c r="AC63" i="12"/>
  <c r="W63" i="12"/>
  <c r="R63" i="12"/>
  <c r="M63" i="12"/>
  <c r="G63" i="12"/>
  <c r="AF49" i="12"/>
  <c r="AB49" i="12"/>
  <c r="X49" i="12"/>
  <c r="T49" i="12"/>
  <c r="P49" i="12"/>
  <c r="L49" i="12"/>
  <c r="H49" i="12"/>
  <c r="AH47" i="12"/>
  <c r="AD47" i="12"/>
  <c r="Z47" i="12"/>
  <c r="V47" i="12"/>
  <c r="R47" i="12"/>
  <c r="N47" i="12"/>
  <c r="J47" i="12"/>
  <c r="F47" i="12"/>
  <c r="E41" i="12"/>
  <c r="F41" i="12"/>
  <c r="J41" i="12"/>
  <c r="N41" i="12"/>
  <c r="R41" i="12"/>
  <c r="V41" i="12"/>
  <c r="Z41" i="12"/>
  <c r="AD41" i="12"/>
  <c r="AH41" i="12"/>
  <c r="H41" i="12"/>
  <c r="L41" i="12"/>
  <c r="P41" i="12"/>
  <c r="T41" i="12"/>
  <c r="X41" i="12"/>
  <c r="AB41" i="12"/>
  <c r="AF41" i="12"/>
  <c r="AG47" i="12"/>
  <c r="AC47" i="12"/>
  <c r="Y47" i="12"/>
  <c r="U47" i="12"/>
  <c r="Q47" i="12"/>
  <c r="M47" i="12"/>
  <c r="I47" i="12"/>
  <c r="E47" i="12"/>
  <c r="AG62" i="12"/>
  <c r="AC62" i="12"/>
  <c r="Y62" i="12"/>
  <c r="U62" i="12"/>
  <c r="Q62" i="12"/>
  <c r="M62" i="12"/>
  <c r="I62" i="12"/>
  <c r="AG50" i="12"/>
  <c r="AC50" i="12"/>
  <c r="Y50" i="12"/>
  <c r="U50" i="12"/>
  <c r="Q50" i="12"/>
  <c r="M50" i="12"/>
  <c r="I50" i="12"/>
  <c r="AH49" i="12"/>
  <c r="AD49" i="12"/>
  <c r="Z49" i="12"/>
  <c r="V49" i="12"/>
  <c r="R49" i="12"/>
  <c r="N49" i="12"/>
  <c r="J49" i="12"/>
  <c r="AF47" i="12"/>
  <c r="AB47" i="12"/>
  <c r="X47" i="12"/>
  <c r="T47" i="12"/>
  <c r="P47" i="12"/>
  <c r="L47" i="12"/>
  <c r="Y46" i="12"/>
  <c r="U46" i="12"/>
  <c r="Q46" i="12"/>
  <c r="M46" i="12"/>
  <c r="I46" i="12"/>
  <c r="H45" i="12"/>
  <c r="L45" i="12"/>
  <c r="E44" i="12"/>
  <c r="I44" i="12"/>
  <c r="M44" i="12"/>
  <c r="Q44" i="12"/>
  <c r="U44" i="12"/>
  <c r="Y44" i="12"/>
  <c r="AC44" i="12"/>
  <c r="AG44" i="12"/>
  <c r="H43" i="12"/>
  <c r="L43" i="12"/>
  <c r="P43" i="12"/>
  <c r="F43" i="12"/>
  <c r="J43" i="12"/>
  <c r="N43" i="12"/>
  <c r="R43" i="12"/>
  <c r="V43" i="12"/>
  <c r="Z43" i="12"/>
  <c r="AD43" i="12"/>
  <c r="AH43" i="12"/>
  <c r="Q40" i="12"/>
  <c r="M40" i="12"/>
  <c r="I40" i="12"/>
  <c r="AH39" i="12"/>
  <c r="AD39" i="12"/>
  <c r="Z39" i="12"/>
  <c r="V39" i="12"/>
  <c r="R39" i="12"/>
  <c r="N39" i="12"/>
  <c r="J39" i="12"/>
  <c r="F39" i="12"/>
  <c r="AF37" i="12"/>
  <c r="AB37" i="12"/>
  <c r="X37" i="12"/>
  <c r="T37" i="12"/>
  <c r="P37" i="12"/>
  <c r="L37" i="12"/>
  <c r="H37" i="12"/>
  <c r="AF39" i="12"/>
  <c r="AB39" i="12"/>
  <c r="X39" i="12"/>
  <c r="T39" i="12"/>
  <c r="P39" i="12"/>
  <c r="L39" i="12"/>
  <c r="AH37" i="12"/>
  <c r="AD37" i="12"/>
  <c r="Z37" i="12"/>
  <c r="V37" i="12"/>
  <c r="R37" i="12"/>
  <c r="N37" i="12"/>
  <c r="J37" i="12"/>
  <c r="F37" i="12"/>
  <c r="Q37" i="12"/>
  <c r="M37" i="12"/>
  <c r="I37" i="12"/>
  <c r="AF212" i="11"/>
  <c r="AB212" i="11"/>
  <c r="X212" i="11"/>
  <c r="T212" i="11"/>
  <c r="P212" i="11"/>
  <c r="L212" i="11"/>
  <c r="H212" i="11"/>
  <c r="AH210" i="11"/>
  <c r="AD210" i="11"/>
  <c r="Z210" i="11"/>
  <c r="V210" i="11"/>
  <c r="R210" i="11"/>
  <c r="N210" i="11"/>
  <c r="J210" i="11"/>
  <c r="F210" i="11"/>
  <c r="AF208" i="11"/>
  <c r="AB208" i="11"/>
  <c r="X208" i="11"/>
  <c r="T208" i="11"/>
  <c r="P208" i="11"/>
  <c r="L208" i="11"/>
  <c r="H208" i="11"/>
  <c r="AH206" i="11"/>
  <c r="AD206" i="11"/>
  <c r="Z206" i="11"/>
  <c r="V206" i="11"/>
  <c r="R206" i="11"/>
  <c r="N206" i="11"/>
  <c r="J206" i="11"/>
  <c r="F206" i="11"/>
  <c r="AF195" i="11"/>
  <c r="AB195" i="11"/>
  <c r="X195" i="11"/>
  <c r="T195" i="11"/>
  <c r="P195" i="11"/>
  <c r="L195" i="11"/>
  <c r="H195" i="11"/>
  <c r="AH193" i="11"/>
  <c r="AD193" i="11"/>
  <c r="Z193" i="11"/>
  <c r="V193" i="11"/>
  <c r="R193" i="11"/>
  <c r="N193" i="11"/>
  <c r="J193" i="11"/>
  <c r="F193" i="11"/>
  <c r="AF191" i="11"/>
  <c r="AB191" i="11"/>
  <c r="X191" i="11"/>
  <c r="T191" i="11"/>
  <c r="P191" i="11"/>
  <c r="L191" i="11"/>
  <c r="H191" i="11"/>
  <c r="AH189" i="11"/>
  <c r="AD189" i="11"/>
  <c r="Z189" i="11"/>
  <c r="V189" i="11"/>
  <c r="R189" i="11"/>
  <c r="N189" i="11"/>
  <c r="J189" i="11"/>
  <c r="F189" i="11"/>
  <c r="AF187" i="11"/>
  <c r="AB187" i="11"/>
  <c r="X187" i="11"/>
  <c r="T187" i="11"/>
  <c r="P187" i="11"/>
  <c r="L187" i="11"/>
  <c r="H187" i="11"/>
  <c r="AH176" i="11"/>
  <c r="AD176" i="11"/>
  <c r="Z176" i="11"/>
  <c r="V176" i="11"/>
  <c r="R176" i="11"/>
  <c r="L176" i="11"/>
  <c r="G176" i="11"/>
  <c r="AG175" i="11"/>
  <c r="AB175" i="11"/>
  <c r="W175" i="11"/>
  <c r="Q175" i="11"/>
  <c r="L175" i="11"/>
  <c r="G175" i="11"/>
  <c r="AH173" i="11"/>
  <c r="AC173" i="11"/>
  <c r="W173" i="11"/>
  <c r="R173" i="11"/>
  <c r="M173" i="11"/>
  <c r="G173" i="11"/>
  <c r="AH172" i="11"/>
  <c r="AB172" i="11"/>
  <c r="W172" i="11"/>
  <c r="R172" i="11"/>
  <c r="L172" i="11"/>
  <c r="G172" i="11"/>
  <c r="H169" i="11"/>
  <c r="L169" i="11"/>
  <c r="P169" i="11"/>
  <c r="T169" i="11"/>
  <c r="X169" i="11"/>
  <c r="AB169" i="11"/>
  <c r="AF169" i="11"/>
  <c r="E169" i="11"/>
  <c r="I169" i="11"/>
  <c r="M169" i="11"/>
  <c r="Q169" i="11"/>
  <c r="U169" i="11"/>
  <c r="Y169" i="11"/>
  <c r="AC169" i="11"/>
  <c r="AG169" i="11"/>
  <c r="AB155" i="11"/>
  <c r="T155" i="11"/>
  <c r="AC210" i="11"/>
  <c r="U210" i="11"/>
  <c r="M210" i="11"/>
  <c r="AG206" i="11"/>
  <c r="Y206" i="11"/>
  <c r="Q206" i="11"/>
  <c r="E206" i="11"/>
  <c r="E155" i="11"/>
  <c r="I155" i="11"/>
  <c r="M155" i="11"/>
  <c r="Q155" i="11"/>
  <c r="U155" i="11"/>
  <c r="Y155" i="11"/>
  <c r="AC155" i="11"/>
  <c r="AG155" i="11"/>
  <c r="F155" i="11"/>
  <c r="J155" i="11"/>
  <c r="N155" i="11"/>
  <c r="R155" i="11"/>
  <c r="V155" i="11"/>
  <c r="Z155" i="11"/>
  <c r="AD155" i="11"/>
  <c r="AH155" i="11"/>
  <c r="G210" i="11"/>
  <c r="AG210" i="11"/>
  <c r="Y210" i="11"/>
  <c r="Q210" i="11"/>
  <c r="I210" i="11"/>
  <c r="E210" i="11"/>
  <c r="AC206" i="11"/>
  <c r="U206" i="11"/>
  <c r="M206" i="11"/>
  <c r="I206" i="11"/>
  <c r="AG193" i="11"/>
  <c r="AC193" i="11"/>
  <c r="Y193" i="11"/>
  <c r="U193" i="11"/>
  <c r="Q193" i="11"/>
  <c r="M193" i="11"/>
  <c r="I193" i="11"/>
  <c r="E193" i="11"/>
  <c r="AG213" i="11"/>
  <c r="AC213" i="11"/>
  <c r="Y213" i="11"/>
  <c r="U213" i="11"/>
  <c r="Q213" i="11"/>
  <c r="M213" i="11"/>
  <c r="I213" i="11"/>
  <c r="AH212" i="11"/>
  <c r="AD212" i="11"/>
  <c r="Z212" i="11"/>
  <c r="V212" i="11"/>
  <c r="R212" i="11"/>
  <c r="N212" i="11"/>
  <c r="J212" i="11"/>
  <c r="AF210" i="11"/>
  <c r="AB210" i="11"/>
  <c r="X210" i="11"/>
  <c r="T210" i="11"/>
  <c r="P210" i="11"/>
  <c r="L210" i="11"/>
  <c r="AG209" i="11"/>
  <c r="AC209" i="11"/>
  <c r="Y209" i="11"/>
  <c r="U209" i="11"/>
  <c r="Q209" i="11"/>
  <c r="M209" i="11"/>
  <c r="I209" i="11"/>
  <c r="AH208" i="11"/>
  <c r="AD208" i="11"/>
  <c r="Z208" i="11"/>
  <c r="V208" i="11"/>
  <c r="R208" i="11"/>
  <c r="N208" i="11"/>
  <c r="J208" i="11"/>
  <c r="AF206" i="11"/>
  <c r="AB206" i="11"/>
  <c r="X206" i="11"/>
  <c r="T206" i="11"/>
  <c r="P206" i="11"/>
  <c r="L206" i="11"/>
  <c r="AG196" i="11"/>
  <c r="AC196" i="11"/>
  <c r="Y196" i="11"/>
  <c r="U196" i="11"/>
  <c r="Q196" i="11"/>
  <c r="M196" i="11"/>
  <c r="I196" i="11"/>
  <c r="AH195" i="11"/>
  <c r="AD195" i="11"/>
  <c r="Z195" i="11"/>
  <c r="V195" i="11"/>
  <c r="R195" i="11"/>
  <c r="N195" i="11"/>
  <c r="J195" i="11"/>
  <c r="AF193" i="11"/>
  <c r="AB193" i="11"/>
  <c r="X193" i="11"/>
  <c r="T193" i="11"/>
  <c r="P193" i="11"/>
  <c r="L193" i="11"/>
  <c r="AG192" i="11"/>
  <c r="AC192" i="11"/>
  <c r="Y192" i="11"/>
  <c r="U192" i="11"/>
  <c r="Q192" i="11"/>
  <c r="M192" i="11"/>
  <c r="I192" i="11"/>
  <c r="AH191" i="11"/>
  <c r="AD191" i="11"/>
  <c r="Z191" i="11"/>
  <c r="V191" i="11"/>
  <c r="R191" i="11"/>
  <c r="N191" i="11"/>
  <c r="J191" i="11"/>
  <c r="AF189" i="11"/>
  <c r="AB189" i="11"/>
  <c r="X189" i="11"/>
  <c r="T189" i="11"/>
  <c r="P189" i="11"/>
  <c r="L189" i="11"/>
  <c r="AG188" i="11"/>
  <c r="AC188" i="11"/>
  <c r="Y188" i="11"/>
  <c r="U188" i="11"/>
  <c r="Q188" i="11"/>
  <c r="M188" i="11"/>
  <c r="I188" i="11"/>
  <c r="AH187" i="11"/>
  <c r="AD187" i="11"/>
  <c r="Z187" i="11"/>
  <c r="V187" i="11"/>
  <c r="R187" i="11"/>
  <c r="N187" i="11"/>
  <c r="J187" i="11"/>
  <c r="F187" i="11"/>
  <c r="AF176" i="11"/>
  <c r="AB176" i="11"/>
  <c r="X176" i="11"/>
  <c r="T176" i="11"/>
  <c r="O176" i="11"/>
  <c r="AE175" i="11"/>
  <c r="Y175" i="11"/>
  <c r="T175" i="11"/>
  <c r="O175" i="11"/>
  <c r="AE173" i="11"/>
  <c r="Z173" i="11"/>
  <c r="U173" i="11"/>
  <c r="O173" i="11"/>
  <c r="J173" i="11"/>
  <c r="AE172" i="11"/>
  <c r="Z172" i="11"/>
  <c r="T172" i="11"/>
  <c r="O172" i="11"/>
  <c r="H156" i="11"/>
  <c r="L156" i="11"/>
  <c r="P156" i="11"/>
  <c r="T156" i="11"/>
  <c r="X156" i="11"/>
  <c r="AB156" i="11"/>
  <c r="AF156" i="11"/>
  <c r="E156" i="11"/>
  <c r="I156" i="11"/>
  <c r="M156" i="11"/>
  <c r="Q156" i="11"/>
  <c r="U156" i="11"/>
  <c r="Y156" i="11"/>
  <c r="AC156" i="11"/>
  <c r="AG156" i="11"/>
  <c r="AF155" i="11"/>
  <c r="X155" i="11"/>
  <c r="P155" i="11"/>
  <c r="H155" i="11"/>
  <c r="H151" i="11"/>
  <c r="L151" i="11"/>
  <c r="P151" i="11"/>
  <c r="T151" i="11"/>
  <c r="X151" i="11"/>
  <c r="AB151" i="11"/>
  <c r="AF151" i="11"/>
  <c r="E151" i="11"/>
  <c r="I151" i="11"/>
  <c r="M151" i="11"/>
  <c r="Q151" i="11"/>
  <c r="U151" i="11"/>
  <c r="Y151" i="11"/>
  <c r="AC151" i="11"/>
  <c r="AG151" i="11"/>
  <c r="F151" i="11"/>
  <c r="J151" i="11"/>
  <c r="N151" i="11"/>
  <c r="R151" i="11"/>
  <c r="V151" i="11"/>
  <c r="Z151" i="11"/>
  <c r="AD151" i="11"/>
  <c r="AH151" i="11"/>
  <c r="AG187" i="11"/>
  <c r="AC187" i="11"/>
  <c r="Y187" i="11"/>
  <c r="U187" i="11"/>
  <c r="Q187" i="11"/>
  <c r="M187" i="11"/>
  <c r="I187" i="11"/>
  <c r="E176" i="11"/>
  <c r="I176" i="11"/>
  <c r="M176" i="11"/>
  <c r="Q176" i="11"/>
  <c r="F175" i="11"/>
  <c r="J175" i="11"/>
  <c r="N175" i="11"/>
  <c r="R175" i="11"/>
  <c r="V175" i="11"/>
  <c r="Z175" i="11"/>
  <c r="AD175" i="11"/>
  <c r="AH175" i="11"/>
  <c r="H173" i="11"/>
  <c r="L173" i="11"/>
  <c r="P173" i="11"/>
  <c r="T173" i="11"/>
  <c r="X173" i="11"/>
  <c r="AB173" i="11"/>
  <c r="AF173" i="11"/>
  <c r="E172" i="11"/>
  <c r="I172" i="11"/>
  <c r="M172" i="11"/>
  <c r="Q172" i="11"/>
  <c r="U172" i="11"/>
  <c r="Y172" i="11"/>
  <c r="AC172" i="11"/>
  <c r="AG172" i="11"/>
  <c r="E168" i="11"/>
  <c r="I168" i="11"/>
  <c r="M168" i="11"/>
  <c r="Q168" i="11"/>
  <c r="U168" i="11"/>
  <c r="Y168" i="11"/>
  <c r="AC168" i="11"/>
  <c r="AG168" i="11"/>
  <c r="F168" i="11"/>
  <c r="J168" i="11"/>
  <c r="N168" i="11"/>
  <c r="R168" i="11"/>
  <c r="V168" i="11"/>
  <c r="Z168" i="11"/>
  <c r="AD168" i="11"/>
  <c r="AH168" i="11"/>
  <c r="AE155" i="11"/>
  <c r="W155" i="11"/>
  <c r="O155" i="11"/>
  <c r="G155" i="11"/>
  <c r="AG152" i="11"/>
  <c r="AC152" i="11"/>
  <c r="Y152" i="11"/>
  <c r="U152" i="11"/>
  <c r="Q152" i="11"/>
  <c r="M152" i="11"/>
  <c r="I152" i="11"/>
  <c r="E152" i="11"/>
  <c r="AG139" i="11"/>
  <c r="AC139" i="11"/>
  <c r="Y139" i="11"/>
  <c r="U139" i="11"/>
  <c r="Q139" i="11"/>
  <c r="M139" i="11"/>
  <c r="I139" i="11"/>
  <c r="E139" i="11"/>
  <c r="AH138" i="11"/>
  <c r="AD138" i="11"/>
  <c r="Z138" i="11"/>
  <c r="V138" i="11"/>
  <c r="R138" i="11"/>
  <c r="N138" i="11"/>
  <c r="J138" i="11"/>
  <c r="F138" i="11"/>
  <c r="AH171" i="11"/>
  <c r="AD171" i="11"/>
  <c r="Z171" i="11"/>
  <c r="V171" i="11"/>
  <c r="R171" i="11"/>
  <c r="N171" i="11"/>
  <c r="J171" i="11"/>
  <c r="AH158" i="11"/>
  <c r="AD158" i="11"/>
  <c r="Z158" i="11"/>
  <c r="V158" i="11"/>
  <c r="R158" i="11"/>
  <c r="N158" i="11"/>
  <c r="J158" i="11"/>
  <c r="AH154" i="11"/>
  <c r="AD154" i="11"/>
  <c r="Z154" i="11"/>
  <c r="V154" i="11"/>
  <c r="R154" i="11"/>
  <c r="N154" i="11"/>
  <c r="J154" i="11"/>
  <c r="AF152" i="11"/>
  <c r="AB152" i="11"/>
  <c r="X152" i="11"/>
  <c r="T152" i="11"/>
  <c r="P152" i="11"/>
  <c r="L152" i="11"/>
  <c r="AH141" i="11"/>
  <c r="AD141" i="11"/>
  <c r="Z141" i="11"/>
  <c r="V141" i="11"/>
  <c r="R141" i="11"/>
  <c r="N141" i="11"/>
  <c r="J141" i="11"/>
  <c r="AF139" i="11"/>
  <c r="AB139" i="11"/>
  <c r="X139" i="11"/>
  <c r="T139" i="11"/>
  <c r="P139" i="11"/>
  <c r="L139" i="11"/>
  <c r="AG138" i="11"/>
  <c r="AC138" i="11"/>
  <c r="Y138" i="11"/>
  <c r="U138" i="11"/>
  <c r="Q138" i="11"/>
  <c r="M138" i="11"/>
  <c r="I138" i="11"/>
  <c r="E138" i="11"/>
  <c r="F137" i="11"/>
  <c r="J137" i="11"/>
  <c r="N137" i="11"/>
  <c r="R137" i="11"/>
  <c r="V137" i="11"/>
  <c r="Z137" i="11"/>
  <c r="AD137" i="11"/>
  <c r="H135" i="11"/>
  <c r="L135" i="11"/>
  <c r="P135" i="11"/>
  <c r="T135" i="11"/>
  <c r="X135" i="11"/>
  <c r="AB135" i="11"/>
  <c r="AF135" i="11"/>
  <c r="E134" i="11"/>
  <c r="I134" i="11"/>
  <c r="M134" i="11"/>
  <c r="Q134" i="11"/>
  <c r="U134" i="11"/>
  <c r="Y134" i="11"/>
  <c r="AC134" i="11"/>
  <c r="AG134" i="11"/>
  <c r="F133" i="11"/>
  <c r="J133" i="11"/>
  <c r="N133" i="11"/>
  <c r="R133" i="11"/>
  <c r="V133" i="11"/>
  <c r="Z133" i="11"/>
  <c r="AD133" i="11"/>
  <c r="AH133" i="11"/>
  <c r="F122" i="11"/>
  <c r="J122" i="11"/>
  <c r="N122" i="11"/>
  <c r="R122" i="11"/>
  <c r="V122" i="11"/>
  <c r="Z122" i="11"/>
  <c r="AD122" i="11"/>
  <c r="AH122" i="11"/>
  <c r="I122" i="11"/>
  <c r="O122" i="11"/>
  <c r="T122" i="11"/>
  <c r="Y122" i="11"/>
  <c r="AE122" i="11"/>
  <c r="E122" i="11"/>
  <c r="K122" i="11"/>
  <c r="P122" i="11"/>
  <c r="U122" i="11"/>
  <c r="AA122" i="11"/>
  <c r="AF122" i="11"/>
  <c r="AD120" i="11"/>
  <c r="E119" i="11"/>
  <c r="I119" i="11"/>
  <c r="M119" i="11"/>
  <c r="Q119" i="11"/>
  <c r="U119" i="11"/>
  <c r="Y119" i="11"/>
  <c r="AC119" i="11"/>
  <c r="AG119" i="11"/>
  <c r="J119" i="11"/>
  <c r="O119" i="11"/>
  <c r="T119" i="11"/>
  <c r="Z119" i="11"/>
  <c r="AE119" i="11"/>
  <c r="F119" i="11"/>
  <c r="K119" i="11"/>
  <c r="P119" i="11"/>
  <c r="V119" i="11"/>
  <c r="AA119" i="11"/>
  <c r="AF119" i="11"/>
  <c r="G119" i="11"/>
  <c r="L119" i="11"/>
  <c r="R119" i="11"/>
  <c r="W119" i="11"/>
  <c r="AB119" i="11"/>
  <c r="AH119" i="11"/>
  <c r="AF138" i="11"/>
  <c r="AB138" i="11"/>
  <c r="X138" i="11"/>
  <c r="T138" i="11"/>
  <c r="P138" i="11"/>
  <c r="L138" i="11"/>
  <c r="H120" i="11"/>
  <c r="L120" i="11"/>
  <c r="P120" i="11"/>
  <c r="T120" i="11"/>
  <c r="X120" i="11"/>
  <c r="AB120" i="11"/>
  <c r="AF120" i="11"/>
  <c r="E120" i="11"/>
  <c r="J120" i="11"/>
  <c r="O120" i="11"/>
  <c r="U120" i="11"/>
  <c r="Z120" i="11"/>
  <c r="AE120" i="11"/>
  <c r="F120" i="11"/>
  <c r="K120" i="11"/>
  <c r="Q120" i="11"/>
  <c r="V120" i="11"/>
  <c r="AA120" i="11"/>
  <c r="AG120" i="11"/>
  <c r="G120" i="11"/>
  <c r="M120" i="11"/>
  <c r="R120" i="11"/>
  <c r="W120" i="11"/>
  <c r="AC120" i="11"/>
  <c r="AH120" i="11"/>
  <c r="H116" i="11"/>
  <c r="L116" i="11"/>
  <c r="P116" i="11"/>
  <c r="T116" i="11"/>
  <c r="X116" i="11"/>
  <c r="AB116" i="11"/>
  <c r="AF116" i="11"/>
  <c r="F116" i="11"/>
  <c r="J116" i="11"/>
  <c r="N116" i="11"/>
  <c r="R116" i="11"/>
  <c r="V116" i="11"/>
  <c r="Z116" i="11"/>
  <c r="AD116" i="11"/>
  <c r="AH116" i="11"/>
  <c r="F118" i="11"/>
  <c r="J118" i="11"/>
  <c r="N118" i="11"/>
  <c r="R118" i="11"/>
  <c r="V118" i="11"/>
  <c r="Z118" i="11"/>
  <c r="AD118" i="11"/>
  <c r="AH118" i="11"/>
  <c r="H118" i="11"/>
  <c r="L118" i="11"/>
  <c r="AG116" i="11"/>
  <c r="Y116" i="11"/>
  <c r="Q116" i="11"/>
  <c r="I116" i="11"/>
  <c r="W103" i="11"/>
  <c r="AE116" i="11"/>
  <c r="W116" i="11"/>
  <c r="O116" i="11"/>
  <c r="G116" i="11"/>
  <c r="H103" i="11"/>
  <c r="L103" i="11"/>
  <c r="P103" i="11"/>
  <c r="T103" i="11"/>
  <c r="X103" i="11"/>
  <c r="AB103" i="11"/>
  <c r="AF103" i="11"/>
  <c r="E103" i="11"/>
  <c r="I103" i="11"/>
  <c r="M103" i="11"/>
  <c r="Q103" i="11"/>
  <c r="U103" i="11"/>
  <c r="Y103" i="11"/>
  <c r="AC103" i="11"/>
  <c r="AG103" i="11"/>
  <c r="F103" i="11"/>
  <c r="J103" i="11"/>
  <c r="N103" i="11"/>
  <c r="R103" i="11"/>
  <c r="V103" i="11"/>
  <c r="Z103" i="11"/>
  <c r="AD103" i="11"/>
  <c r="AH103" i="11"/>
  <c r="AE118" i="11"/>
  <c r="Y118" i="11"/>
  <c r="T118" i="11"/>
  <c r="O118" i="11"/>
  <c r="G118" i="11"/>
  <c r="AC116" i="11"/>
  <c r="U116" i="11"/>
  <c r="M116" i="11"/>
  <c r="E116" i="11"/>
  <c r="AF114" i="11"/>
  <c r="AB114" i="11"/>
  <c r="X114" i="11"/>
  <c r="T114" i="11"/>
  <c r="P114" i="11"/>
  <c r="L114" i="11"/>
  <c r="H114" i="11"/>
  <c r="AF101" i="11"/>
  <c r="AB101" i="11"/>
  <c r="X101" i="11"/>
  <c r="T101" i="11"/>
  <c r="P101" i="11"/>
  <c r="L101" i="11"/>
  <c r="H101" i="11"/>
  <c r="H99" i="11"/>
  <c r="L99" i="11"/>
  <c r="P99" i="11"/>
  <c r="T99" i="11"/>
  <c r="X99" i="11"/>
  <c r="AB99" i="11"/>
  <c r="E98" i="11"/>
  <c r="I98" i="11"/>
  <c r="M98" i="11"/>
  <c r="Q98" i="11"/>
  <c r="U98" i="11"/>
  <c r="Y98" i="11"/>
  <c r="AC98" i="11"/>
  <c r="AG98" i="11"/>
  <c r="F97" i="11"/>
  <c r="J97" i="11"/>
  <c r="N97" i="11"/>
  <c r="R97" i="11"/>
  <c r="V97" i="11"/>
  <c r="Z97" i="11"/>
  <c r="AD97" i="11"/>
  <c r="AH97" i="11"/>
  <c r="AH86" i="11"/>
  <c r="AC86" i="11"/>
  <c r="W86" i="11"/>
  <c r="R86" i="11"/>
  <c r="M86" i="11"/>
  <c r="G86" i="11"/>
  <c r="AH85" i="11"/>
  <c r="AB85" i="11"/>
  <c r="W85" i="11"/>
  <c r="R85" i="11"/>
  <c r="L85" i="11"/>
  <c r="G85" i="11"/>
  <c r="AG84" i="11"/>
  <c r="AB84" i="11"/>
  <c r="W84" i="11"/>
  <c r="Q84" i="11"/>
  <c r="L84" i="11"/>
  <c r="G84" i="11"/>
  <c r="AG86" i="11"/>
  <c r="AA86" i="11"/>
  <c r="V86" i="11"/>
  <c r="Q86" i="11"/>
  <c r="K86" i="11"/>
  <c r="F86" i="11"/>
  <c r="AF85" i="11"/>
  <c r="AA85" i="11"/>
  <c r="V85" i="11"/>
  <c r="P85" i="11"/>
  <c r="K85" i="11"/>
  <c r="F85" i="11"/>
  <c r="AF84" i="11"/>
  <c r="AA84" i="11"/>
  <c r="U84" i="11"/>
  <c r="P84" i="11"/>
  <c r="K84" i="11"/>
  <c r="E84" i="11"/>
  <c r="AG115" i="11"/>
  <c r="AC115" i="11"/>
  <c r="Y115" i="11"/>
  <c r="U115" i="11"/>
  <c r="Q115" i="11"/>
  <c r="M115" i="11"/>
  <c r="I115" i="11"/>
  <c r="AH114" i="11"/>
  <c r="AD114" i="11"/>
  <c r="Z114" i="11"/>
  <c r="V114" i="11"/>
  <c r="R114" i="11"/>
  <c r="N114" i="11"/>
  <c r="J114" i="11"/>
  <c r="AG102" i="11"/>
  <c r="AC102" i="11"/>
  <c r="Y102" i="11"/>
  <c r="U102" i="11"/>
  <c r="Q102" i="11"/>
  <c r="M102" i="11"/>
  <c r="I102" i="11"/>
  <c r="AH101" i="11"/>
  <c r="AD101" i="11"/>
  <c r="Z101" i="11"/>
  <c r="V101" i="11"/>
  <c r="R101" i="11"/>
  <c r="N101" i="11"/>
  <c r="J101" i="11"/>
  <c r="AF99" i="11"/>
  <c r="AA99" i="11"/>
  <c r="V99" i="11"/>
  <c r="Q99" i="11"/>
  <c r="K99" i="11"/>
  <c r="F99" i="11"/>
  <c r="AF98" i="11"/>
  <c r="AA98" i="11"/>
  <c r="V98" i="11"/>
  <c r="P98" i="11"/>
  <c r="K98" i="11"/>
  <c r="F98" i="11"/>
  <c r="AF97" i="11"/>
  <c r="AA97" i="11"/>
  <c r="U97" i="11"/>
  <c r="P97" i="11"/>
  <c r="K97" i="11"/>
  <c r="E97" i="11"/>
  <c r="AE86" i="11"/>
  <c r="Z86" i="11"/>
  <c r="U86" i="11"/>
  <c r="O86" i="11"/>
  <c r="J86" i="11"/>
  <c r="AE85" i="11"/>
  <c r="Z85" i="11"/>
  <c r="T85" i="11"/>
  <c r="O85" i="11"/>
  <c r="AE84" i="11"/>
  <c r="Y84" i="11"/>
  <c r="T84" i="11"/>
  <c r="O84" i="11"/>
  <c r="H86" i="11"/>
  <c r="L86" i="11"/>
  <c r="P86" i="11"/>
  <c r="T86" i="11"/>
  <c r="X86" i="11"/>
  <c r="AB86" i="11"/>
  <c r="AF86" i="11"/>
  <c r="E85" i="11"/>
  <c r="I85" i="11"/>
  <c r="M85" i="11"/>
  <c r="Q85" i="11"/>
  <c r="U85" i="11"/>
  <c r="Y85" i="11"/>
  <c r="AC85" i="11"/>
  <c r="AG85" i="11"/>
  <c r="F84" i="11"/>
  <c r="J84" i="11"/>
  <c r="N84" i="11"/>
  <c r="R84" i="11"/>
  <c r="V84" i="11"/>
  <c r="Z84" i="11"/>
  <c r="AD84" i="11"/>
  <c r="AH84" i="11"/>
  <c r="H60" i="11"/>
  <c r="L60" i="11"/>
  <c r="P60" i="11"/>
  <c r="T60" i="11"/>
  <c r="X60" i="11"/>
  <c r="AB60" i="11"/>
  <c r="AF60" i="11"/>
  <c r="E60" i="11"/>
  <c r="I60" i="11"/>
  <c r="M60" i="11"/>
  <c r="Q60" i="11"/>
  <c r="U60" i="11"/>
  <c r="Y60" i="11"/>
  <c r="AC60" i="11"/>
  <c r="AG60" i="11"/>
  <c r="AE48" i="11"/>
  <c r="O48" i="11"/>
  <c r="S42" i="11"/>
  <c r="AJ25" i="11"/>
  <c r="I25" i="16" s="1"/>
  <c r="F27" i="11"/>
  <c r="F28" i="11" s="1"/>
  <c r="F83" i="11"/>
  <c r="J83" i="11"/>
  <c r="N83" i="11"/>
  <c r="R83" i="11"/>
  <c r="V83" i="11"/>
  <c r="Z83" i="11"/>
  <c r="AD83" i="11"/>
  <c r="AH83" i="11"/>
  <c r="E72" i="11"/>
  <c r="I72" i="11"/>
  <c r="M72" i="11"/>
  <c r="Q72" i="11"/>
  <c r="U72" i="11"/>
  <c r="Y72" i="11"/>
  <c r="AC72" i="11"/>
  <c r="AG72" i="11"/>
  <c r="F71" i="11"/>
  <c r="J71" i="11"/>
  <c r="N71" i="11"/>
  <c r="R71" i="11"/>
  <c r="V71" i="11"/>
  <c r="Z71" i="11"/>
  <c r="AD71" i="11"/>
  <c r="AH71" i="11"/>
  <c r="H69" i="11"/>
  <c r="L69" i="11"/>
  <c r="P69" i="11"/>
  <c r="T69" i="11"/>
  <c r="X69" i="11"/>
  <c r="AB69" i="11"/>
  <c r="AF69" i="11"/>
  <c r="E68" i="11"/>
  <c r="I68" i="11"/>
  <c r="M68" i="11"/>
  <c r="Q68" i="11"/>
  <c r="U68" i="11"/>
  <c r="Y68" i="11"/>
  <c r="AC68" i="11"/>
  <c r="AG68" i="11"/>
  <c r="F67" i="11"/>
  <c r="J67" i="11"/>
  <c r="N67" i="11"/>
  <c r="R67" i="11"/>
  <c r="V67" i="11"/>
  <c r="Z67" i="11"/>
  <c r="AD67" i="11"/>
  <c r="AH67" i="11"/>
  <c r="H65" i="11"/>
  <c r="L65" i="11"/>
  <c r="P65" i="11"/>
  <c r="T65" i="11"/>
  <c r="X65" i="11"/>
  <c r="AB65" i="11"/>
  <c r="AF65" i="11"/>
  <c r="E64" i="11"/>
  <c r="I64" i="11"/>
  <c r="M64" i="11"/>
  <c r="Q64" i="11"/>
  <c r="U64" i="11"/>
  <c r="Y64" i="11"/>
  <c r="AC64" i="11"/>
  <c r="AG64" i="11"/>
  <c r="F63" i="11"/>
  <c r="J63" i="11"/>
  <c r="N63" i="11"/>
  <c r="R63" i="11"/>
  <c r="V63" i="11"/>
  <c r="Z63" i="11"/>
  <c r="AD63" i="11"/>
  <c r="AH63" i="11"/>
  <c r="AA48" i="11"/>
  <c r="K48" i="11"/>
  <c r="W48" i="11"/>
  <c r="H42" i="11"/>
  <c r="L42" i="11"/>
  <c r="P42" i="11"/>
  <c r="T42" i="11"/>
  <c r="X42" i="11"/>
  <c r="AB42" i="11"/>
  <c r="AF42" i="11"/>
  <c r="E42" i="11"/>
  <c r="I42" i="11"/>
  <c r="M42" i="11"/>
  <c r="Q42" i="11"/>
  <c r="U42" i="11"/>
  <c r="Y42" i="11"/>
  <c r="AC42" i="11"/>
  <c r="AG42" i="11"/>
  <c r="F42" i="11"/>
  <c r="N42" i="11"/>
  <c r="V42" i="11"/>
  <c r="AD42" i="11"/>
  <c r="G42" i="11"/>
  <c r="O42" i="11"/>
  <c r="W42" i="11"/>
  <c r="AE42" i="11"/>
  <c r="J42" i="11"/>
  <c r="R42" i="11"/>
  <c r="Z42" i="11"/>
  <c r="AH42" i="11"/>
  <c r="H48" i="11"/>
  <c r="L48" i="11"/>
  <c r="P48" i="11"/>
  <c r="T48" i="11"/>
  <c r="X48" i="11"/>
  <c r="AB48" i="11"/>
  <c r="AF48" i="11"/>
  <c r="E48" i="11"/>
  <c r="I48" i="11"/>
  <c r="M48" i="11"/>
  <c r="Q48" i="11"/>
  <c r="U48" i="11"/>
  <c r="Y48" i="11"/>
  <c r="AC48" i="11"/>
  <c r="AG48" i="11"/>
  <c r="F48" i="11"/>
  <c r="J48" i="11"/>
  <c r="N48" i="11"/>
  <c r="R48" i="11"/>
  <c r="V48" i="11"/>
  <c r="Z48" i="11"/>
  <c r="AD48" i="11"/>
  <c r="AH48" i="11"/>
  <c r="H38" i="11"/>
  <c r="L38" i="11"/>
  <c r="P38" i="11"/>
  <c r="T38" i="11"/>
  <c r="X38" i="11"/>
  <c r="AB38" i="11"/>
  <c r="AF38" i="11"/>
  <c r="E38" i="11"/>
  <c r="I38" i="11"/>
  <c r="M38" i="11"/>
  <c r="Q38" i="11"/>
  <c r="U38" i="11"/>
  <c r="Y38" i="11"/>
  <c r="AC38" i="11"/>
  <c r="AG38" i="11"/>
  <c r="F38" i="11"/>
  <c r="J38" i="11"/>
  <c r="N38" i="11"/>
  <c r="R38" i="11"/>
  <c r="V38" i="11"/>
  <c r="Z38" i="11"/>
  <c r="AD38" i="11"/>
  <c r="AH38" i="11"/>
  <c r="AF61" i="11"/>
  <c r="AB61" i="11"/>
  <c r="X61" i="11"/>
  <c r="T61" i="11"/>
  <c r="P61" i="11"/>
  <c r="L61" i="11"/>
  <c r="AF49" i="11"/>
  <c r="AB49" i="11"/>
  <c r="X49" i="11"/>
  <c r="T49" i="11"/>
  <c r="P49" i="11"/>
  <c r="L49" i="11"/>
  <c r="AH47" i="11"/>
  <c r="AD47" i="11"/>
  <c r="Z47" i="11"/>
  <c r="V47" i="11"/>
  <c r="R47" i="11"/>
  <c r="N47" i="11"/>
  <c r="J47" i="11"/>
  <c r="F47" i="11"/>
  <c r="F45" i="11"/>
  <c r="J45" i="11"/>
  <c r="N45" i="11"/>
  <c r="R45" i="11"/>
  <c r="V45" i="11"/>
  <c r="Z45" i="11"/>
  <c r="AD45" i="11"/>
  <c r="AH45" i="11"/>
  <c r="AE38" i="11"/>
  <c r="O38" i="11"/>
  <c r="AJ26" i="11"/>
  <c r="I26" i="16" s="1"/>
  <c r="AG47" i="11"/>
  <c r="AC47" i="11"/>
  <c r="Y47" i="11"/>
  <c r="U47" i="11"/>
  <c r="Q47" i="11"/>
  <c r="M47" i="11"/>
  <c r="I47" i="11"/>
  <c r="AA38" i="11"/>
  <c r="K38" i="11"/>
  <c r="AF43" i="11"/>
  <c r="AB43" i="11"/>
  <c r="X43" i="11"/>
  <c r="T43" i="11"/>
  <c r="P43" i="11"/>
  <c r="L43" i="11"/>
  <c r="AH41" i="11"/>
  <c r="AD41" i="11"/>
  <c r="Z41" i="11"/>
  <c r="V41" i="11"/>
  <c r="R41" i="11"/>
  <c r="N41" i="11"/>
  <c r="J41" i="11"/>
  <c r="F41" i="11"/>
  <c r="AH37" i="11"/>
  <c r="AD37" i="11"/>
  <c r="Z37" i="11"/>
  <c r="V37" i="11"/>
  <c r="R37" i="11"/>
  <c r="N37" i="11"/>
  <c r="J37" i="11"/>
  <c r="F37" i="11"/>
  <c r="AG41" i="11"/>
  <c r="AC41" i="11"/>
  <c r="Y41" i="11"/>
  <c r="U41" i="11"/>
  <c r="Q41" i="11"/>
  <c r="M41" i="11"/>
  <c r="I41" i="11"/>
  <c r="AG37" i="11"/>
  <c r="AC37" i="11"/>
  <c r="Y37" i="11"/>
  <c r="U37" i="11"/>
  <c r="Q37" i="11"/>
  <c r="M37" i="11"/>
  <c r="I37" i="11"/>
  <c r="E14" i="10"/>
  <c r="F14" i="10"/>
  <c r="G14" i="10"/>
  <c r="H14" i="10"/>
  <c r="I14" i="10"/>
  <c r="J14" i="10"/>
  <c r="K14" i="10"/>
  <c r="L14" i="10"/>
  <c r="M14" i="10"/>
  <c r="N14" i="10"/>
  <c r="O14" i="10"/>
  <c r="P14" i="10"/>
  <c r="Q14" i="10"/>
  <c r="R14" i="10"/>
  <c r="S14" i="10"/>
  <c r="T14" i="10"/>
  <c r="U14" i="10"/>
  <c r="V14" i="10"/>
  <c r="W14" i="10"/>
  <c r="X14" i="10"/>
  <c r="Y14" i="10"/>
  <c r="Z14" i="10"/>
  <c r="AA14" i="10"/>
  <c r="AB14" i="10"/>
  <c r="AC14" i="10"/>
  <c r="AD14" i="10"/>
  <c r="AE14" i="10"/>
  <c r="AF14" i="10"/>
  <c r="AG14" i="10"/>
  <c r="AH14" i="10"/>
  <c r="AI14" i="10"/>
  <c r="E15" i="10"/>
  <c r="F15" i="10"/>
  <c r="G15" i="10"/>
  <c r="H15" i="10"/>
  <c r="I15" i="10"/>
  <c r="J15" i="10"/>
  <c r="K15" i="10"/>
  <c r="L15" i="10"/>
  <c r="M15" i="10"/>
  <c r="N15" i="10"/>
  <c r="O15" i="10"/>
  <c r="P15" i="10"/>
  <c r="Q15" i="10"/>
  <c r="R15" i="10"/>
  <c r="S15" i="10"/>
  <c r="T15" i="10"/>
  <c r="U15" i="10"/>
  <c r="V15" i="10"/>
  <c r="W15" i="10"/>
  <c r="X15" i="10"/>
  <c r="Y15" i="10"/>
  <c r="Z15" i="10"/>
  <c r="AA15" i="10"/>
  <c r="AB15" i="10"/>
  <c r="AC15" i="10"/>
  <c r="AD15" i="10"/>
  <c r="AE15" i="10"/>
  <c r="AF15" i="10"/>
  <c r="AG15" i="10"/>
  <c r="AH15" i="10"/>
  <c r="AI15" i="10"/>
  <c r="E25" i="10"/>
  <c r="F25" i="10"/>
  <c r="G25" i="10"/>
  <c r="H25" i="10"/>
  <c r="I25" i="10"/>
  <c r="J25" i="10"/>
  <c r="K25" i="10"/>
  <c r="L25" i="10"/>
  <c r="M25" i="10"/>
  <c r="N25" i="10"/>
  <c r="O25" i="10"/>
  <c r="P25" i="10"/>
  <c r="Q25" i="10"/>
  <c r="R25" i="10"/>
  <c r="S25" i="10"/>
  <c r="T25" i="10"/>
  <c r="U25" i="10"/>
  <c r="V25" i="10"/>
  <c r="W25" i="10"/>
  <c r="X25" i="10"/>
  <c r="Y25" i="10"/>
  <c r="Z25" i="10"/>
  <c r="AA25" i="10"/>
  <c r="AB25" i="10"/>
  <c r="AC25" i="10"/>
  <c r="AD25" i="10"/>
  <c r="AE25" i="10"/>
  <c r="AF25" i="10"/>
  <c r="AG25" i="10"/>
  <c r="AH25" i="10"/>
  <c r="AI25" i="10"/>
  <c r="E26" i="10"/>
  <c r="F26" i="10"/>
  <c r="G26" i="10"/>
  <c r="H26" i="10"/>
  <c r="I26" i="10"/>
  <c r="J26" i="10"/>
  <c r="K26" i="10"/>
  <c r="L26" i="10"/>
  <c r="M26" i="10"/>
  <c r="N26" i="10"/>
  <c r="O26" i="10"/>
  <c r="P26" i="10"/>
  <c r="Q26" i="10"/>
  <c r="R26" i="10"/>
  <c r="S26" i="10"/>
  <c r="T26" i="10"/>
  <c r="U26" i="10"/>
  <c r="V26" i="10"/>
  <c r="W26" i="10"/>
  <c r="X26" i="10"/>
  <c r="Y26" i="10"/>
  <c r="Z26" i="10"/>
  <c r="AA26" i="10"/>
  <c r="AB26" i="10"/>
  <c r="AC26" i="10"/>
  <c r="AD26" i="10"/>
  <c r="AE26" i="10"/>
  <c r="AF26" i="10"/>
  <c r="AG26" i="10"/>
  <c r="AH26" i="10"/>
  <c r="AI26" i="10"/>
  <c r="C37" i="10"/>
  <c r="C38" i="10"/>
  <c r="C39" i="10"/>
  <c r="F39" i="10" s="1"/>
  <c r="I39" i="10"/>
  <c r="Q39" i="10"/>
  <c r="T39" i="10"/>
  <c r="Y39" i="10"/>
  <c r="AG39" i="10"/>
  <c r="C40" i="10"/>
  <c r="G40" i="10" s="1"/>
  <c r="M40" i="10"/>
  <c r="Y40" i="10"/>
  <c r="AA40" i="10"/>
  <c r="AI40" i="10"/>
  <c r="C41" i="10"/>
  <c r="E41" i="10" s="1"/>
  <c r="J41" i="10"/>
  <c r="K41" i="10"/>
  <c r="P41" i="10"/>
  <c r="R41" i="10"/>
  <c r="W41" i="10"/>
  <c r="Z41" i="10"/>
  <c r="AE41" i="10"/>
  <c r="AF41" i="10"/>
  <c r="C42" i="10"/>
  <c r="C43" i="10"/>
  <c r="O43" i="10" s="1"/>
  <c r="J43" i="10"/>
  <c r="T43" i="10"/>
  <c r="Z43" i="10"/>
  <c r="AE43" i="10"/>
  <c r="C44" i="10"/>
  <c r="C45" i="10"/>
  <c r="C46" i="10"/>
  <c r="M46" i="10" s="1"/>
  <c r="C47" i="10"/>
  <c r="H47" i="10" s="1"/>
  <c r="E47" i="10"/>
  <c r="J47" i="10"/>
  <c r="L47" i="10"/>
  <c r="Q47" i="10"/>
  <c r="T47" i="10"/>
  <c r="Y47" i="10"/>
  <c r="Z47" i="10"/>
  <c r="AF47" i="10"/>
  <c r="AG47" i="10"/>
  <c r="C48" i="10"/>
  <c r="AA48" i="10" s="1"/>
  <c r="C49" i="10"/>
  <c r="W49" i="10"/>
  <c r="C50" i="10"/>
  <c r="AG50" i="10" s="1"/>
  <c r="R50" i="10"/>
  <c r="C60" i="10"/>
  <c r="C61" i="10"/>
  <c r="C62" i="10"/>
  <c r="C63" i="10"/>
  <c r="C64" i="10"/>
  <c r="C65" i="10"/>
  <c r="AA65" i="10" s="1"/>
  <c r="C66" i="10"/>
  <c r="L66" i="10" s="1"/>
  <c r="H66" i="10"/>
  <c r="P66" i="10"/>
  <c r="T66" i="10"/>
  <c r="X66" i="10"/>
  <c r="AF66" i="10"/>
  <c r="C67" i="10"/>
  <c r="E67" i="10" s="1"/>
  <c r="M67" i="10"/>
  <c r="AI67" i="10"/>
  <c r="C68" i="10"/>
  <c r="N68" i="10" s="1"/>
  <c r="C69" i="10"/>
  <c r="C70" i="10"/>
  <c r="K70" i="10" s="1"/>
  <c r="C71" i="10"/>
  <c r="O71" i="10" s="1"/>
  <c r="G71" i="10"/>
  <c r="W71" i="10"/>
  <c r="AC71" i="10"/>
  <c r="C72" i="10"/>
  <c r="AD72" i="10" s="1"/>
  <c r="C82" i="10"/>
  <c r="G82" i="10" s="1"/>
  <c r="E82" i="10"/>
  <c r="I82" i="10"/>
  <c r="J82" i="10"/>
  <c r="N82" i="10"/>
  <c r="P82" i="10"/>
  <c r="T82" i="10"/>
  <c r="U82" i="10"/>
  <c r="Y82" i="10"/>
  <c r="Z82" i="10"/>
  <c r="AD82" i="10"/>
  <c r="AF82" i="10"/>
  <c r="C83" i="10"/>
  <c r="C84" i="10"/>
  <c r="G84" i="10" s="1"/>
  <c r="AA84" i="10"/>
  <c r="C85" i="10"/>
  <c r="C86" i="10"/>
  <c r="H86" i="10"/>
  <c r="L86" i="10"/>
  <c r="P86" i="10"/>
  <c r="T86" i="10"/>
  <c r="X86" i="10"/>
  <c r="AB86" i="10"/>
  <c r="AF86" i="10"/>
  <c r="C96" i="10"/>
  <c r="C97" i="10"/>
  <c r="V97" i="10" s="1"/>
  <c r="F97" i="10"/>
  <c r="AH97" i="10"/>
  <c r="AI97" i="10"/>
  <c r="C98" i="10"/>
  <c r="M98" i="10" s="1"/>
  <c r="C99" i="10"/>
  <c r="C100" i="10"/>
  <c r="S100" i="10" s="1"/>
  <c r="C101" i="10"/>
  <c r="C102" i="10"/>
  <c r="O102" i="10" s="1"/>
  <c r="C103" i="10"/>
  <c r="X103" i="10" s="1"/>
  <c r="E103" i="10"/>
  <c r="AB103" i="10"/>
  <c r="C113" i="10"/>
  <c r="H113" i="10" s="1"/>
  <c r="C114" i="10"/>
  <c r="U114" i="10" s="1"/>
  <c r="C115" i="10"/>
  <c r="M115" i="10" s="1"/>
  <c r="C116" i="10"/>
  <c r="G116" i="10" s="1"/>
  <c r="V116" i="10"/>
  <c r="C117" i="10"/>
  <c r="C118" i="10"/>
  <c r="I118" i="10" s="1"/>
  <c r="C119" i="10"/>
  <c r="AI119" i="10" s="1"/>
  <c r="O119" i="10"/>
  <c r="C120" i="10"/>
  <c r="S120" i="10" s="1"/>
  <c r="C121" i="10"/>
  <c r="C122" i="10"/>
  <c r="H122" i="10" s="1"/>
  <c r="S122" i="10"/>
  <c r="X122" i="10"/>
  <c r="C132" i="10"/>
  <c r="C133" i="10"/>
  <c r="P133" i="10"/>
  <c r="AF133" i="10"/>
  <c r="C134" i="10"/>
  <c r="S134" i="10" s="1"/>
  <c r="C135" i="10"/>
  <c r="L135" i="10" s="1"/>
  <c r="F135" i="10"/>
  <c r="H135" i="10"/>
  <c r="M135" i="10"/>
  <c r="N135" i="10"/>
  <c r="R135" i="10"/>
  <c r="V135" i="10"/>
  <c r="Y135" i="10"/>
  <c r="AB135" i="10"/>
  <c r="AG135" i="10"/>
  <c r="AH135" i="10"/>
  <c r="C136" i="10"/>
  <c r="AF136" i="10" s="1"/>
  <c r="C137" i="10"/>
  <c r="X137" i="10" s="1"/>
  <c r="H137" i="10"/>
  <c r="R137" i="10"/>
  <c r="Z137" i="10"/>
  <c r="C138" i="10"/>
  <c r="K138" i="10" s="1"/>
  <c r="U138" i="10"/>
  <c r="AE138" i="10"/>
  <c r="C139" i="10"/>
  <c r="C140" i="10"/>
  <c r="AF140" i="10" s="1"/>
  <c r="C141" i="10"/>
  <c r="C151" i="10"/>
  <c r="C152" i="10"/>
  <c r="S152" i="10" s="1"/>
  <c r="C153" i="10"/>
  <c r="R153" i="10" s="1"/>
  <c r="C154" i="10"/>
  <c r="G154" i="10"/>
  <c r="K154" i="10"/>
  <c r="O154" i="10"/>
  <c r="Q154" i="10"/>
  <c r="U154" i="10"/>
  <c r="Y154" i="10"/>
  <c r="AB154" i="10"/>
  <c r="AF154" i="10"/>
  <c r="C155" i="10"/>
  <c r="C156" i="10"/>
  <c r="AH156" i="10" s="1"/>
  <c r="N156" i="10"/>
  <c r="C157" i="10"/>
  <c r="C158" i="10"/>
  <c r="C168" i="10"/>
  <c r="W168" i="10" s="1"/>
  <c r="H168" i="10"/>
  <c r="AG168" i="10"/>
  <c r="C169" i="10"/>
  <c r="L169" i="10" s="1"/>
  <c r="C170" i="10"/>
  <c r="S170" i="10" s="1"/>
  <c r="G170" i="10"/>
  <c r="C171" i="10"/>
  <c r="S171" i="10" s="1"/>
  <c r="C172" i="10"/>
  <c r="L172" i="10" s="1"/>
  <c r="C173" i="10"/>
  <c r="C174" i="10"/>
  <c r="R174" i="10" s="1"/>
  <c r="AH174" i="10"/>
  <c r="C175" i="10"/>
  <c r="Z175" i="10" s="1"/>
  <c r="C176" i="10"/>
  <c r="G176" i="10" s="1"/>
  <c r="C177" i="10"/>
  <c r="AH177" i="10" s="1"/>
  <c r="C187" i="10"/>
  <c r="C188" i="10"/>
  <c r="H188" i="10"/>
  <c r="I188" i="10"/>
  <c r="L188" i="10"/>
  <c r="P188" i="10"/>
  <c r="Q188" i="10"/>
  <c r="T188" i="10"/>
  <c r="X188" i="10"/>
  <c r="Y188" i="10"/>
  <c r="AB188" i="10"/>
  <c r="AF188" i="10"/>
  <c r="AG188" i="10"/>
  <c r="C189" i="10"/>
  <c r="O189" i="10"/>
  <c r="C190" i="10"/>
  <c r="C191" i="10"/>
  <c r="J191" i="10" s="1"/>
  <c r="C192" i="10"/>
  <c r="H192" i="10"/>
  <c r="I192" i="10"/>
  <c r="M192" i="10"/>
  <c r="N192" i="10"/>
  <c r="R192" i="10"/>
  <c r="T192" i="10"/>
  <c r="X192" i="10"/>
  <c r="Y192" i="10"/>
  <c r="AC192" i="10"/>
  <c r="AD192" i="10"/>
  <c r="AH192" i="10"/>
  <c r="C193" i="10"/>
  <c r="O193" i="10" s="1"/>
  <c r="H193" i="10"/>
  <c r="I193" i="10"/>
  <c r="S193" i="10"/>
  <c r="T193" i="10"/>
  <c r="Y193" i="10"/>
  <c r="AE193" i="10"/>
  <c r="C194" i="10"/>
  <c r="O194" i="10" s="1"/>
  <c r="C195" i="10"/>
  <c r="H195" i="10" s="1"/>
  <c r="F195" i="10"/>
  <c r="G195" i="10"/>
  <c r="N195" i="10"/>
  <c r="O195" i="10"/>
  <c r="S195" i="10"/>
  <c r="W195" i="10"/>
  <c r="AA195" i="10"/>
  <c r="AD195" i="10"/>
  <c r="AI195" i="10"/>
  <c r="C196" i="10"/>
  <c r="AF196" i="10"/>
  <c r="C206" i="10"/>
  <c r="O206" i="10" s="1"/>
  <c r="C207" i="10"/>
  <c r="AI207" i="10" s="1"/>
  <c r="C208" i="10"/>
  <c r="F208" i="10" s="1"/>
  <c r="AI208" i="10"/>
  <c r="C209" i="10"/>
  <c r="C210" i="10"/>
  <c r="G210" i="10"/>
  <c r="K210" i="10"/>
  <c r="O210" i="10"/>
  <c r="Q210" i="10"/>
  <c r="U210" i="10"/>
  <c r="Y210" i="10"/>
  <c r="AB210" i="10"/>
  <c r="AF210" i="10"/>
  <c r="C211" i="10"/>
  <c r="C212" i="10"/>
  <c r="G212" i="10" s="1"/>
  <c r="O212" i="10"/>
  <c r="C213" i="10"/>
  <c r="U213" i="10"/>
  <c r="E14" i="9"/>
  <c r="F14" i="9"/>
  <c r="G14" i="9"/>
  <c r="H14" i="9"/>
  <c r="I14" i="9"/>
  <c r="J14" i="9"/>
  <c r="K14" i="9"/>
  <c r="L14" i="9"/>
  <c r="M14" i="9"/>
  <c r="N14" i="9"/>
  <c r="O14" i="9"/>
  <c r="P14" i="9"/>
  <c r="Q14" i="9"/>
  <c r="R14" i="9"/>
  <c r="S14" i="9"/>
  <c r="T14" i="9"/>
  <c r="U14" i="9"/>
  <c r="V14" i="9"/>
  <c r="W14" i="9"/>
  <c r="X14" i="9"/>
  <c r="Y14" i="9"/>
  <c r="Z14" i="9"/>
  <c r="AA14" i="9"/>
  <c r="AB14" i="9"/>
  <c r="AC14" i="9"/>
  <c r="AD14" i="9"/>
  <c r="AE14" i="9"/>
  <c r="AF14" i="9"/>
  <c r="AG14" i="9"/>
  <c r="AH14" i="9"/>
  <c r="AI14" i="9"/>
  <c r="E15" i="9"/>
  <c r="F15" i="9"/>
  <c r="G15" i="9"/>
  <c r="H15" i="9"/>
  <c r="I15" i="9"/>
  <c r="J15" i="9"/>
  <c r="K15" i="9"/>
  <c r="L15" i="9"/>
  <c r="M15" i="9"/>
  <c r="N15" i="9"/>
  <c r="O15" i="9"/>
  <c r="P15" i="9"/>
  <c r="Q15" i="9"/>
  <c r="R15" i="9"/>
  <c r="S15" i="9"/>
  <c r="T15" i="9"/>
  <c r="U15" i="9"/>
  <c r="V15" i="9"/>
  <c r="W15" i="9"/>
  <c r="X15" i="9"/>
  <c r="Y15" i="9"/>
  <c r="Z15" i="9"/>
  <c r="AA15" i="9"/>
  <c r="AB15" i="9"/>
  <c r="AC15" i="9"/>
  <c r="AD15" i="9"/>
  <c r="AE15" i="9"/>
  <c r="AF15" i="9"/>
  <c r="AG15" i="9"/>
  <c r="AH15" i="9"/>
  <c r="AI15" i="9"/>
  <c r="E25" i="9"/>
  <c r="F25" i="9"/>
  <c r="G25" i="9"/>
  <c r="H25" i="9"/>
  <c r="I25" i="9"/>
  <c r="J25" i="9"/>
  <c r="K25" i="9"/>
  <c r="L25" i="9"/>
  <c r="M25" i="9"/>
  <c r="N25" i="9"/>
  <c r="O25" i="9"/>
  <c r="P25" i="9"/>
  <c r="Q25" i="9"/>
  <c r="R25" i="9"/>
  <c r="S25" i="9"/>
  <c r="T25" i="9"/>
  <c r="U25" i="9"/>
  <c r="V25" i="9"/>
  <c r="W25" i="9"/>
  <c r="X25" i="9"/>
  <c r="Y25" i="9"/>
  <c r="Z25" i="9"/>
  <c r="AA25" i="9"/>
  <c r="AB25" i="9"/>
  <c r="AC25" i="9"/>
  <c r="AD25" i="9"/>
  <c r="AE25" i="9"/>
  <c r="AF25" i="9"/>
  <c r="AG25" i="9"/>
  <c r="AH25" i="9"/>
  <c r="AI25" i="9"/>
  <c r="E26" i="9"/>
  <c r="F26" i="9"/>
  <c r="G26" i="9"/>
  <c r="H26" i="9"/>
  <c r="I26" i="9"/>
  <c r="J26" i="9"/>
  <c r="K26" i="9"/>
  <c r="L26" i="9"/>
  <c r="M26" i="9"/>
  <c r="N26" i="9"/>
  <c r="O26" i="9"/>
  <c r="P26" i="9"/>
  <c r="Q26" i="9"/>
  <c r="R26" i="9"/>
  <c r="S26" i="9"/>
  <c r="T26" i="9"/>
  <c r="U26" i="9"/>
  <c r="V26" i="9"/>
  <c r="W26" i="9"/>
  <c r="X26" i="9"/>
  <c r="Y26" i="9"/>
  <c r="Z26" i="9"/>
  <c r="AA26" i="9"/>
  <c r="AB26" i="9"/>
  <c r="AC26" i="9"/>
  <c r="AD26" i="9"/>
  <c r="AE26" i="9"/>
  <c r="AF26" i="9"/>
  <c r="AG26" i="9"/>
  <c r="AH26" i="9"/>
  <c r="AI26" i="9"/>
  <c r="C37" i="9"/>
  <c r="C38" i="9"/>
  <c r="G38" i="9" s="1"/>
  <c r="W38" i="9"/>
  <c r="C39" i="9"/>
  <c r="E39" i="9" s="1"/>
  <c r="J39" i="9"/>
  <c r="N39" i="9"/>
  <c r="U39" i="9"/>
  <c r="AC39" i="9"/>
  <c r="AH39" i="9"/>
  <c r="C40" i="9"/>
  <c r="Y40" i="9"/>
  <c r="AA40" i="9"/>
  <c r="C41" i="9"/>
  <c r="W41" i="9" s="1"/>
  <c r="C42" i="9"/>
  <c r="C43" i="9"/>
  <c r="R43" i="9" s="1"/>
  <c r="C44" i="9"/>
  <c r="E44" i="9"/>
  <c r="O44" i="9"/>
  <c r="T44" i="9"/>
  <c r="U44" i="9"/>
  <c r="AF44" i="9"/>
  <c r="AI44" i="9"/>
  <c r="C45" i="9"/>
  <c r="V45" i="9"/>
  <c r="W45" i="9"/>
  <c r="C46" i="9"/>
  <c r="P46" i="9" s="1"/>
  <c r="C47" i="9"/>
  <c r="S47" i="9" s="1"/>
  <c r="K47" i="9"/>
  <c r="W47" i="9"/>
  <c r="C48" i="9"/>
  <c r="C49" i="9"/>
  <c r="M49" i="9"/>
  <c r="R49" i="9"/>
  <c r="Z49" i="9"/>
  <c r="AE49" i="9"/>
  <c r="C50" i="9"/>
  <c r="C60" i="9"/>
  <c r="AI60" i="9" s="1"/>
  <c r="C61" i="9"/>
  <c r="C62" i="9"/>
  <c r="L62" i="9" s="1"/>
  <c r="C63" i="9"/>
  <c r="S63" i="9" s="1"/>
  <c r="C64" i="9"/>
  <c r="N64" i="9" s="1"/>
  <c r="C65" i="9"/>
  <c r="C66" i="9"/>
  <c r="E66" i="9" s="1"/>
  <c r="C67" i="9"/>
  <c r="X67" i="9" s="1"/>
  <c r="C68" i="9"/>
  <c r="X68" i="9" s="1"/>
  <c r="C69" i="9"/>
  <c r="N69" i="9" s="1"/>
  <c r="C70" i="9"/>
  <c r="L70" i="9"/>
  <c r="AB70" i="9"/>
  <c r="AE70" i="9"/>
  <c r="C71" i="9"/>
  <c r="X71" i="9" s="1"/>
  <c r="C72" i="9"/>
  <c r="C82" i="9"/>
  <c r="C83" i="9"/>
  <c r="S83" i="9"/>
  <c r="C84" i="9"/>
  <c r="O84" i="9" s="1"/>
  <c r="C85" i="9"/>
  <c r="AE85" i="9" s="1"/>
  <c r="C86" i="9"/>
  <c r="C96" i="9"/>
  <c r="C97" i="9"/>
  <c r="J97" i="9"/>
  <c r="R97" i="9"/>
  <c r="V97" i="9"/>
  <c r="Z97" i="9"/>
  <c r="AF97" i="9"/>
  <c r="C98" i="9"/>
  <c r="C99" i="9"/>
  <c r="V99" i="9" s="1"/>
  <c r="C100" i="9"/>
  <c r="C101" i="9"/>
  <c r="C102" i="9"/>
  <c r="S102" i="9" s="1"/>
  <c r="Y102" i="9"/>
  <c r="C103" i="9"/>
  <c r="F103" i="9" s="1"/>
  <c r="L103" i="9"/>
  <c r="Q103" i="9"/>
  <c r="X103" i="9"/>
  <c r="AD103" i="9"/>
  <c r="AH103" i="9"/>
  <c r="C113" i="9"/>
  <c r="H113" i="9"/>
  <c r="AC113" i="9"/>
  <c r="AI113" i="9"/>
  <c r="C114" i="9"/>
  <c r="S114" i="9" s="1"/>
  <c r="H114" i="9"/>
  <c r="AB114" i="9"/>
  <c r="C115" i="9"/>
  <c r="C116" i="9"/>
  <c r="F116" i="9"/>
  <c r="S116" i="9"/>
  <c r="AA116" i="9"/>
  <c r="C117" i="9"/>
  <c r="F117" i="9"/>
  <c r="J117" i="9"/>
  <c r="K117" i="9"/>
  <c r="O117" i="9"/>
  <c r="P117" i="9"/>
  <c r="T117" i="9"/>
  <c r="V117" i="9"/>
  <c r="Z117" i="9"/>
  <c r="AA117" i="9"/>
  <c r="AE117" i="9"/>
  <c r="AF117" i="9"/>
  <c r="C118" i="9"/>
  <c r="E118" i="9"/>
  <c r="S118" i="9"/>
  <c r="T118" i="9"/>
  <c r="AF118" i="9"/>
  <c r="AI118" i="9"/>
  <c r="C119" i="9"/>
  <c r="S119" i="9" s="1"/>
  <c r="AB119" i="9"/>
  <c r="C120" i="9"/>
  <c r="K120" i="9"/>
  <c r="C121" i="9"/>
  <c r="Y121" i="9" s="1"/>
  <c r="C122" i="9"/>
  <c r="S122" i="9" s="1"/>
  <c r="C132" i="9"/>
  <c r="X132" i="9" s="1"/>
  <c r="C133" i="9"/>
  <c r="C134" i="9"/>
  <c r="E134" i="9"/>
  <c r="L134" i="9"/>
  <c r="M134" i="9"/>
  <c r="Q134" i="9"/>
  <c r="U134" i="9"/>
  <c r="Y134" i="9"/>
  <c r="AB134" i="9"/>
  <c r="AG134" i="9"/>
  <c r="C135" i="9"/>
  <c r="M135" i="9"/>
  <c r="C136" i="9"/>
  <c r="N136" i="9"/>
  <c r="S136" i="9"/>
  <c r="AB136" i="9"/>
  <c r="AH136" i="9"/>
  <c r="C137" i="9"/>
  <c r="AI137" i="9" s="1"/>
  <c r="AB137" i="9"/>
  <c r="C138" i="9"/>
  <c r="W138" i="9" s="1"/>
  <c r="M138" i="9"/>
  <c r="O138" i="9"/>
  <c r="AC138" i="9"/>
  <c r="C139" i="9"/>
  <c r="Z139" i="9" s="1"/>
  <c r="C140" i="9"/>
  <c r="C141" i="9"/>
  <c r="L141" i="9" s="1"/>
  <c r="C151" i="9"/>
  <c r="W151" i="9" s="1"/>
  <c r="C152" i="9"/>
  <c r="O152" i="9" s="1"/>
  <c r="Z152" i="9"/>
  <c r="C153" i="9"/>
  <c r="W153" i="9" s="1"/>
  <c r="C154" i="9"/>
  <c r="L154" i="9" s="1"/>
  <c r="C155" i="9"/>
  <c r="Y155" i="9" s="1"/>
  <c r="I155" i="9"/>
  <c r="AI155" i="9"/>
  <c r="C156" i="9"/>
  <c r="E156" i="9"/>
  <c r="C157" i="9"/>
  <c r="U157" i="9" s="1"/>
  <c r="C158" i="9"/>
  <c r="AF158" i="9" s="1"/>
  <c r="C168" i="9"/>
  <c r="S168" i="9" s="1"/>
  <c r="C169" i="9"/>
  <c r="E169" i="9"/>
  <c r="M169" i="9"/>
  <c r="AB169" i="9"/>
  <c r="C170" i="9"/>
  <c r="AA170" i="9" s="1"/>
  <c r="C171" i="9"/>
  <c r="C172" i="9"/>
  <c r="Y172" i="9" s="1"/>
  <c r="C173" i="9"/>
  <c r="I173" i="9" s="1"/>
  <c r="C174" i="9"/>
  <c r="G174" i="9" s="1"/>
  <c r="AE174" i="9"/>
  <c r="AF174" i="9"/>
  <c r="C175" i="9"/>
  <c r="C176" i="9"/>
  <c r="N176" i="9" s="1"/>
  <c r="C177" i="9"/>
  <c r="C187" i="9"/>
  <c r="P187" i="9" s="1"/>
  <c r="C188" i="9"/>
  <c r="O188" i="9" s="1"/>
  <c r="C189" i="9"/>
  <c r="S189" i="9"/>
  <c r="U189" i="9"/>
  <c r="C190" i="9"/>
  <c r="L190" i="9" s="1"/>
  <c r="C191" i="9"/>
  <c r="K191" i="9"/>
  <c r="AF191" i="9"/>
  <c r="C192" i="9"/>
  <c r="AE192" i="9" s="1"/>
  <c r="C193" i="9"/>
  <c r="AI193" i="9" s="1"/>
  <c r="C194" i="9"/>
  <c r="Y194" i="9"/>
  <c r="C195" i="9"/>
  <c r="I195" i="9" s="1"/>
  <c r="T195" i="9"/>
  <c r="Y195" i="9"/>
  <c r="C196" i="9"/>
  <c r="AI196" i="9" s="1"/>
  <c r="C206" i="9"/>
  <c r="S206" i="9" s="1"/>
  <c r="C207" i="9"/>
  <c r="C208" i="9"/>
  <c r="C209" i="9"/>
  <c r="C210" i="9"/>
  <c r="AA210" i="9" s="1"/>
  <c r="C211" i="9"/>
  <c r="AH211" i="9" s="1"/>
  <c r="C212" i="9"/>
  <c r="P212" i="9" s="1"/>
  <c r="C213" i="9"/>
  <c r="AE213" i="9" s="1"/>
  <c r="E14" i="8"/>
  <c r="F14" i="8"/>
  <c r="G14" i="8"/>
  <c r="H14" i="8"/>
  <c r="I14" i="8"/>
  <c r="J14" i="8"/>
  <c r="K14" i="8"/>
  <c r="L14" i="8"/>
  <c r="M14" i="8"/>
  <c r="N14" i="8"/>
  <c r="O14" i="8"/>
  <c r="P14" i="8"/>
  <c r="Q14" i="8"/>
  <c r="R14" i="8"/>
  <c r="S14" i="8"/>
  <c r="T14" i="8"/>
  <c r="U14" i="8"/>
  <c r="V14" i="8"/>
  <c r="W14" i="8"/>
  <c r="X14" i="8"/>
  <c r="Y14" i="8"/>
  <c r="Z14" i="8"/>
  <c r="AA14" i="8"/>
  <c r="AB14" i="8"/>
  <c r="AC14" i="8"/>
  <c r="AD14" i="8"/>
  <c r="AE14" i="8"/>
  <c r="AF14" i="8"/>
  <c r="AG14" i="8"/>
  <c r="AH14" i="8"/>
  <c r="AI14" i="8"/>
  <c r="E15" i="8"/>
  <c r="F15" i="8"/>
  <c r="G15" i="8"/>
  <c r="H15" i="8"/>
  <c r="I15" i="8"/>
  <c r="J15" i="8"/>
  <c r="K15" i="8"/>
  <c r="L15" i="8"/>
  <c r="M15" i="8"/>
  <c r="N15" i="8"/>
  <c r="O15" i="8"/>
  <c r="P15" i="8"/>
  <c r="Q15" i="8"/>
  <c r="R15" i="8"/>
  <c r="S15" i="8"/>
  <c r="T15" i="8"/>
  <c r="U15" i="8"/>
  <c r="V15" i="8"/>
  <c r="W15" i="8"/>
  <c r="X15" i="8"/>
  <c r="Y15" i="8"/>
  <c r="Z15" i="8"/>
  <c r="AA15" i="8"/>
  <c r="AB15" i="8"/>
  <c r="AC15" i="8"/>
  <c r="AD15" i="8"/>
  <c r="AE15" i="8"/>
  <c r="AF15" i="8"/>
  <c r="AG15" i="8"/>
  <c r="AH15" i="8"/>
  <c r="AI15" i="8"/>
  <c r="E25" i="8"/>
  <c r="F25" i="8"/>
  <c r="G25" i="8"/>
  <c r="H25" i="8"/>
  <c r="I25" i="8"/>
  <c r="J25" i="8"/>
  <c r="K25" i="8"/>
  <c r="L25" i="8"/>
  <c r="M25" i="8"/>
  <c r="N25" i="8"/>
  <c r="O25" i="8"/>
  <c r="P25" i="8"/>
  <c r="Q25" i="8"/>
  <c r="R25" i="8"/>
  <c r="S25" i="8"/>
  <c r="T25" i="8"/>
  <c r="U25" i="8"/>
  <c r="V25" i="8"/>
  <c r="W25" i="8"/>
  <c r="X25" i="8"/>
  <c r="Y25" i="8"/>
  <c r="Z25" i="8"/>
  <c r="AA25" i="8"/>
  <c r="AB25" i="8"/>
  <c r="AC25" i="8"/>
  <c r="AD25" i="8"/>
  <c r="AE25" i="8"/>
  <c r="AF25" i="8"/>
  <c r="AG25" i="8"/>
  <c r="AH25" i="8"/>
  <c r="AI25" i="8"/>
  <c r="E26" i="8"/>
  <c r="F26" i="8"/>
  <c r="G26" i="8"/>
  <c r="H26" i="8"/>
  <c r="I26" i="8"/>
  <c r="J26" i="8"/>
  <c r="K26" i="8"/>
  <c r="L26" i="8"/>
  <c r="M26" i="8"/>
  <c r="N26" i="8"/>
  <c r="O26" i="8"/>
  <c r="P26" i="8"/>
  <c r="Q26" i="8"/>
  <c r="R26" i="8"/>
  <c r="S26" i="8"/>
  <c r="T26" i="8"/>
  <c r="U26" i="8"/>
  <c r="V26" i="8"/>
  <c r="W26" i="8"/>
  <c r="X26" i="8"/>
  <c r="Y26" i="8"/>
  <c r="Z26" i="8"/>
  <c r="AA26" i="8"/>
  <c r="AB26" i="8"/>
  <c r="AC26" i="8"/>
  <c r="AD26" i="8"/>
  <c r="AE26" i="8"/>
  <c r="AF26" i="8"/>
  <c r="AG26" i="8"/>
  <c r="AH26" i="8"/>
  <c r="AI26" i="8"/>
  <c r="C37" i="8"/>
  <c r="C38" i="8"/>
  <c r="G38" i="8" s="1"/>
  <c r="C39" i="8"/>
  <c r="C40" i="8"/>
  <c r="H40" i="8"/>
  <c r="L40" i="8"/>
  <c r="S40" i="8"/>
  <c r="T40" i="8"/>
  <c r="V40" i="8"/>
  <c r="AA40" i="8"/>
  <c r="AD40" i="8"/>
  <c r="AF40" i="8"/>
  <c r="C41" i="8"/>
  <c r="O41" i="8" s="1"/>
  <c r="C42" i="8"/>
  <c r="C43" i="8"/>
  <c r="C44" i="8"/>
  <c r="F44" i="8" s="1"/>
  <c r="E44" i="8"/>
  <c r="G44" i="8"/>
  <c r="H44" i="8"/>
  <c r="I44" i="8"/>
  <c r="K44" i="8"/>
  <c r="L44" i="8"/>
  <c r="M44" i="8"/>
  <c r="O44" i="8"/>
  <c r="P44" i="8"/>
  <c r="Q44" i="8"/>
  <c r="S44" i="8"/>
  <c r="T44" i="8"/>
  <c r="U44" i="8"/>
  <c r="W44" i="8"/>
  <c r="X44" i="8"/>
  <c r="Y44" i="8"/>
  <c r="AA44" i="8"/>
  <c r="AB44" i="8"/>
  <c r="AC44" i="8"/>
  <c r="AE44" i="8"/>
  <c r="AF44" i="8"/>
  <c r="AG44" i="8"/>
  <c r="AI44" i="8"/>
  <c r="C45" i="8"/>
  <c r="R45" i="8" s="1"/>
  <c r="G45" i="8"/>
  <c r="AI45" i="8"/>
  <c r="C46" i="8"/>
  <c r="Y46" i="8" s="1"/>
  <c r="AG46" i="8"/>
  <c r="C47" i="8"/>
  <c r="C48" i="8"/>
  <c r="C49" i="8"/>
  <c r="N49" i="8" s="1"/>
  <c r="AI49" i="8"/>
  <c r="C50" i="8"/>
  <c r="C60" i="8"/>
  <c r="W60" i="8" s="1"/>
  <c r="C61" i="8"/>
  <c r="H61" i="8"/>
  <c r="C62" i="8"/>
  <c r="M62" i="8" s="1"/>
  <c r="C63" i="8"/>
  <c r="K63" i="8" s="1"/>
  <c r="M63" i="8"/>
  <c r="U63" i="8"/>
  <c r="AC63" i="8"/>
  <c r="C64" i="8"/>
  <c r="AE64" i="8" s="1"/>
  <c r="C65" i="8"/>
  <c r="C66" i="8"/>
  <c r="F66" i="8"/>
  <c r="H66" i="8"/>
  <c r="N66" i="8"/>
  <c r="O66" i="8"/>
  <c r="S66" i="8"/>
  <c r="T66" i="8"/>
  <c r="V66" i="8"/>
  <c r="Z66" i="8"/>
  <c r="AA66" i="8"/>
  <c r="AD66" i="8"/>
  <c r="AF66" i="8"/>
  <c r="AI66" i="8"/>
  <c r="C67" i="8"/>
  <c r="U67" i="8" s="1"/>
  <c r="C68" i="8"/>
  <c r="AI68" i="8" s="1"/>
  <c r="T68" i="8"/>
  <c r="C69" i="8"/>
  <c r="K69" i="8" s="1"/>
  <c r="U69" i="8"/>
  <c r="C70" i="8"/>
  <c r="I70" i="8" s="1"/>
  <c r="C71" i="8"/>
  <c r="C72" i="8"/>
  <c r="C82" i="8"/>
  <c r="C83" i="8"/>
  <c r="S83" i="8" s="1"/>
  <c r="AC83" i="8"/>
  <c r="C84" i="8"/>
  <c r="K84" i="8" s="1"/>
  <c r="C85" i="8"/>
  <c r="AD85" i="8" s="1"/>
  <c r="Y85" i="8"/>
  <c r="C86" i="8"/>
  <c r="L86" i="8" s="1"/>
  <c r="P86" i="8"/>
  <c r="Y86" i="8"/>
  <c r="C96" i="8"/>
  <c r="C97" i="8"/>
  <c r="F97" i="8" s="1"/>
  <c r="N97" i="8"/>
  <c r="AE97" i="8"/>
  <c r="C98" i="8"/>
  <c r="AH98" i="8"/>
  <c r="C99" i="8"/>
  <c r="P99" i="8"/>
  <c r="T99" i="8"/>
  <c r="C100" i="8"/>
  <c r="Y100" i="8"/>
  <c r="C101" i="8"/>
  <c r="C102" i="8"/>
  <c r="AI102" i="8"/>
  <c r="C103" i="8"/>
  <c r="M103" i="8" s="1"/>
  <c r="E103" i="8"/>
  <c r="H103" i="8"/>
  <c r="P103" i="8"/>
  <c r="T103" i="8"/>
  <c r="X103" i="8"/>
  <c r="AC103" i="8"/>
  <c r="C113" i="8"/>
  <c r="AE113" i="8" s="1"/>
  <c r="C114" i="8"/>
  <c r="O114" i="8"/>
  <c r="S114" i="8"/>
  <c r="AI114" i="8"/>
  <c r="C115" i="8"/>
  <c r="O115" i="8"/>
  <c r="AE115" i="8"/>
  <c r="C116" i="8"/>
  <c r="AA116" i="8" s="1"/>
  <c r="C117" i="8"/>
  <c r="K117" i="8" s="1"/>
  <c r="P117" i="8"/>
  <c r="AE117" i="8"/>
  <c r="C118" i="8"/>
  <c r="K118" i="8" s="1"/>
  <c r="C119" i="8"/>
  <c r="N119" i="8" s="1"/>
  <c r="AD119" i="8"/>
  <c r="AI119" i="8"/>
  <c r="C120" i="8"/>
  <c r="C121" i="8"/>
  <c r="C122" i="8"/>
  <c r="X122" i="8" s="1"/>
  <c r="C132" i="8"/>
  <c r="Y132" i="8" s="1"/>
  <c r="C133" i="8"/>
  <c r="L133" i="8"/>
  <c r="AB133" i="8"/>
  <c r="C134" i="8"/>
  <c r="C135" i="8"/>
  <c r="Z135" i="8" s="1"/>
  <c r="C136" i="8"/>
  <c r="C137" i="8"/>
  <c r="C138" i="8"/>
  <c r="C139" i="8"/>
  <c r="H139" i="8" s="1"/>
  <c r="C140" i="8"/>
  <c r="AI140" i="8" s="1"/>
  <c r="C141" i="8"/>
  <c r="E141" i="8" s="1"/>
  <c r="C151" i="8"/>
  <c r="AI151" i="8" s="1"/>
  <c r="C152" i="8"/>
  <c r="C153" i="8"/>
  <c r="K153" i="8" s="1"/>
  <c r="C154" i="8"/>
  <c r="AI154" i="8" s="1"/>
  <c r="C155" i="8"/>
  <c r="J155" i="8" s="1"/>
  <c r="C156" i="8"/>
  <c r="C157" i="8"/>
  <c r="T157" i="8" s="1"/>
  <c r="C158" i="8"/>
  <c r="T158" i="8" s="1"/>
  <c r="P158" i="8"/>
  <c r="AF158" i="8"/>
  <c r="AI158" i="8"/>
  <c r="C168" i="8"/>
  <c r="C169" i="8"/>
  <c r="T169" i="8" s="1"/>
  <c r="H169" i="8"/>
  <c r="I169" i="8"/>
  <c r="Y169" i="8"/>
  <c r="AF169" i="8"/>
  <c r="C170" i="8"/>
  <c r="C171" i="8"/>
  <c r="AA171" i="8"/>
  <c r="C172" i="8"/>
  <c r="L172" i="8" s="1"/>
  <c r="G172" i="8"/>
  <c r="H172" i="8"/>
  <c r="N172" i="8"/>
  <c r="O172" i="8"/>
  <c r="R172" i="8"/>
  <c r="T172" i="8"/>
  <c r="W172" i="8"/>
  <c r="X172" i="8"/>
  <c r="AB172" i="8"/>
  <c r="AD172" i="8"/>
  <c r="AE172" i="8"/>
  <c r="AI172" i="8"/>
  <c r="C173" i="8"/>
  <c r="G173" i="8" s="1"/>
  <c r="AI173" i="8"/>
  <c r="C174" i="8"/>
  <c r="M174" i="8" s="1"/>
  <c r="X174" i="8"/>
  <c r="C175" i="8"/>
  <c r="O175" i="8" s="1"/>
  <c r="C176" i="8"/>
  <c r="P176" i="8" s="1"/>
  <c r="C177" i="8"/>
  <c r="C187" i="8"/>
  <c r="G187" i="8" s="1"/>
  <c r="L187" i="8"/>
  <c r="X187" i="8"/>
  <c r="AG187" i="8"/>
  <c r="C188" i="8"/>
  <c r="I188" i="8"/>
  <c r="C189" i="8"/>
  <c r="E189" i="8" s="1"/>
  <c r="F189" i="8"/>
  <c r="L189" i="8"/>
  <c r="O189" i="8"/>
  <c r="R189" i="8"/>
  <c r="Z189" i="8"/>
  <c r="AA189" i="8"/>
  <c r="AF189" i="8"/>
  <c r="C190" i="8"/>
  <c r="G190" i="8" s="1"/>
  <c r="C191" i="8"/>
  <c r="S191" i="8" s="1"/>
  <c r="H191" i="8"/>
  <c r="AB191" i="8"/>
  <c r="C192" i="8"/>
  <c r="F192" i="8" s="1"/>
  <c r="E192" i="8"/>
  <c r="K192" i="8"/>
  <c r="M192" i="8"/>
  <c r="O192" i="8"/>
  <c r="U192" i="8"/>
  <c r="W192" i="8"/>
  <c r="AA192" i="8"/>
  <c r="AE192" i="8"/>
  <c r="AI192" i="8"/>
  <c r="C193" i="8"/>
  <c r="C194" i="8"/>
  <c r="G194" i="8" s="1"/>
  <c r="C195" i="8"/>
  <c r="S195" i="8" s="1"/>
  <c r="G195" i="8"/>
  <c r="AB195" i="8"/>
  <c r="C196" i="8"/>
  <c r="F196" i="8" s="1"/>
  <c r="E196" i="8"/>
  <c r="O196" i="8"/>
  <c r="W196" i="8"/>
  <c r="AA196" i="8"/>
  <c r="C206" i="8"/>
  <c r="N206" i="8" s="1"/>
  <c r="C207" i="8"/>
  <c r="K207" i="8" s="1"/>
  <c r="C208" i="8"/>
  <c r="I208" i="8" s="1"/>
  <c r="E208" i="8"/>
  <c r="L208" i="8"/>
  <c r="T208" i="8"/>
  <c r="U208" i="8"/>
  <c r="AB208" i="8"/>
  <c r="C209" i="8"/>
  <c r="S209" i="8" s="1"/>
  <c r="C210" i="8"/>
  <c r="C211" i="8"/>
  <c r="C212" i="8"/>
  <c r="C213" i="8"/>
  <c r="E213" i="8" s="1"/>
  <c r="E14" i="7"/>
  <c r="F14" i="7"/>
  <c r="G14" i="7"/>
  <c r="H14" i="7"/>
  <c r="I14" i="7"/>
  <c r="J14" i="7"/>
  <c r="K14" i="7"/>
  <c r="L14" i="7"/>
  <c r="M14" i="7"/>
  <c r="N14" i="7"/>
  <c r="O14" i="7"/>
  <c r="P14" i="7"/>
  <c r="Q14" i="7"/>
  <c r="R14" i="7"/>
  <c r="S14" i="7"/>
  <c r="T14" i="7"/>
  <c r="U14" i="7"/>
  <c r="V14" i="7"/>
  <c r="W14" i="7"/>
  <c r="X14" i="7"/>
  <c r="Y14" i="7"/>
  <c r="Z14" i="7"/>
  <c r="AA14" i="7"/>
  <c r="AB14" i="7"/>
  <c r="AC14" i="7"/>
  <c r="AD14" i="7"/>
  <c r="AE14" i="7"/>
  <c r="AF14" i="7"/>
  <c r="AG14" i="7"/>
  <c r="AH14" i="7"/>
  <c r="AI14" i="7"/>
  <c r="E15" i="7"/>
  <c r="F15" i="7"/>
  <c r="G15" i="7"/>
  <c r="H15" i="7"/>
  <c r="I15" i="7"/>
  <c r="J15" i="7"/>
  <c r="K15" i="7"/>
  <c r="L15" i="7"/>
  <c r="M15" i="7"/>
  <c r="N15" i="7"/>
  <c r="O15" i="7"/>
  <c r="P15" i="7"/>
  <c r="Q15" i="7"/>
  <c r="R15" i="7"/>
  <c r="S15" i="7"/>
  <c r="T15" i="7"/>
  <c r="U15" i="7"/>
  <c r="V15" i="7"/>
  <c r="W15" i="7"/>
  <c r="X15" i="7"/>
  <c r="Y15" i="7"/>
  <c r="Z15" i="7"/>
  <c r="AA15" i="7"/>
  <c r="AB15" i="7"/>
  <c r="AC15" i="7"/>
  <c r="AD15" i="7"/>
  <c r="AE15" i="7"/>
  <c r="AF15" i="7"/>
  <c r="AG15" i="7"/>
  <c r="AH15" i="7"/>
  <c r="AI15" i="7"/>
  <c r="E25" i="7"/>
  <c r="F25" i="7"/>
  <c r="G25" i="7"/>
  <c r="H25" i="7"/>
  <c r="I25" i="7"/>
  <c r="J25" i="7"/>
  <c r="K25" i="7"/>
  <c r="L25" i="7"/>
  <c r="M25" i="7"/>
  <c r="N25" i="7"/>
  <c r="O25" i="7"/>
  <c r="P25" i="7"/>
  <c r="Q25" i="7"/>
  <c r="R25" i="7"/>
  <c r="S25" i="7"/>
  <c r="T25" i="7"/>
  <c r="U25" i="7"/>
  <c r="V25" i="7"/>
  <c r="W25" i="7"/>
  <c r="X25" i="7"/>
  <c r="Y25" i="7"/>
  <c r="Z25" i="7"/>
  <c r="AA25" i="7"/>
  <c r="AB25" i="7"/>
  <c r="AC25" i="7"/>
  <c r="AD25" i="7"/>
  <c r="AE25" i="7"/>
  <c r="AF25" i="7"/>
  <c r="AG25" i="7"/>
  <c r="AH25" i="7"/>
  <c r="AI25" i="7"/>
  <c r="E26" i="7"/>
  <c r="F26" i="7"/>
  <c r="G26" i="7"/>
  <c r="H26" i="7"/>
  <c r="I26" i="7"/>
  <c r="J26" i="7"/>
  <c r="K26" i="7"/>
  <c r="L26" i="7"/>
  <c r="M26" i="7"/>
  <c r="N26" i="7"/>
  <c r="O26" i="7"/>
  <c r="P26" i="7"/>
  <c r="Q26" i="7"/>
  <c r="R26" i="7"/>
  <c r="S26" i="7"/>
  <c r="T26" i="7"/>
  <c r="U26" i="7"/>
  <c r="V26" i="7"/>
  <c r="W26" i="7"/>
  <c r="X26" i="7"/>
  <c r="Y26" i="7"/>
  <c r="Z26" i="7"/>
  <c r="AA26" i="7"/>
  <c r="AB26" i="7"/>
  <c r="AC26" i="7"/>
  <c r="AD26" i="7"/>
  <c r="AE26" i="7"/>
  <c r="AF26" i="7"/>
  <c r="AG26" i="7"/>
  <c r="AH26" i="7"/>
  <c r="AI26" i="7"/>
  <c r="C37" i="7"/>
  <c r="S37" i="7"/>
  <c r="C38" i="7"/>
  <c r="O38" i="7" s="1"/>
  <c r="S38" i="7"/>
  <c r="C39" i="7"/>
  <c r="AC39" i="7" s="1"/>
  <c r="C40" i="7"/>
  <c r="L40" i="7" s="1"/>
  <c r="C41" i="7"/>
  <c r="AF41" i="7"/>
  <c r="C42" i="7"/>
  <c r="W42" i="7" s="1"/>
  <c r="C43" i="7"/>
  <c r="V43" i="7"/>
  <c r="C44" i="7"/>
  <c r="Y44" i="7" s="1"/>
  <c r="C45" i="7"/>
  <c r="C46" i="7"/>
  <c r="L46" i="7"/>
  <c r="Y46" i="7"/>
  <c r="AD46" i="7"/>
  <c r="C47" i="7"/>
  <c r="O47" i="7"/>
  <c r="X47" i="7"/>
  <c r="AF47" i="7"/>
  <c r="C48" i="7"/>
  <c r="C49" i="7"/>
  <c r="C50" i="7"/>
  <c r="AI50" i="7" s="1"/>
  <c r="C60" i="7"/>
  <c r="C61" i="7"/>
  <c r="H61" i="7" s="1"/>
  <c r="C62" i="7"/>
  <c r="C63" i="7"/>
  <c r="Y63" i="7" s="1"/>
  <c r="C64" i="7"/>
  <c r="C65" i="7"/>
  <c r="O65" i="7"/>
  <c r="C66" i="7"/>
  <c r="C67" i="7"/>
  <c r="S67" i="7" s="1"/>
  <c r="C68" i="7"/>
  <c r="T68" i="7" s="1"/>
  <c r="C69" i="7"/>
  <c r="C70" i="7"/>
  <c r="S70" i="7" s="1"/>
  <c r="F70" i="7"/>
  <c r="T70" i="7"/>
  <c r="AF70" i="7"/>
  <c r="AI70" i="7"/>
  <c r="C71" i="7"/>
  <c r="O71" i="7" s="1"/>
  <c r="C72" i="7"/>
  <c r="C82" i="7"/>
  <c r="O82" i="7" s="1"/>
  <c r="Z82" i="7"/>
  <c r="C83" i="7"/>
  <c r="AF83" i="7"/>
  <c r="C84" i="7"/>
  <c r="C85" i="7"/>
  <c r="J85" i="7" s="1"/>
  <c r="C86" i="7"/>
  <c r="Y86" i="7" s="1"/>
  <c r="C96" i="7"/>
  <c r="S96" i="7" s="1"/>
  <c r="C97" i="7"/>
  <c r="W97" i="7" s="1"/>
  <c r="F97" i="7"/>
  <c r="AA97" i="7"/>
  <c r="C98" i="7"/>
  <c r="E98" i="7" s="1"/>
  <c r="I98" i="7"/>
  <c r="R98" i="7"/>
  <c r="U98" i="7"/>
  <c r="W98" i="7"/>
  <c r="AE98" i="7"/>
  <c r="C99" i="7"/>
  <c r="C100" i="7"/>
  <c r="M100" i="7" s="1"/>
  <c r="AG100" i="7"/>
  <c r="C101" i="7"/>
  <c r="F101" i="7" s="1"/>
  <c r="H101" i="7"/>
  <c r="L101" i="7"/>
  <c r="O101" i="7"/>
  <c r="R101" i="7"/>
  <c r="W101" i="7"/>
  <c r="X101" i="7"/>
  <c r="Z101" i="7"/>
  <c r="AE101" i="7"/>
  <c r="AH101" i="7"/>
  <c r="C102" i="7"/>
  <c r="I102" i="7"/>
  <c r="Q102" i="7"/>
  <c r="Z102" i="7"/>
  <c r="AG102" i="7"/>
  <c r="C103" i="7"/>
  <c r="J103" i="7"/>
  <c r="O103" i="7"/>
  <c r="T103" i="7"/>
  <c r="Z103" i="7"/>
  <c r="AE103" i="7"/>
  <c r="C113" i="7"/>
  <c r="X113" i="7" s="1"/>
  <c r="C114" i="7"/>
  <c r="O114" i="7"/>
  <c r="T114" i="7"/>
  <c r="AE114" i="7"/>
  <c r="C115" i="7"/>
  <c r="W115" i="7"/>
  <c r="C116" i="7"/>
  <c r="Z116" i="7" s="1"/>
  <c r="C117" i="7"/>
  <c r="T117" i="7"/>
  <c r="C118" i="7"/>
  <c r="C119" i="7"/>
  <c r="S119" i="7" s="1"/>
  <c r="C120" i="7"/>
  <c r="K120" i="7" s="1"/>
  <c r="F120" i="7"/>
  <c r="N120" i="7"/>
  <c r="S120" i="7"/>
  <c r="V120" i="7"/>
  <c r="AD120" i="7"/>
  <c r="AI120" i="7"/>
  <c r="C121" i="7"/>
  <c r="C122" i="7"/>
  <c r="I122" i="7" s="1"/>
  <c r="O122" i="7"/>
  <c r="T122" i="7"/>
  <c r="C132" i="7"/>
  <c r="S132" i="7" s="1"/>
  <c r="C133" i="7"/>
  <c r="J133" i="7" s="1"/>
  <c r="C134" i="7"/>
  <c r="E134" i="7"/>
  <c r="H134" i="7"/>
  <c r="J134" i="7"/>
  <c r="M134" i="7"/>
  <c r="N134" i="7"/>
  <c r="R134" i="7"/>
  <c r="T134" i="7"/>
  <c r="U134" i="7"/>
  <c r="Y134" i="7"/>
  <c r="Z134" i="7"/>
  <c r="AC134" i="7"/>
  <c r="AF134" i="7"/>
  <c r="AH134" i="7"/>
  <c r="C135" i="7"/>
  <c r="G135" i="7" s="1"/>
  <c r="Y135" i="7"/>
  <c r="C136" i="7"/>
  <c r="L136" i="7" s="1"/>
  <c r="K136" i="7"/>
  <c r="O136" i="7"/>
  <c r="S136" i="7"/>
  <c r="AA136" i="7"/>
  <c r="AE136" i="7"/>
  <c r="AI136" i="7"/>
  <c r="C137" i="7"/>
  <c r="W137" i="7" s="1"/>
  <c r="C138" i="7"/>
  <c r="P138" i="7" s="1"/>
  <c r="AF138" i="7"/>
  <c r="C139" i="7"/>
  <c r="AF139" i="7" s="1"/>
  <c r="C140" i="7"/>
  <c r="X140" i="7" s="1"/>
  <c r="C141" i="7"/>
  <c r="C151" i="7"/>
  <c r="G151" i="7" s="1"/>
  <c r="I151" i="7"/>
  <c r="L151" i="7"/>
  <c r="Q151" i="7"/>
  <c r="S151" i="7"/>
  <c r="X151" i="7"/>
  <c r="Y151" i="7"/>
  <c r="AE151" i="7"/>
  <c r="AG151" i="7"/>
  <c r="C152" i="7"/>
  <c r="T152" i="7" s="1"/>
  <c r="C153" i="7"/>
  <c r="K153" i="7" s="1"/>
  <c r="C154" i="7"/>
  <c r="I154" i="7" s="1"/>
  <c r="C155" i="7"/>
  <c r="N155" i="7" s="1"/>
  <c r="AF155" i="7"/>
  <c r="C156" i="7"/>
  <c r="M156" i="7" s="1"/>
  <c r="C157" i="7"/>
  <c r="H157" i="7" s="1"/>
  <c r="C158" i="7"/>
  <c r="S158" i="7" s="1"/>
  <c r="Y158" i="7"/>
  <c r="C168" i="7"/>
  <c r="Y168" i="7" s="1"/>
  <c r="C169" i="7"/>
  <c r="AC169" i="7" s="1"/>
  <c r="C170" i="7"/>
  <c r="R170" i="7" s="1"/>
  <c r="G170" i="7"/>
  <c r="Z170" i="7"/>
  <c r="C171" i="7"/>
  <c r="M171" i="7" s="1"/>
  <c r="C172" i="7"/>
  <c r="C173" i="7"/>
  <c r="C174" i="7"/>
  <c r="AI174" i="7"/>
  <c r="C175" i="7"/>
  <c r="F175" i="7" s="1"/>
  <c r="I175" i="7"/>
  <c r="N175" i="7"/>
  <c r="Q175" i="7"/>
  <c r="Y175" i="7"/>
  <c r="AA175" i="7"/>
  <c r="AD175" i="7"/>
  <c r="C176" i="7"/>
  <c r="T176" i="7" s="1"/>
  <c r="AB176" i="7"/>
  <c r="C177" i="7"/>
  <c r="C187" i="7"/>
  <c r="K187" i="7" s="1"/>
  <c r="C188" i="7"/>
  <c r="Q188" i="7" s="1"/>
  <c r="I188" i="7"/>
  <c r="AA188" i="7"/>
  <c r="C189" i="7"/>
  <c r="F189" i="7" s="1"/>
  <c r="T189" i="7"/>
  <c r="C190" i="7"/>
  <c r="K190" i="7" s="1"/>
  <c r="C191" i="7"/>
  <c r="S191" i="7" s="1"/>
  <c r="C192" i="7"/>
  <c r="O192" i="7" s="1"/>
  <c r="N192" i="7"/>
  <c r="W192" i="7"/>
  <c r="AE192" i="7"/>
  <c r="AI192" i="7"/>
  <c r="C193" i="7"/>
  <c r="J193" i="7"/>
  <c r="P193" i="7"/>
  <c r="X193" i="7"/>
  <c r="AF193" i="7"/>
  <c r="AH193" i="7"/>
  <c r="C194" i="7"/>
  <c r="AI194" i="7"/>
  <c r="C195" i="7"/>
  <c r="R195" i="7"/>
  <c r="AH195" i="7"/>
  <c r="C196" i="7"/>
  <c r="R196" i="7" s="1"/>
  <c r="AE196" i="7"/>
  <c r="C206" i="7"/>
  <c r="H206" i="7" s="1"/>
  <c r="O206" i="7"/>
  <c r="Y206" i="7"/>
  <c r="AE206" i="7"/>
  <c r="C207" i="7"/>
  <c r="AI207" i="7" s="1"/>
  <c r="C208" i="7"/>
  <c r="O208" i="7" s="1"/>
  <c r="C209" i="7"/>
  <c r="C210" i="7"/>
  <c r="C211" i="7"/>
  <c r="AI211" i="7"/>
  <c r="C212" i="7"/>
  <c r="AI212" i="7" s="1"/>
  <c r="G212" i="7"/>
  <c r="C213" i="7"/>
  <c r="AI213" i="7" s="1"/>
  <c r="E14" i="6"/>
  <c r="F14" i="6"/>
  <c r="G14" i="6"/>
  <c r="H14" i="6"/>
  <c r="I14" i="6"/>
  <c r="J14" i="6"/>
  <c r="K14" i="6"/>
  <c r="L14" i="6"/>
  <c r="M14" i="6"/>
  <c r="N14" i="6"/>
  <c r="O14" i="6"/>
  <c r="P14" i="6"/>
  <c r="Q14" i="6"/>
  <c r="R14" i="6"/>
  <c r="S14" i="6"/>
  <c r="T14" i="6"/>
  <c r="U14" i="6"/>
  <c r="V14" i="6"/>
  <c r="W14" i="6"/>
  <c r="X14" i="6"/>
  <c r="Y14" i="6"/>
  <c r="Z14" i="6"/>
  <c r="AA14" i="6"/>
  <c r="AB14" i="6"/>
  <c r="AC14" i="6"/>
  <c r="AD14" i="6"/>
  <c r="AE14" i="6"/>
  <c r="AF14" i="6"/>
  <c r="AG14" i="6"/>
  <c r="AH14" i="6"/>
  <c r="AI14" i="6"/>
  <c r="E15" i="6"/>
  <c r="F15" i="6"/>
  <c r="G15" i="6"/>
  <c r="H15" i="6"/>
  <c r="I15" i="6"/>
  <c r="J15" i="6"/>
  <c r="K15" i="6"/>
  <c r="L15" i="6"/>
  <c r="M15" i="6"/>
  <c r="N15" i="6"/>
  <c r="O15" i="6"/>
  <c r="P15" i="6"/>
  <c r="Q15" i="6"/>
  <c r="R15" i="6"/>
  <c r="S15" i="6"/>
  <c r="T15" i="6"/>
  <c r="U15" i="6"/>
  <c r="V15" i="6"/>
  <c r="W15" i="6"/>
  <c r="X15" i="6"/>
  <c r="Y15" i="6"/>
  <c r="Z15" i="6"/>
  <c r="AA15" i="6"/>
  <c r="AB15" i="6"/>
  <c r="AC15" i="6"/>
  <c r="AD15" i="6"/>
  <c r="AE15" i="6"/>
  <c r="AF15" i="6"/>
  <c r="AG15" i="6"/>
  <c r="AH15" i="6"/>
  <c r="AI15" i="6"/>
  <c r="E25" i="6"/>
  <c r="F25" i="6"/>
  <c r="G25" i="6"/>
  <c r="H25" i="6"/>
  <c r="I25" i="6"/>
  <c r="J25" i="6"/>
  <c r="K25" i="6"/>
  <c r="L25" i="6"/>
  <c r="M25" i="6"/>
  <c r="N25" i="6"/>
  <c r="O25" i="6"/>
  <c r="P25" i="6"/>
  <c r="Q25" i="6"/>
  <c r="R25" i="6"/>
  <c r="S25" i="6"/>
  <c r="T25" i="6"/>
  <c r="U25" i="6"/>
  <c r="V25" i="6"/>
  <c r="W25" i="6"/>
  <c r="X25" i="6"/>
  <c r="Y25" i="6"/>
  <c r="Z25" i="6"/>
  <c r="AA25" i="6"/>
  <c r="AB25" i="6"/>
  <c r="AC25" i="6"/>
  <c r="AD25" i="6"/>
  <c r="AE25" i="6"/>
  <c r="AF25" i="6"/>
  <c r="AG25" i="6"/>
  <c r="AH25" i="6"/>
  <c r="AI25" i="6"/>
  <c r="E26" i="6"/>
  <c r="F26" i="6"/>
  <c r="G26" i="6"/>
  <c r="H26" i="6"/>
  <c r="I26" i="6"/>
  <c r="J26" i="6"/>
  <c r="K26" i="6"/>
  <c r="L26" i="6"/>
  <c r="M26" i="6"/>
  <c r="N26" i="6"/>
  <c r="O26" i="6"/>
  <c r="P26" i="6"/>
  <c r="Q26" i="6"/>
  <c r="R26" i="6"/>
  <c r="S26" i="6"/>
  <c r="T26" i="6"/>
  <c r="U26" i="6"/>
  <c r="V26" i="6"/>
  <c r="W26" i="6"/>
  <c r="X26" i="6"/>
  <c r="Y26" i="6"/>
  <c r="Z26" i="6"/>
  <c r="AA26" i="6"/>
  <c r="AB26" i="6"/>
  <c r="AC26" i="6"/>
  <c r="AD26" i="6"/>
  <c r="AE26" i="6"/>
  <c r="AF26" i="6"/>
  <c r="AG26" i="6"/>
  <c r="AH26" i="6"/>
  <c r="AI26" i="6"/>
  <c r="C37" i="6"/>
  <c r="C38" i="6"/>
  <c r="W38" i="6" s="1"/>
  <c r="K38" i="6"/>
  <c r="C39" i="6"/>
  <c r="H39" i="6"/>
  <c r="S39" i="6"/>
  <c r="W39" i="6"/>
  <c r="Y39" i="6"/>
  <c r="AG39" i="6"/>
  <c r="C40" i="6"/>
  <c r="Y40" i="6" s="1"/>
  <c r="C41" i="6"/>
  <c r="L41" i="6" s="1"/>
  <c r="C42" i="6"/>
  <c r="AI42" i="6" s="1"/>
  <c r="C43" i="6"/>
  <c r="W43" i="6" s="1"/>
  <c r="C44" i="6"/>
  <c r="C45" i="6"/>
  <c r="AE45" i="6" s="1"/>
  <c r="C46" i="6"/>
  <c r="N46" i="6" s="1"/>
  <c r="AF46" i="6"/>
  <c r="C47" i="6"/>
  <c r="T47" i="6" s="1"/>
  <c r="C48" i="6"/>
  <c r="C49" i="6"/>
  <c r="AI49" i="6" s="1"/>
  <c r="C50" i="6"/>
  <c r="U50" i="6" s="1"/>
  <c r="C60" i="6"/>
  <c r="L60" i="6" s="1"/>
  <c r="AA60" i="6"/>
  <c r="C61" i="6"/>
  <c r="G61" i="6"/>
  <c r="S61" i="6"/>
  <c r="V61" i="6"/>
  <c r="W61" i="6"/>
  <c r="AI61" i="6"/>
  <c r="C62" i="6"/>
  <c r="C63" i="6"/>
  <c r="G63" i="6" s="1"/>
  <c r="L63" i="6"/>
  <c r="W63" i="6"/>
  <c r="AG63" i="6"/>
  <c r="C64" i="6"/>
  <c r="H64" i="6" s="1"/>
  <c r="C65" i="6"/>
  <c r="C66" i="6"/>
  <c r="C67" i="6"/>
  <c r="C68" i="6"/>
  <c r="AA68" i="6" s="1"/>
  <c r="G68" i="6"/>
  <c r="AF68" i="6"/>
  <c r="C69" i="6"/>
  <c r="I69" i="6"/>
  <c r="M69" i="6"/>
  <c r="S69" i="6"/>
  <c r="T69" i="6"/>
  <c r="AA69" i="6"/>
  <c r="AE69" i="6"/>
  <c r="AF69" i="6"/>
  <c r="C70" i="6"/>
  <c r="H70" i="6" s="1"/>
  <c r="AI70" i="6"/>
  <c r="C71" i="6"/>
  <c r="C72" i="6"/>
  <c r="G72" i="6" s="1"/>
  <c r="N72" i="6"/>
  <c r="AC72" i="6"/>
  <c r="C82" i="6"/>
  <c r="E82" i="6" s="1"/>
  <c r="Y82" i="6"/>
  <c r="C83" i="6"/>
  <c r="AF83" i="6" s="1"/>
  <c r="C84" i="6"/>
  <c r="AG84" i="6" s="1"/>
  <c r="C85" i="6"/>
  <c r="G85" i="6"/>
  <c r="K85" i="6"/>
  <c r="R85" i="6"/>
  <c r="T85" i="6"/>
  <c r="V85" i="6"/>
  <c r="AB85" i="6"/>
  <c r="AF85" i="6"/>
  <c r="C86" i="6"/>
  <c r="U86" i="6"/>
  <c r="Y86" i="6"/>
  <c r="AF86" i="6"/>
  <c r="C96" i="6"/>
  <c r="F96" i="6"/>
  <c r="K96" i="6"/>
  <c r="T96" i="6"/>
  <c r="Z96" i="6"/>
  <c r="AF96" i="6"/>
  <c r="C97" i="6"/>
  <c r="G97" i="6" s="1"/>
  <c r="AE97" i="6"/>
  <c r="C98" i="6"/>
  <c r="L98" i="6" s="1"/>
  <c r="AF98" i="6"/>
  <c r="C99" i="6"/>
  <c r="C100" i="6"/>
  <c r="AD100" i="6" s="1"/>
  <c r="C101" i="6"/>
  <c r="AI101" i="6" s="1"/>
  <c r="N101" i="6"/>
  <c r="C102" i="6"/>
  <c r="J102" i="6"/>
  <c r="L102" i="6"/>
  <c r="R102" i="6"/>
  <c r="T102" i="6"/>
  <c r="AA102" i="6"/>
  <c r="AE102" i="6"/>
  <c r="AF102" i="6"/>
  <c r="C103" i="6"/>
  <c r="S103" i="6"/>
  <c r="C113" i="6"/>
  <c r="O113" i="6"/>
  <c r="C114" i="6"/>
  <c r="Q114" i="6" s="1"/>
  <c r="C115" i="6"/>
  <c r="W115" i="6" s="1"/>
  <c r="C116" i="6"/>
  <c r="J116" i="6" s="1"/>
  <c r="C117" i="6"/>
  <c r="I117" i="6" s="1"/>
  <c r="C118" i="6"/>
  <c r="O118" i="6" s="1"/>
  <c r="C119" i="6"/>
  <c r="W119" i="6" s="1"/>
  <c r="AI119" i="6"/>
  <c r="C120" i="6"/>
  <c r="C121" i="6"/>
  <c r="N121" i="6" s="1"/>
  <c r="C122" i="6"/>
  <c r="AC122" i="6"/>
  <c r="C132" i="6"/>
  <c r="AI132" i="6" s="1"/>
  <c r="C133" i="6"/>
  <c r="K133" i="6"/>
  <c r="AA133" i="6"/>
  <c r="AE133" i="6"/>
  <c r="C134" i="6"/>
  <c r="P134" i="6"/>
  <c r="Y134" i="6"/>
  <c r="AD134" i="6"/>
  <c r="C135" i="6"/>
  <c r="X135" i="6"/>
  <c r="C136" i="6"/>
  <c r="K136" i="6" s="1"/>
  <c r="C137" i="6"/>
  <c r="C138" i="6"/>
  <c r="N138" i="6"/>
  <c r="AB138" i="6"/>
  <c r="C139" i="6"/>
  <c r="C140" i="6"/>
  <c r="L140" i="6" s="1"/>
  <c r="C141" i="6"/>
  <c r="AA141" i="6" s="1"/>
  <c r="C151" i="6"/>
  <c r="T151" i="6" s="1"/>
  <c r="C152" i="6"/>
  <c r="H152" i="6"/>
  <c r="K152" i="6"/>
  <c r="M152" i="6"/>
  <c r="O152" i="6"/>
  <c r="S152" i="6"/>
  <c r="T152" i="6"/>
  <c r="U152" i="6"/>
  <c r="Y152" i="6"/>
  <c r="AA152" i="6"/>
  <c r="AC152" i="6"/>
  <c r="AF152" i="6"/>
  <c r="AI152" i="6"/>
  <c r="C153" i="6"/>
  <c r="AD153" i="6" s="1"/>
  <c r="C154" i="6"/>
  <c r="N154" i="6" s="1"/>
  <c r="C155" i="6"/>
  <c r="O155" i="6" s="1"/>
  <c r="Z155" i="6"/>
  <c r="C156" i="6"/>
  <c r="X156" i="6" s="1"/>
  <c r="C157" i="6"/>
  <c r="C158" i="6"/>
  <c r="C168" i="6"/>
  <c r="I168" i="6" s="1"/>
  <c r="C169" i="6"/>
  <c r="S169" i="6" s="1"/>
  <c r="C170" i="6"/>
  <c r="K170" i="6" s="1"/>
  <c r="C171" i="6"/>
  <c r="E171" i="6"/>
  <c r="K171" i="6"/>
  <c r="Q171" i="6"/>
  <c r="S171" i="6"/>
  <c r="Z171" i="6"/>
  <c r="AE171" i="6"/>
  <c r="AG171" i="6"/>
  <c r="C172" i="6"/>
  <c r="C173" i="6"/>
  <c r="T173" i="6" s="1"/>
  <c r="C174" i="6"/>
  <c r="V174" i="6" s="1"/>
  <c r="C175" i="6"/>
  <c r="S175" i="6" s="1"/>
  <c r="C176" i="6"/>
  <c r="C177" i="6"/>
  <c r="V177" i="6" s="1"/>
  <c r="M177" i="6"/>
  <c r="C187" i="6"/>
  <c r="H187" i="6" s="1"/>
  <c r="M187" i="6"/>
  <c r="U187" i="6"/>
  <c r="AA187" i="6"/>
  <c r="C188" i="6"/>
  <c r="H188" i="6" s="1"/>
  <c r="T188" i="6"/>
  <c r="AF188" i="6"/>
  <c r="C189" i="6"/>
  <c r="C190" i="6"/>
  <c r="E190" i="6" s="1"/>
  <c r="C191" i="6"/>
  <c r="P191" i="6" s="1"/>
  <c r="E191" i="6"/>
  <c r="U191" i="6"/>
  <c r="Y191" i="6"/>
  <c r="AF191" i="6"/>
  <c r="C192" i="6"/>
  <c r="L192" i="6" s="1"/>
  <c r="C193" i="6"/>
  <c r="N193" i="6" s="1"/>
  <c r="C194" i="6"/>
  <c r="C195" i="6"/>
  <c r="C196" i="6"/>
  <c r="AA196" i="6" s="1"/>
  <c r="C206" i="6"/>
  <c r="C207" i="6"/>
  <c r="AB207" i="6" s="1"/>
  <c r="C208" i="6"/>
  <c r="F208" i="6" s="1"/>
  <c r="E208" i="6"/>
  <c r="G208" i="6"/>
  <c r="I208" i="6"/>
  <c r="K208" i="6"/>
  <c r="L208" i="6"/>
  <c r="O208" i="6"/>
  <c r="P208" i="6"/>
  <c r="Q208" i="6"/>
  <c r="T208" i="6"/>
  <c r="U208" i="6"/>
  <c r="W208" i="6"/>
  <c r="Y208" i="6"/>
  <c r="AA208" i="6"/>
  <c r="AB208" i="6"/>
  <c r="AE208" i="6"/>
  <c r="AF208" i="6"/>
  <c r="AG208" i="6"/>
  <c r="C209" i="6"/>
  <c r="L209" i="6" s="1"/>
  <c r="C210" i="6"/>
  <c r="K210" i="6" s="1"/>
  <c r="F210" i="6"/>
  <c r="AA210" i="6"/>
  <c r="AD210" i="6"/>
  <c r="C211" i="6"/>
  <c r="H211" i="6" s="1"/>
  <c r="T211" i="6"/>
  <c r="C212" i="6"/>
  <c r="E212" i="6" s="1"/>
  <c r="T212" i="6"/>
  <c r="C213" i="6"/>
  <c r="E14" i="5"/>
  <c r="F14" i="5"/>
  <c r="G14" i="5"/>
  <c r="H14" i="5"/>
  <c r="I14" i="5"/>
  <c r="J14" i="5"/>
  <c r="K14" i="5"/>
  <c r="L14" i="5"/>
  <c r="M14" i="5"/>
  <c r="N14" i="5"/>
  <c r="O14" i="5"/>
  <c r="P14" i="5"/>
  <c r="Q14" i="5"/>
  <c r="R14" i="5"/>
  <c r="S14" i="5"/>
  <c r="T14" i="5"/>
  <c r="U14" i="5"/>
  <c r="V14" i="5"/>
  <c r="W14" i="5"/>
  <c r="X14" i="5"/>
  <c r="Y14" i="5"/>
  <c r="Z14" i="5"/>
  <c r="AA14" i="5"/>
  <c r="AB14" i="5"/>
  <c r="AC14" i="5"/>
  <c r="AD14" i="5"/>
  <c r="AE14" i="5"/>
  <c r="AF14" i="5"/>
  <c r="AG14" i="5"/>
  <c r="AH14" i="5"/>
  <c r="AI14" i="5"/>
  <c r="E15" i="5"/>
  <c r="F15" i="5"/>
  <c r="G15" i="5"/>
  <c r="H15" i="5"/>
  <c r="I15" i="5"/>
  <c r="J15" i="5"/>
  <c r="K15" i="5"/>
  <c r="L15" i="5"/>
  <c r="M15" i="5"/>
  <c r="N15" i="5"/>
  <c r="O15" i="5"/>
  <c r="P15" i="5"/>
  <c r="Q15" i="5"/>
  <c r="R15" i="5"/>
  <c r="S15" i="5"/>
  <c r="T15" i="5"/>
  <c r="U15" i="5"/>
  <c r="V15" i="5"/>
  <c r="W15" i="5"/>
  <c r="X15" i="5"/>
  <c r="Y15" i="5"/>
  <c r="Z15" i="5"/>
  <c r="AA15" i="5"/>
  <c r="AB15" i="5"/>
  <c r="AC15" i="5"/>
  <c r="AD15" i="5"/>
  <c r="AE15" i="5"/>
  <c r="AF15" i="5"/>
  <c r="AG15" i="5"/>
  <c r="AH15" i="5"/>
  <c r="AI15" i="5"/>
  <c r="E25" i="5"/>
  <c r="F25" i="5"/>
  <c r="G25" i="5"/>
  <c r="H25" i="5"/>
  <c r="I25" i="5"/>
  <c r="J25" i="5"/>
  <c r="K25" i="5"/>
  <c r="L25" i="5"/>
  <c r="M25" i="5"/>
  <c r="N25" i="5"/>
  <c r="O25" i="5"/>
  <c r="P25" i="5"/>
  <c r="Q25" i="5"/>
  <c r="R25" i="5"/>
  <c r="S25" i="5"/>
  <c r="T25" i="5"/>
  <c r="U25" i="5"/>
  <c r="V25" i="5"/>
  <c r="W25" i="5"/>
  <c r="X25" i="5"/>
  <c r="Y25" i="5"/>
  <c r="Z25" i="5"/>
  <c r="AA25" i="5"/>
  <c r="AB25" i="5"/>
  <c r="AC25" i="5"/>
  <c r="AD25" i="5"/>
  <c r="AE25" i="5"/>
  <c r="AF25" i="5"/>
  <c r="AG25" i="5"/>
  <c r="AH25" i="5"/>
  <c r="AI25" i="5"/>
  <c r="E26" i="5"/>
  <c r="F26" i="5"/>
  <c r="G26" i="5"/>
  <c r="H26" i="5"/>
  <c r="I26" i="5"/>
  <c r="J26" i="5"/>
  <c r="K26" i="5"/>
  <c r="L26" i="5"/>
  <c r="M26" i="5"/>
  <c r="N26" i="5"/>
  <c r="O26" i="5"/>
  <c r="P26" i="5"/>
  <c r="Q26" i="5"/>
  <c r="R26" i="5"/>
  <c r="S26" i="5"/>
  <c r="T26" i="5"/>
  <c r="U26" i="5"/>
  <c r="V26" i="5"/>
  <c r="W26" i="5"/>
  <c r="X26" i="5"/>
  <c r="Y26" i="5"/>
  <c r="Z26" i="5"/>
  <c r="AA26" i="5"/>
  <c r="AB26" i="5"/>
  <c r="AC26" i="5"/>
  <c r="AD26" i="5"/>
  <c r="AE26" i="5"/>
  <c r="AF26" i="5"/>
  <c r="AG26" i="5"/>
  <c r="AH26" i="5"/>
  <c r="AI26" i="5"/>
  <c r="C37" i="5"/>
  <c r="C38" i="5"/>
  <c r="C39" i="5"/>
  <c r="G39" i="5" s="1"/>
  <c r="O39" i="5"/>
  <c r="AD39" i="5"/>
  <c r="C40" i="5"/>
  <c r="C41" i="5"/>
  <c r="L41" i="5"/>
  <c r="S41" i="5"/>
  <c r="T41" i="5"/>
  <c r="AB41" i="5"/>
  <c r="AI41" i="5"/>
  <c r="C42" i="5"/>
  <c r="T42" i="5" s="1"/>
  <c r="C43" i="5"/>
  <c r="C44" i="5"/>
  <c r="K44" i="5" s="1"/>
  <c r="Q44" i="5"/>
  <c r="AA44" i="5"/>
  <c r="C45" i="5"/>
  <c r="AB45" i="5" s="1"/>
  <c r="C46" i="5"/>
  <c r="W46" i="5" s="1"/>
  <c r="C47" i="5"/>
  <c r="Y47" i="5" s="1"/>
  <c r="C48" i="5"/>
  <c r="AB48" i="5" s="1"/>
  <c r="C49" i="5"/>
  <c r="C50" i="5"/>
  <c r="W50" i="5" s="1"/>
  <c r="C60" i="5"/>
  <c r="S60" i="5" s="1"/>
  <c r="C61" i="5"/>
  <c r="E61" i="5"/>
  <c r="I61" i="5"/>
  <c r="L61" i="5"/>
  <c r="P61" i="5"/>
  <c r="Q61" i="5"/>
  <c r="W61" i="5"/>
  <c r="Y61" i="5"/>
  <c r="AA61" i="5"/>
  <c r="AF61" i="5"/>
  <c r="AG61" i="5"/>
  <c r="C62" i="5"/>
  <c r="X62" i="5" s="1"/>
  <c r="C63" i="5"/>
  <c r="C64" i="5"/>
  <c r="S64" i="5" s="1"/>
  <c r="C65" i="5"/>
  <c r="S65" i="5"/>
  <c r="C66" i="5"/>
  <c r="N66" i="5"/>
  <c r="Q66" i="5"/>
  <c r="AE66" i="5"/>
  <c r="AI66" i="5"/>
  <c r="C67" i="5"/>
  <c r="F67" i="5" s="1"/>
  <c r="L67" i="5"/>
  <c r="R67" i="5"/>
  <c r="Y67" i="5"/>
  <c r="AG67" i="5"/>
  <c r="C68" i="5"/>
  <c r="C69" i="5"/>
  <c r="K69" i="5" s="1"/>
  <c r="AA69" i="5"/>
  <c r="C70" i="5"/>
  <c r="J70" i="5"/>
  <c r="V70" i="5"/>
  <c r="AD70" i="5"/>
  <c r="C71" i="5"/>
  <c r="T71" i="5" s="1"/>
  <c r="AB71" i="5"/>
  <c r="C72" i="5"/>
  <c r="AA72" i="5" s="1"/>
  <c r="C82" i="5"/>
  <c r="I82" i="5" s="1"/>
  <c r="J82" i="5"/>
  <c r="U82" i="5"/>
  <c r="AE82" i="5"/>
  <c r="C83" i="5"/>
  <c r="O83" i="5" s="1"/>
  <c r="T83" i="5"/>
  <c r="AE83" i="5"/>
  <c r="C84" i="5"/>
  <c r="S84" i="5" s="1"/>
  <c r="AC84" i="5"/>
  <c r="C85" i="5"/>
  <c r="G85" i="5" s="1"/>
  <c r="N85" i="5"/>
  <c r="X85" i="5"/>
  <c r="AI85" i="5"/>
  <c r="C86" i="5"/>
  <c r="M86" i="5" s="1"/>
  <c r="C96" i="5"/>
  <c r="J96" i="5" s="1"/>
  <c r="N96" i="5"/>
  <c r="V96" i="5"/>
  <c r="AF96" i="5"/>
  <c r="C97" i="5"/>
  <c r="S97" i="5" s="1"/>
  <c r="C98" i="5"/>
  <c r="C99" i="5"/>
  <c r="C100" i="5"/>
  <c r="S100" i="5" s="1"/>
  <c r="C101" i="5"/>
  <c r="F101" i="5" s="1"/>
  <c r="N101" i="5"/>
  <c r="Q101" i="5"/>
  <c r="AB101" i="5"/>
  <c r="AG101" i="5"/>
  <c r="C102" i="5"/>
  <c r="O102" i="5" s="1"/>
  <c r="C103" i="5"/>
  <c r="O103" i="5" s="1"/>
  <c r="AF103" i="5"/>
  <c r="C113" i="5"/>
  <c r="N113" i="5" s="1"/>
  <c r="AD113" i="5"/>
  <c r="C114" i="5"/>
  <c r="L114" i="5" s="1"/>
  <c r="AB114" i="5"/>
  <c r="C115" i="5"/>
  <c r="AF115" i="5" s="1"/>
  <c r="C116" i="5"/>
  <c r="S116" i="5" s="1"/>
  <c r="C117" i="5"/>
  <c r="C118" i="5"/>
  <c r="J118" i="5" s="1"/>
  <c r="Y118" i="5"/>
  <c r="C119" i="5"/>
  <c r="C120" i="5"/>
  <c r="AD120" i="5" s="1"/>
  <c r="C121" i="5"/>
  <c r="L121" i="5" s="1"/>
  <c r="C122" i="5"/>
  <c r="AA122" i="5" s="1"/>
  <c r="C132" i="5"/>
  <c r="K132" i="5" s="1"/>
  <c r="C133" i="5"/>
  <c r="K133" i="5" s="1"/>
  <c r="O133" i="5"/>
  <c r="W133" i="5"/>
  <c r="AC133" i="5"/>
  <c r="C134" i="5"/>
  <c r="L134" i="5" s="1"/>
  <c r="AI134" i="5"/>
  <c r="C135" i="5"/>
  <c r="U135" i="5" s="1"/>
  <c r="C136" i="5"/>
  <c r="G136" i="5" s="1"/>
  <c r="S136" i="5"/>
  <c r="AH136" i="5"/>
  <c r="C137" i="5"/>
  <c r="I137" i="5" s="1"/>
  <c r="W137" i="5"/>
  <c r="AC137" i="5"/>
  <c r="C138" i="5"/>
  <c r="G138" i="5" s="1"/>
  <c r="H138" i="5"/>
  <c r="K138" i="5"/>
  <c r="O138" i="5"/>
  <c r="S138" i="5"/>
  <c r="V138" i="5"/>
  <c r="Z138" i="5"/>
  <c r="AD138" i="5"/>
  <c r="AF138" i="5"/>
  <c r="C139" i="5"/>
  <c r="M139" i="5" s="1"/>
  <c r="C140" i="5"/>
  <c r="H140" i="5" s="1"/>
  <c r="O140" i="5"/>
  <c r="X140" i="5"/>
  <c r="AH140" i="5"/>
  <c r="C141" i="5"/>
  <c r="K141" i="5" s="1"/>
  <c r="C151" i="5"/>
  <c r="C152" i="5"/>
  <c r="W152" i="5" s="1"/>
  <c r="AA152" i="5"/>
  <c r="AI152" i="5"/>
  <c r="C153" i="5"/>
  <c r="K153" i="5" s="1"/>
  <c r="X153" i="5"/>
  <c r="C154" i="5"/>
  <c r="I154" i="5" s="1"/>
  <c r="C155" i="5"/>
  <c r="E155" i="5" s="1"/>
  <c r="N155" i="5"/>
  <c r="X155" i="5"/>
  <c r="AF155" i="5"/>
  <c r="C156" i="5"/>
  <c r="W156" i="5" s="1"/>
  <c r="C157" i="5"/>
  <c r="AB157" i="5" s="1"/>
  <c r="AE157" i="5"/>
  <c r="C158" i="5"/>
  <c r="I158" i="5" s="1"/>
  <c r="C168" i="5"/>
  <c r="K168" i="5" s="1"/>
  <c r="AA168" i="5"/>
  <c r="C169" i="5"/>
  <c r="I169" i="5" s="1"/>
  <c r="W169" i="5"/>
  <c r="C170" i="5"/>
  <c r="K170" i="5" s="1"/>
  <c r="C171" i="5"/>
  <c r="G171" i="5" s="1"/>
  <c r="K171" i="5"/>
  <c r="R171" i="5"/>
  <c r="Y171" i="5"/>
  <c r="AG171" i="5"/>
  <c r="C172" i="5"/>
  <c r="E172" i="5" s="1"/>
  <c r="O172" i="5"/>
  <c r="T172" i="5"/>
  <c r="Y172" i="5"/>
  <c r="C173" i="5"/>
  <c r="I173" i="5" s="1"/>
  <c r="C174" i="5"/>
  <c r="C175" i="5"/>
  <c r="K175" i="5" s="1"/>
  <c r="C176" i="5"/>
  <c r="E176" i="5" s="1"/>
  <c r="C177" i="5"/>
  <c r="H177" i="5" s="1"/>
  <c r="S177" i="5"/>
  <c r="AI177" i="5"/>
  <c r="C187" i="5"/>
  <c r="N187" i="5" s="1"/>
  <c r="AD187" i="5"/>
  <c r="C188" i="5"/>
  <c r="H188" i="5" s="1"/>
  <c r="F188" i="5"/>
  <c r="I188" i="5"/>
  <c r="K188" i="5"/>
  <c r="M188" i="5"/>
  <c r="Q188" i="5"/>
  <c r="R188" i="5"/>
  <c r="S188" i="5"/>
  <c r="W188" i="5"/>
  <c r="Y188" i="5"/>
  <c r="AA188" i="5"/>
  <c r="AD188" i="5"/>
  <c r="AG188" i="5"/>
  <c r="AH188" i="5"/>
  <c r="C189" i="5"/>
  <c r="J189" i="5" s="1"/>
  <c r="O189" i="5"/>
  <c r="AD189" i="5"/>
  <c r="C190" i="5"/>
  <c r="G190" i="5" s="1"/>
  <c r="C191" i="5"/>
  <c r="C192" i="5"/>
  <c r="E192" i="5" s="1"/>
  <c r="C193" i="5"/>
  <c r="F193" i="5" s="1"/>
  <c r="O193" i="5"/>
  <c r="T193" i="5"/>
  <c r="Z193" i="5"/>
  <c r="C194" i="5"/>
  <c r="W194" i="5" s="1"/>
  <c r="C195" i="5"/>
  <c r="G195" i="5" s="1"/>
  <c r="C196" i="5"/>
  <c r="C206" i="5"/>
  <c r="H206" i="5" s="1"/>
  <c r="V206" i="5"/>
  <c r="C207" i="5"/>
  <c r="H207" i="5" s="1"/>
  <c r="S207" i="5"/>
  <c r="AI207" i="5"/>
  <c r="C208" i="5"/>
  <c r="S208" i="5" s="1"/>
  <c r="K208" i="5"/>
  <c r="V208" i="5"/>
  <c r="W208" i="5"/>
  <c r="C209" i="5"/>
  <c r="AG209" i="5" s="1"/>
  <c r="C210" i="5"/>
  <c r="AE210" i="5" s="1"/>
  <c r="C211" i="5"/>
  <c r="G211" i="5" s="1"/>
  <c r="H211" i="5"/>
  <c r="T211" i="5"/>
  <c r="W211" i="5"/>
  <c r="X211" i="5"/>
  <c r="C212" i="5"/>
  <c r="S212" i="5" s="1"/>
  <c r="C213" i="5"/>
  <c r="R213" i="5" s="1"/>
  <c r="E14" i="4"/>
  <c r="F14" i="4"/>
  <c r="G14" i="4"/>
  <c r="H14" i="4"/>
  <c r="I14" i="4"/>
  <c r="J14" i="4"/>
  <c r="K14" i="4"/>
  <c r="L14" i="4"/>
  <c r="M14" i="4"/>
  <c r="N14" i="4"/>
  <c r="O14" i="4"/>
  <c r="P14" i="4"/>
  <c r="Q14" i="4"/>
  <c r="R14" i="4"/>
  <c r="S14" i="4"/>
  <c r="T14" i="4"/>
  <c r="U14" i="4"/>
  <c r="V14" i="4"/>
  <c r="W14" i="4"/>
  <c r="X14" i="4"/>
  <c r="Y14" i="4"/>
  <c r="Z14" i="4"/>
  <c r="AA14" i="4"/>
  <c r="AB14" i="4"/>
  <c r="AC14" i="4"/>
  <c r="AD14" i="4"/>
  <c r="AE14" i="4"/>
  <c r="AF14" i="4"/>
  <c r="AG14" i="4"/>
  <c r="AH14" i="4"/>
  <c r="AI14" i="4"/>
  <c r="E15" i="4"/>
  <c r="F15" i="4"/>
  <c r="G15" i="4"/>
  <c r="H15" i="4"/>
  <c r="I15" i="4"/>
  <c r="J15" i="4"/>
  <c r="K15" i="4"/>
  <c r="L15" i="4"/>
  <c r="M15" i="4"/>
  <c r="N15" i="4"/>
  <c r="O15" i="4"/>
  <c r="P15" i="4"/>
  <c r="Q15" i="4"/>
  <c r="R15" i="4"/>
  <c r="S15" i="4"/>
  <c r="T15" i="4"/>
  <c r="U15" i="4"/>
  <c r="V15" i="4"/>
  <c r="W15" i="4"/>
  <c r="X15" i="4"/>
  <c r="Y15" i="4"/>
  <c r="Z15" i="4"/>
  <c r="AA15" i="4"/>
  <c r="AB15" i="4"/>
  <c r="AC15" i="4"/>
  <c r="AD15" i="4"/>
  <c r="AE15" i="4"/>
  <c r="AF15" i="4"/>
  <c r="AG15" i="4"/>
  <c r="AH15" i="4"/>
  <c r="AI15" i="4"/>
  <c r="E25" i="4"/>
  <c r="F25" i="4"/>
  <c r="G25" i="4"/>
  <c r="H25" i="4"/>
  <c r="I25" i="4"/>
  <c r="J25" i="4"/>
  <c r="K25" i="4"/>
  <c r="L25" i="4"/>
  <c r="M25" i="4"/>
  <c r="N25" i="4"/>
  <c r="O25" i="4"/>
  <c r="P25" i="4"/>
  <c r="Q25" i="4"/>
  <c r="R25" i="4"/>
  <c r="S25" i="4"/>
  <c r="T25" i="4"/>
  <c r="U25" i="4"/>
  <c r="V25" i="4"/>
  <c r="W25" i="4"/>
  <c r="X25" i="4"/>
  <c r="Y25" i="4"/>
  <c r="Z25" i="4"/>
  <c r="AA25" i="4"/>
  <c r="AB25" i="4"/>
  <c r="AC25" i="4"/>
  <c r="AD25" i="4"/>
  <c r="AE25" i="4"/>
  <c r="AF25" i="4"/>
  <c r="AG25" i="4"/>
  <c r="AH25" i="4"/>
  <c r="AI25" i="4"/>
  <c r="E26" i="4"/>
  <c r="F26" i="4"/>
  <c r="G26" i="4"/>
  <c r="H26" i="4"/>
  <c r="I26" i="4"/>
  <c r="J26" i="4"/>
  <c r="K26" i="4"/>
  <c r="L26" i="4"/>
  <c r="M26" i="4"/>
  <c r="N26" i="4"/>
  <c r="O26" i="4"/>
  <c r="P26" i="4"/>
  <c r="Q26" i="4"/>
  <c r="R26" i="4"/>
  <c r="S26" i="4"/>
  <c r="T26" i="4"/>
  <c r="U26" i="4"/>
  <c r="V26" i="4"/>
  <c r="W26" i="4"/>
  <c r="X26" i="4"/>
  <c r="Y26" i="4"/>
  <c r="Z26" i="4"/>
  <c r="AA26" i="4"/>
  <c r="AB26" i="4"/>
  <c r="AC26" i="4"/>
  <c r="AD26" i="4"/>
  <c r="AE26" i="4"/>
  <c r="AF26" i="4"/>
  <c r="AG26" i="4"/>
  <c r="AH26" i="4"/>
  <c r="AI26" i="4"/>
  <c r="C37" i="4"/>
  <c r="K37" i="4" s="1"/>
  <c r="V37" i="4"/>
  <c r="AD37" i="4"/>
  <c r="C38" i="4"/>
  <c r="C39" i="4"/>
  <c r="E39" i="4" s="1"/>
  <c r="T39" i="4"/>
  <c r="AF39" i="4"/>
  <c r="C40" i="4"/>
  <c r="P40" i="4" s="1"/>
  <c r="C41" i="4"/>
  <c r="X41" i="4" s="1"/>
  <c r="C42" i="4"/>
  <c r="O42" i="4" s="1"/>
  <c r="C43" i="4"/>
  <c r="F43" i="4" s="1"/>
  <c r="Z43" i="4"/>
  <c r="C44" i="4"/>
  <c r="K44" i="4" s="1"/>
  <c r="Q44" i="4"/>
  <c r="AF44" i="4"/>
  <c r="C45" i="4"/>
  <c r="C46" i="4"/>
  <c r="V46" i="4" s="1"/>
  <c r="C47" i="4"/>
  <c r="F47" i="4" s="1"/>
  <c r="G47" i="4"/>
  <c r="I47" i="4"/>
  <c r="K47" i="4"/>
  <c r="N47" i="4"/>
  <c r="Q47" i="4"/>
  <c r="R47" i="4"/>
  <c r="V47" i="4"/>
  <c r="W47" i="4"/>
  <c r="X47" i="4"/>
  <c r="AA47" i="4"/>
  <c r="AB47" i="4"/>
  <c r="AD47" i="4"/>
  <c r="AF47" i="4"/>
  <c r="AH47" i="4"/>
  <c r="AI47" i="4"/>
  <c r="C48" i="4"/>
  <c r="P48" i="4"/>
  <c r="C49" i="4"/>
  <c r="G49" i="4" s="1"/>
  <c r="O49" i="4"/>
  <c r="AI49" i="4"/>
  <c r="C50" i="4"/>
  <c r="G50" i="4" s="1"/>
  <c r="K50" i="4"/>
  <c r="S50" i="4"/>
  <c r="T50" i="4"/>
  <c r="AA50" i="4"/>
  <c r="AI50" i="4"/>
  <c r="C60" i="4"/>
  <c r="E60" i="4" s="1"/>
  <c r="L60" i="4"/>
  <c r="Z60" i="4"/>
  <c r="AF60" i="4"/>
  <c r="C61" i="4"/>
  <c r="C62" i="4"/>
  <c r="C63" i="4"/>
  <c r="AD63" i="4" s="1"/>
  <c r="C64" i="4"/>
  <c r="G64" i="4" s="1"/>
  <c r="O64" i="4"/>
  <c r="AH64" i="4"/>
  <c r="C65" i="4"/>
  <c r="C66" i="4"/>
  <c r="C67" i="4"/>
  <c r="C68" i="4"/>
  <c r="AE68" i="4" s="1"/>
  <c r="C69" i="4"/>
  <c r="F69" i="4" s="1"/>
  <c r="O69" i="4"/>
  <c r="AA69" i="4"/>
  <c r="AE69" i="4"/>
  <c r="C70" i="4"/>
  <c r="I70" i="4" s="1"/>
  <c r="C71" i="4"/>
  <c r="C72" i="4"/>
  <c r="AI72" i="4" s="1"/>
  <c r="C82" i="4"/>
  <c r="O82" i="4" s="1"/>
  <c r="W82" i="4"/>
  <c r="AG82" i="4"/>
  <c r="C83" i="4"/>
  <c r="T83" i="4" s="1"/>
  <c r="H83" i="4"/>
  <c r="AB83" i="4"/>
  <c r="C84" i="4"/>
  <c r="N84" i="4" s="1"/>
  <c r="G84" i="4"/>
  <c r="W84" i="4"/>
  <c r="Y84" i="4"/>
  <c r="AE84" i="4"/>
  <c r="C85" i="4"/>
  <c r="K85" i="4" s="1"/>
  <c r="V85" i="4"/>
  <c r="X85" i="4"/>
  <c r="C86" i="4"/>
  <c r="C96" i="4"/>
  <c r="H96" i="4" s="1"/>
  <c r="S96" i="4"/>
  <c r="X96" i="4"/>
  <c r="C97" i="4"/>
  <c r="C98" i="4"/>
  <c r="S98" i="4" s="1"/>
  <c r="C99" i="4"/>
  <c r="J99" i="4" s="1"/>
  <c r="C100" i="4"/>
  <c r="W100" i="4" s="1"/>
  <c r="C101" i="4"/>
  <c r="C102" i="4"/>
  <c r="H102" i="4" s="1"/>
  <c r="AI102" i="4"/>
  <c r="C103" i="4"/>
  <c r="C113" i="4"/>
  <c r="E113" i="4" s="1"/>
  <c r="Y113" i="4"/>
  <c r="C114" i="4"/>
  <c r="O114" i="4" s="1"/>
  <c r="C115" i="4"/>
  <c r="M115" i="4" s="1"/>
  <c r="C116" i="4"/>
  <c r="K116" i="4" s="1"/>
  <c r="AF116" i="4"/>
  <c r="C117" i="4"/>
  <c r="K117" i="4" s="1"/>
  <c r="C118" i="4"/>
  <c r="I118" i="4" s="1"/>
  <c r="C119" i="4"/>
  <c r="H119" i="4" s="1"/>
  <c r="I119" i="4"/>
  <c r="O119" i="4"/>
  <c r="S119" i="4"/>
  <c r="W119" i="4"/>
  <c r="AC119" i="4"/>
  <c r="AE119" i="4"/>
  <c r="AG119" i="4"/>
  <c r="C120" i="4"/>
  <c r="K120" i="4"/>
  <c r="P120" i="4"/>
  <c r="AA120" i="4"/>
  <c r="AF120" i="4"/>
  <c r="C121" i="4"/>
  <c r="C122" i="4"/>
  <c r="N122" i="4" s="1"/>
  <c r="T122" i="4"/>
  <c r="C132" i="4"/>
  <c r="K132" i="4" s="1"/>
  <c r="C133" i="4"/>
  <c r="Z133" i="4" s="1"/>
  <c r="C134" i="4"/>
  <c r="C135" i="4"/>
  <c r="G135" i="4" s="1"/>
  <c r="S135" i="4"/>
  <c r="T135" i="4"/>
  <c r="AI135" i="4"/>
  <c r="C136" i="4"/>
  <c r="C137" i="4"/>
  <c r="L137" i="4" s="1"/>
  <c r="C138" i="4"/>
  <c r="E138" i="4" s="1"/>
  <c r="C139" i="4"/>
  <c r="W139" i="4" s="1"/>
  <c r="P139" i="4"/>
  <c r="AE139" i="4"/>
  <c r="C140" i="4"/>
  <c r="I140" i="4" s="1"/>
  <c r="G140" i="4"/>
  <c r="O140" i="4"/>
  <c r="Q140" i="4"/>
  <c r="S140" i="4"/>
  <c r="AA140" i="4"/>
  <c r="AE140" i="4"/>
  <c r="AI140" i="4"/>
  <c r="C141" i="4"/>
  <c r="AI141" i="4" s="1"/>
  <c r="C151" i="4"/>
  <c r="M151" i="4" s="1"/>
  <c r="C152" i="4"/>
  <c r="P152" i="4" s="1"/>
  <c r="C153" i="4"/>
  <c r="I153" i="4" s="1"/>
  <c r="AG153" i="4"/>
  <c r="C154" i="4"/>
  <c r="O154" i="4" s="1"/>
  <c r="C155" i="4"/>
  <c r="K155" i="4" s="1"/>
  <c r="C156" i="4"/>
  <c r="C157" i="4"/>
  <c r="E157" i="4" s="1"/>
  <c r="U157" i="4"/>
  <c r="C158" i="4"/>
  <c r="C168" i="4"/>
  <c r="Y168" i="4" s="1"/>
  <c r="AI168" i="4"/>
  <c r="C169" i="4"/>
  <c r="G169" i="4" s="1"/>
  <c r="R169" i="4"/>
  <c r="S169" i="4"/>
  <c r="AE169" i="4"/>
  <c r="AH169" i="4"/>
  <c r="C170" i="4"/>
  <c r="C171" i="4"/>
  <c r="C172" i="4"/>
  <c r="C173" i="4"/>
  <c r="H173" i="4" s="1"/>
  <c r="P173" i="4"/>
  <c r="T173" i="4"/>
  <c r="AF173" i="4"/>
  <c r="C174" i="4"/>
  <c r="AI174" i="4" s="1"/>
  <c r="C175" i="4"/>
  <c r="C176" i="4"/>
  <c r="N176" i="4" s="1"/>
  <c r="C177" i="4"/>
  <c r="E177" i="4" s="1"/>
  <c r="P177" i="4"/>
  <c r="AA177" i="4"/>
  <c r="C187" i="4"/>
  <c r="X187" i="4" s="1"/>
  <c r="C188" i="4"/>
  <c r="C189" i="4"/>
  <c r="AD189" i="4" s="1"/>
  <c r="C190" i="4"/>
  <c r="J190" i="4" s="1"/>
  <c r="Q190" i="4"/>
  <c r="C191" i="4"/>
  <c r="M191" i="4" s="1"/>
  <c r="AC191" i="4"/>
  <c r="C192" i="4"/>
  <c r="AF192" i="4" s="1"/>
  <c r="C193" i="4"/>
  <c r="M193" i="4" s="1"/>
  <c r="R193" i="4"/>
  <c r="AG193" i="4"/>
  <c r="C194" i="4"/>
  <c r="L194" i="4" s="1"/>
  <c r="T194" i="4"/>
  <c r="AB194" i="4"/>
  <c r="C195" i="4"/>
  <c r="Q195" i="4" s="1"/>
  <c r="C196" i="4"/>
  <c r="F196" i="4" s="1"/>
  <c r="G196" i="4"/>
  <c r="N196" i="4"/>
  <c r="P196" i="4"/>
  <c r="W196" i="4"/>
  <c r="X196" i="4"/>
  <c r="AF196" i="4"/>
  <c r="AI196" i="4"/>
  <c r="C206" i="4"/>
  <c r="T206" i="4" s="1"/>
  <c r="C207" i="4"/>
  <c r="H207" i="4" s="1"/>
  <c r="J207" i="4"/>
  <c r="P207" i="4"/>
  <c r="Z207" i="4"/>
  <c r="AB207" i="4"/>
  <c r="AF207" i="4"/>
  <c r="C208" i="4"/>
  <c r="E208" i="4"/>
  <c r="K208" i="4"/>
  <c r="S208" i="4"/>
  <c r="U208" i="4"/>
  <c r="AA208" i="4"/>
  <c r="AI208" i="4"/>
  <c r="C209" i="4"/>
  <c r="AH209" i="4" s="1"/>
  <c r="C210" i="4"/>
  <c r="G210" i="4" s="1"/>
  <c r="C211" i="4"/>
  <c r="AB211" i="4" s="1"/>
  <c r="L211" i="4"/>
  <c r="T211" i="4"/>
  <c r="C212" i="4"/>
  <c r="M212" i="4" s="1"/>
  <c r="I212" i="4"/>
  <c r="K212" i="4"/>
  <c r="Q212" i="4"/>
  <c r="S212" i="4"/>
  <c r="U212" i="4"/>
  <c r="AA212" i="4"/>
  <c r="AC212" i="4"/>
  <c r="AG212" i="4"/>
  <c r="C213" i="4"/>
  <c r="K213" i="4" s="1"/>
  <c r="F213" i="4"/>
  <c r="J213" i="4"/>
  <c r="O213" i="4"/>
  <c r="P213" i="4"/>
  <c r="T213" i="4"/>
  <c r="Z213" i="4"/>
  <c r="AA213" i="4"/>
  <c r="AE213" i="4"/>
  <c r="Q3" i="3"/>
  <c r="S3" i="3"/>
  <c r="W3" i="3"/>
  <c r="Y3" i="3"/>
  <c r="AC3" i="3"/>
  <c r="AE3" i="3"/>
  <c r="AG3" i="3"/>
  <c r="AK3" i="3"/>
  <c r="AM3" i="3"/>
  <c r="AO3" i="3"/>
  <c r="Q4" i="3"/>
  <c r="S4" i="3"/>
  <c r="W4" i="3"/>
  <c r="Y4" i="3"/>
  <c r="AC4" i="3"/>
  <c r="AE4" i="3"/>
  <c r="AG4" i="3"/>
  <c r="AK4" i="3"/>
  <c r="AM4" i="3"/>
  <c r="AO4" i="3"/>
  <c r="Q5" i="3"/>
  <c r="S5" i="3"/>
  <c r="W5" i="3"/>
  <c r="Y5" i="3"/>
  <c r="AC5" i="3"/>
  <c r="AE5" i="3"/>
  <c r="AG5" i="3"/>
  <c r="AK5" i="3"/>
  <c r="AM5" i="3"/>
  <c r="AO5" i="3"/>
  <c r="Q6" i="3"/>
  <c r="S6" i="3"/>
  <c r="W6" i="3"/>
  <c r="Y6" i="3"/>
  <c r="AC6" i="3"/>
  <c r="AE6" i="3"/>
  <c r="AG6" i="3"/>
  <c r="AK6" i="3"/>
  <c r="AM6" i="3"/>
  <c r="AO6" i="3"/>
  <c r="Q7" i="3"/>
  <c r="S7" i="3"/>
  <c r="W7" i="3"/>
  <c r="Y7" i="3"/>
  <c r="AC7" i="3"/>
  <c r="AE7" i="3"/>
  <c r="AG7" i="3"/>
  <c r="AK7" i="3"/>
  <c r="AM7" i="3"/>
  <c r="AO7" i="3"/>
  <c r="Q8" i="3"/>
  <c r="S8" i="3"/>
  <c r="Y8" i="3"/>
  <c r="AC8" i="3"/>
  <c r="AE8" i="3"/>
  <c r="AG8" i="3"/>
  <c r="AK8" i="3"/>
  <c r="AM8" i="3"/>
  <c r="AO8" i="3"/>
  <c r="Q9" i="3"/>
  <c r="S9" i="3"/>
  <c r="Y9" i="3"/>
  <c r="AC9" i="3"/>
  <c r="AE9" i="3"/>
  <c r="AG9" i="3"/>
  <c r="AK9" i="3"/>
  <c r="AM9" i="3"/>
  <c r="AO9" i="3"/>
  <c r="Q10" i="3"/>
  <c r="S10" i="3"/>
  <c r="Y10" i="3"/>
  <c r="AC10" i="3"/>
  <c r="AE10" i="3"/>
  <c r="AG10" i="3"/>
  <c r="AK10" i="3"/>
  <c r="AM10" i="3"/>
  <c r="AO10" i="3"/>
  <c r="Q11" i="3"/>
  <c r="S11" i="3"/>
  <c r="AC11" i="3"/>
  <c r="AE11" i="3"/>
  <c r="AK11" i="3"/>
  <c r="AM11" i="3"/>
  <c r="Q12" i="3"/>
  <c r="S12" i="3"/>
  <c r="AC12" i="3"/>
  <c r="AE12" i="3"/>
  <c r="AK12" i="3"/>
  <c r="AM12" i="3"/>
  <c r="Q13" i="3"/>
  <c r="S13" i="3"/>
  <c r="Q14" i="3"/>
  <c r="S14" i="3"/>
  <c r="Q15" i="3"/>
  <c r="S15" i="3"/>
  <c r="Q16" i="3"/>
  <c r="AX13" i="2"/>
  <c r="AL37" i="2"/>
  <c r="AL38" i="2" s="1"/>
  <c r="AP37" i="2"/>
  <c r="AP39" i="2" s="1"/>
  <c r="AT37" i="2"/>
  <c r="AT38" i="2" s="1"/>
  <c r="AX37" i="2"/>
  <c r="AX39" i="2" s="1"/>
  <c r="BB37" i="2"/>
  <c r="BB39" i="2" s="1"/>
  <c r="BF37" i="2"/>
  <c r="BF38" i="2" s="1"/>
  <c r="D156" i="13" l="1"/>
  <c r="E16" i="16"/>
  <c r="F16" i="16" s="1"/>
  <c r="G16" i="16" s="1"/>
  <c r="E4" i="15"/>
  <c r="D61" i="13"/>
  <c r="D194" i="13"/>
  <c r="D39" i="14"/>
  <c r="D194" i="15"/>
  <c r="D116" i="13"/>
  <c r="D65" i="13"/>
  <c r="G136" i="16"/>
  <c r="D177" i="13"/>
  <c r="F27" i="15"/>
  <c r="G27" i="15" s="1"/>
  <c r="H27" i="15" s="1"/>
  <c r="AI177" i="4"/>
  <c r="X177" i="4"/>
  <c r="L177" i="4"/>
  <c r="O157" i="4"/>
  <c r="AE151" i="4"/>
  <c r="S137" i="4"/>
  <c r="Q113" i="4"/>
  <c r="T43" i="4"/>
  <c r="AD39" i="4"/>
  <c r="N39" i="4"/>
  <c r="AC37" i="4"/>
  <c r="T37" i="4"/>
  <c r="AE207" i="5"/>
  <c r="AH206" i="5"/>
  <c r="Q192" i="5"/>
  <c r="AI189" i="5"/>
  <c r="T189" i="5"/>
  <c r="G189" i="5"/>
  <c r="AH171" i="5"/>
  <c r="AA171" i="5"/>
  <c r="S171" i="5"/>
  <c r="M171" i="5"/>
  <c r="F171" i="5"/>
  <c r="Y155" i="5"/>
  <c r="P155" i="5"/>
  <c r="H155" i="5"/>
  <c r="AA153" i="5"/>
  <c r="W140" i="5"/>
  <c r="AG139" i="5"/>
  <c r="AE138" i="5"/>
  <c r="X138" i="5"/>
  <c r="P138" i="5"/>
  <c r="J138" i="5"/>
  <c r="Z136" i="5"/>
  <c r="R132" i="5"/>
  <c r="X120" i="5"/>
  <c r="AC102" i="5"/>
  <c r="X83" i="5"/>
  <c r="AI82" i="5"/>
  <c r="S82" i="5"/>
  <c r="F70" i="5"/>
  <c r="N70" i="5"/>
  <c r="AE70" i="5"/>
  <c r="AH67" i="5"/>
  <c r="AB67" i="5"/>
  <c r="T67" i="5"/>
  <c r="M67" i="5"/>
  <c r="AH65" i="5"/>
  <c r="AI65" i="5"/>
  <c r="Y212" i="6"/>
  <c r="K209" i="6"/>
  <c r="G152" i="6"/>
  <c r="L152" i="6"/>
  <c r="Q152" i="6"/>
  <c r="W152" i="6"/>
  <c r="AB152" i="6"/>
  <c r="AG152" i="6"/>
  <c r="Y114" i="6"/>
  <c r="T113" i="6"/>
  <c r="V113" i="6"/>
  <c r="AE82" i="6"/>
  <c r="U72" i="6"/>
  <c r="AA71" i="6"/>
  <c r="S71" i="6"/>
  <c r="G69" i="6"/>
  <c r="E69" i="6"/>
  <c r="P69" i="6"/>
  <c r="Y69" i="6"/>
  <c r="AI69" i="6"/>
  <c r="AI63" i="6"/>
  <c r="Q63" i="6"/>
  <c r="P62" i="6"/>
  <c r="AF62" i="6"/>
  <c r="N61" i="6"/>
  <c r="AD61" i="6"/>
  <c r="L39" i="6"/>
  <c r="T39" i="6"/>
  <c r="AB39" i="6"/>
  <c r="AI39" i="6"/>
  <c r="G39" i="6"/>
  <c r="O39" i="6"/>
  <c r="X39" i="6"/>
  <c r="AE39" i="6"/>
  <c r="X152" i="7"/>
  <c r="AI137" i="7"/>
  <c r="G212" i="8"/>
  <c r="I212" i="8"/>
  <c r="AB212" i="8"/>
  <c r="L212" i="8"/>
  <c r="T212" i="8"/>
  <c r="E210" i="8"/>
  <c r="F210" i="8"/>
  <c r="R210" i="8"/>
  <c r="AF210" i="8"/>
  <c r="G210" i="8"/>
  <c r="V210" i="8"/>
  <c r="AH210" i="8"/>
  <c r="L210" i="8"/>
  <c r="Z210" i="8"/>
  <c r="H156" i="8"/>
  <c r="R156" i="8"/>
  <c r="AG156" i="8"/>
  <c r="I156" i="8"/>
  <c r="X156" i="8"/>
  <c r="N156" i="8"/>
  <c r="Y156" i="8"/>
  <c r="H120" i="8"/>
  <c r="Q120" i="8"/>
  <c r="Y120" i="8"/>
  <c r="I120" i="8"/>
  <c r="R120" i="8"/>
  <c r="AC120" i="8"/>
  <c r="L120" i="8"/>
  <c r="V120" i="8"/>
  <c r="AD120" i="8"/>
  <c r="F100" i="8"/>
  <c r="E100" i="8"/>
  <c r="K100" i="8"/>
  <c r="P100" i="8"/>
  <c r="U100" i="8"/>
  <c r="AA100" i="8"/>
  <c r="AF100" i="8"/>
  <c r="G100" i="8"/>
  <c r="L100" i="8"/>
  <c r="Q100" i="8"/>
  <c r="W100" i="8"/>
  <c r="AB100" i="8"/>
  <c r="AG100" i="8"/>
  <c r="H100" i="8"/>
  <c r="M100" i="8"/>
  <c r="S100" i="8"/>
  <c r="X100" i="8"/>
  <c r="AC100" i="8"/>
  <c r="AI100" i="8"/>
  <c r="V196" i="4"/>
  <c r="K196" i="4"/>
  <c r="AF195" i="4"/>
  <c r="AB190" i="4"/>
  <c r="AC138" i="4"/>
  <c r="AE113" i="4"/>
  <c r="K113" i="4"/>
  <c r="AF43" i="4"/>
  <c r="O43" i="4"/>
  <c r="Y39" i="4"/>
  <c r="AH37" i="4"/>
  <c r="Q37" i="4"/>
  <c r="G67" i="5"/>
  <c r="E67" i="5"/>
  <c r="J67" i="5"/>
  <c r="P67" i="5"/>
  <c r="U67" i="5"/>
  <c r="Z67" i="5"/>
  <c r="AF67" i="5"/>
  <c r="K212" i="6"/>
  <c r="W212" i="6"/>
  <c r="AG212" i="6"/>
  <c r="I82" i="6"/>
  <c r="P82" i="6"/>
  <c r="AF82" i="6"/>
  <c r="N50" i="6"/>
  <c r="Y50" i="6"/>
  <c r="H46" i="6"/>
  <c r="J46" i="6"/>
  <c r="AA46" i="6"/>
  <c r="T172" i="7"/>
  <c r="F172" i="7"/>
  <c r="H49" i="7"/>
  <c r="AE49" i="7"/>
  <c r="R37" i="7"/>
  <c r="AE37" i="7"/>
  <c r="X37" i="7"/>
  <c r="H138" i="8"/>
  <c r="O138" i="8"/>
  <c r="S138" i="8"/>
  <c r="AE138" i="8"/>
  <c r="M134" i="8"/>
  <c r="X134" i="8"/>
  <c r="Y134" i="8"/>
  <c r="G133" i="8"/>
  <c r="E133" i="8"/>
  <c r="M133" i="8"/>
  <c r="U133" i="8"/>
  <c r="AC133" i="8"/>
  <c r="H133" i="8"/>
  <c r="P133" i="8"/>
  <c r="X133" i="8"/>
  <c r="AF133" i="8"/>
  <c r="I133" i="8"/>
  <c r="Q133" i="8"/>
  <c r="Y133" i="8"/>
  <c r="AG133" i="8"/>
  <c r="AG120" i="8"/>
  <c r="F102" i="8"/>
  <c r="N102" i="8"/>
  <c r="S102" i="8"/>
  <c r="AD102" i="8"/>
  <c r="T100" i="8"/>
  <c r="J98" i="8"/>
  <c r="L98" i="8"/>
  <c r="S98" i="8"/>
  <c r="Z98" i="8"/>
  <c r="K71" i="8"/>
  <c r="AC71" i="8"/>
  <c r="AD196" i="4"/>
  <c r="AF177" i="4"/>
  <c r="T177" i="4"/>
  <c r="K177" i="4"/>
  <c r="AE118" i="4"/>
  <c r="J39" i="4"/>
  <c r="AB37" i="4"/>
  <c r="AF213" i="4"/>
  <c r="V213" i="4"/>
  <c r="AI212" i="4"/>
  <c r="Y212" i="4"/>
  <c r="R207" i="4"/>
  <c r="AB196" i="4"/>
  <c r="R196" i="4"/>
  <c r="H196" i="4"/>
  <c r="X195" i="4"/>
  <c r="V190" i="4"/>
  <c r="AB177" i="4"/>
  <c r="S177" i="4"/>
  <c r="H177" i="4"/>
  <c r="AI157" i="4"/>
  <c r="Y140" i="4"/>
  <c r="U138" i="4"/>
  <c r="Z122" i="4"/>
  <c r="X119" i="4"/>
  <c r="L119" i="4"/>
  <c r="Y118" i="4"/>
  <c r="Z113" i="4"/>
  <c r="J113" i="4"/>
  <c r="X82" i="4"/>
  <c r="P69" i="4"/>
  <c r="X64" i="4"/>
  <c r="Q60" i="4"/>
  <c r="AB50" i="4"/>
  <c r="L50" i="4"/>
  <c r="W49" i="4"/>
  <c r="Y44" i="4"/>
  <c r="AE43" i="4"/>
  <c r="K43" i="4"/>
  <c r="U39" i="4"/>
  <c r="I39" i="4"/>
  <c r="AG37" i="4"/>
  <c r="X37" i="4"/>
  <c r="N37" i="4"/>
  <c r="AF211" i="5"/>
  <c r="L211" i="5"/>
  <c r="O207" i="5"/>
  <c r="N206" i="5"/>
  <c r="AB189" i="5"/>
  <c r="N189" i="5"/>
  <c r="AI188" i="5"/>
  <c r="AC188" i="5"/>
  <c r="V188" i="5"/>
  <c r="N188" i="5"/>
  <c r="G188" i="5"/>
  <c r="V187" i="5"/>
  <c r="AD171" i="5"/>
  <c r="W171" i="5"/>
  <c r="Q171" i="5"/>
  <c r="I171" i="5"/>
  <c r="O168" i="5"/>
  <c r="R157" i="5"/>
  <c r="AD155" i="5"/>
  <c r="U155" i="5"/>
  <c r="J155" i="5"/>
  <c r="AE154" i="5"/>
  <c r="O153" i="5"/>
  <c r="AE140" i="5"/>
  <c r="L140" i="5"/>
  <c r="AI138" i="5"/>
  <c r="AA138" i="5"/>
  <c r="T138" i="5"/>
  <c r="N138" i="5"/>
  <c r="F138" i="5"/>
  <c r="N136" i="5"/>
  <c r="X116" i="5"/>
  <c r="X103" i="5"/>
  <c r="R85" i="5"/>
  <c r="Y82" i="5"/>
  <c r="L71" i="5"/>
  <c r="U70" i="5"/>
  <c r="AD67" i="5"/>
  <c r="X67" i="5"/>
  <c r="Q67" i="5"/>
  <c r="I67" i="5"/>
  <c r="F66" i="5"/>
  <c r="U66" i="5"/>
  <c r="AF212" i="6"/>
  <c r="P212" i="6"/>
  <c r="K191" i="6"/>
  <c r="AE152" i="6"/>
  <c r="X152" i="6"/>
  <c r="P152" i="6"/>
  <c r="I152" i="6"/>
  <c r="AF113" i="6"/>
  <c r="K102" i="6"/>
  <c r="W102" i="6"/>
  <c r="O83" i="6"/>
  <c r="T82" i="6"/>
  <c r="AE72" i="6"/>
  <c r="X69" i="6"/>
  <c r="K69" i="6"/>
  <c r="X63" i="6"/>
  <c r="AE61" i="6"/>
  <c r="K61" i="6"/>
  <c r="X46" i="6"/>
  <c r="AI41" i="6"/>
  <c r="AC39" i="6"/>
  <c r="M39" i="6"/>
  <c r="O187" i="7"/>
  <c r="S115" i="7"/>
  <c r="O115" i="7"/>
  <c r="AI115" i="7"/>
  <c r="F114" i="7"/>
  <c r="AA114" i="7"/>
  <c r="P114" i="7"/>
  <c r="AI114" i="7"/>
  <c r="K102" i="7"/>
  <c r="E102" i="7"/>
  <c r="V102" i="7"/>
  <c r="O102" i="7"/>
  <c r="AE102" i="7"/>
  <c r="E47" i="7"/>
  <c r="K47" i="7"/>
  <c r="AE47" i="7"/>
  <c r="U47" i="7"/>
  <c r="J46" i="7"/>
  <c r="K46" i="7"/>
  <c r="Z46" i="7"/>
  <c r="R46" i="7"/>
  <c r="AI46" i="7"/>
  <c r="J43" i="7"/>
  <c r="S43" i="7"/>
  <c r="AH43" i="7"/>
  <c r="AH37" i="7"/>
  <c r="AA210" i="8"/>
  <c r="AC156" i="8"/>
  <c r="X120" i="8"/>
  <c r="H101" i="8"/>
  <c r="G101" i="8"/>
  <c r="W101" i="8"/>
  <c r="AA101" i="8"/>
  <c r="O100" i="8"/>
  <c r="G83" i="8"/>
  <c r="H83" i="8"/>
  <c r="T83" i="8"/>
  <c r="AF83" i="8"/>
  <c r="K83" i="8"/>
  <c r="U83" i="8"/>
  <c r="M83" i="8"/>
  <c r="AA83" i="8"/>
  <c r="AE192" i="5"/>
  <c r="W189" i="5"/>
  <c r="H189" i="5"/>
  <c r="AI171" i="5"/>
  <c r="AC171" i="5"/>
  <c r="V171" i="5"/>
  <c r="N171" i="5"/>
  <c r="AC155" i="5"/>
  <c r="R155" i="5"/>
  <c r="I155" i="5"/>
  <c r="AF132" i="5"/>
  <c r="K83" i="5"/>
  <c r="H83" i="5"/>
  <c r="N82" i="5"/>
  <c r="AD82" i="5"/>
  <c r="AC67" i="5"/>
  <c r="V67" i="5"/>
  <c r="N67" i="5"/>
  <c r="H67" i="5"/>
  <c r="AE212" i="6"/>
  <c r="L212" i="6"/>
  <c r="I195" i="6"/>
  <c r="T195" i="6"/>
  <c r="M82" i="6"/>
  <c r="R72" i="6"/>
  <c r="AI72" i="6"/>
  <c r="H63" i="6"/>
  <c r="M63" i="6"/>
  <c r="AB63" i="6"/>
  <c r="K60" i="6"/>
  <c r="AB60" i="6"/>
  <c r="O48" i="6"/>
  <c r="W48" i="6"/>
  <c r="S46" i="6"/>
  <c r="W132" i="7"/>
  <c r="G132" i="7"/>
  <c r="AE132" i="7"/>
  <c r="AD116" i="7"/>
  <c r="G67" i="7"/>
  <c r="O67" i="7"/>
  <c r="AE67" i="7"/>
  <c r="G45" i="7"/>
  <c r="T45" i="7"/>
  <c r="Z37" i="7"/>
  <c r="Y212" i="8"/>
  <c r="O210" i="8"/>
  <c r="N193" i="8"/>
  <c r="X193" i="8"/>
  <c r="Q156" i="8"/>
  <c r="J136" i="8"/>
  <c r="N136" i="8"/>
  <c r="AI136" i="8"/>
  <c r="T133" i="8"/>
  <c r="N120" i="8"/>
  <c r="AE100" i="8"/>
  <c r="I100" i="8"/>
  <c r="H82" i="8"/>
  <c r="L82" i="8"/>
  <c r="T82" i="8"/>
  <c r="AB82" i="8"/>
  <c r="J68" i="8"/>
  <c r="F68" i="8"/>
  <c r="X68" i="8"/>
  <c r="K68" i="8"/>
  <c r="AE68" i="8"/>
  <c r="P68" i="8"/>
  <c r="AF68" i="8"/>
  <c r="K48" i="8"/>
  <c r="S48" i="8"/>
  <c r="AE48" i="8"/>
  <c r="AI213" i="8"/>
  <c r="AI206" i="8"/>
  <c r="Y187" i="8"/>
  <c r="I187" i="8"/>
  <c r="AA173" i="8"/>
  <c r="Y63" i="8"/>
  <c r="H208" i="9"/>
  <c r="Y208" i="9"/>
  <c r="J194" i="9"/>
  <c r="AE194" i="9"/>
  <c r="T156" i="9"/>
  <c r="P156" i="9"/>
  <c r="M137" i="9"/>
  <c r="H134" i="9"/>
  <c r="P134" i="9"/>
  <c r="X134" i="9"/>
  <c r="AF134" i="9"/>
  <c r="AG103" i="9"/>
  <c r="T103" i="9"/>
  <c r="O86" i="9"/>
  <c r="Y86" i="9"/>
  <c r="E83" i="9"/>
  <c r="AA83" i="9"/>
  <c r="G70" i="9"/>
  <c r="T70" i="9"/>
  <c r="AE62" i="9"/>
  <c r="V61" i="9"/>
  <c r="Y61" i="9"/>
  <c r="I44" i="9"/>
  <c r="M44" i="9"/>
  <c r="Y44" i="9"/>
  <c r="AI42" i="9"/>
  <c r="K42" i="9"/>
  <c r="AF39" i="9"/>
  <c r="T39" i="9"/>
  <c r="E213" i="10"/>
  <c r="T213" i="10"/>
  <c r="F210" i="10"/>
  <c r="E210" i="10"/>
  <c r="L210" i="10"/>
  <c r="T210" i="10"/>
  <c r="AA210" i="10"/>
  <c r="AG210" i="10"/>
  <c r="I210" i="10"/>
  <c r="P210" i="10"/>
  <c r="W210" i="10"/>
  <c r="AE210" i="10"/>
  <c r="I157" i="10"/>
  <c r="Y157" i="10"/>
  <c r="H154" i="10"/>
  <c r="E154" i="10"/>
  <c r="L154" i="10"/>
  <c r="T154" i="10"/>
  <c r="AA154" i="10"/>
  <c r="AG154" i="10"/>
  <c r="I154" i="10"/>
  <c r="P154" i="10"/>
  <c r="W154" i="10"/>
  <c r="AE154" i="10"/>
  <c r="F141" i="10"/>
  <c r="T141" i="10"/>
  <c r="R116" i="10"/>
  <c r="AG98" i="10"/>
  <c r="K86" i="10"/>
  <c r="S86" i="10"/>
  <c r="AA86" i="10"/>
  <c r="AI86" i="10"/>
  <c r="G86" i="10"/>
  <c r="O86" i="10"/>
  <c r="W86" i="10"/>
  <c r="AE86" i="10"/>
  <c r="V84" i="10"/>
  <c r="H49" i="10"/>
  <c r="G49" i="10"/>
  <c r="H63" i="8"/>
  <c r="E63" i="8"/>
  <c r="T63" i="8"/>
  <c r="AF63" i="8"/>
  <c r="F49" i="8"/>
  <c r="W49" i="8"/>
  <c r="Y213" i="9"/>
  <c r="P171" i="9"/>
  <c r="Z171" i="9"/>
  <c r="Z154" i="9"/>
  <c r="E103" i="9"/>
  <c r="I103" i="9"/>
  <c r="R103" i="9"/>
  <c r="AB103" i="9"/>
  <c r="T62" i="9"/>
  <c r="T43" i="9"/>
  <c r="AF41" i="9"/>
  <c r="I39" i="9"/>
  <c r="H39" i="9"/>
  <c r="R39" i="9"/>
  <c r="Z39" i="9"/>
  <c r="S38" i="9"/>
  <c r="AA38" i="9"/>
  <c r="S207" i="10"/>
  <c r="O207" i="10"/>
  <c r="M174" i="10"/>
  <c r="W174" i="10"/>
  <c r="G174" i="10"/>
  <c r="AI174" i="10"/>
  <c r="AF116" i="10"/>
  <c r="L116" i="10"/>
  <c r="AH114" i="10"/>
  <c r="V98" i="10"/>
  <c r="O84" i="10"/>
  <c r="N45" i="10"/>
  <c r="AB45" i="10"/>
  <c r="AI38" i="6"/>
  <c r="Q206" i="7"/>
  <c r="AA120" i="7"/>
  <c r="AD101" i="7"/>
  <c r="S101" i="7"/>
  <c r="J101" i="7"/>
  <c r="AD98" i="7"/>
  <c r="J98" i="7"/>
  <c r="W38" i="7"/>
  <c r="AI196" i="8"/>
  <c r="M196" i="8"/>
  <c r="AA195" i="8"/>
  <c r="AC192" i="8"/>
  <c r="S192" i="8"/>
  <c r="G192" i="8"/>
  <c r="AA191" i="8"/>
  <c r="AH189" i="8"/>
  <c r="V189" i="8"/>
  <c r="G189" i="8"/>
  <c r="R187" i="8"/>
  <c r="G66" i="8"/>
  <c r="K66" i="8"/>
  <c r="AI63" i="8"/>
  <c r="O63" i="8"/>
  <c r="L213" i="9"/>
  <c r="V192" i="9"/>
  <c r="E191" i="9"/>
  <c r="Q191" i="9"/>
  <c r="I189" i="9"/>
  <c r="AE189" i="9"/>
  <c r="Q169" i="9"/>
  <c r="Y169" i="9"/>
  <c r="AD156" i="9"/>
  <c r="S155" i="9"/>
  <c r="AC134" i="9"/>
  <c r="T134" i="9"/>
  <c r="I134" i="9"/>
  <c r="Y103" i="9"/>
  <c r="M103" i="9"/>
  <c r="K97" i="9"/>
  <c r="O97" i="9"/>
  <c r="AB97" i="9"/>
  <c r="O70" i="9"/>
  <c r="AC44" i="9"/>
  <c r="K44" i="9"/>
  <c r="Y39" i="9"/>
  <c r="M39" i="9"/>
  <c r="AI38" i="9"/>
  <c r="U119" i="10"/>
  <c r="AE119" i="10"/>
  <c r="E119" i="10"/>
  <c r="AA116" i="10"/>
  <c r="AH84" i="10"/>
  <c r="H71" i="10"/>
  <c r="M71" i="10"/>
  <c r="AA71" i="10"/>
  <c r="E71" i="10"/>
  <c r="S71" i="10"/>
  <c r="AI71" i="10"/>
  <c r="K175" i="9"/>
  <c r="Z175" i="9"/>
  <c r="J154" i="9"/>
  <c r="AE154" i="9"/>
  <c r="K99" i="9"/>
  <c r="F99" i="9"/>
  <c r="O62" i="9"/>
  <c r="AB62" i="9"/>
  <c r="E43" i="9"/>
  <c r="AF43" i="9"/>
  <c r="G41" i="9"/>
  <c r="O41" i="9"/>
  <c r="E116" i="10"/>
  <c r="K116" i="10"/>
  <c r="T116" i="10"/>
  <c r="AB116" i="10"/>
  <c r="F116" i="10"/>
  <c r="O116" i="10"/>
  <c r="Z116" i="10"/>
  <c r="AH116" i="10"/>
  <c r="X114" i="10"/>
  <c r="G114" i="10"/>
  <c r="AG114" i="10"/>
  <c r="E98" i="10"/>
  <c r="K98" i="10"/>
  <c r="AC98" i="10"/>
  <c r="S98" i="10"/>
  <c r="H84" i="10"/>
  <c r="L84" i="10"/>
  <c r="Z84" i="10"/>
  <c r="F84" i="10"/>
  <c r="R84" i="10"/>
  <c r="AF84" i="10"/>
  <c r="Z212" i="10"/>
  <c r="S97" i="10"/>
  <c r="P67" i="10"/>
  <c r="AB66" i="10"/>
  <c r="Q40" i="10"/>
  <c r="AB39" i="10"/>
  <c r="L39" i="10"/>
  <c r="M4" i="14"/>
  <c r="D194" i="14"/>
  <c r="D132" i="13"/>
  <c r="D132" i="14"/>
  <c r="D115" i="14"/>
  <c r="D102" i="14"/>
  <c r="E61" i="16"/>
  <c r="D98" i="14"/>
  <c r="D173" i="14"/>
  <c r="D48" i="14"/>
  <c r="D211" i="13"/>
  <c r="D153" i="14"/>
  <c r="D60" i="14"/>
  <c r="D207" i="14"/>
  <c r="D96" i="15"/>
  <c r="E14" i="16"/>
  <c r="G14" i="16"/>
  <c r="D157" i="14"/>
  <c r="D211" i="15"/>
  <c r="D190" i="14"/>
  <c r="D64" i="14"/>
  <c r="D84" i="13"/>
  <c r="D139" i="13"/>
  <c r="D44" i="14"/>
  <c r="D152" i="13"/>
  <c r="D69" i="13"/>
  <c r="D177" i="14"/>
  <c r="D211" i="14"/>
  <c r="D141" i="15"/>
  <c r="D83" i="14"/>
  <c r="AR14" i="16"/>
  <c r="E28" i="14"/>
  <c r="F27" i="13"/>
  <c r="F28" i="13" s="1"/>
  <c r="I4" i="14"/>
  <c r="F28" i="14"/>
  <c r="G27" i="14"/>
  <c r="H27" i="14" s="1"/>
  <c r="I27" i="14" s="1"/>
  <c r="I28" i="14" s="1"/>
  <c r="D140" i="14"/>
  <c r="D103" i="13"/>
  <c r="D207" i="13"/>
  <c r="G15" i="16"/>
  <c r="D172" i="15"/>
  <c r="D38" i="15"/>
  <c r="D122" i="13"/>
  <c r="D191" i="13"/>
  <c r="D151" i="15"/>
  <c r="D119" i="14"/>
  <c r="D118" i="14"/>
  <c r="D208" i="15"/>
  <c r="D117" i="13"/>
  <c r="D114" i="14"/>
  <c r="D210" i="14"/>
  <c r="D141" i="14"/>
  <c r="D46" i="15"/>
  <c r="D133" i="15"/>
  <c r="D44" i="13"/>
  <c r="D97" i="14"/>
  <c r="D193" i="15"/>
  <c r="D69" i="14"/>
  <c r="D99" i="14"/>
  <c r="D41" i="15"/>
  <c r="D49" i="13"/>
  <c r="D170" i="13"/>
  <c r="D212" i="14"/>
  <c r="D65" i="14"/>
  <c r="D176" i="15"/>
  <c r="D116" i="14"/>
  <c r="D118" i="15"/>
  <c r="AJ40" i="11"/>
  <c r="I40" i="16" s="1"/>
  <c r="AJ170" i="11"/>
  <c r="I170" i="16" s="1"/>
  <c r="AJ170" i="12"/>
  <c r="H170" i="16" s="1"/>
  <c r="AJ100" i="11"/>
  <c r="I100" i="16" s="1"/>
  <c r="Q4" i="15"/>
  <c r="D50" i="15"/>
  <c r="D173" i="15"/>
  <c r="D190" i="15"/>
  <c r="D210" i="15"/>
  <c r="M4" i="15"/>
  <c r="F178" i="16"/>
  <c r="D157" i="13"/>
  <c r="D82" i="13"/>
  <c r="D153" i="13"/>
  <c r="D212" i="13"/>
  <c r="D120" i="13"/>
  <c r="E27" i="7"/>
  <c r="D190" i="13"/>
  <c r="D195" i="13"/>
  <c r="D169" i="13"/>
  <c r="D173" i="13"/>
  <c r="D141" i="13"/>
  <c r="D140" i="13"/>
  <c r="D99" i="13"/>
  <c r="D207" i="15"/>
  <c r="D155" i="15"/>
  <c r="E134" i="16"/>
  <c r="E194" i="6"/>
  <c r="AF194" i="6"/>
  <c r="L138" i="6"/>
  <c r="T138" i="6"/>
  <c r="AC138" i="6"/>
  <c r="E66" i="6"/>
  <c r="S66" i="6"/>
  <c r="K66" i="6"/>
  <c r="I45" i="6"/>
  <c r="L45" i="6"/>
  <c r="X45" i="6"/>
  <c r="H45" i="6"/>
  <c r="Y45" i="6"/>
  <c r="H211" i="7"/>
  <c r="S211" i="7"/>
  <c r="K211" i="7"/>
  <c r="H195" i="7"/>
  <c r="F195" i="7"/>
  <c r="N195" i="7"/>
  <c r="V195" i="7"/>
  <c r="AD195" i="7"/>
  <c r="J195" i="7"/>
  <c r="S195" i="7"/>
  <c r="AE195" i="7"/>
  <c r="K121" i="7"/>
  <c r="AF121" i="7"/>
  <c r="T207" i="4"/>
  <c r="AH196" i="4"/>
  <c r="AA196" i="4"/>
  <c r="S196" i="4"/>
  <c r="L196" i="4"/>
  <c r="W191" i="4"/>
  <c r="AG190" i="4"/>
  <c r="L190" i="4"/>
  <c r="AE177" i="4"/>
  <c r="W177" i="4"/>
  <c r="O177" i="4"/>
  <c r="G177" i="4"/>
  <c r="AB173" i="4"/>
  <c r="L173" i="4"/>
  <c r="Z169" i="4"/>
  <c r="L169" i="4"/>
  <c r="AE157" i="4"/>
  <c r="K157" i="4"/>
  <c r="AE153" i="4"/>
  <c r="AA152" i="4"/>
  <c r="S151" i="4"/>
  <c r="M138" i="4"/>
  <c r="AH135" i="4"/>
  <c r="L135" i="4"/>
  <c r="AE133" i="4"/>
  <c r="AI122" i="4"/>
  <c r="O122" i="4"/>
  <c r="Y119" i="4"/>
  <c r="Q119" i="4"/>
  <c r="Z116" i="4"/>
  <c r="AG113" i="4"/>
  <c r="S113" i="4"/>
  <c r="AA99" i="4"/>
  <c r="AE98" i="4"/>
  <c r="AI96" i="4"/>
  <c r="N96" i="4"/>
  <c r="AF85" i="4"/>
  <c r="O85" i="4"/>
  <c r="Z69" i="4"/>
  <c r="J69" i="4"/>
  <c r="AE64" i="4"/>
  <c r="W64" i="4"/>
  <c r="L64" i="4"/>
  <c r="AI63" i="4"/>
  <c r="Y60" i="4"/>
  <c r="J60" i="4"/>
  <c r="AF50" i="4"/>
  <c r="X50" i="4"/>
  <c r="P50" i="4"/>
  <c r="H50" i="4"/>
  <c r="AG49" i="4"/>
  <c r="M49" i="4"/>
  <c r="AE47" i="4"/>
  <c r="Z47" i="4"/>
  <c r="S47" i="4"/>
  <c r="M47" i="4"/>
  <c r="V43" i="4"/>
  <c r="J43" i="4"/>
  <c r="K212" i="5"/>
  <c r="AE208" i="5"/>
  <c r="G208" i="5"/>
  <c r="AA207" i="5"/>
  <c r="K207" i="5"/>
  <c r="AG206" i="5"/>
  <c r="M206" i="5"/>
  <c r="AH195" i="5"/>
  <c r="AE193" i="5"/>
  <c r="J193" i="5"/>
  <c r="AE188" i="5"/>
  <c r="Z188" i="5"/>
  <c r="U188" i="5"/>
  <c r="O188" i="5"/>
  <c r="J188" i="5"/>
  <c r="E188" i="5"/>
  <c r="J187" i="5"/>
  <c r="AE172" i="5"/>
  <c r="I172" i="5"/>
  <c r="Y168" i="5"/>
  <c r="L168" i="5"/>
  <c r="Y158" i="5"/>
  <c r="O157" i="5"/>
  <c r="AH155" i="5"/>
  <c r="Z155" i="5"/>
  <c r="T155" i="5"/>
  <c r="M155" i="5"/>
  <c r="W154" i="5"/>
  <c r="AD153" i="5"/>
  <c r="K152" i="5"/>
  <c r="AA141" i="5"/>
  <c r="AD140" i="5"/>
  <c r="S140" i="5"/>
  <c r="J140" i="5"/>
  <c r="AB139" i="5"/>
  <c r="O137" i="5"/>
  <c r="AB136" i="5"/>
  <c r="L136" i="5"/>
  <c r="AB134" i="5"/>
  <c r="AG133" i="5"/>
  <c r="AB121" i="5"/>
  <c r="H120" i="5"/>
  <c r="N118" i="5"/>
  <c r="T114" i="5"/>
  <c r="W103" i="5"/>
  <c r="Y101" i="5"/>
  <c r="L101" i="5"/>
  <c r="S99" i="5"/>
  <c r="AI99" i="5"/>
  <c r="AD96" i="5"/>
  <c r="U96" i="5"/>
  <c r="Y86" i="5"/>
  <c r="E82" i="5"/>
  <c r="O82" i="5"/>
  <c r="Z82" i="5"/>
  <c r="AA70" i="5"/>
  <c r="Q70" i="5"/>
  <c r="I70" i="5"/>
  <c r="AA66" i="5"/>
  <c r="R65" i="5"/>
  <c r="AB62" i="5"/>
  <c r="H61" i="5"/>
  <c r="K61" i="5"/>
  <c r="T61" i="5"/>
  <c r="AE61" i="5"/>
  <c r="I47" i="5"/>
  <c r="S47" i="5"/>
  <c r="AI44" i="5"/>
  <c r="Z44" i="5"/>
  <c r="K41" i="5"/>
  <c r="AA41" i="5"/>
  <c r="F212" i="6"/>
  <c r="I212" i="6"/>
  <c r="Q212" i="6"/>
  <c r="AA212" i="6"/>
  <c r="W189" i="6"/>
  <c r="O189" i="6"/>
  <c r="AF187" i="6"/>
  <c r="F177" i="6"/>
  <c r="AG177" i="6"/>
  <c r="F171" i="6"/>
  <c r="J171" i="6"/>
  <c r="Y171" i="6"/>
  <c r="AB168" i="6"/>
  <c r="AI158" i="6"/>
  <c r="Y158" i="6"/>
  <c r="T155" i="6"/>
  <c r="O139" i="6"/>
  <c r="Y139" i="6"/>
  <c r="Y138" i="6"/>
  <c r="M138" i="6"/>
  <c r="E134" i="6"/>
  <c r="I134" i="6"/>
  <c r="O133" i="6"/>
  <c r="S133" i="6"/>
  <c r="Y117" i="6"/>
  <c r="Z116" i="6"/>
  <c r="Z98" i="6"/>
  <c r="U97" i="6"/>
  <c r="X70" i="6"/>
  <c r="AI67" i="6"/>
  <c r="N67" i="6"/>
  <c r="J61" i="6"/>
  <c r="R61" i="6"/>
  <c r="Z61" i="6"/>
  <c r="AH61" i="6"/>
  <c r="F61" i="6"/>
  <c r="O61" i="6"/>
  <c r="AA61" i="6"/>
  <c r="W45" i="6"/>
  <c r="AA211" i="7"/>
  <c r="Y210" i="7"/>
  <c r="O210" i="7"/>
  <c r="S207" i="7"/>
  <c r="G207" i="7"/>
  <c r="X206" i="7"/>
  <c r="L206" i="7"/>
  <c r="AA195" i="7"/>
  <c r="O195" i="7"/>
  <c r="F193" i="7"/>
  <c r="H193" i="7"/>
  <c r="R193" i="7"/>
  <c r="AB193" i="7"/>
  <c r="L193" i="7"/>
  <c r="Z193" i="7"/>
  <c r="P189" i="7"/>
  <c r="F188" i="7"/>
  <c r="S188" i="7"/>
  <c r="AI188" i="7"/>
  <c r="N188" i="7"/>
  <c r="AD188" i="7"/>
  <c r="G187" i="7"/>
  <c r="AA187" i="7"/>
  <c r="AE187" i="7"/>
  <c r="G176" i="7"/>
  <c r="L176" i="7"/>
  <c r="H170" i="7"/>
  <c r="O170" i="7"/>
  <c r="AB170" i="7"/>
  <c r="J170" i="7"/>
  <c r="AE170" i="7"/>
  <c r="X155" i="7"/>
  <c r="M152" i="7"/>
  <c r="AF152" i="7"/>
  <c r="K152" i="7"/>
  <c r="AC151" i="7"/>
  <c r="W151" i="7"/>
  <c r="O151" i="7"/>
  <c r="H151" i="7"/>
  <c r="Z138" i="7"/>
  <c r="X135" i="7"/>
  <c r="F65" i="7"/>
  <c r="Z65" i="7"/>
  <c r="AI65" i="7"/>
  <c r="Z61" i="7"/>
  <c r="I48" i="7"/>
  <c r="AE48" i="7"/>
  <c r="AI45" i="7"/>
  <c r="S45" i="7"/>
  <c r="O41" i="7"/>
  <c r="W41" i="7"/>
  <c r="Z206" i="8"/>
  <c r="AE139" i="8"/>
  <c r="O65" i="8"/>
  <c r="AE65" i="8"/>
  <c r="R208" i="9"/>
  <c r="N133" i="9"/>
  <c r="W133" i="9"/>
  <c r="AD133" i="9"/>
  <c r="M133" i="9"/>
  <c r="H49" i="9"/>
  <c r="G49" i="9"/>
  <c r="N49" i="9"/>
  <c r="U49" i="9"/>
  <c r="AC49" i="9"/>
  <c r="AI49" i="9"/>
  <c r="I49" i="9"/>
  <c r="O49" i="9"/>
  <c r="W49" i="9"/>
  <c r="AD49" i="9"/>
  <c r="E49" i="9"/>
  <c r="S49" i="9"/>
  <c r="AH49" i="9"/>
  <c r="J49" i="9"/>
  <c r="Y49" i="9"/>
  <c r="G45" i="9"/>
  <c r="P45" i="9"/>
  <c r="Z45" i="9"/>
  <c r="J45" i="9"/>
  <c r="R45" i="9"/>
  <c r="AB45" i="9"/>
  <c r="K45" i="9"/>
  <c r="AE45" i="9"/>
  <c r="O45" i="9"/>
  <c r="AF45" i="9"/>
  <c r="AH43" i="9"/>
  <c r="G96" i="5"/>
  <c r="E96" i="5"/>
  <c r="L96" i="5"/>
  <c r="T96" i="5"/>
  <c r="Z96" i="5"/>
  <c r="AG96" i="5"/>
  <c r="H44" i="5"/>
  <c r="E44" i="5"/>
  <c r="O44" i="5"/>
  <c r="Y44" i="5"/>
  <c r="AE44" i="5"/>
  <c r="G38" i="5"/>
  <c r="AA38" i="5"/>
  <c r="AP38" i="2"/>
  <c r="AI210" i="4"/>
  <c r="S191" i="4"/>
  <c r="X173" i="4"/>
  <c r="X169" i="4"/>
  <c r="J169" i="4"/>
  <c r="W157" i="4"/>
  <c r="S153" i="4"/>
  <c r="AI138" i="4"/>
  <c r="Z135" i="4"/>
  <c r="AE122" i="4"/>
  <c r="AE117" i="4"/>
  <c r="S116" i="4"/>
  <c r="AF114" i="4"/>
  <c r="Z99" i="4"/>
  <c r="AD96" i="4"/>
  <c r="AE85" i="4"/>
  <c r="T69" i="4"/>
  <c r="AD64" i="4"/>
  <c r="S64" i="4"/>
  <c r="J64" i="4"/>
  <c r="AG60" i="4"/>
  <c r="T60" i="4"/>
  <c r="AE50" i="4"/>
  <c r="W50" i="4"/>
  <c r="O50" i="4"/>
  <c r="Y49" i="4"/>
  <c r="Z40" i="4"/>
  <c r="AD213" i="5"/>
  <c r="W207" i="5"/>
  <c r="G207" i="5"/>
  <c r="Y206" i="5"/>
  <c r="F206" i="5"/>
  <c r="R195" i="5"/>
  <c r="Y176" i="5"/>
  <c r="AF170" i="5"/>
  <c r="AG168" i="5"/>
  <c r="U168" i="5"/>
  <c r="G168" i="5"/>
  <c r="O154" i="5"/>
  <c r="G152" i="5"/>
  <c r="Z140" i="5"/>
  <c r="R140" i="5"/>
  <c r="L139" i="5"/>
  <c r="AI137" i="5"/>
  <c r="S134" i="5"/>
  <c r="AI122" i="5"/>
  <c r="K103" i="5"/>
  <c r="V101" i="5"/>
  <c r="AB96" i="5"/>
  <c r="Q96" i="5"/>
  <c r="I96" i="5"/>
  <c r="AI70" i="5"/>
  <c r="Y70" i="5"/>
  <c r="O70" i="5"/>
  <c r="H66" i="5"/>
  <c r="J66" i="5"/>
  <c r="Y66" i="5"/>
  <c r="AG44" i="5"/>
  <c r="V44" i="5"/>
  <c r="J44" i="5"/>
  <c r="H39" i="5"/>
  <c r="W39" i="5"/>
  <c r="U194" i="6"/>
  <c r="AD190" i="6"/>
  <c r="K187" i="6"/>
  <c r="S187" i="6"/>
  <c r="G176" i="6"/>
  <c r="W176" i="6"/>
  <c r="AF173" i="6"/>
  <c r="P168" i="6"/>
  <c r="W153" i="6"/>
  <c r="R153" i="6"/>
  <c r="AG151" i="6"/>
  <c r="AA140" i="6"/>
  <c r="AH138" i="6"/>
  <c r="V138" i="6"/>
  <c r="H138" i="6"/>
  <c r="S136" i="6"/>
  <c r="Y121" i="6"/>
  <c r="T117" i="6"/>
  <c r="S116" i="6"/>
  <c r="I84" i="6"/>
  <c r="AI66" i="6"/>
  <c r="S60" i="6"/>
  <c r="AI60" i="6"/>
  <c r="T60" i="6"/>
  <c r="I50" i="6"/>
  <c r="P50" i="6"/>
  <c r="AF50" i="6"/>
  <c r="F50" i="6"/>
  <c r="AD50" i="6"/>
  <c r="AI47" i="6"/>
  <c r="Q45" i="6"/>
  <c r="T41" i="6"/>
  <c r="AA41" i="6"/>
  <c r="W211" i="7"/>
  <c r="F209" i="7"/>
  <c r="Y209" i="7"/>
  <c r="AG206" i="7"/>
  <c r="W206" i="7"/>
  <c r="Z195" i="7"/>
  <c r="K195" i="7"/>
  <c r="K194" i="7"/>
  <c r="S194" i="7"/>
  <c r="T193" i="7"/>
  <c r="AE189" i="7"/>
  <c r="J189" i="7"/>
  <c r="Y188" i="7"/>
  <c r="AI187" i="7"/>
  <c r="H174" i="7"/>
  <c r="T174" i="7"/>
  <c r="AE171" i="7"/>
  <c r="T170" i="7"/>
  <c r="AE152" i="7"/>
  <c r="AI151" i="7"/>
  <c r="AB151" i="7"/>
  <c r="T151" i="7"/>
  <c r="M151" i="7"/>
  <c r="H140" i="7"/>
  <c r="AI140" i="7"/>
  <c r="P140" i="7"/>
  <c r="S138" i="7"/>
  <c r="M135" i="7"/>
  <c r="J117" i="7"/>
  <c r="AE117" i="7"/>
  <c r="O117" i="7"/>
  <c r="Z117" i="7"/>
  <c r="L100" i="7"/>
  <c r="Q100" i="7"/>
  <c r="X100" i="7"/>
  <c r="AI100" i="7"/>
  <c r="G68" i="7"/>
  <c r="Z68" i="7"/>
  <c r="H64" i="7"/>
  <c r="T64" i="7"/>
  <c r="AB64" i="7"/>
  <c r="L64" i="7"/>
  <c r="E50" i="7"/>
  <c r="O50" i="7"/>
  <c r="S50" i="7"/>
  <c r="AG45" i="7"/>
  <c r="M45" i="7"/>
  <c r="O206" i="8"/>
  <c r="K67" i="8"/>
  <c r="E67" i="8"/>
  <c r="AG67" i="8"/>
  <c r="O67" i="8"/>
  <c r="Y67" i="8"/>
  <c r="J61" i="8"/>
  <c r="O61" i="8"/>
  <c r="AD61" i="8"/>
  <c r="R61" i="8"/>
  <c r="AH61" i="8"/>
  <c r="S61" i="8"/>
  <c r="Z61" i="8"/>
  <c r="K209" i="9"/>
  <c r="S209" i="9"/>
  <c r="Y209" i="9"/>
  <c r="N208" i="9"/>
  <c r="F192" i="9"/>
  <c r="K192" i="9"/>
  <c r="X192" i="9"/>
  <c r="O192" i="9"/>
  <c r="AD192" i="9"/>
  <c r="J192" i="9"/>
  <c r="AF192" i="9"/>
  <c r="S192" i="9"/>
  <c r="K174" i="9"/>
  <c r="W174" i="9"/>
  <c r="O174" i="9"/>
  <c r="Y174" i="9"/>
  <c r="P174" i="9"/>
  <c r="U174" i="9"/>
  <c r="H136" i="9"/>
  <c r="O136" i="9"/>
  <c r="W136" i="9"/>
  <c r="AD136" i="9"/>
  <c r="J136" i="9"/>
  <c r="R136" i="9"/>
  <c r="X136" i="9"/>
  <c r="AE136" i="9"/>
  <c r="G136" i="9"/>
  <c r="T136" i="9"/>
  <c r="AI136" i="9"/>
  <c r="L136" i="9"/>
  <c r="Z136" i="9"/>
  <c r="T66" i="9"/>
  <c r="H61" i="9"/>
  <c r="F61" i="9"/>
  <c r="Q61" i="9"/>
  <c r="AA61" i="9"/>
  <c r="I61" i="9"/>
  <c r="S61" i="9"/>
  <c r="AD61" i="9"/>
  <c r="K61" i="9"/>
  <c r="AG61" i="9"/>
  <c r="N61" i="9"/>
  <c r="AI61" i="9"/>
  <c r="G43" i="9"/>
  <c r="H43" i="9"/>
  <c r="N43" i="9"/>
  <c r="U43" i="9"/>
  <c r="AC43" i="9"/>
  <c r="I43" i="9"/>
  <c r="P43" i="9"/>
  <c r="X43" i="9"/>
  <c r="AD43" i="9"/>
  <c r="J43" i="9"/>
  <c r="Y43" i="9"/>
  <c r="M43" i="9"/>
  <c r="Z43" i="9"/>
  <c r="AI155" i="10"/>
  <c r="K155" i="10"/>
  <c r="G153" i="10"/>
  <c r="K153" i="10"/>
  <c r="Y153" i="10"/>
  <c r="M153" i="10"/>
  <c r="AA153" i="10"/>
  <c r="F153" i="10"/>
  <c r="S153" i="10"/>
  <c r="AH153" i="10"/>
  <c r="AG153" i="10"/>
  <c r="W210" i="4"/>
  <c r="AG191" i="4"/>
  <c r="AI176" i="4"/>
  <c r="O153" i="4"/>
  <c r="P114" i="4"/>
  <c r="R99" i="4"/>
  <c r="Z64" i="4"/>
  <c r="R64" i="4"/>
  <c r="H64" i="4"/>
  <c r="U40" i="4"/>
  <c r="J213" i="5"/>
  <c r="N176" i="5"/>
  <c r="W173" i="5"/>
  <c r="AF168" i="5"/>
  <c r="Q168" i="5"/>
  <c r="E168" i="5"/>
  <c r="AG156" i="5"/>
  <c r="AG154" i="5"/>
  <c r="I101" i="5"/>
  <c r="T101" i="5"/>
  <c r="AD101" i="5"/>
  <c r="Y96" i="5"/>
  <c r="P96" i="5"/>
  <c r="F96" i="5"/>
  <c r="H70" i="5"/>
  <c r="E70" i="5"/>
  <c r="K70" i="5"/>
  <c r="S70" i="5"/>
  <c r="Z70" i="5"/>
  <c r="AG70" i="5"/>
  <c r="T60" i="5"/>
  <c r="AI60" i="5"/>
  <c r="AD44" i="5"/>
  <c r="S44" i="5"/>
  <c r="I44" i="5"/>
  <c r="AB42" i="5"/>
  <c r="L42" i="5"/>
  <c r="K38" i="5"/>
  <c r="G196" i="6"/>
  <c r="K196" i="6"/>
  <c r="L194" i="6"/>
  <c r="Q190" i="6"/>
  <c r="AI175" i="6"/>
  <c r="S173" i="6"/>
  <c r="F155" i="6"/>
  <c r="J155" i="6"/>
  <c r="AE155" i="6"/>
  <c r="P140" i="6"/>
  <c r="AG138" i="6"/>
  <c r="R138" i="6"/>
  <c r="F138" i="6"/>
  <c r="T118" i="6"/>
  <c r="V98" i="6"/>
  <c r="I98" i="6"/>
  <c r="J97" i="6"/>
  <c r="R97" i="6"/>
  <c r="AI97" i="6"/>
  <c r="S97" i="6"/>
  <c r="P70" i="6"/>
  <c r="AF70" i="6"/>
  <c r="AA66" i="6"/>
  <c r="AG45" i="6"/>
  <c r="O45" i="6"/>
  <c r="G211" i="7"/>
  <c r="F206" i="7"/>
  <c r="G206" i="7"/>
  <c r="M206" i="7"/>
  <c r="T206" i="7"/>
  <c r="AB206" i="7"/>
  <c r="AI206" i="7"/>
  <c r="I206" i="7"/>
  <c r="S206" i="7"/>
  <c r="AC206" i="7"/>
  <c r="AI195" i="7"/>
  <c r="W195" i="7"/>
  <c r="G195" i="7"/>
  <c r="Z189" i="7"/>
  <c r="E155" i="7"/>
  <c r="H155" i="7"/>
  <c r="Y155" i="7"/>
  <c r="P155" i="7"/>
  <c r="F151" i="7"/>
  <c r="J151" i="7"/>
  <c r="N151" i="7"/>
  <c r="R151" i="7"/>
  <c r="V151" i="7"/>
  <c r="Z151" i="7"/>
  <c r="AD151" i="7"/>
  <c r="AH151" i="7"/>
  <c r="E151" i="7"/>
  <c r="K151" i="7"/>
  <c r="P151" i="7"/>
  <c r="U151" i="7"/>
  <c r="AA151" i="7"/>
  <c r="AF151" i="7"/>
  <c r="AG135" i="7"/>
  <c r="Z133" i="7"/>
  <c r="AA119" i="7"/>
  <c r="AI119" i="7"/>
  <c r="I66" i="7"/>
  <c r="AD66" i="7"/>
  <c r="Y66" i="7"/>
  <c r="N61" i="7"/>
  <c r="O61" i="7"/>
  <c r="S61" i="7"/>
  <c r="AD61" i="7"/>
  <c r="AB45" i="7"/>
  <c r="E211" i="8"/>
  <c r="AI211" i="8"/>
  <c r="Q153" i="8"/>
  <c r="AI153" i="8"/>
  <c r="J139" i="8"/>
  <c r="Z139" i="8"/>
  <c r="O139" i="8"/>
  <c r="AD139" i="8"/>
  <c r="S139" i="8"/>
  <c r="T139" i="8"/>
  <c r="O43" i="8"/>
  <c r="K43" i="8"/>
  <c r="P43" i="8"/>
  <c r="Y43" i="8"/>
  <c r="AF43" i="8"/>
  <c r="I212" i="9"/>
  <c r="AA212" i="9"/>
  <c r="O212" i="9"/>
  <c r="AE212" i="9"/>
  <c r="Y212" i="9"/>
  <c r="AC208" i="9"/>
  <c r="K206" i="9"/>
  <c r="AE206" i="9"/>
  <c r="O206" i="9"/>
  <c r="AI206" i="9"/>
  <c r="AA206" i="9"/>
  <c r="S101" i="9"/>
  <c r="AD101" i="9"/>
  <c r="AI101" i="9"/>
  <c r="H101" i="9"/>
  <c r="AD69" i="9"/>
  <c r="AI69" i="9"/>
  <c r="F37" i="9"/>
  <c r="L37" i="9"/>
  <c r="T37" i="9"/>
  <c r="AB37" i="9"/>
  <c r="AI37" i="9"/>
  <c r="S173" i="10"/>
  <c r="G173" i="10"/>
  <c r="G101" i="10"/>
  <c r="T101" i="10"/>
  <c r="W101" i="10"/>
  <c r="K101" i="10"/>
  <c r="AI101" i="10"/>
  <c r="AA64" i="10"/>
  <c r="P64" i="10"/>
  <c r="AF64" i="10"/>
  <c r="N64" i="10"/>
  <c r="AC44" i="10"/>
  <c r="Y44" i="10"/>
  <c r="H45" i="5"/>
  <c r="P45" i="5"/>
  <c r="I169" i="6"/>
  <c r="AE169" i="6"/>
  <c r="N168" i="6"/>
  <c r="V168" i="6"/>
  <c r="J117" i="6"/>
  <c r="U117" i="6"/>
  <c r="G116" i="6"/>
  <c r="AE116" i="6"/>
  <c r="I37" i="6"/>
  <c r="T37" i="6"/>
  <c r="E189" i="7"/>
  <c r="K189" i="7"/>
  <c r="V189" i="7"/>
  <c r="AF189" i="7"/>
  <c r="O189" i="7"/>
  <c r="AA189" i="7"/>
  <c r="E171" i="7"/>
  <c r="R171" i="7"/>
  <c r="J138" i="7"/>
  <c r="X138" i="7"/>
  <c r="K138" i="7"/>
  <c r="AE138" i="7"/>
  <c r="H135" i="7"/>
  <c r="I135" i="7"/>
  <c r="S135" i="7"/>
  <c r="AB135" i="7"/>
  <c r="L135" i="7"/>
  <c r="T135" i="7"/>
  <c r="AE135" i="7"/>
  <c r="Q135" i="7"/>
  <c r="AI135" i="7"/>
  <c r="E45" i="7"/>
  <c r="H45" i="7"/>
  <c r="O45" i="7"/>
  <c r="W45" i="7"/>
  <c r="AC45" i="7"/>
  <c r="I45" i="7"/>
  <c r="Q45" i="7"/>
  <c r="X45" i="7"/>
  <c r="AE45" i="7"/>
  <c r="L45" i="7"/>
  <c r="Y45" i="7"/>
  <c r="E209" i="8"/>
  <c r="AA209" i="8"/>
  <c r="E206" i="8"/>
  <c r="H206" i="8"/>
  <c r="S206" i="8"/>
  <c r="AD206" i="8"/>
  <c r="J206" i="8"/>
  <c r="T206" i="8"/>
  <c r="AE206" i="8"/>
  <c r="X206" i="8"/>
  <c r="F175" i="8"/>
  <c r="Y175" i="8"/>
  <c r="AI175" i="8"/>
  <c r="E140" i="8"/>
  <c r="Y140" i="8"/>
  <c r="I140" i="8"/>
  <c r="AD140" i="8"/>
  <c r="O140" i="8"/>
  <c r="S140" i="8"/>
  <c r="M113" i="8"/>
  <c r="X113" i="8"/>
  <c r="I113" i="8"/>
  <c r="Y113" i="8"/>
  <c r="R62" i="8"/>
  <c r="U62" i="8"/>
  <c r="AG62" i="8"/>
  <c r="AH62" i="8"/>
  <c r="E208" i="9"/>
  <c r="J208" i="9"/>
  <c r="P208" i="9"/>
  <c r="U208" i="9"/>
  <c r="Z208" i="9"/>
  <c r="AF208" i="9"/>
  <c r="F208" i="9"/>
  <c r="L208" i="9"/>
  <c r="Q208" i="9"/>
  <c r="V208" i="9"/>
  <c r="AB208" i="9"/>
  <c r="AG208" i="9"/>
  <c r="I208" i="9"/>
  <c r="T208" i="9"/>
  <c r="AD208" i="9"/>
  <c r="M208" i="9"/>
  <c r="X208" i="9"/>
  <c r="AH208" i="9"/>
  <c r="G176" i="9"/>
  <c r="R176" i="9"/>
  <c r="Y176" i="9"/>
  <c r="AI176" i="9"/>
  <c r="E170" i="9"/>
  <c r="T170" i="9"/>
  <c r="Y132" i="10"/>
  <c r="G132" i="10"/>
  <c r="H63" i="10"/>
  <c r="X63" i="10"/>
  <c r="AA63" i="10"/>
  <c r="E63" i="10"/>
  <c r="G102" i="6"/>
  <c r="F102" i="6"/>
  <c r="P102" i="6"/>
  <c r="Z102" i="6"/>
  <c r="AH102" i="6"/>
  <c r="M86" i="6"/>
  <c r="E86" i="6"/>
  <c r="L85" i="6"/>
  <c r="AA85" i="6"/>
  <c r="J72" i="6"/>
  <c r="Y72" i="6"/>
  <c r="S64" i="6"/>
  <c r="X64" i="6"/>
  <c r="H192" i="7"/>
  <c r="G192" i="7"/>
  <c r="Y192" i="7"/>
  <c r="H177" i="7"/>
  <c r="AA177" i="7"/>
  <c r="F137" i="7"/>
  <c r="N137" i="7"/>
  <c r="H120" i="7"/>
  <c r="G120" i="7"/>
  <c r="O120" i="7"/>
  <c r="W120" i="7"/>
  <c r="AE120" i="7"/>
  <c r="J120" i="7"/>
  <c r="R120" i="7"/>
  <c r="Z120" i="7"/>
  <c r="AH120" i="7"/>
  <c r="R99" i="7"/>
  <c r="AG99" i="7"/>
  <c r="K97" i="7"/>
  <c r="N97" i="7"/>
  <c r="AI97" i="7"/>
  <c r="O97" i="7"/>
  <c r="J70" i="7"/>
  <c r="K70" i="7"/>
  <c r="Z70" i="7"/>
  <c r="N70" i="7"/>
  <c r="AA70" i="7"/>
  <c r="M60" i="7"/>
  <c r="S60" i="7"/>
  <c r="Y60" i="7"/>
  <c r="E37" i="7"/>
  <c r="L37" i="7"/>
  <c r="T37" i="7"/>
  <c r="AB37" i="7"/>
  <c r="AI37" i="7"/>
  <c r="O37" i="7"/>
  <c r="W37" i="7"/>
  <c r="AD37" i="7"/>
  <c r="S188" i="8"/>
  <c r="Y188" i="8"/>
  <c r="O177" i="8"/>
  <c r="AE177" i="8"/>
  <c r="K171" i="8"/>
  <c r="AC171" i="8"/>
  <c r="H158" i="8"/>
  <c r="K158" i="8"/>
  <c r="X158" i="8"/>
  <c r="L158" i="8"/>
  <c r="AA158" i="8"/>
  <c r="N137" i="8"/>
  <c r="Y137" i="8"/>
  <c r="O70" i="8"/>
  <c r="H64" i="8"/>
  <c r="P64" i="8"/>
  <c r="W64" i="8"/>
  <c r="N46" i="8"/>
  <c r="M46" i="8"/>
  <c r="S46" i="8"/>
  <c r="G213" i="9"/>
  <c r="Q213" i="9"/>
  <c r="AG213" i="9"/>
  <c r="S213" i="9"/>
  <c r="AI189" i="9"/>
  <c r="L135" i="9"/>
  <c r="X135" i="9"/>
  <c r="AG135" i="9"/>
  <c r="F134" i="9"/>
  <c r="J134" i="9"/>
  <c r="N134" i="9"/>
  <c r="R134" i="9"/>
  <c r="V134" i="9"/>
  <c r="Z134" i="9"/>
  <c r="AD134" i="9"/>
  <c r="AH134" i="9"/>
  <c r="G134" i="9"/>
  <c r="K134" i="9"/>
  <c r="O134" i="9"/>
  <c r="S134" i="9"/>
  <c r="W134" i="9"/>
  <c r="AA134" i="9"/>
  <c r="AE134" i="9"/>
  <c r="AI134" i="9"/>
  <c r="F120" i="9"/>
  <c r="AI120" i="9"/>
  <c r="H118" i="9"/>
  <c r="K118" i="9"/>
  <c r="Y118" i="9"/>
  <c r="M118" i="9"/>
  <c r="AA118" i="9"/>
  <c r="E117" i="9"/>
  <c r="G117" i="9"/>
  <c r="L117" i="9"/>
  <c r="R117" i="9"/>
  <c r="W117" i="9"/>
  <c r="AB117" i="9"/>
  <c r="AH117" i="9"/>
  <c r="H117" i="9"/>
  <c r="N117" i="9"/>
  <c r="S117" i="9"/>
  <c r="X117" i="9"/>
  <c r="AD117" i="9"/>
  <c r="AI117" i="9"/>
  <c r="J116" i="9"/>
  <c r="N116" i="9"/>
  <c r="AD116" i="9"/>
  <c r="R116" i="9"/>
  <c r="AI116" i="9"/>
  <c r="M113" i="9"/>
  <c r="X113" i="9"/>
  <c r="Z84" i="9"/>
  <c r="W70" i="9"/>
  <c r="R65" i="9"/>
  <c r="AE65" i="9"/>
  <c r="K40" i="9"/>
  <c r="I40" i="9"/>
  <c r="S40" i="9"/>
  <c r="L196" i="10"/>
  <c r="P196" i="10"/>
  <c r="W196" i="10"/>
  <c r="G196" i="10"/>
  <c r="N175" i="10"/>
  <c r="AF175" i="10"/>
  <c r="S175" i="10"/>
  <c r="K175" i="10"/>
  <c r="AA175" i="10"/>
  <c r="G158" i="10"/>
  <c r="O158" i="10"/>
  <c r="M99" i="10"/>
  <c r="Y99" i="10"/>
  <c r="N99" i="10"/>
  <c r="E43" i="10"/>
  <c r="G43" i="10"/>
  <c r="L43" i="10"/>
  <c r="R43" i="10"/>
  <c r="W43" i="10"/>
  <c r="AB43" i="10"/>
  <c r="AH43" i="10"/>
  <c r="H43" i="10"/>
  <c r="N43" i="10"/>
  <c r="S43" i="10"/>
  <c r="X43" i="10"/>
  <c r="AD43" i="10"/>
  <c r="AI43" i="10"/>
  <c r="F43" i="10"/>
  <c r="K43" i="10"/>
  <c r="P43" i="10"/>
  <c r="V43" i="10"/>
  <c r="AA43" i="10"/>
  <c r="AF43" i="10"/>
  <c r="H173" i="8"/>
  <c r="K173" i="8"/>
  <c r="W173" i="8"/>
  <c r="M170" i="8"/>
  <c r="AI170" i="8"/>
  <c r="Z84" i="8"/>
  <c r="AF84" i="8"/>
  <c r="G211" i="9"/>
  <c r="K211" i="9"/>
  <c r="Z211" i="9"/>
  <c r="H196" i="9"/>
  <c r="S196" i="9"/>
  <c r="AB196" i="9"/>
  <c r="J189" i="9"/>
  <c r="Y189" i="9"/>
  <c r="N189" i="9"/>
  <c r="AD189" i="9"/>
  <c r="X173" i="9"/>
  <c r="Y173" i="9"/>
  <c r="F171" i="9"/>
  <c r="AA171" i="9"/>
  <c r="O171" i="9"/>
  <c r="Q122" i="9"/>
  <c r="AG122" i="9"/>
  <c r="W115" i="9"/>
  <c r="K115" i="9"/>
  <c r="AA115" i="9"/>
  <c r="K83" i="9"/>
  <c r="M83" i="9"/>
  <c r="AC83" i="9"/>
  <c r="Q83" i="9"/>
  <c r="AI83" i="9"/>
  <c r="H70" i="9"/>
  <c r="P70" i="9"/>
  <c r="X70" i="9"/>
  <c r="AF70" i="9"/>
  <c r="K70" i="9"/>
  <c r="S70" i="9"/>
  <c r="AA70" i="9"/>
  <c r="AI70" i="9"/>
  <c r="AE211" i="10"/>
  <c r="S211" i="10"/>
  <c r="O211" i="10"/>
  <c r="W177" i="10"/>
  <c r="R177" i="10"/>
  <c r="AD177" i="10"/>
  <c r="G177" i="10"/>
  <c r="E151" i="10"/>
  <c r="X151" i="10"/>
  <c r="O151" i="10"/>
  <c r="F138" i="10"/>
  <c r="Q138" i="10"/>
  <c r="Z138" i="10"/>
  <c r="AI138" i="10"/>
  <c r="J138" i="10"/>
  <c r="S138" i="10"/>
  <c r="AA138" i="10"/>
  <c r="E138" i="10"/>
  <c r="N138" i="10"/>
  <c r="Y138" i="10"/>
  <c r="AG138" i="10"/>
  <c r="F122" i="16"/>
  <c r="D122" i="14"/>
  <c r="E177" i="16"/>
  <c r="D177" i="15"/>
  <c r="E121" i="16"/>
  <c r="D121" i="15"/>
  <c r="D100" i="15"/>
  <c r="E100" i="16"/>
  <c r="E63" i="16"/>
  <c r="D63" i="15"/>
  <c r="G48" i="16"/>
  <c r="D48" i="13"/>
  <c r="G40" i="16"/>
  <c r="D40" i="13"/>
  <c r="AJ48" i="12"/>
  <c r="H48" i="16" s="1"/>
  <c r="AJ39" i="11"/>
  <c r="I39" i="16" s="1"/>
  <c r="AJ70" i="11"/>
  <c r="I70" i="16" s="1"/>
  <c r="F152" i="16"/>
  <c r="D152" i="14"/>
  <c r="F101" i="16"/>
  <c r="D101" i="14"/>
  <c r="G174" i="16"/>
  <c r="D174" i="13"/>
  <c r="E122" i="16"/>
  <c r="D122" i="15"/>
  <c r="E86" i="16"/>
  <c r="D86" i="15"/>
  <c r="F43" i="16"/>
  <c r="D43" i="14"/>
  <c r="G193" i="16"/>
  <c r="D193" i="13"/>
  <c r="AJ188" i="11"/>
  <c r="I188" i="16" s="1"/>
  <c r="AJ196" i="11"/>
  <c r="I196" i="16" s="1"/>
  <c r="AJ213" i="11"/>
  <c r="I213" i="16" s="1"/>
  <c r="W208" i="10"/>
  <c r="AI122" i="10"/>
  <c r="L122" i="10"/>
  <c r="AF120" i="10"/>
  <c r="AI98" i="10"/>
  <c r="AA98" i="10"/>
  <c r="R98" i="10"/>
  <c r="G98" i="10"/>
  <c r="AB41" i="10"/>
  <c r="V41" i="10"/>
  <c r="O41" i="10"/>
  <c r="G41" i="10"/>
  <c r="AG40" i="10"/>
  <c r="U40" i="10"/>
  <c r="K40" i="10"/>
  <c r="AF39" i="10"/>
  <c r="X39" i="10"/>
  <c r="P39" i="10"/>
  <c r="H39" i="10"/>
  <c r="D121" i="13"/>
  <c r="F214" i="16"/>
  <c r="G214" i="16" s="1"/>
  <c r="D67" i="14"/>
  <c r="D191" i="15"/>
  <c r="D156" i="15"/>
  <c r="D174" i="15"/>
  <c r="D103" i="15"/>
  <c r="AJ121" i="11"/>
  <c r="D121" i="11" s="1"/>
  <c r="AJ153" i="11"/>
  <c r="I153" i="16" s="1"/>
  <c r="AJ194" i="11"/>
  <c r="I194" i="16" s="1"/>
  <c r="AJ211" i="11"/>
  <c r="I211" i="16" s="1"/>
  <c r="Y122" i="7"/>
  <c r="Y102" i="7"/>
  <c r="AC98" i="7"/>
  <c r="N98" i="7"/>
  <c r="Y67" i="7"/>
  <c r="AG212" i="8"/>
  <c r="Q212" i="8"/>
  <c r="AB210" i="8"/>
  <c r="T210" i="8"/>
  <c r="K210" i="8"/>
  <c r="AB189" i="8"/>
  <c r="T189" i="8"/>
  <c r="K189" i="8"/>
  <c r="AD187" i="8"/>
  <c r="Q187" i="8"/>
  <c r="AH172" i="8"/>
  <c r="Z172" i="8"/>
  <c r="S172" i="8"/>
  <c r="AC138" i="8"/>
  <c r="AB103" i="8"/>
  <c r="Z68" i="8"/>
  <c r="N68" i="8"/>
  <c r="AE66" i="8"/>
  <c r="X66" i="8"/>
  <c r="P66" i="8"/>
  <c r="J66" i="8"/>
  <c r="Y191" i="9"/>
  <c r="AF99" i="9"/>
  <c r="AI47" i="9"/>
  <c r="AD39" i="9"/>
  <c r="X39" i="9"/>
  <c r="P39" i="9"/>
  <c r="N208" i="10"/>
  <c r="AI171" i="10"/>
  <c r="X169" i="10"/>
  <c r="AC135" i="10"/>
  <c r="T135" i="10"/>
  <c r="AE134" i="10"/>
  <c r="AA122" i="10"/>
  <c r="Z120" i="10"/>
  <c r="Y118" i="10"/>
  <c r="AH98" i="10"/>
  <c r="Y98" i="10"/>
  <c r="N98" i="10"/>
  <c r="F98" i="10"/>
  <c r="AB84" i="10"/>
  <c r="T84" i="10"/>
  <c r="K84" i="10"/>
  <c r="X49" i="10"/>
  <c r="AE46" i="10"/>
  <c r="AH41" i="10"/>
  <c r="AA41" i="10"/>
  <c r="T41" i="10"/>
  <c r="L41" i="10"/>
  <c r="F41" i="10"/>
  <c r="AC40" i="10"/>
  <c r="S40" i="10"/>
  <c r="I40" i="10"/>
  <c r="AC39" i="10"/>
  <c r="U39" i="10"/>
  <c r="M39" i="10"/>
  <c r="E39" i="10"/>
  <c r="D64" i="13"/>
  <c r="D195" i="14"/>
  <c r="D49" i="14"/>
  <c r="D154" i="15"/>
  <c r="D84" i="15"/>
  <c r="E87" i="12"/>
  <c r="AJ82" i="12"/>
  <c r="H82" i="16" s="1"/>
  <c r="AJ187" i="12"/>
  <c r="H187" i="16" s="1"/>
  <c r="AJ208" i="12"/>
  <c r="H208" i="16" s="1"/>
  <c r="AJ140" i="12"/>
  <c r="H140" i="16" s="1"/>
  <c r="AJ195" i="12"/>
  <c r="H195" i="16" s="1"/>
  <c r="AJ174" i="12"/>
  <c r="H174" i="16" s="1"/>
  <c r="E209" i="4"/>
  <c r="AO209" i="16"/>
  <c r="AP209" i="16"/>
  <c r="E121" i="4"/>
  <c r="AO121" i="16"/>
  <c r="AP121" i="16"/>
  <c r="N121" i="4"/>
  <c r="AO116" i="16"/>
  <c r="AP116" i="16"/>
  <c r="G116" i="4"/>
  <c r="L116" i="4"/>
  <c r="R116" i="4"/>
  <c r="W116" i="4"/>
  <c r="AB116" i="4"/>
  <c r="AH116" i="4"/>
  <c r="AO72" i="16"/>
  <c r="AP72" i="16"/>
  <c r="F72" i="4"/>
  <c r="N72" i="4"/>
  <c r="V72" i="4"/>
  <c r="AD72" i="4"/>
  <c r="G72" i="4"/>
  <c r="O72" i="4"/>
  <c r="W72" i="4"/>
  <c r="AE72" i="4"/>
  <c r="J72" i="4"/>
  <c r="R72" i="4"/>
  <c r="Z72" i="4"/>
  <c r="AH72" i="4"/>
  <c r="Q66" i="4"/>
  <c r="AO66" i="16"/>
  <c r="AP66" i="16"/>
  <c r="H66" i="4"/>
  <c r="Y66" i="4"/>
  <c r="AG66" i="4"/>
  <c r="AA193" i="4"/>
  <c r="AF190" i="4"/>
  <c r="Z190" i="4"/>
  <c r="U190" i="4"/>
  <c r="P190" i="4"/>
  <c r="AB187" i="4"/>
  <c r="AH177" i="4"/>
  <c r="AD177" i="4"/>
  <c r="Z177" i="4"/>
  <c r="V177" i="4"/>
  <c r="R177" i="4"/>
  <c r="N177" i="4"/>
  <c r="J177" i="4"/>
  <c r="F177" i="4"/>
  <c r="Y176" i="4"/>
  <c r="X170" i="4"/>
  <c r="AP170" i="16"/>
  <c r="AO170" i="16"/>
  <c r="AD169" i="4"/>
  <c r="W169" i="4"/>
  <c r="O169" i="4"/>
  <c r="H169" i="4"/>
  <c r="AO157" i="16"/>
  <c r="AP157" i="16"/>
  <c r="G157" i="4"/>
  <c r="S157" i="4"/>
  <c r="AC157" i="4"/>
  <c r="AC155" i="4"/>
  <c r="Y153" i="4"/>
  <c r="K153" i="4"/>
  <c r="AC151" i="4"/>
  <c r="I138" i="4"/>
  <c r="AP138" i="16"/>
  <c r="AO138" i="16"/>
  <c r="K138" i="4"/>
  <c r="AA138" i="4"/>
  <c r="H137" i="4"/>
  <c r="AO137" i="16"/>
  <c r="AP137" i="16"/>
  <c r="Z137" i="4"/>
  <c r="H122" i="4"/>
  <c r="AO122" i="16"/>
  <c r="AP122" i="16"/>
  <c r="J122" i="4"/>
  <c r="X122" i="4"/>
  <c r="G120" i="4"/>
  <c r="AP120" i="16"/>
  <c r="AO120" i="16"/>
  <c r="V120" i="4"/>
  <c r="T118" i="4"/>
  <c r="AE116" i="4"/>
  <c r="X116" i="4"/>
  <c r="P116" i="4"/>
  <c r="J116" i="4"/>
  <c r="AG115" i="4"/>
  <c r="AA114" i="4"/>
  <c r="AC102" i="4"/>
  <c r="AO85" i="16"/>
  <c r="AP85" i="16"/>
  <c r="H85" i="4"/>
  <c r="P85" i="4"/>
  <c r="Z85" i="4"/>
  <c r="J85" i="4"/>
  <c r="S85" i="4"/>
  <c r="AD85" i="4"/>
  <c r="AA72" i="4"/>
  <c r="G193" i="4"/>
  <c r="AP193" i="16"/>
  <c r="AO193" i="16"/>
  <c r="H192" i="4"/>
  <c r="AO192" i="16"/>
  <c r="AP192" i="16"/>
  <c r="F190" i="4"/>
  <c r="AO190" i="16"/>
  <c r="AP190" i="16"/>
  <c r="N188" i="4"/>
  <c r="AO188" i="16"/>
  <c r="AP188" i="16"/>
  <c r="S175" i="4"/>
  <c r="AP175" i="16"/>
  <c r="AO175" i="16"/>
  <c r="AP156" i="16"/>
  <c r="AO156" i="16"/>
  <c r="T156" i="4"/>
  <c r="AO151" i="16"/>
  <c r="AP151" i="16"/>
  <c r="E151" i="4"/>
  <c r="O151" i="4"/>
  <c r="AA151" i="4"/>
  <c r="H141" i="4"/>
  <c r="AO141" i="16"/>
  <c r="AP141" i="16"/>
  <c r="T141" i="4"/>
  <c r="E133" i="4"/>
  <c r="AO133" i="16"/>
  <c r="AP133" i="16"/>
  <c r="O133" i="4"/>
  <c r="G114" i="4"/>
  <c r="AO114" i="16"/>
  <c r="AP114" i="16"/>
  <c r="J114" i="4"/>
  <c r="T114" i="4"/>
  <c r="AE114" i="4"/>
  <c r="I101" i="4"/>
  <c r="AP101" i="16"/>
  <c r="AO101" i="16"/>
  <c r="O101" i="4"/>
  <c r="Y101" i="4"/>
  <c r="S210" i="4"/>
  <c r="Z209" i="4"/>
  <c r="F208" i="4"/>
  <c r="AO208" i="16"/>
  <c r="AP208" i="16"/>
  <c r="F207" i="4"/>
  <c r="AP207" i="16"/>
  <c r="AO207" i="16"/>
  <c r="E213" i="4"/>
  <c r="AO213" i="16"/>
  <c r="AP213" i="16"/>
  <c r="F212" i="4"/>
  <c r="AO212" i="16"/>
  <c r="AP212" i="16"/>
  <c r="F211" i="4"/>
  <c r="AP211" i="16"/>
  <c r="AO211" i="16"/>
  <c r="S209" i="4"/>
  <c r="AC208" i="4"/>
  <c r="M208" i="4"/>
  <c r="AH207" i="4"/>
  <c r="X207" i="4"/>
  <c r="L207" i="4"/>
  <c r="AO196" i="16"/>
  <c r="AP196" i="16"/>
  <c r="K195" i="4"/>
  <c r="AO195" i="16"/>
  <c r="AP195" i="16"/>
  <c r="F194" i="4"/>
  <c r="AO194" i="16"/>
  <c r="AP194" i="16"/>
  <c r="Y193" i="4"/>
  <c r="K193" i="4"/>
  <c r="X192" i="4"/>
  <c r="G191" i="4"/>
  <c r="AO191" i="16"/>
  <c r="AP191" i="16"/>
  <c r="AD190" i="4"/>
  <c r="Y190" i="4"/>
  <c r="T190" i="4"/>
  <c r="N190" i="4"/>
  <c r="H190" i="4"/>
  <c r="G189" i="4"/>
  <c r="AP189" i="16"/>
  <c r="AO189" i="16"/>
  <c r="AG177" i="4"/>
  <c r="AC177" i="4"/>
  <c r="Y177" i="4"/>
  <c r="U177" i="4"/>
  <c r="Q177" i="4"/>
  <c r="M177" i="4"/>
  <c r="I177" i="4"/>
  <c r="X174" i="4"/>
  <c r="AP174" i="16"/>
  <c r="AO174" i="16"/>
  <c r="F173" i="4"/>
  <c r="AO173" i="16"/>
  <c r="AP173" i="16"/>
  <c r="AI169" i="4"/>
  <c r="AB169" i="4"/>
  <c r="T169" i="4"/>
  <c r="N169" i="4"/>
  <c r="AA157" i="4"/>
  <c r="M157" i="4"/>
  <c r="AB156" i="4"/>
  <c r="AI153" i="4"/>
  <c r="W153" i="4"/>
  <c r="W151" i="4"/>
  <c r="K151" i="4"/>
  <c r="X141" i="4"/>
  <c r="E140" i="4"/>
  <c r="AO140" i="16"/>
  <c r="AP140" i="16"/>
  <c r="K140" i="4"/>
  <c r="W140" i="4"/>
  <c r="AG140" i="4"/>
  <c r="K139" i="4"/>
  <c r="AP139" i="16"/>
  <c r="AO139" i="16"/>
  <c r="O139" i="4"/>
  <c r="AF139" i="4"/>
  <c r="S138" i="4"/>
  <c r="AH137" i="4"/>
  <c r="G136" i="4"/>
  <c r="AO136" i="16"/>
  <c r="AP136" i="16"/>
  <c r="W136" i="4"/>
  <c r="F135" i="4"/>
  <c r="AO135" i="16"/>
  <c r="AP135" i="16"/>
  <c r="N135" i="4"/>
  <c r="AB135" i="4"/>
  <c r="T133" i="4"/>
  <c r="AC121" i="4"/>
  <c r="E117" i="4"/>
  <c r="AO117" i="16"/>
  <c r="AP117" i="16"/>
  <c r="U117" i="4"/>
  <c r="AD116" i="4"/>
  <c r="V116" i="4"/>
  <c r="O116" i="4"/>
  <c r="H116" i="4"/>
  <c r="Z114" i="4"/>
  <c r="K114" i="4"/>
  <c r="S72" i="4"/>
  <c r="AO68" i="16"/>
  <c r="AP68" i="16"/>
  <c r="K68" i="4"/>
  <c r="AI68" i="4"/>
  <c r="O68" i="4"/>
  <c r="AA68" i="4"/>
  <c r="AO38" i="16"/>
  <c r="AP38" i="16"/>
  <c r="H210" i="4"/>
  <c r="AO210" i="16"/>
  <c r="AP210" i="16"/>
  <c r="L209" i="4"/>
  <c r="E206" i="4"/>
  <c r="AO206" i="16"/>
  <c r="AP206" i="16"/>
  <c r="AH193" i="4"/>
  <c r="S193" i="4"/>
  <c r="F193" i="4"/>
  <c r="R192" i="4"/>
  <c r="AH190" i="4"/>
  <c r="AC190" i="4"/>
  <c r="X190" i="4"/>
  <c r="R190" i="4"/>
  <c r="M190" i="4"/>
  <c r="G190" i="4"/>
  <c r="X188" i="4"/>
  <c r="H187" i="4"/>
  <c r="AO187" i="16"/>
  <c r="AP187" i="16"/>
  <c r="AO177" i="16"/>
  <c r="AP177" i="16"/>
  <c r="AO176" i="16"/>
  <c r="AP176" i="16"/>
  <c r="Y172" i="4"/>
  <c r="AO172" i="16"/>
  <c r="AP172" i="16"/>
  <c r="E169" i="4"/>
  <c r="AO169" i="16"/>
  <c r="AP169" i="16"/>
  <c r="F169" i="4"/>
  <c r="K169" i="4"/>
  <c r="P169" i="4"/>
  <c r="V169" i="4"/>
  <c r="AA169" i="4"/>
  <c r="AF169" i="4"/>
  <c r="J158" i="4"/>
  <c r="AO158" i="16"/>
  <c r="AP158" i="16"/>
  <c r="L156" i="4"/>
  <c r="E155" i="4"/>
  <c r="AO155" i="16"/>
  <c r="AP155" i="16"/>
  <c r="AA155" i="4"/>
  <c r="E153" i="4"/>
  <c r="AP153" i="16"/>
  <c r="AO153" i="16"/>
  <c r="G153" i="4"/>
  <c r="Q153" i="4"/>
  <c r="AA153" i="4"/>
  <c r="AI151" i="4"/>
  <c r="U151" i="4"/>
  <c r="G151" i="4"/>
  <c r="J141" i="4"/>
  <c r="J133" i="4"/>
  <c r="V121" i="4"/>
  <c r="H118" i="4"/>
  <c r="AO118" i="16"/>
  <c r="AP118" i="16"/>
  <c r="O118" i="4"/>
  <c r="AI116" i="4"/>
  <c r="AA116" i="4"/>
  <c r="T116" i="4"/>
  <c r="N116" i="4"/>
  <c r="F116" i="4"/>
  <c r="G115" i="4"/>
  <c r="AP115" i="16"/>
  <c r="AO115" i="16"/>
  <c r="W115" i="4"/>
  <c r="V114" i="4"/>
  <c r="F114" i="4"/>
  <c r="M102" i="4"/>
  <c r="AP102" i="16"/>
  <c r="AO102" i="16"/>
  <c r="S102" i="4"/>
  <c r="X102" i="4"/>
  <c r="K72" i="4"/>
  <c r="AO67" i="16"/>
  <c r="AP67" i="16"/>
  <c r="P67" i="4"/>
  <c r="X67" i="4"/>
  <c r="AA67" i="4"/>
  <c r="X61" i="4"/>
  <c r="AO61" i="16"/>
  <c r="AP61" i="16"/>
  <c r="AI71" i="4"/>
  <c r="AO71" i="16"/>
  <c r="AP71" i="16"/>
  <c r="Q70" i="4"/>
  <c r="AO70" i="16"/>
  <c r="AP70" i="16"/>
  <c r="X65" i="4"/>
  <c r="AP65" i="16"/>
  <c r="AO65" i="16"/>
  <c r="AP48" i="16"/>
  <c r="AO48" i="16"/>
  <c r="AO46" i="16"/>
  <c r="AP46" i="16"/>
  <c r="AA42" i="4"/>
  <c r="AP42" i="16"/>
  <c r="AO42" i="16"/>
  <c r="L37" i="4"/>
  <c r="S171" i="4"/>
  <c r="AP171" i="16"/>
  <c r="AO171" i="16"/>
  <c r="N168" i="4"/>
  <c r="AO168" i="16"/>
  <c r="AP168" i="16"/>
  <c r="J154" i="4"/>
  <c r="AO154" i="16"/>
  <c r="AP154" i="16"/>
  <c r="G152" i="4"/>
  <c r="AP152" i="16"/>
  <c r="AO152" i="16"/>
  <c r="W134" i="4"/>
  <c r="AP134" i="16"/>
  <c r="AO134" i="16"/>
  <c r="AO132" i="16"/>
  <c r="AP132" i="16"/>
  <c r="G119" i="4"/>
  <c r="AP119" i="16"/>
  <c r="AO119" i="16"/>
  <c r="AO113" i="16"/>
  <c r="AP113" i="16"/>
  <c r="I100" i="4"/>
  <c r="AO100" i="16"/>
  <c r="AP100" i="16"/>
  <c r="H98" i="4"/>
  <c r="AP98" i="16"/>
  <c r="AO98" i="16"/>
  <c r="AO96" i="16"/>
  <c r="AP96" i="16"/>
  <c r="AO84" i="16"/>
  <c r="AP84" i="16"/>
  <c r="N83" i="4"/>
  <c r="AP83" i="16"/>
  <c r="AO83" i="16"/>
  <c r="AF70" i="4"/>
  <c r="AP69" i="16"/>
  <c r="AO69" i="16"/>
  <c r="AI64" i="4"/>
  <c r="AB64" i="4"/>
  <c r="T64" i="4"/>
  <c r="N64" i="4"/>
  <c r="Y63" i="4"/>
  <c r="AP63" i="16"/>
  <c r="AO63" i="16"/>
  <c r="F60" i="4"/>
  <c r="AO60" i="16"/>
  <c r="AP60" i="16"/>
  <c r="AP50" i="16"/>
  <c r="AO50" i="16"/>
  <c r="H49" i="4"/>
  <c r="AO49" i="16"/>
  <c r="AP49" i="16"/>
  <c r="AP47" i="16"/>
  <c r="AO47" i="16"/>
  <c r="AB45" i="4"/>
  <c r="AO45" i="16"/>
  <c r="AP45" i="16"/>
  <c r="AA43" i="4"/>
  <c r="P43" i="4"/>
  <c r="Z39" i="4"/>
  <c r="P39" i="4"/>
  <c r="Y37" i="4"/>
  <c r="R37" i="4"/>
  <c r="X103" i="4"/>
  <c r="AO103" i="16"/>
  <c r="AP103" i="16"/>
  <c r="AO99" i="16"/>
  <c r="AP99" i="16"/>
  <c r="AP97" i="16"/>
  <c r="AO97" i="16"/>
  <c r="W86" i="4"/>
  <c r="AO86" i="16"/>
  <c r="AP86" i="16"/>
  <c r="AO82" i="16"/>
  <c r="AP82" i="16"/>
  <c r="W70" i="4"/>
  <c r="AP64" i="16"/>
  <c r="AO64" i="16"/>
  <c r="AO62" i="16"/>
  <c r="AP62" i="16"/>
  <c r="AD48" i="4"/>
  <c r="AI46" i="4"/>
  <c r="I44" i="4"/>
  <c r="AP44" i="16"/>
  <c r="AO44" i="16"/>
  <c r="G43" i="4"/>
  <c r="AP43" i="16"/>
  <c r="AO43" i="16"/>
  <c r="K41" i="4"/>
  <c r="AP41" i="16"/>
  <c r="AO41" i="16"/>
  <c r="AP40" i="16"/>
  <c r="AO40" i="16"/>
  <c r="F39" i="4"/>
  <c r="AO39" i="16"/>
  <c r="AP39" i="16"/>
  <c r="G37" i="4"/>
  <c r="AO37" i="16"/>
  <c r="AP37" i="16"/>
  <c r="I151" i="5"/>
  <c r="Y151" i="5"/>
  <c r="M63" i="5"/>
  <c r="AH63" i="5"/>
  <c r="T63" i="5"/>
  <c r="K63" i="5"/>
  <c r="AB63" i="5"/>
  <c r="AI43" i="5"/>
  <c r="Z43" i="5"/>
  <c r="O43" i="5"/>
  <c r="G114" i="5"/>
  <c r="K114" i="5"/>
  <c r="O114" i="5"/>
  <c r="S114" i="5"/>
  <c r="W114" i="5"/>
  <c r="AA114" i="5"/>
  <c r="AE114" i="5"/>
  <c r="AI114" i="5"/>
  <c r="E114" i="5"/>
  <c r="I114" i="5"/>
  <c r="M114" i="5"/>
  <c r="Q114" i="5"/>
  <c r="U114" i="5"/>
  <c r="Y114" i="5"/>
  <c r="AC114" i="5"/>
  <c r="AG114" i="5"/>
  <c r="AD192" i="5"/>
  <c r="O192" i="5"/>
  <c r="AH176" i="5"/>
  <c r="AD175" i="5"/>
  <c r="AC172" i="5"/>
  <c r="AB132" i="5"/>
  <c r="O132" i="5"/>
  <c r="AH114" i="5"/>
  <c r="Z114" i="5"/>
  <c r="R114" i="5"/>
  <c r="J114" i="5"/>
  <c r="AB37" i="5"/>
  <c r="T37" i="5"/>
  <c r="L49" i="5"/>
  <c r="AB49" i="5"/>
  <c r="O49" i="5"/>
  <c r="AE49" i="5"/>
  <c r="G49" i="5"/>
  <c r="W49" i="5"/>
  <c r="F48" i="5"/>
  <c r="H48" i="5"/>
  <c r="P48" i="5"/>
  <c r="X48" i="5"/>
  <c r="AF48" i="5"/>
  <c r="I48" i="5"/>
  <c r="Q48" i="5"/>
  <c r="Y48" i="5"/>
  <c r="AG48" i="5"/>
  <c r="E48" i="5"/>
  <c r="M48" i="5"/>
  <c r="U48" i="5"/>
  <c r="AC48" i="5"/>
  <c r="O177" i="5"/>
  <c r="M176" i="5"/>
  <c r="Q173" i="5"/>
  <c r="X172" i="5"/>
  <c r="M172" i="5"/>
  <c r="H172" i="5"/>
  <c r="Q169" i="5"/>
  <c r="Y156" i="5"/>
  <c r="Y213" i="5"/>
  <c r="AI212" i="5"/>
  <c r="T206" i="5"/>
  <c r="Y192" i="5"/>
  <c r="J192" i="5"/>
  <c r="W190" i="5"/>
  <c r="AH189" i="5"/>
  <c r="Z189" i="5"/>
  <c r="S189" i="5"/>
  <c r="L189" i="5"/>
  <c r="AA177" i="5"/>
  <c r="K177" i="5"/>
  <c r="AD176" i="5"/>
  <c r="T176" i="5"/>
  <c r="I176" i="5"/>
  <c r="W175" i="5"/>
  <c r="AF173" i="5"/>
  <c r="K173" i="5"/>
  <c r="AG172" i="5"/>
  <c r="AB172" i="5"/>
  <c r="W172" i="5"/>
  <c r="Q172" i="5"/>
  <c r="L172" i="5"/>
  <c r="G172" i="5"/>
  <c r="AF169" i="5"/>
  <c r="P169" i="5"/>
  <c r="G154" i="5"/>
  <c r="K154" i="5"/>
  <c r="Y154" i="5"/>
  <c r="F153" i="5"/>
  <c r="J153" i="5"/>
  <c r="V153" i="5"/>
  <c r="AE153" i="5"/>
  <c r="Z132" i="5"/>
  <c r="F121" i="5"/>
  <c r="X121" i="5"/>
  <c r="H121" i="5"/>
  <c r="AF114" i="5"/>
  <c r="X114" i="5"/>
  <c r="P114" i="5"/>
  <c r="H114" i="5"/>
  <c r="K50" i="5"/>
  <c r="AF50" i="5"/>
  <c r="R50" i="5"/>
  <c r="J50" i="5"/>
  <c r="Z50" i="5"/>
  <c r="T48" i="5"/>
  <c r="G156" i="5"/>
  <c r="O156" i="5"/>
  <c r="E132" i="5"/>
  <c r="J132" i="5"/>
  <c r="P132" i="5"/>
  <c r="W132" i="5"/>
  <c r="AE132" i="5"/>
  <c r="F132" i="5"/>
  <c r="L132" i="5"/>
  <c r="T132" i="5"/>
  <c r="AA132" i="5"/>
  <c r="AH132" i="5"/>
  <c r="U115" i="5"/>
  <c r="I115" i="5"/>
  <c r="AA195" i="5"/>
  <c r="O195" i="5"/>
  <c r="AE177" i="5"/>
  <c r="X176" i="5"/>
  <c r="AI172" i="5"/>
  <c r="S172" i="5"/>
  <c r="AC206" i="5"/>
  <c r="L206" i="5"/>
  <c r="Z195" i="5"/>
  <c r="K195" i="5"/>
  <c r="AE211" i="5"/>
  <c r="O211" i="5"/>
  <c r="AF210" i="5"/>
  <c r="AI208" i="5"/>
  <c r="AB206" i="5"/>
  <c r="R206" i="5"/>
  <c r="AI195" i="5"/>
  <c r="W195" i="5"/>
  <c r="V192" i="5"/>
  <c r="I192" i="5"/>
  <c r="S190" i="5"/>
  <c r="AE189" i="5"/>
  <c r="X189" i="5"/>
  <c r="R189" i="5"/>
  <c r="W177" i="5"/>
  <c r="G177" i="5"/>
  <c r="AC176" i="5"/>
  <c r="R176" i="5"/>
  <c r="H176" i="5"/>
  <c r="M175" i="5"/>
  <c r="Y173" i="5"/>
  <c r="AF172" i="5"/>
  <c r="AA172" i="5"/>
  <c r="U172" i="5"/>
  <c r="P172" i="5"/>
  <c r="K172" i="5"/>
  <c r="AE169" i="5"/>
  <c r="AB168" i="5"/>
  <c r="T168" i="5"/>
  <c r="AD158" i="5"/>
  <c r="AI156" i="5"/>
  <c r="K156" i="5"/>
  <c r="AI154" i="5"/>
  <c r="S154" i="5"/>
  <c r="AI153" i="5"/>
  <c r="T153" i="5"/>
  <c r="F140" i="5"/>
  <c r="G140" i="5"/>
  <c r="N140" i="5"/>
  <c r="T140" i="5"/>
  <c r="AB140" i="5"/>
  <c r="AI140" i="5"/>
  <c r="N137" i="5"/>
  <c r="Y137" i="5"/>
  <c r="G137" i="5"/>
  <c r="R137" i="5"/>
  <c r="AE137" i="5"/>
  <c r="AA135" i="5"/>
  <c r="E133" i="5"/>
  <c r="U133" i="5"/>
  <c r="AE133" i="5"/>
  <c r="M133" i="5"/>
  <c r="Z133" i="5"/>
  <c r="V132" i="5"/>
  <c r="G132" i="5"/>
  <c r="T115" i="5"/>
  <c r="AD114" i="5"/>
  <c r="V114" i="5"/>
  <c r="N114" i="5"/>
  <c r="F114" i="5"/>
  <c r="F113" i="5"/>
  <c r="K113" i="5"/>
  <c r="AI113" i="5"/>
  <c r="AA113" i="5"/>
  <c r="H102" i="5"/>
  <c r="Y102" i="5"/>
  <c r="G101" i="5"/>
  <c r="E101" i="5"/>
  <c r="J101" i="5"/>
  <c r="P101" i="5"/>
  <c r="U101" i="5"/>
  <c r="Z101" i="5"/>
  <c r="AF101" i="5"/>
  <c r="H101" i="5"/>
  <c r="M101" i="5"/>
  <c r="R101" i="5"/>
  <c r="X101" i="5"/>
  <c r="AC101" i="5"/>
  <c r="AH101" i="5"/>
  <c r="X98" i="5"/>
  <c r="AI98" i="5"/>
  <c r="H71" i="5"/>
  <c r="P71" i="5"/>
  <c r="X71" i="5"/>
  <c r="AF71" i="5"/>
  <c r="K71" i="5"/>
  <c r="S71" i="5"/>
  <c r="AA71" i="5"/>
  <c r="AI71" i="5"/>
  <c r="G71" i="5"/>
  <c r="O71" i="5"/>
  <c r="W71" i="5"/>
  <c r="AE71" i="5"/>
  <c r="Y63" i="5"/>
  <c r="T49" i="5"/>
  <c r="L48" i="5"/>
  <c r="AH138" i="5"/>
  <c r="AB138" i="5"/>
  <c r="W138" i="5"/>
  <c r="R138" i="5"/>
  <c r="L138" i="5"/>
  <c r="AI103" i="5"/>
  <c r="AF83" i="5"/>
  <c r="W83" i="5"/>
  <c r="L83" i="5"/>
  <c r="AD66" i="5"/>
  <c r="V66" i="5"/>
  <c r="O66" i="5"/>
  <c r="I66" i="5"/>
  <c r="AB61" i="5"/>
  <c r="U61" i="5"/>
  <c r="O61" i="5"/>
  <c r="G61" i="5"/>
  <c r="T45" i="5"/>
  <c r="U44" i="5"/>
  <c r="N44" i="5"/>
  <c r="F44" i="5"/>
  <c r="AA39" i="5"/>
  <c r="N39" i="5"/>
  <c r="W86" i="5"/>
  <c r="AB83" i="5"/>
  <c r="P83" i="5"/>
  <c r="G83" i="5"/>
  <c r="AG66" i="5"/>
  <c r="Z66" i="5"/>
  <c r="S66" i="5"/>
  <c r="K66" i="5"/>
  <c r="E66" i="5"/>
  <c r="AF45" i="5"/>
  <c r="L45" i="5"/>
  <c r="AI39" i="5"/>
  <c r="S39" i="5"/>
  <c r="F39" i="5"/>
  <c r="G137" i="6"/>
  <c r="F137" i="6"/>
  <c r="V137" i="6"/>
  <c r="AI137" i="6"/>
  <c r="I44" i="6"/>
  <c r="P44" i="6"/>
  <c r="Y44" i="6"/>
  <c r="AB212" i="6"/>
  <c r="U212" i="6"/>
  <c r="O212" i="6"/>
  <c r="G212" i="6"/>
  <c r="T196" i="6"/>
  <c r="O195" i="6"/>
  <c r="AB194" i="6"/>
  <c r="T194" i="6"/>
  <c r="J194" i="6"/>
  <c r="AC190" i="6"/>
  <c r="P190" i="6"/>
  <c r="AE188" i="6"/>
  <c r="O188" i="6"/>
  <c r="AI187" i="6"/>
  <c r="Y187" i="6"/>
  <c r="O187" i="6"/>
  <c r="E187" i="6"/>
  <c r="AC177" i="6"/>
  <c r="T177" i="6"/>
  <c r="L177" i="6"/>
  <c r="AE176" i="6"/>
  <c r="AI173" i="6"/>
  <c r="K173" i="6"/>
  <c r="AC169" i="6"/>
  <c r="O169" i="6"/>
  <c r="AF168" i="6"/>
  <c r="Q168" i="6"/>
  <c r="F168" i="6"/>
  <c r="I158" i="6"/>
  <c r="AI155" i="6"/>
  <c r="AD155" i="6"/>
  <c r="X155" i="6"/>
  <c r="S155" i="6"/>
  <c r="N155" i="6"/>
  <c r="H155" i="6"/>
  <c r="AI154" i="6"/>
  <c r="AE153" i="6"/>
  <c r="G153" i="6"/>
  <c r="F152" i="6"/>
  <c r="E152" i="6"/>
  <c r="AI141" i="6"/>
  <c r="AI140" i="6"/>
  <c r="X140" i="6"/>
  <c r="AE139" i="6"/>
  <c r="I138" i="6"/>
  <c r="Q138" i="6"/>
  <c r="X138" i="6"/>
  <c r="AD138" i="6"/>
  <c r="O137" i="6"/>
  <c r="AE136" i="6"/>
  <c r="T134" i="6"/>
  <c r="AE119" i="6"/>
  <c r="AG118" i="6"/>
  <c r="AF117" i="6"/>
  <c r="R116" i="6"/>
  <c r="AI116" i="6"/>
  <c r="K114" i="6"/>
  <c r="AB102" i="6"/>
  <c r="V102" i="6"/>
  <c r="O102" i="6"/>
  <c r="AC97" i="6"/>
  <c r="R96" i="6"/>
  <c r="AH96" i="6"/>
  <c r="F85" i="6"/>
  <c r="O85" i="6"/>
  <c r="Z85" i="6"/>
  <c r="AH85" i="6"/>
  <c r="X83" i="6"/>
  <c r="I47" i="6"/>
  <c r="X47" i="6"/>
  <c r="N47" i="6"/>
  <c r="AA47" i="6"/>
  <c r="P47" i="6"/>
  <c r="AE47" i="6"/>
  <c r="G140" i="6"/>
  <c r="O140" i="6"/>
  <c r="W140" i="6"/>
  <c r="AE140" i="6"/>
  <c r="H118" i="6"/>
  <c r="L118" i="6"/>
  <c r="W118" i="6"/>
  <c r="AI118" i="6"/>
  <c r="S99" i="6"/>
  <c r="AG99" i="6"/>
  <c r="Z194" i="6"/>
  <c r="Q194" i="6"/>
  <c r="F194" i="6"/>
  <c r="AI190" i="6"/>
  <c r="Y190" i="6"/>
  <c r="X188" i="6"/>
  <c r="L188" i="6"/>
  <c r="AB177" i="6"/>
  <c r="R177" i="6"/>
  <c r="H177" i="6"/>
  <c r="X169" i="6"/>
  <c r="K169" i="6"/>
  <c r="AH155" i="6"/>
  <c r="AB155" i="6"/>
  <c r="W155" i="6"/>
  <c r="R155" i="6"/>
  <c r="L155" i="6"/>
  <c r="G155" i="6"/>
  <c r="AD154" i="6"/>
  <c r="AF140" i="6"/>
  <c r="T140" i="6"/>
  <c r="K140" i="6"/>
  <c r="AE137" i="6"/>
  <c r="N137" i="6"/>
  <c r="J134" i="6"/>
  <c r="U134" i="6"/>
  <c r="AF134" i="6"/>
  <c r="S119" i="6"/>
  <c r="AC118" i="6"/>
  <c r="M118" i="6"/>
  <c r="AF65" i="6"/>
  <c r="R65" i="6"/>
  <c r="E62" i="6"/>
  <c r="U62" i="6"/>
  <c r="K62" i="6"/>
  <c r="Y62" i="6"/>
  <c r="O62" i="6"/>
  <c r="AA62" i="6"/>
  <c r="I43" i="6"/>
  <c r="AA43" i="6"/>
  <c r="N43" i="6"/>
  <c r="AD43" i="6"/>
  <c r="R43" i="6"/>
  <c r="AH43" i="6"/>
  <c r="F141" i="6"/>
  <c r="K141" i="6"/>
  <c r="W137" i="6"/>
  <c r="J190" i="6"/>
  <c r="AG194" i="6"/>
  <c r="Y194" i="6"/>
  <c r="N194" i="6"/>
  <c r="AH190" i="6"/>
  <c r="V190" i="6"/>
  <c r="I190" i="6"/>
  <c r="W188" i="6"/>
  <c r="AC187" i="6"/>
  <c r="T187" i="6"/>
  <c r="AH177" i="6"/>
  <c r="Y177" i="6"/>
  <c r="N177" i="6"/>
  <c r="AF169" i="6"/>
  <c r="U169" i="6"/>
  <c r="Y168" i="6"/>
  <c r="AF155" i="6"/>
  <c r="AA155" i="6"/>
  <c r="V155" i="6"/>
  <c r="P155" i="6"/>
  <c r="K155" i="6"/>
  <c r="S141" i="6"/>
  <c r="AB140" i="6"/>
  <c r="S140" i="6"/>
  <c r="H140" i="6"/>
  <c r="AA137" i="6"/>
  <c r="K137" i="6"/>
  <c r="Z134" i="6"/>
  <c r="N134" i="6"/>
  <c r="K122" i="6"/>
  <c r="U122" i="6"/>
  <c r="G119" i="6"/>
  <c r="Y118" i="6"/>
  <c r="G118" i="6"/>
  <c r="N117" i="6"/>
  <c r="AD117" i="6"/>
  <c r="AF114" i="6"/>
  <c r="K113" i="6"/>
  <c r="J113" i="6"/>
  <c r="AE113" i="6"/>
  <c r="H102" i="6"/>
  <c r="N102" i="6"/>
  <c r="S102" i="6"/>
  <c r="X102" i="6"/>
  <c r="AD102" i="6"/>
  <c r="AI102" i="6"/>
  <c r="L99" i="6"/>
  <c r="M97" i="6"/>
  <c r="Z97" i="6"/>
  <c r="O86" i="6"/>
  <c r="AI86" i="6"/>
  <c r="AD44" i="6"/>
  <c r="AI82" i="6"/>
  <c r="X82" i="6"/>
  <c r="K82" i="6"/>
  <c r="AC69" i="6"/>
  <c r="U69" i="6"/>
  <c r="O69" i="6"/>
  <c r="H69" i="6"/>
  <c r="W66" i="6"/>
  <c r="G66" i="6"/>
  <c r="AD64" i="6"/>
  <c r="G64" i="6"/>
  <c r="AC63" i="6"/>
  <c r="S63" i="6"/>
  <c r="V50" i="6"/>
  <c r="J50" i="6"/>
  <c r="AF48" i="6"/>
  <c r="AI46" i="6"/>
  <c r="Z46" i="6"/>
  <c r="P46" i="6"/>
  <c r="F46" i="6"/>
  <c r="AC45" i="6"/>
  <c r="S45" i="6"/>
  <c r="AA42" i="6"/>
  <c r="G38" i="6"/>
  <c r="O37" i="6"/>
  <c r="AE66" i="6"/>
  <c r="O66" i="6"/>
  <c r="AE46" i="6"/>
  <c r="T46" i="6"/>
  <c r="K46" i="6"/>
  <c r="AA38" i="6"/>
  <c r="Y37" i="6"/>
  <c r="E117" i="7"/>
  <c r="I117" i="7"/>
  <c r="M117" i="7"/>
  <c r="Q117" i="7"/>
  <c r="U117" i="7"/>
  <c r="Y117" i="7"/>
  <c r="AC117" i="7"/>
  <c r="AG117" i="7"/>
  <c r="E103" i="7"/>
  <c r="I103" i="7"/>
  <c r="M103" i="7"/>
  <c r="Q103" i="7"/>
  <c r="U103" i="7"/>
  <c r="Y103" i="7"/>
  <c r="AC103" i="7"/>
  <c r="AG103" i="7"/>
  <c r="H69" i="7"/>
  <c r="I69" i="7"/>
  <c r="AD69" i="7"/>
  <c r="N69" i="7"/>
  <c r="AI69" i="7"/>
  <c r="S69" i="7"/>
  <c r="G113" i="7"/>
  <c r="I113" i="7"/>
  <c r="T113" i="7"/>
  <c r="AG113" i="7"/>
  <c r="E99" i="7"/>
  <c r="H99" i="7"/>
  <c r="N99" i="7"/>
  <c r="V99" i="7"/>
  <c r="AC99" i="7"/>
  <c r="I99" i="7"/>
  <c r="Q99" i="7"/>
  <c r="X99" i="7"/>
  <c r="AD99" i="7"/>
  <c r="W177" i="7"/>
  <c r="AI176" i="7"/>
  <c r="AA176" i="7"/>
  <c r="S176" i="7"/>
  <c r="K176" i="7"/>
  <c r="AE174" i="7"/>
  <c r="O174" i="7"/>
  <c r="AI156" i="7"/>
  <c r="AF153" i="7"/>
  <c r="AE137" i="7"/>
  <c r="V137" i="7"/>
  <c r="K137" i="7"/>
  <c r="Y121" i="7"/>
  <c r="AI117" i="7"/>
  <c r="AD117" i="7"/>
  <c r="X117" i="7"/>
  <c r="S117" i="7"/>
  <c r="N117" i="7"/>
  <c r="H117" i="7"/>
  <c r="H114" i="7"/>
  <c r="K114" i="7"/>
  <c r="V114" i="7"/>
  <c r="AF114" i="7"/>
  <c r="S113" i="7"/>
  <c r="AI103" i="7"/>
  <c r="AD103" i="7"/>
  <c r="X103" i="7"/>
  <c r="S103" i="7"/>
  <c r="N103" i="7"/>
  <c r="H103" i="7"/>
  <c r="AB99" i="7"/>
  <c r="M99" i="7"/>
  <c r="F44" i="7"/>
  <c r="I44" i="7"/>
  <c r="AD44" i="7"/>
  <c r="N44" i="7"/>
  <c r="T44" i="7"/>
  <c r="E39" i="7"/>
  <c r="M39" i="7"/>
  <c r="AD39" i="7"/>
  <c r="N39" i="7"/>
  <c r="U39" i="7"/>
  <c r="Q209" i="7"/>
  <c r="AD209" i="7"/>
  <c r="N209" i="7"/>
  <c r="S208" i="7"/>
  <c r="W207" i="7"/>
  <c r="AD192" i="7"/>
  <c r="J192" i="7"/>
  <c r="AI189" i="7"/>
  <c r="S177" i="7"/>
  <c r="Z174" i="7"/>
  <c r="N174" i="7"/>
  <c r="V172" i="7"/>
  <c r="AI158" i="7"/>
  <c r="AD157" i="7"/>
  <c r="X156" i="7"/>
  <c r="AD155" i="7"/>
  <c r="U155" i="7"/>
  <c r="J155" i="7"/>
  <c r="AD154" i="7"/>
  <c r="AA153" i="7"/>
  <c r="AD137" i="7"/>
  <c r="S137" i="7"/>
  <c r="G137" i="7"/>
  <c r="G133" i="7"/>
  <c r="AE133" i="7"/>
  <c r="AH117" i="7"/>
  <c r="AB117" i="7"/>
  <c r="W117" i="7"/>
  <c r="R117" i="7"/>
  <c r="L117" i="7"/>
  <c r="G117" i="7"/>
  <c r="AE113" i="7"/>
  <c r="M113" i="7"/>
  <c r="AH103" i="7"/>
  <c r="AB103" i="7"/>
  <c r="W103" i="7"/>
  <c r="R103" i="7"/>
  <c r="L103" i="7"/>
  <c r="G103" i="7"/>
  <c r="Y99" i="7"/>
  <c r="L99" i="7"/>
  <c r="F82" i="7"/>
  <c r="G82" i="7"/>
  <c r="R82" i="7"/>
  <c r="AB82" i="7"/>
  <c r="J82" i="7"/>
  <c r="T82" i="7"/>
  <c r="AE82" i="7"/>
  <c r="L82" i="7"/>
  <c r="W82" i="7"/>
  <c r="AH82" i="7"/>
  <c r="F41" i="7"/>
  <c r="G41" i="7"/>
  <c r="P41" i="7"/>
  <c r="Y41" i="7"/>
  <c r="I41" i="7"/>
  <c r="Q41" i="7"/>
  <c r="AB41" i="7"/>
  <c r="K41" i="7"/>
  <c r="U41" i="7"/>
  <c r="AE41" i="7"/>
  <c r="AI208" i="7"/>
  <c r="U192" i="7"/>
  <c r="AI191" i="7"/>
  <c r="AD189" i="7"/>
  <c r="X189" i="7"/>
  <c r="S189" i="7"/>
  <c r="N189" i="7"/>
  <c r="H189" i="7"/>
  <c r="AF176" i="7"/>
  <c r="X176" i="7"/>
  <c r="P176" i="7"/>
  <c r="H176" i="7"/>
  <c r="AE211" i="7"/>
  <c r="O211" i="7"/>
  <c r="AA209" i="7"/>
  <c r="I209" i="7"/>
  <c r="AC192" i="7"/>
  <c r="R192" i="7"/>
  <c r="I192" i="7"/>
  <c r="AH189" i="7"/>
  <c r="AB189" i="7"/>
  <c r="W189" i="7"/>
  <c r="R189" i="7"/>
  <c r="L189" i="7"/>
  <c r="G189" i="7"/>
  <c r="S187" i="7"/>
  <c r="AI177" i="7"/>
  <c r="K177" i="7"/>
  <c r="AE176" i="7"/>
  <c r="W176" i="7"/>
  <c r="O176" i="7"/>
  <c r="X174" i="7"/>
  <c r="J174" i="7"/>
  <c r="Z171" i="7"/>
  <c r="AH170" i="7"/>
  <c r="W170" i="7"/>
  <c r="L170" i="7"/>
  <c r="AD158" i="7"/>
  <c r="S157" i="7"/>
  <c r="S156" i="7"/>
  <c r="AC155" i="7"/>
  <c r="R155" i="7"/>
  <c r="I155" i="7"/>
  <c r="S154" i="7"/>
  <c r="O153" i="7"/>
  <c r="S140" i="7"/>
  <c r="AA137" i="7"/>
  <c r="O137" i="7"/>
  <c r="AC135" i="7"/>
  <c r="W135" i="7"/>
  <c r="O135" i="7"/>
  <c r="I134" i="7"/>
  <c r="P134" i="7"/>
  <c r="X134" i="7"/>
  <c r="AD134" i="7"/>
  <c r="AF117" i="7"/>
  <c r="AA117" i="7"/>
  <c r="V117" i="7"/>
  <c r="P117" i="7"/>
  <c r="K117" i="7"/>
  <c r="F117" i="7"/>
  <c r="F116" i="7"/>
  <c r="J116" i="7"/>
  <c r="Z114" i="7"/>
  <c r="J114" i="7"/>
  <c r="AB113" i="7"/>
  <c r="L113" i="7"/>
  <c r="AF103" i="7"/>
  <c r="AA103" i="7"/>
  <c r="V103" i="7"/>
  <c r="P103" i="7"/>
  <c r="K103" i="7"/>
  <c r="F103" i="7"/>
  <c r="J102" i="7"/>
  <c r="S102" i="7"/>
  <c r="AD102" i="7"/>
  <c r="AH99" i="7"/>
  <c r="T99" i="7"/>
  <c r="F99" i="7"/>
  <c r="O83" i="7"/>
  <c r="G83" i="7"/>
  <c r="P83" i="7"/>
  <c r="W83" i="7"/>
  <c r="Y69" i="7"/>
  <c r="AI101" i="7"/>
  <c r="AB101" i="7"/>
  <c r="T101" i="7"/>
  <c r="N101" i="7"/>
  <c r="G101" i="7"/>
  <c r="Y100" i="7"/>
  <c r="G100" i="7"/>
  <c r="AI98" i="7"/>
  <c r="Y98" i="7"/>
  <c r="O98" i="7"/>
  <c r="G98" i="7"/>
  <c r="AE85" i="7"/>
  <c r="AH68" i="7"/>
  <c r="O68" i="7"/>
  <c r="AB67" i="7"/>
  <c r="L67" i="7"/>
  <c r="O60" i="7"/>
  <c r="AD50" i="7"/>
  <c r="N50" i="7"/>
  <c r="Z49" i="7"/>
  <c r="S48" i="7"/>
  <c r="AC47" i="7"/>
  <c r="S47" i="7"/>
  <c r="I47" i="7"/>
  <c r="AE46" i="7"/>
  <c r="T46" i="7"/>
  <c r="F46" i="7"/>
  <c r="AF45" i="7"/>
  <c r="AA45" i="7"/>
  <c r="U45" i="7"/>
  <c r="P45" i="7"/>
  <c r="K45" i="7"/>
  <c r="AI43" i="7"/>
  <c r="AI38" i="7"/>
  <c r="K38" i="7"/>
  <c r="H37" i="7"/>
  <c r="K96" i="7"/>
  <c r="AD68" i="7"/>
  <c r="J68" i="7"/>
  <c r="AC60" i="7"/>
  <c r="H60" i="7"/>
  <c r="Z50" i="7"/>
  <c r="S49" i="7"/>
  <c r="Y47" i="7"/>
  <c r="P47" i="7"/>
  <c r="H47" i="7"/>
  <c r="AA38" i="7"/>
  <c r="G38" i="7"/>
  <c r="G152" i="8"/>
  <c r="AA152" i="8"/>
  <c r="H115" i="8"/>
  <c r="G115" i="8"/>
  <c r="S115" i="8"/>
  <c r="AD115" i="8"/>
  <c r="U213" i="8"/>
  <c r="X212" i="8"/>
  <c r="P212" i="8"/>
  <c r="H212" i="8"/>
  <c r="U211" i="8"/>
  <c r="AH206" i="8"/>
  <c r="W206" i="8"/>
  <c r="G206" i="8"/>
  <c r="AC187" i="8"/>
  <c r="V187" i="8"/>
  <c r="N187" i="8"/>
  <c r="H187" i="8"/>
  <c r="AG175" i="8"/>
  <c r="W175" i="8"/>
  <c r="K175" i="8"/>
  <c r="S171" i="8"/>
  <c r="P169" i="8"/>
  <c r="AB169" i="8"/>
  <c r="G156" i="8"/>
  <c r="F156" i="8"/>
  <c r="M156" i="8"/>
  <c r="T156" i="8"/>
  <c r="AB156" i="8"/>
  <c r="AH156" i="8"/>
  <c r="F153" i="8"/>
  <c r="Y153" i="8"/>
  <c r="F140" i="8"/>
  <c r="J140" i="8"/>
  <c r="U140" i="8"/>
  <c r="AE140" i="8"/>
  <c r="Y138" i="8"/>
  <c r="I138" i="8"/>
  <c r="T137" i="8"/>
  <c r="Y117" i="8"/>
  <c r="O117" i="8"/>
  <c r="AA115" i="8"/>
  <c r="N115" i="8"/>
  <c r="H114" i="8"/>
  <c r="K114" i="8"/>
  <c r="AE114" i="8"/>
  <c r="H113" i="8"/>
  <c r="O113" i="8"/>
  <c r="AC113" i="8"/>
  <c r="G103" i="8"/>
  <c r="I103" i="8"/>
  <c r="Q103" i="8"/>
  <c r="Y103" i="8"/>
  <c r="AG103" i="8"/>
  <c r="AE98" i="8"/>
  <c r="X98" i="8"/>
  <c r="R98" i="8"/>
  <c r="AG86" i="8"/>
  <c r="X86" i="8"/>
  <c r="E71" i="8"/>
  <c r="H71" i="8"/>
  <c r="T71" i="8"/>
  <c r="AF71" i="8"/>
  <c r="M71" i="8"/>
  <c r="AA71" i="8"/>
  <c r="Y47" i="8"/>
  <c r="O47" i="8"/>
  <c r="F168" i="8"/>
  <c r="AI168" i="8"/>
  <c r="E98" i="8"/>
  <c r="F98" i="8"/>
  <c r="K98" i="8"/>
  <c r="P98" i="8"/>
  <c r="V98" i="8"/>
  <c r="AA98" i="8"/>
  <c r="AF98" i="8"/>
  <c r="G86" i="8"/>
  <c r="E86" i="8"/>
  <c r="M86" i="8"/>
  <c r="U86" i="8"/>
  <c r="AC86" i="8"/>
  <c r="G72" i="8"/>
  <c r="Z72" i="8"/>
  <c r="K72" i="8"/>
  <c r="F37" i="8"/>
  <c r="R37" i="8"/>
  <c r="AG37" i="8"/>
  <c r="AF212" i="8"/>
  <c r="AB206" i="8"/>
  <c r="R206" i="8"/>
  <c r="L206" i="8"/>
  <c r="S213" i="8"/>
  <c r="AC212" i="8"/>
  <c r="U212" i="8"/>
  <c r="M212" i="8"/>
  <c r="E212" i="8"/>
  <c r="S211" i="8"/>
  <c r="AE210" i="8"/>
  <c r="W210" i="8"/>
  <c r="P210" i="8"/>
  <c r="J210" i="8"/>
  <c r="AI209" i="8"/>
  <c r="AC208" i="8"/>
  <c r="M208" i="8"/>
  <c r="G207" i="8"/>
  <c r="AF206" i="8"/>
  <c r="AA206" i="8"/>
  <c r="V206" i="8"/>
  <c r="P206" i="8"/>
  <c r="K206" i="8"/>
  <c r="F206" i="8"/>
  <c r="AE189" i="8"/>
  <c r="W189" i="8"/>
  <c r="P189" i="8"/>
  <c r="J189" i="8"/>
  <c r="AG188" i="8"/>
  <c r="AH187" i="8"/>
  <c r="AB187" i="8"/>
  <c r="T187" i="8"/>
  <c r="M187" i="8"/>
  <c r="F187" i="8"/>
  <c r="AE175" i="8"/>
  <c r="S175" i="8"/>
  <c r="I175" i="8"/>
  <c r="S173" i="8"/>
  <c r="E172" i="8"/>
  <c r="J172" i="8"/>
  <c r="I170" i="8"/>
  <c r="X170" i="8"/>
  <c r="Q169" i="8"/>
  <c r="S168" i="8"/>
  <c r="AE157" i="8"/>
  <c r="AD156" i="8"/>
  <c r="V156" i="8"/>
  <c r="L156" i="8"/>
  <c r="AI155" i="8"/>
  <c r="AD153" i="8"/>
  <c r="T152" i="8"/>
  <c r="T141" i="8"/>
  <c r="Z140" i="8"/>
  <c r="N140" i="8"/>
  <c r="F139" i="8"/>
  <c r="N139" i="8"/>
  <c r="X139" i="8"/>
  <c r="AI139" i="8"/>
  <c r="T138" i="8"/>
  <c r="G120" i="8"/>
  <c r="F120" i="8"/>
  <c r="M120" i="8"/>
  <c r="T120" i="8"/>
  <c r="AB120" i="8"/>
  <c r="AH120" i="8"/>
  <c r="W117" i="8"/>
  <c r="G116" i="8"/>
  <c r="P116" i="8"/>
  <c r="W115" i="8"/>
  <c r="K115" i="8"/>
  <c r="AA114" i="8"/>
  <c r="AI113" i="8"/>
  <c r="T113" i="8"/>
  <c r="AF103" i="8"/>
  <c r="U103" i="8"/>
  <c r="L103" i="8"/>
  <c r="O99" i="8"/>
  <c r="E99" i="8"/>
  <c r="AD98" i="8"/>
  <c r="W98" i="8"/>
  <c r="O98" i="8"/>
  <c r="H98" i="8"/>
  <c r="AF86" i="8"/>
  <c r="T86" i="8"/>
  <c r="I86" i="8"/>
  <c r="AF72" i="8"/>
  <c r="U71" i="8"/>
  <c r="I39" i="8"/>
  <c r="T39" i="8"/>
  <c r="Y39" i="8"/>
  <c r="F117" i="8"/>
  <c r="I117" i="8"/>
  <c r="Q117" i="8"/>
  <c r="AB117" i="8"/>
  <c r="AA175" i="8"/>
  <c r="Q175" i="8"/>
  <c r="G175" i="8"/>
  <c r="M171" i="8"/>
  <c r="AI171" i="8"/>
  <c r="K168" i="8"/>
  <c r="H157" i="8"/>
  <c r="K152" i="8"/>
  <c r="E138" i="8"/>
  <c r="M138" i="8"/>
  <c r="X138" i="8"/>
  <c r="AI138" i="8"/>
  <c r="G137" i="8"/>
  <c r="I137" i="8"/>
  <c r="AD137" i="8"/>
  <c r="AF117" i="8"/>
  <c r="U117" i="8"/>
  <c r="G117" i="8"/>
  <c r="AI115" i="8"/>
  <c r="V115" i="8"/>
  <c r="F115" i="8"/>
  <c r="AE99" i="8"/>
  <c r="AI98" i="8"/>
  <c r="AB98" i="8"/>
  <c r="T98" i="8"/>
  <c r="N98" i="8"/>
  <c r="G98" i="8"/>
  <c r="AB86" i="8"/>
  <c r="Q86" i="8"/>
  <c r="H86" i="8"/>
  <c r="I85" i="8"/>
  <c r="J85" i="8"/>
  <c r="G84" i="8"/>
  <c r="S84" i="8"/>
  <c r="S72" i="8"/>
  <c r="S71" i="8"/>
  <c r="Y70" i="8"/>
  <c r="AA68" i="8"/>
  <c r="S68" i="8"/>
  <c r="AF67" i="8"/>
  <c r="L67" i="8"/>
  <c r="AH66" i="8"/>
  <c r="AB66" i="8"/>
  <c r="W66" i="8"/>
  <c r="R66" i="8"/>
  <c r="L66" i="8"/>
  <c r="AA63" i="8"/>
  <c r="S63" i="8"/>
  <c r="X61" i="8"/>
  <c r="G48" i="8"/>
  <c r="AH46" i="8"/>
  <c r="W46" i="8"/>
  <c r="I46" i="8"/>
  <c r="U43" i="8"/>
  <c r="E43" i="8"/>
  <c r="T48" i="8"/>
  <c r="AD46" i="8"/>
  <c r="AA43" i="8"/>
  <c r="G140" i="9"/>
  <c r="AI140" i="9"/>
  <c r="H100" i="9"/>
  <c r="X100" i="9"/>
  <c r="AE191" i="9"/>
  <c r="W191" i="9"/>
  <c r="P191" i="9"/>
  <c r="I191" i="9"/>
  <c r="AI190" i="9"/>
  <c r="V175" i="9"/>
  <c r="E173" i="9"/>
  <c r="P173" i="9"/>
  <c r="AF173" i="9"/>
  <c r="H170" i="9"/>
  <c r="K170" i="9"/>
  <c r="Y170" i="9"/>
  <c r="H169" i="9"/>
  <c r="P169" i="9"/>
  <c r="X169" i="9"/>
  <c r="AF169" i="9"/>
  <c r="AI157" i="9"/>
  <c r="G156" i="9"/>
  <c r="J156" i="9"/>
  <c r="U156" i="9"/>
  <c r="AF156" i="9"/>
  <c r="AE140" i="9"/>
  <c r="AF121" i="9"/>
  <c r="AA119" i="9"/>
  <c r="T86" i="9"/>
  <c r="AB82" i="9"/>
  <c r="L82" i="9"/>
  <c r="T82" i="9"/>
  <c r="S48" i="9"/>
  <c r="F48" i="9"/>
  <c r="V48" i="9"/>
  <c r="X213" i="9"/>
  <c r="I213" i="9"/>
  <c r="W211" i="9"/>
  <c r="AI210" i="9"/>
  <c r="P196" i="9"/>
  <c r="N195" i="9"/>
  <c r="AB191" i="9"/>
  <c r="U191" i="9"/>
  <c r="O191" i="9"/>
  <c r="G191" i="9"/>
  <c r="AB190" i="9"/>
  <c r="O175" i="9"/>
  <c r="H174" i="9"/>
  <c r="I174" i="9"/>
  <c r="Q174" i="9"/>
  <c r="AB174" i="9"/>
  <c r="T173" i="9"/>
  <c r="AG170" i="9"/>
  <c r="Q170" i="9"/>
  <c r="AG169" i="9"/>
  <c r="U169" i="9"/>
  <c r="L169" i="9"/>
  <c r="Z156" i="9"/>
  <c r="N156" i="9"/>
  <c r="W140" i="9"/>
  <c r="E138" i="9"/>
  <c r="G138" i="9"/>
  <c r="AA138" i="9"/>
  <c r="J137" i="9"/>
  <c r="V137" i="9"/>
  <c r="S96" i="9"/>
  <c r="AI96" i="9"/>
  <c r="K65" i="9"/>
  <c r="G65" i="9"/>
  <c r="S65" i="9"/>
  <c r="AI65" i="9"/>
  <c r="J65" i="9"/>
  <c r="Z65" i="9"/>
  <c r="O65" i="9"/>
  <c r="AA65" i="9"/>
  <c r="K157" i="9"/>
  <c r="Y157" i="9"/>
  <c r="I121" i="9"/>
  <c r="J121" i="9"/>
  <c r="K119" i="9"/>
  <c r="P119" i="9"/>
  <c r="E86" i="9"/>
  <c r="K86" i="9"/>
  <c r="P86" i="9"/>
  <c r="U86" i="9"/>
  <c r="AA86" i="9"/>
  <c r="AF86" i="9"/>
  <c r="G86" i="9"/>
  <c r="L86" i="9"/>
  <c r="Q86" i="9"/>
  <c r="W86" i="9"/>
  <c r="AB86" i="9"/>
  <c r="AG86" i="9"/>
  <c r="H86" i="9"/>
  <c r="M86" i="9"/>
  <c r="S86" i="9"/>
  <c r="X86" i="9"/>
  <c r="AC86" i="9"/>
  <c r="AI86" i="9"/>
  <c r="AI211" i="9"/>
  <c r="O211" i="9"/>
  <c r="AG191" i="9"/>
  <c r="AA191" i="9"/>
  <c r="T191" i="9"/>
  <c r="L191" i="9"/>
  <c r="T190" i="9"/>
  <c r="AF175" i="9"/>
  <c r="AG173" i="9"/>
  <c r="L173" i="9"/>
  <c r="N172" i="9"/>
  <c r="AI172" i="9"/>
  <c r="AF170" i="9"/>
  <c r="L170" i="9"/>
  <c r="AC169" i="9"/>
  <c r="T169" i="9"/>
  <c r="I169" i="9"/>
  <c r="R158" i="9"/>
  <c r="M157" i="9"/>
  <c r="Y156" i="9"/>
  <c r="I156" i="9"/>
  <c r="AH141" i="9"/>
  <c r="O140" i="9"/>
  <c r="Q121" i="9"/>
  <c r="H119" i="9"/>
  <c r="AC100" i="9"/>
  <c r="AE86" i="9"/>
  <c r="I86" i="9"/>
  <c r="AE97" i="9"/>
  <c r="W97" i="9"/>
  <c r="P97" i="9"/>
  <c r="G97" i="9"/>
  <c r="P66" i="9"/>
  <c r="X64" i="9"/>
  <c r="AE61" i="9"/>
  <c r="Z61" i="9"/>
  <c r="U61" i="9"/>
  <c r="O61" i="9"/>
  <c r="J61" i="9"/>
  <c r="E61" i="9"/>
  <c r="AE41" i="9"/>
  <c r="K41" i="9"/>
  <c r="Y37" i="9"/>
  <c r="K37" i="9"/>
  <c r="Z116" i="9"/>
  <c r="X114" i="9"/>
  <c r="AC103" i="9"/>
  <c r="V103" i="9"/>
  <c r="N103" i="9"/>
  <c r="H103" i="9"/>
  <c r="N101" i="9"/>
  <c r="P99" i="9"/>
  <c r="AH97" i="9"/>
  <c r="AA97" i="9"/>
  <c r="T97" i="9"/>
  <c r="Y83" i="9"/>
  <c r="I83" i="9"/>
  <c r="AC66" i="9"/>
  <c r="AH61" i="9"/>
  <c r="AC61" i="9"/>
  <c r="W61" i="9"/>
  <c r="R61" i="9"/>
  <c r="M61" i="9"/>
  <c r="G61" i="9"/>
  <c r="AG49" i="9"/>
  <c r="AA49" i="9"/>
  <c r="V49" i="9"/>
  <c r="Q49" i="9"/>
  <c r="K49" i="9"/>
  <c r="F49" i="9"/>
  <c r="AA44" i="9"/>
  <c r="S44" i="9"/>
  <c r="H44" i="9"/>
  <c r="AG43" i="9"/>
  <c r="AB43" i="9"/>
  <c r="V43" i="9"/>
  <c r="Q43" i="9"/>
  <c r="L43" i="9"/>
  <c r="F43" i="9"/>
  <c r="V41" i="9"/>
  <c r="AI40" i="9"/>
  <c r="K38" i="9"/>
  <c r="AG37" i="9"/>
  <c r="S37" i="9"/>
  <c r="K136" i="10"/>
  <c r="AE136" i="10"/>
  <c r="Q85" i="10"/>
  <c r="E85" i="10"/>
  <c r="AE85" i="10"/>
  <c r="AE208" i="10"/>
  <c r="V208" i="10"/>
  <c r="K208" i="10"/>
  <c r="W169" i="10"/>
  <c r="R157" i="10"/>
  <c r="AF151" i="10"/>
  <c r="W151" i="10"/>
  <c r="L151" i="10"/>
  <c r="AI141" i="10"/>
  <c r="S141" i="10"/>
  <c r="Y136" i="10"/>
  <c r="Y134" i="10"/>
  <c r="F119" i="10"/>
  <c r="G119" i="10"/>
  <c r="S119" i="10"/>
  <c r="AC119" i="10"/>
  <c r="K114" i="10"/>
  <c r="H114" i="10"/>
  <c r="S114" i="10"/>
  <c r="Y114" i="10"/>
  <c r="AD114" i="10"/>
  <c r="L114" i="10"/>
  <c r="T114" i="10"/>
  <c r="Z114" i="10"/>
  <c r="AF114" i="10"/>
  <c r="H103" i="10"/>
  <c r="T103" i="10"/>
  <c r="AC103" i="10"/>
  <c r="L103" i="10"/>
  <c r="U103" i="10"/>
  <c r="AF103" i="10"/>
  <c r="AH99" i="10"/>
  <c r="X99" i="10"/>
  <c r="J97" i="10"/>
  <c r="G97" i="10"/>
  <c r="P97" i="10"/>
  <c r="W97" i="10"/>
  <c r="AD97" i="10"/>
  <c r="K97" i="10"/>
  <c r="R97" i="10"/>
  <c r="X97" i="10"/>
  <c r="AF97" i="10"/>
  <c r="U46" i="10"/>
  <c r="V45" i="10"/>
  <c r="K121" i="10"/>
  <c r="O121" i="10"/>
  <c r="G99" i="10"/>
  <c r="E99" i="10"/>
  <c r="J99" i="10"/>
  <c r="P99" i="10"/>
  <c r="U99" i="10"/>
  <c r="Z99" i="10"/>
  <c r="AF99" i="10"/>
  <c r="F99" i="10"/>
  <c r="L99" i="10"/>
  <c r="Q99" i="10"/>
  <c r="V99" i="10"/>
  <c r="AB99" i="10"/>
  <c r="AG99" i="10"/>
  <c r="H61" i="10"/>
  <c r="W61" i="10"/>
  <c r="K61" i="10"/>
  <c r="AD61" i="10"/>
  <c r="R61" i="10"/>
  <c r="AF61" i="10"/>
  <c r="AD208" i="10"/>
  <c r="S208" i="10"/>
  <c r="G208" i="10"/>
  <c r="AE207" i="10"/>
  <c r="Y206" i="10"/>
  <c r="AB196" i="10"/>
  <c r="O196" i="10"/>
  <c r="AC174" i="10"/>
  <c r="N174" i="10"/>
  <c r="AB173" i="10"/>
  <c r="X172" i="10"/>
  <c r="AI169" i="10"/>
  <c r="N169" i="10"/>
  <c r="AC168" i="10"/>
  <c r="AI158" i="10"/>
  <c r="AI157" i="10"/>
  <c r="N157" i="10"/>
  <c r="AD153" i="10"/>
  <c r="W153" i="10"/>
  <c r="Q153" i="10"/>
  <c r="I153" i="10"/>
  <c r="AI152" i="10"/>
  <c r="AE151" i="10"/>
  <c r="T151" i="10"/>
  <c r="H151" i="10"/>
  <c r="AF141" i="10"/>
  <c r="K141" i="10"/>
  <c r="Q140" i="10"/>
  <c r="P140" i="10"/>
  <c r="G138" i="10"/>
  <c r="M138" i="10"/>
  <c r="R138" i="10"/>
  <c r="W138" i="10"/>
  <c r="AC138" i="10"/>
  <c r="AH138" i="10"/>
  <c r="S136" i="10"/>
  <c r="G135" i="10"/>
  <c r="E135" i="10"/>
  <c r="J135" i="10"/>
  <c r="P135" i="10"/>
  <c r="U135" i="10"/>
  <c r="Z135" i="10"/>
  <c r="AF135" i="10"/>
  <c r="K122" i="10"/>
  <c r="T122" i="10"/>
  <c r="AF122" i="10"/>
  <c r="AA119" i="10"/>
  <c r="M119" i="10"/>
  <c r="AC114" i="10"/>
  <c r="P114" i="10"/>
  <c r="P103" i="10"/>
  <c r="AD99" i="10"/>
  <c r="T99" i="10"/>
  <c r="I99" i="10"/>
  <c r="AB97" i="10"/>
  <c r="N97" i="10"/>
  <c r="S96" i="10"/>
  <c r="AG96" i="10"/>
  <c r="E86" i="10"/>
  <c r="I86" i="10"/>
  <c r="M86" i="10"/>
  <c r="Q86" i="10"/>
  <c r="U86" i="10"/>
  <c r="Y86" i="10"/>
  <c r="AC86" i="10"/>
  <c r="AG86" i="10"/>
  <c r="F86" i="10"/>
  <c r="J86" i="10"/>
  <c r="N86" i="10"/>
  <c r="R86" i="10"/>
  <c r="V86" i="10"/>
  <c r="Z86" i="10"/>
  <c r="AD86" i="10"/>
  <c r="AH86" i="10"/>
  <c r="AF62" i="10"/>
  <c r="K62" i="10"/>
  <c r="Y62" i="10"/>
  <c r="G134" i="10"/>
  <c r="Z134" i="10"/>
  <c r="K42" i="10"/>
  <c r="E42" i="10"/>
  <c r="S42" i="10"/>
  <c r="U42" i="10"/>
  <c r="AI212" i="10"/>
  <c r="AI211" i="10"/>
  <c r="AI210" i="10"/>
  <c r="AC210" i="10"/>
  <c r="X210" i="10"/>
  <c r="S210" i="10"/>
  <c r="M210" i="10"/>
  <c r="H210" i="10"/>
  <c r="AA208" i="10"/>
  <c r="O208" i="10"/>
  <c r="X196" i="10"/>
  <c r="AE195" i="10"/>
  <c r="V195" i="10"/>
  <c r="K195" i="10"/>
  <c r="AI194" i="10"/>
  <c r="AC176" i="10"/>
  <c r="Y174" i="10"/>
  <c r="W172" i="10"/>
  <c r="AH169" i="10"/>
  <c r="M168" i="10"/>
  <c r="W158" i="10"/>
  <c r="AC157" i="10"/>
  <c r="G157" i="10"/>
  <c r="AI154" i="10"/>
  <c r="AC154" i="10"/>
  <c r="X154" i="10"/>
  <c r="S154" i="10"/>
  <c r="M154" i="10"/>
  <c r="AI153" i="10"/>
  <c r="AC153" i="10"/>
  <c r="V153" i="10"/>
  <c r="N153" i="10"/>
  <c r="AB151" i="10"/>
  <c r="P151" i="10"/>
  <c r="G151" i="10"/>
  <c r="Z141" i="10"/>
  <c r="AD138" i="10"/>
  <c r="V138" i="10"/>
  <c r="O138" i="10"/>
  <c r="I138" i="10"/>
  <c r="O137" i="10"/>
  <c r="AH137" i="10"/>
  <c r="P136" i="10"/>
  <c r="AD135" i="10"/>
  <c r="X135" i="10"/>
  <c r="Q135" i="10"/>
  <c r="I135" i="10"/>
  <c r="AG134" i="10"/>
  <c r="Q134" i="10"/>
  <c r="AB122" i="10"/>
  <c r="P122" i="10"/>
  <c r="AI121" i="10"/>
  <c r="W119" i="10"/>
  <c r="K119" i="10"/>
  <c r="AB114" i="10"/>
  <c r="O114" i="10"/>
  <c r="L113" i="10"/>
  <c r="T113" i="10"/>
  <c r="X113" i="10"/>
  <c r="M103" i="10"/>
  <c r="AC99" i="10"/>
  <c r="R99" i="10"/>
  <c r="H99" i="10"/>
  <c r="AA97" i="10"/>
  <c r="L97" i="10"/>
  <c r="AG85" i="10"/>
  <c r="S61" i="10"/>
  <c r="I46" i="10"/>
  <c r="E46" i="10"/>
  <c r="N46" i="10"/>
  <c r="Y46" i="10"/>
  <c r="AH46" i="10"/>
  <c r="G46" i="10"/>
  <c r="R46" i="10"/>
  <c r="Z46" i="10"/>
  <c r="AI46" i="10"/>
  <c r="J46" i="10"/>
  <c r="S46" i="10"/>
  <c r="AC46" i="10"/>
  <c r="J45" i="10"/>
  <c r="G45" i="10"/>
  <c r="P45" i="10"/>
  <c r="W45" i="10"/>
  <c r="AE45" i="10"/>
  <c r="H45" i="10"/>
  <c r="R45" i="10"/>
  <c r="Z45" i="10"/>
  <c r="AF45" i="10"/>
  <c r="K45" i="10"/>
  <c r="T45" i="10"/>
  <c r="AA45" i="10"/>
  <c r="AH45" i="10"/>
  <c r="AI42" i="10"/>
  <c r="P63" i="10"/>
  <c r="AI50" i="10"/>
  <c r="AI49" i="10"/>
  <c r="P49" i="10"/>
  <c r="AD47" i="10"/>
  <c r="V47" i="10"/>
  <c r="P47" i="10"/>
  <c r="I47" i="10"/>
  <c r="AE116" i="10"/>
  <c r="W116" i="10"/>
  <c r="P116" i="10"/>
  <c r="J116" i="10"/>
  <c r="AE84" i="10"/>
  <c r="W84" i="10"/>
  <c r="P84" i="10"/>
  <c r="J84" i="10"/>
  <c r="AI63" i="10"/>
  <c r="M63" i="10"/>
  <c r="W50" i="10"/>
  <c r="AF49" i="10"/>
  <c r="N49" i="10"/>
  <c r="AB47" i="10"/>
  <c r="U47" i="10"/>
  <c r="N47" i="10"/>
  <c r="F47" i="10"/>
  <c r="I121" i="16"/>
  <c r="D194" i="11"/>
  <c r="D211" i="11"/>
  <c r="AJ66" i="11"/>
  <c r="I66" i="16" s="1"/>
  <c r="AJ195" i="11"/>
  <c r="I195" i="16" s="1"/>
  <c r="AJ113" i="11"/>
  <c r="I113" i="16" s="1"/>
  <c r="AJ140" i="11"/>
  <c r="I140" i="16" s="1"/>
  <c r="AJ157" i="11"/>
  <c r="I157" i="16" s="1"/>
  <c r="AJ46" i="11"/>
  <c r="I46" i="16" s="1"/>
  <c r="AJ44" i="11"/>
  <c r="I44" i="16" s="1"/>
  <c r="AJ189" i="11"/>
  <c r="I189" i="16" s="1"/>
  <c r="AJ82" i="11"/>
  <c r="I82" i="16" s="1"/>
  <c r="AJ136" i="11"/>
  <c r="I136" i="16" s="1"/>
  <c r="AJ157" i="12"/>
  <c r="H157" i="16" s="1"/>
  <c r="F28" i="12"/>
  <c r="AJ99" i="12"/>
  <c r="H99" i="16" s="1"/>
  <c r="AJ153" i="12"/>
  <c r="H153" i="16" s="1"/>
  <c r="AJ213" i="12"/>
  <c r="D213" i="12" s="1"/>
  <c r="D140" i="12"/>
  <c r="AJ40" i="12"/>
  <c r="H40" i="16" s="1"/>
  <c r="D174" i="12"/>
  <c r="AJ86" i="12"/>
  <c r="H86" i="16" s="1"/>
  <c r="Q4" i="12"/>
  <c r="G45" i="16"/>
  <c r="D45" i="13"/>
  <c r="G37" i="16"/>
  <c r="D37" i="13"/>
  <c r="F40" i="16"/>
  <c r="D40" i="14"/>
  <c r="D101" i="15"/>
  <c r="D42" i="15"/>
  <c r="D47" i="15"/>
  <c r="F123" i="16"/>
  <c r="G123" i="16" s="1"/>
  <c r="D64" i="15"/>
  <c r="F197" i="16"/>
  <c r="G197" i="16" s="1"/>
  <c r="F104" i="16"/>
  <c r="G104" i="16" s="1"/>
  <c r="D158" i="15"/>
  <c r="G178" i="16"/>
  <c r="D212" i="15"/>
  <c r="E138" i="16"/>
  <c r="D138" i="15"/>
  <c r="AJ15" i="7"/>
  <c r="AJ43" i="11"/>
  <c r="I43" i="16" s="1"/>
  <c r="AJ61" i="11"/>
  <c r="I61" i="16" s="1"/>
  <c r="AJ115" i="12"/>
  <c r="H115" i="16" s="1"/>
  <c r="M4" i="12"/>
  <c r="H15" i="16"/>
  <c r="AJ38" i="12"/>
  <c r="D99" i="15"/>
  <c r="E97" i="16"/>
  <c r="F51" i="16"/>
  <c r="G51" i="16" s="1"/>
  <c r="F87" i="16"/>
  <c r="G87" i="16" s="1"/>
  <c r="AQ14" i="16"/>
  <c r="AQ15" i="16"/>
  <c r="AJ102" i="11"/>
  <c r="I102" i="16" s="1"/>
  <c r="AJ114" i="11"/>
  <c r="I114" i="16" s="1"/>
  <c r="AJ64" i="12"/>
  <c r="H64" i="16" s="1"/>
  <c r="AJ191" i="12"/>
  <c r="I4" i="11"/>
  <c r="I14" i="16"/>
  <c r="AJ132" i="11"/>
  <c r="AJ50" i="11"/>
  <c r="M4" i="11"/>
  <c r="I15" i="16"/>
  <c r="D137" i="15"/>
  <c r="E132" i="16"/>
  <c r="F73" i="16"/>
  <c r="G73" i="16" s="1"/>
  <c r="E27" i="6"/>
  <c r="E28" i="6" s="1"/>
  <c r="AJ15" i="9"/>
  <c r="E87" i="11"/>
  <c r="F87" i="11" s="1"/>
  <c r="G87" i="11" s="1"/>
  <c r="H87" i="11" s="1"/>
  <c r="I87" i="11" s="1"/>
  <c r="J87" i="11" s="1"/>
  <c r="K87" i="11" s="1"/>
  <c r="L87" i="11" s="1"/>
  <c r="M87" i="11" s="1"/>
  <c r="N87" i="11" s="1"/>
  <c r="O87" i="11" s="1"/>
  <c r="P87" i="11" s="1"/>
  <c r="Q87" i="11" s="1"/>
  <c r="R87" i="11" s="1"/>
  <c r="S87" i="11" s="1"/>
  <c r="T87" i="11" s="1"/>
  <c r="U87" i="11" s="1"/>
  <c r="V87" i="11" s="1"/>
  <c r="W87" i="11" s="1"/>
  <c r="X87" i="11" s="1"/>
  <c r="Y87" i="11" s="1"/>
  <c r="Z87" i="11" s="1"/>
  <c r="AA87" i="11" s="1"/>
  <c r="AB87" i="11" s="1"/>
  <c r="AC87" i="11" s="1"/>
  <c r="AD87" i="11" s="1"/>
  <c r="AE87" i="11" s="1"/>
  <c r="AF87" i="11" s="1"/>
  <c r="AG87" i="11" s="1"/>
  <c r="AH87" i="11" s="1"/>
  <c r="AI87" i="11" s="1"/>
  <c r="AJ87" i="11" s="1"/>
  <c r="AJ61" i="12"/>
  <c r="H61" i="16" s="1"/>
  <c r="AJ70" i="12"/>
  <c r="AJ119" i="12"/>
  <c r="AJ174" i="11"/>
  <c r="AJ177" i="11"/>
  <c r="D171" i="15"/>
  <c r="E169" i="16"/>
  <c r="AJ14" i="4"/>
  <c r="I4" i="12"/>
  <c r="H14" i="16"/>
  <c r="AJ60" i="12"/>
  <c r="AJ116" i="12"/>
  <c r="AJ132" i="12"/>
  <c r="F159" i="16"/>
  <c r="G159" i="16" s="1"/>
  <c r="F142" i="16"/>
  <c r="G142" i="16" s="1"/>
  <c r="D62" i="15"/>
  <c r="E60" i="16"/>
  <c r="U4" i="12"/>
  <c r="H26" i="16"/>
  <c r="D51" i="15"/>
  <c r="D73" i="15"/>
  <c r="D153" i="15"/>
  <c r="D85" i="15"/>
  <c r="D67" i="15"/>
  <c r="D114" i="15"/>
  <c r="D40" i="15"/>
  <c r="D196" i="15"/>
  <c r="D170" i="15"/>
  <c r="D82" i="15"/>
  <c r="D113" i="15"/>
  <c r="D102" i="15"/>
  <c r="D68" i="15"/>
  <c r="D195" i="15"/>
  <c r="D139" i="15"/>
  <c r="D115" i="15"/>
  <c r="D119" i="15"/>
  <c r="D37" i="15"/>
  <c r="D135" i="15"/>
  <c r="D43" i="15"/>
  <c r="D187" i="15"/>
  <c r="D117" i="15"/>
  <c r="D71" i="15"/>
  <c r="D70" i="15"/>
  <c r="D175" i="15"/>
  <c r="D136" i="15"/>
  <c r="D98" i="15"/>
  <c r="D49" i="15"/>
  <c r="D192" i="15"/>
  <c r="D83" i="15"/>
  <c r="D152" i="15"/>
  <c r="D66" i="15"/>
  <c r="D48" i="15"/>
  <c r="D39" i="15"/>
  <c r="D206" i="15"/>
  <c r="D169" i="15"/>
  <c r="D168" i="15"/>
  <c r="D188" i="15"/>
  <c r="D97" i="15"/>
  <c r="D189" i="15"/>
  <c r="D132" i="15"/>
  <c r="D44" i="15"/>
  <c r="D213" i="15"/>
  <c r="D116" i="15"/>
  <c r="D209" i="15"/>
  <c r="D140" i="15"/>
  <c r="D157" i="15"/>
  <c r="D120" i="15"/>
  <c r="D60" i="15"/>
  <c r="D69" i="15"/>
  <c r="D65" i="15"/>
  <c r="D45" i="15"/>
  <c r="D72" i="15"/>
  <c r="D51" i="14"/>
  <c r="D73" i="14"/>
  <c r="D208" i="14"/>
  <c r="D174" i="14"/>
  <c r="D155" i="14"/>
  <c r="D47" i="14"/>
  <c r="D176" i="14"/>
  <c r="D62" i="14"/>
  <c r="D133" i="14"/>
  <c r="D158" i="14"/>
  <c r="D170" i="14"/>
  <c r="D82" i="14"/>
  <c r="D206" i="14"/>
  <c r="D154" i="14"/>
  <c r="D117" i="14"/>
  <c r="J27" i="14"/>
  <c r="D137" i="14"/>
  <c r="D191" i="14"/>
  <c r="D84" i="14"/>
  <c r="D38" i="14"/>
  <c r="D45" i="14"/>
  <c r="D37" i="14"/>
  <c r="D138" i="14"/>
  <c r="D61" i="14"/>
  <c r="D209" i="14"/>
  <c r="D120" i="14"/>
  <c r="D46" i="14"/>
  <c r="D192" i="14"/>
  <c r="D193" i="14"/>
  <c r="D172" i="14"/>
  <c r="D187" i="14"/>
  <c r="D71" i="14"/>
  <c r="D121" i="14"/>
  <c r="D66" i="14"/>
  <c r="D188" i="14"/>
  <c r="D96" i="14"/>
  <c r="D50" i="14"/>
  <c r="D41" i="14"/>
  <c r="D175" i="14"/>
  <c r="D151" i="14"/>
  <c r="D136" i="14"/>
  <c r="D100" i="14"/>
  <c r="D134" i="14"/>
  <c r="D156" i="14"/>
  <c r="D196" i="14"/>
  <c r="D189" i="14"/>
  <c r="D135" i="14"/>
  <c r="D103" i="14"/>
  <c r="D139" i="14"/>
  <c r="D113" i="14"/>
  <c r="D85" i="14"/>
  <c r="D63" i="14"/>
  <c r="D42" i="14"/>
  <c r="D86" i="14"/>
  <c r="D70" i="14"/>
  <c r="D213" i="14"/>
  <c r="D171" i="14"/>
  <c r="D168" i="14"/>
  <c r="D73" i="13"/>
  <c r="D51" i="13"/>
  <c r="D172" i="13"/>
  <c r="D102" i="13"/>
  <c r="D118" i="13"/>
  <c r="D97" i="13"/>
  <c r="D38" i="13"/>
  <c r="D46" i="13"/>
  <c r="D39" i="13"/>
  <c r="D189" i="13"/>
  <c r="D208" i="13"/>
  <c r="D187" i="13"/>
  <c r="D119" i="13"/>
  <c r="D98" i="13"/>
  <c r="D83" i="13"/>
  <c r="D68" i="13"/>
  <c r="D50" i="13"/>
  <c r="D155" i="13"/>
  <c r="D196" i="13"/>
  <c r="D70" i="13"/>
  <c r="D43" i="13"/>
  <c r="D133" i="13"/>
  <c r="D63" i="13"/>
  <c r="D158" i="13"/>
  <c r="D188" i="13"/>
  <c r="D113" i="13"/>
  <c r="D151" i="13"/>
  <c r="D154" i="13"/>
  <c r="D206" i="13"/>
  <c r="D42" i="13"/>
  <c r="D176" i="13"/>
  <c r="D138" i="13"/>
  <c r="D134" i="13"/>
  <c r="D86" i="13"/>
  <c r="D209" i="13"/>
  <c r="D210" i="13"/>
  <c r="D100" i="13"/>
  <c r="D175" i="13"/>
  <c r="D96" i="13"/>
  <c r="D71" i="13"/>
  <c r="D66" i="13"/>
  <c r="D62" i="13"/>
  <c r="D114" i="13"/>
  <c r="D67" i="13"/>
  <c r="D47" i="13"/>
  <c r="D213" i="13"/>
  <c r="D192" i="13"/>
  <c r="D135" i="13"/>
  <c r="D60" i="13"/>
  <c r="D171" i="13"/>
  <c r="D101" i="13"/>
  <c r="D115" i="13"/>
  <c r="D137" i="13"/>
  <c r="D85" i="13"/>
  <c r="D168" i="13"/>
  <c r="D72" i="13"/>
  <c r="E48" i="4"/>
  <c r="I48" i="4"/>
  <c r="R48" i="4"/>
  <c r="AC48" i="4"/>
  <c r="G46" i="4"/>
  <c r="T46" i="4"/>
  <c r="AD46" i="4"/>
  <c r="G213" i="6"/>
  <c r="K213" i="6"/>
  <c r="T213" i="6"/>
  <c r="AA213" i="6"/>
  <c r="Y211" i="4"/>
  <c r="I211" i="4"/>
  <c r="X209" i="4"/>
  <c r="J209" i="4"/>
  <c r="AF206" i="4"/>
  <c r="AG194" i="4"/>
  <c r="Q194" i="4"/>
  <c r="BF39" i="2"/>
  <c r="AH213" i="4"/>
  <c r="AB213" i="4"/>
  <c r="W213" i="4"/>
  <c r="R213" i="4"/>
  <c r="L213" i="4"/>
  <c r="G213" i="4"/>
  <c r="AC211" i="4"/>
  <c r="U211" i="4"/>
  <c r="M211" i="4"/>
  <c r="E211" i="4"/>
  <c r="AA210" i="4"/>
  <c r="K210" i="4"/>
  <c r="AI209" i="4"/>
  <c r="AB209" i="4"/>
  <c r="T209" i="4"/>
  <c r="N209" i="4"/>
  <c r="G209" i="4"/>
  <c r="X206" i="4"/>
  <c r="H206" i="4"/>
  <c r="AC194" i="4"/>
  <c r="U194" i="4"/>
  <c r="M194" i="4"/>
  <c r="E194" i="4"/>
  <c r="AI189" i="4"/>
  <c r="I189" i="4"/>
  <c r="AG173" i="4"/>
  <c r="AC173" i="4"/>
  <c r="Y173" i="4"/>
  <c r="U173" i="4"/>
  <c r="Q173" i="4"/>
  <c r="M173" i="4"/>
  <c r="I173" i="4"/>
  <c r="E173" i="4"/>
  <c r="N172" i="4"/>
  <c r="G171" i="4"/>
  <c r="O158" i="4"/>
  <c r="AI155" i="4"/>
  <c r="M155" i="4"/>
  <c r="Z154" i="4"/>
  <c r="AB152" i="4"/>
  <c r="S152" i="4"/>
  <c r="H152" i="4"/>
  <c r="Z141" i="4"/>
  <c r="N141" i="4"/>
  <c r="AE138" i="4"/>
  <c r="W138" i="4"/>
  <c r="O138" i="4"/>
  <c r="G138" i="4"/>
  <c r="AI137" i="4"/>
  <c r="AB137" i="4"/>
  <c r="T137" i="4"/>
  <c r="N137" i="4"/>
  <c r="G137" i="4"/>
  <c r="AD135" i="4"/>
  <c r="W135" i="4"/>
  <c r="O135" i="4"/>
  <c r="H135" i="4"/>
  <c r="AF133" i="4"/>
  <c r="AA133" i="4"/>
  <c r="V133" i="4"/>
  <c r="P133" i="4"/>
  <c r="K133" i="4"/>
  <c r="F133" i="4"/>
  <c r="AF121" i="4"/>
  <c r="X121" i="4"/>
  <c r="O121" i="4"/>
  <c r="F121" i="4"/>
  <c r="AH120" i="4"/>
  <c r="AB120" i="4"/>
  <c r="W120" i="4"/>
  <c r="R120" i="4"/>
  <c r="L120" i="4"/>
  <c r="F120" i="4"/>
  <c r="AF118" i="4"/>
  <c r="AA118" i="4"/>
  <c r="U118" i="4"/>
  <c r="P118" i="4"/>
  <c r="K118" i="4"/>
  <c r="E118" i="4"/>
  <c r="AG117" i="4"/>
  <c r="Y117" i="4"/>
  <c r="N117" i="4"/>
  <c r="AI115" i="4"/>
  <c r="Y115" i="4"/>
  <c r="O115" i="4"/>
  <c r="AH114" i="4"/>
  <c r="AB114" i="4"/>
  <c r="W114" i="4"/>
  <c r="R114" i="4"/>
  <c r="L114" i="4"/>
  <c r="AD100" i="4"/>
  <c r="T98" i="4"/>
  <c r="G85" i="4"/>
  <c r="L85" i="4"/>
  <c r="R85" i="4"/>
  <c r="W85" i="4"/>
  <c r="AB85" i="4"/>
  <c r="AH85" i="4"/>
  <c r="AD83" i="4"/>
  <c r="E64" i="4"/>
  <c r="I64" i="4"/>
  <c r="M64" i="4"/>
  <c r="Q64" i="4"/>
  <c r="U64" i="4"/>
  <c r="Y64" i="4"/>
  <c r="AC64" i="4"/>
  <c r="AG64" i="4"/>
  <c r="AB60" i="4"/>
  <c r="U60" i="4"/>
  <c r="N60" i="4"/>
  <c r="AB49" i="4"/>
  <c r="S49" i="4"/>
  <c r="AF48" i="4"/>
  <c r="U48" i="4"/>
  <c r="H48" i="4"/>
  <c r="Z46" i="4"/>
  <c r="K46" i="4"/>
  <c r="AG44" i="4"/>
  <c r="AA44" i="4"/>
  <c r="T44" i="4"/>
  <c r="L44" i="4"/>
  <c r="E44" i="4"/>
  <c r="AH43" i="4"/>
  <c r="AB43" i="4"/>
  <c r="W43" i="4"/>
  <c r="R43" i="4"/>
  <c r="L43" i="4"/>
  <c r="AA41" i="4"/>
  <c r="I40" i="4"/>
  <c r="J40" i="4"/>
  <c r="Y40" i="4"/>
  <c r="AG39" i="4"/>
  <c r="AB39" i="4"/>
  <c r="V39" i="4"/>
  <c r="Q39" i="4"/>
  <c r="L39" i="4"/>
  <c r="O210" i="5"/>
  <c r="AF193" i="5"/>
  <c r="AA193" i="5"/>
  <c r="V193" i="5"/>
  <c r="P193" i="5"/>
  <c r="K193" i="5"/>
  <c r="AH187" i="5"/>
  <c r="AE175" i="5"/>
  <c r="X175" i="5"/>
  <c r="Q175" i="5"/>
  <c r="F175" i="5"/>
  <c r="K174" i="5"/>
  <c r="Z174" i="5"/>
  <c r="F157" i="5"/>
  <c r="G157" i="5"/>
  <c r="P157" i="5"/>
  <c r="Z157" i="5"/>
  <c r="AB151" i="5"/>
  <c r="AG141" i="5"/>
  <c r="E135" i="5"/>
  <c r="K135" i="5"/>
  <c r="W135" i="5"/>
  <c r="Z118" i="5"/>
  <c r="P118" i="5"/>
  <c r="E118" i="5"/>
  <c r="I84" i="5"/>
  <c r="H84" i="5"/>
  <c r="X84" i="5"/>
  <c r="M84" i="5"/>
  <c r="AB84" i="5"/>
  <c r="F62" i="5"/>
  <c r="S62" i="5"/>
  <c r="AD62" i="5"/>
  <c r="K62" i="5"/>
  <c r="W62" i="5"/>
  <c r="AH62" i="5"/>
  <c r="G60" i="5"/>
  <c r="O60" i="5"/>
  <c r="W60" i="5"/>
  <c r="AE60" i="5"/>
  <c r="H60" i="5"/>
  <c r="P60" i="5"/>
  <c r="X60" i="5"/>
  <c r="AF60" i="5"/>
  <c r="E41" i="5"/>
  <c r="I41" i="5"/>
  <c r="M41" i="5"/>
  <c r="Q41" i="5"/>
  <c r="U41" i="5"/>
  <c r="Y41" i="5"/>
  <c r="AC41" i="5"/>
  <c r="AG41" i="5"/>
  <c r="F41" i="5"/>
  <c r="J41" i="5"/>
  <c r="N41" i="5"/>
  <c r="R41" i="5"/>
  <c r="V41" i="5"/>
  <c r="Z41" i="5"/>
  <c r="AD41" i="5"/>
  <c r="AH41" i="5"/>
  <c r="L207" i="6"/>
  <c r="I117" i="4"/>
  <c r="O117" i="4"/>
  <c r="V117" i="4"/>
  <c r="AD117" i="4"/>
  <c r="I115" i="4"/>
  <c r="Q115" i="4"/>
  <c r="X115" i="4"/>
  <c r="AE115" i="4"/>
  <c r="K100" i="4"/>
  <c r="Y100" i="4"/>
  <c r="N98" i="4"/>
  <c r="X98" i="4"/>
  <c r="AI98" i="4"/>
  <c r="O86" i="4"/>
  <c r="G86" i="4"/>
  <c r="H41" i="4"/>
  <c r="P41" i="4"/>
  <c r="AF41" i="4"/>
  <c r="E193" i="5"/>
  <c r="I193" i="5"/>
  <c r="M193" i="5"/>
  <c r="Q193" i="5"/>
  <c r="U193" i="5"/>
  <c r="Y193" i="5"/>
  <c r="AC193" i="5"/>
  <c r="AG193" i="5"/>
  <c r="E151" i="5"/>
  <c r="Q151" i="5"/>
  <c r="AG151" i="5"/>
  <c r="I141" i="5"/>
  <c r="Y141" i="5"/>
  <c r="H97" i="5"/>
  <c r="AC97" i="5"/>
  <c r="M97" i="5"/>
  <c r="AI97" i="5"/>
  <c r="P206" i="4"/>
  <c r="I194" i="4"/>
  <c r="S189" i="4"/>
  <c r="AI173" i="4"/>
  <c r="AE173" i="4"/>
  <c r="AA173" i="4"/>
  <c r="W173" i="4"/>
  <c r="S173" i="4"/>
  <c r="O173" i="4"/>
  <c r="K173" i="4"/>
  <c r="G173" i="4"/>
  <c r="AI172" i="4"/>
  <c r="AB171" i="4"/>
  <c r="AI152" i="4"/>
  <c r="X152" i="4"/>
  <c r="L152" i="4"/>
  <c r="AE137" i="4"/>
  <c r="X137" i="4"/>
  <c r="R137" i="4"/>
  <c r="J137" i="4"/>
  <c r="AI133" i="4"/>
  <c r="AD133" i="4"/>
  <c r="X133" i="4"/>
  <c r="S133" i="4"/>
  <c r="N133" i="4"/>
  <c r="H133" i="4"/>
  <c r="AH121" i="4"/>
  <c r="AB121" i="4"/>
  <c r="U121" i="4"/>
  <c r="J121" i="4"/>
  <c r="AE120" i="4"/>
  <c r="Z120" i="4"/>
  <c r="T120" i="4"/>
  <c r="O120" i="4"/>
  <c r="J120" i="4"/>
  <c r="AI118" i="4"/>
  <c r="AC118" i="4"/>
  <c r="X118" i="4"/>
  <c r="S118" i="4"/>
  <c r="M118" i="4"/>
  <c r="AA117" i="4"/>
  <c r="S117" i="4"/>
  <c r="J117" i="4"/>
  <c r="AC115" i="4"/>
  <c r="T115" i="4"/>
  <c r="L115" i="4"/>
  <c r="E114" i="4"/>
  <c r="I114" i="4"/>
  <c r="M114" i="4"/>
  <c r="Q114" i="4"/>
  <c r="U114" i="4"/>
  <c r="Y114" i="4"/>
  <c r="AC114" i="4"/>
  <c r="AG114" i="4"/>
  <c r="R100" i="4"/>
  <c r="AD98" i="4"/>
  <c r="O98" i="4"/>
  <c r="Y97" i="4"/>
  <c r="AI97" i="4"/>
  <c r="G83" i="4"/>
  <c r="L83" i="4"/>
  <c r="W83" i="4"/>
  <c r="M66" i="4"/>
  <c r="AC66" i="4"/>
  <c r="H60" i="4"/>
  <c r="M60" i="4"/>
  <c r="R60" i="4"/>
  <c r="X60" i="4"/>
  <c r="AC60" i="4"/>
  <c r="AH60" i="4"/>
  <c r="I49" i="4"/>
  <c r="Q49" i="4"/>
  <c r="X49" i="4"/>
  <c r="AE49" i="4"/>
  <c r="Y48" i="4"/>
  <c r="N48" i="4"/>
  <c r="AF46" i="4"/>
  <c r="S46" i="4"/>
  <c r="AE44" i="4"/>
  <c r="W44" i="4"/>
  <c r="P44" i="4"/>
  <c r="E43" i="4"/>
  <c r="I43" i="4"/>
  <c r="M43" i="4"/>
  <c r="Q43" i="4"/>
  <c r="U43" i="4"/>
  <c r="Y43" i="4"/>
  <c r="AC43" i="4"/>
  <c r="AG43" i="4"/>
  <c r="K42" i="4"/>
  <c r="S42" i="4"/>
  <c r="T41" i="4"/>
  <c r="G39" i="4"/>
  <c r="K39" i="4"/>
  <c r="O39" i="4"/>
  <c r="S39" i="4"/>
  <c r="W39" i="4"/>
  <c r="AA39" i="4"/>
  <c r="AE39" i="4"/>
  <c r="AI39" i="4"/>
  <c r="AI193" i="5"/>
  <c r="AD193" i="5"/>
  <c r="X193" i="5"/>
  <c r="S193" i="5"/>
  <c r="N193" i="5"/>
  <c r="H193" i="5"/>
  <c r="F187" i="5"/>
  <c r="K187" i="5"/>
  <c r="Z187" i="5"/>
  <c r="AI175" i="5"/>
  <c r="AB175" i="5"/>
  <c r="S175" i="5"/>
  <c r="AF174" i="5"/>
  <c r="Z170" i="5"/>
  <c r="H168" i="5"/>
  <c r="M168" i="5"/>
  <c r="S168" i="5"/>
  <c r="X168" i="5"/>
  <c r="AC168" i="5"/>
  <c r="AI168" i="5"/>
  <c r="W157" i="5"/>
  <c r="K157" i="5"/>
  <c r="T151" i="5"/>
  <c r="S141" i="5"/>
  <c r="G139" i="5"/>
  <c r="S139" i="5"/>
  <c r="F137" i="5"/>
  <c r="E137" i="5"/>
  <c r="M137" i="5"/>
  <c r="S137" i="5"/>
  <c r="Z137" i="5"/>
  <c r="AH137" i="5"/>
  <c r="AG135" i="5"/>
  <c r="P135" i="5"/>
  <c r="G134" i="5"/>
  <c r="K134" i="5"/>
  <c r="AA134" i="5"/>
  <c r="K122" i="5"/>
  <c r="G122" i="5"/>
  <c r="S122" i="5"/>
  <c r="AF118" i="5"/>
  <c r="U118" i="5"/>
  <c r="I117" i="5"/>
  <c r="Y117" i="5"/>
  <c r="AD117" i="5"/>
  <c r="I102" i="5"/>
  <c r="T102" i="5"/>
  <c r="AE102" i="5"/>
  <c r="M102" i="5"/>
  <c r="X102" i="5"/>
  <c r="AI102" i="5"/>
  <c r="Q84" i="5"/>
  <c r="F69" i="5"/>
  <c r="N69" i="5"/>
  <c r="AI69" i="5"/>
  <c r="S69" i="5"/>
  <c r="E63" i="5"/>
  <c r="F63" i="5"/>
  <c r="N63" i="5"/>
  <c r="V63" i="5"/>
  <c r="AC63" i="5"/>
  <c r="G63" i="5"/>
  <c r="Q63" i="5"/>
  <c r="X63" i="5"/>
  <c r="AD63" i="5"/>
  <c r="R62" i="5"/>
  <c r="AB60" i="5"/>
  <c r="L60" i="5"/>
  <c r="H50" i="5"/>
  <c r="F50" i="5"/>
  <c r="L50" i="5"/>
  <c r="T50" i="5"/>
  <c r="AA50" i="5"/>
  <c r="AH50" i="5"/>
  <c r="G50" i="5"/>
  <c r="O50" i="5"/>
  <c r="V50" i="5"/>
  <c r="AB50" i="5"/>
  <c r="AF41" i="5"/>
  <c r="X41" i="5"/>
  <c r="P41" i="5"/>
  <c r="H41" i="5"/>
  <c r="I40" i="5"/>
  <c r="S40" i="5"/>
  <c r="Y40" i="5"/>
  <c r="F206" i="6"/>
  <c r="K206" i="6"/>
  <c r="S206" i="6"/>
  <c r="AI206" i="6"/>
  <c r="F118" i="4"/>
  <c r="J118" i="4"/>
  <c r="N118" i="4"/>
  <c r="R118" i="4"/>
  <c r="V118" i="4"/>
  <c r="Z118" i="4"/>
  <c r="AD118" i="4"/>
  <c r="AH118" i="4"/>
  <c r="H44" i="4"/>
  <c r="M44" i="4"/>
  <c r="S44" i="4"/>
  <c r="X44" i="4"/>
  <c r="AC44" i="4"/>
  <c r="AI44" i="4"/>
  <c r="I210" i="5"/>
  <c r="T210" i="5"/>
  <c r="G175" i="5"/>
  <c r="N175" i="5"/>
  <c r="V175" i="5"/>
  <c r="AA175" i="5"/>
  <c r="AF175" i="5"/>
  <c r="G118" i="5"/>
  <c r="F118" i="5"/>
  <c r="L118" i="5"/>
  <c r="Q118" i="5"/>
  <c r="V118" i="5"/>
  <c r="AB118" i="5"/>
  <c r="AG118" i="5"/>
  <c r="H118" i="5"/>
  <c r="M118" i="5"/>
  <c r="R118" i="5"/>
  <c r="X118" i="5"/>
  <c r="AC118" i="5"/>
  <c r="AH118" i="5"/>
  <c r="F207" i="6"/>
  <c r="E207" i="6"/>
  <c r="M207" i="6"/>
  <c r="U207" i="6"/>
  <c r="AC207" i="6"/>
  <c r="H207" i="6"/>
  <c r="P207" i="6"/>
  <c r="X207" i="6"/>
  <c r="AF207" i="6"/>
  <c r="I207" i="6"/>
  <c r="Q207" i="6"/>
  <c r="Y207" i="6"/>
  <c r="AG207" i="6"/>
  <c r="AG211" i="4"/>
  <c r="Q211" i="4"/>
  <c r="AE209" i="4"/>
  <c r="R209" i="4"/>
  <c r="Y194" i="4"/>
  <c r="AI213" i="4"/>
  <c r="AD213" i="4"/>
  <c r="X213" i="4"/>
  <c r="S213" i="4"/>
  <c r="N213" i="4"/>
  <c r="H213" i="4"/>
  <c r="AF211" i="4"/>
  <c r="X211" i="4"/>
  <c r="P211" i="4"/>
  <c r="H211" i="4"/>
  <c r="AE210" i="4"/>
  <c r="O210" i="4"/>
  <c r="AD209" i="4"/>
  <c r="W209" i="4"/>
  <c r="O209" i="4"/>
  <c r="H209" i="4"/>
  <c r="AD207" i="4"/>
  <c r="V207" i="4"/>
  <c r="N207" i="4"/>
  <c r="E207" i="4"/>
  <c r="AB206" i="4"/>
  <c r="L206" i="4"/>
  <c r="AF194" i="4"/>
  <c r="X194" i="4"/>
  <c r="P194" i="4"/>
  <c r="H194" i="4"/>
  <c r="K192" i="4"/>
  <c r="R189" i="4"/>
  <c r="AH173" i="4"/>
  <c r="AD173" i="4"/>
  <c r="Z173" i="4"/>
  <c r="V173" i="4"/>
  <c r="R173" i="4"/>
  <c r="N173" i="4"/>
  <c r="J173" i="4"/>
  <c r="AG169" i="4"/>
  <c r="AC169" i="4"/>
  <c r="Y169" i="4"/>
  <c r="U169" i="4"/>
  <c r="Q169" i="4"/>
  <c r="M169" i="4"/>
  <c r="I169" i="4"/>
  <c r="Z158" i="4"/>
  <c r="S155" i="4"/>
  <c r="AC153" i="4"/>
  <c r="U153" i="4"/>
  <c r="M153" i="4"/>
  <c r="AF152" i="4"/>
  <c r="T152" i="4"/>
  <c r="K152" i="4"/>
  <c r="AE141" i="4"/>
  <c r="O141" i="4"/>
  <c r="AC140" i="4"/>
  <c r="U140" i="4"/>
  <c r="M140" i="4"/>
  <c r="X139" i="4"/>
  <c r="E139" i="4"/>
  <c r="AG138" i="4"/>
  <c r="Y138" i="4"/>
  <c r="Q138" i="4"/>
  <c r="AD137" i="4"/>
  <c r="W137" i="4"/>
  <c r="O137" i="4"/>
  <c r="AE135" i="4"/>
  <c r="X135" i="4"/>
  <c r="R135" i="4"/>
  <c r="J135" i="4"/>
  <c r="AH133" i="4"/>
  <c r="AB133" i="4"/>
  <c r="W133" i="4"/>
  <c r="R133" i="4"/>
  <c r="L133" i="4"/>
  <c r="G133" i="4"/>
  <c r="AD122" i="4"/>
  <c r="S122" i="4"/>
  <c r="AG121" i="4"/>
  <c r="Z121" i="4"/>
  <c r="Q121" i="4"/>
  <c r="I121" i="4"/>
  <c r="AI120" i="4"/>
  <c r="AD120" i="4"/>
  <c r="X120" i="4"/>
  <c r="S120" i="4"/>
  <c r="N120" i="4"/>
  <c r="H120" i="4"/>
  <c r="AG118" i="4"/>
  <c r="AB118" i="4"/>
  <c r="W118" i="4"/>
  <c r="Q118" i="4"/>
  <c r="L118" i="4"/>
  <c r="G118" i="4"/>
  <c r="AI117" i="4"/>
  <c r="Z117" i="4"/>
  <c r="Q117" i="4"/>
  <c r="F117" i="4"/>
  <c r="AB115" i="4"/>
  <c r="S115" i="4"/>
  <c r="H115" i="4"/>
  <c r="AI114" i="4"/>
  <c r="AD114" i="4"/>
  <c r="X114" i="4"/>
  <c r="S114" i="4"/>
  <c r="N114" i="4"/>
  <c r="H114" i="4"/>
  <c r="AG100" i="4"/>
  <c r="Q100" i="4"/>
  <c r="F99" i="4"/>
  <c r="N99" i="4"/>
  <c r="AD99" i="4"/>
  <c r="Z98" i="4"/>
  <c r="J98" i="4"/>
  <c r="Y86" i="4"/>
  <c r="AI85" i="4"/>
  <c r="AA85" i="4"/>
  <c r="T85" i="4"/>
  <c r="N85" i="4"/>
  <c r="F85" i="4"/>
  <c r="AH83" i="4"/>
  <c r="S83" i="4"/>
  <c r="L82" i="4"/>
  <c r="AE82" i="4"/>
  <c r="G68" i="4"/>
  <c r="S68" i="4"/>
  <c r="O67" i="4"/>
  <c r="AI67" i="4"/>
  <c r="U66" i="4"/>
  <c r="AF64" i="4"/>
  <c r="AA64" i="4"/>
  <c r="V64" i="4"/>
  <c r="P64" i="4"/>
  <c r="K64" i="4"/>
  <c r="F64" i="4"/>
  <c r="I63" i="4"/>
  <c r="AD60" i="4"/>
  <c r="V60" i="4"/>
  <c r="P60" i="4"/>
  <c r="I60" i="4"/>
  <c r="AC49" i="4"/>
  <c r="T49" i="4"/>
  <c r="L49" i="4"/>
  <c r="X48" i="4"/>
  <c r="J48" i="4"/>
  <c r="AA46" i="4"/>
  <c r="N46" i="4"/>
  <c r="AB44" i="4"/>
  <c r="U44" i="4"/>
  <c r="O44" i="4"/>
  <c r="G44" i="4"/>
  <c r="AI43" i="4"/>
  <c r="AD43" i="4"/>
  <c r="X43" i="4"/>
  <c r="S43" i="4"/>
  <c r="N43" i="4"/>
  <c r="H43" i="4"/>
  <c r="AI42" i="4"/>
  <c r="AI41" i="4"/>
  <c r="L41" i="4"/>
  <c r="AF40" i="4"/>
  <c r="N40" i="4"/>
  <c r="AH39" i="4"/>
  <c r="AC39" i="4"/>
  <c r="X39" i="4"/>
  <c r="R39" i="4"/>
  <c r="M39" i="4"/>
  <c r="H39" i="4"/>
  <c r="I213" i="5"/>
  <c r="O213" i="5"/>
  <c r="AE213" i="5"/>
  <c r="G212" i="5"/>
  <c r="W212" i="5"/>
  <c r="Y210" i="5"/>
  <c r="K209" i="5"/>
  <c r="Y209" i="5"/>
  <c r="F208" i="5"/>
  <c r="N208" i="5"/>
  <c r="AD208" i="5"/>
  <c r="E206" i="5"/>
  <c r="I206" i="5"/>
  <c r="Q206" i="5"/>
  <c r="X206" i="5"/>
  <c r="AD206" i="5"/>
  <c r="J195" i="5"/>
  <c r="S195" i="5"/>
  <c r="AE195" i="5"/>
  <c r="AH193" i="5"/>
  <c r="AB193" i="5"/>
  <c r="W193" i="5"/>
  <c r="R193" i="5"/>
  <c r="L193" i="5"/>
  <c r="G193" i="5"/>
  <c r="F189" i="5"/>
  <c r="K189" i="5"/>
  <c r="P189" i="5"/>
  <c r="V189" i="5"/>
  <c r="AA189" i="5"/>
  <c r="AF189" i="5"/>
  <c r="AI187" i="5"/>
  <c r="S187" i="5"/>
  <c r="AH175" i="5"/>
  <c r="Z175" i="5"/>
  <c r="R175" i="5"/>
  <c r="I175" i="5"/>
  <c r="S174" i="5"/>
  <c r="E173" i="5"/>
  <c r="P173" i="5"/>
  <c r="AE173" i="5"/>
  <c r="S170" i="5"/>
  <c r="E169" i="5"/>
  <c r="K169" i="5"/>
  <c r="Y169" i="5"/>
  <c r="AE168" i="5"/>
  <c r="W168" i="5"/>
  <c r="P168" i="5"/>
  <c r="I168" i="5"/>
  <c r="AF157" i="5"/>
  <c r="V157" i="5"/>
  <c r="J157" i="5"/>
  <c r="F155" i="5"/>
  <c r="L155" i="5"/>
  <c r="Q155" i="5"/>
  <c r="V155" i="5"/>
  <c r="AB155" i="5"/>
  <c r="AG155" i="5"/>
  <c r="H152" i="5"/>
  <c r="S152" i="5"/>
  <c r="L151" i="5"/>
  <c r="AI141" i="5"/>
  <c r="Q141" i="5"/>
  <c r="Y139" i="5"/>
  <c r="E138" i="5"/>
  <c r="I138" i="5"/>
  <c r="M138" i="5"/>
  <c r="Q138" i="5"/>
  <c r="U138" i="5"/>
  <c r="Y138" i="5"/>
  <c r="AC138" i="5"/>
  <c r="AG138" i="5"/>
  <c r="AD137" i="5"/>
  <c r="U137" i="5"/>
  <c r="J137" i="5"/>
  <c r="AF135" i="5"/>
  <c r="L135" i="5"/>
  <c r="T134" i="5"/>
  <c r="H133" i="5"/>
  <c r="G133" i="5"/>
  <c r="S133" i="5"/>
  <c r="AA133" i="5"/>
  <c r="AH133" i="5"/>
  <c r="AD118" i="5"/>
  <c r="T118" i="5"/>
  <c r="I118" i="5"/>
  <c r="E115" i="5"/>
  <c r="K115" i="5"/>
  <c r="Y115" i="5"/>
  <c r="O115" i="5"/>
  <c r="AE115" i="5"/>
  <c r="L103" i="5"/>
  <c r="G103" i="5"/>
  <c r="P103" i="5"/>
  <c r="AA103" i="5"/>
  <c r="H103" i="5"/>
  <c r="S103" i="5"/>
  <c r="AE103" i="5"/>
  <c r="S102" i="5"/>
  <c r="X97" i="5"/>
  <c r="AI84" i="5"/>
  <c r="G84" i="5"/>
  <c r="H82" i="5"/>
  <c r="F82" i="5"/>
  <c r="K82" i="5"/>
  <c r="Q82" i="5"/>
  <c r="V82" i="5"/>
  <c r="AA82" i="5"/>
  <c r="AG82" i="5"/>
  <c r="G82" i="5"/>
  <c r="M82" i="5"/>
  <c r="R82" i="5"/>
  <c r="W82" i="5"/>
  <c r="AC82" i="5"/>
  <c r="AH82" i="5"/>
  <c r="AD69" i="5"/>
  <c r="S68" i="5"/>
  <c r="W68" i="5"/>
  <c r="J65" i="5"/>
  <c r="Z65" i="5"/>
  <c r="K65" i="5"/>
  <c r="AA65" i="5"/>
  <c r="AG63" i="5"/>
  <c r="R63" i="5"/>
  <c r="AI62" i="5"/>
  <c r="L62" i="5"/>
  <c r="AA60" i="5"/>
  <c r="K60" i="5"/>
  <c r="AE50" i="5"/>
  <c r="P50" i="5"/>
  <c r="E49" i="5"/>
  <c r="H49" i="5"/>
  <c r="P49" i="5"/>
  <c r="X49" i="5"/>
  <c r="AF49" i="5"/>
  <c r="K49" i="5"/>
  <c r="S49" i="5"/>
  <c r="AA49" i="5"/>
  <c r="AI49" i="5"/>
  <c r="AE41" i="5"/>
  <c r="W41" i="5"/>
  <c r="O41" i="5"/>
  <c r="G41" i="5"/>
  <c r="H37" i="5"/>
  <c r="L37" i="5"/>
  <c r="AF37" i="5"/>
  <c r="P37" i="5"/>
  <c r="T207" i="6"/>
  <c r="E175" i="6"/>
  <c r="H175" i="6"/>
  <c r="P175" i="6"/>
  <c r="X175" i="6"/>
  <c r="AF175" i="6"/>
  <c r="K175" i="6"/>
  <c r="T175" i="6"/>
  <c r="AE175" i="6"/>
  <c r="J174" i="6"/>
  <c r="F174" i="6"/>
  <c r="O174" i="6"/>
  <c r="Z174" i="6"/>
  <c r="AI174" i="6"/>
  <c r="H174" i="6"/>
  <c r="T174" i="6"/>
  <c r="AF174" i="6"/>
  <c r="N157" i="6"/>
  <c r="X157" i="6"/>
  <c r="AD157" i="6"/>
  <c r="F151" i="6"/>
  <c r="H151" i="6"/>
  <c r="P151" i="6"/>
  <c r="X151" i="6"/>
  <c r="AF151" i="6"/>
  <c r="E151" i="6"/>
  <c r="Q151" i="6"/>
  <c r="AB151" i="6"/>
  <c r="H135" i="6"/>
  <c r="O135" i="6"/>
  <c r="W135" i="6"/>
  <c r="AC135" i="6"/>
  <c r="L135" i="6"/>
  <c r="T135" i="6"/>
  <c r="AE135" i="6"/>
  <c r="G135" i="6"/>
  <c r="Q135" i="6"/>
  <c r="Y135" i="6"/>
  <c r="AI135" i="6"/>
  <c r="H132" i="6"/>
  <c r="S132" i="6"/>
  <c r="AB132" i="6"/>
  <c r="K132" i="6"/>
  <c r="X132" i="6"/>
  <c r="P132" i="6"/>
  <c r="AF132" i="6"/>
  <c r="G121" i="6"/>
  <c r="K121" i="6"/>
  <c r="O121" i="6"/>
  <c r="S121" i="6"/>
  <c r="W121" i="6"/>
  <c r="AA121" i="6"/>
  <c r="AE121" i="6"/>
  <c r="AI121" i="6"/>
  <c r="H121" i="6"/>
  <c r="M121" i="6"/>
  <c r="R121" i="6"/>
  <c r="X121" i="6"/>
  <c r="AC121" i="6"/>
  <c r="AH121" i="6"/>
  <c r="E121" i="6"/>
  <c r="J121" i="6"/>
  <c r="P121" i="6"/>
  <c r="U121" i="6"/>
  <c r="Z121" i="6"/>
  <c r="AF121" i="6"/>
  <c r="J120" i="6"/>
  <c r="Z120" i="6"/>
  <c r="R120" i="6"/>
  <c r="AI120" i="6"/>
  <c r="F120" i="6"/>
  <c r="AA120" i="6"/>
  <c r="G40" i="6"/>
  <c r="K40" i="6"/>
  <c r="O40" i="6"/>
  <c r="S40" i="6"/>
  <c r="W40" i="6"/>
  <c r="AA40" i="6"/>
  <c r="AE40" i="6"/>
  <c r="AI40" i="6"/>
  <c r="H40" i="6"/>
  <c r="M40" i="6"/>
  <c r="R40" i="6"/>
  <c r="X40" i="6"/>
  <c r="AC40" i="6"/>
  <c r="AH40" i="6"/>
  <c r="E40" i="6"/>
  <c r="J40" i="6"/>
  <c r="P40" i="6"/>
  <c r="U40" i="6"/>
  <c r="Z40" i="6"/>
  <c r="AF40" i="6"/>
  <c r="F40" i="6"/>
  <c r="L40" i="6"/>
  <c r="Q40" i="6"/>
  <c r="V40" i="6"/>
  <c r="AB40" i="6"/>
  <c r="AG40" i="6"/>
  <c r="AI132" i="5"/>
  <c r="AD132" i="5"/>
  <c r="X132" i="5"/>
  <c r="S132" i="5"/>
  <c r="N132" i="5"/>
  <c r="H132" i="5"/>
  <c r="T121" i="5"/>
  <c r="S113" i="5"/>
  <c r="AH96" i="5"/>
  <c r="AC96" i="5"/>
  <c r="X96" i="5"/>
  <c r="R96" i="5"/>
  <c r="M96" i="5"/>
  <c r="H96" i="5"/>
  <c r="AI83" i="5"/>
  <c r="AA83" i="5"/>
  <c r="S83" i="5"/>
  <c r="AH70" i="5"/>
  <c r="AC70" i="5"/>
  <c r="W70" i="5"/>
  <c r="R70" i="5"/>
  <c r="M70" i="5"/>
  <c r="G70" i="5"/>
  <c r="AI67" i="5"/>
  <c r="AE67" i="5"/>
  <c r="AA67" i="5"/>
  <c r="W67" i="5"/>
  <c r="S67" i="5"/>
  <c r="O67" i="5"/>
  <c r="K67" i="5"/>
  <c r="AH44" i="5"/>
  <c r="AC44" i="5"/>
  <c r="W44" i="5"/>
  <c r="R44" i="5"/>
  <c r="M44" i="5"/>
  <c r="G44" i="5"/>
  <c r="AE39" i="5"/>
  <c r="V39" i="5"/>
  <c r="K39" i="5"/>
  <c r="AE38" i="5"/>
  <c r="S210" i="6"/>
  <c r="AI209" i="6"/>
  <c r="AI196" i="6"/>
  <c r="S196" i="6"/>
  <c r="G194" i="6"/>
  <c r="H194" i="6"/>
  <c r="M194" i="6"/>
  <c r="R194" i="6"/>
  <c r="X194" i="6"/>
  <c r="AC194" i="6"/>
  <c r="AH194" i="6"/>
  <c r="F191" i="6"/>
  <c r="I191" i="6"/>
  <c r="T191" i="6"/>
  <c r="AE191" i="6"/>
  <c r="AG190" i="6"/>
  <c r="AA190" i="6"/>
  <c r="U190" i="6"/>
  <c r="N190" i="6"/>
  <c r="F190" i="6"/>
  <c r="S176" i="6"/>
  <c r="AB175" i="6"/>
  <c r="O175" i="6"/>
  <c r="S174" i="6"/>
  <c r="G168" i="6"/>
  <c r="H168" i="6"/>
  <c r="M168" i="6"/>
  <c r="R168" i="6"/>
  <c r="X168" i="6"/>
  <c r="AC168" i="6"/>
  <c r="AH168" i="6"/>
  <c r="E168" i="6"/>
  <c r="L168" i="6"/>
  <c r="T168" i="6"/>
  <c r="Z168" i="6"/>
  <c r="AG168" i="6"/>
  <c r="L153" i="6"/>
  <c r="O153" i="6"/>
  <c r="X153" i="6"/>
  <c r="AH153" i="6"/>
  <c r="K153" i="6"/>
  <c r="Z153" i="6"/>
  <c r="AC151" i="6"/>
  <c r="M151" i="6"/>
  <c r="L136" i="6"/>
  <c r="W136" i="6"/>
  <c r="AI136" i="6"/>
  <c r="G136" i="6"/>
  <c r="T136" i="6"/>
  <c r="O136" i="6"/>
  <c r="AB136" i="6"/>
  <c r="S135" i="6"/>
  <c r="AA132" i="6"/>
  <c r="S122" i="6"/>
  <c r="AG121" i="6"/>
  <c r="V121" i="6"/>
  <c r="L121" i="6"/>
  <c r="AD120" i="6"/>
  <c r="AE115" i="6"/>
  <c r="G115" i="6"/>
  <c r="X103" i="6"/>
  <c r="M103" i="6"/>
  <c r="AI103" i="6"/>
  <c r="S101" i="6"/>
  <c r="Y101" i="6"/>
  <c r="AD101" i="6"/>
  <c r="I101" i="6"/>
  <c r="F98" i="6"/>
  <c r="N98" i="6"/>
  <c r="U98" i="6"/>
  <c r="AB98" i="6"/>
  <c r="J98" i="6"/>
  <c r="T98" i="6"/>
  <c r="AD98" i="6"/>
  <c r="E98" i="6"/>
  <c r="P98" i="6"/>
  <c r="Y98" i="6"/>
  <c r="AG98" i="6"/>
  <c r="K84" i="6"/>
  <c r="Y84" i="6"/>
  <c r="O84" i="6"/>
  <c r="AE84" i="6"/>
  <c r="E84" i="6"/>
  <c r="V84" i="6"/>
  <c r="K68" i="6"/>
  <c r="S68" i="6"/>
  <c r="AB68" i="6"/>
  <c r="F68" i="6"/>
  <c r="R68" i="6"/>
  <c r="AE68" i="6"/>
  <c r="M68" i="6"/>
  <c r="Y68" i="6"/>
  <c r="AG68" i="6"/>
  <c r="T40" i="6"/>
  <c r="O210" i="6"/>
  <c r="S209" i="6"/>
  <c r="AI208" i="6"/>
  <c r="AC208" i="6"/>
  <c r="X208" i="6"/>
  <c r="S208" i="6"/>
  <c r="M208" i="6"/>
  <c r="H208" i="6"/>
  <c r="AB196" i="6"/>
  <c r="L196" i="6"/>
  <c r="Y195" i="6"/>
  <c r="AD194" i="6"/>
  <c r="V194" i="6"/>
  <c r="P194" i="6"/>
  <c r="I194" i="6"/>
  <c r="AA191" i="6"/>
  <c r="O191" i="6"/>
  <c r="AE190" i="6"/>
  <c r="Z190" i="6"/>
  <c r="T190" i="6"/>
  <c r="L190" i="6"/>
  <c r="S189" i="6"/>
  <c r="G189" i="6"/>
  <c r="AI189" i="6"/>
  <c r="AE189" i="6"/>
  <c r="F187" i="6"/>
  <c r="G187" i="6"/>
  <c r="L187" i="6"/>
  <c r="Q187" i="6"/>
  <c r="W187" i="6"/>
  <c r="AB187" i="6"/>
  <c r="AG187" i="6"/>
  <c r="I187" i="6"/>
  <c r="P187" i="6"/>
  <c r="X187" i="6"/>
  <c r="AE187" i="6"/>
  <c r="G177" i="6"/>
  <c r="E177" i="6"/>
  <c r="J177" i="6"/>
  <c r="P177" i="6"/>
  <c r="U177" i="6"/>
  <c r="Z177" i="6"/>
  <c r="AF177" i="6"/>
  <c r="I177" i="6"/>
  <c r="Q177" i="6"/>
  <c r="X177" i="6"/>
  <c r="AD177" i="6"/>
  <c r="AA175" i="6"/>
  <c r="L175" i="6"/>
  <c r="AD174" i="6"/>
  <c r="N174" i="6"/>
  <c r="H173" i="6"/>
  <c r="M173" i="6"/>
  <c r="AA173" i="6"/>
  <c r="E173" i="6"/>
  <c r="Y173" i="6"/>
  <c r="E169" i="6"/>
  <c r="M169" i="6"/>
  <c r="T169" i="6"/>
  <c r="AA169" i="6"/>
  <c r="AI169" i="6"/>
  <c r="H169" i="6"/>
  <c r="P169" i="6"/>
  <c r="Y169" i="6"/>
  <c r="AD168" i="6"/>
  <c r="U168" i="6"/>
  <c r="J168" i="6"/>
  <c r="S158" i="6"/>
  <c r="N158" i="6"/>
  <c r="AD158" i="6"/>
  <c r="S154" i="6"/>
  <c r="Y154" i="6"/>
  <c r="I154" i="6"/>
  <c r="S153" i="6"/>
  <c r="Y151" i="6"/>
  <c r="L151" i="6"/>
  <c r="F139" i="6"/>
  <c r="T139" i="6"/>
  <c r="I139" i="6"/>
  <c r="AA136" i="6"/>
  <c r="AG135" i="6"/>
  <c r="M135" i="6"/>
  <c r="T132" i="6"/>
  <c r="AD121" i="6"/>
  <c r="T121" i="6"/>
  <c r="I121" i="6"/>
  <c r="S120" i="6"/>
  <c r="Q98" i="6"/>
  <c r="Z84" i="6"/>
  <c r="H72" i="6"/>
  <c r="F72" i="6"/>
  <c r="K72" i="6"/>
  <c r="Q72" i="6"/>
  <c r="V72" i="6"/>
  <c r="AA72" i="6"/>
  <c r="AG72" i="6"/>
  <c r="E72" i="6"/>
  <c r="M72" i="6"/>
  <c r="S72" i="6"/>
  <c r="Z72" i="6"/>
  <c r="AH72" i="6"/>
  <c r="I72" i="6"/>
  <c r="O72" i="6"/>
  <c r="W72" i="6"/>
  <c r="AD72" i="6"/>
  <c r="V68" i="6"/>
  <c r="N40" i="6"/>
  <c r="G190" i="6"/>
  <c r="K190" i="6"/>
  <c r="O190" i="6"/>
  <c r="S190" i="6"/>
  <c r="W190" i="6"/>
  <c r="H190" i="6"/>
  <c r="M190" i="6"/>
  <c r="R190" i="6"/>
  <c r="X190" i="6"/>
  <c r="AB190" i="6"/>
  <c r="AF190" i="6"/>
  <c r="H176" i="6"/>
  <c r="K176" i="6"/>
  <c r="AA176" i="6"/>
  <c r="O176" i="6"/>
  <c r="AI176" i="6"/>
  <c r="W175" i="6"/>
  <c r="G175" i="6"/>
  <c r="AA174" i="6"/>
  <c r="K174" i="6"/>
  <c r="H172" i="6"/>
  <c r="T172" i="6"/>
  <c r="AF170" i="6"/>
  <c r="H157" i="6"/>
  <c r="U151" i="6"/>
  <c r="I151" i="6"/>
  <c r="AB135" i="6"/>
  <c r="I135" i="6"/>
  <c r="L132" i="6"/>
  <c r="E122" i="6"/>
  <c r="O122" i="6"/>
  <c r="Y122" i="6"/>
  <c r="AI122" i="6"/>
  <c r="H122" i="6"/>
  <c r="T122" i="6"/>
  <c r="AF122" i="6"/>
  <c r="M122" i="6"/>
  <c r="AA122" i="6"/>
  <c r="AB121" i="6"/>
  <c r="Q121" i="6"/>
  <c r="F121" i="6"/>
  <c r="N120" i="6"/>
  <c r="Q84" i="6"/>
  <c r="N68" i="6"/>
  <c r="F48" i="6"/>
  <c r="L48" i="6"/>
  <c r="T48" i="6"/>
  <c r="AA48" i="6"/>
  <c r="AH48" i="6"/>
  <c r="K48" i="6"/>
  <c r="V48" i="6"/>
  <c r="AE48" i="6"/>
  <c r="G48" i="6"/>
  <c r="P48" i="6"/>
  <c r="Z48" i="6"/>
  <c r="J48" i="6"/>
  <c r="R48" i="6"/>
  <c r="AB48" i="6"/>
  <c r="AD40" i="6"/>
  <c r="I40" i="6"/>
  <c r="E47" i="6"/>
  <c r="K47" i="6"/>
  <c r="R47" i="6"/>
  <c r="W47" i="6"/>
  <c r="AB47" i="6"/>
  <c r="AH47" i="6"/>
  <c r="J44" i="6"/>
  <c r="U44" i="6"/>
  <c r="AF44" i="6"/>
  <c r="F43" i="6"/>
  <c r="M43" i="6"/>
  <c r="S43" i="6"/>
  <c r="Z43" i="6"/>
  <c r="AE43" i="6"/>
  <c r="G41" i="6"/>
  <c r="S41" i="6"/>
  <c r="AB41" i="6"/>
  <c r="F210" i="7"/>
  <c r="G210" i="7"/>
  <c r="L210" i="7"/>
  <c r="Q210" i="7"/>
  <c r="W210" i="7"/>
  <c r="AB210" i="7"/>
  <c r="AG210" i="7"/>
  <c r="E210" i="7"/>
  <c r="K210" i="7"/>
  <c r="P210" i="7"/>
  <c r="U210" i="7"/>
  <c r="AA210" i="7"/>
  <c r="AF210" i="7"/>
  <c r="H196" i="7"/>
  <c r="G196" i="7"/>
  <c r="N196" i="7"/>
  <c r="U196" i="7"/>
  <c r="AC196" i="7"/>
  <c r="AI196" i="7"/>
  <c r="E196" i="7"/>
  <c r="M196" i="7"/>
  <c r="S196" i="7"/>
  <c r="Z196" i="7"/>
  <c r="AH196" i="7"/>
  <c r="H191" i="7"/>
  <c r="J191" i="7"/>
  <c r="R191" i="7"/>
  <c r="Z191" i="7"/>
  <c r="AH191" i="7"/>
  <c r="G191" i="7"/>
  <c r="O191" i="7"/>
  <c r="W191" i="7"/>
  <c r="AE191" i="7"/>
  <c r="Y173" i="7"/>
  <c r="O173" i="7"/>
  <c r="E168" i="7"/>
  <c r="L168" i="7"/>
  <c r="V168" i="7"/>
  <c r="AG168" i="7"/>
  <c r="I168" i="7"/>
  <c r="T168" i="7"/>
  <c r="AD168" i="7"/>
  <c r="E118" i="7"/>
  <c r="K118" i="7"/>
  <c r="Y118" i="7"/>
  <c r="O118" i="7"/>
  <c r="AC118" i="7"/>
  <c r="H118" i="7"/>
  <c r="U118" i="7"/>
  <c r="E188" i="6"/>
  <c r="G188" i="6"/>
  <c r="P188" i="6"/>
  <c r="AB188" i="6"/>
  <c r="E155" i="6"/>
  <c r="I155" i="6"/>
  <c r="M155" i="6"/>
  <c r="Q155" i="6"/>
  <c r="U155" i="6"/>
  <c r="Y155" i="6"/>
  <c r="AC155" i="6"/>
  <c r="AG155" i="6"/>
  <c r="G138" i="6"/>
  <c r="E138" i="6"/>
  <c r="J138" i="6"/>
  <c r="P138" i="6"/>
  <c r="U138" i="6"/>
  <c r="Z138" i="6"/>
  <c r="AF138" i="6"/>
  <c r="AD137" i="6"/>
  <c r="S137" i="6"/>
  <c r="AI133" i="6"/>
  <c r="AB118" i="6"/>
  <c r="S118" i="6"/>
  <c r="E117" i="6"/>
  <c r="P117" i="6"/>
  <c r="Z117" i="6"/>
  <c r="O116" i="6"/>
  <c r="AA116" i="6"/>
  <c r="Z113" i="6"/>
  <c r="E102" i="6"/>
  <c r="I102" i="6"/>
  <c r="M102" i="6"/>
  <c r="Q102" i="6"/>
  <c r="U102" i="6"/>
  <c r="Y102" i="6"/>
  <c r="AC102" i="6"/>
  <c r="AG102" i="6"/>
  <c r="Y99" i="6"/>
  <c r="E97" i="6"/>
  <c r="N97" i="6"/>
  <c r="Y97" i="6"/>
  <c r="AH97" i="6"/>
  <c r="L96" i="6"/>
  <c r="AA96" i="6"/>
  <c r="J85" i="6"/>
  <c r="P85" i="6"/>
  <c r="W85" i="6"/>
  <c r="AE85" i="6"/>
  <c r="AA82" i="6"/>
  <c r="S82" i="6"/>
  <c r="AI71" i="6"/>
  <c r="AG69" i="6"/>
  <c r="AB69" i="6"/>
  <c r="W69" i="6"/>
  <c r="Q69" i="6"/>
  <c r="L69" i="6"/>
  <c r="W67" i="6"/>
  <c r="R64" i="6"/>
  <c r="AI64" i="6"/>
  <c r="I62" i="6"/>
  <c r="T62" i="6"/>
  <c r="AE62" i="6"/>
  <c r="AB50" i="6"/>
  <c r="Q50" i="6"/>
  <c r="AF47" i="6"/>
  <c r="Z47" i="6"/>
  <c r="S47" i="6"/>
  <c r="J47" i="6"/>
  <c r="AD46" i="6"/>
  <c r="V46" i="6"/>
  <c r="O46" i="6"/>
  <c r="G45" i="6"/>
  <c r="M45" i="6"/>
  <c r="T45" i="6"/>
  <c r="AB45" i="6"/>
  <c r="AI45" i="6"/>
  <c r="Z44" i="6"/>
  <c r="N44" i="6"/>
  <c r="AI43" i="6"/>
  <c r="AB43" i="6"/>
  <c r="V43" i="6"/>
  <c r="K43" i="6"/>
  <c r="AE41" i="6"/>
  <c r="O41" i="6"/>
  <c r="E39" i="6"/>
  <c r="K39" i="6"/>
  <c r="P39" i="6"/>
  <c r="U39" i="6"/>
  <c r="AA39" i="6"/>
  <c r="AF39" i="6"/>
  <c r="AI210" i="7"/>
  <c r="X210" i="7"/>
  <c r="M210" i="7"/>
  <c r="K208" i="7"/>
  <c r="AA208" i="7"/>
  <c r="G208" i="7"/>
  <c r="W208" i="7"/>
  <c r="AD196" i="7"/>
  <c r="O196" i="7"/>
  <c r="AD191" i="7"/>
  <c r="N191" i="7"/>
  <c r="F176" i="7"/>
  <c r="J176" i="7"/>
  <c r="N176" i="7"/>
  <c r="R176" i="7"/>
  <c r="V176" i="7"/>
  <c r="Z176" i="7"/>
  <c r="AD176" i="7"/>
  <c r="AH176" i="7"/>
  <c r="E176" i="7"/>
  <c r="I176" i="7"/>
  <c r="M176" i="7"/>
  <c r="Q176" i="7"/>
  <c r="U176" i="7"/>
  <c r="Y176" i="7"/>
  <c r="AC176" i="7"/>
  <c r="AG176" i="7"/>
  <c r="AD174" i="7"/>
  <c r="S174" i="7"/>
  <c r="N172" i="7"/>
  <c r="AD172" i="7"/>
  <c r="L172" i="7"/>
  <c r="AB172" i="7"/>
  <c r="Y171" i="7"/>
  <c r="J171" i="7"/>
  <c r="Q168" i="7"/>
  <c r="I152" i="7"/>
  <c r="S152" i="7"/>
  <c r="AA152" i="7"/>
  <c r="E152" i="7"/>
  <c r="P152" i="7"/>
  <c r="Y152" i="7"/>
  <c r="AI152" i="7"/>
  <c r="H138" i="7"/>
  <c r="O138" i="7"/>
  <c r="V138" i="7"/>
  <c r="AD138" i="7"/>
  <c r="F138" i="7"/>
  <c r="N138" i="7"/>
  <c r="T138" i="7"/>
  <c r="AA138" i="7"/>
  <c r="AI138" i="7"/>
  <c r="AE122" i="7"/>
  <c r="S121" i="7"/>
  <c r="Q39" i="6"/>
  <c r="I39" i="6"/>
  <c r="AJ15" i="6"/>
  <c r="W212" i="7"/>
  <c r="S212" i="7"/>
  <c r="AE210" i="7"/>
  <c r="T210" i="7"/>
  <c r="I210" i="7"/>
  <c r="AE208" i="7"/>
  <c r="H207" i="7"/>
  <c r="O207" i="7"/>
  <c r="AE207" i="7"/>
  <c r="K207" i="7"/>
  <c r="AA207" i="7"/>
  <c r="Y196" i="7"/>
  <c r="J196" i="7"/>
  <c r="AA191" i="7"/>
  <c r="K191" i="7"/>
  <c r="AI190" i="7"/>
  <c r="S190" i="7"/>
  <c r="G174" i="7"/>
  <c r="L174" i="7"/>
  <c r="R174" i="7"/>
  <c r="W174" i="7"/>
  <c r="AB174" i="7"/>
  <c r="AH174" i="7"/>
  <c r="F174" i="7"/>
  <c r="K174" i="7"/>
  <c r="P174" i="7"/>
  <c r="V174" i="7"/>
  <c r="AA174" i="7"/>
  <c r="AF174" i="7"/>
  <c r="AH171" i="7"/>
  <c r="S171" i="7"/>
  <c r="N168" i="7"/>
  <c r="F122" i="7"/>
  <c r="G122" i="7"/>
  <c r="L122" i="7"/>
  <c r="Q122" i="7"/>
  <c r="W122" i="7"/>
  <c r="AB122" i="7"/>
  <c r="AG122" i="7"/>
  <c r="H122" i="7"/>
  <c r="M122" i="7"/>
  <c r="S122" i="7"/>
  <c r="X122" i="7"/>
  <c r="AC122" i="7"/>
  <c r="AI122" i="7"/>
  <c r="E122" i="7"/>
  <c r="K122" i="7"/>
  <c r="P122" i="7"/>
  <c r="U122" i="7"/>
  <c r="AA122" i="7"/>
  <c r="AF122" i="7"/>
  <c r="AF118" i="7"/>
  <c r="J137" i="6"/>
  <c r="R137" i="6"/>
  <c r="Z137" i="6"/>
  <c r="AH137" i="6"/>
  <c r="F133" i="6"/>
  <c r="G133" i="6"/>
  <c r="W133" i="6"/>
  <c r="I118" i="6"/>
  <c r="Q118" i="6"/>
  <c r="X118" i="6"/>
  <c r="AE118" i="6"/>
  <c r="F113" i="6"/>
  <c r="P113" i="6"/>
  <c r="AA113" i="6"/>
  <c r="H82" i="6"/>
  <c r="O82" i="6"/>
  <c r="U82" i="6"/>
  <c r="AC82" i="6"/>
  <c r="F69" i="6"/>
  <c r="J69" i="6"/>
  <c r="N69" i="6"/>
  <c r="R69" i="6"/>
  <c r="V69" i="6"/>
  <c r="Z69" i="6"/>
  <c r="AD69" i="6"/>
  <c r="AH69" i="6"/>
  <c r="E50" i="6"/>
  <c r="L50" i="6"/>
  <c r="T50" i="6"/>
  <c r="Z50" i="6"/>
  <c r="AG50" i="6"/>
  <c r="AD47" i="6"/>
  <c r="V47" i="6"/>
  <c r="O47" i="6"/>
  <c r="F47" i="6"/>
  <c r="G46" i="6"/>
  <c r="L46" i="6"/>
  <c r="R46" i="6"/>
  <c r="W46" i="6"/>
  <c r="AB46" i="6"/>
  <c r="AH46" i="6"/>
  <c r="T44" i="6"/>
  <c r="E44" i="6"/>
  <c r="AF43" i="6"/>
  <c r="X43" i="6"/>
  <c r="Q43" i="6"/>
  <c r="G43" i="6"/>
  <c r="S42" i="6"/>
  <c r="K42" i="6"/>
  <c r="W41" i="6"/>
  <c r="K41" i="6"/>
  <c r="Y213" i="7"/>
  <c r="N213" i="7"/>
  <c r="AC210" i="7"/>
  <c r="S210" i="7"/>
  <c r="H210" i="7"/>
  <c r="W196" i="7"/>
  <c r="I196" i="7"/>
  <c r="V191" i="7"/>
  <c r="F191" i="7"/>
  <c r="F171" i="7"/>
  <c r="I171" i="7"/>
  <c r="O171" i="7"/>
  <c r="W171" i="7"/>
  <c r="AD171" i="7"/>
  <c r="G171" i="7"/>
  <c r="N171" i="7"/>
  <c r="U171" i="7"/>
  <c r="AC171" i="7"/>
  <c r="AI171" i="7"/>
  <c r="AB168" i="7"/>
  <c r="F168" i="7"/>
  <c r="H121" i="7"/>
  <c r="O121" i="7"/>
  <c r="U121" i="7"/>
  <c r="AC121" i="7"/>
  <c r="I121" i="7"/>
  <c r="P121" i="7"/>
  <c r="X121" i="7"/>
  <c r="AE121" i="7"/>
  <c r="E121" i="7"/>
  <c r="M121" i="7"/>
  <c r="T121" i="7"/>
  <c r="AA121" i="7"/>
  <c r="AI121" i="7"/>
  <c r="S118" i="7"/>
  <c r="AI133" i="7"/>
  <c r="O133" i="7"/>
  <c r="AI116" i="7"/>
  <c r="N116" i="7"/>
  <c r="AG114" i="7"/>
  <c r="AB114" i="7"/>
  <c r="W114" i="7"/>
  <c r="R114" i="7"/>
  <c r="L114" i="7"/>
  <c r="G114" i="7"/>
  <c r="AB100" i="7"/>
  <c r="S100" i="7"/>
  <c r="I100" i="7"/>
  <c r="AD97" i="7"/>
  <c r="S97" i="7"/>
  <c r="G97" i="7"/>
  <c r="AA96" i="7"/>
  <c r="X83" i="7"/>
  <c r="L83" i="7"/>
  <c r="AD70" i="7"/>
  <c r="V70" i="7"/>
  <c r="O70" i="7"/>
  <c r="H70" i="7"/>
  <c r="AE69" i="7"/>
  <c r="Z69" i="7"/>
  <c r="U69" i="7"/>
  <c r="O69" i="7"/>
  <c r="J69" i="7"/>
  <c r="E69" i="7"/>
  <c r="AI68" i="7"/>
  <c r="AE68" i="7"/>
  <c r="AA68" i="7"/>
  <c r="V68" i="7"/>
  <c r="P68" i="7"/>
  <c r="K68" i="7"/>
  <c r="F68" i="7"/>
  <c r="AA65" i="7"/>
  <c r="R65" i="7"/>
  <c r="G65" i="7"/>
  <c r="AE64" i="7"/>
  <c r="W64" i="7"/>
  <c r="O64" i="7"/>
  <c r="G64" i="7"/>
  <c r="I63" i="7"/>
  <c r="AE61" i="7"/>
  <c r="T61" i="7"/>
  <c r="J61" i="7"/>
  <c r="AE60" i="7"/>
  <c r="T60" i="7"/>
  <c r="I60" i="7"/>
  <c r="T48" i="7"/>
  <c r="H48" i="7"/>
  <c r="AG46" i="7"/>
  <c r="AA46" i="7"/>
  <c r="V46" i="7"/>
  <c r="O46" i="7"/>
  <c r="G46" i="7"/>
  <c r="AF44" i="7"/>
  <c r="Z44" i="7"/>
  <c r="U44" i="7"/>
  <c r="P44" i="7"/>
  <c r="J44" i="7"/>
  <c r="E44" i="7"/>
  <c r="AH212" i="8"/>
  <c r="AD212" i="8"/>
  <c r="Z212" i="8"/>
  <c r="V212" i="8"/>
  <c r="R212" i="8"/>
  <c r="N212" i="8"/>
  <c r="J212" i="8"/>
  <c r="F212" i="8"/>
  <c r="AF208" i="8"/>
  <c r="X208" i="8"/>
  <c r="P208" i="8"/>
  <c r="H208" i="8"/>
  <c r="S207" i="8"/>
  <c r="AC196" i="8"/>
  <c r="S196" i="8"/>
  <c r="G196" i="8"/>
  <c r="AI195" i="8"/>
  <c r="O195" i="8"/>
  <c r="S194" i="8"/>
  <c r="Z193" i="8"/>
  <c r="H193" i="8"/>
  <c r="P191" i="8"/>
  <c r="AI188" i="8"/>
  <c r="Q188" i="8"/>
  <c r="AA170" i="8"/>
  <c r="P170" i="8"/>
  <c r="E170" i="8"/>
  <c r="S157" i="8"/>
  <c r="R155" i="8"/>
  <c r="AE153" i="8"/>
  <c r="Z153" i="8"/>
  <c r="T153" i="8"/>
  <c r="L153" i="8"/>
  <c r="E153" i="8"/>
  <c r="AB152" i="8"/>
  <c r="L152" i="8"/>
  <c r="Y141" i="8"/>
  <c r="I141" i="8"/>
  <c r="AF137" i="8"/>
  <c r="Z137" i="8"/>
  <c r="U137" i="8"/>
  <c r="P137" i="8"/>
  <c r="J137" i="8"/>
  <c r="E137" i="8"/>
  <c r="U136" i="8"/>
  <c r="AH133" i="8"/>
  <c r="AD133" i="8"/>
  <c r="Z133" i="8"/>
  <c r="V133" i="8"/>
  <c r="R133" i="8"/>
  <c r="N133" i="8"/>
  <c r="J133" i="8"/>
  <c r="F133" i="8"/>
  <c r="H122" i="8"/>
  <c r="AI118" i="8"/>
  <c r="AB116" i="8"/>
  <c r="S116" i="8"/>
  <c r="H116" i="8"/>
  <c r="AH103" i="8"/>
  <c r="AD103" i="8"/>
  <c r="Z103" i="8"/>
  <c r="V103" i="8"/>
  <c r="R103" i="8"/>
  <c r="N103" i="8"/>
  <c r="J103" i="8"/>
  <c r="F103" i="8"/>
  <c r="AI101" i="8"/>
  <c r="K101" i="8"/>
  <c r="Y99" i="8"/>
  <c r="I99" i="8"/>
  <c r="S97" i="8"/>
  <c r="AH86" i="8"/>
  <c r="AD86" i="8"/>
  <c r="Z86" i="8"/>
  <c r="V86" i="8"/>
  <c r="R86" i="8"/>
  <c r="N86" i="8"/>
  <c r="J86" i="8"/>
  <c r="F86" i="8"/>
  <c r="AE85" i="8"/>
  <c r="O85" i="8"/>
  <c r="AI84" i="8"/>
  <c r="AA84" i="8"/>
  <c r="T84" i="8"/>
  <c r="N84" i="8"/>
  <c r="F84" i="8"/>
  <c r="AE82" i="8"/>
  <c r="W82" i="8"/>
  <c r="O82" i="8"/>
  <c r="G82" i="8"/>
  <c r="AI72" i="8"/>
  <c r="AA72" i="8"/>
  <c r="T72" i="8"/>
  <c r="N72" i="8"/>
  <c r="F72" i="8"/>
  <c r="AA70" i="8"/>
  <c r="P70" i="8"/>
  <c r="E70" i="8"/>
  <c r="Y69" i="8"/>
  <c r="E69" i="8"/>
  <c r="AA67" i="8"/>
  <c r="Q67" i="8"/>
  <c r="G67" i="8"/>
  <c r="AI65" i="8"/>
  <c r="G65" i="8"/>
  <c r="AF64" i="8"/>
  <c r="Z64" i="8"/>
  <c r="R64" i="8"/>
  <c r="K64" i="8"/>
  <c r="L62" i="8"/>
  <c r="Z62" i="8"/>
  <c r="M60" i="8"/>
  <c r="AA49" i="8"/>
  <c r="O49" i="8"/>
  <c r="AA48" i="8"/>
  <c r="W45" i="8"/>
  <c r="V37" i="8"/>
  <c r="AI213" i="9"/>
  <c r="AB213" i="9"/>
  <c r="T213" i="9"/>
  <c r="M213" i="9"/>
  <c r="K212" i="9"/>
  <c r="U212" i="9"/>
  <c r="AF212" i="9"/>
  <c r="AA211" i="9"/>
  <c r="R211" i="9"/>
  <c r="O210" i="9"/>
  <c r="AA209" i="9"/>
  <c r="X196" i="9"/>
  <c r="G193" i="9"/>
  <c r="K193" i="9"/>
  <c r="S193" i="9"/>
  <c r="F189" i="9"/>
  <c r="K189" i="9"/>
  <c r="Q189" i="9"/>
  <c r="V189" i="9"/>
  <c r="AA189" i="9"/>
  <c r="AG189" i="9"/>
  <c r="G189" i="9"/>
  <c r="M189" i="9"/>
  <c r="R189" i="9"/>
  <c r="W189" i="9"/>
  <c r="AC189" i="9"/>
  <c r="AH189" i="9"/>
  <c r="AH168" i="9"/>
  <c r="E158" i="9"/>
  <c r="J158" i="9"/>
  <c r="P158" i="9"/>
  <c r="W158" i="9"/>
  <c r="AE158" i="9"/>
  <c r="F158" i="9"/>
  <c r="L158" i="9"/>
  <c r="T158" i="9"/>
  <c r="AA158" i="9"/>
  <c r="AH158" i="9"/>
  <c r="G158" i="9"/>
  <c r="O158" i="9"/>
  <c r="V158" i="9"/>
  <c r="AB158" i="9"/>
  <c r="K151" i="9"/>
  <c r="U151" i="9"/>
  <c r="AE151" i="9"/>
  <c r="E151" i="9"/>
  <c r="O151" i="9"/>
  <c r="AA151" i="9"/>
  <c r="G151" i="9"/>
  <c r="S151" i="9"/>
  <c r="AC151" i="9"/>
  <c r="S141" i="9"/>
  <c r="J49" i="8"/>
  <c r="R49" i="8"/>
  <c r="Z49" i="8"/>
  <c r="AH49" i="8"/>
  <c r="M37" i="8"/>
  <c r="W37" i="8"/>
  <c r="AH37" i="8"/>
  <c r="AJ14" i="8"/>
  <c r="F213" i="9"/>
  <c r="E213" i="9"/>
  <c r="K213" i="9"/>
  <c r="P213" i="9"/>
  <c r="U213" i="9"/>
  <c r="AA213" i="9"/>
  <c r="AF213" i="9"/>
  <c r="H211" i="9"/>
  <c r="F211" i="9"/>
  <c r="N211" i="9"/>
  <c r="V211" i="9"/>
  <c r="AD211" i="9"/>
  <c r="K210" i="9"/>
  <c r="E209" i="9"/>
  <c r="T209" i="9"/>
  <c r="AI209" i="9"/>
  <c r="K196" i="9"/>
  <c r="T196" i="9"/>
  <c r="AF196" i="9"/>
  <c r="E187" i="9"/>
  <c r="AA187" i="9"/>
  <c r="O187" i="9"/>
  <c r="Z158" i="9"/>
  <c r="AI151" i="9"/>
  <c r="AH69" i="7"/>
  <c r="AC69" i="7"/>
  <c r="W69" i="7"/>
  <c r="R69" i="7"/>
  <c r="M69" i="7"/>
  <c r="G69" i="7"/>
  <c r="AG68" i="7"/>
  <c r="AC68" i="7"/>
  <c r="X68" i="7"/>
  <c r="S68" i="7"/>
  <c r="N68" i="7"/>
  <c r="H68" i="7"/>
  <c r="AH65" i="7"/>
  <c r="W65" i="7"/>
  <c r="K65" i="7"/>
  <c r="AI64" i="7"/>
  <c r="AA64" i="7"/>
  <c r="S64" i="7"/>
  <c r="K64" i="7"/>
  <c r="AD63" i="7"/>
  <c r="AC48" i="7"/>
  <c r="O48" i="7"/>
  <c r="AH44" i="7"/>
  <c r="AC44" i="7"/>
  <c r="X44" i="7"/>
  <c r="R44" i="7"/>
  <c r="M44" i="7"/>
  <c r="H44" i="7"/>
  <c r="S193" i="8"/>
  <c r="AF170" i="8"/>
  <c r="U170" i="8"/>
  <c r="K170" i="8"/>
  <c r="AH155" i="8"/>
  <c r="AH153" i="8"/>
  <c r="AC153" i="8"/>
  <c r="W153" i="8"/>
  <c r="P153" i="8"/>
  <c r="I153" i="8"/>
  <c r="AG141" i="8"/>
  <c r="Q141" i="8"/>
  <c r="AH137" i="8"/>
  <c r="AC137" i="8"/>
  <c r="X137" i="8"/>
  <c r="R137" i="8"/>
  <c r="M137" i="8"/>
  <c r="H137" i="8"/>
  <c r="AD122" i="8"/>
  <c r="AI116" i="8"/>
  <c r="X116" i="8"/>
  <c r="L116" i="8"/>
  <c r="AE84" i="8"/>
  <c r="X84" i="8"/>
  <c r="P84" i="8"/>
  <c r="J84" i="8"/>
  <c r="AI82" i="8"/>
  <c r="AA82" i="8"/>
  <c r="S82" i="8"/>
  <c r="K82" i="8"/>
  <c r="AE72" i="8"/>
  <c r="X72" i="8"/>
  <c r="P72" i="8"/>
  <c r="J72" i="8"/>
  <c r="AF70" i="8"/>
  <c r="U70" i="8"/>
  <c r="K70" i="8"/>
  <c r="AG69" i="8"/>
  <c r="N69" i="8"/>
  <c r="W65" i="8"/>
  <c r="AB64" i="8"/>
  <c r="V64" i="8"/>
  <c r="O64" i="8"/>
  <c r="AE49" i="8"/>
  <c r="V49" i="8"/>
  <c r="K49" i="8"/>
  <c r="L48" i="8"/>
  <c r="W48" i="8"/>
  <c r="AI48" i="8"/>
  <c r="I47" i="8"/>
  <c r="G40" i="8"/>
  <c r="O40" i="8"/>
  <c r="X40" i="8"/>
  <c r="AE40" i="8"/>
  <c r="AA38" i="8"/>
  <c r="AC37" i="8"/>
  <c r="Q37" i="8"/>
  <c r="Z188" i="9"/>
  <c r="G168" i="9"/>
  <c r="N168" i="9"/>
  <c r="AD168" i="9"/>
  <c r="I168" i="9"/>
  <c r="W168" i="9"/>
  <c r="AI168" i="9"/>
  <c r="M168" i="9"/>
  <c r="Y168" i="9"/>
  <c r="S153" i="9"/>
  <c r="G153" i="9"/>
  <c r="AE153" i="9"/>
  <c r="O153" i="9"/>
  <c r="AI153" i="9"/>
  <c r="J141" i="9"/>
  <c r="R141" i="9"/>
  <c r="X141" i="9"/>
  <c r="AE141" i="9"/>
  <c r="G141" i="9"/>
  <c r="N141" i="9"/>
  <c r="T141" i="9"/>
  <c r="AB141" i="9"/>
  <c r="AI141" i="9"/>
  <c r="H141" i="9"/>
  <c r="O141" i="9"/>
  <c r="W141" i="9"/>
  <c r="AD141" i="9"/>
  <c r="S139" i="9"/>
  <c r="H139" i="9"/>
  <c r="AD139" i="9"/>
  <c r="O139" i="9"/>
  <c r="AE37" i="6"/>
  <c r="AI209" i="7"/>
  <c r="S209" i="7"/>
  <c r="AF206" i="7"/>
  <c r="AA206" i="7"/>
  <c r="U206" i="7"/>
  <c r="P206" i="7"/>
  <c r="K206" i="7"/>
  <c r="E206" i="7"/>
  <c r="AD193" i="7"/>
  <c r="V193" i="7"/>
  <c r="N193" i="7"/>
  <c r="AH192" i="7"/>
  <c r="Z192" i="7"/>
  <c r="S192" i="7"/>
  <c r="M192" i="7"/>
  <c r="E192" i="7"/>
  <c r="AG189" i="7"/>
  <c r="AC189" i="7"/>
  <c r="Y189" i="7"/>
  <c r="U189" i="7"/>
  <c r="Q189" i="7"/>
  <c r="M189" i="7"/>
  <c r="I189" i="7"/>
  <c r="W187" i="7"/>
  <c r="AI175" i="7"/>
  <c r="S175" i="7"/>
  <c r="I158" i="7"/>
  <c r="AH155" i="7"/>
  <c r="Z155" i="7"/>
  <c r="T155" i="7"/>
  <c r="M155" i="7"/>
  <c r="AB140" i="7"/>
  <c r="W136" i="7"/>
  <c r="G136" i="7"/>
  <c r="S133" i="7"/>
  <c r="S116" i="7"/>
  <c r="AH114" i="7"/>
  <c r="AD114" i="7"/>
  <c r="X114" i="7"/>
  <c r="S114" i="7"/>
  <c r="N114" i="7"/>
  <c r="AI113" i="7"/>
  <c r="Y113" i="7"/>
  <c r="Q113" i="7"/>
  <c r="AF101" i="7"/>
  <c r="AA101" i="7"/>
  <c r="V101" i="7"/>
  <c r="P101" i="7"/>
  <c r="K101" i="7"/>
  <c r="AE100" i="7"/>
  <c r="T100" i="7"/>
  <c r="AF99" i="7"/>
  <c r="Z99" i="7"/>
  <c r="U99" i="7"/>
  <c r="P99" i="7"/>
  <c r="J99" i="7"/>
  <c r="AH98" i="7"/>
  <c r="Z98" i="7"/>
  <c r="S98" i="7"/>
  <c r="M98" i="7"/>
  <c r="AE97" i="7"/>
  <c r="V97" i="7"/>
  <c r="AI96" i="7"/>
  <c r="AB83" i="7"/>
  <c r="AE70" i="7"/>
  <c r="X70" i="7"/>
  <c r="P70" i="7"/>
  <c r="AG69" i="7"/>
  <c r="AA69" i="7"/>
  <c r="V69" i="7"/>
  <c r="Q69" i="7"/>
  <c r="K69" i="7"/>
  <c r="F69" i="7"/>
  <c r="AF68" i="7"/>
  <c r="AB68" i="7"/>
  <c r="W68" i="7"/>
  <c r="R68" i="7"/>
  <c r="L68" i="7"/>
  <c r="AG67" i="7"/>
  <c r="W67" i="7"/>
  <c r="H67" i="7"/>
  <c r="AE65" i="7"/>
  <c r="S65" i="7"/>
  <c r="J65" i="7"/>
  <c r="AF64" i="7"/>
  <c r="X64" i="7"/>
  <c r="P64" i="7"/>
  <c r="AI61" i="7"/>
  <c r="X61" i="7"/>
  <c r="AI60" i="7"/>
  <c r="X60" i="7"/>
  <c r="J49" i="7"/>
  <c r="Y48" i="7"/>
  <c r="AI47" i="7"/>
  <c r="AA47" i="7"/>
  <c r="T47" i="7"/>
  <c r="M47" i="7"/>
  <c r="AH46" i="7"/>
  <c r="AC46" i="7"/>
  <c r="W46" i="7"/>
  <c r="P46" i="7"/>
  <c r="AG44" i="7"/>
  <c r="AB44" i="7"/>
  <c r="V44" i="7"/>
  <c r="Q44" i="7"/>
  <c r="L44" i="7"/>
  <c r="AG41" i="7"/>
  <c r="AA41" i="7"/>
  <c r="T41" i="7"/>
  <c r="L41" i="7"/>
  <c r="E41" i="7"/>
  <c r="V39" i="7"/>
  <c r="AF37" i="7"/>
  <c r="AA37" i="7"/>
  <c r="V37" i="7"/>
  <c r="P37" i="7"/>
  <c r="G37" i="7"/>
  <c r="E28" i="7"/>
  <c r="AI212" i="8"/>
  <c r="AE212" i="8"/>
  <c r="AA212" i="8"/>
  <c r="W212" i="8"/>
  <c r="S212" i="8"/>
  <c r="O212" i="8"/>
  <c r="K212" i="8"/>
  <c r="K209" i="8"/>
  <c r="AG208" i="8"/>
  <c r="Y208" i="8"/>
  <c r="Q208" i="8"/>
  <c r="AI207" i="8"/>
  <c r="AE196" i="8"/>
  <c r="U196" i="8"/>
  <c r="K196" i="8"/>
  <c r="AI194" i="8"/>
  <c r="AI193" i="8"/>
  <c r="AF187" i="8"/>
  <c r="Z187" i="8"/>
  <c r="U187" i="8"/>
  <c r="P187" i="8"/>
  <c r="J187" i="8"/>
  <c r="E187" i="8"/>
  <c r="AC175" i="8"/>
  <c r="U175" i="8"/>
  <c r="M175" i="8"/>
  <c r="E175" i="8"/>
  <c r="AF172" i="8"/>
  <c r="AA172" i="8"/>
  <c r="V172" i="8"/>
  <c r="P172" i="8"/>
  <c r="K172" i="8"/>
  <c r="F172" i="8"/>
  <c r="AC170" i="8"/>
  <c r="S170" i="8"/>
  <c r="H170" i="8"/>
  <c r="AB158" i="8"/>
  <c r="S158" i="8"/>
  <c r="AF156" i="8"/>
  <c r="Z156" i="8"/>
  <c r="U156" i="8"/>
  <c r="P156" i="8"/>
  <c r="J156" i="8"/>
  <c r="E156" i="8"/>
  <c r="S155" i="8"/>
  <c r="AG153" i="8"/>
  <c r="AA153" i="8"/>
  <c r="U153" i="8"/>
  <c r="O153" i="8"/>
  <c r="G153" i="8"/>
  <c r="AI152" i="8"/>
  <c r="S152" i="8"/>
  <c r="AB141" i="8"/>
  <c r="L141" i="8"/>
  <c r="AG137" i="8"/>
  <c r="AB137" i="8"/>
  <c r="V137" i="8"/>
  <c r="Q137" i="8"/>
  <c r="L137" i="8"/>
  <c r="F137" i="8"/>
  <c r="Y136" i="8"/>
  <c r="O134" i="8"/>
  <c r="AI133" i="8"/>
  <c r="AE133" i="8"/>
  <c r="AA133" i="8"/>
  <c r="W133" i="8"/>
  <c r="S133" i="8"/>
  <c r="O133" i="8"/>
  <c r="K133" i="8"/>
  <c r="AF120" i="8"/>
  <c r="Z120" i="8"/>
  <c r="U120" i="8"/>
  <c r="P120" i="8"/>
  <c r="J120" i="8"/>
  <c r="E120" i="8"/>
  <c r="AG117" i="8"/>
  <c r="AA117" i="8"/>
  <c r="T117" i="8"/>
  <c r="L117" i="8"/>
  <c r="E117" i="8"/>
  <c r="AF116" i="8"/>
  <c r="T116" i="8"/>
  <c r="K116" i="8"/>
  <c r="W114" i="8"/>
  <c r="G114" i="8"/>
  <c r="AI103" i="8"/>
  <c r="AE103" i="8"/>
  <c r="AA103" i="8"/>
  <c r="W103" i="8"/>
  <c r="S103" i="8"/>
  <c r="O103" i="8"/>
  <c r="K103" i="8"/>
  <c r="S101" i="8"/>
  <c r="AA99" i="8"/>
  <c r="AG98" i="8"/>
  <c r="AC98" i="8"/>
  <c r="Y98" i="8"/>
  <c r="U98" i="8"/>
  <c r="Q98" i="8"/>
  <c r="M98" i="8"/>
  <c r="I98" i="8"/>
  <c r="AA97" i="8"/>
  <c r="AI86" i="8"/>
  <c r="AE86" i="8"/>
  <c r="AA86" i="8"/>
  <c r="W86" i="8"/>
  <c r="S86" i="8"/>
  <c r="O86" i="8"/>
  <c r="K86" i="8"/>
  <c r="Q85" i="8"/>
  <c r="AD84" i="8"/>
  <c r="V84" i="8"/>
  <c r="O84" i="8"/>
  <c r="H84" i="8"/>
  <c r="AI83" i="8"/>
  <c r="Y83" i="8"/>
  <c r="O83" i="8"/>
  <c r="E83" i="8"/>
  <c r="AF82" i="8"/>
  <c r="X82" i="8"/>
  <c r="P82" i="8"/>
  <c r="AD72" i="8"/>
  <c r="V72" i="8"/>
  <c r="O72" i="8"/>
  <c r="H72" i="8"/>
  <c r="AI71" i="8"/>
  <c r="Y71" i="8"/>
  <c r="O71" i="8"/>
  <c r="AE70" i="8"/>
  <c r="T70" i="8"/>
  <c r="AE69" i="8"/>
  <c r="AB67" i="8"/>
  <c r="T67" i="8"/>
  <c r="AH64" i="8"/>
  <c r="AA64" i="8"/>
  <c r="T64" i="8"/>
  <c r="L64" i="8"/>
  <c r="AB62" i="8"/>
  <c r="E62" i="8"/>
  <c r="AD49" i="8"/>
  <c r="S49" i="8"/>
  <c r="G49" i="8"/>
  <c r="AB48" i="8"/>
  <c r="O48" i="8"/>
  <c r="AE47" i="8"/>
  <c r="AH45" i="8"/>
  <c r="I43" i="8"/>
  <c r="T43" i="8"/>
  <c r="AE43" i="8"/>
  <c r="AI40" i="8"/>
  <c r="Z40" i="8"/>
  <c r="M40" i="8"/>
  <c r="AA37" i="8"/>
  <c r="K37" i="8"/>
  <c r="AC213" i="9"/>
  <c r="W213" i="9"/>
  <c r="O213" i="9"/>
  <c r="H213" i="9"/>
  <c r="T212" i="9"/>
  <c r="E212" i="9"/>
  <c r="AE211" i="9"/>
  <c r="S211" i="9"/>
  <c r="J211" i="9"/>
  <c r="AE210" i="9"/>
  <c r="AF209" i="9"/>
  <c r="M209" i="9"/>
  <c r="G208" i="9"/>
  <c r="K208" i="9"/>
  <c r="O208" i="9"/>
  <c r="S208" i="9"/>
  <c r="W208" i="9"/>
  <c r="AA208" i="9"/>
  <c r="AE208" i="9"/>
  <c r="AI208" i="9"/>
  <c r="E206" i="9"/>
  <c r="G206" i="9"/>
  <c r="W206" i="9"/>
  <c r="AA196" i="9"/>
  <c r="L196" i="9"/>
  <c r="W193" i="9"/>
  <c r="Z189" i="9"/>
  <c r="O189" i="9"/>
  <c r="E189" i="9"/>
  <c r="Y187" i="9"/>
  <c r="L177" i="9"/>
  <c r="T177" i="9"/>
  <c r="AB177" i="9"/>
  <c r="F175" i="9"/>
  <c r="P175" i="9"/>
  <c r="AA175" i="9"/>
  <c r="J175" i="9"/>
  <c r="T175" i="9"/>
  <c r="AE175" i="9"/>
  <c r="K158" i="9"/>
  <c r="M151" i="9"/>
  <c r="Z141" i="9"/>
  <c r="AD195" i="9"/>
  <c r="R194" i="9"/>
  <c r="AI192" i="9"/>
  <c r="Z192" i="9"/>
  <c r="P192" i="9"/>
  <c r="H192" i="9"/>
  <c r="AC176" i="9"/>
  <c r="AG174" i="9"/>
  <c r="AA174" i="9"/>
  <c r="T174" i="9"/>
  <c r="L174" i="9"/>
  <c r="E174" i="9"/>
  <c r="AB173" i="9"/>
  <c r="Q173" i="9"/>
  <c r="H173" i="9"/>
  <c r="AE170" i="9"/>
  <c r="W170" i="9"/>
  <c r="P170" i="9"/>
  <c r="I170" i="9"/>
  <c r="AG157" i="9"/>
  <c r="AH156" i="9"/>
  <c r="AC156" i="9"/>
  <c r="X156" i="9"/>
  <c r="R156" i="9"/>
  <c r="M156" i="9"/>
  <c r="H156" i="9"/>
  <c r="S154" i="9"/>
  <c r="AI138" i="9"/>
  <c r="S138" i="9"/>
  <c r="AF137" i="9"/>
  <c r="X137" i="9"/>
  <c r="R137" i="9"/>
  <c r="I137" i="9"/>
  <c r="AB135" i="9"/>
  <c r="S135" i="9"/>
  <c r="I135" i="9"/>
  <c r="U133" i="9"/>
  <c r="Y122" i="9"/>
  <c r="L122" i="9"/>
  <c r="AB121" i="9"/>
  <c r="U121" i="9"/>
  <c r="N121" i="9"/>
  <c r="F121" i="9"/>
  <c r="AA120" i="9"/>
  <c r="AI119" i="9"/>
  <c r="X119" i="9"/>
  <c r="L119" i="9"/>
  <c r="AE118" i="9"/>
  <c r="X118" i="9"/>
  <c r="P118" i="9"/>
  <c r="I118" i="9"/>
  <c r="AG117" i="9"/>
  <c r="AC117" i="9"/>
  <c r="Y117" i="9"/>
  <c r="U117" i="9"/>
  <c r="Q117" i="9"/>
  <c r="M117" i="9"/>
  <c r="I117" i="9"/>
  <c r="K116" i="9"/>
  <c r="V116" i="9"/>
  <c r="AH116" i="9"/>
  <c r="G115" i="9"/>
  <c r="AI115" i="9"/>
  <c r="AF103" i="9"/>
  <c r="Z103" i="9"/>
  <c r="U103" i="9"/>
  <c r="P103" i="9"/>
  <c r="J103" i="9"/>
  <c r="I102" i="9"/>
  <c r="AI102" i="9"/>
  <c r="S100" i="9"/>
  <c r="AA99" i="9"/>
  <c r="O99" i="9"/>
  <c r="AI64" i="9"/>
  <c r="O64" i="9"/>
  <c r="AF46" i="9"/>
  <c r="AB170" i="9"/>
  <c r="U170" i="9"/>
  <c r="O170" i="9"/>
  <c r="G170" i="9"/>
  <c r="AG156" i="9"/>
  <c r="AB156" i="9"/>
  <c r="V156" i="9"/>
  <c r="Q156" i="9"/>
  <c r="L156" i="9"/>
  <c r="F156" i="9"/>
  <c r="AF154" i="9"/>
  <c r="R154" i="9"/>
  <c r="AD137" i="9"/>
  <c r="W137" i="9"/>
  <c r="O137" i="9"/>
  <c r="E137" i="9"/>
  <c r="AI135" i="9"/>
  <c r="Y135" i="9"/>
  <c r="Q135" i="9"/>
  <c r="G135" i="9"/>
  <c r="AH133" i="9"/>
  <c r="X122" i="9"/>
  <c r="I122" i="9"/>
  <c r="AG121" i="9"/>
  <c r="Z121" i="9"/>
  <c r="T121" i="9"/>
  <c r="L121" i="9"/>
  <c r="E121" i="9"/>
  <c r="S120" i="9"/>
  <c r="AF119" i="9"/>
  <c r="T119" i="9"/>
  <c r="AC118" i="9"/>
  <c r="U118" i="9"/>
  <c r="O118" i="9"/>
  <c r="G103" i="9"/>
  <c r="K103" i="9"/>
  <c r="O103" i="9"/>
  <c r="S103" i="9"/>
  <c r="W103" i="9"/>
  <c r="AA103" i="9"/>
  <c r="AE103" i="9"/>
  <c r="AI103" i="9"/>
  <c r="Z99" i="9"/>
  <c r="Y96" i="9"/>
  <c r="I96" i="9"/>
  <c r="AI85" i="9"/>
  <c r="L66" i="9"/>
  <c r="U66" i="9"/>
  <c r="AF66" i="9"/>
  <c r="M66" i="9"/>
  <c r="AB66" i="9"/>
  <c r="H66" i="9"/>
  <c r="X66" i="9"/>
  <c r="AE64" i="9"/>
  <c r="J64" i="9"/>
  <c r="K64" i="9"/>
  <c r="S64" i="9"/>
  <c r="Z64" i="9"/>
  <c r="AH64" i="9"/>
  <c r="H64" i="9"/>
  <c r="T64" i="9"/>
  <c r="AD64" i="9"/>
  <c r="F64" i="9"/>
  <c r="R64" i="9"/>
  <c r="AB64" i="9"/>
  <c r="H46" i="9"/>
  <c r="T46" i="9"/>
  <c r="AC46" i="9"/>
  <c r="M46" i="9"/>
  <c r="AB46" i="9"/>
  <c r="E46" i="9"/>
  <c r="U46" i="9"/>
  <c r="L46" i="9"/>
  <c r="X46" i="9"/>
  <c r="AH137" i="9"/>
  <c r="AA137" i="9"/>
  <c r="S137" i="9"/>
  <c r="AE135" i="9"/>
  <c r="T135" i="9"/>
  <c r="AE122" i="9"/>
  <c r="AD121" i="9"/>
  <c r="V121" i="9"/>
  <c r="P121" i="9"/>
  <c r="J99" i="9"/>
  <c r="T99" i="9"/>
  <c r="AE99" i="9"/>
  <c r="AG96" i="9"/>
  <c r="W64" i="9"/>
  <c r="F97" i="9"/>
  <c r="L97" i="9"/>
  <c r="F86" i="9"/>
  <c r="J86" i="9"/>
  <c r="N86" i="9"/>
  <c r="R86" i="9"/>
  <c r="V86" i="9"/>
  <c r="Z86" i="9"/>
  <c r="AD86" i="9"/>
  <c r="AH86" i="9"/>
  <c r="AG83" i="9"/>
  <c r="U83" i="9"/>
  <c r="Y69" i="9"/>
  <c r="I69" i="9"/>
  <c r="AH65" i="9"/>
  <c r="W65" i="9"/>
  <c r="G62" i="9"/>
  <c r="W62" i="9"/>
  <c r="AI48" i="9"/>
  <c r="O47" i="9"/>
  <c r="G47" i="9"/>
  <c r="AA47" i="9"/>
  <c r="H45" i="9"/>
  <c r="F45" i="9"/>
  <c r="L45" i="9"/>
  <c r="T45" i="9"/>
  <c r="AA45" i="9"/>
  <c r="AH45" i="9"/>
  <c r="AE44" i="9"/>
  <c r="X44" i="9"/>
  <c r="P44" i="9"/>
  <c r="Z41" i="9"/>
  <c r="P41" i="9"/>
  <c r="G39" i="9"/>
  <c r="F39" i="9"/>
  <c r="L39" i="9"/>
  <c r="Q39" i="9"/>
  <c r="V39" i="9"/>
  <c r="AB39" i="9"/>
  <c r="AG39" i="9"/>
  <c r="AC37" i="9"/>
  <c r="W37" i="9"/>
  <c r="O37" i="9"/>
  <c r="AB213" i="10"/>
  <c r="AE212" i="10"/>
  <c r="S212" i="10"/>
  <c r="J212" i="10"/>
  <c r="S194" i="10"/>
  <c r="AI191" i="10"/>
  <c r="S190" i="10"/>
  <c r="AI190" i="10"/>
  <c r="F188" i="10"/>
  <c r="J188" i="10"/>
  <c r="N188" i="10"/>
  <c r="R188" i="10"/>
  <c r="V188" i="10"/>
  <c r="Z188" i="10"/>
  <c r="AD188" i="10"/>
  <c r="AH188" i="10"/>
  <c r="G188" i="10"/>
  <c r="K188" i="10"/>
  <c r="O188" i="10"/>
  <c r="S188" i="10"/>
  <c r="W188" i="10"/>
  <c r="AA188" i="10"/>
  <c r="AE188" i="10"/>
  <c r="AI188" i="10"/>
  <c r="Q176" i="10"/>
  <c r="H175" i="10"/>
  <c r="O175" i="10"/>
  <c r="V175" i="10"/>
  <c r="AD175" i="10"/>
  <c r="AI175" i="10"/>
  <c r="J175" i="10"/>
  <c r="P175" i="10"/>
  <c r="X175" i="10"/>
  <c r="AE175" i="10"/>
  <c r="AG172" i="10"/>
  <c r="Z158" i="10"/>
  <c r="AD157" i="10"/>
  <c r="S157" i="10"/>
  <c r="K139" i="10"/>
  <c r="Z139" i="10"/>
  <c r="E136" i="10"/>
  <c r="M136" i="10"/>
  <c r="T136" i="10"/>
  <c r="AA136" i="10"/>
  <c r="AI136" i="10"/>
  <c r="H136" i="10"/>
  <c r="O136" i="10"/>
  <c r="U136" i="10"/>
  <c r="AC136" i="10"/>
  <c r="E122" i="10"/>
  <c r="I122" i="10"/>
  <c r="M122" i="10"/>
  <c r="Q122" i="10"/>
  <c r="U122" i="10"/>
  <c r="Y122" i="10"/>
  <c r="AC122" i="10"/>
  <c r="AG122" i="10"/>
  <c r="F122" i="10"/>
  <c r="J122" i="10"/>
  <c r="N122" i="10"/>
  <c r="R122" i="10"/>
  <c r="V122" i="10"/>
  <c r="Z122" i="10"/>
  <c r="AD122" i="10"/>
  <c r="AH122" i="10"/>
  <c r="F120" i="10"/>
  <c r="N120" i="10"/>
  <c r="T120" i="10"/>
  <c r="AA120" i="10"/>
  <c r="AI120" i="10"/>
  <c r="H120" i="10"/>
  <c r="O120" i="10"/>
  <c r="V120" i="10"/>
  <c r="AD120" i="10"/>
  <c r="J120" i="10"/>
  <c r="P120" i="10"/>
  <c r="X120" i="10"/>
  <c r="AE120" i="10"/>
  <c r="AE118" i="10"/>
  <c r="AB113" i="10"/>
  <c r="E41" i="9"/>
  <c r="F41" i="9"/>
  <c r="L41" i="9"/>
  <c r="T41" i="9"/>
  <c r="AA41" i="9"/>
  <c r="AH41" i="9"/>
  <c r="E37" i="9"/>
  <c r="J37" i="9"/>
  <c r="P37" i="9"/>
  <c r="U37" i="9"/>
  <c r="AA37" i="9"/>
  <c r="AF37" i="9"/>
  <c r="M213" i="10"/>
  <c r="AC213" i="10"/>
  <c r="AA212" i="10"/>
  <c r="R212" i="10"/>
  <c r="S187" i="10"/>
  <c r="AI187" i="10"/>
  <c r="AI176" i="10"/>
  <c r="I172" i="10"/>
  <c r="G172" i="10"/>
  <c r="Q172" i="10"/>
  <c r="AB172" i="10"/>
  <c r="H172" i="10"/>
  <c r="S172" i="10"/>
  <c r="AC172" i="10"/>
  <c r="G171" i="10"/>
  <c r="Y171" i="10"/>
  <c r="L171" i="10"/>
  <c r="AG171" i="10"/>
  <c r="H158" i="10"/>
  <c r="S158" i="10"/>
  <c r="AB158" i="10"/>
  <c r="L158" i="10"/>
  <c r="T158" i="10"/>
  <c r="AD158" i="10"/>
  <c r="E118" i="10"/>
  <c r="K118" i="10"/>
  <c r="P118" i="10"/>
  <c r="U118" i="10"/>
  <c r="AA118" i="10"/>
  <c r="AF118" i="10"/>
  <c r="G118" i="10"/>
  <c r="L118" i="10"/>
  <c r="Q118" i="10"/>
  <c r="W118" i="10"/>
  <c r="AB118" i="10"/>
  <c r="AG118" i="10"/>
  <c r="H118" i="10"/>
  <c r="M118" i="10"/>
  <c r="S118" i="10"/>
  <c r="X118" i="10"/>
  <c r="AC118" i="10"/>
  <c r="AI118" i="10"/>
  <c r="E115" i="10"/>
  <c r="Q115" i="10"/>
  <c r="AA115" i="10"/>
  <c r="I115" i="10"/>
  <c r="S115" i="10"/>
  <c r="AC115" i="10"/>
  <c r="K115" i="10"/>
  <c r="U115" i="10"/>
  <c r="AG115" i="10"/>
  <c r="F102" i="10"/>
  <c r="G102" i="10"/>
  <c r="R102" i="10"/>
  <c r="AA102" i="10"/>
  <c r="J102" i="10"/>
  <c r="S102" i="10"/>
  <c r="AE102" i="10"/>
  <c r="K102" i="10"/>
  <c r="W102" i="10"/>
  <c r="AH102" i="10"/>
  <c r="I100" i="10"/>
  <c r="X100" i="10"/>
  <c r="K100" i="10"/>
  <c r="Y100" i="10"/>
  <c r="P100" i="10"/>
  <c r="AE100" i="10"/>
  <c r="S69" i="10"/>
  <c r="AI69" i="10"/>
  <c r="F68" i="10"/>
  <c r="P68" i="10"/>
  <c r="X68" i="10"/>
  <c r="AF68" i="10"/>
  <c r="H68" i="10"/>
  <c r="R68" i="10"/>
  <c r="Z68" i="10"/>
  <c r="AH68" i="10"/>
  <c r="K68" i="10"/>
  <c r="T68" i="10"/>
  <c r="AB68" i="10"/>
  <c r="AJ45" i="11"/>
  <c r="I45" i="16" s="1"/>
  <c r="H212" i="10"/>
  <c r="F212" i="10"/>
  <c r="N212" i="10"/>
  <c r="V212" i="10"/>
  <c r="AD212" i="10"/>
  <c r="H194" i="10"/>
  <c r="G194" i="10"/>
  <c r="W194" i="10"/>
  <c r="K194" i="10"/>
  <c r="AA194" i="10"/>
  <c r="S191" i="10"/>
  <c r="Z191" i="10"/>
  <c r="H176" i="10"/>
  <c r="X176" i="10"/>
  <c r="M176" i="10"/>
  <c r="AB176" i="10"/>
  <c r="H157" i="10"/>
  <c r="E157" i="10"/>
  <c r="J157" i="10"/>
  <c r="O157" i="10"/>
  <c r="U157" i="10"/>
  <c r="Z157" i="10"/>
  <c r="AE157" i="10"/>
  <c r="F157" i="10"/>
  <c r="K157" i="10"/>
  <c r="Q157" i="10"/>
  <c r="V157" i="10"/>
  <c r="AA157" i="10"/>
  <c r="AG157" i="10"/>
  <c r="I140" i="10"/>
  <c r="W140" i="10"/>
  <c r="K140" i="10"/>
  <c r="Y140" i="10"/>
  <c r="O132" i="10"/>
  <c r="AI132" i="10"/>
  <c r="Q132" i="10"/>
  <c r="T118" i="10"/>
  <c r="AI115" i="10"/>
  <c r="E113" i="10"/>
  <c r="I113" i="10"/>
  <c r="M113" i="10"/>
  <c r="Q113" i="10"/>
  <c r="U113" i="10"/>
  <c r="Y113" i="10"/>
  <c r="AC113" i="10"/>
  <c r="AG113" i="10"/>
  <c r="F113" i="10"/>
  <c r="J113" i="10"/>
  <c r="N113" i="10"/>
  <c r="R113" i="10"/>
  <c r="V113" i="10"/>
  <c r="Z113" i="10"/>
  <c r="AD113" i="10"/>
  <c r="AH113" i="10"/>
  <c r="G113" i="10"/>
  <c r="K113" i="10"/>
  <c r="O113" i="10"/>
  <c r="S113" i="10"/>
  <c r="W113" i="10"/>
  <c r="AA113" i="10"/>
  <c r="AE113" i="10"/>
  <c r="AI113" i="10"/>
  <c r="AI102" i="10"/>
  <c r="AD68" i="10"/>
  <c r="F83" i="9"/>
  <c r="G83" i="9"/>
  <c r="O83" i="9"/>
  <c r="W83" i="9"/>
  <c r="AE83" i="9"/>
  <c r="H67" i="9"/>
  <c r="S67" i="9"/>
  <c r="H65" i="9"/>
  <c r="F65" i="9"/>
  <c r="N65" i="9"/>
  <c r="V65" i="9"/>
  <c r="AD65" i="9"/>
  <c r="G44" i="9"/>
  <c r="L44" i="9"/>
  <c r="Q44" i="9"/>
  <c r="W44" i="9"/>
  <c r="AB44" i="9"/>
  <c r="AG44" i="9"/>
  <c r="AB41" i="9"/>
  <c r="R41" i="9"/>
  <c r="J41" i="9"/>
  <c r="O38" i="9"/>
  <c r="AE38" i="9"/>
  <c r="AE37" i="9"/>
  <c r="X37" i="9"/>
  <c r="Q37" i="9"/>
  <c r="G37" i="9"/>
  <c r="E27" i="9"/>
  <c r="E28" i="9" s="1"/>
  <c r="L213" i="10"/>
  <c r="AH212" i="10"/>
  <c r="W212" i="10"/>
  <c r="K212" i="10"/>
  <c r="H211" i="10"/>
  <c r="AA211" i="10"/>
  <c r="H208" i="10"/>
  <c r="J208" i="10"/>
  <c r="R208" i="10"/>
  <c r="Z208" i="10"/>
  <c r="AH208" i="10"/>
  <c r="H196" i="10"/>
  <c r="T196" i="10"/>
  <c r="AE196" i="10"/>
  <c r="AE194" i="10"/>
  <c r="G192" i="10"/>
  <c r="E192" i="10"/>
  <c r="J192" i="10"/>
  <c r="P192" i="10"/>
  <c r="U192" i="10"/>
  <c r="Z192" i="10"/>
  <c r="AF192" i="10"/>
  <c r="F192" i="10"/>
  <c r="L192" i="10"/>
  <c r="Q192" i="10"/>
  <c r="V192" i="10"/>
  <c r="AB192" i="10"/>
  <c r="AG192" i="10"/>
  <c r="G190" i="10"/>
  <c r="AC188" i="10"/>
  <c r="U188" i="10"/>
  <c r="M188" i="10"/>
  <c r="E188" i="10"/>
  <c r="S176" i="10"/>
  <c r="AH175" i="10"/>
  <c r="T175" i="10"/>
  <c r="F175" i="10"/>
  <c r="AI172" i="10"/>
  <c r="M172" i="10"/>
  <c r="T171" i="10"/>
  <c r="J169" i="10"/>
  <c r="G169" i="10"/>
  <c r="R169" i="10"/>
  <c r="AB169" i="10"/>
  <c r="H169" i="10"/>
  <c r="S169" i="10"/>
  <c r="AD169" i="10"/>
  <c r="AH158" i="10"/>
  <c r="N158" i="10"/>
  <c r="AH157" i="10"/>
  <c r="W157" i="10"/>
  <c r="M157" i="10"/>
  <c r="AE140" i="10"/>
  <c r="AF139" i="10"/>
  <c r="G137" i="10"/>
  <c r="J137" i="10"/>
  <c r="S137" i="10"/>
  <c r="AD137" i="10"/>
  <c r="L137" i="10"/>
  <c r="W137" i="10"/>
  <c r="AE137" i="10"/>
  <c r="X136" i="10"/>
  <c r="I136" i="10"/>
  <c r="AA132" i="10"/>
  <c r="AE122" i="10"/>
  <c r="W122" i="10"/>
  <c r="O122" i="10"/>
  <c r="G122" i="10"/>
  <c r="K120" i="10"/>
  <c r="O118" i="10"/>
  <c r="Y115" i="10"/>
  <c r="AF113" i="10"/>
  <c r="P113" i="10"/>
  <c r="Z102" i="10"/>
  <c r="AF100" i="10"/>
  <c r="G96" i="10"/>
  <c r="T96" i="10"/>
  <c r="AI96" i="10"/>
  <c r="L96" i="10"/>
  <c r="Y96" i="10"/>
  <c r="M96" i="10"/>
  <c r="AB96" i="10"/>
  <c r="H72" i="10"/>
  <c r="O72" i="10"/>
  <c r="Z72" i="10"/>
  <c r="V68" i="10"/>
  <c r="E66" i="10"/>
  <c r="I66" i="10"/>
  <c r="M66" i="10"/>
  <c r="Q66" i="10"/>
  <c r="U66" i="10"/>
  <c r="Y66" i="10"/>
  <c r="AC66" i="10"/>
  <c r="AG66" i="10"/>
  <c r="F66" i="10"/>
  <c r="J66" i="10"/>
  <c r="N66" i="10"/>
  <c r="R66" i="10"/>
  <c r="V66" i="10"/>
  <c r="Z66" i="10"/>
  <c r="AD66" i="10"/>
  <c r="AH66" i="10"/>
  <c r="G66" i="10"/>
  <c r="K66" i="10"/>
  <c r="O66" i="10"/>
  <c r="S66" i="10"/>
  <c r="W66" i="10"/>
  <c r="AA66" i="10"/>
  <c r="AE66" i="10"/>
  <c r="AI66" i="10"/>
  <c r="H48" i="10"/>
  <c r="M48" i="10"/>
  <c r="AC48" i="10"/>
  <c r="O48" i="10"/>
  <c r="AI48" i="10"/>
  <c r="T48" i="10"/>
  <c r="AJ63" i="11"/>
  <c r="I63" i="16" s="1"/>
  <c r="AJ101" i="11"/>
  <c r="I101" i="16" s="1"/>
  <c r="AJ208" i="11"/>
  <c r="I208" i="16" s="1"/>
  <c r="AJ39" i="12"/>
  <c r="AJ85" i="12"/>
  <c r="H85" i="16" s="1"/>
  <c r="AJ117" i="11"/>
  <c r="AJ65" i="11"/>
  <c r="I65" i="16" s="1"/>
  <c r="AJ67" i="11"/>
  <c r="I67" i="16" s="1"/>
  <c r="AJ69" i="11"/>
  <c r="I69" i="16" s="1"/>
  <c r="AJ83" i="11"/>
  <c r="I83" i="16" s="1"/>
  <c r="AJ135" i="11"/>
  <c r="I135" i="16" s="1"/>
  <c r="AJ141" i="11"/>
  <c r="I141" i="16" s="1"/>
  <c r="AJ175" i="11"/>
  <c r="I175" i="16" s="1"/>
  <c r="AJ49" i="12"/>
  <c r="AJ139" i="12"/>
  <c r="AJ120" i="12"/>
  <c r="H120" i="16" s="1"/>
  <c r="AJ121" i="12"/>
  <c r="H121" i="16" s="1"/>
  <c r="AJ133" i="12"/>
  <c r="H133" i="16" s="1"/>
  <c r="AJ137" i="12"/>
  <c r="H137" i="16" s="1"/>
  <c r="AJ141" i="12"/>
  <c r="H141" i="16" s="1"/>
  <c r="AJ154" i="12"/>
  <c r="AJ190" i="12"/>
  <c r="H190" i="16" s="1"/>
  <c r="AJ196" i="12"/>
  <c r="H196" i="16" s="1"/>
  <c r="AJ136" i="12"/>
  <c r="AJ190" i="11"/>
  <c r="AA121" i="10"/>
  <c r="AE101" i="10"/>
  <c r="O101" i="10"/>
  <c r="S85" i="10"/>
  <c r="AH82" i="10"/>
  <c r="AC82" i="10"/>
  <c r="X82" i="10"/>
  <c r="R82" i="10"/>
  <c r="M82" i="10"/>
  <c r="H82" i="10"/>
  <c r="AF63" i="10"/>
  <c r="U63" i="10"/>
  <c r="K63" i="10"/>
  <c r="AD49" i="10"/>
  <c r="V49" i="10"/>
  <c r="K49" i="10"/>
  <c r="AC42" i="10"/>
  <c r="M42" i="10"/>
  <c r="AI39" i="10"/>
  <c r="AE39" i="10"/>
  <c r="AA39" i="10"/>
  <c r="W39" i="10"/>
  <c r="S39" i="10"/>
  <c r="O39" i="10"/>
  <c r="K39" i="10"/>
  <c r="G39" i="10"/>
  <c r="AJ49" i="11"/>
  <c r="AJ71" i="11"/>
  <c r="I71" i="16" s="1"/>
  <c r="AJ99" i="11"/>
  <c r="I99" i="16" s="1"/>
  <c r="AJ118" i="11"/>
  <c r="AJ192" i="11"/>
  <c r="I192" i="16" s="1"/>
  <c r="AJ209" i="11"/>
  <c r="I209" i="16" s="1"/>
  <c r="AJ173" i="11"/>
  <c r="I173" i="16" s="1"/>
  <c r="AJ191" i="11"/>
  <c r="I191" i="16" s="1"/>
  <c r="AJ212" i="11"/>
  <c r="I212" i="16" s="1"/>
  <c r="AJ37" i="12"/>
  <c r="AJ45" i="12"/>
  <c r="H45" i="16" s="1"/>
  <c r="AJ72" i="12"/>
  <c r="H72" i="16" s="1"/>
  <c r="AJ96" i="12"/>
  <c r="H96" i="16" s="1"/>
  <c r="AJ100" i="12"/>
  <c r="H100" i="16" s="1"/>
  <c r="AJ135" i="12"/>
  <c r="H135" i="16" s="1"/>
  <c r="AJ122" i="12"/>
  <c r="AJ171" i="12"/>
  <c r="H171" i="16" s="1"/>
  <c r="AJ207" i="11"/>
  <c r="AJ62" i="11"/>
  <c r="AC193" i="10"/>
  <c r="AI151" i="10"/>
  <c r="AA151" i="10"/>
  <c r="S151" i="10"/>
  <c r="K151" i="10"/>
  <c r="AI135" i="10"/>
  <c r="AE135" i="10"/>
  <c r="AA135" i="10"/>
  <c r="W135" i="10"/>
  <c r="S135" i="10"/>
  <c r="O135" i="10"/>
  <c r="K135" i="10"/>
  <c r="S121" i="10"/>
  <c r="AG119" i="10"/>
  <c r="Y119" i="10"/>
  <c r="Q119" i="10"/>
  <c r="I119" i="10"/>
  <c r="AI116" i="10"/>
  <c r="AD116" i="10"/>
  <c r="X116" i="10"/>
  <c r="S116" i="10"/>
  <c r="N116" i="10"/>
  <c r="H116" i="10"/>
  <c r="AI114" i="10"/>
  <c r="AE114" i="10"/>
  <c r="AA114" i="10"/>
  <c r="W114" i="10"/>
  <c r="Q114" i="10"/>
  <c r="AA101" i="10"/>
  <c r="L101" i="10"/>
  <c r="AI99" i="10"/>
  <c r="AE99" i="10"/>
  <c r="AA99" i="10"/>
  <c r="W99" i="10"/>
  <c r="S99" i="10"/>
  <c r="O99" i="10"/>
  <c r="K99" i="10"/>
  <c r="AD98" i="10"/>
  <c r="W98" i="10"/>
  <c r="Q98" i="10"/>
  <c r="I98" i="10"/>
  <c r="AE97" i="10"/>
  <c r="Z97" i="10"/>
  <c r="T97" i="10"/>
  <c r="O97" i="10"/>
  <c r="H97" i="10"/>
  <c r="AI84" i="10"/>
  <c r="AD84" i="10"/>
  <c r="X84" i="10"/>
  <c r="S84" i="10"/>
  <c r="N84" i="10"/>
  <c r="AG82" i="10"/>
  <c r="AB82" i="10"/>
  <c r="V82" i="10"/>
  <c r="Q82" i="10"/>
  <c r="L82" i="10"/>
  <c r="F82" i="10"/>
  <c r="AE71" i="10"/>
  <c r="U71" i="10"/>
  <c r="K71" i="10"/>
  <c r="X67" i="10"/>
  <c r="AC63" i="10"/>
  <c r="S63" i="10"/>
  <c r="AB49" i="10"/>
  <c r="R49" i="10"/>
  <c r="AH47" i="10"/>
  <c r="AC47" i="10"/>
  <c r="X47" i="10"/>
  <c r="R47" i="10"/>
  <c r="M47" i="10"/>
  <c r="AD46" i="10"/>
  <c r="W46" i="10"/>
  <c r="O46" i="10"/>
  <c r="AA42" i="10"/>
  <c r="AI41" i="10"/>
  <c r="AD41" i="10"/>
  <c r="X41" i="10"/>
  <c r="S41" i="10"/>
  <c r="N41" i="10"/>
  <c r="H41" i="10"/>
  <c r="AH39" i="10"/>
  <c r="AD39" i="10"/>
  <c r="Z39" i="10"/>
  <c r="V39" i="10"/>
  <c r="R39" i="10"/>
  <c r="N39" i="10"/>
  <c r="J39" i="10"/>
  <c r="AJ86" i="11"/>
  <c r="I86" i="16" s="1"/>
  <c r="AJ154" i="11"/>
  <c r="I154" i="16" s="1"/>
  <c r="AJ158" i="11"/>
  <c r="I158" i="16" s="1"/>
  <c r="AJ171" i="11"/>
  <c r="AJ187" i="11"/>
  <c r="I187" i="16" s="1"/>
  <c r="AJ46" i="12"/>
  <c r="AJ63" i="12"/>
  <c r="AJ65" i="12"/>
  <c r="H65" i="16" s="1"/>
  <c r="AJ68" i="12"/>
  <c r="H68" i="16" s="1"/>
  <c r="AJ69" i="12"/>
  <c r="AJ177" i="12"/>
  <c r="H177" i="16" s="1"/>
  <c r="AJ194" i="12"/>
  <c r="H194" i="16" s="1"/>
  <c r="AJ42" i="12"/>
  <c r="AJ96" i="11"/>
  <c r="AJ47" i="12"/>
  <c r="H47" i="16" s="1"/>
  <c r="AJ50" i="12"/>
  <c r="H50" i="16" s="1"/>
  <c r="AJ62" i="12"/>
  <c r="H62" i="16" s="1"/>
  <c r="AJ97" i="12"/>
  <c r="H97" i="16" s="1"/>
  <c r="E104" i="12"/>
  <c r="F104" i="12" s="1"/>
  <c r="G104" i="12" s="1"/>
  <c r="H104" i="12" s="1"/>
  <c r="I104" i="12" s="1"/>
  <c r="J104" i="12" s="1"/>
  <c r="K104" i="12" s="1"/>
  <c r="L104" i="12" s="1"/>
  <c r="M104" i="12" s="1"/>
  <c r="N104" i="12" s="1"/>
  <c r="O104" i="12" s="1"/>
  <c r="P104" i="12" s="1"/>
  <c r="Q104" i="12" s="1"/>
  <c r="R104" i="12" s="1"/>
  <c r="S104" i="12" s="1"/>
  <c r="T104" i="12" s="1"/>
  <c r="U104" i="12" s="1"/>
  <c r="V104" i="12" s="1"/>
  <c r="W104" i="12" s="1"/>
  <c r="X104" i="12" s="1"/>
  <c r="Y104" i="12" s="1"/>
  <c r="Z104" i="12" s="1"/>
  <c r="AA104" i="12" s="1"/>
  <c r="AB104" i="12" s="1"/>
  <c r="AC104" i="12" s="1"/>
  <c r="AD104" i="12" s="1"/>
  <c r="AE104" i="12" s="1"/>
  <c r="AF104" i="12" s="1"/>
  <c r="AG104" i="12" s="1"/>
  <c r="AH104" i="12" s="1"/>
  <c r="AI104" i="12" s="1"/>
  <c r="AJ104" i="12" s="1"/>
  <c r="F87" i="12"/>
  <c r="G87" i="12" s="1"/>
  <c r="H87" i="12" s="1"/>
  <c r="I87" i="12" s="1"/>
  <c r="J87" i="12" s="1"/>
  <c r="K87" i="12" s="1"/>
  <c r="L87" i="12" s="1"/>
  <c r="M87" i="12" s="1"/>
  <c r="N87" i="12" s="1"/>
  <c r="O87" i="12" s="1"/>
  <c r="P87" i="12" s="1"/>
  <c r="Q87" i="12" s="1"/>
  <c r="R87" i="12" s="1"/>
  <c r="S87" i="12" s="1"/>
  <c r="T87" i="12" s="1"/>
  <c r="U87" i="12" s="1"/>
  <c r="V87" i="12" s="1"/>
  <c r="W87" i="12" s="1"/>
  <c r="X87" i="12" s="1"/>
  <c r="Y87" i="12" s="1"/>
  <c r="Z87" i="12" s="1"/>
  <c r="AA87" i="12" s="1"/>
  <c r="AB87" i="12" s="1"/>
  <c r="AC87" i="12" s="1"/>
  <c r="AD87" i="12" s="1"/>
  <c r="AE87" i="12" s="1"/>
  <c r="AF87" i="12" s="1"/>
  <c r="AG87" i="12" s="1"/>
  <c r="AH87" i="12" s="1"/>
  <c r="AI87" i="12" s="1"/>
  <c r="AJ87" i="12" s="1"/>
  <c r="AJ84" i="12"/>
  <c r="H84" i="16" s="1"/>
  <c r="AJ102" i="12"/>
  <c r="H102" i="16" s="1"/>
  <c r="AJ158" i="12"/>
  <c r="H158" i="16" s="1"/>
  <c r="D157" i="12"/>
  <c r="AJ156" i="12"/>
  <c r="H156" i="16" s="1"/>
  <c r="D170" i="12"/>
  <c r="AJ176" i="12"/>
  <c r="H176" i="16" s="1"/>
  <c r="AJ211" i="12"/>
  <c r="H211" i="16" s="1"/>
  <c r="AJ98" i="12"/>
  <c r="H98" i="16" s="1"/>
  <c r="AJ101" i="12"/>
  <c r="H101" i="16" s="1"/>
  <c r="AJ117" i="12"/>
  <c r="H117" i="16" s="1"/>
  <c r="E178" i="12"/>
  <c r="F178" i="12" s="1"/>
  <c r="G178" i="12" s="1"/>
  <c r="H178" i="12" s="1"/>
  <c r="I178" i="12" s="1"/>
  <c r="J178" i="12" s="1"/>
  <c r="K178" i="12" s="1"/>
  <c r="L178" i="12" s="1"/>
  <c r="M178" i="12" s="1"/>
  <c r="N178" i="12" s="1"/>
  <c r="O178" i="12" s="1"/>
  <c r="P178" i="12" s="1"/>
  <c r="Q178" i="12" s="1"/>
  <c r="R178" i="12" s="1"/>
  <c r="S178" i="12" s="1"/>
  <c r="T178" i="12" s="1"/>
  <c r="U178" i="12" s="1"/>
  <c r="V178" i="12" s="1"/>
  <c r="W178" i="12" s="1"/>
  <c r="X178" i="12" s="1"/>
  <c r="Y178" i="12" s="1"/>
  <c r="Z178" i="12" s="1"/>
  <c r="AA178" i="12" s="1"/>
  <c r="AB178" i="12" s="1"/>
  <c r="AC178" i="12" s="1"/>
  <c r="AD178" i="12" s="1"/>
  <c r="AE178" i="12" s="1"/>
  <c r="AF178" i="12" s="1"/>
  <c r="AG178" i="12" s="1"/>
  <c r="AH178" i="12" s="1"/>
  <c r="AI178" i="12" s="1"/>
  <c r="AJ178" i="12" s="1"/>
  <c r="AJ168" i="12"/>
  <c r="H168" i="16" s="1"/>
  <c r="AJ188" i="12"/>
  <c r="H188" i="16" s="1"/>
  <c r="AJ172" i="12"/>
  <c r="H172" i="16" s="1"/>
  <c r="AJ207" i="12"/>
  <c r="H207" i="16" s="1"/>
  <c r="AJ212" i="12"/>
  <c r="H212" i="16" s="1"/>
  <c r="G28" i="12"/>
  <c r="H27" i="12"/>
  <c r="AJ66" i="12"/>
  <c r="H66" i="16" s="1"/>
  <c r="AJ43" i="12"/>
  <c r="H43" i="16" s="1"/>
  <c r="AJ44" i="12"/>
  <c r="H44" i="16" s="1"/>
  <c r="AJ67" i="12"/>
  <c r="H67" i="16" s="1"/>
  <c r="E73" i="12"/>
  <c r="F73" i="12" s="1"/>
  <c r="G73" i="12" s="1"/>
  <c r="H73" i="12" s="1"/>
  <c r="I73" i="12" s="1"/>
  <c r="J73" i="12" s="1"/>
  <c r="K73" i="12" s="1"/>
  <c r="L73" i="12" s="1"/>
  <c r="M73" i="12" s="1"/>
  <c r="N73" i="12" s="1"/>
  <c r="O73" i="12" s="1"/>
  <c r="P73" i="12" s="1"/>
  <c r="Q73" i="12" s="1"/>
  <c r="R73" i="12" s="1"/>
  <c r="S73" i="12" s="1"/>
  <c r="T73" i="12" s="1"/>
  <c r="U73" i="12" s="1"/>
  <c r="V73" i="12" s="1"/>
  <c r="W73" i="12" s="1"/>
  <c r="X73" i="12" s="1"/>
  <c r="Y73" i="12" s="1"/>
  <c r="Z73" i="12" s="1"/>
  <c r="AA73" i="12" s="1"/>
  <c r="AB73" i="12" s="1"/>
  <c r="AC73" i="12" s="1"/>
  <c r="AD73" i="12" s="1"/>
  <c r="AE73" i="12" s="1"/>
  <c r="AF73" i="12" s="1"/>
  <c r="AG73" i="12" s="1"/>
  <c r="AH73" i="12" s="1"/>
  <c r="AI73" i="12" s="1"/>
  <c r="AJ73" i="12" s="1"/>
  <c r="AJ83" i="12"/>
  <c r="AJ114" i="12"/>
  <c r="H114" i="16" s="1"/>
  <c r="AJ113" i="12"/>
  <c r="H113" i="16" s="1"/>
  <c r="E123" i="12"/>
  <c r="F123" i="12" s="1"/>
  <c r="G123" i="12" s="1"/>
  <c r="H123" i="12" s="1"/>
  <c r="I123" i="12" s="1"/>
  <c r="J123" i="12" s="1"/>
  <c r="K123" i="12" s="1"/>
  <c r="L123" i="12" s="1"/>
  <c r="M123" i="12" s="1"/>
  <c r="N123" i="12" s="1"/>
  <c r="O123" i="12" s="1"/>
  <c r="P123" i="12" s="1"/>
  <c r="Q123" i="12" s="1"/>
  <c r="R123" i="12" s="1"/>
  <c r="S123" i="12" s="1"/>
  <c r="T123" i="12" s="1"/>
  <c r="U123" i="12" s="1"/>
  <c r="V123" i="12" s="1"/>
  <c r="W123" i="12" s="1"/>
  <c r="X123" i="12" s="1"/>
  <c r="Y123" i="12" s="1"/>
  <c r="Z123" i="12" s="1"/>
  <c r="AA123" i="12" s="1"/>
  <c r="AB123" i="12" s="1"/>
  <c r="AC123" i="12" s="1"/>
  <c r="AD123" i="12" s="1"/>
  <c r="AE123" i="12" s="1"/>
  <c r="AF123" i="12" s="1"/>
  <c r="AG123" i="12" s="1"/>
  <c r="AH123" i="12" s="1"/>
  <c r="AI123" i="12" s="1"/>
  <c r="AJ123" i="12" s="1"/>
  <c r="AJ103" i="12"/>
  <c r="H103" i="16" s="1"/>
  <c r="AJ118" i="12"/>
  <c r="H118" i="16" s="1"/>
  <c r="AJ173" i="12"/>
  <c r="H173" i="16" s="1"/>
  <c r="AJ189" i="12"/>
  <c r="H189" i="16" s="1"/>
  <c r="E197" i="12"/>
  <c r="F197" i="12" s="1"/>
  <c r="G197" i="12" s="1"/>
  <c r="H197" i="12" s="1"/>
  <c r="I197" i="12" s="1"/>
  <c r="J197" i="12" s="1"/>
  <c r="K197" i="12" s="1"/>
  <c r="L197" i="12" s="1"/>
  <c r="M197" i="12" s="1"/>
  <c r="N197" i="12" s="1"/>
  <c r="O197" i="12" s="1"/>
  <c r="P197" i="12" s="1"/>
  <c r="Q197" i="12" s="1"/>
  <c r="R197" i="12" s="1"/>
  <c r="S197" i="12" s="1"/>
  <c r="T197" i="12" s="1"/>
  <c r="U197" i="12" s="1"/>
  <c r="V197" i="12" s="1"/>
  <c r="W197" i="12" s="1"/>
  <c r="X197" i="12" s="1"/>
  <c r="Y197" i="12" s="1"/>
  <c r="Z197" i="12" s="1"/>
  <c r="AA197" i="12" s="1"/>
  <c r="AB197" i="12" s="1"/>
  <c r="AC197" i="12" s="1"/>
  <c r="AD197" i="12" s="1"/>
  <c r="AE197" i="12" s="1"/>
  <c r="AF197" i="12" s="1"/>
  <c r="AG197" i="12" s="1"/>
  <c r="AH197" i="12" s="1"/>
  <c r="AI197" i="12" s="1"/>
  <c r="AJ197" i="12" s="1"/>
  <c r="AJ192" i="12"/>
  <c r="H192" i="16" s="1"/>
  <c r="AJ206" i="12"/>
  <c r="H206" i="16" s="1"/>
  <c r="E214" i="12"/>
  <c r="F214" i="12" s="1"/>
  <c r="G214" i="12" s="1"/>
  <c r="H214" i="12" s="1"/>
  <c r="I214" i="12" s="1"/>
  <c r="J214" i="12" s="1"/>
  <c r="K214" i="12" s="1"/>
  <c r="L214" i="12" s="1"/>
  <c r="M214" i="12" s="1"/>
  <c r="N214" i="12" s="1"/>
  <c r="O214" i="12" s="1"/>
  <c r="P214" i="12" s="1"/>
  <c r="Q214" i="12" s="1"/>
  <c r="R214" i="12" s="1"/>
  <c r="S214" i="12" s="1"/>
  <c r="T214" i="12" s="1"/>
  <c r="U214" i="12" s="1"/>
  <c r="V214" i="12" s="1"/>
  <c r="W214" i="12" s="1"/>
  <c r="X214" i="12" s="1"/>
  <c r="Y214" i="12" s="1"/>
  <c r="Z214" i="12" s="1"/>
  <c r="AA214" i="12" s="1"/>
  <c r="AB214" i="12" s="1"/>
  <c r="AC214" i="12" s="1"/>
  <c r="AD214" i="12" s="1"/>
  <c r="AE214" i="12" s="1"/>
  <c r="AF214" i="12" s="1"/>
  <c r="AG214" i="12" s="1"/>
  <c r="AH214" i="12" s="1"/>
  <c r="AI214" i="12" s="1"/>
  <c r="AJ214" i="12" s="1"/>
  <c r="AJ209" i="12"/>
  <c r="H209" i="16" s="1"/>
  <c r="AJ41" i="12"/>
  <c r="H41" i="16" s="1"/>
  <c r="E51" i="12"/>
  <c r="F51" i="12" s="1"/>
  <c r="G51" i="12" s="1"/>
  <c r="H51" i="12" s="1"/>
  <c r="I51" i="12" s="1"/>
  <c r="J51" i="12" s="1"/>
  <c r="K51" i="12" s="1"/>
  <c r="L51" i="12" s="1"/>
  <c r="M51" i="12" s="1"/>
  <c r="N51" i="12" s="1"/>
  <c r="O51" i="12" s="1"/>
  <c r="P51" i="12" s="1"/>
  <c r="Q51" i="12" s="1"/>
  <c r="R51" i="12" s="1"/>
  <c r="S51" i="12" s="1"/>
  <c r="T51" i="12" s="1"/>
  <c r="U51" i="12" s="1"/>
  <c r="V51" i="12" s="1"/>
  <c r="W51" i="12" s="1"/>
  <c r="X51" i="12" s="1"/>
  <c r="Y51" i="12" s="1"/>
  <c r="Z51" i="12" s="1"/>
  <c r="AA51" i="12" s="1"/>
  <c r="AB51" i="12" s="1"/>
  <c r="AC51" i="12" s="1"/>
  <c r="AD51" i="12" s="1"/>
  <c r="AE51" i="12" s="1"/>
  <c r="AF51" i="12" s="1"/>
  <c r="AG51" i="12" s="1"/>
  <c r="AH51" i="12" s="1"/>
  <c r="AI51" i="12" s="1"/>
  <c r="AJ51" i="12" s="1"/>
  <c r="AJ71" i="12"/>
  <c r="H71" i="16" s="1"/>
  <c r="E142" i="12"/>
  <c r="F142" i="12" s="1"/>
  <c r="G142" i="12" s="1"/>
  <c r="H142" i="12" s="1"/>
  <c r="I142" i="12" s="1"/>
  <c r="J142" i="12" s="1"/>
  <c r="K142" i="12" s="1"/>
  <c r="L142" i="12" s="1"/>
  <c r="M142" i="12" s="1"/>
  <c r="N142" i="12" s="1"/>
  <c r="O142" i="12" s="1"/>
  <c r="P142" i="12" s="1"/>
  <c r="Q142" i="12" s="1"/>
  <c r="R142" i="12" s="1"/>
  <c r="S142" i="12" s="1"/>
  <c r="T142" i="12" s="1"/>
  <c r="U142" i="12" s="1"/>
  <c r="V142" i="12" s="1"/>
  <c r="W142" i="12" s="1"/>
  <c r="X142" i="12" s="1"/>
  <c r="Y142" i="12" s="1"/>
  <c r="Z142" i="12" s="1"/>
  <c r="AA142" i="12" s="1"/>
  <c r="AB142" i="12" s="1"/>
  <c r="AC142" i="12" s="1"/>
  <c r="AD142" i="12" s="1"/>
  <c r="AE142" i="12" s="1"/>
  <c r="AF142" i="12" s="1"/>
  <c r="AG142" i="12" s="1"/>
  <c r="AH142" i="12" s="1"/>
  <c r="AI142" i="12" s="1"/>
  <c r="AJ142" i="12" s="1"/>
  <c r="AJ134" i="12"/>
  <c r="H134" i="16" s="1"/>
  <c r="AJ138" i="12"/>
  <c r="H138" i="16" s="1"/>
  <c r="AJ151" i="12"/>
  <c r="H151" i="16" s="1"/>
  <c r="E159" i="12"/>
  <c r="F159" i="12" s="1"/>
  <c r="G159" i="12" s="1"/>
  <c r="H159" i="12" s="1"/>
  <c r="I159" i="12" s="1"/>
  <c r="J159" i="12" s="1"/>
  <c r="K159" i="12" s="1"/>
  <c r="L159" i="12" s="1"/>
  <c r="M159" i="12" s="1"/>
  <c r="N159" i="12" s="1"/>
  <c r="O159" i="12" s="1"/>
  <c r="P159" i="12" s="1"/>
  <c r="Q159" i="12" s="1"/>
  <c r="R159" i="12" s="1"/>
  <c r="S159" i="12" s="1"/>
  <c r="T159" i="12" s="1"/>
  <c r="U159" i="12" s="1"/>
  <c r="V159" i="12" s="1"/>
  <c r="W159" i="12" s="1"/>
  <c r="X159" i="12" s="1"/>
  <c r="Y159" i="12" s="1"/>
  <c r="Z159" i="12" s="1"/>
  <c r="AA159" i="12" s="1"/>
  <c r="AB159" i="12" s="1"/>
  <c r="AC159" i="12" s="1"/>
  <c r="AD159" i="12" s="1"/>
  <c r="AE159" i="12" s="1"/>
  <c r="AF159" i="12" s="1"/>
  <c r="AG159" i="12" s="1"/>
  <c r="AH159" i="12" s="1"/>
  <c r="AI159" i="12" s="1"/>
  <c r="AJ159" i="12" s="1"/>
  <c r="AJ155" i="12"/>
  <c r="H155" i="16" s="1"/>
  <c r="AJ175" i="12"/>
  <c r="H175" i="16" s="1"/>
  <c r="AJ193" i="12"/>
  <c r="H193" i="16" s="1"/>
  <c r="AJ152" i="12"/>
  <c r="H152" i="16" s="1"/>
  <c r="AJ169" i="12"/>
  <c r="H169" i="16" s="1"/>
  <c r="AJ210" i="12"/>
  <c r="H210" i="16" s="1"/>
  <c r="D188" i="11"/>
  <c r="D196" i="11"/>
  <c r="D213" i="11"/>
  <c r="AJ115" i="11"/>
  <c r="I115" i="16" s="1"/>
  <c r="AJ134" i="11"/>
  <c r="I134" i="16" s="1"/>
  <c r="E142" i="11"/>
  <c r="F142" i="11" s="1"/>
  <c r="G142" i="11" s="1"/>
  <c r="H142" i="11" s="1"/>
  <c r="I142" i="11" s="1"/>
  <c r="J142" i="11" s="1"/>
  <c r="K142" i="11" s="1"/>
  <c r="L142" i="11" s="1"/>
  <c r="M142" i="11" s="1"/>
  <c r="N142" i="11" s="1"/>
  <c r="O142" i="11" s="1"/>
  <c r="P142" i="11" s="1"/>
  <c r="Q142" i="11" s="1"/>
  <c r="R142" i="11" s="1"/>
  <c r="S142" i="11" s="1"/>
  <c r="T142" i="11" s="1"/>
  <c r="U142" i="11" s="1"/>
  <c r="V142" i="11" s="1"/>
  <c r="W142" i="11" s="1"/>
  <c r="X142" i="11" s="1"/>
  <c r="Y142" i="11" s="1"/>
  <c r="Z142" i="11" s="1"/>
  <c r="AA142" i="11" s="1"/>
  <c r="AB142" i="11" s="1"/>
  <c r="AC142" i="11" s="1"/>
  <c r="AD142" i="11" s="1"/>
  <c r="AE142" i="11" s="1"/>
  <c r="AF142" i="11" s="1"/>
  <c r="AG142" i="11" s="1"/>
  <c r="AH142" i="11" s="1"/>
  <c r="AI142" i="11" s="1"/>
  <c r="AJ142" i="11" s="1"/>
  <c r="AJ152" i="11"/>
  <c r="I152" i="16" s="1"/>
  <c r="AJ193" i="11"/>
  <c r="I193" i="16" s="1"/>
  <c r="AJ133" i="11"/>
  <c r="I133" i="16" s="1"/>
  <c r="AJ155" i="11"/>
  <c r="I155" i="16" s="1"/>
  <c r="AJ41" i="11"/>
  <c r="I41" i="16" s="1"/>
  <c r="D39" i="11"/>
  <c r="AJ38" i="11"/>
  <c r="I38" i="16" s="1"/>
  <c r="E51" i="11"/>
  <c r="F51" i="11" s="1"/>
  <c r="G51" i="11" s="1"/>
  <c r="H51" i="11" s="1"/>
  <c r="I51" i="11" s="1"/>
  <c r="J51" i="11" s="1"/>
  <c r="K51" i="11" s="1"/>
  <c r="L51" i="11" s="1"/>
  <c r="M51" i="11" s="1"/>
  <c r="N51" i="11" s="1"/>
  <c r="O51" i="11" s="1"/>
  <c r="P51" i="11" s="1"/>
  <c r="Q51" i="11" s="1"/>
  <c r="R51" i="11" s="1"/>
  <c r="S51" i="11" s="1"/>
  <c r="T51" i="11" s="1"/>
  <c r="U51" i="11" s="1"/>
  <c r="V51" i="11" s="1"/>
  <c r="W51" i="11" s="1"/>
  <c r="X51" i="11" s="1"/>
  <c r="Y51" i="11" s="1"/>
  <c r="Z51" i="11" s="1"/>
  <c r="AA51" i="11" s="1"/>
  <c r="AB51" i="11" s="1"/>
  <c r="AC51" i="11" s="1"/>
  <c r="AD51" i="11" s="1"/>
  <c r="AE51" i="11" s="1"/>
  <c r="AF51" i="11" s="1"/>
  <c r="AG51" i="11" s="1"/>
  <c r="AH51" i="11" s="1"/>
  <c r="AI51" i="11" s="1"/>
  <c r="AJ51" i="11" s="1"/>
  <c r="AJ48" i="11"/>
  <c r="I48" i="16" s="1"/>
  <c r="AJ64" i="11"/>
  <c r="I64" i="16" s="1"/>
  <c r="AJ97" i="11"/>
  <c r="I97" i="16" s="1"/>
  <c r="E104" i="11"/>
  <c r="F104" i="11" s="1"/>
  <c r="G104" i="11" s="1"/>
  <c r="H104" i="11" s="1"/>
  <c r="I104" i="11" s="1"/>
  <c r="J104" i="11" s="1"/>
  <c r="K104" i="11" s="1"/>
  <c r="L104" i="11" s="1"/>
  <c r="M104" i="11" s="1"/>
  <c r="N104" i="11" s="1"/>
  <c r="O104" i="11" s="1"/>
  <c r="P104" i="11" s="1"/>
  <c r="Q104" i="11" s="1"/>
  <c r="R104" i="11" s="1"/>
  <c r="S104" i="11" s="1"/>
  <c r="T104" i="11" s="1"/>
  <c r="U104" i="11" s="1"/>
  <c r="V104" i="11" s="1"/>
  <c r="W104" i="11" s="1"/>
  <c r="X104" i="11" s="1"/>
  <c r="Y104" i="11" s="1"/>
  <c r="Z104" i="11" s="1"/>
  <c r="AA104" i="11" s="1"/>
  <c r="AB104" i="11" s="1"/>
  <c r="AC104" i="11" s="1"/>
  <c r="AD104" i="11" s="1"/>
  <c r="AE104" i="11" s="1"/>
  <c r="AF104" i="11" s="1"/>
  <c r="AG104" i="11" s="1"/>
  <c r="AH104" i="11" s="1"/>
  <c r="AI104" i="11" s="1"/>
  <c r="AJ104" i="11" s="1"/>
  <c r="AJ116" i="11"/>
  <c r="I116" i="16" s="1"/>
  <c r="E123" i="11"/>
  <c r="F123" i="11" s="1"/>
  <c r="G123" i="11" s="1"/>
  <c r="H123" i="11" s="1"/>
  <c r="I123" i="11" s="1"/>
  <c r="J123" i="11" s="1"/>
  <c r="K123" i="11" s="1"/>
  <c r="L123" i="11" s="1"/>
  <c r="M123" i="11" s="1"/>
  <c r="N123" i="11" s="1"/>
  <c r="O123" i="11" s="1"/>
  <c r="P123" i="11" s="1"/>
  <c r="Q123" i="11" s="1"/>
  <c r="R123" i="11" s="1"/>
  <c r="S123" i="11" s="1"/>
  <c r="T123" i="11" s="1"/>
  <c r="U123" i="11" s="1"/>
  <c r="V123" i="11" s="1"/>
  <c r="W123" i="11" s="1"/>
  <c r="X123" i="11" s="1"/>
  <c r="Y123" i="11" s="1"/>
  <c r="Z123" i="11" s="1"/>
  <c r="AA123" i="11" s="1"/>
  <c r="AB123" i="11" s="1"/>
  <c r="AC123" i="11" s="1"/>
  <c r="AD123" i="11" s="1"/>
  <c r="AE123" i="11" s="1"/>
  <c r="AF123" i="11" s="1"/>
  <c r="AG123" i="11" s="1"/>
  <c r="AH123" i="11" s="1"/>
  <c r="AI123" i="11" s="1"/>
  <c r="AJ123" i="11" s="1"/>
  <c r="G27" i="11"/>
  <c r="D40" i="11"/>
  <c r="AJ42" i="11"/>
  <c r="I42" i="16" s="1"/>
  <c r="AJ68" i="11"/>
  <c r="I68" i="16" s="1"/>
  <c r="Q4" i="11"/>
  <c r="AJ85" i="11"/>
  <c r="I85" i="16" s="1"/>
  <c r="AJ103" i="11"/>
  <c r="I103" i="16" s="1"/>
  <c r="AJ119" i="11"/>
  <c r="I119" i="16" s="1"/>
  <c r="AJ122" i="11"/>
  <c r="I122" i="16" s="1"/>
  <c r="AJ151" i="11"/>
  <c r="I151" i="16" s="1"/>
  <c r="E159" i="11"/>
  <c r="F159" i="11" s="1"/>
  <c r="G159" i="11" s="1"/>
  <c r="H159" i="11" s="1"/>
  <c r="I159" i="11" s="1"/>
  <c r="J159" i="11" s="1"/>
  <c r="K159" i="11" s="1"/>
  <c r="L159" i="11" s="1"/>
  <c r="M159" i="11" s="1"/>
  <c r="N159" i="11" s="1"/>
  <c r="O159" i="11" s="1"/>
  <c r="P159" i="11" s="1"/>
  <c r="Q159" i="11" s="1"/>
  <c r="R159" i="11" s="1"/>
  <c r="S159" i="11" s="1"/>
  <c r="T159" i="11" s="1"/>
  <c r="U159" i="11" s="1"/>
  <c r="V159" i="11" s="1"/>
  <c r="W159" i="11" s="1"/>
  <c r="X159" i="11" s="1"/>
  <c r="Y159" i="11" s="1"/>
  <c r="Z159" i="11" s="1"/>
  <c r="AA159" i="11" s="1"/>
  <c r="AB159" i="11" s="1"/>
  <c r="AC159" i="11" s="1"/>
  <c r="AD159" i="11" s="1"/>
  <c r="AE159" i="11" s="1"/>
  <c r="AF159" i="11" s="1"/>
  <c r="AG159" i="11" s="1"/>
  <c r="AH159" i="11" s="1"/>
  <c r="AI159" i="11" s="1"/>
  <c r="AJ159" i="11" s="1"/>
  <c r="E214" i="11"/>
  <c r="F214" i="11" s="1"/>
  <c r="G214" i="11" s="1"/>
  <c r="H214" i="11" s="1"/>
  <c r="I214" i="11" s="1"/>
  <c r="J214" i="11" s="1"/>
  <c r="K214" i="11" s="1"/>
  <c r="L214" i="11" s="1"/>
  <c r="M214" i="11" s="1"/>
  <c r="N214" i="11" s="1"/>
  <c r="O214" i="11" s="1"/>
  <c r="P214" i="11" s="1"/>
  <c r="Q214" i="11" s="1"/>
  <c r="R214" i="11" s="1"/>
  <c r="S214" i="11" s="1"/>
  <c r="T214" i="11" s="1"/>
  <c r="U214" i="11" s="1"/>
  <c r="V214" i="11" s="1"/>
  <c r="W214" i="11" s="1"/>
  <c r="X214" i="11" s="1"/>
  <c r="Y214" i="11" s="1"/>
  <c r="Z214" i="11" s="1"/>
  <c r="AA214" i="11" s="1"/>
  <c r="AB214" i="11" s="1"/>
  <c r="AC214" i="11" s="1"/>
  <c r="AD214" i="11" s="1"/>
  <c r="AE214" i="11" s="1"/>
  <c r="AF214" i="11" s="1"/>
  <c r="AG214" i="11" s="1"/>
  <c r="AH214" i="11" s="1"/>
  <c r="AI214" i="11" s="1"/>
  <c r="AJ214" i="11" s="1"/>
  <c r="AJ206" i="11"/>
  <c r="I206" i="16" s="1"/>
  <c r="AJ84" i="11"/>
  <c r="I84" i="16" s="1"/>
  <c r="AJ47" i="11"/>
  <c r="I47" i="16" s="1"/>
  <c r="AJ72" i="11"/>
  <c r="I72" i="16" s="1"/>
  <c r="AJ137" i="11"/>
  <c r="I137" i="16" s="1"/>
  <c r="AJ168" i="11"/>
  <c r="I168" i="16" s="1"/>
  <c r="E178" i="11"/>
  <c r="F178" i="11" s="1"/>
  <c r="G178" i="11" s="1"/>
  <c r="H178" i="11" s="1"/>
  <c r="I178" i="11" s="1"/>
  <c r="J178" i="11" s="1"/>
  <c r="K178" i="11" s="1"/>
  <c r="L178" i="11" s="1"/>
  <c r="M178" i="11" s="1"/>
  <c r="N178" i="11" s="1"/>
  <c r="O178" i="11" s="1"/>
  <c r="P178" i="11" s="1"/>
  <c r="Q178" i="11" s="1"/>
  <c r="R178" i="11" s="1"/>
  <c r="S178" i="11" s="1"/>
  <c r="T178" i="11" s="1"/>
  <c r="U178" i="11" s="1"/>
  <c r="V178" i="11" s="1"/>
  <c r="W178" i="11" s="1"/>
  <c r="X178" i="11" s="1"/>
  <c r="Y178" i="11" s="1"/>
  <c r="Z178" i="11" s="1"/>
  <c r="AA178" i="11" s="1"/>
  <c r="AB178" i="11" s="1"/>
  <c r="AC178" i="11" s="1"/>
  <c r="AD178" i="11" s="1"/>
  <c r="AE178" i="11" s="1"/>
  <c r="AF178" i="11" s="1"/>
  <c r="AG178" i="11" s="1"/>
  <c r="AH178" i="11" s="1"/>
  <c r="AI178" i="11" s="1"/>
  <c r="AJ178" i="11" s="1"/>
  <c r="AJ210" i="11"/>
  <c r="I210" i="16" s="1"/>
  <c r="D153" i="11"/>
  <c r="E197" i="11"/>
  <c r="F197" i="11" s="1"/>
  <c r="G197" i="11" s="1"/>
  <c r="H197" i="11" s="1"/>
  <c r="I197" i="11" s="1"/>
  <c r="J197" i="11" s="1"/>
  <c r="K197" i="11" s="1"/>
  <c r="L197" i="11" s="1"/>
  <c r="M197" i="11" s="1"/>
  <c r="N197" i="11" s="1"/>
  <c r="O197" i="11" s="1"/>
  <c r="P197" i="11" s="1"/>
  <c r="Q197" i="11" s="1"/>
  <c r="R197" i="11" s="1"/>
  <c r="S197" i="11" s="1"/>
  <c r="T197" i="11" s="1"/>
  <c r="U197" i="11" s="1"/>
  <c r="V197" i="11" s="1"/>
  <c r="W197" i="11" s="1"/>
  <c r="X197" i="11" s="1"/>
  <c r="Y197" i="11" s="1"/>
  <c r="Z197" i="11" s="1"/>
  <c r="AA197" i="11" s="1"/>
  <c r="AB197" i="11" s="1"/>
  <c r="AC197" i="11" s="1"/>
  <c r="AD197" i="11" s="1"/>
  <c r="AE197" i="11" s="1"/>
  <c r="AF197" i="11" s="1"/>
  <c r="AG197" i="11" s="1"/>
  <c r="AH197" i="11" s="1"/>
  <c r="AI197" i="11" s="1"/>
  <c r="AJ197" i="11" s="1"/>
  <c r="AJ37" i="11"/>
  <c r="I37" i="16" s="1"/>
  <c r="U4" i="11"/>
  <c r="AJ60" i="11"/>
  <c r="I60" i="16" s="1"/>
  <c r="E73" i="11"/>
  <c r="F73" i="11" s="1"/>
  <c r="G73" i="11" s="1"/>
  <c r="H73" i="11" s="1"/>
  <c r="I73" i="11" s="1"/>
  <c r="J73" i="11" s="1"/>
  <c r="K73" i="11" s="1"/>
  <c r="L73" i="11" s="1"/>
  <c r="M73" i="11" s="1"/>
  <c r="N73" i="11" s="1"/>
  <c r="O73" i="11" s="1"/>
  <c r="P73" i="11" s="1"/>
  <c r="Q73" i="11" s="1"/>
  <c r="R73" i="11" s="1"/>
  <c r="S73" i="11" s="1"/>
  <c r="T73" i="11" s="1"/>
  <c r="U73" i="11" s="1"/>
  <c r="V73" i="11" s="1"/>
  <c r="W73" i="11" s="1"/>
  <c r="X73" i="11" s="1"/>
  <c r="Y73" i="11" s="1"/>
  <c r="Z73" i="11" s="1"/>
  <c r="AA73" i="11" s="1"/>
  <c r="AB73" i="11" s="1"/>
  <c r="AC73" i="11" s="1"/>
  <c r="AD73" i="11" s="1"/>
  <c r="AE73" i="11" s="1"/>
  <c r="AF73" i="11" s="1"/>
  <c r="AG73" i="11" s="1"/>
  <c r="AH73" i="11" s="1"/>
  <c r="AI73" i="11" s="1"/>
  <c r="AJ73" i="11" s="1"/>
  <c r="D70" i="11"/>
  <c r="AJ98" i="11"/>
  <c r="I98" i="16" s="1"/>
  <c r="D100" i="11"/>
  <c r="AJ120" i="11"/>
  <c r="I120" i="16" s="1"/>
  <c r="AJ138" i="11"/>
  <c r="I138" i="16" s="1"/>
  <c r="AJ139" i="11"/>
  <c r="I139" i="16" s="1"/>
  <c r="AJ172" i="11"/>
  <c r="I172" i="16" s="1"/>
  <c r="AJ176" i="11"/>
  <c r="I176" i="16" s="1"/>
  <c r="AJ156" i="11"/>
  <c r="I156" i="16" s="1"/>
  <c r="AJ169" i="11"/>
  <c r="I169" i="16" s="1"/>
  <c r="D170" i="11"/>
  <c r="H175" i="4"/>
  <c r="X175" i="4"/>
  <c r="F156" i="4"/>
  <c r="J156" i="4"/>
  <c r="N156" i="4"/>
  <c r="R156" i="4"/>
  <c r="V156" i="4"/>
  <c r="Z156" i="4"/>
  <c r="AD156" i="4"/>
  <c r="AH156" i="4"/>
  <c r="G156" i="4"/>
  <c r="K156" i="4"/>
  <c r="O156" i="4"/>
  <c r="S156" i="4"/>
  <c r="W156" i="4"/>
  <c r="AA156" i="4"/>
  <c r="AE156" i="4"/>
  <c r="AI156" i="4"/>
  <c r="F134" i="4"/>
  <c r="I134" i="4"/>
  <c r="Q134" i="4"/>
  <c r="Y134" i="4"/>
  <c r="AG134" i="4"/>
  <c r="G134" i="4"/>
  <c r="S134" i="4"/>
  <c r="AC134" i="4"/>
  <c r="K134" i="4"/>
  <c r="U134" i="4"/>
  <c r="AE134" i="4"/>
  <c r="AE206" i="4"/>
  <c r="W206" i="4"/>
  <c r="G187" i="4"/>
  <c r="S187" i="4"/>
  <c r="AI187" i="4"/>
  <c r="R175" i="4"/>
  <c r="H171" i="4"/>
  <c r="X171" i="4"/>
  <c r="AI158" i="4"/>
  <c r="N158" i="4"/>
  <c r="X154" i="4"/>
  <c r="N154" i="4"/>
  <c r="O134" i="4"/>
  <c r="G132" i="4"/>
  <c r="W132" i="4"/>
  <c r="O132" i="4"/>
  <c r="AI132" i="4"/>
  <c r="S132" i="4"/>
  <c r="AI101" i="4"/>
  <c r="M101" i="4"/>
  <c r="F70" i="4"/>
  <c r="H70" i="4"/>
  <c r="M70" i="4"/>
  <c r="S70" i="4"/>
  <c r="X70" i="4"/>
  <c r="AC70" i="4"/>
  <c r="AI70" i="4"/>
  <c r="E70" i="4"/>
  <c r="L70" i="4"/>
  <c r="T70" i="4"/>
  <c r="AA70" i="4"/>
  <c r="AG70" i="4"/>
  <c r="G70" i="4"/>
  <c r="O70" i="4"/>
  <c r="U70" i="4"/>
  <c r="AB70" i="4"/>
  <c r="F61" i="4"/>
  <c r="E61" i="4"/>
  <c r="K61" i="4"/>
  <c r="P61" i="4"/>
  <c r="U61" i="4"/>
  <c r="AA61" i="4"/>
  <c r="AF61" i="4"/>
  <c r="H61" i="4"/>
  <c r="O61" i="4"/>
  <c r="W61" i="4"/>
  <c r="AC61" i="4"/>
  <c r="I61" i="4"/>
  <c r="S61" i="4"/>
  <c r="AB61" i="4"/>
  <c r="L61" i="4"/>
  <c r="T61" i="4"/>
  <c r="AE61" i="4"/>
  <c r="H191" i="5"/>
  <c r="F191" i="5"/>
  <c r="N191" i="5"/>
  <c r="V191" i="5"/>
  <c r="AD191" i="5"/>
  <c r="G191" i="5"/>
  <c r="R191" i="5"/>
  <c r="AA191" i="5"/>
  <c r="J191" i="5"/>
  <c r="S191" i="5"/>
  <c r="AE191" i="5"/>
  <c r="K191" i="5"/>
  <c r="W191" i="5"/>
  <c r="AH191" i="5"/>
  <c r="O191" i="5"/>
  <c r="Z191" i="5"/>
  <c r="AI191" i="5"/>
  <c r="AE212" i="4"/>
  <c r="W212" i="4"/>
  <c r="O212" i="4"/>
  <c r="E212" i="4"/>
  <c r="AI211" i="4"/>
  <c r="AE211" i="4"/>
  <c r="AA211" i="4"/>
  <c r="W211" i="4"/>
  <c r="S211" i="4"/>
  <c r="O211" i="4"/>
  <c r="K211" i="4"/>
  <c r="G211" i="4"/>
  <c r="AF209" i="4"/>
  <c r="AA209" i="4"/>
  <c r="V209" i="4"/>
  <c r="P209" i="4"/>
  <c r="K209" i="4"/>
  <c r="F209" i="4"/>
  <c r="AG208" i="4"/>
  <c r="Y208" i="4"/>
  <c r="Q208" i="4"/>
  <c r="I208" i="4"/>
  <c r="AH206" i="4"/>
  <c r="AD206" i="4"/>
  <c r="Z206" i="4"/>
  <c r="V206" i="4"/>
  <c r="R206" i="4"/>
  <c r="N206" i="4"/>
  <c r="J206" i="4"/>
  <c r="F206" i="4"/>
  <c r="AI194" i="4"/>
  <c r="AE194" i="4"/>
  <c r="AA194" i="4"/>
  <c r="W194" i="4"/>
  <c r="S194" i="4"/>
  <c r="O194" i="4"/>
  <c r="K194" i="4"/>
  <c r="G194" i="4"/>
  <c r="AD193" i="4"/>
  <c r="W193" i="4"/>
  <c r="Q193" i="4"/>
  <c r="I193" i="4"/>
  <c r="AA191" i="4"/>
  <c r="H191" i="4"/>
  <c r="AI190" i="4"/>
  <c r="AE190" i="4"/>
  <c r="AA190" i="4"/>
  <c r="W190" i="4"/>
  <c r="S190" i="4"/>
  <c r="O190" i="4"/>
  <c r="K190" i="4"/>
  <c r="Y189" i="4"/>
  <c r="L188" i="4"/>
  <c r="AI188" i="4"/>
  <c r="Q187" i="4"/>
  <c r="AD175" i="4"/>
  <c r="N175" i="4"/>
  <c r="M174" i="4"/>
  <c r="AI171" i="4"/>
  <c r="R171" i="4"/>
  <c r="AI170" i="4"/>
  <c r="AE158" i="4"/>
  <c r="T158" i="4"/>
  <c r="AF156" i="4"/>
  <c r="X156" i="4"/>
  <c r="P156" i="4"/>
  <c r="H156" i="4"/>
  <c r="AE154" i="4"/>
  <c r="T154" i="4"/>
  <c r="AE152" i="4"/>
  <c r="W152" i="4"/>
  <c r="O152" i="4"/>
  <c r="AD141" i="4"/>
  <c r="S141" i="4"/>
  <c r="AB139" i="4"/>
  <c r="T139" i="4"/>
  <c r="K136" i="4"/>
  <c r="AA136" i="4"/>
  <c r="O136" i="4"/>
  <c r="AI136" i="4"/>
  <c r="S136" i="4"/>
  <c r="AI134" i="4"/>
  <c r="M134" i="4"/>
  <c r="AE132" i="4"/>
  <c r="AE101" i="4"/>
  <c r="T101" i="4"/>
  <c r="H100" i="4"/>
  <c r="E100" i="4"/>
  <c r="J100" i="4"/>
  <c r="O100" i="4"/>
  <c r="U100" i="4"/>
  <c r="Z100" i="4"/>
  <c r="AE100" i="4"/>
  <c r="F100" i="4"/>
  <c r="M100" i="4"/>
  <c r="S100" i="4"/>
  <c r="AA100" i="4"/>
  <c r="AH100" i="4"/>
  <c r="G100" i="4"/>
  <c r="N100" i="4"/>
  <c r="V100" i="4"/>
  <c r="AC100" i="4"/>
  <c r="AI100" i="4"/>
  <c r="AI86" i="4"/>
  <c r="F84" i="4"/>
  <c r="E84" i="4"/>
  <c r="M84" i="4"/>
  <c r="S84" i="4"/>
  <c r="Z84" i="4"/>
  <c r="AH84" i="4"/>
  <c r="I84" i="4"/>
  <c r="R84" i="4"/>
  <c r="AC84" i="4"/>
  <c r="J84" i="4"/>
  <c r="U84" i="4"/>
  <c r="AD84" i="4"/>
  <c r="AE70" i="4"/>
  <c r="P70" i="4"/>
  <c r="E69" i="4"/>
  <c r="I69" i="4"/>
  <c r="M69" i="4"/>
  <c r="Q69" i="4"/>
  <c r="U69" i="4"/>
  <c r="Y69" i="4"/>
  <c r="AC69" i="4"/>
  <c r="AG69" i="4"/>
  <c r="G69" i="4"/>
  <c r="L69" i="4"/>
  <c r="R69" i="4"/>
  <c r="W69" i="4"/>
  <c r="AB69" i="4"/>
  <c r="AH69" i="4"/>
  <c r="H69" i="4"/>
  <c r="N69" i="4"/>
  <c r="S69" i="4"/>
  <c r="X69" i="4"/>
  <c r="AD69" i="4"/>
  <c r="AI69" i="4"/>
  <c r="AI61" i="4"/>
  <c r="Q61" i="4"/>
  <c r="AX38" i="2"/>
  <c r="E158" i="4"/>
  <c r="F158" i="4"/>
  <c r="K158" i="4"/>
  <c r="P158" i="4"/>
  <c r="V158" i="4"/>
  <c r="AA158" i="4"/>
  <c r="AF158" i="4"/>
  <c r="G158" i="4"/>
  <c r="L158" i="4"/>
  <c r="R158" i="4"/>
  <c r="W158" i="4"/>
  <c r="AB158" i="4"/>
  <c r="AH158" i="4"/>
  <c r="E154" i="4"/>
  <c r="F154" i="4"/>
  <c r="K154" i="4"/>
  <c r="P154" i="4"/>
  <c r="V154" i="4"/>
  <c r="AA154" i="4"/>
  <c r="AF154" i="4"/>
  <c r="G154" i="4"/>
  <c r="L154" i="4"/>
  <c r="R154" i="4"/>
  <c r="W154" i="4"/>
  <c r="AB154" i="4"/>
  <c r="AH154" i="4"/>
  <c r="F101" i="4"/>
  <c r="J101" i="4"/>
  <c r="N101" i="4"/>
  <c r="R101" i="4"/>
  <c r="V101" i="4"/>
  <c r="Z101" i="4"/>
  <c r="AD101" i="4"/>
  <c r="AH101" i="4"/>
  <c r="E101" i="4"/>
  <c r="K101" i="4"/>
  <c r="P101" i="4"/>
  <c r="U101" i="4"/>
  <c r="AA101" i="4"/>
  <c r="AF101" i="4"/>
  <c r="G101" i="4"/>
  <c r="L101" i="4"/>
  <c r="Q101" i="4"/>
  <c r="W101" i="4"/>
  <c r="AB101" i="4"/>
  <c r="AG101" i="4"/>
  <c r="AI206" i="4"/>
  <c r="AA206" i="4"/>
  <c r="S206" i="4"/>
  <c r="O206" i="4"/>
  <c r="K206" i="4"/>
  <c r="G206" i="4"/>
  <c r="AI175" i="4"/>
  <c r="X158" i="4"/>
  <c r="AG156" i="4"/>
  <c r="Y156" i="4"/>
  <c r="Q156" i="4"/>
  <c r="I156" i="4"/>
  <c r="AI154" i="4"/>
  <c r="F139" i="4"/>
  <c r="J139" i="4"/>
  <c r="N139" i="4"/>
  <c r="G139" i="4"/>
  <c r="L139" i="4"/>
  <c r="Q139" i="4"/>
  <c r="U139" i="4"/>
  <c r="Y139" i="4"/>
  <c r="AC139" i="4"/>
  <c r="AG139" i="4"/>
  <c r="H139" i="4"/>
  <c r="M139" i="4"/>
  <c r="R139" i="4"/>
  <c r="V139" i="4"/>
  <c r="Z139" i="4"/>
  <c r="AD139" i="4"/>
  <c r="AH139" i="4"/>
  <c r="X101" i="4"/>
  <c r="E86" i="4"/>
  <c r="I86" i="4"/>
  <c r="Q86" i="4"/>
  <c r="X86" i="4"/>
  <c r="AE86" i="4"/>
  <c r="H86" i="4"/>
  <c r="S86" i="4"/>
  <c r="AB86" i="4"/>
  <c r="L86" i="4"/>
  <c r="T86" i="4"/>
  <c r="AC86" i="4"/>
  <c r="L45" i="4"/>
  <c r="W45" i="4"/>
  <c r="AI45" i="4"/>
  <c r="K45" i="4"/>
  <c r="AA45" i="4"/>
  <c r="O45" i="4"/>
  <c r="AE45" i="4"/>
  <c r="S45" i="4"/>
  <c r="H196" i="5"/>
  <c r="G196" i="5"/>
  <c r="M196" i="5"/>
  <c r="R196" i="5"/>
  <c r="W196" i="5"/>
  <c r="AC196" i="5"/>
  <c r="AH196" i="5"/>
  <c r="E196" i="5"/>
  <c r="K196" i="5"/>
  <c r="S196" i="5"/>
  <c r="Z196" i="5"/>
  <c r="AG196" i="5"/>
  <c r="F196" i="5"/>
  <c r="N196" i="5"/>
  <c r="U196" i="5"/>
  <c r="AA196" i="5"/>
  <c r="AI196" i="5"/>
  <c r="I196" i="5"/>
  <c r="O196" i="5"/>
  <c r="V196" i="5"/>
  <c r="AD196" i="5"/>
  <c r="J196" i="5"/>
  <c r="Q196" i="5"/>
  <c r="Y196" i="5"/>
  <c r="AH211" i="4"/>
  <c r="AD211" i="4"/>
  <c r="Z211" i="4"/>
  <c r="V211" i="4"/>
  <c r="R211" i="4"/>
  <c r="N211" i="4"/>
  <c r="J211" i="4"/>
  <c r="AE208" i="4"/>
  <c r="W208" i="4"/>
  <c r="O208" i="4"/>
  <c r="G208" i="4"/>
  <c r="AG206" i="4"/>
  <c r="AC206" i="4"/>
  <c r="Y206" i="4"/>
  <c r="U206" i="4"/>
  <c r="Q206" i="4"/>
  <c r="M206" i="4"/>
  <c r="I206" i="4"/>
  <c r="AH194" i="4"/>
  <c r="AD194" i="4"/>
  <c r="Z194" i="4"/>
  <c r="V194" i="4"/>
  <c r="R194" i="4"/>
  <c r="N194" i="4"/>
  <c r="J194" i="4"/>
  <c r="AI193" i="4"/>
  <c r="AC193" i="4"/>
  <c r="V193" i="4"/>
  <c r="N193" i="4"/>
  <c r="E190" i="4"/>
  <c r="I190" i="4"/>
  <c r="N189" i="4"/>
  <c r="AC189" i="4"/>
  <c r="AC187" i="4"/>
  <c r="M187" i="4"/>
  <c r="AB175" i="4"/>
  <c r="G175" i="4"/>
  <c r="AD171" i="4"/>
  <c r="N171" i="4"/>
  <c r="M170" i="4"/>
  <c r="AD158" i="4"/>
  <c r="S158" i="4"/>
  <c r="H158" i="4"/>
  <c r="AC156" i="4"/>
  <c r="U156" i="4"/>
  <c r="M156" i="4"/>
  <c r="E156" i="4"/>
  <c r="AD154" i="4"/>
  <c r="S154" i="4"/>
  <c r="H154" i="4"/>
  <c r="E152" i="4"/>
  <c r="I152" i="4"/>
  <c r="M152" i="4"/>
  <c r="Q152" i="4"/>
  <c r="U152" i="4"/>
  <c r="Y152" i="4"/>
  <c r="AC152" i="4"/>
  <c r="AG152" i="4"/>
  <c r="F152" i="4"/>
  <c r="J152" i="4"/>
  <c r="N152" i="4"/>
  <c r="R152" i="4"/>
  <c r="V152" i="4"/>
  <c r="Z152" i="4"/>
  <c r="AD152" i="4"/>
  <c r="AH152" i="4"/>
  <c r="E141" i="4"/>
  <c r="F141" i="4"/>
  <c r="K141" i="4"/>
  <c r="P141" i="4"/>
  <c r="V141" i="4"/>
  <c r="AA141" i="4"/>
  <c r="AF141" i="4"/>
  <c r="G141" i="4"/>
  <c r="L141" i="4"/>
  <c r="R141" i="4"/>
  <c r="W141" i="4"/>
  <c r="AB141" i="4"/>
  <c r="AH141" i="4"/>
  <c r="AI139" i="4"/>
  <c r="AA139" i="4"/>
  <c r="S139" i="4"/>
  <c r="I139" i="4"/>
  <c r="AE136" i="4"/>
  <c r="AA134" i="4"/>
  <c r="E134" i="4"/>
  <c r="AA132" i="4"/>
  <c r="E122" i="4"/>
  <c r="I122" i="4"/>
  <c r="M122" i="4"/>
  <c r="Q122" i="4"/>
  <c r="U122" i="4"/>
  <c r="Y122" i="4"/>
  <c r="AC122" i="4"/>
  <c r="AG122" i="4"/>
  <c r="F122" i="4"/>
  <c r="K122" i="4"/>
  <c r="P122" i="4"/>
  <c r="V122" i="4"/>
  <c r="AA122" i="4"/>
  <c r="AF122" i="4"/>
  <c r="G122" i="4"/>
  <c r="L122" i="4"/>
  <c r="R122" i="4"/>
  <c r="W122" i="4"/>
  <c r="AB122" i="4"/>
  <c r="AH122" i="4"/>
  <c r="G113" i="4"/>
  <c r="M113" i="4"/>
  <c r="R113" i="4"/>
  <c r="W113" i="4"/>
  <c r="AC113" i="4"/>
  <c r="AH113" i="4"/>
  <c r="F113" i="4"/>
  <c r="N113" i="4"/>
  <c r="U113" i="4"/>
  <c r="AA113" i="4"/>
  <c r="AI113" i="4"/>
  <c r="I113" i="4"/>
  <c r="O113" i="4"/>
  <c r="V113" i="4"/>
  <c r="AD113" i="4"/>
  <c r="AC101" i="4"/>
  <c r="S101" i="4"/>
  <c r="H101" i="4"/>
  <c r="E98" i="4"/>
  <c r="I98" i="4"/>
  <c r="M98" i="4"/>
  <c r="Q98" i="4"/>
  <c r="U98" i="4"/>
  <c r="Y98" i="4"/>
  <c r="AC98" i="4"/>
  <c r="AG98" i="4"/>
  <c r="F98" i="4"/>
  <c r="K98" i="4"/>
  <c r="P98" i="4"/>
  <c r="V98" i="4"/>
  <c r="AA98" i="4"/>
  <c r="AF98" i="4"/>
  <c r="G98" i="4"/>
  <c r="L98" i="4"/>
  <c r="R98" i="4"/>
  <c r="W98" i="4"/>
  <c r="AB98" i="4"/>
  <c r="AH98" i="4"/>
  <c r="AG86" i="4"/>
  <c r="M86" i="4"/>
  <c r="AI84" i="4"/>
  <c r="O84" i="4"/>
  <c r="E82" i="4"/>
  <c r="G82" i="4"/>
  <c r="M82" i="4"/>
  <c r="T82" i="4"/>
  <c r="AB82" i="4"/>
  <c r="AI82" i="4"/>
  <c r="H82" i="4"/>
  <c r="Q82" i="4"/>
  <c r="Y82" i="4"/>
  <c r="I82" i="4"/>
  <c r="S82" i="4"/>
  <c r="AC82" i="4"/>
  <c r="Y70" i="4"/>
  <c r="K70" i="4"/>
  <c r="AF69" i="4"/>
  <c r="V69" i="4"/>
  <c r="K69" i="4"/>
  <c r="E67" i="4"/>
  <c r="K67" i="4"/>
  <c r="L67" i="4"/>
  <c r="T67" i="4"/>
  <c r="AB67" i="4"/>
  <c r="G67" i="4"/>
  <c r="S67" i="4"/>
  <c r="AE67" i="4"/>
  <c r="H67" i="4"/>
  <c r="W67" i="4"/>
  <c r="AF67" i="4"/>
  <c r="AG61" i="4"/>
  <c r="M61" i="4"/>
  <c r="T45" i="4"/>
  <c r="G38" i="4"/>
  <c r="W38" i="4"/>
  <c r="O38" i="4"/>
  <c r="AI38" i="4"/>
  <c r="S38" i="4"/>
  <c r="K38" i="4"/>
  <c r="AA38" i="4"/>
  <c r="AE38" i="4"/>
  <c r="Y61" i="4"/>
  <c r="G61" i="4"/>
  <c r="G45" i="4"/>
  <c r="AE196" i="5"/>
  <c r="I119" i="5"/>
  <c r="H119" i="5"/>
  <c r="AC119" i="5"/>
  <c r="M119" i="5"/>
  <c r="AI119" i="5"/>
  <c r="S119" i="5"/>
  <c r="X119" i="5"/>
  <c r="U155" i="4"/>
  <c r="E137" i="4"/>
  <c r="F137" i="4"/>
  <c r="K137" i="4"/>
  <c r="P137" i="4"/>
  <c r="V137" i="4"/>
  <c r="AA137" i="4"/>
  <c r="AF137" i="4"/>
  <c r="AF135" i="4"/>
  <c r="AA135" i="4"/>
  <c r="V135" i="4"/>
  <c r="P135" i="4"/>
  <c r="K135" i="4"/>
  <c r="AD121" i="4"/>
  <c r="Y121" i="4"/>
  <c r="S121" i="4"/>
  <c r="K121" i="4"/>
  <c r="AI119" i="4"/>
  <c r="AB119" i="4"/>
  <c r="T119" i="4"/>
  <c r="M119" i="4"/>
  <c r="G117" i="4"/>
  <c r="M117" i="4"/>
  <c r="R117" i="4"/>
  <c r="W117" i="4"/>
  <c r="AC117" i="4"/>
  <c r="AH117" i="4"/>
  <c r="E115" i="4"/>
  <c r="K115" i="4"/>
  <c r="P115" i="4"/>
  <c r="U115" i="4"/>
  <c r="AA115" i="4"/>
  <c r="AF115" i="4"/>
  <c r="AI99" i="4"/>
  <c r="S99" i="4"/>
  <c r="E85" i="4"/>
  <c r="I85" i="4"/>
  <c r="M85" i="4"/>
  <c r="Q85" i="4"/>
  <c r="U85" i="4"/>
  <c r="Y85" i="4"/>
  <c r="AC85" i="4"/>
  <c r="AG85" i="4"/>
  <c r="AI83" i="4"/>
  <c r="Z83" i="4"/>
  <c r="O83" i="4"/>
  <c r="S63" i="4"/>
  <c r="N63" i="4"/>
  <c r="AH48" i="4"/>
  <c r="Z48" i="4"/>
  <c r="T48" i="4"/>
  <c r="M48" i="4"/>
  <c r="J46" i="4"/>
  <c r="R46" i="4"/>
  <c r="W46" i="4"/>
  <c r="AB46" i="4"/>
  <c r="AH46" i="4"/>
  <c r="F46" i="4"/>
  <c r="O46" i="4"/>
  <c r="X46" i="4"/>
  <c r="AE46" i="4"/>
  <c r="AD40" i="4"/>
  <c r="T40" i="4"/>
  <c r="AJ15" i="4"/>
  <c r="W213" i="5"/>
  <c r="AA210" i="5"/>
  <c r="R209" i="5"/>
  <c r="G170" i="5"/>
  <c r="L170" i="5"/>
  <c r="R170" i="5"/>
  <c r="W170" i="5"/>
  <c r="AB170" i="5"/>
  <c r="AH170" i="5"/>
  <c r="F170" i="5"/>
  <c r="N170" i="5"/>
  <c r="T170" i="5"/>
  <c r="AA170" i="5"/>
  <c r="AI170" i="5"/>
  <c r="H170" i="5"/>
  <c r="O170" i="5"/>
  <c r="V170" i="5"/>
  <c r="AD170" i="5"/>
  <c r="J170" i="5"/>
  <c r="P170" i="5"/>
  <c r="X170" i="5"/>
  <c r="AE170" i="5"/>
  <c r="AI100" i="5"/>
  <c r="E135" i="4"/>
  <c r="I135" i="4"/>
  <c r="M135" i="4"/>
  <c r="Q135" i="4"/>
  <c r="U135" i="4"/>
  <c r="Y135" i="4"/>
  <c r="AC135" i="4"/>
  <c r="AG135" i="4"/>
  <c r="G121" i="4"/>
  <c r="M121" i="4"/>
  <c r="R121" i="4"/>
  <c r="W121" i="4"/>
  <c r="AA121" i="4"/>
  <c r="AE121" i="4"/>
  <c r="AI121" i="4"/>
  <c r="E119" i="4"/>
  <c r="K119" i="4"/>
  <c r="P119" i="4"/>
  <c r="U119" i="4"/>
  <c r="AA119" i="4"/>
  <c r="AF119" i="4"/>
  <c r="G99" i="4"/>
  <c r="K99" i="4"/>
  <c r="V99" i="4"/>
  <c r="AH99" i="4"/>
  <c r="I97" i="4"/>
  <c r="N97" i="4"/>
  <c r="F83" i="4"/>
  <c r="J83" i="4"/>
  <c r="R83" i="4"/>
  <c r="X83" i="4"/>
  <c r="AE83" i="4"/>
  <c r="G48" i="4"/>
  <c r="K48" i="4"/>
  <c r="O48" i="4"/>
  <c r="S48" i="4"/>
  <c r="W48" i="4"/>
  <c r="AA48" i="4"/>
  <c r="AE48" i="4"/>
  <c r="AI48" i="4"/>
  <c r="F48" i="4"/>
  <c r="L48" i="4"/>
  <c r="Q48" i="4"/>
  <c r="V48" i="4"/>
  <c r="AB48" i="4"/>
  <c r="AG48" i="4"/>
  <c r="F40" i="4"/>
  <c r="G40" i="4"/>
  <c r="K40" i="4"/>
  <c r="O40" i="4"/>
  <c r="S40" i="4"/>
  <c r="W40" i="4"/>
  <c r="AA40" i="4"/>
  <c r="AE40" i="4"/>
  <c r="AI40" i="4"/>
  <c r="E40" i="4"/>
  <c r="L40" i="4"/>
  <c r="Q40" i="4"/>
  <c r="V40" i="4"/>
  <c r="AB40" i="4"/>
  <c r="AG40" i="4"/>
  <c r="H40" i="4"/>
  <c r="M40" i="4"/>
  <c r="R40" i="4"/>
  <c r="X40" i="4"/>
  <c r="AC40" i="4"/>
  <c r="AH40" i="4"/>
  <c r="H213" i="5"/>
  <c r="F213" i="5"/>
  <c r="K213" i="5"/>
  <c r="Q213" i="5"/>
  <c r="V213" i="5"/>
  <c r="AA213" i="5"/>
  <c r="AG213" i="5"/>
  <c r="E213" i="5"/>
  <c r="M213" i="5"/>
  <c r="S213" i="5"/>
  <c r="Z213" i="5"/>
  <c r="AH213" i="5"/>
  <c r="G213" i="5"/>
  <c r="N213" i="5"/>
  <c r="U213" i="5"/>
  <c r="AC213" i="5"/>
  <c r="AI213" i="5"/>
  <c r="F210" i="5"/>
  <c r="J210" i="5"/>
  <c r="N210" i="5"/>
  <c r="R210" i="5"/>
  <c r="V210" i="5"/>
  <c r="Z210" i="5"/>
  <c r="AD210" i="5"/>
  <c r="AH210" i="5"/>
  <c r="E210" i="5"/>
  <c r="K210" i="5"/>
  <c r="P210" i="5"/>
  <c r="U210" i="5"/>
  <c r="G210" i="5"/>
  <c r="L210" i="5"/>
  <c r="Q210" i="5"/>
  <c r="W210" i="5"/>
  <c r="AB210" i="5"/>
  <c r="AG210" i="5"/>
  <c r="H210" i="5"/>
  <c r="M210" i="5"/>
  <c r="S210" i="5"/>
  <c r="X210" i="5"/>
  <c r="AC210" i="5"/>
  <c r="AI210" i="5"/>
  <c r="G174" i="5"/>
  <c r="L174" i="5"/>
  <c r="R174" i="5"/>
  <c r="W174" i="5"/>
  <c r="AB174" i="5"/>
  <c r="AH174" i="5"/>
  <c r="F174" i="5"/>
  <c r="N174" i="5"/>
  <c r="T174" i="5"/>
  <c r="AA174" i="5"/>
  <c r="AI174" i="5"/>
  <c r="H174" i="5"/>
  <c r="O174" i="5"/>
  <c r="V174" i="5"/>
  <c r="AD174" i="5"/>
  <c r="J174" i="5"/>
  <c r="P174" i="5"/>
  <c r="X174" i="5"/>
  <c r="AE174" i="5"/>
  <c r="H209" i="5"/>
  <c r="E209" i="5"/>
  <c r="J209" i="5"/>
  <c r="O209" i="5"/>
  <c r="U209" i="5"/>
  <c r="Z209" i="5"/>
  <c r="AE209" i="5"/>
  <c r="F209" i="5"/>
  <c r="M209" i="5"/>
  <c r="S209" i="5"/>
  <c r="AA209" i="5"/>
  <c r="AH209" i="5"/>
  <c r="G209" i="5"/>
  <c r="N209" i="5"/>
  <c r="V209" i="5"/>
  <c r="AC209" i="5"/>
  <c r="AI209" i="5"/>
  <c r="I209" i="5"/>
  <c r="Q209" i="5"/>
  <c r="W209" i="5"/>
  <c r="AD209" i="5"/>
  <c r="H194" i="5"/>
  <c r="K194" i="5"/>
  <c r="AA194" i="5"/>
  <c r="G194" i="5"/>
  <c r="AE194" i="5"/>
  <c r="O194" i="5"/>
  <c r="AI194" i="5"/>
  <c r="S194" i="5"/>
  <c r="H100" i="5"/>
  <c r="F100" i="5"/>
  <c r="N100" i="5"/>
  <c r="V100" i="5"/>
  <c r="AD100" i="5"/>
  <c r="G100" i="5"/>
  <c r="O100" i="5"/>
  <c r="W100" i="5"/>
  <c r="AE100" i="5"/>
  <c r="J100" i="5"/>
  <c r="Z100" i="5"/>
  <c r="K100" i="5"/>
  <c r="AA100" i="5"/>
  <c r="R100" i="5"/>
  <c r="AH100" i="5"/>
  <c r="K72" i="5"/>
  <c r="T72" i="5"/>
  <c r="AE72" i="5"/>
  <c r="L72" i="5"/>
  <c r="W72" i="5"/>
  <c r="AF72" i="5"/>
  <c r="G72" i="5"/>
  <c r="AB72" i="5"/>
  <c r="O72" i="5"/>
  <c r="AI72" i="5"/>
  <c r="S72" i="5"/>
  <c r="E27" i="5"/>
  <c r="E28" i="5" s="1"/>
  <c r="AF211" i="6"/>
  <c r="P211" i="6"/>
  <c r="AE195" i="6"/>
  <c r="AI193" i="6"/>
  <c r="AB192" i="6"/>
  <c r="AF172" i="6"/>
  <c r="P172" i="6"/>
  <c r="Z170" i="6"/>
  <c r="G60" i="4"/>
  <c r="K60" i="4"/>
  <c r="O60" i="4"/>
  <c r="S60" i="4"/>
  <c r="W60" i="4"/>
  <c r="AA60" i="4"/>
  <c r="AE60" i="4"/>
  <c r="AI60" i="4"/>
  <c r="F49" i="4"/>
  <c r="E49" i="4"/>
  <c r="K49" i="4"/>
  <c r="P49" i="4"/>
  <c r="U49" i="4"/>
  <c r="AA49" i="4"/>
  <c r="AF49" i="4"/>
  <c r="E47" i="4"/>
  <c r="J47" i="4"/>
  <c r="O47" i="4"/>
  <c r="U47" i="4"/>
  <c r="Y47" i="4"/>
  <c r="AC47" i="4"/>
  <c r="AG47" i="4"/>
  <c r="F44" i="4"/>
  <c r="J44" i="4"/>
  <c r="N44" i="4"/>
  <c r="R44" i="4"/>
  <c r="V44" i="4"/>
  <c r="Z44" i="4"/>
  <c r="AD44" i="4"/>
  <c r="AH44" i="4"/>
  <c r="AE42" i="4"/>
  <c r="AB41" i="4"/>
  <c r="S41" i="4"/>
  <c r="AF37" i="4"/>
  <c r="Z37" i="4"/>
  <c r="U37" i="4"/>
  <c r="P37" i="4"/>
  <c r="E27" i="4"/>
  <c r="E28" i="4" s="1"/>
  <c r="AA212" i="5"/>
  <c r="AB211" i="5"/>
  <c r="P211" i="5"/>
  <c r="AA208" i="5"/>
  <c r="O208" i="5"/>
  <c r="AF206" i="5"/>
  <c r="Z206" i="5"/>
  <c r="U206" i="5"/>
  <c r="P206" i="5"/>
  <c r="J206" i="5"/>
  <c r="H195" i="5"/>
  <c r="F195" i="5"/>
  <c r="N195" i="5"/>
  <c r="V195" i="5"/>
  <c r="AD195" i="5"/>
  <c r="AI192" i="5"/>
  <c r="AA192" i="5"/>
  <c r="U192" i="5"/>
  <c r="N192" i="5"/>
  <c r="F192" i="5"/>
  <c r="AI190" i="5"/>
  <c r="O190" i="5"/>
  <c r="E189" i="5"/>
  <c r="I189" i="5"/>
  <c r="M189" i="5"/>
  <c r="Q189" i="5"/>
  <c r="U189" i="5"/>
  <c r="Y189" i="5"/>
  <c r="AC189" i="5"/>
  <c r="AG189" i="5"/>
  <c r="AA187" i="5"/>
  <c r="R187" i="5"/>
  <c r="AG176" i="5"/>
  <c r="AB176" i="5"/>
  <c r="V176" i="5"/>
  <c r="Q176" i="5"/>
  <c r="L176" i="5"/>
  <c r="F176" i="5"/>
  <c r="E175" i="5"/>
  <c r="J175" i="5"/>
  <c r="O175" i="5"/>
  <c r="U175" i="5"/>
  <c r="Y175" i="5"/>
  <c r="AC175" i="5"/>
  <c r="AG175" i="5"/>
  <c r="AB173" i="5"/>
  <c r="U173" i="5"/>
  <c r="O173" i="5"/>
  <c r="G173" i="5"/>
  <c r="F172" i="5"/>
  <c r="J172" i="5"/>
  <c r="N172" i="5"/>
  <c r="R172" i="5"/>
  <c r="V172" i="5"/>
  <c r="Z172" i="5"/>
  <c r="AD172" i="5"/>
  <c r="AH172" i="5"/>
  <c r="E171" i="5"/>
  <c r="J171" i="5"/>
  <c r="O171" i="5"/>
  <c r="U171" i="5"/>
  <c r="Z171" i="5"/>
  <c r="AE171" i="5"/>
  <c r="AB169" i="5"/>
  <c r="U169" i="5"/>
  <c r="O169" i="5"/>
  <c r="G169" i="5"/>
  <c r="F168" i="5"/>
  <c r="J168" i="5"/>
  <c r="N168" i="5"/>
  <c r="R168" i="5"/>
  <c r="V168" i="5"/>
  <c r="Z168" i="5"/>
  <c r="AD168" i="5"/>
  <c r="AH168" i="5"/>
  <c r="S158" i="5"/>
  <c r="AH157" i="5"/>
  <c r="AA157" i="5"/>
  <c r="T157" i="5"/>
  <c r="L157" i="5"/>
  <c r="AE156" i="5"/>
  <c r="S156" i="5"/>
  <c r="I156" i="5"/>
  <c r="G155" i="5"/>
  <c r="K155" i="5"/>
  <c r="O155" i="5"/>
  <c r="S155" i="5"/>
  <c r="W155" i="5"/>
  <c r="AA155" i="5"/>
  <c r="AE155" i="5"/>
  <c r="AI155" i="5"/>
  <c r="AA154" i="5"/>
  <c r="Q154" i="5"/>
  <c r="AF153" i="5"/>
  <c r="Z153" i="5"/>
  <c r="P153" i="5"/>
  <c r="AF151" i="5"/>
  <c r="X151" i="5"/>
  <c r="P151" i="5"/>
  <c r="H151" i="5"/>
  <c r="F141" i="5"/>
  <c r="E141" i="5"/>
  <c r="M141" i="5"/>
  <c r="U141" i="5"/>
  <c r="AC141" i="5"/>
  <c r="G141" i="5"/>
  <c r="O141" i="5"/>
  <c r="W141" i="5"/>
  <c r="AE141" i="5"/>
  <c r="AI139" i="5"/>
  <c r="T139" i="5"/>
  <c r="AI136" i="5"/>
  <c r="T136" i="5"/>
  <c r="AB135" i="5"/>
  <c r="Q135" i="5"/>
  <c r="AF134" i="5"/>
  <c r="X134" i="5"/>
  <c r="P134" i="5"/>
  <c r="H134" i="5"/>
  <c r="J120" i="5"/>
  <c r="N120" i="5"/>
  <c r="AI120" i="5"/>
  <c r="S120" i="5"/>
  <c r="J116" i="5"/>
  <c r="H116" i="5"/>
  <c r="AD116" i="5"/>
  <c r="N116" i="5"/>
  <c r="AI116" i="5"/>
  <c r="AA115" i="5"/>
  <c r="P115" i="5"/>
  <c r="V113" i="5"/>
  <c r="F102" i="5"/>
  <c r="E102" i="5"/>
  <c r="K102" i="5"/>
  <c r="P102" i="5"/>
  <c r="U102" i="5"/>
  <c r="AA102" i="5"/>
  <c r="AF102" i="5"/>
  <c r="G102" i="5"/>
  <c r="L102" i="5"/>
  <c r="Q102" i="5"/>
  <c r="W102" i="5"/>
  <c r="AB102" i="5"/>
  <c r="AG102" i="5"/>
  <c r="AI86" i="5"/>
  <c r="N86" i="5"/>
  <c r="AB85" i="5"/>
  <c r="E83" i="5"/>
  <c r="I83" i="5"/>
  <c r="M83" i="5"/>
  <c r="Q83" i="5"/>
  <c r="U83" i="5"/>
  <c r="Y83" i="5"/>
  <c r="AC83" i="5"/>
  <c r="AG83" i="5"/>
  <c r="F83" i="5"/>
  <c r="J83" i="5"/>
  <c r="N83" i="5"/>
  <c r="R83" i="5"/>
  <c r="V83" i="5"/>
  <c r="Z83" i="5"/>
  <c r="AD83" i="5"/>
  <c r="AH83" i="5"/>
  <c r="E71" i="5"/>
  <c r="I71" i="5"/>
  <c r="M71" i="5"/>
  <c r="Q71" i="5"/>
  <c r="U71" i="5"/>
  <c r="Y71" i="5"/>
  <c r="AC71" i="5"/>
  <c r="AG71" i="5"/>
  <c r="F71" i="5"/>
  <c r="J71" i="5"/>
  <c r="N71" i="5"/>
  <c r="R71" i="5"/>
  <c r="V71" i="5"/>
  <c r="Z71" i="5"/>
  <c r="AD71" i="5"/>
  <c r="AH71" i="5"/>
  <c r="V69" i="5"/>
  <c r="G68" i="5"/>
  <c r="AA68" i="5"/>
  <c r="K68" i="5"/>
  <c r="AI68" i="5"/>
  <c r="H65" i="5"/>
  <c r="F65" i="5"/>
  <c r="N65" i="5"/>
  <c r="V65" i="5"/>
  <c r="AD65" i="5"/>
  <c r="G65" i="5"/>
  <c r="O65" i="5"/>
  <c r="W65" i="5"/>
  <c r="AE65" i="5"/>
  <c r="J62" i="5"/>
  <c r="G62" i="5"/>
  <c r="N62" i="5"/>
  <c r="T62" i="5"/>
  <c r="Z62" i="5"/>
  <c r="AE62" i="5"/>
  <c r="H62" i="5"/>
  <c r="P62" i="5"/>
  <c r="V62" i="5"/>
  <c r="AA62" i="5"/>
  <c r="AF62" i="5"/>
  <c r="E60" i="5"/>
  <c r="I60" i="5"/>
  <c r="M60" i="5"/>
  <c r="Q60" i="5"/>
  <c r="U60" i="5"/>
  <c r="Y60" i="5"/>
  <c r="AC60" i="5"/>
  <c r="AG60" i="5"/>
  <c r="F60" i="5"/>
  <c r="J60" i="5"/>
  <c r="N60" i="5"/>
  <c r="R60" i="5"/>
  <c r="V60" i="5"/>
  <c r="Z60" i="5"/>
  <c r="AD60" i="5"/>
  <c r="AH60" i="5"/>
  <c r="AI47" i="5"/>
  <c r="N47" i="5"/>
  <c r="X45" i="5"/>
  <c r="F43" i="5"/>
  <c r="G43" i="5"/>
  <c r="R43" i="5"/>
  <c r="AA43" i="5"/>
  <c r="J43" i="5"/>
  <c r="S43" i="5"/>
  <c r="AE43" i="5"/>
  <c r="K43" i="5"/>
  <c r="W43" i="5"/>
  <c r="AH43" i="5"/>
  <c r="G42" i="5"/>
  <c r="O42" i="5"/>
  <c r="W42" i="5"/>
  <c r="AE42" i="5"/>
  <c r="H42" i="5"/>
  <c r="P42" i="5"/>
  <c r="X42" i="5"/>
  <c r="AF42" i="5"/>
  <c r="K42" i="5"/>
  <c r="S42" i="5"/>
  <c r="AA42" i="5"/>
  <c r="AI42" i="5"/>
  <c r="AG40" i="5"/>
  <c r="N40" i="5"/>
  <c r="X37" i="5"/>
  <c r="AJ15" i="5"/>
  <c r="AB211" i="6"/>
  <c r="L211" i="6"/>
  <c r="F195" i="6"/>
  <c r="E195" i="6"/>
  <c r="K195" i="6"/>
  <c r="P195" i="6"/>
  <c r="U195" i="6"/>
  <c r="AA195" i="6"/>
  <c r="AF195" i="6"/>
  <c r="G195" i="6"/>
  <c r="L195" i="6"/>
  <c r="Q195" i="6"/>
  <c r="W195" i="6"/>
  <c r="AB195" i="6"/>
  <c r="AG195" i="6"/>
  <c r="H195" i="6"/>
  <c r="M195" i="6"/>
  <c r="S195" i="6"/>
  <c r="X195" i="6"/>
  <c r="AC195" i="6"/>
  <c r="AI195" i="6"/>
  <c r="W193" i="6"/>
  <c r="T192" i="6"/>
  <c r="AB172" i="6"/>
  <c r="L172" i="6"/>
  <c r="S170" i="6"/>
  <c r="H156" i="6"/>
  <c r="AC156" i="6"/>
  <c r="M156" i="6"/>
  <c r="AI156" i="6"/>
  <c r="S156" i="6"/>
  <c r="G42" i="4"/>
  <c r="W42" i="4"/>
  <c r="E41" i="4"/>
  <c r="G41" i="4"/>
  <c r="O41" i="4"/>
  <c r="W41" i="4"/>
  <c r="AE41" i="4"/>
  <c r="E37" i="4"/>
  <c r="H37" i="4"/>
  <c r="O37" i="4"/>
  <c r="S37" i="4"/>
  <c r="W37" i="4"/>
  <c r="AA37" i="4"/>
  <c r="AE37" i="4"/>
  <c r="AI37" i="4"/>
  <c r="H212" i="5"/>
  <c r="O212" i="5"/>
  <c r="AE212" i="5"/>
  <c r="E211" i="5"/>
  <c r="K211" i="5"/>
  <c r="S211" i="5"/>
  <c r="AA211" i="5"/>
  <c r="AI211" i="5"/>
  <c r="H208" i="5"/>
  <c r="J208" i="5"/>
  <c r="R208" i="5"/>
  <c r="Z208" i="5"/>
  <c r="AH208" i="5"/>
  <c r="G206" i="5"/>
  <c r="K206" i="5"/>
  <c r="O206" i="5"/>
  <c r="S206" i="5"/>
  <c r="W206" i="5"/>
  <c r="AA206" i="5"/>
  <c r="AE206" i="5"/>
  <c r="AI206" i="5"/>
  <c r="AG192" i="5"/>
  <c r="Z192" i="5"/>
  <c r="S192" i="5"/>
  <c r="K192" i="5"/>
  <c r="AE190" i="5"/>
  <c r="H187" i="5"/>
  <c r="G187" i="5"/>
  <c r="O187" i="5"/>
  <c r="W187" i="5"/>
  <c r="AE187" i="5"/>
  <c r="AF176" i="5"/>
  <c r="Z176" i="5"/>
  <c r="U176" i="5"/>
  <c r="P176" i="5"/>
  <c r="J176" i="5"/>
  <c r="AG173" i="5"/>
  <c r="AA173" i="5"/>
  <c r="T173" i="5"/>
  <c r="L173" i="5"/>
  <c r="AG169" i="5"/>
  <c r="AA169" i="5"/>
  <c r="T169" i="5"/>
  <c r="L169" i="5"/>
  <c r="E157" i="5"/>
  <c r="H157" i="5"/>
  <c r="N157" i="5"/>
  <c r="S157" i="5"/>
  <c r="X157" i="5"/>
  <c r="AD157" i="5"/>
  <c r="AI157" i="5"/>
  <c r="AA156" i="5"/>
  <c r="Q156" i="5"/>
  <c r="F154" i="5"/>
  <c r="E154" i="5"/>
  <c r="M154" i="5"/>
  <c r="U154" i="5"/>
  <c r="AC154" i="5"/>
  <c r="E153" i="5"/>
  <c r="G153" i="5"/>
  <c r="L153" i="5"/>
  <c r="R153" i="5"/>
  <c r="W153" i="5"/>
  <c r="AB153" i="5"/>
  <c r="AH153" i="5"/>
  <c r="H153" i="5"/>
  <c r="N153" i="5"/>
  <c r="S153" i="5"/>
  <c r="AC151" i="5"/>
  <c r="U151" i="5"/>
  <c r="M151" i="5"/>
  <c r="E139" i="5"/>
  <c r="H139" i="5"/>
  <c r="O139" i="5"/>
  <c r="W139" i="5"/>
  <c r="AC139" i="5"/>
  <c r="I139" i="5"/>
  <c r="Q139" i="5"/>
  <c r="X139" i="5"/>
  <c r="AE139" i="5"/>
  <c r="F136" i="5"/>
  <c r="H136" i="5"/>
  <c r="O136" i="5"/>
  <c r="W136" i="5"/>
  <c r="AD136" i="5"/>
  <c r="J136" i="5"/>
  <c r="R136" i="5"/>
  <c r="X136" i="5"/>
  <c r="AE136" i="5"/>
  <c r="G135" i="5"/>
  <c r="M135" i="5"/>
  <c r="S135" i="5"/>
  <c r="X135" i="5"/>
  <c r="AC135" i="5"/>
  <c r="AI135" i="5"/>
  <c r="I135" i="5"/>
  <c r="O135" i="5"/>
  <c r="T135" i="5"/>
  <c r="Y135" i="5"/>
  <c r="AE135" i="5"/>
  <c r="AE134" i="5"/>
  <c r="W134" i="5"/>
  <c r="O134" i="5"/>
  <c r="E117" i="5"/>
  <c r="N117" i="5"/>
  <c r="AI117" i="5"/>
  <c r="S117" i="5"/>
  <c r="F115" i="5"/>
  <c r="G115" i="5"/>
  <c r="L115" i="5"/>
  <c r="Q115" i="5"/>
  <c r="W115" i="5"/>
  <c r="AB115" i="5"/>
  <c r="AG115" i="5"/>
  <c r="H115" i="5"/>
  <c r="M115" i="5"/>
  <c r="S115" i="5"/>
  <c r="X115" i="5"/>
  <c r="AC115" i="5"/>
  <c r="AI115" i="5"/>
  <c r="G113" i="5"/>
  <c r="O113" i="5"/>
  <c r="W113" i="5"/>
  <c r="AE113" i="5"/>
  <c r="J113" i="5"/>
  <c r="R113" i="5"/>
  <c r="Z113" i="5"/>
  <c r="AH113" i="5"/>
  <c r="H98" i="5"/>
  <c r="N98" i="5"/>
  <c r="S98" i="5"/>
  <c r="AH86" i="5"/>
  <c r="J85" i="5"/>
  <c r="H85" i="5"/>
  <c r="S85" i="5"/>
  <c r="AD85" i="5"/>
  <c r="L85" i="5"/>
  <c r="W85" i="5"/>
  <c r="AH85" i="5"/>
  <c r="H69" i="5"/>
  <c r="G69" i="5"/>
  <c r="O69" i="5"/>
  <c r="W69" i="5"/>
  <c r="AE69" i="5"/>
  <c r="J69" i="5"/>
  <c r="R69" i="5"/>
  <c r="Z69" i="5"/>
  <c r="AH69" i="5"/>
  <c r="AD47" i="5"/>
  <c r="E45" i="5"/>
  <c r="I45" i="5"/>
  <c r="M45" i="5"/>
  <c r="Q45" i="5"/>
  <c r="U45" i="5"/>
  <c r="Y45" i="5"/>
  <c r="AC45" i="5"/>
  <c r="AG45" i="5"/>
  <c r="F45" i="5"/>
  <c r="J45" i="5"/>
  <c r="N45" i="5"/>
  <c r="R45" i="5"/>
  <c r="V45" i="5"/>
  <c r="Z45" i="5"/>
  <c r="AD45" i="5"/>
  <c r="AH45" i="5"/>
  <c r="G45" i="5"/>
  <c r="K45" i="5"/>
  <c r="O45" i="5"/>
  <c r="S45" i="5"/>
  <c r="W45" i="5"/>
  <c r="AA45" i="5"/>
  <c r="AE45" i="5"/>
  <c r="AI45" i="5"/>
  <c r="AC40" i="5"/>
  <c r="E37" i="5"/>
  <c r="I37" i="5"/>
  <c r="M37" i="5"/>
  <c r="Q37" i="5"/>
  <c r="U37" i="5"/>
  <c r="Y37" i="5"/>
  <c r="AC37" i="5"/>
  <c r="AG37" i="5"/>
  <c r="F37" i="5"/>
  <c r="J37" i="5"/>
  <c r="N37" i="5"/>
  <c r="R37" i="5"/>
  <c r="V37" i="5"/>
  <c r="Z37" i="5"/>
  <c r="AD37" i="5"/>
  <c r="AH37" i="5"/>
  <c r="G37" i="5"/>
  <c r="K37" i="5"/>
  <c r="O37" i="5"/>
  <c r="S37" i="5"/>
  <c r="W37" i="5"/>
  <c r="AA37" i="5"/>
  <c r="AE37" i="5"/>
  <c r="AI37" i="5"/>
  <c r="AJ14" i="5"/>
  <c r="X211" i="6"/>
  <c r="X172" i="6"/>
  <c r="H192" i="5"/>
  <c r="G192" i="5"/>
  <c r="M192" i="5"/>
  <c r="R192" i="5"/>
  <c r="W192" i="5"/>
  <c r="AC192" i="5"/>
  <c r="AH192" i="5"/>
  <c r="H190" i="5"/>
  <c r="K190" i="5"/>
  <c r="AA190" i="5"/>
  <c r="G176" i="5"/>
  <c r="K176" i="5"/>
  <c r="O176" i="5"/>
  <c r="S176" i="5"/>
  <c r="W176" i="5"/>
  <c r="AA176" i="5"/>
  <c r="AE176" i="5"/>
  <c r="AI176" i="5"/>
  <c r="H173" i="5"/>
  <c r="M173" i="5"/>
  <c r="S173" i="5"/>
  <c r="X173" i="5"/>
  <c r="AC173" i="5"/>
  <c r="AI173" i="5"/>
  <c r="H169" i="5"/>
  <c r="M169" i="5"/>
  <c r="S169" i="5"/>
  <c r="X169" i="5"/>
  <c r="AC169" i="5"/>
  <c r="AI169" i="5"/>
  <c r="N158" i="5"/>
  <c r="AI158" i="5"/>
  <c r="E156" i="5"/>
  <c r="M156" i="5"/>
  <c r="U156" i="5"/>
  <c r="AC156" i="5"/>
  <c r="F151" i="5"/>
  <c r="J151" i="5"/>
  <c r="N151" i="5"/>
  <c r="R151" i="5"/>
  <c r="V151" i="5"/>
  <c r="Z151" i="5"/>
  <c r="AD151" i="5"/>
  <c r="AH151" i="5"/>
  <c r="G151" i="5"/>
  <c r="K151" i="5"/>
  <c r="O151" i="5"/>
  <c r="S151" i="5"/>
  <c r="W151" i="5"/>
  <c r="AA151" i="5"/>
  <c r="AE151" i="5"/>
  <c r="AI151" i="5"/>
  <c r="E134" i="5"/>
  <c r="I134" i="5"/>
  <c r="M134" i="5"/>
  <c r="Q134" i="5"/>
  <c r="U134" i="5"/>
  <c r="Y134" i="5"/>
  <c r="AC134" i="5"/>
  <c r="AG134" i="5"/>
  <c r="F134" i="5"/>
  <c r="J134" i="5"/>
  <c r="N134" i="5"/>
  <c r="R134" i="5"/>
  <c r="V134" i="5"/>
  <c r="Z134" i="5"/>
  <c r="AD134" i="5"/>
  <c r="AH134" i="5"/>
  <c r="E86" i="5"/>
  <c r="G86" i="5"/>
  <c r="R86" i="5"/>
  <c r="AC86" i="5"/>
  <c r="I86" i="5"/>
  <c r="S86" i="5"/>
  <c r="AD86" i="5"/>
  <c r="H47" i="5"/>
  <c r="E47" i="5"/>
  <c r="J47" i="5"/>
  <c r="O47" i="5"/>
  <c r="U47" i="5"/>
  <c r="Z47" i="5"/>
  <c r="AE47" i="5"/>
  <c r="F47" i="5"/>
  <c r="K47" i="5"/>
  <c r="Q47" i="5"/>
  <c r="V47" i="5"/>
  <c r="AA47" i="5"/>
  <c r="AG47" i="5"/>
  <c r="G47" i="5"/>
  <c r="M47" i="5"/>
  <c r="R47" i="5"/>
  <c r="W47" i="5"/>
  <c r="AC47" i="5"/>
  <c r="AH47" i="5"/>
  <c r="H40" i="5"/>
  <c r="E40" i="5"/>
  <c r="J40" i="5"/>
  <c r="O40" i="5"/>
  <c r="U40" i="5"/>
  <c r="Z40" i="5"/>
  <c r="AD40" i="5"/>
  <c r="AH40" i="5"/>
  <c r="F40" i="5"/>
  <c r="K40" i="5"/>
  <c r="Q40" i="5"/>
  <c r="V40" i="5"/>
  <c r="AA40" i="5"/>
  <c r="AE40" i="5"/>
  <c r="AI40" i="5"/>
  <c r="G40" i="5"/>
  <c r="M40" i="5"/>
  <c r="R40" i="5"/>
  <c r="W40" i="5"/>
  <c r="AB40" i="5"/>
  <c r="AF40" i="5"/>
  <c r="E211" i="6"/>
  <c r="I211" i="6"/>
  <c r="M211" i="6"/>
  <c r="Q211" i="6"/>
  <c r="U211" i="6"/>
  <c r="Y211" i="6"/>
  <c r="AC211" i="6"/>
  <c r="AG211" i="6"/>
  <c r="F211" i="6"/>
  <c r="J211" i="6"/>
  <c r="N211" i="6"/>
  <c r="R211" i="6"/>
  <c r="V211" i="6"/>
  <c r="Z211" i="6"/>
  <c r="AD211" i="6"/>
  <c r="AH211" i="6"/>
  <c r="G211" i="6"/>
  <c r="K211" i="6"/>
  <c r="O211" i="6"/>
  <c r="S211" i="6"/>
  <c r="W211" i="6"/>
  <c r="AA211" i="6"/>
  <c r="AE211" i="6"/>
  <c r="AI211" i="6"/>
  <c r="F193" i="6"/>
  <c r="O193" i="6"/>
  <c r="AA193" i="6"/>
  <c r="G193" i="6"/>
  <c r="S193" i="6"/>
  <c r="AD193" i="6"/>
  <c r="K193" i="6"/>
  <c r="V193" i="6"/>
  <c r="AE193" i="6"/>
  <c r="E192" i="6"/>
  <c r="G192" i="6"/>
  <c r="O192" i="6"/>
  <c r="W192" i="6"/>
  <c r="AE192" i="6"/>
  <c r="H192" i="6"/>
  <c r="P192" i="6"/>
  <c r="X192" i="6"/>
  <c r="AF192" i="6"/>
  <c r="K192" i="6"/>
  <c r="S192" i="6"/>
  <c r="AA192" i="6"/>
  <c r="AI192" i="6"/>
  <c r="E172" i="6"/>
  <c r="I172" i="6"/>
  <c r="M172" i="6"/>
  <c r="Q172" i="6"/>
  <c r="U172" i="6"/>
  <c r="Y172" i="6"/>
  <c r="AC172" i="6"/>
  <c r="AG172" i="6"/>
  <c r="F172" i="6"/>
  <c r="J172" i="6"/>
  <c r="N172" i="6"/>
  <c r="R172" i="6"/>
  <c r="V172" i="6"/>
  <c r="Z172" i="6"/>
  <c r="AD172" i="6"/>
  <c r="AH172" i="6"/>
  <c r="G172" i="6"/>
  <c r="K172" i="6"/>
  <c r="O172" i="6"/>
  <c r="S172" i="6"/>
  <c r="W172" i="6"/>
  <c r="AA172" i="6"/>
  <c r="AE172" i="6"/>
  <c r="AI172" i="6"/>
  <c r="F170" i="6"/>
  <c r="N170" i="6"/>
  <c r="T170" i="6"/>
  <c r="AA170" i="6"/>
  <c r="AI170" i="6"/>
  <c r="H170" i="6"/>
  <c r="O170" i="6"/>
  <c r="V170" i="6"/>
  <c r="AD170" i="6"/>
  <c r="J170" i="6"/>
  <c r="P170" i="6"/>
  <c r="X170" i="6"/>
  <c r="AE170" i="6"/>
  <c r="F114" i="6"/>
  <c r="H114" i="6"/>
  <c r="M114" i="6"/>
  <c r="S114" i="6"/>
  <c r="X114" i="6"/>
  <c r="AC114" i="6"/>
  <c r="AI114" i="6"/>
  <c r="N100" i="6"/>
  <c r="AI100" i="6"/>
  <c r="E99" i="6"/>
  <c r="K99" i="6"/>
  <c r="P99" i="6"/>
  <c r="U99" i="6"/>
  <c r="AA99" i="6"/>
  <c r="AF99" i="6"/>
  <c r="F83" i="6"/>
  <c r="N83" i="6"/>
  <c r="T83" i="6"/>
  <c r="AA83" i="6"/>
  <c r="AI83" i="6"/>
  <c r="H67" i="6"/>
  <c r="J67" i="6"/>
  <c r="R67" i="6"/>
  <c r="Z67" i="6"/>
  <c r="AH67" i="6"/>
  <c r="I65" i="6"/>
  <c r="S65" i="6"/>
  <c r="AC65" i="6"/>
  <c r="F37" i="6"/>
  <c r="J37" i="6"/>
  <c r="N37" i="6"/>
  <c r="R37" i="6"/>
  <c r="V37" i="6"/>
  <c r="Z37" i="6"/>
  <c r="AD37" i="6"/>
  <c r="AH37" i="6"/>
  <c r="H213" i="7"/>
  <c r="E213" i="7"/>
  <c r="J213" i="7"/>
  <c r="O213" i="7"/>
  <c r="U213" i="7"/>
  <c r="Z213" i="7"/>
  <c r="AE213" i="7"/>
  <c r="G213" i="7"/>
  <c r="M213" i="7"/>
  <c r="R213" i="7"/>
  <c r="W213" i="7"/>
  <c r="AC213" i="7"/>
  <c r="AH213" i="7"/>
  <c r="E173" i="7"/>
  <c r="K173" i="7"/>
  <c r="P173" i="7"/>
  <c r="U173" i="7"/>
  <c r="AA173" i="7"/>
  <c r="AF173" i="7"/>
  <c r="H173" i="7"/>
  <c r="M173" i="7"/>
  <c r="S173" i="7"/>
  <c r="X173" i="7"/>
  <c r="AC173" i="7"/>
  <c r="AI173" i="7"/>
  <c r="E169" i="7"/>
  <c r="K169" i="7"/>
  <c r="P169" i="7"/>
  <c r="G169" i="7"/>
  <c r="M169" i="7"/>
  <c r="T169" i="7"/>
  <c r="Y169" i="7"/>
  <c r="AE169" i="7"/>
  <c r="H169" i="7"/>
  <c r="O169" i="7"/>
  <c r="U169" i="7"/>
  <c r="AA169" i="7"/>
  <c r="AF169" i="7"/>
  <c r="I169" i="7"/>
  <c r="Q169" i="7"/>
  <c r="W169" i="7"/>
  <c r="AB169" i="7"/>
  <c r="AG169" i="7"/>
  <c r="S141" i="7"/>
  <c r="K141" i="7"/>
  <c r="AA141" i="7"/>
  <c r="AI141" i="7"/>
  <c r="F139" i="7"/>
  <c r="H139" i="7"/>
  <c r="M139" i="7"/>
  <c r="S139" i="7"/>
  <c r="X139" i="7"/>
  <c r="AC139" i="7"/>
  <c r="AI139" i="7"/>
  <c r="E139" i="7"/>
  <c r="L139" i="7"/>
  <c r="T139" i="7"/>
  <c r="AA139" i="7"/>
  <c r="AG139" i="7"/>
  <c r="G139" i="7"/>
  <c r="O139" i="7"/>
  <c r="U139" i="7"/>
  <c r="AB139" i="7"/>
  <c r="I139" i="7"/>
  <c r="P139" i="7"/>
  <c r="W139" i="7"/>
  <c r="AE139" i="7"/>
  <c r="G86" i="7"/>
  <c r="K86" i="7"/>
  <c r="O86" i="7"/>
  <c r="S86" i="7"/>
  <c r="W86" i="7"/>
  <c r="AA86" i="7"/>
  <c r="AE86" i="7"/>
  <c r="AI86" i="7"/>
  <c r="E86" i="7"/>
  <c r="J86" i="7"/>
  <c r="P86" i="7"/>
  <c r="U86" i="7"/>
  <c r="Z86" i="7"/>
  <c r="AF86" i="7"/>
  <c r="F86" i="7"/>
  <c r="L86" i="7"/>
  <c r="Q86" i="7"/>
  <c r="V86" i="7"/>
  <c r="AB86" i="7"/>
  <c r="AG86" i="7"/>
  <c r="H86" i="7"/>
  <c r="M86" i="7"/>
  <c r="R86" i="7"/>
  <c r="X86" i="7"/>
  <c r="AC86" i="7"/>
  <c r="AH86" i="7"/>
  <c r="H207" i="9"/>
  <c r="G207" i="9"/>
  <c r="M207" i="9"/>
  <c r="R207" i="9"/>
  <c r="W207" i="9"/>
  <c r="AC207" i="9"/>
  <c r="AH207" i="9"/>
  <c r="E207" i="9"/>
  <c r="K207" i="9"/>
  <c r="S207" i="9"/>
  <c r="Z207" i="9"/>
  <c r="AG207" i="9"/>
  <c r="F207" i="9"/>
  <c r="N207" i="9"/>
  <c r="U207" i="9"/>
  <c r="AA207" i="9"/>
  <c r="AI207" i="9"/>
  <c r="I207" i="9"/>
  <c r="O207" i="9"/>
  <c r="V207" i="9"/>
  <c r="AD207" i="9"/>
  <c r="J207" i="9"/>
  <c r="Q207" i="9"/>
  <c r="Y207" i="9"/>
  <c r="AE207" i="9"/>
  <c r="AJ25" i="10"/>
  <c r="J25" i="16" s="1"/>
  <c r="AI139" i="6"/>
  <c r="AC139" i="6"/>
  <c r="X139" i="6"/>
  <c r="S139" i="6"/>
  <c r="M139" i="6"/>
  <c r="H139" i="6"/>
  <c r="G134" i="6"/>
  <c r="K134" i="6"/>
  <c r="O134" i="6"/>
  <c r="S134" i="6"/>
  <c r="W134" i="6"/>
  <c r="AA134" i="6"/>
  <c r="AE134" i="6"/>
  <c r="AI134" i="6"/>
  <c r="G117" i="6"/>
  <c r="K117" i="6"/>
  <c r="O117" i="6"/>
  <c r="S117" i="6"/>
  <c r="W117" i="6"/>
  <c r="AA117" i="6"/>
  <c r="AE117" i="6"/>
  <c r="AI117" i="6"/>
  <c r="H115" i="6"/>
  <c r="K115" i="6"/>
  <c r="AA115" i="6"/>
  <c r="AE114" i="6"/>
  <c r="W114" i="6"/>
  <c r="P114" i="6"/>
  <c r="I114" i="6"/>
  <c r="E113" i="6"/>
  <c r="I113" i="6"/>
  <c r="M113" i="6"/>
  <c r="Q113" i="6"/>
  <c r="U113" i="6"/>
  <c r="Y113" i="6"/>
  <c r="AC113" i="6"/>
  <c r="AG113" i="6"/>
  <c r="X100" i="6"/>
  <c r="AE99" i="6"/>
  <c r="X99" i="6"/>
  <c r="Q99" i="6"/>
  <c r="I99" i="6"/>
  <c r="H96" i="6"/>
  <c r="N96" i="6"/>
  <c r="S96" i="6"/>
  <c r="X96" i="6"/>
  <c r="AD96" i="6"/>
  <c r="AI96" i="6"/>
  <c r="I86" i="6"/>
  <c r="P86" i="6"/>
  <c r="X86" i="6"/>
  <c r="AE86" i="6"/>
  <c r="AE83" i="6"/>
  <c r="V83" i="6"/>
  <c r="K83" i="6"/>
  <c r="AE67" i="6"/>
  <c r="V67" i="6"/>
  <c r="K67" i="6"/>
  <c r="AB65" i="6"/>
  <c r="N65" i="6"/>
  <c r="F62" i="6"/>
  <c r="J62" i="6"/>
  <c r="N62" i="6"/>
  <c r="R62" i="6"/>
  <c r="V62" i="6"/>
  <c r="Z62" i="6"/>
  <c r="AD62" i="6"/>
  <c r="AH62" i="6"/>
  <c r="G44" i="6"/>
  <c r="K44" i="6"/>
  <c r="O44" i="6"/>
  <c r="S44" i="6"/>
  <c r="W44" i="6"/>
  <c r="AA44" i="6"/>
  <c r="AE44" i="6"/>
  <c r="AI44" i="6"/>
  <c r="AI37" i="6"/>
  <c r="AC37" i="6"/>
  <c r="X37" i="6"/>
  <c r="S37" i="6"/>
  <c r="M37" i="6"/>
  <c r="H37" i="6"/>
  <c r="AJ14" i="6"/>
  <c r="AG213" i="7"/>
  <c r="V213" i="7"/>
  <c r="K213" i="7"/>
  <c r="H212" i="7"/>
  <c r="J212" i="7"/>
  <c r="R212" i="7"/>
  <c r="Z212" i="7"/>
  <c r="AH212" i="7"/>
  <c r="F212" i="7"/>
  <c r="N212" i="7"/>
  <c r="V212" i="7"/>
  <c r="AD212" i="7"/>
  <c r="AG173" i="7"/>
  <c r="W173" i="7"/>
  <c r="L173" i="7"/>
  <c r="G172" i="7"/>
  <c r="K172" i="7"/>
  <c r="O172" i="7"/>
  <c r="S172" i="7"/>
  <c r="W172" i="7"/>
  <c r="AA172" i="7"/>
  <c r="AE172" i="7"/>
  <c r="AI172" i="7"/>
  <c r="E172" i="7"/>
  <c r="I172" i="7"/>
  <c r="M172" i="7"/>
  <c r="Q172" i="7"/>
  <c r="U172" i="7"/>
  <c r="Y172" i="7"/>
  <c r="AC172" i="7"/>
  <c r="AG172" i="7"/>
  <c r="X169" i="7"/>
  <c r="Y139" i="7"/>
  <c r="T86" i="7"/>
  <c r="H85" i="7"/>
  <c r="F85" i="7"/>
  <c r="K85" i="7"/>
  <c r="Q85" i="7"/>
  <c r="V85" i="7"/>
  <c r="AA85" i="7"/>
  <c r="AG85" i="7"/>
  <c r="E85" i="7"/>
  <c r="M85" i="7"/>
  <c r="S85" i="7"/>
  <c r="Z85" i="7"/>
  <c r="AH85" i="7"/>
  <c r="G85" i="7"/>
  <c r="N85" i="7"/>
  <c r="U85" i="7"/>
  <c r="AC85" i="7"/>
  <c r="AI85" i="7"/>
  <c r="I85" i="7"/>
  <c r="O85" i="7"/>
  <c r="W85" i="7"/>
  <c r="AD85" i="7"/>
  <c r="E71" i="7"/>
  <c r="K71" i="7"/>
  <c r="S71" i="7"/>
  <c r="AA71" i="7"/>
  <c r="AI71" i="7"/>
  <c r="G71" i="7"/>
  <c r="P71" i="7"/>
  <c r="AB71" i="7"/>
  <c r="H71" i="7"/>
  <c r="T71" i="7"/>
  <c r="AE71" i="7"/>
  <c r="L71" i="7"/>
  <c r="W71" i="7"/>
  <c r="AF71" i="7"/>
  <c r="G66" i="7"/>
  <c r="K66" i="7"/>
  <c r="O66" i="7"/>
  <c r="S66" i="7"/>
  <c r="W66" i="7"/>
  <c r="AA66" i="7"/>
  <c r="AE66" i="7"/>
  <c r="AI66" i="7"/>
  <c r="E66" i="7"/>
  <c r="J66" i="7"/>
  <c r="P66" i="7"/>
  <c r="U66" i="7"/>
  <c r="Z66" i="7"/>
  <c r="AF66" i="7"/>
  <c r="F66" i="7"/>
  <c r="L66" i="7"/>
  <c r="Q66" i="7"/>
  <c r="V66" i="7"/>
  <c r="AB66" i="7"/>
  <c r="AG66" i="7"/>
  <c r="H66" i="7"/>
  <c r="M66" i="7"/>
  <c r="R66" i="7"/>
  <c r="X66" i="7"/>
  <c r="AC66" i="7"/>
  <c r="AH66" i="7"/>
  <c r="G63" i="7"/>
  <c r="K63" i="7"/>
  <c r="O63" i="7"/>
  <c r="S63" i="7"/>
  <c r="W63" i="7"/>
  <c r="AA63" i="7"/>
  <c r="AE63" i="7"/>
  <c r="AI63" i="7"/>
  <c r="E63" i="7"/>
  <c r="J63" i="7"/>
  <c r="P63" i="7"/>
  <c r="U63" i="7"/>
  <c r="Z63" i="7"/>
  <c r="AF63" i="7"/>
  <c r="F63" i="7"/>
  <c r="L63" i="7"/>
  <c r="Q63" i="7"/>
  <c r="V63" i="7"/>
  <c r="AB63" i="7"/>
  <c r="AG63" i="7"/>
  <c r="H63" i="7"/>
  <c r="M63" i="7"/>
  <c r="R63" i="7"/>
  <c r="X63" i="7"/>
  <c r="AC63" i="7"/>
  <c r="AH63" i="7"/>
  <c r="L42" i="7"/>
  <c r="K42" i="7"/>
  <c r="AA42" i="7"/>
  <c r="G42" i="7"/>
  <c r="AE42" i="7"/>
  <c r="O42" i="7"/>
  <c r="AI42" i="7"/>
  <c r="S42" i="7"/>
  <c r="E40" i="7"/>
  <c r="I40" i="7"/>
  <c r="M40" i="7"/>
  <c r="Q40" i="7"/>
  <c r="U40" i="7"/>
  <c r="Y40" i="7"/>
  <c r="AC40" i="7"/>
  <c r="AG40" i="7"/>
  <c r="F40" i="7"/>
  <c r="J40" i="7"/>
  <c r="N40" i="7"/>
  <c r="R40" i="7"/>
  <c r="V40" i="7"/>
  <c r="Z40" i="7"/>
  <c r="AD40" i="7"/>
  <c r="AH40" i="7"/>
  <c r="G40" i="7"/>
  <c r="O40" i="7"/>
  <c r="W40" i="7"/>
  <c r="AE40" i="7"/>
  <c r="H40" i="7"/>
  <c r="P40" i="7"/>
  <c r="X40" i="7"/>
  <c r="AF40" i="7"/>
  <c r="K40" i="7"/>
  <c r="S40" i="7"/>
  <c r="AA40" i="7"/>
  <c r="AI40" i="7"/>
  <c r="E176" i="8"/>
  <c r="G176" i="8"/>
  <c r="L176" i="8"/>
  <c r="R176" i="8"/>
  <c r="W176" i="8"/>
  <c r="AB176" i="8"/>
  <c r="AH176" i="8"/>
  <c r="H176" i="8"/>
  <c r="N176" i="8"/>
  <c r="S176" i="8"/>
  <c r="X176" i="8"/>
  <c r="AD176" i="8"/>
  <c r="AI176" i="8"/>
  <c r="K176" i="8"/>
  <c r="V176" i="8"/>
  <c r="AF176" i="8"/>
  <c r="F176" i="8"/>
  <c r="T176" i="8"/>
  <c r="J176" i="8"/>
  <c r="Z176" i="8"/>
  <c r="O176" i="8"/>
  <c r="AA176" i="8"/>
  <c r="H50" i="8"/>
  <c r="F50" i="8"/>
  <c r="K50" i="8"/>
  <c r="Q50" i="8"/>
  <c r="V50" i="8"/>
  <c r="Z50" i="8"/>
  <c r="AD50" i="8"/>
  <c r="AH50" i="8"/>
  <c r="E50" i="8"/>
  <c r="M50" i="8"/>
  <c r="S50" i="8"/>
  <c r="Y50" i="8"/>
  <c r="AE50" i="8"/>
  <c r="G50" i="8"/>
  <c r="N50" i="8"/>
  <c r="U50" i="8"/>
  <c r="AA50" i="8"/>
  <c r="AF50" i="8"/>
  <c r="I50" i="8"/>
  <c r="O50" i="8"/>
  <c r="W50" i="8"/>
  <c r="AB50" i="8"/>
  <c r="AG50" i="8"/>
  <c r="J50" i="8"/>
  <c r="AI50" i="8"/>
  <c r="R50" i="8"/>
  <c r="X50" i="8"/>
  <c r="AC50" i="8"/>
  <c r="E27" i="8"/>
  <c r="E28" i="8" s="1"/>
  <c r="AI48" i="5"/>
  <c r="AE48" i="5"/>
  <c r="AA48" i="5"/>
  <c r="W48" i="5"/>
  <c r="S48" i="5"/>
  <c r="O48" i="5"/>
  <c r="K48" i="5"/>
  <c r="G48" i="5"/>
  <c r="S38" i="5"/>
  <c r="AI213" i="6"/>
  <c r="S213" i="6"/>
  <c r="AI210" i="6"/>
  <c r="W210" i="6"/>
  <c r="N210" i="6"/>
  <c r="AI207" i="6"/>
  <c r="AE207" i="6"/>
  <c r="AA207" i="6"/>
  <c r="W207" i="6"/>
  <c r="S207" i="6"/>
  <c r="O207" i="6"/>
  <c r="K207" i="6"/>
  <c r="G207" i="6"/>
  <c r="AI191" i="6"/>
  <c r="AC191" i="6"/>
  <c r="X191" i="6"/>
  <c r="S191" i="6"/>
  <c r="M191" i="6"/>
  <c r="H191" i="6"/>
  <c r="AE173" i="6"/>
  <c r="X173" i="6"/>
  <c r="P173" i="6"/>
  <c r="I173" i="6"/>
  <c r="AD171" i="6"/>
  <c r="V171" i="6"/>
  <c r="O171" i="6"/>
  <c r="I171" i="6"/>
  <c r="S157" i="6"/>
  <c r="AI151" i="6"/>
  <c r="AE151" i="6"/>
  <c r="AA151" i="6"/>
  <c r="W151" i="6"/>
  <c r="S151" i="6"/>
  <c r="O151" i="6"/>
  <c r="K151" i="6"/>
  <c r="G151" i="6"/>
  <c r="AG139" i="6"/>
  <c r="AB139" i="6"/>
  <c r="W139" i="6"/>
  <c r="Q139" i="6"/>
  <c r="L139" i="6"/>
  <c r="G139" i="6"/>
  <c r="AH134" i="6"/>
  <c r="AC134" i="6"/>
  <c r="X134" i="6"/>
  <c r="R134" i="6"/>
  <c r="M134" i="6"/>
  <c r="H134" i="6"/>
  <c r="F122" i="6"/>
  <c r="G122" i="6"/>
  <c r="L122" i="6"/>
  <c r="Q122" i="6"/>
  <c r="W122" i="6"/>
  <c r="AB122" i="6"/>
  <c r="AG122" i="6"/>
  <c r="H120" i="6"/>
  <c r="G120" i="6"/>
  <c r="O120" i="6"/>
  <c r="W120" i="6"/>
  <c r="AE120" i="6"/>
  <c r="AH117" i="6"/>
  <c r="AC117" i="6"/>
  <c r="X117" i="6"/>
  <c r="R117" i="6"/>
  <c r="M117" i="6"/>
  <c r="H117" i="6"/>
  <c r="H116" i="6"/>
  <c r="F116" i="6"/>
  <c r="N116" i="6"/>
  <c r="V116" i="6"/>
  <c r="AD116" i="6"/>
  <c r="S115" i="6"/>
  <c r="AB114" i="6"/>
  <c r="U114" i="6"/>
  <c r="O114" i="6"/>
  <c r="G114" i="6"/>
  <c r="AI113" i="6"/>
  <c r="AD113" i="6"/>
  <c r="X113" i="6"/>
  <c r="S113" i="6"/>
  <c r="N113" i="6"/>
  <c r="H113" i="6"/>
  <c r="S100" i="6"/>
  <c r="AI99" i="6"/>
  <c r="AC99" i="6"/>
  <c r="W99" i="6"/>
  <c r="O99" i="6"/>
  <c r="H99" i="6"/>
  <c r="G98" i="6"/>
  <c r="K98" i="6"/>
  <c r="O98" i="6"/>
  <c r="S98" i="6"/>
  <c r="W98" i="6"/>
  <c r="AA98" i="6"/>
  <c r="AE98" i="6"/>
  <c r="AI98" i="6"/>
  <c r="F97" i="6"/>
  <c r="K97" i="6"/>
  <c r="Q97" i="6"/>
  <c r="V97" i="6"/>
  <c r="AA97" i="6"/>
  <c r="AG97" i="6"/>
  <c r="AE96" i="6"/>
  <c r="W96" i="6"/>
  <c r="P96" i="6"/>
  <c r="J96" i="6"/>
  <c r="AC86" i="6"/>
  <c r="T86" i="6"/>
  <c r="K86" i="6"/>
  <c r="E85" i="6"/>
  <c r="I85" i="6"/>
  <c r="M85" i="6"/>
  <c r="Q85" i="6"/>
  <c r="U85" i="6"/>
  <c r="Y85" i="6"/>
  <c r="AC85" i="6"/>
  <c r="AG85" i="6"/>
  <c r="F84" i="6"/>
  <c r="N84" i="6"/>
  <c r="U84" i="6"/>
  <c r="AA84" i="6"/>
  <c r="AI84" i="6"/>
  <c r="AD83" i="6"/>
  <c r="S83" i="6"/>
  <c r="J83" i="6"/>
  <c r="L70" i="6"/>
  <c r="K70" i="6"/>
  <c r="AA70" i="6"/>
  <c r="H68" i="6"/>
  <c r="E68" i="6"/>
  <c r="J68" i="6"/>
  <c r="O68" i="6"/>
  <c r="U68" i="6"/>
  <c r="Z68" i="6"/>
  <c r="AD68" i="6"/>
  <c r="AH68" i="6"/>
  <c r="AD67" i="6"/>
  <c r="S67" i="6"/>
  <c r="G67" i="6"/>
  <c r="Y65" i="6"/>
  <c r="M65" i="6"/>
  <c r="L64" i="6"/>
  <c r="W64" i="6"/>
  <c r="AH64" i="6"/>
  <c r="AI62" i="6"/>
  <c r="AC62" i="6"/>
  <c r="X62" i="6"/>
  <c r="S62" i="6"/>
  <c r="M62" i="6"/>
  <c r="H62" i="6"/>
  <c r="G50" i="6"/>
  <c r="K50" i="6"/>
  <c r="O50" i="6"/>
  <c r="S50" i="6"/>
  <c r="W50" i="6"/>
  <c r="AA50" i="6"/>
  <c r="AE50" i="6"/>
  <c r="AI50" i="6"/>
  <c r="AH44" i="6"/>
  <c r="AC44" i="6"/>
  <c r="X44" i="6"/>
  <c r="R44" i="6"/>
  <c r="M44" i="6"/>
  <c r="H44" i="6"/>
  <c r="O38" i="6"/>
  <c r="AE38" i="6"/>
  <c r="AG37" i="6"/>
  <c r="AB37" i="6"/>
  <c r="W37" i="6"/>
  <c r="Q37" i="6"/>
  <c r="L37" i="6"/>
  <c r="G37" i="6"/>
  <c r="AD213" i="7"/>
  <c r="S213" i="7"/>
  <c r="I213" i="7"/>
  <c r="AE212" i="7"/>
  <c r="O212" i="7"/>
  <c r="H209" i="7"/>
  <c r="E209" i="7"/>
  <c r="J209" i="7"/>
  <c r="O209" i="7"/>
  <c r="U209" i="7"/>
  <c r="Z209" i="7"/>
  <c r="AE209" i="7"/>
  <c r="G209" i="7"/>
  <c r="M209" i="7"/>
  <c r="R209" i="7"/>
  <c r="W209" i="7"/>
  <c r="AC209" i="7"/>
  <c r="AH209" i="7"/>
  <c r="H194" i="7"/>
  <c r="G194" i="7"/>
  <c r="W194" i="7"/>
  <c r="O194" i="7"/>
  <c r="AE194" i="7"/>
  <c r="H190" i="7"/>
  <c r="G190" i="7"/>
  <c r="W190" i="7"/>
  <c r="O190" i="7"/>
  <c r="AE190" i="7"/>
  <c r="H188" i="7"/>
  <c r="G188" i="7"/>
  <c r="M188" i="7"/>
  <c r="R188" i="7"/>
  <c r="W188" i="7"/>
  <c r="AC188" i="7"/>
  <c r="AH188" i="7"/>
  <c r="E188" i="7"/>
  <c r="J188" i="7"/>
  <c r="O188" i="7"/>
  <c r="U188" i="7"/>
  <c r="Z188" i="7"/>
  <c r="AE188" i="7"/>
  <c r="G175" i="7"/>
  <c r="M175" i="7"/>
  <c r="R175" i="7"/>
  <c r="W175" i="7"/>
  <c r="AC175" i="7"/>
  <c r="AH175" i="7"/>
  <c r="E175" i="7"/>
  <c r="J175" i="7"/>
  <c r="O175" i="7"/>
  <c r="U175" i="7"/>
  <c r="Z175" i="7"/>
  <c r="AE175" i="7"/>
  <c r="AE173" i="7"/>
  <c r="T173" i="7"/>
  <c r="I173" i="7"/>
  <c r="AH172" i="7"/>
  <c r="Z172" i="7"/>
  <c r="R172" i="7"/>
  <c r="J172" i="7"/>
  <c r="S169" i="7"/>
  <c r="Q139" i="7"/>
  <c r="N86" i="7"/>
  <c r="Y85" i="7"/>
  <c r="T66" i="7"/>
  <c r="T63" i="7"/>
  <c r="AB40" i="7"/>
  <c r="G96" i="8"/>
  <c r="E96" i="8"/>
  <c r="M96" i="8"/>
  <c r="T96" i="8"/>
  <c r="AA96" i="8"/>
  <c r="AI96" i="8"/>
  <c r="H96" i="8"/>
  <c r="O96" i="8"/>
  <c r="U96" i="8"/>
  <c r="AC96" i="8"/>
  <c r="I96" i="8"/>
  <c r="X96" i="8"/>
  <c r="K96" i="8"/>
  <c r="Y96" i="8"/>
  <c r="P96" i="8"/>
  <c r="AE96" i="8"/>
  <c r="S96" i="8"/>
  <c r="AF96" i="8"/>
  <c r="AE152" i="5"/>
  <c r="O152" i="5"/>
  <c r="AI133" i="5"/>
  <c r="AD133" i="5"/>
  <c r="Y133" i="5"/>
  <c r="Q133" i="5"/>
  <c r="I133" i="5"/>
  <c r="W122" i="5"/>
  <c r="AF121" i="5"/>
  <c r="P121" i="5"/>
  <c r="AI118" i="5"/>
  <c r="AE118" i="5"/>
  <c r="AA118" i="5"/>
  <c r="W118" i="5"/>
  <c r="S118" i="5"/>
  <c r="O118" i="5"/>
  <c r="K118" i="5"/>
  <c r="AI101" i="5"/>
  <c r="AE101" i="5"/>
  <c r="AA101" i="5"/>
  <c r="W101" i="5"/>
  <c r="S101" i="5"/>
  <c r="O101" i="5"/>
  <c r="K101" i="5"/>
  <c r="AI96" i="5"/>
  <c r="AE96" i="5"/>
  <c r="AA96" i="5"/>
  <c r="W96" i="5"/>
  <c r="S96" i="5"/>
  <c r="O96" i="5"/>
  <c r="K96" i="5"/>
  <c r="AG84" i="5"/>
  <c r="W84" i="5"/>
  <c r="L84" i="5"/>
  <c r="AH66" i="5"/>
  <c r="AC66" i="5"/>
  <c r="W66" i="5"/>
  <c r="R66" i="5"/>
  <c r="M66" i="5"/>
  <c r="G66" i="5"/>
  <c r="AF63" i="5"/>
  <c r="Z63" i="5"/>
  <c r="U63" i="5"/>
  <c r="P63" i="5"/>
  <c r="I63" i="5"/>
  <c r="AI61" i="5"/>
  <c r="AC61" i="5"/>
  <c r="X61" i="5"/>
  <c r="S61" i="5"/>
  <c r="M61" i="5"/>
  <c r="AI50" i="5"/>
  <c r="AD50" i="5"/>
  <c r="X50" i="5"/>
  <c r="S50" i="5"/>
  <c r="N50" i="5"/>
  <c r="AH48" i="5"/>
  <c r="AD48" i="5"/>
  <c r="Z48" i="5"/>
  <c r="V48" i="5"/>
  <c r="R48" i="5"/>
  <c r="N48" i="5"/>
  <c r="J48" i="5"/>
  <c r="AH39" i="5"/>
  <c r="Z39" i="5"/>
  <c r="R39" i="5"/>
  <c r="J39" i="5"/>
  <c r="AI38" i="5"/>
  <c r="O38" i="5"/>
  <c r="AB213" i="6"/>
  <c r="L213" i="6"/>
  <c r="AI212" i="6"/>
  <c r="AC212" i="6"/>
  <c r="X212" i="6"/>
  <c r="S212" i="6"/>
  <c r="M212" i="6"/>
  <c r="H212" i="6"/>
  <c r="AE210" i="6"/>
  <c r="V210" i="6"/>
  <c r="G210" i="6"/>
  <c r="AA209" i="6"/>
  <c r="AH207" i="6"/>
  <c r="AD207" i="6"/>
  <c r="Z207" i="6"/>
  <c r="V207" i="6"/>
  <c r="R207" i="6"/>
  <c r="N207" i="6"/>
  <c r="J207" i="6"/>
  <c r="AA206" i="6"/>
  <c r="AI194" i="6"/>
  <c r="AE194" i="6"/>
  <c r="AA194" i="6"/>
  <c r="W194" i="6"/>
  <c r="S194" i="6"/>
  <c r="O194" i="6"/>
  <c r="K194" i="6"/>
  <c r="AG191" i="6"/>
  <c r="AB191" i="6"/>
  <c r="W191" i="6"/>
  <c r="Q191" i="6"/>
  <c r="L191" i="6"/>
  <c r="G191" i="6"/>
  <c r="AI188" i="6"/>
  <c r="AA188" i="6"/>
  <c r="S188" i="6"/>
  <c r="K188" i="6"/>
  <c r="AI177" i="6"/>
  <c r="AE177" i="6"/>
  <c r="AA177" i="6"/>
  <c r="W177" i="6"/>
  <c r="S177" i="6"/>
  <c r="O177" i="6"/>
  <c r="K177" i="6"/>
  <c r="AE174" i="6"/>
  <c r="X174" i="6"/>
  <c r="P174" i="6"/>
  <c r="AC173" i="6"/>
  <c r="U173" i="6"/>
  <c r="O173" i="6"/>
  <c r="AI171" i="6"/>
  <c r="AA171" i="6"/>
  <c r="U171" i="6"/>
  <c r="N171" i="6"/>
  <c r="AI168" i="6"/>
  <c r="AE168" i="6"/>
  <c r="AA168" i="6"/>
  <c r="W168" i="6"/>
  <c r="S168" i="6"/>
  <c r="O168" i="6"/>
  <c r="K168" i="6"/>
  <c r="AI157" i="6"/>
  <c r="AI153" i="6"/>
  <c r="AB153" i="6"/>
  <c r="T153" i="6"/>
  <c r="AH151" i="6"/>
  <c r="AD151" i="6"/>
  <c r="Z151" i="6"/>
  <c r="V151" i="6"/>
  <c r="R151" i="6"/>
  <c r="N151" i="6"/>
  <c r="J151" i="6"/>
  <c r="AF139" i="6"/>
  <c r="AA139" i="6"/>
  <c r="U139" i="6"/>
  <c r="P139" i="6"/>
  <c r="K139" i="6"/>
  <c r="E139" i="6"/>
  <c r="AI138" i="6"/>
  <c r="AE138" i="6"/>
  <c r="AA138" i="6"/>
  <c r="W138" i="6"/>
  <c r="S138" i="6"/>
  <c r="O138" i="6"/>
  <c r="K138" i="6"/>
  <c r="F135" i="6"/>
  <c r="E135" i="6"/>
  <c r="K135" i="6"/>
  <c r="P135" i="6"/>
  <c r="U135" i="6"/>
  <c r="AA135" i="6"/>
  <c r="AF135" i="6"/>
  <c r="AG134" i="6"/>
  <c r="AB134" i="6"/>
  <c r="V134" i="6"/>
  <c r="Q134" i="6"/>
  <c r="L134" i="6"/>
  <c r="F134" i="6"/>
  <c r="AE122" i="6"/>
  <c r="X122" i="6"/>
  <c r="P122" i="6"/>
  <c r="I122" i="6"/>
  <c r="AH120" i="6"/>
  <c r="V120" i="6"/>
  <c r="K120" i="6"/>
  <c r="F118" i="6"/>
  <c r="E118" i="6"/>
  <c r="K118" i="6"/>
  <c r="P118" i="6"/>
  <c r="U118" i="6"/>
  <c r="AA118" i="6"/>
  <c r="AF118" i="6"/>
  <c r="AG117" i="6"/>
  <c r="AB117" i="6"/>
  <c r="V117" i="6"/>
  <c r="Q117" i="6"/>
  <c r="L117" i="6"/>
  <c r="F117" i="6"/>
  <c r="AH116" i="6"/>
  <c r="W116" i="6"/>
  <c r="K116" i="6"/>
  <c r="AI115" i="6"/>
  <c r="O115" i="6"/>
  <c r="AG114" i="6"/>
  <c r="AA114" i="6"/>
  <c r="T114" i="6"/>
  <c r="L114" i="6"/>
  <c r="E114" i="6"/>
  <c r="AH113" i="6"/>
  <c r="AB113" i="6"/>
  <c r="W113" i="6"/>
  <c r="R113" i="6"/>
  <c r="L113" i="6"/>
  <c r="G113" i="6"/>
  <c r="H103" i="6"/>
  <c r="AC103" i="6"/>
  <c r="H100" i="6"/>
  <c r="AH99" i="6"/>
  <c r="AB99" i="6"/>
  <c r="T99" i="6"/>
  <c r="M99" i="6"/>
  <c r="G99" i="6"/>
  <c r="AH98" i="6"/>
  <c r="AC98" i="6"/>
  <c r="X98" i="6"/>
  <c r="R98" i="6"/>
  <c r="M98" i="6"/>
  <c r="H98" i="6"/>
  <c r="AD97" i="6"/>
  <c r="W97" i="6"/>
  <c r="O97" i="6"/>
  <c r="I97" i="6"/>
  <c r="AB96" i="6"/>
  <c r="V96" i="6"/>
  <c r="O96" i="6"/>
  <c r="G96" i="6"/>
  <c r="AA86" i="6"/>
  <c r="S86" i="6"/>
  <c r="H86" i="6"/>
  <c r="AI85" i="6"/>
  <c r="AD85" i="6"/>
  <c r="X85" i="6"/>
  <c r="S85" i="6"/>
  <c r="N85" i="6"/>
  <c r="H85" i="6"/>
  <c r="AD84" i="6"/>
  <c r="S84" i="6"/>
  <c r="J84" i="6"/>
  <c r="Z83" i="6"/>
  <c r="P83" i="6"/>
  <c r="H83" i="6"/>
  <c r="F71" i="6"/>
  <c r="K71" i="6"/>
  <c r="S70" i="6"/>
  <c r="AI68" i="6"/>
  <c r="AC68" i="6"/>
  <c r="W68" i="6"/>
  <c r="Q68" i="6"/>
  <c r="I68" i="6"/>
  <c r="AA67" i="6"/>
  <c r="O67" i="6"/>
  <c r="F67" i="6"/>
  <c r="AG65" i="6"/>
  <c r="W65" i="6"/>
  <c r="G65" i="6"/>
  <c r="AB64" i="6"/>
  <c r="N64" i="6"/>
  <c r="AG62" i="6"/>
  <c r="AB62" i="6"/>
  <c r="W62" i="6"/>
  <c r="Q62" i="6"/>
  <c r="L62" i="6"/>
  <c r="G62" i="6"/>
  <c r="AH50" i="6"/>
  <c r="AC50" i="6"/>
  <c r="X50" i="6"/>
  <c r="R50" i="6"/>
  <c r="M50" i="6"/>
  <c r="H50" i="6"/>
  <c r="S49" i="6"/>
  <c r="E48" i="6"/>
  <c r="H48" i="6"/>
  <c r="N48" i="6"/>
  <c r="S48" i="6"/>
  <c r="X48" i="6"/>
  <c r="AD48" i="6"/>
  <c r="AI48" i="6"/>
  <c r="G47" i="6"/>
  <c r="M47" i="6"/>
  <c r="Q47" i="6"/>
  <c r="U47" i="6"/>
  <c r="Y47" i="6"/>
  <c r="AC47" i="6"/>
  <c r="AG47" i="6"/>
  <c r="E45" i="6"/>
  <c r="K45" i="6"/>
  <c r="P45" i="6"/>
  <c r="U45" i="6"/>
  <c r="AA45" i="6"/>
  <c r="AF45" i="6"/>
  <c r="AG44" i="6"/>
  <c r="AB44" i="6"/>
  <c r="V44" i="6"/>
  <c r="Q44" i="6"/>
  <c r="L44" i="6"/>
  <c r="F44" i="6"/>
  <c r="H43" i="6"/>
  <c r="E43" i="6"/>
  <c r="J43" i="6"/>
  <c r="O43" i="6"/>
  <c r="U43" i="6"/>
  <c r="Y43" i="6"/>
  <c r="AC43" i="6"/>
  <c r="AG43" i="6"/>
  <c r="E41" i="6"/>
  <c r="H41" i="6"/>
  <c r="P41" i="6"/>
  <c r="X41" i="6"/>
  <c r="AF41" i="6"/>
  <c r="F39" i="6"/>
  <c r="J39" i="6"/>
  <c r="N39" i="6"/>
  <c r="R39" i="6"/>
  <c r="V39" i="6"/>
  <c r="Z39" i="6"/>
  <c r="AD39" i="6"/>
  <c r="AH39" i="6"/>
  <c r="S38" i="6"/>
  <c r="AF37" i="6"/>
  <c r="AA37" i="6"/>
  <c r="U37" i="6"/>
  <c r="P37" i="6"/>
  <c r="K37" i="6"/>
  <c r="E37" i="6"/>
  <c r="AA213" i="7"/>
  <c r="Q213" i="7"/>
  <c r="F213" i="7"/>
  <c r="AA212" i="7"/>
  <c r="K212" i="7"/>
  <c r="AG209" i="7"/>
  <c r="V209" i="7"/>
  <c r="K209" i="7"/>
  <c r="H208" i="7"/>
  <c r="J208" i="7"/>
  <c r="R208" i="7"/>
  <c r="Z208" i="7"/>
  <c r="AH208" i="7"/>
  <c r="F208" i="7"/>
  <c r="N208" i="7"/>
  <c r="V208" i="7"/>
  <c r="AD208" i="7"/>
  <c r="AA194" i="7"/>
  <c r="G193" i="7"/>
  <c r="K193" i="7"/>
  <c r="O193" i="7"/>
  <c r="S193" i="7"/>
  <c r="W193" i="7"/>
  <c r="AA193" i="7"/>
  <c r="AE193" i="7"/>
  <c r="AI193" i="7"/>
  <c r="E193" i="7"/>
  <c r="I193" i="7"/>
  <c r="M193" i="7"/>
  <c r="Q193" i="7"/>
  <c r="U193" i="7"/>
  <c r="Y193" i="7"/>
  <c r="AC193" i="7"/>
  <c r="AG193" i="7"/>
  <c r="AA190" i="7"/>
  <c r="AG188" i="7"/>
  <c r="V188" i="7"/>
  <c r="K188" i="7"/>
  <c r="H187" i="7"/>
  <c r="F187" i="7"/>
  <c r="N187" i="7"/>
  <c r="V187" i="7"/>
  <c r="AD187" i="7"/>
  <c r="J187" i="7"/>
  <c r="R187" i="7"/>
  <c r="Z187" i="7"/>
  <c r="AH187" i="7"/>
  <c r="AG175" i="7"/>
  <c r="V175" i="7"/>
  <c r="K175" i="7"/>
  <c r="AB173" i="7"/>
  <c r="Q173" i="7"/>
  <c r="G173" i="7"/>
  <c r="AF172" i="7"/>
  <c r="X172" i="7"/>
  <c r="P172" i="7"/>
  <c r="H172" i="7"/>
  <c r="AI169" i="7"/>
  <c r="L169" i="7"/>
  <c r="K139" i="7"/>
  <c r="AD86" i="7"/>
  <c r="I86" i="7"/>
  <c r="R85" i="7"/>
  <c r="X71" i="7"/>
  <c r="N66" i="7"/>
  <c r="N63" i="7"/>
  <c r="T40" i="7"/>
  <c r="AE176" i="8"/>
  <c r="F174" i="8"/>
  <c r="J174" i="8"/>
  <c r="N174" i="8"/>
  <c r="R174" i="8"/>
  <c r="V174" i="8"/>
  <c r="Z174" i="8"/>
  <c r="AD174" i="8"/>
  <c r="AH174" i="8"/>
  <c r="G174" i="8"/>
  <c r="K174" i="8"/>
  <c r="O174" i="8"/>
  <c r="S174" i="8"/>
  <c r="W174" i="8"/>
  <c r="AA174" i="8"/>
  <c r="AE174" i="8"/>
  <c r="AI174" i="8"/>
  <c r="I174" i="8"/>
  <c r="Q174" i="8"/>
  <c r="Y174" i="8"/>
  <c r="AG174" i="8"/>
  <c r="E174" i="8"/>
  <c r="P174" i="8"/>
  <c r="AB174" i="8"/>
  <c r="H174" i="8"/>
  <c r="T174" i="8"/>
  <c r="AC174" i="8"/>
  <c r="L174" i="8"/>
  <c r="U174" i="8"/>
  <c r="AF174" i="8"/>
  <c r="AF170" i="7"/>
  <c r="AA170" i="7"/>
  <c r="V170" i="7"/>
  <c r="P170" i="7"/>
  <c r="K170" i="7"/>
  <c r="F170" i="7"/>
  <c r="AF168" i="7"/>
  <c r="Z168" i="7"/>
  <c r="U168" i="7"/>
  <c r="P168" i="7"/>
  <c r="J168" i="7"/>
  <c r="G155" i="7"/>
  <c r="K155" i="7"/>
  <c r="O155" i="7"/>
  <c r="S155" i="7"/>
  <c r="W155" i="7"/>
  <c r="AA155" i="7"/>
  <c r="AE155" i="7"/>
  <c r="AI155" i="7"/>
  <c r="AD153" i="7"/>
  <c r="F152" i="7"/>
  <c r="G152" i="7"/>
  <c r="L152" i="7"/>
  <c r="Q152" i="7"/>
  <c r="W152" i="7"/>
  <c r="AB152" i="7"/>
  <c r="AG152" i="7"/>
  <c r="G140" i="7"/>
  <c r="K140" i="7"/>
  <c r="T140" i="7"/>
  <c r="AF140" i="7"/>
  <c r="E138" i="7"/>
  <c r="I138" i="7"/>
  <c r="M138" i="7"/>
  <c r="Q138" i="7"/>
  <c r="U138" i="7"/>
  <c r="Y138" i="7"/>
  <c r="AC138" i="7"/>
  <c r="AG138" i="7"/>
  <c r="G134" i="7"/>
  <c r="K134" i="7"/>
  <c r="O134" i="7"/>
  <c r="S134" i="7"/>
  <c r="W134" i="7"/>
  <c r="AA134" i="7"/>
  <c r="AE134" i="7"/>
  <c r="AI134" i="7"/>
  <c r="AA133" i="7"/>
  <c r="R133" i="7"/>
  <c r="K132" i="7"/>
  <c r="AA132" i="7"/>
  <c r="F121" i="7"/>
  <c r="J121" i="7"/>
  <c r="N121" i="7"/>
  <c r="R121" i="7"/>
  <c r="V121" i="7"/>
  <c r="Z121" i="7"/>
  <c r="AD121" i="7"/>
  <c r="AH121" i="7"/>
  <c r="AI118" i="7"/>
  <c r="AA118" i="7"/>
  <c r="T118" i="7"/>
  <c r="M118" i="7"/>
  <c r="AA116" i="7"/>
  <c r="R116" i="7"/>
  <c r="E113" i="7"/>
  <c r="K113" i="7"/>
  <c r="P113" i="7"/>
  <c r="U113" i="7"/>
  <c r="AA113" i="7"/>
  <c r="AF113" i="7"/>
  <c r="G102" i="7"/>
  <c r="M102" i="7"/>
  <c r="R102" i="7"/>
  <c r="W102" i="7"/>
  <c r="AC102" i="7"/>
  <c r="AH102" i="7"/>
  <c r="E100" i="7"/>
  <c r="K100" i="7"/>
  <c r="P100" i="7"/>
  <c r="U100" i="7"/>
  <c r="AA100" i="7"/>
  <c r="AF100" i="7"/>
  <c r="E83" i="7"/>
  <c r="K83" i="7"/>
  <c r="S83" i="7"/>
  <c r="AA83" i="7"/>
  <c r="AI83" i="7"/>
  <c r="AF82" i="7"/>
  <c r="AA82" i="7"/>
  <c r="V82" i="7"/>
  <c r="P82" i="7"/>
  <c r="K82" i="7"/>
  <c r="E70" i="7"/>
  <c r="I70" i="7"/>
  <c r="M70" i="7"/>
  <c r="Q70" i="7"/>
  <c r="U70" i="7"/>
  <c r="Y70" i="7"/>
  <c r="AC70" i="7"/>
  <c r="AG70" i="7"/>
  <c r="AF67" i="7"/>
  <c r="AA67" i="7"/>
  <c r="T67" i="7"/>
  <c r="M67" i="7"/>
  <c r="J50" i="7"/>
  <c r="U50" i="7"/>
  <c r="AE50" i="7"/>
  <c r="T49" i="7"/>
  <c r="F47" i="7"/>
  <c r="J47" i="7"/>
  <c r="N47" i="7"/>
  <c r="R47" i="7"/>
  <c r="V47" i="7"/>
  <c r="Z47" i="7"/>
  <c r="AD47" i="7"/>
  <c r="AH47" i="7"/>
  <c r="G43" i="7"/>
  <c r="F43" i="7"/>
  <c r="R43" i="7"/>
  <c r="AA43" i="7"/>
  <c r="H39" i="7"/>
  <c r="F39" i="7"/>
  <c r="K39" i="7"/>
  <c r="O39" i="7"/>
  <c r="S39" i="7"/>
  <c r="W39" i="7"/>
  <c r="AA39" i="7"/>
  <c r="AE39" i="7"/>
  <c r="AI39" i="7"/>
  <c r="G39" i="7"/>
  <c r="L39" i="7"/>
  <c r="P39" i="7"/>
  <c r="T39" i="7"/>
  <c r="X39" i="7"/>
  <c r="AB39" i="7"/>
  <c r="AF39" i="7"/>
  <c r="G213" i="8"/>
  <c r="O213" i="8"/>
  <c r="W213" i="8"/>
  <c r="AE213" i="8"/>
  <c r="I213" i="8"/>
  <c r="Q213" i="8"/>
  <c r="Y213" i="8"/>
  <c r="AG213" i="8"/>
  <c r="G211" i="8"/>
  <c r="O211" i="8"/>
  <c r="W211" i="8"/>
  <c r="AE211" i="8"/>
  <c r="I211" i="8"/>
  <c r="Q211" i="8"/>
  <c r="Y211" i="8"/>
  <c r="AG211" i="8"/>
  <c r="E195" i="8"/>
  <c r="I195" i="8"/>
  <c r="M195" i="8"/>
  <c r="Q195" i="8"/>
  <c r="U195" i="8"/>
  <c r="Y195" i="8"/>
  <c r="AC195" i="8"/>
  <c r="AG195" i="8"/>
  <c r="F195" i="8"/>
  <c r="J195" i="8"/>
  <c r="N195" i="8"/>
  <c r="R195" i="8"/>
  <c r="V195" i="8"/>
  <c r="Z195" i="8"/>
  <c r="AD195" i="8"/>
  <c r="AH195" i="8"/>
  <c r="H195" i="8"/>
  <c r="P195" i="8"/>
  <c r="X195" i="8"/>
  <c r="E191" i="8"/>
  <c r="I191" i="8"/>
  <c r="M191" i="8"/>
  <c r="Q191" i="8"/>
  <c r="U191" i="8"/>
  <c r="Y191" i="8"/>
  <c r="AC191" i="8"/>
  <c r="AG191" i="8"/>
  <c r="F191" i="8"/>
  <c r="J191" i="8"/>
  <c r="N191" i="8"/>
  <c r="R191" i="8"/>
  <c r="V191" i="8"/>
  <c r="Z191" i="8"/>
  <c r="AD191" i="8"/>
  <c r="AH191" i="8"/>
  <c r="G191" i="8"/>
  <c r="O191" i="8"/>
  <c r="W191" i="8"/>
  <c r="AE191" i="8"/>
  <c r="H190" i="8"/>
  <c r="K190" i="8"/>
  <c r="AA190" i="8"/>
  <c r="O190" i="8"/>
  <c r="AE190" i="8"/>
  <c r="S190" i="8"/>
  <c r="F157" i="8"/>
  <c r="E157" i="8"/>
  <c r="K157" i="8"/>
  <c r="P157" i="8"/>
  <c r="U157" i="8"/>
  <c r="AA157" i="8"/>
  <c r="AF157" i="8"/>
  <c r="G157" i="8"/>
  <c r="L157" i="8"/>
  <c r="Q157" i="8"/>
  <c r="W157" i="8"/>
  <c r="AB157" i="8"/>
  <c r="AG157" i="8"/>
  <c r="M157" i="8"/>
  <c r="X157" i="8"/>
  <c r="AI157" i="8"/>
  <c r="I121" i="8"/>
  <c r="H121" i="8"/>
  <c r="AC121" i="8"/>
  <c r="M121" i="8"/>
  <c r="AI121" i="8"/>
  <c r="S121" i="8"/>
  <c r="X121" i="8"/>
  <c r="G168" i="7"/>
  <c r="K168" i="7"/>
  <c r="O168" i="7"/>
  <c r="S168" i="7"/>
  <c r="W168" i="7"/>
  <c r="AA168" i="7"/>
  <c r="AE168" i="7"/>
  <c r="AI168" i="7"/>
  <c r="N157" i="7"/>
  <c r="AI157" i="7"/>
  <c r="N154" i="7"/>
  <c r="AI154" i="7"/>
  <c r="L153" i="7"/>
  <c r="G153" i="7"/>
  <c r="W153" i="7"/>
  <c r="AI153" i="7"/>
  <c r="H133" i="7"/>
  <c r="F133" i="7"/>
  <c r="N133" i="7"/>
  <c r="V133" i="7"/>
  <c r="AD133" i="7"/>
  <c r="F118" i="7"/>
  <c r="G118" i="7"/>
  <c r="L118" i="7"/>
  <c r="Q118" i="7"/>
  <c r="W118" i="7"/>
  <c r="AB118" i="7"/>
  <c r="AG118" i="7"/>
  <c r="H116" i="7"/>
  <c r="G116" i="7"/>
  <c r="O116" i="7"/>
  <c r="W116" i="7"/>
  <c r="AE116" i="7"/>
  <c r="E82" i="7"/>
  <c r="I82" i="7"/>
  <c r="M82" i="7"/>
  <c r="Q82" i="7"/>
  <c r="U82" i="7"/>
  <c r="Y82" i="7"/>
  <c r="AC82" i="7"/>
  <c r="AG82" i="7"/>
  <c r="F67" i="7"/>
  <c r="E67" i="7"/>
  <c r="K67" i="7"/>
  <c r="P67" i="7"/>
  <c r="U67" i="7"/>
  <c r="Z67" i="7"/>
  <c r="AD67" i="7"/>
  <c r="AH67" i="7"/>
  <c r="N49" i="7"/>
  <c r="X49" i="7"/>
  <c r="AI49" i="7"/>
  <c r="AD43" i="7"/>
  <c r="N43" i="7"/>
  <c r="AH39" i="7"/>
  <c r="Z39" i="7"/>
  <c r="R39" i="7"/>
  <c r="J39" i="7"/>
  <c r="AJ14" i="7"/>
  <c r="AC213" i="8"/>
  <c r="M213" i="8"/>
  <c r="AC211" i="8"/>
  <c r="M211" i="8"/>
  <c r="AF195" i="8"/>
  <c r="W195" i="8"/>
  <c r="L195" i="8"/>
  <c r="E193" i="8"/>
  <c r="F193" i="8"/>
  <c r="K193" i="8"/>
  <c r="P193" i="8"/>
  <c r="V193" i="8"/>
  <c r="AA193" i="8"/>
  <c r="AF193" i="8"/>
  <c r="G193" i="8"/>
  <c r="L193" i="8"/>
  <c r="R193" i="8"/>
  <c r="W193" i="8"/>
  <c r="AB193" i="8"/>
  <c r="AH193" i="8"/>
  <c r="J193" i="8"/>
  <c r="T193" i="8"/>
  <c r="AE193" i="8"/>
  <c r="AI191" i="8"/>
  <c r="X191" i="8"/>
  <c r="L191" i="8"/>
  <c r="AI190" i="8"/>
  <c r="H177" i="8"/>
  <c r="G177" i="8"/>
  <c r="W177" i="8"/>
  <c r="K177" i="8"/>
  <c r="AA177" i="8"/>
  <c r="S177" i="8"/>
  <c r="F169" i="8"/>
  <c r="J169" i="8"/>
  <c r="N169" i="8"/>
  <c r="R169" i="8"/>
  <c r="V169" i="8"/>
  <c r="Z169" i="8"/>
  <c r="AD169" i="8"/>
  <c r="AH169" i="8"/>
  <c r="G169" i="8"/>
  <c r="K169" i="8"/>
  <c r="O169" i="8"/>
  <c r="S169" i="8"/>
  <c r="W169" i="8"/>
  <c r="AA169" i="8"/>
  <c r="AE169" i="8"/>
  <c r="AI169" i="8"/>
  <c r="E169" i="8"/>
  <c r="M169" i="8"/>
  <c r="U169" i="8"/>
  <c r="AC169" i="8"/>
  <c r="AC157" i="8"/>
  <c r="O157" i="8"/>
  <c r="L154" i="8"/>
  <c r="K154" i="8"/>
  <c r="AA154" i="8"/>
  <c r="O154" i="8"/>
  <c r="AE154" i="8"/>
  <c r="G154" i="8"/>
  <c r="S154" i="8"/>
  <c r="W154" i="8"/>
  <c r="O42" i="8"/>
  <c r="AE42" i="8"/>
  <c r="G42" i="8"/>
  <c r="AD42" i="8"/>
  <c r="N42" i="8"/>
  <c r="V42" i="8"/>
  <c r="W42" i="8"/>
  <c r="AH210" i="7"/>
  <c r="AD210" i="7"/>
  <c r="Z210" i="7"/>
  <c r="V210" i="7"/>
  <c r="R210" i="7"/>
  <c r="N210" i="7"/>
  <c r="J210" i="7"/>
  <c r="AH206" i="7"/>
  <c r="AD206" i="7"/>
  <c r="Z206" i="7"/>
  <c r="V206" i="7"/>
  <c r="R206" i="7"/>
  <c r="N206" i="7"/>
  <c r="J206" i="7"/>
  <c r="AG196" i="7"/>
  <c r="AA196" i="7"/>
  <c r="V196" i="7"/>
  <c r="Q196" i="7"/>
  <c r="K196" i="7"/>
  <c r="F196" i="7"/>
  <c r="AG192" i="7"/>
  <c r="AA192" i="7"/>
  <c r="V192" i="7"/>
  <c r="Q192" i="7"/>
  <c r="K192" i="7"/>
  <c r="F192" i="7"/>
  <c r="AE177" i="7"/>
  <c r="O177" i="7"/>
  <c r="AG171" i="7"/>
  <c r="AA171" i="7"/>
  <c r="V171" i="7"/>
  <c r="Q171" i="7"/>
  <c r="K171" i="7"/>
  <c r="AI170" i="7"/>
  <c r="AD170" i="7"/>
  <c r="X170" i="7"/>
  <c r="S170" i="7"/>
  <c r="N170" i="7"/>
  <c r="AH168" i="7"/>
  <c r="AC168" i="7"/>
  <c r="X168" i="7"/>
  <c r="R168" i="7"/>
  <c r="M168" i="7"/>
  <c r="H168" i="7"/>
  <c r="N158" i="7"/>
  <c r="X157" i="7"/>
  <c r="H156" i="7"/>
  <c r="AC156" i="7"/>
  <c r="AG155" i="7"/>
  <c r="AB155" i="7"/>
  <c r="V155" i="7"/>
  <c r="Q155" i="7"/>
  <c r="L155" i="7"/>
  <c r="F155" i="7"/>
  <c r="Y154" i="7"/>
  <c r="S153" i="7"/>
  <c r="AC152" i="7"/>
  <c r="U152" i="7"/>
  <c r="O152" i="7"/>
  <c r="H152" i="7"/>
  <c r="AA140" i="7"/>
  <c r="L140" i="7"/>
  <c r="AH138" i="7"/>
  <c r="AB138" i="7"/>
  <c r="W138" i="7"/>
  <c r="R138" i="7"/>
  <c r="L138" i="7"/>
  <c r="G138" i="7"/>
  <c r="J137" i="7"/>
  <c r="R137" i="7"/>
  <c r="Z137" i="7"/>
  <c r="AH137" i="7"/>
  <c r="F135" i="7"/>
  <c r="E135" i="7"/>
  <c r="K135" i="7"/>
  <c r="P135" i="7"/>
  <c r="U135" i="7"/>
  <c r="AA135" i="7"/>
  <c r="AF135" i="7"/>
  <c r="AG134" i="7"/>
  <c r="AB134" i="7"/>
  <c r="V134" i="7"/>
  <c r="Q134" i="7"/>
  <c r="L134" i="7"/>
  <c r="F134" i="7"/>
  <c r="AH133" i="7"/>
  <c r="W133" i="7"/>
  <c r="K133" i="7"/>
  <c r="AI132" i="7"/>
  <c r="O132" i="7"/>
  <c r="AG121" i="7"/>
  <c r="AB121" i="7"/>
  <c r="W121" i="7"/>
  <c r="Q121" i="7"/>
  <c r="L121" i="7"/>
  <c r="G121" i="7"/>
  <c r="G119" i="7"/>
  <c r="K119" i="7"/>
  <c r="AE118" i="7"/>
  <c r="X118" i="7"/>
  <c r="P118" i="7"/>
  <c r="I118" i="7"/>
  <c r="AH116" i="7"/>
  <c r="V116" i="7"/>
  <c r="K116" i="7"/>
  <c r="K115" i="7"/>
  <c r="G115" i="7"/>
  <c r="AE115" i="7"/>
  <c r="AC113" i="7"/>
  <c r="W113" i="7"/>
  <c r="O113" i="7"/>
  <c r="H113" i="7"/>
  <c r="AI102" i="7"/>
  <c r="AA102" i="7"/>
  <c r="U102" i="7"/>
  <c r="N102" i="7"/>
  <c r="F102" i="7"/>
  <c r="AC100" i="7"/>
  <c r="W100" i="7"/>
  <c r="O100" i="7"/>
  <c r="H100" i="7"/>
  <c r="G99" i="7"/>
  <c r="K99" i="7"/>
  <c r="O99" i="7"/>
  <c r="S99" i="7"/>
  <c r="W99" i="7"/>
  <c r="AA99" i="7"/>
  <c r="AE99" i="7"/>
  <c r="AI99" i="7"/>
  <c r="H98" i="7"/>
  <c r="F98" i="7"/>
  <c r="K98" i="7"/>
  <c r="Q98" i="7"/>
  <c r="V98" i="7"/>
  <c r="AA98" i="7"/>
  <c r="AG98" i="7"/>
  <c r="AE83" i="7"/>
  <c r="T83" i="7"/>
  <c r="H83" i="7"/>
  <c r="AI82" i="7"/>
  <c r="AD82" i="7"/>
  <c r="X82" i="7"/>
  <c r="S82" i="7"/>
  <c r="N82" i="7"/>
  <c r="H82" i="7"/>
  <c r="AH70" i="7"/>
  <c r="AB70" i="7"/>
  <c r="W70" i="7"/>
  <c r="R70" i="7"/>
  <c r="L70" i="7"/>
  <c r="G70" i="7"/>
  <c r="AI67" i="7"/>
  <c r="AC67" i="7"/>
  <c r="X67" i="7"/>
  <c r="Q67" i="7"/>
  <c r="I67" i="7"/>
  <c r="Y50" i="7"/>
  <c r="I50" i="7"/>
  <c r="AD49" i="7"/>
  <c r="O49" i="7"/>
  <c r="M48" i="7"/>
  <c r="X48" i="7"/>
  <c r="AI48" i="7"/>
  <c r="AG47" i="7"/>
  <c r="AB47" i="7"/>
  <c r="W47" i="7"/>
  <c r="Q47" i="7"/>
  <c r="L47" i="7"/>
  <c r="G47" i="7"/>
  <c r="H46" i="7"/>
  <c r="N46" i="7"/>
  <c r="S46" i="7"/>
  <c r="X46" i="7"/>
  <c r="AB46" i="7"/>
  <c r="AF46" i="7"/>
  <c r="G44" i="7"/>
  <c r="K44" i="7"/>
  <c r="O44" i="7"/>
  <c r="S44" i="7"/>
  <c r="W44" i="7"/>
  <c r="AA44" i="7"/>
  <c r="AE44" i="7"/>
  <c r="AI44" i="7"/>
  <c r="Z43" i="7"/>
  <c r="K43" i="7"/>
  <c r="AG39" i="7"/>
  <c r="Y39" i="7"/>
  <c r="Q39" i="7"/>
  <c r="I39" i="7"/>
  <c r="AA213" i="8"/>
  <c r="K213" i="8"/>
  <c r="AA211" i="8"/>
  <c r="K211" i="8"/>
  <c r="F208" i="8"/>
  <c r="J208" i="8"/>
  <c r="N208" i="8"/>
  <c r="R208" i="8"/>
  <c r="V208" i="8"/>
  <c r="Z208" i="8"/>
  <c r="AD208" i="8"/>
  <c r="AH208" i="8"/>
  <c r="G208" i="8"/>
  <c r="K208" i="8"/>
  <c r="O208" i="8"/>
  <c r="S208" i="8"/>
  <c r="W208" i="8"/>
  <c r="AA208" i="8"/>
  <c r="AE208" i="8"/>
  <c r="AI208" i="8"/>
  <c r="AE195" i="8"/>
  <c r="T195" i="8"/>
  <c r="K195" i="8"/>
  <c r="AD193" i="8"/>
  <c r="O193" i="8"/>
  <c r="AF191" i="8"/>
  <c r="T191" i="8"/>
  <c r="K191" i="8"/>
  <c r="W190" i="8"/>
  <c r="F188" i="8"/>
  <c r="E188" i="8"/>
  <c r="M188" i="8"/>
  <c r="U188" i="8"/>
  <c r="AC188" i="8"/>
  <c r="G188" i="8"/>
  <c r="O188" i="8"/>
  <c r="W188" i="8"/>
  <c r="AE188" i="8"/>
  <c r="K188" i="8"/>
  <c r="AA188" i="8"/>
  <c r="AI177" i="8"/>
  <c r="F171" i="8"/>
  <c r="G171" i="8"/>
  <c r="O171" i="8"/>
  <c r="W171" i="8"/>
  <c r="AE171" i="8"/>
  <c r="I171" i="8"/>
  <c r="Q171" i="8"/>
  <c r="Y171" i="8"/>
  <c r="AG171" i="8"/>
  <c r="E171" i="8"/>
  <c r="U171" i="8"/>
  <c r="AG169" i="8"/>
  <c r="X169" i="8"/>
  <c r="L169" i="8"/>
  <c r="Y157" i="8"/>
  <c r="I157" i="8"/>
  <c r="K151" i="8"/>
  <c r="AA151" i="8"/>
  <c r="O151" i="8"/>
  <c r="AE151" i="8"/>
  <c r="G151" i="8"/>
  <c r="S151" i="8"/>
  <c r="W151" i="8"/>
  <c r="F135" i="8"/>
  <c r="H135" i="8"/>
  <c r="S135" i="8"/>
  <c r="AD135" i="8"/>
  <c r="J135" i="8"/>
  <c r="T135" i="8"/>
  <c r="AE135" i="8"/>
  <c r="N135" i="8"/>
  <c r="AI135" i="8"/>
  <c r="O135" i="8"/>
  <c r="X135" i="8"/>
  <c r="F132" i="8"/>
  <c r="I132" i="8"/>
  <c r="S132" i="8"/>
  <c r="AD132" i="8"/>
  <c r="J132" i="8"/>
  <c r="U132" i="8"/>
  <c r="AE132" i="8"/>
  <c r="E132" i="8"/>
  <c r="Z132" i="8"/>
  <c r="N132" i="8"/>
  <c r="AI132" i="8"/>
  <c r="O132" i="8"/>
  <c r="AA155" i="8"/>
  <c r="K155" i="8"/>
  <c r="AF152" i="8"/>
  <c r="X152" i="8"/>
  <c r="P152" i="8"/>
  <c r="H152" i="8"/>
  <c r="AF141" i="8"/>
  <c r="X141" i="8"/>
  <c r="P141" i="8"/>
  <c r="H141" i="8"/>
  <c r="AE136" i="8"/>
  <c r="AI134" i="8"/>
  <c r="J122" i="8"/>
  <c r="N122" i="8"/>
  <c r="AI122" i="8"/>
  <c r="S122" i="8"/>
  <c r="S119" i="8"/>
  <c r="AE116" i="8"/>
  <c r="W116" i="8"/>
  <c r="O116" i="8"/>
  <c r="S113" i="8"/>
  <c r="AA102" i="8"/>
  <c r="K102" i="8"/>
  <c r="G99" i="8"/>
  <c r="L99" i="8"/>
  <c r="Q99" i="8"/>
  <c r="W99" i="8"/>
  <c r="AB99" i="8"/>
  <c r="AG99" i="8"/>
  <c r="H99" i="8"/>
  <c r="M99" i="8"/>
  <c r="S99" i="8"/>
  <c r="X99" i="8"/>
  <c r="AC99" i="8"/>
  <c r="AI99" i="8"/>
  <c r="Z97" i="8"/>
  <c r="K97" i="8"/>
  <c r="V85" i="8"/>
  <c r="E82" i="8"/>
  <c r="I82" i="8"/>
  <c r="M82" i="8"/>
  <c r="Q82" i="8"/>
  <c r="U82" i="8"/>
  <c r="Y82" i="8"/>
  <c r="AC82" i="8"/>
  <c r="AG82" i="8"/>
  <c r="F82" i="8"/>
  <c r="J82" i="8"/>
  <c r="N82" i="8"/>
  <c r="R82" i="8"/>
  <c r="V82" i="8"/>
  <c r="Z82" i="8"/>
  <c r="AD82" i="8"/>
  <c r="AH82" i="8"/>
  <c r="I60" i="8"/>
  <c r="Q60" i="8"/>
  <c r="X60" i="8"/>
  <c r="AE60" i="8"/>
  <c r="G60" i="8"/>
  <c r="O60" i="8"/>
  <c r="Y60" i="8"/>
  <c r="AI60" i="8"/>
  <c r="H60" i="8"/>
  <c r="S60" i="8"/>
  <c r="AB60" i="8"/>
  <c r="L60" i="8"/>
  <c r="T60" i="8"/>
  <c r="AC60" i="8"/>
  <c r="F47" i="8"/>
  <c r="J47" i="8"/>
  <c r="N47" i="8"/>
  <c r="R47" i="8"/>
  <c r="V47" i="8"/>
  <c r="Z47" i="8"/>
  <c r="AD47" i="8"/>
  <c r="AH47" i="8"/>
  <c r="E47" i="8"/>
  <c r="K47" i="8"/>
  <c r="P47" i="8"/>
  <c r="U47" i="8"/>
  <c r="AA47" i="8"/>
  <c r="AF47" i="8"/>
  <c r="G47" i="8"/>
  <c r="L47" i="8"/>
  <c r="Q47" i="8"/>
  <c r="W47" i="8"/>
  <c r="AB47" i="8"/>
  <c r="AG47" i="8"/>
  <c r="H47" i="8"/>
  <c r="M47" i="8"/>
  <c r="S47" i="8"/>
  <c r="X47" i="8"/>
  <c r="AC47" i="8"/>
  <c r="AI47" i="8"/>
  <c r="X41" i="8"/>
  <c r="N39" i="8"/>
  <c r="G195" i="9"/>
  <c r="K195" i="9"/>
  <c r="O195" i="9"/>
  <c r="S195" i="9"/>
  <c r="W195" i="9"/>
  <c r="AA195" i="9"/>
  <c r="AE195" i="9"/>
  <c r="AI195" i="9"/>
  <c r="E195" i="9"/>
  <c r="J195" i="9"/>
  <c r="P195" i="9"/>
  <c r="U195" i="9"/>
  <c r="Z195" i="9"/>
  <c r="AF195" i="9"/>
  <c r="F195" i="9"/>
  <c r="L195" i="9"/>
  <c r="Q195" i="9"/>
  <c r="V195" i="9"/>
  <c r="AB195" i="9"/>
  <c r="AG195" i="9"/>
  <c r="H195" i="9"/>
  <c r="M195" i="9"/>
  <c r="R195" i="9"/>
  <c r="X195" i="9"/>
  <c r="AC195" i="9"/>
  <c r="AH195" i="9"/>
  <c r="F188" i="9"/>
  <c r="K188" i="9"/>
  <c r="P188" i="9"/>
  <c r="V188" i="9"/>
  <c r="AA188" i="9"/>
  <c r="AF188" i="9"/>
  <c r="G188" i="9"/>
  <c r="L188" i="9"/>
  <c r="R188" i="9"/>
  <c r="W188" i="9"/>
  <c r="AB188" i="9"/>
  <c r="AH188" i="9"/>
  <c r="H188" i="9"/>
  <c r="S188" i="9"/>
  <c r="AD188" i="9"/>
  <c r="J188" i="9"/>
  <c r="T188" i="9"/>
  <c r="AE188" i="9"/>
  <c r="N188" i="9"/>
  <c r="X188" i="9"/>
  <c r="AI188" i="9"/>
  <c r="E172" i="9"/>
  <c r="J172" i="9"/>
  <c r="O172" i="9"/>
  <c r="U172" i="9"/>
  <c r="Z172" i="9"/>
  <c r="AE172" i="9"/>
  <c r="F172" i="9"/>
  <c r="K172" i="9"/>
  <c r="Q172" i="9"/>
  <c r="V172" i="9"/>
  <c r="AA172" i="9"/>
  <c r="AG172" i="9"/>
  <c r="G172" i="9"/>
  <c r="R172" i="9"/>
  <c r="AC172" i="9"/>
  <c r="I172" i="9"/>
  <c r="S172" i="9"/>
  <c r="AD172" i="9"/>
  <c r="M172" i="9"/>
  <c r="W172" i="9"/>
  <c r="AH172" i="9"/>
  <c r="H72" i="9"/>
  <c r="AB72" i="9"/>
  <c r="L72" i="9"/>
  <c r="T72" i="9"/>
  <c r="X72" i="9"/>
  <c r="E50" i="9"/>
  <c r="I50" i="9"/>
  <c r="M50" i="9"/>
  <c r="Q50" i="9"/>
  <c r="U50" i="9"/>
  <c r="Y50" i="9"/>
  <c r="AC50" i="9"/>
  <c r="AG50" i="9"/>
  <c r="F50" i="9"/>
  <c r="J50" i="9"/>
  <c r="N50" i="9"/>
  <c r="R50" i="9"/>
  <c r="V50" i="9"/>
  <c r="Z50" i="9"/>
  <c r="AD50" i="9"/>
  <c r="AH50" i="9"/>
  <c r="G50" i="9"/>
  <c r="O50" i="9"/>
  <c r="W50" i="9"/>
  <c r="AE50" i="9"/>
  <c r="H50" i="9"/>
  <c r="P50" i="9"/>
  <c r="X50" i="9"/>
  <c r="AF50" i="9"/>
  <c r="K50" i="9"/>
  <c r="S50" i="9"/>
  <c r="AA50" i="9"/>
  <c r="AI50" i="9"/>
  <c r="L50" i="9"/>
  <c r="T50" i="9"/>
  <c r="AB50" i="9"/>
  <c r="Z155" i="8"/>
  <c r="AE152" i="8"/>
  <c r="W152" i="8"/>
  <c r="O152" i="8"/>
  <c r="AC141" i="8"/>
  <c r="U141" i="8"/>
  <c r="M141" i="8"/>
  <c r="F136" i="8"/>
  <c r="E136" i="8"/>
  <c r="O136" i="8"/>
  <c r="Z136" i="8"/>
  <c r="I136" i="8"/>
  <c r="S136" i="8"/>
  <c r="AD136" i="8"/>
  <c r="E134" i="8"/>
  <c r="H134" i="8"/>
  <c r="S134" i="8"/>
  <c r="AC134" i="8"/>
  <c r="I134" i="8"/>
  <c r="T134" i="8"/>
  <c r="AE134" i="8"/>
  <c r="L118" i="8"/>
  <c r="S118" i="8"/>
  <c r="AA118" i="8"/>
  <c r="E116" i="8"/>
  <c r="I116" i="8"/>
  <c r="M116" i="8"/>
  <c r="Q116" i="8"/>
  <c r="U116" i="8"/>
  <c r="Y116" i="8"/>
  <c r="AC116" i="8"/>
  <c r="AG116" i="8"/>
  <c r="F116" i="8"/>
  <c r="J116" i="8"/>
  <c r="N116" i="8"/>
  <c r="R116" i="8"/>
  <c r="V116" i="8"/>
  <c r="Z116" i="8"/>
  <c r="AD116" i="8"/>
  <c r="AH116" i="8"/>
  <c r="F113" i="8"/>
  <c r="E113" i="8"/>
  <c r="K113" i="8"/>
  <c r="P113" i="8"/>
  <c r="U113" i="8"/>
  <c r="AA113" i="8"/>
  <c r="AF113" i="8"/>
  <c r="G113" i="8"/>
  <c r="L113" i="8"/>
  <c r="Q113" i="8"/>
  <c r="W113" i="8"/>
  <c r="AB113" i="8"/>
  <c r="AG113" i="8"/>
  <c r="V102" i="8"/>
  <c r="AF99" i="8"/>
  <c r="U99" i="8"/>
  <c r="K99" i="8"/>
  <c r="AG97" i="8"/>
  <c r="T97" i="8"/>
  <c r="G85" i="8"/>
  <c r="E85" i="8"/>
  <c r="K85" i="8"/>
  <c r="S85" i="8"/>
  <c r="Z85" i="8"/>
  <c r="AG85" i="8"/>
  <c r="F85" i="8"/>
  <c r="N85" i="8"/>
  <c r="U85" i="8"/>
  <c r="AA85" i="8"/>
  <c r="AI85" i="8"/>
  <c r="AG60" i="8"/>
  <c r="T47" i="8"/>
  <c r="AD39" i="8"/>
  <c r="H194" i="9"/>
  <c r="F194" i="9"/>
  <c r="K194" i="9"/>
  <c r="Q194" i="9"/>
  <c r="V194" i="9"/>
  <c r="AA194" i="9"/>
  <c r="AG194" i="9"/>
  <c r="E194" i="9"/>
  <c r="M194" i="9"/>
  <c r="S194" i="9"/>
  <c r="Z194" i="9"/>
  <c r="AH194" i="9"/>
  <c r="G194" i="9"/>
  <c r="N194" i="9"/>
  <c r="U194" i="9"/>
  <c r="AC194" i="9"/>
  <c r="AI194" i="9"/>
  <c r="I194" i="9"/>
  <c r="O194" i="9"/>
  <c r="W194" i="9"/>
  <c r="AD194" i="9"/>
  <c r="E190" i="9"/>
  <c r="I190" i="9"/>
  <c r="M190" i="9"/>
  <c r="Q190" i="9"/>
  <c r="U190" i="9"/>
  <c r="Y190" i="9"/>
  <c r="AC190" i="9"/>
  <c r="AG190" i="9"/>
  <c r="F190" i="9"/>
  <c r="J190" i="9"/>
  <c r="N190" i="9"/>
  <c r="R190" i="9"/>
  <c r="V190" i="9"/>
  <c r="Z190" i="9"/>
  <c r="AD190" i="9"/>
  <c r="G190" i="9"/>
  <c r="O190" i="9"/>
  <c r="W190" i="9"/>
  <c r="AE190" i="9"/>
  <c r="H190" i="9"/>
  <c r="P190" i="9"/>
  <c r="X190" i="9"/>
  <c r="AF190" i="9"/>
  <c r="K190" i="9"/>
  <c r="S190" i="9"/>
  <c r="AA190" i="9"/>
  <c r="AH190" i="9"/>
  <c r="F177" i="9"/>
  <c r="J177" i="9"/>
  <c r="N177" i="9"/>
  <c r="R177" i="9"/>
  <c r="V177" i="9"/>
  <c r="Z177" i="9"/>
  <c r="AD177" i="9"/>
  <c r="AH177" i="9"/>
  <c r="G177" i="9"/>
  <c r="K177" i="9"/>
  <c r="O177" i="9"/>
  <c r="S177" i="9"/>
  <c r="W177" i="9"/>
  <c r="AA177" i="9"/>
  <c r="AE177" i="9"/>
  <c r="AI177" i="9"/>
  <c r="E177" i="9"/>
  <c r="M177" i="9"/>
  <c r="U177" i="9"/>
  <c r="AC177" i="9"/>
  <c r="H177" i="9"/>
  <c r="P177" i="9"/>
  <c r="X177" i="9"/>
  <c r="AF177" i="9"/>
  <c r="I177" i="9"/>
  <c r="Q177" i="9"/>
  <c r="Y177" i="9"/>
  <c r="AG177" i="9"/>
  <c r="E152" i="9"/>
  <c r="I152" i="9"/>
  <c r="M152" i="9"/>
  <c r="Q152" i="9"/>
  <c r="U152" i="9"/>
  <c r="Y152" i="9"/>
  <c r="AC152" i="9"/>
  <c r="AG152" i="9"/>
  <c r="G152" i="9"/>
  <c r="L152" i="9"/>
  <c r="R152" i="9"/>
  <c r="W152" i="9"/>
  <c r="AB152" i="9"/>
  <c r="AH152" i="9"/>
  <c r="H152" i="9"/>
  <c r="N152" i="9"/>
  <c r="S152" i="9"/>
  <c r="X152" i="9"/>
  <c r="AD152" i="9"/>
  <c r="AI152" i="9"/>
  <c r="F152" i="9"/>
  <c r="P152" i="9"/>
  <c r="AA152" i="9"/>
  <c r="J152" i="9"/>
  <c r="T152" i="9"/>
  <c r="AE152" i="9"/>
  <c r="K152" i="9"/>
  <c r="V152" i="9"/>
  <c r="AF152" i="9"/>
  <c r="E98" i="9"/>
  <c r="K98" i="9"/>
  <c r="AA98" i="9"/>
  <c r="I98" i="9"/>
  <c r="AG98" i="9"/>
  <c r="Q98" i="9"/>
  <c r="AI98" i="9"/>
  <c r="S98" i="9"/>
  <c r="Y98" i="9"/>
  <c r="F209" i="10"/>
  <c r="J209" i="10"/>
  <c r="N209" i="10"/>
  <c r="R209" i="10"/>
  <c r="V209" i="10"/>
  <c r="Z209" i="10"/>
  <c r="AD209" i="10"/>
  <c r="AH209" i="10"/>
  <c r="G209" i="10"/>
  <c r="K209" i="10"/>
  <c r="O209" i="10"/>
  <c r="S209" i="10"/>
  <c r="W209" i="10"/>
  <c r="AA209" i="10"/>
  <c r="AE209" i="10"/>
  <c r="AI209" i="10"/>
  <c r="E209" i="10"/>
  <c r="M209" i="10"/>
  <c r="U209" i="10"/>
  <c r="AC209" i="10"/>
  <c r="H209" i="10"/>
  <c r="P209" i="10"/>
  <c r="X209" i="10"/>
  <c r="AF209" i="10"/>
  <c r="I209" i="10"/>
  <c r="Q209" i="10"/>
  <c r="Y209" i="10"/>
  <c r="AG209" i="10"/>
  <c r="L209" i="10"/>
  <c r="T209" i="10"/>
  <c r="AB209" i="10"/>
  <c r="F155" i="8"/>
  <c r="N155" i="8"/>
  <c r="V155" i="8"/>
  <c r="AD155" i="8"/>
  <c r="G155" i="8"/>
  <c r="O155" i="8"/>
  <c r="W155" i="8"/>
  <c r="AE155" i="8"/>
  <c r="E152" i="8"/>
  <c r="I152" i="8"/>
  <c r="M152" i="8"/>
  <c r="Q152" i="8"/>
  <c r="U152" i="8"/>
  <c r="Y152" i="8"/>
  <c r="AC152" i="8"/>
  <c r="AG152" i="8"/>
  <c r="F152" i="8"/>
  <c r="J152" i="8"/>
  <c r="N152" i="8"/>
  <c r="R152" i="8"/>
  <c r="V152" i="8"/>
  <c r="Z152" i="8"/>
  <c r="AD152" i="8"/>
  <c r="AH152" i="8"/>
  <c r="F141" i="8"/>
  <c r="J141" i="8"/>
  <c r="N141" i="8"/>
  <c r="R141" i="8"/>
  <c r="V141" i="8"/>
  <c r="Z141" i="8"/>
  <c r="AD141" i="8"/>
  <c r="AH141" i="8"/>
  <c r="G141" i="8"/>
  <c r="K141" i="8"/>
  <c r="O141" i="8"/>
  <c r="S141" i="8"/>
  <c r="W141" i="8"/>
  <c r="AA141" i="8"/>
  <c r="AE141" i="8"/>
  <c r="AI141" i="8"/>
  <c r="G119" i="8"/>
  <c r="F119" i="8"/>
  <c r="V119" i="8"/>
  <c r="K119" i="8"/>
  <c r="AA119" i="8"/>
  <c r="H102" i="8"/>
  <c r="G102" i="8"/>
  <c r="O102" i="8"/>
  <c r="W102" i="8"/>
  <c r="AE102" i="8"/>
  <c r="J102" i="8"/>
  <c r="R102" i="8"/>
  <c r="Z102" i="8"/>
  <c r="AH102" i="8"/>
  <c r="H97" i="8"/>
  <c r="O97" i="8"/>
  <c r="V97" i="8"/>
  <c r="AC97" i="8"/>
  <c r="AH97" i="8"/>
  <c r="J97" i="8"/>
  <c r="P97" i="8"/>
  <c r="X97" i="8"/>
  <c r="AD97" i="8"/>
  <c r="AI97" i="8"/>
  <c r="E41" i="8"/>
  <c r="K41" i="8"/>
  <c r="S41" i="8"/>
  <c r="AA41" i="8"/>
  <c r="AI41" i="8"/>
  <c r="G41" i="8"/>
  <c r="P41" i="8"/>
  <c r="AB41" i="8"/>
  <c r="H41" i="8"/>
  <c r="T41" i="8"/>
  <c r="AE41" i="8"/>
  <c r="L41" i="8"/>
  <c r="W41" i="8"/>
  <c r="AF41" i="8"/>
  <c r="G39" i="8"/>
  <c r="K39" i="8"/>
  <c r="O39" i="8"/>
  <c r="S39" i="8"/>
  <c r="W39" i="8"/>
  <c r="AA39" i="8"/>
  <c r="AE39" i="8"/>
  <c r="AI39" i="8"/>
  <c r="E39" i="8"/>
  <c r="J39" i="8"/>
  <c r="P39" i="8"/>
  <c r="U39" i="8"/>
  <c r="Z39" i="8"/>
  <c r="AF39" i="8"/>
  <c r="F39" i="8"/>
  <c r="L39" i="8"/>
  <c r="Q39" i="8"/>
  <c r="V39" i="8"/>
  <c r="AB39" i="8"/>
  <c r="AG39" i="8"/>
  <c r="H39" i="8"/>
  <c r="M39" i="8"/>
  <c r="R39" i="8"/>
  <c r="X39" i="8"/>
  <c r="AC39" i="8"/>
  <c r="AH39" i="8"/>
  <c r="K132" i="9"/>
  <c r="S132" i="9"/>
  <c r="AA132" i="9"/>
  <c r="AI132" i="9"/>
  <c r="G132" i="9"/>
  <c r="P132" i="9"/>
  <c r="AB132" i="9"/>
  <c r="H132" i="9"/>
  <c r="T132" i="9"/>
  <c r="AE132" i="9"/>
  <c r="L132" i="9"/>
  <c r="AF132" i="9"/>
  <c r="O132" i="9"/>
  <c r="W132" i="9"/>
  <c r="F70" i="8"/>
  <c r="J70" i="8"/>
  <c r="N70" i="8"/>
  <c r="R70" i="8"/>
  <c r="V70" i="8"/>
  <c r="Z70" i="8"/>
  <c r="AD70" i="8"/>
  <c r="AH70" i="8"/>
  <c r="G69" i="8"/>
  <c r="I69" i="8"/>
  <c r="O69" i="8"/>
  <c r="V69" i="8"/>
  <c r="AD69" i="8"/>
  <c r="H62" i="8"/>
  <c r="I62" i="8"/>
  <c r="N62" i="8"/>
  <c r="T62" i="8"/>
  <c r="Y62" i="8"/>
  <c r="AD62" i="8"/>
  <c r="H45" i="8"/>
  <c r="S45" i="8"/>
  <c r="AD45" i="8"/>
  <c r="F43" i="8"/>
  <c r="J43" i="8"/>
  <c r="N43" i="8"/>
  <c r="R43" i="8"/>
  <c r="V43" i="8"/>
  <c r="Z43" i="8"/>
  <c r="AD43" i="8"/>
  <c r="AH43" i="8"/>
  <c r="K38" i="8"/>
  <c r="AI38" i="8"/>
  <c r="E37" i="8"/>
  <c r="G37" i="8"/>
  <c r="L37" i="8"/>
  <c r="P37" i="8"/>
  <c r="T37" i="8"/>
  <c r="X37" i="8"/>
  <c r="AB37" i="8"/>
  <c r="AF37" i="8"/>
  <c r="F212" i="9"/>
  <c r="J212" i="9"/>
  <c r="N212" i="9"/>
  <c r="R212" i="9"/>
  <c r="V212" i="9"/>
  <c r="Z212" i="9"/>
  <c r="AD212" i="9"/>
  <c r="AH212" i="9"/>
  <c r="F209" i="9"/>
  <c r="G209" i="9"/>
  <c r="L209" i="9"/>
  <c r="Q209" i="9"/>
  <c r="W209" i="9"/>
  <c r="AB209" i="9"/>
  <c r="AG209" i="9"/>
  <c r="G187" i="9"/>
  <c r="L187" i="9"/>
  <c r="Q187" i="9"/>
  <c r="W187" i="9"/>
  <c r="AB187" i="9"/>
  <c r="AG187" i="9"/>
  <c r="H187" i="9"/>
  <c r="M187" i="9"/>
  <c r="S187" i="9"/>
  <c r="X187" i="9"/>
  <c r="AC187" i="9"/>
  <c r="AI187" i="9"/>
  <c r="E176" i="9"/>
  <c r="J176" i="9"/>
  <c r="O176" i="9"/>
  <c r="U176" i="9"/>
  <c r="Z176" i="9"/>
  <c r="AE176" i="9"/>
  <c r="F176" i="9"/>
  <c r="K176" i="9"/>
  <c r="Q176" i="9"/>
  <c r="V176" i="9"/>
  <c r="AA176" i="9"/>
  <c r="AG176" i="9"/>
  <c r="G171" i="9"/>
  <c r="L171" i="9"/>
  <c r="R171" i="9"/>
  <c r="W171" i="9"/>
  <c r="AB171" i="9"/>
  <c r="AH171" i="9"/>
  <c r="H171" i="9"/>
  <c r="N171" i="9"/>
  <c r="S171" i="9"/>
  <c r="X171" i="9"/>
  <c r="AD171" i="9"/>
  <c r="AI171" i="9"/>
  <c r="H155" i="9"/>
  <c r="E155" i="9"/>
  <c r="M155" i="9"/>
  <c r="U155" i="9"/>
  <c r="AC155" i="9"/>
  <c r="G155" i="9"/>
  <c r="O155" i="9"/>
  <c r="W155" i="9"/>
  <c r="AE155" i="9"/>
  <c r="E139" i="9"/>
  <c r="I139" i="9"/>
  <c r="M139" i="9"/>
  <c r="Q139" i="9"/>
  <c r="U139" i="9"/>
  <c r="Y139" i="9"/>
  <c r="AC139" i="9"/>
  <c r="AG139" i="9"/>
  <c r="F139" i="9"/>
  <c r="K139" i="9"/>
  <c r="P139" i="9"/>
  <c r="V139" i="9"/>
  <c r="AA139" i="9"/>
  <c r="AF139" i="9"/>
  <c r="G139" i="9"/>
  <c r="L139" i="9"/>
  <c r="R139" i="9"/>
  <c r="W139" i="9"/>
  <c r="AB139" i="9"/>
  <c r="AH139" i="9"/>
  <c r="H63" i="9"/>
  <c r="O63" i="9"/>
  <c r="U63" i="9"/>
  <c r="AC63" i="9"/>
  <c r="I63" i="9"/>
  <c r="P63" i="9"/>
  <c r="X63" i="9"/>
  <c r="AE63" i="9"/>
  <c r="E63" i="9"/>
  <c r="T63" i="9"/>
  <c r="AI63" i="9"/>
  <c r="K63" i="9"/>
  <c r="Y63" i="9"/>
  <c r="M63" i="9"/>
  <c r="AA63" i="9"/>
  <c r="F189" i="10"/>
  <c r="G189" i="10"/>
  <c r="L189" i="10"/>
  <c r="Q189" i="10"/>
  <c r="W189" i="10"/>
  <c r="AB189" i="10"/>
  <c r="AF189" i="10"/>
  <c r="H189" i="10"/>
  <c r="M189" i="10"/>
  <c r="S189" i="10"/>
  <c r="X189" i="10"/>
  <c r="AC189" i="10"/>
  <c r="AG189" i="10"/>
  <c r="E189" i="10"/>
  <c r="P189" i="10"/>
  <c r="AA189" i="10"/>
  <c r="AI189" i="10"/>
  <c r="I189" i="10"/>
  <c r="T189" i="10"/>
  <c r="AD189" i="10"/>
  <c r="K189" i="10"/>
  <c r="U189" i="10"/>
  <c r="AE189" i="10"/>
  <c r="E83" i="10"/>
  <c r="K83" i="10"/>
  <c r="P83" i="10"/>
  <c r="U83" i="10"/>
  <c r="AA83" i="10"/>
  <c r="AF83" i="10"/>
  <c r="H83" i="10"/>
  <c r="O83" i="10"/>
  <c r="W83" i="10"/>
  <c r="AC83" i="10"/>
  <c r="I83" i="10"/>
  <c r="Q83" i="10"/>
  <c r="X83" i="10"/>
  <c r="AE83" i="10"/>
  <c r="G83" i="10"/>
  <c r="T83" i="10"/>
  <c r="AI83" i="10"/>
  <c r="L83" i="10"/>
  <c r="Y83" i="10"/>
  <c r="S83" i="10"/>
  <c r="AB83" i="10"/>
  <c r="M83" i="10"/>
  <c r="AG83" i="10"/>
  <c r="E37" i="10"/>
  <c r="F37" i="10"/>
  <c r="K37" i="10"/>
  <c r="O37" i="10"/>
  <c r="S37" i="10"/>
  <c r="W37" i="10"/>
  <c r="AA37" i="10"/>
  <c r="AE37" i="10"/>
  <c r="AI37" i="10"/>
  <c r="G37" i="10"/>
  <c r="L37" i="10"/>
  <c r="P37" i="10"/>
  <c r="T37" i="10"/>
  <c r="X37" i="10"/>
  <c r="AB37" i="10"/>
  <c r="AF37" i="10"/>
  <c r="H37" i="10"/>
  <c r="Q37" i="10"/>
  <c r="Y37" i="10"/>
  <c r="AG37" i="10"/>
  <c r="J37" i="10"/>
  <c r="R37" i="10"/>
  <c r="Z37" i="10"/>
  <c r="AH37" i="10"/>
  <c r="M37" i="10"/>
  <c r="AC37" i="10"/>
  <c r="N37" i="10"/>
  <c r="AD37" i="10"/>
  <c r="U37" i="10"/>
  <c r="V37" i="10"/>
  <c r="AI70" i="8"/>
  <c r="AC70" i="8"/>
  <c r="X70" i="8"/>
  <c r="S70" i="8"/>
  <c r="M70" i="8"/>
  <c r="H70" i="8"/>
  <c r="AA69" i="8"/>
  <c r="S69" i="8"/>
  <c r="J69" i="8"/>
  <c r="F67" i="8"/>
  <c r="H67" i="8"/>
  <c r="M67" i="8"/>
  <c r="S67" i="8"/>
  <c r="X67" i="8"/>
  <c r="AC67" i="8"/>
  <c r="AI67" i="8"/>
  <c r="H65" i="8"/>
  <c r="K65" i="8"/>
  <c r="AA65" i="8"/>
  <c r="F63" i="8"/>
  <c r="G63" i="8"/>
  <c r="L63" i="8"/>
  <c r="Q63" i="8"/>
  <c r="W63" i="8"/>
  <c r="AB63" i="8"/>
  <c r="AG63" i="8"/>
  <c r="AF62" i="8"/>
  <c r="X62" i="8"/>
  <c r="Q62" i="8"/>
  <c r="J62" i="8"/>
  <c r="G61" i="8"/>
  <c r="N61" i="8"/>
  <c r="T61" i="8"/>
  <c r="AB61" i="8"/>
  <c r="AI61" i="8"/>
  <c r="AB45" i="8"/>
  <c r="N45" i="8"/>
  <c r="AI43" i="8"/>
  <c r="AC43" i="8"/>
  <c r="X43" i="8"/>
  <c r="S43" i="8"/>
  <c r="M43" i="8"/>
  <c r="H43" i="8"/>
  <c r="F40" i="8"/>
  <c r="E40" i="8"/>
  <c r="K40" i="8"/>
  <c r="P40" i="8"/>
  <c r="U40" i="8"/>
  <c r="Y40" i="8"/>
  <c r="AC40" i="8"/>
  <c r="AG40" i="8"/>
  <c r="W38" i="8"/>
  <c r="AE37" i="8"/>
  <c r="Z37" i="8"/>
  <c r="U37" i="8"/>
  <c r="O37" i="8"/>
  <c r="J37" i="8"/>
  <c r="AI212" i="9"/>
  <c r="AC212" i="9"/>
  <c r="X212" i="9"/>
  <c r="S212" i="9"/>
  <c r="M212" i="9"/>
  <c r="H212" i="9"/>
  <c r="E210" i="9"/>
  <c r="G210" i="9"/>
  <c r="W210" i="9"/>
  <c r="AE209" i="9"/>
  <c r="X209" i="9"/>
  <c r="P209" i="9"/>
  <c r="I209" i="9"/>
  <c r="F196" i="9"/>
  <c r="G196" i="9"/>
  <c r="O196" i="9"/>
  <c r="W196" i="9"/>
  <c r="AE196" i="9"/>
  <c r="AA193" i="9"/>
  <c r="AH192" i="9"/>
  <c r="AA192" i="9"/>
  <c r="T192" i="9"/>
  <c r="N192" i="9"/>
  <c r="H191" i="9"/>
  <c r="M191" i="9"/>
  <c r="S191" i="9"/>
  <c r="X191" i="9"/>
  <c r="AC191" i="9"/>
  <c r="AI191" i="9"/>
  <c r="AF187" i="9"/>
  <c r="U187" i="9"/>
  <c r="K187" i="9"/>
  <c r="AH176" i="9"/>
  <c r="W176" i="9"/>
  <c r="M176" i="9"/>
  <c r="G175" i="9"/>
  <c r="L175" i="9"/>
  <c r="R175" i="9"/>
  <c r="W175" i="9"/>
  <c r="AB175" i="9"/>
  <c r="AH175" i="9"/>
  <c r="H175" i="9"/>
  <c r="N175" i="9"/>
  <c r="S175" i="9"/>
  <c r="X175" i="9"/>
  <c r="AD175" i="9"/>
  <c r="AI175" i="9"/>
  <c r="AC173" i="9"/>
  <c r="U173" i="9"/>
  <c r="M173" i="9"/>
  <c r="AF171" i="9"/>
  <c r="V171" i="9"/>
  <c r="K171" i="9"/>
  <c r="F169" i="9"/>
  <c r="J169" i="9"/>
  <c r="N169" i="9"/>
  <c r="R169" i="9"/>
  <c r="V169" i="9"/>
  <c r="Z169" i="9"/>
  <c r="AD169" i="9"/>
  <c r="AH169" i="9"/>
  <c r="G169" i="9"/>
  <c r="K169" i="9"/>
  <c r="O169" i="9"/>
  <c r="S169" i="9"/>
  <c r="W169" i="9"/>
  <c r="AA169" i="9"/>
  <c r="AE169" i="9"/>
  <c r="AI169" i="9"/>
  <c r="AC168" i="9"/>
  <c r="R168" i="9"/>
  <c r="E157" i="9"/>
  <c r="Q157" i="9"/>
  <c r="AA157" i="9"/>
  <c r="I157" i="9"/>
  <c r="S157" i="9"/>
  <c r="AC157" i="9"/>
  <c r="AG155" i="9"/>
  <c r="Q155" i="9"/>
  <c r="X154" i="9"/>
  <c r="AI139" i="9"/>
  <c r="X139" i="9"/>
  <c r="N139" i="9"/>
  <c r="F133" i="9"/>
  <c r="J133" i="9"/>
  <c r="R133" i="9"/>
  <c r="Y133" i="9"/>
  <c r="AE133" i="9"/>
  <c r="G133" i="9"/>
  <c r="O133" i="9"/>
  <c r="Z133" i="9"/>
  <c r="AI133" i="9"/>
  <c r="I133" i="9"/>
  <c r="S133" i="9"/>
  <c r="AC133" i="9"/>
  <c r="F122" i="9"/>
  <c r="E122" i="9"/>
  <c r="K122" i="9"/>
  <c r="P122" i="9"/>
  <c r="U122" i="9"/>
  <c r="AA122" i="9"/>
  <c r="AF122" i="9"/>
  <c r="G122" i="9"/>
  <c r="M122" i="9"/>
  <c r="T122" i="9"/>
  <c r="AB122" i="9"/>
  <c r="AI122" i="9"/>
  <c r="H122" i="9"/>
  <c r="O122" i="9"/>
  <c r="W122" i="9"/>
  <c r="AC122" i="9"/>
  <c r="F82" i="9"/>
  <c r="J82" i="9"/>
  <c r="N82" i="9"/>
  <c r="R82" i="9"/>
  <c r="V82" i="9"/>
  <c r="Z82" i="9"/>
  <c r="AD82" i="9"/>
  <c r="AH82" i="9"/>
  <c r="G82" i="9"/>
  <c r="K82" i="9"/>
  <c r="O82" i="9"/>
  <c r="S82" i="9"/>
  <c r="W82" i="9"/>
  <c r="AA82" i="9"/>
  <c r="AE82" i="9"/>
  <c r="AI82" i="9"/>
  <c r="E82" i="9"/>
  <c r="M82" i="9"/>
  <c r="U82" i="9"/>
  <c r="AC82" i="9"/>
  <c r="H82" i="9"/>
  <c r="P82" i="9"/>
  <c r="X82" i="9"/>
  <c r="AF82" i="9"/>
  <c r="I82" i="9"/>
  <c r="Q82" i="9"/>
  <c r="Y82" i="9"/>
  <c r="AG82" i="9"/>
  <c r="AH189" i="10"/>
  <c r="H187" i="10"/>
  <c r="G187" i="10"/>
  <c r="O187" i="10"/>
  <c r="W187" i="10"/>
  <c r="AE187" i="10"/>
  <c r="J187" i="10"/>
  <c r="R187" i="10"/>
  <c r="Z187" i="10"/>
  <c r="AH187" i="10"/>
  <c r="F187" i="10"/>
  <c r="V187" i="10"/>
  <c r="K187" i="10"/>
  <c r="AA187" i="10"/>
  <c r="N187" i="10"/>
  <c r="AD187" i="10"/>
  <c r="AI41" i="7"/>
  <c r="AC41" i="7"/>
  <c r="X41" i="7"/>
  <c r="S41" i="7"/>
  <c r="M41" i="7"/>
  <c r="H41" i="7"/>
  <c r="AE38" i="7"/>
  <c r="AG37" i="7"/>
  <c r="AC37" i="7"/>
  <c r="Y37" i="7"/>
  <c r="U37" i="7"/>
  <c r="Q37" i="7"/>
  <c r="K37" i="7"/>
  <c r="AI210" i="8"/>
  <c r="AD210" i="8"/>
  <c r="X210" i="8"/>
  <c r="S210" i="8"/>
  <c r="N210" i="8"/>
  <c r="H210" i="8"/>
  <c r="W207" i="8"/>
  <c r="AG196" i="8"/>
  <c r="Y196" i="8"/>
  <c r="Q196" i="8"/>
  <c r="I196" i="8"/>
  <c r="AG192" i="8"/>
  <c r="Y192" i="8"/>
  <c r="Q192" i="8"/>
  <c r="I192" i="8"/>
  <c r="AI189" i="8"/>
  <c r="AD189" i="8"/>
  <c r="X189" i="8"/>
  <c r="S189" i="8"/>
  <c r="N189" i="8"/>
  <c r="H189" i="8"/>
  <c r="AI187" i="8"/>
  <c r="AE187" i="8"/>
  <c r="AA187" i="8"/>
  <c r="W187" i="8"/>
  <c r="S187" i="8"/>
  <c r="O187" i="8"/>
  <c r="K187" i="8"/>
  <c r="AE173" i="8"/>
  <c r="O173" i="8"/>
  <c r="AA168" i="8"/>
  <c r="AI156" i="8"/>
  <c r="AE156" i="8"/>
  <c r="AA156" i="8"/>
  <c r="W156" i="8"/>
  <c r="S156" i="8"/>
  <c r="O156" i="8"/>
  <c r="K156" i="8"/>
  <c r="AF153" i="8"/>
  <c r="AB153" i="8"/>
  <c r="X153" i="8"/>
  <c r="S153" i="8"/>
  <c r="M153" i="8"/>
  <c r="H153" i="8"/>
  <c r="AI137" i="8"/>
  <c r="AE137" i="8"/>
  <c r="AA137" i="8"/>
  <c r="W137" i="8"/>
  <c r="S137" i="8"/>
  <c r="O137" i="8"/>
  <c r="K137" i="8"/>
  <c r="AI120" i="8"/>
  <c r="AE120" i="8"/>
  <c r="AA120" i="8"/>
  <c r="W120" i="8"/>
  <c r="S120" i="8"/>
  <c r="O120" i="8"/>
  <c r="K120" i="8"/>
  <c r="AI117" i="8"/>
  <c r="AC117" i="8"/>
  <c r="X117" i="8"/>
  <c r="S117" i="8"/>
  <c r="M117" i="8"/>
  <c r="H117" i="8"/>
  <c r="AH115" i="8"/>
  <c r="Z115" i="8"/>
  <c r="R115" i="8"/>
  <c r="J115" i="8"/>
  <c r="AE101" i="8"/>
  <c r="O101" i="8"/>
  <c r="AE83" i="8"/>
  <c r="X83" i="8"/>
  <c r="P83" i="8"/>
  <c r="I83" i="8"/>
  <c r="G71" i="8"/>
  <c r="I71" i="8"/>
  <c r="P71" i="8"/>
  <c r="X71" i="8"/>
  <c r="AE71" i="8"/>
  <c r="AG70" i="8"/>
  <c r="AB70" i="8"/>
  <c r="W70" i="8"/>
  <c r="Q70" i="8"/>
  <c r="L70" i="8"/>
  <c r="G70" i="8"/>
  <c r="AI69" i="8"/>
  <c r="Z69" i="8"/>
  <c r="Q69" i="8"/>
  <c r="F69" i="8"/>
  <c r="G68" i="8"/>
  <c r="H68" i="8"/>
  <c r="O68" i="8"/>
  <c r="V68" i="8"/>
  <c r="AD68" i="8"/>
  <c r="AE67" i="8"/>
  <c r="W67" i="8"/>
  <c r="P67" i="8"/>
  <c r="I67" i="8"/>
  <c r="E66" i="8"/>
  <c r="I66" i="8"/>
  <c r="M66" i="8"/>
  <c r="Q66" i="8"/>
  <c r="U66" i="8"/>
  <c r="Y66" i="8"/>
  <c r="AC66" i="8"/>
  <c r="AG66" i="8"/>
  <c r="S65" i="8"/>
  <c r="E64" i="8"/>
  <c r="G64" i="8"/>
  <c r="N64" i="8"/>
  <c r="S64" i="8"/>
  <c r="X64" i="8"/>
  <c r="AD64" i="8"/>
  <c r="AI64" i="8"/>
  <c r="AE63" i="8"/>
  <c r="X63" i="8"/>
  <c r="P63" i="8"/>
  <c r="I63" i="8"/>
  <c r="AC62" i="8"/>
  <c r="V62" i="8"/>
  <c r="P62" i="8"/>
  <c r="G62" i="8"/>
  <c r="AE61" i="8"/>
  <c r="W61" i="8"/>
  <c r="L61" i="8"/>
  <c r="G46" i="8"/>
  <c r="R46" i="8"/>
  <c r="AC46" i="8"/>
  <c r="X45" i="8"/>
  <c r="L45" i="8"/>
  <c r="AG43" i="8"/>
  <c r="AB43" i="8"/>
  <c r="W43" i="8"/>
  <c r="Q43" i="8"/>
  <c r="L43" i="8"/>
  <c r="G43" i="8"/>
  <c r="AH40" i="8"/>
  <c r="AB40" i="8"/>
  <c r="W40" i="8"/>
  <c r="Q40" i="8"/>
  <c r="I40" i="8"/>
  <c r="S38" i="8"/>
  <c r="AI37" i="8"/>
  <c r="AD37" i="8"/>
  <c r="Y37" i="8"/>
  <c r="S37" i="8"/>
  <c r="N37" i="8"/>
  <c r="H37" i="8"/>
  <c r="AJ15" i="8"/>
  <c r="AG212" i="9"/>
  <c r="AB212" i="9"/>
  <c r="W212" i="9"/>
  <c r="Q212" i="9"/>
  <c r="L212" i="9"/>
  <c r="G212" i="9"/>
  <c r="S210" i="9"/>
  <c r="AC209" i="9"/>
  <c r="U209" i="9"/>
  <c r="O209" i="9"/>
  <c r="H209" i="9"/>
  <c r="E193" i="9"/>
  <c r="O193" i="9"/>
  <c r="AE193" i="9"/>
  <c r="G192" i="9"/>
  <c r="L192" i="9"/>
  <c r="R192" i="9"/>
  <c r="W192" i="9"/>
  <c r="AB192" i="9"/>
  <c r="AG192" i="9"/>
  <c r="AE187" i="9"/>
  <c r="T187" i="9"/>
  <c r="I187" i="9"/>
  <c r="AD176" i="9"/>
  <c r="S176" i="9"/>
  <c r="I176" i="9"/>
  <c r="F173" i="9"/>
  <c r="J173" i="9"/>
  <c r="N173" i="9"/>
  <c r="R173" i="9"/>
  <c r="V173" i="9"/>
  <c r="Z173" i="9"/>
  <c r="AD173" i="9"/>
  <c r="AH173" i="9"/>
  <c r="G173" i="9"/>
  <c r="K173" i="9"/>
  <c r="O173" i="9"/>
  <c r="S173" i="9"/>
  <c r="W173" i="9"/>
  <c r="AA173" i="9"/>
  <c r="AE173" i="9"/>
  <c r="AI173" i="9"/>
  <c r="AE171" i="9"/>
  <c r="T171" i="9"/>
  <c r="J171" i="9"/>
  <c r="E168" i="9"/>
  <c r="J168" i="9"/>
  <c r="O168" i="9"/>
  <c r="U168" i="9"/>
  <c r="Z168" i="9"/>
  <c r="AE168" i="9"/>
  <c r="F168" i="9"/>
  <c r="K168" i="9"/>
  <c r="Q168" i="9"/>
  <c r="V168" i="9"/>
  <c r="AA168" i="9"/>
  <c r="AG168" i="9"/>
  <c r="AA155" i="9"/>
  <c r="K155" i="9"/>
  <c r="E154" i="9"/>
  <c r="F154" i="9"/>
  <c r="K154" i="9"/>
  <c r="P154" i="9"/>
  <c r="V154" i="9"/>
  <c r="AA154" i="9"/>
  <c r="G154" i="9"/>
  <c r="N154" i="9"/>
  <c r="T154" i="9"/>
  <c r="AB154" i="9"/>
  <c r="AH154" i="9"/>
  <c r="H154" i="9"/>
  <c r="O154" i="9"/>
  <c r="W154" i="9"/>
  <c r="AD154" i="9"/>
  <c r="AI154" i="9"/>
  <c r="AE139" i="9"/>
  <c r="T139" i="9"/>
  <c r="J139" i="9"/>
  <c r="E84" i="9"/>
  <c r="G84" i="9"/>
  <c r="L84" i="9"/>
  <c r="R84" i="9"/>
  <c r="W84" i="9"/>
  <c r="AB84" i="9"/>
  <c r="AH84" i="9"/>
  <c r="H84" i="9"/>
  <c r="N84" i="9"/>
  <c r="S84" i="9"/>
  <c r="X84" i="9"/>
  <c r="AD84" i="9"/>
  <c r="AI84" i="9"/>
  <c r="F84" i="9"/>
  <c r="P84" i="9"/>
  <c r="AA84" i="9"/>
  <c r="J84" i="9"/>
  <c r="T84" i="9"/>
  <c r="AE84" i="9"/>
  <c r="K84" i="9"/>
  <c r="V84" i="9"/>
  <c r="AF84" i="9"/>
  <c r="AF63" i="9"/>
  <c r="F206" i="10"/>
  <c r="G206" i="10"/>
  <c r="L206" i="10"/>
  <c r="Q206" i="10"/>
  <c r="W206" i="10"/>
  <c r="AB206" i="10"/>
  <c r="AG206" i="10"/>
  <c r="H206" i="10"/>
  <c r="M206" i="10"/>
  <c r="S206" i="10"/>
  <c r="X206" i="10"/>
  <c r="AC206" i="10"/>
  <c r="AI206" i="10"/>
  <c r="E206" i="10"/>
  <c r="P206" i="10"/>
  <c r="AA206" i="10"/>
  <c r="I206" i="10"/>
  <c r="T206" i="10"/>
  <c r="AE206" i="10"/>
  <c r="K206" i="10"/>
  <c r="U206" i="10"/>
  <c r="AF206" i="10"/>
  <c r="Y189" i="10"/>
  <c r="E99" i="9"/>
  <c r="I99" i="9"/>
  <c r="M99" i="9"/>
  <c r="Q99" i="9"/>
  <c r="U99" i="9"/>
  <c r="Y99" i="9"/>
  <c r="AC99" i="9"/>
  <c r="AG99" i="9"/>
  <c r="F96" i="9"/>
  <c r="E96" i="9"/>
  <c r="M96" i="9"/>
  <c r="U96" i="9"/>
  <c r="AC96" i="9"/>
  <c r="G96" i="9"/>
  <c r="O96" i="9"/>
  <c r="W96" i="9"/>
  <c r="E62" i="9"/>
  <c r="I62" i="9"/>
  <c r="M62" i="9"/>
  <c r="Q62" i="9"/>
  <c r="U62" i="9"/>
  <c r="Y62" i="9"/>
  <c r="AC62" i="9"/>
  <c r="AG62" i="9"/>
  <c r="F62" i="9"/>
  <c r="J62" i="9"/>
  <c r="N62" i="9"/>
  <c r="R62" i="9"/>
  <c r="V62" i="9"/>
  <c r="Z62" i="9"/>
  <c r="AD62" i="9"/>
  <c r="AH62" i="9"/>
  <c r="H48" i="9"/>
  <c r="G48" i="9"/>
  <c r="O48" i="9"/>
  <c r="W48" i="9"/>
  <c r="AE48" i="9"/>
  <c r="J48" i="9"/>
  <c r="R48" i="9"/>
  <c r="Z48" i="9"/>
  <c r="AH48" i="9"/>
  <c r="F213" i="10"/>
  <c r="J213" i="10"/>
  <c r="N213" i="10"/>
  <c r="R213" i="10"/>
  <c r="V213" i="10"/>
  <c r="Z213" i="10"/>
  <c r="AD213" i="10"/>
  <c r="AH213" i="10"/>
  <c r="G213" i="10"/>
  <c r="K213" i="10"/>
  <c r="O213" i="10"/>
  <c r="S213" i="10"/>
  <c r="W213" i="10"/>
  <c r="AA213" i="10"/>
  <c r="AE213" i="10"/>
  <c r="AI213" i="10"/>
  <c r="H191" i="10"/>
  <c r="F191" i="10"/>
  <c r="N191" i="10"/>
  <c r="V191" i="10"/>
  <c r="AD191" i="10"/>
  <c r="G191" i="10"/>
  <c r="O191" i="10"/>
  <c r="W191" i="10"/>
  <c r="AE191" i="10"/>
  <c r="G156" i="10"/>
  <c r="O156" i="10"/>
  <c r="W156" i="10"/>
  <c r="AE156" i="10"/>
  <c r="J156" i="10"/>
  <c r="S156" i="10"/>
  <c r="AD156" i="10"/>
  <c r="F156" i="10"/>
  <c r="V156" i="10"/>
  <c r="AI156" i="10"/>
  <c r="K156" i="10"/>
  <c r="Z156" i="10"/>
  <c r="E139" i="10"/>
  <c r="I139" i="10"/>
  <c r="M139" i="10"/>
  <c r="Q139" i="10"/>
  <c r="U139" i="10"/>
  <c r="Y139" i="10"/>
  <c r="AC139" i="10"/>
  <c r="AG139" i="10"/>
  <c r="G139" i="10"/>
  <c r="L139" i="10"/>
  <c r="R139" i="10"/>
  <c r="W139" i="10"/>
  <c r="AB139" i="10"/>
  <c r="AH139" i="10"/>
  <c r="H139" i="10"/>
  <c r="N139" i="10"/>
  <c r="S139" i="10"/>
  <c r="X139" i="10"/>
  <c r="AD139" i="10"/>
  <c r="AI139" i="10"/>
  <c r="F139" i="10"/>
  <c r="P139" i="10"/>
  <c r="AA139" i="10"/>
  <c r="J139" i="10"/>
  <c r="T139" i="10"/>
  <c r="AE139" i="10"/>
  <c r="E133" i="10"/>
  <c r="H133" i="10"/>
  <c r="N133" i="10"/>
  <c r="S133" i="10"/>
  <c r="X133" i="10"/>
  <c r="AD133" i="10"/>
  <c r="AI133" i="10"/>
  <c r="F133" i="10"/>
  <c r="L133" i="10"/>
  <c r="T133" i="10"/>
  <c r="AA133" i="10"/>
  <c r="AH133" i="10"/>
  <c r="G133" i="10"/>
  <c r="O133" i="10"/>
  <c r="V133" i="10"/>
  <c r="AB133" i="10"/>
  <c r="J133" i="10"/>
  <c r="W133" i="10"/>
  <c r="K133" i="10"/>
  <c r="Z133" i="10"/>
  <c r="L60" i="10"/>
  <c r="U60" i="10"/>
  <c r="AF60" i="10"/>
  <c r="K60" i="10"/>
  <c r="X60" i="10"/>
  <c r="AI60" i="10"/>
  <c r="M60" i="10"/>
  <c r="AA60" i="10"/>
  <c r="G60" i="10"/>
  <c r="AG60" i="10"/>
  <c r="Q60" i="10"/>
  <c r="S60" i="10"/>
  <c r="AB60" i="10"/>
  <c r="E140" i="9"/>
  <c r="K140" i="9"/>
  <c r="AA140" i="9"/>
  <c r="H138" i="9"/>
  <c r="I138" i="9"/>
  <c r="Q138" i="9"/>
  <c r="Y138" i="9"/>
  <c r="AG138" i="9"/>
  <c r="G121" i="9"/>
  <c r="K121" i="9"/>
  <c r="O121" i="9"/>
  <c r="S121" i="9"/>
  <c r="W121" i="9"/>
  <c r="AA121" i="9"/>
  <c r="AE121" i="9"/>
  <c r="AI121" i="9"/>
  <c r="O115" i="9"/>
  <c r="AE115" i="9"/>
  <c r="AI99" i="9"/>
  <c r="AD99" i="9"/>
  <c r="X99" i="9"/>
  <c r="S99" i="9"/>
  <c r="N99" i="9"/>
  <c r="H99" i="9"/>
  <c r="AE96" i="9"/>
  <c r="Q96" i="9"/>
  <c r="F66" i="9"/>
  <c r="J66" i="9"/>
  <c r="N66" i="9"/>
  <c r="R66" i="9"/>
  <c r="V66" i="9"/>
  <c r="Z66" i="9"/>
  <c r="AD66" i="9"/>
  <c r="AH66" i="9"/>
  <c r="G66" i="9"/>
  <c r="K66" i="9"/>
  <c r="O66" i="9"/>
  <c r="S66" i="9"/>
  <c r="W66" i="9"/>
  <c r="AA66" i="9"/>
  <c r="AE66" i="9"/>
  <c r="AI66" i="9"/>
  <c r="AI62" i="9"/>
  <c r="AA62" i="9"/>
  <c r="S62" i="9"/>
  <c r="K62" i="9"/>
  <c r="AD48" i="9"/>
  <c r="N48" i="9"/>
  <c r="F46" i="9"/>
  <c r="J46" i="9"/>
  <c r="N46" i="9"/>
  <c r="R46" i="9"/>
  <c r="V46" i="9"/>
  <c r="Z46" i="9"/>
  <c r="AD46" i="9"/>
  <c r="AH46" i="9"/>
  <c r="G46" i="9"/>
  <c r="K46" i="9"/>
  <c r="O46" i="9"/>
  <c r="S46" i="9"/>
  <c r="W46" i="9"/>
  <c r="AA46" i="9"/>
  <c r="AE46" i="9"/>
  <c r="AI46" i="9"/>
  <c r="F40" i="9"/>
  <c r="E40" i="9"/>
  <c r="M40" i="9"/>
  <c r="U40" i="9"/>
  <c r="AC40" i="9"/>
  <c r="G40" i="9"/>
  <c r="O40" i="9"/>
  <c r="W40" i="9"/>
  <c r="AE40" i="9"/>
  <c r="AJ14" i="9"/>
  <c r="AG213" i="10"/>
  <c r="Y213" i="10"/>
  <c r="Q213" i="10"/>
  <c r="I213" i="10"/>
  <c r="E196" i="10"/>
  <c r="I196" i="10"/>
  <c r="M196" i="10"/>
  <c r="Q196" i="10"/>
  <c r="U196" i="10"/>
  <c r="Y196" i="10"/>
  <c r="AC196" i="10"/>
  <c r="AG196" i="10"/>
  <c r="F196" i="10"/>
  <c r="J196" i="10"/>
  <c r="N196" i="10"/>
  <c r="R196" i="10"/>
  <c r="V196" i="10"/>
  <c r="Z196" i="10"/>
  <c r="AD196" i="10"/>
  <c r="AH196" i="10"/>
  <c r="F193" i="10"/>
  <c r="E193" i="10"/>
  <c r="K193" i="10"/>
  <c r="P193" i="10"/>
  <c r="U193" i="10"/>
  <c r="AA193" i="10"/>
  <c r="AF193" i="10"/>
  <c r="G193" i="10"/>
  <c r="L193" i="10"/>
  <c r="Q193" i="10"/>
  <c r="W193" i="10"/>
  <c r="AB193" i="10"/>
  <c r="AG193" i="10"/>
  <c r="AH191" i="10"/>
  <c r="R191" i="10"/>
  <c r="H190" i="10"/>
  <c r="K190" i="10"/>
  <c r="AA190" i="10"/>
  <c r="O190" i="10"/>
  <c r="AE190" i="10"/>
  <c r="F171" i="10"/>
  <c r="J171" i="10"/>
  <c r="N171" i="10"/>
  <c r="R171" i="10"/>
  <c r="V171" i="10"/>
  <c r="Z171" i="10"/>
  <c r="AD171" i="10"/>
  <c r="AH171" i="10"/>
  <c r="E171" i="10"/>
  <c r="K171" i="10"/>
  <c r="P171" i="10"/>
  <c r="U171" i="10"/>
  <c r="AA171" i="10"/>
  <c r="AF171" i="10"/>
  <c r="H171" i="10"/>
  <c r="O171" i="10"/>
  <c r="W171" i="10"/>
  <c r="AC171" i="10"/>
  <c r="I171" i="10"/>
  <c r="Q171" i="10"/>
  <c r="X171" i="10"/>
  <c r="AE171" i="10"/>
  <c r="E170" i="10"/>
  <c r="M170" i="10"/>
  <c r="W170" i="10"/>
  <c r="AH170" i="10"/>
  <c r="N170" i="10"/>
  <c r="AC170" i="10"/>
  <c r="I170" i="10"/>
  <c r="AD170" i="10"/>
  <c r="R170" i="10"/>
  <c r="AI170" i="10"/>
  <c r="AA156" i="10"/>
  <c r="V139" i="10"/>
  <c r="AE133" i="10"/>
  <c r="E70" i="10"/>
  <c r="I70" i="10"/>
  <c r="M70" i="10"/>
  <c r="Q70" i="10"/>
  <c r="U70" i="10"/>
  <c r="Y70" i="10"/>
  <c r="AC70" i="10"/>
  <c r="AG70" i="10"/>
  <c r="F70" i="10"/>
  <c r="J70" i="10"/>
  <c r="N70" i="10"/>
  <c r="R70" i="10"/>
  <c r="V70" i="10"/>
  <c r="Z70" i="10"/>
  <c r="AD70" i="10"/>
  <c r="AH70" i="10"/>
  <c r="G70" i="10"/>
  <c r="O70" i="10"/>
  <c r="W70" i="10"/>
  <c r="AE70" i="10"/>
  <c r="H70" i="10"/>
  <c r="P70" i="10"/>
  <c r="X70" i="10"/>
  <c r="AF70" i="10"/>
  <c r="L70" i="10"/>
  <c r="AB70" i="10"/>
  <c r="S70" i="10"/>
  <c r="AI70" i="10"/>
  <c r="T70" i="10"/>
  <c r="AA70" i="10"/>
  <c r="AI174" i="9"/>
  <c r="AC174" i="9"/>
  <c r="X174" i="9"/>
  <c r="S174" i="9"/>
  <c r="M174" i="9"/>
  <c r="AI170" i="9"/>
  <c r="AC170" i="9"/>
  <c r="X170" i="9"/>
  <c r="S170" i="9"/>
  <c r="M170" i="9"/>
  <c r="AI158" i="9"/>
  <c r="AD158" i="9"/>
  <c r="X158" i="9"/>
  <c r="S158" i="9"/>
  <c r="N158" i="9"/>
  <c r="H158" i="9"/>
  <c r="AI156" i="9"/>
  <c r="AE156" i="9"/>
  <c r="AA156" i="9"/>
  <c r="W156" i="9"/>
  <c r="S156" i="9"/>
  <c r="O156" i="9"/>
  <c r="K156" i="9"/>
  <c r="K153" i="9"/>
  <c r="AA153" i="9"/>
  <c r="H151" i="9"/>
  <c r="I151" i="9"/>
  <c r="Q151" i="9"/>
  <c r="Y151" i="9"/>
  <c r="AG151" i="9"/>
  <c r="E141" i="9"/>
  <c r="F141" i="9"/>
  <c r="K141" i="9"/>
  <c r="P141" i="9"/>
  <c r="V141" i="9"/>
  <c r="AA141" i="9"/>
  <c r="AF141" i="9"/>
  <c r="S140" i="9"/>
  <c r="AE138" i="9"/>
  <c r="U138" i="9"/>
  <c r="K138" i="9"/>
  <c r="G137" i="9"/>
  <c r="N137" i="9"/>
  <c r="T137" i="9"/>
  <c r="Z137" i="9"/>
  <c r="AE137" i="9"/>
  <c r="H135" i="9"/>
  <c r="O135" i="9"/>
  <c r="W135" i="9"/>
  <c r="AC135" i="9"/>
  <c r="AJ134" i="9"/>
  <c r="K134" i="16" s="1"/>
  <c r="AH121" i="9"/>
  <c r="AC121" i="9"/>
  <c r="X121" i="9"/>
  <c r="R121" i="9"/>
  <c r="M121" i="9"/>
  <c r="H121" i="9"/>
  <c r="F118" i="9"/>
  <c r="G118" i="9"/>
  <c r="L118" i="9"/>
  <c r="Q118" i="9"/>
  <c r="W118" i="9"/>
  <c r="AB118" i="9"/>
  <c r="AG118" i="9"/>
  <c r="H116" i="9"/>
  <c r="G116" i="9"/>
  <c r="O116" i="9"/>
  <c r="W116" i="9"/>
  <c r="AE116" i="9"/>
  <c r="S115" i="9"/>
  <c r="N114" i="9"/>
  <c r="AF114" i="9"/>
  <c r="X101" i="9"/>
  <c r="M100" i="9"/>
  <c r="AI100" i="9"/>
  <c r="AH99" i="9"/>
  <c r="AB99" i="9"/>
  <c r="W99" i="9"/>
  <c r="R99" i="9"/>
  <c r="L99" i="9"/>
  <c r="G99" i="9"/>
  <c r="E97" i="9"/>
  <c r="H97" i="9"/>
  <c r="N97" i="9"/>
  <c r="S97" i="9"/>
  <c r="X97" i="9"/>
  <c r="AD97" i="9"/>
  <c r="AI97" i="9"/>
  <c r="AA96" i="9"/>
  <c r="K96" i="9"/>
  <c r="G85" i="9"/>
  <c r="O85" i="9"/>
  <c r="S85" i="9"/>
  <c r="E70" i="9"/>
  <c r="I70" i="9"/>
  <c r="M70" i="9"/>
  <c r="Q70" i="9"/>
  <c r="U70" i="9"/>
  <c r="Y70" i="9"/>
  <c r="AC70" i="9"/>
  <c r="AG70" i="9"/>
  <c r="F70" i="9"/>
  <c r="J70" i="9"/>
  <c r="N70" i="9"/>
  <c r="R70" i="9"/>
  <c r="V70" i="9"/>
  <c r="Z70" i="9"/>
  <c r="AD70" i="9"/>
  <c r="AH70" i="9"/>
  <c r="AG66" i="9"/>
  <c r="Y66" i="9"/>
  <c r="Q66" i="9"/>
  <c r="I66" i="9"/>
  <c r="AF62" i="9"/>
  <c r="X62" i="9"/>
  <c r="P62" i="9"/>
  <c r="H62" i="9"/>
  <c r="AA48" i="9"/>
  <c r="K48" i="9"/>
  <c r="AG46" i="9"/>
  <c r="Y46" i="9"/>
  <c r="Q46" i="9"/>
  <c r="I46" i="9"/>
  <c r="AG40" i="9"/>
  <c r="Q40" i="9"/>
  <c r="AF213" i="10"/>
  <c r="X213" i="10"/>
  <c r="P213" i="10"/>
  <c r="H213" i="10"/>
  <c r="H207" i="10"/>
  <c r="G207" i="10"/>
  <c r="W207" i="10"/>
  <c r="K207" i="10"/>
  <c r="AA207" i="10"/>
  <c r="AI196" i="10"/>
  <c r="AA196" i="10"/>
  <c r="S196" i="10"/>
  <c r="K196" i="10"/>
  <c r="AI193" i="10"/>
  <c r="X193" i="10"/>
  <c r="M193" i="10"/>
  <c r="AA191" i="10"/>
  <c r="K191" i="10"/>
  <c r="W190" i="10"/>
  <c r="J177" i="10"/>
  <c r="H177" i="10"/>
  <c r="S177" i="10"/>
  <c r="L177" i="10"/>
  <c r="X177" i="10"/>
  <c r="AI177" i="10"/>
  <c r="N177" i="10"/>
  <c r="AB177" i="10"/>
  <c r="J173" i="10"/>
  <c r="L173" i="10"/>
  <c r="W173" i="10"/>
  <c r="AH173" i="10"/>
  <c r="H173" i="10"/>
  <c r="X173" i="10"/>
  <c r="N173" i="10"/>
  <c r="AD173" i="10"/>
  <c r="R173" i="10"/>
  <c r="AI173" i="10"/>
  <c r="AB171" i="10"/>
  <c r="M171" i="10"/>
  <c r="Y170" i="10"/>
  <c r="R156" i="10"/>
  <c r="O139" i="10"/>
  <c r="R133" i="10"/>
  <c r="I168" i="10"/>
  <c r="G168" i="10"/>
  <c r="Q168" i="10"/>
  <c r="AB168" i="10"/>
  <c r="L168" i="10"/>
  <c r="X168" i="10"/>
  <c r="E158" i="10"/>
  <c r="I158" i="10"/>
  <c r="M158" i="10"/>
  <c r="Q158" i="10"/>
  <c r="U158" i="10"/>
  <c r="Y158" i="10"/>
  <c r="AC158" i="10"/>
  <c r="AG158" i="10"/>
  <c r="F158" i="10"/>
  <c r="K158" i="10"/>
  <c r="P158" i="10"/>
  <c r="V158" i="10"/>
  <c r="AA158" i="10"/>
  <c r="AF158" i="10"/>
  <c r="G141" i="10"/>
  <c r="L141" i="10"/>
  <c r="R141" i="10"/>
  <c r="W141" i="10"/>
  <c r="AB141" i="10"/>
  <c r="AH141" i="10"/>
  <c r="H141" i="10"/>
  <c r="O141" i="10"/>
  <c r="V141" i="10"/>
  <c r="AD141" i="10"/>
  <c r="J141" i="10"/>
  <c r="P141" i="10"/>
  <c r="X141" i="10"/>
  <c r="AE141" i="10"/>
  <c r="I65" i="10"/>
  <c r="S65" i="10"/>
  <c r="AD65" i="10"/>
  <c r="K65" i="10"/>
  <c r="V65" i="10"/>
  <c r="AG65" i="10"/>
  <c r="N65" i="10"/>
  <c r="AI65" i="10"/>
  <c r="Q65" i="10"/>
  <c r="F65" i="10"/>
  <c r="Y65" i="10"/>
  <c r="H38" i="10"/>
  <c r="E38" i="10"/>
  <c r="M38" i="10"/>
  <c r="U38" i="10"/>
  <c r="AC38" i="10"/>
  <c r="G38" i="10"/>
  <c r="O38" i="10"/>
  <c r="W38" i="10"/>
  <c r="AE38" i="10"/>
  <c r="I38" i="10"/>
  <c r="Y38" i="10"/>
  <c r="K38" i="10"/>
  <c r="AA38" i="10"/>
  <c r="Q38" i="10"/>
  <c r="S38" i="10"/>
  <c r="AG38" i="10"/>
  <c r="AI38" i="10"/>
  <c r="AF64" i="9"/>
  <c r="AA64" i="9"/>
  <c r="V64" i="9"/>
  <c r="P64" i="9"/>
  <c r="AE47" i="9"/>
  <c r="AI45" i="9"/>
  <c r="AD45" i="9"/>
  <c r="X45" i="9"/>
  <c r="S45" i="9"/>
  <c r="N45" i="9"/>
  <c r="AI43" i="9"/>
  <c r="AE43" i="9"/>
  <c r="AA43" i="9"/>
  <c r="W43" i="9"/>
  <c r="S43" i="9"/>
  <c r="O43" i="9"/>
  <c r="K43" i="9"/>
  <c r="AI41" i="9"/>
  <c r="AD41" i="9"/>
  <c r="X41" i="9"/>
  <c r="S41" i="9"/>
  <c r="N41" i="9"/>
  <c r="H41" i="9"/>
  <c r="AI39" i="9"/>
  <c r="AE39" i="9"/>
  <c r="AA39" i="9"/>
  <c r="W39" i="9"/>
  <c r="S39" i="9"/>
  <c r="O39" i="9"/>
  <c r="K39" i="9"/>
  <c r="AH37" i="9"/>
  <c r="AD37" i="9"/>
  <c r="Z37" i="9"/>
  <c r="V37" i="9"/>
  <c r="R37" i="9"/>
  <c r="N37" i="9"/>
  <c r="H37" i="9"/>
  <c r="W211" i="10"/>
  <c r="AH195" i="10"/>
  <c r="Z195" i="10"/>
  <c r="R195" i="10"/>
  <c r="J195" i="10"/>
  <c r="AI192" i="10"/>
  <c r="AE192" i="10"/>
  <c r="AA192" i="10"/>
  <c r="W192" i="10"/>
  <c r="S192" i="10"/>
  <c r="O192" i="10"/>
  <c r="K192" i="10"/>
  <c r="I176" i="10"/>
  <c r="L176" i="10"/>
  <c r="W176" i="10"/>
  <c r="AG176" i="10"/>
  <c r="E175" i="10"/>
  <c r="I175" i="10"/>
  <c r="M175" i="10"/>
  <c r="Q175" i="10"/>
  <c r="U175" i="10"/>
  <c r="Y175" i="10"/>
  <c r="AC175" i="10"/>
  <c r="G175" i="10"/>
  <c r="L175" i="10"/>
  <c r="R175" i="10"/>
  <c r="W175" i="10"/>
  <c r="AB175" i="10"/>
  <c r="AG175" i="10"/>
  <c r="AI168" i="10"/>
  <c r="S168" i="10"/>
  <c r="AE158" i="10"/>
  <c r="X158" i="10"/>
  <c r="R158" i="10"/>
  <c r="J158" i="10"/>
  <c r="AA155" i="10"/>
  <c r="S155" i="10"/>
  <c r="AA141" i="10"/>
  <c r="N141" i="10"/>
  <c r="H140" i="10"/>
  <c r="M140" i="10"/>
  <c r="S140" i="10"/>
  <c r="X140" i="10"/>
  <c r="AC140" i="10"/>
  <c r="AI140" i="10"/>
  <c r="E140" i="10"/>
  <c r="L140" i="10"/>
  <c r="T140" i="10"/>
  <c r="AA140" i="10"/>
  <c r="AG140" i="10"/>
  <c r="G140" i="10"/>
  <c r="O140" i="10"/>
  <c r="U140" i="10"/>
  <c r="AB140" i="10"/>
  <c r="E134" i="10"/>
  <c r="I134" i="10"/>
  <c r="R134" i="10"/>
  <c r="W134" i="10"/>
  <c r="AC134" i="10"/>
  <c r="AH134" i="10"/>
  <c r="K134" i="10"/>
  <c r="U134" i="10"/>
  <c r="AA134" i="10"/>
  <c r="AI134" i="10"/>
  <c r="O134" i="10"/>
  <c r="V134" i="10"/>
  <c r="AD134" i="10"/>
  <c r="F132" i="10"/>
  <c r="E132" i="10"/>
  <c r="M132" i="10"/>
  <c r="U132" i="10"/>
  <c r="AC132" i="10"/>
  <c r="I132" i="10"/>
  <c r="S132" i="10"/>
  <c r="AE132" i="10"/>
  <c r="K132" i="10"/>
  <c r="W132" i="10"/>
  <c r="AG132" i="10"/>
  <c r="G85" i="10"/>
  <c r="M85" i="10"/>
  <c r="R85" i="10"/>
  <c r="W85" i="10"/>
  <c r="AC85" i="10"/>
  <c r="AH85" i="10"/>
  <c r="F85" i="10"/>
  <c r="N85" i="10"/>
  <c r="U85" i="10"/>
  <c r="AA85" i="10"/>
  <c r="AI85" i="10"/>
  <c r="I85" i="10"/>
  <c r="O85" i="10"/>
  <c r="V85" i="10"/>
  <c r="AD85" i="10"/>
  <c r="J85" i="10"/>
  <c r="Y85" i="10"/>
  <c r="K85" i="10"/>
  <c r="Z85" i="10"/>
  <c r="E174" i="10"/>
  <c r="I174" i="10"/>
  <c r="S174" i="10"/>
  <c r="AD174" i="10"/>
  <c r="F154" i="10"/>
  <c r="J154" i="10"/>
  <c r="N154" i="10"/>
  <c r="R154" i="10"/>
  <c r="V154" i="10"/>
  <c r="Z154" i="10"/>
  <c r="AD154" i="10"/>
  <c r="AH154" i="10"/>
  <c r="H153" i="10"/>
  <c r="E153" i="10"/>
  <c r="J153" i="10"/>
  <c r="O153" i="10"/>
  <c r="U153" i="10"/>
  <c r="Z153" i="10"/>
  <c r="AE153" i="10"/>
  <c r="AI137" i="10"/>
  <c r="AB137" i="10"/>
  <c r="T137" i="10"/>
  <c r="N137" i="10"/>
  <c r="G136" i="10"/>
  <c r="L136" i="10"/>
  <c r="Q136" i="10"/>
  <c r="W136" i="10"/>
  <c r="AB136" i="10"/>
  <c r="AG136" i="10"/>
  <c r="AE121" i="10"/>
  <c r="E120" i="10"/>
  <c r="G120" i="10"/>
  <c r="L120" i="10"/>
  <c r="R120" i="10"/>
  <c r="W120" i="10"/>
  <c r="AB120" i="10"/>
  <c r="AH120" i="10"/>
  <c r="F118" i="10"/>
  <c r="J118" i="10"/>
  <c r="N118" i="10"/>
  <c r="R118" i="10"/>
  <c r="V118" i="10"/>
  <c r="Z118" i="10"/>
  <c r="AD118" i="10"/>
  <c r="AH118" i="10"/>
  <c r="F115" i="10"/>
  <c r="G115" i="10"/>
  <c r="O115" i="10"/>
  <c r="W115" i="10"/>
  <c r="AE115" i="10"/>
  <c r="F103" i="10"/>
  <c r="J103" i="10"/>
  <c r="N103" i="10"/>
  <c r="R103" i="10"/>
  <c r="V103" i="10"/>
  <c r="Z103" i="10"/>
  <c r="AD103" i="10"/>
  <c r="AH103" i="10"/>
  <c r="G103" i="10"/>
  <c r="K103" i="10"/>
  <c r="O103" i="10"/>
  <c r="S103" i="10"/>
  <c r="W103" i="10"/>
  <c r="AA103" i="10"/>
  <c r="AE103" i="10"/>
  <c r="AI103" i="10"/>
  <c r="E72" i="10"/>
  <c r="F72" i="10"/>
  <c r="K72" i="10"/>
  <c r="P72" i="10"/>
  <c r="V72" i="10"/>
  <c r="AA72" i="10"/>
  <c r="AF72" i="10"/>
  <c r="G72" i="10"/>
  <c r="L72" i="10"/>
  <c r="R72" i="10"/>
  <c r="W72" i="10"/>
  <c r="AB72" i="10"/>
  <c r="AH72" i="10"/>
  <c r="J72" i="10"/>
  <c r="T72" i="10"/>
  <c r="AE72" i="10"/>
  <c r="N72" i="10"/>
  <c r="X72" i="10"/>
  <c r="AI72" i="10"/>
  <c r="I44" i="10"/>
  <c r="G44" i="10"/>
  <c r="M44" i="10"/>
  <c r="U44" i="10"/>
  <c r="AA44" i="10"/>
  <c r="AF44" i="10"/>
  <c r="H44" i="10"/>
  <c r="P44" i="10"/>
  <c r="W44" i="10"/>
  <c r="AB44" i="10"/>
  <c r="AG44" i="10"/>
  <c r="E44" i="10"/>
  <c r="S44" i="10"/>
  <c r="AE44" i="10"/>
  <c r="K44" i="10"/>
  <c r="X44" i="10"/>
  <c r="AI44" i="10"/>
  <c r="L44" i="10"/>
  <c r="Q44" i="10"/>
  <c r="F137" i="10"/>
  <c r="K137" i="10"/>
  <c r="P137" i="10"/>
  <c r="V137" i="10"/>
  <c r="AA137" i="10"/>
  <c r="AF137" i="10"/>
  <c r="G121" i="10"/>
  <c r="W121" i="10"/>
  <c r="AG103" i="10"/>
  <c r="Y103" i="10"/>
  <c r="Q103" i="10"/>
  <c r="I103" i="10"/>
  <c r="G100" i="10"/>
  <c r="L100" i="10"/>
  <c r="Q100" i="10"/>
  <c r="W100" i="10"/>
  <c r="AB100" i="10"/>
  <c r="AG100" i="10"/>
  <c r="E100" i="10"/>
  <c r="M100" i="10"/>
  <c r="T100" i="10"/>
  <c r="AA100" i="10"/>
  <c r="AH100" i="10"/>
  <c r="H100" i="10"/>
  <c r="O100" i="10"/>
  <c r="U100" i="10"/>
  <c r="AC100" i="10"/>
  <c r="AI100" i="10"/>
  <c r="E96" i="10"/>
  <c r="K96" i="10"/>
  <c r="P96" i="10"/>
  <c r="U96" i="10"/>
  <c r="AA96" i="10"/>
  <c r="AF96" i="10"/>
  <c r="H96" i="10"/>
  <c r="O96" i="10"/>
  <c r="W96" i="10"/>
  <c r="AC96" i="10"/>
  <c r="I96" i="10"/>
  <c r="Q96" i="10"/>
  <c r="X96" i="10"/>
  <c r="AE96" i="10"/>
  <c r="S72" i="10"/>
  <c r="AD102" i="10"/>
  <c r="V102" i="10"/>
  <c r="N102" i="10"/>
  <c r="AB101" i="10"/>
  <c r="S101" i="10"/>
  <c r="AA67" i="10"/>
  <c r="H64" i="10"/>
  <c r="S64" i="10"/>
  <c r="AD64" i="10"/>
  <c r="F64" i="10"/>
  <c r="V64" i="10"/>
  <c r="AI64" i="10"/>
  <c r="K64" i="10"/>
  <c r="X64" i="10"/>
  <c r="I50" i="10"/>
  <c r="G50" i="10"/>
  <c r="V50" i="10"/>
  <c r="AD50" i="10"/>
  <c r="M50" i="10"/>
  <c r="Y50" i="10"/>
  <c r="N50" i="10"/>
  <c r="AC50" i="10"/>
  <c r="U48" i="10"/>
  <c r="H67" i="10"/>
  <c r="S67" i="10"/>
  <c r="AC67" i="10"/>
  <c r="K67" i="10"/>
  <c r="U67" i="10"/>
  <c r="AF67" i="10"/>
  <c r="G48" i="10"/>
  <c r="L48" i="10"/>
  <c r="Q48" i="10"/>
  <c r="W48" i="10"/>
  <c r="AB48" i="10"/>
  <c r="AG48" i="10"/>
  <c r="I48" i="10"/>
  <c r="P48" i="10"/>
  <c r="X48" i="10"/>
  <c r="AE48" i="10"/>
  <c r="K48" i="10"/>
  <c r="S48" i="10"/>
  <c r="Y48" i="10"/>
  <c r="AF48" i="10"/>
  <c r="G61" i="10"/>
  <c r="F61" i="10"/>
  <c r="P61" i="10"/>
  <c r="X61" i="10"/>
  <c r="AH61" i="10"/>
  <c r="AI82" i="10"/>
  <c r="AE82" i="10"/>
  <c r="AA82" i="10"/>
  <c r="W82" i="10"/>
  <c r="S82" i="10"/>
  <c r="O82" i="10"/>
  <c r="K82" i="10"/>
  <c r="AG71" i="10"/>
  <c r="Y71" i="10"/>
  <c r="Q71" i="10"/>
  <c r="I71" i="10"/>
  <c r="F62" i="10"/>
  <c r="R62" i="10"/>
  <c r="AA61" i="10"/>
  <c r="L61" i="10"/>
  <c r="J49" i="10"/>
  <c r="F49" i="10"/>
  <c r="L49" i="10"/>
  <c r="S49" i="10"/>
  <c r="AA49" i="10"/>
  <c r="AH49" i="10"/>
  <c r="G47" i="10"/>
  <c r="K47" i="10"/>
  <c r="O47" i="10"/>
  <c r="S47" i="10"/>
  <c r="W47" i="10"/>
  <c r="AA47" i="10"/>
  <c r="AE47" i="10"/>
  <c r="AI47" i="10"/>
  <c r="H46" i="10"/>
  <c r="F46" i="10"/>
  <c r="K46" i="10"/>
  <c r="Q46" i="10"/>
  <c r="V46" i="10"/>
  <c r="AA46" i="10"/>
  <c r="AG46" i="10"/>
  <c r="G42" i="10"/>
  <c r="O42" i="10"/>
  <c r="W42" i="10"/>
  <c r="AE42" i="10"/>
  <c r="I42" i="10"/>
  <c r="Q42" i="10"/>
  <c r="Y42" i="10"/>
  <c r="AG42" i="10"/>
  <c r="AJ14" i="10"/>
  <c r="AI45" i="10"/>
  <c r="AD45" i="10"/>
  <c r="X45" i="10"/>
  <c r="S45" i="10"/>
  <c r="L45" i="10"/>
  <c r="F45" i="10"/>
  <c r="AG43" i="10"/>
  <c r="AC43" i="10"/>
  <c r="Y43" i="10"/>
  <c r="U43" i="10"/>
  <c r="Q43" i="10"/>
  <c r="M43" i="10"/>
  <c r="I43" i="10"/>
  <c r="AE40" i="10"/>
  <c r="W40" i="10"/>
  <c r="O40" i="10"/>
  <c r="E40" i="10"/>
  <c r="AJ26" i="10"/>
  <c r="J26" i="16" s="1"/>
  <c r="AJ15" i="10"/>
  <c r="E155" i="10"/>
  <c r="I155" i="10"/>
  <c r="M155" i="10"/>
  <c r="Q155" i="10"/>
  <c r="U155" i="10"/>
  <c r="Y155" i="10"/>
  <c r="AC155" i="10"/>
  <c r="AG155" i="10"/>
  <c r="F155" i="10"/>
  <c r="J155" i="10"/>
  <c r="N155" i="10"/>
  <c r="R155" i="10"/>
  <c r="V155" i="10"/>
  <c r="Z155" i="10"/>
  <c r="AD155" i="10"/>
  <c r="AH155" i="10"/>
  <c r="H152" i="10"/>
  <c r="L152" i="10"/>
  <c r="P152" i="10"/>
  <c r="T152" i="10"/>
  <c r="X152" i="10"/>
  <c r="AB152" i="10"/>
  <c r="AF152" i="10"/>
  <c r="E152" i="10"/>
  <c r="I152" i="10"/>
  <c r="M152" i="10"/>
  <c r="Q152" i="10"/>
  <c r="U152" i="10"/>
  <c r="Y152" i="10"/>
  <c r="AC152" i="10"/>
  <c r="AG152" i="10"/>
  <c r="F152" i="10"/>
  <c r="J152" i="10"/>
  <c r="N152" i="10"/>
  <c r="R152" i="10"/>
  <c r="V152" i="10"/>
  <c r="Z152" i="10"/>
  <c r="AD152" i="10"/>
  <c r="AH152" i="10"/>
  <c r="H117" i="10"/>
  <c r="L117" i="10"/>
  <c r="P117" i="10"/>
  <c r="T117" i="10"/>
  <c r="X117" i="10"/>
  <c r="AB117" i="10"/>
  <c r="AF117" i="10"/>
  <c r="E117" i="10"/>
  <c r="I117" i="10"/>
  <c r="M117" i="10"/>
  <c r="Q117" i="10"/>
  <c r="U117" i="10"/>
  <c r="Y117" i="10"/>
  <c r="AC117" i="10"/>
  <c r="AG117" i="10"/>
  <c r="F117" i="10"/>
  <c r="J117" i="10"/>
  <c r="N117" i="10"/>
  <c r="R117" i="10"/>
  <c r="V117" i="10"/>
  <c r="Z117" i="10"/>
  <c r="AD117" i="10"/>
  <c r="AH117" i="10"/>
  <c r="G117" i="10"/>
  <c r="W117" i="10"/>
  <c r="K117" i="10"/>
  <c r="AA117" i="10"/>
  <c r="O117" i="10"/>
  <c r="AE117" i="10"/>
  <c r="AG212" i="10"/>
  <c r="AC212" i="10"/>
  <c r="Y212" i="10"/>
  <c r="U212" i="10"/>
  <c r="Q212" i="10"/>
  <c r="M212" i="10"/>
  <c r="I212" i="10"/>
  <c r="E212" i="10"/>
  <c r="AH211" i="10"/>
  <c r="AD211" i="10"/>
  <c r="Z211" i="10"/>
  <c r="V211" i="10"/>
  <c r="R211" i="10"/>
  <c r="N211" i="10"/>
  <c r="J211" i="10"/>
  <c r="F211" i="10"/>
  <c r="AG208" i="10"/>
  <c r="AC208" i="10"/>
  <c r="Y208" i="10"/>
  <c r="U208" i="10"/>
  <c r="Q208" i="10"/>
  <c r="M208" i="10"/>
  <c r="I208" i="10"/>
  <c r="E208" i="10"/>
  <c r="AH207" i="10"/>
  <c r="AD207" i="10"/>
  <c r="Z207" i="10"/>
  <c r="V207" i="10"/>
  <c r="R207" i="10"/>
  <c r="N207" i="10"/>
  <c r="J207" i="10"/>
  <c r="F207" i="10"/>
  <c r="AG195" i="10"/>
  <c r="AC195" i="10"/>
  <c r="Y195" i="10"/>
  <c r="U195" i="10"/>
  <c r="Q195" i="10"/>
  <c r="M195" i="10"/>
  <c r="I195" i="10"/>
  <c r="E195" i="10"/>
  <c r="AH194" i="10"/>
  <c r="AD194" i="10"/>
  <c r="Z194" i="10"/>
  <c r="V194" i="10"/>
  <c r="R194" i="10"/>
  <c r="N194" i="10"/>
  <c r="J194" i="10"/>
  <c r="F194" i="10"/>
  <c r="AG191" i="10"/>
  <c r="AC191" i="10"/>
  <c r="Y191" i="10"/>
  <c r="U191" i="10"/>
  <c r="Q191" i="10"/>
  <c r="M191" i="10"/>
  <c r="I191" i="10"/>
  <c r="E191" i="10"/>
  <c r="AH190" i="10"/>
  <c r="AD190" i="10"/>
  <c r="Z190" i="10"/>
  <c r="V190" i="10"/>
  <c r="R190" i="10"/>
  <c r="N190" i="10"/>
  <c r="J190" i="10"/>
  <c r="F190" i="10"/>
  <c r="AG187" i="10"/>
  <c r="AC187" i="10"/>
  <c r="Y187" i="10"/>
  <c r="U187" i="10"/>
  <c r="Q187" i="10"/>
  <c r="M187" i="10"/>
  <c r="I187" i="10"/>
  <c r="E187" i="10"/>
  <c r="AF177" i="10"/>
  <c r="AA177" i="10"/>
  <c r="V177" i="10"/>
  <c r="P177" i="10"/>
  <c r="K177" i="10"/>
  <c r="F177" i="10"/>
  <c r="AF176" i="10"/>
  <c r="AA176" i="10"/>
  <c r="U176" i="10"/>
  <c r="P176" i="10"/>
  <c r="K176" i="10"/>
  <c r="E176" i="10"/>
  <c r="AG174" i="10"/>
  <c r="AA174" i="10"/>
  <c r="V174" i="10"/>
  <c r="Q174" i="10"/>
  <c r="K174" i="10"/>
  <c r="F174" i="10"/>
  <c r="AF173" i="10"/>
  <c r="AA173" i="10"/>
  <c r="V173" i="10"/>
  <c r="P173" i="10"/>
  <c r="K173" i="10"/>
  <c r="F173" i="10"/>
  <c r="AF172" i="10"/>
  <c r="AA172" i="10"/>
  <c r="U172" i="10"/>
  <c r="P172" i="10"/>
  <c r="K172" i="10"/>
  <c r="E172" i="10"/>
  <c r="AG170" i="10"/>
  <c r="AA170" i="10"/>
  <c r="V170" i="10"/>
  <c r="Q170" i="10"/>
  <c r="K170" i="10"/>
  <c r="F170" i="10"/>
  <c r="AF169" i="10"/>
  <c r="AA169" i="10"/>
  <c r="V169" i="10"/>
  <c r="P169" i="10"/>
  <c r="K169" i="10"/>
  <c r="F169" i="10"/>
  <c r="AF168" i="10"/>
  <c r="AA168" i="10"/>
  <c r="U168" i="10"/>
  <c r="P168" i="10"/>
  <c r="K168" i="10"/>
  <c r="E168" i="10"/>
  <c r="H156" i="10"/>
  <c r="L156" i="10"/>
  <c r="P156" i="10"/>
  <c r="T156" i="10"/>
  <c r="X156" i="10"/>
  <c r="AB156" i="10"/>
  <c r="AF156" i="10"/>
  <c r="E156" i="10"/>
  <c r="I156" i="10"/>
  <c r="M156" i="10"/>
  <c r="Q156" i="10"/>
  <c r="U156" i="10"/>
  <c r="Y156" i="10"/>
  <c r="AC156" i="10"/>
  <c r="AG156" i="10"/>
  <c r="AF155" i="10"/>
  <c r="X155" i="10"/>
  <c r="P155" i="10"/>
  <c r="H155" i="10"/>
  <c r="AE152" i="10"/>
  <c r="O152" i="10"/>
  <c r="G211" i="10"/>
  <c r="AF212" i="10"/>
  <c r="AB212" i="10"/>
  <c r="X212" i="10"/>
  <c r="T212" i="10"/>
  <c r="P212" i="10"/>
  <c r="L212" i="10"/>
  <c r="AG211" i="10"/>
  <c r="AC211" i="10"/>
  <c r="Y211" i="10"/>
  <c r="U211" i="10"/>
  <c r="Q211" i="10"/>
  <c r="M211" i="10"/>
  <c r="I211" i="10"/>
  <c r="E211" i="10"/>
  <c r="AH210" i="10"/>
  <c r="AD210" i="10"/>
  <c r="Z210" i="10"/>
  <c r="V210" i="10"/>
  <c r="R210" i="10"/>
  <c r="N210" i="10"/>
  <c r="J210" i="10"/>
  <c r="AF208" i="10"/>
  <c r="AB208" i="10"/>
  <c r="X208" i="10"/>
  <c r="T208" i="10"/>
  <c r="P208" i="10"/>
  <c r="L208" i="10"/>
  <c r="AG207" i="10"/>
  <c r="AC207" i="10"/>
  <c r="Y207" i="10"/>
  <c r="U207" i="10"/>
  <c r="Q207" i="10"/>
  <c r="M207" i="10"/>
  <c r="I207" i="10"/>
  <c r="E207" i="10"/>
  <c r="AH206" i="10"/>
  <c r="AD206" i="10"/>
  <c r="Z206" i="10"/>
  <c r="V206" i="10"/>
  <c r="R206" i="10"/>
  <c r="N206" i="10"/>
  <c r="J206" i="10"/>
  <c r="AF195" i="10"/>
  <c r="AB195" i="10"/>
  <c r="X195" i="10"/>
  <c r="T195" i="10"/>
  <c r="P195" i="10"/>
  <c r="L195" i="10"/>
  <c r="AG194" i="10"/>
  <c r="AC194" i="10"/>
  <c r="Y194" i="10"/>
  <c r="U194" i="10"/>
  <c r="Q194" i="10"/>
  <c r="M194" i="10"/>
  <c r="I194" i="10"/>
  <c r="E194" i="10"/>
  <c r="AH193" i="10"/>
  <c r="AD193" i="10"/>
  <c r="Z193" i="10"/>
  <c r="V193" i="10"/>
  <c r="R193" i="10"/>
  <c r="N193" i="10"/>
  <c r="J193" i="10"/>
  <c r="AF191" i="10"/>
  <c r="AB191" i="10"/>
  <c r="X191" i="10"/>
  <c r="T191" i="10"/>
  <c r="P191" i="10"/>
  <c r="L191" i="10"/>
  <c r="AG190" i="10"/>
  <c r="AC190" i="10"/>
  <c r="Y190" i="10"/>
  <c r="U190" i="10"/>
  <c r="Q190" i="10"/>
  <c r="M190" i="10"/>
  <c r="I190" i="10"/>
  <c r="E190" i="10"/>
  <c r="Z189" i="10"/>
  <c r="V189" i="10"/>
  <c r="R189" i="10"/>
  <c r="N189" i="10"/>
  <c r="J189" i="10"/>
  <c r="AF187" i="10"/>
  <c r="AB187" i="10"/>
  <c r="X187" i="10"/>
  <c r="T187" i="10"/>
  <c r="P187" i="10"/>
  <c r="L187" i="10"/>
  <c r="AE177" i="10"/>
  <c r="Z177" i="10"/>
  <c r="T177" i="10"/>
  <c r="O177" i="10"/>
  <c r="AE176" i="10"/>
  <c r="Y176" i="10"/>
  <c r="T176" i="10"/>
  <c r="O176" i="10"/>
  <c r="AE174" i="10"/>
  <c r="Z174" i="10"/>
  <c r="U174" i="10"/>
  <c r="O174" i="10"/>
  <c r="J174" i="10"/>
  <c r="AE173" i="10"/>
  <c r="Z173" i="10"/>
  <c r="T173" i="10"/>
  <c r="O173" i="10"/>
  <c r="AE172" i="10"/>
  <c r="Y172" i="10"/>
  <c r="T172" i="10"/>
  <c r="O172" i="10"/>
  <c r="AE170" i="10"/>
  <c r="Z170" i="10"/>
  <c r="U170" i="10"/>
  <c r="O170" i="10"/>
  <c r="J170" i="10"/>
  <c r="AE169" i="10"/>
  <c r="Z169" i="10"/>
  <c r="T169" i="10"/>
  <c r="O169" i="10"/>
  <c r="AE168" i="10"/>
  <c r="Y168" i="10"/>
  <c r="T168" i="10"/>
  <c r="O168" i="10"/>
  <c r="AE155" i="10"/>
  <c r="W155" i="10"/>
  <c r="O155" i="10"/>
  <c r="G155" i="10"/>
  <c r="AA152" i="10"/>
  <c r="K152" i="10"/>
  <c r="AI117" i="10"/>
  <c r="K211" i="10"/>
  <c r="AF211" i="10"/>
  <c r="AB211" i="10"/>
  <c r="X211" i="10"/>
  <c r="T211" i="10"/>
  <c r="P211" i="10"/>
  <c r="L211" i="10"/>
  <c r="AF207" i="10"/>
  <c r="AB207" i="10"/>
  <c r="X207" i="10"/>
  <c r="T207" i="10"/>
  <c r="P207" i="10"/>
  <c r="L207" i="10"/>
  <c r="AF194" i="10"/>
  <c r="AB194" i="10"/>
  <c r="X194" i="10"/>
  <c r="T194" i="10"/>
  <c r="P194" i="10"/>
  <c r="L194" i="10"/>
  <c r="AF190" i="10"/>
  <c r="AB190" i="10"/>
  <c r="X190" i="10"/>
  <c r="T190" i="10"/>
  <c r="P190" i="10"/>
  <c r="L190" i="10"/>
  <c r="E177" i="10"/>
  <c r="I177" i="10"/>
  <c r="M177" i="10"/>
  <c r="Q177" i="10"/>
  <c r="U177" i="10"/>
  <c r="Y177" i="10"/>
  <c r="AC177" i="10"/>
  <c r="AG177" i="10"/>
  <c r="F176" i="10"/>
  <c r="J176" i="10"/>
  <c r="N176" i="10"/>
  <c r="R176" i="10"/>
  <c r="V176" i="10"/>
  <c r="Z176" i="10"/>
  <c r="AD176" i="10"/>
  <c r="AH176" i="10"/>
  <c r="H174" i="10"/>
  <c r="L174" i="10"/>
  <c r="P174" i="10"/>
  <c r="T174" i="10"/>
  <c r="X174" i="10"/>
  <c r="AB174" i="10"/>
  <c r="AF174" i="10"/>
  <c r="E173" i="10"/>
  <c r="I173" i="10"/>
  <c r="M173" i="10"/>
  <c r="Q173" i="10"/>
  <c r="U173" i="10"/>
  <c r="Y173" i="10"/>
  <c r="AC173" i="10"/>
  <c r="AG173" i="10"/>
  <c r="F172" i="10"/>
  <c r="J172" i="10"/>
  <c r="N172" i="10"/>
  <c r="R172" i="10"/>
  <c r="V172" i="10"/>
  <c r="Z172" i="10"/>
  <c r="AD172" i="10"/>
  <c r="AH172" i="10"/>
  <c r="H170" i="10"/>
  <c r="L170" i="10"/>
  <c r="P170" i="10"/>
  <c r="T170" i="10"/>
  <c r="X170" i="10"/>
  <c r="AB170" i="10"/>
  <c r="AF170" i="10"/>
  <c r="E169" i="10"/>
  <c r="I169" i="10"/>
  <c r="M169" i="10"/>
  <c r="Q169" i="10"/>
  <c r="U169" i="10"/>
  <c r="Y169" i="10"/>
  <c r="AC169" i="10"/>
  <c r="AG169" i="10"/>
  <c r="F168" i="10"/>
  <c r="J168" i="10"/>
  <c r="N168" i="10"/>
  <c r="R168" i="10"/>
  <c r="V168" i="10"/>
  <c r="Z168" i="10"/>
  <c r="AD168" i="10"/>
  <c r="AH168" i="10"/>
  <c r="AB155" i="10"/>
  <c r="T155" i="10"/>
  <c r="L155" i="10"/>
  <c r="W152" i="10"/>
  <c r="G152" i="10"/>
  <c r="S117" i="10"/>
  <c r="AF157" i="10"/>
  <c r="AB157" i="10"/>
  <c r="X157" i="10"/>
  <c r="T157" i="10"/>
  <c r="P157" i="10"/>
  <c r="L157" i="10"/>
  <c r="AF153" i="10"/>
  <c r="AB153" i="10"/>
  <c r="X153" i="10"/>
  <c r="T153" i="10"/>
  <c r="P153" i="10"/>
  <c r="L153" i="10"/>
  <c r="AH151" i="10"/>
  <c r="AD151" i="10"/>
  <c r="Z151" i="10"/>
  <c r="V151" i="10"/>
  <c r="R151" i="10"/>
  <c r="N151" i="10"/>
  <c r="J151" i="10"/>
  <c r="F151" i="10"/>
  <c r="E141" i="10"/>
  <c r="I141" i="10"/>
  <c r="M141" i="10"/>
  <c r="Q141" i="10"/>
  <c r="U141" i="10"/>
  <c r="Y141" i="10"/>
  <c r="AC141" i="10"/>
  <c r="AG141" i="10"/>
  <c r="F140" i="10"/>
  <c r="J140" i="10"/>
  <c r="N140" i="10"/>
  <c r="R140" i="10"/>
  <c r="V140" i="10"/>
  <c r="Z140" i="10"/>
  <c r="AD140" i="10"/>
  <c r="AH140" i="10"/>
  <c r="H138" i="10"/>
  <c r="L138" i="10"/>
  <c r="P138" i="10"/>
  <c r="T138" i="10"/>
  <c r="X138" i="10"/>
  <c r="AB138" i="10"/>
  <c r="AF138" i="10"/>
  <c r="E137" i="10"/>
  <c r="I137" i="10"/>
  <c r="M137" i="10"/>
  <c r="Q137" i="10"/>
  <c r="U137" i="10"/>
  <c r="Y137" i="10"/>
  <c r="AC137" i="10"/>
  <c r="AG137" i="10"/>
  <c r="F136" i="10"/>
  <c r="J136" i="10"/>
  <c r="N136" i="10"/>
  <c r="R136" i="10"/>
  <c r="V136" i="10"/>
  <c r="Z136" i="10"/>
  <c r="AD136" i="10"/>
  <c r="AH136" i="10"/>
  <c r="M134" i="10"/>
  <c r="AG151" i="10"/>
  <c r="AC151" i="10"/>
  <c r="Y151" i="10"/>
  <c r="U151" i="10"/>
  <c r="Q151" i="10"/>
  <c r="M151" i="10"/>
  <c r="I151" i="10"/>
  <c r="H134" i="10"/>
  <c r="L134" i="10"/>
  <c r="P134" i="10"/>
  <c r="T134" i="10"/>
  <c r="X134" i="10"/>
  <c r="AB134" i="10"/>
  <c r="AF134" i="10"/>
  <c r="F134" i="10"/>
  <c r="J134" i="10"/>
  <c r="N134" i="10"/>
  <c r="H121" i="10"/>
  <c r="L121" i="10"/>
  <c r="P121" i="10"/>
  <c r="T121" i="10"/>
  <c r="X121" i="10"/>
  <c r="AB121" i="10"/>
  <c r="AF121" i="10"/>
  <c r="E121" i="10"/>
  <c r="I121" i="10"/>
  <c r="M121" i="10"/>
  <c r="Q121" i="10"/>
  <c r="U121" i="10"/>
  <c r="Y121" i="10"/>
  <c r="AC121" i="10"/>
  <c r="AG121" i="10"/>
  <c r="F121" i="10"/>
  <c r="J121" i="10"/>
  <c r="N121" i="10"/>
  <c r="R121" i="10"/>
  <c r="V121" i="10"/>
  <c r="Z121" i="10"/>
  <c r="AD121" i="10"/>
  <c r="AH121" i="10"/>
  <c r="AF132" i="10"/>
  <c r="AB132" i="10"/>
  <c r="X132" i="10"/>
  <c r="T132" i="10"/>
  <c r="P132" i="10"/>
  <c r="L132" i="10"/>
  <c r="H132" i="10"/>
  <c r="AF119" i="10"/>
  <c r="AB119" i="10"/>
  <c r="X119" i="10"/>
  <c r="T119" i="10"/>
  <c r="P119" i="10"/>
  <c r="L119" i="10"/>
  <c r="H119" i="10"/>
  <c r="AF115" i="10"/>
  <c r="AB115" i="10"/>
  <c r="X115" i="10"/>
  <c r="T115" i="10"/>
  <c r="P115" i="10"/>
  <c r="L115" i="10"/>
  <c r="H115" i="10"/>
  <c r="F69" i="10"/>
  <c r="J69" i="10"/>
  <c r="N69" i="10"/>
  <c r="R69" i="10"/>
  <c r="V69" i="10"/>
  <c r="Z69" i="10"/>
  <c r="AD69" i="10"/>
  <c r="AH69" i="10"/>
  <c r="H69" i="10"/>
  <c r="L69" i="10"/>
  <c r="P69" i="10"/>
  <c r="T69" i="10"/>
  <c r="X69" i="10"/>
  <c r="AB69" i="10"/>
  <c r="AF69" i="10"/>
  <c r="E69" i="10"/>
  <c r="I69" i="10"/>
  <c r="M69" i="10"/>
  <c r="Q69" i="10"/>
  <c r="U69" i="10"/>
  <c r="Y69" i="10"/>
  <c r="AC69" i="10"/>
  <c r="AG69" i="10"/>
  <c r="G69" i="10"/>
  <c r="W69" i="10"/>
  <c r="K69" i="10"/>
  <c r="AA69" i="10"/>
  <c r="O69" i="10"/>
  <c r="AE69" i="10"/>
  <c r="E101" i="10"/>
  <c r="I101" i="10"/>
  <c r="M101" i="10"/>
  <c r="Q101" i="10"/>
  <c r="U101" i="10"/>
  <c r="Y101" i="10"/>
  <c r="AC101" i="10"/>
  <c r="AG101" i="10"/>
  <c r="F101" i="10"/>
  <c r="J101" i="10"/>
  <c r="N101" i="10"/>
  <c r="R101" i="10"/>
  <c r="V101" i="10"/>
  <c r="Z101" i="10"/>
  <c r="AD101" i="10"/>
  <c r="AH101" i="10"/>
  <c r="AG133" i="10"/>
  <c r="AC133" i="10"/>
  <c r="Y133" i="10"/>
  <c r="U133" i="10"/>
  <c r="Q133" i="10"/>
  <c r="M133" i="10"/>
  <c r="I133" i="10"/>
  <c r="AH132" i="10"/>
  <c r="AD132" i="10"/>
  <c r="Z132" i="10"/>
  <c r="V132" i="10"/>
  <c r="R132" i="10"/>
  <c r="N132" i="10"/>
  <c r="J132" i="10"/>
  <c r="AG120" i="10"/>
  <c r="AC120" i="10"/>
  <c r="Y120" i="10"/>
  <c r="U120" i="10"/>
  <c r="Q120" i="10"/>
  <c r="M120" i="10"/>
  <c r="I120" i="10"/>
  <c r="AH119" i="10"/>
  <c r="AD119" i="10"/>
  <c r="Z119" i="10"/>
  <c r="V119" i="10"/>
  <c r="R119" i="10"/>
  <c r="N119" i="10"/>
  <c r="J119" i="10"/>
  <c r="AG116" i="10"/>
  <c r="AC116" i="10"/>
  <c r="Y116" i="10"/>
  <c r="U116" i="10"/>
  <c r="Q116" i="10"/>
  <c r="M116" i="10"/>
  <c r="I116" i="10"/>
  <c r="AH115" i="10"/>
  <c r="AD115" i="10"/>
  <c r="Z115" i="10"/>
  <c r="V115" i="10"/>
  <c r="R115" i="10"/>
  <c r="N115" i="10"/>
  <c r="J115" i="10"/>
  <c r="E114" i="10"/>
  <c r="I114" i="10"/>
  <c r="M114" i="10"/>
  <c r="F114" i="10"/>
  <c r="J114" i="10"/>
  <c r="N114" i="10"/>
  <c r="R114" i="10"/>
  <c r="V114" i="10"/>
  <c r="H102" i="10"/>
  <c r="L102" i="10"/>
  <c r="P102" i="10"/>
  <c r="T102" i="10"/>
  <c r="X102" i="10"/>
  <c r="AB102" i="10"/>
  <c r="AF102" i="10"/>
  <c r="E102" i="10"/>
  <c r="I102" i="10"/>
  <c r="M102" i="10"/>
  <c r="Q102" i="10"/>
  <c r="U102" i="10"/>
  <c r="Y102" i="10"/>
  <c r="AC102" i="10"/>
  <c r="AG102" i="10"/>
  <c r="AF101" i="10"/>
  <c r="X101" i="10"/>
  <c r="P101" i="10"/>
  <c r="H101" i="10"/>
  <c r="AJ86" i="10"/>
  <c r="J86" i="16" s="1"/>
  <c r="AE98" i="10"/>
  <c r="Z98" i="10"/>
  <c r="U98" i="10"/>
  <c r="O98" i="10"/>
  <c r="J98" i="10"/>
  <c r="F100" i="10"/>
  <c r="J100" i="10"/>
  <c r="N100" i="10"/>
  <c r="R100" i="10"/>
  <c r="V100" i="10"/>
  <c r="Z100" i="10"/>
  <c r="AD100" i="10"/>
  <c r="H98" i="10"/>
  <c r="L98" i="10"/>
  <c r="P98" i="10"/>
  <c r="T98" i="10"/>
  <c r="X98" i="10"/>
  <c r="AB98" i="10"/>
  <c r="AF98" i="10"/>
  <c r="E97" i="10"/>
  <c r="I97" i="10"/>
  <c r="M97" i="10"/>
  <c r="Q97" i="10"/>
  <c r="U97" i="10"/>
  <c r="Y97" i="10"/>
  <c r="AC97" i="10"/>
  <c r="AG97" i="10"/>
  <c r="F96" i="10"/>
  <c r="J96" i="10"/>
  <c r="N96" i="10"/>
  <c r="R96" i="10"/>
  <c r="V96" i="10"/>
  <c r="Z96" i="10"/>
  <c r="AD96" i="10"/>
  <c r="AH96" i="10"/>
  <c r="H85" i="10"/>
  <c r="L85" i="10"/>
  <c r="P85" i="10"/>
  <c r="T85" i="10"/>
  <c r="X85" i="10"/>
  <c r="AB85" i="10"/>
  <c r="AF85" i="10"/>
  <c r="E84" i="10"/>
  <c r="I84" i="10"/>
  <c r="M84" i="10"/>
  <c r="Q84" i="10"/>
  <c r="U84" i="10"/>
  <c r="Y84" i="10"/>
  <c r="AC84" i="10"/>
  <c r="AG84" i="10"/>
  <c r="F83" i="10"/>
  <c r="J83" i="10"/>
  <c r="N83" i="10"/>
  <c r="R83" i="10"/>
  <c r="V83" i="10"/>
  <c r="Z83" i="10"/>
  <c r="AD83" i="10"/>
  <c r="AH83" i="10"/>
  <c r="E68" i="10"/>
  <c r="I68" i="10"/>
  <c r="M68" i="10"/>
  <c r="F67" i="10"/>
  <c r="J67" i="10"/>
  <c r="N67" i="10"/>
  <c r="R67" i="10"/>
  <c r="V67" i="10"/>
  <c r="Z67" i="10"/>
  <c r="AD67" i="10"/>
  <c r="AH67" i="10"/>
  <c r="H65" i="10"/>
  <c r="L65" i="10"/>
  <c r="P65" i="10"/>
  <c r="T65" i="10"/>
  <c r="X65" i="10"/>
  <c r="AB65" i="10"/>
  <c r="AF65" i="10"/>
  <c r="E64" i="10"/>
  <c r="I64" i="10"/>
  <c r="M64" i="10"/>
  <c r="Q64" i="10"/>
  <c r="U64" i="10"/>
  <c r="Y64" i="10"/>
  <c r="AC64" i="10"/>
  <c r="AG64" i="10"/>
  <c r="F63" i="10"/>
  <c r="J63" i="10"/>
  <c r="N63" i="10"/>
  <c r="R63" i="10"/>
  <c r="V63" i="10"/>
  <c r="Z63" i="10"/>
  <c r="AD63" i="10"/>
  <c r="AH63" i="10"/>
  <c r="AH62" i="10"/>
  <c r="AC62" i="10"/>
  <c r="V62" i="10"/>
  <c r="N62" i="10"/>
  <c r="G62" i="10"/>
  <c r="F60" i="10"/>
  <c r="J60" i="10"/>
  <c r="N60" i="10"/>
  <c r="R60" i="10"/>
  <c r="V60" i="10"/>
  <c r="Z60" i="10"/>
  <c r="AD60" i="10"/>
  <c r="AH60" i="10"/>
  <c r="I60" i="10"/>
  <c r="O60" i="10"/>
  <c r="T60" i="10"/>
  <c r="Y60" i="10"/>
  <c r="AE60" i="10"/>
  <c r="AG72" i="10"/>
  <c r="AC72" i="10"/>
  <c r="Y72" i="10"/>
  <c r="U72" i="10"/>
  <c r="Q72" i="10"/>
  <c r="M72" i="10"/>
  <c r="I72" i="10"/>
  <c r="AH71" i="10"/>
  <c r="AD71" i="10"/>
  <c r="Z71" i="10"/>
  <c r="V71" i="10"/>
  <c r="R71" i="10"/>
  <c r="N71" i="10"/>
  <c r="J71" i="10"/>
  <c r="F71" i="10"/>
  <c r="AG68" i="10"/>
  <c r="AC68" i="10"/>
  <c r="Y68" i="10"/>
  <c r="U68" i="10"/>
  <c r="Q68" i="10"/>
  <c r="L68" i="10"/>
  <c r="G68" i="10"/>
  <c r="AG67" i="10"/>
  <c r="AB67" i="10"/>
  <c r="W67" i="10"/>
  <c r="Q67" i="10"/>
  <c r="L67" i="10"/>
  <c r="G67" i="10"/>
  <c r="AH65" i="10"/>
  <c r="AC65" i="10"/>
  <c r="W65" i="10"/>
  <c r="R65" i="10"/>
  <c r="M65" i="10"/>
  <c r="G65" i="10"/>
  <c r="AH64" i="10"/>
  <c r="AB64" i="10"/>
  <c r="W64" i="10"/>
  <c r="R64" i="10"/>
  <c r="L64" i="10"/>
  <c r="G64" i="10"/>
  <c r="AG63" i="10"/>
  <c r="AB63" i="10"/>
  <c r="W63" i="10"/>
  <c r="Q63" i="10"/>
  <c r="L63" i="10"/>
  <c r="G63" i="10"/>
  <c r="AG62" i="10"/>
  <c r="AA62" i="10"/>
  <c r="S62" i="10"/>
  <c r="M62" i="10"/>
  <c r="AI61" i="10"/>
  <c r="AB61" i="10"/>
  <c r="V61" i="10"/>
  <c r="N61" i="10"/>
  <c r="AC60" i="10"/>
  <c r="W60" i="10"/>
  <c r="P60" i="10"/>
  <c r="H60" i="10"/>
  <c r="AH50" i="10"/>
  <c r="AA50" i="10"/>
  <c r="S50" i="10"/>
  <c r="H62" i="10"/>
  <c r="L62" i="10"/>
  <c r="P62" i="10"/>
  <c r="T62" i="10"/>
  <c r="X62" i="10"/>
  <c r="AB62" i="10"/>
  <c r="E62" i="10"/>
  <c r="J62" i="10"/>
  <c r="O62" i="10"/>
  <c r="U62" i="10"/>
  <c r="Z62" i="10"/>
  <c r="AE62" i="10"/>
  <c r="AI62" i="10"/>
  <c r="AF71" i="10"/>
  <c r="AB71" i="10"/>
  <c r="X71" i="10"/>
  <c r="T71" i="10"/>
  <c r="P71" i="10"/>
  <c r="L71" i="10"/>
  <c r="AI68" i="10"/>
  <c r="AE68" i="10"/>
  <c r="AA68" i="10"/>
  <c r="W68" i="10"/>
  <c r="S68" i="10"/>
  <c r="O68" i="10"/>
  <c r="J68" i="10"/>
  <c r="AE67" i="10"/>
  <c r="Y67" i="10"/>
  <c r="T67" i="10"/>
  <c r="O67" i="10"/>
  <c r="I67" i="10"/>
  <c r="AE65" i="10"/>
  <c r="Z65" i="10"/>
  <c r="U65" i="10"/>
  <c r="O65" i="10"/>
  <c r="J65" i="10"/>
  <c r="E65" i="10"/>
  <c r="AE64" i="10"/>
  <c r="Z64" i="10"/>
  <c r="T64" i="10"/>
  <c r="O64" i="10"/>
  <c r="J64" i="10"/>
  <c r="AE63" i="10"/>
  <c r="Y63" i="10"/>
  <c r="T63" i="10"/>
  <c r="O63" i="10"/>
  <c r="I63" i="10"/>
  <c r="AD62" i="10"/>
  <c r="W62" i="10"/>
  <c r="Q62" i="10"/>
  <c r="I62" i="10"/>
  <c r="E61" i="10"/>
  <c r="I61" i="10"/>
  <c r="M61" i="10"/>
  <c r="Q61" i="10"/>
  <c r="U61" i="10"/>
  <c r="Y61" i="10"/>
  <c r="AC61" i="10"/>
  <c r="AG61" i="10"/>
  <c r="J61" i="10"/>
  <c r="O61" i="10"/>
  <c r="T61" i="10"/>
  <c r="Z61" i="10"/>
  <c r="AE61" i="10"/>
  <c r="E60" i="10"/>
  <c r="H50" i="10"/>
  <c r="L50" i="10"/>
  <c r="P50" i="10"/>
  <c r="T50" i="10"/>
  <c r="X50" i="10"/>
  <c r="AB50" i="10"/>
  <c r="AF50" i="10"/>
  <c r="E50" i="10"/>
  <c r="J50" i="10"/>
  <c r="O50" i="10"/>
  <c r="U50" i="10"/>
  <c r="Z50" i="10"/>
  <c r="AE50" i="10"/>
  <c r="F50" i="10"/>
  <c r="K50" i="10"/>
  <c r="Q50" i="10"/>
  <c r="AE49" i="10"/>
  <c r="Z49" i="10"/>
  <c r="T49" i="10"/>
  <c r="O49" i="10"/>
  <c r="E48" i="10"/>
  <c r="F48" i="10"/>
  <c r="J48" i="10"/>
  <c r="N48" i="10"/>
  <c r="R48" i="10"/>
  <c r="V48" i="10"/>
  <c r="Z48" i="10"/>
  <c r="AD48" i="10"/>
  <c r="AH48" i="10"/>
  <c r="E49" i="10"/>
  <c r="I49" i="10"/>
  <c r="M49" i="10"/>
  <c r="Q49" i="10"/>
  <c r="U49" i="10"/>
  <c r="Y49" i="10"/>
  <c r="AC49" i="10"/>
  <c r="AG49" i="10"/>
  <c r="AF46" i="10"/>
  <c r="AB46" i="10"/>
  <c r="X46" i="10"/>
  <c r="T46" i="10"/>
  <c r="P46" i="10"/>
  <c r="L46" i="10"/>
  <c r="O45" i="10"/>
  <c r="T44" i="10"/>
  <c r="O44" i="10"/>
  <c r="H42" i="10"/>
  <c r="L42" i="10"/>
  <c r="P42" i="10"/>
  <c r="T42" i="10"/>
  <c r="X42" i="10"/>
  <c r="AB42" i="10"/>
  <c r="AF42" i="10"/>
  <c r="F42" i="10"/>
  <c r="J42" i="10"/>
  <c r="N42" i="10"/>
  <c r="R42" i="10"/>
  <c r="V42" i="10"/>
  <c r="Z42" i="10"/>
  <c r="AD42" i="10"/>
  <c r="AH42" i="10"/>
  <c r="E45" i="10"/>
  <c r="I45" i="10"/>
  <c r="M45" i="10"/>
  <c r="Q45" i="10"/>
  <c r="U45" i="10"/>
  <c r="Y45" i="10"/>
  <c r="AC45" i="10"/>
  <c r="AG45" i="10"/>
  <c r="F44" i="10"/>
  <c r="J44" i="10"/>
  <c r="N44" i="10"/>
  <c r="R44" i="10"/>
  <c r="V44" i="10"/>
  <c r="Z44" i="10"/>
  <c r="AD44" i="10"/>
  <c r="AH44" i="10"/>
  <c r="F40" i="10"/>
  <c r="J40" i="10"/>
  <c r="N40" i="10"/>
  <c r="R40" i="10"/>
  <c r="V40" i="10"/>
  <c r="Z40" i="10"/>
  <c r="AD40" i="10"/>
  <c r="AH40" i="10"/>
  <c r="H40" i="10"/>
  <c r="L40" i="10"/>
  <c r="P40" i="10"/>
  <c r="T40" i="10"/>
  <c r="X40" i="10"/>
  <c r="AB40" i="10"/>
  <c r="AF40" i="10"/>
  <c r="AH38" i="10"/>
  <c r="AD38" i="10"/>
  <c r="Z38" i="10"/>
  <c r="V38" i="10"/>
  <c r="R38" i="10"/>
  <c r="N38" i="10"/>
  <c r="J38" i="10"/>
  <c r="F38" i="10"/>
  <c r="AG41" i="10"/>
  <c r="AC41" i="10"/>
  <c r="Y41" i="10"/>
  <c r="U41" i="10"/>
  <c r="Q41" i="10"/>
  <c r="M41" i="10"/>
  <c r="I41" i="10"/>
  <c r="AF38" i="10"/>
  <c r="AB38" i="10"/>
  <c r="X38" i="10"/>
  <c r="T38" i="10"/>
  <c r="P38" i="10"/>
  <c r="L38" i="10"/>
  <c r="I37" i="10"/>
  <c r="E27" i="10"/>
  <c r="F27" i="10" s="1"/>
  <c r="F28" i="10" s="1"/>
  <c r="AF210" i="9"/>
  <c r="AB210" i="9"/>
  <c r="X210" i="9"/>
  <c r="T210" i="9"/>
  <c r="P210" i="9"/>
  <c r="L210" i="9"/>
  <c r="H210" i="9"/>
  <c r="AF206" i="9"/>
  <c r="AB206" i="9"/>
  <c r="X206" i="9"/>
  <c r="T206" i="9"/>
  <c r="P206" i="9"/>
  <c r="L206" i="9"/>
  <c r="H206" i="9"/>
  <c r="AG196" i="9"/>
  <c r="AC196" i="9"/>
  <c r="Y196" i="9"/>
  <c r="U196" i="9"/>
  <c r="Q196" i="9"/>
  <c r="M196" i="9"/>
  <c r="I196" i="9"/>
  <c r="E196" i="9"/>
  <c r="AF193" i="9"/>
  <c r="AB193" i="9"/>
  <c r="X193" i="9"/>
  <c r="T193" i="9"/>
  <c r="P193" i="9"/>
  <c r="L193" i="9"/>
  <c r="H193" i="9"/>
  <c r="F157" i="9"/>
  <c r="J157" i="9"/>
  <c r="N157" i="9"/>
  <c r="R157" i="9"/>
  <c r="V157" i="9"/>
  <c r="Z157" i="9"/>
  <c r="AD157" i="9"/>
  <c r="AH157" i="9"/>
  <c r="H157" i="9"/>
  <c r="L157" i="9"/>
  <c r="P157" i="9"/>
  <c r="T157" i="9"/>
  <c r="X157" i="9"/>
  <c r="AB157" i="9"/>
  <c r="AF157" i="9"/>
  <c r="AG211" i="9"/>
  <c r="Y211" i="9"/>
  <c r="Q211" i="9"/>
  <c r="I211" i="9"/>
  <c r="AD210" i="9"/>
  <c r="V210" i="9"/>
  <c r="AH206" i="9"/>
  <c r="Z206" i="9"/>
  <c r="R206" i="9"/>
  <c r="J206" i="9"/>
  <c r="F206" i="9"/>
  <c r="AH193" i="9"/>
  <c r="AD193" i="9"/>
  <c r="Z193" i="9"/>
  <c r="V193" i="9"/>
  <c r="R193" i="9"/>
  <c r="N193" i="9"/>
  <c r="J193" i="9"/>
  <c r="F193" i="9"/>
  <c r="AC211" i="9"/>
  <c r="U211" i="9"/>
  <c r="M211" i="9"/>
  <c r="E211" i="9"/>
  <c r="AH210" i="9"/>
  <c r="Z210" i="9"/>
  <c r="R210" i="9"/>
  <c r="N210" i="9"/>
  <c r="J210" i="9"/>
  <c r="F210" i="9"/>
  <c r="AD206" i="9"/>
  <c r="V206" i="9"/>
  <c r="N206" i="9"/>
  <c r="AH213" i="9"/>
  <c r="AD213" i="9"/>
  <c r="Z213" i="9"/>
  <c r="V213" i="9"/>
  <c r="R213" i="9"/>
  <c r="N213" i="9"/>
  <c r="J213" i="9"/>
  <c r="AF211" i="9"/>
  <c r="AB211" i="9"/>
  <c r="X211" i="9"/>
  <c r="T211" i="9"/>
  <c r="P211" i="9"/>
  <c r="L211" i="9"/>
  <c r="AG210" i="9"/>
  <c r="AC210" i="9"/>
  <c r="Y210" i="9"/>
  <c r="U210" i="9"/>
  <c r="Q210" i="9"/>
  <c r="M210" i="9"/>
  <c r="I210" i="9"/>
  <c r="AH209" i="9"/>
  <c r="AD209" i="9"/>
  <c r="Z209" i="9"/>
  <c r="V209" i="9"/>
  <c r="R209" i="9"/>
  <c r="N209" i="9"/>
  <c r="J209" i="9"/>
  <c r="AF207" i="9"/>
  <c r="AB207" i="9"/>
  <c r="X207" i="9"/>
  <c r="T207" i="9"/>
  <c r="P207" i="9"/>
  <c r="L207" i="9"/>
  <c r="AG206" i="9"/>
  <c r="AC206" i="9"/>
  <c r="Y206" i="9"/>
  <c r="U206" i="9"/>
  <c r="Q206" i="9"/>
  <c r="M206" i="9"/>
  <c r="I206" i="9"/>
  <c r="AH196" i="9"/>
  <c r="AD196" i="9"/>
  <c r="Z196" i="9"/>
  <c r="V196" i="9"/>
  <c r="R196" i="9"/>
  <c r="N196" i="9"/>
  <c r="J196" i="9"/>
  <c r="AF194" i="9"/>
  <c r="AB194" i="9"/>
  <c r="X194" i="9"/>
  <c r="T194" i="9"/>
  <c r="P194" i="9"/>
  <c r="L194" i="9"/>
  <c r="AG193" i="9"/>
  <c r="AC193" i="9"/>
  <c r="Y193" i="9"/>
  <c r="U193" i="9"/>
  <c r="Q193" i="9"/>
  <c r="M193" i="9"/>
  <c r="I193" i="9"/>
  <c r="E192" i="9"/>
  <c r="I192" i="9"/>
  <c r="M192" i="9"/>
  <c r="Q192" i="9"/>
  <c r="U192" i="9"/>
  <c r="Y192" i="9"/>
  <c r="AC192" i="9"/>
  <c r="F191" i="9"/>
  <c r="J191" i="9"/>
  <c r="N191" i="9"/>
  <c r="R191" i="9"/>
  <c r="V191" i="9"/>
  <c r="Z191" i="9"/>
  <c r="AD191" i="9"/>
  <c r="AH191" i="9"/>
  <c r="H189" i="9"/>
  <c r="L189" i="9"/>
  <c r="P189" i="9"/>
  <c r="T189" i="9"/>
  <c r="X189" i="9"/>
  <c r="AB189" i="9"/>
  <c r="AF189" i="9"/>
  <c r="E188" i="9"/>
  <c r="I188" i="9"/>
  <c r="M188" i="9"/>
  <c r="Q188" i="9"/>
  <c r="U188" i="9"/>
  <c r="Y188" i="9"/>
  <c r="AC188" i="9"/>
  <c r="AG188" i="9"/>
  <c r="F187" i="9"/>
  <c r="J187" i="9"/>
  <c r="N187" i="9"/>
  <c r="R187" i="9"/>
  <c r="V187" i="9"/>
  <c r="Z187" i="9"/>
  <c r="AD187" i="9"/>
  <c r="AH187" i="9"/>
  <c r="H176" i="9"/>
  <c r="L176" i="9"/>
  <c r="P176" i="9"/>
  <c r="T176" i="9"/>
  <c r="X176" i="9"/>
  <c r="AB176" i="9"/>
  <c r="AF176" i="9"/>
  <c r="E175" i="9"/>
  <c r="I175" i="9"/>
  <c r="M175" i="9"/>
  <c r="Q175" i="9"/>
  <c r="U175" i="9"/>
  <c r="Y175" i="9"/>
  <c r="AC175" i="9"/>
  <c r="AG175" i="9"/>
  <c r="F174" i="9"/>
  <c r="J174" i="9"/>
  <c r="N174" i="9"/>
  <c r="R174" i="9"/>
  <c r="V174" i="9"/>
  <c r="Z174" i="9"/>
  <c r="AD174" i="9"/>
  <c r="AH174" i="9"/>
  <c r="H172" i="9"/>
  <c r="L172" i="9"/>
  <c r="P172" i="9"/>
  <c r="T172" i="9"/>
  <c r="X172" i="9"/>
  <c r="AB172" i="9"/>
  <c r="AF172" i="9"/>
  <c r="E171" i="9"/>
  <c r="I171" i="9"/>
  <c r="M171" i="9"/>
  <c r="Q171" i="9"/>
  <c r="U171" i="9"/>
  <c r="Y171" i="9"/>
  <c r="AC171" i="9"/>
  <c r="AG171" i="9"/>
  <c r="F170" i="9"/>
  <c r="J170" i="9"/>
  <c r="N170" i="9"/>
  <c r="R170" i="9"/>
  <c r="V170" i="9"/>
  <c r="Z170" i="9"/>
  <c r="AD170" i="9"/>
  <c r="AH170" i="9"/>
  <c r="H168" i="9"/>
  <c r="L168" i="9"/>
  <c r="P168" i="9"/>
  <c r="T168" i="9"/>
  <c r="X168" i="9"/>
  <c r="AB168" i="9"/>
  <c r="AF168" i="9"/>
  <c r="AE157" i="9"/>
  <c r="W157" i="9"/>
  <c r="O157" i="9"/>
  <c r="G157" i="9"/>
  <c r="E153" i="9"/>
  <c r="I153" i="9"/>
  <c r="M153" i="9"/>
  <c r="Q153" i="9"/>
  <c r="U153" i="9"/>
  <c r="Y153" i="9"/>
  <c r="AC153" i="9"/>
  <c r="AG153" i="9"/>
  <c r="F153" i="9"/>
  <c r="J153" i="9"/>
  <c r="N153" i="9"/>
  <c r="R153" i="9"/>
  <c r="V153" i="9"/>
  <c r="Z153" i="9"/>
  <c r="AD153" i="9"/>
  <c r="AH153" i="9"/>
  <c r="H153" i="9"/>
  <c r="L153" i="9"/>
  <c r="P153" i="9"/>
  <c r="T153" i="9"/>
  <c r="X153" i="9"/>
  <c r="AB153" i="9"/>
  <c r="AF153" i="9"/>
  <c r="AH155" i="9"/>
  <c r="AD155" i="9"/>
  <c r="Z155" i="9"/>
  <c r="V155" i="9"/>
  <c r="R155" i="9"/>
  <c r="N155" i="9"/>
  <c r="J155" i="9"/>
  <c r="F155" i="9"/>
  <c r="AH151" i="9"/>
  <c r="AD151" i="9"/>
  <c r="Z151" i="9"/>
  <c r="V151" i="9"/>
  <c r="R151" i="9"/>
  <c r="N151" i="9"/>
  <c r="J151" i="9"/>
  <c r="F151" i="9"/>
  <c r="AF140" i="9"/>
  <c r="AB140" i="9"/>
  <c r="X140" i="9"/>
  <c r="T140" i="9"/>
  <c r="P140" i="9"/>
  <c r="L140" i="9"/>
  <c r="H140" i="9"/>
  <c r="AH138" i="9"/>
  <c r="AD138" i="9"/>
  <c r="Z138" i="9"/>
  <c r="V138" i="9"/>
  <c r="R138" i="9"/>
  <c r="N138" i="9"/>
  <c r="J138" i="9"/>
  <c r="F138" i="9"/>
  <c r="H137" i="9"/>
  <c r="L137" i="9"/>
  <c r="P137" i="9"/>
  <c r="E136" i="9"/>
  <c r="I136" i="9"/>
  <c r="M136" i="9"/>
  <c r="Q136" i="9"/>
  <c r="U136" i="9"/>
  <c r="Y136" i="9"/>
  <c r="AC136" i="9"/>
  <c r="AG136" i="9"/>
  <c r="F135" i="9"/>
  <c r="J135" i="9"/>
  <c r="N135" i="9"/>
  <c r="R135" i="9"/>
  <c r="V135" i="9"/>
  <c r="Z135" i="9"/>
  <c r="AD135" i="9"/>
  <c r="AH135" i="9"/>
  <c r="AD120" i="9"/>
  <c r="V120" i="9"/>
  <c r="N120" i="9"/>
  <c r="E119" i="9"/>
  <c r="I119" i="9"/>
  <c r="M119" i="9"/>
  <c r="Q119" i="9"/>
  <c r="U119" i="9"/>
  <c r="Y119" i="9"/>
  <c r="AC119" i="9"/>
  <c r="AG119" i="9"/>
  <c r="F119" i="9"/>
  <c r="J119" i="9"/>
  <c r="N119" i="9"/>
  <c r="R119" i="9"/>
  <c r="V119" i="9"/>
  <c r="Z119" i="9"/>
  <c r="AD119" i="9"/>
  <c r="AH119" i="9"/>
  <c r="H120" i="9"/>
  <c r="L120" i="9"/>
  <c r="P120" i="9"/>
  <c r="T120" i="9"/>
  <c r="X120" i="9"/>
  <c r="AB120" i="9"/>
  <c r="AF120" i="9"/>
  <c r="E120" i="9"/>
  <c r="I120" i="9"/>
  <c r="M120" i="9"/>
  <c r="Q120" i="9"/>
  <c r="U120" i="9"/>
  <c r="Y120" i="9"/>
  <c r="AC120" i="9"/>
  <c r="AG120" i="9"/>
  <c r="F113" i="9"/>
  <c r="J113" i="9"/>
  <c r="N113" i="9"/>
  <c r="R113" i="9"/>
  <c r="V113" i="9"/>
  <c r="Z113" i="9"/>
  <c r="AD113" i="9"/>
  <c r="AH113" i="9"/>
  <c r="I113" i="9"/>
  <c r="O113" i="9"/>
  <c r="T113" i="9"/>
  <c r="Y113" i="9"/>
  <c r="AE113" i="9"/>
  <c r="E113" i="9"/>
  <c r="K113" i="9"/>
  <c r="P113" i="9"/>
  <c r="U113" i="9"/>
  <c r="AA113" i="9"/>
  <c r="AF113" i="9"/>
  <c r="G113" i="9"/>
  <c r="L113" i="9"/>
  <c r="Q113" i="9"/>
  <c r="W113" i="9"/>
  <c r="AB113" i="9"/>
  <c r="AG113" i="9"/>
  <c r="N102" i="9"/>
  <c r="AG158" i="9"/>
  <c r="AC158" i="9"/>
  <c r="Y158" i="9"/>
  <c r="U158" i="9"/>
  <c r="Q158" i="9"/>
  <c r="M158" i="9"/>
  <c r="I158" i="9"/>
  <c r="AF155" i="9"/>
  <c r="AB155" i="9"/>
  <c r="X155" i="9"/>
  <c r="T155" i="9"/>
  <c r="P155" i="9"/>
  <c r="L155" i="9"/>
  <c r="AG154" i="9"/>
  <c r="AC154" i="9"/>
  <c r="Y154" i="9"/>
  <c r="U154" i="9"/>
  <c r="Q154" i="9"/>
  <c r="M154" i="9"/>
  <c r="I154" i="9"/>
  <c r="AF151" i="9"/>
  <c r="AB151" i="9"/>
  <c r="X151" i="9"/>
  <c r="T151" i="9"/>
  <c r="P151" i="9"/>
  <c r="L151" i="9"/>
  <c r="AG141" i="9"/>
  <c r="AC141" i="9"/>
  <c r="Y141" i="9"/>
  <c r="U141" i="9"/>
  <c r="Q141" i="9"/>
  <c r="M141" i="9"/>
  <c r="I141" i="9"/>
  <c r="AH140" i="9"/>
  <c r="AD140" i="9"/>
  <c r="Z140" i="9"/>
  <c r="V140" i="9"/>
  <c r="R140" i="9"/>
  <c r="N140" i="9"/>
  <c r="J140" i="9"/>
  <c r="F140" i="9"/>
  <c r="AF138" i="9"/>
  <c r="AB138" i="9"/>
  <c r="X138" i="9"/>
  <c r="T138" i="9"/>
  <c r="P138" i="9"/>
  <c r="L138" i="9"/>
  <c r="AG137" i="9"/>
  <c r="AC137" i="9"/>
  <c r="Y137" i="9"/>
  <c r="U137" i="9"/>
  <c r="Q137" i="9"/>
  <c r="K137" i="9"/>
  <c r="F137" i="9"/>
  <c r="AF136" i="9"/>
  <c r="AA136" i="9"/>
  <c r="V136" i="9"/>
  <c r="P136" i="9"/>
  <c r="K136" i="9"/>
  <c r="F136" i="9"/>
  <c r="AF135" i="9"/>
  <c r="AA135" i="9"/>
  <c r="U135" i="9"/>
  <c r="P135" i="9"/>
  <c r="K135" i="9"/>
  <c r="E135" i="9"/>
  <c r="AG133" i="9"/>
  <c r="AA133" i="9"/>
  <c r="V133" i="9"/>
  <c r="Q133" i="9"/>
  <c r="K133" i="9"/>
  <c r="E132" i="9"/>
  <c r="I132" i="9"/>
  <c r="M132" i="9"/>
  <c r="Q132" i="9"/>
  <c r="U132" i="9"/>
  <c r="Y132" i="9"/>
  <c r="AC132" i="9"/>
  <c r="AG132" i="9"/>
  <c r="F132" i="9"/>
  <c r="J132" i="9"/>
  <c r="N132" i="9"/>
  <c r="R132" i="9"/>
  <c r="V132" i="9"/>
  <c r="Z132" i="9"/>
  <c r="AD132" i="9"/>
  <c r="AH132" i="9"/>
  <c r="AH120" i="9"/>
  <c r="Z120" i="9"/>
  <c r="R120" i="9"/>
  <c r="J120" i="9"/>
  <c r="AE119" i="9"/>
  <c r="W119" i="9"/>
  <c r="O119" i="9"/>
  <c r="G119" i="9"/>
  <c r="H115" i="9"/>
  <c r="L115" i="9"/>
  <c r="P115" i="9"/>
  <c r="T115" i="9"/>
  <c r="X115" i="9"/>
  <c r="AB115" i="9"/>
  <c r="AF115" i="9"/>
  <c r="E115" i="9"/>
  <c r="I115" i="9"/>
  <c r="M115" i="9"/>
  <c r="Q115" i="9"/>
  <c r="U115" i="9"/>
  <c r="Y115" i="9"/>
  <c r="AC115" i="9"/>
  <c r="AG115" i="9"/>
  <c r="F115" i="9"/>
  <c r="J115" i="9"/>
  <c r="N115" i="9"/>
  <c r="R115" i="9"/>
  <c r="V115" i="9"/>
  <c r="Z115" i="9"/>
  <c r="AD115" i="9"/>
  <c r="AH115" i="9"/>
  <c r="E114" i="9"/>
  <c r="I114" i="9"/>
  <c r="M114" i="9"/>
  <c r="Q114" i="9"/>
  <c r="U114" i="9"/>
  <c r="J114" i="9"/>
  <c r="O114" i="9"/>
  <c r="T114" i="9"/>
  <c r="Y114" i="9"/>
  <c r="AC114" i="9"/>
  <c r="AG114" i="9"/>
  <c r="F114" i="9"/>
  <c r="K114" i="9"/>
  <c r="P114" i="9"/>
  <c r="V114" i="9"/>
  <c r="Z114" i="9"/>
  <c r="AD114" i="9"/>
  <c r="AH114" i="9"/>
  <c r="G114" i="9"/>
  <c r="L114" i="9"/>
  <c r="R114" i="9"/>
  <c r="W114" i="9"/>
  <c r="AA114" i="9"/>
  <c r="AE114" i="9"/>
  <c r="AI114" i="9"/>
  <c r="S113" i="9"/>
  <c r="AD102" i="9"/>
  <c r="AG140" i="9"/>
  <c r="AC140" i="9"/>
  <c r="Y140" i="9"/>
  <c r="U140" i="9"/>
  <c r="Q140" i="9"/>
  <c r="M140" i="9"/>
  <c r="I140" i="9"/>
  <c r="H133" i="9"/>
  <c r="L133" i="9"/>
  <c r="P133" i="9"/>
  <c r="T133" i="9"/>
  <c r="X133" i="9"/>
  <c r="AB133" i="9"/>
  <c r="AF133" i="9"/>
  <c r="E133" i="9"/>
  <c r="AE120" i="9"/>
  <c r="W120" i="9"/>
  <c r="O120" i="9"/>
  <c r="G120" i="9"/>
  <c r="H102" i="9"/>
  <c r="L102" i="9"/>
  <c r="P102" i="9"/>
  <c r="T102" i="9"/>
  <c r="X102" i="9"/>
  <c r="AB102" i="9"/>
  <c r="AF102" i="9"/>
  <c r="E102" i="9"/>
  <c r="J102" i="9"/>
  <c r="O102" i="9"/>
  <c r="U102" i="9"/>
  <c r="Z102" i="9"/>
  <c r="AE102" i="9"/>
  <c r="F102" i="9"/>
  <c r="K102" i="9"/>
  <c r="Q102" i="9"/>
  <c r="V102" i="9"/>
  <c r="AA102" i="9"/>
  <c r="AG102" i="9"/>
  <c r="G102" i="9"/>
  <c r="M102" i="9"/>
  <c r="R102" i="9"/>
  <c r="W102" i="9"/>
  <c r="AC102" i="9"/>
  <c r="AH102" i="9"/>
  <c r="E101" i="9"/>
  <c r="I101" i="9"/>
  <c r="M101" i="9"/>
  <c r="Q101" i="9"/>
  <c r="U101" i="9"/>
  <c r="Y101" i="9"/>
  <c r="AC101" i="9"/>
  <c r="AG101" i="9"/>
  <c r="F100" i="9"/>
  <c r="J100" i="9"/>
  <c r="N100" i="9"/>
  <c r="R100" i="9"/>
  <c r="V100" i="9"/>
  <c r="Z100" i="9"/>
  <c r="AD100" i="9"/>
  <c r="AH100" i="9"/>
  <c r="F71" i="9"/>
  <c r="J71" i="9"/>
  <c r="N71" i="9"/>
  <c r="R71" i="9"/>
  <c r="V71" i="9"/>
  <c r="Z71" i="9"/>
  <c r="AD71" i="9"/>
  <c r="AH71" i="9"/>
  <c r="I71" i="9"/>
  <c r="O71" i="9"/>
  <c r="T71" i="9"/>
  <c r="Y71" i="9"/>
  <c r="AE71" i="9"/>
  <c r="E71" i="9"/>
  <c r="K71" i="9"/>
  <c r="P71" i="9"/>
  <c r="U71" i="9"/>
  <c r="AA71" i="9"/>
  <c r="AF71" i="9"/>
  <c r="G71" i="9"/>
  <c r="L71" i="9"/>
  <c r="Q71" i="9"/>
  <c r="W71" i="9"/>
  <c r="AB71" i="9"/>
  <c r="AG71" i="9"/>
  <c r="E68" i="9"/>
  <c r="I68" i="9"/>
  <c r="M68" i="9"/>
  <c r="Q68" i="9"/>
  <c r="U68" i="9"/>
  <c r="Y68" i="9"/>
  <c r="AC68" i="9"/>
  <c r="AG68" i="9"/>
  <c r="J68" i="9"/>
  <c r="O68" i="9"/>
  <c r="T68" i="9"/>
  <c r="Z68" i="9"/>
  <c r="AE68" i="9"/>
  <c r="F68" i="9"/>
  <c r="K68" i="9"/>
  <c r="P68" i="9"/>
  <c r="V68" i="9"/>
  <c r="AA68" i="9"/>
  <c r="AF68" i="9"/>
  <c r="G68" i="9"/>
  <c r="L68" i="9"/>
  <c r="R68" i="9"/>
  <c r="W68" i="9"/>
  <c r="AB68" i="9"/>
  <c r="AH68" i="9"/>
  <c r="AG116" i="9"/>
  <c r="AC116" i="9"/>
  <c r="Y116" i="9"/>
  <c r="U116" i="9"/>
  <c r="Q116" i="9"/>
  <c r="M116" i="9"/>
  <c r="I116" i="9"/>
  <c r="E116" i="9"/>
  <c r="AH101" i="9"/>
  <c r="AB101" i="9"/>
  <c r="W101" i="9"/>
  <c r="R101" i="9"/>
  <c r="L101" i="9"/>
  <c r="G101" i="9"/>
  <c r="AG100" i="9"/>
  <c r="AB100" i="9"/>
  <c r="W100" i="9"/>
  <c r="Q100" i="9"/>
  <c r="L100" i="9"/>
  <c r="G100" i="9"/>
  <c r="AE98" i="9"/>
  <c r="W98" i="9"/>
  <c r="O98" i="9"/>
  <c r="G98" i="9"/>
  <c r="AA85" i="9"/>
  <c r="K85" i="9"/>
  <c r="E72" i="9"/>
  <c r="I72" i="9"/>
  <c r="M72" i="9"/>
  <c r="Q72" i="9"/>
  <c r="U72" i="9"/>
  <c r="Y72" i="9"/>
  <c r="AC72" i="9"/>
  <c r="AG72" i="9"/>
  <c r="F72" i="9"/>
  <c r="J72" i="9"/>
  <c r="N72" i="9"/>
  <c r="R72" i="9"/>
  <c r="V72" i="9"/>
  <c r="Z72" i="9"/>
  <c r="AD72" i="9"/>
  <c r="AH72" i="9"/>
  <c r="G72" i="9"/>
  <c r="K72" i="9"/>
  <c r="O72" i="9"/>
  <c r="S72" i="9"/>
  <c r="W72" i="9"/>
  <c r="AA72" i="9"/>
  <c r="AE72" i="9"/>
  <c r="AI72" i="9"/>
  <c r="S71" i="9"/>
  <c r="H69" i="9"/>
  <c r="L69" i="9"/>
  <c r="P69" i="9"/>
  <c r="T69" i="9"/>
  <c r="X69" i="9"/>
  <c r="AB69" i="9"/>
  <c r="AF69" i="9"/>
  <c r="E69" i="9"/>
  <c r="J69" i="9"/>
  <c r="O69" i="9"/>
  <c r="U69" i="9"/>
  <c r="Z69" i="9"/>
  <c r="AE69" i="9"/>
  <c r="F69" i="9"/>
  <c r="K69" i="9"/>
  <c r="Q69" i="9"/>
  <c r="V69" i="9"/>
  <c r="AA69" i="9"/>
  <c r="AG69" i="9"/>
  <c r="G69" i="9"/>
  <c r="M69" i="9"/>
  <c r="R69" i="9"/>
  <c r="W69" i="9"/>
  <c r="AC69" i="9"/>
  <c r="AH69" i="9"/>
  <c r="S68" i="9"/>
  <c r="AI67" i="9"/>
  <c r="M67" i="9"/>
  <c r="AH122" i="9"/>
  <c r="AD122" i="9"/>
  <c r="Z122" i="9"/>
  <c r="V122" i="9"/>
  <c r="R122" i="9"/>
  <c r="N122" i="9"/>
  <c r="J122" i="9"/>
  <c r="AH118" i="9"/>
  <c r="AD118" i="9"/>
  <c r="Z118" i="9"/>
  <c r="V118" i="9"/>
  <c r="R118" i="9"/>
  <c r="N118" i="9"/>
  <c r="J118" i="9"/>
  <c r="AF116" i="9"/>
  <c r="AB116" i="9"/>
  <c r="X116" i="9"/>
  <c r="T116" i="9"/>
  <c r="P116" i="9"/>
  <c r="L116" i="9"/>
  <c r="AF101" i="9"/>
  <c r="AA101" i="9"/>
  <c r="V101" i="9"/>
  <c r="P101" i="9"/>
  <c r="K101" i="9"/>
  <c r="F101" i="9"/>
  <c r="AF100" i="9"/>
  <c r="AA100" i="9"/>
  <c r="U100" i="9"/>
  <c r="P100" i="9"/>
  <c r="K100" i="9"/>
  <c r="E100" i="9"/>
  <c r="AC98" i="9"/>
  <c r="U98" i="9"/>
  <c r="M98" i="9"/>
  <c r="W85" i="9"/>
  <c r="AF72" i="9"/>
  <c r="P72" i="9"/>
  <c r="AI71" i="9"/>
  <c r="M71" i="9"/>
  <c r="S69" i="9"/>
  <c r="AI68" i="9"/>
  <c r="N68" i="9"/>
  <c r="AC67" i="9"/>
  <c r="H60" i="9"/>
  <c r="L60" i="9"/>
  <c r="P60" i="9"/>
  <c r="T60" i="9"/>
  <c r="X60" i="9"/>
  <c r="AB60" i="9"/>
  <c r="AF60" i="9"/>
  <c r="E60" i="9"/>
  <c r="I60" i="9"/>
  <c r="M60" i="9"/>
  <c r="Q60" i="9"/>
  <c r="U60" i="9"/>
  <c r="Y60" i="9"/>
  <c r="AC60" i="9"/>
  <c r="AG60" i="9"/>
  <c r="F60" i="9"/>
  <c r="N60" i="9"/>
  <c r="V60" i="9"/>
  <c r="AD60" i="9"/>
  <c r="G60" i="9"/>
  <c r="O60" i="9"/>
  <c r="W60" i="9"/>
  <c r="AE60" i="9"/>
  <c r="J60" i="9"/>
  <c r="R60" i="9"/>
  <c r="Z60" i="9"/>
  <c r="AH60" i="9"/>
  <c r="K60" i="9"/>
  <c r="S60" i="9"/>
  <c r="AA60" i="9"/>
  <c r="AE101" i="9"/>
  <c r="Z101" i="9"/>
  <c r="T101" i="9"/>
  <c r="O101" i="9"/>
  <c r="J101" i="9"/>
  <c r="AE100" i="9"/>
  <c r="Y100" i="9"/>
  <c r="T100" i="9"/>
  <c r="O100" i="9"/>
  <c r="I100" i="9"/>
  <c r="H98" i="9"/>
  <c r="L98" i="9"/>
  <c r="P98" i="9"/>
  <c r="T98" i="9"/>
  <c r="X98" i="9"/>
  <c r="AB98" i="9"/>
  <c r="AF98" i="9"/>
  <c r="F98" i="9"/>
  <c r="J98" i="9"/>
  <c r="N98" i="9"/>
  <c r="R98" i="9"/>
  <c r="V98" i="9"/>
  <c r="Z98" i="9"/>
  <c r="AD98" i="9"/>
  <c r="AH98" i="9"/>
  <c r="H85" i="9"/>
  <c r="L85" i="9"/>
  <c r="P85" i="9"/>
  <c r="T85" i="9"/>
  <c r="X85" i="9"/>
  <c r="AB85" i="9"/>
  <c r="AF85" i="9"/>
  <c r="E85" i="9"/>
  <c r="I85" i="9"/>
  <c r="M85" i="9"/>
  <c r="Q85" i="9"/>
  <c r="U85" i="9"/>
  <c r="Y85" i="9"/>
  <c r="AC85" i="9"/>
  <c r="AG85" i="9"/>
  <c r="F85" i="9"/>
  <c r="J85" i="9"/>
  <c r="N85" i="9"/>
  <c r="R85" i="9"/>
  <c r="V85" i="9"/>
  <c r="Z85" i="9"/>
  <c r="AD85" i="9"/>
  <c r="AH85" i="9"/>
  <c r="AC71" i="9"/>
  <c r="H71" i="9"/>
  <c r="AD68" i="9"/>
  <c r="H68" i="9"/>
  <c r="F67" i="9"/>
  <c r="J67" i="9"/>
  <c r="N67" i="9"/>
  <c r="R67" i="9"/>
  <c r="V67" i="9"/>
  <c r="Z67" i="9"/>
  <c r="AD67" i="9"/>
  <c r="AH67" i="9"/>
  <c r="I67" i="9"/>
  <c r="O67" i="9"/>
  <c r="T67" i="9"/>
  <c r="Y67" i="9"/>
  <c r="AE67" i="9"/>
  <c r="E67" i="9"/>
  <c r="K67" i="9"/>
  <c r="P67" i="9"/>
  <c r="U67" i="9"/>
  <c r="AA67" i="9"/>
  <c r="AF67" i="9"/>
  <c r="G67" i="9"/>
  <c r="L67" i="9"/>
  <c r="Q67" i="9"/>
  <c r="W67" i="9"/>
  <c r="AB67" i="9"/>
  <c r="AG67" i="9"/>
  <c r="AF96" i="9"/>
  <c r="AB96" i="9"/>
  <c r="X96" i="9"/>
  <c r="T96" i="9"/>
  <c r="P96" i="9"/>
  <c r="L96" i="9"/>
  <c r="H96" i="9"/>
  <c r="AF83" i="9"/>
  <c r="AB83" i="9"/>
  <c r="X83" i="9"/>
  <c r="T83" i="9"/>
  <c r="P83" i="9"/>
  <c r="L83" i="9"/>
  <c r="H83" i="9"/>
  <c r="AG97" i="9"/>
  <c r="AC97" i="9"/>
  <c r="Y97" i="9"/>
  <c r="U97" i="9"/>
  <c r="Q97" i="9"/>
  <c r="M97" i="9"/>
  <c r="I97" i="9"/>
  <c r="AH96" i="9"/>
  <c r="AD96" i="9"/>
  <c r="Z96" i="9"/>
  <c r="V96" i="9"/>
  <c r="R96" i="9"/>
  <c r="N96" i="9"/>
  <c r="J96" i="9"/>
  <c r="AG84" i="9"/>
  <c r="AC84" i="9"/>
  <c r="Y84" i="9"/>
  <c r="U84" i="9"/>
  <c r="Q84" i="9"/>
  <c r="M84" i="9"/>
  <c r="I84" i="9"/>
  <c r="AH83" i="9"/>
  <c r="AD83" i="9"/>
  <c r="Z83" i="9"/>
  <c r="V83" i="9"/>
  <c r="R83" i="9"/>
  <c r="N83" i="9"/>
  <c r="J83" i="9"/>
  <c r="AG65" i="9"/>
  <c r="AC65" i="9"/>
  <c r="Y65" i="9"/>
  <c r="U65" i="9"/>
  <c r="Q65" i="9"/>
  <c r="M65" i="9"/>
  <c r="I65" i="9"/>
  <c r="E65" i="9"/>
  <c r="E64" i="9"/>
  <c r="I64" i="9"/>
  <c r="M64" i="9"/>
  <c r="F63" i="9"/>
  <c r="J63" i="9"/>
  <c r="N63" i="9"/>
  <c r="R63" i="9"/>
  <c r="V63" i="9"/>
  <c r="Z63" i="9"/>
  <c r="AD63" i="9"/>
  <c r="AH63" i="9"/>
  <c r="H42" i="9"/>
  <c r="L42" i="9"/>
  <c r="P42" i="9"/>
  <c r="T42" i="9"/>
  <c r="X42" i="9"/>
  <c r="AB42" i="9"/>
  <c r="AF42" i="9"/>
  <c r="F42" i="9"/>
  <c r="J42" i="9"/>
  <c r="N42" i="9"/>
  <c r="R42" i="9"/>
  <c r="V42" i="9"/>
  <c r="Z42" i="9"/>
  <c r="AD42" i="9"/>
  <c r="AH42" i="9"/>
  <c r="E42" i="9"/>
  <c r="M42" i="9"/>
  <c r="U42" i="9"/>
  <c r="AC42" i="9"/>
  <c r="G42" i="9"/>
  <c r="O42" i="9"/>
  <c r="W42" i="9"/>
  <c r="AE42" i="9"/>
  <c r="I42" i="9"/>
  <c r="Q42" i="9"/>
  <c r="Y42" i="9"/>
  <c r="AG42" i="9"/>
  <c r="AF65" i="9"/>
  <c r="AB65" i="9"/>
  <c r="X65" i="9"/>
  <c r="T65" i="9"/>
  <c r="P65" i="9"/>
  <c r="L65" i="9"/>
  <c r="AG64" i="9"/>
  <c r="AC64" i="9"/>
  <c r="Y64" i="9"/>
  <c r="U64" i="9"/>
  <c r="Q64" i="9"/>
  <c r="L64" i="9"/>
  <c r="G64" i="9"/>
  <c r="AG63" i="9"/>
  <c r="AB63" i="9"/>
  <c r="W63" i="9"/>
  <c r="Q63" i="9"/>
  <c r="L63" i="9"/>
  <c r="G63" i="9"/>
  <c r="H47" i="9"/>
  <c r="L47" i="9"/>
  <c r="P47" i="9"/>
  <c r="T47" i="9"/>
  <c r="X47" i="9"/>
  <c r="AB47" i="9"/>
  <c r="AF47" i="9"/>
  <c r="E47" i="9"/>
  <c r="I47" i="9"/>
  <c r="M47" i="9"/>
  <c r="Q47" i="9"/>
  <c r="U47" i="9"/>
  <c r="Y47" i="9"/>
  <c r="AC47" i="9"/>
  <c r="AG47" i="9"/>
  <c r="F47" i="9"/>
  <c r="J47" i="9"/>
  <c r="N47" i="9"/>
  <c r="R47" i="9"/>
  <c r="V47" i="9"/>
  <c r="Z47" i="9"/>
  <c r="AD47" i="9"/>
  <c r="AH47" i="9"/>
  <c r="AA42" i="9"/>
  <c r="S42" i="9"/>
  <c r="AF61" i="9"/>
  <c r="AB61" i="9"/>
  <c r="X61" i="9"/>
  <c r="T61" i="9"/>
  <c r="P61" i="9"/>
  <c r="L61" i="9"/>
  <c r="AF49" i="9"/>
  <c r="AB49" i="9"/>
  <c r="X49" i="9"/>
  <c r="T49" i="9"/>
  <c r="P49" i="9"/>
  <c r="L49" i="9"/>
  <c r="AG48" i="9"/>
  <c r="AC48" i="9"/>
  <c r="Y48" i="9"/>
  <c r="U48" i="9"/>
  <c r="Q48" i="9"/>
  <c r="M48" i="9"/>
  <c r="I48" i="9"/>
  <c r="E48" i="9"/>
  <c r="E45" i="9"/>
  <c r="I45" i="9"/>
  <c r="M45" i="9"/>
  <c r="Q45" i="9"/>
  <c r="U45" i="9"/>
  <c r="Y45" i="9"/>
  <c r="AC45" i="9"/>
  <c r="AG45" i="9"/>
  <c r="F44" i="9"/>
  <c r="J44" i="9"/>
  <c r="N44" i="9"/>
  <c r="R44" i="9"/>
  <c r="V44" i="9"/>
  <c r="Z44" i="9"/>
  <c r="AD44" i="9"/>
  <c r="AH44" i="9"/>
  <c r="AJ26" i="9"/>
  <c r="K26" i="16" s="1"/>
  <c r="AF48" i="9"/>
  <c r="AB48" i="9"/>
  <c r="X48" i="9"/>
  <c r="T48" i="9"/>
  <c r="P48" i="9"/>
  <c r="L48" i="9"/>
  <c r="H38" i="9"/>
  <c r="L38" i="9"/>
  <c r="P38" i="9"/>
  <c r="T38" i="9"/>
  <c r="X38" i="9"/>
  <c r="AB38" i="9"/>
  <c r="AF38" i="9"/>
  <c r="E38" i="9"/>
  <c r="I38" i="9"/>
  <c r="M38" i="9"/>
  <c r="Q38" i="9"/>
  <c r="U38" i="9"/>
  <c r="Y38" i="9"/>
  <c r="AC38" i="9"/>
  <c r="AG38" i="9"/>
  <c r="F38" i="9"/>
  <c r="J38" i="9"/>
  <c r="N38" i="9"/>
  <c r="R38" i="9"/>
  <c r="V38" i="9"/>
  <c r="Z38" i="9"/>
  <c r="AD38" i="9"/>
  <c r="AH38" i="9"/>
  <c r="AJ25" i="9"/>
  <c r="K25" i="16" s="1"/>
  <c r="AF40" i="9"/>
  <c r="AB40" i="9"/>
  <c r="X40" i="9"/>
  <c r="T40" i="9"/>
  <c r="P40" i="9"/>
  <c r="L40" i="9"/>
  <c r="H40" i="9"/>
  <c r="AG41" i="9"/>
  <c r="AC41" i="9"/>
  <c r="Y41" i="9"/>
  <c r="U41" i="9"/>
  <c r="Q41" i="9"/>
  <c r="M41" i="9"/>
  <c r="I41" i="9"/>
  <c r="AH40" i="9"/>
  <c r="AD40" i="9"/>
  <c r="Z40" i="9"/>
  <c r="V40" i="9"/>
  <c r="R40" i="9"/>
  <c r="N40" i="9"/>
  <c r="J40" i="9"/>
  <c r="M37" i="9"/>
  <c r="I37" i="9"/>
  <c r="F213" i="8"/>
  <c r="J213" i="8"/>
  <c r="N213" i="8"/>
  <c r="R213" i="8"/>
  <c r="V213" i="8"/>
  <c r="Z213" i="8"/>
  <c r="AD213" i="8"/>
  <c r="AH213" i="8"/>
  <c r="H213" i="8"/>
  <c r="L213" i="8"/>
  <c r="P213" i="8"/>
  <c r="T213" i="8"/>
  <c r="X213" i="8"/>
  <c r="AB213" i="8"/>
  <c r="AF213" i="8"/>
  <c r="AC209" i="8"/>
  <c r="U209" i="8"/>
  <c r="M209" i="8"/>
  <c r="AA207" i="8"/>
  <c r="W194" i="8"/>
  <c r="F209" i="8"/>
  <c r="J209" i="8"/>
  <c r="N209" i="8"/>
  <c r="R209" i="8"/>
  <c r="V209" i="8"/>
  <c r="Z209" i="8"/>
  <c r="AD209" i="8"/>
  <c r="AH209" i="8"/>
  <c r="H209" i="8"/>
  <c r="L209" i="8"/>
  <c r="P209" i="8"/>
  <c r="T209" i="8"/>
  <c r="X209" i="8"/>
  <c r="AB209" i="8"/>
  <c r="AF209" i="8"/>
  <c r="H194" i="8"/>
  <c r="L194" i="8"/>
  <c r="P194" i="8"/>
  <c r="T194" i="8"/>
  <c r="X194" i="8"/>
  <c r="AB194" i="8"/>
  <c r="AF194" i="8"/>
  <c r="U194" i="8"/>
  <c r="AC194" i="8"/>
  <c r="E194" i="8"/>
  <c r="I194" i="8"/>
  <c r="M194" i="8"/>
  <c r="Q194" i="8"/>
  <c r="Y194" i="8"/>
  <c r="AG194" i="8"/>
  <c r="F194" i="8"/>
  <c r="J194" i="8"/>
  <c r="N194" i="8"/>
  <c r="R194" i="8"/>
  <c r="V194" i="8"/>
  <c r="Z194" i="8"/>
  <c r="AD194" i="8"/>
  <c r="AH194" i="8"/>
  <c r="AG209" i="8"/>
  <c r="Y209" i="8"/>
  <c r="Q209" i="8"/>
  <c r="I209" i="8"/>
  <c r="H207" i="8"/>
  <c r="L207" i="8"/>
  <c r="P207" i="8"/>
  <c r="T207" i="8"/>
  <c r="X207" i="8"/>
  <c r="AB207" i="8"/>
  <c r="AF207" i="8"/>
  <c r="Q207" i="8"/>
  <c r="Y207" i="8"/>
  <c r="AG207" i="8"/>
  <c r="E207" i="8"/>
  <c r="I207" i="8"/>
  <c r="M207" i="8"/>
  <c r="U207" i="8"/>
  <c r="AC207" i="8"/>
  <c r="F207" i="8"/>
  <c r="J207" i="8"/>
  <c r="N207" i="8"/>
  <c r="R207" i="8"/>
  <c r="V207" i="8"/>
  <c r="Z207" i="8"/>
  <c r="AD207" i="8"/>
  <c r="AH207" i="8"/>
  <c r="AE194" i="8"/>
  <c r="O194" i="8"/>
  <c r="H211" i="8"/>
  <c r="L211" i="8"/>
  <c r="P211" i="8"/>
  <c r="T211" i="8"/>
  <c r="X211" i="8"/>
  <c r="AB211" i="8"/>
  <c r="AF211" i="8"/>
  <c r="F211" i="8"/>
  <c r="J211" i="8"/>
  <c r="N211" i="8"/>
  <c r="R211" i="8"/>
  <c r="V211" i="8"/>
  <c r="Z211" i="8"/>
  <c r="AD211" i="8"/>
  <c r="AH211" i="8"/>
  <c r="AE209" i="8"/>
  <c r="W209" i="8"/>
  <c r="O209" i="8"/>
  <c r="G209" i="8"/>
  <c r="AE207" i="8"/>
  <c r="O207" i="8"/>
  <c r="AA194" i="8"/>
  <c r="K194" i="8"/>
  <c r="AF196" i="8"/>
  <c r="AB196" i="8"/>
  <c r="X196" i="8"/>
  <c r="T196" i="8"/>
  <c r="P196" i="8"/>
  <c r="L196" i="8"/>
  <c r="H196" i="8"/>
  <c r="AF192" i="8"/>
  <c r="AB192" i="8"/>
  <c r="X192" i="8"/>
  <c r="T192" i="8"/>
  <c r="P192" i="8"/>
  <c r="L192" i="8"/>
  <c r="H192" i="8"/>
  <c r="AH190" i="8"/>
  <c r="AD190" i="8"/>
  <c r="Z190" i="8"/>
  <c r="V190" i="8"/>
  <c r="R190" i="8"/>
  <c r="N190" i="8"/>
  <c r="J190" i="8"/>
  <c r="F190" i="8"/>
  <c r="AF188" i="8"/>
  <c r="AB188" i="8"/>
  <c r="X188" i="8"/>
  <c r="T188" i="8"/>
  <c r="P188" i="8"/>
  <c r="L188" i="8"/>
  <c r="H188" i="8"/>
  <c r="AH177" i="8"/>
  <c r="AD177" i="8"/>
  <c r="Z177" i="8"/>
  <c r="V177" i="8"/>
  <c r="R177" i="8"/>
  <c r="N177" i="8"/>
  <c r="J177" i="8"/>
  <c r="F177" i="8"/>
  <c r="AF175" i="8"/>
  <c r="AB175" i="8"/>
  <c r="X175" i="8"/>
  <c r="T175" i="8"/>
  <c r="P175" i="8"/>
  <c r="L175" i="8"/>
  <c r="H175" i="8"/>
  <c r="AH173" i="8"/>
  <c r="AD173" i="8"/>
  <c r="Z173" i="8"/>
  <c r="V173" i="8"/>
  <c r="R173" i="8"/>
  <c r="N173" i="8"/>
  <c r="J173" i="8"/>
  <c r="F173" i="8"/>
  <c r="AF171" i="8"/>
  <c r="AB171" i="8"/>
  <c r="X171" i="8"/>
  <c r="T171" i="8"/>
  <c r="P171" i="8"/>
  <c r="L171" i="8"/>
  <c r="H171" i="8"/>
  <c r="AE170" i="8"/>
  <c r="Y170" i="8"/>
  <c r="T170" i="8"/>
  <c r="O170" i="8"/>
  <c r="AH168" i="8"/>
  <c r="Z168" i="8"/>
  <c r="R168" i="8"/>
  <c r="J168" i="8"/>
  <c r="E158" i="8"/>
  <c r="I158" i="8"/>
  <c r="M158" i="8"/>
  <c r="Q158" i="8"/>
  <c r="U158" i="8"/>
  <c r="Y158" i="8"/>
  <c r="AC158" i="8"/>
  <c r="AG158" i="8"/>
  <c r="F158" i="8"/>
  <c r="J158" i="8"/>
  <c r="N158" i="8"/>
  <c r="R158" i="8"/>
  <c r="V158" i="8"/>
  <c r="Z158" i="8"/>
  <c r="AD158" i="8"/>
  <c r="AH158" i="8"/>
  <c r="H155" i="8"/>
  <c r="L155" i="8"/>
  <c r="P155" i="8"/>
  <c r="T155" i="8"/>
  <c r="X155" i="8"/>
  <c r="AB155" i="8"/>
  <c r="AF155" i="8"/>
  <c r="E155" i="8"/>
  <c r="I155" i="8"/>
  <c r="M155" i="8"/>
  <c r="Q155" i="8"/>
  <c r="U155" i="8"/>
  <c r="Y155" i="8"/>
  <c r="AC155" i="8"/>
  <c r="AG155" i="8"/>
  <c r="AF154" i="8"/>
  <c r="X154" i="8"/>
  <c r="P154" i="8"/>
  <c r="H154" i="8"/>
  <c r="AG190" i="8"/>
  <c r="AC190" i="8"/>
  <c r="Y190" i="8"/>
  <c r="U190" i="8"/>
  <c r="Q190" i="8"/>
  <c r="M190" i="8"/>
  <c r="I190" i="8"/>
  <c r="E190" i="8"/>
  <c r="AG177" i="8"/>
  <c r="AC177" i="8"/>
  <c r="Y177" i="8"/>
  <c r="U177" i="8"/>
  <c r="Q177" i="8"/>
  <c r="M177" i="8"/>
  <c r="I177" i="8"/>
  <c r="E177" i="8"/>
  <c r="AG173" i="8"/>
  <c r="AC173" i="8"/>
  <c r="Y173" i="8"/>
  <c r="U173" i="8"/>
  <c r="Q173" i="8"/>
  <c r="M173" i="8"/>
  <c r="I173" i="8"/>
  <c r="E173" i="8"/>
  <c r="F170" i="8"/>
  <c r="J170" i="8"/>
  <c r="N170" i="8"/>
  <c r="R170" i="8"/>
  <c r="V170" i="8"/>
  <c r="Z170" i="8"/>
  <c r="AD170" i="8"/>
  <c r="AH170" i="8"/>
  <c r="AE168" i="8"/>
  <c r="W168" i="8"/>
  <c r="O168" i="8"/>
  <c r="G168" i="8"/>
  <c r="AG210" i="8"/>
  <c r="AC210" i="8"/>
  <c r="Y210" i="8"/>
  <c r="U210" i="8"/>
  <c r="Q210" i="8"/>
  <c r="M210" i="8"/>
  <c r="I210" i="8"/>
  <c r="AG206" i="8"/>
  <c r="AC206" i="8"/>
  <c r="Y206" i="8"/>
  <c r="U206" i="8"/>
  <c r="Q206" i="8"/>
  <c r="M206" i="8"/>
  <c r="I206" i="8"/>
  <c r="AH196" i="8"/>
  <c r="AD196" i="8"/>
  <c r="Z196" i="8"/>
  <c r="V196" i="8"/>
  <c r="R196" i="8"/>
  <c r="N196" i="8"/>
  <c r="J196" i="8"/>
  <c r="AG193" i="8"/>
  <c r="AC193" i="8"/>
  <c r="Y193" i="8"/>
  <c r="U193" i="8"/>
  <c r="Q193" i="8"/>
  <c r="M193" i="8"/>
  <c r="I193" i="8"/>
  <c r="AH192" i="8"/>
  <c r="AD192" i="8"/>
  <c r="Z192" i="8"/>
  <c r="V192" i="8"/>
  <c r="R192" i="8"/>
  <c r="N192" i="8"/>
  <c r="J192" i="8"/>
  <c r="AF190" i="8"/>
  <c r="AB190" i="8"/>
  <c r="X190" i="8"/>
  <c r="T190" i="8"/>
  <c r="P190" i="8"/>
  <c r="L190" i="8"/>
  <c r="AG189" i="8"/>
  <c r="AC189" i="8"/>
  <c r="Y189" i="8"/>
  <c r="U189" i="8"/>
  <c r="Q189" i="8"/>
  <c r="M189" i="8"/>
  <c r="I189" i="8"/>
  <c r="AH188" i="8"/>
  <c r="AD188" i="8"/>
  <c r="Z188" i="8"/>
  <c r="V188" i="8"/>
  <c r="R188" i="8"/>
  <c r="N188" i="8"/>
  <c r="J188" i="8"/>
  <c r="AF177" i="8"/>
  <c r="AB177" i="8"/>
  <c r="X177" i="8"/>
  <c r="T177" i="8"/>
  <c r="P177" i="8"/>
  <c r="L177" i="8"/>
  <c r="AG176" i="8"/>
  <c r="AC176" i="8"/>
  <c r="Y176" i="8"/>
  <c r="U176" i="8"/>
  <c r="Q176" i="8"/>
  <c r="M176" i="8"/>
  <c r="I176" i="8"/>
  <c r="AH175" i="8"/>
  <c r="AD175" i="8"/>
  <c r="Z175" i="8"/>
  <c r="V175" i="8"/>
  <c r="R175" i="8"/>
  <c r="N175" i="8"/>
  <c r="J175" i="8"/>
  <c r="AF173" i="8"/>
  <c r="AB173" i="8"/>
  <c r="X173" i="8"/>
  <c r="T173" i="8"/>
  <c r="P173" i="8"/>
  <c r="L173" i="8"/>
  <c r="AG172" i="8"/>
  <c r="AC172" i="8"/>
  <c r="Y172" i="8"/>
  <c r="U172" i="8"/>
  <c r="Q172" i="8"/>
  <c r="M172" i="8"/>
  <c r="I172" i="8"/>
  <c r="AH171" i="8"/>
  <c r="AD171" i="8"/>
  <c r="Z171" i="8"/>
  <c r="V171" i="8"/>
  <c r="R171" i="8"/>
  <c r="N171" i="8"/>
  <c r="J171" i="8"/>
  <c r="AG170" i="8"/>
  <c r="AB170" i="8"/>
  <c r="W170" i="8"/>
  <c r="Q170" i="8"/>
  <c r="L170" i="8"/>
  <c r="G170" i="8"/>
  <c r="AD168" i="8"/>
  <c r="V168" i="8"/>
  <c r="N168" i="8"/>
  <c r="AE158" i="8"/>
  <c r="W158" i="8"/>
  <c r="O158" i="8"/>
  <c r="G158" i="8"/>
  <c r="AB154" i="8"/>
  <c r="T154" i="8"/>
  <c r="F151" i="8"/>
  <c r="J151" i="8"/>
  <c r="N151" i="8"/>
  <c r="R151" i="8"/>
  <c r="V151" i="8"/>
  <c r="Z151" i="8"/>
  <c r="AD151" i="8"/>
  <c r="AH151" i="8"/>
  <c r="H151" i="8"/>
  <c r="L151" i="8"/>
  <c r="P151" i="8"/>
  <c r="T151" i="8"/>
  <c r="X151" i="8"/>
  <c r="AB151" i="8"/>
  <c r="AF151" i="8"/>
  <c r="E151" i="8"/>
  <c r="I151" i="8"/>
  <c r="M151" i="8"/>
  <c r="Q151" i="8"/>
  <c r="U151" i="8"/>
  <c r="Y151" i="8"/>
  <c r="AC151" i="8"/>
  <c r="AG151" i="8"/>
  <c r="H168" i="8"/>
  <c r="L168" i="8"/>
  <c r="P168" i="8"/>
  <c r="T168" i="8"/>
  <c r="X168" i="8"/>
  <c r="AB168" i="8"/>
  <c r="AF168" i="8"/>
  <c r="E168" i="8"/>
  <c r="I168" i="8"/>
  <c r="M168" i="8"/>
  <c r="Q168" i="8"/>
  <c r="U168" i="8"/>
  <c r="Y168" i="8"/>
  <c r="AC168" i="8"/>
  <c r="AG168" i="8"/>
  <c r="E154" i="8"/>
  <c r="I154" i="8"/>
  <c r="M154" i="8"/>
  <c r="Q154" i="8"/>
  <c r="U154" i="8"/>
  <c r="Y154" i="8"/>
  <c r="AC154" i="8"/>
  <c r="AG154" i="8"/>
  <c r="F154" i="8"/>
  <c r="J154" i="8"/>
  <c r="N154" i="8"/>
  <c r="R154" i="8"/>
  <c r="V154" i="8"/>
  <c r="Z154" i="8"/>
  <c r="AD154" i="8"/>
  <c r="AH154" i="8"/>
  <c r="AH140" i="8"/>
  <c r="AC140" i="8"/>
  <c r="W140" i="8"/>
  <c r="R140" i="8"/>
  <c r="M140" i="8"/>
  <c r="G140" i="8"/>
  <c r="AH139" i="8"/>
  <c r="AB139" i="8"/>
  <c r="W139" i="8"/>
  <c r="R139" i="8"/>
  <c r="L139" i="8"/>
  <c r="G139" i="8"/>
  <c r="AG138" i="8"/>
  <c r="AB138" i="8"/>
  <c r="W138" i="8"/>
  <c r="Q138" i="8"/>
  <c r="L138" i="8"/>
  <c r="G138" i="8"/>
  <c r="AH136" i="8"/>
  <c r="AC136" i="8"/>
  <c r="W136" i="8"/>
  <c r="R136" i="8"/>
  <c r="M136" i="8"/>
  <c r="G136" i="8"/>
  <c r="AH135" i="8"/>
  <c r="AB135" i="8"/>
  <c r="W135" i="8"/>
  <c r="R135" i="8"/>
  <c r="L135" i="8"/>
  <c r="G135" i="8"/>
  <c r="AG134" i="8"/>
  <c r="AB134" i="8"/>
  <c r="W134" i="8"/>
  <c r="Q134" i="8"/>
  <c r="L134" i="8"/>
  <c r="G134" i="8"/>
  <c r="AH132" i="8"/>
  <c r="AC132" i="8"/>
  <c r="W132" i="8"/>
  <c r="R132" i="8"/>
  <c r="M132" i="8"/>
  <c r="G132" i="8"/>
  <c r="AF122" i="8"/>
  <c r="AA122" i="8"/>
  <c r="V122" i="8"/>
  <c r="P122" i="8"/>
  <c r="K122" i="8"/>
  <c r="F122" i="8"/>
  <c r="AF121" i="8"/>
  <c r="AA121" i="8"/>
  <c r="U121" i="8"/>
  <c r="P121" i="8"/>
  <c r="K121" i="8"/>
  <c r="E121" i="8"/>
  <c r="AH119" i="8"/>
  <c r="Z119" i="8"/>
  <c r="R119" i="8"/>
  <c r="J119" i="8"/>
  <c r="AE118" i="8"/>
  <c r="W118" i="8"/>
  <c r="O118" i="8"/>
  <c r="G118" i="8"/>
  <c r="AH157" i="8"/>
  <c r="AD157" i="8"/>
  <c r="Z157" i="8"/>
  <c r="V157" i="8"/>
  <c r="R157" i="8"/>
  <c r="N157" i="8"/>
  <c r="J157" i="8"/>
  <c r="V153" i="8"/>
  <c r="R153" i="8"/>
  <c r="N153" i="8"/>
  <c r="J153" i="8"/>
  <c r="AG140" i="8"/>
  <c r="AA140" i="8"/>
  <c r="V140" i="8"/>
  <c r="Q140" i="8"/>
  <c r="K140" i="8"/>
  <c r="AF139" i="8"/>
  <c r="AA139" i="8"/>
  <c r="V139" i="8"/>
  <c r="P139" i="8"/>
  <c r="K139" i="8"/>
  <c r="AF138" i="8"/>
  <c r="AA138" i="8"/>
  <c r="U138" i="8"/>
  <c r="P138" i="8"/>
  <c r="K138" i="8"/>
  <c r="AG136" i="8"/>
  <c r="AA136" i="8"/>
  <c r="V136" i="8"/>
  <c r="Q136" i="8"/>
  <c r="K136" i="8"/>
  <c r="AF135" i="8"/>
  <c r="AA135" i="8"/>
  <c r="V135" i="8"/>
  <c r="P135" i="8"/>
  <c r="K135" i="8"/>
  <c r="AF134" i="8"/>
  <c r="AA134" i="8"/>
  <c r="U134" i="8"/>
  <c r="P134" i="8"/>
  <c r="K134" i="8"/>
  <c r="AG132" i="8"/>
  <c r="AA132" i="8"/>
  <c r="V132" i="8"/>
  <c r="Q132" i="8"/>
  <c r="K132" i="8"/>
  <c r="AE122" i="8"/>
  <c r="Z122" i="8"/>
  <c r="T122" i="8"/>
  <c r="O122" i="8"/>
  <c r="AE121" i="8"/>
  <c r="Y121" i="8"/>
  <c r="T121" i="8"/>
  <c r="O121" i="8"/>
  <c r="AE119" i="8"/>
  <c r="W119" i="8"/>
  <c r="O119" i="8"/>
  <c r="AB118" i="8"/>
  <c r="T118" i="8"/>
  <c r="E122" i="8"/>
  <c r="I122" i="8"/>
  <c r="M122" i="8"/>
  <c r="Q122" i="8"/>
  <c r="U122" i="8"/>
  <c r="Y122" i="8"/>
  <c r="AC122" i="8"/>
  <c r="AG122" i="8"/>
  <c r="F121" i="8"/>
  <c r="J121" i="8"/>
  <c r="N121" i="8"/>
  <c r="R121" i="8"/>
  <c r="V121" i="8"/>
  <c r="Z121" i="8"/>
  <c r="AD121" i="8"/>
  <c r="AH121" i="8"/>
  <c r="E118" i="8"/>
  <c r="I118" i="8"/>
  <c r="M118" i="8"/>
  <c r="Q118" i="8"/>
  <c r="U118" i="8"/>
  <c r="Y118" i="8"/>
  <c r="AC118" i="8"/>
  <c r="AG118" i="8"/>
  <c r="F118" i="8"/>
  <c r="J118" i="8"/>
  <c r="N118" i="8"/>
  <c r="R118" i="8"/>
  <c r="V118" i="8"/>
  <c r="Z118" i="8"/>
  <c r="AD118" i="8"/>
  <c r="AH118" i="8"/>
  <c r="H140" i="8"/>
  <c r="L140" i="8"/>
  <c r="P140" i="8"/>
  <c r="T140" i="8"/>
  <c r="X140" i="8"/>
  <c r="AB140" i="8"/>
  <c r="AF140" i="8"/>
  <c r="E139" i="8"/>
  <c r="I139" i="8"/>
  <c r="M139" i="8"/>
  <c r="Q139" i="8"/>
  <c r="U139" i="8"/>
  <c r="Y139" i="8"/>
  <c r="AC139" i="8"/>
  <c r="AG139" i="8"/>
  <c r="F138" i="8"/>
  <c r="J138" i="8"/>
  <c r="N138" i="8"/>
  <c r="R138" i="8"/>
  <c r="V138" i="8"/>
  <c r="Z138" i="8"/>
  <c r="AD138" i="8"/>
  <c r="AH138" i="8"/>
  <c r="H136" i="8"/>
  <c r="L136" i="8"/>
  <c r="P136" i="8"/>
  <c r="T136" i="8"/>
  <c r="X136" i="8"/>
  <c r="AB136" i="8"/>
  <c r="AF136" i="8"/>
  <c r="E135" i="8"/>
  <c r="I135" i="8"/>
  <c r="M135" i="8"/>
  <c r="Q135" i="8"/>
  <c r="U135" i="8"/>
  <c r="Y135" i="8"/>
  <c r="AC135" i="8"/>
  <c r="AG135" i="8"/>
  <c r="F134" i="8"/>
  <c r="J134" i="8"/>
  <c r="N134" i="8"/>
  <c r="R134" i="8"/>
  <c r="V134" i="8"/>
  <c r="Z134" i="8"/>
  <c r="AD134" i="8"/>
  <c r="AH134" i="8"/>
  <c r="H132" i="8"/>
  <c r="L132" i="8"/>
  <c r="P132" i="8"/>
  <c r="T132" i="8"/>
  <c r="X132" i="8"/>
  <c r="AB132" i="8"/>
  <c r="AF132" i="8"/>
  <c r="AH122" i="8"/>
  <c r="AB122" i="8"/>
  <c r="W122" i="8"/>
  <c r="R122" i="8"/>
  <c r="L122" i="8"/>
  <c r="G122" i="8"/>
  <c r="AG121" i="8"/>
  <c r="AB121" i="8"/>
  <c r="W121" i="8"/>
  <c r="Q121" i="8"/>
  <c r="L121" i="8"/>
  <c r="G121" i="8"/>
  <c r="H119" i="8"/>
  <c r="L119" i="8"/>
  <c r="P119" i="8"/>
  <c r="T119" i="8"/>
  <c r="X119" i="8"/>
  <c r="AB119" i="8"/>
  <c r="AF119" i="8"/>
  <c r="E119" i="8"/>
  <c r="I119" i="8"/>
  <c r="M119" i="8"/>
  <c r="Q119" i="8"/>
  <c r="U119" i="8"/>
  <c r="Y119" i="8"/>
  <c r="AC119" i="8"/>
  <c r="AG119" i="8"/>
  <c r="AF118" i="8"/>
  <c r="X118" i="8"/>
  <c r="P118" i="8"/>
  <c r="H118" i="8"/>
  <c r="AG115" i="8"/>
  <c r="AC115" i="8"/>
  <c r="Y115" i="8"/>
  <c r="U115" i="8"/>
  <c r="Q115" i="8"/>
  <c r="M115" i="8"/>
  <c r="I115" i="8"/>
  <c r="E115" i="8"/>
  <c r="AH114" i="8"/>
  <c r="AD114" i="8"/>
  <c r="Z114" i="8"/>
  <c r="V114" i="8"/>
  <c r="R114" i="8"/>
  <c r="N114" i="8"/>
  <c r="J114" i="8"/>
  <c r="F114" i="8"/>
  <c r="AG102" i="8"/>
  <c r="AC102" i="8"/>
  <c r="Y102" i="8"/>
  <c r="U102" i="8"/>
  <c r="Q102" i="8"/>
  <c r="M102" i="8"/>
  <c r="I102" i="8"/>
  <c r="E102" i="8"/>
  <c r="AH101" i="8"/>
  <c r="AD101" i="8"/>
  <c r="Z101" i="8"/>
  <c r="V101" i="8"/>
  <c r="R101" i="8"/>
  <c r="N101" i="8"/>
  <c r="J101" i="8"/>
  <c r="F101" i="8"/>
  <c r="AH117" i="8"/>
  <c r="AD117" i="8"/>
  <c r="Z117" i="8"/>
  <c r="V117" i="8"/>
  <c r="R117" i="8"/>
  <c r="N117" i="8"/>
  <c r="J117" i="8"/>
  <c r="AF115" i="8"/>
  <c r="AB115" i="8"/>
  <c r="X115" i="8"/>
  <c r="T115" i="8"/>
  <c r="P115" i="8"/>
  <c r="L115" i="8"/>
  <c r="AG114" i="8"/>
  <c r="AC114" i="8"/>
  <c r="Y114" i="8"/>
  <c r="U114" i="8"/>
  <c r="Q114" i="8"/>
  <c r="M114" i="8"/>
  <c r="I114" i="8"/>
  <c r="E114" i="8"/>
  <c r="AH113" i="8"/>
  <c r="AD113" i="8"/>
  <c r="Z113" i="8"/>
  <c r="V113" i="8"/>
  <c r="R113" i="8"/>
  <c r="N113" i="8"/>
  <c r="J113" i="8"/>
  <c r="AF102" i="8"/>
  <c r="AB102" i="8"/>
  <c r="X102" i="8"/>
  <c r="T102" i="8"/>
  <c r="P102" i="8"/>
  <c r="L102" i="8"/>
  <c r="AG101" i="8"/>
  <c r="AC101" i="8"/>
  <c r="Y101" i="8"/>
  <c r="U101" i="8"/>
  <c r="Q101" i="8"/>
  <c r="M101" i="8"/>
  <c r="I101" i="8"/>
  <c r="E101" i="8"/>
  <c r="AH100" i="8"/>
  <c r="AD100" i="8"/>
  <c r="Z100" i="8"/>
  <c r="V100" i="8"/>
  <c r="R100" i="8"/>
  <c r="N100" i="8"/>
  <c r="J100" i="8"/>
  <c r="F99" i="8"/>
  <c r="J99" i="8"/>
  <c r="N99" i="8"/>
  <c r="R99" i="8"/>
  <c r="V99" i="8"/>
  <c r="Z99" i="8"/>
  <c r="AD99" i="8"/>
  <c r="AH99" i="8"/>
  <c r="E97" i="8"/>
  <c r="I97" i="8"/>
  <c r="M97" i="8"/>
  <c r="Q97" i="8"/>
  <c r="U97" i="8"/>
  <c r="Y97" i="8"/>
  <c r="G97" i="8"/>
  <c r="L97" i="8"/>
  <c r="R97" i="8"/>
  <c r="W97" i="8"/>
  <c r="AB97" i="8"/>
  <c r="AF97" i="8"/>
  <c r="AF114" i="8"/>
  <c r="AB114" i="8"/>
  <c r="X114" i="8"/>
  <c r="T114" i="8"/>
  <c r="P114" i="8"/>
  <c r="L114" i="8"/>
  <c r="AF101" i="8"/>
  <c r="AB101" i="8"/>
  <c r="X101" i="8"/>
  <c r="T101" i="8"/>
  <c r="P101" i="8"/>
  <c r="L101" i="8"/>
  <c r="AG96" i="8"/>
  <c r="AB96" i="8"/>
  <c r="W96" i="8"/>
  <c r="Q96" i="8"/>
  <c r="L96" i="8"/>
  <c r="AH85" i="8"/>
  <c r="AC85" i="8"/>
  <c r="W85" i="8"/>
  <c r="R85" i="8"/>
  <c r="M85" i="8"/>
  <c r="AH84" i="8"/>
  <c r="AB84" i="8"/>
  <c r="W84" i="8"/>
  <c r="R84" i="8"/>
  <c r="L84" i="8"/>
  <c r="AG83" i="8"/>
  <c r="AB83" i="8"/>
  <c r="W83" i="8"/>
  <c r="Q83" i="8"/>
  <c r="L83" i="8"/>
  <c r="AH72" i="8"/>
  <c r="AB72" i="8"/>
  <c r="W72" i="8"/>
  <c r="R72" i="8"/>
  <c r="L72" i="8"/>
  <c r="AG71" i="8"/>
  <c r="AB71" i="8"/>
  <c r="W71" i="8"/>
  <c r="Q71" i="8"/>
  <c r="L71" i="8"/>
  <c r="AH69" i="8"/>
  <c r="AC69" i="8"/>
  <c r="W69" i="8"/>
  <c r="R69" i="8"/>
  <c r="M69" i="8"/>
  <c r="AH68" i="8"/>
  <c r="AB68" i="8"/>
  <c r="W68" i="8"/>
  <c r="R68" i="8"/>
  <c r="L68" i="8"/>
  <c r="F96" i="8"/>
  <c r="J96" i="8"/>
  <c r="N96" i="8"/>
  <c r="R96" i="8"/>
  <c r="V96" i="8"/>
  <c r="Z96" i="8"/>
  <c r="AD96" i="8"/>
  <c r="AH96" i="8"/>
  <c r="H85" i="8"/>
  <c r="L85" i="8"/>
  <c r="P85" i="8"/>
  <c r="T85" i="8"/>
  <c r="X85" i="8"/>
  <c r="AB85" i="8"/>
  <c r="AF85" i="8"/>
  <c r="E84" i="8"/>
  <c r="I84" i="8"/>
  <c r="M84" i="8"/>
  <c r="Q84" i="8"/>
  <c r="U84" i="8"/>
  <c r="Y84" i="8"/>
  <c r="AC84" i="8"/>
  <c r="AG84" i="8"/>
  <c r="F83" i="8"/>
  <c r="J83" i="8"/>
  <c r="N83" i="8"/>
  <c r="R83" i="8"/>
  <c r="V83" i="8"/>
  <c r="Z83" i="8"/>
  <c r="AD83" i="8"/>
  <c r="AH83" i="8"/>
  <c r="E72" i="8"/>
  <c r="I72" i="8"/>
  <c r="M72" i="8"/>
  <c r="Q72" i="8"/>
  <c r="U72" i="8"/>
  <c r="Y72" i="8"/>
  <c r="AC72" i="8"/>
  <c r="AG72" i="8"/>
  <c r="F71" i="8"/>
  <c r="J71" i="8"/>
  <c r="N71" i="8"/>
  <c r="R71" i="8"/>
  <c r="V71" i="8"/>
  <c r="Z71" i="8"/>
  <c r="AD71" i="8"/>
  <c r="AH71" i="8"/>
  <c r="H69" i="8"/>
  <c r="L69" i="8"/>
  <c r="P69" i="8"/>
  <c r="T69" i="8"/>
  <c r="X69" i="8"/>
  <c r="AB69" i="8"/>
  <c r="AF69" i="8"/>
  <c r="E68" i="8"/>
  <c r="I68" i="8"/>
  <c r="M68" i="8"/>
  <c r="Q68" i="8"/>
  <c r="U68" i="8"/>
  <c r="Y68" i="8"/>
  <c r="AC68" i="8"/>
  <c r="AG68" i="8"/>
  <c r="AH65" i="8"/>
  <c r="AD65" i="8"/>
  <c r="Z65" i="8"/>
  <c r="V65" i="8"/>
  <c r="R65" i="8"/>
  <c r="N65" i="8"/>
  <c r="J65" i="8"/>
  <c r="F65" i="8"/>
  <c r="E61" i="8"/>
  <c r="I61" i="8"/>
  <c r="M61" i="8"/>
  <c r="Q61" i="8"/>
  <c r="U61" i="8"/>
  <c r="Y61" i="8"/>
  <c r="AC61" i="8"/>
  <c r="AG61" i="8"/>
  <c r="F60" i="8"/>
  <c r="J60" i="8"/>
  <c r="N60" i="8"/>
  <c r="R60" i="8"/>
  <c r="V60" i="8"/>
  <c r="Z60" i="8"/>
  <c r="AD60" i="8"/>
  <c r="AH60" i="8"/>
  <c r="AG65" i="8"/>
  <c r="AC65" i="8"/>
  <c r="Y65" i="8"/>
  <c r="U65" i="8"/>
  <c r="Q65" i="8"/>
  <c r="M65" i="8"/>
  <c r="I65" i="8"/>
  <c r="E65" i="8"/>
  <c r="J64" i="8"/>
  <c r="F64" i="8"/>
  <c r="E48" i="8"/>
  <c r="I48" i="8"/>
  <c r="M48" i="8"/>
  <c r="Q48" i="8"/>
  <c r="U48" i="8"/>
  <c r="Y48" i="8"/>
  <c r="AC48" i="8"/>
  <c r="AG48" i="8"/>
  <c r="F48" i="8"/>
  <c r="J48" i="8"/>
  <c r="N48" i="8"/>
  <c r="R48" i="8"/>
  <c r="V48" i="8"/>
  <c r="Z48" i="8"/>
  <c r="AD48" i="8"/>
  <c r="AH48" i="8"/>
  <c r="AH67" i="8"/>
  <c r="AD67" i="8"/>
  <c r="Z67" i="8"/>
  <c r="V67" i="8"/>
  <c r="R67" i="8"/>
  <c r="N67" i="8"/>
  <c r="J67" i="8"/>
  <c r="AF65" i="8"/>
  <c r="AB65" i="8"/>
  <c r="X65" i="8"/>
  <c r="T65" i="8"/>
  <c r="P65" i="8"/>
  <c r="L65" i="8"/>
  <c r="AG64" i="8"/>
  <c r="AC64" i="8"/>
  <c r="Y64" i="8"/>
  <c r="U64" i="8"/>
  <c r="Q64" i="8"/>
  <c r="M64" i="8"/>
  <c r="I64" i="8"/>
  <c r="AH63" i="8"/>
  <c r="AD63" i="8"/>
  <c r="Z63" i="8"/>
  <c r="V63" i="8"/>
  <c r="R63" i="8"/>
  <c r="N63" i="8"/>
  <c r="J63" i="8"/>
  <c r="AI62" i="8"/>
  <c r="AE62" i="8"/>
  <c r="AA62" i="8"/>
  <c r="W62" i="8"/>
  <c r="S62" i="8"/>
  <c r="O62" i="8"/>
  <c r="K62" i="8"/>
  <c r="F62" i="8"/>
  <c r="AF61" i="8"/>
  <c r="AA61" i="8"/>
  <c r="V61" i="8"/>
  <c r="P61" i="8"/>
  <c r="K61" i="8"/>
  <c r="F61" i="8"/>
  <c r="AF60" i="8"/>
  <c r="AA60" i="8"/>
  <c r="U60" i="8"/>
  <c r="P60" i="8"/>
  <c r="K60" i="8"/>
  <c r="E60" i="8"/>
  <c r="H49" i="8"/>
  <c r="L49" i="8"/>
  <c r="P49" i="8"/>
  <c r="T49" i="8"/>
  <c r="X49" i="8"/>
  <c r="AB49" i="8"/>
  <c r="AF49" i="8"/>
  <c r="E49" i="8"/>
  <c r="I49" i="8"/>
  <c r="M49" i="8"/>
  <c r="Q49" i="8"/>
  <c r="U49" i="8"/>
  <c r="Y49" i="8"/>
  <c r="AC49" i="8"/>
  <c r="AG49" i="8"/>
  <c r="AF48" i="8"/>
  <c r="X48" i="8"/>
  <c r="P48" i="8"/>
  <c r="H48" i="8"/>
  <c r="H46" i="8"/>
  <c r="L46" i="8"/>
  <c r="P46" i="8"/>
  <c r="T46" i="8"/>
  <c r="X46" i="8"/>
  <c r="AB46" i="8"/>
  <c r="E45" i="8"/>
  <c r="I45" i="8"/>
  <c r="M45" i="8"/>
  <c r="Q45" i="8"/>
  <c r="U45" i="8"/>
  <c r="Y45" i="8"/>
  <c r="AC45" i="8"/>
  <c r="AG45" i="8"/>
  <c r="H42" i="8"/>
  <c r="L42" i="8"/>
  <c r="P42" i="8"/>
  <c r="T42" i="8"/>
  <c r="X42" i="8"/>
  <c r="AB42" i="8"/>
  <c r="AF42" i="8"/>
  <c r="E42" i="8"/>
  <c r="I42" i="8"/>
  <c r="M42" i="8"/>
  <c r="Q42" i="8"/>
  <c r="U42" i="8"/>
  <c r="Y42" i="8"/>
  <c r="AC42" i="8"/>
  <c r="AG42" i="8"/>
  <c r="F42" i="8"/>
  <c r="H38" i="8"/>
  <c r="L38" i="8"/>
  <c r="P38" i="8"/>
  <c r="T38" i="8"/>
  <c r="X38" i="8"/>
  <c r="AB38" i="8"/>
  <c r="AF38" i="8"/>
  <c r="E38" i="8"/>
  <c r="I38" i="8"/>
  <c r="M38" i="8"/>
  <c r="Q38" i="8"/>
  <c r="U38" i="8"/>
  <c r="Y38" i="8"/>
  <c r="AC38" i="8"/>
  <c r="AG38" i="8"/>
  <c r="F38" i="8"/>
  <c r="J38" i="8"/>
  <c r="N38" i="8"/>
  <c r="R38" i="8"/>
  <c r="V38" i="8"/>
  <c r="Z38" i="8"/>
  <c r="AD38" i="8"/>
  <c r="AH38" i="8"/>
  <c r="AJ26" i="8"/>
  <c r="L26" i="16" s="1"/>
  <c r="T50" i="8"/>
  <c r="P50" i="8"/>
  <c r="L50" i="8"/>
  <c r="AF46" i="8"/>
  <c r="AA46" i="8"/>
  <c r="V46" i="8"/>
  <c r="Q46" i="8"/>
  <c r="K46" i="8"/>
  <c r="F46" i="8"/>
  <c r="AF45" i="8"/>
  <c r="AA45" i="8"/>
  <c r="V45" i="8"/>
  <c r="P45" i="8"/>
  <c r="K45" i="8"/>
  <c r="F45" i="8"/>
  <c r="AI42" i="8"/>
  <c r="AA42" i="8"/>
  <c r="S42" i="8"/>
  <c r="K42" i="8"/>
  <c r="AE38" i="8"/>
  <c r="O38" i="8"/>
  <c r="AI46" i="8"/>
  <c r="AE46" i="8"/>
  <c r="Z46" i="8"/>
  <c r="U46" i="8"/>
  <c r="O46" i="8"/>
  <c r="J46" i="8"/>
  <c r="E46" i="8"/>
  <c r="AE45" i="8"/>
  <c r="Z45" i="8"/>
  <c r="T45" i="8"/>
  <c r="O45" i="8"/>
  <c r="J45" i="8"/>
  <c r="AH42" i="8"/>
  <c r="Z42" i="8"/>
  <c r="R42" i="8"/>
  <c r="J42" i="8"/>
  <c r="AJ25" i="8"/>
  <c r="L25" i="16" s="1"/>
  <c r="AH41" i="8"/>
  <c r="AD41" i="8"/>
  <c r="Z41" i="8"/>
  <c r="V41" i="8"/>
  <c r="R41" i="8"/>
  <c r="N41" i="8"/>
  <c r="J41" i="8"/>
  <c r="F41" i="8"/>
  <c r="AH44" i="8"/>
  <c r="AD44" i="8"/>
  <c r="Z44" i="8"/>
  <c r="V44" i="8"/>
  <c r="R44" i="8"/>
  <c r="N44" i="8"/>
  <c r="J44" i="8"/>
  <c r="AG41" i="8"/>
  <c r="AC41" i="8"/>
  <c r="Y41" i="8"/>
  <c r="U41" i="8"/>
  <c r="Q41" i="8"/>
  <c r="M41" i="8"/>
  <c r="I41" i="8"/>
  <c r="R40" i="8"/>
  <c r="N40" i="8"/>
  <c r="J40" i="8"/>
  <c r="I37" i="8"/>
  <c r="H158" i="7"/>
  <c r="L158" i="7"/>
  <c r="P158" i="7"/>
  <c r="T158" i="7"/>
  <c r="X158" i="7"/>
  <c r="AB158" i="7"/>
  <c r="AF158" i="7"/>
  <c r="E157" i="7"/>
  <c r="I157" i="7"/>
  <c r="M157" i="7"/>
  <c r="Q157" i="7"/>
  <c r="U157" i="7"/>
  <c r="Y157" i="7"/>
  <c r="AC157" i="7"/>
  <c r="AG157" i="7"/>
  <c r="F156" i="7"/>
  <c r="J156" i="7"/>
  <c r="N156" i="7"/>
  <c r="R156" i="7"/>
  <c r="V156" i="7"/>
  <c r="Z156" i="7"/>
  <c r="AD156" i="7"/>
  <c r="AH156" i="7"/>
  <c r="H154" i="7"/>
  <c r="L154" i="7"/>
  <c r="P154" i="7"/>
  <c r="T154" i="7"/>
  <c r="X154" i="7"/>
  <c r="AB154" i="7"/>
  <c r="AF154" i="7"/>
  <c r="H141" i="7"/>
  <c r="L141" i="7"/>
  <c r="P141" i="7"/>
  <c r="T141" i="7"/>
  <c r="X141" i="7"/>
  <c r="AB141" i="7"/>
  <c r="AF141" i="7"/>
  <c r="E141" i="7"/>
  <c r="I141" i="7"/>
  <c r="M141" i="7"/>
  <c r="Q141" i="7"/>
  <c r="U141" i="7"/>
  <c r="Y141" i="7"/>
  <c r="AC141" i="7"/>
  <c r="AG141" i="7"/>
  <c r="H84" i="7"/>
  <c r="L84" i="7"/>
  <c r="P84" i="7"/>
  <c r="T84" i="7"/>
  <c r="X84" i="7"/>
  <c r="AB84" i="7"/>
  <c r="AF84" i="7"/>
  <c r="E84" i="7"/>
  <c r="I84" i="7"/>
  <c r="M84" i="7"/>
  <c r="Q84" i="7"/>
  <c r="U84" i="7"/>
  <c r="Y84" i="7"/>
  <c r="AC84" i="7"/>
  <c r="AG84" i="7"/>
  <c r="F84" i="7"/>
  <c r="J84" i="7"/>
  <c r="N84" i="7"/>
  <c r="R84" i="7"/>
  <c r="V84" i="7"/>
  <c r="Z84" i="7"/>
  <c r="AD84" i="7"/>
  <c r="AH84" i="7"/>
  <c r="G84" i="7"/>
  <c r="W84" i="7"/>
  <c r="K84" i="7"/>
  <c r="AA84" i="7"/>
  <c r="O84" i="7"/>
  <c r="AE84" i="7"/>
  <c r="H72" i="7"/>
  <c r="L72" i="7"/>
  <c r="P72" i="7"/>
  <c r="T72" i="7"/>
  <c r="X72" i="7"/>
  <c r="AB72" i="7"/>
  <c r="AF72" i="7"/>
  <c r="E72" i="7"/>
  <c r="I72" i="7"/>
  <c r="M72" i="7"/>
  <c r="Q72" i="7"/>
  <c r="U72" i="7"/>
  <c r="Y72" i="7"/>
  <c r="AC72" i="7"/>
  <c r="AG72" i="7"/>
  <c r="F72" i="7"/>
  <c r="J72" i="7"/>
  <c r="N72" i="7"/>
  <c r="R72" i="7"/>
  <c r="V72" i="7"/>
  <c r="Z72" i="7"/>
  <c r="AD72" i="7"/>
  <c r="AH72" i="7"/>
  <c r="G72" i="7"/>
  <c r="W72" i="7"/>
  <c r="K72" i="7"/>
  <c r="AA72" i="7"/>
  <c r="O72" i="7"/>
  <c r="AE72" i="7"/>
  <c r="AF213" i="7"/>
  <c r="AB213" i="7"/>
  <c r="X213" i="7"/>
  <c r="T213" i="7"/>
  <c r="P213" i="7"/>
  <c r="L213" i="7"/>
  <c r="AG212" i="7"/>
  <c r="AC212" i="7"/>
  <c r="Y212" i="7"/>
  <c r="U212" i="7"/>
  <c r="Q212" i="7"/>
  <c r="M212" i="7"/>
  <c r="I212" i="7"/>
  <c r="E212" i="7"/>
  <c r="AH211" i="7"/>
  <c r="AD211" i="7"/>
  <c r="Z211" i="7"/>
  <c r="V211" i="7"/>
  <c r="R211" i="7"/>
  <c r="N211" i="7"/>
  <c r="J211" i="7"/>
  <c r="F211" i="7"/>
  <c r="AF209" i="7"/>
  <c r="AB209" i="7"/>
  <c r="X209" i="7"/>
  <c r="T209" i="7"/>
  <c r="P209" i="7"/>
  <c r="L209" i="7"/>
  <c r="AG208" i="7"/>
  <c r="AC208" i="7"/>
  <c r="Y208" i="7"/>
  <c r="U208" i="7"/>
  <c r="Q208" i="7"/>
  <c r="M208" i="7"/>
  <c r="I208" i="7"/>
  <c r="E208" i="7"/>
  <c r="AH207" i="7"/>
  <c r="AD207" i="7"/>
  <c r="Z207" i="7"/>
  <c r="V207" i="7"/>
  <c r="R207" i="7"/>
  <c r="N207" i="7"/>
  <c r="J207" i="7"/>
  <c r="F207" i="7"/>
  <c r="AF196" i="7"/>
  <c r="AB196" i="7"/>
  <c r="X196" i="7"/>
  <c r="T196" i="7"/>
  <c r="P196" i="7"/>
  <c r="L196" i="7"/>
  <c r="AG195" i="7"/>
  <c r="AC195" i="7"/>
  <c r="Y195" i="7"/>
  <c r="U195" i="7"/>
  <c r="Q195" i="7"/>
  <c r="M195" i="7"/>
  <c r="I195" i="7"/>
  <c r="E195" i="7"/>
  <c r="AH194" i="7"/>
  <c r="AD194" i="7"/>
  <c r="Z194" i="7"/>
  <c r="V194" i="7"/>
  <c r="R194" i="7"/>
  <c r="N194" i="7"/>
  <c r="J194" i="7"/>
  <c r="F194" i="7"/>
  <c r="AF192" i="7"/>
  <c r="AB192" i="7"/>
  <c r="X192" i="7"/>
  <c r="T192" i="7"/>
  <c r="P192" i="7"/>
  <c r="L192" i="7"/>
  <c r="AG191" i="7"/>
  <c r="AC191" i="7"/>
  <c r="Y191" i="7"/>
  <c r="U191" i="7"/>
  <c r="Q191" i="7"/>
  <c r="M191" i="7"/>
  <c r="I191" i="7"/>
  <c r="E191" i="7"/>
  <c r="AH190" i="7"/>
  <c r="AD190" i="7"/>
  <c r="Z190" i="7"/>
  <c r="V190" i="7"/>
  <c r="R190" i="7"/>
  <c r="N190" i="7"/>
  <c r="J190" i="7"/>
  <c r="F190" i="7"/>
  <c r="AF188" i="7"/>
  <c r="AB188" i="7"/>
  <c r="X188" i="7"/>
  <c r="T188" i="7"/>
  <c r="P188" i="7"/>
  <c r="L188" i="7"/>
  <c r="AG187" i="7"/>
  <c r="AC187" i="7"/>
  <c r="Y187" i="7"/>
  <c r="U187" i="7"/>
  <c r="Q187" i="7"/>
  <c r="M187" i="7"/>
  <c r="I187" i="7"/>
  <c r="E187" i="7"/>
  <c r="AH177" i="7"/>
  <c r="AD177" i="7"/>
  <c r="Z177" i="7"/>
  <c r="V177" i="7"/>
  <c r="R177" i="7"/>
  <c r="N177" i="7"/>
  <c r="J177" i="7"/>
  <c r="F177" i="7"/>
  <c r="H175" i="7"/>
  <c r="L175" i="7"/>
  <c r="P175" i="7"/>
  <c r="T175" i="7"/>
  <c r="X175" i="7"/>
  <c r="AB175" i="7"/>
  <c r="AF175" i="7"/>
  <c r="E174" i="7"/>
  <c r="I174" i="7"/>
  <c r="M174" i="7"/>
  <c r="Q174" i="7"/>
  <c r="U174" i="7"/>
  <c r="Y174" i="7"/>
  <c r="AC174" i="7"/>
  <c r="AG174" i="7"/>
  <c r="F173" i="7"/>
  <c r="J173" i="7"/>
  <c r="N173" i="7"/>
  <c r="R173" i="7"/>
  <c r="V173" i="7"/>
  <c r="Z173" i="7"/>
  <c r="AD173" i="7"/>
  <c r="AH173" i="7"/>
  <c r="H171" i="7"/>
  <c r="L171" i="7"/>
  <c r="P171" i="7"/>
  <c r="T171" i="7"/>
  <c r="X171" i="7"/>
  <c r="AB171" i="7"/>
  <c r="AF171" i="7"/>
  <c r="E170" i="7"/>
  <c r="I170" i="7"/>
  <c r="M170" i="7"/>
  <c r="Q170" i="7"/>
  <c r="U170" i="7"/>
  <c r="Y170" i="7"/>
  <c r="AC170" i="7"/>
  <c r="AG170" i="7"/>
  <c r="F169" i="7"/>
  <c r="J169" i="7"/>
  <c r="N169" i="7"/>
  <c r="R169" i="7"/>
  <c r="V169" i="7"/>
  <c r="Z169" i="7"/>
  <c r="AD169" i="7"/>
  <c r="AH169" i="7"/>
  <c r="AH158" i="7"/>
  <c r="AC158" i="7"/>
  <c r="W158" i="7"/>
  <c r="R158" i="7"/>
  <c r="M158" i="7"/>
  <c r="G158" i="7"/>
  <c r="AH157" i="7"/>
  <c r="AB157" i="7"/>
  <c r="W157" i="7"/>
  <c r="R157" i="7"/>
  <c r="L157" i="7"/>
  <c r="G157" i="7"/>
  <c r="AG156" i="7"/>
  <c r="AB156" i="7"/>
  <c r="W156" i="7"/>
  <c r="Q156" i="7"/>
  <c r="L156" i="7"/>
  <c r="G156" i="7"/>
  <c r="AH154" i="7"/>
  <c r="AC154" i="7"/>
  <c r="W154" i="7"/>
  <c r="R154" i="7"/>
  <c r="M154" i="7"/>
  <c r="G154" i="7"/>
  <c r="AH153" i="7"/>
  <c r="AB153" i="7"/>
  <c r="T153" i="7"/>
  <c r="AH141" i="7"/>
  <c r="Z141" i="7"/>
  <c r="R141" i="7"/>
  <c r="J141" i="7"/>
  <c r="AE140" i="7"/>
  <c r="W140" i="7"/>
  <c r="O140" i="7"/>
  <c r="AB136" i="7"/>
  <c r="T136" i="7"/>
  <c r="W119" i="7"/>
  <c r="AA115" i="7"/>
  <c r="G177" i="7"/>
  <c r="AF212" i="7"/>
  <c r="AB212" i="7"/>
  <c r="X212" i="7"/>
  <c r="T212" i="7"/>
  <c r="P212" i="7"/>
  <c r="L212" i="7"/>
  <c r="AG211" i="7"/>
  <c r="AC211" i="7"/>
  <c r="Y211" i="7"/>
  <c r="U211" i="7"/>
  <c r="Q211" i="7"/>
  <c r="M211" i="7"/>
  <c r="I211" i="7"/>
  <c r="E211" i="7"/>
  <c r="AF208" i="7"/>
  <c r="AB208" i="7"/>
  <c r="X208" i="7"/>
  <c r="T208" i="7"/>
  <c r="P208" i="7"/>
  <c r="L208" i="7"/>
  <c r="AG207" i="7"/>
  <c r="AC207" i="7"/>
  <c r="Y207" i="7"/>
  <c r="U207" i="7"/>
  <c r="Q207" i="7"/>
  <c r="M207" i="7"/>
  <c r="I207" i="7"/>
  <c r="E207" i="7"/>
  <c r="AF195" i="7"/>
  <c r="AB195" i="7"/>
  <c r="X195" i="7"/>
  <c r="T195" i="7"/>
  <c r="P195" i="7"/>
  <c r="L195" i="7"/>
  <c r="AG194" i="7"/>
  <c r="AC194" i="7"/>
  <c r="Y194" i="7"/>
  <c r="U194" i="7"/>
  <c r="Q194" i="7"/>
  <c r="M194" i="7"/>
  <c r="I194" i="7"/>
  <c r="E194" i="7"/>
  <c r="AF191" i="7"/>
  <c r="AB191" i="7"/>
  <c r="X191" i="7"/>
  <c r="T191" i="7"/>
  <c r="P191" i="7"/>
  <c r="L191" i="7"/>
  <c r="AG190" i="7"/>
  <c r="AC190" i="7"/>
  <c r="Y190" i="7"/>
  <c r="U190" i="7"/>
  <c r="Q190" i="7"/>
  <c r="M190" i="7"/>
  <c r="I190" i="7"/>
  <c r="E190" i="7"/>
  <c r="AF187" i="7"/>
  <c r="AB187" i="7"/>
  <c r="X187" i="7"/>
  <c r="T187" i="7"/>
  <c r="P187" i="7"/>
  <c r="L187" i="7"/>
  <c r="AG177" i="7"/>
  <c r="AC177" i="7"/>
  <c r="Y177" i="7"/>
  <c r="U177" i="7"/>
  <c r="Q177" i="7"/>
  <c r="M177" i="7"/>
  <c r="I177" i="7"/>
  <c r="E177" i="7"/>
  <c r="AG158" i="7"/>
  <c r="AA158" i="7"/>
  <c r="V158" i="7"/>
  <c r="Q158" i="7"/>
  <c r="K158" i="7"/>
  <c r="F158" i="7"/>
  <c r="AF157" i="7"/>
  <c r="AA157" i="7"/>
  <c r="V157" i="7"/>
  <c r="P157" i="7"/>
  <c r="K157" i="7"/>
  <c r="F157" i="7"/>
  <c r="AF156" i="7"/>
  <c r="AA156" i="7"/>
  <c r="U156" i="7"/>
  <c r="P156" i="7"/>
  <c r="K156" i="7"/>
  <c r="E156" i="7"/>
  <c r="AG154" i="7"/>
  <c r="AA154" i="7"/>
  <c r="V154" i="7"/>
  <c r="Q154" i="7"/>
  <c r="K154" i="7"/>
  <c r="F154" i="7"/>
  <c r="E153" i="7"/>
  <c r="I153" i="7"/>
  <c r="M153" i="7"/>
  <c r="Q153" i="7"/>
  <c r="U153" i="7"/>
  <c r="Y153" i="7"/>
  <c r="AC153" i="7"/>
  <c r="AG153" i="7"/>
  <c r="F153" i="7"/>
  <c r="J153" i="7"/>
  <c r="N153" i="7"/>
  <c r="R153" i="7"/>
  <c r="V153" i="7"/>
  <c r="Z153" i="7"/>
  <c r="AJ151" i="7"/>
  <c r="M151" i="16" s="1"/>
  <c r="AE141" i="7"/>
  <c r="W141" i="7"/>
  <c r="O141" i="7"/>
  <c r="G141" i="7"/>
  <c r="E136" i="7"/>
  <c r="I136" i="7"/>
  <c r="M136" i="7"/>
  <c r="Q136" i="7"/>
  <c r="U136" i="7"/>
  <c r="Y136" i="7"/>
  <c r="AC136" i="7"/>
  <c r="AG136" i="7"/>
  <c r="F136" i="7"/>
  <c r="J136" i="7"/>
  <c r="N136" i="7"/>
  <c r="R136" i="7"/>
  <c r="V136" i="7"/>
  <c r="Z136" i="7"/>
  <c r="AD136" i="7"/>
  <c r="AH136" i="7"/>
  <c r="H119" i="7"/>
  <c r="L119" i="7"/>
  <c r="P119" i="7"/>
  <c r="T119" i="7"/>
  <c r="X119" i="7"/>
  <c r="AB119" i="7"/>
  <c r="AF119" i="7"/>
  <c r="E119" i="7"/>
  <c r="I119" i="7"/>
  <c r="M119" i="7"/>
  <c r="Q119" i="7"/>
  <c r="U119" i="7"/>
  <c r="Y119" i="7"/>
  <c r="AC119" i="7"/>
  <c r="AG119" i="7"/>
  <c r="F119" i="7"/>
  <c r="J119" i="7"/>
  <c r="N119" i="7"/>
  <c r="R119" i="7"/>
  <c r="V119" i="7"/>
  <c r="Z119" i="7"/>
  <c r="AD119" i="7"/>
  <c r="AH119" i="7"/>
  <c r="AJ117" i="7"/>
  <c r="M117" i="16" s="1"/>
  <c r="AI84" i="7"/>
  <c r="AI72" i="7"/>
  <c r="H62" i="7"/>
  <c r="L62" i="7"/>
  <c r="P62" i="7"/>
  <c r="T62" i="7"/>
  <c r="X62" i="7"/>
  <c r="AB62" i="7"/>
  <c r="AF62" i="7"/>
  <c r="F62" i="7"/>
  <c r="K62" i="7"/>
  <c r="Q62" i="7"/>
  <c r="V62" i="7"/>
  <c r="AA62" i="7"/>
  <c r="AG62" i="7"/>
  <c r="G62" i="7"/>
  <c r="M62" i="7"/>
  <c r="R62" i="7"/>
  <c r="W62" i="7"/>
  <c r="AC62" i="7"/>
  <c r="AH62" i="7"/>
  <c r="E62" i="7"/>
  <c r="O62" i="7"/>
  <c r="Z62" i="7"/>
  <c r="I62" i="7"/>
  <c r="S62" i="7"/>
  <c r="AD62" i="7"/>
  <c r="J62" i="7"/>
  <c r="U62" i="7"/>
  <c r="AE62" i="7"/>
  <c r="N62" i="7"/>
  <c r="Y62" i="7"/>
  <c r="AI62" i="7"/>
  <c r="AF211" i="7"/>
  <c r="AB211" i="7"/>
  <c r="X211" i="7"/>
  <c r="T211" i="7"/>
  <c r="P211" i="7"/>
  <c r="L211" i="7"/>
  <c r="AF207" i="7"/>
  <c r="AB207" i="7"/>
  <c r="X207" i="7"/>
  <c r="T207" i="7"/>
  <c r="P207" i="7"/>
  <c r="L207" i="7"/>
  <c r="AF194" i="7"/>
  <c r="AB194" i="7"/>
  <c r="X194" i="7"/>
  <c r="T194" i="7"/>
  <c r="P194" i="7"/>
  <c r="L194" i="7"/>
  <c r="AF190" i="7"/>
  <c r="AB190" i="7"/>
  <c r="X190" i="7"/>
  <c r="T190" i="7"/>
  <c r="P190" i="7"/>
  <c r="L190" i="7"/>
  <c r="AF177" i="7"/>
  <c r="AB177" i="7"/>
  <c r="X177" i="7"/>
  <c r="T177" i="7"/>
  <c r="P177" i="7"/>
  <c r="L177" i="7"/>
  <c r="AE158" i="7"/>
  <c r="Z158" i="7"/>
  <c r="U158" i="7"/>
  <c r="O158" i="7"/>
  <c r="J158" i="7"/>
  <c r="E158" i="7"/>
  <c r="AE157" i="7"/>
  <c r="Z157" i="7"/>
  <c r="T157" i="7"/>
  <c r="O157" i="7"/>
  <c r="J157" i="7"/>
  <c r="AE156" i="7"/>
  <c r="Y156" i="7"/>
  <c r="T156" i="7"/>
  <c r="O156" i="7"/>
  <c r="I156" i="7"/>
  <c r="AE154" i="7"/>
  <c r="Z154" i="7"/>
  <c r="U154" i="7"/>
  <c r="O154" i="7"/>
  <c r="J154" i="7"/>
  <c r="E154" i="7"/>
  <c r="AE153" i="7"/>
  <c r="X153" i="7"/>
  <c r="P153" i="7"/>
  <c r="H153" i="7"/>
  <c r="AD141" i="7"/>
  <c r="V141" i="7"/>
  <c r="N141" i="7"/>
  <c r="F141" i="7"/>
  <c r="E140" i="7"/>
  <c r="I140" i="7"/>
  <c r="M140" i="7"/>
  <c r="Q140" i="7"/>
  <c r="U140" i="7"/>
  <c r="Y140" i="7"/>
  <c r="AC140" i="7"/>
  <c r="AG140" i="7"/>
  <c r="F140" i="7"/>
  <c r="J140" i="7"/>
  <c r="N140" i="7"/>
  <c r="R140" i="7"/>
  <c r="V140" i="7"/>
  <c r="Z140" i="7"/>
  <c r="AD140" i="7"/>
  <c r="AH140" i="7"/>
  <c r="H137" i="7"/>
  <c r="L137" i="7"/>
  <c r="P137" i="7"/>
  <c r="T137" i="7"/>
  <c r="X137" i="7"/>
  <c r="AB137" i="7"/>
  <c r="AF137" i="7"/>
  <c r="E137" i="7"/>
  <c r="I137" i="7"/>
  <c r="M137" i="7"/>
  <c r="Q137" i="7"/>
  <c r="U137" i="7"/>
  <c r="Y137" i="7"/>
  <c r="AC137" i="7"/>
  <c r="AG137" i="7"/>
  <c r="AF136" i="7"/>
  <c r="X136" i="7"/>
  <c r="P136" i="7"/>
  <c r="H136" i="7"/>
  <c r="H132" i="7"/>
  <c r="L132" i="7"/>
  <c r="P132" i="7"/>
  <c r="T132" i="7"/>
  <c r="X132" i="7"/>
  <c r="AB132" i="7"/>
  <c r="AF132" i="7"/>
  <c r="E132" i="7"/>
  <c r="I132" i="7"/>
  <c r="M132" i="7"/>
  <c r="Q132" i="7"/>
  <c r="U132" i="7"/>
  <c r="Y132" i="7"/>
  <c r="AC132" i="7"/>
  <c r="AG132" i="7"/>
  <c r="F132" i="7"/>
  <c r="J132" i="7"/>
  <c r="N132" i="7"/>
  <c r="R132" i="7"/>
  <c r="V132" i="7"/>
  <c r="Z132" i="7"/>
  <c r="AD132" i="7"/>
  <c r="AH132" i="7"/>
  <c r="AE119" i="7"/>
  <c r="O119" i="7"/>
  <c r="H115" i="7"/>
  <c r="L115" i="7"/>
  <c r="P115" i="7"/>
  <c r="T115" i="7"/>
  <c r="X115" i="7"/>
  <c r="AB115" i="7"/>
  <c r="AF115" i="7"/>
  <c r="E115" i="7"/>
  <c r="I115" i="7"/>
  <c r="M115" i="7"/>
  <c r="Q115" i="7"/>
  <c r="U115" i="7"/>
  <c r="Y115" i="7"/>
  <c r="AC115" i="7"/>
  <c r="AG115" i="7"/>
  <c r="F115" i="7"/>
  <c r="J115" i="7"/>
  <c r="N115" i="7"/>
  <c r="R115" i="7"/>
  <c r="V115" i="7"/>
  <c r="Z115" i="7"/>
  <c r="AD115" i="7"/>
  <c r="AH115" i="7"/>
  <c r="E96" i="7"/>
  <c r="I96" i="7"/>
  <c r="M96" i="7"/>
  <c r="Q96" i="7"/>
  <c r="U96" i="7"/>
  <c r="Y96" i="7"/>
  <c r="AC96" i="7"/>
  <c r="AG96" i="7"/>
  <c r="F96" i="7"/>
  <c r="J96" i="7"/>
  <c r="N96" i="7"/>
  <c r="R96" i="7"/>
  <c r="V96" i="7"/>
  <c r="Z96" i="7"/>
  <c r="AD96" i="7"/>
  <c r="AH96" i="7"/>
  <c r="L96" i="7"/>
  <c r="T96" i="7"/>
  <c r="AB96" i="7"/>
  <c r="G96" i="7"/>
  <c r="O96" i="7"/>
  <c r="W96" i="7"/>
  <c r="AE96" i="7"/>
  <c r="H96" i="7"/>
  <c r="P96" i="7"/>
  <c r="X96" i="7"/>
  <c r="AF96" i="7"/>
  <c r="S84" i="7"/>
  <c r="S72" i="7"/>
  <c r="AG133" i="7"/>
  <c r="AC133" i="7"/>
  <c r="Y133" i="7"/>
  <c r="U133" i="7"/>
  <c r="Q133" i="7"/>
  <c r="M133" i="7"/>
  <c r="I133" i="7"/>
  <c r="E133" i="7"/>
  <c r="AG120" i="7"/>
  <c r="AC120" i="7"/>
  <c r="Y120" i="7"/>
  <c r="U120" i="7"/>
  <c r="Q120" i="7"/>
  <c r="M120" i="7"/>
  <c r="I120" i="7"/>
  <c r="E120" i="7"/>
  <c r="AG116" i="7"/>
  <c r="AC116" i="7"/>
  <c r="Y116" i="7"/>
  <c r="U116" i="7"/>
  <c r="Q116" i="7"/>
  <c r="M116" i="7"/>
  <c r="I116" i="7"/>
  <c r="E116" i="7"/>
  <c r="H97" i="7"/>
  <c r="L97" i="7"/>
  <c r="P97" i="7"/>
  <c r="T97" i="7"/>
  <c r="X97" i="7"/>
  <c r="AB97" i="7"/>
  <c r="AF97" i="7"/>
  <c r="E97" i="7"/>
  <c r="I97" i="7"/>
  <c r="M97" i="7"/>
  <c r="Q97" i="7"/>
  <c r="U97" i="7"/>
  <c r="Y97" i="7"/>
  <c r="AC97" i="7"/>
  <c r="AG97" i="7"/>
  <c r="AH152" i="7"/>
  <c r="AD152" i="7"/>
  <c r="Z152" i="7"/>
  <c r="V152" i="7"/>
  <c r="R152" i="7"/>
  <c r="N152" i="7"/>
  <c r="J152" i="7"/>
  <c r="AH139" i="7"/>
  <c r="AD139" i="7"/>
  <c r="Z139" i="7"/>
  <c r="V139" i="7"/>
  <c r="R139" i="7"/>
  <c r="N139" i="7"/>
  <c r="J139" i="7"/>
  <c r="AH135" i="7"/>
  <c r="AD135" i="7"/>
  <c r="Z135" i="7"/>
  <c r="V135" i="7"/>
  <c r="R135" i="7"/>
  <c r="N135" i="7"/>
  <c r="J135" i="7"/>
  <c r="AF133" i="7"/>
  <c r="AB133" i="7"/>
  <c r="X133" i="7"/>
  <c r="T133" i="7"/>
  <c r="P133" i="7"/>
  <c r="L133" i="7"/>
  <c r="AH122" i="7"/>
  <c r="AD122" i="7"/>
  <c r="Z122" i="7"/>
  <c r="V122" i="7"/>
  <c r="R122" i="7"/>
  <c r="N122" i="7"/>
  <c r="J122" i="7"/>
  <c r="AF120" i="7"/>
  <c r="AB120" i="7"/>
  <c r="X120" i="7"/>
  <c r="T120" i="7"/>
  <c r="P120" i="7"/>
  <c r="L120" i="7"/>
  <c r="AH118" i="7"/>
  <c r="AD118" i="7"/>
  <c r="Z118" i="7"/>
  <c r="V118" i="7"/>
  <c r="R118" i="7"/>
  <c r="N118" i="7"/>
  <c r="J118" i="7"/>
  <c r="AF116" i="7"/>
  <c r="AB116" i="7"/>
  <c r="X116" i="7"/>
  <c r="T116" i="7"/>
  <c r="P116" i="7"/>
  <c r="L116" i="7"/>
  <c r="E114" i="7"/>
  <c r="I114" i="7"/>
  <c r="M114" i="7"/>
  <c r="Q114" i="7"/>
  <c r="U114" i="7"/>
  <c r="Y114" i="7"/>
  <c r="AC114" i="7"/>
  <c r="F113" i="7"/>
  <c r="J113" i="7"/>
  <c r="N113" i="7"/>
  <c r="R113" i="7"/>
  <c r="V113" i="7"/>
  <c r="Z113" i="7"/>
  <c r="AD113" i="7"/>
  <c r="AH113" i="7"/>
  <c r="H102" i="7"/>
  <c r="L102" i="7"/>
  <c r="P102" i="7"/>
  <c r="T102" i="7"/>
  <c r="X102" i="7"/>
  <c r="AB102" i="7"/>
  <c r="AF102" i="7"/>
  <c r="E101" i="7"/>
  <c r="I101" i="7"/>
  <c r="M101" i="7"/>
  <c r="Q101" i="7"/>
  <c r="U101" i="7"/>
  <c r="Y101" i="7"/>
  <c r="AC101" i="7"/>
  <c r="AG101" i="7"/>
  <c r="F100" i="7"/>
  <c r="J100" i="7"/>
  <c r="N100" i="7"/>
  <c r="R100" i="7"/>
  <c r="V100" i="7"/>
  <c r="Z100" i="7"/>
  <c r="AD100" i="7"/>
  <c r="AH100" i="7"/>
  <c r="AH97" i="7"/>
  <c r="Z97" i="7"/>
  <c r="R97" i="7"/>
  <c r="J97" i="7"/>
  <c r="AF98" i="7"/>
  <c r="AB98" i="7"/>
  <c r="X98" i="7"/>
  <c r="T98" i="7"/>
  <c r="P98" i="7"/>
  <c r="L98" i="7"/>
  <c r="AF85" i="7"/>
  <c r="AB85" i="7"/>
  <c r="X85" i="7"/>
  <c r="T85" i="7"/>
  <c r="P85" i="7"/>
  <c r="L85" i="7"/>
  <c r="AH83" i="7"/>
  <c r="AD83" i="7"/>
  <c r="Z83" i="7"/>
  <c r="V83" i="7"/>
  <c r="R83" i="7"/>
  <c r="N83" i="7"/>
  <c r="J83" i="7"/>
  <c r="F83" i="7"/>
  <c r="AH71" i="7"/>
  <c r="AD71" i="7"/>
  <c r="Z71" i="7"/>
  <c r="V71" i="7"/>
  <c r="R71" i="7"/>
  <c r="N71" i="7"/>
  <c r="J71" i="7"/>
  <c r="F71" i="7"/>
  <c r="AF69" i="7"/>
  <c r="AB69" i="7"/>
  <c r="X69" i="7"/>
  <c r="T69" i="7"/>
  <c r="P69" i="7"/>
  <c r="L69" i="7"/>
  <c r="E68" i="7"/>
  <c r="I68" i="7"/>
  <c r="M68" i="7"/>
  <c r="Q68" i="7"/>
  <c r="U68" i="7"/>
  <c r="Y68" i="7"/>
  <c r="AD65" i="7"/>
  <c r="V65" i="7"/>
  <c r="N65" i="7"/>
  <c r="E64" i="7"/>
  <c r="I64" i="7"/>
  <c r="M64" i="7"/>
  <c r="Q64" i="7"/>
  <c r="U64" i="7"/>
  <c r="Y64" i="7"/>
  <c r="AC64" i="7"/>
  <c r="AG64" i="7"/>
  <c r="F64" i="7"/>
  <c r="J64" i="7"/>
  <c r="N64" i="7"/>
  <c r="R64" i="7"/>
  <c r="V64" i="7"/>
  <c r="Z64" i="7"/>
  <c r="AD64" i="7"/>
  <c r="AH64" i="7"/>
  <c r="AG83" i="7"/>
  <c r="AC83" i="7"/>
  <c r="Y83" i="7"/>
  <c r="U83" i="7"/>
  <c r="Q83" i="7"/>
  <c r="M83" i="7"/>
  <c r="I83" i="7"/>
  <c r="AG71" i="7"/>
  <c r="AC71" i="7"/>
  <c r="Y71" i="7"/>
  <c r="U71" i="7"/>
  <c r="Q71" i="7"/>
  <c r="M71" i="7"/>
  <c r="I71" i="7"/>
  <c r="H65" i="7"/>
  <c r="L65" i="7"/>
  <c r="P65" i="7"/>
  <c r="T65" i="7"/>
  <c r="X65" i="7"/>
  <c r="AB65" i="7"/>
  <c r="AF65" i="7"/>
  <c r="E65" i="7"/>
  <c r="I65" i="7"/>
  <c r="M65" i="7"/>
  <c r="Q65" i="7"/>
  <c r="U65" i="7"/>
  <c r="Y65" i="7"/>
  <c r="AC65" i="7"/>
  <c r="AG65" i="7"/>
  <c r="E61" i="7"/>
  <c r="I61" i="7"/>
  <c r="M61" i="7"/>
  <c r="Q61" i="7"/>
  <c r="U61" i="7"/>
  <c r="Y61" i="7"/>
  <c r="AC61" i="7"/>
  <c r="AG61" i="7"/>
  <c r="F60" i="7"/>
  <c r="J60" i="7"/>
  <c r="N60" i="7"/>
  <c r="R60" i="7"/>
  <c r="V60" i="7"/>
  <c r="Z60" i="7"/>
  <c r="AD60" i="7"/>
  <c r="AH60" i="7"/>
  <c r="H50" i="7"/>
  <c r="L50" i="7"/>
  <c r="P50" i="7"/>
  <c r="T50" i="7"/>
  <c r="X50" i="7"/>
  <c r="AB50" i="7"/>
  <c r="AF50" i="7"/>
  <c r="E49" i="7"/>
  <c r="I49" i="7"/>
  <c r="M49" i="7"/>
  <c r="Q49" i="7"/>
  <c r="U49" i="7"/>
  <c r="Y49" i="7"/>
  <c r="AC49" i="7"/>
  <c r="AG49" i="7"/>
  <c r="F48" i="7"/>
  <c r="J48" i="7"/>
  <c r="N48" i="7"/>
  <c r="R48" i="7"/>
  <c r="V48" i="7"/>
  <c r="Z48" i="7"/>
  <c r="AD48" i="7"/>
  <c r="AH48" i="7"/>
  <c r="AH61" i="7"/>
  <c r="AB61" i="7"/>
  <c r="W61" i="7"/>
  <c r="R61" i="7"/>
  <c r="L61" i="7"/>
  <c r="G61" i="7"/>
  <c r="AG60" i="7"/>
  <c r="AB60" i="7"/>
  <c r="W60" i="7"/>
  <c r="Q60" i="7"/>
  <c r="L60" i="7"/>
  <c r="G60" i="7"/>
  <c r="AH50" i="7"/>
  <c r="AC50" i="7"/>
  <c r="W50" i="7"/>
  <c r="R50" i="7"/>
  <c r="M50" i="7"/>
  <c r="G50" i="7"/>
  <c r="AH49" i="7"/>
  <c r="AB49" i="7"/>
  <c r="W49" i="7"/>
  <c r="R49" i="7"/>
  <c r="L49" i="7"/>
  <c r="G49" i="7"/>
  <c r="AG48" i="7"/>
  <c r="AB48" i="7"/>
  <c r="W48" i="7"/>
  <c r="Q48" i="7"/>
  <c r="L48" i="7"/>
  <c r="G48" i="7"/>
  <c r="V67" i="7"/>
  <c r="R67" i="7"/>
  <c r="N67" i="7"/>
  <c r="J67" i="7"/>
  <c r="AF61" i="7"/>
  <c r="AA61" i="7"/>
  <c r="V61" i="7"/>
  <c r="P61" i="7"/>
  <c r="K61" i="7"/>
  <c r="F61" i="7"/>
  <c r="AF60" i="7"/>
  <c r="AA60" i="7"/>
  <c r="U60" i="7"/>
  <c r="P60" i="7"/>
  <c r="K60" i="7"/>
  <c r="E60" i="7"/>
  <c r="AG50" i="7"/>
  <c r="AA50" i="7"/>
  <c r="V50" i="7"/>
  <c r="Q50" i="7"/>
  <c r="K50" i="7"/>
  <c r="F50" i="7"/>
  <c r="AF49" i="7"/>
  <c r="AA49" i="7"/>
  <c r="V49" i="7"/>
  <c r="P49" i="7"/>
  <c r="K49" i="7"/>
  <c r="F49" i="7"/>
  <c r="AF48" i="7"/>
  <c r="AA48" i="7"/>
  <c r="U48" i="7"/>
  <c r="P48" i="7"/>
  <c r="K48" i="7"/>
  <c r="E48" i="7"/>
  <c r="AJ25" i="7"/>
  <c r="M25" i="16" s="1"/>
  <c r="F27" i="7"/>
  <c r="F28" i="7" s="1"/>
  <c r="E46" i="7"/>
  <c r="I46" i="7"/>
  <c r="M46" i="7"/>
  <c r="Q46" i="7"/>
  <c r="U46" i="7"/>
  <c r="F45" i="7"/>
  <c r="J45" i="7"/>
  <c r="N45" i="7"/>
  <c r="R45" i="7"/>
  <c r="V45" i="7"/>
  <c r="Z45" i="7"/>
  <c r="AD45" i="7"/>
  <c r="AH45" i="7"/>
  <c r="AE43" i="7"/>
  <c r="W43" i="7"/>
  <c r="O43" i="7"/>
  <c r="AB42" i="7"/>
  <c r="T42" i="7"/>
  <c r="E42" i="7"/>
  <c r="I42" i="7"/>
  <c r="M42" i="7"/>
  <c r="Q42" i="7"/>
  <c r="U42" i="7"/>
  <c r="Y42" i="7"/>
  <c r="AC42" i="7"/>
  <c r="AG42" i="7"/>
  <c r="F42" i="7"/>
  <c r="J42" i="7"/>
  <c r="N42" i="7"/>
  <c r="R42" i="7"/>
  <c r="V42" i="7"/>
  <c r="Z42" i="7"/>
  <c r="AD42" i="7"/>
  <c r="AH42" i="7"/>
  <c r="H38" i="7"/>
  <c r="L38" i="7"/>
  <c r="P38" i="7"/>
  <c r="T38" i="7"/>
  <c r="X38" i="7"/>
  <c r="AB38" i="7"/>
  <c r="AF38" i="7"/>
  <c r="E38" i="7"/>
  <c r="I38" i="7"/>
  <c r="M38" i="7"/>
  <c r="Q38" i="7"/>
  <c r="U38" i="7"/>
  <c r="Y38" i="7"/>
  <c r="AC38" i="7"/>
  <c r="AG38" i="7"/>
  <c r="F38" i="7"/>
  <c r="J38" i="7"/>
  <c r="N38" i="7"/>
  <c r="R38" i="7"/>
  <c r="V38" i="7"/>
  <c r="Z38" i="7"/>
  <c r="AD38" i="7"/>
  <c r="AH38" i="7"/>
  <c r="AJ26" i="7"/>
  <c r="M26" i="16" s="1"/>
  <c r="H43" i="7"/>
  <c r="L43" i="7"/>
  <c r="P43" i="7"/>
  <c r="T43" i="7"/>
  <c r="X43" i="7"/>
  <c r="AB43" i="7"/>
  <c r="AF43" i="7"/>
  <c r="E43" i="7"/>
  <c r="I43" i="7"/>
  <c r="M43" i="7"/>
  <c r="Q43" i="7"/>
  <c r="U43" i="7"/>
  <c r="Y43" i="7"/>
  <c r="AC43" i="7"/>
  <c r="AG43" i="7"/>
  <c r="AF42" i="7"/>
  <c r="X42" i="7"/>
  <c r="P42" i="7"/>
  <c r="H42" i="7"/>
  <c r="AH41" i="7"/>
  <c r="AD41" i="7"/>
  <c r="Z41" i="7"/>
  <c r="V41" i="7"/>
  <c r="R41" i="7"/>
  <c r="N41" i="7"/>
  <c r="J41" i="7"/>
  <c r="N37" i="7"/>
  <c r="J37" i="7"/>
  <c r="F37" i="7"/>
  <c r="M37" i="7"/>
  <c r="I37" i="7"/>
  <c r="AE213" i="6"/>
  <c r="W213" i="6"/>
  <c r="O213" i="6"/>
  <c r="AB209" i="6"/>
  <c r="T209" i="6"/>
  <c r="AD206" i="6"/>
  <c r="V206" i="6"/>
  <c r="N206" i="6"/>
  <c r="AE196" i="6"/>
  <c r="W196" i="6"/>
  <c r="O196" i="6"/>
  <c r="E209" i="6"/>
  <c r="I209" i="6"/>
  <c r="M209" i="6"/>
  <c r="Q209" i="6"/>
  <c r="U209" i="6"/>
  <c r="Y209" i="6"/>
  <c r="AC209" i="6"/>
  <c r="AG209" i="6"/>
  <c r="F209" i="6"/>
  <c r="J209" i="6"/>
  <c r="N209" i="6"/>
  <c r="R209" i="6"/>
  <c r="V209" i="6"/>
  <c r="Z209" i="6"/>
  <c r="AD209" i="6"/>
  <c r="AH209" i="6"/>
  <c r="H206" i="6"/>
  <c r="L206" i="6"/>
  <c r="P206" i="6"/>
  <c r="T206" i="6"/>
  <c r="X206" i="6"/>
  <c r="AB206" i="6"/>
  <c r="AF206" i="6"/>
  <c r="E206" i="6"/>
  <c r="I206" i="6"/>
  <c r="M206" i="6"/>
  <c r="Q206" i="6"/>
  <c r="U206" i="6"/>
  <c r="Y206" i="6"/>
  <c r="AC206" i="6"/>
  <c r="AG206" i="6"/>
  <c r="H189" i="6"/>
  <c r="L189" i="6"/>
  <c r="P189" i="6"/>
  <c r="T189" i="6"/>
  <c r="X189" i="6"/>
  <c r="AB189" i="6"/>
  <c r="AF189" i="6"/>
  <c r="E189" i="6"/>
  <c r="I189" i="6"/>
  <c r="M189" i="6"/>
  <c r="Q189" i="6"/>
  <c r="U189" i="6"/>
  <c r="Y189" i="6"/>
  <c r="AC189" i="6"/>
  <c r="AG189" i="6"/>
  <c r="F189" i="6"/>
  <c r="J189" i="6"/>
  <c r="N189" i="6"/>
  <c r="R189" i="6"/>
  <c r="V189" i="6"/>
  <c r="Z189" i="6"/>
  <c r="AD189" i="6"/>
  <c r="AH189" i="6"/>
  <c r="AH206" i="6"/>
  <c r="Z206" i="6"/>
  <c r="R206" i="6"/>
  <c r="J206" i="6"/>
  <c r="E196" i="6"/>
  <c r="I196" i="6"/>
  <c r="M196" i="6"/>
  <c r="Q196" i="6"/>
  <c r="U196" i="6"/>
  <c r="Y196" i="6"/>
  <c r="AC196" i="6"/>
  <c r="AG196" i="6"/>
  <c r="F196" i="6"/>
  <c r="J196" i="6"/>
  <c r="N196" i="6"/>
  <c r="R196" i="6"/>
  <c r="V196" i="6"/>
  <c r="Z196" i="6"/>
  <c r="AD196" i="6"/>
  <c r="AH196" i="6"/>
  <c r="H193" i="6"/>
  <c r="L193" i="6"/>
  <c r="P193" i="6"/>
  <c r="T193" i="6"/>
  <c r="X193" i="6"/>
  <c r="AB193" i="6"/>
  <c r="AF193" i="6"/>
  <c r="E193" i="6"/>
  <c r="I193" i="6"/>
  <c r="M193" i="6"/>
  <c r="Q193" i="6"/>
  <c r="U193" i="6"/>
  <c r="Y193" i="6"/>
  <c r="AC193" i="6"/>
  <c r="AG193" i="6"/>
  <c r="E213" i="6"/>
  <c r="I213" i="6"/>
  <c r="M213" i="6"/>
  <c r="Q213" i="6"/>
  <c r="U213" i="6"/>
  <c r="Y213" i="6"/>
  <c r="AC213" i="6"/>
  <c r="AG213" i="6"/>
  <c r="N213" i="6"/>
  <c r="V213" i="6"/>
  <c r="AD213" i="6"/>
  <c r="F213" i="6"/>
  <c r="J213" i="6"/>
  <c r="R213" i="6"/>
  <c r="Z213" i="6"/>
  <c r="AH213" i="6"/>
  <c r="H210" i="6"/>
  <c r="L210" i="6"/>
  <c r="P210" i="6"/>
  <c r="T210" i="6"/>
  <c r="X210" i="6"/>
  <c r="AB210" i="6"/>
  <c r="AF210" i="6"/>
  <c r="E210" i="6"/>
  <c r="I210" i="6"/>
  <c r="M210" i="6"/>
  <c r="Q210" i="6"/>
  <c r="U210" i="6"/>
  <c r="Y210" i="6"/>
  <c r="AC210" i="6"/>
  <c r="AG210" i="6"/>
  <c r="AF209" i="6"/>
  <c r="X209" i="6"/>
  <c r="P209" i="6"/>
  <c r="H209" i="6"/>
  <c r="AF213" i="6"/>
  <c r="X213" i="6"/>
  <c r="P213" i="6"/>
  <c r="H213" i="6"/>
  <c r="AH210" i="6"/>
  <c r="Z210" i="6"/>
  <c r="R210" i="6"/>
  <c r="J210" i="6"/>
  <c r="AE209" i="6"/>
  <c r="W209" i="6"/>
  <c r="O209" i="6"/>
  <c r="G209" i="6"/>
  <c r="AE206" i="6"/>
  <c r="W206" i="6"/>
  <c r="O206" i="6"/>
  <c r="G206" i="6"/>
  <c r="AF196" i="6"/>
  <c r="X196" i="6"/>
  <c r="P196" i="6"/>
  <c r="H196" i="6"/>
  <c r="AH193" i="6"/>
  <c r="Z193" i="6"/>
  <c r="R193" i="6"/>
  <c r="J193" i="6"/>
  <c r="AA189" i="6"/>
  <c r="K189" i="6"/>
  <c r="AH176" i="6"/>
  <c r="AD176" i="6"/>
  <c r="Z176" i="6"/>
  <c r="V176" i="6"/>
  <c r="R176" i="6"/>
  <c r="N176" i="6"/>
  <c r="J176" i="6"/>
  <c r="F176" i="6"/>
  <c r="H158" i="6"/>
  <c r="L158" i="6"/>
  <c r="P158" i="6"/>
  <c r="T158" i="6"/>
  <c r="X158" i="6"/>
  <c r="AB158" i="6"/>
  <c r="AF158" i="6"/>
  <c r="E157" i="6"/>
  <c r="I157" i="6"/>
  <c r="M157" i="6"/>
  <c r="Q157" i="6"/>
  <c r="U157" i="6"/>
  <c r="Y157" i="6"/>
  <c r="AC157" i="6"/>
  <c r="AG157" i="6"/>
  <c r="F156" i="6"/>
  <c r="J156" i="6"/>
  <c r="N156" i="6"/>
  <c r="R156" i="6"/>
  <c r="V156" i="6"/>
  <c r="Z156" i="6"/>
  <c r="AD156" i="6"/>
  <c r="AH156" i="6"/>
  <c r="H154" i="6"/>
  <c r="L154" i="6"/>
  <c r="P154" i="6"/>
  <c r="T154" i="6"/>
  <c r="X154" i="6"/>
  <c r="AB154" i="6"/>
  <c r="AF154" i="6"/>
  <c r="AH141" i="6"/>
  <c r="Z141" i="6"/>
  <c r="R141" i="6"/>
  <c r="J141" i="6"/>
  <c r="AD133" i="6"/>
  <c r="V133" i="6"/>
  <c r="N133" i="6"/>
  <c r="E132" i="6"/>
  <c r="I132" i="6"/>
  <c r="M132" i="6"/>
  <c r="Q132" i="6"/>
  <c r="U132" i="6"/>
  <c r="Y132" i="6"/>
  <c r="AC132" i="6"/>
  <c r="AG132" i="6"/>
  <c r="F132" i="6"/>
  <c r="J132" i="6"/>
  <c r="N132" i="6"/>
  <c r="R132" i="6"/>
  <c r="V132" i="6"/>
  <c r="Z132" i="6"/>
  <c r="AD132" i="6"/>
  <c r="AH132" i="6"/>
  <c r="H119" i="6"/>
  <c r="L119" i="6"/>
  <c r="P119" i="6"/>
  <c r="T119" i="6"/>
  <c r="X119" i="6"/>
  <c r="AB119" i="6"/>
  <c r="AF119" i="6"/>
  <c r="E119" i="6"/>
  <c r="I119" i="6"/>
  <c r="M119" i="6"/>
  <c r="Q119" i="6"/>
  <c r="U119" i="6"/>
  <c r="Y119" i="6"/>
  <c r="AC119" i="6"/>
  <c r="AG119" i="6"/>
  <c r="F119" i="6"/>
  <c r="J119" i="6"/>
  <c r="N119" i="6"/>
  <c r="R119" i="6"/>
  <c r="V119" i="6"/>
  <c r="Z119" i="6"/>
  <c r="AD119" i="6"/>
  <c r="AH119" i="6"/>
  <c r="AH192" i="6"/>
  <c r="AD192" i="6"/>
  <c r="Z192" i="6"/>
  <c r="V192" i="6"/>
  <c r="R192" i="6"/>
  <c r="N192" i="6"/>
  <c r="J192" i="6"/>
  <c r="F192" i="6"/>
  <c r="AH188" i="6"/>
  <c r="AD188" i="6"/>
  <c r="Z188" i="6"/>
  <c r="V188" i="6"/>
  <c r="R188" i="6"/>
  <c r="N188" i="6"/>
  <c r="J188" i="6"/>
  <c r="F188" i="6"/>
  <c r="AG176" i="6"/>
  <c r="AC176" i="6"/>
  <c r="Y176" i="6"/>
  <c r="U176" i="6"/>
  <c r="Q176" i="6"/>
  <c r="M176" i="6"/>
  <c r="I176" i="6"/>
  <c r="E176" i="6"/>
  <c r="AH175" i="6"/>
  <c r="AD175" i="6"/>
  <c r="Z175" i="6"/>
  <c r="V175" i="6"/>
  <c r="R175" i="6"/>
  <c r="N175" i="6"/>
  <c r="J175" i="6"/>
  <c r="F175" i="6"/>
  <c r="E174" i="6"/>
  <c r="I174" i="6"/>
  <c r="M174" i="6"/>
  <c r="Q174" i="6"/>
  <c r="U174" i="6"/>
  <c r="Y174" i="6"/>
  <c r="AC174" i="6"/>
  <c r="AG174" i="6"/>
  <c r="F173" i="6"/>
  <c r="J173" i="6"/>
  <c r="N173" i="6"/>
  <c r="R173" i="6"/>
  <c r="V173" i="6"/>
  <c r="Z173" i="6"/>
  <c r="AD173" i="6"/>
  <c r="AH173" i="6"/>
  <c r="H171" i="6"/>
  <c r="L171" i="6"/>
  <c r="P171" i="6"/>
  <c r="T171" i="6"/>
  <c r="X171" i="6"/>
  <c r="AB171" i="6"/>
  <c r="AF171" i="6"/>
  <c r="E170" i="6"/>
  <c r="I170" i="6"/>
  <c r="M170" i="6"/>
  <c r="Q170" i="6"/>
  <c r="U170" i="6"/>
  <c r="Y170" i="6"/>
  <c r="AC170" i="6"/>
  <c r="AG170" i="6"/>
  <c r="F169" i="6"/>
  <c r="J169" i="6"/>
  <c r="N169" i="6"/>
  <c r="R169" i="6"/>
  <c r="V169" i="6"/>
  <c r="Z169" i="6"/>
  <c r="AD169" i="6"/>
  <c r="AH169" i="6"/>
  <c r="AH158" i="6"/>
  <c r="AC158" i="6"/>
  <c r="W158" i="6"/>
  <c r="R158" i="6"/>
  <c r="M158" i="6"/>
  <c r="G158" i="6"/>
  <c r="AH157" i="6"/>
  <c r="AB157" i="6"/>
  <c r="W157" i="6"/>
  <c r="R157" i="6"/>
  <c r="L157" i="6"/>
  <c r="G157" i="6"/>
  <c r="AG156" i="6"/>
  <c r="AB156" i="6"/>
  <c r="W156" i="6"/>
  <c r="Q156" i="6"/>
  <c r="L156" i="6"/>
  <c r="G156" i="6"/>
  <c r="AH154" i="6"/>
  <c r="AC154" i="6"/>
  <c r="W154" i="6"/>
  <c r="R154" i="6"/>
  <c r="M154" i="6"/>
  <c r="G154" i="6"/>
  <c r="E153" i="6"/>
  <c r="I153" i="6"/>
  <c r="M153" i="6"/>
  <c r="Q153" i="6"/>
  <c r="U153" i="6"/>
  <c r="Y153" i="6"/>
  <c r="AC153" i="6"/>
  <c r="AG153" i="6"/>
  <c r="F153" i="6"/>
  <c r="J153" i="6"/>
  <c r="N153" i="6"/>
  <c r="AE141" i="6"/>
  <c r="W141" i="6"/>
  <c r="O141" i="6"/>
  <c r="G141" i="6"/>
  <c r="E136" i="6"/>
  <c r="I136" i="6"/>
  <c r="M136" i="6"/>
  <c r="Q136" i="6"/>
  <c r="U136" i="6"/>
  <c r="Y136" i="6"/>
  <c r="AC136" i="6"/>
  <c r="AG136" i="6"/>
  <c r="F136" i="6"/>
  <c r="J136" i="6"/>
  <c r="N136" i="6"/>
  <c r="R136" i="6"/>
  <c r="V136" i="6"/>
  <c r="Z136" i="6"/>
  <c r="AD136" i="6"/>
  <c r="AH136" i="6"/>
  <c r="H133" i="6"/>
  <c r="L133" i="6"/>
  <c r="P133" i="6"/>
  <c r="T133" i="6"/>
  <c r="X133" i="6"/>
  <c r="AB133" i="6"/>
  <c r="AF133" i="6"/>
  <c r="E133" i="6"/>
  <c r="I133" i="6"/>
  <c r="M133" i="6"/>
  <c r="Q133" i="6"/>
  <c r="U133" i="6"/>
  <c r="Y133" i="6"/>
  <c r="AC133" i="6"/>
  <c r="AG133" i="6"/>
  <c r="O119" i="6"/>
  <c r="AH212" i="6"/>
  <c r="AD212" i="6"/>
  <c r="Z212" i="6"/>
  <c r="V212" i="6"/>
  <c r="R212" i="6"/>
  <c r="N212" i="6"/>
  <c r="J212" i="6"/>
  <c r="AH208" i="6"/>
  <c r="AD208" i="6"/>
  <c r="Z208" i="6"/>
  <c r="V208" i="6"/>
  <c r="R208" i="6"/>
  <c r="N208" i="6"/>
  <c r="J208" i="6"/>
  <c r="AH195" i="6"/>
  <c r="AD195" i="6"/>
  <c r="Z195" i="6"/>
  <c r="V195" i="6"/>
  <c r="R195" i="6"/>
  <c r="N195" i="6"/>
  <c r="J195" i="6"/>
  <c r="AG192" i="6"/>
  <c r="AC192" i="6"/>
  <c r="Y192" i="6"/>
  <c r="U192" i="6"/>
  <c r="Q192" i="6"/>
  <c r="M192" i="6"/>
  <c r="I192" i="6"/>
  <c r="AH191" i="6"/>
  <c r="AD191" i="6"/>
  <c r="Z191" i="6"/>
  <c r="V191" i="6"/>
  <c r="R191" i="6"/>
  <c r="N191" i="6"/>
  <c r="J191" i="6"/>
  <c r="AG188" i="6"/>
  <c r="AC188" i="6"/>
  <c r="Y188" i="6"/>
  <c r="U188" i="6"/>
  <c r="Q188" i="6"/>
  <c r="M188" i="6"/>
  <c r="I188" i="6"/>
  <c r="AH187" i="6"/>
  <c r="AD187" i="6"/>
  <c r="Z187" i="6"/>
  <c r="V187" i="6"/>
  <c r="R187" i="6"/>
  <c r="N187" i="6"/>
  <c r="J187" i="6"/>
  <c r="AF176" i="6"/>
  <c r="AB176" i="6"/>
  <c r="X176" i="6"/>
  <c r="T176" i="6"/>
  <c r="P176" i="6"/>
  <c r="L176" i="6"/>
  <c r="AG175" i="6"/>
  <c r="AC175" i="6"/>
  <c r="Y175" i="6"/>
  <c r="U175" i="6"/>
  <c r="Q175" i="6"/>
  <c r="M175" i="6"/>
  <c r="I175" i="6"/>
  <c r="AH174" i="6"/>
  <c r="AB174" i="6"/>
  <c r="W174" i="6"/>
  <c r="R174" i="6"/>
  <c r="L174" i="6"/>
  <c r="G174" i="6"/>
  <c r="AG173" i="6"/>
  <c r="AB173" i="6"/>
  <c r="W173" i="6"/>
  <c r="Q173" i="6"/>
  <c r="L173" i="6"/>
  <c r="G173" i="6"/>
  <c r="AH171" i="6"/>
  <c r="AC171" i="6"/>
  <c r="W171" i="6"/>
  <c r="R171" i="6"/>
  <c r="M171" i="6"/>
  <c r="G171" i="6"/>
  <c r="AH170" i="6"/>
  <c r="AB170" i="6"/>
  <c r="W170" i="6"/>
  <c r="R170" i="6"/>
  <c r="L170" i="6"/>
  <c r="G170" i="6"/>
  <c r="AG169" i="6"/>
  <c r="AB169" i="6"/>
  <c r="W169" i="6"/>
  <c r="Q169" i="6"/>
  <c r="L169" i="6"/>
  <c r="G169" i="6"/>
  <c r="AG158" i="6"/>
  <c r="AA158" i="6"/>
  <c r="V158" i="6"/>
  <c r="Q158" i="6"/>
  <c r="K158" i="6"/>
  <c r="F158" i="6"/>
  <c r="AF157" i="6"/>
  <c r="AA157" i="6"/>
  <c r="V157" i="6"/>
  <c r="P157" i="6"/>
  <c r="K157" i="6"/>
  <c r="F157" i="6"/>
  <c r="AF156" i="6"/>
  <c r="AA156" i="6"/>
  <c r="U156" i="6"/>
  <c r="P156" i="6"/>
  <c r="K156" i="6"/>
  <c r="E156" i="6"/>
  <c r="AG154" i="6"/>
  <c r="AA154" i="6"/>
  <c r="V154" i="6"/>
  <c r="Q154" i="6"/>
  <c r="K154" i="6"/>
  <c r="F154" i="6"/>
  <c r="AF153" i="6"/>
  <c r="AA153" i="6"/>
  <c r="V153" i="6"/>
  <c r="P153" i="6"/>
  <c r="H153" i="6"/>
  <c r="AD141" i="6"/>
  <c r="V141" i="6"/>
  <c r="N141" i="6"/>
  <c r="E140" i="6"/>
  <c r="I140" i="6"/>
  <c r="M140" i="6"/>
  <c r="Q140" i="6"/>
  <c r="U140" i="6"/>
  <c r="Y140" i="6"/>
  <c r="AC140" i="6"/>
  <c r="AG140" i="6"/>
  <c r="F140" i="6"/>
  <c r="J140" i="6"/>
  <c r="N140" i="6"/>
  <c r="R140" i="6"/>
  <c r="V140" i="6"/>
  <c r="Z140" i="6"/>
  <c r="AD140" i="6"/>
  <c r="AH140" i="6"/>
  <c r="H137" i="6"/>
  <c r="L137" i="6"/>
  <c r="P137" i="6"/>
  <c r="T137" i="6"/>
  <c r="X137" i="6"/>
  <c r="AB137" i="6"/>
  <c r="AF137" i="6"/>
  <c r="E137" i="6"/>
  <c r="I137" i="6"/>
  <c r="M137" i="6"/>
  <c r="Q137" i="6"/>
  <c r="U137" i="6"/>
  <c r="Y137" i="6"/>
  <c r="AC137" i="6"/>
  <c r="AG137" i="6"/>
  <c r="AF136" i="6"/>
  <c r="X136" i="6"/>
  <c r="P136" i="6"/>
  <c r="H136" i="6"/>
  <c r="AH133" i="6"/>
  <c r="Z133" i="6"/>
  <c r="R133" i="6"/>
  <c r="J133" i="6"/>
  <c r="AE132" i="6"/>
  <c r="W132" i="6"/>
  <c r="O132" i="6"/>
  <c r="G132" i="6"/>
  <c r="AA119" i="6"/>
  <c r="K119" i="6"/>
  <c r="AE158" i="6"/>
  <c r="Z158" i="6"/>
  <c r="U158" i="6"/>
  <c r="O158" i="6"/>
  <c r="J158" i="6"/>
  <c r="E158" i="6"/>
  <c r="AE157" i="6"/>
  <c r="Z157" i="6"/>
  <c r="T157" i="6"/>
  <c r="O157" i="6"/>
  <c r="J157" i="6"/>
  <c r="AE156" i="6"/>
  <c r="Y156" i="6"/>
  <c r="T156" i="6"/>
  <c r="O156" i="6"/>
  <c r="I156" i="6"/>
  <c r="AE154" i="6"/>
  <c r="Z154" i="6"/>
  <c r="U154" i="6"/>
  <c r="O154" i="6"/>
  <c r="J154" i="6"/>
  <c r="E154" i="6"/>
  <c r="H141" i="6"/>
  <c r="L141" i="6"/>
  <c r="P141" i="6"/>
  <c r="T141" i="6"/>
  <c r="X141" i="6"/>
  <c r="AB141" i="6"/>
  <c r="AF141" i="6"/>
  <c r="E141" i="6"/>
  <c r="I141" i="6"/>
  <c r="M141" i="6"/>
  <c r="Q141" i="6"/>
  <c r="U141" i="6"/>
  <c r="Y141" i="6"/>
  <c r="AC141" i="6"/>
  <c r="AG141" i="6"/>
  <c r="F103" i="6"/>
  <c r="J103" i="6"/>
  <c r="N103" i="6"/>
  <c r="R103" i="6"/>
  <c r="V103" i="6"/>
  <c r="Z103" i="6"/>
  <c r="AD103" i="6"/>
  <c r="AH103" i="6"/>
  <c r="H101" i="6"/>
  <c r="L101" i="6"/>
  <c r="P101" i="6"/>
  <c r="T101" i="6"/>
  <c r="X101" i="6"/>
  <c r="AB101" i="6"/>
  <c r="AF101" i="6"/>
  <c r="E100" i="6"/>
  <c r="I100" i="6"/>
  <c r="M100" i="6"/>
  <c r="Q100" i="6"/>
  <c r="U100" i="6"/>
  <c r="Y100" i="6"/>
  <c r="AC100" i="6"/>
  <c r="AG100" i="6"/>
  <c r="AG120" i="6"/>
  <c r="AC120" i="6"/>
  <c r="Y120" i="6"/>
  <c r="U120" i="6"/>
  <c r="Q120" i="6"/>
  <c r="M120" i="6"/>
  <c r="I120" i="6"/>
  <c r="E120" i="6"/>
  <c r="AG116" i="6"/>
  <c r="AC116" i="6"/>
  <c r="Y116" i="6"/>
  <c r="U116" i="6"/>
  <c r="Q116" i="6"/>
  <c r="M116" i="6"/>
  <c r="I116" i="6"/>
  <c r="E116" i="6"/>
  <c r="AH115" i="6"/>
  <c r="AD115" i="6"/>
  <c r="Z115" i="6"/>
  <c r="V115" i="6"/>
  <c r="R115" i="6"/>
  <c r="N115" i="6"/>
  <c r="J115" i="6"/>
  <c r="F115" i="6"/>
  <c r="AG103" i="6"/>
  <c r="AB103" i="6"/>
  <c r="W103" i="6"/>
  <c r="Q103" i="6"/>
  <c r="L103" i="6"/>
  <c r="G103" i="6"/>
  <c r="AH101" i="6"/>
  <c r="AC101" i="6"/>
  <c r="W101" i="6"/>
  <c r="R101" i="6"/>
  <c r="M101" i="6"/>
  <c r="G101" i="6"/>
  <c r="AH100" i="6"/>
  <c r="AB100" i="6"/>
  <c r="W100" i="6"/>
  <c r="R100" i="6"/>
  <c r="L100" i="6"/>
  <c r="G100" i="6"/>
  <c r="AH152" i="6"/>
  <c r="AD152" i="6"/>
  <c r="Z152" i="6"/>
  <c r="V152" i="6"/>
  <c r="R152" i="6"/>
  <c r="N152" i="6"/>
  <c r="J152" i="6"/>
  <c r="AH139" i="6"/>
  <c r="AD139" i="6"/>
  <c r="Z139" i="6"/>
  <c r="V139" i="6"/>
  <c r="R139" i="6"/>
  <c r="N139" i="6"/>
  <c r="J139" i="6"/>
  <c r="AH135" i="6"/>
  <c r="AD135" i="6"/>
  <c r="Z135" i="6"/>
  <c r="V135" i="6"/>
  <c r="R135" i="6"/>
  <c r="N135" i="6"/>
  <c r="J135" i="6"/>
  <c r="AH122" i="6"/>
  <c r="AD122" i="6"/>
  <c r="Z122" i="6"/>
  <c r="V122" i="6"/>
  <c r="R122" i="6"/>
  <c r="N122" i="6"/>
  <c r="J122" i="6"/>
  <c r="AF120" i="6"/>
  <c r="AB120" i="6"/>
  <c r="X120" i="6"/>
  <c r="T120" i="6"/>
  <c r="P120" i="6"/>
  <c r="L120" i="6"/>
  <c r="AH118" i="6"/>
  <c r="AD118" i="6"/>
  <c r="Z118" i="6"/>
  <c r="V118" i="6"/>
  <c r="R118" i="6"/>
  <c r="N118" i="6"/>
  <c r="J118" i="6"/>
  <c r="AF116" i="6"/>
  <c r="AB116" i="6"/>
  <c r="X116" i="6"/>
  <c r="T116" i="6"/>
  <c r="P116" i="6"/>
  <c r="L116" i="6"/>
  <c r="AG115" i="6"/>
  <c r="AC115" i="6"/>
  <c r="Y115" i="6"/>
  <c r="U115" i="6"/>
  <c r="Q115" i="6"/>
  <c r="M115" i="6"/>
  <c r="I115" i="6"/>
  <c r="E115" i="6"/>
  <c r="AH114" i="6"/>
  <c r="AD114" i="6"/>
  <c r="Z114" i="6"/>
  <c r="V114" i="6"/>
  <c r="R114" i="6"/>
  <c r="N114" i="6"/>
  <c r="J114" i="6"/>
  <c r="AF103" i="6"/>
  <c r="AA103" i="6"/>
  <c r="U103" i="6"/>
  <c r="P103" i="6"/>
  <c r="K103" i="6"/>
  <c r="E103" i="6"/>
  <c r="AG101" i="6"/>
  <c r="AA101" i="6"/>
  <c r="V101" i="6"/>
  <c r="Q101" i="6"/>
  <c r="K101" i="6"/>
  <c r="F101" i="6"/>
  <c r="AF100" i="6"/>
  <c r="AA100" i="6"/>
  <c r="V100" i="6"/>
  <c r="P100" i="6"/>
  <c r="K100" i="6"/>
  <c r="F100" i="6"/>
  <c r="AF115" i="6"/>
  <c r="AB115" i="6"/>
  <c r="X115" i="6"/>
  <c r="T115" i="6"/>
  <c r="P115" i="6"/>
  <c r="L115" i="6"/>
  <c r="AE103" i="6"/>
  <c r="Y103" i="6"/>
  <c r="T103" i="6"/>
  <c r="O103" i="6"/>
  <c r="I103" i="6"/>
  <c r="AE101" i="6"/>
  <c r="Z101" i="6"/>
  <c r="U101" i="6"/>
  <c r="O101" i="6"/>
  <c r="J101" i="6"/>
  <c r="E101" i="6"/>
  <c r="AE100" i="6"/>
  <c r="Z100" i="6"/>
  <c r="T100" i="6"/>
  <c r="O100" i="6"/>
  <c r="J100" i="6"/>
  <c r="F86" i="6"/>
  <c r="J86" i="6"/>
  <c r="N86" i="6"/>
  <c r="R86" i="6"/>
  <c r="V86" i="6"/>
  <c r="Z86" i="6"/>
  <c r="AD86" i="6"/>
  <c r="AH86" i="6"/>
  <c r="H84" i="6"/>
  <c r="L84" i="6"/>
  <c r="P84" i="6"/>
  <c r="T84" i="6"/>
  <c r="X84" i="6"/>
  <c r="AB84" i="6"/>
  <c r="AF84" i="6"/>
  <c r="E83" i="6"/>
  <c r="I83" i="6"/>
  <c r="M83" i="6"/>
  <c r="Q83" i="6"/>
  <c r="U83" i="6"/>
  <c r="Y83" i="6"/>
  <c r="AC83" i="6"/>
  <c r="AG83" i="6"/>
  <c r="F82" i="6"/>
  <c r="J82" i="6"/>
  <c r="N82" i="6"/>
  <c r="R82" i="6"/>
  <c r="V82" i="6"/>
  <c r="Z82" i="6"/>
  <c r="AD82" i="6"/>
  <c r="AH82" i="6"/>
  <c r="AH71" i="6"/>
  <c r="Z71" i="6"/>
  <c r="R71" i="6"/>
  <c r="J71" i="6"/>
  <c r="AE70" i="6"/>
  <c r="W70" i="6"/>
  <c r="O70" i="6"/>
  <c r="G70" i="6"/>
  <c r="F99" i="6"/>
  <c r="J99" i="6"/>
  <c r="N99" i="6"/>
  <c r="R99" i="6"/>
  <c r="V99" i="6"/>
  <c r="Z99" i="6"/>
  <c r="AD99" i="6"/>
  <c r="H97" i="6"/>
  <c r="L97" i="6"/>
  <c r="P97" i="6"/>
  <c r="T97" i="6"/>
  <c r="X97" i="6"/>
  <c r="AB97" i="6"/>
  <c r="AF97" i="6"/>
  <c r="E96" i="6"/>
  <c r="I96" i="6"/>
  <c r="M96" i="6"/>
  <c r="Q96" i="6"/>
  <c r="U96" i="6"/>
  <c r="Y96" i="6"/>
  <c r="AC96" i="6"/>
  <c r="AG96" i="6"/>
  <c r="AG86" i="6"/>
  <c r="AB86" i="6"/>
  <c r="W86" i="6"/>
  <c r="Q86" i="6"/>
  <c r="L86" i="6"/>
  <c r="G86" i="6"/>
  <c r="AH84" i="6"/>
  <c r="AC84" i="6"/>
  <c r="W84" i="6"/>
  <c r="R84" i="6"/>
  <c r="M84" i="6"/>
  <c r="G84" i="6"/>
  <c r="AH83" i="6"/>
  <c r="AB83" i="6"/>
  <c r="W83" i="6"/>
  <c r="R83" i="6"/>
  <c r="L83" i="6"/>
  <c r="G83" i="6"/>
  <c r="AG82" i="6"/>
  <c r="AB82" i="6"/>
  <c r="W82" i="6"/>
  <c r="Q82" i="6"/>
  <c r="L82" i="6"/>
  <c r="G82" i="6"/>
  <c r="AE71" i="6"/>
  <c r="W71" i="6"/>
  <c r="O71" i="6"/>
  <c r="G71" i="6"/>
  <c r="AB70" i="6"/>
  <c r="T70" i="6"/>
  <c r="AD71" i="6"/>
  <c r="V71" i="6"/>
  <c r="N71" i="6"/>
  <c r="E70" i="6"/>
  <c r="I70" i="6"/>
  <c r="M70" i="6"/>
  <c r="Q70" i="6"/>
  <c r="U70" i="6"/>
  <c r="Y70" i="6"/>
  <c r="AC70" i="6"/>
  <c r="AG70" i="6"/>
  <c r="F70" i="6"/>
  <c r="J70" i="6"/>
  <c r="N70" i="6"/>
  <c r="R70" i="6"/>
  <c r="V70" i="6"/>
  <c r="Z70" i="6"/>
  <c r="AD70" i="6"/>
  <c r="AH70" i="6"/>
  <c r="H71" i="6"/>
  <c r="L71" i="6"/>
  <c r="P71" i="6"/>
  <c r="T71" i="6"/>
  <c r="X71" i="6"/>
  <c r="AB71" i="6"/>
  <c r="AF71" i="6"/>
  <c r="E71" i="6"/>
  <c r="I71" i="6"/>
  <c r="M71" i="6"/>
  <c r="Q71" i="6"/>
  <c r="U71" i="6"/>
  <c r="Y71" i="6"/>
  <c r="AC71" i="6"/>
  <c r="AG71" i="6"/>
  <c r="AF66" i="6"/>
  <c r="AB66" i="6"/>
  <c r="X66" i="6"/>
  <c r="T66" i="6"/>
  <c r="P66" i="6"/>
  <c r="L66" i="6"/>
  <c r="H66" i="6"/>
  <c r="H65" i="6"/>
  <c r="L65" i="6"/>
  <c r="P65" i="6"/>
  <c r="T65" i="6"/>
  <c r="X65" i="6"/>
  <c r="E64" i="6"/>
  <c r="I64" i="6"/>
  <c r="M64" i="6"/>
  <c r="Q64" i="6"/>
  <c r="U64" i="6"/>
  <c r="Y64" i="6"/>
  <c r="AC64" i="6"/>
  <c r="AG64" i="6"/>
  <c r="F63" i="6"/>
  <c r="J63" i="6"/>
  <c r="N63" i="6"/>
  <c r="R63" i="6"/>
  <c r="V63" i="6"/>
  <c r="Z63" i="6"/>
  <c r="AD63" i="6"/>
  <c r="AH63" i="6"/>
  <c r="H49" i="6"/>
  <c r="L49" i="6"/>
  <c r="P49" i="6"/>
  <c r="T49" i="6"/>
  <c r="X49" i="6"/>
  <c r="AB49" i="6"/>
  <c r="AF49" i="6"/>
  <c r="E49" i="6"/>
  <c r="I49" i="6"/>
  <c r="M49" i="6"/>
  <c r="Q49" i="6"/>
  <c r="U49" i="6"/>
  <c r="Y49" i="6"/>
  <c r="AC49" i="6"/>
  <c r="AG49" i="6"/>
  <c r="F49" i="6"/>
  <c r="J49" i="6"/>
  <c r="N49" i="6"/>
  <c r="R49" i="6"/>
  <c r="V49" i="6"/>
  <c r="Z49" i="6"/>
  <c r="AD49" i="6"/>
  <c r="AH49" i="6"/>
  <c r="E60" i="6"/>
  <c r="I60" i="6"/>
  <c r="M60" i="6"/>
  <c r="Q60" i="6"/>
  <c r="U60" i="6"/>
  <c r="Y60" i="6"/>
  <c r="AC60" i="6"/>
  <c r="AG60" i="6"/>
  <c r="F60" i="6"/>
  <c r="J60" i="6"/>
  <c r="N60" i="6"/>
  <c r="R60" i="6"/>
  <c r="V60" i="6"/>
  <c r="Z60" i="6"/>
  <c r="AD60" i="6"/>
  <c r="AH60" i="6"/>
  <c r="AE49" i="6"/>
  <c r="O49" i="6"/>
  <c r="AF72" i="6"/>
  <c r="AB72" i="6"/>
  <c r="X72" i="6"/>
  <c r="T72" i="6"/>
  <c r="P72" i="6"/>
  <c r="L72" i="6"/>
  <c r="X68" i="6"/>
  <c r="T68" i="6"/>
  <c r="P68" i="6"/>
  <c r="L68" i="6"/>
  <c r="AG67" i="6"/>
  <c r="AC67" i="6"/>
  <c r="Y67" i="6"/>
  <c r="U67" i="6"/>
  <c r="Q67" i="6"/>
  <c r="M67" i="6"/>
  <c r="I67" i="6"/>
  <c r="E67" i="6"/>
  <c r="AH66" i="6"/>
  <c r="AD66" i="6"/>
  <c r="Z66" i="6"/>
  <c r="V66" i="6"/>
  <c r="R66" i="6"/>
  <c r="N66" i="6"/>
  <c r="J66" i="6"/>
  <c r="F66" i="6"/>
  <c r="AI65" i="6"/>
  <c r="AE65" i="6"/>
  <c r="AA65" i="6"/>
  <c r="V65" i="6"/>
  <c r="Q65" i="6"/>
  <c r="K65" i="6"/>
  <c r="F65" i="6"/>
  <c r="AF64" i="6"/>
  <c r="AA64" i="6"/>
  <c r="V64" i="6"/>
  <c r="P64" i="6"/>
  <c r="K64" i="6"/>
  <c r="F64" i="6"/>
  <c r="AF63" i="6"/>
  <c r="AA63" i="6"/>
  <c r="U63" i="6"/>
  <c r="P63" i="6"/>
  <c r="K63" i="6"/>
  <c r="E63" i="6"/>
  <c r="H61" i="6"/>
  <c r="L61" i="6"/>
  <c r="P61" i="6"/>
  <c r="T61" i="6"/>
  <c r="X61" i="6"/>
  <c r="AB61" i="6"/>
  <c r="AF61" i="6"/>
  <c r="E61" i="6"/>
  <c r="I61" i="6"/>
  <c r="M61" i="6"/>
  <c r="Q61" i="6"/>
  <c r="U61" i="6"/>
  <c r="Y61" i="6"/>
  <c r="AC61" i="6"/>
  <c r="AG61" i="6"/>
  <c r="AF60" i="6"/>
  <c r="X60" i="6"/>
  <c r="P60" i="6"/>
  <c r="H60" i="6"/>
  <c r="AA49" i="6"/>
  <c r="K49" i="6"/>
  <c r="AF67" i="6"/>
  <c r="AB67" i="6"/>
  <c r="X67" i="6"/>
  <c r="T67" i="6"/>
  <c r="P67" i="6"/>
  <c r="L67" i="6"/>
  <c r="AG66" i="6"/>
  <c r="AC66" i="6"/>
  <c r="Y66" i="6"/>
  <c r="U66" i="6"/>
  <c r="Q66" i="6"/>
  <c r="M66" i="6"/>
  <c r="I66" i="6"/>
  <c r="AH65" i="6"/>
  <c r="AD65" i="6"/>
  <c r="Z65" i="6"/>
  <c r="U65" i="6"/>
  <c r="O65" i="6"/>
  <c r="J65" i="6"/>
  <c r="E65" i="6"/>
  <c r="AE64" i="6"/>
  <c r="Z64" i="6"/>
  <c r="T64" i="6"/>
  <c r="O64" i="6"/>
  <c r="J64" i="6"/>
  <c r="AE63" i="6"/>
  <c r="Y63" i="6"/>
  <c r="T63" i="6"/>
  <c r="O63" i="6"/>
  <c r="I63" i="6"/>
  <c r="AE60" i="6"/>
  <c r="W60" i="6"/>
  <c r="O60" i="6"/>
  <c r="G60" i="6"/>
  <c r="W49" i="6"/>
  <c r="G49" i="6"/>
  <c r="H42" i="6"/>
  <c r="L42" i="6"/>
  <c r="P42" i="6"/>
  <c r="T42" i="6"/>
  <c r="X42" i="6"/>
  <c r="AB42" i="6"/>
  <c r="AF42" i="6"/>
  <c r="E42" i="6"/>
  <c r="I42" i="6"/>
  <c r="M42" i="6"/>
  <c r="Q42" i="6"/>
  <c r="U42" i="6"/>
  <c r="Y42" i="6"/>
  <c r="AC42" i="6"/>
  <c r="AG42" i="6"/>
  <c r="AJ25" i="6"/>
  <c r="N25" i="16" s="1"/>
  <c r="AH42" i="6"/>
  <c r="Z42" i="6"/>
  <c r="R42" i="6"/>
  <c r="J42" i="6"/>
  <c r="H38" i="6"/>
  <c r="L38" i="6"/>
  <c r="P38" i="6"/>
  <c r="T38" i="6"/>
  <c r="X38" i="6"/>
  <c r="AB38" i="6"/>
  <c r="AF38" i="6"/>
  <c r="E38" i="6"/>
  <c r="I38" i="6"/>
  <c r="M38" i="6"/>
  <c r="Q38" i="6"/>
  <c r="U38" i="6"/>
  <c r="Y38" i="6"/>
  <c r="AC38" i="6"/>
  <c r="AG38" i="6"/>
  <c r="F38" i="6"/>
  <c r="J38" i="6"/>
  <c r="N38" i="6"/>
  <c r="R38" i="6"/>
  <c r="V38" i="6"/>
  <c r="Z38" i="6"/>
  <c r="AD38" i="6"/>
  <c r="AH38" i="6"/>
  <c r="AE42" i="6"/>
  <c r="W42" i="6"/>
  <c r="O42" i="6"/>
  <c r="G42" i="6"/>
  <c r="AJ26" i="6"/>
  <c r="N26" i="16" s="1"/>
  <c r="AG48" i="6"/>
  <c r="AC48" i="6"/>
  <c r="Y48" i="6"/>
  <c r="U48" i="6"/>
  <c r="Q48" i="6"/>
  <c r="M48" i="6"/>
  <c r="I48" i="6"/>
  <c r="H47" i="6"/>
  <c r="L47" i="6"/>
  <c r="E46" i="6"/>
  <c r="I46" i="6"/>
  <c r="M46" i="6"/>
  <c r="Q46" i="6"/>
  <c r="U46" i="6"/>
  <c r="Y46" i="6"/>
  <c r="AC46" i="6"/>
  <c r="AG46" i="6"/>
  <c r="F45" i="6"/>
  <c r="J45" i="6"/>
  <c r="N45" i="6"/>
  <c r="R45" i="6"/>
  <c r="V45" i="6"/>
  <c r="Z45" i="6"/>
  <c r="AD45" i="6"/>
  <c r="AH45" i="6"/>
  <c r="AD42" i="6"/>
  <c r="V42" i="6"/>
  <c r="N42" i="6"/>
  <c r="F42" i="6"/>
  <c r="T43" i="6"/>
  <c r="P43" i="6"/>
  <c r="L43" i="6"/>
  <c r="AH41" i="6"/>
  <c r="AD41" i="6"/>
  <c r="Z41" i="6"/>
  <c r="V41" i="6"/>
  <c r="R41" i="6"/>
  <c r="N41" i="6"/>
  <c r="J41" i="6"/>
  <c r="F41" i="6"/>
  <c r="AG41" i="6"/>
  <c r="AC41" i="6"/>
  <c r="Y41" i="6"/>
  <c r="U41" i="6"/>
  <c r="Q41" i="6"/>
  <c r="M41" i="6"/>
  <c r="I41" i="6"/>
  <c r="H158" i="5"/>
  <c r="L158" i="5"/>
  <c r="P158" i="5"/>
  <c r="T158" i="5"/>
  <c r="X158" i="5"/>
  <c r="AB158" i="5"/>
  <c r="AF158" i="5"/>
  <c r="AH212" i="5"/>
  <c r="Z212" i="5"/>
  <c r="R212" i="5"/>
  <c r="AF213" i="5"/>
  <c r="AB213" i="5"/>
  <c r="X213" i="5"/>
  <c r="T213" i="5"/>
  <c r="P213" i="5"/>
  <c r="L213" i="5"/>
  <c r="AG212" i="5"/>
  <c r="AC212" i="5"/>
  <c r="Y212" i="5"/>
  <c r="U212" i="5"/>
  <c r="Q212" i="5"/>
  <c r="M212" i="5"/>
  <c r="I212" i="5"/>
  <c r="E212" i="5"/>
  <c r="AH211" i="5"/>
  <c r="AD211" i="5"/>
  <c r="Z211" i="5"/>
  <c r="V211" i="5"/>
  <c r="R211" i="5"/>
  <c r="N211" i="5"/>
  <c r="J211" i="5"/>
  <c r="F211" i="5"/>
  <c r="AF209" i="5"/>
  <c r="AB209" i="5"/>
  <c r="X209" i="5"/>
  <c r="T209" i="5"/>
  <c r="P209" i="5"/>
  <c r="L209" i="5"/>
  <c r="AG208" i="5"/>
  <c r="AC208" i="5"/>
  <c r="Y208" i="5"/>
  <c r="U208" i="5"/>
  <c r="Q208" i="5"/>
  <c r="M208" i="5"/>
  <c r="I208" i="5"/>
  <c r="E208" i="5"/>
  <c r="AH207" i="5"/>
  <c r="AD207" i="5"/>
  <c r="Z207" i="5"/>
  <c r="V207" i="5"/>
  <c r="R207" i="5"/>
  <c r="N207" i="5"/>
  <c r="J207" i="5"/>
  <c r="F207" i="5"/>
  <c r="AF196" i="5"/>
  <c r="AB196" i="5"/>
  <c r="X196" i="5"/>
  <c r="T196" i="5"/>
  <c r="P196" i="5"/>
  <c r="L196" i="5"/>
  <c r="AG195" i="5"/>
  <c r="AC195" i="5"/>
  <c r="Y195" i="5"/>
  <c r="U195" i="5"/>
  <c r="Q195" i="5"/>
  <c r="M195" i="5"/>
  <c r="I195" i="5"/>
  <c r="E195" i="5"/>
  <c r="AH194" i="5"/>
  <c r="AD194" i="5"/>
  <c r="Z194" i="5"/>
  <c r="V194" i="5"/>
  <c r="R194" i="5"/>
  <c r="N194" i="5"/>
  <c r="J194" i="5"/>
  <c r="F194" i="5"/>
  <c r="AF192" i="5"/>
  <c r="AB192" i="5"/>
  <c r="X192" i="5"/>
  <c r="T192" i="5"/>
  <c r="P192" i="5"/>
  <c r="L192" i="5"/>
  <c r="AG191" i="5"/>
  <c r="AC191" i="5"/>
  <c r="Y191" i="5"/>
  <c r="U191" i="5"/>
  <c r="Q191" i="5"/>
  <c r="M191" i="5"/>
  <c r="I191" i="5"/>
  <c r="E191" i="5"/>
  <c r="AH190" i="5"/>
  <c r="AD190" i="5"/>
  <c r="Z190" i="5"/>
  <c r="V190" i="5"/>
  <c r="R190" i="5"/>
  <c r="N190" i="5"/>
  <c r="J190" i="5"/>
  <c r="F190" i="5"/>
  <c r="AF188" i="5"/>
  <c r="AB188" i="5"/>
  <c r="X188" i="5"/>
  <c r="T188" i="5"/>
  <c r="P188" i="5"/>
  <c r="L188" i="5"/>
  <c r="AG187" i="5"/>
  <c r="AC187" i="5"/>
  <c r="Y187" i="5"/>
  <c r="U187" i="5"/>
  <c r="Q187" i="5"/>
  <c r="M187" i="5"/>
  <c r="I187" i="5"/>
  <c r="E187" i="5"/>
  <c r="AH177" i="5"/>
  <c r="AD177" i="5"/>
  <c r="Z177" i="5"/>
  <c r="V177" i="5"/>
  <c r="R177" i="5"/>
  <c r="N177" i="5"/>
  <c r="J177" i="5"/>
  <c r="F177" i="5"/>
  <c r="H175" i="5"/>
  <c r="L175" i="5"/>
  <c r="P175" i="5"/>
  <c r="T175" i="5"/>
  <c r="E174" i="5"/>
  <c r="I174" i="5"/>
  <c r="M174" i="5"/>
  <c r="Q174" i="5"/>
  <c r="U174" i="5"/>
  <c r="Y174" i="5"/>
  <c r="AC174" i="5"/>
  <c r="AG174" i="5"/>
  <c r="F173" i="5"/>
  <c r="J173" i="5"/>
  <c r="N173" i="5"/>
  <c r="R173" i="5"/>
  <c r="V173" i="5"/>
  <c r="Z173" i="5"/>
  <c r="AD173" i="5"/>
  <c r="AH173" i="5"/>
  <c r="H171" i="5"/>
  <c r="L171" i="5"/>
  <c r="P171" i="5"/>
  <c r="T171" i="5"/>
  <c r="X171" i="5"/>
  <c r="AB171" i="5"/>
  <c r="AF171" i="5"/>
  <c r="E170" i="5"/>
  <c r="I170" i="5"/>
  <c r="M170" i="5"/>
  <c r="Q170" i="5"/>
  <c r="U170" i="5"/>
  <c r="Y170" i="5"/>
  <c r="AC170" i="5"/>
  <c r="AG170" i="5"/>
  <c r="F169" i="5"/>
  <c r="J169" i="5"/>
  <c r="N169" i="5"/>
  <c r="R169" i="5"/>
  <c r="V169" i="5"/>
  <c r="Z169" i="5"/>
  <c r="AD169" i="5"/>
  <c r="AH169" i="5"/>
  <c r="AH158" i="5"/>
  <c r="AC158" i="5"/>
  <c r="W158" i="5"/>
  <c r="R158" i="5"/>
  <c r="M158" i="5"/>
  <c r="G158" i="5"/>
  <c r="AD212" i="5"/>
  <c r="V212" i="5"/>
  <c r="N212" i="5"/>
  <c r="J212" i="5"/>
  <c r="F212" i="5"/>
  <c r="AF212" i="5"/>
  <c r="AB212" i="5"/>
  <c r="X212" i="5"/>
  <c r="T212" i="5"/>
  <c r="P212" i="5"/>
  <c r="L212" i="5"/>
  <c r="AG211" i="5"/>
  <c r="AC211" i="5"/>
  <c r="Y211" i="5"/>
  <c r="U211" i="5"/>
  <c r="Q211" i="5"/>
  <c r="M211" i="5"/>
  <c r="I211" i="5"/>
  <c r="AF208" i="5"/>
  <c r="AB208" i="5"/>
  <c r="X208" i="5"/>
  <c r="T208" i="5"/>
  <c r="P208" i="5"/>
  <c r="L208" i="5"/>
  <c r="AG207" i="5"/>
  <c r="AC207" i="5"/>
  <c r="Y207" i="5"/>
  <c r="U207" i="5"/>
  <c r="Q207" i="5"/>
  <c r="M207" i="5"/>
  <c r="I207" i="5"/>
  <c r="E207" i="5"/>
  <c r="AF195" i="5"/>
  <c r="AB195" i="5"/>
  <c r="X195" i="5"/>
  <c r="T195" i="5"/>
  <c r="P195" i="5"/>
  <c r="L195" i="5"/>
  <c r="AG194" i="5"/>
  <c r="AC194" i="5"/>
  <c r="Y194" i="5"/>
  <c r="U194" i="5"/>
  <c r="Q194" i="5"/>
  <c r="M194" i="5"/>
  <c r="I194" i="5"/>
  <c r="E194" i="5"/>
  <c r="AF191" i="5"/>
  <c r="AB191" i="5"/>
  <c r="X191" i="5"/>
  <c r="T191" i="5"/>
  <c r="P191" i="5"/>
  <c r="L191" i="5"/>
  <c r="AG190" i="5"/>
  <c r="AC190" i="5"/>
  <c r="Y190" i="5"/>
  <c r="U190" i="5"/>
  <c r="Q190" i="5"/>
  <c r="M190" i="5"/>
  <c r="I190" i="5"/>
  <c r="E190" i="5"/>
  <c r="AF187" i="5"/>
  <c r="AB187" i="5"/>
  <c r="X187" i="5"/>
  <c r="T187" i="5"/>
  <c r="P187" i="5"/>
  <c r="L187" i="5"/>
  <c r="AG177" i="5"/>
  <c r="AC177" i="5"/>
  <c r="Y177" i="5"/>
  <c r="U177" i="5"/>
  <c r="Q177" i="5"/>
  <c r="M177" i="5"/>
  <c r="I177" i="5"/>
  <c r="E177" i="5"/>
  <c r="AG158" i="5"/>
  <c r="AA158" i="5"/>
  <c r="V158" i="5"/>
  <c r="Q158" i="5"/>
  <c r="K158" i="5"/>
  <c r="F158" i="5"/>
  <c r="AF207" i="5"/>
  <c r="AB207" i="5"/>
  <c r="X207" i="5"/>
  <c r="T207" i="5"/>
  <c r="P207" i="5"/>
  <c r="L207" i="5"/>
  <c r="AF194" i="5"/>
  <c r="AB194" i="5"/>
  <c r="X194" i="5"/>
  <c r="T194" i="5"/>
  <c r="P194" i="5"/>
  <c r="L194" i="5"/>
  <c r="AF190" i="5"/>
  <c r="AB190" i="5"/>
  <c r="X190" i="5"/>
  <c r="T190" i="5"/>
  <c r="P190" i="5"/>
  <c r="L190" i="5"/>
  <c r="AF177" i="5"/>
  <c r="AB177" i="5"/>
  <c r="X177" i="5"/>
  <c r="T177" i="5"/>
  <c r="P177" i="5"/>
  <c r="L177" i="5"/>
  <c r="AE158" i="5"/>
  <c r="Z158" i="5"/>
  <c r="U158" i="5"/>
  <c r="O158" i="5"/>
  <c r="J158" i="5"/>
  <c r="E158" i="5"/>
  <c r="H156" i="5"/>
  <c r="L156" i="5"/>
  <c r="P156" i="5"/>
  <c r="T156" i="5"/>
  <c r="X156" i="5"/>
  <c r="AB156" i="5"/>
  <c r="AF156" i="5"/>
  <c r="F156" i="5"/>
  <c r="J156" i="5"/>
  <c r="N156" i="5"/>
  <c r="R156" i="5"/>
  <c r="V156" i="5"/>
  <c r="Z156" i="5"/>
  <c r="AD156" i="5"/>
  <c r="AH156" i="5"/>
  <c r="AG157" i="5"/>
  <c r="AC157" i="5"/>
  <c r="Y157" i="5"/>
  <c r="U157" i="5"/>
  <c r="Q157" i="5"/>
  <c r="M157" i="5"/>
  <c r="I157" i="5"/>
  <c r="AF154" i="5"/>
  <c r="AB154" i="5"/>
  <c r="X154" i="5"/>
  <c r="T154" i="5"/>
  <c r="P154" i="5"/>
  <c r="L154" i="5"/>
  <c r="H154" i="5"/>
  <c r="AG153" i="5"/>
  <c r="AC153" i="5"/>
  <c r="Y153" i="5"/>
  <c r="U153" i="5"/>
  <c r="Q153" i="5"/>
  <c r="M153" i="5"/>
  <c r="I153" i="5"/>
  <c r="AH152" i="5"/>
  <c r="AD152" i="5"/>
  <c r="Z152" i="5"/>
  <c r="V152" i="5"/>
  <c r="R152" i="5"/>
  <c r="N152" i="5"/>
  <c r="J152" i="5"/>
  <c r="F152" i="5"/>
  <c r="AF141" i="5"/>
  <c r="AB141" i="5"/>
  <c r="X141" i="5"/>
  <c r="T141" i="5"/>
  <c r="P141" i="5"/>
  <c r="L141" i="5"/>
  <c r="H141" i="5"/>
  <c r="AF140" i="5"/>
  <c r="AA140" i="5"/>
  <c r="V140" i="5"/>
  <c r="P140" i="5"/>
  <c r="K140" i="5"/>
  <c r="AF139" i="5"/>
  <c r="AA139" i="5"/>
  <c r="U139" i="5"/>
  <c r="P139" i="5"/>
  <c r="K139" i="5"/>
  <c r="AG137" i="5"/>
  <c r="AA137" i="5"/>
  <c r="V137" i="5"/>
  <c r="Q137" i="5"/>
  <c r="K137" i="5"/>
  <c r="AF136" i="5"/>
  <c r="AA136" i="5"/>
  <c r="V136" i="5"/>
  <c r="P136" i="5"/>
  <c r="K136" i="5"/>
  <c r="F135" i="5"/>
  <c r="J135" i="5"/>
  <c r="N135" i="5"/>
  <c r="R135" i="5"/>
  <c r="V135" i="5"/>
  <c r="Z135" i="5"/>
  <c r="AD135" i="5"/>
  <c r="AH135" i="5"/>
  <c r="H135" i="5"/>
  <c r="AE122" i="5"/>
  <c r="O122" i="5"/>
  <c r="AG152" i="5"/>
  <c r="AC152" i="5"/>
  <c r="Y152" i="5"/>
  <c r="U152" i="5"/>
  <c r="Q152" i="5"/>
  <c r="M152" i="5"/>
  <c r="I152" i="5"/>
  <c r="E152" i="5"/>
  <c r="AH154" i="5"/>
  <c r="AD154" i="5"/>
  <c r="Z154" i="5"/>
  <c r="V154" i="5"/>
  <c r="R154" i="5"/>
  <c r="N154" i="5"/>
  <c r="J154" i="5"/>
  <c r="AF152" i="5"/>
  <c r="AB152" i="5"/>
  <c r="X152" i="5"/>
  <c r="T152" i="5"/>
  <c r="P152" i="5"/>
  <c r="L152" i="5"/>
  <c r="AH141" i="5"/>
  <c r="AD141" i="5"/>
  <c r="Z141" i="5"/>
  <c r="V141" i="5"/>
  <c r="R141" i="5"/>
  <c r="N141" i="5"/>
  <c r="J141" i="5"/>
  <c r="E140" i="5"/>
  <c r="I140" i="5"/>
  <c r="M140" i="5"/>
  <c r="Q140" i="5"/>
  <c r="U140" i="5"/>
  <c r="Y140" i="5"/>
  <c r="AC140" i="5"/>
  <c r="AG140" i="5"/>
  <c r="F139" i="5"/>
  <c r="J139" i="5"/>
  <c r="N139" i="5"/>
  <c r="R139" i="5"/>
  <c r="V139" i="5"/>
  <c r="Z139" i="5"/>
  <c r="AD139" i="5"/>
  <c r="AH139" i="5"/>
  <c r="H137" i="5"/>
  <c r="L137" i="5"/>
  <c r="P137" i="5"/>
  <c r="T137" i="5"/>
  <c r="X137" i="5"/>
  <c r="AB137" i="5"/>
  <c r="AF137" i="5"/>
  <c r="E136" i="5"/>
  <c r="I136" i="5"/>
  <c r="M136" i="5"/>
  <c r="Q136" i="5"/>
  <c r="U136" i="5"/>
  <c r="Y136" i="5"/>
  <c r="AC136" i="5"/>
  <c r="AG136" i="5"/>
  <c r="E122" i="5"/>
  <c r="I122" i="5"/>
  <c r="M122" i="5"/>
  <c r="Q122" i="5"/>
  <c r="U122" i="5"/>
  <c r="Y122" i="5"/>
  <c r="AC122" i="5"/>
  <c r="AG122" i="5"/>
  <c r="F122" i="5"/>
  <c r="J122" i="5"/>
  <c r="N122" i="5"/>
  <c r="R122" i="5"/>
  <c r="V122" i="5"/>
  <c r="Z122" i="5"/>
  <c r="AD122" i="5"/>
  <c r="AH122" i="5"/>
  <c r="H122" i="5"/>
  <c r="L122" i="5"/>
  <c r="P122" i="5"/>
  <c r="T122" i="5"/>
  <c r="X122" i="5"/>
  <c r="AB122" i="5"/>
  <c r="AF122" i="5"/>
  <c r="V133" i="5"/>
  <c r="R133" i="5"/>
  <c r="N133" i="5"/>
  <c r="J133" i="5"/>
  <c r="F133" i="5"/>
  <c r="AG121" i="5"/>
  <c r="AC121" i="5"/>
  <c r="Y121" i="5"/>
  <c r="U121" i="5"/>
  <c r="Q121" i="5"/>
  <c r="M121" i="5"/>
  <c r="I121" i="5"/>
  <c r="E121" i="5"/>
  <c r="AE120" i="5"/>
  <c r="Z120" i="5"/>
  <c r="T120" i="5"/>
  <c r="O120" i="5"/>
  <c r="AE119" i="5"/>
  <c r="Y119" i="5"/>
  <c r="T119" i="5"/>
  <c r="O119" i="5"/>
  <c r="AE117" i="5"/>
  <c r="Z117" i="5"/>
  <c r="U117" i="5"/>
  <c r="O117" i="5"/>
  <c r="J117" i="5"/>
  <c r="AE116" i="5"/>
  <c r="Z116" i="5"/>
  <c r="T116" i="5"/>
  <c r="O116" i="5"/>
  <c r="H99" i="5"/>
  <c r="L99" i="5"/>
  <c r="P99" i="5"/>
  <c r="T99" i="5"/>
  <c r="X99" i="5"/>
  <c r="AB99" i="5"/>
  <c r="AF99" i="5"/>
  <c r="E99" i="5"/>
  <c r="I99" i="5"/>
  <c r="M99" i="5"/>
  <c r="Q99" i="5"/>
  <c r="U99" i="5"/>
  <c r="Y99" i="5"/>
  <c r="AC99" i="5"/>
  <c r="AG99" i="5"/>
  <c r="F99" i="5"/>
  <c r="J99" i="5"/>
  <c r="N99" i="5"/>
  <c r="R99" i="5"/>
  <c r="V99" i="5"/>
  <c r="Z99" i="5"/>
  <c r="AD99" i="5"/>
  <c r="AH99" i="5"/>
  <c r="E120" i="5"/>
  <c r="I120" i="5"/>
  <c r="M120" i="5"/>
  <c r="Q120" i="5"/>
  <c r="U120" i="5"/>
  <c r="Y120" i="5"/>
  <c r="AC120" i="5"/>
  <c r="AG120" i="5"/>
  <c r="F119" i="5"/>
  <c r="J119" i="5"/>
  <c r="N119" i="5"/>
  <c r="R119" i="5"/>
  <c r="V119" i="5"/>
  <c r="Z119" i="5"/>
  <c r="AD119" i="5"/>
  <c r="AH119" i="5"/>
  <c r="H117" i="5"/>
  <c r="L117" i="5"/>
  <c r="P117" i="5"/>
  <c r="T117" i="5"/>
  <c r="X117" i="5"/>
  <c r="AB117" i="5"/>
  <c r="AF117" i="5"/>
  <c r="E116" i="5"/>
  <c r="I116" i="5"/>
  <c r="M116" i="5"/>
  <c r="Q116" i="5"/>
  <c r="U116" i="5"/>
  <c r="Y116" i="5"/>
  <c r="AC116" i="5"/>
  <c r="AG116" i="5"/>
  <c r="AE99" i="5"/>
  <c r="O99" i="5"/>
  <c r="H64" i="5"/>
  <c r="L64" i="5"/>
  <c r="P64" i="5"/>
  <c r="T64" i="5"/>
  <c r="X64" i="5"/>
  <c r="AB64" i="5"/>
  <c r="AF64" i="5"/>
  <c r="E64" i="5"/>
  <c r="I64" i="5"/>
  <c r="M64" i="5"/>
  <c r="Q64" i="5"/>
  <c r="U64" i="5"/>
  <c r="Y64" i="5"/>
  <c r="AC64" i="5"/>
  <c r="AG64" i="5"/>
  <c r="F64" i="5"/>
  <c r="J64" i="5"/>
  <c r="N64" i="5"/>
  <c r="R64" i="5"/>
  <c r="V64" i="5"/>
  <c r="Z64" i="5"/>
  <c r="AD64" i="5"/>
  <c r="AH64" i="5"/>
  <c r="G64" i="5"/>
  <c r="W64" i="5"/>
  <c r="K64" i="5"/>
  <c r="AA64" i="5"/>
  <c r="O64" i="5"/>
  <c r="AE64" i="5"/>
  <c r="AF133" i="5"/>
  <c r="AB133" i="5"/>
  <c r="X133" i="5"/>
  <c r="T133" i="5"/>
  <c r="P133" i="5"/>
  <c r="L133" i="5"/>
  <c r="AG132" i="5"/>
  <c r="AC132" i="5"/>
  <c r="Y132" i="5"/>
  <c r="U132" i="5"/>
  <c r="Q132" i="5"/>
  <c r="M132" i="5"/>
  <c r="I132" i="5"/>
  <c r="AI121" i="5"/>
  <c r="AE121" i="5"/>
  <c r="AA121" i="5"/>
  <c r="W121" i="5"/>
  <c r="S121" i="5"/>
  <c r="O121" i="5"/>
  <c r="K121" i="5"/>
  <c r="G121" i="5"/>
  <c r="AH120" i="5"/>
  <c r="AB120" i="5"/>
  <c r="W120" i="5"/>
  <c r="R120" i="5"/>
  <c r="L120" i="5"/>
  <c r="G120" i="5"/>
  <c r="AG119" i="5"/>
  <c r="AB119" i="5"/>
  <c r="W119" i="5"/>
  <c r="Q119" i="5"/>
  <c r="L119" i="5"/>
  <c r="G119" i="5"/>
  <c r="AH117" i="5"/>
  <c r="AC117" i="5"/>
  <c r="W117" i="5"/>
  <c r="R117" i="5"/>
  <c r="M117" i="5"/>
  <c r="G117" i="5"/>
  <c r="AH116" i="5"/>
  <c r="AB116" i="5"/>
  <c r="W116" i="5"/>
  <c r="R116" i="5"/>
  <c r="L116" i="5"/>
  <c r="G116" i="5"/>
  <c r="H113" i="5"/>
  <c r="L113" i="5"/>
  <c r="P113" i="5"/>
  <c r="T113" i="5"/>
  <c r="X113" i="5"/>
  <c r="AB113" i="5"/>
  <c r="AF113" i="5"/>
  <c r="E113" i="5"/>
  <c r="I113" i="5"/>
  <c r="M113" i="5"/>
  <c r="Q113" i="5"/>
  <c r="U113" i="5"/>
  <c r="Y113" i="5"/>
  <c r="AC113" i="5"/>
  <c r="AG113" i="5"/>
  <c r="AB103" i="5"/>
  <c r="T103" i="5"/>
  <c r="AA99" i="5"/>
  <c r="K99" i="5"/>
  <c r="AD98" i="5"/>
  <c r="F97" i="5"/>
  <c r="J97" i="5"/>
  <c r="N97" i="5"/>
  <c r="R97" i="5"/>
  <c r="V97" i="5"/>
  <c r="Z97" i="5"/>
  <c r="AD97" i="5"/>
  <c r="AH97" i="5"/>
  <c r="I97" i="5"/>
  <c r="O97" i="5"/>
  <c r="T97" i="5"/>
  <c r="Y97" i="5"/>
  <c r="AE97" i="5"/>
  <c r="E97" i="5"/>
  <c r="K97" i="5"/>
  <c r="P97" i="5"/>
  <c r="U97" i="5"/>
  <c r="AA97" i="5"/>
  <c r="AF97" i="5"/>
  <c r="G97" i="5"/>
  <c r="L97" i="5"/>
  <c r="Q97" i="5"/>
  <c r="W97" i="5"/>
  <c r="AB97" i="5"/>
  <c r="AG97" i="5"/>
  <c r="AH121" i="5"/>
  <c r="AD121" i="5"/>
  <c r="Z121" i="5"/>
  <c r="V121" i="5"/>
  <c r="R121" i="5"/>
  <c r="N121" i="5"/>
  <c r="J121" i="5"/>
  <c r="AF120" i="5"/>
  <c r="AA120" i="5"/>
  <c r="V120" i="5"/>
  <c r="P120" i="5"/>
  <c r="K120" i="5"/>
  <c r="F120" i="5"/>
  <c r="AF119" i="5"/>
  <c r="AA119" i="5"/>
  <c r="U119" i="5"/>
  <c r="P119" i="5"/>
  <c r="K119" i="5"/>
  <c r="E119" i="5"/>
  <c r="AG117" i="5"/>
  <c r="AA117" i="5"/>
  <c r="V117" i="5"/>
  <c r="Q117" i="5"/>
  <c r="K117" i="5"/>
  <c r="F117" i="5"/>
  <c r="AF116" i="5"/>
  <c r="AA116" i="5"/>
  <c r="V116" i="5"/>
  <c r="P116" i="5"/>
  <c r="K116" i="5"/>
  <c r="F116" i="5"/>
  <c r="E103" i="5"/>
  <c r="I103" i="5"/>
  <c r="M103" i="5"/>
  <c r="Q103" i="5"/>
  <c r="U103" i="5"/>
  <c r="Y103" i="5"/>
  <c r="AC103" i="5"/>
  <c r="AG103" i="5"/>
  <c r="F103" i="5"/>
  <c r="J103" i="5"/>
  <c r="N103" i="5"/>
  <c r="R103" i="5"/>
  <c r="V103" i="5"/>
  <c r="Z103" i="5"/>
  <c r="AD103" i="5"/>
  <c r="AH103" i="5"/>
  <c r="W99" i="5"/>
  <c r="G99" i="5"/>
  <c r="E98" i="5"/>
  <c r="I98" i="5"/>
  <c r="M98" i="5"/>
  <c r="Q98" i="5"/>
  <c r="U98" i="5"/>
  <c r="Y98" i="5"/>
  <c r="AC98" i="5"/>
  <c r="AG98" i="5"/>
  <c r="J98" i="5"/>
  <c r="O98" i="5"/>
  <c r="T98" i="5"/>
  <c r="Z98" i="5"/>
  <c r="AE98" i="5"/>
  <c r="F98" i="5"/>
  <c r="K98" i="5"/>
  <c r="P98" i="5"/>
  <c r="V98" i="5"/>
  <c r="AA98" i="5"/>
  <c r="AF98" i="5"/>
  <c r="G98" i="5"/>
  <c r="L98" i="5"/>
  <c r="R98" i="5"/>
  <c r="W98" i="5"/>
  <c r="AB98" i="5"/>
  <c r="AH98" i="5"/>
  <c r="AI64" i="5"/>
  <c r="AG100" i="5"/>
  <c r="AC100" i="5"/>
  <c r="Y100" i="5"/>
  <c r="U100" i="5"/>
  <c r="Q100" i="5"/>
  <c r="M100" i="5"/>
  <c r="I100" i="5"/>
  <c r="E100" i="5"/>
  <c r="AG86" i="5"/>
  <c r="AA86" i="5"/>
  <c r="V86" i="5"/>
  <c r="Q86" i="5"/>
  <c r="K86" i="5"/>
  <c r="F86" i="5"/>
  <c r="AF85" i="5"/>
  <c r="AA85" i="5"/>
  <c r="V85" i="5"/>
  <c r="P85" i="5"/>
  <c r="K85" i="5"/>
  <c r="F85" i="5"/>
  <c r="AF84" i="5"/>
  <c r="AA84" i="5"/>
  <c r="U84" i="5"/>
  <c r="P84" i="5"/>
  <c r="K84" i="5"/>
  <c r="E84" i="5"/>
  <c r="E72" i="5"/>
  <c r="I72" i="5"/>
  <c r="M72" i="5"/>
  <c r="Q72" i="5"/>
  <c r="U72" i="5"/>
  <c r="Y72" i="5"/>
  <c r="AC72" i="5"/>
  <c r="AG72" i="5"/>
  <c r="F72" i="5"/>
  <c r="J72" i="5"/>
  <c r="N72" i="5"/>
  <c r="R72" i="5"/>
  <c r="V72" i="5"/>
  <c r="Z72" i="5"/>
  <c r="AD72" i="5"/>
  <c r="AH72" i="5"/>
  <c r="H68" i="5"/>
  <c r="L68" i="5"/>
  <c r="P68" i="5"/>
  <c r="T68" i="5"/>
  <c r="X68" i="5"/>
  <c r="AB68" i="5"/>
  <c r="AF68" i="5"/>
  <c r="E68" i="5"/>
  <c r="I68" i="5"/>
  <c r="M68" i="5"/>
  <c r="Q68" i="5"/>
  <c r="U68" i="5"/>
  <c r="Y68" i="5"/>
  <c r="AC68" i="5"/>
  <c r="AG68" i="5"/>
  <c r="F68" i="5"/>
  <c r="J68" i="5"/>
  <c r="N68" i="5"/>
  <c r="R68" i="5"/>
  <c r="V68" i="5"/>
  <c r="Z68" i="5"/>
  <c r="AD68" i="5"/>
  <c r="AH68" i="5"/>
  <c r="F46" i="5"/>
  <c r="J46" i="5"/>
  <c r="N46" i="5"/>
  <c r="R46" i="5"/>
  <c r="I46" i="5"/>
  <c r="O46" i="5"/>
  <c r="T46" i="5"/>
  <c r="X46" i="5"/>
  <c r="AB46" i="5"/>
  <c r="AF46" i="5"/>
  <c r="E46" i="5"/>
  <c r="K46" i="5"/>
  <c r="P46" i="5"/>
  <c r="U46" i="5"/>
  <c r="Y46" i="5"/>
  <c r="AC46" i="5"/>
  <c r="AG46" i="5"/>
  <c r="G46" i="5"/>
  <c r="L46" i="5"/>
  <c r="Q46" i="5"/>
  <c r="V46" i="5"/>
  <c r="Z46" i="5"/>
  <c r="AD46" i="5"/>
  <c r="AH46" i="5"/>
  <c r="H46" i="5"/>
  <c r="AA46" i="5"/>
  <c r="M46" i="5"/>
  <c r="AE46" i="5"/>
  <c r="S46" i="5"/>
  <c r="AI46" i="5"/>
  <c r="AH115" i="5"/>
  <c r="AD115" i="5"/>
  <c r="Z115" i="5"/>
  <c r="V115" i="5"/>
  <c r="R115" i="5"/>
  <c r="N115" i="5"/>
  <c r="J115" i="5"/>
  <c r="AH102" i="5"/>
  <c r="AD102" i="5"/>
  <c r="Z102" i="5"/>
  <c r="V102" i="5"/>
  <c r="R102" i="5"/>
  <c r="N102" i="5"/>
  <c r="J102" i="5"/>
  <c r="AF100" i="5"/>
  <c r="AB100" i="5"/>
  <c r="X100" i="5"/>
  <c r="T100" i="5"/>
  <c r="P100" i="5"/>
  <c r="L100" i="5"/>
  <c r="AE86" i="5"/>
  <c r="Z86" i="5"/>
  <c r="U86" i="5"/>
  <c r="O86" i="5"/>
  <c r="J86" i="5"/>
  <c r="AE85" i="5"/>
  <c r="Z85" i="5"/>
  <c r="T85" i="5"/>
  <c r="O85" i="5"/>
  <c r="AE84" i="5"/>
  <c r="Y84" i="5"/>
  <c r="T84" i="5"/>
  <c r="O84" i="5"/>
  <c r="X72" i="5"/>
  <c r="P72" i="5"/>
  <c r="H72" i="5"/>
  <c r="AE68" i="5"/>
  <c r="O68" i="5"/>
  <c r="H86" i="5"/>
  <c r="L86" i="5"/>
  <c r="P86" i="5"/>
  <c r="T86" i="5"/>
  <c r="X86" i="5"/>
  <c r="AB86" i="5"/>
  <c r="AF86" i="5"/>
  <c r="E85" i="5"/>
  <c r="I85" i="5"/>
  <c r="M85" i="5"/>
  <c r="Q85" i="5"/>
  <c r="U85" i="5"/>
  <c r="Y85" i="5"/>
  <c r="AC85" i="5"/>
  <c r="AG85" i="5"/>
  <c r="F84" i="5"/>
  <c r="J84" i="5"/>
  <c r="N84" i="5"/>
  <c r="R84" i="5"/>
  <c r="V84" i="5"/>
  <c r="Z84" i="5"/>
  <c r="AD84" i="5"/>
  <c r="AH84" i="5"/>
  <c r="AF82" i="5"/>
  <c r="AB82" i="5"/>
  <c r="X82" i="5"/>
  <c r="T82" i="5"/>
  <c r="P82" i="5"/>
  <c r="L82" i="5"/>
  <c r="AF70" i="5"/>
  <c r="AB70" i="5"/>
  <c r="X70" i="5"/>
  <c r="T70" i="5"/>
  <c r="P70" i="5"/>
  <c r="L70" i="5"/>
  <c r="AG69" i="5"/>
  <c r="AC69" i="5"/>
  <c r="Y69" i="5"/>
  <c r="U69" i="5"/>
  <c r="Q69" i="5"/>
  <c r="M69" i="5"/>
  <c r="I69" i="5"/>
  <c r="E69" i="5"/>
  <c r="AF66" i="5"/>
  <c r="AB66" i="5"/>
  <c r="X66" i="5"/>
  <c r="T66" i="5"/>
  <c r="P66" i="5"/>
  <c r="L66" i="5"/>
  <c r="AG65" i="5"/>
  <c r="AC65" i="5"/>
  <c r="Y65" i="5"/>
  <c r="U65" i="5"/>
  <c r="Q65" i="5"/>
  <c r="M65" i="5"/>
  <c r="I65" i="5"/>
  <c r="E65" i="5"/>
  <c r="AI63" i="5"/>
  <c r="AE63" i="5"/>
  <c r="AA63" i="5"/>
  <c r="W63" i="5"/>
  <c r="S63" i="5"/>
  <c r="O63" i="5"/>
  <c r="J63" i="5"/>
  <c r="O62" i="5"/>
  <c r="AF69" i="5"/>
  <c r="AB69" i="5"/>
  <c r="X69" i="5"/>
  <c r="T69" i="5"/>
  <c r="P69" i="5"/>
  <c r="L69" i="5"/>
  <c r="AF65" i="5"/>
  <c r="AB65" i="5"/>
  <c r="X65" i="5"/>
  <c r="T65" i="5"/>
  <c r="P65" i="5"/>
  <c r="L65" i="5"/>
  <c r="H63" i="5"/>
  <c r="L63" i="5"/>
  <c r="E62" i="5"/>
  <c r="I62" i="5"/>
  <c r="M62" i="5"/>
  <c r="Q62" i="5"/>
  <c r="U62" i="5"/>
  <c r="Y62" i="5"/>
  <c r="AC62" i="5"/>
  <c r="AG62" i="5"/>
  <c r="F61" i="5"/>
  <c r="J61" i="5"/>
  <c r="N61" i="5"/>
  <c r="R61" i="5"/>
  <c r="V61" i="5"/>
  <c r="Z61" i="5"/>
  <c r="AD61" i="5"/>
  <c r="AH61" i="5"/>
  <c r="E50" i="5"/>
  <c r="I50" i="5"/>
  <c r="M50" i="5"/>
  <c r="Q50" i="5"/>
  <c r="U50" i="5"/>
  <c r="Y50" i="5"/>
  <c r="AC50" i="5"/>
  <c r="AG50" i="5"/>
  <c r="AJ26" i="5"/>
  <c r="O26" i="16" s="1"/>
  <c r="AH49" i="5"/>
  <c r="AD49" i="5"/>
  <c r="Z49" i="5"/>
  <c r="V49" i="5"/>
  <c r="R49" i="5"/>
  <c r="N49" i="5"/>
  <c r="J49" i="5"/>
  <c r="F49" i="5"/>
  <c r="AF47" i="5"/>
  <c r="AB47" i="5"/>
  <c r="X47" i="5"/>
  <c r="T47" i="5"/>
  <c r="P47" i="5"/>
  <c r="L47" i="5"/>
  <c r="AD43" i="5"/>
  <c r="V43" i="5"/>
  <c r="N43" i="5"/>
  <c r="E42" i="5"/>
  <c r="I42" i="5"/>
  <c r="M42" i="5"/>
  <c r="Q42" i="5"/>
  <c r="U42" i="5"/>
  <c r="Y42" i="5"/>
  <c r="AC42" i="5"/>
  <c r="AG42" i="5"/>
  <c r="F42" i="5"/>
  <c r="J42" i="5"/>
  <c r="N42" i="5"/>
  <c r="R42" i="5"/>
  <c r="V42" i="5"/>
  <c r="Z42" i="5"/>
  <c r="AD42" i="5"/>
  <c r="AH42" i="5"/>
  <c r="W38" i="5"/>
  <c r="AG49" i="5"/>
  <c r="AC49" i="5"/>
  <c r="Y49" i="5"/>
  <c r="U49" i="5"/>
  <c r="Q49" i="5"/>
  <c r="M49" i="5"/>
  <c r="I49" i="5"/>
  <c r="H43" i="5"/>
  <c r="L43" i="5"/>
  <c r="P43" i="5"/>
  <c r="T43" i="5"/>
  <c r="X43" i="5"/>
  <c r="AB43" i="5"/>
  <c r="AF43" i="5"/>
  <c r="E43" i="5"/>
  <c r="I43" i="5"/>
  <c r="M43" i="5"/>
  <c r="Q43" i="5"/>
  <c r="U43" i="5"/>
  <c r="Y43" i="5"/>
  <c r="AC43" i="5"/>
  <c r="AG43" i="5"/>
  <c r="H38" i="5"/>
  <c r="L38" i="5"/>
  <c r="P38" i="5"/>
  <c r="T38" i="5"/>
  <c r="X38" i="5"/>
  <c r="AB38" i="5"/>
  <c r="AF38" i="5"/>
  <c r="E38" i="5"/>
  <c r="I38" i="5"/>
  <c r="M38" i="5"/>
  <c r="Q38" i="5"/>
  <c r="U38" i="5"/>
  <c r="Y38" i="5"/>
  <c r="AC38" i="5"/>
  <c r="AG38" i="5"/>
  <c r="F38" i="5"/>
  <c r="J38" i="5"/>
  <c r="N38" i="5"/>
  <c r="R38" i="5"/>
  <c r="V38" i="5"/>
  <c r="Z38" i="5"/>
  <c r="AD38" i="5"/>
  <c r="AH38" i="5"/>
  <c r="AJ25" i="5"/>
  <c r="O25" i="16" s="1"/>
  <c r="F27" i="5"/>
  <c r="F28" i="5" s="1"/>
  <c r="AF44" i="5"/>
  <c r="AB44" i="5"/>
  <c r="X44" i="5"/>
  <c r="T44" i="5"/>
  <c r="P44" i="5"/>
  <c r="L44" i="5"/>
  <c r="X40" i="5"/>
  <c r="T40" i="5"/>
  <c r="P40" i="5"/>
  <c r="L40" i="5"/>
  <c r="AG39" i="5"/>
  <c r="AC39" i="5"/>
  <c r="Y39" i="5"/>
  <c r="U39" i="5"/>
  <c r="Q39" i="5"/>
  <c r="M39" i="5"/>
  <c r="I39" i="5"/>
  <c r="E39" i="5"/>
  <c r="AF39" i="5"/>
  <c r="AB39" i="5"/>
  <c r="X39" i="5"/>
  <c r="T39" i="5"/>
  <c r="P39" i="5"/>
  <c r="L39" i="5"/>
  <c r="H176" i="4"/>
  <c r="L176" i="4"/>
  <c r="P176" i="4"/>
  <c r="T176" i="4"/>
  <c r="X176" i="4"/>
  <c r="AB176" i="4"/>
  <c r="AF176" i="4"/>
  <c r="E176" i="4"/>
  <c r="J176" i="4"/>
  <c r="O176" i="4"/>
  <c r="U176" i="4"/>
  <c r="Z176" i="4"/>
  <c r="AE176" i="4"/>
  <c r="F176" i="4"/>
  <c r="K176" i="4"/>
  <c r="Q176" i="4"/>
  <c r="V176" i="4"/>
  <c r="AA176" i="4"/>
  <c r="AG176" i="4"/>
  <c r="F174" i="4"/>
  <c r="J174" i="4"/>
  <c r="N174" i="4"/>
  <c r="R174" i="4"/>
  <c r="V174" i="4"/>
  <c r="Z174" i="4"/>
  <c r="AD174" i="4"/>
  <c r="AH174" i="4"/>
  <c r="I174" i="4"/>
  <c r="O174" i="4"/>
  <c r="T174" i="4"/>
  <c r="Y174" i="4"/>
  <c r="AE174" i="4"/>
  <c r="E174" i="4"/>
  <c r="K174" i="4"/>
  <c r="P174" i="4"/>
  <c r="U174" i="4"/>
  <c r="AA174" i="4"/>
  <c r="AF174" i="4"/>
  <c r="H172" i="4"/>
  <c r="L172" i="4"/>
  <c r="P172" i="4"/>
  <c r="T172" i="4"/>
  <c r="X172" i="4"/>
  <c r="AB172" i="4"/>
  <c r="AF172" i="4"/>
  <c r="E172" i="4"/>
  <c r="J172" i="4"/>
  <c r="O172" i="4"/>
  <c r="U172" i="4"/>
  <c r="Z172" i="4"/>
  <c r="AE172" i="4"/>
  <c r="F172" i="4"/>
  <c r="K172" i="4"/>
  <c r="Q172" i="4"/>
  <c r="V172" i="4"/>
  <c r="AA172" i="4"/>
  <c r="AG172" i="4"/>
  <c r="F170" i="4"/>
  <c r="J170" i="4"/>
  <c r="N170" i="4"/>
  <c r="R170" i="4"/>
  <c r="V170" i="4"/>
  <c r="Z170" i="4"/>
  <c r="AD170" i="4"/>
  <c r="AH170" i="4"/>
  <c r="I170" i="4"/>
  <c r="O170" i="4"/>
  <c r="T170" i="4"/>
  <c r="Y170" i="4"/>
  <c r="AE170" i="4"/>
  <c r="E170" i="4"/>
  <c r="K170" i="4"/>
  <c r="P170" i="4"/>
  <c r="U170" i="4"/>
  <c r="AA170" i="4"/>
  <c r="AF170" i="4"/>
  <c r="H168" i="4"/>
  <c r="L168" i="4"/>
  <c r="P168" i="4"/>
  <c r="T168" i="4"/>
  <c r="X168" i="4"/>
  <c r="AB168" i="4"/>
  <c r="AF168" i="4"/>
  <c r="E168" i="4"/>
  <c r="J168" i="4"/>
  <c r="O168" i="4"/>
  <c r="U168" i="4"/>
  <c r="Z168" i="4"/>
  <c r="AE168" i="4"/>
  <c r="F168" i="4"/>
  <c r="K168" i="4"/>
  <c r="Q168" i="4"/>
  <c r="V168" i="4"/>
  <c r="AA168" i="4"/>
  <c r="AG168" i="4"/>
  <c r="F195" i="4"/>
  <c r="J195" i="4"/>
  <c r="N195" i="4"/>
  <c r="R195" i="4"/>
  <c r="V195" i="4"/>
  <c r="Z195" i="4"/>
  <c r="AD195" i="4"/>
  <c r="AH195" i="4"/>
  <c r="I195" i="4"/>
  <c r="O195" i="4"/>
  <c r="T195" i="4"/>
  <c r="Y195" i="4"/>
  <c r="AE195" i="4"/>
  <c r="AF212" i="4"/>
  <c r="AB212" i="4"/>
  <c r="X212" i="4"/>
  <c r="T212" i="4"/>
  <c r="P212" i="4"/>
  <c r="L212" i="4"/>
  <c r="H212" i="4"/>
  <c r="AH210" i="4"/>
  <c r="AD210" i="4"/>
  <c r="Z210" i="4"/>
  <c r="V210" i="4"/>
  <c r="R210" i="4"/>
  <c r="N210" i="4"/>
  <c r="J210" i="4"/>
  <c r="F210" i="4"/>
  <c r="AF208" i="4"/>
  <c r="AB208" i="4"/>
  <c r="X208" i="4"/>
  <c r="T208" i="4"/>
  <c r="P208" i="4"/>
  <c r="L208" i="4"/>
  <c r="H208" i="4"/>
  <c r="AG207" i="4"/>
  <c r="AC207" i="4"/>
  <c r="Y207" i="4"/>
  <c r="U207" i="4"/>
  <c r="Q207" i="4"/>
  <c r="M207" i="4"/>
  <c r="I207" i="4"/>
  <c r="AC195" i="4"/>
  <c r="W195" i="4"/>
  <c r="P195" i="4"/>
  <c r="H195" i="4"/>
  <c r="AD192" i="4"/>
  <c r="W192" i="4"/>
  <c r="P192" i="4"/>
  <c r="AF191" i="4"/>
  <c r="X191" i="4"/>
  <c r="Q191" i="4"/>
  <c r="AH188" i="4"/>
  <c r="W188" i="4"/>
  <c r="AH176" i="4"/>
  <c r="W176" i="4"/>
  <c r="M176" i="4"/>
  <c r="AG174" i="4"/>
  <c r="W174" i="4"/>
  <c r="L174" i="4"/>
  <c r="AH172" i="4"/>
  <c r="W172" i="4"/>
  <c r="M172" i="4"/>
  <c r="AG170" i="4"/>
  <c r="W170" i="4"/>
  <c r="L170" i="4"/>
  <c r="AH168" i="4"/>
  <c r="W168" i="4"/>
  <c r="M168" i="4"/>
  <c r="E103" i="4"/>
  <c r="I103" i="4"/>
  <c r="M103" i="4"/>
  <c r="Q103" i="4"/>
  <c r="U103" i="4"/>
  <c r="Y103" i="4"/>
  <c r="AC103" i="4"/>
  <c r="AG103" i="4"/>
  <c r="J103" i="4"/>
  <c r="O103" i="4"/>
  <c r="T103" i="4"/>
  <c r="Z103" i="4"/>
  <c r="AE103" i="4"/>
  <c r="F103" i="4"/>
  <c r="K103" i="4"/>
  <c r="P103" i="4"/>
  <c r="V103" i="4"/>
  <c r="AA103" i="4"/>
  <c r="AF103" i="4"/>
  <c r="G103" i="4"/>
  <c r="L103" i="4"/>
  <c r="R103" i="4"/>
  <c r="W103" i="4"/>
  <c r="AB103" i="4"/>
  <c r="AH103" i="4"/>
  <c r="H103" i="4"/>
  <c r="AD103" i="4"/>
  <c r="N103" i="4"/>
  <c r="AI103" i="4"/>
  <c r="S103" i="4"/>
  <c r="E192" i="4"/>
  <c r="I192" i="4"/>
  <c r="M192" i="4"/>
  <c r="Q192" i="4"/>
  <c r="U192" i="4"/>
  <c r="Y192" i="4"/>
  <c r="AC192" i="4"/>
  <c r="AG192" i="4"/>
  <c r="J192" i="4"/>
  <c r="O192" i="4"/>
  <c r="T192" i="4"/>
  <c r="Z192" i="4"/>
  <c r="AE192" i="4"/>
  <c r="E188" i="4"/>
  <c r="I188" i="4"/>
  <c r="M188" i="4"/>
  <c r="Q188" i="4"/>
  <c r="U188" i="4"/>
  <c r="Y188" i="4"/>
  <c r="AC188" i="4"/>
  <c r="AG188" i="4"/>
  <c r="J188" i="4"/>
  <c r="O188" i="4"/>
  <c r="T188" i="4"/>
  <c r="Z188" i="4"/>
  <c r="AE188" i="4"/>
  <c r="F188" i="4"/>
  <c r="K188" i="4"/>
  <c r="P188" i="4"/>
  <c r="V188" i="4"/>
  <c r="AA188" i="4"/>
  <c r="AF188" i="4"/>
  <c r="AG210" i="4"/>
  <c r="U210" i="4"/>
  <c r="M210" i="4"/>
  <c r="I210" i="4"/>
  <c r="E210" i="4"/>
  <c r="AI195" i="4"/>
  <c r="AB195" i="4"/>
  <c r="U195" i="4"/>
  <c r="M195" i="4"/>
  <c r="G195" i="4"/>
  <c r="AI192" i="4"/>
  <c r="AB192" i="4"/>
  <c r="V192" i="4"/>
  <c r="N192" i="4"/>
  <c r="G192" i="4"/>
  <c r="F191" i="4"/>
  <c r="J191" i="4"/>
  <c r="N191" i="4"/>
  <c r="R191" i="4"/>
  <c r="V191" i="4"/>
  <c r="Z191" i="4"/>
  <c r="AD191" i="4"/>
  <c r="AH191" i="4"/>
  <c r="I191" i="4"/>
  <c r="O191" i="4"/>
  <c r="T191" i="4"/>
  <c r="Y191" i="4"/>
  <c r="AE191" i="4"/>
  <c r="E191" i="4"/>
  <c r="K191" i="4"/>
  <c r="P191" i="4"/>
  <c r="H189" i="4"/>
  <c r="L189" i="4"/>
  <c r="P189" i="4"/>
  <c r="T189" i="4"/>
  <c r="X189" i="4"/>
  <c r="AB189" i="4"/>
  <c r="AF189" i="4"/>
  <c r="E189" i="4"/>
  <c r="J189" i="4"/>
  <c r="O189" i="4"/>
  <c r="U189" i="4"/>
  <c r="Z189" i="4"/>
  <c r="AE189" i="4"/>
  <c r="F189" i="4"/>
  <c r="K189" i="4"/>
  <c r="Q189" i="4"/>
  <c r="V189" i="4"/>
  <c r="AA189" i="4"/>
  <c r="AG189" i="4"/>
  <c r="AD188" i="4"/>
  <c r="S188" i="4"/>
  <c r="H188" i="4"/>
  <c r="F187" i="4"/>
  <c r="J187" i="4"/>
  <c r="N187" i="4"/>
  <c r="R187" i="4"/>
  <c r="V187" i="4"/>
  <c r="Z187" i="4"/>
  <c r="AD187" i="4"/>
  <c r="AH187" i="4"/>
  <c r="I187" i="4"/>
  <c r="O187" i="4"/>
  <c r="T187" i="4"/>
  <c r="Y187" i="4"/>
  <c r="AE187" i="4"/>
  <c r="E187" i="4"/>
  <c r="K187" i="4"/>
  <c r="P187" i="4"/>
  <c r="U187" i="4"/>
  <c r="AA187" i="4"/>
  <c r="AF187" i="4"/>
  <c r="AD176" i="4"/>
  <c r="S176" i="4"/>
  <c r="I176" i="4"/>
  <c r="E175" i="4"/>
  <c r="I175" i="4"/>
  <c r="M175" i="4"/>
  <c r="Q175" i="4"/>
  <c r="U175" i="4"/>
  <c r="Y175" i="4"/>
  <c r="AC175" i="4"/>
  <c r="AG175" i="4"/>
  <c r="J175" i="4"/>
  <c r="O175" i="4"/>
  <c r="T175" i="4"/>
  <c r="Z175" i="4"/>
  <c r="AE175" i="4"/>
  <c r="F175" i="4"/>
  <c r="K175" i="4"/>
  <c r="P175" i="4"/>
  <c r="V175" i="4"/>
  <c r="AA175" i="4"/>
  <c r="AF175" i="4"/>
  <c r="AC174" i="4"/>
  <c r="S174" i="4"/>
  <c r="H174" i="4"/>
  <c r="AD172" i="4"/>
  <c r="S172" i="4"/>
  <c r="I172" i="4"/>
  <c r="E171" i="4"/>
  <c r="I171" i="4"/>
  <c r="M171" i="4"/>
  <c r="Q171" i="4"/>
  <c r="U171" i="4"/>
  <c r="Y171" i="4"/>
  <c r="AC171" i="4"/>
  <c r="AG171" i="4"/>
  <c r="J171" i="4"/>
  <c r="O171" i="4"/>
  <c r="T171" i="4"/>
  <c r="Z171" i="4"/>
  <c r="AE171" i="4"/>
  <c r="F171" i="4"/>
  <c r="K171" i="4"/>
  <c r="P171" i="4"/>
  <c r="V171" i="4"/>
  <c r="AA171" i="4"/>
  <c r="AF171" i="4"/>
  <c r="AC170" i="4"/>
  <c r="S170" i="4"/>
  <c r="H170" i="4"/>
  <c r="AD168" i="4"/>
  <c r="S168" i="4"/>
  <c r="I168" i="4"/>
  <c r="G212" i="4"/>
  <c r="AC210" i="4"/>
  <c r="Y210" i="4"/>
  <c r="Q210" i="4"/>
  <c r="AG213" i="4"/>
  <c r="AC213" i="4"/>
  <c r="Y213" i="4"/>
  <c r="U213" i="4"/>
  <c r="Q213" i="4"/>
  <c r="M213" i="4"/>
  <c r="I213" i="4"/>
  <c r="AH212" i="4"/>
  <c r="AD212" i="4"/>
  <c r="Z212" i="4"/>
  <c r="V212" i="4"/>
  <c r="R212" i="4"/>
  <c r="N212" i="4"/>
  <c r="J212" i="4"/>
  <c r="AF210" i="4"/>
  <c r="AB210" i="4"/>
  <c r="X210" i="4"/>
  <c r="T210" i="4"/>
  <c r="P210" i="4"/>
  <c r="L210" i="4"/>
  <c r="AG209" i="4"/>
  <c r="AC209" i="4"/>
  <c r="Y209" i="4"/>
  <c r="U209" i="4"/>
  <c r="Q209" i="4"/>
  <c r="M209" i="4"/>
  <c r="I209" i="4"/>
  <c r="AH208" i="4"/>
  <c r="AD208" i="4"/>
  <c r="Z208" i="4"/>
  <c r="V208" i="4"/>
  <c r="R208" i="4"/>
  <c r="N208" i="4"/>
  <c r="J208" i="4"/>
  <c r="AI207" i="4"/>
  <c r="AE207" i="4"/>
  <c r="AA207" i="4"/>
  <c r="W207" i="4"/>
  <c r="S207" i="4"/>
  <c r="O207" i="4"/>
  <c r="K207" i="4"/>
  <c r="G207" i="4"/>
  <c r="E196" i="4"/>
  <c r="I196" i="4"/>
  <c r="M196" i="4"/>
  <c r="Q196" i="4"/>
  <c r="U196" i="4"/>
  <c r="Y196" i="4"/>
  <c r="AC196" i="4"/>
  <c r="AG196" i="4"/>
  <c r="J196" i="4"/>
  <c r="O196" i="4"/>
  <c r="T196" i="4"/>
  <c r="Z196" i="4"/>
  <c r="AE196" i="4"/>
  <c r="AG195" i="4"/>
  <c r="AA195" i="4"/>
  <c r="S195" i="4"/>
  <c r="L195" i="4"/>
  <c r="E195" i="4"/>
  <c r="H193" i="4"/>
  <c r="L193" i="4"/>
  <c r="P193" i="4"/>
  <c r="T193" i="4"/>
  <c r="X193" i="4"/>
  <c r="AB193" i="4"/>
  <c r="AF193" i="4"/>
  <c r="E193" i="4"/>
  <c r="J193" i="4"/>
  <c r="O193" i="4"/>
  <c r="U193" i="4"/>
  <c r="Z193" i="4"/>
  <c r="AE193" i="4"/>
  <c r="AH192" i="4"/>
  <c r="AA192" i="4"/>
  <c r="S192" i="4"/>
  <c r="L192" i="4"/>
  <c r="F192" i="4"/>
  <c r="AI191" i="4"/>
  <c r="AB191" i="4"/>
  <c r="U191" i="4"/>
  <c r="L191" i="4"/>
  <c r="AH189" i="4"/>
  <c r="W189" i="4"/>
  <c r="M189" i="4"/>
  <c r="AB188" i="4"/>
  <c r="R188" i="4"/>
  <c r="G188" i="4"/>
  <c r="AG187" i="4"/>
  <c r="W187" i="4"/>
  <c r="L187" i="4"/>
  <c r="AC176" i="4"/>
  <c r="R176" i="4"/>
  <c r="G176" i="4"/>
  <c r="AH175" i="4"/>
  <c r="W175" i="4"/>
  <c r="L175" i="4"/>
  <c r="AB174" i="4"/>
  <c r="Q174" i="4"/>
  <c r="G174" i="4"/>
  <c r="AC172" i="4"/>
  <c r="R172" i="4"/>
  <c r="G172" i="4"/>
  <c r="AH171" i="4"/>
  <c r="W171" i="4"/>
  <c r="L171" i="4"/>
  <c r="AB170" i="4"/>
  <c r="Q170" i="4"/>
  <c r="G170" i="4"/>
  <c r="AC168" i="4"/>
  <c r="R168" i="4"/>
  <c r="G168" i="4"/>
  <c r="F155" i="4"/>
  <c r="J155" i="4"/>
  <c r="N155" i="4"/>
  <c r="R155" i="4"/>
  <c r="V155" i="4"/>
  <c r="Z155" i="4"/>
  <c r="AD155" i="4"/>
  <c r="AH155" i="4"/>
  <c r="H155" i="4"/>
  <c r="L155" i="4"/>
  <c r="P155" i="4"/>
  <c r="T155" i="4"/>
  <c r="X155" i="4"/>
  <c r="AB155" i="4"/>
  <c r="AF155" i="4"/>
  <c r="H157" i="4"/>
  <c r="L157" i="4"/>
  <c r="P157" i="4"/>
  <c r="T157" i="4"/>
  <c r="X157" i="4"/>
  <c r="AB157" i="4"/>
  <c r="AF157" i="4"/>
  <c r="F157" i="4"/>
  <c r="J157" i="4"/>
  <c r="N157" i="4"/>
  <c r="R157" i="4"/>
  <c r="V157" i="4"/>
  <c r="Z157" i="4"/>
  <c r="AD157" i="4"/>
  <c r="AH157" i="4"/>
  <c r="AG155" i="4"/>
  <c r="Y155" i="4"/>
  <c r="Q155" i="4"/>
  <c r="I155" i="4"/>
  <c r="F151" i="4"/>
  <c r="J151" i="4"/>
  <c r="N151" i="4"/>
  <c r="R151" i="4"/>
  <c r="V151" i="4"/>
  <c r="Z151" i="4"/>
  <c r="AD151" i="4"/>
  <c r="AH151" i="4"/>
  <c r="H151" i="4"/>
  <c r="L151" i="4"/>
  <c r="P151" i="4"/>
  <c r="T151" i="4"/>
  <c r="X151" i="4"/>
  <c r="AB151" i="4"/>
  <c r="AF151" i="4"/>
  <c r="F138" i="4"/>
  <c r="J138" i="4"/>
  <c r="N138" i="4"/>
  <c r="R138" i="4"/>
  <c r="V138" i="4"/>
  <c r="Z138" i="4"/>
  <c r="AD138" i="4"/>
  <c r="AH138" i="4"/>
  <c r="H138" i="4"/>
  <c r="L138" i="4"/>
  <c r="P138" i="4"/>
  <c r="T138" i="4"/>
  <c r="X138" i="4"/>
  <c r="AB138" i="4"/>
  <c r="AF138" i="4"/>
  <c r="H136" i="4"/>
  <c r="L136" i="4"/>
  <c r="P136" i="4"/>
  <c r="T136" i="4"/>
  <c r="X136" i="4"/>
  <c r="AB136" i="4"/>
  <c r="AF136" i="4"/>
  <c r="E136" i="4"/>
  <c r="I136" i="4"/>
  <c r="M136" i="4"/>
  <c r="Q136" i="4"/>
  <c r="U136" i="4"/>
  <c r="Y136" i="4"/>
  <c r="AC136" i="4"/>
  <c r="AG136" i="4"/>
  <c r="F136" i="4"/>
  <c r="J136" i="4"/>
  <c r="N136" i="4"/>
  <c r="R136" i="4"/>
  <c r="V136" i="4"/>
  <c r="Z136" i="4"/>
  <c r="AD136" i="4"/>
  <c r="AH136" i="4"/>
  <c r="AG157" i="4"/>
  <c r="Y157" i="4"/>
  <c r="Q157" i="4"/>
  <c r="I157" i="4"/>
  <c r="AE155" i="4"/>
  <c r="W155" i="4"/>
  <c r="O155" i="4"/>
  <c r="G155" i="4"/>
  <c r="H153" i="4"/>
  <c r="L153" i="4"/>
  <c r="P153" i="4"/>
  <c r="T153" i="4"/>
  <c r="X153" i="4"/>
  <c r="AB153" i="4"/>
  <c r="AF153" i="4"/>
  <c r="F153" i="4"/>
  <c r="J153" i="4"/>
  <c r="N153" i="4"/>
  <c r="R153" i="4"/>
  <c r="V153" i="4"/>
  <c r="Z153" i="4"/>
  <c r="AD153" i="4"/>
  <c r="AH153" i="4"/>
  <c r="AG151" i="4"/>
  <c r="Y151" i="4"/>
  <c r="Q151" i="4"/>
  <c r="I151" i="4"/>
  <c r="H140" i="4"/>
  <c r="L140" i="4"/>
  <c r="P140" i="4"/>
  <c r="T140" i="4"/>
  <c r="X140" i="4"/>
  <c r="AB140" i="4"/>
  <c r="AF140" i="4"/>
  <c r="F140" i="4"/>
  <c r="J140" i="4"/>
  <c r="N140" i="4"/>
  <c r="R140" i="4"/>
  <c r="V140" i="4"/>
  <c r="Z140" i="4"/>
  <c r="AD140" i="4"/>
  <c r="AH140" i="4"/>
  <c r="H132" i="4"/>
  <c r="L132" i="4"/>
  <c r="P132" i="4"/>
  <c r="T132" i="4"/>
  <c r="X132" i="4"/>
  <c r="AB132" i="4"/>
  <c r="AF132" i="4"/>
  <c r="E132" i="4"/>
  <c r="I132" i="4"/>
  <c r="M132" i="4"/>
  <c r="Q132" i="4"/>
  <c r="U132" i="4"/>
  <c r="Y132" i="4"/>
  <c r="AC132" i="4"/>
  <c r="AG132" i="4"/>
  <c r="F132" i="4"/>
  <c r="J132" i="4"/>
  <c r="N132" i="4"/>
  <c r="R132" i="4"/>
  <c r="V132" i="4"/>
  <c r="Z132" i="4"/>
  <c r="AD132" i="4"/>
  <c r="AH132" i="4"/>
  <c r="F102" i="4"/>
  <c r="J102" i="4"/>
  <c r="N102" i="4"/>
  <c r="R102" i="4"/>
  <c r="V102" i="4"/>
  <c r="Z102" i="4"/>
  <c r="AD102" i="4"/>
  <c r="AH102" i="4"/>
  <c r="I102" i="4"/>
  <c r="O102" i="4"/>
  <c r="T102" i="4"/>
  <c r="Y102" i="4"/>
  <c r="AE102" i="4"/>
  <c r="E102" i="4"/>
  <c r="K102" i="4"/>
  <c r="P102" i="4"/>
  <c r="U102" i="4"/>
  <c r="AA102" i="4"/>
  <c r="AF102" i="4"/>
  <c r="G102" i="4"/>
  <c r="L102" i="4"/>
  <c r="Q102" i="4"/>
  <c r="W102" i="4"/>
  <c r="AB102" i="4"/>
  <c r="AG102" i="4"/>
  <c r="E71" i="4"/>
  <c r="I71" i="4"/>
  <c r="M71" i="4"/>
  <c r="Q71" i="4"/>
  <c r="U71" i="4"/>
  <c r="Y71" i="4"/>
  <c r="AC71" i="4"/>
  <c r="AG71" i="4"/>
  <c r="F71" i="4"/>
  <c r="J71" i="4"/>
  <c r="N71" i="4"/>
  <c r="R71" i="4"/>
  <c r="V71" i="4"/>
  <c r="Z71" i="4"/>
  <c r="AD71" i="4"/>
  <c r="AH71" i="4"/>
  <c r="L71" i="4"/>
  <c r="T71" i="4"/>
  <c r="AB71" i="4"/>
  <c r="G71" i="4"/>
  <c r="O71" i="4"/>
  <c r="W71" i="4"/>
  <c r="AE71" i="4"/>
  <c r="H71" i="4"/>
  <c r="P71" i="4"/>
  <c r="X71" i="4"/>
  <c r="AF71" i="4"/>
  <c r="E62" i="4"/>
  <c r="I62" i="4"/>
  <c r="M62" i="4"/>
  <c r="Q62" i="4"/>
  <c r="U62" i="4"/>
  <c r="Y62" i="4"/>
  <c r="AC62" i="4"/>
  <c r="AG62" i="4"/>
  <c r="J62" i="4"/>
  <c r="O62" i="4"/>
  <c r="T62" i="4"/>
  <c r="Z62" i="4"/>
  <c r="AE62" i="4"/>
  <c r="F62" i="4"/>
  <c r="K62" i="4"/>
  <c r="P62" i="4"/>
  <c r="V62" i="4"/>
  <c r="AA62" i="4"/>
  <c r="AF62" i="4"/>
  <c r="G62" i="4"/>
  <c r="L62" i="4"/>
  <c r="R62" i="4"/>
  <c r="W62" i="4"/>
  <c r="AB62" i="4"/>
  <c r="AH62" i="4"/>
  <c r="H62" i="4"/>
  <c r="AD62" i="4"/>
  <c r="N62" i="4"/>
  <c r="AI62" i="4"/>
  <c r="S62" i="4"/>
  <c r="AG158" i="4"/>
  <c r="AC158" i="4"/>
  <c r="Y158" i="4"/>
  <c r="U158" i="4"/>
  <c r="Q158" i="4"/>
  <c r="M158" i="4"/>
  <c r="I158" i="4"/>
  <c r="AG154" i="4"/>
  <c r="AC154" i="4"/>
  <c r="Y154" i="4"/>
  <c r="U154" i="4"/>
  <c r="Q154" i="4"/>
  <c r="M154" i="4"/>
  <c r="I154" i="4"/>
  <c r="AG141" i="4"/>
  <c r="AC141" i="4"/>
  <c r="Y141" i="4"/>
  <c r="U141" i="4"/>
  <c r="Q141" i="4"/>
  <c r="M141" i="4"/>
  <c r="I141" i="4"/>
  <c r="AG137" i="4"/>
  <c r="AC137" i="4"/>
  <c r="Y137" i="4"/>
  <c r="U137" i="4"/>
  <c r="Q137" i="4"/>
  <c r="M137" i="4"/>
  <c r="I137" i="4"/>
  <c r="AF134" i="4"/>
  <c r="AB134" i="4"/>
  <c r="X134" i="4"/>
  <c r="T134" i="4"/>
  <c r="P134" i="4"/>
  <c r="L134" i="4"/>
  <c r="H134" i="4"/>
  <c r="AG133" i="4"/>
  <c r="AC133" i="4"/>
  <c r="Y133" i="4"/>
  <c r="U133" i="4"/>
  <c r="Q133" i="4"/>
  <c r="M133" i="4"/>
  <c r="I133" i="4"/>
  <c r="H121" i="4"/>
  <c r="L121" i="4"/>
  <c r="P121" i="4"/>
  <c r="T121" i="4"/>
  <c r="E120" i="4"/>
  <c r="I120" i="4"/>
  <c r="M120" i="4"/>
  <c r="Q120" i="4"/>
  <c r="U120" i="4"/>
  <c r="Y120" i="4"/>
  <c r="AC120" i="4"/>
  <c r="AG120" i="4"/>
  <c r="F119" i="4"/>
  <c r="J119" i="4"/>
  <c r="N119" i="4"/>
  <c r="R119" i="4"/>
  <c r="V119" i="4"/>
  <c r="Z119" i="4"/>
  <c r="AD119" i="4"/>
  <c r="AH119" i="4"/>
  <c r="H117" i="4"/>
  <c r="L117" i="4"/>
  <c r="P117" i="4"/>
  <c r="T117" i="4"/>
  <c r="X117" i="4"/>
  <c r="AB117" i="4"/>
  <c r="AF117" i="4"/>
  <c r="E116" i="4"/>
  <c r="I116" i="4"/>
  <c r="M116" i="4"/>
  <c r="Q116" i="4"/>
  <c r="U116" i="4"/>
  <c r="Y116" i="4"/>
  <c r="AC116" i="4"/>
  <c r="AG116" i="4"/>
  <c r="F115" i="4"/>
  <c r="J115" i="4"/>
  <c r="N115" i="4"/>
  <c r="R115" i="4"/>
  <c r="V115" i="4"/>
  <c r="Z115" i="4"/>
  <c r="AD115" i="4"/>
  <c r="AH115" i="4"/>
  <c r="H113" i="4"/>
  <c r="L113" i="4"/>
  <c r="P113" i="4"/>
  <c r="T113" i="4"/>
  <c r="X113" i="4"/>
  <c r="AB113" i="4"/>
  <c r="AF113" i="4"/>
  <c r="AE99" i="4"/>
  <c r="W99" i="4"/>
  <c r="O99" i="4"/>
  <c r="AD97" i="4"/>
  <c r="E96" i="4"/>
  <c r="I96" i="4"/>
  <c r="M96" i="4"/>
  <c r="Q96" i="4"/>
  <c r="U96" i="4"/>
  <c r="Y96" i="4"/>
  <c r="AC96" i="4"/>
  <c r="AG96" i="4"/>
  <c r="J96" i="4"/>
  <c r="O96" i="4"/>
  <c r="T96" i="4"/>
  <c r="Z96" i="4"/>
  <c r="AE96" i="4"/>
  <c r="F96" i="4"/>
  <c r="K96" i="4"/>
  <c r="P96" i="4"/>
  <c r="V96" i="4"/>
  <c r="AA96" i="4"/>
  <c r="AF96" i="4"/>
  <c r="G96" i="4"/>
  <c r="L96" i="4"/>
  <c r="R96" i="4"/>
  <c r="W96" i="4"/>
  <c r="AB96" i="4"/>
  <c r="AH96" i="4"/>
  <c r="AA71" i="4"/>
  <c r="F65" i="4"/>
  <c r="J65" i="4"/>
  <c r="N65" i="4"/>
  <c r="R65" i="4"/>
  <c r="V65" i="4"/>
  <c r="Z65" i="4"/>
  <c r="AD65" i="4"/>
  <c r="AH65" i="4"/>
  <c r="I65" i="4"/>
  <c r="O65" i="4"/>
  <c r="T65" i="4"/>
  <c r="Y65" i="4"/>
  <c r="AE65" i="4"/>
  <c r="E65" i="4"/>
  <c r="K65" i="4"/>
  <c r="P65" i="4"/>
  <c r="U65" i="4"/>
  <c r="AA65" i="4"/>
  <c r="AF65" i="4"/>
  <c r="G65" i="4"/>
  <c r="L65" i="4"/>
  <c r="Q65" i="4"/>
  <c r="W65" i="4"/>
  <c r="AB65" i="4"/>
  <c r="AG65" i="4"/>
  <c r="H65" i="4"/>
  <c r="AC65" i="4"/>
  <c r="M65" i="4"/>
  <c r="AI65" i="4"/>
  <c r="S65" i="4"/>
  <c r="H97" i="4"/>
  <c r="L97" i="4"/>
  <c r="P97" i="4"/>
  <c r="T97" i="4"/>
  <c r="X97" i="4"/>
  <c r="AB97" i="4"/>
  <c r="AF97" i="4"/>
  <c r="E97" i="4"/>
  <c r="J97" i="4"/>
  <c r="O97" i="4"/>
  <c r="U97" i="4"/>
  <c r="Z97" i="4"/>
  <c r="AE97" i="4"/>
  <c r="F97" i="4"/>
  <c r="K97" i="4"/>
  <c r="Q97" i="4"/>
  <c r="V97" i="4"/>
  <c r="AA97" i="4"/>
  <c r="AG97" i="4"/>
  <c r="G97" i="4"/>
  <c r="M97" i="4"/>
  <c r="R97" i="4"/>
  <c r="W97" i="4"/>
  <c r="AC97" i="4"/>
  <c r="AH97" i="4"/>
  <c r="S71" i="4"/>
  <c r="AH134" i="4"/>
  <c r="AD134" i="4"/>
  <c r="Z134" i="4"/>
  <c r="V134" i="4"/>
  <c r="R134" i="4"/>
  <c r="N134" i="4"/>
  <c r="J134" i="4"/>
  <c r="H99" i="4"/>
  <c r="L99" i="4"/>
  <c r="P99" i="4"/>
  <c r="T99" i="4"/>
  <c r="X99" i="4"/>
  <c r="AB99" i="4"/>
  <c r="AF99" i="4"/>
  <c r="E99" i="4"/>
  <c r="I99" i="4"/>
  <c r="M99" i="4"/>
  <c r="Q99" i="4"/>
  <c r="U99" i="4"/>
  <c r="Y99" i="4"/>
  <c r="AC99" i="4"/>
  <c r="AG99" i="4"/>
  <c r="S97" i="4"/>
  <c r="K71" i="4"/>
  <c r="X62" i="4"/>
  <c r="AF100" i="4"/>
  <c r="AB100" i="4"/>
  <c r="X100" i="4"/>
  <c r="T100" i="4"/>
  <c r="P100" i="4"/>
  <c r="L100" i="4"/>
  <c r="AF86" i="4"/>
  <c r="AA86" i="4"/>
  <c r="U86" i="4"/>
  <c r="P86" i="4"/>
  <c r="K86" i="4"/>
  <c r="AG84" i="4"/>
  <c r="AA84" i="4"/>
  <c r="V84" i="4"/>
  <c r="Q84" i="4"/>
  <c r="K84" i="4"/>
  <c r="AF83" i="4"/>
  <c r="AA83" i="4"/>
  <c r="V83" i="4"/>
  <c r="P83" i="4"/>
  <c r="K83" i="4"/>
  <c r="AF82" i="4"/>
  <c r="AA82" i="4"/>
  <c r="U82" i="4"/>
  <c r="P82" i="4"/>
  <c r="K82" i="4"/>
  <c r="H72" i="4"/>
  <c r="L72" i="4"/>
  <c r="P72" i="4"/>
  <c r="T72" i="4"/>
  <c r="X72" i="4"/>
  <c r="AB72" i="4"/>
  <c r="AF72" i="4"/>
  <c r="E72" i="4"/>
  <c r="I72" i="4"/>
  <c r="M72" i="4"/>
  <c r="Q72" i="4"/>
  <c r="U72" i="4"/>
  <c r="Y72" i="4"/>
  <c r="AC72" i="4"/>
  <c r="AG72" i="4"/>
  <c r="W68" i="4"/>
  <c r="E66" i="4"/>
  <c r="I66" i="4"/>
  <c r="J66" i="4"/>
  <c r="N66" i="4"/>
  <c r="R66" i="4"/>
  <c r="V66" i="4"/>
  <c r="Z66" i="4"/>
  <c r="AD66" i="4"/>
  <c r="AH66" i="4"/>
  <c r="F66" i="4"/>
  <c r="K66" i="4"/>
  <c r="O66" i="4"/>
  <c r="S66" i="4"/>
  <c r="W66" i="4"/>
  <c r="AA66" i="4"/>
  <c r="AE66" i="4"/>
  <c r="AI66" i="4"/>
  <c r="G66" i="4"/>
  <c r="L66" i="4"/>
  <c r="P66" i="4"/>
  <c r="T66" i="4"/>
  <c r="X66" i="4"/>
  <c r="AB66" i="4"/>
  <c r="AF66" i="4"/>
  <c r="H63" i="4"/>
  <c r="L63" i="4"/>
  <c r="P63" i="4"/>
  <c r="T63" i="4"/>
  <c r="X63" i="4"/>
  <c r="AB63" i="4"/>
  <c r="AF63" i="4"/>
  <c r="E63" i="4"/>
  <c r="J63" i="4"/>
  <c r="O63" i="4"/>
  <c r="U63" i="4"/>
  <c r="Z63" i="4"/>
  <c r="AE63" i="4"/>
  <c r="F63" i="4"/>
  <c r="K63" i="4"/>
  <c r="Q63" i="4"/>
  <c r="V63" i="4"/>
  <c r="AA63" i="4"/>
  <c r="AG63" i="4"/>
  <c r="G63" i="4"/>
  <c r="M63" i="4"/>
  <c r="R63" i="4"/>
  <c r="W63" i="4"/>
  <c r="AC63" i="4"/>
  <c r="AH63" i="4"/>
  <c r="H68" i="4"/>
  <c r="L68" i="4"/>
  <c r="P68" i="4"/>
  <c r="T68" i="4"/>
  <c r="X68" i="4"/>
  <c r="AB68" i="4"/>
  <c r="AF68" i="4"/>
  <c r="E68" i="4"/>
  <c r="I68" i="4"/>
  <c r="M68" i="4"/>
  <c r="Q68" i="4"/>
  <c r="U68" i="4"/>
  <c r="Y68" i="4"/>
  <c r="AC68" i="4"/>
  <c r="AG68" i="4"/>
  <c r="F68" i="4"/>
  <c r="J68" i="4"/>
  <c r="N68" i="4"/>
  <c r="R68" i="4"/>
  <c r="V68" i="4"/>
  <c r="Z68" i="4"/>
  <c r="AD68" i="4"/>
  <c r="AH68" i="4"/>
  <c r="F86" i="4"/>
  <c r="J86" i="4"/>
  <c r="N86" i="4"/>
  <c r="R86" i="4"/>
  <c r="V86" i="4"/>
  <c r="Z86" i="4"/>
  <c r="AD86" i="4"/>
  <c r="AH86" i="4"/>
  <c r="H84" i="4"/>
  <c r="L84" i="4"/>
  <c r="P84" i="4"/>
  <c r="T84" i="4"/>
  <c r="X84" i="4"/>
  <c r="AB84" i="4"/>
  <c r="AF84" i="4"/>
  <c r="E83" i="4"/>
  <c r="I83" i="4"/>
  <c r="M83" i="4"/>
  <c r="Q83" i="4"/>
  <c r="U83" i="4"/>
  <c r="Y83" i="4"/>
  <c r="AC83" i="4"/>
  <c r="AG83" i="4"/>
  <c r="F82" i="4"/>
  <c r="J82" i="4"/>
  <c r="N82" i="4"/>
  <c r="R82" i="4"/>
  <c r="V82" i="4"/>
  <c r="Z82" i="4"/>
  <c r="AD82" i="4"/>
  <c r="AH82" i="4"/>
  <c r="AH67" i="4"/>
  <c r="AD67" i="4"/>
  <c r="Z67" i="4"/>
  <c r="V67" i="4"/>
  <c r="R67" i="4"/>
  <c r="N67" i="4"/>
  <c r="J67" i="4"/>
  <c r="F67" i="4"/>
  <c r="AH70" i="4"/>
  <c r="AD70" i="4"/>
  <c r="Z70" i="4"/>
  <c r="V70" i="4"/>
  <c r="R70" i="4"/>
  <c r="N70" i="4"/>
  <c r="J70" i="4"/>
  <c r="AG67" i="4"/>
  <c r="AC67" i="4"/>
  <c r="Y67" i="4"/>
  <c r="U67" i="4"/>
  <c r="Q67" i="4"/>
  <c r="M67" i="4"/>
  <c r="I67" i="4"/>
  <c r="E50" i="4"/>
  <c r="I50" i="4"/>
  <c r="M50" i="4"/>
  <c r="Q50" i="4"/>
  <c r="U50" i="4"/>
  <c r="Y50" i="4"/>
  <c r="AC50" i="4"/>
  <c r="AG50" i="4"/>
  <c r="F50" i="4"/>
  <c r="J50" i="4"/>
  <c r="N50" i="4"/>
  <c r="R50" i="4"/>
  <c r="V50" i="4"/>
  <c r="Z50" i="4"/>
  <c r="AD50" i="4"/>
  <c r="AH50" i="4"/>
  <c r="AJ25" i="4"/>
  <c r="P25" i="16" s="1"/>
  <c r="H38" i="4"/>
  <c r="L38" i="4"/>
  <c r="P38" i="4"/>
  <c r="T38" i="4"/>
  <c r="X38" i="4"/>
  <c r="AB38" i="4"/>
  <c r="AF38" i="4"/>
  <c r="E38" i="4"/>
  <c r="I38" i="4"/>
  <c r="M38" i="4"/>
  <c r="Q38" i="4"/>
  <c r="U38" i="4"/>
  <c r="Y38" i="4"/>
  <c r="AC38" i="4"/>
  <c r="AG38" i="4"/>
  <c r="F38" i="4"/>
  <c r="J38" i="4"/>
  <c r="N38" i="4"/>
  <c r="R38" i="4"/>
  <c r="V38" i="4"/>
  <c r="Z38" i="4"/>
  <c r="AD38" i="4"/>
  <c r="AH38" i="4"/>
  <c r="E45" i="4"/>
  <c r="I45" i="4"/>
  <c r="M45" i="4"/>
  <c r="Q45" i="4"/>
  <c r="U45" i="4"/>
  <c r="Y45" i="4"/>
  <c r="AC45" i="4"/>
  <c r="AG45" i="4"/>
  <c r="F45" i="4"/>
  <c r="J45" i="4"/>
  <c r="N45" i="4"/>
  <c r="R45" i="4"/>
  <c r="V45" i="4"/>
  <c r="Z45" i="4"/>
  <c r="AD45" i="4"/>
  <c r="AH45" i="4"/>
  <c r="H42" i="4"/>
  <c r="L42" i="4"/>
  <c r="P42" i="4"/>
  <c r="T42" i="4"/>
  <c r="X42" i="4"/>
  <c r="AB42" i="4"/>
  <c r="AF42" i="4"/>
  <c r="E42" i="4"/>
  <c r="I42" i="4"/>
  <c r="M42" i="4"/>
  <c r="Q42" i="4"/>
  <c r="U42" i="4"/>
  <c r="Y42" i="4"/>
  <c r="AC42" i="4"/>
  <c r="AG42" i="4"/>
  <c r="F42" i="4"/>
  <c r="J42" i="4"/>
  <c r="N42" i="4"/>
  <c r="R42" i="4"/>
  <c r="V42" i="4"/>
  <c r="Z42" i="4"/>
  <c r="AD42" i="4"/>
  <c r="AH42" i="4"/>
  <c r="AJ26" i="4"/>
  <c r="P26" i="16" s="1"/>
  <c r="AH61" i="4"/>
  <c r="AD61" i="4"/>
  <c r="Z61" i="4"/>
  <c r="V61" i="4"/>
  <c r="R61" i="4"/>
  <c r="N61" i="4"/>
  <c r="J61" i="4"/>
  <c r="AH49" i="4"/>
  <c r="AD49" i="4"/>
  <c r="Z49" i="4"/>
  <c r="V49" i="4"/>
  <c r="R49" i="4"/>
  <c r="N49" i="4"/>
  <c r="J49" i="4"/>
  <c r="H47" i="4"/>
  <c r="L47" i="4"/>
  <c r="P47" i="4"/>
  <c r="T47" i="4"/>
  <c r="H46" i="4"/>
  <c r="L46" i="4"/>
  <c r="P46" i="4"/>
  <c r="E46" i="4"/>
  <c r="I46" i="4"/>
  <c r="M46" i="4"/>
  <c r="Q46" i="4"/>
  <c r="U46" i="4"/>
  <c r="Y46" i="4"/>
  <c r="AC46" i="4"/>
  <c r="AG46" i="4"/>
  <c r="AF45" i="4"/>
  <c r="X45" i="4"/>
  <c r="P45" i="4"/>
  <c r="H45" i="4"/>
  <c r="AH41" i="4"/>
  <c r="AD41" i="4"/>
  <c r="Z41" i="4"/>
  <c r="V41" i="4"/>
  <c r="R41" i="4"/>
  <c r="N41" i="4"/>
  <c r="J41" i="4"/>
  <c r="F41" i="4"/>
  <c r="J37" i="4"/>
  <c r="F37" i="4"/>
  <c r="AG41" i="4"/>
  <c r="AC41" i="4"/>
  <c r="Y41" i="4"/>
  <c r="U41" i="4"/>
  <c r="Q41" i="4"/>
  <c r="M41" i="4"/>
  <c r="I41" i="4"/>
  <c r="M37" i="4"/>
  <c r="I37" i="4"/>
  <c r="AL39" i="2"/>
  <c r="BB38" i="2"/>
  <c r="AT39" i="2"/>
  <c r="G28" i="15" l="1"/>
  <c r="F28" i="15"/>
  <c r="Q4" i="10"/>
  <c r="D99" i="12"/>
  <c r="D208" i="12"/>
  <c r="G27" i="13"/>
  <c r="H27" i="13" s="1"/>
  <c r="D100" i="12"/>
  <c r="D115" i="12"/>
  <c r="D187" i="12"/>
  <c r="D96" i="12"/>
  <c r="D157" i="11"/>
  <c r="D66" i="11"/>
  <c r="D195" i="12"/>
  <c r="G28" i="14"/>
  <c r="H28" i="14"/>
  <c r="D44" i="11"/>
  <c r="D153" i="12"/>
  <c r="U4" i="10"/>
  <c r="D82" i="11"/>
  <c r="D114" i="11"/>
  <c r="D61" i="11"/>
  <c r="H159" i="16"/>
  <c r="I159" i="16" s="1"/>
  <c r="D40" i="12"/>
  <c r="H28" i="15"/>
  <c r="I27" i="15"/>
  <c r="D65" i="11"/>
  <c r="D195" i="11"/>
  <c r="D43" i="11"/>
  <c r="D61" i="12"/>
  <c r="H73" i="16"/>
  <c r="I73" i="16" s="1"/>
  <c r="D46" i="11"/>
  <c r="H51" i="16"/>
  <c r="I51" i="16" s="1"/>
  <c r="D48" i="12"/>
  <c r="D101" i="11"/>
  <c r="D86" i="12"/>
  <c r="D135" i="11"/>
  <c r="D208" i="11"/>
  <c r="D45" i="11"/>
  <c r="D192" i="11"/>
  <c r="AJ121" i="6"/>
  <c r="N121" i="16" s="1"/>
  <c r="AJ67" i="5"/>
  <c r="O67" i="16" s="1"/>
  <c r="AJ41" i="5"/>
  <c r="O41" i="16" s="1"/>
  <c r="AJ103" i="7"/>
  <c r="M103" i="16" s="1"/>
  <c r="AJ83" i="5"/>
  <c r="O83" i="16" s="1"/>
  <c r="AJ114" i="5"/>
  <c r="O114" i="16" s="1"/>
  <c r="H178" i="16"/>
  <c r="I178" i="16" s="1"/>
  <c r="D134" i="9"/>
  <c r="F27" i="8"/>
  <c r="F28" i="8" s="1"/>
  <c r="D187" i="11"/>
  <c r="D189" i="11"/>
  <c r="D173" i="11"/>
  <c r="D140" i="11"/>
  <c r="D113" i="11"/>
  <c r="D99" i="11"/>
  <c r="D102" i="11"/>
  <c r="D86" i="11"/>
  <c r="D83" i="11"/>
  <c r="D133" i="12"/>
  <c r="H104" i="16"/>
  <c r="I104" i="16" s="1"/>
  <c r="AJ66" i="10"/>
  <c r="J66" i="16" s="1"/>
  <c r="AJ208" i="9"/>
  <c r="D208" i="9" s="1"/>
  <c r="AJ212" i="8"/>
  <c r="L212" i="16" s="1"/>
  <c r="AJ48" i="5"/>
  <c r="O48" i="16" s="1"/>
  <c r="E159" i="4"/>
  <c r="F159" i="4" s="1"/>
  <c r="G159" i="4" s="1"/>
  <c r="H159" i="4" s="1"/>
  <c r="I159" i="4" s="1"/>
  <c r="J159" i="4" s="1"/>
  <c r="K159" i="4" s="1"/>
  <c r="L159" i="4" s="1"/>
  <c r="M159" i="4" s="1"/>
  <c r="N159" i="4" s="1"/>
  <c r="O159" i="4" s="1"/>
  <c r="P159" i="4" s="1"/>
  <c r="Q159" i="4" s="1"/>
  <c r="R159" i="4" s="1"/>
  <c r="S159" i="4" s="1"/>
  <c r="T159" i="4" s="1"/>
  <c r="U159" i="4" s="1"/>
  <c r="V159" i="4" s="1"/>
  <c r="W159" i="4" s="1"/>
  <c r="X159" i="4" s="1"/>
  <c r="Y159" i="4" s="1"/>
  <c r="Z159" i="4" s="1"/>
  <c r="AA159" i="4" s="1"/>
  <c r="AB159" i="4" s="1"/>
  <c r="AC159" i="4" s="1"/>
  <c r="AD159" i="4" s="1"/>
  <c r="AE159" i="4" s="1"/>
  <c r="AF159" i="4" s="1"/>
  <c r="AG159" i="4" s="1"/>
  <c r="AH159" i="4" s="1"/>
  <c r="AI159" i="4" s="1"/>
  <c r="AJ159" i="4" s="1"/>
  <c r="AJ98" i="8"/>
  <c r="D98" i="8" s="1"/>
  <c r="AJ103" i="8"/>
  <c r="L103" i="16" s="1"/>
  <c r="AJ39" i="4"/>
  <c r="P39" i="16" s="1"/>
  <c r="AJ85" i="4"/>
  <c r="P85" i="16" s="1"/>
  <c r="AJ139" i="4"/>
  <c r="P139" i="16" s="1"/>
  <c r="D136" i="11"/>
  <c r="AO104" i="16"/>
  <c r="AP142" i="16"/>
  <c r="AO178" i="16"/>
  <c r="AJ169" i="4"/>
  <c r="P169" i="16" s="1"/>
  <c r="AO197" i="16"/>
  <c r="AJ194" i="4"/>
  <c r="P194" i="16" s="1"/>
  <c r="AJ177" i="4"/>
  <c r="P177" i="16" s="1"/>
  <c r="AJ151" i="6"/>
  <c r="N151" i="16" s="1"/>
  <c r="D212" i="11"/>
  <c r="D71" i="11"/>
  <c r="D63" i="11"/>
  <c r="D177" i="12"/>
  <c r="D171" i="12"/>
  <c r="H213" i="16"/>
  <c r="AJ135" i="10"/>
  <c r="J135" i="16" s="1"/>
  <c r="AP87" i="16"/>
  <c r="D141" i="12"/>
  <c r="AJ40" i="6"/>
  <c r="N40" i="16" s="1"/>
  <c r="AJ190" i="6"/>
  <c r="N190" i="16" s="1"/>
  <c r="AO159" i="16"/>
  <c r="AJ69" i="4"/>
  <c r="P69" i="16" s="1"/>
  <c r="AJ114" i="4"/>
  <c r="P114" i="16" s="1"/>
  <c r="AJ64" i="4"/>
  <c r="D64" i="4" s="1"/>
  <c r="AJ173" i="4"/>
  <c r="P173" i="16" s="1"/>
  <c r="AP51" i="16"/>
  <c r="AP73" i="16"/>
  <c r="AO142" i="16"/>
  <c r="AP159" i="16"/>
  <c r="AP214" i="16"/>
  <c r="AJ152" i="4"/>
  <c r="P152" i="16" s="1"/>
  <c r="AJ190" i="4"/>
  <c r="P190" i="16" s="1"/>
  <c r="AO51" i="16"/>
  <c r="AO87" i="16"/>
  <c r="AO73" i="16"/>
  <c r="AO214" i="16"/>
  <c r="AJ43" i="4"/>
  <c r="P43" i="16" s="1"/>
  <c r="AJ118" i="4"/>
  <c r="P118" i="16" s="1"/>
  <c r="AP104" i="16"/>
  <c r="AP123" i="16"/>
  <c r="AP178" i="16"/>
  <c r="AP197" i="16"/>
  <c r="AO123" i="16"/>
  <c r="E123" i="4"/>
  <c r="F123" i="4" s="1"/>
  <c r="G123" i="4" s="1"/>
  <c r="H123" i="4" s="1"/>
  <c r="I123" i="4" s="1"/>
  <c r="J123" i="4" s="1"/>
  <c r="K123" i="4" s="1"/>
  <c r="L123" i="4" s="1"/>
  <c r="M123" i="4" s="1"/>
  <c r="N123" i="4" s="1"/>
  <c r="O123" i="4" s="1"/>
  <c r="P123" i="4" s="1"/>
  <c r="Q123" i="4" s="1"/>
  <c r="R123" i="4" s="1"/>
  <c r="S123" i="4" s="1"/>
  <c r="T123" i="4" s="1"/>
  <c r="U123" i="4" s="1"/>
  <c r="V123" i="4" s="1"/>
  <c r="W123" i="4" s="1"/>
  <c r="X123" i="4" s="1"/>
  <c r="Y123" i="4" s="1"/>
  <c r="Z123" i="4" s="1"/>
  <c r="AA123" i="4" s="1"/>
  <c r="AB123" i="4" s="1"/>
  <c r="AC123" i="4" s="1"/>
  <c r="AD123" i="4" s="1"/>
  <c r="AE123" i="4" s="1"/>
  <c r="AF123" i="4" s="1"/>
  <c r="AG123" i="4" s="1"/>
  <c r="AH123" i="4" s="1"/>
  <c r="AI123" i="4" s="1"/>
  <c r="AJ123" i="4" s="1"/>
  <c r="F27" i="4"/>
  <c r="AJ193" i="5"/>
  <c r="O193" i="16" s="1"/>
  <c r="AJ138" i="5"/>
  <c r="O138" i="16" s="1"/>
  <c r="AJ69" i="6"/>
  <c r="D69" i="6" s="1"/>
  <c r="AJ102" i="6"/>
  <c r="N102" i="16" s="1"/>
  <c r="F27" i="6"/>
  <c r="G27" i="6" s="1"/>
  <c r="H27" i="6" s="1"/>
  <c r="I27" i="6" s="1"/>
  <c r="AJ194" i="6"/>
  <c r="N194" i="16" s="1"/>
  <c r="AJ70" i="7"/>
  <c r="M70" i="16" s="1"/>
  <c r="AJ176" i="7"/>
  <c r="D176" i="7" s="1"/>
  <c r="AJ189" i="7"/>
  <c r="D189" i="7" s="1"/>
  <c r="AJ86" i="8"/>
  <c r="E214" i="9"/>
  <c r="F214" i="9" s="1"/>
  <c r="G214" i="9" s="1"/>
  <c r="H214" i="9" s="1"/>
  <c r="I214" i="9" s="1"/>
  <c r="J214" i="9" s="1"/>
  <c r="K214" i="9" s="1"/>
  <c r="L214" i="9" s="1"/>
  <c r="M214" i="9" s="1"/>
  <c r="N214" i="9" s="1"/>
  <c r="O214" i="9" s="1"/>
  <c r="P214" i="9" s="1"/>
  <c r="Q214" i="9" s="1"/>
  <c r="R214" i="9" s="1"/>
  <c r="S214" i="9" s="1"/>
  <c r="T214" i="9" s="1"/>
  <c r="U214" i="9" s="1"/>
  <c r="V214" i="9" s="1"/>
  <c r="W214" i="9" s="1"/>
  <c r="X214" i="9" s="1"/>
  <c r="Y214" i="9" s="1"/>
  <c r="Z214" i="9" s="1"/>
  <c r="AA214" i="9" s="1"/>
  <c r="AB214" i="9" s="1"/>
  <c r="AC214" i="9" s="1"/>
  <c r="AD214" i="9" s="1"/>
  <c r="AE214" i="9" s="1"/>
  <c r="AF214" i="9" s="1"/>
  <c r="AG214" i="9" s="1"/>
  <c r="AH214" i="9" s="1"/>
  <c r="AI214" i="9" s="1"/>
  <c r="AJ214" i="9" s="1"/>
  <c r="AJ103" i="9"/>
  <c r="K103" i="16" s="1"/>
  <c r="AJ86" i="9"/>
  <c r="K86" i="16" s="1"/>
  <c r="AJ117" i="9"/>
  <c r="K117" i="16" s="1"/>
  <c r="F27" i="9"/>
  <c r="F28" i="9" s="1"/>
  <c r="Q25" i="16"/>
  <c r="N4" i="16" s="1"/>
  <c r="AJ122" i="10"/>
  <c r="J122" i="16" s="1"/>
  <c r="AJ39" i="10"/>
  <c r="D39" i="10" s="1"/>
  <c r="AJ99" i="10"/>
  <c r="J99" i="16" s="1"/>
  <c r="AJ113" i="10"/>
  <c r="J113" i="16" s="1"/>
  <c r="AJ188" i="10"/>
  <c r="D188" i="10" s="1"/>
  <c r="D72" i="12"/>
  <c r="D196" i="12"/>
  <c r="M4" i="10"/>
  <c r="J15" i="16"/>
  <c r="I4" i="10"/>
  <c r="J14" i="16"/>
  <c r="I4" i="5"/>
  <c r="O14" i="16"/>
  <c r="M4" i="5"/>
  <c r="O15" i="16"/>
  <c r="D209" i="11"/>
  <c r="D175" i="11"/>
  <c r="D69" i="11"/>
  <c r="D158" i="11"/>
  <c r="D121" i="12"/>
  <c r="D137" i="12"/>
  <c r="D194" i="12"/>
  <c r="D135" i="12"/>
  <c r="D45" i="12"/>
  <c r="D63" i="12"/>
  <c r="H63" i="16"/>
  <c r="D171" i="11"/>
  <c r="I171" i="16"/>
  <c r="D118" i="11"/>
  <c r="I118" i="16"/>
  <c r="D190" i="11"/>
  <c r="I190" i="16"/>
  <c r="D154" i="12"/>
  <c r="H154" i="16"/>
  <c r="D139" i="12"/>
  <c r="H139" i="16"/>
  <c r="D39" i="12"/>
  <c r="H39" i="16"/>
  <c r="M4" i="6"/>
  <c r="N15" i="16"/>
  <c r="D60" i="12"/>
  <c r="H60" i="16"/>
  <c r="D70" i="12"/>
  <c r="H70" i="16"/>
  <c r="D50" i="11"/>
  <c r="I50" i="16"/>
  <c r="D191" i="12"/>
  <c r="H191" i="16"/>
  <c r="D141" i="11"/>
  <c r="D67" i="11"/>
  <c r="D154" i="11"/>
  <c r="D68" i="12"/>
  <c r="D96" i="11"/>
  <c r="I96" i="16"/>
  <c r="D69" i="12"/>
  <c r="H69" i="16"/>
  <c r="D46" i="12"/>
  <c r="H46" i="16"/>
  <c r="D122" i="12"/>
  <c r="H122" i="16"/>
  <c r="D37" i="12"/>
  <c r="H37" i="16"/>
  <c r="D49" i="11"/>
  <c r="I49" i="16"/>
  <c r="D136" i="12"/>
  <c r="H136" i="16"/>
  <c r="D49" i="12"/>
  <c r="H49" i="16"/>
  <c r="D117" i="11"/>
  <c r="I117" i="16"/>
  <c r="I4" i="8"/>
  <c r="L14" i="16"/>
  <c r="H123" i="16"/>
  <c r="I123" i="16" s="1"/>
  <c r="I4" i="4"/>
  <c r="P14" i="16"/>
  <c r="D177" i="11"/>
  <c r="I177" i="16"/>
  <c r="D132" i="11"/>
  <c r="I132" i="16"/>
  <c r="H87" i="16"/>
  <c r="I87" i="16" s="1"/>
  <c r="AJ209" i="4"/>
  <c r="P209" i="16" s="1"/>
  <c r="AJ171" i="7"/>
  <c r="M171" i="16" s="1"/>
  <c r="M4" i="8"/>
  <c r="L15" i="16"/>
  <c r="AJ82" i="7"/>
  <c r="M82" i="16" s="1"/>
  <c r="AJ99" i="7"/>
  <c r="M99" i="16" s="1"/>
  <c r="AJ39" i="6"/>
  <c r="N39" i="16" s="1"/>
  <c r="AJ138" i="6"/>
  <c r="N138" i="16" s="1"/>
  <c r="AJ101" i="5"/>
  <c r="O101" i="16" s="1"/>
  <c r="AJ50" i="6"/>
  <c r="N50" i="16" s="1"/>
  <c r="AJ134" i="6"/>
  <c r="N134" i="16" s="1"/>
  <c r="AJ207" i="6"/>
  <c r="N207" i="16" s="1"/>
  <c r="AJ40" i="7"/>
  <c r="M40" i="16" s="1"/>
  <c r="AJ66" i="7"/>
  <c r="M66" i="16" s="1"/>
  <c r="AJ211" i="6"/>
  <c r="N211" i="16" s="1"/>
  <c r="AJ60" i="5"/>
  <c r="O60" i="16" s="1"/>
  <c r="E87" i="5"/>
  <c r="F87" i="5" s="1"/>
  <c r="G87" i="5" s="1"/>
  <c r="H87" i="5" s="1"/>
  <c r="I87" i="5" s="1"/>
  <c r="J87" i="5" s="1"/>
  <c r="K87" i="5" s="1"/>
  <c r="L87" i="5" s="1"/>
  <c r="M87" i="5" s="1"/>
  <c r="N87" i="5" s="1"/>
  <c r="O87" i="5" s="1"/>
  <c r="P87" i="5" s="1"/>
  <c r="Q87" i="5" s="1"/>
  <c r="R87" i="5" s="1"/>
  <c r="S87" i="5" s="1"/>
  <c r="T87" i="5" s="1"/>
  <c r="U87" i="5" s="1"/>
  <c r="V87" i="5" s="1"/>
  <c r="W87" i="5" s="1"/>
  <c r="X87" i="5" s="1"/>
  <c r="Y87" i="5" s="1"/>
  <c r="Z87" i="5" s="1"/>
  <c r="AA87" i="5" s="1"/>
  <c r="AB87" i="5" s="1"/>
  <c r="AC87" i="5" s="1"/>
  <c r="AD87" i="5" s="1"/>
  <c r="AE87" i="5" s="1"/>
  <c r="AF87" i="5" s="1"/>
  <c r="AG87" i="5" s="1"/>
  <c r="AH87" i="5" s="1"/>
  <c r="AI87" i="5" s="1"/>
  <c r="AJ87" i="5" s="1"/>
  <c r="AJ60" i="4"/>
  <c r="P60" i="16" s="1"/>
  <c r="AJ40" i="4"/>
  <c r="P40" i="16" s="1"/>
  <c r="M4" i="4"/>
  <c r="P15" i="16"/>
  <c r="D191" i="11"/>
  <c r="D190" i="12"/>
  <c r="D120" i="12"/>
  <c r="D65" i="12"/>
  <c r="D42" i="12"/>
  <c r="H42" i="16"/>
  <c r="D62" i="11"/>
  <c r="I62" i="16"/>
  <c r="H214" i="16"/>
  <c r="I214" i="16" s="1"/>
  <c r="D132" i="12"/>
  <c r="H132" i="16"/>
  <c r="D174" i="11"/>
  <c r="I174" i="16"/>
  <c r="H197" i="16"/>
  <c r="I197" i="16" s="1"/>
  <c r="M4" i="7"/>
  <c r="M15" i="16"/>
  <c r="AJ118" i="10"/>
  <c r="J118" i="16" s="1"/>
  <c r="AJ156" i="9"/>
  <c r="I4" i="9"/>
  <c r="K14" i="16"/>
  <c r="AJ43" i="8"/>
  <c r="L43" i="16" s="1"/>
  <c r="AJ66" i="8"/>
  <c r="L66" i="16" s="1"/>
  <c r="AJ156" i="8"/>
  <c r="L156" i="16" s="1"/>
  <c r="AJ82" i="9"/>
  <c r="K82" i="16" s="1"/>
  <c r="AJ39" i="8"/>
  <c r="L39" i="16" s="1"/>
  <c r="AJ152" i="8"/>
  <c r="L152" i="16" s="1"/>
  <c r="I4" i="7"/>
  <c r="M14" i="16"/>
  <c r="I4" i="6"/>
  <c r="N14" i="16"/>
  <c r="D85" i="12"/>
  <c r="H83" i="16"/>
  <c r="D207" i="11"/>
  <c r="I207" i="16"/>
  <c r="AJ133" i="8"/>
  <c r="Q26" i="16"/>
  <c r="Q4" i="16" s="1"/>
  <c r="H142" i="16"/>
  <c r="I142" i="16" s="1"/>
  <c r="D116" i="12"/>
  <c r="H116" i="16"/>
  <c r="D119" i="12"/>
  <c r="H119" i="16"/>
  <c r="M4" i="9"/>
  <c r="K15" i="16"/>
  <c r="D38" i="12"/>
  <c r="H38" i="16"/>
  <c r="K27" i="14"/>
  <c r="J28" i="14"/>
  <c r="AJ66" i="9"/>
  <c r="AJ70" i="8"/>
  <c r="AJ116" i="8"/>
  <c r="L116" i="16" s="1"/>
  <c r="AJ134" i="4"/>
  <c r="P134" i="16" s="1"/>
  <c r="AJ65" i="6"/>
  <c r="N65" i="16" s="1"/>
  <c r="AJ171" i="6"/>
  <c r="N171" i="16" s="1"/>
  <c r="AJ158" i="7"/>
  <c r="M158" i="16" s="1"/>
  <c r="AJ175" i="7"/>
  <c r="M175" i="16" s="1"/>
  <c r="AJ188" i="7"/>
  <c r="M188" i="16" s="1"/>
  <c r="AJ192" i="7"/>
  <c r="M192" i="16" s="1"/>
  <c r="AJ196" i="7"/>
  <c r="M196" i="16" s="1"/>
  <c r="AJ209" i="7"/>
  <c r="M209" i="16" s="1"/>
  <c r="AJ213" i="7"/>
  <c r="M213" i="16" s="1"/>
  <c r="AJ40" i="8"/>
  <c r="L40" i="16" s="1"/>
  <c r="AJ153" i="8"/>
  <c r="L153" i="16" s="1"/>
  <c r="AJ157" i="8"/>
  <c r="L157" i="16" s="1"/>
  <c r="AJ168" i="9"/>
  <c r="K168" i="16" s="1"/>
  <c r="AJ194" i="9"/>
  <c r="K194" i="16" s="1"/>
  <c r="AJ209" i="9"/>
  <c r="K209" i="16" s="1"/>
  <c r="AJ103" i="10"/>
  <c r="J103" i="16" s="1"/>
  <c r="AJ154" i="10"/>
  <c r="AJ192" i="10"/>
  <c r="AJ39" i="9"/>
  <c r="K39" i="16" s="1"/>
  <c r="AJ43" i="9"/>
  <c r="AJ46" i="9"/>
  <c r="AJ173" i="9"/>
  <c r="AJ120" i="8"/>
  <c r="L120" i="16" s="1"/>
  <c r="AJ187" i="8"/>
  <c r="AJ121" i="7"/>
  <c r="M121" i="16" s="1"/>
  <c r="AJ134" i="7"/>
  <c r="M134" i="16" s="1"/>
  <c r="AJ138" i="7"/>
  <c r="M138" i="16" s="1"/>
  <c r="AJ155" i="7"/>
  <c r="AJ206" i="7"/>
  <c r="AJ210" i="7"/>
  <c r="AJ47" i="7"/>
  <c r="AJ172" i="7"/>
  <c r="AJ96" i="5"/>
  <c r="AJ168" i="5"/>
  <c r="AJ48" i="4"/>
  <c r="AJ98" i="4"/>
  <c r="AJ206" i="4"/>
  <c r="D64" i="12"/>
  <c r="AJ121" i="9"/>
  <c r="K121" i="16" s="1"/>
  <c r="AJ169" i="9"/>
  <c r="AJ193" i="7"/>
  <c r="AJ98" i="6"/>
  <c r="AJ172" i="5"/>
  <c r="AJ157" i="5"/>
  <c r="O157" i="16" s="1"/>
  <c r="E214" i="5"/>
  <c r="F214" i="5" s="1"/>
  <c r="G214" i="5" s="1"/>
  <c r="H214" i="5" s="1"/>
  <c r="I214" i="5" s="1"/>
  <c r="J214" i="5" s="1"/>
  <c r="K214" i="5" s="1"/>
  <c r="L214" i="5" s="1"/>
  <c r="M214" i="5" s="1"/>
  <c r="N214" i="5" s="1"/>
  <c r="O214" i="5" s="1"/>
  <c r="P214" i="5" s="1"/>
  <c r="Q214" i="5" s="1"/>
  <c r="R214" i="5" s="1"/>
  <c r="S214" i="5" s="1"/>
  <c r="T214" i="5" s="1"/>
  <c r="U214" i="5" s="1"/>
  <c r="V214" i="5" s="1"/>
  <c r="W214" i="5" s="1"/>
  <c r="X214" i="5" s="1"/>
  <c r="Y214" i="5" s="1"/>
  <c r="Z214" i="5" s="1"/>
  <c r="AA214" i="5" s="1"/>
  <c r="AB214" i="5" s="1"/>
  <c r="AC214" i="5" s="1"/>
  <c r="AD214" i="5" s="1"/>
  <c r="AE214" i="5" s="1"/>
  <c r="AF214" i="5" s="1"/>
  <c r="AG214" i="5" s="1"/>
  <c r="AH214" i="5" s="1"/>
  <c r="AI214" i="5" s="1"/>
  <c r="AJ214" i="5" s="1"/>
  <c r="AJ118" i="6"/>
  <c r="N118" i="16" s="1"/>
  <c r="AJ37" i="10"/>
  <c r="J37" i="16" s="1"/>
  <c r="AJ46" i="10"/>
  <c r="J46" i="16" s="1"/>
  <c r="AJ137" i="8"/>
  <c r="AJ141" i="8"/>
  <c r="AJ177" i="6"/>
  <c r="AJ118" i="5"/>
  <c r="AJ206" i="5"/>
  <c r="AJ211" i="4"/>
  <c r="AJ70" i="10"/>
  <c r="J70" i="16" s="1"/>
  <c r="AJ139" i="10"/>
  <c r="J139" i="16" s="1"/>
  <c r="AJ213" i="10"/>
  <c r="AJ70" i="5"/>
  <c r="O70" i="16" s="1"/>
  <c r="AJ98" i="7"/>
  <c r="M98" i="16" s="1"/>
  <c r="AJ44" i="8"/>
  <c r="L44" i="16" s="1"/>
  <c r="AJ43" i="10"/>
  <c r="AJ47" i="10"/>
  <c r="AJ82" i="10"/>
  <c r="J82" i="16" s="1"/>
  <c r="AJ175" i="10"/>
  <c r="AJ212" i="9"/>
  <c r="AJ44" i="7"/>
  <c r="AJ191" i="8"/>
  <c r="L191" i="16" s="1"/>
  <c r="AJ195" i="8"/>
  <c r="L195" i="16" s="1"/>
  <c r="AJ39" i="7"/>
  <c r="M39" i="16" s="1"/>
  <c r="AJ168" i="7"/>
  <c r="AJ44" i="6"/>
  <c r="AJ117" i="6"/>
  <c r="AJ168" i="6"/>
  <c r="AJ151" i="5"/>
  <c r="AJ155" i="5"/>
  <c r="AJ176" i="5"/>
  <c r="AJ44" i="4"/>
  <c r="AJ155" i="6"/>
  <c r="D73" i="12"/>
  <c r="D51" i="12"/>
  <c r="D152" i="12"/>
  <c r="D151" i="12"/>
  <c r="D134" i="12"/>
  <c r="D41" i="12"/>
  <c r="D209" i="12"/>
  <c r="D114" i="12"/>
  <c r="D44" i="12"/>
  <c r="I27" i="12"/>
  <c r="H28" i="12"/>
  <c r="D212" i="12"/>
  <c r="D207" i="12"/>
  <c r="D172" i="12"/>
  <c r="D188" i="12"/>
  <c r="D168" i="12"/>
  <c r="D117" i="12"/>
  <c r="D211" i="12"/>
  <c r="D156" i="12"/>
  <c r="D158" i="12"/>
  <c r="D84" i="12"/>
  <c r="D97" i="12"/>
  <c r="D50" i="12"/>
  <c r="D193" i="12"/>
  <c r="D175" i="12"/>
  <c r="D155" i="12"/>
  <c r="D138" i="12"/>
  <c r="D67" i="12"/>
  <c r="D66" i="12"/>
  <c r="D101" i="12"/>
  <c r="D102" i="12"/>
  <c r="D62" i="12"/>
  <c r="D169" i="12"/>
  <c r="D206" i="12"/>
  <c r="D189" i="12"/>
  <c r="D118" i="12"/>
  <c r="D83" i="12"/>
  <c r="D82" i="12"/>
  <c r="D98" i="12"/>
  <c r="D47" i="12"/>
  <c r="D210" i="12"/>
  <c r="D71" i="12"/>
  <c r="D192" i="12"/>
  <c r="D173" i="12"/>
  <c r="D103" i="12"/>
  <c r="D113" i="12"/>
  <c r="D43" i="12"/>
  <c r="D176" i="12"/>
  <c r="D51" i="11"/>
  <c r="D73" i="11"/>
  <c r="D139" i="11"/>
  <c r="D47" i="11"/>
  <c r="D122" i="11"/>
  <c r="D103" i="11"/>
  <c r="D85" i="11"/>
  <c r="D48" i="11"/>
  <c r="D133" i="11"/>
  <c r="D152" i="11"/>
  <c r="D156" i="11"/>
  <c r="D138" i="11"/>
  <c r="D98" i="11"/>
  <c r="D60" i="11"/>
  <c r="D168" i="11"/>
  <c r="D137" i="11"/>
  <c r="D72" i="11"/>
  <c r="D151" i="11"/>
  <c r="D119" i="11"/>
  <c r="D42" i="11"/>
  <c r="D116" i="11"/>
  <c r="D41" i="11"/>
  <c r="D169" i="11"/>
  <c r="D176" i="11"/>
  <c r="D120" i="11"/>
  <c r="D68" i="11"/>
  <c r="H27" i="11"/>
  <c r="G28" i="11"/>
  <c r="D64" i="11"/>
  <c r="D38" i="11"/>
  <c r="D193" i="11"/>
  <c r="D115" i="11"/>
  <c r="D172" i="11"/>
  <c r="D37" i="11"/>
  <c r="D210" i="11"/>
  <c r="D84" i="11"/>
  <c r="D206" i="11"/>
  <c r="D97" i="11"/>
  <c r="D155" i="11"/>
  <c r="D134" i="11"/>
  <c r="AJ170" i="8"/>
  <c r="L170" i="16" s="1"/>
  <c r="AJ41" i="9"/>
  <c r="K41" i="16" s="1"/>
  <c r="AJ40" i="9"/>
  <c r="K40" i="16" s="1"/>
  <c r="AJ61" i="9"/>
  <c r="K61" i="16" s="1"/>
  <c r="AJ154" i="9"/>
  <c r="K154" i="16" s="1"/>
  <c r="AJ138" i="9"/>
  <c r="K138" i="16" s="1"/>
  <c r="AJ44" i="10"/>
  <c r="J44" i="16" s="1"/>
  <c r="AJ49" i="10"/>
  <c r="J49" i="16" s="1"/>
  <c r="AJ116" i="10"/>
  <c r="J116" i="16" s="1"/>
  <c r="AJ120" i="10"/>
  <c r="J120" i="16" s="1"/>
  <c r="AJ133" i="10"/>
  <c r="J133" i="16" s="1"/>
  <c r="AJ136" i="10"/>
  <c r="J136" i="16" s="1"/>
  <c r="AJ138" i="10"/>
  <c r="J138" i="16" s="1"/>
  <c r="AJ153" i="10"/>
  <c r="J153" i="16" s="1"/>
  <c r="AJ193" i="10"/>
  <c r="J193" i="16" s="1"/>
  <c r="AJ70" i="9"/>
  <c r="K70" i="16" s="1"/>
  <c r="AJ196" i="10"/>
  <c r="AJ62" i="9"/>
  <c r="AJ209" i="10"/>
  <c r="AJ152" i="9"/>
  <c r="AJ190" i="9"/>
  <c r="AJ50" i="9"/>
  <c r="AJ82" i="8"/>
  <c r="AJ174" i="8"/>
  <c r="AJ85" i="6"/>
  <c r="AJ113" i="6"/>
  <c r="AJ157" i="4"/>
  <c r="P157" i="16" s="1"/>
  <c r="AJ137" i="5"/>
  <c r="O137" i="16" s="1"/>
  <c r="AJ211" i="5"/>
  <c r="O211" i="16" s="1"/>
  <c r="AJ121" i="4"/>
  <c r="P121" i="16" s="1"/>
  <c r="AJ137" i="4"/>
  <c r="P137" i="16" s="1"/>
  <c r="AJ154" i="4"/>
  <c r="P154" i="16" s="1"/>
  <c r="AJ140" i="4"/>
  <c r="P140" i="16" s="1"/>
  <c r="AJ44" i="5"/>
  <c r="O44" i="16" s="1"/>
  <c r="AJ154" i="5"/>
  <c r="O154" i="16" s="1"/>
  <c r="AJ212" i="6"/>
  <c r="N212" i="16" s="1"/>
  <c r="AJ140" i="9"/>
  <c r="K140" i="16" s="1"/>
  <c r="AJ155" i="9"/>
  <c r="K155" i="16" s="1"/>
  <c r="AJ119" i="10"/>
  <c r="J119" i="16" s="1"/>
  <c r="AJ177" i="9"/>
  <c r="AJ195" i="9"/>
  <c r="AJ47" i="8"/>
  <c r="AJ169" i="8"/>
  <c r="AJ172" i="6"/>
  <c r="AJ189" i="5"/>
  <c r="AJ122" i="4"/>
  <c r="AJ175" i="6"/>
  <c r="N175" i="16" s="1"/>
  <c r="AJ120" i="4"/>
  <c r="P120" i="16" s="1"/>
  <c r="AJ47" i="5"/>
  <c r="O47" i="16" s="1"/>
  <c r="AJ47" i="6"/>
  <c r="N47" i="16" s="1"/>
  <c r="AJ195" i="6"/>
  <c r="N195" i="16" s="1"/>
  <c r="AJ40" i="10"/>
  <c r="J40" i="16" s="1"/>
  <c r="AJ71" i="10"/>
  <c r="J71" i="16" s="1"/>
  <c r="AJ140" i="10"/>
  <c r="J140" i="16" s="1"/>
  <c r="AJ170" i="10"/>
  <c r="J170" i="16" s="1"/>
  <c r="AJ174" i="10"/>
  <c r="J174" i="16" s="1"/>
  <c r="AJ41" i="4"/>
  <c r="P41" i="16" s="1"/>
  <c r="AJ67" i="4"/>
  <c r="P67" i="16" s="1"/>
  <c r="AJ100" i="4"/>
  <c r="P100" i="16" s="1"/>
  <c r="AJ139" i="5"/>
  <c r="O139" i="16" s="1"/>
  <c r="AJ141" i="5"/>
  <c r="O141" i="16" s="1"/>
  <c r="AJ156" i="5"/>
  <c r="O156" i="16" s="1"/>
  <c r="AJ188" i="5"/>
  <c r="O188" i="16" s="1"/>
  <c r="AJ192" i="5"/>
  <c r="O192" i="16" s="1"/>
  <c r="AJ196" i="5"/>
  <c r="O196" i="16" s="1"/>
  <c r="AJ209" i="5"/>
  <c r="O209" i="16" s="1"/>
  <c r="AJ43" i="6"/>
  <c r="N43" i="16" s="1"/>
  <c r="AJ48" i="6"/>
  <c r="N48" i="16" s="1"/>
  <c r="AJ122" i="6"/>
  <c r="N122" i="16" s="1"/>
  <c r="AJ135" i="6"/>
  <c r="N135" i="16" s="1"/>
  <c r="AJ139" i="6"/>
  <c r="N139" i="16" s="1"/>
  <c r="AJ154" i="6"/>
  <c r="N154" i="16" s="1"/>
  <c r="AJ50" i="7"/>
  <c r="M50" i="16" s="1"/>
  <c r="AJ69" i="7"/>
  <c r="M69" i="16" s="1"/>
  <c r="AJ85" i="7"/>
  <c r="M85" i="16" s="1"/>
  <c r="AJ100" i="7"/>
  <c r="M100" i="16" s="1"/>
  <c r="AJ102" i="7"/>
  <c r="M102" i="16" s="1"/>
  <c r="E214" i="7"/>
  <c r="F214" i="7" s="1"/>
  <c r="G214" i="7" s="1"/>
  <c r="H214" i="7" s="1"/>
  <c r="I214" i="7" s="1"/>
  <c r="J214" i="7" s="1"/>
  <c r="K214" i="7" s="1"/>
  <c r="L214" i="7" s="1"/>
  <c r="M214" i="7" s="1"/>
  <c r="N214" i="7" s="1"/>
  <c r="O214" i="7" s="1"/>
  <c r="P214" i="7" s="1"/>
  <c r="Q214" i="7" s="1"/>
  <c r="R214" i="7" s="1"/>
  <c r="S214" i="7" s="1"/>
  <c r="T214" i="7" s="1"/>
  <c r="U214" i="7" s="1"/>
  <c r="V214" i="7" s="1"/>
  <c r="W214" i="7" s="1"/>
  <c r="X214" i="7" s="1"/>
  <c r="Y214" i="7" s="1"/>
  <c r="Z214" i="7" s="1"/>
  <c r="AA214" i="7" s="1"/>
  <c r="AB214" i="7" s="1"/>
  <c r="AC214" i="7" s="1"/>
  <c r="AD214" i="7" s="1"/>
  <c r="AE214" i="7" s="1"/>
  <c r="AF214" i="7" s="1"/>
  <c r="AG214" i="7" s="1"/>
  <c r="AH214" i="7" s="1"/>
  <c r="AI214" i="7" s="1"/>
  <c r="AJ214" i="7" s="1"/>
  <c r="AJ50" i="8"/>
  <c r="L50" i="16" s="1"/>
  <c r="AJ63" i="8"/>
  <c r="L63" i="16" s="1"/>
  <c r="AJ64" i="8"/>
  <c r="L64" i="16" s="1"/>
  <c r="AJ85" i="8"/>
  <c r="L85" i="16" s="1"/>
  <c r="AJ99" i="8"/>
  <c r="L99" i="16" s="1"/>
  <c r="AJ136" i="8"/>
  <c r="L136" i="16" s="1"/>
  <c r="AJ140" i="8"/>
  <c r="L140" i="16" s="1"/>
  <c r="AJ196" i="8"/>
  <c r="L196" i="16" s="1"/>
  <c r="AJ211" i="8"/>
  <c r="L211" i="16" s="1"/>
  <c r="AJ49" i="9"/>
  <c r="K49" i="16" s="1"/>
  <c r="AJ96" i="9"/>
  <c r="K96" i="16" s="1"/>
  <c r="AJ122" i="9"/>
  <c r="K122" i="16" s="1"/>
  <c r="AJ141" i="9"/>
  <c r="K141" i="16" s="1"/>
  <c r="AJ158" i="9"/>
  <c r="K158" i="16" s="1"/>
  <c r="AJ172" i="9"/>
  <c r="K172" i="16" s="1"/>
  <c r="AJ193" i="9"/>
  <c r="K193" i="16" s="1"/>
  <c r="AJ42" i="10"/>
  <c r="J42" i="16" s="1"/>
  <c r="AJ72" i="10"/>
  <c r="J72" i="16" s="1"/>
  <c r="AJ67" i="10"/>
  <c r="J67" i="16" s="1"/>
  <c r="AJ85" i="10"/>
  <c r="J85" i="16" s="1"/>
  <c r="AJ169" i="10"/>
  <c r="J169" i="16" s="1"/>
  <c r="AJ210" i="10"/>
  <c r="J210" i="16" s="1"/>
  <c r="AJ208" i="8"/>
  <c r="AJ63" i="7"/>
  <c r="AJ62" i="6"/>
  <c r="AJ86" i="7"/>
  <c r="AJ37" i="5"/>
  <c r="AJ101" i="4"/>
  <c r="AJ141" i="4"/>
  <c r="P141" i="16" s="1"/>
  <c r="AJ158" i="4"/>
  <c r="P158" i="16" s="1"/>
  <c r="AJ40" i="5"/>
  <c r="O40" i="16" s="1"/>
  <c r="AJ153" i="5"/>
  <c r="O153" i="16" s="1"/>
  <c r="AJ171" i="5"/>
  <c r="O171" i="16" s="1"/>
  <c r="AJ187" i="6"/>
  <c r="N187" i="16" s="1"/>
  <c r="AJ191" i="6"/>
  <c r="N191" i="16" s="1"/>
  <c r="AJ208" i="6"/>
  <c r="N208" i="16" s="1"/>
  <c r="AJ139" i="7"/>
  <c r="M139" i="16" s="1"/>
  <c r="AJ172" i="8"/>
  <c r="L172" i="16" s="1"/>
  <c r="AJ189" i="8"/>
  <c r="L189" i="16" s="1"/>
  <c r="AJ86" i="4"/>
  <c r="P86" i="16" s="1"/>
  <c r="AJ133" i="4"/>
  <c r="P133" i="16" s="1"/>
  <c r="AJ153" i="4"/>
  <c r="P153" i="16" s="1"/>
  <c r="AJ213" i="4"/>
  <c r="P213" i="16" s="1"/>
  <c r="AJ47" i="4"/>
  <c r="P47" i="16" s="1"/>
  <c r="AJ117" i="4"/>
  <c r="P117" i="16" s="1"/>
  <c r="AJ138" i="4"/>
  <c r="P138" i="16" s="1"/>
  <c r="AJ155" i="4"/>
  <c r="P155" i="16" s="1"/>
  <c r="AJ207" i="4"/>
  <c r="P207" i="16" s="1"/>
  <c r="AJ212" i="4"/>
  <c r="P212" i="16" s="1"/>
  <c r="AJ86" i="5"/>
  <c r="O86" i="16" s="1"/>
  <c r="AJ175" i="5"/>
  <c r="O175" i="16" s="1"/>
  <c r="AJ213" i="5"/>
  <c r="O213" i="16" s="1"/>
  <c r="AJ46" i="6"/>
  <c r="N46" i="16" s="1"/>
  <c r="AJ68" i="6"/>
  <c r="N68" i="16" s="1"/>
  <c r="AJ72" i="6"/>
  <c r="N72" i="16" s="1"/>
  <c r="AJ66" i="6"/>
  <c r="N66" i="16" s="1"/>
  <c r="AJ84" i="6"/>
  <c r="N84" i="16" s="1"/>
  <c r="AJ86" i="6"/>
  <c r="N86" i="16" s="1"/>
  <c r="AJ192" i="6"/>
  <c r="N192" i="16" s="1"/>
  <c r="G27" i="7"/>
  <c r="AJ122" i="7"/>
  <c r="M122" i="16" s="1"/>
  <c r="AJ41" i="8"/>
  <c r="L41" i="16" s="1"/>
  <c r="AJ46" i="8"/>
  <c r="L46" i="16" s="1"/>
  <c r="AJ69" i="8"/>
  <c r="L69" i="16" s="1"/>
  <c r="AJ100" i="8"/>
  <c r="L100" i="16" s="1"/>
  <c r="AJ176" i="8"/>
  <c r="L176" i="16" s="1"/>
  <c r="AJ171" i="8"/>
  <c r="L171" i="16" s="1"/>
  <c r="AJ175" i="8"/>
  <c r="L175" i="16" s="1"/>
  <c r="AJ188" i="8"/>
  <c r="L188" i="16" s="1"/>
  <c r="AJ192" i="8"/>
  <c r="L192" i="16" s="1"/>
  <c r="AJ209" i="8"/>
  <c r="L209" i="16" s="1"/>
  <c r="AJ83" i="9"/>
  <c r="K83" i="16" s="1"/>
  <c r="AJ118" i="9"/>
  <c r="K118" i="16" s="1"/>
  <c r="AJ176" i="9"/>
  <c r="K176" i="16" s="1"/>
  <c r="AJ207" i="9"/>
  <c r="K207" i="16" s="1"/>
  <c r="AJ213" i="9"/>
  <c r="K213" i="16" s="1"/>
  <c r="AJ210" i="9"/>
  <c r="K210" i="16" s="1"/>
  <c r="AJ157" i="9"/>
  <c r="K157" i="16" s="1"/>
  <c r="AJ63" i="10"/>
  <c r="J63" i="16" s="1"/>
  <c r="AJ84" i="10"/>
  <c r="J84" i="16" s="1"/>
  <c r="AJ134" i="10"/>
  <c r="J134" i="16" s="1"/>
  <c r="AJ157" i="10"/>
  <c r="J157" i="16" s="1"/>
  <c r="AJ189" i="10"/>
  <c r="J189" i="16" s="1"/>
  <c r="AJ158" i="10"/>
  <c r="AJ171" i="10"/>
  <c r="AJ99" i="9"/>
  <c r="AJ139" i="9"/>
  <c r="AJ37" i="6"/>
  <c r="AJ134" i="5"/>
  <c r="AJ45" i="5"/>
  <c r="AJ71" i="5"/>
  <c r="AJ210" i="5"/>
  <c r="AJ135" i="4"/>
  <c r="AJ156" i="4"/>
  <c r="D86" i="10"/>
  <c r="AJ115" i="10"/>
  <c r="J115" i="16" s="1"/>
  <c r="AJ50" i="10"/>
  <c r="J50" i="16" s="1"/>
  <c r="AJ60" i="10"/>
  <c r="J60" i="16" s="1"/>
  <c r="E73" i="10"/>
  <c r="F73" i="10" s="1"/>
  <c r="G73" i="10" s="1"/>
  <c r="H73" i="10" s="1"/>
  <c r="I73" i="10" s="1"/>
  <c r="J73" i="10" s="1"/>
  <c r="K73" i="10" s="1"/>
  <c r="L73" i="10" s="1"/>
  <c r="M73" i="10" s="1"/>
  <c r="N73" i="10" s="1"/>
  <c r="O73" i="10" s="1"/>
  <c r="P73" i="10" s="1"/>
  <c r="Q73" i="10" s="1"/>
  <c r="R73" i="10" s="1"/>
  <c r="S73" i="10" s="1"/>
  <c r="T73" i="10" s="1"/>
  <c r="U73" i="10" s="1"/>
  <c r="V73" i="10" s="1"/>
  <c r="W73" i="10" s="1"/>
  <c r="X73" i="10" s="1"/>
  <c r="Y73" i="10" s="1"/>
  <c r="Z73" i="10" s="1"/>
  <c r="AA73" i="10" s="1"/>
  <c r="AB73" i="10" s="1"/>
  <c r="AC73" i="10" s="1"/>
  <c r="AD73" i="10" s="1"/>
  <c r="AE73" i="10" s="1"/>
  <c r="AF73" i="10" s="1"/>
  <c r="AG73" i="10" s="1"/>
  <c r="AH73" i="10" s="1"/>
  <c r="AI73" i="10" s="1"/>
  <c r="AJ73" i="10" s="1"/>
  <c r="AJ62" i="10"/>
  <c r="J62" i="16" s="1"/>
  <c r="AJ68" i="10"/>
  <c r="J68" i="16" s="1"/>
  <c r="AJ97" i="10"/>
  <c r="J97" i="16" s="1"/>
  <c r="AJ83" i="10"/>
  <c r="J83" i="16" s="1"/>
  <c r="E87" i="10"/>
  <c r="F87" i="10" s="1"/>
  <c r="G87" i="10" s="1"/>
  <c r="H87" i="10" s="1"/>
  <c r="I87" i="10" s="1"/>
  <c r="J87" i="10" s="1"/>
  <c r="K87" i="10" s="1"/>
  <c r="L87" i="10" s="1"/>
  <c r="M87" i="10" s="1"/>
  <c r="N87" i="10" s="1"/>
  <c r="O87" i="10" s="1"/>
  <c r="P87" i="10" s="1"/>
  <c r="Q87" i="10" s="1"/>
  <c r="R87" i="10" s="1"/>
  <c r="S87" i="10" s="1"/>
  <c r="T87" i="10" s="1"/>
  <c r="U87" i="10" s="1"/>
  <c r="V87" i="10" s="1"/>
  <c r="W87" i="10" s="1"/>
  <c r="X87" i="10" s="1"/>
  <c r="Y87" i="10" s="1"/>
  <c r="Z87" i="10" s="1"/>
  <c r="AA87" i="10" s="1"/>
  <c r="AB87" i="10" s="1"/>
  <c r="AC87" i="10" s="1"/>
  <c r="AD87" i="10" s="1"/>
  <c r="AE87" i="10" s="1"/>
  <c r="AF87" i="10" s="1"/>
  <c r="AG87" i="10" s="1"/>
  <c r="AH87" i="10" s="1"/>
  <c r="AI87" i="10" s="1"/>
  <c r="AJ87" i="10" s="1"/>
  <c r="E104" i="10"/>
  <c r="F104" i="10" s="1"/>
  <c r="G104" i="10" s="1"/>
  <c r="H104" i="10" s="1"/>
  <c r="I104" i="10" s="1"/>
  <c r="J104" i="10" s="1"/>
  <c r="K104" i="10" s="1"/>
  <c r="L104" i="10" s="1"/>
  <c r="M104" i="10" s="1"/>
  <c r="N104" i="10" s="1"/>
  <c r="O104" i="10" s="1"/>
  <c r="P104" i="10" s="1"/>
  <c r="Q104" i="10" s="1"/>
  <c r="R104" i="10" s="1"/>
  <c r="S104" i="10" s="1"/>
  <c r="T104" i="10" s="1"/>
  <c r="U104" i="10" s="1"/>
  <c r="V104" i="10" s="1"/>
  <c r="W104" i="10" s="1"/>
  <c r="X104" i="10" s="1"/>
  <c r="Y104" i="10" s="1"/>
  <c r="Z104" i="10" s="1"/>
  <c r="AA104" i="10" s="1"/>
  <c r="AB104" i="10" s="1"/>
  <c r="AC104" i="10" s="1"/>
  <c r="AD104" i="10" s="1"/>
  <c r="AE104" i="10" s="1"/>
  <c r="AF104" i="10" s="1"/>
  <c r="AG104" i="10" s="1"/>
  <c r="AH104" i="10" s="1"/>
  <c r="AI104" i="10" s="1"/>
  <c r="AJ104" i="10" s="1"/>
  <c r="AJ173" i="10"/>
  <c r="J173" i="16" s="1"/>
  <c r="AJ194" i="10"/>
  <c r="J194" i="16" s="1"/>
  <c r="E178" i="10"/>
  <c r="F178" i="10" s="1"/>
  <c r="G178" i="10" s="1"/>
  <c r="H178" i="10" s="1"/>
  <c r="I178" i="10" s="1"/>
  <c r="J178" i="10" s="1"/>
  <c r="K178" i="10" s="1"/>
  <c r="L178" i="10" s="1"/>
  <c r="M178" i="10" s="1"/>
  <c r="N178" i="10" s="1"/>
  <c r="O178" i="10" s="1"/>
  <c r="P178" i="10" s="1"/>
  <c r="Q178" i="10" s="1"/>
  <c r="R178" i="10" s="1"/>
  <c r="S178" i="10" s="1"/>
  <c r="T178" i="10" s="1"/>
  <c r="U178" i="10" s="1"/>
  <c r="V178" i="10" s="1"/>
  <c r="W178" i="10" s="1"/>
  <c r="X178" i="10" s="1"/>
  <c r="Y178" i="10" s="1"/>
  <c r="Z178" i="10" s="1"/>
  <c r="AA178" i="10" s="1"/>
  <c r="AB178" i="10" s="1"/>
  <c r="AC178" i="10" s="1"/>
  <c r="AD178" i="10" s="1"/>
  <c r="AE178" i="10" s="1"/>
  <c r="AF178" i="10" s="1"/>
  <c r="AG178" i="10" s="1"/>
  <c r="AH178" i="10" s="1"/>
  <c r="AI178" i="10" s="1"/>
  <c r="AJ178" i="10" s="1"/>
  <c r="AJ168" i="10"/>
  <c r="J168" i="16" s="1"/>
  <c r="AJ187" i="10"/>
  <c r="J187" i="16" s="1"/>
  <c r="E197" i="10"/>
  <c r="F197" i="10" s="1"/>
  <c r="G197" i="10" s="1"/>
  <c r="H197" i="10" s="1"/>
  <c r="I197" i="10" s="1"/>
  <c r="J197" i="10" s="1"/>
  <c r="K197" i="10" s="1"/>
  <c r="L197" i="10" s="1"/>
  <c r="M197" i="10" s="1"/>
  <c r="N197" i="10" s="1"/>
  <c r="O197" i="10" s="1"/>
  <c r="P197" i="10" s="1"/>
  <c r="Q197" i="10" s="1"/>
  <c r="R197" i="10" s="1"/>
  <c r="S197" i="10" s="1"/>
  <c r="T197" i="10" s="1"/>
  <c r="U197" i="10" s="1"/>
  <c r="V197" i="10" s="1"/>
  <c r="W197" i="10" s="1"/>
  <c r="X197" i="10" s="1"/>
  <c r="Y197" i="10" s="1"/>
  <c r="Z197" i="10" s="1"/>
  <c r="AA197" i="10" s="1"/>
  <c r="AB197" i="10" s="1"/>
  <c r="AC197" i="10" s="1"/>
  <c r="AD197" i="10" s="1"/>
  <c r="AE197" i="10" s="1"/>
  <c r="AF197" i="10" s="1"/>
  <c r="AG197" i="10" s="1"/>
  <c r="AH197" i="10" s="1"/>
  <c r="AI197" i="10" s="1"/>
  <c r="AJ197" i="10" s="1"/>
  <c r="AJ195" i="10"/>
  <c r="J195" i="16" s="1"/>
  <c r="AJ212" i="10"/>
  <c r="J212" i="16" s="1"/>
  <c r="AJ121" i="10"/>
  <c r="J121" i="16" s="1"/>
  <c r="AJ151" i="10"/>
  <c r="J151" i="16" s="1"/>
  <c r="AJ156" i="10"/>
  <c r="J156" i="16" s="1"/>
  <c r="AJ41" i="10"/>
  <c r="J41" i="16" s="1"/>
  <c r="AJ45" i="10"/>
  <c r="J45" i="16" s="1"/>
  <c r="E51" i="10"/>
  <c r="F51" i="10" s="1"/>
  <c r="G51" i="10" s="1"/>
  <c r="H51" i="10" s="1"/>
  <c r="I51" i="10" s="1"/>
  <c r="J51" i="10" s="1"/>
  <c r="K51" i="10" s="1"/>
  <c r="L51" i="10" s="1"/>
  <c r="M51" i="10" s="1"/>
  <c r="N51" i="10" s="1"/>
  <c r="O51" i="10" s="1"/>
  <c r="P51" i="10" s="1"/>
  <c r="Q51" i="10" s="1"/>
  <c r="R51" i="10" s="1"/>
  <c r="S51" i="10" s="1"/>
  <c r="T51" i="10" s="1"/>
  <c r="U51" i="10" s="1"/>
  <c r="V51" i="10" s="1"/>
  <c r="W51" i="10" s="1"/>
  <c r="X51" i="10" s="1"/>
  <c r="Y51" i="10" s="1"/>
  <c r="Z51" i="10" s="1"/>
  <c r="AA51" i="10" s="1"/>
  <c r="AB51" i="10" s="1"/>
  <c r="AC51" i="10" s="1"/>
  <c r="AD51" i="10" s="1"/>
  <c r="AE51" i="10" s="1"/>
  <c r="AF51" i="10" s="1"/>
  <c r="AG51" i="10" s="1"/>
  <c r="AH51" i="10" s="1"/>
  <c r="AI51" i="10" s="1"/>
  <c r="AJ51" i="10" s="1"/>
  <c r="AJ65" i="10"/>
  <c r="J65" i="16" s="1"/>
  <c r="AJ64" i="10"/>
  <c r="J64" i="16" s="1"/>
  <c r="AJ96" i="10"/>
  <c r="J96" i="16" s="1"/>
  <c r="AJ101" i="10"/>
  <c r="J101" i="16" s="1"/>
  <c r="AJ137" i="10"/>
  <c r="J137" i="16" s="1"/>
  <c r="AJ177" i="10"/>
  <c r="J177" i="16" s="1"/>
  <c r="AJ190" i="10"/>
  <c r="J190" i="16" s="1"/>
  <c r="E142" i="10"/>
  <c r="F142" i="10" s="1"/>
  <c r="G142" i="10" s="1"/>
  <c r="H142" i="10" s="1"/>
  <c r="I142" i="10" s="1"/>
  <c r="J142" i="10" s="1"/>
  <c r="K142" i="10" s="1"/>
  <c r="L142" i="10" s="1"/>
  <c r="M142" i="10" s="1"/>
  <c r="N142" i="10" s="1"/>
  <c r="O142" i="10" s="1"/>
  <c r="P142" i="10" s="1"/>
  <c r="Q142" i="10" s="1"/>
  <c r="R142" i="10" s="1"/>
  <c r="S142" i="10" s="1"/>
  <c r="T142" i="10" s="1"/>
  <c r="U142" i="10" s="1"/>
  <c r="V142" i="10" s="1"/>
  <c r="W142" i="10" s="1"/>
  <c r="X142" i="10" s="1"/>
  <c r="Y142" i="10" s="1"/>
  <c r="Z142" i="10" s="1"/>
  <c r="AA142" i="10" s="1"/>
  <c r="AB142" i="10" s="1"/>
  <c r="AC142" i="10" s="1"/>
  <c r="AD142" i="10" s="1"/>
  <c r="AE142" i="10" s="1"/>
  <c r="AF142" i="10" s="1"/>
  <c r="AG142" i="10" s="1"/>
  <c r="AH142" i="10" s="1"/>
  <c r="AI142" i="10" s="1"/>
  <c r="AJ142" i="10" s="1"/>
  <c r="AJ172" i="10"/>
  <c r="J172" i="16" s="1"/>
  <c r="AJ152" i="10"/>
  <c r="J152" i="16" s="1"/>
  <c r="E159" i="10"/>
  <c r="F159" i="10" s="1"/>
  <c r="G159" i="10" s="1"/>
  <c r="H159" i="10" s="1"/>
  <c r="I159" i="10" s="1"/>
  <c r="J159" i="10" s="1"/>
  <c r="K159" i="10" s="1"/>
  <c r="L159" i="10" s="1"/>
  <c r="M159" i="10" s="1"/>
  <c r="N159" i="10" s="1"/>
  <c r="O159" i="10" s="1"/>
  <c r="P159" i="10" s="1"/>
  <c r="Q159" i="10" s="1"/>
  <c r="R159" i="10" s="1"/>
  <c r="S159" i="10" s="1"/>
  <c r="T159" i="10" s="1"/>
  <c r="U159" i="10" s="1"/>
  <c r="V159" i="10" s="1"/>
  <c r="W159" i="10" s="1"/>
  <c r="X159" i="10" s="1"/>
  <c r="Y159" i="10" s="1"/>
  <c r="Z159" i="10" s="1"/>
  <c r="AA159" i="10" s="1"/>
  <c r="AB159" i="10" s="1"/>
  <c r="AC159" i="10" s="1"/>
  <c r="AD159" i="10" s="1"/>
  <c r="AE159" i="10" s="1"/>
  <c r="AF159" i="10" s="1"/>
  <c r="AG159" i="10" s="1"/>
  <c r="AH159" i="10" s="1"/>
  <c r="AI159" i="10" s="1"/>
  <c r="AJ159" i="10" s="1"/>
  <c r="AJ207" i="10"/>
  <c r="J207" i="16" s="1"/>
  <c r="G27" i="10"/>
  <c r="E28" i="10"/>
  <c r="AJ38" i="10"/>
  <c r="J38" i="16" s="1"/>
  <c r="AJ48" i="10"/>
  <c r="J48" i="16" s="1"/>
  <c r="AJ61" i="10"/>
  <c r="J61" i="16" s="1"/>
  <c r="AJ100" i="10"/>
  <c r="J100" i="16" s="1"/>
  <c r="AJ102" i="10"/>
  <c r="J102" i="16" s="1"/>
  <c r="AJ114" i="10"/>
  <c r="J114" i="16" s="1"/>
  <c r="E123" i="10"/>
  <c r="F123" i="10" s="1"/>
  <c r="G123" i="10" s="1"/>
  <c r="H123" i="10" s="1"/>
  <c r="I123" i="10" s="1"/>
  <c r="J123" i="10" s="1"/>
  <c r="K123" i="10" s="1"/>
  <c r="L123" i="10" s="1"/>
  <c r="M123" i="10" s="1"/>
  <c r="N123" i="10" s="1"/>
  <c r="O123" i="10" s="1"/>
  <c r="P123" i="10" s="1"/>
  <c r="Q123" i="10" s="1"/>
  <c r="R123" i="10" s="1"/>
  <c r="S123" i="10" s="1"/>
  <c r="T123" i="10" s="1"/>
  <c r="U123" i="10" s="1"/>
  <c r="V123" i="10" s="1"/>
  <c r="W123" i="10" s="1"/>
  <c r="X123" i="10" s="1"/>
  <c r="Y123" i="10" s="1"/>
  <c r="Z123" i="10" s="1"/>
  <c r="AA123" i="10" s="1"/>
  <c r="AB123" i="10" s="1"/>
  <c r="AC123" i="10" s="1"/>
  <c r="AD123" i="10" s="1"/>
  <c r="AE123" i="10" s="1"/>
  <c r="AF123" i="10" s="1"/>
  <c r="AG123" i="10" s="1"/>
  <c r="AH123" i="10" s="1"/>
  <c r="AI123" i="10" s="1"/>
  <c r="AJ123" i="10" s="1"/>
  <c r="AJ69" i="10"/>
  <c r="J69" i="16" s="1"/>
  <c r="AJ98" i="10"/>
  <c r="J98" i="16" s="1"/>
  <c r="AJ141" i="10"/>
  <c r="J141" i="16" s="1"/>
  <c r="AJ211" i="10"/>
  <c r="J211" i="16" s="1"/>
  <c r="AJ132" i="10"/>
  <c r="J132" i="16" s="1"/>
  <c r="AJ176" i="10"/>
  <c r="J176" i="16" s="1"/>
  <c r="AJ191" i="10"/>
  <c r="J191" i="16" s="1"/>
  <c r="AJ208" i="10"/>
  <c r="J208" i="16" s="1"/>
  <c r="AJ117" i="10"/>
  <c r="J117" i="16" s="1"/>
  <c r="AJ155" i="10"/>
  <c r="J155" i="16" s="1"/>
  <c r="E214" i="10"/>
  <c r="F214" i="10" s="1"/>
  <c r="G214" i="10" s="1"/>
  <c r="H214" i="10" s="1"/>
  <c r="I214" i="10" s="1"/>
  <c r="J214" i="10" s="1"/>
  <c r="K214" i="10" s="1"/>
  <c r="L214" i="10" s="1"/>
  <c r="M214" i="10" s="1"/>
  <c r="N214" i="10" s="1"/>
  <c r="O214" i="10" s="1"/>
  <c r="P214" i="10" s="1"/>
  <c r="Q214" i="10" s="1"/>
  <c r="R214" i="10" s="1"/>
  <c r="S214" i="10" s="1"/>
  <c r="T214" i="10" s="1"/>
  <c r="U214" i="10" s="1"/>
  <c r="V214" i="10" s="1"/>
  <c r="W214" i="10" s="1"/>
  <c r="X214" i="10" s="1"/>
  <c r="Y214" i="10" s="1"/>
  <c r="Z214" i="10" s="1"/>
  <c r="AA214" i="10" s="1"/>
  <c r="AB214" i="10" s="1"/>
  <c r="AC214" i="10" s="1"/>
  <c r="AD214" i="10" s="1"/>
  <c r="AE214" i="10" s="1"/>
  <c r="AF214" i="10" s="1"/>
  <c r="AG214" i="10" s="1"/>
  <c r="AH214" i="10" s="1"/>
  <c r="AI214" i="10" s="1"/>
  <c r="AJ214" i="10" s="1"/>
  <c r="AJ206" i="10"/>
  <c r="J206" i="16" s="1"/>
  <c r="D168" i="9"/>
  <c r="D194" i="9"/>
  <c r="AJ45" i="9"/>
  <c r="K45" i="16" s="1"/>
  <c r="AJ100" i="9"/>
  <c r="K100" i="16" s="1"/>
  <c r="E104" i="9"/>
  <c r="F104" i="9" s="1"/>
  <c r="G104" i="9" s="1"/>
  <c r="H104" i="9" s="1"/>
  <c r="I104" i="9" s="1"/>
  <c r="J104" i="9" s="1"/>
  <c r="K104" i="9" s="1"/>
  <c r="L104" i="9" s="1"/>
  <c r="M104" i="9" s="1"/>
  <c r="N104" i="9" s="1"/>
  <c r="O104" i="9" s="1"/>
  <c r="P104" i="9" s="1"/>
  <c r="Q104" i="9" s="1"/>
  <c r="R104" i="9" s="1"/>
  <c r="S104" i="9" s="1"/>
  <c r="T104" i="9" s="1"/>
  <c r="U104" i="9" s="1"/>
  <c r="V104" i="9" s="1"/>
  <c r="W104" i="9" s="1"/>
  <c r="X104" i="9" s="1"/>
  <c r="Y104" i="9" s="1"/>
  <c r="Z104" i="9" s="1"/>
  <c r="AA104" i="9" s="1"/>
  <c r="AB104" i="9" s="1"/>
  <c r="AC104" i="9" s="1"/>
  <c r="AD104" i="9" s="1"/>
  <c r="AE104" i="9" s="1"/>
  <c r="AF104" i="9" s="1"/>
  <c r="AG104" i="9" s="1"/>
  <c r="AH104" i="9" s="1"/>
  <c r="AI104" i="9" s="1"/>
  <c r="AJ104" i="9" s="1"/>
  <c r="AJ71" i="9"/>
  <c r="K71" i="16" s="1"/>
  <c r="AJ98" i="9"/>
  <c r="K98" i="16" s="1"/>
  <c r="AJ113" i="9"/>
  <c r="K113" i="16" s="1"/>
  <c r="E123" i="9"/>
  <c r="F123" i="9" s="1"/>
  <c r="G123" i="9" s="1"/>
  <c r="H123" i="9" s="1"/>
  <c r="I123" i="9" s="1"/>
  <c r="J123" i="9" s="1"/>
  <c r="K123" i="9" s="1"/>
  <c r="L123" i="9" s="1"/>
  <c r="M123" i="9" s="1"/>
  <c r="N123" i="9" s="1"/>
  <c r="O123" i="9" s="1"/>
  <c r="P123" i="9" s="1"/>
  <c r="Q123" i="9" s="1"/>
  <c r="R123" i="9" s="1"/>
  <c r="S123" i="9" s="1"/>
  <c r="T123" i="9" s="1"/>
  <c r="U123" i="9" s="1"/>
  <c r="V123" i="9" s="1"/>
  <c r="W123" i="9" s="1"/>
  <c r="X123" i="9" s="1"/>
  <c r="Y123" i="9" s="1"/>
  <c r="Z123" i="9" s="1"/>
  <c r="AA123" i="9" s="1"/>
  <c r="AB123" i="9" s="1"/>
  <c r="AC123" i="9" s="1"/>
  <c r="AD123" i="9" s="1"/>
  <c r="AE123" i="9" s="1"/>
  <c r="AF123" i="9" s="1"/>
  <c r="AG123" i="9" s="1"/>
  <c r="AH123" i="9" s="1"/>
  <c r="AI123" i="9" s="1"/>
  <c r="AJ123" i="9" s="1"/>
  <c r="AJ136" i="9"/>
  <c r="K136" i="16" s="1"/>
  <c r="E178" i="9"/>
  <c r="F178" i="9" s="1"/>
  <c r="G178" i="9" s="1"/>
  <c r="H178" i="9" s="1"/>
  <c r="I178" i="9" s="1"/>
  <c r="J178" i="9" s="1"/>
  <c r="K178" i="9" s="1"/>
  <c r="L178" i="9" s="1"/>
  <c r="M178" i="9" s="1"/>
  <c r="N178" i="9" s="1"/>
  <c r="O178" i="9" s="1"/>
  <c r="P178" i="9" s="1"/>
  <c r="Q178" i="9" s="1"/>
  <c r="R178" i="9" s="1"/>
  <c r="S178" i="9" s="1"/>
  <c r="T178" i="9" s="1"/>
  <c r="U178" i="9" s="1"/>
  <c r="V178" i="9" s="1"/>
  <c r="W178" i="9" s="1"/>
  <c r="X178" i="9" s="1"/>
  <c r="Y178" i="9" s="1"/>
  <c r="Z178" i="9" s="1"/>
  <c r="AA178" i="9" s="1"/>
  <c r="AB178" i="9" s="1"/>
  <c r="AC178" i="9" s="1"/>
  <c r="AD178" i="9" s="1"/>
  <c r="AE178" i="9" s="1"/>
  <c r="AF178" i="9" s="1"/>
  <c r="AG178" i="9" s="1"/>
  <c r="AH178" i="9" s="1"/>
  <c r="AI178" i="9" s="1"/>
  <c r="AJ178" i="9" s="1"/>
  <c r="AJ171" i="9"/>
  <c r="K171" i="16" s="1"/>
  <c r="AJ174" i="9"/>
  <c r="K174" i="16" s="1"/>
  <c r="AJ206" i="9"/>
  <c r="K206" i="16" s="1"/>
  <c r="AJ48" i="9"/>
  <c r="K48" i="16" s="1"/>
  <c r="AJ47" i="9"/>
  <c r="K47" i="16" s="1"/>
  <c r="AJ42" i="9"/>
  <c r="K42" i="16" s="1"/>
  <c r="AJ64" i="9"/>
  <c r="K64" i="16" s="1"/>
  <c r="AJ84" i="9"/>
  <c r="K84" i="16" s="1"/>
  <c r="AJ97" i="9"/>
  <c r="K97" i="16" s="1"/>
  <c r="AJ115" i="9"/>
  <c r="K115" i="16" s="1"/>
  <c r="AJ135" i="9"/>
  <c r="K135" i="16" s="1"/>
  <c r="AJ120" i="9"/>
  <c r="K120" i="16" s="1"/>
  <c r="AJ175" i="9"/>
  <c r="K175" i="16" s="1"/>
  <c r="AJ187" i="9"/>
  <c r="K187" i="16" s="1"/>
  <c r="AJ192" i="9"/>
  <c r="K192" i="16" s="1"/>
  <c r="AJ151" i="9"/>
  <c r="K151" i="16" s="1"/>
  <c r="AJ85" i="9"/>
  <c r="K85" i="16" s="1"/>
  <c r="AJ38" i="9"/>
  <c r="K38" i="16" s="1"/>
  <c r="E51" i="9"/>
  <c r="F51" i="9" s="1"/>
  <c r="G51" i="9" s="1"/>
  <c r="H51" i="9" s="1"/>
  <c r="I51" i="9" s="1"/>
  <c r="J51" i="9" s="1"/>
  <c r="K51" i="9" s="1"/>
  <c r="L51" i="9" s="1"/>
  <c r="M51" i="9" s="1"/>
  <c r="N51" i="9" s="1"/>
  <c r="O51" i="9" s="1"/>
  <c r="P51" i="9" s="1"/>
  <c r="Q51" i="9" s="1"/>
  <c r="R51" i="9" s="1"/>
  <c r="S51" i="9" s="1"/>
  <c r="T51" i="9" s="1"/>
  <c r="U51" i="9" s="1"/>
  <c r="V51" i="9" s="1"/>
  <c r="W51" i="9" s="1"/>
  <c r="X51" i="9" s="1"/>
  <c r="Y51" i="9" s="1"/>
  <c r="Z51" i="9" s="1"/>
  <c r="AA51" i="9" s="1"/>
  <c r="AB51" i="9" s="1"/>
  <c r="AC51" i="9" s="1"/>
  <c r="AD51" i="9" s="1"/>
  <c r="AE51" i="9" s="1"/>
  <c r="AF51" i="9" s="1"/>
  <c r="AG51" i="9" s="1"/>
  <c r="AH51" i="9" s="1"/>
  <c r="AI51" i="9" s="1"/>
  <c r="AJ51" i="9" s="1"/>
  <c r="AJ37" i="9"/>
  <c r="K37" i="16" s="1"/>
  <c r="AJ63" i="9"/>
  <c r="K63" i="16" s="1"/>
  <c r="AJ65" i="9"/>
  <c r="K65" i="16" s="1"/>
  <c r="AJ67" i="9"/>
  <c r="K67" i="16" s="1"/>
  <c r="E87" i="9"/>
  <c r="F87" i="9" s="1"/>
  <c r="G87" i="9" s="1"/>
  <c r="H87" i="9" s="1"/>
  <c r="I87" i="9" s="1"/>
  <c r="J87" i="9" s="1"/>
  <c r="K87" i="9" s="1"/>
  <c r="L87" i="9" s="1"/>
  <c r="M87" i="9" s="1"/>
  <c r="N87" i="9" s="1"/>
  <c r="O87" i="9" s="1"/>
  <c r="P87" i="9" s="1"/>
  <c r="Q87" i="9" s="1"/>
  <c r="R87" i="9" s="1"/>
  <c r="S87" i="9" s="1"/>
  <c r="T87" i="9" s="1"/>
  <c r="U87" i="9" s="1"/>
  <c r="V87" i="9" s="1"/>
  <c r="W87" i="9" s="1"/>
  <c r="X87" i="9" s="1"/>
  <c r="Y87" i="9" s="1"/>
  <c r="Z87" i="9" s="1"/>
  <c r="AA87" i="9" s="1"/>
  <c r="AB87" i="9" s="1"/>
  <c r="AC87" i="9" s="1"/>
  <c r="AD87" i="9" s="1"/>
  <c r="AE87" i="9" s="1"/>
  <c r="AF87" i="9" s="1"/>
  <c r="AG87" i="9" s="1"/>
  <c r="AH87" i="9" s="1"/>
  <c r="AI87" i="9" s="1"/>
  <c r="AJ87" i="9" s="1"/>
  <c r="AJ69" i="9"/>
  <c r="K69" i="16" s="1"/>
  <c r="AJ72" i="9"/>
  <c r="K72" i="16" s="1"/>
  <c r="AJ116" i="9"/>
  <c r="K116" i="16" s="1"/>
  <c r="AJ101" i="9"/>
  <c r="K101" i="16" s="1"/>
  <c r="AJ102" i="9"/>
  <c r="K102" i="16" s="1"/>
  <c r="E142" i="9"/>
  <c r="F142" i="9" s="1"/>
  <c r="G142" i="9" s="1"/>
  <c r="H142" i="9" s="1"/>
  <c r="I142" i="9" s="1"/>
  <c r="J142" i="9" s="1"/>
  <c r="K142" i="9" s="1"/>
  <c r="L142" i="9" s="1"/>
  <c r="M142" i="9" s="1"/>
  <c r="N142" i="9" s="1"/>
  <c r="O142" i="9" s="1"/>
  <c r="P142" i="9" s="1"/>
  <c r="Q142" i="9" s="1"/>
  <c r="R142" i="9" s="1"/>
  <c r="S142" i="9" s="1"/>
  <c r="T142" i="9" s="1"/>
  <c r="U142" i="9" s="1"/>
  <c r="V142" i="9" s="1"/>
  <c r="W142" i="9" s="1"/>
  <c r="X142" i="9" s="1"/>
  <c r="Y142" i="9" s="1"/>
  <c r="Z142" i="9" s="1"/>
  <c r="AA142" i="9" s="1"/>
  <c r="AB142" i="9" s="1"/>
  <c r="AC142" i="9" s="1"/>
  <c r="AD142" i="9" s="1"/>
  <c r="AE142" i="9" s="1"/>
  <c r="AF142" i="9" s="1"/>
  <c r="AG142" i="9" s="1"/>
  <c r="AH142" i="9" s="1"/>
  <c r="AI142" i="9" s="1"/>
  <c r="AJ142" i="9" s="1"/>
  <c r="AJ132" i="9"/>
  <c r="K132" i="16" s="1"/>
  <c r="AJ119" i="9"/>
  <c r="K119" i="16" s="1"/>
  <c r="AJ153" i="9"/>
  <c r="K153" i="16" s="1"/>
  <c r="E159" i="9"/>
  <c r="F159" i="9" s="1"/>
  <c r="G159" i="9" s="1"/>
  <c r="H159" i="9" s="1"/>
  <c r="I159" i="9" s="1"/>
  <c r="J159" i="9" s="1"/>
  <c r="K159" i="9" s="1"/>
  <c r="L159" i="9" s="1"/>
  <c r="M159" i="9" s="1"/>
  <c r="N159" i="9" s="1"/>
  <c r="O159" i="9" s="1"/>
  <c r="P159" i="9" s="1"/>
  <c r="Q159" i="9" s="1"/>
  <c r="R159" i="9" s="1"/>
  <c r="S159" i="9" s="1"/>
  <c r="T159" i="9" s="1"/>
  <c r="U159" i="9" s="1"/>
  <c r="V159" i="9" s="1"/>
  <c r="W159" i="9" s="1"/>
  <c r="X159" i="9" s="1"/>
  <c r="Y159" i="9" s="1"/>
  <c r="Z159" i="9" s="1"/>
  <c r="AA159" i="9" s="1"/>
  <c r="AB159" i="9" s="1"/>
  <c r="AC159" i="9" s="1"/>
  <c r="AD159" i="9" s="1"/>
  <c r="AE159" i="9" s="1"/>
  <c r="AF159" i="9" s="1"/>
  <c r="AG159" i="9" s="1"/>
  <c r="AH159" i="9" s="1"/>
  <c r="AI159" i="9" s="1"/>
  <c r="AJ159" i="9" s="1"/>
  <c r="AJ188" i="9"/>
  <c r="K188" i="16" s="1"/>
  <c r="E197" i="9"/>
  <c r="F197" i="9" s="1"/>
  <c r="G197" i="9" s="1"/>
  <c r="H197" i="9" s="1"/>
  <c r="I197" i="9" s="1"/>
  <c r="J197" i="9" s="1"/>
  <c r="K197" i="9" s="1"/>
  <c r="L197" i="9" s="1"/>
  <c r="M197" i="9" s="1"/>
  <c r="N197" i="9" s="1"/>
  <c r="O197" i="9" s="1"/>
  <c r="P197" i="9" s="1"/>
  <c r="Q197" i="9" s="1"/>
  <c r="R197" i="9" s="1"/>
  <c r="S197" i="9" s="1"/>
  <c r="T197" i="9" s="1"/>
  <c r="U197" i="9" s="1"/>
  <c r="V197" i="9" s="1"/>
  <c r="W197" i="9" s="1"/>
  <c r="X197" i="9" s="1"/>
  <c r="Y197" i="9" s="1"/>
  <c r="Z197" i="9" s="1"/>
  <c r="AA197" i="9" s="1"/>
  <c r="AB197" i="9" s="1"/>
  <c r="AC197" i="9" s="1"/>
  <c r="AD197" i="9" s="1"/>
  <c r="AE197" i="9" s="1"/>
  <c r="AF197" i="9" s="1"/>
  <c r="AG197" i="9" s="1"/>
  <c r="AH197" i="9" s="1"/>
  <c r="AI197" i="9" s="1"/>
  <c r="AJ197" i="9" s="1"/>
  <c r="AJ191" i="9"/>
  <c r="K191" i="16" s="1"/>
  <c r="AJ211" i="9"/>
  <c r="K211" i="16" s="1"/>
  <c r="AJ189" i="9"/>
  <c r="K189" i="16" s="1"/>
  <c r="Q4" i="9"/>
  <c r="U4" i="9"/>
  <c r="AJ44" i="9"/>
  <c r="K44" i="16" s="1"/>
  <c r="AJ60" i="9"/>
  <c r="K60" i="16" s="1"/>
  <c r="E73" i="9"/>
  <c r="F73" i="9" s="1"/>
  <c r="G73" i="9" s="1"/>
  <c r="H73" i="9" s="1"/>
  <c r="I73" i="9" s="1"/>
  <c r="J73" i="9" s="1"/>
  <c r="K73" i="9" s="1"/>
  <c r="L73" i="9" s="1"/>
  <c r="M73" i="9" s="1"/>
  <c r="N73" i="9" s="1"/>
  <c r="O73" i="9" s="1"/>
  <c r="P73" i="9" s="1"/>
  <c r="Q73" i="9" s="1"/>
  <c r="R73" i="9" s="1"/>
  <c r="S73" i="9" s="1"/>
  <c r="T73" i="9" s="1"/>
  <c r="U73" i="9" s="1"/>
  <c r="V73" i="9" s="1"/>
  <c r="W73" i="9" s="1"/>
  <c r="X73" i="9" s="1"/>
  <c r="Y73" i="9" s="1"/>
  <c r="Z73" i="9" s="1"/>
  <c r="AA73" i="9" s="1"/>
  <c r="AB73" i="9" s="1"/>
  <c r="AC73" i="9" s="1"/>
  <c r="AD73" i="9" s="1"/>
  <c r="AE73" i="9" s="1"/>
  <c r="AF73" i="9" s="1"/>
  <c r="AG73" i="9" s="1"/>
  <c r="AH73" i="9" s="1"/>
  <c r="AI73" i="9" s="1"/>
  <c r="AJ73" i="9" s="1"/>
  <c r="AJ68" i="9"/>
  <c r="K68" i="16" s="1"/>
  <c r="AJ133" i="9"/>
  <c r="K133" i="16" s="1"/>
  <c r="AJ114" i="9"/>
  <c r="K114" i="16" s="1"/>
  <c r="AJ137" i="9"/>
  <c r="K137" i="16" s="1"/>
  <c r="AJ170" i="9"/>
  <c r="K170" i="16" s="1"/>
  <c r="AJ196" i="9"/>
  <c r="K196" i="16" s="1"/>
  <c r="AJ45" i="8"/>
  <c r="L45" i="16" s="1"/>
  <c r="AJ62" i="8"/>
  <c r="L62" i="16" s="1"/>
  <c r="AJ65" i="8"/>
  <c r="L65" i="16" s="1"/>
  <c r="AJ97" i="8"/>
  <c r="L97" i="16" s="1"/>
  <c r="E104" i="8"/>
  <c r="F104" i="8" s="1"/>
  <c r="G104" i="8" s="1"/>
  <c r="H104" i="8" s="1"/>
  <c r="I104" i="8" s="1"/>
  <c r="J104" i="8" s="1"/>
  <c r="K104" i="8" s="1"/>
  <c r="L104" i="8" s="1"/>
  <c r="M104" i="8" s="1"/>
  <c r="N104" i="8" s="1"/>
  <c r="O104" i="8" s="1"/>
  <c r="P104" i="8" s="1"/>
  <c r="Q104" i="8" s="1"/>
  <c r="R104" i="8" s="1"/>
  <c r="S104" i="8" s="1"/>
  <c r="T104" i="8" s="1"/>
  <c r="U104" i="8" s="1"/>
  <c r="V104" i="8" s="1"/>
  <c r="W104" i="8" s="1"/>
  <c r="X104" i="8" s="1"/>
  <c r="Y104" i="8" s="1"/>
  <c r="Z104" i="8" s="1"/>
  <c r="AA104" i="8" s="1"/>
  <c r="AB104" i="8" s="1"/>
  <c r="AC104" i="8" s="1"/>
  <c r="AD104" i="8" s="1"/>
  <c r="AE104" i="8" s="1"/>
  <c r="AF104" i="8" s="1"/>
  <c r="AG104" i="8" s="1"/>
  <c r="AH104" i="8" s="1"/>
  <c r="AI104" i="8" s="1"/>
  <c r="AJ104" i="8" s="1"/>
  <c r="AJ114" i="8"/>
  <c r="L114" i="16" s="1"/>
  <c r="E123" i="8"/>
  <c r="F123" i="8" s="1"/>
  <c r="G123" i="8" s="1"/>
  <c r="H123" i="8" s="1"/>
  <c r="I123" i="8" s="1"/>
  <c r="J123" i="8" s="1"/>
  <c r="K123" i="8" s="1"/>
  <c r="L123" i="8" s="1"/>
  <c r="M123" i="8" s="1"/>
  <c r="N123" i="8" s="1"/>
  <c r="O123" i="8" s="1"/>
  <c r="P123" i="8" s="1"/>
  <c r="Q123" i="8" s="1"/>
  <c r="R123" i="8" s="1"/>
  <c r="S123" i="8" s="1"/>
  <c r="T123" i="8" s="1"/>
  <c r="U123" i="8" s="1"/>
  <c r="V123" i="8" s="1"/>
  <c r="W123" i="8" s="1"/>
  <c r="X123" i="8" s="1"/>
  <c r="Y123" i="8" s="1"/>
  <c r="Z123" i="8" s="1"/>
  <c r="AA123" i="8" s="1"/>
  <c r="AB123" i="8" s="1"/>
  <c r="AC123" i="8" s="1"/>
  <c r="AD123" i="8" s="1"/>
  <c r="AE123" i="8" s="1"/>
  <c r="AF123" i="8" s="1"/>
  <c r="AG123" i="8" s="1"/>
  <c r="AH123" i="8" s="1"/>
  <c r="AI123" i="8" s="1"/>
  <c r="AJ123" i="8" s="1"/>
  <c r="AJ139" i="8"/>
  <c r="L139" i="16" s="1"/>
  <c r="AJ118" i="8"/>
  <c r="L118" i="16" s="1"/>
  <c r="AJ177" i="8"/>
  <c r="L177" i="16" s="1"/>
  <c r="AJ155" i="8"/>
  <c r="L155" i="16" s="1"/>
  <c r="AJ194" i="8"/>
  <c r="L194" i="16" s="1"/>
  <c r="U4" i="8"/>
  <c r="AJ38" i="8"/>
  <c r="L38" i="16" s="1"/>
  <c r="E51" i="8"/>
  <c r="F51" i="8" s="1"/>
  <c r="G51" i="8" s="1"/>
  <c r="H51" i="8" s="1"/>
  <c r="I51" i="8" s="1"/>
  <c r="J51" i="8" s="1"/>
  <c r="K51" i="8" s="1"/>
  <c r="L51" i="8" s="1"/>
  <c r="M51" i="8" s="1"/>
  <c r="N51" i="8" s="1"/>
  <c r="O51" i="8" s="1"/>
  <c r="P51" i="8" s="1"/>
  <c r="Q51" i="8" s="1"/>
  <c r="R51" i="8" s="1"/>
  <c r="S51" i="8" s="1"/>
  <c r="T51" i="8" s="1"/>
  <c r="U51" i="8" s="1"/>
  <c r="V51" i="8" s="1"/>
  <c r="W51" i="8" s="1"/>
  <c r="X51" i="8" s="1"/>
  <c r="Y51" i="8" s="1"/>
  <c r="Z51" i="8" s="1"/>
  <c r="AA51" i="8" s="1"/>
  <c r="AB51" i="8" s="1"/>
  <c r="AC51" i="8" s="1"/>
  <c r="AD51" i="8" s="1"/>
  <c r="AE51" i="8" s="1"/>
  <c r="AF51" i="8" s="1"/>
  <c r="AG51" i="8" s="1"/>
  <c r="AH51" i="8" s="1"/>
  <c r="AI51" i="8" s="1"/>
  <c r="AJ51" i="8" s="1"/>
  <c r="AJ49" i="8"/>
  <c r="L49" i="16" s="1"/>
  <c r="AJ48" i="8"/>
  <c r="L48" i="16" s="1"/>
  <c r="AJ84" i="8"/>
  <c r="L84" i="16" s="1"/>
  <c r="AJ96" i="8"/>
  <c r="L96" i="16" s="1"/>
  <c r="AJ101" i="8"/>
  <c r="L101" i="16" s="1"/>
  <c r="AJ102" i="8"/>
  <c r="L102" i="16" s="1"/>
  <c r="AJ154" i="8"/>
  <c r="L154" i="16" s="1"/>
  <c r="AJ151" i="8"/>
  <c r="L151" i="16" s="1"/>
  <c r="E159" i="8"/>
  <c r="F159" i="8" s="1"/>
  <c r="G159" i="8" s="1"/>
  <c r="H159" i="8" s="1"/>
  <c r="I159" i="8" s="1"/>
  <c r="J159" i="8" s="1"/>
  <c r="K159" i="8" s="1"/>
  <c r="L159" i="8" s="1"/>
  <c r="M159" i="8" s="1"/>
  <c r="N159" i="8" s="1"/>
  <c r="O159" i="8" s="1"/>
  <c r="P159" i="8" s="1"/>
  <c r="Q159" i="8" s="1"/>
  <c r="R159" i="8" s="1"/>
  <c r="S159" i="8" s="1"/>
  <c r="T159" i="8" s="1"/>
  <c r="U159" i="8" s="1"/>
  <c r="V159" i="8" s="1"/>
  <c r="W159" i="8" s="1"/>
  <c r="X159" i="8" s="1"/>
  <c r="Y159" i="8" s="1"/>
  <c r="Z159" i="8" s="1"/>
  <c r="AA159" i="8" s="1"/>
  <c r="AB159" i="8" s="1"/>
  <c r="AC159" i="8" s="1"/>
  <c r="AD159" i="8" s="1"/>
  <c r="AE159" i="8" s="1"/>
  <c r="AF159" i="8" s="1"/>
  <c r="AG159" i="8" s="1"/>
  <c r="AH159" i="8" s="1"/>
  <c r="AI159" i="8" s="1"/>
  <c r="AJ159" i="8" s="1"/>
  <c r="AJ190" i="8"/>
  <c r="L190" i="16" s="1"/>
  <c r="AJ134" i="8"/>
  <c r="L134" i="16" s="1"/>
  <c r="E197" i="8"/>
  <c r="F197" i="8" s="1"/>
  <c r="G197" i="8" s="1"/>
  <c r="H197" i="8" s="1"/>
  <c r="I197" i="8" s="1"/>
  <c r="J197" i="8" s="1"/>
  <c r="K197" i="8" s="1"/>
  <c r="L197" i="8" s="1"/>
  <c r="M197" i="8" s="1"/>
  <c r="N197" i="8" s="1"/>
  <c r="O197" i="8" s="1"/>
  <c r="P197" i="8" s="1"/>
  <c r="Q197" i="8" s="1"/>
  <c r="R197" i="8" s="1"/>
  <c r="S197" i="8" s="1"/>
  <c r="T197" i="8" s="1"/>
  <c r="U197" i="8" s="1"/>
  <c r="V197" i="8" s="1"/>
  <c r="W197" i="8" s="1"/>
  <c r="X197" i="8" s="1"/>
  <c r="Y197" i="8" s="1"/>
  <c r="Z197" i="8" s="1"/>
  <c r="AA197" i="8" s="1"/>
  <c r="AB197" i="8" s="1"/>
  <c r="AC197" i="8" s="1"/>
  <c r="AD197" i="8" s="1"/>
  <c r="AE197" i="8" s="1"/>
  <c r="AF197" i="8" s="1"/>
  <c r="AG197" i="8" s="1"/>
  <c r="AH197" i="8" s="1"/>
  <c r="AI197" i="8" s="1"/>
  <c r="AJ197" i="8" s="1"/>
  <c r="AJ213" i="8"/>
  <c r="L213" i="16" s="1"/>
  <c r="AJ60" i="8"/>
  <c r="L60" i="16" s="1"/>
  <c r="E73" i="8"/>
  <c r="F73" i="8" s="1"/>
  <c r="G73" i="8" s="1"/>
  <c r="H73" i="8" s="1"/>
  <c r="I73" i="8" s="1"/>
  <c r="J73" i="8" s="1"/>
  <c r="K73" i="8" s="1"/>
  <c r="L73" i="8" s="1"/>
  <c r="M73" i="8" s="1"/>
  <c r="N73" i="8" s="1"/>
  <c r="O73" i="8" s="1"/>
  <c r="P73" i="8" s="1"/>
  <c r="Q73" i="8" s="1"/>
  <c r="R73" i="8" s="1"/>
  <c r="S73" i="8" s="1"/>
  <c r="T73" i="8" s="1"/>
  <c r="U73" i="8" s="1"/>
  <c r="V73" i="8" s="1"/>
  <c r="W73" i="8" s="1"/>
  <c r="X73" i="8" s="1"/>
  <c r="Y73" i="8" s="1"/>
  <c r="Z73" i="8" s="1"/>
  <c r="AA73" i="8" s="1"/>
  <c r="AB73" i="8" s="1"/>
  <c r="AC73" i="8" s="1"/>
  <c r="AD73" i="8" s="1"/>
  <c r="AE73" i="8" s="1"/>
  <c r="AF73" i="8" s="1"/>
  <c r="AG73" i="8" s="1"/>
  <c r="AH73" i="8" s="1"/>
  <c r="AI73" i="8" s="1"/>
  <c r="AJ73" i="8" s="1"/>
  <c r="AJ67" i="8"/>
  <c r="L67" i="16" s="1"/>
  <c r="AJ68" i="8"/>
  <c r="L68" i="16" s="1"/>
  <c r="AJ71" i="8"/>
  <c r="L71" i="16" s="1"/>
  <c r="AJ119" i="8"/>
  <c r="L119" i="16" s="1"/>
  <c r="AJ122" i="8"/>
  <c r="L122" i="16" s="1"/>
  <c r="AJ121" i="8"/>
  <c r="L121" i="16" s="1"/>
  <c r="AJ168" i="8"/>
  <c r="L168" i="16" s="1"/>
  <c r="E178" i="8"/>
  <c r="F178" i="8" s="1"/>
  <c r="G178" i="8" s="1"/>
  <c r="H178" i="8" s="1"/>
  <c r="I178" i="8" s="1"/>
  <c r="J178" i="8" s="1"/>
  <c r="K178" i="8" s="1"/>
  <c r="L178" i="8" s="1"/>
  <c r="M178" i="8" s="1"/>
  <c r="N178" i="8" s="1"/>
  <c r="O178" i="8" s="1"/>
  <c r="P178" i="8" s="1"/>
  <c r="Q178" i="8" s="1"/>
  <c r="R178" i="8" s="1"/>
  <c r="S178" i="8" s="1"/>
  <c r="T178" i="8" s="1"/>
  <c r="U178" i="8" s="1"/>
  <c r="V178" i="8" s="1"/>
  <c r="W178" i="8" s="1"/>
  <c r="X178" i="8" s="1"/>
  <c r="Y178" i="8" s="1"/>
  <c r="Z178" i="8" s="1"/>
  <c r="AA178" i="8" s="1"/>
  <c r="AB178" i="8" s="1"/>
  <c r="AC178" i="8" s="1"/>
  <c r="AD178" i="8" s="1"/>
  <c r="AE178" i="8" s="1"/>
  <c r="AF178" i="8" s="1"/>
  <c r="AG178" i="8" s="1"/>
  <c r="AH178" i="8" s="1"/>
  <c r="AI178" i="8" s="1"/>
  <c r="AJ178" i="8" s="1"/>
  <c r="AJ193" i="8"/>
  <c r="L193" i="16" s="1"/>
  <c r="AJ210" i="8"/>
  <c r="L210" i="16" s="1"/>
  <c r="AJ158" i="8"/>
  <c r="L158" i="16" s="1"/>
  <c r="AJ206" i="8"/>
  <c r="L206" i="16" s="1"/>
  <c r="Q4" i="8"/>
  <c r="AJ42" i="8"/>
  <c r="L42" i="16" s="1"/>
  <c r="AJ37" i="8"/>
  <c r="L37" i="16" s="1"/>
  <c r="AJ61" i="8"/>
  <c r="L61" i="16" s="1"/>
  <c r="AJ72" i="8"/>
  <c r="L72" i="16" s="1"/>
  <c r="E87" i="8"/>
  <c r="F87" i="8" s="1"/>
  <c r="G87" i="8" s="1"/>
  <c r="H87" i="8" s="1"/>
  <c r="I87" i="8" s="1"/>
  <c r="J87" i="8" s="1"/>
  <c r="K87" i="8" s="1"/>
  <c r="L87" i="8" s="1"/>
  <c r="M87" i="8" s="1"/>
  <c r="N87" i="8" s="1"/>
  <c r="O87" i="8" s="1"/>
  <c r="P87" i="8" s="1"/>
  <c r="Q87" i="8" s="1"/>
  <c r="R87" i="8" s="1"/>
  <c r="S87" i="8" s="1"/>
  <c r="T87" i="8" s="1"/>
  <c r="U87" i="8" s="1"/>
  <c r="V87" i="8" s="1"/>
  <c r="W87" i="8" s="1"/>
  <c r="X87" i="8" s="1"/>
  <c r="Y87" i="8" s="1"/>
  <c r="Z87" i="8" s="1"/>
  <c r="AA87" i="8" s="1"/>
  <c r="AB87" i="8" s="1"/>
  <c r="AC87" i="8" s="1"/>
  <c r="AD87" i="8" s="1"/>
  <c r="AE87" i="8" s="1"/>
  <c r="AF87" i="8" s="1"/>
  <c r="AG87" i="8" s="1"/>
  <c r="AH87" i="8" s="1"/>
  <c r="AI87" i="8" s="1"/>
  <c r="AJ87" i="8" s="1"/>
  <c r="AJ117" i="8"/>
  <c r="L117" i="16" s="1"/>
  <c r="AJ115" i="8"/>
  <c r="L115" i="16" s="1"/>
  <c r="AJ135" i="8"/>
  <c r="L135" i="16" s="1"/>
  <c r="E142" i="8"/>
  <c r="F142" i="8" s="1"/>
  <c r="G142" i="8" s="1"/>
  <c r="H142" i="8" s="1"/>
  <c r="I142" i="8" s="1"/>
  <c r="J142" i="8" s="1"/>
  <c r="K142" i="8" s="1"/>
  <c r="L142" i="8" s="1"/>
  <c r="M142" i="8" s="1"/>
  <c r="N142" i="8" s="1"/>
  <c r="O142" i="8" s="1"/>
  <c r="P142" i="8" s="1"/>
  <c r="Q142" i="8" s="1"/>
  <c r="R142" i="8" s="1"/>
  <c r="S142" i="8" s="1"/>
  <c r="T142" i="8" s="1"/>
  <c r="U142" i="8" s="1"/>
  <c r="V142" i="8" s="1"/>
  <c r="W142" i="8" s="1"/>
  <c r="X142" i="8" s="1"/>
  <c r="Y142" i="8" s="1"/>
  <c r="Z142" i="8" s="1"/>
  <c r="AA142" i="8" s="1"/>
  <c r="AB142" i="8" s="1"/>
  <c r="AC142" i="8" s="1"/>
  <c r="AD142" i="8" s="1"/>
  <c r="AE142" i="8" s="1"/>
  <c r="AF142" i="8" s="1"/>
  <c r="AG142" i="8" s="1"/>
  <c r="AH142" i="8" s="1"/>
  <c r="AI142" i="8" s="1"/>
  <c r="AJ142" i="8" s="1"/>
  <c r="AJ138" i="8"/>
  <c r="L138" i="16" s="1"/>
  <c r="AJ132" i="8"/>
  <c r="L132" i="16" s="1"/>
  <c r="AJ83" i="8"/>
  <c r="L83" i="16" s="1"/>
  <c r="AJ113" i="8"/>
  <c r="L113" i="16" s="1"/>
  <c r="AJ173" i="8"/>
  <c r="L173" i="16" s="1"/>
  <c r="AJ207" i="8"/>
  <c r="L207" i="16" s="1"/>
  <c r="E214" i="8"/>
  <c r="F214" i="8" s="1"/>
  <c r="G214" i="8" s="1"/>
  <c r="H214" i="8" s="1"/>
  <c r="I214" i="8" s="1"/>
  <c r="J214" i="8" s="1"/>
  <c r="K214" i="8" s="1"/>
  <c r="L214" i="8" s="1"/>
  <c r="M214" i="8" s="1"/>
  <c r="N214" i="8" s="1"/>
  <c r="O214" i="8" s="1"/>
  <c r="P214" i="8" s="1"/>
  <c r="Q214" i="8" s="1"/>
  <c r="R214" i="8" s="1"/>
  <c r="S214" i="8" s="1"/>
  <c r="T214" i="8" s="1"/>
  <c r="U214" i="8" s="1"/>
  <c r="V214" i="8" s="1"/>
  <c r="W214" i="8" s="1"/>
  <c r="X214" i="8" s="1"/>
  <c r="Y214" i="8" s="1"/>
  <c r="Z214" i="8" s="1"/>
  <c r="AA214" i="8" s="1"/>
  <c r="AB214" i="8" s="1"/>
  <c r="AC214" i="8" s="1"/>
  <c r="AD214" i="8" s="1"/>
  <c r="AE214" i="8" s="1"/>
  <c r="AF214" i="8" s="1"/>
  <c r="AG214" i="8" s="1"/>
  <c r="AH214" i="8" s="1"/>
  <c r="AI214" i="8" s="1"/>
  <c r="AJ214" i="8" s="1"/>
  <c r="AJ37" i="7"/>
  <c r="M37" i="16" s="1"/>
  <c r="AJ42" i="7"/>
  <c r="M42" i="16" s="1"/>
  <c r="AJ60" i="7"/>
  <c r="M60" i="16" s="1"/>
  <c r="E73" i="7"/>
  <c r="F73" i="7" s="1"/>
  <c r="G73" i="7" s="1"/>
  <c r="H73" i="7" s="1"/>
  <c r="I73" i="7" s="1"/>
  <c r="J73" i="7" s="1"/>
  <c r="K73" i="7" s="1"/>
  <c r="L73" i="7" s="1"/>
  <c r="M73" i="7" s="1"/>
  <c r="N73" i="7" s="1"/>
  <c r="O73" i="7" s="1"/>
  <c r="P73" i="7" s="1"/>
  <c r="Q73" i="7" s="1"/>
  <c r="R73" i="7" s="1"/>
  <c r="S73" i="7" s="1"/>
  <c r="T73" i="7" s="1"/>
  <c r="U73" i="7" s="1"/>
  <c r="V73" i="7" s="1"/>
  <c r="W73" i="7" s="1"/>
  <c r="X73" i="7" s="1"/>
  <c r="Y73" i="7" s="1"/>
  <c r="Z73" i="7" s="1"/>
  <c r="AA73" i="7" s="1"/>
  <c r="AB73" i="7" s="1"/>
  <c r="AC73" i="7" s="1"/>
  <c r="AD73" i="7" s="1"/>
  <c r="AE73" i="7" s="1"/>
  <c r="AF73" i="7" s="1"/>
  <c r="AG73" i="7" s="1"/>
  <c r="AH73" i="7" s="1"/>
  <c r="AI73" i="7" s="1"/>
  <c r="AJ73" i="7" s="1"/>
  <c r="U4" i="7"/>
  <c r="AJ38" i="7"/>
  <c r="M38" i="16" s="1"/>
  <c r="E51" i="7"/>
  <c r="F51" i="7" s="1"/>
  <c r="G51" i="7" s="1"/>
  <c r="H51" i="7" s="1"/>
  <c r="I51" i="7" s="1"/>
  <c r="J51" i="7" s="1"/>
  <c r="K51" i="7" s="1"/>
  <c r="L51" i="7" s="1"/>
  <c r="M51" i="7" s="1"/>
  <c r="N51" i="7" s="1"/>
  <c r="O51" i="7" s="1"/>
  <c r="P51" i="7" s="1"/>
  <c r="Q51" i="7" s="1"/>
  <c r="R51" i="7" s="1"/>
  <c r="S51" i="7" s="1"/>
  <c r="T51" i="7" s="1"/>
  <c r="U51" i="7" s="1"/>
  <c r="V51" i="7" s="1"/>
  <c r="W51" i="7" s="1"/>
  <c r="X51" i="7" s="1"/>
  <c r="Y51" i="7" s="1"/>
  <c r="Z51" i="7" s="1"/>
  <c r="AA51" i="7" s="1"/>
  <c r="AB51" i="7" s="1"/>
  <c r="AC51" i="7" s="1"/>
  <c r="AD51" i="7" s="1"/>
  <c r="AE51" i="7" s="1"/>
  <c r="AF51" i="7" s="1"/>
  <c r="AG51" i="7" s="1"/>
  <c r="AH51" i="7" s="1"/>
  <c r="AI51" i="7" s="1"/>
  <c r="AJ51" i="7" s="1"/>
  <c r="Q4" i="7"/>
  <c r="AJ45" i="7"/>
  <c r="M45" i="16" s="1"/>
  <c r="AJ67" i="7"/>
  <c r="M67" i="16" s="1"/>
  <c r="AJ41" i="7"/>
  <c r="M41" i="16" s="1"/>
  <c r="AJ43" i="7"/>
  <c r="M43" i="16" s="1"/>
  <c r="AJ46" i="7"/>
  <c r="M46" i="16" s="1"/>
  <c r="AJ48" i="7"/>
  <c r="M48" i="16" s="1"/>
  <c r="AJ65" i="7"/>
  <c r="M65" i="16" s="1"/>
  <c r="AJ114" i="7"/>
  <c r="M114" i="16" s="1"/>
  <c r="E123" i="7"/>
  <c r="F123" i="7" s="1"/>
  <c r="G123" i="7" s="1"/>
  <c r="H123" i="7" s="1"/>
  <c r="I123" i="7" s="1"/>
  <c r="J123" i="7" s="1"/>
  <c r="K123" i="7" s="1"/>
  <c r="L123" i="7" s="1"/>
  <c r="M123" i="7" s="1"/>
  <c r="N123" i="7" s="1"/>
  <c r="O123" i="7" s="1"/>
  <c r="P123" i="7" s="1"/>
  <c r="Q123" i="7" s="1"/>
  <c r="R123" i="7" s="1"/>
  <c r="S123" i="7" s="1"/>
  <c r="T123" i="7" s="1"/>
  <c r="U123" i="7" s="1"/>
  <c r="V123" i="7" s="1"/>
  <c r="W123" i="7" s="1"/>
  <c r="X123" i="7" s="1"/>
  <c r="Y123" i="7" s="1"/>
  <c r="Z123" i="7" s="1"/>
  <c r="AA123" i="7" s="1"/>
  <c r="AB123" i="7" s="1"/>
  <c r="AC123" i="7" s="1"/>
  <c r="AD123" i="7" s="1"/>
  <c r="AE123" i="7" s="1"/>
  <c r="AF123" i="7" s="1"/>
  <c r="AG123" i="7" s="1"/>
  <c r="AH123" i="7" s="1"/>
  <c r="AI123" i="7" s="1"/>
  <c r="AJ123" i="7" s="1"/>
  <c r="AJ116" i="7"/>
  <c r="M116" i="16" s="1"/>
  <c r="AJ140" i="7"/>
  <c r="M140" i="16" s="1"/>
  <c r="AJ62" i="7"/>
  <c r="M62" i="16" s="1"/>
  <c r="D117" i="7"/>
  <c r="AJ136" i="7"/>
  <c r="M136" i="16" s="1"/>
  <c r="AJ153" i="7"/>
  <c r="M153" i="16" s="1"/>
  <c r="AJ156" i="7"/>
  <c r="M156" i="16" s="1"/>
  <c r="AJ190" i="7"/>
  <c r="M190" i="16" s="1"/>
  <c r="AJ174" i="7"/>
  <c r="M174" i="16" s="1"/>
  <c r="AJ64" i="7"/>
  <c r="M64" i="16" s="1"/>
  <c r="AJ101" i="7"/>
  <c r="M101" i="16" s="1"/>
  <c r="AJ120" i="7"/>
  <c r="M120" i="16" s="1"/>
  <c r="AJ96" i="7"/>
  <c r="M96" i="16" s="1"/>
  <c r="E104" i="7"/>
  <c r="F104" i="7" s="1"/>
  <c r="G104" i="7" s="1"/>
  <c r="H104" i="7" s="1"/>
  <c r="I104" i="7" s="1"/>
  <c r="J104" i="7" s="1"/>
  <c r="K104" i="7" s="1"/>
  <c r="L104" i="7" s="1"/>
  <c r="M104" i="7" s="1"/>
  <c r="N104" i="7" s="1"/>
  <c r="O104" i="7" s="1"/>
  <c r="P104" i="7" s="1"/>
  <c r="Q104" i="7" s="1"/>
  <c r="R104" i="7" s="1"/>
  <c r="S104" i="7" s="1"/>
  <c r="T104" i="7" s="1"/>
  <c r="U104" i="7" s="1"/>
  <c r="V104" i="7" s="1"/>
  <c r="W104" i="7" s="1"/>
  <c r="X104" i="7" s="1"/>
  <c r="Y104" i="7" s="1"/>
  <c r="Z104" i="7" s="1"/>
  <c r="AA104" i="7" s="1"/>
  <c r="AB104" i="7" s="1"/>
  <c r="AC104" i="7" s="1"/>
  <c r="AD104" i="7" s="1"/>
  <c r="AE104" i="7" s="1"/>
  <c r="AF104" i="7" s="1"/>
  <c r="AG104" i="7" s="1"/>
  <c r="AH104" i="7" s="1"/>
  <c r="AI104" i="7" s="1"/>
  <c r="AJ104" i="7" s="1"/>
  <c r="AJ115" i="7"/>
  <c r="M115" i="16" s="1"/>
  <c r="D151" i="7"/>
  <c r="AJ177" i="7"/>
  <c r="M177" i="16" s="1"/>
  <c r="AJ211" i="7"/>
  <c r="M211" i="16" s="1"/>
  <c r="AJ187" i="7"/>
  <c r="M187" i="16" s="1"/>
  <c r="E197" i="7"/>
  <c r="F197" i="7" s="1"/>
  <c r="G197" i="7" s="1"/>
  <c r="H197" i="7" s="1"/>
  <c r="I197" i="7" s="1"/>
  <c r="J197" i="7" s="1"/>
  <c r="K197" i="7" s="1"/>
  <c r="L197" i="7" s="1"/>
  <c r="M197" i="7" s="1"/>
  <c r="N197" i="7" s="1"/>
  <c r="O197" i="7" s="1"/>
  <c r="P197" i="7" s="1"/>
  <c r="Q197" i="7" s="1"/>
  <c r="R197" i="7" s="1"/>
  <c r="S197" i="7" s="1"/>
  <c r="T197" i="7" s="1"/>
  <c r="U197" i="7" s="1"/>
  <c r="V197" i="7" s="1"/>
  <c r="W197" i="7" s="1"/>
  <c r="X197" i="7" s="1"/>
  <c r="Y197" i="7" s="1"/>
  <c r="Z197" i="7" s="1"/>
  <c r="AA197" i="7" s="1"/>
  <c r="AB197" i="7" s="1"/>
  <c r="AC197" i="7" s="1"/>
  <c r="AD197" i="7" s="1"/>
  <c r="AE197" i="7" s="1"/>
  <c r="AF197" i="7" s="1"/>
  <c r="AG197" i="7" s="1"/>
  <c r="AH197" i="7" s="1"/>
  <c r="AI197" i="7" s="1"/>
  <c r="AJ197" i="7" s="1"/>
  <c r="AJ84" i="7"/>
  <c r="M84" i="16" s="1"/>
  <c r="E87" i="7"/>
  <c r="F87" i="7" s="1"/>
  <c r="G87" i="7" s="1"/>
  <c r="H87" i="7" s="1"/>
  <c r="I87" i="7" s="1"/>
  <c r="J87" i="7" s="1"/>
  <c r="K87" i="7" s="1"/>
  <c r="L87" i="7" s="1"/>
  <c r="M87" i="7" s="1"/>
  <c r="N87" i="7" s="1"/>
  <c r="O87" i="7" s="1"/>
  <c r="P87" i="7" s="1"/>
  <c r="Q87" i="7" s="1"/>
  <c r="R87" i="7" s="1"/>
  <c r="S87" i="7" s="1"/>
  <c r="T87" i="7" s="1"/>
  <c r="U87" i="7" s="1"/>
  <c r="V87" i="7" s="1"/>
  <c r="W87" i="7" s="1"/>
  <c r="X87" i="7" s="1"/>
  <c r="Y87" i="7" s="1"/>
  <c r="Z87" i="7" s="1"/>
  <c r="AA87" i="7" s="1"/>
  <c r="AB87" i="7" s="1"/>
  <c r="AC87" i="7" s="1"/>
  <c r="AD87" i="7" s="1"/>
  <c r="AE87" i="7" s="1"/>
  <c r="AF87" i="7" s="1"/>
  <c r="AG87" i="7" s="1"/>
  <c r="AH87" i="7" s="1"/>
  <c r="AI87" i="7" s="1"/>
  <c r="AJ87" i="7" s="1"/>
  <c r="AJ49" i="7"/>
  <c r="M49" i="16" s="1"/>
  <c r="AJ71" i="7"/>
  <c r="M71" i="16" s="1"/>
  <c r="AJ97" i="7"/>
  <c r="M97" i="16" s="1"/>
  <c r="AJ133" i="7"/>
  <c r="M133" i="16" s="1"/>
  <c r="AJ132" i="7"/>
  <c r="M132" i="16" s="1"/>
  <c r="E142" i="7"/>
  <c r="F142" i="7" s="1"/>
  <c r="G142" i="7" s="1"/>
  <c r="H142" i="7" s="1"/>
  <c r="I142" i="7" s="1"/>
  <c r="J142" i="7" s="1"/>
  <c r="K142" i="7" s="1"/>
  <c r="L142" i="7" s="1"/>
  <c r="M142" i="7" s="1"/>
  <c r="N142" i="7" s="1"/>
  <c r="O142" i="7" s="1"/>
  <c r="P142" i="7" s="1"/>
  <c r="Q142" i="7" s="1"/>
  <c r="R142" i="7" s="1"/>
  <c r="S142" i="7" s="1"/>
  <c r="T142" i="7" s="1"/>
  <c r="U142" i="7" s="1"/>
  <c r="V142" i="7" s="1"/>
  <c r="W142" i="7" s="1"/>
  <c r="X142" i="7" s="1"/>
  <c r="Y142" i="7" s="1"/>
  <c r="Z142" i="7" s="1"/>
  <c r="AA142" i="7" s="1"/>
  <c r="AB142" i="7" s="1"/>
  <c r="AC142" i="7" s="1"/>
  <c r="AD142" i="7" s="1"/>
  <c r="AE142" i="7" s="1"/>
  <c r="AF142" i="7" s="1"/>
  <c r="AG142" i="7" s="1"/>
  <c r="AH142" i="7" s="1"/>
  <c r="AI142" i="7" s="1"/>
  <c r="AJ142" i="7" s="1"/>
  <c r="AJ137" i="7"/>
  <c r="M137" i="16" s="1"/>
  <c r="AJ154" i="7"/>
  <c r="M154" i="16" s="1"/>
  <c r="AJ119" i="7"/>
  <c r="M119" i="16" s="1"/>
  <c r="E159" i="7"/>
  <c r="F159" i="7" s="1"/>
  <c r="G159" i="7" s="1"/>
  <c r="H159" i="7" s="1"/>
  <c r="I159" i="7" s="1"/>
  <c r="J159" i="7" s="1"/>
  <c r="K159" i="7" s="1"/>
  <c r="L159" i="7" s="1"/>
  <c r="M159" i="7" s="1"/>
  <c r="N159" i="7" s="1"/>
  <c r="O159" i="7" s="1"/>
  <c r="P159" i="7" s="1"/>
  <c r="Q159" i="7" s="1"/>
  <c r="R159" i="7" s="1"/>
  <c r="S159" i="7" s="1"/>
  <c r="T159" i="7" s="1"/>
  <c r="U159" i="7" s="1"/>
  <c r="V159" i="7" s="1"/>
  <c r="W159" i="7" s="1"/>
  <c r="X159" i="7" s="1"/>
  <c r="Y159" i="7" s="1"/>
  <c r="Z159" i="7" s="1"/>
  <c r="AA159" i="7" s="1"/>
  <c r="AB159" i="7" s="1"/>
  <c r="AC159" i="7" s="1"/>
  <c r="AD159" i="7" s="1"/>
  <c r="AE159" i="7" s="1"/>
  <c r="AF159" i="7" s="1"/>
  <c r="AG159" i="7" s="1"/>
  <c r="AH159" i="7" s="1"/>
  <c r="AI159" i="7" s="1"/>
  <c r="AJ159" i="7" s="1"/>
  <c r="AJ207" i="7"/>
  <c r="M207" i="16" s="1"/>
  <c r="AJ169" i="7"/>
  <c r="M169" i="16" s="1"/>
  <c r="AJ191" i="7"/>
  <c r="M191" i="16" s="1"/>
  <c r="AJ195" i="7"/>
  <c r="M195" i="16" s="1"/>
  <c r="AJ208" i="7"/>
  <c r="M208" i="16" s="1"/>
  <c r="AJ212" i="7"/>
  <c r="M212" i="16" s="1"/>
  <c r="AJ72" i="7"/>
  <c r="M72" i="16" s="1"/>
  <c r="AJ141" i="7"/>
  <c r="M141" i="16" s="1"/>
  <c r="AJ157" i="7"/>
  <c r="M157" i="16" s="1"/>
  <c r="AJ61" i="7"/>
  <c r="M61" i="16" s="1"/>
  <c r="AJ68" i="7"/>
  <c r="M68" i="16" s="1"/>
  <c r="AJ83" i="7"/>
  <c r="M83" i="16" s="1"/>
  <c r="AJ118" i="7"/>
  <c r="M118" i="16" s="1"/>
  <c r="AJ135" i="7"/>
  <c r="M135" i="16" s="1"/>
  <c r="AJ152" i="7"/>
  <c r="M152" i="16" s="1"/>
  <c r="AJ113" i="7"/>
  <c r="M113" i="16" s="1"/>
  <c r="AJ194" i="7"/>
  <c r="M194" i="16" s="1"/>
  <c r="E178" i="7"/>
  <c r="F178" i="7" s="1"/>
  <c r="G178" i="7" s="1"/>
  <c r="H178" i="7" s="1"/>
  <c r="I178" i="7" s="1"/>
  <c r="J178" i="7" s="1"/>
  <c r="K178" i="7" s="1"/>
  <c r="L178" i="7" s="1"/>
  <c r="M178" i="7" s="1"/>
  <c r="N178" i="7" s="1"/>
  <c r="O178" i="7" s="1"/>
  <c r="P178" i="7" s="1"/>
  <c r="Q178" i="7" s="1"/>
  <c r="R178" i="7" s="1"/>
  <c r="S178" i="7" s="1"/>
  <c r="T178" i="7" s="1"/>
  <c r="U178" i="7" s="1"/>
  <c r="V178" i="7" s="1"/>
  <c r="W178" i="7" s="1"/>
  <c r="X178" i="7" s="1"/>
  <c r="Y178" i="7" s="1"/>
  <c r="Z178" i="7" s="1"/>
  <c r="AA178" i="7" s="1"/>
  <c r="AB178" i="7" s="1"/>
  <c r="AC178" i="7" s="1"/>
  <c r="AD178" i="7" s="1"/>
  <c r="AE178" i="7" s="1"/>
  <c r="AF178" i="7" s="1"/>
  <c r="AG178" i="7" s="1"/>
  <c r="AH178" i="7" s="1"/>
  <c r="AI178" i="7" s="1"/>
  <c r="AJ178" i="7" s="1"/>
  <c r="AJ170" i="7"/>
  <c r="M170" i="16" s="1"/>
  <c r="AJ173" i="7"/>
  <c r="M173" i="16" s="1"/>
  <c r="AJ41" i="6"/>
  <c r="N41" i="16" s="1"/>
  <c r="AJ38" i="6"/>
  <c r="N38" i="16" s="1"/>
  <c r="E51" i="6"/>
  <c r="F51" i="6" s="1"/>
  <c r="G51" i="6" s="1"/>
  <c r="H51" i="6" s="1"/>
  <c r="I51" i="6" s="1"/>
  <c r="J51" i="6" s="1"/>
  <c r="K51" i="6" s="1"/>
  <c r="L51" i="6" s="1"/>
  <c r="M51" i="6" s="1"/>
  <c r="N51" i="6" s="1"/>
  <c r="O51" i="6" s="1"/>
  <c r="P51" i="6" s="1"/>
  <c r="Q51" i="6" s="1"/>
  <c r="R51" i="6" s="1"/>
  <c r="S51" i="6" s="1"/>
  <c r="T51" i="6" s="1"/>
  <c r="U51" i="6" s="1"/>
  <c r="V51" i="6" s="1"/>
  <c r="W51" i="6" s="1"/>
  <c r="X51" i="6" s="1"/>
  <c r="Y51" i="6" s="1"/>
  <c r="Z51" i="6" s="1"/>
  <c r="AA51" i="6" s="1"/>
  <c r="AB51" i="6" s="1"/>
  <c r="AC51" i="6" s="1"/>
  <c r="AD51" i="6" s="1"/>
  <c r="AE51" i="6" s="1"/>
  <c r="AF51" i="6" s="1"/>
  <c r="AG51" i="6" s="1"/>
  <c r="AH51" i="6" s="1"/>
  <c r="AI51" i="6" s="1"/>
  <c r="AJ51" i="6" s="1"/>
  <c r="AJ61" i="6"/>
  <c r="N61" i="16" s="1"/>
  <c r="AJ63" i="6"/>
  <c r="N63" i="16" s="1"/>
  <c r="AJ103" i="6"/>
  <c r="N103" i="16" s="1"/>
  <c r="AJ152" i="6"/>
  <c r="N152" i="16" s="1"/>
  <c r="AJ120" i="6"/>
  <c r="N120" i="16" s="1"/>
  <c r="AJ141" i="6"/>
  <c r="N141" i="16" s="1"/>
  <c r="AJ133" i="6"/>
  <c r="N133" i="16" s="1"/>
  <c r="E159" i="6"/>
  <c r="F159" i="6" s="1"/>
  <c r="G159" i="6" s="1"/>
  <c r="H159" i="6" s="1"/>
  <c r="I159" i="6" s="1"/>
  <c r="J159" i="6" s="1"/>
  <c r="K159" i="6" s="1"/>
  <c r="L159" i="6" s="1"/>
  <c r="M159" i="6" s="1"/>
  <c r="N159" i="6" s="1"/>
  <c r="O159" i="6" s="1"/>
  <c r="P159" i="6" s="1"/>
  <c r="Q159" i="6" s="1"/>
  <c r="R159" i="6" s="1"/>
  <c r="S159" i="6" s="1"/>
  <c r="T159" i="6" s="1"/>
  <c r="U159" i="6" s="1"/>
  <c r="V159" i="6" s="1"/>
  <c r="W159" i="6" s="1"/>
  <c r="X159" i="6" s="1"/>
  <c r="Y159" i="6" s="1"/>
  <c r="Z159" i="6" s="1"/>
  <c r="AA159" i="6" s="1"/>
  <c r="AB159" i="6" s="1"/>
  <c r="AC159" i="6" s="1"/>
  <c r="AD159" i="6" s="1"/>
  <c r="AE159" i="6" s="1"/>
  <c r="AF159" i="6" s="1"/>
  <c r="AG159" i="6" s="1"/>
  <c r="AH159" i="6" s="1"/>
  <c r="AI159" i="6" s="1"/>
  <c r="AJ159" i="6" s="1"/>
  <c r="AJ169" i="6"/>
  <c r="N169" i="16" s="1"/>
  <c r="AJ188" i="6"/>
  <c r="N188" i="16" s="1"/>
  <c r="AJ119" i="6"/>
  <c r="N119" i="16" s="1"/>
  <c r="AJ210" i="6"/>
  <c r="N210" i="16" s="1"/>
  <c r="AJ193" i="6"/>
  <c r="N193" i="16" s="1"/>
  <c r="AJ189" i="6"/>
  <c r="N189" i="16" s="1"/>
  <c r="E197" i="6"/>
  <c r="F197" i="6" s="1"/>
  <c r="G197" i="6" s="1"/>
  <c r="H197" i="6" s="1"/>
  <c r="I197" i="6" s="1"/>
  <c r="J197" i="6" s="1"/>
  <c r="K197" i="6" s="1"/>
  <c r="L197" i="6" s="1"/>
  <c r="M197" i="6" s="1"/>
  <c r="N197" i="6" s="1"/>
  <c r="O197" i="6" s="1"/>
  <c r="P197" i="6" s="1"/>
  <c r="Q197" i="6" s="1"/>
  <c r="R197" i="6" s="1"/>
  <c r="S197" i="6" s="1"/>
  <c r="T197" i="6" s="1"/>
  <c r="U197" i="6" s="1"/>
  <c r="V197" i="6" s="1"/>
  <c r="W197" i="6" s="1"/>
  <c r="X197" i="6" s="1"/>
  <c r="Y197" i="6" s="1"/>
  <c r="Z197" i="6" s="1"/>
  <c r="AA197" i="6" s="1"/>
  <c r="AB197" i="6" s="1"/>
  <c r="AC197" i="6" s="1"/>
  <c r="AD197" i="6" s="1"/>
  <c r="AE197" i="6" s="1"/>
  <c r="AF197" i="6" s="1"/>
  <c r="AG197" i="6" s="1"/>
  <c r="AH197" i="6" s="1"/>
  <c r="AI197" i="6" s="1"/>
  <c r="AJ197" i="6" s="1"/>
  <c r="AJ206" i="6"/>
  <c r="N206" i="16" s="1"/>
  <c r="E214" i="6"/>
  <c r="F214" i="6" s="1"/>
  <c r="G214" i="6" s="1"/>
  <c r="H214" i="6" s="1"/>
  <c r="I214" i="6" s="1"/>
  <c r="J214" i="6" s="1"/>
  <c r="K214" i="6" s="1"/>
  <c r="L214" i="6" s="1"/>
  <c r="M214" i="6" s="1"/>
  <c r="N214" i="6" s="1"/>
  <c r="O214" i="6" s="1"/>
  <c r="P214" i="6" s="1"/>
  <c r="Q214" i="6" s="1"/>
  <c r="R214" i="6" s="1"/>
  <c r="S214" i="6" s="1"/>
  <c r="T214" i="6" s="1"/>
  <c r="U214" i="6" s="1"/>
  <c r="V214" i="6" s="1"/>
  <c r="W214" i="6" s="1"/>
  <c r="X214" i="6" s="1"/>
  <c r="Y214" i="6" s="1"/>
  <c r="Z214" i="6" s="1"/>
  <c r="AA214" i="6" s="1"/>
  <c r="AB214" i="6" s="1"/>
  <c r="AC214" i="6" s="1"/>
  <c r="AD214" i="6" s="1"/>
  <c r="AE214" i="6" s="1"/>
  <c r="AF214" i="6" s="1"/>
  <c r="AG214" i="6" s="1"/>
  <c r="AH214" i="6" s="1"/>
  <c r="AI214" i="6" s="1"/>
  <c r="AJ214" i="6" s="1"/>
  <c r="U4" i="6"/>
  <c r="AJ42" i="6"/>
  <c r="N42" i="16" s="1"/>
  <c r="AJ60" i="6"/>
  <c r="N60" i="16" s="1"/>
  <c r="E73" i="6"/>
  <c r="F73" i="6" s="1"/>
  <c r="G73" i="6" s="1"/>
  <c r="H73" i="6" s="1"/>
  <c r="I73" i="6" s="1"/>
  <c r="J73" i="6" s="1"/>
  <c r="K73" i="6" s="1"/>
  <c r="L73" i="6" s="1"/>
  <c r="M73" i="6" s="1"/>
  <c r="N73" i="6" s="1"/>
  <c r="O73" i="6" s="1"/>
  <c r="P73" i="6" s="1"/>
  <c r="Q73" i="6" s="1"/>
  <c r="R73" i="6" s="1"/>
  <c r="S73" i="6" s="1"/>
  <c r="T73" i="6" s="1"/>
  <c r="U73" i="6" s="1"/>
  <c r="V73" i="6" s="1"/>
  <c r="W73" i="6" s="1"/>
  <c r="X73" i="6" s="1"/>
  <c r="Y73" i="6" s="1"/>
  <c r="Z73" i="6" s="1"/>
  <c r="AA73" i="6" s="1"/>
  <c r="AB73" i="6" s="1"/>
  <c r="AC73" i="6" s="1"/>
  <c r="AD73" i="6" s="1"/>
  <c r="AE73" i="6" s="1"/>
  <c r="AF73" i="6" s="1"/>
  <c r="AG73" i="6" s="1"/>
  <c r="AH73" i="6" s="1"/>
  <c r="AI73" i="6" s="1"/>
  <c r="AJ73" i="6" s="1"/>
  <c r="AJ64" i="6"/>
  <c r="N64" i="16" s="1"/>
  <c r="AJ137" i="6"/>
  <c r="N137" i="16" s="1"/>
  <c r="AJ156" i="6"/>
  <c r="N156" i="16" s="1"/>
  <c r="E178" i="6"/>
  <c r="F178" i="6" s="1"/>
  <c r="G178" i="6" s="1"/>
  <c r="H178" i="6" s="1"/>
  <c r="I178" i="6" s="1"/>
  <c r="J178" i="6" s="1"/>
  <c r="K178" i="6" s="1"/>
  <c r="L178" i="6" s="1"/>
  <c r="M178" i="6" s="1"/>
  <c r="N178" i="6" s="1"/>
  <c r="O178" i="6" s="1"/>
  <c r="P178" i="6" s="1"/>
  <c r="Q178" i="6" s="1"/>
  <c r="R178" i="6" s="1"/>
  <c r="S178" i="6" s="1"/>
  <c r="T178" i="6" s="1"/>
  <c r="U178" i="6" s="1"/>
  <c r="V178" i="6" s="1"/>
  <c r="W178" i="6" s="1"/>
  <c r="X178" i="6" s="1"/>
  <c r="Y178" i="6" s="1"/>
  <c r="Z178" i="6" s="1"/>
  <c r="AA178" i="6" s="1"/>
  <c r="AB178" i="6" s="1"/>
  <c r="AC178" i="6" s="1"/>
  <c r="AD178" i="6" s="1"/>
  <c r="AE178" i="6" s="1"/>
  <c r="AF178" i="6" s="1"/>
  <c r="AG178" i="6" s="1"/>
  <c r="AH178" i="6" s="1"/>
  <c r="AI178" i="6" s="1"/>
  <c r="AJ178" i="6" s="1"/>
  <c r="AJ170" i="6"/>
  <c r="N170" i="16" s="1"/>
  <c r="AJ173" i="6"/>
  <c r="N173" i="16" s="1"/>
  <c r="AJ174" i="6"/>
  <c r="N174" i="16" s="1"/>
  <c r="E142" i="6"/>
  <c r="F142" i="6" s="1"/>
  <c r="G142" i="6" s="1"/>
  <c r="H142" i="6" s="1"/>
  <c r="I142" i="6" s="1"/>
  <c r="J142" i="6" s="1"/>
  <c r="K142" i="6" s="1"/>
  <c r="L142" i="6" s="1"/>
  <c r="M142" i="6" s="1"/>
  <c r="N142" i="6" s="1"/>
  <c r="O142" i="6" s="1"/>
  <c r="P142" i="6" s="1"/>
  <c r="Q142" i="6" s="1"/>
  <c r="R142" i="6" s="1"/>
  <c r="S142" i="6" s="1"/>
  <c r="T142" i="6" s="1"/>
  <c r="U142" i="6" s="1"/>
  <c r="V142" i="6" s="1"/>
  <c r="W142" i="6" s="1"/>
  <c r="X142" i="6" s="1"/>
  <c r="Y142" i="6" s="1"/>
  <c r="Z142" i="6" s="1"/>
  <c r="AA142" i="6" s="1"/>
  <c r="AB142" i="6" s="1"/>
  <c r="AC142" i="6" s="1"/>
  <c r="AD142" i="6" s="1"/>
  <c r="AE142" i="6" s="1"/>
  <c r="AF142" i="6" s="1"/>
  <c r="AG142" i="6" s="1"/>
  <c r="AH142" i="6" s="1"/>
  <c r="AI142" i="6" s="1"/>
  <c r="AJ142" i="6" s="1"/>
  <c r="AJ132" i="6"/>
  <c r="N132" i="16" s="1"/>
  <c r="AJ213" i="6"/>
  <c r="N213" i="16" s="1"/>
  <c r="AJ96" i="6"/>
  <c r="N96" i="16" s="1"/>
  <c r="E104" i="6"/>
  <c r="F104" i="6" s="1"/>
  <c r="G104" i="6" s="1"/>
  <c r="H104" i="6" s="1"/>
  <c r="I104" i="6" s="1"/>
  <c r="J104" i="6" s="1"/>
  <c r="K104" i="6" s="1"/>
  <c r="L104" i="6" s="1"/>
  <c r="M104" i="6" s="1"/>
  <c r="N104" i="6" s="1"/>
  <c r="O104" i="6" s="1"/>
  <c r="P104" i="6" s="1"/>
  <c r="Q104" i="6" s="1"/>
  <c r="R104" i="6" s="1"/>
  <c r="S104" i="6" s="1"/>
  <c r="T104" i="6" s="1"/>
  <c r="U104" i="6" s="1"/>
  <c r="V104" i="6" s="1"/>
  <c r="W104" i="6" s="1"/>
  <c r="X104" i="6" s="1"/>
  <c r="Y104" i="6" s="1"/>
  <c r="Z104" i="6" s="1"/>
  <c r="AA104" i="6" s="1"/>
  <c r="AB104" i="6" s="1"/>
  <c r="AC104" i="6" s="1"/>
  <c r="AD104" i="6" s="1"/>
  <c r="AE104" i="6" s="1"/>
  <c r="AF104" i="6" s="1"/>
  <c r="AG104" i="6" s="1"/>
  <c r="AH104" i="6" s="1"/>
  <c r="AI104" i="6" s="1"/>
  <c r="AJ104" i="6" s="1"/>
  <c r="AJ45" i="6"/>
  <c r="N45" i="16" s="1"/>
  <c r="Q4" i="6"/>
  <c r="AJ67" i="6"/>
  <c r="N67" i="16" s="1"/>
  <c r="AJ71" i="6"/>
  <c r="N71" i="16" s="1"/>
  <c r="AJ70" i="6"/>
  <c r="N70" i="16" s="1"/>
  <c r="AJ99" i="6"/>
  <c r="N99" i="16" s="1"/>
  <c r="E87" i="6"/>
  <c r="F87" i="6" s="1"/>
  <c r="G87" i="6" s="1"/>
  <c r="H87" i="6" s="1"/>
  <c r="I87" i="6" s="1"/>
  <c r="J87" i="6" s="1"/>
  <c r="K87" i="6" s="1"/>
  <c r="L87" i="6" s="1"/>
  <c r="M87" i="6" s="1"/>
  <c r="N87" i="6" s="1"/>
  <c r="O87" i="6" s="1"/>
  <c r="P87" i="6" s="1"/>
  <c r="Q87" i="6" s="1"/>
  <c r="R87" i="6" s="1"/>
  <c r="S87" i="6" s="1"/>
  <c r="T87" i="6" s="1"/>
  <c r="U87" i="6" s="1"/>
  <c r="V87" i="6" s="1"/>
  <c r="W87" i="6" s="1"/>
  <c r="X87" i="6" s="1"/>
  <c r="Y87" i="6" s="1"/>
  <c r="Z87" i="6" s="1"/>
  <c r="AA87" i="6" s="1"/>
  <c r="AB87" i="6" s="1"/>
  <c r="AC87" i="6" s="1"/>
  <c r="AD87" i="6" s="1"/>
  <c r="AE87" i="6" s="1"/>
  <c r="AF87" i="6" s="1"/>
  <c r="AG87" i="6" s="1"/>
  <c r="AH87" i="6" s="1"/>
  <c r="AI87" i="6" s="1"/>
  <c r="AJ87" i="6" s="1"/>
  <c r="AJ83" i="6"/>
  <c r="N83" i="16" s="1"/>
  <c r="AJ100" i="6"/>
  <c r="N100" i="16" s="1"/>
  <c r="AJ136" i="6"/>
  <c r="N136" i="16" s="1"/>
  <c r="AJ157" i="6"/>
  <c r="N157" i="16" s="1"/>
  <c r="AJ196" i="6"/>
  <c r="N196" i="16" s="1"/>
  <c r="AJ209" i="6"/>
  <c r="N209" i="16" s="1"/>
  <c r="AJ49" i="6"/>
  <c r="N49" i="16" s="1"/>
  <c r="AJ82" i="6"/>
  <c r="N82" i="16" s="1"/>
  <c r="AJ97" i="6"/>
  <c r="N97" i="16" s="1"/>
  <c r="AJ101" i="6"/>
  <c r="N101" i="16" s="1"/>
  <c r="AJ115" i="6"/>
  <c r="N115" i="16" s="1"/>
  <c r="E123" i="6"/>
  <c r="F123" i="6" s="1"/>
  <c r="G123" i="6" s="1"/>
  <c r="H123" i="6" s="1"/>
  <c r="I123" i="6" s="1"/>
  <c r="J123" i="6" s="1"/>
  <c r="K123" i="6" s="1"/>
  <c r="L123" i="6" s="1"/>
  <c r="M123" i="6" s="1"/>
  <c r="N123" i="6" s="1"/>
  <c r="O123" i="6" s="1"/>
  <c r="P123" i="6" s="1"/>
  <c r="Q123" i="6" s="1"/>
  <c r="R123" i="6" s="1"/>
  <c r="S123" i="6" s="1"/>
  <c r="T123" i="6" s="1"/>
  <c r="U123" i="6" s="1"/>
  <c r="V123" i="6" s="1"/>
  <c r="W123" i="6" s="1"/>
  <c r="X123" i="6" s="1"/>
  <c r="Y123" i="6" s="1"/>
  <c r="Z123" i="6" s="1"/>
  <c r="AA123" i="6" s="1"/>
  <c r="AB123" i="6" s="1"/>
  <c r="AC123" i="6" s="1"/>
  <c r="AD123" i="6" s="1"/>
  <c r="AE123" i="6" s="1"/>
  <c r="AF123" i="6" s="1"/>
  <c r="AG123" i="6" s="1"/>
  <c r="AH123" i="6" s="1"/>
  <c r="AI123" i="6" s="1"/>
  <c r="AJ123" i="6" s="1"/>
  <c r="AJ116" i="6"/>
  <c r="N116" i="16" s="1"/>
  <c r="AJ158" i="6"/>
  <c r="N158" i="16" s="1"/>
  <c r="AJ140" i="6"/>
  <c r="N140" i="16" s="1"/>
  <c r="AJ114" i="6"/>
  <c r="N114" i="16" s="1"/>
  <c r="AJ153" i="6"/>
  <c r="N153" i="16" s="1"/>
  <c r="AJ176" i="6"/>
  <c r="N176" i="16" s="1"/>
  <c r="U4" i="5"/>
  <c r="AJ50" i="5"/>
  <c r="O50" i="16" s="1"/>
  <c r="AJ63" i="5"/>
  <c r="O63" i="16" s="1"/>
  <c r="AJ69" i="5"/>
  <c r="O69" i="16" s="1"/>
  <c r="AJ103" i="5"/>
  <c r="O103" i="16" s="1"/>
  <c r="AJ117" i="5"/>
  <c r="O117" i="16" s="1"/>
  <c r="AJ82" i="5"/>
  <c r="O82" i="16" s="1"/>
  <c r="AJ38" i="5"/>
  <c r="O38" i="16" s="1"/>
  <c r="E51" i="5"/>
  <c r="F51" i="5" s="1"/>
  <c r="G51" i="5" s="1"/>
  <c r="H51" i="5" s="1"/>
  <c r="I51" i="5" s="1"/>
  <c r="J51" i="5" s="1"/>
  <c r="K51" i="5" s="1"/>
  <c r="L51" i="5" s="1"/>
  <c r="M51" i="5" s="1"/>
  <c r="N51" i="5" s="1"/>
  <c r="O51" i="5" s="1"/>
  <c r="P51" i="5" s="1"/>
  <c r="Q51" i="5" s="1"/>
  <c r="R51" i="5" s="1"/>
  <c r="S51" i="5" s="1"/>
  <c r="T51" i="5" s="1"/>
  <c r="U51" i="5" s="1"/>
  <c r="V51" i="5" s="1"/>
  <c r="W51" i="5" s="1"/>
  <c r="X51" i="5" s="1"/>
  <c r="Y51" i="5" s="1"/>
  <c r="Z51" i="5" s="1"/>
  <c r="AA51" i="5" s="1"/>
  <c r="AB51" i="5" s="1"/>
  <c r="AC51" i="5" s="1"/>
  <c r="AD51" i="5" s="1"/>
  <c r="AE51" i="5" s="1"/>
  <c r="AF51" i="5" s="1"/>
  <c r="AG51" i="5" s="1"/>
  <c r="AH51" i="5" s="1"/>
  <c r="AI51" i="5" s="1"/>
  <c r="AJ51" i="5" s="1"/>
  <c r="AJ43" i="5"/>
  <c r="O43" i="16" s="1"/>
  <c r="AJ49" i="5"/>
  <c r="O49" i="16" s="1"/>
  <c r="AJ61" i="5"/>
  <c r="O61" i="16" s="1"/>
  <c r="AJ65" i="5"/>
  <c r="O65" i="16" s="1"/>
  <c r="AJ85" i="5"/>
  <c r="O85" i="16" s="1"/>
  <c r="D139" i="5"/>
  <c r="AJ39" i="5"/>
  <c r="O39" i="16" s="1"/>
  <c r="Q4" i="5"/>
  <c r="AJ42" i="5"/>
  <c r="O42" i="16" s="1"/>
  <c r="G27" i="5"/>
  <c r="AJ66" i="5"/>
  <c r="O66" i="16" s="1"/>
  <c r="AJ115" i="5"/>
  <c r="O115" i="16" s="1"/>
  <c r="AJ64" i="5"/>
  <c r="O64" i="16" s="1"/>
  <c r="AJ116" i="5"/>
  <c r="O116" i="16" s="1"/>
  <c r="AJ177" i="5"/>
  <c r="O177" i="16" s="1"/>
  <c r="AJ97" i="5"/>
  <c r="O97" i="16" s="1"/>
  <c r="E104" i="5"/>
  <c r="F104" i="5" s="1"/>
  <c r="G104" i="5" s="1"/>
  <c r="H104" i="5" s="1"/>
  <c r="I104" i="5" s="1"/>
  <c r="J104" i="5" s="1"/>
  <c r="K104" i="5" s="1"/>
  <c r="L104" i="5" s="1"/>
  <c r="M104" i="5" s="1"/>
  <c r="N104" i="5" s="1"/>
  <c r="O104" i="5" s="1"/>
  <c r="P104" i="5" s="1"/>
  <c r="Q104" i="5" s="1"/>
  <c r="R104" i="5" s="1"/>
  <c r="S104" i="5" s="1"/>
  <c r="T104" i="5" s="1"/>
  <c r="U104" i="5" s="1"/>
  <c r="V104" i="5" s="1"/>
  <c r="W104" i="5" s="1"/>
  <c r="X104" i="5" s="1"/>
  <c r="Y104" i="5" s="1"/>
  <c r="Z104" i="5" s="1"/>
  <c r="AA104" i="5" s="1"/>
  <c r="AB104" i="5" s="1"/>
  <c r="AC104" i="5" s="1"/>
  <c r="AD104" i="5" s="1"/>
  <c r="AE104" i="5" s="1"/>
  <c r="AF104" i="5" s="1"/>
  <c r="AG104" i="5" s="1"/>
  <c r="AH104" i="5" s="1"/>
  <c r="AI104" i="5" s="1"/>
  <c r="AJ104" i="5" s="1"/>
  <c r="AJ113" i="5"/>
  <c r="O113" i="16" s="1"/>
  <c r="E123" i="5"/>
  <c r="F123" i="5" s="1"/>
  <c r="G123" i="5" s="1"/>
  <c r="H123" i="5" s="1"/>
  <c r="I123" i="5" s="1"/>
  <c r="J123" i="5" s="1"/>
  <c r="K123" i="5" s="1"/>
  <c r="L123" i="5" s="1"/>
  <c r="M123" i="5" s="1"/>
  <c r="N123" i="5" s="1"/>
  <c r="O123" i="5" s="1"/>
  <c r="P123" i="5" s="1"/>
  <c r="Q123" i="5" s="1"/>
  <c r="R123" i="5" s="1"/>
  <c r="S123" i="5" s="1"/>
  <c r="T123" i="5" s="1"/>
  <c r="U123" i="5" s="1"/>
  <c r="V123" i="5" s="1"/>
  <c r="W123" i="5" s="1"/>
  <c r="X123" i="5" s="1"/>
  <c r="Y123" i="5" s="1"/>
  <c r="Z123" i="5" s="1"/>
  <c r="AA123" i="5" s="1"/>
  <c r="AB123" i="5" s="1"/>
  <c r="AC123" i="5" s="1"/>
  <c r="AD123" i="5" s="1"/>
  <c r="AE123" i="5" s="1"/>
  <c r="AF123" i="5" s="1"/>
  <c r="AG123" i="5" s="1"/>
  <c r="AH123" i="5" s="1"/>
  <c r="AI123" i="5" s="1"/>
  <c r="AJ123" i="5" s="1"/>
  <c r="AJ120" i="5"/>
  <c r="O120" i="16" s="1"/>
  <c r="AJ121" i="5"/>
  <c r="O121" i="16" s="1"/>
  <c r="AJ135" i="5"/>
  <c r="O135" i="16" s="1"/>
  <c r="AJ207" i="5"/>
  <c r="O207" i="16" s="1"/>
  <c r="AJ169" i="5"/>
  <c r="O169" i="16" s="1"/>
  <c r="AJ187" i="5"/>
  <c r="O187" i="16" s="1"/>
  <c r="E197" i="5"/>
  <c r="F197" i="5" s="1"/>
  <c r="G197" i="5" s="1"/>
  <c r="H197" i="5" s="1"/>
  <c r="I197" i="5" s="1"/>
  <c r="J197" i="5" s="1"/>
  <c r="K197" i="5" s="1"/>
  <c r="L197" i="5" s="1"/>
  <c r="M197" i="5" s="1"/>
  <c r="N197" i="5" s="1"/>
  <c r="O197" i="5" s="1"/>
  <c r="P197" i="5" s="1"/>
  <c r="Q197" i="5" s="1"/>
  <c r="R197" i="5" s="1"/>
  <c r="S197" i="5" s="1"/>
  <c r="T197" i="5" s="1"/>
  <c r="U197" i="5" s="1"/>
  <c r="V197" i="5" s="1"/>
  <c r="W197" i="5" s="1"/>
  <c r="X197" i="5" s="1"/>
  <c r="Y197" i="5" s="1"/>
  <c r="Z197" i="5" s="1"/>
  <c r="AA197" i="5" s="1"/>
  <c r="AB197" i="5" s="1"/>
  <c r="AC197" i="5" s="1"/>
  <c r="AD197" i="5" s="1"/>
  <c r="AE197" i="5" s="1"/>
  <c r="AF197" i="5" s="1"/>
  <c r="AG197" i="5" s="1"/>
  <c r="AH197" i="5" s="1"/>
  <c r="AI197" i="5" s="1"/>
  <c r="AJ197" i="5" s="1"/>
  <c r="AJ191" i="5"/>
  <c r="O191" i="16" s="1"/>
  <c r="AJ195" i="5"/>
  <c r="O195" i="16" s="1"/>
  <c r="AJ208" i="5"/>
  <c r="O208" i="16" s="1"/>
  <c r="AJ46" i="5"/>
  <c r="O46" i="16" s="1"/>
  <c r="AJ68" i="5"/>
  <c r="O68" i="16" s="1"/>
  <c r="AJ84" i="5"/>
  <c r="O84" i="16" s="1"/>
  <c r="AJ122" i="5"/>
  <c r="O122" i="16" s="1"/>
  <c r="AJ133" i="5"/>
  <c r="O133" i="16" s="1"/>
  <c r="AJ194" i="5"/>
  <c r="O194" i="16" s="1"/>
  <c r="E178" i="5"/>
  <c r="F178" i="5" s="1"/>
  <c r="G178" i="5" s="1"/>
  <c r="H178" i="5" s="1"/>
  <c r="I178" i="5" s="1"/>
  <c r="J178" i="5" s="1"/>
  <c r="K178" i="5" s="1"/>
  <c r="L178" i="5" s="1"/>
  <c r="M178" i="5" s="1"/>
  <c r="N178" i="5" s="1"/>
  <c r="O178" i="5" s="1"/>
  <c r="P178" i="5" s="1"/>
  <c r="Q178" i="5" s="1"/>
  <c r="R178" i="5" s="1"/>
  <c r="S178" i="5" s="1"/>
  <c r="T178" i="5" s="1"/>
  <c r="U178" i="5" s="1"/>
  <c r="V178" i="5" s="1"/>
  <c r="W178" i="5" s="1"/>
  <c r="X178" i="5" s="1"/>
  <c r="Y178" i="5" s="1"/>
  <c r="Z178" i="5" s="1"/>
  <c r="AA178" i="5" s="1"/>
  <c r="AB178" i="5" s="1"/>
  <c r="AC178" i="5" s="1"/>
  <c r="AD178" i="5" s="1"/>
  <c r="AE178" i="5" s="1"/>
  <c r="AF178" i="5" s="1"/>
  <c r="AG178" i="5" s="1"/>
  <c r="AH178" i="5" s="1"/>
  <c r="AI178" i="5" s="1"/>
  <c r="AJ178" i="5" s="1"/>
  <c r="AJ170" i="5"/>
  <c r="O170" i="16" s="1"/>
  <c r="AJ173" i="5"/>
  <c r="O173" i="16" s="1"/>
  <c r="AJ212" i="5"/>
  <c r="O212" i="16" s="1"/>
  <c r="AJ62" i="5"/>
  <c r="O62" i="16" s="1"/>
  <c r="E73" i="5"/>
  <c r="F73" i="5" s="1"/>
  <c r="G73" i="5" s="1"/>
  <c r="H73" i="5" s="1"/>
  <c r="I73" i="5" s="1"/>
  <c r="J73" i="5" s="1"/>
  <c r="K73" i="5" s="1"/>
  <c r="L73" i="5" s="1"/>
  <c r="M73" i="5" s="1"/>
  <c r="N73" i="5" s="1"/>
  <c r="O73" i="5" s="1"/>
  <c r="P73" i="5" s="1"/>
  <c r="Q73" i="5" s="1"/>
  <c r="R73" i="5" s="1"/>
  <c r="S73" i="5" s="1"/>
  <c r="T73" i="5" s="1"/>
  <c r="U73" i="5" s="1"/>
  <c r="V73" i="5" s="1"/>
  <c r="W73" i="5" s="1"/>
  <c r="X73" i="5" s="1"/>
  <c r="Y73" i="5" s="1"/>
  <c r="Z73" i="5" s="1"/>
  <c r="AA73" i="5" s="1"/>
  <c r="AB73" i="5" s="1"/>
  <c r="AC73" i="5" s="1"/>
  <c r="AD73" i="5" s="1"/>
  <c r="AE73" i="5" s="1"/>
  <c r="AF73" i="5" s="1"/>
  <c r="AG73" i="5" s="1"/>
  <c r="AH73" i="5" s="1"/>
  <c r="AI73" i="5" s="1"/>
  <c r="AJ73" i="5" s="1"/>
  <c r="AJ102" i="5"/>
  <c r="O102" i="16" s="1"/>
  <c r="AJ72" i="5"/>
  <c r="O72" i="16" s="1"/>
  <c r="AJ100" i="5"/>
  <c r="O100" i="16" s="1"/>
  <c r="AJ98" i="5"/>
  <c r="O98" i="16" s="1"/>
  <c r="AJ119" i="5"/>
  <c r="O119" i="16" s="1"/>
  <c r="AJ99" i="5"/>
  <c r="O99" i="16" s="1"/>
  <c r="AJ136" i="5"/>
  <c r="O136" i="16" s="1"/>
  <c r="E142" i="5"/>
  <c r="F142" i="5" s="1"/>
  <c r="G142" i="5" s="1"/>
  <c r="H142" i="5" s="1"/>
  <c r="I142" i="5" s="1"/>
  <c r="J142" i="5" s="1"/>
  <c r="K142" i="5" s="1"/>
  <c r="L142" i="5" s="1"/>
  <c r="M142" i="5" s="1"/>
  <c r="N142" i="5" s="1"/>
  <c r="O142" i="5" s="1"/>
  <c r="P142" i="5" s="1"/>
  <c r="Q142" i="5" s="1"/>
  <c r="R142" i="5" s="1"/>
  <c r="S142" i="5" s="1"/>
  <c r="T142" i="5" s="1"/>
  <c r="U142" i="5" s="1"/>
  <c r="V142" i="5" s="1"/>
  <c r="W142" i="5" s="1"/>
  <c r="X142" i="5" s="1"/>
  <c r="Y142" i="5" s="1"/>
  <c r="Z142" i="5" s="1"/>
  <c r="AA142" i="5" s="1"/>
  <c r="AB142" i="5" s="1"/>
  <c r="AC142" i="5" s="1"/>
  <c r="AD142" i="5" s="1"/>
  <c r="AE142" i="5" s="1"/>
  <c r="AF142" i="5" s="1"/>
  <c r="AG142" i="5" s="1"/>
  <c r="AH142" i="5" s="1"/>
  <c r="AI142" i="5" s="1"/>
  <c r="AJ142" i="5" s="1"/>
  <c r="AJ140" i="5"/>
  <c r="O140" i="16" s="1"/>
  <c r="AJ152" i="5"/>
  <c r="O152" i="16" s="1"/>
  <c r="E159" i="5"/>
  <c r="F159" i="5" s="1"/>
  <c r="G159" i="5" s="1"/>
  <c r="H159" i="5" s="1"/>
  <c r="I159" i="5" s="1"/>
  <c r="J159" i="5" s="1"/>
  <c r="K159" i="5" s="1"/>
  <c r="L159" i="5" s="1"/>
  <c r="M159" i="5" s="1"/>
  <c r="N159" i="5" s="1"/>
  <c r="O159" i="5" s="1"/>
  <c r="P159" i="5" s="1"/>
  <c r="Q159" i="5" s="1"/>
  <c r="R159" i="5" s="1"/>
  <c r="S159" i="5" s="1"/>
  <c r="T159" i="5" s="1"/>
  <c r="U159" i="5" s="1"/>
  <c r="V159" i="5" s="1"/>
  <c r="W159" i="5" s="1"/>
  <c r="X159" i="5" s="1"/>
  <c r="Y159" i="5" s="1"/>
  <c r="Z159" i="5" s="1"/>
  <c r="AA159" i="5" s="1"/>
  <c r="AB159" i="5" s="1"/>
  <c r="AC159" i="5" s="1"/>
  <c r="AD159" i="5" s="1"/>
  <c r="AE159" i="5" s="1"/>
  <c r="AF159" i="5" s="1"/>
  <c r="AG159" i="5" s="1"/>
  <c r="AH159" i="5" s="1"/>
  <c r="AI159" i="5" s="1"/>
  <c r="AJ159" i="5" s="1"/>
  <c r="AJ132" i="5"/>
  <c r="O132" i="16" s="1"/>
  <c r="AJ158" i="5"/>
  <c r="O158" i="16" s="1"/>
  <c r="AJ190" i="5"/>
  <c r="O190" i="16" s="1"/>
  <c r="AJ174" i="5"/>
  <c r="O174" i="16" s="1"/>
  <c r="D158" i="4"/>
  <c r="AJ46" i="4"/>
  <c r="P46" i="16" s="1"/>
  <c r="AJ62" i="4"/>
  <c r="P62" i="16" s="1"/>
  <c r="E73" i="4"/>
  <c r="F73" i="4" s="1"/>
  <c r="G73" i="4" s="1"/>
  <c r="H73" i="4" s="1"/>
  <c r="I73" i="4" s="1"/>
  <c r="J73" i="4" s="1"/>
  <c r="K73" i="4" s="1"/>
  <c r="L73" i="4" s="1"/>
  <c r="M73" i="4" s="1"/>
  <c r="N73" i="4" s="1"/>
  <c r="O73" i="4" s="1"/>
  <c r="P73" i="4" s="1"/>
  <c r="Q73" i="4" s="1"/>
  <c r="R73" i="4" s="1"/>
  <c r="S73" i="4" s="1"/>
  <c r="T73" i="4" s="1"/>
  <c r="U73" i="4" s="1"/>
  <c r="V73" i="4" s="1"/>
  <c r="W73" i="4" s="1"/>
  <c r="X73" i="4" s="1"/>
  <c r="Y73" i="4" s="1"/>
  <c r="Z73" i="4" s="1"/>
  <c r="AA73" i="4" s="1"/>
  <c r="AB73" i="4" s="1"/>
  <c r="AC73" i="4" s="1"/>
  <c r="AD73" i="4" s="1"/>
  <c r="AE73" i="4" s="1"/>
  <c r="AF73" i="4" s="1"/>
  <c r="AG73" i="4" s="1"/>
  <c r="AH73" i="4" s="1"/>
  <c r="AI73" i="4" s="1"/>
  <c r="AJ73" i="4" s="1"/>
  <c r="AJ136" i="4"/>
  <c r="P136" i="16" s="1"/>
  <c r="AJ196" i="4"/>
  <c r="P196" i="16" s="1"/>
  <c r="AJ191" i="4"/>
  <c r="P191" i="16" s="1"/>
  <c r="AJ192" i="4"/>
  <c r="P192" i="16" s="1"/>
  <c r="AJ103" i="4"/>
  <c r="P103" i="16" s="1"/>
  <c r="AJ208" i="4"/>
  <c r="P208" i="16" s="1"/>
  <c r="AJ49" i="4"/>
  <c r="P49" i="16" s="1"/>
  <c r="AJ42" i="4"/>
  <c r="P42" i="16" s="1"/>
  <c r="AJ63" i="4"/>
  <c r="P63" i="16" s="1"/>
  <c r="AJ72" i="4"/>
  <c r="P72" i="16" s="1"/>
  <c r="AJ45" i="4"/>
  <c r="P45" i="16" s="1"/>
  <c r="AJ38" i="4"/>
  <c r="P38" i="16" s="1"/>
  <c r="E51" i="4"/>
  <c r="F51" i="4" s="1"/>
  <c r="G51" i="4" s="1"/>
  <c r="H51" i="4" s="1"/>
  <c r="I51" i="4" s="1"/>
  <c r="J51" i="4" s="1"/>
  <c r="K51" i="4" s="1"/>
  <c r="L51" i="4" s="1"/>
  <c r="M51" i="4" s="1"/>
  <c r="N51" i="4" s="1"/>
  <c r="O51" i="4" s="1"/>
  <c r="P51" i="4" s="1"/>
  <c r="Q51" i="4" s="1"/>
  <c r="R51" i="4" s="1"/>
  <c r="S51" i="4" s="1"/>
  <c r="T51" i="4" s="1"/>
  <c r="U51" i="4" s="1"/>
  <c r="V51" i="4" s="1"/>
  <c r="W51" i="4" s="1"/>
  <c r="X51" i="4" s="1"/>
  <c r="Y51" i="4" s="1"/>
  <c r="Z51" i="4" s="1"/>
  <c r="AA51" i="4" s="1"/>
  <c r="AB51" i="4" s="1"/>
  <c r="AC51" i="4" s="1"/>
  <c r="AD51" i="4" s="1"/>
  <c r="AE51" i="4" s="1"/>
  <c r="AF51" i="4" s="1"/>
  <c r="AG51" i="4" s="1"/>
  <c r="AH51" i="4" s="1"/>
  <c r="AI51" i="4" s="1"/>
  <c r="AJ51" i="4" s="1"/>
  <c r="Q4" i="4"/>
  <c r="AJ71" i="4"/>
  <c r="P71" i="16" s="1"/>
  <c r="AJ113" i="4"/>
  <c r="P113" i="16" s="1"/>
  <c r="AJ171" i="4"/>
  <c r="P171" i="16" s="1"/>
  <c r="AJ210" i="4"/>
  <c r="P210" i="16" s="1"/>
  <c r="AJ168" i="4"/>
  <c r="P168" i="16" s="1"/>
  <c r="E178" i="4"/>
  <c r="F178" i="4" s="1"/>
  <c r="G178" i="4" s="1"/>
  <c r="H178" i="4" s="1"/>
  <c r="I178" i="4" s="1"/>
  <c r="J178" i="4" s="1"/>
  <c r="K178" i="4" s="1"/>
  <c r="L178" i="4" s="1"/>
  <c r="M178" i="4" s="1"/>
  <c r="N178" i="4" s="1"/>
  <c r="O178" i="4" s="1"/>
  <c r="P178" i="4" s="1"/>
  <c r="Q178" i="4" s="1"/>
  <c r="R178" i="4" s="1"/>
  <c r="S178" i="4" s="1"/>
  <c r="T178" i="4" s="1"/>
  <c r="U178" i="4" s="1"/>
  <c r="V178" i="4" s="1"/>
  <c r="W178" i="4" s="1"/>
  <c r="X178" i="4" s="1"/>
  <c r="Y178" i="4" s="1"/>
  <c r="Z178" i="4" s="1"/>
  <c r="AA178" i="4" s="1"/>
  <c r="AB178" i="4" s="1"/>
  <c r="AC178" i="4" s="1"/>
  <c r="AD178" i="4" s="1"/>
  <c r="AE178" i="4" s="1"/>
  <c r="AF178" i="4" s="1"/>
  <c r="AG178" i="4" s="1"/>
  <c r="AH178" i="4" s="1"/>
  <c r="AI178" i="4" s="1"/>
  <c r="AJ178" i="4" s="1"/>
  <c r="AJ174" i="4"/>
  <c r="P174" i="16" s="1"/>
  <c r="AJ176" i="4"/>
  <c r="P176" i="16" s="1"/>
  <c r="AJ50" i="4"/>
  <c r="P50" i="16" s="1"/>
  <c r="D69" i="4"/>
  <c r="AJ83" i="4"/>
  <c r="P83" i="16" s="1"/>
  <c r="AJ84" i="4"/>
  <c r="P84" i="16" s="1"/>
  <c r="AJ61" i="4"/>
  <c r="P61" i="16" s="1"/>
  <c r="AJ132" i="4"/>
  <c r="P132" i="16" s="1"/>
  <c r="E142" i="4"/>
  <c r="F142" i="4" s="1"/>
  <c r="G142" i="4" s="1"/>
  <c r="H142" i="4" s="1"/>
  <c r="I142" i="4" s="1"/>
  <c r="J142" i="4" s="1"/>
  <c r="K142" i="4" s="1"/>
  <c r="L142" i="4" s="1"/>
  <c r="M142" i="4" s="1"/>
  <c r="N142" i="4" s="1"/>
  <c r="O142" i="4" s="1"/>
  <c r="P142" i="4" s="1"/>
  <c r="Q142" i="4" s="1"/>
  <c r="R142" i="4" s="1"/>
  <c r="S142" i="4" s="1"/>
  <c r="T142" i="4" s="1"/>
  <c r="U142" i="4" s="1"/>
  <c r="V142" i="4" s="1"/>
  <c r="W142" i="4" s="1"/>
  <c r="X142" i="4" s="1"/>
  <c r="Y142" i="4" s="1"/>
  <c r="Z142" i="4" s="1"/>
  <c r="AA142" i="4" s="1"/>
  <c r="AB142" i="4" s="1"/>
  <c r="AC142" i="4" s="1"/>
  <c r="AD142" i="4" s="1"/>
  <c r="AE142" i="4" s="1"/>
  <c r="AF142" i="4" s="1"/>
  <c r="AG142" i="4" s="1"/>
  <c r="AH142" i="4" s="1"/>
  <c r="AI142" i="4" s="1"/>
  <c r="AJ142" i="4" s="1"/>
  <c r="AJ175" i="4"/>
  <c r="P175" i="16" s="1"/>
  <c r="AJ37" i="4"/>
  <c r="P37" i="16" s="1"/>
  <c r="U4" i="4"/>
  <c r="AJ70" i="4"/>
  <c r="P70" i="16" s="1"/>
  <c r="AJ68" i="4"/>
  <c r="P68" i="16" s="1"/>
  <c r="AJ66" i="4"/>
  <c r="P66" i="16" s="1"/>
  <c r="AJ99" i="4"/>
  <c r="P99" i="16" s="1"/>
  <c r="AJ97" i="4"/>
  <c r="P97" i="16" s="1"/>
  <c r="AJ96" i="4"/>
  <c r="P96" i="16" s="1"/>
  <c r="E104" i="4"/>
  <c r="F104" i="4" s="1"/>
  <c r="G104" i="4" s="1"/>
  <c r="H104" i="4" s="1"/>
  <c r="I104" i="4" s="1"/>
  <c r="J104" i="4" s="1"/>
  <c r="K104" i="4" s="1"/>
  <c r="L104" i="4" s="1"/>
  <c r="M104" i="4" s="1"/>
  <c r="N104" i="4" s="1"/>
  <c r="O104" i="4" s="1"/>
  <c r="P104" i="4" s="1"/>
  <c r="Q104" i="4" s="1"/>
  <c r="R104" i="4" s="1"/>
  <c r="S104" i="4" s="1"/>
  <c r="T104" i="4" s="1"/>
  <c r="U104" i="4" s="1"/>
  <c r="V104" i="4" s="1"/>
  <c r="W104" i="4" s="1"/>
  <c r="X104" i="4" s="1"/>
  <c r="Y104" i="4" s="1"/>
  <c r="Z104" i="4" s="1"/>
  <c r="AA104" i="4" s="1"/>
  <c r="AB104" i="4" s="1"/>
  <c r="AC104" i="4" s="1"/>
  <c r="AD104" i="4" s="1"/>
  <c r="AE104" i="4" s="1"/>
  <c r="AF104" i="4" s="1"/>
  <c r="AG104" i="4" s="1"/>
  <c r="AH104" i="4" s="1"/>
  <c r="AI104" i="4" s="1"/>
  <c r="AJ104" i="4" s="1"/>
  <c r="AJ115" i="4"/>
  <c r="P115" i="16" s="1"/>
  <c r="AJ82" i="4"/>
  <c r="P82" i="16" s="1"/>
  <c r="AJ151" i="4"/>
  <c r="P151" i="16" s="1"/>
  <c r="AJ187" i="4"/>
  <c r="P187" i="16" s="1"/>
  <c r="E197" i="4"/>
  <c r="F197" i="4" s="1"/>
  <c r="G197" i="4" s="1"/>
  <c r="H197" i="4" s="1"/>
  <c r="I197" i="4" s="1"/>
  <c r="J197" i="4" s="1"/>
  <c r="K197" i="4" s="1"/>
  <c r="L197" i="4" s="1"/>
  <c r="M197" i="4" s="1"/>
  <c r="N197" i="4" s="1"/>
  <c r="O197" i="4" s="1"/>
  <c r="P197" i="4" s="1"/>
  <c r="Q197" i="4" s="1"/>
  <c r="R197" i="4" s="1"/>
  <c r="S197" i="4" s="1"/>
  <c r="T197" i="4" s="1"/>
  <c r="U197" i="4" s="1"/>
  <c r="V197" i="4" s="1"/>
  <c r="W197" i="4" s="1"/>
  <c r="X197" i="4" s="1"/>
  <c r="Y197" i="4" s="1"/>
  <c r="Z197" i="4" s="1"/>
  <c r="AA197" i="4" s="1"/>
  <c r="AB197" i="4" s="1"/>
  <c r="AC197" i="4" s="1"/>
  <c r="AD197" i="4" s="1"/>
  <c r="AE197" i="4" s="1"/>
  <c r="AF197" i="4" s="1"/>
  <c r="AG197" i="4" s="1"/>
  <c r="AH197" i="4" s="1"/>
  <c r="AI197" i="4" s="1"/>
  <c r="AJ197" i="4" s="1"/>
  <c r="AJ189" i="4"/>
  <c r="P189" i="16" s="1"/>
  <c r="AJ188" i="4"/>
  <c r="P188" i="16" s="1"/>
  <c r="E214" i="4"/>
  <c r="F214" i="4" s="1"/>
  <c r="G214" i="4" s="1"/>
  <c r="H214" i="4" s="1"/>
  <c r="I214" i="4" s="1"/>
  <c r="J214" i="4" s="1"/>
  <c r="K214" i="4" s="1"/>
  <c r="L214" i="4" s="1"/>
  <c r="M214" i="4" s="1"/>
  <c r="N214" i="4" s="1"/>
  <c r="O214" i="4" s="1"/>
  <c r="P214" i="4" s="1"/>
  <c r="Q214" i="4" s="1"/>
  <c r="R214" i="4" s="1"/>
  <c r="S214" i="4" s="1"/>
  <c r="T214" i="4" s="1"/>
  <c r="U214" i="4" s="1"/>
  <c r="V214" i="4" s="1"/>
  <c r="W214" i="4" s="1"/>
  <c r="X214" i="4" s="1"/>
  <c r="Y214" i="4" s="1"/>
  <c r="Z214" i="4" s="1"/>
  <c r="AA214" i="4" s="1"/>
  <c r="AB214" i="4" s="1"/>
  <c r="AC214" i="4" s="1"/>
  <c r="AD214" i="4" s="1"/>
  <c r="AE214" i="4" s="1"/>
  <c r="AF214" i="4" s="1"/>
  <c r="AG214" i="4" s="1"/>
  <c r="AH214" i="4" s="1"/>
  <c r="AI214" i="4" s="1"/>
  <c r="AJ214" i="4" s="1"/>
  <c r="AJ65" i="4"/>
  <c r="P65" i="16" s="1"/>
  <c r="AJ116" i="4"/>
  <c r="P116" i="16" s="1"/>
  <c r="AJ119" i="4"/>
  <c r="P119" i="16" s="1"/>
  <c r="E87" i="4"/>
  <c r="F87" i="4" s="1"/>
  <c r="G87" i="4" s="1"/>
  <c r="H87" i="4" s="1"/>
  <c r="I87" i="4" s="1"/>
  <c r="J87" i="4" s="1"/>
  <c r="K87" i="4" s="1"/>
  <c r="L87" i="4" s="1"/>
  <c r="M87" i="4" s="1"/>
  <c r="N87" i="4" s="1"/>
  <c r="O87" i="4" s="1"/>
  <c r="P87" i="4" s="1"/>
  <c r="Q87" i="4" s="1"/>
  <c r="R87" i="4" s="1"/>
  <c r="S87" i="4" s="1"/>
  <c r="T87" i="4" s="1"/>
  <c r="U87" i="4" s="1"/>
  <c r="V87" i="4" s="1"/>
  <c r="W87" i="4" s="1"/>
  <c r="X87" i="4" s="1"/>
  <c r="Y87" i="4" s="1"/>
  <c r="Z87" i="4" s="1"/>
  <c r="AA87" i="4" s="1"/>
  <c r="AB87" i="4" s="1"/>
  <c r="AC87" i="4" s="1"/>
  <c r="AD87" i="4" s="1"/>
  <c r="AE87" i="4" s="1"/>
  <c r="AF87" i="4" s="1"/>
  <c r="AG87" i="4" s="1"/>
  <c r="AH87" i="4" s="1"/>
  <c r="AI87" i="4" s="1"/>
  <c r="AJ87" i="4" s="1"/>
  <c r="AJ102" i="4"/>
  <c r="P102" i="16" s="1"/>
  <c r="AJ193" i="4"/>
  <c r="P193" i="16" s="1"/>
  <c r="AJ195" i="4"/>
  <c r="P195" i="16" s="1"/>
  <c r="AJ170" i="4"/>
  <c r="P170" i="16" s="1"/>
  <c r="AJ172" i="4"/>
  <c r="P172" i="16" s="1"/>
  <c r="D137" i="5" l="1"/>
  <c r="D70" i="5"/>
  <c r="D158" i="7"/>
  <c r="D40" i="4"/>
  <c r="D177" i="4"/>
  <c r="D66" i="8"/>
  <c r="G28" i="13"/>
  <c r="G27" i="9"/>
  <c r="H27" i="9" s="1"/>
  <c r="I27" i="9" s="1"/>
  <c r="I28" i="9" s="1"/>
  <c r="D212" i="6"/>
  <c r="D134" i="7"/>
  <c r="D48" i="6"/>
  <c r="D211" i="6"/>
  <c r="D86" i="8"/>
  <c r="D47" i="5"/>
  <c r="D140" i="4"/>
  <c r="D213" i="4"/>
  <c r="D60" i="5"/>
  <c r="D138" i="6"/>
  <c r="D170" i="8"/>
  <c r="D188" i="5"/>
  <c r="D196" i="7"/>
  <c r="D152" i="8"/>
  <c r="D116" i="8"/>
  <c r="D153" i="4"/>
  <c r="D187" i="6"/>
  <c r="D118" i="6"/>
  <c r="D192" i="5"/>
  <c r="D39" i="6"/>
  <c r="D86" i="6"/>
  <c r="D176" i="8"/>
  <c r="D86" i="5"/>
  <c r="D40" i="5"/>
  <c r="D211" i="5"/>
  <c r="D138" i="7"/>
  <c r="D207" i="6"/>
  <c r="D158" i="9"/>
  <c r="D172" i="8"/>
  <c r="D138" i="4"/>
  <c r="P64" i="16"/>
  <c r="Q64" i="16" s="1"/>
  <c r="D195" i="8"/>
  <c r="D156" i="8"/>
  <c r="D208" i="6"/>
  <c r="D122" i="10"/>
  <c r="D66" i="10"/>
  <c r="G27" i="8"/>
  <c r="H27" i="8" s="1"/>
  <c r="D173" i="4"/>
  <c r="D83" i="5"/>
  <c r="D151" i="6"/>
  <c r="D121" i="6"/>
  <c r="D84" i="10"/>
  <c r="D169" i="4"/>
  <c r="D43" i="4"/>
  <c r="D67" i="4"/>
  <c r="D70" i="7"/>
  <c r="D44" i="8"/>
  <c r="D99" i="10"/>
  <c r="D65" i="6"/>
  <c r="D103" i="8"/>
  <c r="D40" i="6"/>
  <c r="D85" i="7"/>
  <c r="D50" i="6"/>
  <c r="D171" i="7"/>
  <c r="D41" i="8"/>
  <c r="D100" i="7"/>
  <c r="D153" i="8"/>
  <c r="D63" i="8"/>
  <c r="D86" i="9"/>
  <c r="D61" i="9"/>
  <c r="D49" i="10"/>
  <c r="D174" i="10"/>
  <c r="D48" i="5"/>
  <c r="D171" i="6"/>
  <c r="D43" i="8"/>
  <c r="D40" i="8"/>
  <c r="D118" i="10"/>
  <c r="D137" i="4"/>
  <c r="D212" i="4"/>
  <c r="D100" i="4"/>
  <c r="D84" i="6"/>
  <c r="D99" i="7"/>
  <c r="D60" i="4"/>
  <c r="D171" i="5"/>
  <c r="D46" i="6"/>
  <c r="D195" i="6"/>
  <c r="D139" i="6"/>
  <c r="D43" i="6"/>
  <c r="D121" i="7"/>
  <c r="D139" i="7"/>
  <c r="D39" i="8"/>
  <c r="D211" i="8"/>
  <c r="D50" i="8"/>
  <c r="D44" i="10"/>
  <c r="D188" i="8"/>
  <c r="D99" i="8"/>
  <c r="D118" i="9"/>
  <c r="D169" i="10"/>
  <c r="D46" i="8"/>
  <c r="D70" i="10"/>
  <c r="D116" i="10"/>
  <c r="D49" i="9"/>
  <c r="D40" i="10"/>
  <c r="G28" i="6"/>
  <c r="D138" i="10"/>
  <c r="F28" i="6"/>
  <c r="D209" i="4"/>
  <c r="D114" i="5"/>
  <c r="D156" i="5"/>
  <c r="D154" i="5"/>
  <c r="H28" i="6"/>
  <c r="D66" i="6"/>
  <c r="D98" i="7"/>
  <c r="D69" i="8"/>
  <c r="D85" i="8"/>
  <c r="D213" i="9"/>
  <c r="D82" i="10"/>
  <c r="D140" i="10"/>
  <c r="D157" i="4"/>
  <c r="D47" i="4"/>
  <c r="D86" i="4"/>
  <c r="D157" i="5"/>
  <c r="D213" i="5"/>
  <c r="D209" i="5"/>
  <c r="D153" i="5"/>
  <c r="D175" i="6"/>
  <c r="D193" i="9"/>
  <c r="D103" i="10"/>
  <c r="D139" i="10"/>
  <c r="D119" i="10"/>
  <c r="D133" i="10"/>
  <c r="D39" i="4"/>
  <c r="D207" i="4"/>
  <c r="D69" i="7"/>
  <c r="D122" i="9"/>
  <c r="D193" i="10"/>
  <c r="D85" i="10"/>
  <c r="D155" i="4"/>
  <c r="D41" i="4"/>
  <c r="D47" i="6"/>
  <c r="D102" i="7"/>
  <c r="D50" i="7"/>
  <c r="D157" i="8"/>
  <c r="D171" i="8"/>
  <c r="D41" i="9"/>
  <c r="D71" i="10"/>
  <c r="D175" i="5"/>
  <c r="D190" i="6"/>
  <c r="D122" i="6"/>
  <c r="D103" i="7"/>
  <c r="D209" i="7"/>
  <c r="D140" i="8"/>
  <c r="D39" i="9"/>
  <c r="D135" i="10"/>
  <c r="K208" i="16"/>
  <c r="D139" i="4"/>
  <c r="D134" i="4"/>
  <c r="D101" i="5"/>
  <c r="D190" i="4"/>
  <c r="D121" i="4"/>
  <c r="D196" i="5"/>
  <c r="D141" i="5"/>
  <c r="D44" i="5"/>
  <c r="D194" i="6"/>
  <c r="D192" i="6"/>
  <c r="D72" i="6"/>
  <c r="D40" i="7"/>
  <c r="D120" i="8"/>
  <c r="D121" i="9"/>
  <c r="D117" i="9"/>
  <c r="D82" i="9"/>
  <c r="D138" i="9"/>
  <c r="D42" i="10"/>
  <c r="L86" i="16"/>
  <c r="D157" i="10"/>
  <c r="I28" i="15"/>
  <c r="J27" i="15"/>
  <c r="L98" i="16"/>
  <c r="J73" i="16"/>
  <c r="K73" i="16" s="1"/>
  <c r="L73" i="16" s="1"/>
  <c r="M73" i="16" s="1"/>
  <c r="N73" i="16" s="1"/>
  <c r="O73" i="16" s="1"/>
  <c r="P73" i="16" s="1"/>
  <c r="Q73" i="16" s="1"/>
  <c r="D209" i="8"/>
  <c r="D41" i="5"/>
  <c r="J39" i="16"/>
  <c r="Q39" i="16" s="1"/>
  <c r="N69" i="16"/>
  <c r="Q69" i="16" s="1"/>
  <c r="M176" i="16"/>
  <c r="D134" i="10"/>
  <c r="M189" i="16"/>
  <c r="D67" i="5"/>
  <c r="D103" i="9"/>
  <c r="J159" i="16"/>
  <c r="K159" i="16" s="1"/>
  <c r="L159" i="16" s="1"/>
  <c r="M159" i="16" s="1"/>
  <c r="N159" i="16" s="1"/>
  <c r="O159" i="16" s="1"/>
  <c r="P159" i="16" s="1"/>
  <c r="Q159" i="16" s="1"/>
  <c r="AN159" i="16" s="1"/>
  <c r="H28" i="13"/>
  <c r="I27" i="13"/>
  <c r="D37" i="10"/>
  <c r="D67" i="10"/>
  <c r="D63" i="10"/>
  <c r="D153" i="10"/>
  <c r="D194" i="4"/>
  <c r="D152" i="4"/>
  <c r="D120" i="4"/>
  <c r="D154" i="4"/>
  <c r="D141" i="4"/>
  <c r="D114" i="4"/>
  <c r="D85" i="4"/>
  <c r="D117" i="4"/>
  <c r="D133" i="4"/>
  <c r="D193" i="5"/>
  <c r="D134" i="6"/>
  <c r="D135" i="6"/>
  <c r="D102" i="6"/>
  <c r="D192" i="7"/>
  <c r="D175" i="7"/>
  <c r="D82" i="7"/>
  <c r="D212" i="8"/>
  <c r="D191" i="8"/>
  <c r="D196" i="8"/>
  <c r="D189" i="8"/>
  <c r="D192" i="8"/>
  <c r="D209" i="9"/>
  <c r="D155" i="9"/>
  <c r="J188" i="16"/>
  <c r="Q188" i="16" s="1"/>
  <c r="D113" i="10"/>
  <c r="D120" i="10"/>
  <c r="J178" i="16"/>
  <c r="K178" i="16" s="1"/>
  <c r="L178" i="16" s="1"/>
  <c r="M178" i="16" s="1"/>
  <c r="N178" i="16" s="1"/>
  <c r="O178" i="16" s="1"/>
  <c r="P178" i="16" s="1"/>
  <c r="Q178" i="16" s="1"/>
  <c r="AN178" i="16" s="1"/>
  <c r="J104" i="16"/>
  <c r="K104" i="16" s="1"/>
  <c r="L104" i="16" s="1"/>
  <c r="M104" i="16" s="1"/>
  <c r="N104" i="16" s="1"/>
  <c r="O104" i="16" s="1"/>
  <c r="P104" i="16" s="1"/>
  <c r="Q104" i="16" s="1"/>
  <c r="D118" i="4"/>
  <c r="F28" i="4"/>
  <c r="G27" i="4"/>
  <c r="D138" i="5"/>
  <c r="D154" i="6"/>
  <c r="D191" i="6"/>
  <c r="D68" i="6"/>
  <c r="Q103" i="16"/>
  <c r="D66" i="7"/>
  <c r="D39" i="7"/>
  <c r="Q15" i="16"/>
  <c r="K4" i="16" s="1"/>
  <c r="D122" i="7"/>
  <c r="D213" i="7"/>
  <c r="D188" i="7"/>
  <c r="D175" i="8"/>
  <c r="D64" i="8"/>
  <c r="D136" i="8"/>
  <c r="Q194" i="16"/>
  <c r="D194" i="16" s="1"/>
  <c r="Q138" i="16"/>
  <c r="D100" i="8"/>
  <c r="Q61" i="16"/>
  <c r="D172" i="9"/>
  <c r="D96" i="9"/>
  <c r="D154" i="9"/>
  <c r="D210" i="9"/>
  <c r="Q132" i="16"/>
  <c r="D141" i="9"/>
  <c r="D140" i="9"/>
  <c r="D40" i="9"/>
  <c r="D207" i="9"/>
  <c r="Q67" i="16"/>
  <c r="Q102" i="16"/>
  <c r="Q65" i="16"/>
  <c r="Q115" i="16"/>
  <c r="D115" i="16" s="1"/>
  <c r="D157" i="9"/>
  <c r="D176" i="9"/>
  <c r="Q100" i="16"/>
  <c r="D100" i="16" s="1"/>
  <c r="Q97" i="16"/>
  <c r="Q84" i="16"/>
  <c r="Q114" i="16"/>
  <c r="D114" i="16" s="1"/>
  <c r="Q68" i="16"/>
  <c r="Q120" i="16"/>
  <c r="D120" i="16" s="1"/>
  <c r="Q14" i="16"/>
  <c r="H4" i="16" s="1"/>
  <c r="Q207" i="16"/>
  <c r="D207" i="16" s="1"/>
  <c r="D72" i="10"/>
  <c r="D210" i="10"/>
  <c r="Q121" i="16"/>
  <c r="D121" i="16" s="1"/>
  <c r="J142" i="16"/>
  <c r="K142" i="16" s="1"/>
  <c r="L142" i="16" s="1"/>
  <c r="M142" i="16" s="1"/>
  <c r="N142" i="16" s="1"/>
  <c r="O142" i="16" s="1"/>
  <c r="P142" i="16" s="1"/>
  <c r="Q142" i="16" s="1"/>
  <c r="AN142" i="16" s="1"/>
  <c r="Q72" i="16"/>
  <c r="D189" i="10"/>
  <c r="Q41" i="16"/>
  <c r="D41" i="16" s="1"/>
  <c r="D170" i="10"/>
  <c r="D46" i="10"/>
  <c r="D136" i="10"/>
  <c r="J197" i="16"/>
  <c r="K197" i="16" s="1"/>
  <c r="L197" i="16" s="1"/>
  <c r="M197" i="16" s="1"/>
  <c r="N197" i="16" s="1"/>
  <c r="O197" i="16" s="1"/>
  <c r="P197" i="16" s="1"/>
  <c r="Q197" i="16" s="1"/>
  <c r="AN197" i="16" s="1"/>
  <c r="J51" i="16"/>
  <c r="K51" i="16" s="1"/>
  <c r="L51" i="16" s="1"/>
  <c r="M51" i="16" s="1"/>
  <c r="N51" i="16" s="1"/>
  <c r="O51" i="16" s="1"/>
  <c r="P51" i="16" s="1"/>
  <c r="Q51" i="16" s="1"/>
  <c r="Q60" i="16"/>
  <c r="D210" i="5"/>
  <c r="O210" i="16"/>
  <c r="D37" i="6"/>
  <c r="N37" i="16"/>
  <c r="D158" i="10"/>
  <c r="J158" i="16"/>
  <c r="Q158" i="16" s="1"/>
  <c r="Q157" i="16"/>
  <c r="D62" i="6"/>
  <c r="N62" i="16"/>
  <c r="Q140" i="16"/>
  <c r="D189" i="5"/>
  <c r="O189" i="16"/>
  <c r="D195" i="9"/>
  <c r="K195" i="16"/>
  <c r="Q195" i="16" s="1"/>
  <c r="D82" i="8"/>
  <c r="L82" i="16"/>
  <c r="Q82" i="16" s="1"/>
  <c r="D209" i="10"/>
  <c r="J209" i="16"/>
  <c r="Q209" i="16" s="1"/>
  <c r="D155" i="6"/>
  <c r="N155" i="16"/>
  <c r="D151" i="5"/>
  <c r="O151" i="16"/>
  <c r="Q151" i="16" s="1"/>
  <c r="D168" i="7"/>
  <c r="M168" i="16"/>
  <c r="D44" i="7"/>
  <c r="M44" i="16"/>
  <c r="D47" i="10"/>
  <c r="J47" i="16"/>
  <c r="D177" i="6"/>
  <c r="N177" i="16"/>
  <c r="D193" i="7"/>
  <c r="M193" i="16"/>
  <c r="Q193" i="16" s="1"/>
  <c r="D206" i="4"/>
  <c r="P206" i="16"/>
  <c r="D96" i="5"/>
  <c r="O96" i="16"/>
  <c r="Q96" i="16" s="1"/>
  <c r="D206" i="7"/>
  <c r="M206" i="16"/>
  <c r="D173" i="9"/>
  <c r="K173" i="16"/>
  <c r="Q173" i="16" s="1"/>
  <c r="D192" i="10"/>
  <c r="J192" i="16"/>
  <c r="Q192" i="16" s="1"/>
  <c r="D66" i="9"/>
  <c r="K66" i="16"/>
  <c r="Q66" i="16" s="1"/>
  <c r="Q83" i="16"/>
  <c r="D71" i="5"/>
  <c r="O71" i="16"/>
  <c r="Q71" i="16" s="1"/>
  <c r="D139" i="9"/>
  <c r="K139" i="16"/>
  <c r="Q139" i="16" s="1"/>
  <c r="D101" i="4"/>
  <c r="P101" i="16"/>
  <c r="Q101" i="16" s="1"/>
  <c r="D63" i="7"/>
  <c r="M63" i="16"/>
  <c r="Q63" i="16" s="1"/>
  <c r="D172" i="6"/>
  <c r="N172" i="16"/>
  <c r="D177" i="9"/>
  <c r="K177" i="16"/>
  <c r="D113" i="6"/>
  <c r="N113" i="16"/>
  <c r="Q113" i="16" s="1"/>
  <c r="D50" i="9"/>
  <c r="K50" i="16"/>
  <c r="Q50" i="16" s="1"/>
  <c r="D62" i="9"/>
  <c r="K62" i="16"/>
  <c r="Q153" i="16"/>
  <c r="D44" i="4"/>
  <c r="P44" i="16"/>
  <c r="D168" i="6"/>
  <c r="N168" i="16"/>
  <c r="D212" i="9"/>
  <c r="K212" i="16"/>
  <c r="Q212" i="16" s="1"/>
  <c r="D43" i="10"/>
  <c r="J43" i="16"/>
  <c r="D213" i="10"/>
  <c r="J213" i="16"/>
  <c r="Q213" i="16" s="1"/>
  <c r="D211" i="4"/>
  <c r="P211" i="16"/>
  <c r="Q211" i="16" s="1"/>
  <c r="D141" i="8"/>
  <c r="L141" i="16"/>
  <c r="Q141" i="16" s="1"/>
  <c r="D169" i="9"/>
  <c r="K169" i="16"/>
  <c r="D98" i="4"/>
  <c r="P98" i="16"/>
  <c r="D172" i="7"/>
  <c r="M172" i="16"/>
  <c r="D155" i="7"/>
  <c r="M155" i="16"/>
  <c r="D46" i="9"/>
  <c r="K46" i="16"/>
  <c r="Q46" i="16" s="1"/>
  <c r="D154" i="10"/>
  <c r="J154" i="16"/>
  <c r="Q154" i="16" s="1"/>
  <c r="Q38" i="16"/>
  <c r="Q116" i="16"/>
  <c r="D133" i="8"/>
  <c r="L133" i="16"/>
  <c r="Q133" i="16" s="1"/>
  <c r="D156" i="9"/>
  <c r="K156" i="16"/>
  <c r="J87" i="16"/>
  <c r="K87" i="16" s="1"/>
  <c r="L87" i="16" s="1"/>
  <c r="M87" i="16" s="1"/>
  <c r="N87" i="16" s="1"/>
  <c r="O87" i="16" s="1"/>
  <c r="P87" i="16" s="1"/>
  <c r="Q87" i="16" s="1"/>
  <c r="Q49" i="16"/>
  <c r="D156" i="4"/>
  <c r="P156" i="16"/>
  <c r="D45" i="5"/>
  <c r="O45" i="16"/>
  <c r="Q45" i="16" s="1"/>
  <c r="D99" i="9"/>
  <c r="K99" i="16"/>
  <c r="Q99" i="16" s="1"/>
  <c r="D37" i="5"/>
  <c r="O37" i="16"/>
  <c r="D208" i="8"/>
  <c r="L208" i="16"/>
  <c r="Q40" i="16"/>
  <c r="D169" i="8"/>
  <c r="L169" i="16"/>
  <c r="D85" i="6"/>
  <c r="N85" i="16"/>
  <c r="Q85" i="16" s="1"/>
  <c r="D190" i="9"/>
  <c r="K190" i="16"/>
  <c r="Q190" i="16" s="1"/>
  <c r="D196" i="10"/>
  <c r="J196" i="16"/>
  <c r="Q196" i="16" s="1"/>
  <c r="D176" i="5"/>
  <c r="O176" i="16"/>
  <c r="D117" i="6"/>
  <c r="N117" i="16"/>
  <c r="Q117" i="16" s="1"/>
  <c r="D175" i="10"/>
  <c r="J175" i="16"/>
  <c r="Q175" i="16" s="1"/>
  <c r="D206" i="5"/>
  <c r="O206" i="16"/>
  <c r="D137" i="8"/>
  <c r="L137" i="16"/>
  <c r="Q137" i="16" s="1"/>
  <c r="D172" i="5"/>
  <c r="O172" i="16"/>
  <c r="D48" i="4"/>
  <c r="P48" i="16"/>
  <c r="Q48" i="16" s="1"/>
  <c r="D47" i="7"/>
  <c r="M47" i="16"/>
  <c r="D187" i="8"/>
  <c r="L187" i="16"/>
  <c r="Q187" i="16" s="1"/>
  <c r="D43" i="9"/>
  <c r="K43" i="16"/>
  <c r="Q119" i="16"/>
  <c r="Q42" i="16"/>
  <c r="D135" i="4"/>
  <c r="P135" i="16"/>
  <c r="Q135" i="16" s="1"/>
  <c r="D134" i="5"/>
  <c r="O134" i="16"/>
  <c r="Q134" i="16" s="1"/>
  <c r="D171" i="10"/>
  <c r="J171" i="16"/>
  <c r="Q171" i="16" s="1"/>
  <c r="D86" i="7"/>
  <c r="M86" i="16"/>
  <c r="Q170" i="16"/>
  <c r="D122" i="4"/>
  <c r="P122" i="16"/>
  <c r="Q122" i="16" s="1"/>
  <c r="D47" i="8"/>
  <c r="L47" i="16"/>
  <c r="D174" i="8"/>
  <c r="L174" i="16"/>
  <c r="Q174" i="16" s="1"/>
  <c r="D152" i="9"/>
  <c r="K152" i="16"/>
  <c r="Q152" i="16" s="1"/>
  <c r="D155" i="5"/>
  <c r="O155" i="16"/>
  <c r="D44" i="6"/>
  <c r="N44" i="16"/>
  <c r="D118" i="5"/>
  <c r="O118" i="16"/>
  <c r="Q118" i="16" s="1"/>
  <c r="D98" i="6"/>
  <c r="N98" i="16"/>
  <c r="D168" i="5"/>
  <c r="O168" i="16"/>
  <c r="D210" i="7"/>
  <c r="M210" i="16"/>
  <c r="D70" i="8"/>
  <c r="L70" i="16"/>
  <c r="Q70" i="16" s="1"/>
  <c r="J214" i="16"/>
  <c r="K214" i="16" s="1"/>
  <c r="L214" i="16" s="1"/>
  <c r="M214" i="16" s="1"/>
  <c r="N214" i="16" s="1"/>
  <c r="O214" i="16" s="1"/>
  <c r="P214" i="16" s="1"/>
  <c r="Q214" i="16" s="1"/>
  <c r="AN214" i="16" s="1"/>
  <c r="J123" i="16"/>
  <c r="K123" i="16" s="1"/>
  <c r="L123" i="16" s="1"/>
  <c r="M123" i="16" s="1"/>
  <c r="N123" i="16" s="1"/>
  <c r="O123" i="16" s="1"/>
  <c r="P123" i="16" s="1"/>
  <c r="Q123" i="16" s="1"/>
  <c r="AN123" i="16" s="1"/>
  <c r="Q136" i="16"/>
  <c r="Q191" i="16"/>
  <c r="L27" i="14"/>
  <c r="K28" i="14"/>
  <c r="J27" i="12"/>
  <c r="I28" i="12"/>
  <c r="I27" i="11"/>
  <c r="H28" i="11"/>
  <c r="H27" i="7"/>
  <c r="G28" i="7"/>
  <c r="D51" i="10"/>
  <c r="D73" i="10"/>
  <c r="D208" i="10"/>
  <c r="D101" i="10"/>
  <c r="D195" i="10"/>
  <c r="D155" i="10"/>
  <c r="D191" i="10"/>
  <c r="D102" i="10"/>
  <c r="D48" i="10"/>
  <c r="D190" i="10"/>
  <c r="D96" i="10"/>
  <c r="D45" i="10"/>
  <c r="D41" i="10"/>
  <c r="D156" i="10"/>
  <c r="D97" i="10"/>
  <c r="D211" i="10"/>
  <c r="D69" i="10"/>
  <c r="D61" i="10"/>
  <c r="D38" i="10"/>
  <c r="D152" i="10"/>
  <c r="D172" i="10"/>
  <c r="D137" i="10"/>
  <c r="D151" i="10"/>
  <c r="D121" i="10"/>
  <c r="D194" i="10"/>
  <c r="D60" i="10"/>
  <c r="D117" i="10"/>
  <c r="D176" i="10"/>
  <c r="H27" i="10"/>
  <c r="G28" i="10"/>
  <c r="D68" i="10"/>
  <c r="D98" i="10"/>
  <c r="D114" i="10"/>
  <c r="D177" i="10"/>
  <c r="D187" i="10"/>
  <c r="D115" i="10"/>
  <c r="D206" i="10"/>
  <c r="D132" i="10"/>
  <c r="D141" i="10"/>
  <c r="D100" i="10"/>
  <c r="D207" i="10"/>
  <c r="D64" i="10"/>
  <c r="D65" i="10"/>
  <c r="D212" i="10"/>
  <c r="D168" i="10"/>
  <c r="D173" i="10"/>
  <c r="D83" i="10"/>
  <c r="D62" i="10"/>
  <c r="D50" i="10"/>
  <c r="D73" i="9"/>
  <c r="D51" i="9"/>
  <c r="D114" i="9"/>
  <c r="D116" i="9"/>
  <c r="D63" i="9"/>
  <c r="D85" i="9"/>
  <c r="D192" i="9"/>
  <c r="D175" i="9"/>
  <c r="D84" i="9"/>
  <c r="D206" i="9"/>
  <c r="D196" i="9"/>
  <c r="D44" i="9"/>
  <c r="D132" i="9"/>
  <c r="D67" i="9"/>
  <c r="D37" i="9"/>
  <c r="D115" i="9"/>
  <c r="D64" i="9"/>
  <c r="D48" i="9"/>
  <c r="D71" i="9"/>
  <c r="D100" i="9"/>
  <c r="D170" i="9"/>
  <c r="D137" i="9"/>
  <c r="D133" i="9"/>
  <c r="D60" i="9"/>
  <c r="D70" i="9"/>
  <c r="D189" i="9"/>
  <c r="D188" i="9"/>
  <c r="D153" i="9"/>
  <c r="D119" i="9"/>
  <c r="D102" i="9"/>
  <c r="D72" i="9"/>
  <c r="D187" i="9"/>
  <c r="D120" i="9"/>
  <c r="D97" i="9"/>
  <c r="D42" i="9"/>
  <c r="D174" i="9"/>
  <c r="D113" i="9"/>
  <c r="D98" i="9"/>
  <c r="D45" i="9"/>
  <c r="D68" i="9"/>
  <c r="D211" i="9"/>
  <c r="D191" i="9"/>
  <c r="D101" i="9"/>
  <c r="D69" i="9"/>
  <c r="D65" i="9"/>
  <c r="D38" i="9"/>
  <c r="D151" i="9"/>
  <c r="D135" i="9"/>
  <c r="D47" i="9"/>
  <c r="D171" i="9"/>
  <c r="D136" i="9"/>
  <c r="D83" i="9"/>
  <c r="D73" i="8"/>
  <c r="D51" i="8"/>
  <c r="D207" i="8"/>
  <c r="D115" i="8"/>
  <c r="D61" i="8"/>
  <c r="D37" i="8"/>
  <c r="D134" i="8"/>
  <c r="D101" i="8"/>
  <c r="D84" i="8"/>
  <c r="D48" i="8"/>
  <c r="D118" i="8"/>
  <c r="D114" i="8"/>
  <c r="D97" i="8"/>
  <c r="D83" i="8"/>
  <c r="D135" i="8"/>
  <c r="D117" i="8"/>
  <c r="D42" i="8"/>
  <c r="D206" i="8"/>
  <c r="D158" i="8"/>
  <c r="D67" i="8"/>
  <c r="D190" i="8"/>
  <c r="D139" i="8"/>
  <c r="D65" i="8"/>
  <c r="D62" i="8"/>
  <c r="D173" i="8"/>
  <c r="D132" i="8"/>
  <c r="D193" i="8"/>
  <c r="D168" i="8"/>
  <c r="D121" i="8"/>
  <c r="D122" i="8"/>
  <c r="D119" i="8"/>
  <c r="D71" i="8"/>
  <c r="D213" i="8"/>
  <c r="D154" i="8"/>
  <c r="D96" i="8"/>
  <c r="D49" i="8"/>
  <c r="D194" i="8"/>
  <c r="D155" i="8"/>
  <c r="D113" i="8"/>
  <c r="D138" i="8"/>
  <c r="D72" i="8"/>
  <c r="D210" i="8"/>
  <c r="D68" i="8"/>
  <c r="D60" i="8"/>
  <c r="D151" i="8"/>
  <c r="D102" i="8"/>
  <c r="D38" i="8"/>
  <c r="D177" i="8"/>
  <c r="D45" i="8"/>
  <c r="D73" i="7"/>
  <c r="D51" i="7"/>
  <c r="D83" i="7"/>
  <c r="D72" i="7"/>
  <c r="D207" i="7"/>
  <c r="D154" i="7"/>
  <c r="D137" i="7"/>
  <c r="D133" i="7"/>
  <c r="D153" i="7"/>
  <c r="D62" i="7"/>
  <c r="D116" i="7"/>
  <c r="D114" i="7"/>
  <c r="D46" i="7"/>
  <c r="D43" i="7"/>
  <c r="D38" i="7"/>
  <c r="D173" i="7"/>
  <c r="D170" i="7"/>
  <c r="D135" i="7"/>
  <c r="D157" i="7"/>
  <c r="D212" i="7"/>
  <c r="D195" i="7"/>
  <c r="D169" i="7"/>
  <c r="D97" i="7"/>
  <c r="D84" i="7"/>
  <c r="D211" i="7"/>
  <c r="D115" i="7"/>
  <c r="D101" i="7"/>
  <c r="D190" i="7"/>
  <c r="D65" i="7"/>
  <c r="D41" i="7"/>
  <c r="D67" i="7"/>
  <c r="D42" i="7"/>
  <c r="D113" i="7"/>
  <c r="D118" i="7"/>
  <c r="D68" i="7"/>
  <c r="D208" i="7"/>
  <c r="D191" i="7"/>
  <c r="D187" i="7"/>
  <c r="D64" i="7"/>
  <c r="D174" i="7"/>
  <c r="D136" i="7"/>
  <c r="D60" i="7"/>
  <c r="D37" i="7"/>
  <c r="D194" i="7"/>
  <c r="D152" i="7"/>
  <c r="D61" i="7"/>
  <c r="D141" i="7"/>
  <c r="D119" i="7"/>
  <c r="D132" i="7"/>
  <c r="D71" i="7"/>
  <c r="D49" i="7"/>
  <c r="D177" i="7"/>
  <c r="D96" i="7"/>
  <c r="D120" i="7"/>
  <c r="D156" i="7"/>
  <c r="D140" i="7"/>
  <c r="D48" i="7"/>
  <c r="D45" i="7"/>
  <c r="D73" i="6"/>
  <c r="D51" i="6"/>
  <c r="D153" i="6"/>
  <c r="D158" i="6"/>
  <c r="D101" i="6"/>
  <c r="D157" i="6"/>
  <c r="D136" i="6"/>
  <c r="D83" i="6"/>
  <c r="D45" i="6"/>
  <c r="D213" i="6"/>
  <c r="D174" i="6"/>
  <c r="D206" i="6"/>
  <c r="D169" i="6"/>
  <c r="D133" i="6"/>
  <c r="D115" i="6"/>
  <c r="D82" i="6"/>
  <c r="D99" i="6"/>
  <c r="D70" i="6"/>
  <c r="D96" i="6"/>
  <c r="D173" i="6"/>
  <c r="D60" i="6"/>
  <c r="D42" i="6"/>
  <c r="D189" i="6"/>
  <c r="D193" i="6"/>
  <c r="D119" i="6"/>
  <c r="D176" i="6"/>
  <c r="D114" i="6"/>
  <c r="D140" i="6"/>
  <c r="D97" i="6"/>
  <c r="D209" i="6"/>
  <c r="D196" i="6"/>
  <c r="D71" i="6"/>
  <c r="D132" i="6"/>
  <c r="D170" i="6"/>
  <c r="D210" i="6"/>
  <c r="D188" i="6"/>
  <c r="D141" i="6"/>
  <c r="D152" i="6"/>
  <c r="D63" i="6"/>
  <c r="D41" i="6"/>
  <c r="D116" i="6"/>
  <c r="D49" i="6"/>
  <c r="D100" i="6"/>
  <c r="D67" i="6"/>
  <c r="I28" i="6"/>
  <c r="J27" i="6"/>
  <c r="D156" i="6"/>
  <c r="D137" i="6"/>
  <c r="D64" i="6"/>
  <c r="D120" i="6"/>
  <c r="D103" i="6"/>
  <c r="D61" i="6"/>
  <c r="D38" i="6"/>
  <c r="D51" i="5"/>
  <c r="D73" i="5"/>
  <c r="D100" i="5"/>
  <c r="D122" i="5"/>
  <c r="D68" i="5"/>
  <c r="D195" i="5"/>
  <c r="D169" i="5"/>
  <c r="D207" i="5"/>
  <c r="D121" i="5"/>
  <c r="D66" i="5"/>
  <c r="D85" i="5"/>
  <c r="D43" i="5"/>
  <c r="D117" i="5"/>
  <c r="D140" i="5"/>
  <c r="D173" i="5"/>
  <c r="D46" i="5"/>
  <c r="D208" i="5"/>
  <c r="D191" i="5"/>
  <c r="D120" i="5"/>
  <c r="D97" i="5"/>
  <c r="D64" i="5"/>
  <c r="D39" i="5"/>
  <c r="D103" i="5"/>
  <c r="D50" i="5"/>
  <c r="D158" i="5"/>
  <c r="D99" i="5"/>
  <c r="D119" i="5"/>
  <c r="D72" i="5"/>
  <c r="D212" i="5"/>
  <c r="D194" i="5"/>
  <c r="D135" i="5"/>
  <c r="D113" i="5"/>
  <c r="D115" i="5"/>
  <c r="H27" i="5"/>
  <c r="G28" i="5"/>
  <c r="D61" i="5"/>
  <c r="D174" i="5"/>
  <c r="D190" i="5"/>
  <c r="D132" i="5"/>
  <c r="D152" i="5"/>
  <c r="D136" i="5"/>
  <c r="D98" i="5"/>
  <c r="D102" i="5"/>
  <c r="D62" i="5"/>
  <c r="D170" i="5"/>
  <c r="D133" i="5"/>
  <c r="D84" i="5"/>
  <c r="D187" i="5"/>
  <c r="D177" i="5"/>
  <c r="D116" i="5"/>
  <c r="D42" i="5"/>
  <c r="D65" i="5"/>
  <c r="D49" i="5"/>
  <c r="D38" i="5"/>
  <c r="D82" i="5"/>
  <c r="D69" i="5"/>
  <c r="D63" i="5"/>
  <c r="D73" i="4"/>
  <c r="D51" i="4"/>
  <c r="D50" i="4"/>
  <c r="D171" i="4"/>
  <c r="D192" i="4"/>
  <c r="D136" i="4"/>
  <c r="D62" i="4"/>
  <c r="D46" i="4"/>
  <c r="D189" i="4"/>
  <c r="D115" i="4"/>
  <c r="D70" i="4"/>
  <c r="D61" i="4"/>
  <c r="D170" i="4"/>
  <c r="D119" i="4"/>
  <c r="D65" i="4"/>
  <c r="D187" i="4"/>
  <c r="D97" i="4"/>
  <c r="D175" i="4"/>
  <c r="D84" i="4"/>
  <c r="D176" i="4"/>
  <c r="D168" i="4"/>
  <c r="D38" i="4"/>
  <c r="D72" i="4"/>
  <c r="D42" i="4"/>
  <c r="D191" i="4"/>
  <c r="D82" i="4"/>
  <c r="D195" i="4"/>
  <c r="D102" i="4"/>
  <c r="D116" i="4"/>
  <c r="D96" i="4"/>
  <c r="D99" i="4"/>
  <c r="D66" i="4"/>
  <c r="D83" i="4"/>
  <c r="D174" i="4"/>
  <c r="D210" i="4"/>
  <c r="D113" i="4"/>
  <c r="D71" i="4"/>
  <c r="D45" i="4"/>
  <c r="D63" i="4"/>
  <c r="D196" i="4"/>
  <c r="D172" i="4"/>
  <c r="D132" i="4"/>
  <c r="D193" i="4"/>
  <c r="D188" i="4"/>
  <c r="D151" i="4"/>
  <c r="D68" i="4"/>
  <c r="D37" i="4"/>
  <c r="D49" i="4"/>
  <c r="D208" i="4"/>
  <c r="D103" i="4"/>
  <c r="J27" i="9" l="1"/>
  <c r="G28" i="9"/>
  <c r="H28" i="9"/>
  <c r="Q176" i="16"/>
  <c r="AQ176" i="16" s="1"/>
  <c r="G28" i="8"/>
  <c r="AN87" i="16"/>
  <c r="Q208" i="16"/>
  <c r="Q86" i="16"/>
  <c r="D83" i="16" s="1"/>
  <c r="Q37" i="16"/>
  <c r="AQ37" i="16" s="1"/>
  <c r="J28" i="15"/>
  <c r="K27" i="15"/>
  <c r="Q189" i="16"/>
  <c r="D189" i="16" s="1"/>
  <c r="AQ64" i="16"/>
  <c r="I28" i="13"/>
  <c r="J27" i="13"/>
  <c r="AN51" i="16"/>
  <c r="AN104" i="16"/>
  <c r="Q177" i="16"/>
  <c r="AQ177" i="16" s="1"/>
  <c r="H27" i="4"/>
  <c r="G28" i="4"/>
  <c r="Q172" i="16"/>
  <c r="AQ172" i="16" s="1"/>
  <c r="Q155" i="16"/>
  <c r="Q98" i="16"/>
  <c r="D98" i="16" s="1"/>
  <c r="Q44" i="16"/>
  <c r="AQ44" i="16" s="1"/>
  <c r="Q168" i="16"/>
  <c r="AQ168" i="16" s="1"/>
  <c r="AN73" i="16"/>
  <c r="Q210" i="16"/>
  <c r="AQ210" i="16" s="1"/>
  <c r="Q206" i="16"/>
  <c r="AQ206" i="16" s="1"/>
  <c r="AQ67" i="16"/>
  <c r="Q169" i="16"/>
  <c r="AQ169" i="16" s="1"/>
  <c r="Q156" i="16"/>
  <c r="AQ156" i="16" s="1"/>
  <c r="AQ61" i="16"/>
  <c r="AQ60" i="16"/>
  <c r="AQ72" i="16"/>
  <c r="AQ68" i="16"/>
  <c r="AQ65" i="16"/>
  <c r="Q62" i="16"/>
  <c r="AQ62" i="16" s="1"/>
  <c r="Q43" i="16"/>
  <c r="AQ43" i="16" s="1"/>
  <c r="AQ41" i="16"/>
  <c r="AQ117" i="16"/>
  <c r="AQ152" i="16"/>
  <c r="D152" i="16"/>
  <c r="AQ45" i="16"/>
  <c r="D133" i="16"/>
  <c r="AQ133" i="16"/>
  <c r="D132" i="16"/>
  <c r="D138" i="16"/>
  <c r="D141" i="16"/>
  <c r="AQ141" i="16"/>
  <c r="D212" i="16"/>
  <c r="AQ212" i="16"/>
  <c r="D173" i="16"/>
  <c r="AQ173" i="16"/>
  <c r="D96" i="16"/>
  <c r="AQ96" i="16"/>
  <c r="D193" i="16"/>
  <c r="AQ193" i="16"/>
  <c r="D118" i="16"/>
  <c r="AQ118" i="16"/>
  <c r="D134" i="16"/>
  <c r="AQ134" i="16"/>
  <c r="AQ85" i="16"/>
  <c r="AQ50" i="16"/>
  <c r="D63" i="16"/>
  <c r="AQ63" i="16"/>
  <c r="D117" i="16"/>
  <c r="D122" i="16"/>
  <c r="AQ122" i="16"/>
  <c r="AQ211" i="16"/>
  <c r="D211" i="16"/>
  <c r="AQ151" i="16"/>
  <c r="AQ171" i="16"/>
  <c r="AQ135" i="16"/>
  <c r="D135" i="16"/>
  <c r="AQ187" i="16"/>
  <c r="D187" i="16"/>
  <c r="D48" i="16"/>
  <c r="AQ48" i="16"/>
  <c r="AQ137" i="16"/>
  <c r="D137" i="16"/>
  <c r="D190" i="16"/>
  <c r="AQ190" i="16"/>
  <c r="AQ113" i="16"/>
  <c r="D113" i="16"/>
  <c r="D101" i="16"/>
  <c r="AQ101" i="16"/>
  <c r="AQ71" i="16"/>
  <c r="AQ191" i="16"/>
  <c r="D191" i="16"/>
  <c r="D154" i="16"/>
  <c r="AQ154" i="16"/>
  <c r="AQ49" i="16"/>
  <c r="AQ213" i="16"/>
  <c r="AQ66" i="16"/>
  <c r="Q47" i="16"/>
  <c r="AQ120" i="16"/>
  <c r="AQ46" i="16"/>
  <c r="D46" i="16"/>
  <c r="AQ82" i="16"/>
  <c r="D42" i="16"/>
  <c r="AQ42" i="16"/>
  <c r="AQ175" i="16"/>
  <c r="AQ39" i="16"/>
  <c r="AQ195" i="16"/>
  <c r="D195" i="16"/>
  <c r="D157" i="16"/>
  <c r="AQ157" i="16"/>
  <c r="AQ103" i="16"/>
  <c r="AQ132" i="16"/>
  <c r="AQ139" i="16"/>
  <c r="D139" i="16"/>
  <c r="D174" i="16"/>
  <c r="AQ174" i="16"/>
  <c r="AQ170" i="16"/>
  <c r="D119" i="16"/>
  <c r="AQ119" i="16"/>
  <c r="AQ69" i="16"/>
  <c r="D116" i="16"/>
  <c r="AQ116" i="16"/>
  <c r="AQ153" i="16"/>
  <c r="D153" i="16"/>
  <c r="AQ99" i="16"/>
  <c r="D192" i="16"/>
  <c r="AQ192" i="16"/>
  <c r="AQ209" i="16"/>
  <c r="AQ140" i="16"/>
  <c r="D140" i="16"/>
  <c r="D158" i="16"/>
  <c r="AQ158" i="16"/>
  <c r="AQ115" i="16"/>
  <c r="AQ97" i="16"/>
  <c r="AQ121" i="16"/>
  <c r="AQ100" i="16"/>
  <c r="AQ84" i="16"/>
  <c r="AQ70" i="16"/>
  <c r="D136" i="16"/>
  <c r="AQ136" i="16"/>
  <c r="D196" i="16"/>
  <c r="AQ196" i="16"/>
  <c r="AQ40" i="16"/>
  <c r="AQ38" i="16"/>
  <c r="AQ83" i="16"/>
  <c r="AQ188" i="16"/>
  <c r="AQ138" i="16"/>
  <c r="AQ114" i="16"/>
  <c r="AQ194" i="16"/>
  <c r="AQ207" i="16"/>
  <c r="AQ102" i="16"/>
  <c r="M27" i="14"/>
  <c r="L28" i="14"/>
  <c r="K27" i="12"/>
  <c r="J28" i="12"/>
  <c r="I28" i="11"/>
  <c r="J27" i="11"/>
  <c r="I27" i="7"/>
  <c r="H28" i="7"/>
  <c r="H28" i="10"/>
  <c r="I27" i="10"/>
  <c r="J28" i="9"/>
  <c r="K27" i="9"/>
  <c r="I27" i="8"/>
  <c r="H28" i="8"/>
  <c r="J28" i="6"/>
  <c r="K27" i="6"/>
  <c r="I27" i="5"/>
  <c r="H28" i="5"/>
  <c r="D38" i="16" l="1"/>
  <c r="D50" i="16"/>
  <c r="D208" i="16"/>
  <c r="D103" i="16"/>
  <c r="D175" i="16"/>
  <c r="D155" i="16"/>
  <c r="D61" i="16"/>
  <c r="AQ208" i="16"/>
  <c r="D44" i="16"/>
  <c r="AQ189" i="16"/>
  <c r="D85" i="16"/>
  <c r="AQ86" i="16"/>
  <c r="D84" i="16"/>
  <c r="D82" i="16"/>
  <c r="D188" i="16"/>
  <c r="D86" i="16"/>
  <c r="D40" i="16"/>
  <c r="D176" i="16"/>
  <c r="D39" i="16"/>
  <c r="D177" i="16"/>
  <c r="L27" i="15"/>
  <c r="K28" i="15"/>
  <c r="D97" i="16"/>
  <c r="D213" i="16"/>
  <c r="D102" i="16"/>
  <c r="D65" i="16"/>
  <c r="J28" i="13"/>
  <c r="K27" i="13"/>
  <c r="D99" i="16"/>
  <c r="D210" i="16"/>
  <c r="AQ155" i="16"/>
  <c r="AQ98" i="16"/>
  <c r="D156" i="16"/>
  <c r="D70" i="16"/>
  <c r="D72" i="16"/>
  <c r="D71" i="16"/>
  <c r="D172" i="16"/>
  <c r="D60" i="16"/>
  <c r="D68" i="16"/>
  <c r="D62" i="16"/>
  <c r="D168" i="16"/>
  <c r="D69" i="16"/>
  <c r="D73" i="16"/>
  <c r="D64" i="16"/>
  <c r="D66" i="16"/>
  <c r="D67" i="16"/>
  <c r="I27" i="4"/>
  <c r="H28" i="4"/>
  <c r="D206" i="16"/>
  <c r="D209" i="16"/>
  <c r="D170" i="16"/>
  <c r="D171" i="16"/>
  <c r="D151" i="16"/>
  <c r="D169" i="16"/>
  <c r="D45" i="16"/>
  <c r="D51" i="16"/>
  <c r="D43" i="16"/>
  <c r="D49" i="16"/>
  <c r="AQ47" i="16"/>
  <c r="D47" i="16"/>
  <c r="D37" i="16"/>
  <c r="M28" i="14"/>
  <c r="N27" i="14"/>
  <c r="K28" i="12"/>
  <c r="L27" i="12"/>
  <c r="J28" i="11"/>
  <c r="K27" i="11"/>
  <c r="I28" i="7"/>
  <c r="J27" i="7"/>
  <c r="J27" i="10"/>
  <c r="I28" i="10"/>
  <c r="L27" i="9"/>
  <c r="K28" i="9"/>
  <c r="I28" i="8"/>
  <c r="J27" i="8"/>
  <c r="L27" i="6"/>
  <c r="K28" i="6"/>
  <c r="I28" i="5"/>
  <c r="J27" i="5"/>
  <c r="M27" i="15" l="1"/>
  <c r="L28" i="15"/>
  <c r="L27" i="13"/>
  <c r="K28" i="13"/>
  <c r="I28" i="4"/>
  <c r="J27" i="4"/>
  <c r="N28" i="14"/>
  <c r="O27" i="14"/>
  <c r="M27" i="12"/>
  <c r="L28" i="12"/>
  <c r="L27" i="11"/>
  <c r="K28" i="11"/>
  <c r="J28" i="7"/>
  <c r="K27" i="7"/>
  <c r="J28" i="10"/>
  <c r="K27" i="10"/>
  <c r="M27" i="9"/>
  <c r="L28" i="9"/>
  <c r="J28" i="8"/>
  <c r="K27" i="8"/>
  <c r="M27" i="6"/>
  <c r="L28" i="6"/>
  <c r="J28" i="5"/>
  <c r="K27" i="5"/>
  <c r="M28" i="15" l="1"/>
  <c r="N27" i="15"/>
  <c r="L28" i="13"/>
  <c r="M27" i="13"/>
  <c r="K27" i="4"/>
  <c r="J28" i="4"/>
  <c r="P27" i="14"/>
  <c r="O28" i="14"/>
  <c r="N27" i="12"/>
  <c r="M28" i="12"/>
  <c r="M27" i="11"/>
  <c r="L28" i="11"/>
  <c r="L27" i="7"/>
  <c r="K28" i="7"/>
  <c r="L27" i="10"/>
  <c r="K28" i="10"/>
  <c r="M28" i="9"/>
  <c r="N27" i="9"/>
  <c r="L27" i="8"/>
  <c r="K28" i="8"/>
  <c r="M28" i="6"/>
  <c r="N27" i="6"/>
  <c r="L27" i="5"/>
  <c r="K28" i="5"/>
  <c r="N28" i="15" l="1"/>
  <c r="O27" i="15"/>
  <c r="N27" i="13"/>
  <c r="M28" i="13"/>
  <c r="K28" i="4"/>
  <c r="L27" i="4"/>
  <c r="Q27" i="14"/>
  <c r="P28" i="14"/>
  <c r="O27" i="12"/>
  <c r="N28" i="12"/>
  <c r="M28" i="11"/>
  <c r="N27" i="11"/>
  <c r="M27" i="7"/>
  <c r="L28" i="7"/>
  <c r="L28" i="10"/>
  <c r="M27" i="10"/>
  <c r="O27" i="9"/>
  <c r="N28" i="9"/>
  <c r="M27" i="8"/>
  <c r="L28" i="8"/>
  <c r="O27" i="6"/>
  <c r="N28" i="6"/>
  <c r="M27" i="5"/>
  <c r="L28" i="5"/>
  <c r="P27" i="15" l="1"/>
  <c r="O28" i="15"/>
  <c r="N28" i="13"/>
  <c r="O27" i="13"/>
  <c r="L28" i="4"/>
  <c r="M27" i="4"/>
  <c r="Q28" i="14"/>
  <c r="R27" i="14"/>
  <c r="O28" i="12"/>
  <c r="P27" i="12"/>
  <c r="O27" i="11"/>
  <c r="N28" i="11"/>
  <c r="M28" i="7"/>
  <c r="N27" i="7"/>
  <c r="N27" i="10"/>
  <c r="M28" i="10"/>
  <c r="P27" i="9"/>
  <c r="O28" i="9"/>
  <c r="M28" i="8"/>
  <c r="N27" i="8"/>
  <c r="P27" i="6"/>
  <c r="O28" i="6"/>
  <c r="M28" i="5"/>
  <c r="N27" i="5"/>
  <c r="P28" i="15" l="1"/>
  <c r="Q27" i="15"/>
  <c r="P27" i="13"/>
  <c r="O28" i="13"/>
  <c r="N27" i="4"/>
  <c r="M28" i="4"/>
  <c r="R28" i="14"/>
  <c r="S27" i="14"/>
  <c r="Q27" i="12"/>
  <c r="P28" i="12"/>
  <c r="P27" i="11"/>
  <c r="O28" i="11"/>
  <c r="N28" i="7"/>
  <c r="O27" i="7"/>
  <c r="N28" i="10"/>
  <c r="O27" i="10"/>
  <c r="Q27" i="9"/>
  <c r="P28" i="9"/>
  <c r="N28" i="8"/>
  <c r="O27" i="8"/>
  <c r="Q27" i="6"/>
  <c r="P28" i="6"/>
  <c r="N28" i="5"/>
  <c r="O27" i="5"/>
  <c r="R27" i="15" l="1"/>
  <c r="Q28" i="15"/>
  <c r="Q27" i="13"/>
  <c r="P28" i="13"/>
  <c r="O27" i="4"/>
  <c r="N28" i="4"/>
  <c r="T27" i="14"/>
  <c r="S28" i="14"/>
  <c r="R27" i="12"/>
  <c r="Q28" i="12"/>
  <c r="Q27" i="11"/>
  <c r="P28" i="11"/>
  <c r="P27" i="7"/>
  <c r="O28" i="7"/>
  <c r="P27" i="10"/>
  <c r="O28" i="10"/>
  <c r="Q28" i="9"/>
  <c r="R27" i="9"/>
  <c r="P27" i="8"/>
  <c r="O28" i="8"/>
  <c r="Q28" i="6"/>
  <c r="R27" i="6"/>
  <c r="P27" i="5"/>
  <c r="O28" i="5"/>
  <c r="R28" i="15" l="1"/>
  <c r="S27" i="15"/>
  <c r="Q28" i="13"/>
  <c r="R27" i="13"/>
  <c r="P27" i="4"/>
  <c r="O28" i="4"/>
  <c r="U27" i="14"/>
  <c r="T28" i="14"/>
  <c r="S27" i="12"/>
  <c r="R28" i="12"/>
  <c r="Q28" i="11"/>
  <c r="R27" i="11"/>
  <c r="Q27" i="7"/>
  <c r="P28" i="7"/>
  <c r="P28" i="10"/>
  <c r="Q27" i="10"/>
  <c r="R28" i="9"/>
  <c r="S27" i="9"/>
  <c r="Q27" i="8"/>
  <c r="P28" i="8"/>
  <c r="R28" i="6"/>
  <c r="S27" i="6"/>
  <c r="Q27" i="5"/>
  <c r="P28" i="5"/>
  <c r="T27" i="15" l="1"/>
  <c r="S28" i="15"/>
  <c r="R28" i="13"/>
  <c r="S27" i="13"/>
  <c r="P28" i="4"/>
  <c r="Q27" i="4"/>
  <c r="U28" i="14"/>
  <c r="V27" i="14"/>
  <c r="S28" i="12"/>
  <c r="T27" i="12"/>
  <c r="R28" i="11"/>
  <c r="S27" i="11"/>
  <c r="Q28" i="7"/>
  <c r="R27" i="7"/>
  <c r="R27" i="10"/>
  <c r="Q28" i="10"/>
  <c r="T27" i="9"/>
  <c r="S28" i="9"/>
  <c r="Q28" i="8"/>
  <c r="R27" i="8"/>
  <c r="T27" i="6"/>
  <c r="S28" i="6"/>
  <c r="Q28" i="5"/>
  <c r="R27" i="5"/>
  <c r="U27" i="15" l="1"/>
  <c r="T28" i="15"/>
  <c r="T27" i="13"/>
  <c r="S28" i="13"/>
  <c r="R27" i="4"/>
  <c r="Q28" i="4"/>
  <c r="V28" i="14"/>
  <c r="W27" i="14"/>
  <c r="U27" i="12"/>
  <c r="T28" i="12"/>
  <c r="T27" i="11"/>
  <c r="S28" i="11"/>
  <c r="R28" i="7"/>
  <c r="S27" i="7"/>
  <c r="R28" i="10"/>
  <c r="S27" i="10"/>
  <c r="U27" i="9"/>
  <c r="T28" i="9"/>
  <c r="S27" i="8"/>
  <c r="R28" i="8"/>
  <c r="U27" i="6"/>
  <c r="T28" i="6"/>
  <c r="R28" i="5"/>
  <c r="S27" i="5"/>
  <c r="U28" i="15" l="1"/>
  <c r="V27" i="15"/>
  <c r="U27" i="13"/>
  <c r="T28" i="13"/>
  <c r="R28" i="4"/>
  <c r="S27" i="4"/>
  <c r="X27" i="14"/>
  <c r="W28" i="14"/>
  <c r="V27" i="12"/>
  <c r="U28" i="12"/>
  <c r="U27" i="11"/>
  <c r="T28" i="11"/>
  <c r="T27" i="7"/>
  <c r="S28" i="7"/>
  <c r="T27" i="10"/>
  <c r="S28" i="10"/>
  <c r="U28" i="9"/>
  <c r="V27" i="9"/>
  <c r="T27" i="8"/>
  <c r="S28" i="8"/>
  <c r="U28" i="6"/>
  <c r="V27" i="6"/>
  <c r="T27" i="5"/>
  <c r="S28" i="5"/>
  <c r="V28" i="15" l="1"/>
  <c r="W27" i="15"/>
  <c r="U28" i="13"/>
  <c r="V27" i="13"/>
  <c r="S28" i="4"/>
  <c r="T27" i="4"/>
  <c r="Y27" i="14"/>
  <c r="X28" i="14"/>
  <c r="W27" i="12"/>
  <c r="V28" i="12"/>
  <c r="U28" i="11"/>
  <c r="V27" i="11"/>
  <c r="U27" i="7"/>
  <c r="T28" i="7"/>
  <c r="T28" i="10"/>
  <c r="U27" i="10"/>
  <c r="V28" i="9"/>
  <c r="W27" i="9"/>
  <c r="U27" i="8"/>
  <c r="T28" i="8"/>
  <c r="W27" i="6"/>
  <c r="V28" i="6"/>
  <c r="U27" i="5"/>
  <c r="T28" i="5"/>
  <c r="X27" i="15" l="1"/>
  <c r="W28" i="15"/>
  <c r="V28" i="13"/>
  <c r="W27" i="13"/>
  <c r="U27" i="4"/>
  <c r="T28" i="4"/>
  <c r="Y28" i="14"/>
  <c r="Z27" i="14"/>
  <c r="W28" i="12"/>
  <c r="X27" i="12"/>
  <c r="V28" i="11"/>
  <c r="W27" i="11"/>
  <c r="U28" i="7"/>
  <c r="V27" i="7"/>
  <c r="V27" i="10"/>
  <c r="U28" i="10"/>
  <c r="X27" i="9"/>
  <c r="W28" i="9"/>
  <c r="U28" i="8"/>
  <c r="V27" i="8"/>
  <c r="X27" i="6"/>
  <c r="W28" i="6"/>
  <c r="U28" i="5"/>
  <c r="V27" i="5"/>
  <c r="Y27" i="15" l="1"/>
  <c r="X28" i="15"/>
  <c r="X27" i="13"/>
  <c r="W28" i="13"/>
  <c r="V27" i="4"/>
  <c r="U28" i="4"/>
  <c r="Z28" i="14"/>
  <c r="AA27" i="14"/>
  <c r="Y27" i="12"/>
  <c r="X28" i="12"/>
  <c r="X27" i="11"/>
  <c r="W28" i="11"/>
  <c r="V28" i="7"/>
  <c r="W27" i="7"/>
  <c r="V28" i="10"/>
  <c r="W27" i="10"/>
  <c r="Y27" i="9"/>
  <c r="X28" i="9"/>
  <c r="V28" i="8"/>
  <c r="W27" i="8"/>
  <c r="Y27" i="6"/>
  <c r="X28" i="6"/>
  <c r="V28" i="5"/>
  <c r="W27" i="5"/>
  <c r="Y28" i="15" l="1"/>
  <c r="Z27" i="15"/>
  <c r="X28" i="13"/>
  <c r="Y27" i="13"/>
  <c r="V28" i="4"/>
  <c r="W27" i="4"/>
  <c r="AB27" i="14"/>
  <c r="AA28" i="14"/>
  <c r="Z27" i="12"/>
  <c r="Y28" i="12"/>
  <c r="Y27" i="11"/>
  <c r="X28" i="11"/>
  <c r="X27" i="7"/>
  <c r="W28" i="7"/>
  <c r="X27" i="10"/>
  <c r="W28" i="10"/>
  <c r="Y28" i="9"/>
  <c r="Z27" i="9"/>
  <c r="X27" i="8"/>
  <c r="W28" i="8"/>
  <c r="Y28" i="6"/>
  <c r="Z27" i="6"/>
  <c r="X27" i="5"/>
  <c r="W28" i="5"/>
  <c r="AA27" i="15" l="1"/>
  <c r="Z28" i="15"/>
  <c r="Z27" i="13"/>
  <c r="Y28" i="13"/>
  <c r="W28" i="4"/>
  <c r="X27" i="4"/>
  <c r="AC27" i="14"/>
  <c r="AB28" i="14"/>
  <c r="AA27" i="12"/>
  <c r="Z28" i="12"/>
  <c r="Y28" i="11"/>
  <c r="Z27" i="11"/>
  <c r="Y27" i="7"/>
  <c r="X28" i="7"/>
  <c r="X28" i="10"/>
  <c r="Y27" i="10"/>
  <c r="Z28" i="9"/>
  <c r="AA27" i="9"/>
  <c r="Y27" i="8"/>
  <c r="X28" i="8"/>
  <c r="Z28" i="6"/>
  <c r="AA27" i="6"/>
  <c r="Y27" i="5"/>
  <c r="X28" i="5"/>
  <c r="AB27" i="15" l="1"/>
  <c r="AA28" i="15"/>
  <c r="AA27" i="13"/>
  <c r="Z28" i="13"/>
  <c r="Y27" i="4"/>
  <c r="X28" i="4"/>
  <c r="AC28" i="14"/>
  <c r="AD27" i="14"/>
  <c r="AA28" i="12"/>
  <c r="AB27" i="12"/>
  <c r="Z28" i="11"/>
  <c r="AA27" i="11"/>
  <c r="Y28" i="7"/>
  <c r="Z27" i="7"/>
  <c r="Z27" i="10"/>
  <c r="Y28" i="10"/>
  <c r="AB27" i="9"/>
  <c r="AA28" i="9"/>
  <c r="Y28" i="8"/>
  <c r="Z27" i="8"/>
  <c r="AB27" i="6"/>
  <c r="AA28" i="6"/>
  <c r="Y28" i="5"/>
  <c r="Z27" i="5"/>
  <c r="AC27" i="15" l="1"/>
  <c r="AB28" i="15"/>
  <c r="AA28" i="13"/>
  <c r="AB27" i="13"/>
  <c r="Y28" i="4"/>
  <c r="Z27" i="4"/>
  <c r="AD28" i="14"/>
  <c r="AE27" i="14"/>
  <c r="AC27" i="12"/>
  <c r="AB28" i="12"/>
  <c r="AB27" i="11"/>
  <c r="AA28" i="11"/>
  <c r="AA27" i="7"/>
  <c r="Z28" i="7"/>
  <c r="Z28" i="10"/>
  <c r="AA27" i="10"/>
  <c r="AB28" i="9"/>
  <c r="AC27" i="9"/>
  <c r="AA27" i="8"/>
  <c r="Z28" i="8"/>
  <c r="AC27" i="6"/>
  <c r="AB28" i="6"/>
  <c r="Z28" i="5"/>
  <c r="AA27" i="5"/>
  <c r="AC28" i="15" l="1"/>
  <c r="AD27" i="15"/>
  <c r="AB28" i="13"/>
  <c r="AC27" i="13"/>
  <c r="Z28" i="4"/>
  <c r="AA27" i="4"/>
  <c r="AF27" i="14"/>
  <c r="AE28" i="14"/>
  <c r="AD27" i="12"/>
  <c r="AC28" i="12"/>
  <c r="AC27" i="11"/>
  <c r="AB28" i="11"/>
  <c r="AB27" i="7"/>
  <c r="AA28" i="7"/>
  <c r="AB27" i="10"/>
  <c r="AA28" i="10"/>
  <c r="AC28" i="9"/>
  <c r="AD27" i="9"/>
  <c r="AB27" i="8"/>
  <c r="AA28" i="8"/>
  <c r="AC28" i="6"/>
  <c r="AD27" i="6"/>
  <c r="AB27" i="5"/>
  <c r="AA28" i="5"/>
  <c r="AD28" i="15" l="1"/>
  <c r="AE27" i="15"/>
  <c r="AC28" i="13"/>
  <c r="AD27" i="13"/>
  <c r="AB27" i="4"/>
  <c r="AA28" i="4"/>
  <c r="AG27" i="14"/>
  <c r="AF28" i="14"/>
  <c r="AE27" i="12"/>
  <c r="AD28" i="12"/>
  <c r="AC28" i="11"/>
  <c r="AD27" i="11"/>
  <c r="AC27" i="7"/>
  <c r="AB28" i="7"/>
  <c r="AB28" i="10"/>
  <c r="AC27" i="10"/>
  <c r="AD28" i="9"/>
  <c r="AE27" i="9"/>
  <c r="AC27" i="8"/>
  <c r="AB28" i="8"/>
  <c r="AE27" i="6"/>
  <c r="AD28" i="6"/>
  <c r="AB28" i="5"/>
  <c r="AC27" i="5"/>
  <c r="AF27" i="15" l="1"/>
  <c r="AE28" i="15"/>
  <c r="AD28" i="13"/>
  <c r="AE27" i="13"/>
  <c r="AC27" i="4"/>
  <c r="AB28" i="4"/>
  <c r="AG28" i="14"/>
  <c r="AH27" i="14"/>
  <c r="AE28" i="12"/>
  <c r="AF27" i="12"/>
  <c r="AD28" i="11"/>
  <c r="AE27" i="11"/>
  <c r="AC28" i="7"/>
  <c r="AD27" i="7"/>
  <c r="AD27" i="10"/>
  <c r="AC28" i="10"/>
  <c r="AF27" i="9"/>
  <c r="AE28" i="9"/>
  <c r="AC28" i="8"/>
  <c r="AD27" i="8"/>
  <c r="AF27" i="6"/>
  <c r="AE28" i="6"/>
  <c r="AC28" i="5"/>
  <c r="AD27" i="5"/>
  <c r="AG27" i="15" l="1"/>
  <c r="AF28" i="15"/>
  <c r="AE28" i="13"/>
  <c r="AF27" i="13"/>
  <c r="AD27" i="4"/>
  <c r="AC28" i="4"/>
  <c r="AH28" i="14"/>
  <c r="AI27" i="14"/>
  <c r="AG27" i="12"/>
  <c r="AF28" i="12"/>
  <c r="AF27" i="11"/>
  <c r="AE28" i="11"/>
  <c r="AD28" i="7"/>
  <c r="AE27" i="7"/>
  <c r="AD28" i="10"/>
  <c r="AE27" i="10"/>
  <c r="AF28" i="9"/>
  <c r="AG27" i="9"/>
  <c r="AD28" i="8"/>
  <c r="AE27" i="8"/>
  <c r="AG27" i="6"/>
  <c r="AF28" i="6"/>
  <c r="AD28" i="5"/>
  <c r="AE27" i="5"/>
  <c r="AG28" i="15" l="1"/>
  <c r="AH27" i="15"/>
  <c r="AF28" i="13"/>
  <c r="AG27" i="13"/>
  <c r="AD28" i="4"/>
  <c r="AE27" i="4"/>
  <c r="AJ27" i="14"/>
  <c r="AI28" i="14"/>
  <c r="AG28" i="12"/>
  <c r="AH27" i="12"/>
  <c r="AG27" i="11"/>
  <c r="AF28" i="11"/>
  <c r="AF27" i="7"/>
  <c r="AE28" i="7"/>
  <c r="AE28" i="10"/>
  <c r="AF27" i="10"/>
  <c r="AH27" i="9"/>
  <c r="AG28" i="9"/>
  <c r="AF27" i="8"/>
  <c r="AE28" i="8"/>
  <c r="AG28" i="6"/>
  <c r="AH27" i="6"/>
  <c r="AF27" i="5"/>
  <c r="AE28" i="5"/>
  <c r="AH28" i="15" l="1"/>
  <c r="AI27" i="15"/>
  <c r="AH27" i="13"/>
  <c r="AG28" i="13"/>
  <c r="AF27" i="4"/>
  <c r="AE28" i="4"/>
  <c r="AJ28" i="14"/>
  <c r="AI27" i="12"/>
  <c r="AH28" i="12"/>
  <c r="AG28" i="11"/>
  <c r="AH27" i="11"/>
  <c r="AG27" i="7"/>
  <c r="AF28" i="7"/>
  <c r="AF28" i="10"/>
  <c r="AG27" i="10"/>
  <c r="AH28" i="9"/>
  <c r="AI27" i="9"/>
  <c r="AF28" i="8"/>
  <c r="AG27" i="8"/>
  <c r="AI27" i="6"/>
  <c r="AH28" i="6"/>
  <c r="AF28" i="5"/>
  <c r="AG27" i="5"/>
  <c r="AJ27" i="15" l="1"/>
  <c r="AI28" i="15"/>
  <c r="AI27" i="13"/>
  <c r="AH28" i="13"/>
  <c r="AG27" i="4"/>
  <c r="AF28" i="4"/>
  <c r="AI28" i="12"/>
  <c r="AJ27" i="12"/>
  <c r="AH28" i="11"/>
  <c r="AI27" i="11"/>
  <c r="AG28" i="7"/>
  <c r="AH27" i="7"/>
  <c r="AH27" i="10"/>
  <c r="AG28" i="10"/>
  <c r="AJ27" i="9"/>
  <c r="AI28" i="9"/>
  <c r="AG28" i="8"/>
  <c r="AH27" i="8"/>
  <c r="AJ27" i="6"/>
  <c r="AI28" i="6"/>
  <c r="AG28" i="5"/>
  <c r="AH27" i="5"/>
  <c r="E27" i="16" l="1"/>
  <c r="AJ28" i="15"/>
  <c r="AI28" i="13"/>
  <c r="AJ27" i="13"/>
  <c r="AH27" i="4"/>
  <c r="AG28" i="4"/>
  <c r="AJ28" i="12"/>
  <c r="AJ27" i="11"/>
  <c r="AI28" i="11"/>
  <c r="AI27" i="7"/>
  <c r="AH28" i="7"/>
  <c r="AH28" i="10"/>
  <c r="AI27" i="10"/>
  <c r="AJ28" i="9"/>
  <c r="AH28" i="8"/>
  <c r="AI27" i="8"/>
  <c r="AJ28" i="6"/>
  <c r="AH28" i="5"/>
  <c r="AI27" i="5"/>
  <c r="E28" i="16" l="1"/>
  <c r="F27" i="16"/>
  <c r="F28" i="16" s="1"/>
  <c r="AJ28" i="13"/>
  <c r="AH28" i="4"/>
  <c r="AI27" i="4"/>
  <c r="AJ28" i="11"/>
  <c r="AJ27" i="7"/>
  <c r="AI28" i="7"/>
  <c r="AJ27" i="10"/>
  <c r="AI28" i="10"/>
  <c r="AJ27" i="8"/>
  <c r="AI28" i="8"/>
  <c r="AJ27" i="5"/>
  <c r="AI28" i="5"/>
  <c r="G27" i="16" l="1"/>
  <c r="H27" i="16" s="1"/>
  <c r="AJ27" i="4"/>
  <c r="AI28" i="4"/>
  <c r="AJ28" i="7"/>
  <c r="AJ28" i="10"/>
  <c r="AJ28" i="8"/>
  <c r="AJ28" i="5"/>
  <c r="G28" i="16" l="1"/>
  <c r="H28" i="16"/>
  <c r="I27" i="16"/>
  <c r="AJ28" i="4"/>
  <c r="I28" i="16" l="1"/>
  <c r="J27" i="16"/>
  <c r="AI1" i="12"/>
  <c r="E16" i="12" s="1"/>
  <c r="F16" i="12" s="1"/>
  <c r="G16" i="12" s="1"/>
  <c r="H16" i="12" s="1"/>
  <c r="I16" i="12" s="1"/>
  <c r="J16" i="12" s="1"/>
  <c r="K16" i="12" s="1"/>
  <c r="L16" i="12" s="1"/>
  <c r="M16" i="12" s="1"/>
  <c r="N16" i="12" s="1"/>
  <c r="O16" i="12" s="1"/>
  <c r="P16" i="12" s="1"/>
  <c r="Q16" i="12" s="1"/>
  <c r="R16" i="12" s="1"/>
  <c r="S16" i="12" s="1"/>
  <c r="T16" i="12" s="1"/>
  <c r="U16" i="12" s="1"/>
  <c r="V16" i="12" s="1"/>
  <c r="W16" i="12" s="1"/>
  <c r="X16" i="12" s="1"/>
  <c r="Y16" i="12" s="1"/>
  <c r="Z16" i="12" s="1"/>
  <c r="AA16" i="12" s="1"/>
  <c r="AB16" i="12" s="1"/>
  <c r="AC16" i="12" s="1"/>
  <c r="AD16" i="12" s="1"/>
  <c r="AE16" i="12" s="1"/>
  <c r="AF16" i="12" s="1"/>
  <c r="AG16" i="12" s="1"/>
  <c r="AH16" i="12" s="1"/>
  <c r="AI16" i="12" s="1"/>
  <c r="AJ16" i="12" s="1"/>
  <c r="AI1" i="11"/>
  <c r="E16" i="11" s="1"/>
  <c r="F16" i="11" s="1"/>
  <c r="G16" i="11" s="1"/>
  <c r="H16" i="11" s="1"/>
  <c r="I16" i="11" s="1"/>
  <c r="J16" i="11" s="1"/>
  <c r="K16" i="11" s="1"/>
  <c r="L16" i="11" s="1"/>
  <c r="M16" i="11" s="1"/>
  <c r="N16" i="11" s="1"/>
  <c r="O16" i="11" s="1"/>
  <c r="P16" i="11" s="1"/>
  <c r="Q16" i="11" s="1"/>
  <c r="R16" i="11" s="1"/>
  <c r="S16" i="11" s="1"/>
  <c r="T16" i="11" s="1"/>
  <c r="U16" i="11" s="1"/>
  <c r="V16" i="11" s="1"/>
  <c r="W16" i="11" s="1"/>
  <c r="X16" i="11" s="1"/>
  <c r="Y16" i="11" s="1"/>
  <c r="Z16" i="11" s="1"/>
  <c r="AA16" i="11" s="1"/>
  <c r="AB16" i="11" s="1"/>
  <c r="AC16" i="11" s="1"/>
  <c r="AD16" i="11" s="1"/>
  <c r="AE16" i="11" s="1"/>
  <c r="AF16" i="11" s="1"/>
  <c r="AG16" i="11" s="1"/>
  <c r="AH16" i="11" s="1"/>
  <c r="AI16" i="11" s="1"/>
  <c r="AJ16" i="11" s="1"/>
  <c r="E4" i="11" s="1"/>
  <c r="AI1" i="6"/>
  <c r="E16" i="6" s="1"/>
  <c r="F16" i="6" s="1"/>
  <c r="G16" i="6" s="1"/>
  <c r="H16" i="6" s="1"/>
  <c r="I16" i="6" s="1"/>
  <c r="J16" i="6" s="1"/>
  <c r="K16" i="6" s="1"/>
  <c r="L16" i="6" s="1"/>
  <c r="M16" i="6" s="1"/>
  <c r="N16" i="6" s="1"/>
  <c r="O16" i="6" s="1"/>
  <c r="P16" i="6" s="1"/>
  <c r="Q16" i="6" s="1"/>
  <c r="R16" i="6" s="1"/>
  <c r="S16" i="6" s="1"/>
  <c r="T16" i="6" s="1"/>
  <c r="U16" i="6" s="1"/>
  <c r="V16" i="6" s="1"/>
  <c r="W16" i="6" s="1"/>
  <c r="X16" i="6" s="1"/>
  <c r="Y16" i="6" s="1"/>
  <c r="Z16" i="6" s="1"/>
  <c r="AA16" i="6" s="1"/>
  <c r="AB16" i="6" s="1"/>
  <c r="AC16" i="6" s="1"/>
  <c r="AD16" i="6" s="1"/>
  <c r="AE16" i="6" s="1"/>
  <c r="AF16" i="6" s="1"/>
  <c r="AG16" i="6" s="1"/>
  <c r="AH16" i="6" s="1"/>
  <c r="AI16" i="6" s="1"/>
  <c r="AJ16" i="6" s="1"/>
  <c r="E4" i="6" s="1"/>
  <c r="AI1" i="7"/>
  <c r="E16" i="7" s="1"/>
  <c r="F16" i="7" s="1"/>
  <c r="G16" i="7" s="1"/>
  <c r="H16" i="7" s="1"/>
  <c r="I16" i="7" s="1"/>
  <c r="J16" i="7" s="1"/>
  <c r="K16" i="7" s="1"/>
  <c r="L16" i="7" s="1"/>
  <c r="M16" i="7" s="1"/>
  <c r="N16" i="7" s="1"/>
  <c r="O16" i="7" s="1"/>
  <c r="P16" i="7" s="1"/>
  <c r="Q16" i="7" s="1"/>
  <c r="R16" i="7" s="1"/>
  <c r="S16" i="7" s="1"/>
  <c r="T16" i="7" s="1"/>
  <c r="U16" i="7" s="1"/>
  <c r="V16" i="7" s="1"/>
  <c r="W16" i="7" s="1"/>
  <c r="X16" i="7" s="1"/>
  <c r="Y16" i="7" s="1"/>
  <c r="Z16" i="7" s="1"/>
  <c r="AA16" i="7" s="1"/>
  <c r="AB16" i="7" s="1"/>
  <c r="AC16" i="7" s="1"/>
  <c r="AD16" i="7" s="1"/>
  <c r="AE16" i="7" s="1"/>
  <c r="AF16" i="7" s="1"/>
  <c r="AG16" i="7" s="1"/>
  <c r="AH16" i="7" s="1"/>
  <c r="AI16" i="7" s="1"/>
  <c r="AJ16" i="7" s="1"/>
  <c r="AI1" i="4"/>
  <c r="E16" i="4" s="1"/>
  <c r="F16" i="4" s="1"/>
  <c r="G16" i="4" s="1"/>
  <c r="H16" i="4" s="1"/>
  <c r="I16" i="4" s="1"/>
  <c r="J16" i="4" s="1"/>
  <c r="K16" i="4" s="1"/>
  <c r="L16" i="4" s="1"/>
  <c r="M16" i="4" s="1"/>
  <c r="N16" i="4" s="1"/>
  <c r="O16" i="4" s="1"/>
  <c r="P16" i="4" s="1"/>
  <c r="Q16" i="4" s="1"/>
  <c r="R16" i="4" s="1"/>
  <c r="S16" i="4" s="1"/>
  <c r="T16" i="4" s="1"/>
  <c r="U16" i="4" s="1"/>
  <c r="V16" i="4" s="1"/>
  <c r="W16" i="4" s="1"/>
  <c r="X16" i="4" s="1"/>
  <c r="Y16" i="4" s="1"/>
  <c r="Z16" i="4" s="1"/>
  <c r="AA16" i="4" s="1"/>
  <c r="AB16" i="4" s="1"/>
  <c r="AC16" i="4" s="1"/>
  <c r="AD16" i="4" s="1"/>
  <c r="AE16" i="4" s="1"/>
  <c r="AF16" i="4" s="1"/>
  <c r="AG16" i="4" s="1"/>
  <c r="AH16" i="4" s="1"/>
  <c r="AI16" i="4" s="1"/>
  <c r="AJ16" i="4" s="1"/>
  <c r="E4" i="4" s="1"/>
  <c r="AI1" i="8"/>
  <c r="E16" i="8" s="1"/>
  <c r="F16" i="8" s="1"/>
  <c r="G16" i="8" s="1"/>
  <c r="H16" i="8" s="1"/>
  <c r="I16" i="8" s="1"/>
  <c r="J16" i="8" s="1"/>
  <c r="K16" i="8" s="1"/>
  <c r="L16" i="8" s="1"/>
  <c r="M16" i="8" s="1"/>
  <c r="N16" i="8" s="1"/>
  <c r="O16" i="8" s="1"/>
  <c r="P16" i="8" s="1"/>
  <c r="Q16" i="8" s="1"/>
  <c r="R16" i="8" s="1"/>
  <c r="S16" i="8" s="1"/>
  <c r="T16" i="8" s="1"/>
  <c r="U16" i="8" s="1"/>
  <c r="V16" i="8" s="1"/>
  <c r="W16" i="8" s="1"/>
  <c r="X16" i="8" s="1"/>
  <c r="Y16" i="8" s="1"/>
  <c r="Z16" i="8" s="1"/>
  <c r="AA16" i="8" s="1"/>
  <c r="AB16" i="8" s="1"/>
  <c r="AC16" i="8" s="1"/>
  <c r="AD16" i="8" s="1"/>
  <c r="AE16" i="8" s="1"/>
  <c r="AF16" i="8" s="1"/>
  <c r="AG16" i="8" s="1"/>
  <c r="AH16" i="8" s="1"/>
  <c r="AI16" i="8" s="1"/>
  <c r="AJ16" i="8" s="1"/>
  <c r="E4" i="8" s="1"/>
  <c r="AI1" i="10"/>
  <c r="E16" i="10" s="1"/>
  <c r="F16" i="10" s="1"/>
  <c r="G16" i="10" s="1"/>
  <c r="H16" i="10" s="1"/>
  <c r="I16" i="10" s="1"/>
  <c r="J16" i="10" s="1"/>
  <c r="K16" i="10" s="1"/>
  <c r="L16" i="10" s="1"/>
  <c r="M16" i="10" s="1"/>
  <c r="N16" i="10" s="1"/>
  <c r="O16" i="10" s="1"/>
  <c r="P16" i="10" s="1"/>
  <c r="Q16" i="10" s="1"/>
  <c r="R16" i="10" s="1"/>
  <c r="S16" i="10" s="1"/>
  <c r="T16" i="10" s="1"/>
  <c r="U16" i="10" s="1"/>
  <c r="V16" i="10" s="1"/>
  <c r="W16" i="10" s="1"/>
  <c r="X16" i="10" s="1"/>
  <c r="Y16" i="10" s="1"/>
  <c r="Z16" i="10" s="1"/>
  <c r="AA16" i="10" s="1"/>
  <c r="AB16" i="10" s="1"/>
  <c r="AC16" i="10" s="1"/>
  <c r="AD16" i="10" s="1"/>
  <c r="AE16" i="10" s="1"/>
  <c r="AF16" i="10" s="1"/>
  <c r="AG16" i="10" s="1"/>
  <c r="AH16" i="10" s="1"/>
  <c r="AI16" i="10" s="1"/>
  <c r="AJ16" i="10" s="1"/>
  <c r="E4" i="10" s="1"/>
  <c r="AI1" i="5"/>
  <c r="E16" i="5" s="1"/>
  <c r="F16" i="5" s="1"/>
  <c r="G16" i="5" s="1"/>
  <c r="H16" i="5" s="1"/>
  <c r="I16" i="5" s="1"/>
  <c r="J16" i="5" s="1"/>
  <c r="K16" i="5" s="1"/>
  <c r="L16" i="5" s="1"/>
  <c r="M16" i="5" s="1"/>
  <c r="N16" i="5" s="1"/>
  <c r="O16" i="5" s="1"/>
  <c r="P16" i="5" s="1"/>
  <c r="Q16" i="5" s="1"/>
  <c r="R16" i="5" s="1"/>
  <c r="S16" i="5" s="1"/>
  <c r="T16" i="5" s="1"/>
  <c r="U16" i="5" s="1"/>
  <c r="V16" i="5" s="1"/>
  <c r="W16" i="5" s="1"/>
  <c r="X16" i="5" s="1"/>
  <c r="Y16" i="5" s="1"/>
  <c r="Z16" i="5" s="1"/>
  <c r="AA16" i="5" s="1"/>
  <c r="AB16" i="5" s="1"/>
  <c r="AC16" i="5" s="1"/>
  <c r="AD16" i="5" s="1"/>
  <c r="AE16" i="5" s="1"/>
  <c r="AF16" i="5" s="1"/>
  <c r="AG16" i="5" s="1"/>
  <c r="AH16" i="5" s="1"/>
  <c r="AI16" i="5" s="1"/>
  <c r="AJ16" i="5" s="1"/>
  <c r="E4" i="5" s="1"/>
  <c r="AI1" i="9"/>
  <c r="E16" i="9" s="1"/>
  <c r="F16" i="9" s="1"/>
  <c r="G16" i="9" s="1"/>
  <c r="H16" i="9" s="1"/>
  <c r="I16" i="9" s="1"/>
  <c r="J16" i="9" s="1"/>
  <c r="K16" i="9" s="1"/>
  <c r="L16" i="9" s="1"/>
  <c r="M16" i="9" s="1"/>
  <c r="N16" i="9" s="1"/>
  <c r="O16" i="9" s="1"/>
  <c r="P16" i="9" s="1"/>
  <c r="Q16" i="9" s="1"/>
  <c r="R16" i="9" s="1"/>
  <c r="S16" i="9" s="1"/>
  <c r="T16" i="9" s="1"/>
  <c r="U16" i="9" s="1"/>
  <c r="V16" i="9" s="1"/>
  <c r="W16" i="9" s="1"/>
  <c r="X16" i="9" s="1"/>
  <c r="Y16" i="9" s="1"/>
  <c r="Z16" i="9" s="1"/>
  <c r="AA16" i="9" s="1"/>
  <c r="AB16" i="9" s="1"/>
  <c r="AC16" i="9" s="1"/>
  <c r="AD16" i="9" s="1"/>
  <c r="AE16" i="9" s="1"/>
  <c r="AF16" i="9" s="1"/>
  <c r="AG16" i="9" s="1"/>
  <c r="AH16" i="9" s="1"/>
  <c r="AI16" i="9" s="1"/>
  <c r="AJ16" i="9" s="1"/>
  <c r="E4" i="9" s="1"/>
  <c r="J28" i="16" l="1"/>
  <c r="K27" i="16"/>
  <c r="E4" i="12"/>
  <c r="H16" i="16"/>
  <c r="I16" i="16" s="1"/>
  <c r="J16" i="16" s="1"/>
  <c r="K16" i="16" s="1"/>
  <c r="L16" i="16" s="1"/>
  <c r="M16" i="16" s="1"/>
  <c r="N16" i="16" s="1"/>
  <c r="O16" i="16" s="1"/>
  <c r="P16" i="16" s="1"/>
  <c r="Q16" i="16" s="1"/>
  <c r="E4" i="16" s="1"/>
  <c r="E4" i="7"/>
  <c r="K28" i="16" l="1"/>
  <c r="L27" i="16"/>
  <c r="AU7" i="2"/>
  <c r="L28" i="16" l="1"/>
  <c r="M27" i="16"/>
  <c r="AU9" i="2"/>
  <c r="AU10" i="2"/>
  <c r="AU8" i="2"/>
  <c r="N27" i="16" l="1"/>
  <c r="M28" i="16"/>
  <c r="AU11" i="2"/>
  <c r="N28" i="16" l="1"/>
  <c r="O27" i="16"/>
  <c r="AU12" i="2"/>
  <c r="O28" i="16" l="1"/>
  <c r="P27" i="16"/>
  <c r="AU13" i="2"/>
  <c r="P28" i="16" l="1"/>
  <c r="Q27" i="16"/>
  <c r="AV7" i="2"/>
  <c r="AV9" i="2"/>
  <c r="AV10" i="2"/>
  <c r="AV8" i="2"/>
  <c r="AV11" i="2"/>
  <c r="AV12" i="2"/>
  <c r="AQ26" i="16" l="1"/>
  <c r="Q28" i="16"/>
  <c r="AQ25" i="16"/>
  <c r="BB34" i="2"/>
  <c r="AW11" i="2"/>
  <c r="AX11" i="2" s="1"/>
  <c r="AW10" i="2"/>
  <c r="AX10" i="2" s="1"/>
  <c r="AX34" i="2"/>
  <c r="AL34" i="2"/>
  <c r="AW7" i="2"/>
  <c r="AX7" i="2" s="1"/>
  <c r="AP34" i="2"/>
  <c r="AW8" i="2"/>
  <c r="AX8" i="2" s="1"/>
  <c r="AW12" i="2"/>
  <c r="AX12" i="2" s="1"/>
  <c r="BF34" i="2"/>
  <c r="AT34" i="2"/>
  <c r="AW9" i="2"/>
  <c r="AX9" i="2" s="1"/>
  <c r="AX28" i="2" l="1"/>
  <c r="AX30" i="2" s="1"/>
  <c r="AY34" i="2"/>
  <c r="AU34" i="2"/>
  <c r="AT28" i="2"/>
  <c r="AT30" i="2" s="1"/>
  <c r="AP28" i="2"/>
  <c r="AP30" i="2" s="1"/>
  <c r="AQ34" i="2"/>
  <c r="BG34" i="2"/>
  <c r="BF28" i="2"/>
  <c r="BF30" i="2" s="1"/>
  <c r="AL28" i="2"/>
  <c r="AL30" i="2" s="1"/>
  <c r="AM34" i="2"/>
  <c r="BB28" i="2"/>
  <c r="BB30" i="2" s="1"/>
  <c r="BC34" i="2"/>
</calcChain>
</file>

<file path=xl/sharedStrings.xml><?xml version="1.0" encoding="utf-8"?>
<sst xmlns="http://schemas.openxmlformats.org/spreadsheetml/2006/main" count="7206" uniqueCount="281">
  <si>
    <t xml:space="preserve"> </t>
  </si>
  <si>
    <t>RISCO ALTO</t>
  </si>
  <si>
    <t>RISCO MÉDIO</t>
  </si>
  <si>
    <t>RISCO BAIXO</t>
  </si>
  <si>
    <t>Valores</t>
  </si>
  <si>
    <t>RISCOS</t>
  </si>
  <si>
    <t>Valor</t>
  </si>
  <si>
    <t>INVESTIMENTOS</t>
  </si>
  <si>
    <t>RESERVA EMERGÊNCIA</t>
  </si>
  <si>
    <t>EDUCAÇÃO</t>
  </si>
  <si>
    <t>LAZER</t>
  </si>
  <si>
    <t>DOAÇÕES E PRESENTES</t>
  </si>
  <si>
    <t>DESPESAS FIXAS</t>
  </si>
  <si>
    <t>Depois</t>
  </si>
  <si>
    <t>Ponteiro</t>
  </si>
  <si>
    <t>Antes</t>
  </si>
  <si>
    <t>DESPESAS EDUCAÇÃO</t>
  </si>
  <si>
    <t>DESPESAS LAZER</t>
  </si>
  <si>
    <t>DESPESAS DOAÇÕES E PRESENTES</t>
  </si>
  <si>
    <t>TOTAL</t>
  </si>
  <si>
    <t>%</t>
  </si>
  <si>
    <t>R$</t>
  </si>
  <si>
    <t>ANUAL</t>
  </si>
  <si>
    <t>REGISTROS</t>
  </si>
  <si>
    <t>RADAR</t>
  </si>
  <si>
    <t>📎 OUTROS</t>
  </si>
  <si>
    <t>📞 TELEFONE</t>
  </si>
  <si>
    <t>🛍️ VESTUÁRIO</t>
  </si>
  <si>
    <t>💊 SAÚDE</t>
  </si>
  <si>
    <t>DESAFIO AUTOMÁTICO</t>
  </si>
  <si>
    <t>DEZEMBRO</t>
  </si>
  <si>
    <t>🚍 TRANSPORTE</t>
  </si>
  <si>
    <t>🏠 MORADIA</t>
  </si>
  <si>
    <t>NOVEMBRO</t>
  </si>
  <si>
    <t>🖱️ INTERNET</t>
  </si>
  <si>
    <t>OUTUBRO</t>
  </si>
  <si>
    <t>📝 MOEDA</t>
  </si>
  <si>
    <t>📝 TESOURO DIRETO</t>
  </si>
  <si>
    <t>🎁 PRESENTES</t>
  </si>
  <si>
    <t>🔢 IMPOSTOS</t>
  </si>
  <si>
    <t>🚑</t>
  </si>
  <si>
    <t>SETEMBRO</t>
  </si>
  <si>
    <t>📝 FII</t>
  </si>
  <si>
    <t>📝 LCI</t>
  </si>
  <si>
    <t>🛒 MERCADO</t>
  </si>
  <si>
    <t>👨‍👩‍👧 FAMÍLIA</t>
  </si>
  <si>
    <t>💎</t>
  </si>
  <si>
    <t>AGOSTO</t>
  </si>
  <si>
    <t>PRESENTES</t>
  </si>
  <si>
    <t>VARIÁVEL</t>
  </si>
  <si>
    <t>NATAL</t>
  </si>
  <si>
    <t>📝 PREVIDÊNCIA PRIVADA</t>
  </si>
  <si>
    <t>📝 EXTERIOR</t>
  </si>
  <si>
    <t>📝 LCA</t>
  </si>
  <si>
    <t>👷‍♀️ TRABALHO TEMPORÁRIO</t>
  </si>
  <si>
    <t>🎭 LAZER</t>
  </si>
  <si>
    <t>💡 ENERGIA</t>
  </si>
  <si>
    <t>🐄</t>
  </si>
  <si>
    <t>JULHO</t>
  </si>
  <si>
    <t>COMPRAS</t>
  </si>
  <si>
    <t>ROUPAS</t>
  </si>
  <si>
    <t>📝 PEER TO PEER</t>
  </si>
  <si>
    <t>📝 ETF</t>
  </si>
  <si>
    <t>📝 LC</t>
  </si>
  <si>
    <t>🎁 PRESENTE</t>
  </si>
  <si>
    <t>📖 EDUCAÇÃO</t>
  </si>
  <si>
    <t>🏦 EMPRÉSTIMO</t>
  </si>
  <si>
    <t>💣</t>
  </si>
  <si>
    <t>REFORMA</t>
  </si>
  <si>
    <t>JUNHO</t>
  </si>
  <si>
    <t>ENTRETENIMENTO</t>
  </si>
  <si>
    <t>FESTA</t>
  </si>
  <si>
    <t>📝 PEER TO COMPANY</t>
  </si>
  <si>
    <t>📝 CRIPTOMOEDA</t>
  </si>
  <si>
    <t>🧾 NOTA DE SERVIÇO</t>
  </si>
  <si>
    <t>🤝 DOAÇÃO</t>
  </si>
  <si>
    <t>OUTRO</t>
  </si>
  <si>
    <t>MÁXIMO/MINIMO</t>
  </si>
  <si>
    <t>PESSOAL</t>
  </si>
  <si>
    <t>MAIO</t>
  </si>
  <si>
    <t>INTERNET</t>
  </si>
  <si>
    <t>FIXA</t>
  </si>
  <si>
    <t>📝 NOVA EMPRESA</t>
  </si>
  <si>
    <t>📝 CONTRATO DE OPÇÕES</t>
  </si>
  <si>
    <t>📝 DEBÊNTURE</t>
  </si>
  <si>
    <t>💲 INVESTIMENTOS</t>
  </si>
  <si>
    <t>💰 SALÁRIO</t>
  </si>
  <si>
    <t>💄 CUIDADOS PESSOAIS</t>
  </si>
  <si>
    <t>📱 CELULAR</t>
  </si>
  <si>
    <t>RESERVA</t>
  </si>
  <si>
    <t>TRANSFERÊNCIA</t>
  </si>
  <si>
    <t>MORAR SOZINHO</t>
  </si>
  <si>
    <t>ABRIL</t>
  </si>
  <si>
    <t>ENERGIA</t>
  </si>
  <si>
    <t>📝 FUNDO DE INVESTIMENTO</t>
  </si>
  <si>
    <t>📝 CONTRATO DE FUTUROS</t>
  </si>
  <si>
    <t>📝 CRI</t>
  </si>
  <si>
    <t>OUTROS</t>
  </si>
  <si>
    <t>🎗️ HERANÇA</t>
  </si>
  <si>
    <t>🎀 MESADA</t>
  </si>
  <si>
    <t>✍️ CHEQUE ESPECIAL</t>
  </si>
  <si>
    <t>🔖 ASSINATURAS E SERVIÇOS</t>
  </si>
  <si>
    <t>INVESTIMENTO</t>
  </si>
  <si>
    <t>FAMILIAR</t>
  </si>
  <si>
    <t>MARÇO</t>
  </si>
  <si>
    <t>ASSINATURA</t>
  </si>
  <si>
    <t>NETFLIX</t>
  </si>
  <si>
    <t>📝 FOREX</t>
  </si>
  <si>
    <t>📝 COMÓDITE</t>
  </si>
  <si>
    <t>📝 CRA</t>
  </si>
  <si>
    <t>RENDA VARIÁVEL</t>
  </si>
  <si>
    <t>🤑 COMISSÃO</t>
  </si>
  <si>
    <t>💸APOSENTADORIA</t>
  </si>
  <si>
    <t>RECEITA VARIÁVEL</t>
  </si>
  <si>
    <t>💳 CARTÃO DE CRÉDITO</t>
  </si>
  <si>
    <t>🐶 ANIMAIS DE ESTIMAÇÃO</t>
  </si>
  <si>
    <t>DESPESA VARIÁVEL</t>
  </si>
  <si>
    <t>▼ SAÍDA</t>
  </si>
  <si>
    <t>REALIZADO</t>
  </si>
  <si>
    <t>FACULDADE</t>
  </si>
  <si>
    <t>FEVEREIRO</t>
  </si>
  <si>
    <t>MORADIA</t>
  </si>
  <si>
    <t>ALUGUEL</t>
  </si>
  <si>
    <t>📝 COE</t>
  </si>
  <si>
    <t>📝 AÇÃO</t>
  </si>
  <si>
    <t>📝 CDB</t>
  </si>
  <si>
    <t>RENDA FIXA</t>
  </si>
  <si>
    <t>🏅 BÔNUS</t>
  </si>
  <si>
    <t>💵 ALUGUEL</t>
  </si>
  <si>
    <t>RECEITA FIXA</t>
  </si>
  <si>
    <t>🍕 ALIMENTAÇÃO</t>
  </si>
  <si>
    <t>💧 ÁGUA</t>
  </si>
  <si>
    <t>DESPESA FIXA</t>
  </si>
  <si>
    <t>▲ ENTRADA</t>
  </si>
  <si>
    <t>DINHEIRO</t>
  </si>
  <si>
    <t>PREVISTO</t>
  </si>
  <si>
    <t>AUTOMÁTICO</t>
  </si>
  <si>
    <t>NÃO</t>
  </si>
  <si>
    <t>EMPRESA</t>
  </si>
  <si>
    <t>AVANÇADA</t>
  </si>
  <si>
    <t>jantotal[@[TOTAL (R$)]]</t>
  </si>
  <si>
    <t>JANEIRO</t>
  </si>
  <si>
    <t>CATEGORIA</t>
  </si>
  <si>
    <t>TIPO DE RECEITA</t>
  </si>
  <si>
    <t>SUB-CATEGORIA</t>
  </si>
  <si>
    <t>TIPO DE DESPESA</t>
  </si>
  <si>
    <t>RESERVA OUTROS INVESTIMENTOS</t>
  </si>
  <si>
    <t>RESERVA RENDA VARIÁVEL</t>
  </si>
  <si>
    <t>RESERVA RENDA FIXA</t>
  </si>
  <si>
    <t>OUTROS INVESTIMENTOS</t>
  </si>
  <si>
    <t>ENTRADA</t>
  </si>
  <si>
    <t>SAÍDA</t>
  </si>
  <si>
    <t>REGISTRO</t>
  </si>
  <si>
    <t>FORMATO</t>
  </si>
  <si>
    <t>SITUAÇÃO</t>
  </si>
  <si>
    <t>MANUAL</t>
  </si>
  <si>
    <t>SIM</t>
  </si>
  <si>
    <t>CASAMENTO</t>
  </si>
  <si>
    <t>SIMPLES</t>
  </si>
  <si>
    <t>DESAFIO</t>
  </si>
  <si>
    <t>LIMITE GASTO</t>
  </si>
  <si>
    <t>OPÇÕES</t>
  </si>
  <si>
    <t>OBJETIVO</t>
  </si>
  <si>
    <t>TIPO</t>
  </si>
  <si>
    <t>PERÍODO</t>
  </si>
  <si>
    <t>% total</t>
  </si>
  <si>
    <t>TOTAL (R$)</t>
  </si>
  <si>
    <t>31</t>
  </si>
  <si>
    <t>30</t>
  </si>
  <si>
    <t>29</t>
  </si>
  <si>
    <t>28</t>
  </si>
  <si>
    <t>27</t>
  </si>
  <si>
    <t>26</t>
  </si>
  <si>
    <t>25</t>
  </si>
  <si>
    <t>24</t>
  </si>
  <si>
    <t>23</t>
  </si>
  <si>
    <t>22</t>
  </si>
  <si>
    <t>21</t>
  </si>
  <si>
    <t>20</t>
  </si>
  <si>
    <t>19</t>
  </si>
  <si>
    <t>18</t>
  </si>
  <si>
    <t>17</t>
  </si>
  <si>
    <t>16</t>
  </si>
  <si>
    <t>15</t>
  </si>
  <si>
    <t>14</t>
  </si>
  <si>
    <t>13</t>
  </si>
  <si>
    <t>12</t>
  </si>
  <si>
    <t>11</t>
  </si>
  <si>
    <t>10</t>
  </si>
  <si>
    <t>9</t>
  </si>
  <si>
    <t>8</t>
  </si>
  <si>
    <t>7</t>
  </si>
  <si>
    <t>6</t>
  </si>
  <si>
    <t>5</t>
  </si>
  <si>
    <t>4</t>
  </si>
  <si>
    <t>3</t>
  </si>
  <si>
    <t>2</t>
  </si>
  <si>
    <t>1</t>
  </si>
  <si>
    <t>Coluna1</t>
  </si>
  <si>
    <t>ATUAL</t>
  </si>
  <si>
    <t>% PARTICIPAÇÃO</t>
  </si>
  <si>
    <t>PROGRAMADO</t>
  </si>
  <si>
    <t>🔽</t>
  </si>
  <si>
    <t>PAGO</t>
  </si>
  <si>
    <t>SALDO</t>
  </si>
  <si>
    <t>DESPESAS</t>
  </si>
  <si>
    <t>RECEITAS</t>
  </si>
  <si>
    <t>RESERVEI</t>
  </si>
  <si>
    <t>INVESTI</t>
  </si>
  <si>
    <t>GASTEI</t>
  </si>
  <si>
    <t>GANHEI</t>
  </si>
  <si>
    <t>DISPONÍVEL</t>
  </si>
  <si>
    <t>VALOR INICIAL RESERVA</t>
  </si>
  <si>
    <t>VALOR INICIAL INVESTIMENTO</t>
  </si>
  <si>
    <t>VALOR INICIAL CAIXA</t>
  </si>
  <si>
    <t>MÊS</t>
  </si>
  <si>
    <t>MAR</t>
  </si>
  <si>
    <t>PAGAR</t>
  </si>
  <si>
    <t>ativar frases de motivação?</t>
  </si>
  <si>
    <t>PARTICIPAÇÃO</t>
  </si>
  <si>
    <t>DEZ</t>
  </si>
  <si>
    <t>NOV</t>
  </si>
  <si>
    <t>OUT</t>
  </si>
  <si>
    <t>SET</t>
  </si>
  <si>
    <t>AGO</t>
  </si>
  <si>
    <t>JUL</t>
  </si>
  <si>
    <t>JUN</t>
  </si>
  <si>
    <t>MAI</t>
  </si>
  <si>
    <t>ABR</t>
  </si>
  <si>
    <t>FEV</t>
  </si>
  <si>
    <t>JAN</t>
  </si>
  <si>
    <t>Para AACD</t>
  </si>
  <si>
    <t>Empresa x</t>
  </si>
  <si>
    <t>Prefeitura</t>
  </si>
  <si>
    <t>Casa alugada</t>
  </si>
  <si>
    <t>-</t>
  </si>
  <si>
    <t>Dividendos</t>
  </si>
  <si>
    <t>Casaco de couro</t>
  </si>
  <si>
    <t>Ônibus mensal</t>
  </si>
  <si>
    <t>Remédio para resfriado</t>
  </si>
  <si>
    <t>Presente do dia das mães</t>
  </si>
  <si>
    <t>Faculdade dos filhos</t>
  </si>
  <si>
    <t>Fatura de maio</t>
  </si>
  <si>
    <t>Restaurante Bom Amigo</t>
  </si>
  <si>
    <t>Streaming</t>
  </si>
  <si>
    <t>Seguro do carro</t>
  </si>
  <si>
    <t>VALOR</t>
  </si>
  <si>
    <t>DESCRIÇÃO</t>
  </si>
  <si>
    <t>DATA 
REGISTRO</t>
  </si>
  <si>
    <t>DIA</t>
  </si>
  <si>
    <t>LIVRO DE
REGISTROS</t>
  </si>
  <si>
    <t>Mês de início</t>
  </si>
  <si>
    <t>Saldo inicial</t>
  </si>
  <si>
    <t>Configuração</t>
  </si>
  <si>
    <t>MÉTODO DO POTE</t>
  </si>
  <si>
    <t>Tipo de meta (Método do pote)</t>
  </si>
  <si>
    <t>Ouro</t>
  </si>
  <si>
    <t>REIT - Treasure bonds</t>
  </si>
  <si>
    <t>CDB - Objetivos Neon</t>
  </si>
  <si>
    <t>Credito Imobiliário Xyz</t>
  </si>
  <si>
    <t>XYZ11 - 10 cotas</t>
  </si>
  <si>
    <t>Trabalho no lava-rápido do João</t>
  </si>
  <si>
    <t>IPCA+ 45</t>
  </si>
  <si>
    <t>Água Condomínio</t>
  </si>
  <si>
    <t>Pizza do fds</t>
  </si>
  <si>
    <t>Curso online sobre gestão de gastos</t>
  </si>
  <si>
    <t>Parcela jan/2020</t>
  </si>
  <si>
    <t>Venda de sapatos</t>
  </si>
  <si>
    <t>Conta de fev/2020</t>
  </si>
  <si>
    <t>DEPÓSITO</t>
  </si>
  <si>
    <t>Vendas de sapatos</t>
  </si>
  <si>
    <t>Cinema</t>
  </si>
  <si>
    <t>PLANILHA DE GASTOS COMPLETA</t>
  </si>
  <si>
    <t>Mensal</t>
  </si>
  <si>
    <t>Fatura Setembro</t>
  </si>
  <si>
    <t>CARTÃO DE CRÉDITO</t>
  </si>
  <si>
    <t>CARTÃO DE DÉBITO</t>
  </si>
  <si>
    <t>DATA
MOVIMENTAÇÃO</t>
  </si>
  <si>
    <t>teste</t>
  </si>
  <si>
    <t>Conta de agosto</t>
  </si>
  <si>
    <t>luz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</si>
</sst>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164" formatCode="_-&quot;R$&quot;* #,##0.00_-;\-&quot;R$&quot;* #,##0.00_-;_-&quot;R$&quot;* &quot;-&quot;??_-;_-@_-"/>
    <numFmt numFmtId="165" formatCode="_-&quot;R$&quot;* #,##0_-;\-&quot;R$&quot;* #,##0_-;_-&quot;R$&quot;* &quot;-&quot;??_-;_-@_-"/>
    <numFmt numFmtId="166" formatCode="[&gt;=1000]\ #,##0,\ &quot;K&quot;;0"/>
    <numFmt numFmtId="167" formatCode="d/m;@"/>
    <numFmt numFmtId="168" formatCode="0.0%"/>
  </numFmts>
  <fonts count="3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 tint="0.24994659260841701"/>
      <name val="Calibri"/>
      <family val="2"/>
      <scheme val="minor"/>
    </font>
    <font>
      <sz val="20"/>
      <color theme="0"/>
      <name val="Calibri"/>
      <family val="2"/>
      <scheme val="minor"/>
    </font>
    <font>
      <b/>
      <sz val="24"/>
      <color theme="0"/>
      <name val="Calibri"/>
      <family val="2"/>
      <scheme val="minor"/>
    </font>
    <font>
      <b/>
      <sz val="9"/>
      <color theme="0"/>
      <name val="Calibri"/>
      <family val="2"/>
      <scheme val="minor"/>
    </font>
    <font>
      <b/>
      <sz val="8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007CA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b/>
      <sz val="22"/>
      <color theme="0"/>
      <name val="Calibri"/>
      <family val="2"/>
      <scheme val="minor"/>
    </font>
    <font>
      <sz val="22"/>
      <color theme="0"/>
      <name val="Calibri"/>
      <family val="2"/>
      <scheme val="minor"/>
    </font>
    <font>
      <sz val="8"/>
      <color theme="0"/>
      <name val="Calibri"/>
      <family val="2"/>
      <scheme val="minor"/>
    </font>
    <font>
      <sz val="24"/>
      <color rgb="FF007CA8"/>
      <name val="Calibri"/>
      <family val="2"/>
      <scheme val="minor"/>
    </font>
    <font>
      <b/>
      <sz val="9"/>
      <color theme="1" tint="0.499984740745262"/>
      <name val="Calibri"/>
      <family val="2"/>
      <scheme val="minor"/>
    </font>
    <font>
      <sz val="8"/>
      <color theme="1" tint="0.499984740745262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color theme="2"/>
      <name val="Calibri"/>
      <family val="2"/>
      <scheme val="minor"/>
    </font>
    <font>
      <sz val="11"/>
      <color rgb="FF00A6F0"/>
      <name val="Calibri"/>
      <family val="2"/>
      <scheme val="minor"/>
    </font>
    <font>
      <sz val="10"/>
      <color theme="0"/>
      <name val="Calibri"/>
      <family val="2"/>
      <scheme val="minor"/>
    </font>
    <font>
      <sz val="11"/>
      <color rgb="FF1583F7"/>
      <name val="Calibri"/>
      <family val="2"/>
      <scheme val="minor"/>
    </font>
    <font>
      <sz val="10"/>
      <color rgb="FF1583F7"/>
      <name val="Calibri"/>
      <family val="2"/>
      <scheme val="minor"/>
    </font>
    <font>
      <sz val="11"/>
      <color rgb="FF00A5F0"/>
      <name val="Calibri"/>
      <family val="2"/>
      <scheme val="minor"/>
    </font>
    <font>
      <b/>
      <sz val="11"/>
      <color rgb="FF00A5F0"/>
      <name val="Calibri"/>
      <family val="2"/>
      <scheme val="minor"/>
    </font>
    <font>
      <sz val="10"/>
      <color rgb="FF00A5F0"/>
      <name val="Calibri"/>
      <family val="2"/>
      <scheme val="minor"/>
    </font>
    <font>
      <sz val="9"/>
      <color rgb="FF00A5F0"/>
      <name val="Calibri"/>
      <family val="2"/>
      <scheme val="minor"/>
    </font>
    <font>
      <sz val="9"/>
      <color theme="0"/>
      <name val="Calibri"/>
      <family val="2"/>
      <scheme val="minor"/>
    </font>
    <font>
      <sz val="14"/>
      <color rgb="FF1583F7"/>
      <name val="Calibri"/>
      <family val="2"/>
      <scheme val="minor"/>
    </font>
    <font>
      <b/>
      <sz val="40"/>
      <color theme="0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69D8FF"/>
        <bgColor indexed="64"/>
      </patternFill>
    </fill>
    <fill>
      <patternFill patternType="solid">
        <fgColor rgb="FF007CA8"/>
        <bgColor indexed="64"/>
      </patternFill>
    </fill>
    <fill>
      <patternFill patternType="solid">
        <fgColor rgb="FFFFEBAB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A5F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1583F7"/>
        <bgColor indexed="64"/>
      </patternFill>
    </fill>
    <fill>
      <patternFill patternType="solid">
        <fgColor rgb="FF00A6F0"/>
        <bgColor indexed="64"/>
      </patternFill>
    </fill>
    <fill>
      <patternFill patternType="solid">
        <fgColor theme="4"/>
        <bgColor indexed="64"/>
      </patternFill>
    </fill>
  </fills>
  <borders count="43">
    <border>
      <left/>
      <right/>
      <top/>
      <bottom/>
      <diagonal/>
    </border>
    <border>
      <left style="thick">
        <color rgb="FF00B0F0"/>
      </left>
      <right/>
      <top/>
      <bottom/>
      <diagonal/>
    </border>
    <border>
      <left/>
      <right style="thick">
        <color rgb="FF00B0F0"/>
      </right>
      <top/>
      <bottom style="thick">
        <color rgb="FF00B0F0"/>
      </bottom>
      <diagonal/>
    </border>
    <border>
      <left style="thick">
        <color rgb="FF00B0F0"/>
      </left>
      <right/>
      <top/>
      <bottom style="thick">
        <color rgb="FF00B0F0"/>
      </bottom>
      <diagonal/>
    </border>
    <border>
      <left/>
      <right style="thick">
        <color rgb="FF00B0F0"/>
      </right>
      <top style="thick">
        <color rgb="FF00B0F0"/>
      </top>
      <bottom/>
      <diagonal/>
    </border>
    <border>
      <left style="thick">
        <color rgb="FF00B0F0"/>
      </left>
      <right/>
      <top style="thick">
        <color rgb="FF00B0F0"/>
      </top>
      <bottom/>
      <diagonal/>
    </border>
    <border>
      <left style="thick">
        <color rgb="FF00B0F0"/>
      </left>
      <right style="thick">
        <color rgb="FF00B0F0"/>
      </right>
      <top/>
      <bottom style="thick">
        <color rgb="FF00B0F0"/>
      </bottom>
      <diagonal/>
    </border>
    <border>
      <left/>
      <right style="thick">
        <color rgb="FF00B0F0"/>
      </right>
      <top style="thick">
        <color rgb="FF00B0F0"/>
      </top>
      <bottom style="thick">
        <color rgb="FF00B0F0"/>
      </bottom>
      <diagonal/>
    </border>
    <border>
      <left/>
      <right/>
      <top style="thick">
        <color rgb="FF00B0F0"/>
      </top>
      <bottom style="thick">
        <color rgb="FF00B0F0"/>
      </bottom>
      <diagonal/>
    </border>
    <border>
      <left style="thick">
        <color rgb="FF00B0F0"/>
      </left>
      <right/>
      <top style="thick">
        <color rgb="FF00B0F0"/>
      </top>
      <bottom style="thick">
        <color rgb="FF00B0F0"/>
      </bottom>
      <diagonal/>
    </border>
    <border>
      <left style="thick">
        <color rgb="FF00B0F0"/>
      </left>
      <right style="thick">
        <color rgb="FF00B0F0"/>
      </right>
      <top/>
      <bottom/>
      <diagonal/>
    </border>
    <border>
      <left style="thick">
        <color rgb="FF00B0F0"/>
      </left>
      <right style="thick">
        <color rgb="FF00B0F0"/>
      </right>
      <top style="thick">
        <color rgb="FF00B0F0"/>
      </top>
      <bottom style="thick">
        <color rgb="FF00B0F0"/>
      </bottom>
      <diagonal/>
    </border>
    <border>
      <left/>
      <right style="thick">
        <color rgb="FF00B0F0"/>
      </right>
      <top/>
      <bottom/>
      <diagonal/>
    </border>
    <border>
      <left/>
      <right/>
      <top/>
      <bottom style="thick">
        <color rgb="FF00B0F0"/>
      </bottom>
      <diagonal/>
    </border>
    <border>
      <left/>
      <right/>
      <top style="thick">
        <color rgb="FF00B0F0"/>
      </top>
      <bottom/>
      <diagonal/>
    </border>
    <border>
      <left style="thick">
        <color rgb="FF00B0F0"/>
      </left>
      <right style="thick">
        <color rgb="FF00B0F0"/>
      </right>
      <top style="thick">
        <color rgb="FF00B0F0"/>
      </top>
      <bottom/>
      <diagonal/>
    </border>
    <border>
      <left style="thick">
        <color rgb="FF007CA8"/>
      </left>
      <right style="thick">
        <color rgb="FF007CA8"/>
      </right>
      <top style="thick">
        <color rgb="FF007CA8"/>
      </top>
      <bottom style="thick">
        <color rgb="FF007CA8"/>
      </bottom>
      <diagonal/>
    </border>
    <border>
      <left/>
      <right style="thick">
        <color rgb="FF007CA8"/>
      </right>
      <top style="thick">
        <color rgb="FF007CA8"/>
      </top>
      <bottom style="thick">
        <color rgb="FF007CA8"/>
      </bottom>
      <diagonal/>
    </border>
    <border>
      <left/>
      <right/>
      <top style="thick">
        <color rgb="FF007CA8"/>
      </top>
      <bottom style="thick">
        <color rgb="FF007CA8"/>
      </bottom>
      <diagonal/>
    </border>
    <border>
      <left style="thick">
        <color rgb="FF007CA8"/>
      </left>
      <right/>
      <top style="thick">
        <color rgb="FF007CA8"/>
      </top>
      <bottom style="thick">
        <color rgb="FF007CA8"/>
      </bottom>
      <diagonal/>
    </border>
    <border>
      <left/>
      <right style="thick">
        <color rgb="FF007CA8"/>
      </right>
      <top/>
      <bottom/>
      <diagonal/>
    </border>
    <border>
      <left style="thick">
        <color rgb="FF007CA8"/>
      </left>
      <right style="thick">
        <color rgb="FF007CA8"/>
      </right>
      <top style="thick">
        <color rgb="FF007CA8"/>
      </top>
      <bottom/>
      <diagonal/>
    </border>
    <border>
      <left/>
      <right style="thick">
        <color rgb="FF007CA8"/>
      </right>
      <top style="thick">
        <color rgb="FF00B0F0"/>
      </top>
      <bottom/>
      <diagonal/>
    </border>
    <border>
      <left style="thin">
        <color rgb="FF69D8FF"/>
      </left>
      <right style="thick">
        <color rgb="FF00B0F0"/>
      </right>
      <top style="thick">
        <color rgb="FF00B0F0"/>
      </top>
      <bottom style="thick">
        <color rgb="FF00B0F0"/>
      </bottom>
      <diagonal/>
    </border>
    <border>
      <left style="thin">
        <color rgb="FF69D8FF"/>
      </left>
      <right style="thick">
        <color rgb="FF00B0F0"/>
      </right>
      <top/>
      <bottom style="thick">
        <color rgb="FF00B0F0"/>
      </bottom>
      <diagonal/>
    </border>
    <border>
      <left style="thin">
        <color rgb="FF69D8FF"/>
      </left>
      <right style="thin">
        <color rgb="FF69D8FF"/>
      </right>
      <top/>
      <bottom style="thick">
        <color rgb="FF00B0F0"/>
      </bottom>
      <diagonal/>
    </border>
    <border>
      <left/>
      <right style="thin">
        <color rgb="FF69D8FF"/>
      </right>
      <top/>
      <bottom style="thick">
        <color rgb="FF00B0F0"/>
      </bottom>
      <diagonal/>
    </border>
    <border>
      <left style="thin">
        <color rgb="FF69D8FF"/>
      </left>
      <right style="thick">
        <color rgb="FF00B0F0"/>
      </right>
      <top style="thick">
        <color rgb="FF00B0F0"/>
      </top>
      <bottom/>
      <diagonal/>
    </border>
    <border>
      <left style="thin">
        <color rgb="FF0070C0"/>
      </left>
      <right/>
      <top/>
      <bottom/>
      <diagonal/>
    </border>
    <border>
      <left/>
      <right style="thin">
        <color rgb="FF00A5F0"/>
      </right>
      <top/>
      <bottom/>
      <diagonal/>
    </border>
    <border>
      <left style="thin">
        <color rgb="FF00A5F0"/>
      </left>
      <right style="thin">
        <color rgb="FF00A5F0"/>
      </right>
      <top/>
      <bottom/>
      <diagonal/>
    </border>
    <border>
      <left style="medium">
        <color rgb="FF00B0F0"/>
      </left>
      <right style="medium">
        <color rgb="FF00B0F0"/>
      </right>
      <top style="medium">
        <color rgb="FF00B0F0"/>
      </top>
      <bottom style="medium">
        <color rgb="FF00B0F0"/>
      </bottom>
      <diagonal/>
    </border>
    <border>
      <left style="medium">
        <color rgb="FF00B0F0"/>
      </left>
      <right/>
      <top style="medium">
        <color rgb="FF00B0F0"/>
      </top>
      <bottom/>
      <diagonal/>
    </border>
    <border>
      <left/>
      <right/>
      <top style="medium">
        <color rgb="FF00B0F0"/>
      </top>
      <bottom/>
      <diagonal/>
    </border>
    <border>
      <left/>
      <right style="medium">
        <color rgb="FF00B0F0"/>
      </right>
      <top style="medium">
        <color rgb="FF00B0F0"/>
      </top>
      <bottom/>
      <diagonal/>
    </border>
    <border>
      <left style="medium">
        <color rgb="FF00B0F0"/>
      </left>
      <right/>
      <top/>
      <bottom/>
      <diagonal/>
    </border>
    <border>
      <left/>
      <right style="medium">
        <color rgb="FF00B0F0"/>
      </right>
      <top/>
      <bottom/>
      <diagonal/>
    </border>
    <border>
      <left style="medium">
        <color rgb="FF00B0F0"/>
      </left>
      <right/>
      <top/>
      <bottom style="medium">
        <color rgb="FF00B0F0"/>
      </bottom>
      <diagonal/>
    </border>
    <border>
      <left/>
      <right/>
      <top/>
      <bottom style="medium">
        <color rgb="FF00B0F0"/>
      </bottom>
      <diagonal/>
    </border>
    <border>
      <left/>
      <right style="medium">
        <color rgb="FF00B0F0"/>
      </right>
      <top/>
      <bottom style="medium">
        <color rgb="FF00B0F0"/>
      </bottom>
      <diagonal/>
    </border>
    <border>
      <left style="thin">
        <color rgb="FF00A5F0"/>
      </left>
      <right style="thin">
        <color rgb="FF00A6F0"/>
      </right>
      <top/>
      <bottom/>
      <diagonal/>
    </border>
    <border>
      <left/>
      <right style="thin">
        <color rgb="FF0070C0"/>
      </right>
      <top/>
      <bottom/>
      <diagonal/>
    </border>
    <border>
      <left style="thin">
        <color rgb="FF00A5F0"/>
      </left>
      <right style="thin">
        <color rgb="FF0070C0"/>
      </right>
      <top/>
      <bottom/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>
      <alignment vertical="top"/>
    </xf>
  </cellStyleXfs>
  <cellXfs count="258">
    <xf numFmtId="0" fontId="0" fillId="0" borderId="0" xfId="0"/>
    <xf numFmtId="0" fontId="0" fillId="2" borderId="0" xfId="0" applyFill="1"/>
    <xf numFmtId="0" fontId="3" fillId="3" borderId="0" xfId="0" applyFont="1" applyFill="1" applyAlignment="1">
      <alignment horizontal="center"/>
    </xf>
    <xf numFmtId="0" fontId="4" fillId="3" borderId="0" xfId="3" applyFill="1" applyAlignment="1">
      <alignment horizontal="center"/>
    </xf>
    <xf numFmtId="0" fontId="3" fillId="2" borderId="0" xfId="0" applyFont="1" applyFill="1" applyAlignment="1">
      <alignment horizontal="center"/>
    </xf>
    <xf numFmtId="2" fontId="0" fillId="2" borderId="0" xfId="0" applyNumberFormat="1" applyFill="1"/>
    <xf numFmtId="2" fontId="0" fillId="2" borderId="0" xfId="2" applyNumberFormat="1" applyFont="1" applyFill="1"/>
    <xf numFmtId="0" fontId="6" fillId="3" borderId="0" xfId="0" applyFont="1" applyFill="1" applyAlignment="1">
      <alignment horizontal="left" vertical="center"/>
    </xf>
    <xf numFmtId="0" fontId="7" fillId="3" borderId="0" xfId="0" applyFont="1" applyFill="1"/>
    <xf numFmtId="164" fontId="3" fillId="2" borderId="0" xfId="1" applyFont="1" applyFill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3" fillId="3" borderId="8" xfId="1" applyNumberFormat="1" applyFont="1" applyFill="1" applyBorder="1" applyAlignment="1">
      <alignment horizontal="center" vertical="top"/>
    </xf>
    <xf numFmtId="0" fontId="3" fillId="3" borderId="8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2" borderId="0" xfId="0" applyFont="1" applyFill="1" applyAlignment="1">
      <alignment horizontal="left" vertical="center" indent="1"/>
    </xf>
    <xf numFmtId="0" fontId="3" fillId="3" borderId="10" xfId="0" applyFont="1" applyFill="1" applyBorder="1" applyAlignment="1">
      <alignment horizontal="left" vertical="center" indent="1"/>
    </xf>
    <xf numFmtId="166" fontId="8" fillId="4" borderId="11" xfId="1" applyNumberFormat="1" applyFont="1" applyFill="1" applyBorder="1" applyAlignment="1">
      <alignment horizontal="center" vertical="center"/>
    </xf>
    <xf numFmtId="166" fontId="9" fillId="4" borderId="7" xfId="1" applyNumberFormat="1" applyFont="1" applyFill="1" applyBorder="1" applyAlignment="1">
      <alignment horizontal="center" vertical="center"/>
    </xf>
    <xf numFmtId="166" fontId="9" fillId="4" borderId="8" xfId="1" applyNumberFormat="1" applyFont="1" applyFill="1" applyBorder="1" applyAlignment="1">
      <alignment horizontal="center" vertical="center"/>
    </xf>
    <xf numFmtId="166" fontId="9" fillId="4" borderId="9" xfId="1" applyNumberFormat="1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left" vertical="center" indent="1"/>
    </xf>
    <xf numFmtId="0" fontId="10" fillId="4" borderId="11" xfId="0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left" vertical="center" indent="1"/>
    </xf>
    <xf numFmtId="0" fontId="3" fillId="3" borderId="10" xfId="0" applyFont="1" applyFill="1" applyBorder="1" applyAlignment="1">
      <alignment horizontal="center"/>
    </xf>
    <xf numFmtId="0" fontId="11" fillId="3" borderId="12" xfId="0" applyFont="1" applyFill="1" applyBorder="1" applyAlignment="1">
      <alignment horizontal="center" vertical="center"/>
    </xf>
    <xf numFmtId="0" fontId="12" fillId="0" borderId="11" xfId="0" applyFont="1" applyBorder="1" applyAlignment="1">
      <alignment horizontal="left" vertical="center"/>
    </xf>
    <xf numFmtId="0" fontId="3" fillId="3" borderId="12" xfId="0" applyFont="1" applyFill="1" applyBorder="1" applyAlignment="1">
      <alignment horizontal="center"/>
    </xf>
    <xf numFmtId="164" fontId="3" fillId="0" borderId="0" xfId="1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12" xfId="0" applyFont="1" applyBorder="1" applyAlignment="1">
      <alignment horizontal="center"/>
    </xf>
    <xf numFmtId="164" fontId="13" fillId="2" borderId="0" xfId="1" applyFont="1" applyFill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2" borderId="0" xfId="1" applyNumberFormat="1" applyFont="1" applyFill="1" applyAlignment="1">
      <alignment horizontal="center" vertical="top"/>
    </xf>
    <xf numFmtId="0" fontId="3" fillId="2" borderId="13" xfId="0" applyFont="1" applyFill="1" applyBorder="1" applyAlignment="1">
      <alignment horizontal="center"/>
    </xf>
    <xf numFmtId="0" fontId="14" fillId="2" borderId="0" xfId="0" applyFont="1" applyFill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3" fillId="3" borderId="2" xfId="1" applyNumberFormat="1" applyFont="1" applyFill="1" applyBorder="1" applyAlignment="1">
      <alignment horizontal="center" vertical="top"/>
    </xf>
    <xf numFmtId="0" fontId="3" fillId="3" borderId="13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8" fillId="3" borderId="10" xfId="0" applyFont="1" applyFill="1" applyBorder="1" applyAlignment="1">
      <alignment horizontal="left" vertical="center" indent="1"/>
    </xf>
    <xf numFmtId="164" fontId="3" fillId="0" borderId="12" xfId="1" applyFont="1" applyBorder="1" applyAlignment="1">
      <alignment horizontal="center"/>
    </xf>
    <xf numFmtId="0" fontId="3" fillId="3" borderId="4" xfId="1" applyNumberFormat="1" applyFont="1" applyFill="1" applyBorder="1" applyAlignment="1">
      <alignment horizontal="center" vertical="top"/>
    </xf>
    <xf numFmtId="0" fontId="3" fillId="3" borderId="14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13" fillId="2" borderId="0" xfId="0" applyFont="1" applyFill="1" applyAlignment="1">
      <alignment horizontal="left" indent="1"/>
    </xf>
    <xf numFmtId="166" fontId="3" fillId="2" borderId="0" xfId="1" applyNumberFormat="1" applyFont="1" applyFill="1" applyAlignment="1">
      <alignment horizontal="center"/>
    </xf>
    <xf numFmtId="0" fontId="3" fillId="3" borderId="13" xfId="1" applyNumberFormat="1" applyFont="1" applyFill="1" applyBorder="1" applyAlignment="1">
      <alignment horizontal="center" vertical="top"/>
    </xf>
    <xf numFmtId="0" fontId="3" fillId="5" borderId="16" xfId="0" applyFont="1" applyFill="1" applyBorder="1" applyAlignment="1">
      <alignment horizontal="center"/>
    </xf>
    <xf numFmtId="0" fontId="3" fillId="5" borderId="16" xfId="1" applyNumberFormat="1" applyFont="1" applyFill="1" applyBorder="1" applyAlignment="1">
      <alignment horizontal="center" vertical="top"/>
    </xf>
    <xf numFmtId="166" fontId="0" fillId="0" borderId="0" xfId="0" applyNumberFormat="1"/>
    <xf numFmtId="0" fontId="3" fillId="5" borderId="16" xfId="0" applyFont="1" applyFill="1" applyBorder="1" applyAlignment="1">
      <alignment horizontal="left" vertical="center" indent="1"/>
    </xf>
    <xf numFmtId="166" fontId="8" fillId="4" borderId="17" xfId="1" applyNumberFormat="1" applyFont="1" applyFill="1" applyBorder="1" applyAlignment="1">
      <alignment horizontal="center" vertical="center"/>
    </xf>
    <xf numFmtId="166" fontId="9" fillId="4" borderId="18" xfId="1" applyNumberFormat="1" applyFont="1" applyFill="1" applyBorder="1" applyAlignment="1">
      <alignment horizontal="center" vertical="center"/>
    </xf>
    <xf numFmtId="166" fontId="9" fillId="4" borderId="19" xfId="1" applyNumberFormat="1" applyFont="1" applyFill="1" applyBorder="1" applyAlignment="1">
      <alignment horizontal="center" vertical="center"/>
    </xf>
    <xf numFmtId="0" fontId="8" fillId="5" borderId="0" xfId="0" applyFont="1" applyFill="1" applyAlignment="1">
      <alignment horizontal="left" vertical="center" indent="1"/>
    </xf>
    <xf numFmtId="0" fontId="10" fillId="4" borderId="16" xfId="0" applyFont="1" applyFill="1" applyBorder="1" applyAlignment="1">
      <alignment horizontal="center" vertical="center"/>
    </xf>
    <xf numFmtId="0" fontId="8" fillId="5" borderId="21" xfId="0" applyFont="1" applyFill="1" applyBorder="1" applyAlignment="1">
      <alignment horizontal="left" indent="1"/>
    </xf>
    <xf numFmtId="0" fontId="13" fillId="0" borderId="21" xfId="0" applyFont="1" applyBorder="1" applyAlignment="1">
      <alignment horizontal="center" vertical="center"/>
    </xf>
    <xf numFmtId="0" fontId="8" fillId="5" borderId="16" xfId="0" applyFont="1" applyFill="1" applyBorder="1" applyAlignment="1">
      <alignment horizontal="left" indent="1"/>
    </xf>
    <xf numFmtId="0" fontId="13" fillId="0" borderId="16" xfId="0" applyFont="1" applyBorder="1" applyAlignment="1">
      <alignment horizontal="center" vertical="center"/>
    </xf>
    <xf numFmtId="166" fontId="9" fillId="4" borderId="17" xfId="1" applyNumberFormat="1" applyFont="1" applyFill="1" applyBorder="1" applyAlignment="1">
      <alignment horizontal="center" vertical="center"/>
    </xf>
    <xf numFmtId="0" fontId="8" fillId="5" borderId="16" xfId="0" applyFont="1" applyFill="1" applyBorder="1" applyAlignment="1">
      <alignment horizontal="left" vertical="center" indent="1"/>
    </xf>
    <xf numFmtId="0" fontId="8" fillId="3" borderId="23" xfId="0" applyFont="1" applyFill="1" applyBorder="1" applyAlignment="1">
      <alignment horizontal="center"/>
    </xf>
    <xf numFmtId="0" fontId="8" fillId="5" borderId="24" xfId="0" applyFont="1" applyFill="1" applyBorder="1" applyAlignment="1">
      <alignment horizontal="center"/>
    </xf>
    <xf numFmtId="0" fontId="8" fillId="5" borderId="25" xfId="0" applyFont="1" applyFill="1" applyBorder="1" applyAlignment="1">
      <alignment horizontal="center"/>
    </xf>
    <xf numFmtId="0" fontId="8" fillId="5" borderId="26" xfId="0" applyFont="1" applyFill="1" applyBorder="1" applyAlignment="1">
      <alignment horizontal="center"/>
    </xf>
    <xf numFmtId="0" fontId="16" fillId="3" borderId="13" xfId="0" applyFont="1" applyFill="1" applyBorder="1" applyAlignment="1">
      <alignment vertical="center"/>
    </xf>
    <xf numFmtId="0" fontId="8" fillId="3" borderId="27" xfId="0" applyFont="1" applyFill="1" applyBorder="1" applyAlignment="1">
      <alignment horizontal="center"/>
    </xf>
    <xf numFmtId="0" fontId="8" fillId="3" borderId="4" xfId="0" applyFont="1" applyFill="1" applyBorder="1" applyAlignment="1">
      <alignment horizontal="center"/>
    </xf>
    <xf numFmtId="0" fontId="8" fillId="3" borderId="0" xfId="0" applyFont="1" applyFill="1" applyAlignment="1">
      <alignment horizontal="center"/>
    </xf>
    <xf numFmtId="0" fontId="16" fillId="3" borderId="0" xfId="0" applyFont="1" applyFill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17" fillId="3" borderId="23" xfId="0" applyFont="1" applyFill="1" applyBorder="1" applyAlignment="1">
      <alignment horizontal="center"/>
    </xf>
    <xf numFmtId="164" fontId="3" fillId="2" borderId="0" xfId="0" applyNumberFormat="1" applyFont="1" applyFill="1" applyAlignment="1">
      <alignment horizontal="center"/>
    </xf>
    <xf numFmtId="0" fontId="8" fillId="3" borderId="7" xfId="0" applyFont="1" applyFill="1" applyBorder="1" applyAlignment="1">
      <alignment horizontal="center"/>
    </xf>
    <xf numFmtId="0" fontId="16" fillId="3" borderId="14" xfId="0" applyFont="1" applyFill="1" applyBorder="1" applyAlignment="1">
      <alignment vertical="center"/>
    </xf>
    <xf numFmtId="0" fontId="3" fillId="8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0" fontId="18" fillId="4" borderId="0" xfId="0" applyFont="1" applyFill="1" applyAlignment="1">
      <alignment vertical="center"/>
    </xf>
    <xf numFmtId="0" fontId="3" fillId="9" borderId="0" xfId="0" applyFont="1" applyFill="1" applyAlignment="1">
      <alignment horizontal="center"/>
    </xf>
    <xf numFmtId="0" fontId="3" fillId="2" borderId="0" xfId="0" applyFont="1" applyFill="1"/>
    <xf numFmtId="0" fontId="17" fillId="3" borderId="1" xfId="0" applyFont="1" applyFill="1" applyBorder="1"/>
    <xf numFmtId="0" fontId="0" fillId="10" borderId="0" xfId="0" applyFill="1"/>
    <xf numFmtId="0" fontId="2" fillId="10" borderId="0" xfId="0" applyFont="1" applyFill="1"/>
    <xf numFmtId="164" fontId="0" fillId="10" borderId="0" xfId="1" applyFont="1" applyFill="1"/>
    <xf numFmtId="168" fontId="0" fillId="10" borderId="0" xfId="2" applyNumberFormat="1" applyFont="1" applyFill="1"/>
    <xf numFmtId="166" fontId="20" fillId="0" borderId="14" xfId="1" applyNumberFormat="1" applyFont="1" applyBorder="1" applyAlignment="1">
      <alignment horizontal="center" vertical="center"/>
    </xf>
    <xf numFmtId="166" fontId="20" fillId="0" borderId="22" xfId="1" applyNumberFormat="1" applyFont="1" applyBorder="1" applyAlignment="1">
      <alignment horizontal="center" vertical="center"/>
    </xf>
    <xf numFmtId="166" fontId="19" fillId="0" borderId="14" xfId="1" applyNumberFormat="1" applyFont="1" applyBorder="1" applyAlignment="1">
      <alignment horizontal="center" vertical="center"/>
    </xf>
    <xf numFmtId="166" fontId="20" fillId="0" borderId="0" xfId="1" applyNumberFormat="1" applyFont="1" applyAlignment="1">
      <alignment horizontal="center" vertical="center"/>
    </xf>
    <xf numFmtId="166" fontId="20" fillId="0" borderId="20" xfId="1" applyNumberFormat="1" applyFont="1" applyBorder="1" applyAlignment="1">
      <alignment horizontal="center" vertical="center"/>
    </xf>
    <xf numFmtId="166" fontId="19" fillId="0" borderId="0" xfId="1" applyNumberFormat="1" applyFont="1" applyAlignment="1">
      <alignment horizontal="center" vertical="center"/>
    </xf>
    <xf numFmtId="166" fontId="20" fillId="0" borderId="5" xfId="1" applyNumberFormat="1" applyFont="1" applyBorder="1" applyAlignment="1">
      <alignment horizontal="center" vertical="center"/>
    </xf>
    <xf numFmtId="166" fontId="19" fillId="0" borderId="15" xfId="1" applyNumberFormat="1" applyFont="1" applyBorder="1" applyAlignment="1">
      <alignment horizontal="center" vertical="center"/>
    </xf>
    <xf numFmtId="166" fontId="20" fillId="0" borderId="1" xfId="1" applyNumberFormat="1" applyFont="1" applyBorder="1" applyAlignment="1">
      <alignment horizontal="center" vertical="center"/>
    </xf>
    <xf numFmtId="166" fontId="19" fillId="0" borderId="10" xfId="1" applyNumberFormat="1" applyFont="1" applyBorder="1" applyAlignment="1">
      <alignment horizontal="center" vertical="center"/>
    </xf>
    <xf numFmtId="166" fontId="20" fillId="0" borderId="3" xfId="1" applyNumberFormat="1" applyFont="1" applyBorder="1" applyAlignment="1">
      <alignment horizontal="center" vertical="center"/>
    </xf>
    <xf numFmtId="166" fontId="20" fillId="0" borderId="13" xfId="1" applyNumberFormat="1" applyFont="1" applyBorder="1" applyAlignment="1">
      <alignment horizontal="center" vertical="center"/>
    </xf>
    <xf numFmtId="166" fontId="20" fillId="0" borderId="4" xfId="1" applyNumberFormat="1" applyFont="1" applyBorder="1" applyAlignment="1">
      <alignment horizontal="center" vertical="center"/>
    </xf>
    <xf numFmtId="166" fontId="20" fillId="0" borderId="12" xfId="1" applyNumberFormat="1" applyFont="1" applyBorder="1" applyAlignment="1">
      <alignment horizontal="center" vertical="center"/>
    </xf>
    <xf numFmtId="166" fontId="20" fillId="0" borderId="2" xfId="1" applyNumberFormat="1" applyFont="1" applyBorder="1" applyAlignment="1">
      <alignment horizontal="center" vertical="center"/>
    </xf>
    <xf numFmtId="166" fontId="19" fillId="0" borderId="6" xfId="1" applyNumberFormat="1" applyFont="1" applyBorder="1" applyAlignment="1">
      <alignment horizontal="center" vertical="center"/>
    </xf>
    <xf numFmtId="166" fontId="19" fillId="0" borderId="12" xfId="1" applyNumberFormat="1" applyFont="1" applyBorder="1" applyAlignment="1">
      <alignment horizontal="center"/>
    </xf>
    <xf numFmtId="0" fontId="15" fillId="10" borderId="0" xfId="0" applyFont="1" applyFill="1" applyAlignment="1">
      <alignment vertical="top" wrapText="1"/>
    </xf>
    <xf numFmtId="9" fontId="10" fillId="12" borderId="0" xfId="2" applyFont="1" applyFill="1" applyBorder="1" applyAlignment="1">
      <alignment horizontal="center" vertical="center"/>
    </xf>
    <xf numFmtId="0" fontId="22" fillId="10" borderId="0" xfId="0" applyFont="1" applyFill="1"/>
    <xf numFmtId="0" fontId="0" fillId="13" borderId="0" xfId="0" applyFill="1"/>
    <xf numFmtId="0" fontId="23" fillId="10" borderId="0" xfId="0" applyFont="1" applyFill="1"/>
    <xf numFmtId="2" fontId="23" fillId="10" borderId="0" xfId="0" applyNumberFormat="1" applyFont="1" applyFill="1"/>
    <xf numFmtId="0" fontId="27" fillId="13" borderId="0" xfId="0" applyFont="1" applyFill="1"/>
    <xf numFmtId="0" fontId="27" fillId="13" borderId="0" xfId="0" applyFont="1" applyFill="1" applyAlignment="1">
      <alignment horizontal="center"/>
    </xf>
    <xf numFmtId="0" fontId="28" fillId="13" borderId="0" xfId="0" applyFont="1" applyFill="1"/>
    <xf numFmtId="1" fontId="27" fillId="13" borderId="0" xfId="0" applyNumberFormat="1" applyFont="1" applyFill="1"/>
    <xf numFmtId="2" fontId="27" fillId="13" borderId="0" xfId="2" applyNumberFormat="1" applyFont="1" applyFill="1" applyBorder="1"/>
    <xf numFmtId="9" fontId="27" fillId="13" borderId="0" xfId="2" applyFont="1" applyFill="1" applyBorder="1"/>
    <xf numFmtId="2" fontId="27" fillId="13" borderId="0" xfId="0" applyNumberFormat="1" applyFont="1" applyFill="1"/>
    <xf numFmtId="0" fontId="29" fillId="13" borderId="0" xfId="0" applyFont="1" applyFill="1" applyAlignment="1">
      <alignment horizontal="right" vertical="center"/>
    </xf>
    <xf numFmtId="164" fontId="29" fillId="13" borderId="0" xfId="1" applyFont="1" applyFill="1" applyBorder="1" applyAlignment="1">
      <alignment vertical="center"/>
    </xf>
    <xf numFmtId="9" fontId="29" fillId="13" borderId="0" xfId="2" applyFont="1" applyFill="1" applyBorder="1" applyAlignment="1">
      <alignment vertical="center"/>
    </xf>
    <xf numFmtId="0" fontId="29" fillId="13" borderId="0" xfId="0" applyFont="1" applyFill="1" applyAlignment="1">
      <alignment vertical="center"/>
    </xf>
    <xf numFmtId="165" fontId="29" fillId="13" borderId="0" xfId="1" applyNumberFormat="1" applyFont="1" applyFill="1" applyBorder="1" applyAlignment="1">
      <alignment vertical="center"/>
    </xf>
    <xf numFmtId="0" fontId="28" fillId="13" borderId="0" xfId="0" applyFont="1" applyFill="1" applyAlignment="1">
      <alignment horizontal="center" vertical="center"/>
    </xf>
    <xf numFmtId="9" fontId="27" fillId="13" borderId="0" xfId="2" applyFont="1" applyFill="1" applyBorder="1" applyAlignment="1">
      <alignment horizontal="left" vertical="center"/>
    </xf>
    <xf numFmtId="2" fontId="29" fillId="13" borderId="0" xfId="0" applyNumberFormat="1" applyFont="1" applyFill="1" applyAlignment="1">
      <alignment vertical="center"/>
    </xf>
    <xf numFmtId="2" fontId="27" fillId="13" borderId="0" xfId="2" applyNumberFormat="1" applyFont="1" applyFill="1" applyBorder="1" applyAlignment="1">
      <alignment horizontal="center" vertical="center"/>
    </xf>
    <xf numFmtId="164" fontId="27" fillId="13" borderId="0" xfId="1" applyFont="1" applyFill="1" applyBorder="1" applyAlignment="1">
      <alignment horizontal="left" vertical="center"/>
    </xf>
    <xf numFmtId="1" fontId="29" fillId="13" borderId="0" xfId="2" applyNumberFormat="1" applyFont="1" applyFill="1" applyBorder="1" applyAlignment="1">
      <alignment horizontal="center" vertical="center"/>
    </xf>
    <xf numFmtId="0" fontId="30" fillId="13" borderId="0" xfId="0" applyFont="1" applyFill="1" applyAlignment="1">
      <alignment horizontal="center"/>
    </xf>
    <xf numFmtId="0" fontId="27" fillId="13" borderId="0" xfId="4" applyFont="1" applyFill="1">
      <alignment vertical="top"/>
    </xf>
    <xf numFmtId="0" fontId="31" fillId="2" borderId="0" xfId="0" applyFont="1" applyFill="1" applyAlignment="1">
      <alignment horizontal="center"/>
    </xf>
    <xf numFmtId="164" fontId="31" fillId="2" borderId="0" xfId="0" applyNumberFormat="1" applyFont="1" applyFill="1" applyAlignment="1">
      <alignment horizontal="center"/>
    </xf>
    <xf numFmtId="0" fontId="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/>
    </xf>
    <xf numFmtId="0" fontId="31" fillId="2" borderId="0" xfId="0" applyFont="1" applyFill="1" applyAlignment="1">
      <alignment horizontal="center" vertical="center"/>
    </xf>
    <xf numFmtId="2" fontId="31" fillId="2" borderId="0" xfId="0" applyNumberFormat="1" applyFont="1" applyFill="1" applyAlignment="1">
      <alignment horizontal="center"/>
    </xf>
    <xf numFmtId="164" fontId="8" fillId="2" borderId="0" xfId="1" applyFont="1" applyFill="1" applyBorder="1" applyAlignment="1">
      <alignment horizontal="center"/>
    </xf>
    <xf numFmtId="165" fontId="31" fillId="2" borderId="0" xfId="1" applyNumberFormat="1" applyFont="1" applyFill="1" applyBorder="1" applyAlignment="1">
      <alignment horizontal="center"/>
    </xf>
    <xf numFmtId="9" fontId="31" fillId="2" borderId="0" xfId="2" applyFont="1" applyFill="1" applyBorder="1" applyAlignment="1">
      <alignment horizontal="center"/>
    </xf>
    <xf numFmtId="0" fontId="31" fillId="2" borderId="0" xfId="0" applyFont="1" applyFill="1" applyAlignment="1">
      <alignment horizontal="left" vertical="center" indent="1"/>
    </xf>
    <xf numFmtId="165" fontId="31" fillId="2" borderId="0" xfId="0" applyNumberFormat="1" applyFont="1" applyFill="1" applyAlignment="1">
      <alignment horizontal="left" vertical="center" indent="1"/>
    </xf>
    <xf numFmtId="9" fontId="31" fillId="2" borderId="0" xfId="2" applyFont="1" applyFill="1" applyBorder="1" applyAlignment="1">
      <alignment horizontal="left" vertical="center" indent="1"/>
    </xf>
    <xf numFmtId="164" fontId="31" fillId="2" borderId="0" xfId="1" applyFont="1" applyFill="1" applyBorder="1" applyAlignment="1">
      <alignment horizontal="center"/>
    </xf>
    <xf numFmtId="0" fontId="0" fillId="2" borderId="32" xfId="0" applyFill="1" applyBorder="1"/>
    <xf numFmtId="0" fontId="0" fillId="2" borderId="35" xfId="0" applyFill="1" applyBorder="1"/>
    <xf numFmtId="0" fontId="2" fillId="2" borderId="35" xfId="0" applyFont="1" applyFill="1" applyBorder="1"/>
    <xf numFmtId="0" fontId="2" fillId="2" borderId="37" xfId="0" applyFont="1" applyFill="1" applyBorder="1"/>
    <xf numFmtId="0" fontId="0" fillId="2" borderId="33" xfId="0" applyFill="1" applyBorder="1"/>
    <xf numFmtId="0" fontId="32" fillId="2" borderId="0" xfId="0" applyFont="1" applyFill="1" applyAlignment="1">
      <alignment horizontal="left" vertical="center"/>
    </xf>
    <xf numFmtId="0" fontId="25" fillId="2" borderId="0" xfId="0" applyFont="1" applyFill="1" applyAlignment="1">
      <alignment horizontal="left" vertical="center"/>
    </xf>
    <xf numFmtId="0" fontId="0" fillId="2" borderId="34" xfId="0" applyFill="1" applyBorder="1"/>
    <xf numFmtId="0" fontId="0" fillId="2" borderId="36" xfId="0" applyFill="1" applyBorder="1"/>
    <xf numFmtId="0" fontId="0" fillId="2" borderId="38" xfId="0" applyFill="1" applyBorder="1"/>
    <xf numFmtId="0" fontId="0" fillId="2" borderId="0" xfId="0" applyFill="1" applyAlignment="1">
      <alignment horizontal="left" indent="1"/>
    </xf>
    <xf numFmtId="0" fontId="2" fillId="2" borderId="39" xfId="0" applyFont="1" applyFill="1" applyBorder="1"/>
    <xf numFmtId="9" fontId="2" fillId="2" borderId="0" xfId="2" applyFont="1" applyFill="1" applyBorder="1"/>
    <xf numFmtId="0" fontId="24" fillId="2" borderId="36" xfId="0" applyFont="1" applyFill="1" applyBorder="1" applyAlignment="1">
      <alignment horizontal="center" vertical="center"/>
    </xf>
    <xf numFmtId="0" fontId="25" fillId="2" borderId="0" xfId="0" applyFont="1" applyFill="1"/>
    <xf numFmtId="0" fontId="2" fillId="10" borderId="31" xfId="0" applyFont="1" applyFill="1" applyBorder="1" applyAlignment="1">
      <alignment horizontal="left" vertical="center" indent="1"/>
    </xf>
    <xf numFmtId="0" fontId="26" fillId="2" borderId="0" xfId="0" applyFont="1" applyFill="1" applyAlignment="1">
      <alignment horizontal="center" vertical="center"/>
    </xf>
    <xf numFmtId="0" fontId="15" fillId="10" borderId="0" xfId="0" applyFont="1" applyFill="1" applyAlignment="1">
      <alignment vertical="center" wrapText="1"/>
    </xf>
    <xf numFmtId="1" fontId="10" fillId="14" borderId="0" xfId="2" applyNumberFormat="1" applyFont="1" applyFill="1" applyBorder="1" applyAlignment="1">
      <alignment horizontal="center" vertical="center"/>
    </xf>
    <xf numFmtId="0" fontId="2" fillId="14" borderId="31" xfId="0" applyFont="1" applyFill="1" applyBorder="1" applyAlignment="1">
      <alignment horizontal="right" vertical="center" indent="1"/>
    </xf>
    <xf numFmtId="9" fontId="10" fillId="14" borderId="0" xfId="2" applyFont="1" applyFill="1" applyBorder="1" applyAlignment="1">
      <alignment horizontal="center" vertical="center"/>
    </xf>
    <xf numFmtId="0" fontId="2" fillId="2" borderId="0" xfId="0" applyFont="1" applyFill="1"/>
    <xf numFmtId="0" fontId="2" fillId="13" borderId="0" xfId="0" applyFont="1" applyFill="1"/>
    <xf numFmtId="166" fontId="19" fillId="0" borderId="10" xfId="1" applyNumberFormat="1" applyFont="1" applyBorder="1" applyAlignment="1" applyProtection="1">
      <alignment horizontal="center" vertical="center"/>
    </xf>
    <xf numFmtId="166" fontId="8" fillId="4" borderId="11" xfId="1" applyNumberFormat="1" applyFont="1" applyFill="1" applyBorder="1" applyAlignment="1" applyProtection="1">
      <alignment horizontal="center" vertical="center"/>
    </xf>
    <xf numFmtId="164" fontId="13" fillId="2" borderId="0" xfId="1" applyFont="1" applyFill="1" applyAlignment="1" applyProtection="1">
      <alignment horizontal="center"/>
    </xf>
    <xf numFmtId="0" fontId="3" fillId="2" borderId="0" xfId="1" applyNumberFormat="1" applyFont="1" applyFill="1" applyAlignment="1" applyProtection="1">
      <alignment horizontal="center" vertical="top"/>
    </xf>
    <xf numFmtId="0" fontId="3" fillId="5" borderId="16" xfId="1" applyNumberFormat="1" applyFont="1" applyFill="1" applyBorder="1" applyAlignment="1" applyProtection="1">
      <alignment horizontal="center" vertical="top"/>
    </xf>
    <xf numFmtId="164" fontId="3" fillId="0" borderId="0" xfId="1" applyFont="1" applyAlignment="1" applyProtection="1">
      <alignment horizontal="center"/>
    </xf>
    <xf numFmtId="166" fontId="20" fillId="0" borderId="14" xfId="1" applyNumberFormat="1" applyFont="1" applyBorder="1" applyAlignment="1" applyProtection="1">
      <alignment horizontal="center" vertical="center"/>
    </xf>
    <xf numFmtId="166" fontId="20" fillId="0" borderId="22" xfId="1" applyNumberFormat="1" applyFont="1" applyBorder="1" applyAlignment="1" applyProtection="1">
      <alignment horizontal="center" vertical="center"/>
    </xf>
    <xf numFmtId="166" fontId="19" fillId="0" borderId="14" xfId="1" applyNumberFormat="1" applyFont="1" applyBorder="1" applyAlignment="1" applyProtection="1">
      <alignment horizontal="center" vertical="center"/>
    </xf>
    <xf numFmtId="166" fontId="20" fillId="0" borderId="0" xfId="1" applyNumberFormat="1" applyFont="1" applyAlignment="1" applyProtection="1">
      <alignment horizontal="center" vertical="center"/>
    </xf>
    <xf numFmtId="166" fontId="20" fillId="0" borderId="20" xfId="1" applyNumberFormat="1" applyFont="1" applyBorder="1" applyAlignment="1" applyProtection="1">
      <alignment horizontal="center" vertical="center"/>
    </xf>
    <xf numFmtId="166" fontId="19" fillId="0" borderId="0" xfId="1" applyNumberFormat="1" applyFont="1" applyAlignment="1" applyProtection="1">
      <alignment horizontal="center" vertical="center"/>
    </xf>
    <xf numFmtId="166" fontId="9" fillId="4" borderId="18" xfId="1" applyNumberFormat="1" applyFont="1" applyFill="1" applyBorder="1" applyAlignment="1" applyProtection="1">
      <alignment horizontal="center" vertical="center"/>
    </xf>
    <xf numFmtId="166" fontId="9" fillId="4" borderId="17" xfId="1" applyNumberFormat="1" applyFont="1" applyFill="1" applyBorder="1" applyAlignment="1" applyProtection="1">
      <alignment horizontal="center" vertical="center"/>
    </xf>
    <xf numFmtId="166" fontId="8" fillId="4" borderId="17" xfId="1" applyNumberFormat="1" applyFont="1" applyFill="1" applyBorder="1" applyAlignment="1" applyProtection="1">
      <alignment horizontal="center" vertical="center"/>
    </xf>
    <xf numFmtId="166" fontId="3" fillId="2" borderId="0" xfId="1" applyNumberFormat="1" applyFont="1" applyFill="1" applyAlignment="1" applyProtection="1">
      <alignment horizontal="center"/>
    </xf>
    <xf numFmtId="166" fontId="9" fillId="4" borderId="19" xfId="1" applyNumberFormat="1" applyFont="1" applyFill="1" applyBorder="1" applyAlignment="1" applyProtection="1">
      <alignment horizontal="center" vertical="center"/>
    </xf>
    <xf numFmtId="0" fontId="3" fillId="3" borderId="4" xfId="1" applyNumberFormat="1" applyFont="1" applyFill="1" applyBorder="1" applyAlignment="1" applyProtection="1">
      <alignment horizontal="center" vertical="top"/>
    </xf>
    <xf numFmtId="164" fontId="3" fillId="0" borderId="12" xfId="1" applyFont="1" applyBorder="1" applyAlignment="1" applyProtection="1">
      <alignment horizontal="center"/>
    </xf>
    <xf numFmtId="166" fontId="20" fillId="0" borderId="5" xfId="1" applyNumberFormat="1" applyFont="1" applyBorder="1" applyAlignment="1" applyProtection="1">
      <alignment horizontal="center" vertical="center"/>
    </xf>
    <xf numFmtId="166" fontId="20" fillId="0" borderId="4" xfId="1" applyNumberFormat="1" applyFont="1" applyBorder="1" applyAlignment="1" applyProtection="1">
      <alignment horizontal="center" vertical="center"/>
    </xf>
    <xf numFmtId="166" fontId="19" fillId="0" borderId="15" xfId="1" applyNumberFormat="1" applyFont="1" applyBorder="1" applyAlignment="1" applyProtection="1">
      <alignment horizontal="center" vertical="center"/>
    </xf>
    <xf numFmtId="166" fontId="20" fillId="0" borderId="1" xfId="1" applyNumberFormat="1" applyFont="1" applyBorder="1" applyAlignment="1" applyProtection="1">
      <alignment horizontal="center" vertical="center"/>
    </xf>
    <xf numFmtId="166" fontId="20" fillId="0" borderId="12" xfId="1" applyNumberFormat="1" applyFont="1" applyBorder="1" applyAlignment="1" applyProtection="1">
      <alignment horizontal="center" vertical="center"/>
    </xf>
    <xf numFmtId="166" fontId="20" fillId="0" borderId="3" xfId="1" applyNumberFormat="1" applyFont="1" applyBorder="1" applyAlignment="1" applyProtection="1">
      <alignment horizontal="center" vertical="center"/>
    </xf>
    <xf numFmtId="166" fontId="20" fillId="0" borderId="13" xfId="1" applyNumberFormat="1" applyFont="1" applyBorder="1" applyAlignment="1" applyProtection="1">
      <alignment horizontal="center" vertical="center"/>
    </xf>
    <xf numFmtId="166" fontId="20" fillId="0" borderId="2" xfId="1" applyNumberFormat="1" applyFont="1" applyBorder="1" applyAlignment="1" applyProtection="1">
      <alignment horizontal="center" vertical="center"/>
    </xf>
    <xf numFmtId="166" fontId="19" fillId="0" borderId="6" xfId="1" applyNumberFormat="1" applyFont="1" applyBorder="1" applyAlignment="1" applyProtection="1">
      <alignment horizontal="center" vertical="center"/>
    </xf>
    <xf numFmtId="166" fontId="9" fillId="4" borderId="9" xfId="1" applyNumberFormat="1" applyFont="1" applyFill="1" applyBorder="1" applyAlignment="1" applyProtection="1">
      <alignment horizontal="center" vertical="center"/>
    </xf>
    <xf numFmtId="166" fontId="9" fillId="4" borderId="8" xfId="1" applyNumberFormat="1" applyFont="1" applyFill="1" applyBorder="1" applyAlignment="1" applyProtection="1">
      <alignment horizontal="center" vertical="center"/>
    </xf>
    <xf numFmtId="166" fontId="9" fillId="4" borderId="7" xfId="1" applyNumberFormat="1" applyFont="1" applyFill="1" applyBorder="1" applyAlignment="1" applyProtection="1">
      <alignment horizontal="center" vertical="center"/>
    </xf>
    <xf numFmtId="0" fontId="3" fillId="3" borderId="13" xfId="1" applyNumberFormat="1" applyFont="1" applyFill="1" applyBorder="1" applyAlignment="1" applyProtection="1">
      <alignment horizontal="center" vertical="top"/>
    </xf>
    <xf numFmtId="0" fontId="3" fillId="3" borderId="2" xfId="1" applyNumberFormat="1" applyFont="1" applyFill="1" applyBorder="1" applyAlignment="1" applyProtection="1">
      <alignment horizontal="center" vertical="top"/>
    </xf>
    <xf numFmtId="0" fontId="3" fillId="3" borderId="8" xfId="1" applyNumberFormat="1" applyFont="1" applyFill="1" applyBorder="1" applyAlignment="1" applyProtection="1">
      <alignment horizontal="center" vertical="top"/>
    </xf>
    <xf numFmtId="166" fontId="19" fillId="0" borderId="12" xfId="1" applyNumberFormat="1" applyFont="1" applyBorder="1" applyAlignment="1" applyProtection="1">
      <alignment horizontal="center"/>
    </xf>
    <xf numFmtId="164" fontId="3" fillId="2" borderId="0" xfId="1" applyFont="1" applyFill="1" applyAlignment="1" applyProtection="1">
      <alignment horizontal="center"/>
    </xf>
    <xf numFmtId="167" fontId="0" fillId="0" borderId="0" xfId="0" applyNumberFormat="1" applyAlignment="1" applyProtection="1">
      <alignment horizontal="center" vertical="center"/>
      <protection locked="0"/>
    </xf>
    <xf numFmtId="0" fontId="0" fillId="0" borderId="30" xfId="0" applyBorder="1" applyAlignment="1" applyProtection="1">
      <alignment horizontal="left" vertical="center" indent="1"/>
      <protection locked="0"/>
    </xf>
    <xf numFmtId="165" fontId="0" fillId="0" borderId="30" xfId="1" applyNumberFormat="1" applyFont="1" applyBorder="1" applyAlignment="1" applyProtection="1">
      <alignment vertical="center"/>
      <protection locked="0"/>
    </xf>
    <xf numFmtId="0" fontId="0" fillId="0" borderId="40" xfId="0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167" fontId="0" fillId="0" borderId="40" xfId="0" applyNumberFormat="1" applyBorder="1" applyAlignment="1" applyProtection="1">
      <alignment horizontal="center" vertical="center"/>
      <protection locked="0"/>
    </xf>
    <xf numFmtId="167" fontId="0" fillId="0" borderId="28" xfId="0" applyNumberFormat="1" applyBorder="1" applyAlignment="1" applyProtection="1">
      <alignment horizontal="center" vertical="center"/>
      <protection locked="0"/>
    </xf>
    <xf numFmtId="165" fontId="0" fillId="0" borderId="30" xfId="1" applyNumberFormat="1" applyFont="1" applyFill="1" applyBorder="1" applyAlignment="1" applyProtection="1">
      <alignment horizontal="left" vertical="center" indent="1"/>
      <protection locked="0"/>
    </xf>
    <xf numFmtId="165" fontId="0" fillId="0" borderId="30" xfId="1" applyNumberFormat="1" applyFont="1" applyFill="1" applyBorder="1" applyAlignment="1" applyProtection="1">
      <alignment vertical="center"/>
      <protection locked="0"/>
    </xf>
    <xf numFmtId="165" fontId="10" fillId="12" borderId="39" xfId="1" applyNumberFormat="1" applyFont="1" applyFill="1" applyBorder="1" applyAlignment="1" applyProtection="1">
      <alignment horizontal="center" vertical="center"/>
      <protection locked="0"/>
    </xf>
    <xf numFmtId="1" fontId="10" fillId="12" borderId="0" xfId="2" applyNumberFormat="1" applyFont="1" applyFill="1" applyBorder="1" applyAlignment="1" applyProtection="1">
      <alignment horizontal="center" vertical="center"/>
      <protection locked="0"/>
    </xf>
    <xf numFmtId="0" fontId="0" fillId="0" borderId="28" xfId="0" applyBorder="1" applyAlignment="1" applyProtection="1">
      <alignment horizontal="left" vertical="center" indent="1"/>
      <protection locked="0"/>
    </xf>
    <xf numFmtId="0" fontId="0" fillId="0" borderId="0" xfId="0" applyAlignment="1" applyProtection="1">
      <alignment horizontal="left" vertical="center" indent="1"/>
      <protection locked="0"/>
    </xf>
    <xf numFmtId="0" fontId="0" fillId="0" borderId="0" xfId="0" applyAlignment="1" applyProtection="1">
      <alignment vertical="center"/>
      <protection locked="0"/>
    </xf>
    <xf numFmtId="165" fontId="0" fillId="0" borderId="0" xfId="1" applyNumberFormat="1" applyFont="1" applyAlignment="1" applyProtection="1">
      <alignment vertical="center"/>
      <protection locked="0"/>
    </xf>
    <xf numFmtId="0" fontId="0" fillId="2" borderId="0" xfId="0" applyFill="1" applyAlignment="1" applyProtection="1">
      <alignment vertical="center"/>
      <protection locked="0"/>
    </xf>
    <xf numFmtId="0" fontId="0" fillId="11" borderId="0" xfId="0" applyFill="1" applyAlignment="1" applyProtection="1">
      <alignment horizontal="center" vertical="center" wrapText="1"/>
      <protection locked="0"/>
    </xf>
    <xf numFmtId="0" fontId="0" fillId="11" borderId="30" xfId="0" applyFill="1" applyBorder="1" applyAlignment="1" applyProtection="1">
      <alignment horizontal="center" vertical="center" wrapText="1"/>
      <protection locked="0"/>
    </xf>
    <xf numFmtId="0" fontId="0" fillId="10" borderId="29" xfId="0" applyFill="1" applyBorder="1" applyAlignment="1" applyProtection="1">
      <alignment horizontal="center" vertical="center"/>
      <protection locked="0"/>
    </xf>
    <xf numFmtId="0" fontId="0" fillId="10" borderId="0" xfId="0" applyFill="1" applyAlignment="1" applyProtection="1">
      <alignment vertical="center"/>
      <protection locked="0"/>
    </xf>
    <xf numFmtId="0" fontId="0" fillId="2" borderId="0" xfId="0" applyFill="1" applyAlignment="1" applyProtection="1">
      <alignment horizontal="center" vertical="center"/>
      <protection locked="0"/>
    </xf>
    <xf numFmtId="0" fontId="0" fillId="10" borderId="29" xfId="0" applyFill="1" applyBorder="1" applyAlignment="1" applyProtection="1">
      <alignment vertical="center"/>
      <protection locked="0"/>
    </xf>
    <xf numFmtId="2" fontId="0" fillId="0" borderId="0" xfId="0" applyNumberFormat="1" applyAlignment="1" applyProtection="1">
      <alignment horizontal="center" vertical="center"/>
      <protection locked="0"/>
    </xf>
    <xf numFmtId="0" fontId="0" fillId="0" borderId="0" xfId="0" applyProtection="1">
      <protection locked="0"/>
    </xf>
    <xf numFmtId="0" fontId="0" fillId="11" borderId="28" xfId="0" applyFill="1" applyBorder="1" applyAlignment="1" applyProtection="1">
      <alignment horizontal="center" vertical="center" wrapText="1"/>
      <protection locked="0"/>
    </xf>
    <xf numFmtId="167" fontId="0" fillId="0" borderId="42" xfId="0" applyNumberFormat="1" applyBorder="1" applyAlignment="1" applyProtection="1">
      <alignment horizontal="center" vertical="center"/>
      <protection locked="0"/>
    </xf>
    <xf numFmtId="0" fontId="0" fillId="2" borderId="41" xfId="0" applyFill="1" applyBorder="1" applyAlignment="1" applyProtection="1">
      <alignment vertical="center"/>
      <protection locked="0"/>
    </xf>
    <xf numFmtId="0" fontId="2" fillId="10" borderId="0" xfId="3" applyFont="1" applyFill="1" applyProtection="1"/>
    <xf numFmtId="0" fontId="0" fillId="10" borderId="29" xfId="0" applyFill="1" applyBorder="1"/>
    <xf numFmtId="165" fontId="0" fillId="10" borderId="0" xfId="0" applyNumberFormat="1" applyFill="1"/>
    <xf numFmtId="0" fontId="2" fillId="10" borderId="0" xfId="3" applyFont="1" applyFill="1" applyBorder="1" applyProtection="1"/>
    <xf numFmtId="0" fontId="2" fillId="10" borderId="0" xfId="3" applyFont="1" applyFill="1" applyBorder="1" applyAlignment="1" applyProtection="1">
      <alignment horizontal="center" vertical="center"/>
    </xf>
    <xf numFmtId="0" fontId="0" fillId="2" borderId="0" xfId="0" applyFill="1" applyProtection="1">
      <protection locked="0"/>
    </xf>
    <xf numFmtId="0" fontId="33" fillId="10" borderId="0" xfId="0" applyFont="1" applyFill="1" applyAlignment="1">
      <alignment horizontal="center" vertical="top" wrapText="1"/>
    </xf>
    <xf numFmtId="0" fontId="21" fillId="10" borderId="0" xfId="0" applyFont="1" applyFill="1" applyAlignment="1">
      <alignment horizontal="center"/>
    </xf>
    <xf numFmtId="0" fontId="15" fillId="10" borderId="0" xfId="0" applyFont="1" applyFill="1" applyAlignment="1">
      <alignment horizontal="left" vertical="center" wrapText="1" indent="24"/>
    </xf>
    <xf numFmtId="0" fontId="15" fillId="10" borderId="0" xfId="0" applyFont="1" applyFill="1" applyAlignment="1">
      <alignment horizontal="left" wrapText="1" indent="7"/>
    </xf>
    <xf numFmtId="0" fontId="3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/>
    </xf>
    <xf numFmtId="165" fontId="3" fillId="6" borderId="0" xfId="0" applyNumberFormat="1" applyFont="1" applyFill="1" applyAlignment="1">
      <alignment horizontal="center" vertical="center"/>
    </xf>
    <xf numFmtId="0" fontId="13" fillId="7" borderId="0" xfId="0" applyFont="1" applyFill="1" applyAlignment="1">
      <alignment horizontal="center" vertical="center"/>
    </xf>
    <xf numFmtId="0" fontId="2" fillId="3" borderId="0" xfId="3" applyFont="1" applyFill="1" applyAlignment="1" applyProtection="1">
      <alignment horizontal="center"/>
      <protection locked="0"/>
    </xf>
    <xf numFmtId="0" fontId="15" fillId="3" borderId="14" xfId="0" applyFont="1" applyFill="1" applyBorder="1" applyAlignment="1">
      <alignment horizontal="center" vertical="center"/>
    </xf>
    <xf numFmtId="0" fontId="15" fillId="3" borderId="0" xfId="0" applyFont="1" applyFill="1" applyAlignment="1">
      <alignment horizontal="center" vertical="center"/>
    </xf>
    <xf numFmtId="0" fontId="15" fillId="3" borderId="13" xfId="0" applyFont="1" applyFill="1" applyBorder="1" applyAlignment="1">
      <alignment horizontal="center" vertical="center"/>
    </xf>
    <xf numFmtId="0" fontId="2" fillId="3" borderId="5" xfId="3" applyFont="1" applyFill="1" applyBorder="1" applyAlignment="1" applyProtection="1">
      <alignment horizontal="center"/>
    </xf>
    <xf numFmtId="0" fontId="2" fillId="3" borderId="4" xfId="3" applyFont="1" applyFill="1" applyBorder="1" applyAlignment="1" applyProtection="1">
      <alignment horizontal="center"/>
    </xf>
    <xf numFmtId="0" fontId="2" fillId="3" borderId="3" xfId="3" applyFont="1" applyFill="1" applyBorder="1" applyAlignment="1" applyProtection="1">
      <alignment horizontal="center"/>
    </xf>
    <xf numFmtId="0" fontId="2" fillId="3" borderId="2" xfId="3" applyFont="1" applyFill="1" applyBorder="1" applyAlignment="1" applyProtection="1">
      <alignment horizontal="center"/>
    </xf>
    <xf numFmtId="0" fontId="2" fillId="3" borderId="5" xfId="3" applyFont="1" applyFill="1" applyBorder="1" applyAlignment="1">
      <alignment horizontal="center"/>
    </xf>
    <xf numFmtId="0" fontId="2" fillId="3" borderId="4" xfId="3" applyFont="1" applyFill="1" applyBorder="1" applyAlignment="1">
      <alignment horizontal="center"/>
    </xf>
    <xf numFmtId="0" fontId="2" fillId="3" borderId="3" xfId="3" applyFont="1" applyFill="1" applyBorder="1" applyAlignment="1">
      <alignment horizontal="center"/>
    </xf>
    <xf numFmtId="0" fontId="2" fillId="3" borderId="2" xfId="3" applyFont="1" applyFill="1" applyBorder="1" applyAlignment="1">
      <alignment horizontal="center"/>
    </xf>
    <xf numFmtId="0" fontId="2" fillId="3" borderId="1" xfId="3" applyFont="1" applyFill="1" applyBorder="1" applyAlignment="1">
      <alignment horizontal="center"/>
    </xf>
    <xf numFmtId="0" fontId="2" fillId="3" borderId="0" xfId="3" applyFont="1" applyFill="1" applyAlignment="1">
      <alignment horizontal="center"/>
    </xf>
  </cellXfs>
  <cellStyles count="5">
    <cellStyle name="Hiperlink" xfId="3" builtinId="8"/>
    <cellStyle name="Moeda" xfId="1" builtinId="4"/>
    <cellStyle name="Normal" xfId="0" builtinId="0"/>
    <cellStyle name="Normal 2" xfId="4" xr:uid="{A52AD9A8-B28F-4A07-A63A-9879A0426C57}"/>
    <cellStyle name="Porcentagem" xfId="2" builtinId="5"/>
  </cellStyles>
  <dxfs count="9642">
    <dxf>
      <border outline="0">
        <bottom style="thin">
          <color theme="4" tint="0.39997558519241921"/>
        </bottom>
      </border>
    </dxf>
    <dxf>
      <border outline="0">
        <bottom style="thin">
          <color theme="4" tint="0.39997558519241921"/>
        </bottom>
      </border>
    </dxf>
    <dxf>
      <border outline="0">
        <bottom style="thin">
          <color theme="4" tint="0.39997558519241921"/>
        </bottom>
      </border>
    </dxf>
    <dxf>
      <border outline="0">
        <bottom style="thin">
          <color theme="4" tint="0.39997558519241921"/>
        </bottom>
      </border>
    </dxf>
    <dxf>
      <border outline="0">
        <bottom style="thin">
          <color theme="4" tint="0.39997558519241921"/>
        </bottom>
      </border>
    </dxf>
    <dxf>
      <border outline="0">
        <bottom style="thin">
          <color theme="4" tint="0.39997558519241921"/>
        </bottom>
      </border>
    </dxf>
    <dxf>
      <font>
        <color theme="0" tint="-0.24994659260841701"/>
      </font>
    </dxf>
    <dxf>
      <font>
        <color theme="0" tint="-0.24994659260841701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7CA8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ill>
        <patternFill patternType="solid">
          <fgColor indexed="64"/>
          <bgColor rgb="FF007CA8"/>
        </patternFill>
      </fill>
      <border diagonalUp="0" diagonalDown="0">
        <left style="thick">
          <color rgb="FF007CA8"/>
        </left>
        <right style="thick">
          <color rgb="FF007CA8"/>
        </right>
        <top style="thick">
          <color rgb="FF007CA8"/>
        </top>
        <bottom style="thick">
          <color rgb="FF007CA8"/>
        </bottom>
        <vertical style="thick">
          <color rgb="FF007CA8"/>
        </vertical>
        <horizontal style="thick">
          <color rgb="FF007CA8"/>
        </horizontal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7CA8"/>
        </left>
        <right style="thick">
          <color rgb="FF007CA8"/>
        </right>
        <top style="thick">
          <color rgb="FF007CA8"/>
        </top>
        <bottom style="thick">
          <color rgb="FF007CA8"/>
        </bottom>
        <vertical style="thick">
          <color rgb="FF007CA8"/>
        </vertical>
        <horizontal style="thick">
          <color rgb="FF007CA8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166" formatCode="[&gt;=1000]\ #,##0,\ &quot;K&quot;;0"/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ck">
          <color rgb="FF007CA8"/>
        </right>
        <top/>
        <bottom/>
        <vertical/>
        <horizontal/>
      </border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ck">
          <color rgb="FF007CA8"/>
        </left>
        <right/>
        <top/>
        <bottom/>
      </border>
    </dxf>
    <dxf>
      <fill>
        <patternFill patternType="solid">
          <fgColor indexed="64"/>
          <bgColor rgb="FF007CA8"/>
        </patternFill>
      </fill>
      <border diagonalUp="0" diagonalDown="0">
        <left style="thick">
          <color rgb="FF007CA8"/>
        </left>
        <right style="thick">
          <color rgb="FF007CA8"/>
        </right>
        <top style="thick">
          <color rgb="FF007CA8"/>
        </top>
        <bottom style="thick">
          <color rgb="FF007CA8"/>
        </bottom>
        <vertical style="thick">
          <color rgb="FF007CA8"/>
        </vertical>
        <horizontal style="thick">
          <color rgb="FF007CA8"/>
        </horizontal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 outline="0">
        <left style="thick">
          <color rgb="FF007CA8"/>
        </left>
        <right style="thick">
          <color rgb="FF007CA8"/>
        </right>
        <top style="thick">
          <color rgb="FF007CA8"/>
        </top>
        <bottom style="thick">
          <color rgb="FF007CA8"/>
        </bottom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border outline="0">
        <top style="thick">
          <color rgb="FF00B0F0"/>
        </top>
        <bottom style="thick">
          <color rgb="FF00B0F0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family val="2"/>
        <scheme val="none"/>
      </font>
      <fill>
        <patternFill patternType="none">
          <fgColor rgb="FF000000"/>
          <bgColor rgb="FFFFFFFF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 tint="0.499984740745262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ck">
          <color rgb="FF00B0F0"/>
        </left>
        <right style="thick">
          <color rgb="FF00B0F0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fill>
        <patternFill patternType="solid">
          <fgColor indexed="64"/>
          <bgColor rgb="FF00B0F0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ck">
          <color rgb="FF00B0F0"/>
        </right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numFmt numFmtId="165" formatCode="_-&quot;R$&quot;* #,##0_-;\-&quot;R$&quot;* #,##0_-;_-&quot;R$&quot;* &quot;-&quot;??_-;_-@_-"/>
      <fill>
        <patternFill patternType="none">
          <fgColor rgb="FF000000"/>
          <bgColor rgb="FFFFFFFF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808080"/>
        <name val="Calibri"/>
        <family val="2"/>
        <scheme val="none"/>
      </font>
      <fill>
        <patternFill patternType="none">
          <fgColor rgb="FF000000"/>
          <bgColor rgb="FFFFFFFF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ck">
          <color rgb="FF00B0F0"/>
        </right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ck">
          <color rgb="FF00B0F0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>
        <left style="thick">
          <color rgb="FF00B0F0"/>
        </left>
      </border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alignment horizontal="general"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7CA8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ill>
        <patternFill patternType="solid">
          <fgColor indexed="64"/>
          <bgColor rgb="FF007CA8"/>
        </patternFill>
      </fill>
      <border diagonalUp="0" diagonalDown="0">
        <left style="thick">
          <color rgb="FF007CA8"/>
        </left>
        <right style="thick">
          <color rgb="FF007CA8"/>
        </right>
        <top style="thick">
          <color rgb="FF007CA8"/>
        </top>
        <bottom style="thick">
          <color rgb="FF007CA8"/>
        </bottom>
        <vertical style="thick">
          <color rgb="FF007CA8"/>
        </vertical>
        <horizontal style="thick">
          <color rgb="FF007CA8"/>
        </horizontal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7CA8"/>
        </left>
        <right style="thick">
          <color rgb="FF007CA8"/>
        </right>
        <top style="thick">
          <color rgb="FF007CA8"/>
        </top>
        <bottom style="thick">
          <color rgb="FF007CA8"/>
        </bottom>
        <vertical style="thick">
          <color rgb="FF007CA8"/>
        </vertical>
        <horizontal style="thick">
          <color rgb="FF007CA8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166" formatCode="[&gt;=1000]\ #,##0,\ &quot;K&quot;;0"/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ck">
          <color rgb="FF007CA8"/>
        </right>
        <top/>
        <bottom/>
        <vertical/>
        <horizontal/>
      </border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ck">
          <color rgb="FF007CA8"/>
        </left>
        <right/>
        <top/>
        <bottom/>
      </border>
    </dxf>
    <dxf>
      <fill>
        <patternFill patternType="solid">
          <fgColor indexed="64"/>
          <bgColor rgb="FF007CA8"/>
        </patternFill>
      </fill>
      <border diagonalUp="0" diagonalDown="0">
        <left style="thick">
          <color rgb="FF007CA8"/>
        </left>
        <right style="thick">
          <color rgb="FF007CA8"/>
        </right>
        <top style="thick">
          <color rgb="FF007CA8"/>
        </top>
        <bottom style="thick">
          <color rgb="FF007CA8"/>
        </bottom>
        <vertical style="thick">
          <color rgb="FF007CA8"/>
        </vertical>
        <horizontal style="thick">
          <color rgb="FF007CA8"/>
        </horizontal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 outline="0">
        <left style="thick">
          <color rgb="FF007CA8"/>
        </left>
        <right style="thick">
          <color rgb="FF007CA8"/>
        </right>
        <top style="thick">
          <color rgb="FF007CA8"/>
        </top>
        <bottom style="thick">
          <color rgb="FF007CA8"/>
        </bottom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border outline="0">
        <top style="thick">
          <color rgb="FF00B0F0"/>
        </top>
        <bottom style="thick">
          <color rgb="FF00B0F0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family val="2"/>
        <scheme val="none"/>
      </font>
      <fill>
        <patternFill patternType="none">
          <fgColor rgb="FF000000"/>
          <bgColor rgb="FFFFFFFF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 tint="0.499984740745262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ck">
          <color rgb="FF00B0F0"/>
        </left>
        <right style="thick">
          <color rgb="FF00B0F0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fill>
        <patternFill patternType="solid">
          <fgColor indexed="64"/>
          <bgColor rgb="FF00B0F0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ck">
          <color rgb="FF00B0F0"/>
        </right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numFmt numFmtId="165" formatCode="_-&quot;R$&quot;* #,##0_-;\-&quot;R$&quot;* #,##0_-;_-&quot;R$&quot;* &quot;-&quot;??_-;_-@_-"/>
      <fill>
        <patternFill patternType="none">
          <fgColor rgb="FF000000"/>
          <bgColor rgb="FFFFFFFF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808080"/>
        <name val="Calibri"/>
        <family val="2"/>
        <scheme val="none"/>
      </font>
      <fill>
        <patternFill patternType="none">
          <fgColor rgb="FF000000"/>
          <bgColor rgb="FFFFFFFF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ck">
          <color rgb="FF00B0F0"/>
        </right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ck">
          <color rgb="FF00B0F0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>
        <left style="thick">
          <color rgb="FF00B0F0"/>
        </left>
      </border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alignment horizontal="general"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7CA8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ill>
        <patternFill patternType="solid">
          <fgColor indexed="64"/>
          <bgColor rgb="FF007CA8"/>
        </patternFill>
      </fill>
      <border diagonalUp="0" diagonalDown="0">
        <left style="thick">
          <color rgb="FF007CA8"/>
        </left>
        <right style="thick">
          <color rgb="FF007CA8"/>
        </right>
        <top style="thick">
          <color rgb="FF007CA8"/>
        </top>
        <bottom style="thick">
          <color rgb="FF007CA8"/>
        </bottom>
        <vertical style="thick">
          <color rgb="FF007CA8"/>
        </vertical>
        <horizontal style="thick">
          <color rgb="FF007CA8"/>
        </horizontal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7CA8"/>
        </left>
        <right style="thick">
          <color rgb="FF007CA8"/>
        </right>
        <top style="thick">
          <color rgb="FF007CA8"/>
        </top>
        <bottom style="thick">
          <color rgb="FF007CA8"/>
        </bottom>
        <vertical style="thick">
          <color rgb="FF007CA8"/>
        </vertical>
        <horizontal style="thick">
          <color rgb="FF007CA8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166" formatCode="[&gt;=1000]\ #,##0,\ &quot;K&quot;;0"/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ck">
          <color rgb="FF007CA8"/>
        </right>
        <top/>
        <bottom/>
        <vertical/>
        <horizontal/>
      </border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ck">
          <color rgb="FF007CA8"/>
        </left>
        <right/>
        <top/>
        <bottom/>
      </border>
    </dxf>
    <dxf>
      <fill>
        <patternFill patternType="solid">
          <fgColor indexed="64"/>
          <bgColor rgb="FF007CA8"/>
        </patternFill>
      </fill>
      <border diagonalUp="0" diagonalDown="0">
        <left style="thick">
          <color rgb="FF007CA8"/>
        </left>
        <right style="thick">
          <color rgb="FF007CA8"/>
        </right>
        <top style="thick">
          <color rgb="FF007CA8"/>
        </top>
        <bottom style="thick">
          <color rgb="FF007CA8"/>
        </bottom>
        <vertical style="thick">
          <color rgb="FF007CA8"/>
        </vertical>
        <horizontal style="thick">
          <color rgb="FF007CA8"/>
        </horizontal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 outline="0">
        <left style="thick">
          <color rgb="FF007CA8"/>
        </left>
        <right style="thick">
          <color rgb="FF007CA8"/>
        </right>
        <top style="thick">
          <color rgb="FF007CA8"/>
        </top>
        <bottom style="thick">
          <color rgb="FF007CA8"/>
        </bottom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border outline="0">
        <top style="thick">
          <color rgb="FF00B0F0"/>
        </top>
        <bottom style="thick">
          <color rgb="FF00B0F0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family val="2"/>
        <scheme val="none"/>
      </font>
      <fill>
        <patternFill patternType="none">
          <fgColor rgb="FF000000"/>
          <bgColor rgb="FFFFFFFF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 tint="0.499984740745262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ck">
          <color rgb="FF00B0F0"/>
        </left>
        <right style="thick">
          <color rgb="FF00B0F0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fill>
        <patternFill patternType="solid">
          <fgColor indexed="64"/>
          <bgColor rgb="FF00B0F0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ck">
          <color rgb="FF00B0F0"/>
        </right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numFmt numFmtId="165" formatCode="_-&quot;R$&quot;* #,##0_-;\-&quot;R$&quot;* #,##0_-;_-&quot;R$&quot;* &quot;-&quot;??_-;_-@_-"/>
      <fill>
        <patternFill patternType="none">
          <fgColor rgb="FF000000"/>
          <bgColor rgb="FFFFFFFF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808080"/>
        <name val="Calibri"/>
        <family val="2"/>
        <scheme val="none"/>
      </font>
      <fill>
        <patternFill patternType="none">
          <fgColor rgb="FF000000"/>
          <bgColor rgb="FFFFFFFF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ck">
          <color rgb="FF00B0F0"/>
        </right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ck">
          <color rgb="FF00B0F0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>
        <left style="thick">
          <color rgb="FF00B0F0"/>
        </left>
      </border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alignment horizontal="general"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7CA8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ill>
        <patternFill patternType="solid">
          <fgColor indexed="64"/>
          <bgColor rgb="FF007CA8"/>
        </patternFill>
      </fill>
      <border diagonalUp="0" diagonalDown="0">
        <left style="thick">
          <color rgb="FF007CA8"/>
        </left>
        <right style="thick">
          <color rgb="FF007CA8"/>
        </right>
        <top style="thick">
          <color rgb="FF007CA8"/>
        </top>
        <bottom style="thick">
          <color rgb="FF007CA8"/>
        </bottom>
        <vertical style="thick">
          <color rgb="FF007CA8"/>
        </vertical>
        <horizontal style="thick">
          <color rgb="FF007CA8"/>
        </horizontal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7CA8"/>
        </left>
        <right style="thick">
          <color rgb="FF007CA8"/>
        </right>
        <top style="thick">
          <color rgb="FF007CA8"/>
        </top>
        <bottom style="thick">
          <color rgb="FF007CA8"/>
        </bottom>
        <vertical style="thick">
          <color rgb="FF007CA8"/>
        </vertical>
        <horizontal style="thick">
          <color rgb="FF007CA8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166" formatCode="[&gt;=1000]\ #,##0,\ &quot;K&quot;;0"/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ck">
          <color rgb="FF007CA8"/>
        </right>
        <top/>
        <bottom/>
        <vertical/>
        <horizontal/>
      </border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ck">
          <color rgb="FF007CA8"/>
        </left>
        <right/>
        <top/>
        <bottom/>
      </border>
    </dxf>
    <dxf>
      <fill>
        <patternFill patternType="solid">
          <fgColor indexed="64"/>
          <bgColor rgb="FF007CA8"/>
        </patternFill>
      </fill>
      <border diagonalUp="0" diagonalDown="0">
        <left style="thick">
          <color rgb="FF007CA8"/>
        </left>
        <right style="thick">
          <color rgb="FF007CA8"/>
        </right>
        <top style="thick">
          <color rgb="FF007CA8"/>
        </top>
        <bottom style="thick">
          <color rgb="FF007CA8"/>
        </bottom>
        <vertical style="thick">
          <color rgb="FF007CA8"/>
        </vertical>
        <horizontal style="thick">
          <color rgb="FF007CA8"/>
        </horizontal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 outline="0">
        <left style="thick">
          <color rgb="FF007CA8"/>
        </left>
        <right style="thick">
          <color rgb="FF007CA8"/>
        </right>
        <top style="thick">
          <color rgb="FF007CA8"/>
        </top>
        <bottom style="thick">
          <color rgb="FF007CA8"/>
        </bottom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border outline="0">
        <top style="thick">
          <color rgb="FF00B0F0"/>
        </top>
        <bottom style="thick">
          <color rgb="FF00B0F0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family val="2"/>
        <scheme val="none"/>
      </font>
      <fill>
        <patternFill patternType="none">
          <fgColor rgb="FF000000"/>
          <bgColor rgb="FFFFFFFF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 tint="0.499984740745262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ck">
          <color rgb="FF00B0F0"/>
        </left>
        <right style="thick">
          <color rgb="FF00B0F0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fill>
        <patternFill patternType="solid">
          <fgColor indexed="64"/>
          <bgColor rgb="FF00B0F0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ck">
          <color rgb="FF00B0F0"/>
        </right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numFmt numFmtId="165" formatCode="_-&quot;R$&quot;* #,##0_-;\-&quot;R$&quot;* #,##0_-;_-&quot;R$&quot;* &quot;-&quot;??_-;_-@_-"/>
      <fill>
        <patternFill patternType="none">
          <fgColor rgb="FF000000"/>
          <bgColor rgb="FFFFFFFF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808080"/>
        <name val="Calibri"/>
        <family val="2"/>
        <scheme val="none"/>
      </font>
      <fill>
        <patternFill patternType="none">
          <fgColor rgb="FF000000"/>
          <bgColor rgb="FFFFFFFF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ck">
          <color rgb="FF00B0F0"/>
        </right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ck">
          <color rgb="FF00B0F0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>
        <left style="thick">
          <color rgb="FF00B0F0"/>
        </left>
      </border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alignment horizontal="general"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7CA8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ill>
        <patternFill patternType="solid">
          <fgColor indexed="64"/>
          <bgColor rgb="FF007CA8"/>
        </patternFill>
      </fill>
      <border diagonalUp="0" diagonalDown="0">
        <left style="thick">
          <color rgb="FF007CA8"/>
        </left>
        <right style="thick">
          <color rgb="FF007CA8"/>
        </right>
        <top style="thick">
          <color rgb="FF007CA8"/>
        </top>
        <bottom style="thick">
          <color rgb="FF007CA8"/>
        </bottom>
        <vertical style="thick">
          <color rgb="FF007CA8"/>
        </vertical>
        <horizontal style="thick">
          <color rgb="FF007CA8"/>
        </horizontal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7CA8"/>
        </left>
        <right style="thick">
          <color rgb="FF007CA8"/>
        </right>
        <top style="thick">
          <color rgb="FF007CA8"/>
        </top>
        <bottom style="thick">
          <color rgb="FF007CA8"/>
        </bottom>
        <vertical style="thick">
          <color rgb="FF007CA8"/>
        </vertical>
        <horizontal style="thick">
          <color rgb="FF007CA8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166" formatCode="[&gt;=1000]\ #,##0,\ &quot;K&quot;;0"/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ck">
          <color rgb="FF007CA8"/>
        </right>
        <top/>
        <bottom/>
        <vertical/>
        <horizontal/>
      </border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ck">
          <color rgb="FF007CA8"/>
        </left>
        <right/>
        <top/>
        <bottom/>
      </border>
    </dxf>
    <dxf>
      <fill>
        <patternFill patternType="solid">
          <fgColor indexed="64"/>
          <bgColor rgb="FF007CA8"/>
        </patternFill>
      </fill>
      <border diagonalUp="0" diagonalDown="0">
        <left style="thick">
          <color rgb="FF007CA8"/>
        </left>
        <right style="thick">
          <color rgb="FF007CA8"/>
        </right>
        <top style="thick">
          <color rgb="FF007CA8"/>
        </top>
        <bottom style="thick">
          <color rgb="FF007CA8"/>
        </bottom>
        <vertical style="thick">
          <color rgb="FF007CA8"/>
        </vertical>
        <horizontal style="thick">
          <color rgb="FF007CA8"/>
        </horizontal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 outline="0">
        <left style="thick">
          <color rgb="FF007CA8"/>
        </left>
        <right style="thick">
          <color rgb="FF007CA8"/>
        </right>
        <top style="thick">
          <color rgb="FF007CA8"/>
        </top>
        <bottom style="thick">
          <color rgb="FF007CA8"/>
        </bottom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border outline="0">
        <top style="thick">
          <color rgb="FF00B0F0"/>
        </top>
        <bottom style="thick">
          <color rgb="FF00B0F0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family val="2"/>
        <scheme val="none"/>
      </font>
      <fill>
        <patternFill patternType="none">
          <fgColor rgb="FF000000"/>
          <bgColor rgb="FFFFFFFF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 tint="0.499984740745262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ck">
          <color rgb="FF00B0F0"/>
        </left>
        <right style="thick">
          <color rgb="FF00B0F0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fill>
        <patternFill patternType="solid">
          <fgColor indexed="64"/>
          <bgColor rgb="FF00B0F0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ck">
          <color rgb="FF00B0F0"/>
        </right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numFmt numFmtId="165" formatCode="_-&quot;R$&quot;* #,##0_-;\-&quot;R$&quot;* #,##0_-;_-&quot;R$&quot;* &quot;-&quot;??_-;_-@_-"/>
      <fill>
        <patternFill patternType="none">
          <fgColor rgb="FF000000"/>
          <bgColor rgb="FFFFFFFF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808080"/>
        <name val="Calibri"/>
        <family val="2"/>
        <scheme val="none"/>
      </font>
      <fill>
        <patternFill patternType="none">
          <fgColor rgb="FF000000"/>
          <bgColor rgb="FFFFFFFF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ck">
          <color rgb="FF00B0F0"/>
        </right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ck">
          <color rgb="FF00B0F0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>
        <left style="thick">
          <color rgb="FF00B0F0"/>
        </left>
      </border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alignment horizontal="general"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7CA8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ill>
        <patternFill patternType="solid">
          <fgColor indexed="64"/>
          <bgColor rgb="FF007CA8"/>
        </patternFill>
      </fill>
      <border diagonalUp="0" diagonalDown="0">
        <left style="thick">
          <color rgb="FF007CA8"/>
        </left>
        <right style="thick">
          <color rgb="FF007CA8"/>
        </right>
        <top style="thick">
          <color rgb="FF007CA8"/>
        </top>
        <bottom style="thick">
          <color rgb="FF007CA8"/>
        </bottom>
        <vertical style="thick">
          <color rgb="FF007CA8"/>
        </vertical>
        <horizontal style="thick">
          <color rgb="FF007CA8"/>
        </horizontal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7CA8"/>
        </left>
        <right style="thick">
          <color rgb="FF007CA8"/>
        </right>
        <top style="thick">
          <color rgb="FF007CA8"/>
        </top>
        <bottom style="thick">
          <color rgb="FF007CA8"/>
        </bottom>
        <vertical style="thick">
          <color rgb="FF007CA8"/>
        </vertical>
        <horizontal style="thick">
          <color rgb="FF007CA8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166" formatCode="[&gt;=1000]\ #,##0,\ &quot;K&quot;;0"/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ck">
          <color rgb="FF007CA8"/>
        </right>
        <top/>
        <bottom/>
        <vertical/>
        <horizontal/>
      </border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ck">
          <color rgb="FF007CA8"/>
        </left>
        <right/>
        <top/>
        <bottom/>
      </border>
    </dxf>
    <dxf>
      <fill>
        <patternFill patternType="solid">
          <fgColor indexed="64"/>
          <bgColor rgb="FF007CA8"/>
        </patternFill>
      </fill>
      <border diagonalUp="0" diagonalDown="0">
        <left style="thick">
          <color rgb="FF007CA8"/>
        </left>
        <right style="thick">
          <color rgb="FF007CA8"/>
        </right>
        <top style="thick">
          <color rgb="FF007CA8"/>
        </top>
        <bottom style="thick">
          <color rgb="FF007CA8"/>
        </bottom>
        <vertical style="thick">
          <color rgb="FF007CA8"/>
        </vertical>
        <horizontal style="thick">
          <color rgb="FF007CA8"/>
        </horizontal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 outline="0">
        <left style="thick">
          <color rgb="FF007CA8"/>
        </left>
        <right style="thick">
          <color rgb="FF007CA8"/>
        </right>
        <top style="thick">
          <color rgb="FF007CA8"/>
        </top>
        <bottom style="thick">
          <color rgb="FF007CA8"/>
        </bottom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border outline="0">
        <top style="thick">
          <color rgb="FF00B0F0"/>
        </top>
        <bottom style="thick">
          <color rgb="FF00B0F0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family val="2"/>
        <scheme val="none"/>
      </font>
      <fill>
        <patternFill patternType="none">
          <fgColor rgb="FF000000"/>
          <bgColor rgb="FFFFFFFF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 tint="0.499984740745262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ck">
          <color rgb="FF00B0F0"/>
        </left>
        <right style="thick">
          <color rgb="FF00B0F0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fill>
        <patternFill patternType="solid">
          <fgColor indexed="64"/>
          <bgColor rgb="FF00B0F0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ck">
          <color rgb="FF00B0F0"/>
        </right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numFmt numFmtId="165" formatCode="_-&quot;R$&quot;* #,##0_-;\-&quot;R$&quot;* #,##0_-;_-&quot;R$&quot;* &quot;-&quot;??_-;_-@_-"/>
      <fill>
        <patternFill patternType="none">
          <fgColor rgb="FF000000"/>
          <bgColor rgb="FFFFFFFF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808080"/>
        <name val="Calibri"/>
        <family val="2"/>
        <scheme val="none"/>
      </font>
      <fill>
        <patternFill patternType="none">
          <fgColor rgb="FF000000"/>
          <bgColor rgb="FFFFFFFF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ck">
          <color rgb="FF00B0F0"/>
        </right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ck">
          <color rgb="FF00B0F0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>
        <left style="thick">
          <color rgb="FF00B0F0"/>
        </left>
      </border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alignment horizontal="general"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7CA8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ill>
        <patternFill patternType="solid">
          <fgColor indexed="64"/>
          <bgColor rgb="FF007CA8"/>
        </patternFill>
      </fill>
      <border diagonalUp="0" diagonalDown="0">
        <left style="thick">
          <color rgb="FF007CA8"/>
        </left>
        <right style="thick">
          <color rgb="FF007CA8"/>
        </right>
        <top style="thick">
          <color rgb="FF007CA8"/>
        </top>
        <bottom style="thick">
          <color rgb="FF007CA8"/>
        </bottom>
        <vertical style="thick">
          <color rgb="FF007CA8"/>
        </vertical>
        <horizontal style="thick">
          <color rgb="FF007CA8"/>
        </horizontal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7CA8"/>
        </left>
        <right style="thick">
          <color rgb="FF007CA8"/>
        </right>
        <top style="thick">
          <color rgb="FF007CA8"/>
        </top>
        <bottom style="thick">
          <color rgb="FF007CA8"/>
        </bottom>
        <vertical style="thick">
          <color rgb="FF007CA8"/>
        </vertical>
        <horizontal style="thick">
          <color rgb="FF007CA8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166" formatCode="[&gt;=1000]\ #,##0,\ &quot;K&quot;;0"/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ck">
          <color rgb="FF007CA8"/>
        </right>
        <top/>
        <bottom/>
        <vertical/>
        <horizontal/>
      </border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ck">
          <color rgb="FF007CA8"/>
        </left>
        <right/>
        <top/>
        <bottom/>
      </border>
    </dxf>
    <dxf>
      <fill>
        <patternFill patternType="solid">
          <fgColor indexed="64"/>
          <bgColor rgb="FF007CA8"/>
        </patternFill>
      </fill>
      <border diagonalUp="0" diagonalDown="0">
        <left style="thick">
          <color rgb="FF007CA8"/>
        </left>
        <right style="thick">
          <color rgb="FF007CA8"/>
        </right>
        <top style="thick">
          <color rgb="FF007CA8"/>
        </top>
        <bottom style="thick">
          <color rgb="FF007CA8"/>
        </bottom>
        <vertical style="thick">
          <color rgb="FF007CA8"/>
        </vertical>
        <horizontal style="thick">
          <color rgb="FF007CA8"/>
        </horizontal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 outline="0">
        <left style="thick">
          <color rgb="FF007CA8"/>
        </left>
        <right style="thick">
          <color rgb="FF007CA8"/>
        </right>
        <top style="thick">
          <color rgb="FF007CA8"/>
        </top>
        <bottom style="thick">
          <color rgb="FF007CA8"/>
        </bottom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border outline="0">
        <top style="thick">
          <color rgb="FF00B0F0"/>
        </top>
        <bottom style="thick">
          <color rgb="FF00B0F0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family val="2"/>
        <scheme val="none"/>
      </font>
      <fill>
        <patternFill patternType="none">
          <fgColor rgb="FF000000"/>
          <bgColor rgb="FFFFFFFF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 tint="0.499984740745262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ck">
          <color rgb="FF00B0F0"/>
        </left>
        <right style="thick">
          <color rgb="FF00B0F0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fill>
        <patternFill patternType="solid">
          <fgColor indexed="64"/>
          <bgColor rgb="FF00B0F0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ck">
          <color rgb="FF00B0F0"/>
        </right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numFmt numFmtId="165" formatCode="_-&quot;R$&quot;* #,##0_-;\-&quot;R$&quot;* #,##0_-;_-&quot;R$&quot;* &quot;-&quot;??_-;_-@_-"/>
      <fill>
        <patternFill patternType="none">
          <fgColor rgb="FF000000"/>
          <bgColor rgb="FFFFFFFF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808080"/>
        <name val="Calibri"/>
        <family val="2"/>
        <scheme val="none"/>
      </font>
      <fill>
        <patternFill patternType="none">
          <fgColor rgb="FF000000"/>
          <bgColor rgb="FFFFFFFF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ck">
          <color rgb="FF00B0F0"/>
        </right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ck">
          <color rgb="FF00B0F0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>
        <left style="thick">
          <color rgb="FF00B0F0"/>
        </left>
      </border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alignment horizontal="general"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7CA8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ill>
        <patternFill patternType="solid">
          <fgColor indexed="64"/>
          <bgColor rgb="FF007CA8"/>
        </patternFill>
      </fill>
      <border diagonalUp="0" diagonalDown="0">
        <left style="thick">
          <color rgb="FF007CA8"/>
        </left>
        <right style="thick">
          <color rgb="FF007CA8"/>
        </right>
        <top style="thick">
          <color rgb="FF007CA8"/>
        </top>
        <bottom style="thick">
          <color rgb="FF007CA8"/>
        </bottom>
        <vertical style="thick">
          <color rgb="FF007CA8"/>
        </vertical>
        <horizontal style="thick">
          <color rgb="FF007CA8"/>
        </horizontal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7CA8"/>
        </left>
        <right style="thick">
          <color rgb="FF007CA8"/>
        </right>
        <top style="thick">
          <color rgb="FF007CA8"/>
        </top>
        <bottom style="thick">
          <color rgb="FF007CA8"/>
        </bottom>
        <vertical style="thick">
          <color rgb="FF007CA8"/>
        </vertical>
        <horizontal style="thick">
          <color rgb="FF007CA8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166" formatCode="[&gt;=1000]\ #,##0,\ &quot;K&quot;;0"/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ck">
          <color rgb="FF007CA8"/>
        </right>
        <top/>
        <bottom/>
        <vertical/>
        <horizontal/>
      </border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ck">
          <color rgb="FF007CA8"/>
        </left>
        <right/>
        <top/>
        <bottom/>
      </border>
    </dxf>
    <dxf>
      <fill>
        <patternFill patternType="solid">
          <fgColor indexed="64"/>
          <bgColor rgb="FF007CA8"/>
        </patternFill>
      </fill>
      <border diagonalUp="0" diagonalDown="0">
        <left style="thick">
          <color rgb="FF007CA8"/>
        </left>
        <right style="thick">
          <color rgb="FF007CA8"/>
        </right>
        <top style="thick">
          <color rgb="FF007CA8"/>
        </top>
        <bottom style="thick">
          <color rgb="FF007CA8"/>
        </bottom>
        <vertical style="thick">
          <color rgb="FF007CA8"/>
        </vertical>
        <horizontal style="thick">
          <color rgb="FF007CA8"/>
        </horizontal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 outline="0">
        <left style="thick">
          <color rgb="FF007CA8"/>
        </left>
        <right style="thick">
          <color rgb="FF007CA8"/>
        </right>
        <top style="thick">
          <color rgb="FF007CA8"/>
        </top>
        <bottom style="thick">
          <color rgb="FF007CA8"/>
        </bottom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border outline="0">
        <top style="thick">
          <color rgb="FF00B0F0"/>
        </top>
        <bottom style="thick">
          <color rgb="FF00B0F0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family val="2"/>
        <scheme val="none"/>
      </font>
      <fill>
        <patternFill patternType="none">
          <fgColor rgb="FF000000"/>
          <bgColor rgb="FFFFFFFF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 tint="0.499984740745262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ck">
          <color rgb="FF00B0F0"/>
        </left>
        <right style="thick">
          <color rgb="FF00B0F0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fill>
        <patternFill patternType="solid">
          <fgColor indexed="64"/>
          <bgColor rgb="FF00B0F0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ck">
          <color rgb="FF00B0F0"/>
        </right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numFmt numFmtId="165" formatCode="_-&quot;R$&quot;* #,##0_-;\-&quot;R$&quot;* #,##0_-;_-&quot;R$&quot;* &quot;-&quot;??_-;_-@_-"/>
      <fill>
        <patternFill patternType="none">
          <fgColor rgb="FF000000"/>
          <bgColor rgb="FFFFFFFF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808080"/>
        <name val="Calibri"/>
        <family val="2"/>
        <scheme val="none"/>
      </font>
      <fill>
        <patternFill patternType="none">
          <fgColor rgb="FF000000"/>
          <bgColor rgb="FFFFFFFF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ck">
          <color rgb="FF00B0F0"/>
        </right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ck">
          <color rgb="FF00B0F0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>
        <left style="thick">
          <color rgb="FF00B0F0"/>
        </left>
      </border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alignment horizontal="general"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7CA8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ill>
        <patternFill patternType="solid">
          <fgColor indexed="64"/>
          <bgColor rgb="FF007CA8"/>
        </patternFill>
      </fill>
      <border diagonalUp="0" diagonalDown="0">
        <left style="thick">
          <color rgb="FF007CA8"/>
        </left>
        <right style="thick">
          <color rgb="FF007CA8"/>
        </right>
        <top style="thick">
          <color rgb="FF007CA8"/>
        </top>
        <bottom style="thick">
          <color rgb="FF007CA8"/>
        </bottom>
        <vertical style="thick">
          <color rgb="FF007CA8"/>
        </vertical>
        <horizontal style="thick">
          <color rgb="FF007CA8"/>
        </horizontal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7CA8"/>
        </left>
        <right style="thick">
          <color rgb="FF007CA8"/>
        </right>
        <top style="thick">
          <color rgb="FF007CA8"/>
        </top>
        <bottom style="thick">
          <color rgb="FF007CA8"/>
        </bottom>
        <vertical style="thick">
          <color rgb="FF007CA8"/>
        </vertical>
        <horizontal style="thick">
          <color rgb="FF007CA8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166" formatCode="[&gt;=1000]\ #,##0,\ &quot;K&quot;;0"/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ck">
          <color rgb="FF007CA8"/>
        </right>
        <top/>
        <bottom/>
        <vertical/>
        <horizontal/>
      </border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ck">
          <color rgb="FF007CA8"/>
        </left>
        <right/>
        <top/>
        <bottom/>
      </border>
    </dxf>
    <dxf>
      <fill>
        <patternFill patternType="solid">
          <fgColor indexed="64"/>
          <bgColor rgb="FF007CA8"/>
        </patternFill>
      </fill>
      <border diagonalUp="0" diagonalDown="0">
        <left style="thick">
          <color rgb="FF007CA8"/>
        </left>
        <right style="thick">
          <color rgb="FF007CA8"/>
        </right>
        <top style="thick">
          <color rgb="FF007CA8"/>
        </top>
        <bottom style="thick">
          <color rgb="FF007CA8"/>
        </bottom>
        <vertical style="thick">
          <color rgb="FF007CA8"/>
        </vertical>
        <horizontal style="thick">
          <color rgb="FF007CA8"/>
        </horizontal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 outline="0">
        <left style="thick">
          <color rgb="FF007CA8"/>
        </left>
        <right style="thick">
          <color rgb="FF007CA8"/>
        </right>
        <top style="thick">
          <color rgb="FF007CA8"/>
        </top>
        <bottom style="thick">
          <color rgb="FF007CA8"/>
        </bottom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border outline="0">
        <top style="thick">
          <color rgb="FF00B0F0"/>
        </top>
        <bottom style="thick">
          <color rgb="FF00B0F0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family val="2"/>
        <scheme val="none"/>
      </font>
      <fill>
        <patternFill patternType="none">
          <fgColor rgb="FF000000"/>
          <bgColor rgb="FFFFFFFF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 tint="0.499984740745262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ck">
          <color rgb="FF00B0F0"/>
        </left>
        <right style="thick">
          <color rgb="FF00B0F0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fill>
        <patternFill patternType="solid">
          <fgColor indexed="64"/>
          <bgColor rgb="FF00B0F0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ck">
          <color rgb="FF00B0F0"/>
        </right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numFmt numFmtId="165" formatCode="_-&quot;R$&quot;* #,##0_-;\-&quot;R$&quot;* #,##0_-;_-&quot;R$&quot;* &quot;-&quot;??_-;_-@_-"/>
      <fill>
        <patternFill patternType="none">
          <fgColor rgb="FF000000"/>
          <bgColor rgb="FFFFFFFF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808080"/>
        <name val="Calibri"/>
        <family val="2"/>
        <scheme val="none"/>
      </font>
      <fill>
        <patternFill patternType="none">
          <fgColor rgb="FF000000"/>
          <bgColor rgb="FFFFFFFF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ck">
          <color rgb="FF00B0F0"/>
        </right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ck">
          <color rgb="FF00B0F0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>
        <left style="thick">
          <color rgb="FF00B0F0"/>
        </left>
      </border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alignment horizontal="general"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7CA8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ill>
        <patternFill patternType="solid">
          <fgColor indexed="64"/>
          <bgColor rgb="FF007CA8"/>
        </patternFill>
      </fill>
      <border diagonalUp="0" diagonalDown="0">
        <left style="thick">
          <color rgb="FF007CA8"/>
        </left>
        <right style="thick">
          <color rgb="FF007CA8"/>
        </right>
        <top style="thick">
          <color rgb="FF007CA8"/>
        </top>
        <bottom style="thick">
          <color rgb="FF007CA8"/>
        </bottom>
        <vertical style="thick">
          <color rgb="FF007CA8"/>
        </vertical>
        <horizontal style="thick">
          <color rgb="FF007CA8"/>
        </horizontal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7CA8"/>
        </left>
        <right style="thick">
          <color rgb="FF007CA8"/>
        </right>
        <top style="thick">
          <color rgb="FF007CA8"/>
        </top>
        <bottom style="thick">
          <color rgb="FF007CA8"/>
        </bottom>
        <vertical style="thick">
          <color rgb="FF007CA8"/>
        </vertical>
        <horizontal style="thick">
          <color rgb="FF007CA8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166" formatCode="[&gt;=1000]\ #,##0,\ &quot;K&quot;;0"/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ck">
          <color rgb="FF007CA8"/>
        </right>
        <top/>
        <bottom/>
        <vertical/>
        <horizontal/>
      </border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ck">
          <color rgb="FF007CA8"/>
        </left>
        <right/>
        <top/>
        <bottom/>
      </border>
    </dxf>
    <dxf>
      <fill>
        <patternFill patternType="solid">
          <fgColor indexed="64"/>
          <bgColor rgb="FF007CA8"/>
        </patternFill>
      </fill>
      <border diagonalUp="0" diagonalDown="0">
        <left style="thick">
          <color rgb="FF007CA8"/>
        </left>
        <right style="thick">
          <color rgb="FF007CA8"/>
        </right>
        <top style="thick">
          <color rgb="FF007CA8"/>
        </top>
        <bottom style="thick">
          <color rgb="FF007CA8"/>
        </bottom>
        <vertical style="thick">
          <color rgb="FF007CA8"/>
        </vertical>
        <horizontal style="thick">
          <color rgb="FF007CA8"/>
        </horizontal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 outline="0">
        <left style="thick">
          <color rgb="FF007CA8"/>
        </left>
        <right style="thick">
          <color rgb="FF007CA8"/>
        </right>
        <top style="thick">
          <color rgb="FF007CA8"/>
        </top>
        <bottom style="thick">
          <color rgb="FF007CA8"/>
        </bottom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border outline="0">
        <top style="thick">
          <color rgb="FF00B0F0"/>
        </top>
        <bottom style="thick">
          <color rgb="FF00B0F0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family val="2"/>
        <scheme val="none"/>
      </font>
      <fill>
        <patternFill patternType="none">
          <fgColor rgb="FF000000"/>
          <bgColor rgb="FFFFFFFF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 tint="0.499984740745262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ck">
          <color rgb="FF00B0F0"/>
        </left>
        <right style="thick">
          <color rgb="FF00B0F0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fill>
        <patternFill patternType="solid">
          <fgColor indexed="64"/>
          <bgColor rgb="FF00B0F0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ck">
          <color rgb="FF00B0F0"/>
        </right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numFmt numFmtId="165" formatCode="_-&quot;R$&quot;* #,##0_-;\-&quot;R$&quot;* #,##0_-;_-&quot;R$&quot;* &quot;-&quot;??_-;_-@_-"/>
      <fill>
        <patternFill patternType="none">
          <fgColor rgb="FF000000"/>
          <bgColor rgb="FFFFFFFF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808080"/>
        <name val="Calibri"/>
        <family val="2"/>
        <scheme val="none"/>
      </font>
      <fill>
        <patternFill patternType="none">
          <fgColor rgb="FF000000"/>
          <bgColor rgb="FFFFFFFF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ck">
          <color rgb="FF00B0F0"/>
        </right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ck">
          <color rgb="FF00B0F0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>
        <left style="thick">
          <color rgb="FF00B0F0"/>
        </left>
      </border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alignment horizontal="general"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7CA8"/>
        </right>
        <vertic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ill>
        <patternFill patternType="solid">
          <fgColor indexed="64"/>
          <bgColor rgb="FF007CA8"/>
        </patternFill>
      </fill>
      <border diagonalUp="0" diagonalDown="0">
        <left style="thick">
          <color rgb="FF007CA8"/>
        </left>
        <right style="thick">
          <color rgb="FF007CA8"/>
        </right>
        <top style="thick">
          <color rgb="FF007CA8"/>
        </top>
        <bottom style="thick">
          <color rgb="FF007CA8"/>
        </bottom>
        <vertical style="thick">
          <color rgb="FF007CA8"/>
        </vertical>
        <horizontal style="thick">
          <color rgb="FF007CA8"/>
        </horizontal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7CA8"/>
        </left>
        <right style="thick">
          <color rgb="FF007CA8"/>
        </right>
        <top style="thick">
          <color rgb="FF007CA8"/>
        </top>
        <bottom style="thick">
          <color rgb="FF007CA8"/>
        </bottom>
        <vertical style="thick">
          <color rgb="FF007CA8"/>
        </vertical>
        <horizontal style="thick">
          <color rgb="FF007CA8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166" formatCode="[&gt;=1000]\ #,##0,\ &quot;K&quot;;0"/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ck">
          <color rgb="FF007CA8"/>
        </right>
        <top/>
        <bottom/>
        <vertical/>
        <horizontal/>
      </border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ck">
          <color rgb="FF007CA8"/>
        </left>
        <right/>
        <top/>
        <bottom/>
      </border>
    </dxf>
    <dxf>
      <fill>
        <patternFill patternType="solid">
          <fgColor indexed="64"/>
          <bgColor rgb="FF007CA8"/>
        </patternFill>
      </fill>
      <border diagonalUp="0" diagonalDown="0">
        <left style="thick">
          <color rgb="FF007CA8"/>
        </left>
        <right style="thick">
          <color rgb="FF007CA8"/>
        </right>
        <top style="thick">
          <color rgb="FF007CA8"/>
        </top>
        <bottom style="thick">
          <color rgb="FF007CA8"/>
        </bottom>
        <vertical style="thick">
          <color rgb="FF007CA8"/>
        </vertical>
        <horizontal style="thick">
          <color rgb="FF007CA8"/>
        </horizontal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 outline="0">
        <left style="thick">
          <color rgb="FF007CA8"/>
        </left>
        <right style="thick">
          <color rgb="FF007CA8"/>
        </right>
        <top style="thick">
          <color rgb="FF007CA8"/>
        </top>
        <bottom style="thick">
          <color rgb="FF007CA8"/>
        </bottom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border outline="0">
        <top style="thick">
          <color rgb="FF00B0F0"/>
        </top>
        <bottom style="thick">
          <color rgb="FF00B0F0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family val="2"/>
        <scheme val="none"/>
      </font>
      <fill>
        <patternFill patternType="none">
          <fgColor rgb="FF000000"/>
          <bgColor rgb="FFFFFFFF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 tint="0.499984740745262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ck">
          <color rgb="FF00B0F0"/>
        </left>
        <right style="thick">
          <color rgb="FF00B0F0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fill>
        <patternFill patternType="solid">
          <fgColor indexed="64"/>
          <bgColor rgb="FF00B0F0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ck">
          <color rgb="FF00B0F0"/>
        </right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numFmt numFmtId="165" formatCode="_-&quot;R$&quot;* #,##0_-;\-&quot;R$&quot;* #,##0_-;_-&quot;R$&quot;* &quot;-&quot;??_-;_-@_-"/>
      <fill>
        <patternFill patternType="none">
          <fgColor rgb="FF000000"/>
          <bgColor rgb="FFFFFFFF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808080"/>
        <name val="Calibri"/>
        <family val="2"/>
        <scheme val="none"/>
      </font>
      <fill>
        <patternFill patternType="none">
          <fgColor rgb="FF000000"/>
          <bgColor rgb="FFFFFFFF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ck">
          <color rgb="FF00B0F0"/>
        </right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ck">
          <color rgb="FF00B0F0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>
        <left style="thick">
          <color rgb="FF00B0F0"/>
        </left>
      </border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alignment horizontal="general"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>
        <left/>
        <right style="thick">
          <color rgb="FF00B0F0"/>
        </right>
        <top/>
        <bottom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  <protection locked="1" hidden="0"/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protection locked="1" hidden="0"/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protection locked="1" hidden="0"/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protection locked="1" hidden="0"/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>
        <left/>
        <right style="thick">
          <color rgb="FF00B0F0"/>
        </right>
        <top/>
        <bottom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  <protection locked="1" hidden="0"/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protection locked="1" hidden="0"/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protection locked="1" hidden="0"/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protection locked="1" hidden="0"/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>
        <left/>
        <right style="thick">
          <color rgb="FF00B0F0"/>
        </right>
        <top/>
        <bottom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  <protection locked="1" hidden="0"/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protection locked="1" hidden="0"/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protection locked="1" hidden="0"/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protection locked="1" hidden="0"/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>
        <left/>
        <right style="thick">
          <color rgb="FF00B0F0"/>
        </right>
        <top/>
        <bottom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  <protection locked="1" hidden="0"/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protection locked="1" hidden="0"/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protection locked="1" hidden="0"/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protection locked="1" hidden="0"/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>
        <left/>
        <right style="thick">
          <color rgb="FF00B0F0"/>
        </right>
        <top/>
        <bottom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  <protection locked="1" hidden="0"/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protection locked="1" hidden="0"/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protection locked="1" hidden="0"/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protection locked="1" hidden="0"/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>
        <left/>
        <right style="thick">
          <color rgb="FF00B0F0"/>
        </right>
        <top/>
        <bottom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  <protection locked="1" hidden="0"/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protection locked="1" hidden="0"/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protection locked="1" hidden="0"/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protection locked="1" hidden="0"/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>
        <left/>
        <right style="thick">
          <color rgb="FF00B0F0"/>
        </right>
        <top/>
        <bottom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  <protection locked="1" hidden="0"/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protection locked="1" hidden="0"/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protection locked="1" hidden="0"/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protection locked="1" hidden="0"/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>
        <left/>
        <right style="thick">
          <color rgb="FF00B0F0"/>
        </right>
        <top/>
        <bottom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B0F0"/>
        </right>
        <vertical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  <protection locked="1" hidden="0"/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  <protection locked="1" hidden="0"/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protection locked="1" hidden="0"/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protection locked="1" hidden="0"/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protection locked="1" hidden="0"/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>
        <left/>
        <right style="thick">
          <color rgb="FF00B0F0"/>
        </right>
        <top/>
        <bottom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7CA8"/>
        </right>
        <vertical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protection locked="1" hidden="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  <protection locked="1" hidden="0"/>
    </dxf>
    <dxf>
      <fill>
        <patternFill patternType="solid">
          <fgColor indexed="64"/>
          <bgColor rgb="FF007CA8"/>
        </patternFill>
      </fill>
      <border diagonalUp="0" diagonalDown="0">
        <left style="thick">
          <color rgb="FF007CA8"/>
        </left>
        <right style="thick">
          <color rgb="FF007CA8"/>
        </right>
        <top style="thick">
          <color rgb="FF007CA8"/>
        </top>
        <bottom style="thick">
          <color rgb="FF007CA8"/>
        </bottom>
        <vertical style="thick">
          <color rgb="FF007CA8"/>
        </vertical>
        <horizontal style="thick">
          <color rgb="FF007CA8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7CA8"/>
        </left>
        <right style="thick">
          <color rgb="FF007CA8"/>
        </right>
        <top style="thick">
          <color rgb="FF007CA8"/>
        </top>
        <bottom style="thick">
          <color rgb="FF007CA8"/>
        </bottom>
        <vertical style="thick">
          <color rgb="FF007CA8"/>
        </vertical>
        <horizontal style="thick">
          <color rgb="FF007CA8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protection locked="1" hidden="0"/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protection locked="1" hidden="0"/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protection locked="1" hidden="0"/>
    </dxf>
    <dxf>
      <numFmt numFmtId="166" formatCode="[&gt;=1000]\ #,##0,\ &quot;K&quot;;0"/>
      <protection locked="1" hidden="0"/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ck">
          <color rgb="FF00B0F0"/>
        </right>
        <top/>
        <bottom/>
      </border>
      <protection locked="1" hidden="0"/>
    </dxf>
    <dxf>
      <numFmt numFmtId="166" formatCode="[&gt;=1000]\ #,##0,\ &quot;K&quot;;0"/>
      <protection locked="1" hidden="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ck">
          <color rgb="FF007CA8"/>
        </right>
        <top/>
        <bottom/>
        <vertical/>
        <horizontal/>
      </border>
      <protection locked="1" hidden="0"/>
    </dxf>
    <dxf>
      <numFmt numFmtId="166" formatCode="[&gt;=1000]\ #,##0,\ &quot;K&quot;;0"/>
      <protection locked="1" hidden="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protection locked="1" hidden="0"/>
    </dxf>
    <dxf>
      <numFmt numFmtId="166" formatCode="[&gt;=1000]\ #,##0,\ &quot;K&quot;;0"/>
      <protection locked="1" hidden="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protection locked="1" hidden="0"/>
    </dxf>
    <dxf>
      <numFmt numFmtId="166" formatCode="[&gt;=1000]\ #,##0,\ &quot;K&quot;;0"/>
      <protection locked="1" hidden="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protection locked="1" hidden="0"/>
    </dxf>
    <dxf>
      <numFmt numFmtId="166" formatCode="[&gt;=1000]\ #,##0,\ &quot;K&quot;;0"/>
      <protection locked="1" hidden="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protection locked="1" hidden="0"/>
    </dxf>
    <dxf>
      <numFmt numFmtId="166" formatCode="[&gt;=1000]\ #,##0,\ &quot;K&quot;;0"/>
      <protection locked="1" hidden="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protection locked="1" hidden="0"/>
    </dxf>
    <dxf>
      <numFmt numFmtId="166" formatCode="[&gt;=1000]\ #,##0,\ &quot;K&quot;;0"/>
      <protection locked="1" hidden="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protection locked="1" hidden="0"/>
    </dxf>
    <dxf>
      <numFmt numFmtId="166" formatCode="[&gt;=1000]\ #,##0,\ &quot;K&quot;;0"/>
      <protection locked="1" hidden="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protection locked="1" hidden="0"/>
    </dxf>
    <dxf>
      <numFmt numFmtId="166" formatCode="[&gt;=1000]\ #,##0,\ &quot;K&quot;;0"/>
      <protection locked="1" hidden="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protection locked="1" hidden="0"/>
    </dxf>
    <dxf>
      <numFmt numFmtId="166" formatCode="[&gt;=1000]\ #,##0,\ &quot;K&quot;;0"/>
      <protection locked="1" hidden="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protection locked="1" hidden="0"/>
    </dxf>
    <dxf>
      <numFmt numFmtId="166" formatCode="[&gt;=1000]\ #,##0,\ &quot;K&quot;;0"/>
      <protection locked="1" hidden="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protection locked="1" hidden="0"/>
    </dxf>
    <dxf>
      <numFmt numFmtId="166" formatCode="[&gt;=1000]\ #,##0,\ &quot;K&quot;;0"/>
      <protection locked="1" hidden="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protection locked="1" hidden="0"/>
    </dxf>
    <dxf>
      <numFmt numFmtId="166" formatCode="[&gt;=1000]\ #,##0,\ &quot;K&quot;;0"/>
      <protection locked="1" hidden="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protection locked="1" hidden="0"/>
    </dxf>
    <dxf>
      <numFmt numFmtId="166" formatCode="[&gt;=1000]\ #,##0,\ &quot;K&quot;;0"/>
      <protection locked="1" hidden="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protection locked="1" hidden="0"/>
    </dxf>
    <dxf>
      <numFmt numFmtId="166" formatCode="[&gt;=1000]\ #,##0,\ &quot;K&quot;;0"/>
      <protection locked="1" hidden="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protection locked="1" hidden="0"/>
    </dxf>
    <dxf>
      <numFmt numFmtId="166" formatCode="[&gt;=1000]\ #,##0,\ &quot;K&quot;;0"/>
      <protection locked="1" hidden="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protection locked="1" hidden="0"/>
    </dxf>
    <dxf>
      <numFmt numFmtId="166" formatCode="[&gt;=1000]\ #,##0,\ &quot;K&quot;;0"/>
      <protection locked="1" hidden="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protection locked="1" hidden="0"/>
    </dxf>
    <dxf>
      <numFmt numFmtId="166" formatCode="[&gt;=1000]\ #,##0,\ &quot;K&quot;;0"/>
      <protection locked="1" hidden="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protection locked="1" hidden="0"/>
    </dxf>
    <dxf>
      <numFmt numFmtId="166" formatCode="[&gt;=1000]\ #,##0,\ &quot;K&quot;;0"/>
      <protection locked="1" hidden="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protection locked="1" hidden="0"/>
    </dxf>
    <dxf>
      <numFmt numFmtId="166" formatCode="[&gt;=1000]\ #,##0,\ &quot;K&quot;;0"/>
      <protection locked="1" hidden="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protection locked="1" hidden="0"/>
    </dxf>
    <dxf>
      <numFmt numFmtId="166" formatCode="[&gt;=1000]\ #,##0,\ &quot;K&quot;;0"/>
      <protection locked="1" hidden="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protection locked="1" hidden="0"/>
    </dxf>
    <dxf>
      <numFmt numFmtId="166" formatCode="[&gt;=1000]\ #,##0,\ &quot;K&quot;;0"/>
      <protection locked="1" hidden="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protection locked="1" hidden="0"/>
    </dxf>
    <dxf>
      <numFmt numFmtId="166" formatCode="[&gt;=1000]\ #,##0,\ &quot;K&quot;;0"/>
      <protection locked="1" hidden="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protection locked="1" hidden="0"/>
    </dxf>
    <dxf>
      <numFmt numFmtId="166" formatCode="[&gt;=1000]\ #,##0,\ &quot;K&quot;;0"/>
      <protection locked="1" hidden="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protection locked="1" hidden="0"/>
    </dxf>
    <dxf>
      <numFmt numFmtId="166" formatCode="[&gt;=1000]\ #,##0,\ &quot;K&quot;;0"/>
      <protection locked="1" hidden="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protection locked="1" hidden="0"/>
    </dxf>
    <dxf>
      <numFmt numFmtId="166" formatCode="[&gt;=1000]\ #,##0,\ &quot;K&quot;;0"/>
      <protection locked="1" hidden="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protection locked="1" hidden="0"/>
    </dxf>
    <dxf>
      <numFmt numFmtId="166" formatCode="[&gt;=1000]\ #,##0,\ &quot;K&quot;;0"/>
      <protection locked="1" hidden="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protection locked="1" hidden="0"/>
    </dxf>
    <dxf>
      <numFmt numFmtId="166" formatCode="[&gt;=1000]\ #,##0,\ &quot;K&quot;;0"/>
      <protection locked="1" hidden="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protection locked="1" hidden="0"/>
    </dxf>
    <dxf>
      <numFmt numFmtId="166" formatCode="[&gt;=1000]\ #,##0,\ &quot;K&quot;;0"/>
      <protection locked="1" hidden="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protection locked="1" hidden="0"/>
    </dxf>
    <dxf>
      <numFmt numFmtId="166" formatCode="[&gt;=1000]\ #,##0,\ &quot;K&quot;;0"/>
      <protection locked="1" hidden="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protection locked="1" hidden="0"/>
    </dxf>
    <dxf>
      <numFmt numFmtId="166" formatCode="[&gt;=1000]\ #,##0,\ &quot;K&quot;;0"/>
      <protection locked="1" hidden="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ck">
          <color rgb="FF007CA8"/>
        </left>
        <right/>
        <top/>
        <bottom/>
      </border>
      <protection locked="1" hidden="0"/>
    </dxf>
    <dxf>
      <protection locked="1" hidden="0"/>
    </dxf>
    <dxf>
      <fill>
        <patternFill patternType="solid">
          <fgColor indexed="64"/>
          <bgColor rgb="FF007CA8"/>
        </patternFill>
      </fill>
      <border diagonalUp="0" diagonalDown="0">
        <left style="thick">
          <color rgb="FF007CA8"/>
        </left>
        <right style="thick">
          <color rgb="FF007CA8"/>
        </right>
        <top style="thick">
          <color rgb="FF007CA8"/>
        </top>
        <bottom style="thick">
          <color rgb="FF007CA8"/>
        </bottom>
        <vertical style="thick">
          <color rgb="FF007CA8"/>
        </vertical>
        <horizontal style="thick">
          <color rgb="FF007CA8"/>
        </horizontal>
      </border>
      <protection locked="1" hidden="0"/>
    </dxf>
    <dxf>
      <protection locked="1" hidden="0"/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7CA8"/>
        </left>
        <right style="thick">
          <color rgb="FF007CA8"/>
        </right>
        <top style="thick">
          <color rgb="FF007CA8"/>
        </top>
        <bottom style="thick">
          <color rgb="FF007CA8"/>
        </bottom>
      </border>
      <protection locked="1" hidden="0"/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protection locked="1" hidden="0"/>
    </dxf>
    <dxf>
      <border outline="0">
        <top style="thick">
          <color rgb="FF00B0F0"/>
        </top>
        <bottom style="thick">
          <color rgb="FF00B0F0"/>
        </bottom>
      </border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 tint="0.499984740745262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ck">
          <color rgb="FF00B0F0"/>
        </left>
        <right style="thick">
          <color rgb="FF00B0F0"/>
        </right>
        <vertic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fill>
        <patternFill patternType="solid">
          <fgColor indexed="64"/>
          <bgColor rgb="FF00B0F0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ck">
          <color rgb="FF00B0F0"/>
        </right>
        <top/>
        <bottom/>
        <vertical/>
        <horizontal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5" formatCode="_-&quot;R$&quot;* #,##0_-;\-&quot;R$&quot;* #,##0_-;_-&quot;R$&quot;* &quot;-&quot;??_-;_-@_-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 tint="0.499984740745262"/>
        <name val="Calibri"/>
        <family val="2"/>
        <scheme val="minor"/>
      </font>
      <numFmt numFmtId="169" formatCode="_-&quot;R$&quot;* #.##0_-;\-&quot;R$&quot;* #.##0_-;_-&quot;R$&quot;* &quot;-&quot;??_-;_-@_-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0"/>
    </dxf>
    <dxf>
      <font>
        <strike val="0"/>
        <outline val="0"/>
        <shadow val="0"/>
        <u val="none"/>
        <vertAlign val="baseline"/>
        <sz val="9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ck">
          <color rgb="FF00B0F0"/>
        </right>
        <top/>
        <bottom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ck">
          <color rgb="FF00B0F0"/>
        </right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ck">
          <color rgb="FF00B0F0"/>
        </left>
        <right/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>
        <left style="thick">
          <color rgb="FF00B0F0"/>
        </left>
      </border>
      <protection locked="1" hidden="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protection locked="1" hidden="0"/>
    </dxf>
    <dxf>
      <font>
        <b/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  <protection locked="1" hidden="0"/>
    </dxf>
    <dxf>
      <alignment vertical="center" textRotation="0" wrapText="0" indent="0" justifyLastLine="0" shrinkToFit="0" readingOrder="0"/>
      <protection locked="1" hidden="0"/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  <protection locked="1" hidden="0"/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>
        <left style="thick">
          <color rgb="FF00B0F0"/>
        </left>
        <right style="thick">
          <color rgb="FF00B0F0"/>
        </right>
        <top/>
        <bottom/>
        <vertical/>
      </border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numFmt numFmtId="0" formatCode="General"/>
      <border diagonalUp="0" diagonalDown="0">
        <left style="thick">
          <color rgb="FF00B0F0"/>
        </left>
        <right style="thick">
          <color rgb="FF00B0F0"/>
        </right>
        <top/>
        <bottom/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B0F0"/>
        </left>
        <right style="thick">
          <color rgb="FF00B0F0"/>
        </right>
        <top style="thick">
          <color rgb="FF00B0F0"/>
        </top>
        <bottom style="thick">
          <color rgb="FF00B0F0"/>
        </bottom>
        <vertical style="thick">
          <color rgb="FF00B0F0"/>
        </vertical>
        <horizontal style="thick">
          <color rgb="FF00B0F0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/>
        <right style="thick">
          <color rgb="FF007CA8"/>
        </right>
        <vertical/>
      </border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border diagonalUp="0" diagonalDown="0">
        <left style="thick">
          <color rgb="FF00B0F0"/>
        </left>
        <right/>
        <top/>
        <bottom/>
        <vertical/>
        <horizontal/>
      </border>
    </dxf>
    <dxf>
      <fill>
        <patternFill patternType="solid">
          <fgColor indexed="64"/>
          <bgColor rgb="FF007CA8"/>
        </patternFill>
      </fill>
      <border diagonalUp="0" diagonalDown="0">
        <left style="thick">
          <color rgb="FF007CA8"/>
        </left>
        <right style="thick">
          <color rgb="FF007CA8"/>
        </right>
        <top style="thick">
          <color rgb="FF007CA8"/>
        </top>
        <bottom style="thick">
          <color rgb="FF007CA8"/>
        </bottom>
        <vertical style="thick">
          <color rgb="FF007CA8"/>
        </vertical>
        <horizontal style="thick">
          <color rgb="FF007CA8"/>
        </horizontal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>
        <left style="thick">
          <color rgb="FF007CA8"/>
        </left>
        <right style="thick">
          <color rgb="FF007CA8"/>
        </right>
        <top style="thick">
          <color rgb="FF007CA8"/>
        </top>
        <bottom style="thick">
          <color rgb="FF007CA8"/>
        </bottom>
        <vertical style="thick">
          <color rgb="FF007CA8"/>
        </vertical>
        <horizontal style="thick">
          <color rgb="FF007CA8"/>
        </horizontal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166" formatCode="[&gt;=1000]\ #,##0,\ &quot;K&quot;;0"/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ck">
          <color rgb="FF007CA8"/>
        </right>
        <vertical/>
      </border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6" formatCode="[&gt;=1000]\ #,##0,\ &quot;K&quot;;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ck">
          <color rgb="FF007CA8"/>
        </left>
        <right/>
        <top/>
        <bottom/>
      </border>
    </dxf>
    <dxf>
      <fill>
        <patternFill patternType="solid">
          <fgColor indexed="64"/>
          <bgColor rgb="FF007CA8"/>
        </patternFill>
      </fill>
      <border diagonalUp="0" diagonalDown="0">
        <left style="thick">
          <color rgb="FF007CA8"/>
        </left>
        <right style="thick">
          <color rgb="FF007CA8"/>
        </right>
        <top style="thick">
          <color rgb="FF007CA8"/>
        </top>
        <bottom style="thick">
          <color rgb="FF007CA8"/>
        </bottom>
        <vertical style="thick">
          <color rgb="FF007CA8"/>
        </vertical>
        <horizontal style="thick">
          <color rgb="FF007CA8"/>
        </horizontal>
      </border>
    </dxf>
    <dxf>
      <font>
        <b/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left" vertical="bottom" textRotation="0" wrapText="0" relativeIndent="1" justifyLastLine="0" shrinkToFit="0" readingOrder="0"/>
      <border diagonalUp="0" diagonalDown="0" outline="0">
        <left style="thick">
          <color rgb="FF007CA8"/>
        </left>
        <right style="thick">
          <color rgb="FF007CA8"/>
        </right>
        <top style="thick">
          <color rgb="FF007CA8"/>
        </top>
        <bottom style="thick">
          <color rgb="FF007CA8"/>
        </bottom>
      </border>
    </dxf>
    <dxf>
      <font>
        <b/>
        <strike val="0"/>
        <outline val="0"/>
        <shadow val="0"/>
        <u val="none"/>
        <vertAlign val="baseline"/>
        <sz val="9"/>
        <color rgb="FF000000"/>
        <name val="Calibri"/>
        <family val="2"/>
        <scheme val="none"/>
      </font>
    </dxf>
    <dxf>
      <border outline="0">
        <top style="thick">
          <color rgb="FF00B0F0"/>
        </top>
        <bottom style="thick">
          <color rgb="FF00B0F0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family val="2"/>
        <scheme val="none"/>
      </font>
      <fill>
        <patternFill patternType="none">
          <fgColor rgb="FF000000"/>
          <bgColor rgb="FFFFFFFF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 tint="0.499984740745262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ck">
          <color rgb="FF00B0F0"/>
        </left>
        <right style="thick">
          <color rgb="FF00B0F0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fill>
        <patternFill patternType="solid">
          <fgColor indexed="64"/>
          <bgColor rgb="FF00B0F0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ck">
          <color rgb="FF00B0F0"/>
        </right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numFmt numFmtId="165" formatCode="_-&quot;R$&quot;* #,##0_-;\-&quot;R$&quot;* #,##0_-;_-&quot;R$&quot;* &quot;-&quot;??_-;_-@_-"/>
      <fill>
        <patternFill patternType="none">
          <fgColor rgb="FF000000"/>
          <bgColor rgb="FFFFFFFF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808080"/>
        <name val="Calibri"/>
        <family val="2"/>
        <scheme val="none"/>
      </font>
      <fill>
        <patternFill patternType="none">
          <fgColor rgb="FF000000"/>
          <bgColor rgb="FFFFFFFF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ck">
          <color rgb="FF00B0F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7"/>
        <name val="Calibri"/>
        <family val="2"/>
        <scheme val="minor"/>
      </font>
      <numFmt numFmtId="166" formatCode="[&gt;=1000]\ #,##0,\ &quot;K&quot;;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ck">
          <color rgb="FF00B0F0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>
        <left style="thick">
          <color rgb="FF00B0F0"/>
        </left>
      </border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alignment horizontal="general"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7" formatCode="d/m;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A5F0"/>
        </left>
        <right style="thin">
          <color rgb="FF0070C0"/>
        </right>
        <top/>
        <bottom/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fill>
        <patternFill patternType="solid">
          <fgColor indexed="64"/>
          <bgColor theme="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fill>
        <patternFill patternType="solid">
          <fgColor indexed="64"/>
          <bgColor theme="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A5F0"/>
        </left>
        <right style="thin">
          <color rgb="FF00A6F0"/>
        </right>
        <top/>
        <bottom/>
        <vertical/>
        <horizontal/>
      </border>
      <protection locked="0" hidden="0"/>
    </dxf>
    <dxf>
      <numFmt numFmtId="165" formatCode="_-&quot;R$&quot;* #,##0_-;\-&quot;R$&quot;* #,##0_-;_-&quot;R$&quot;* &quot;-&quot;??_-;_-@_-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rgb="FF00A5F0"/>
        </left>
        <right style="thin">
          <color rgb="FF00A5F0"/>
        </right>
        <top/>
        <bottom/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fill>
        <patternFill patternType="solid">
          <fgColor indexed="64"/>
          <bgColor theme="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relativeIndent="1" justifyLastLine="0" shrinkToFit="0" readingOrder="0"/>
      <border diagonalUp="0" diagonalDown="0">
        <left style="thin">
          <color rgb="FF00A5F0"/>
        </left>
        <right style="thin">
          <color rgb="FF00A5F0"/>
        </right>
        <top/>
        <bottom/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  <border diagonalUp="0" diagonalDown="0">
        <left style="thin">
          <color rgb="FF00A5F0"/>
        </left>
        <right style="thin">
          <color rgb="FF00A5F0"/>
        </right>
        <top/>
        <bottom/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fill>
        <patternFill patternType="solid">
          <fgColor indexed="64"/>
          <bgColor theme="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  <border diagonalUp="0" diagonalDown="0">
        <left style="thin">
          <color rgb="FF00A5F0"/>
        </left>
        <right style="thin">
          <color rgb="FF00A5F0"/>
        </right>
        <top/>
        <bottom/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  <border diagonalUp="0" diagonalDown="0">
        <left style="thin">
          <color rgb="FF00A5F0"/>
        </left>
        <right style="thin">
          <color rgb="FF00A5F0"/>
        </right>
        <top/>
        <bottom/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7" formatCode="d/m;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70C0"/>
        </left>
        <right/>
        <top/>
        <bottom/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0" hidden="0"/>
    </dxf>
    <dxf>
      <alignment vertical="center" textRotation="0" indent="0" justifyLastLine="0" shrinkToFit="0" readingOrder="0"/>
      <protection locked="0" hidden="0"/>
    </dxf>
    <dxf>
      <protection locked="0" hidden="0"/>
    </dxf>
    <dxf>
      <protection locked="0" hidden="0"/>
    </dxf>
    <dxf>
      <font>
        <b/>
        <i val="0"/>
        <color rgb="FFC00000"/>
      </font>
    </dxf>
    <dxf>
      <font>
        <b/>
        <i val="0"/>
        <color rgb="FF00B050"/>
      </font>
    </dxf>
    <dxf>
      <font>
        <b/>
        <i val="0"/>
        <color rgb="FFA825AB"/>
      </font>
    </dxf>
    <dxf>
      <font>
        <b/>
        <i val="0"/>
        <color rgb="FF0070C0"/>
      </font>
    </dxf>
    <dxf>
      <font>
        <color rgb="FFC00000"/>
      </font>
    </dxf>
    <dxf>
      <font>
        <color theme="9"/>
      </font>
    </dxf>
    <dxf>
      <font>
        <color theme="4"/>
      </font>
    </dxf>
    <dxf>
      <font>
        <color rgb="FFA825AB"/>
      </font>
    </dxf>
    <dxf>
      <font>
        <b/>
        <i val="0"/>
        <color rgb="FFC00000"/>
      </font>
    </dxf>
    <dxf>
      <font>
        <b/>
        <i val="0"/>
        <color rgb="FF00B050"/>
      </font>
    </dxf>
    <dxf>
      <font>
        <b/>
        <i val="0"/>
        <color rgb="FFA825AB"/>
      </font>
    </dxf>
    <dxf>
      <font>
        <b/>
        <i val="0"/>
        <color rgb="FF0070C0"/>
      </font>
    </dxf>
    <dxf>
      <font>
        <color rgb="FFC00000"/>
      </font>
    </dxf>
    <dxf>
      <font>
        <color theme="9"/>
      </font>
    </dxf>
    <dxf>
      <font>
        <color theme="4"/>
      </font>
    </dxf>
    <dxf>
      <font>
        <color rgb="FFA825AB"/>
      </font>
    </dxf>
    <dxf>
      <font>
        <b/>
        <i val="0"/>
        <color rgb="FFC00000"/>
      </font>
    </dxf>
    <dxf>
      <font>
        <b/>
        <i val="0"/>
        <color rgb="FF00B050"/>
      </font>
    </dxf>
    <dxf>
      <font>
        <b/>
        <i val="0"/>
        <color rgb="FFA825AB"/>
      </font>
    </dxf>
    <dxf>
      <font>
        <b/>
        <i val="0"/>
        <color rgb="FF0070C0"/>
      </font>
    </dxf>
    <dxf>
      <font>
        <b/>
        <i val="0"/>
        <color rgb="FFA825AB"/>
      </font>
    </dxf>
    <dxf>
      <font>
        <strike/>
      </font>
    </dxf>
    <dxf>
      <font>
        <color rgb="FFC00000"/>
      </font>
    </dxf>
    <dxf>
      <font>
        <color theme="9"/>
      </font>
    </dxf>
    <dxf>
      <font>
        <color theme="4"/>
      </font>
    </dxf>
    <dxf>
      <font>
        <color rgb="FFA825AB"/>
      </font>
    </dxf>
    <dxf>
      <font>
        <b/>
        <i val="0"/>
        <color rgb="FFC00000"/>
      </font>
    </dxf>
    <dxf>
      <font>
        <b/>
        <i val="0"/>
        <color rgb="FF00B050"/>
      </font>
    </dxf>
    <dxf>
      <font>
        <b/>
        <i val="0"/>
        <color rgb="FF0070C0"/>
      </font>
    </dxf>
    <dxf>
      <fill>
        <patternFill>
          <bgColor theme="7" tint="0.79998168889431442"/>
        </patternFill>
      </fill>
      <border>
        <left style="thin">
          <color theme="7" tint="0.79998168889431442"/>
        </left>
        <right style="thin">
          <color theme="7" tint="0.79998168889431442"/>
        </right>
        <top style="thin">
          <color theme="7" tint="0.79998168889431442"/>
        </top>
        <bottom style="thin">
          <color theme="7" tint="0.79998168889431442"/>
        </bottom>
      </border>
    </dxf>
    <dxf>
      <fill>
        <patternFill>
          <bgColor theme="7" tint="0.79998168889431442"/>
        </patternFill>
      </fill>
      <border>
        <left style="thin">
          <color theme="7" tint="0.79998168889431442"/>
        </left>
        <right style="thin">
          <color theme="7" tint="0.79998168889431442"/>
        </right>
        <top style="thin">
          <color theme="7" tint="0.79998168889431442"/>
        </top>
        <bottom style="thin">
          <color theme="7" tint="0.79998168889431442"/>
        </bottom>
      </border>
    </dxf>
    <dxf>
      <fill>
        <patternFill>
          <bgColor theme="7" tint="0.79998168889431442"/>
        </patternFill>
      </fill>
      <border>
        <left style="thin">
          <color theme="7" tint="0.79998168889431442"/>
        </left>
        <right style="thin">
          <color theme="7" tint="0.79998168889431442"/>
        </right>
        <top style="thin">
          <color theme="7" tint="0.79998168889431442"/>
        </top>
        <bottom style="thin">
          <color theme="7" tint="0.79998168889431442"/>
        </bottom>
      </border>
    </dxf>
    <dxf>
      <font>
        <color theme="0"/>
      </font>
      <fill>
        <patternFill>
          <bgColor theme="0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color theme="0"/>
      </font>
      <fill>
        <patternFill>
          <bgColor theme="0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ill>
        <patternFill>
          <fgColor rgb="FF69D8FF"/>
        </patternFill>
      </fill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 style="thin">
          <color rgb="FF69D8FF"/>
        </vertical>
        <horizontal/>
      </border>
    </dxf>
    <dxf>
      <fill>
        <patternFill>
          <bgColor theme="0" tint="-4.9989318521683403E-2"/>
        </patternFill>
      </fill>
      <border diagonalUp="0" diagonalDown="0">
        <left/>
        <right/>
        <top/>
        <bottom/>
        <vertical style="thin">
          <color rgb="FF69D8FF"/>
        </vertical>
        <horizontal/>
      </border>
    </dxf>
    <dxf>
      <font>
        <b/>
        <i val="0"/>
        <color theme="0"/>
      </font>
      <fill>
        <patternFill>
          <fgColor rgb="FF00D8D7"/>
        </patternFill>
      </fill>
    </dxf>
    <dxf>
      <font>
        <b/>
        <i val="0"/>
      </font>
      <border>
        <left style="thick">
          <color rgb="FF69D8FF"/>
        </left>
        <right style="thick">
          <color rgb="FF69D8FF"/>
        </right>
        <vertical style="thick">
          <color rgb="FF69D8FF"/>
        </vertical>
      </border>
    </dxf>
    <dxf>
      <font>
        <color theme="0"/>
      </font>
      <fill>
        <patternFill>
          <bgColor rgb="FF00D8D7"/>
        </patternFill>
      </fill>
      <border>
        <left style="thin">
          <color rgb="FF69D8FF"/>
        </left>
        <right style="thin">
          <color rgb="FF69D8FF"/>
        </right>
        <top style="thin">
          <color rgb="FF69D8FF"/>
        </top>
        <bottom style="thin">
          <color rgb="FF69D8FF"/>
        </bottom>
        <vertical/>
        <horizontal/>
      </border>
    </dxf>
    <dxf>
      <font>
        <b/>
        <i val="0"/>
        <color theme="0"/>
      </font>
      <fill>
        <patternFill>
          <bgColor rgb="FF00B0F0"/>
        </patternFill>
      </fill>
      <border>
        <left style="thin">
          <color rgb="FF69D8FF"/>
        </left>
        <right style="thin">
          <color rgb="FF69D8FF"/>
        </right>
        <top style="thin">
          <color rgb="FF69D8FF"/>
        </top>
        <bottom/>
        <vertical style="thin">
          <color rgb="FF69D8FF"/>
        </vertical>
        <horizontal/>
      </border>
    </dxf>
    <dxf>
      <border diagonalUp="0" diagonalDown="0">
        <left/>
        <right/>
        <top style="thick">
          <color theme="0" tint="-0.499984740745262"/>
        </top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fill>
        <patternFill>
          <bgColor theme="0" tint="-4.9989318521683403E-2"/>
        </patternFill>
      </fill>
      <border diagonalUp="0" diagonalDown="0">
        <left/>
        <right/>
        <top/>
        <bottom/>
        <vertical/>
        <horizontal/>
      </border>
    </dxf>
    <dxf>
      <font>
        <color theme="0"/>
      </font>
      <fill>
        <patternFill>
          <bgColor rgb="FF00D8D7"/>
        </patternFill>
      </fill>
      <border>
        <vertical style="thin">
          <color rgb="FF69D8FF"/>
        </vertical>
      </border>
    </dxf>
    <dxf>
      <font>
        <b/>
        <i val="0"/>
        <color theme="0"/>
      </font>
      <fill>
        <patternFill>
          <bgColor rgb="FF00B0F0"/>
        </patternFill>
      </fill>
      <border>
        <left/>
        <right/>
        <top/>
        <bottom/>
        <vertical style="thin">
          <color rgb="FF69D8FF"/>
        </vertical>
        <horizontal/>
      </border>
    </dxf>
    <dxf>
      <border diagonalUp="0" diagonalDown="0">
        <left/>
        <right/>
        <top style="thick">
          <color theme="0" tint="-0.499984740745262"/>
        </top>
        <bottom/>
        <vertical/>
        <horizontal/>
      </border>
    </dxf>
  </dxfs>
  <tableStyles count="2" defaultTableStyle="TableStyleMedium2" defaultPivotStyle="PivotStyleLight16">
    <tableStyle name="Estilo de Tabela 1" pivot="0" count="7" xr9:uid="{A5833986-33E4-4132-AFDD-FCF3B69F35B7}">
      <tableStyleElement type="wholeTable" dxfId="9641"/>
      <tableStyleElement type="headerRow" dxfId="9640"/>
      <tableStyleElement type="totalRow" dxfId="9639"/>
      <tableStyleElement type="firstRowStripe" dxfId="9638"/>
      <tableStyleElement type="secondRowStripe" dxfId="9637"/>
      <tableStyleElement type="firstColumnStripe" dxfId="9636"/>
      <tableStyleElement type="secondColumnStripe" dxfId="9635"/>
    </tableStyle>
    <tableStyle name="TABELAS RESULTADOS" pivot="0" count="10" xr9:uid="{502ABF52-44EF-4B61-8E9C-77653711598D}">
      <tableStyleElement type="wholeTable" dxfId="9634"/>
      <tableStyleElement type="headerRow" dxfId="9633"/>
      <tableStyleElement type="totalRow" dxfId="9632"/>
      <tableStyleElement type="firstColumn" dxfId="9631"/>
      <tableStyleElement type="lastColumn" dxfId="9630"/>
      <tableStyleElement type="firstRowStripe" dxfId="9629"/>
      <tableStyleElement type="secondRowStripe" dxfId="9628"/>
      <tableStyleElement type="firstColumnStripe" dxfId="9627"/>
      <tableStyleElement type="secondColumnStripe" dxfId="9626"/>
      <tableStyleElement type="lastHeaderCell" dxfId="9625"/>
    </tableStyle>
  </tableStyles>
  <colors>
    <mruColors>
      <color rgb="FF00A5F0"/>
      <color rgb="FFFF8989"/>
      <color rgb="FF1583F7"/>
      <color rgb="FF00A6F0"/>
      <color rgb="FFFF5757"/>
      <color rgb="FF85BDF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2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Ex2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Ex3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Ex4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Ex5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Ex6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Ex7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Ex8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Ex9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Ex10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/>
      <c:barChart>
        <c:barDir val="col"/>
        <c:grouping val="stacked"/>
        <c:varyColors val="0"/>
        <c:ser>
          <c:idx val="0"/>
          <c:order val="1"/>
          <c:tx>
            <c:strRef>
              <c:f>'⚙️'!#REF!</c:f>
              <c:strCache>
                <c:ptCount val="1"/>
                <c:pt idx="0">
                  <c:v>#REF!</c:v>
                </c:pt>
              </c:strCache>
            </c:strRef>
          </c:tx>
          <c:spPr>
            <a:solidFill>
              <a:srgbClr val="FF5757"/>
            </a:solidFill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fld id="{C63DD3CB-F9FA-4AC7-BC0F-F3CB5199099F}" type="CELLRANGE">
                      <a:rPr lang="pt-BR"/>
                      <a:pPr/>
                      <a:t>[INTERVALODACÉLULA]</a:t>
                    </a:fld>
                    <a:endParaRPr lang="pt-BR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0-EAB0-47D9-9637-016572948C2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'⚙️'!$L$23</c:f>
              <c:numCache>
                <c:formatCode>0%</c:formatCode>
                <c:ptCount val="1"/>
                <c:pt idx="0">
                  <c:v>0.1</c:v>
                </c:pt>
              </c:numCache>
            </c:numRef>
          </c:cat>
          <c:val>
            <c:numRef>
              <c:f>'📈'!$AL$37</c:f>
              <c:numCache>
                <c:formatCode>0.00</c:formatCode>
                <c:ptCount val="1"/>
                <c:pt idx="0">
                  <c:v>40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'⚙️'!$L$13</c15:f>
                <c15:dlblRangeCache>
                  <c:ptCount val="1"/>
                  <c:pt idx="0">
                    <c:v>40%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1-EAB0-47D9-9637-016572948C2F}"/>
            </c:ext>
          </c:extLst>
        </c:ser>
        <c:ser>
          <c:idx val="2"/>
          <c:order val="2"/>
          <c:tx>
            <c:strRef>
              <c:f>'⚙️'!#REF!</c:f>
              <c:strCache>
                <c:ptCount val="1"/>
                <c:pt idx="0">
                  <c:v>#REF!</c:v>
                </c:pt>
              </c:strCache>
            </c:strRef>
          </c:tx>
          <c:spPr>
            <a:solidFill>
              <a:srgbClr val="FF5757">
                <a:alpha val="80000"/>
              </a:srgbClr>
            </a:solidFill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fld id="{3F3DBCDD-33FE-4419-8E2A-8159AF84717C}" type="CELLRANGE">
                      <a:rPr lang="pt-BR"/>
                      <a:pPr/>
                      <a:t>[INTERVALODACÉLULA]</a:t>
                    </a:fld>
                    <a:endParaRPr lang="pt-BR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EAB0-47D9-9637-016572948C2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'⚙️'!$L$23</c:f>
              <c:numCache>
                <c:formatCode>0%</c:formatCode>
                <c:ptCount val="1"/>
                <c:pt idx="0">
                  <c:v>0.1</c:v>
                </c:pt>
              </c:numCache>
            </c:numRef>
          </c:cat>
          <c:val>
            <c:numRef>
              <c:f>'📈'!$AT$37</c:f>
              <c:numCache>
                <c:formatCode>0.00</c:formatCode>
                <c:ptCount val="1"/>
                <c:pt idx="0">
                  <c:v>20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'⚙️'!$L$17</c15:f>
                <c15:dlblRangeCache>
                  <c:ptCount val="1"/>
                  <c:pt idx="0">
                    <c:v>20%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3-EAB0-47D9-9637-016572948C2F}"/>
            </c:ext>
          </c:extLst>
        </c:ser>
        <c:ser>
          <c:idx val="3"/>
          <c:order val="3"/>
          <c:tx>
            <c:strRef>
              <c:f>'⚙️'!#REF!</c:f>
              <c:strCache>
                <c:ptCount val="1"/>
                <c:pt idx="0">
                  <c:v>#REF!</c:v>
                </c:pt>
              </c:strCache>
            </c:strRef>
          </c:tx>
          <c:spPr>
            <a:solidFill>
              <a:srgbClr val="FF8989">
                <a:alpha val="60000"/>
              </a:srgbClr>
            </a:solidFill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fld id="{6E889F42-8830-4A02-9C8B-F621F2B3887C}" type="CELLRANGE">
                      <a:rPr lang="pt-BR"/>
                      <a:pPr/>
                      <a:t>[INTERVALODACÉLULA]</a:t>
                    </a:fld>
                    <a:endParaRPr lang="pt-BR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EAB0-47D9-9637-016572948C2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'⚙️'!$L$23</c:f>
              <c:numCache>
                <c:formatCode>0%</c:formatCode>
                <c:ptCount val="1"/>
                <c:pt idx="0">
                  <c:v>0.1</c:v>
                </c:pt>
              </c:numCache>
            </c:numRef>
          </c:cat>
          <c:val>
            <c:numRef>
              <c:f>'📈'!$AX$37</c:f>
              <c:numCache>
                <c:formatCode>0.00</c:formatCode>
                <c:ptCount val="1"/>
                <c:pt idx="0">
                  <c:v>15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'⚙️'!$L$19</c15:f>
                <c15:dlblRangeCache>
                  <c:ptCount val="1"/>
                  <c:pt idx="0">
                    <c:v>15%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5-EAB0-47D9-9637-016572948C2F}"/>
            </c:ext>
          </c:extLst>
        </c:ser>
        <c:ser>
          <c:idx val="1"/>
          <c:order val="4"/>
          <c:tx>
            <c:strRef>
              <c:f>'⚙️'!#REF!</c:f>
              <c:strCache>
                <c:ptCount val="1"/>
                <c:pt idx="0">
                  <c:v>#REF!</c:v>
                </c:pt>
              </c:strCache>
            </c:strRef>
          </c:tx>
          <c:spPr>
            <a:solidFill>
              <a:srgbClr val="FF8989">
                <a:alpha val="40000"/>
              </a:srgbClr>
            </a:solidFill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fld id="{CABF950D-B62F-42BE-B22B-CF61B564901C}" type="CELLRANGE">
                      <a:rPr lang="pt-BR"/>
                      <a:pPr/>
                      <a:t>[INTERVALODACÉLULA]</a:t>
                    </a:fld>
                    <a:endParaRPr lang="pt-BR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EAB0-47D9-9637-016572948C2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'⚙️'!$L$23</c:f>
              <c:numCache>
                <c:formatCode>0%</c:formatCode>
                <c:ptCount val="1"/>
                <c:pt idx="0">
                  <c:v>0.1</c:v>
                </c:pt>
              </c:numCache>
            </c:numRef>
          </c:cat>
          <c:val>
            <c:numRef>
              <c:f>'📈'!$AP$37</c:f>
              <c:numCache>
                <c:formatCode>0.00</c:formatCode>
                <c:ptCount val="1"/>
                <c:pt idx="0">
                  <c:v>5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'⚙️'!$L$15</c15:f>
                <c15:dlblRangeCache>
                  <c:ptCount val="1"/>
                  <c:pt idx="0">
                    <c:v>5%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7-EAB0-47D9-9637-016572948C2F}"/>
            </c:ext>
          </c:extLst>
        </c:ser>
        <c:ser>
          <c:idx val="4"/>
          <c:order val="5"/>
          <c:tx>
            <c:strRef>
              <c:f>'⚙️'!#REF!</c:f>
              <c:strCache>
                <c:ptCount val="1"/>
                <c:pt idx="0">
                  <c:v>#REF!</c:v>
                </c:pt>
              </c:strCache>
            </c:strRef>
          </c:tx>
          <c:spPr>
            <a:solidFill>
              <a:srgbClr val="7030A0">
                <a:alpha val="70000"/>
              </a:srgbClr>
            </a:solidFill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fld id="{4A7EA438-C43F-4989-AC0F-BFC75A96EBDD}" type="CELLRANGE">
                      <a:rPr lang="pt-BR"/>
                      <a:pPr/>
                      <a:t>[INTERVALODACÉLULA]</a:t>
                    </a:fld>
                    <a:endParaRPr lang="pt-BR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EAB0-47D9-9637-016572948C2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'⚙️'!$L$23</c:f>
              <c:numCache>
                <c:formatCode>0%</c:formatCode>
                <c:ptCount val="1"/>
                <c:pt idx="0">
                  <c:v>0.1</c:v>
                </c:pt>
              </c:numCache>
            </c:numRef>
          </c:cat>
          <c:val>
            <c:numRef>
              <c:f>'📈'!$BB$37</c:f>
              <c:numCache>
                <c:formatCode>0.00</c:formatCode>
                <c:ptCount val="1"/>
                <c:pt idx="0">
                  <c:v>10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'⚙️'!$L$21</c15:f>
                <c15:dlblRangeCache>
                  <c:ptCount val="1"/>
                  <c:pt idx="0">
                    <c:v>10%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9-EAB0-47D9-9637-016572948C2F}"/>
            </c:ext>
          </c:extLst>
        </c:ser>
        <c:ser>
          <c:idx val="5"/>
          <c:order val="6"/>
          <c:tx>
            <c:strRef>
              <c:f>'⚙️'!#REF!</c:f>
              <c:strCache>
                <c:ptCount val="1"/>
                <c:pt idx="0">
                  <c:v>#REF!</c:v>
                </c:pt>
              </c:strCache>
            </c:strRef>
          </c:tx>
          <c:spPr>
            <a:solidFill>
              <a:srgbClr val="00B0F0">
                <a:alpha val="40000"/>
              </a:srgbClr>
            </a:solidFill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fld id="{C85F11D3-DEA7-4266-9F9B-5767F1716639}" type="CELLRANGE">
                      <a:rPr lang="pt-BR"/>
                      <a:pPr/>
                      <a:t>[INTERVALODACÉLULA]</a:t>
                    </a:fld>
                    <a:endParaRPr lang="pt-BR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EAB0-47D9-9637-016572948C2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'⚙️'!$L$23</c:f>
              <c:numCache>
                <c:formatCode>0%</c:formatCode>
                <c:ptCount val="1"/>
                <c:pt idx="0">
                  <c:v>0.1</c:v>
                </c:pt>
              </c:numCache>
            </c:numRef>
          </c:cat>
          <c:val>
            <c:numRef>
              <c:f>'📈'!$BF$37</c:f>
              <c:numCache>
                <c:formatCode>0.00</c:formatCode>
                <c:ptCount val="1"/>
                <c:pt idx="0">
                  <c:v>10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'⚙️'!$L$23</c15:f>
                <c15:dlblRangeCache>
                  <c:ptCount val="1"/>
                  <c:pt idx="0">
                    <c:v>10%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B-EAB0-47D9-9637-016572948C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0"/>
        <c:overlap val="100"/>
        <c:axId val="548135352"/>
        <c:axId val="548137912"/>
      </c:barChart>
      <c:barChart>
        <c:barDir val="col"/>
        <c:grouping val="percentStacked"/>
        <c:varyColors val="0"/>
        <c:ser>
          <c:idx val="6"/>
          <c:order val="0"/>
          <c:tx>
            <c:strRef>
              <c:f>'⚙️'!$R$5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6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gradFill>
                <a:gsLst>
                  <a:gs pos="16000">
                    <a:schemeClr val="bg1">
                      <a:alpha val="0"/>
                    </a:schemeClr>
                  </a:gs>
                  <a:gs pos="0">
                    <a:schemeClr val="accent6">
                      <a:alpha val="0"/>
                    </a:schemeClr>
                  </a:gs>
                  <a:gs pos="69000">
                    <a:schemeClr val="accent2">
                      <a:lumMod val="40000"/>
                      <a:lumOff val="60000"/>
                      <a:alpha val="48000"/>
                    </a:schemeClr>
                  </a:gs>
                  <a:gs pos="83000">
                    <a:schemeClr val="accent5">
                      <a:alpha val="53000"/>
                    </a:schemeClr>
                  </a:gs>
                  <a:gs pos="100000">
                    <a:schemeClr val="accent6">
                      <a:alpha val="59000"/>
                    </a:schemeClr>
                  </a:gs>
                </a:gsLst>
                <a:lin ang="600000" scaled="0"/>
              </a:gra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EAB0-47D9-9637-016572948C2F}"/>
              </c:ext>
            </c:extLst>
          </c:dPt>
          <c:cat>
            <c:numRef>
              <c:f>'⚙️'!$L$23</c:f>
              <c:numCache>
                <c:formatCode>0%</c:formatCode>
                <c:ptCount val="1"/>
                <c:pt idx="0">
                  <c:v>0.1</c:v>
                </c:pt>
              </c:numCache>
            </c:numRef>
          </c:cat>
          <c:val>
            <c:numRef>
              <c:f>'⚙️'!$Q$5</c:f>
              <c:numCache>
                <c:formatCode>0.00</c:formatCode>
                <c:ptCount val="1"/>
                <c:pt idx="0">
                  <c:v>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EAB0-47D9-9637-016572948C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0"/>
        <c:overlap val="100"/>
        <c:axId val="1977883503"/>
        <c:axId val="1400201423"/>
      </c:barChart>
      <c:catAx>
        <c:axId val="548135352"/>
        <c:scaling>
          <c:orientation val="minMax"/>
        </c:scaling>
        <c:delete val="1"/>
        <c:axPos val="b"/>
        <c:numFmt formatCode="0%" sourceLinked="1"/>
        <c:majorTickMark val="none"/>
        <c:minorTickMark val="none"/>
        <c:tickLblPos val="nextTo"/>
        <c:crossAx val="548137912"/>
        <c:crosses val="autoZero"/>
        <c:auto val="1"/>
        <c:lblAlgn val="ctr"/>
        <c:lblOffset val="100"/>
        <c:noMultiLvlLbl val="0"/>
      </c:catAx>
      <c:valAx>
        <c:axId val="548137912"/>
        <c:scaling>
          <c:orientation val="minMax"/>
        </c:scaling>
        <c:delete val="0"/>
        <c:axPos val="l"/>
        <c:numFmt formatCode="#,##0" sourceLinked="0"/>
        <c:majorTickMark val="none"/>
        <c:minorTickMark val="none"/>
        <c:tickLblPos val="high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rgbClr val="0070C0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548135352"/>
        <c:crosses val="autoZero"/>
        <c:crossBetween val="between"/>
      </c:valAx>
      <c:valAx>
        <c:axId val="1400201423"/>
        <c:scaling>
          <c:orientation val="minMax"/>
        </c:scaling>
        <c:delete val="0"/>
        <c:axPos val="l"/>
        <c:numFmt formatCode="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rgbClr val="0070C0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977883503"/>
        <c:crosses val="autoZero"/>
        <c:crossBetween val="between"/>
      </c:valAx>
      <c:catAx>
        <c:axId val="1977883503"/>
        <c:scaling>
          <c:orientation val="minMax"/>
        </c:scaling>
        <c:delete val="1"/>
        <c:axPos val="b"/>
        <c:numFmt formatCode="0%" sourceLinked="1"/>
        <c:majorTickMark val="out"/>
        <c:minorTickMark val="none"/>
        <c:tickLblPos val="nextTo"/>
        <c:crossAx val="1400201423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/>
      <c:barChart>
        <c:barDir val="col"/>
        <c:grouping val="stacked"/>
        <c:varyColors val="0"/>
        <c:ser>
          <c:idx val="0"/>
          <c:order val="1"/>
          <c:tx>
            <c:strRef>
              <c:f>'⚙️'!$J$2</c:f>
              <c:strCache>
                <c:ptCount val="1"/>
              </c:strCache>
            </c:strRef>
          </c:tx>
          <c:spPr>
            <a:solidFill>
              <a:srgbClr val="FF5757"/>
            </a:solidFill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fld id="{EC2E7A90-C356-4A83-A994-E8283B47F649}" type="CELLRANGE">
                      <a:rPr lang="en-US"/>
                      <a:pPr/>
                      <a:t>[INTERVALODACÉLULA]</a:t>
                    </a:fld>
                    <a:endParaRPr lang="pt-BR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0-DA05-4052-B963-84E67BFF9D7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'📈'!$AW$4:$AW$13</c:f>
              <c:strCache>
                <c:ptCount val="10"/>
                <c:pt idx="0">
                  <c:v>TOTAL</c:v>
                </c:pt>
                <c:pt idx="3">
                  <c:v>14,92</c:v>
                </c:pt>
                <c:pt idx="4">
                  <c:v>6,67</c:v>
                </c:pt>
                <c:pt idx="5">
                  <c:v>3,85</c:v>
                </c:pt>
                <c:pt idx="6">
                  <c:v>1,86</c:v>
                </c:pt>
                <c:pt idx="7">
                  <c:v>35,12</c:v>
                </c:pt>
                <c:pt idx="8">
                  <c:v>37,58</c:v>
                </c:pt>
                <c:pt idx="9">
                  <c:v>120,00</c:v>
                </c:pt>
              </c:strCache>
            </c:strRef>
          </c:cat>
          <c:val>
            <c:numRef>
              <c:f>'📈'!$AW$7</c:f>
              <c:numCache>
                <c:formatCode>0.00</c:formatCode>
                <c:ptCount val="1"/>
                <c:pt idx="0">
                  <c:v>14.916652612275191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'📈'!$AX$7</c15:f>
                <c15:dlblRangeCache>
                  <c:ptCount val="1"/>
                  <c:pt idx="0">
                    <c:v>15%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1-DA05-4052-B963-84E67BFF9D79}"/>
            </c:ext>
          </c:extLst>
        </c:ser>
        <c:ser>
          <c:idx val="2"/>
          <c:order val="2"/>
          <c:tx>
            <c:strRef>
              <c:f>'⚙️'!$J$4</c:f>
              <c:strCache>
                <c:ptCount val="1"/>
              </c:strCache>
            </c:strRef>
          </c:tx>
          <c:spPr>
            <a:solidFill>
              <a:srgbClr val="FF5757">
                <a:alpha val="80000"/>
              </a:srgbClr>
            </a:solidFill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fld id="{B985D146-786A-479F-8BE2-BEA5535588A2}" type="CELLRANGE">
                      <a:rPr lang="en-US"/>
                      <a:pPr/>
                      <a:t>[INTERVALODACÉLULA]</a:t>
                    </a:fld>
                    <a:endParaRPr lang="pt-BR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2-DA05-4052-B963-84E67BFF9D7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'📈'!$AW$4:$AW$13</c:f>
              <c:strCache>
                <c:ptCount val="10"/>
                <c:pt idx="0">
                  <c:v>TOTAL</c:v>
                </c:pt>
                <c:pt idx="3">
                  <c:v>14,92</c:v>
                </c:pt>
                <c:pt idx="4">
                  <c:v>6,67</c:v>
                </c:pt>
                <c:pt idx="5">
                  <c:v>3,85</c:v>
                </c:pt>
                <c:pt idx="6">
                  <c:v>1,86</c:v>
                </c:pt>
                <c:pt idx="7">
                  <c:v>35,12</c:v>
                </c:pt>
                <c:pt idx="8">
                  <c:v>37,58</c:v>
                </c:pt>
                <c:pt idx="9">
                  <c:v>120,00</c:v>
                </c:pt>
              </c:strCache>
            </c:strRef>
          </c:cat>
          <c:val>
            <c:numRef>
              <c:f>'📈'!$AW$9</c:f>
              <c:numCache>
                <c:formatCode>0.00</c:formatCode>
                <c:ptCount val="1"/>
                <c:pt idx="0">
                  <c:v>3.8489647244466862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'📈'!$AX$9</c15:f>
                <c15:dlblRangeCache>
                  <c:ptCount val="1"/>
                  <c:pt idx="0">
                    <c:v>4%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3-DA05-4052-B963-84E67BFF9D79}"/>
            </c:ext>
          </c:extLst>
        </c:ser>
        <c:ser>
          <c:idx val="3"/>
          <c:order val="3"/>
          <c:tx>
            <c:strRef>
              <c:f>'⚙️'!$J$5</c:f>
              <c:strCache>
                <c:ptCount val="1"/>
              </c:strCache>
            </c:strRef>
          </c:tx>
          <c:spPr>
            <a:solidFill>
              <a:srgbClr val="FF8989">
                <a:alpha val="60000"/>
              </a:srgbClr>
            </a:solidFill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fld id="{788981FD-4709-4C79-8C81-A23EB479F9D2}" type="CELLRANGE">
                      <a:rPr lang="en-US"/>
                      <a:pPr/>
                      <a:t>[INTERVALODACÉLULA]</a:t>
                    </a:fld>
                    <a:endParaRPr lang="pt-BR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4-DA05-4052-B963-84E67BFF9D7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'📈'!$AW$4:$AW$13</c:f>
              <c:strCache>
                <c:ptCount val="10"/>
                <c:pt idx="0">
                  <c:v>TOTAL</c:v>
                </c:pt>
                <c:pt idx="3">
                  <c:v>14,92</c:v>
                </c:pt>
                <c:pt idx="4">
                  <c:v>6,67</c:v>
                </c:pt>
                <c:pt idx="5">
                  <c:v>3,85</c:v>
                </c:pt>
                <c:pt idx="6">
                  <c:v>1,86</c:v>
                </c:pt>
                <c:pt idx="7">
                  <c:v>35,12</c:v>
                </c:pt>
                <c:pt idx="8">
                  <c:v>37,58</c:v>
                </c:pt>
                <c:pt idx="9">
                  <c:v>120,00</c:v>
                </c:pt>
              </c:strCache>
            </c:strRef>
          </c:cat>
          <c:val>
            <c:numRef>
              <c:f>'📈'!$AW$10</c:f>
              <c:numCache>
                <c:formatCode>0.00</c:formatCode>
                <c:ptCount val="1"/>
                <c:pt idx="0">
                  <c:v>1.8619645519169266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'📈'!$AX$10</c15:f>
                <c15:dlblRangeCache>
                  <c:ptCount val="1"/>
                  <c:pt idx="0">
                    <c:v>2%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5-DA05-4052-B963-84E67BFF9D79}"/>
            </c:ext>
          </c:extLst>
        </c:ser>
        <c:ser>
          <c:idx val="1"/>
          <c:order val="4"/>
          <c:tx>
            <c:strRef>
              <c:f>'⚙️'!$J$3</c:f>
              <c:strCache>
                <c:ptCount val="1"/>
              </c:strCache>
            </c:strRef>
          </c:tx>
          <c:spPr>
            <a:solidFill>
              <a:srgbClr val="FF8989">
                <a:alpha val="40000"/>
              </a:srgbClr>
            </a:solidFill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fld id="{7398D1A9-C4B8-4981-8726-A0C0417DF066}" type="CELLRANGE">
                      <a:rPr lang="en-US"/>
                      <a:pPr/>
                      <a:t>[INTERVALODACÉLULA]</a:t>
                    </a:fld>
                    <a:endParaRPr lang="pt-BR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6-DA05-4052-B963-84E67BFF9D7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'📈'!$AW$4:$AW$13</c:f>
              <c:strCache>
                <c:ptCount val="10"/>
                <c:pt idx="0">
                  <c:v>TOTAL</c:v>
                </c:pt>
                <c:pt idx="3">
                  <c:v>14,92</c:v>
                </c:pt>
                <c:pt idx="4">
                  <c:v>6,67</c:v>
                </c:pt>
                <c:pt idx="5">
                  <c:v>3,85</c:v>
                </c:pt>
                <c:pt idx="6">
                  <c:v>1,86</c:v>
                </c:pt>
                <c:pt idx="7">
                  <c:v>35,12</c:v>
                </c:pt>
                <c:pt idx="8">
                  <c:v>37,58</c:v>
                </c:pt>
                <c:pt idx="9">
                  <c:v>120,00</c:v>
                </c:pt>
              </c:strCache>
            </c:strRef>
          </c:cat>
          <c:val>
            <c:numRef>
              <c:f>'📈'!$AW$8</c:f>
              <c:numCache>
                <c:formatCode>0.00</c:formatCode>
                <c:ptCount val="1"/>
                <c:pt idx="0">
                  <c:v>6.6705049694389702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'📈'!$AX$8</c15:f>
                <c15:dlblRangeCache>
                  <c:ptCount val="1"/>
                  <c:pt idx="0">
                    <c:v>7%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7-DA05-4052-B963-84E67BFF9D79}"/>
            </c:ext>
          </c:extLst>
        </c:ser>
        <c:ser>
          <c:idx val="4"/>
          <c:order val="5"/>
          <c:tx>
            <c:strRef>
              <c:f>'⚙️'!$J$6</c:f>
              <c:strCache>
                <c:ptCount val="1"/>
              </c:strCache>
            </c:strRef>
          </c:tx>
          <c:spPr>
            <a:solidFill>
              <a:srgbClr val="7030A0">
                <a:alpha val="70000"/>
              </a:srgbClr>
            </a:solidFill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fld id="{F8F6E2FE-21D7-46F7-B3C9-D71D53467FFB}" type="CELLRANGE">
                      <a:rPr lang="en-US"/>
                      <a:pPr/>
                      <a:t>[INTERVALODACÉLULA]</a:t>
                    </a:fld>
                    <a:endParaRPr lang="pt-BR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8-DA05-4052-B963-84E67BFF9D7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'📈'!$AW$4:$AW$13</c:f>
              <c:strCache>
                <c:ptCount val="10"/>
                <c:pt idx="0">
                  <c:v>TOTAL</c:v>
                </c:pt>
                <c:pt idx="3">
                  <c:v>14,92</c:v>
                </c:pt>
                <c:pt idx="4">
                  <c:v>6,67</c:v>
                </c:pt>
                <c:pt idx="5">
                  <c:v>3,85</c:v>
                </c:pt>
                <c:pt idx="6">
                  <c:v>1,86</c:v>
                </c:pt>
                <c:pt idx="7">
                  <c:v>35,12</c:v>
                </c:pt>
                <c:pt idx="8">
                  <c:v>37,58</c:v>
                </c:pt>
                <c:pt idx="9">
                  <c:v>120,00</c:v>
                </c:pt>
              </c:strCache>
            </c:strRef>
          </c:cat>
          <c:val>
            <c:numRef>
              <c:f>'📈'!$AW$11</c:f>
              <c:numCache>
                <c:formatCode>0.00</c:formatCode>
                <c:ptCount val="1"/>
                <c:pt idx="0">
                  <c:v>35.118531829804233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'📈'!$AX$12</c15:f>
                <c15:dlblRangeCache>
                  <c:ptCount val="1"/>
                  <c:pt idx="0">
                    <c:v>38%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9-DA05-4052-B963-84E67BFF9D79}"/>
            </c:ext>
          </c:extLst>
        </c:ser>
        <c:ser>
          <c:idx val="5"/>
          <c:order val="6"/>
          <c:tx>
            <c:strRef>
              <c:f>'⚙️'!$J$7</c:f>
              <c:strCache>
                <c:ptCount val="1"/>
              </c:strCache>
            </c:strRef>
          </c:tx>
          <c:spPr>
            <a:solidFill>
              <a:srgbClr val="00B0F0">
                <a:alpha val="40000"/>
              </a:srgbClr>
            </a:solidFill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fld id="{5C9D4EAC-3BC6-4478-BF1E-D50000738221}" type="CELLRANGE">
                      <a:rPr lang="en-US"/>
                      <a:pPr/>
                      <a:t>[INTERVALODACÉLULA]</a:t>
                    </a:fld>
                    <a:endParaRPr lang="pt-BR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A-DA05-4052-B963-84E67BFF9D7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'📈'!$AW$4:$AW$13</c:f>
              <c:strCache>
                <c:ptCount val="10"/>
                <c:pt idx="0">
                  <c:v>TOTAL</c:v>
                </c:pt>
                <c:pt idx="3">
                  <c:v>14,92</c:v>
                </c:pt>
                <c:pt idx="4">
                  <c:v>6,67</c:v>
                </c:pt>
                <c:pt idx="5">
                  <c:v>3,85</c:v>
                </c:pt>
                <c:pt idx="6">
                  <c:v>1,86</c:v>
                </c:pt>
                <c:pt idx="7">
                  <c:v>35,12</c:v>
                </c:pt>
                <c:pt idx="8">
                  <c:v>37,58</c:v>
                </c:pt>
                <c:pt idx="9">
                  <c:v>120,00</c:v>
                </c:pt>
              </c:strCache>
            </c:strRef>
          </c:cat>
          <c:val>
            <c:numRef>
              <c:f>'📈'!$AW$12</c:f>
              <c:numCache>
                <c:formatCode>0.00</c:formatCode>
                <c:ptCount val="1"/>
                <c:pt idx="0">
                  <c:v>37.583381312117979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'📈'!$AX$12</c15:f>
                <c15:dlblRangeCache>
                  <c:ptCount val="1"/>
                  <c:pt idx="0">
                    <c:v>38%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B-DA05-4052-B963-84E67BFF9D7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70"/>
        <c:overlap val="100"/>
        <c:axId val="548135352"/>
        <c:axId val="548137912"/>
      </c:barChart>
      <c:barChart>
        <c:barDir val="col"/>
        <c:grouping val="percentStacked"/>
        <c:varyColors val="0"/>
        <c:ser>
          <c:idx val="6"/>
          <c:order val="0"/>
          <c:tx>
            <c:strRef>
              <c:f>'⚙️'!$R$5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6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gradFill>
                <a:gsLst>
                  <a:gs pos="16000">
                    <a:schemeClr val="bg1">
                      <a:alpha val="0"/>
                    </a:schemeClr>
                  </a:gs>
                  <a:gs pos="0">
                    <a:schemeClr val="accent6">
                      <a:alpha val="0"/>
                    </a:schemeClr>
                  </a:gs>
                  <a:gs pos="69000">
                    <a:schemeClr val="accent2">
                      <a:lumMod val="40000"/>
                      <a:lumOff val="60000"/>
                      <a:alpha val="48000"/>
                    </a:schemeClr>
                  </a:gs>
                  <a:gs pos="83000">
                    <a:schemeClr val="accent5">
                      <a:alpha val="53000"/>
                    </a:schemeClr>
                  </a:gs>
                  <a:gs pos="100000">
                    <a:schemeClr val="accent6">
                      <a:alpha val="59000"/>
                    </a:schemeClr>
                  </a:gs>
                </a:gsLst>
                <a:lin ang="600000" scaled="0"/>
              </a:gra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DA05-4052-B963-84E67BFF9D79}"/>
              </c:ext>
            </c:extLst>
          </c:dPt>
          <c:dLbls>
            <c:delete val="1"/>
          </c:dLbls>
          <c:cat>
            <c:numRef>
              <c:f>'⚙️'!$O$2:$O$8</c:f>
              <c:numCache>
                <c:formatCode>General</c:formatCode>
                <c:ptCount val="7"/>
              </c:numCache>
            </c:numRef>
          </c:cat>
          <c:val>
            <c:numRef>
              <c:f>'📈'!$AW$13</c:f>
              <c:numCache>
                <c:formatCode>0.00</c:formatCode>
                <c:ptCount val="1"/>
                <c:pt idx="0">
                  <c:v>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DA05-4052-B963-84E67BFF9D7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70"/>
        <c:overlap val="100"/>
        <c:axId val="1977883503"/>
        <c:axId val="1400201423"/>
      </c:barChart>
      <c:catAx>
        <c:axId val="548135352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548137912"/>
        <c:crosses val="autoZero"/>
        <c:auto val="1"/>
        <c:lblAlgn val="ctr"/>
        <c:lblOffset val="100"/>
        <c:noMultiLvlLbl val="0"/>
      </c:catAx>
      <c:valAx>
        <c:axId val="548137912"/>
        <c:scaling>
          <c:orientation val="minMax"/>
        </c:scaling>
        <c:delete val="0"/>
        <c:axPos val="l"/>
        <c:numFmt formatCode="#,##0" sourceLinked="0"/>
        <c:majorTickMark val="none"/>
        <c:minorTickMark val="none"/>
        <c:tickLblPos val="high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rgbClr val="00B0F0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548135352"/>
        <c:crosses val="autoZero"/>
        <c:crossBetween val="between"/>
      </c:valAx>
      <c:valAx>
        <c:axId val="1400201423"/>
        <c:scaling>
          <c:orientation val="minMax"/>
        </c:scaling>
        <c:delete val="0"/>
        <c:axPos val="l"/>
        <c:numFmt formatCode="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rgbClr val="0070C0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977883503"/>
        <c:crosses val="autoZero"/>
        <c:crossBetween val="between"/>
      </c:valAx>
      <c:catAx>
        <c:axId val="1977883503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400201423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'📈'!$AK$33</c:f>
          <c:strCache>
            <c:ptCount val="1"/>
            <c:pt idx="0">
              <c:v>DESPESAS FIXAS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doughnutChart>
        <c:varyColors val="1"/>
        <c:ser>
          <c:idx val="0"/>
          <c:order val="0"/>
          <c:spPr>
            <a:ln>
              <a:noFill/>
            </a:ln>
          </c:spPr>
          <c:dPt>
            <c:idx val="0"/>
            <c:bubble3D val="0"/>
            <c:spPr>
              <a:solidFill>
                <a:srgbClr val="92D050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62D0-4A7D-BC29-8741423077A5}"/>
              </c:ext>
            </c:extLst>
          </c:dPt>
          <c:dPt>
            <c:idx val="1"/>
            <c:bubble3D val="0"/>
            <c:spPr>
              <a:solidFill>
                <a:srgbClr val="FFEBAB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62D0-4A7D-BC29-8741423077A5}"/>
              </c:ext>
            </c:extLst>
          </c:dPt>
          <c:dPt>
            <c:idx val="2"/>
            <c:bubble3D val="0"/>
            <c:spPr>
              <a:solidFill>
                <a:srgbClr val="FF8989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62D0-4A7D-BC29-8741423077A5}"/>
              </c:ext>
            </c:extLst>
          </c:dPt>
          <c:dPt>
            <c:idx val="3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62D0-4A7D-BC29-8741423077A5}"/>
              </c:ext>
            </c:extLst>
          </c:dPt>
          <c:val>
            <c:numRef>
              <c:f>'📈'!$AL$37:$AL$40</c:f>
              <c:numCache>
                <c:formatCode>0.00</c:formatCode>
                <c:ptCount val="4"/>
                <c:pt idx="0">
                  <c:v>40</c:v>
                </c:pt>
                <c:pt idx="1">
                  <c:v>30</c:v>
                </c:pt>
                <c:pt idx="2">
                  <c:v>30</c:v>
                </c:pt>
                <c:pt idx="3">
                  <c:v>100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'📈'!$AK$37:$AK$40</c15:sqref>
                        </c15:formulaRef>
                      </c:ext>
                    </c:extLst>
                    <c:strCache>
                      <c:ptCount val="3"/>
                      <c:pt idx="0">
                        <c:v> RISCO BAIXO </c:v>
                      </c:pt>
                      <c:pt idx="1">
                        <c:v> RISCO MÉDIO </c:v>
                      </c:pt>
                      <c:pt idx="2">
                        <c:v> RISCO ALTO 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8-62D0-4A7D-BC29-8741423077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  <c:holeSize val="75"/>
      </c:doughnutChart>
      <c:pieChart>
        <c:varyColors val="1"/>
        <c:ser>
          <c:idx val="1"/>
          <c:order val="1"/>
          <c:tx>
            <c:v>Ponteiro</c:v>
          </c:tx>
          <c:spPr>
            <a:noFill/>
          </c:spPr>
          <c:explosion val="27"/>
          <c:dPt>
            <c:idx val="0"/>
            <c:bubble3D val="0"/>
            <c:explosion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A-62D0-4A7D-BC29-8741423077A5}"/>
              </c:ext>
            </c:extLst>
          </c:dPt>
          <c:dPt>
            <c:idx val="1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C-62D0-4A7D-BC29-8741423077A5}"/>
              </c:ext>
            </c:extLst>
          </c:dPt>
          <c:dPt>
            <c:idx val="2"/>
            <c:bubble3D val="0"/>
            <c:explosion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E-62D0-4A7D-BC29-8741423077A5}"/>
              </c:ext>
            </c:extLst>
          </c:dPt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62D0-4A7D-BC29-8741423077A5}"/>
                </c:ext>
              </c:extLst>
            </c:dLbl>
            <c:dLbl>
              <c:idx val="1"/>
              <c:tx>
                <c:strRef>
                  <c:f>'📈'!$AX$7</c:f>
                  <c:strCache>
                    <c:ptCount val="1"/>
                    <c:pt idx="0">
                      <c:v>15%</c:v>
                    </c:pt>
                  </c:strCache>
                </c:strRef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{729C3C06-7A60-483A-81DF-A6A644465FA8}</c15:txfldGUID>
                      <c15:f>'📈'!$AX$7</c15:f>
                      <c15:dlblFieldTableCache>
                        <c:ptCount val="1"/>
                        <c:pt idx="0">
                          <c:v>15%</c:v>
                        </c:pt>
                      </c15:dlblFieldTableCache>
                    </c15:dlblFTEntry>
                  </c15:dlblFieldTable>
                  <c15:showDataLabelsRange val="1"/>
                </c:ext>
                <c:ext xmlns:c16="http://schemas.microsoft.com/office/drawing/2014/chart" uri="{C3380CC4-5D6E-409C-BE32-E72D297353CC}">
                  <c16:uniqueId val="{0000000C-62D0-4A7D-BC29-8741423077A5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E-62D0-4A7D-BC29-8741423077A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howDataLabelsRange val="1"/>
              </c:ext>
            </c:extLst>
          </c:dLbls>
          <c:val>
            <c:numRef>
              <c:f>'📈'!$AL$28:$AL$30</c:f>
              <c:numCache>
                <c:formatCode>0.00</c:formatCode>
                <c:ptCount val="3"/>
                <c:pt idx="0">
                  <c:v>13.416652612275191</c:v>
                </c:pt>
                <c:pt idx="1">
                  <c:v>3</c:v>
                </c:pt>
                <c:pt idx="2">
                  <c:v>183.58334738772481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'📈'!$AX$7</c15:f>
                <c15:dlblRangeCache>
                  <c:ptCount val="1"/>
                  <c:pt idx="0">
                    <c:v>15%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F-62D0-4A7D-BC29-8741423077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kumimoji="0" lang="en-GB" sz="1200" b="1" i="0" u="none" strike="noStrike" kern="0" cap="all" spc="0" normalizeH="0" baseline="0" noProof="0">
                <a:ln>
                  <a:noFill/>
                </a:ln>
                <a:solidFill>
                  <a:sysClr val="windowText" lastClr="000000">
                    <a:lumMod val="65000"/>
                    <a:lumOff val="35000"/>
                  </a:sysClr>
                </a:solidFill>
                <a:effectLst/>
                <a:uLnTx/>
                <a:uFillTx/>
                <a:latin typeface="Calibri" panose="020F0502020204030204"/>
              </a:rPr>
              <a:t>receitas TOTAIS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doughnutChart>
        <c:varyColors val="1"/>
        <c:ser>
          <c:idx val="0"/>
          <c:order val="0"/>
          <c:tx>
            <c:strRef>
              <c:f>ANUAL!$C$14</c:f>
              <c:strCache>
                <c:ptCount val="1"/>
                <c:pt idx="0">
                  <c:v>RECEITAS</c:v>
                </c:pt>
              </c:strCache>
            </c:strRef>
          </c:tx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6357-4FEA-85EF-C5629E68ED7D}"/>
              </c:ext>
            </c:extLst>
          </c:dPt>
          <c:dPt>
            <c:idx val="1"/>
            <c:bubble3D val="0"/>
            <c:spPr>
              <a:solidFill>
                <a:srgbClr val="00B050"/>
              </a:solidFill>
              <a:ln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6357-4FEA-85EF-C5629E68ED7D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eparator>
</c:separator>
            <c:showLeaderLines val="1"/>
            <c:leaderLines>
              <c:spPr>
                <a:ln>
                  <a:noFill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DADOS!$V$3:$V$4</c:f>
              <c:strCache>
                <c:ptCount val="2"/>
                <c:pt idx="0">
                  <c:v>RECEITA FIXA</c:v>
                </c:pt>
                <c:pt idx="1">
                  <c:v>RECEITA VARIÁVEL</c:v>
                </c:pt>
              </c:strCache>
            </c:strRef>
          </c:cat>
          <c:val>
            <c:numRef>
              <c:f>(ANUAL!$AN$87,ANUAL!$AN$104)</c:f>
              <c:numCache>
                <c:formatCode>0%</c:formatCode>
                <c:ptCount val="2"/>
                <c:pt idx="0">
                  <c:v>0.78629171737877135</c:v>
                </c:pt>
                <c:pt idx="1">
                  <c:v>0.19039139068605471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357-4FEA-85EF-C5629E68ED7D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kumimoji="0" lang="en-GB" sz="1200" b="1" i="0" u="none" strike="noStrike" kern="0" cap="all" spc="0" normalizeH="0" baseline="0" noProof="0">
                <a:ln>
                  <a:noFill/>
                </a:ln>
                <a:solidFill>
                  <a:sysClr val="windowText" lastClr="000000">
                    <a:lumMod val="65000"/>
                    <a:lumOff val="35000"/>
                  </a:sysClr>
                </a:solidFill>
                <a:effectLst/>
                <a:uLnTx/>
                <a:uFillTx/>
                <a:latin typeface="Calibri" panose="020F0502020204030204"/>
              </a:rPr>
              <a:t>investimentos totais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rgbClr val="1583F7">
                  <a:alpha val="80000"/>
                </a:srgbClr>
              </a:solidFill>
              <a:ln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F80C-4FC8-AF26-73B26FE9B22A}"/>
              </c:ext>
            </c:extLst>
          </c:dPt>
          <c:dPt>
            <c:idx val="1"/>
            <c:bubble3D val="0"/>
            <c:spPr>
              <a:solidFill>
                <a:srgbClr val="1583F7"/>
              </a:solidFill>
              <a:ln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F80C-4FC8-AF26-73B26FE9B22A}"/>
              </c:ext>
            </c:extLst>
          </c:dPt>
          <c:dPt>
            <c:idx val="2"/>
            <c:bubble3D val="0"/>
            <c:spPr>
              <a:solidFill>
                <a:srgbClr val="1583F7">
                  <a:alpha val="60000"/>
                </a:srgbClr>
              </a:solidFill>
              <a:ln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F80C-4FC8-AF26-73B26FE9B22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>
                  <a:noFill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DADOS!$AB$3:$AB$5</c:f>
              <c:strCache>
                <c:ptCount val="3"/>
                <c:pt idx="0">
                  <c:v>RENDA FIXA</c:v>
                </c:pt>
                <c:pt idx="1">
                  <c:v>RENDA VARIÁVEL</c:v>
                </c:pt>
                <c:pt idx="2">
                  <c:v>OUTROS</c:v>
                </c:pt>
              </c:strCache>
            </c:strRef>
          </c:cat>
          <c:val>
            <c:numRef>
              <c:f>(ANUAL!$AN$123,ANUAL!$AN$142,ANUAL!$AN$159)</c:f>
              <c:numCache>
                <c:formatCode>0%</c:formatCode>
                <c:ptCount val="3"/>
                <c:pt idx="0">
                  <c:v>0.26689877498388137</c:v>
                </c:pt>
                <c:pt idx="1">
                  <c:v>0.60384268214055437</c:v>
                </c:pt>
                <c:pt idx="2">
                  <c:v>0.12925854287556418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80C-4FC8-AF26-73B26FE9B2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kumimoji="0" lang="en-GB" sz="1200" b="1" i="0" u="none" strike="noStrike" kern="0" cap="all" spc="0" normalizeH="0" baseline="0" noProof="0">
                <a:ln>
                  <a:noFill/>
                </a:ln>
                <a:solidFill>
                  <a:sysClr val="windowText" lastClr="000000">
                    <a:lumMod val="65000"/>
                    <a:lumOff val="35000"/>
                  </a:sysClr>
                </a:solidFill>
                <a:effectLst/>
                <a:uLnTx/>
                <a:uFillTx/>
                <a:latin typeface="Calibri" panose="020F0502020204030204"/>
              </a:rPr>
              <a:t>RESERVAS totais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rgbClr val="7030A0"/>
              </a:solidFill>
              <a:ln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2144-4779-91CB-6A26392170CD}"/>
              </c:ext>
            </c:extLst>
          </c:dPt>
          <c:dPt>
            <c:idx val="1"/>
            <c:bubble3D val="0"/>
            <c:spPr>
              <a:solidFill>
                <a:srgbClr val="7030A0">
                  <a:alpha val="80000"/>
                </a:srgbClr>
              </a:solidFill>
              <a:ln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2144-4779-91CB-6A26392170CD}"/>
              </c:ext>
            </c:extLst>
          </c:dPt>
          <c:dPt>
            <c:idx val="2"/>
            <c:bubble3D val="0"/>
            <c:spPr>
              <a:solidFill>
                <a:srgbClr val="7030A0">
                  <a:alpha val="60000"/>
                </a:srgbClr>
              </a:solidFill>
              <a:ln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2144-4779-91CB-6A26392170CD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>
                  <a:noFill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DADOS!$AJ$3:$AJ$5</c:f>
              <c:strCache>
                <c:ptCount val="3"/>
                <c:pt idx="0">
                  <c:v>RENDA FIXA</c:v>
                </c:pt>
                <c:pt idx="1">
                  <c:v>RENDA VARIÁVEL</c:v>
                </c:pt>
                <c:pt idx="2">
                  <c:v>OUTROS</c:v>
                </c:pt>
              </c:strCache>
            </c:strRef>
          </c:cat>
          <c:val>
            <c:numRef>
              <c:f>(ANUAL!$AN$178,ANUAL!$AN$197,ANUAL!$AN$214)</c:f>
              <c:numCache>
                <c:formatCode>0%</c:formatCode>
                <c:ptCount val="3"/>
                <c:pt idx="0">
                  <c:v>0.7349304482225657</c:v>
                </c:pt>
                <c:pt idx="1">
                  <c:v>0.23183925811437403</c:v>
                </c:pt>
                <c:pt idx="2">
                  <c:v>3.3230293663060281E-2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144-4779-91CB-6A26392170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2000"/>
              <a:t>RESULTADOS FINANCEIROS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bar"/>
        <c:grouping val="percentStacked"/>
        <c:varyColors val="0"/>
        <c:ser>
          <c:idx val="0"/>
          <c:order val="0"/>
          <c:tx>
            <c:strRef>
              <c:f>'1'!$C$14</c:f>
              <c:strCache>
                <c:ptCount val="1"/>
                <c:pt idx="0">
                  <c:v>RECEITAS</c:v>
                </c:pt>
              </c:strCache>
            </c:strRef>
          </c:tx>
          <c:spPr>
            <a:solidFill>
              <a:srgbClr val="92D050"/>
            </a:solidFill>
            <a:ln>
              <a:noFill/>
            </a:ln>
            <a:effectLst/>
          </c:spPr>
          <c:invertIfNegative val="0"/>
          <c:dLbls>
            <c:numFmt formatCode="_(&quot;R$&quot;* #,##0_);_(&quot;R$&quot;* \(#,##0\);_(&quot;R$&quot;* &quot;-&quot;_);_(@_)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ANUAL!$Q$14</c:f>
              <c:numCache>
                <c:formatCode>[&gt;=1000]\ #,##0,\ "K";0</c:formatCode>
                <c:ptCount val="1"/>
                <c:pt idx="0">
                  <c:v>5575.3571428571431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D59-4D85-8B2E-C832412392F3}"/>
            </c:ext>
          </c:extLst>
        </c:ser>
        <c:ser>
          <c:idx val="1"/>
          <c:order val="1"/>
          <c:tx>
            <c:strRef>
              <c:f>'1'!$C$15</c:f>
              <c:strCache>
                <c:ptCount val="1"/>
                <c:pt idx="0">
                  <c:v>DESPESAS</c:v>
                </c:pt>
              </c:strCache>
            </c:strRef>
          </c:tx>
          <c:spPr>
            <a:solidFill>
              <a:srgbClr val="FF8989"/>
            </a:solidFill>
            <a:ln>
              <a:noFill/>
            </a:ln>
            <a:effectLst/>
          </c:spPr>
          <c:invertIfNegative val="0"/>
          <c:dLbls>
            <c:numFmt formatCode="_(&quot;R$&quot;* #,##0_);_(&quot;R$&quot;* \(#,##0\);_(&quot;R$&quot;* &quot;-&quot;_);_(@_)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ANUAL!$Q$15</c:f>
              <c:numCache>
                <c:formatCode>[&gt;=1000]\ #,##0,\ "K";0</c:formatCode>
                <c:ptCount val="1"/>
                <c:pt idx="0">
                  <c:v>3495.1857142857143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D59-4D85-8B2E-C832412392F3}"/>
            </c:ext>
          </c:extLst>
        </c:ser>
        <c:ser>
          <c:idx val="3"/>
          <c:order val="2"/>
          <c:tx>
            <c:strRef>
              <c:f>'1'!$C$25</c:f>
              <c:strCache>
                <c:ptCount val="1"/>
                <c:pt idx="0">
                  <c:v>INVESTIMENTOS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numFmt formatCode="_(&quot;R$&quot;* #,##0_);_(&quot;R$&quot;* \(#,##0\);_(&quot;R$&quot;* &quot;-&quot;_);_(@_)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ANUAL!$Q$25</c:f>
              <c:numCache>
                <c:formatCode>[&gt;=1000]\ #,##0,\ "K";0</c:formatCode>
                <c:ptCount val="1"/>
                <c:pt idx="0">
                  <c:v>2769.6428571428564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D59-4D85-8B2E-C832412392F3}"/>
            </c:ext>
          </c:extLst>
        </c:ser>
        <c:ser>
          <c:idx val="4"/>
          <c:order val="3"/>
          <c:tx>
            <c:strRef>
              <c:f>'1'!$C$26</c:f>
              <c:strCache>
                <c:ptCount val="1"/>
                <c:pt idx="0">
                  <c:v>RESERVA EMERGÊNCIA</c:v>
                </c:pt>
              </c:strCache>
            </c:strRef>
          </c:tx>
          <c:spPr>
            <a:solidFill>
              <a:srgbClr val="7030A0"/>
            </a:solidFill>
            <a:ln>
              <a:noFill/>
            </a:ln>
            <a:effectLst/>
          </c:spPr>
          <c:invertIfNegative val="0"/>
          <c:dLbls>
            <c:numFmt formatCode="_(&quot;R$&quot;* #,##0_);_(&quot;R$&quot;* \(#,##0\);_(&quot;R$&quot;* &quot;-&quot;_);_(@_)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ANUAL!$Q$26</c:f>
              <c:numCache>
                <c:formatCode>[&gt;=1000]\ #,##0,\ "K";0</c:formatCode>
                <c:ptCount val="1"/>
                <c:pt idx="0">
                  <c:v>2588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D59-4D85-8B2E-C832412392F3}"/>
            </c:ext>
          </c:extLst>
        </c:ser>
        <c:ser>
          <c:idx val="2"/>
          <c:order val="4"/>
          <c:tx>
            <c:strRef>
              <c:f>'1'!$E$3:$G$3</c:f>
              <c:strCache>
                <c:ptCount val="3"/>
                <c:pt idx="0">
                  <c:v>DISPONÍVEL</c:v>
                </c:pt>
              </c:strCache>
            </c:strRef>
          </c:tx>
          <c:spPr>
            <a:solidFill>
              <a:srgbClr val="FFEBAB"/>
            </a:solidFill>
            <a:ln>
              <a:noFill/>
            </a:ln>
            <a:effectLst/>
          </c:spPr>
          <c:invertIfNegative val="0"/>
          <c:dLbls>
            <c:numFmt formatCode="_(&quot;R$&quot;* #,##0_);_(&quot;R$&quot;* \(#,##0\);_(&quot;R$&quot;* &quot;-&quot;_);_(@_)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bg1">
                        <a:lumMod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ANUAL!$Q$16</c:f>
              <c:numCache>
                <c:formatCode>[&gt;=1000]\ #,##0,\ "K";0</c:formatCode>
                <c:ptCount val="1"/>
                <c:pt idx="0">
                  <c:v>2430.1714285714288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D59-4D85-8B2E-C832412392F3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79"/>
        <c:overlap val="100"/>
        <c:axId val="546743248"/>
        <c:axId val="1320944496"/>
      </c:barChart>
      <c:catAx>
        <c:axId val="546743248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320944496"/>
        <c:crosses val="autoZero"/>
        <c:auto val="1"/>
        <c:lblAlgn val="ctr"/>
        <c:lblOffset val="100"/>
        <c:noMultiLvlLbl val="0"/>
      </c:catAx>
      <c:valAx>
        <c:axId val="1320944496"/>
        <c:scaling>
          <c:orientation val="minMax"/>
        </c:scaling>
        <c:delete val="1"/>
        <c:axPos val="b"/>
        <c:numFmt formatCode="0%" sourceLinked="1"/>
        <c:majorTickMark val="none"/>
        <c:minorTickMark val="none"/>
        <c:tickLblPos val="nextTo"/>
        <c:crossAx val="5467432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kumimoji="0" lang="en-GB" sz="1200" b="1" i="0" u="none" strike="noStrike" kern="0" cap="all" spc="0" normalizeH="0" baseline="0" noProof="0">
                <a:ln>
                  <a:noFill/>
                </a:ln>
                <a:solidFill>
                  <a:sysClr val="windowText" lastClr="000000">
                    <a:lumMod val="65000"/>
                    <a:lumOff val="35000"/>
                  </a:sysClr>
                </a:solidFill>
                <a:effectLst/>
                <a:uLnTx/>
                <a:uFillTx/>
                <a:latin typeface="Calibri" panose="020F0502020204030204"/>
              </a:rPr>
              <a:t>DESPESAS TOTAIS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rgbClr val="FF5757"/>
              </a:solidFill>
              <a:ln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25FD-4A03-BD0A-3AF717480D31}"/>
              </c:ext>
            </c:extLst>
          </c:dPt>
          <c:dPt>
            <c:idx val="1"/>
            <c:bubble3D val="0"/>
            <c:spPr>
              <a:solidFill>
                <a:srgbClr val="FF8989"/>
              </a:solidFill>
              <a:ln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25FD-4A03-BD0A-3AF717480D31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>
                  <a:noFill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DADOS!$P$3:$P$4</c:f>
              <c:strCache>
                <c:ptCount val="2"/>
                <c:pt idx="0">
                  <c:v>DESPESA FIXA</c:v>
                </c:pt>
                <c:pt idx="1">
                  <c:v>DESPESA VARIÁVEL</c:v>
                </c:pt>
              </c:strCache>
            </c:strRef>
          </c:cat>
          <c:val>
            <c:numRef>
              <c:f>(ANUAL!$AN$51,ANUAL!$AN$73)</c:f>
              <c:numCache>
                <c:formatCode>0%</c:formatCode>
                <c:ptCount val="2"/>
                <c:pt idx="0">
                  <c:v>0.31450607570413153</c:v>
                </c:pt>
                <c:pt idx="1">
                  <c:v>0.68549392429586831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5FD-4A03-BD0A-3AF717480D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'📈'!$AO$33</c:f>
          <c:strCache>
            <c:ptCount val="1"/>
            <c:pt idx="0">
              <c:v>DOAÇÕES E PRESENTES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doughnutChart>
        <c:varyColors val="1"/>
        <c:ser>
          <c:idx val="0"/>
          <c:order val="0"/>
          <c:spPr>
            <a:ln>
              <a:noFill/>
            </a:ln>
          </c:spPr>
          <c:dPt>
            <c:idx val="0"/>
            <c:bubble3D val="0"/>
            <c:spPr>
              <a:solidFill>
                <a:srgbClr val="92D050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D8AA-4C60-B7BF-A58D0A972410}"/>
              </c:ext>
            </c:extLst>
          </c:dPt>
          <c:dPt>
            <c:idx val="1"/>
            <c:bubble3D val="0"/>
            <c:spPr>
              <a:solidFill>
                <a:srgbClr val="FFEBAB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D8AA-4C60-B7BF-A58D0A972410}"/>
              </c:ext>
            </c:extLst>
          </c:dPt>
          <c:dPt>
            <c:idx val="2"/>
            <c:bubble3D val="0"/>
            <c:spPr>
              <a:solidFill>
                <a:srgbClr val="FF8989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D8AA-4C60-B7BF-A58D0A972410}"/>
              </c:ext>
            </c:extLst>
          </c:dPt>
          <c:dPt>
            <c:idx val="3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D8AA-4C60-B7BF-A58D0A972410}"/>
              </c:ext>
            </c:extLst>
          </c:dPt>
          <c:val>
            <c:numRef>
              <c:f>'📈'!$AP$37:$AP$40</c:f>
              <c:numCache>
                <c:formatCode>0.00</c:formatCode>
                <c:ptCount val="4"/>
                <c:pt idx="0">
                  <c:v>5</c:v>
                </c:pt>
                <c:pt idx="1">
                  <c:v>47.5</c:v>
                </c:pt>
                <c:pt idx="2">
                  <c:v>47.5</c:v>
                </c:pt>
                <c:pt idx="3">
                  <c:v>100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'📈'!$AK$37:$AK$40</c15:sqref>
                        </c15:formulaRef>
                      </c:ext>
                    </c:extLst>
                    <c:strCache>
                      <c:ptCount val="3"/>
                      <c:pt idx="0">
                        <c:v> RISCO BAIXO </c:v>
                      </c:pt>
                      <c:pt idx="1">
                        <c:v> RISCO MÉDIO </c:v>
                      </c:pt>
                      <c:pt idx="2">
                        <c:v> RISCO ALTO 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8-D8AA-4C60-B7BF-A58D0A9724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  <c:holeSize val="75"/>
      </c:doughnutChart>
      <c:pieChart>
        <c:varyColors val="1"/>
        <c:ser>
          <c:idx val="1"/>
          <c:order val="1"/>
          <c:tx>
            <c:v>Ponteiro</c:v>
          </c:tx>
          <c:spPr>
            <a:noFill/>
            <a:ln>
              <a:noFill/>
            </a:ln>
          </c:spPr>
          <c:explosion val="28"/>
          <c:dPt>
            <c:idx val="0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A-D8AA-4C60-B7BF-A58D0A972410}"/>
              </c:ext>
            </c:extLst>
          </c:dPt>
          <c:dPt>
            <c:idx val="1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C-D8AA-4C60-B7BF-A58D0A972410}"/>
              </c:ext>
            </c:extLst>
          </c:dPt>
          <c:dPt>
            <c:idx val="2"/>
            <c:bubble3D val="0"/>
            <c:explosion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E-D8AA-4C60-B7BF-A58D0A972410}"/>
              </c:ext>
            </c:extLst>
          </c:dPt>
          <c:dLbls>
            <c:dLbl>
              <c:idx val="1"/>
              <c:tx>
                <c:strRef>
                  <c:f>'📈'!$AX$8</c:f>
                  <c:strCache>
                    <c:ptCount val="1"/>
                    <c:pt idx="0">
                      <c:v>7%</c:v>
                    </c:pt>
                  </c:strCache>
                </c:strRef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{AB30E099-0945-4653-967D-8A8CA05AD4F5}</c15:txfldGUID>
                      <c15:f>'📈'!$AX$8</c15:f>
                      <c15:dlblFieldTableCache>
                        <c:ptCount val="1"/>
                        <c:pt idx="0">
                          <c:v>7%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C-D8AA-4C60-B7BF-A58D0A97241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/>
            </c:extLst>
          </c:dLbls>
          <c:val>
            <c:numRef>
              <c:f>'📈'!$AP$28:$AP$30</c:f>
              <c:numCache>
                <c:formatCode>0.00</c:formatCode>
                <c:ptCount val="3"/>
                <c:pt idx="0">
                  <c:v>5.1705049694389702</c:v>
                </c:pt>
                <c:pt idx="1">
                  <c:v>3</c:v>
                </c:pt>
                <c:pt idx="2">
                  <c:v>191.82949503056102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D8AA-4C60-B7BF-A58D0A9724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'📈'!$AS$33</c:f>
          <c:strCache>
            <c:ptCount val="1"/>
            <c:pt idx="0">
              <c:v>LAZER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doughnutChart>
        <c:varyColors val="1"/>
        <c:ser>
          <c:idx val="0"/>
          <c:order val="0"/>
          <c:spPr>
            <a:ln>
              <a:noFill/>
            </a:ln>
          </c:spPr>
          <c:dPt>
            <c:idx val="0"/>
            <c:bubble3D val="0"/>
            <c:spPr>
              <a:solidFill>
                <a:srgbClr val="92D050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3E8-4E70-B02E-A9FB40857D10}"/>
              </c:ext>
            </c:extLst>
          </c:dPt>
          <c:dPt>
            <c:idx val="1"/>
            <c:bubble3D val="0"/>
            <c:spPr>
              <a:solidFill>
                <a:srgbClr val="FFEBAB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3E8-4E70-B02E-A9FB40857D10}"/>
              </c:ext>
            </c:extLst>
          </c:dPt>
          <c:dPt>
            <c:idx val="2"/>
            <c:bubble3D val="0"/>
            <c:spPr>
              <a:solidFill>
                <a:srgbClr val="FF8989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73E8-4E70-B02E-A9FB40857D10}"/>
              </c:ext>
            </c:extLst>
          </c:dPt>
          <c:dPt>
            <c:idx val="3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73E8-4E70-B02E-A9FB40857D10}"/>
              </c:ext>
            </c:extLst>
          </c:dPt>
          <c:val>
            <c:numRef>
              <c:f>'📈'!$AT$37:$AT$40</c:f>
              <c:numCache>
                <c:formatCode>0.00</c:formatCode>
                <c:ptCount val="4"/>
                <c:pt idx="0">
                  <c:v>20</c:v>
                </c:pt>
                <c:pt idx="1">
                  <c:v>40</c:v>
                </c:pt>
                <c:pt idx="2">
                  <c:v>40</c:v>
                </c:pt>
                <c:pt idx="3">
                  <c:v>100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'📈'!$AK$37:$AK$40</c15:sqref>
                        </c15:formulaRef>
                      </c:ext>
                    </c:extLst>
                    <c:strCache>
                      <c:ptCount val="3"/>
                      <c:pt idx="0">
                        <c:v> RISCO BAIXO </c:v>
                      </c:pt>
                      <c:pt idx="1">
                        <c:v> RISCO MÉDIO </c:v>
                      </c:pt>
                      <c:pt idx="2">
                        <c:v> RISCO ALTO 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8-73E8-4E70-B02E-A9FB40857D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  <c:holeSize val="75"/>
      </c:doughnutChart>
      <c:pieChart>
        <c:varyColors val="1"/>
        <c:ser>
          <c:idx val="1"/>
          <c:order val="1"/>
          <c:tx>
            <c:v>Ponteiro</c:v>
          </c:tx>
          <c:spPr>
            <a:noFill/>
            <a:ln>
              <a:noFill/>
            </a:ln>
          </c:spPr>
          <c:explosion val="27"/>
          <c:dPt>
            <c:idx val="0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A-73E8-4E70-B02E-A9FB40857D10}"/>
              </c:ext>
            </c:extLst>
          </c:dPt>
          <c:dPt>
            <c:idx val="1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C-73E8-4E70-B02E-A9FB40857D10}"/>
              </c:ext>
            </c:extLst>
          </c:dPt>
          <c:dPt>
            <c:idx val="2"/>
            <c:bubble3D val="0"/>
            <c:explosion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E-73E8-4E70-B02E-A9FB40857D10}"/>
              </c:ext>
            </c:extLst>
          </c:dPt>
          <c:dLbls>
            <c:dLbl>
              <c:idx val="1"/>
              <c:tx>
                <c:strRef>
                  <c:f>'📈'!$AX$9</c:f>
                  <c:strCache>
                    <c:ptCount val="1"/>
                    <c:pt idx="0">
                      <c:v>4%</c:v>
                    </c:pt>
                  </c:strCache>
                </c:strRef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{E33D8410-E841-407D-9F6F-7746619EFBE4}</c15:txfldGUID>
                      <c15:f>'📈'!$AX$9</c15:f>
                      <c15:dlblFieldTableCache>
                        <c:ptCount val="1"/>
                        <c:pt idx="0">
                          <c:v>4%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C-73E8-4E70-B02E-A9FB40857D1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/>
            </c:extLst>
          </c:dLbls>
          <c:val>
            <c:numRef>
              <c:f>'📈'!$AT$28:$AT$30</c:f>
              <c:numCache>
                <c:formatCode>0.00</c:formatCode>
                <c:ptCount val="3"/>
                <c:pt idx="0">
                  <c:v>2.3489647244466862</c:v>
                </c:pt>
                <c:pt idx="1">
                  <c:v>3</c:v>
                </c:pt>
                <c:pt idx="2">
                  <c:v>194.65103527555331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73E8-4E70-B02E-A9FB40857D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'📈'!$AW$33</c:f>
          <c:strCache>
            <c:ptCount val="1"/>
            <c:pt idx="0">
              <c:v>EDUCAÇÃO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doughnutChart>
        <c:varyColors val="1"/>
        <c:ser>
          <c:idx val="0"/>
          <c:order val="0"/>
          <c:spPr>
            <a:ln>
              <a:noFill/>
            </a:ln>
          </c:spPr>
          <c:dPt>
            <c:idx val="0"/>
            <c:bubble3D val="0"/>
            <c:spPr>
              <a:solidFill>
                <a:srgbClr val="92D050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12B-461F-80CF-3103B5D70256}"/>
              </c:ext>
            </c:extLst>
          </c:dPt>
          <c:dPt>
            <c:idx val="1"/>
            <c:bubble3D val="0"/>
            <c:spPr>
              <a:solidFill>
                <a:srgbClr val="FFEBAB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12B-461F-80CF-3103B5D70256}"/>
              </c:ext>
            </c:extLst>
          </c:dPt>
          <c:dPt>
            <c:idx val="2"/>
            <c:bubble3D val="0"/>
            <c:spPr>
              <a:solidFill>
                <a:srgbClr val="FF8989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712B-461F-80CF-3103B5D70256}"/>
              </c:ext>
            </c:extLst>
          </c:dPt>
          <c:dPt>
            <c:idx val="3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712B-461F-80CF-3103B5D70256}"/>
              </c:ext>
            </c:extLst>
          </c:dPt>
          <c:val>
            <c:numRef>
              <c:f>'📈'!$AX$37:$AX$40</c:f>
              <c:numCache>
                <c:formatCode>0.00</c:formatCode>
                <c:ptCount val="4"/>
                <c:pt idx="0">
                  <c:v>15</c:v>
                </c:pt>
                <c:pt idx="1">
                  <c:v>42.5</c:v>
                </c:pt>
                <c:pt idx="2">
                  <c:v>42.5</c:v>
                </c:pt>
                <c:pt idx="3">
                  <c:v>100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'📈'!$AK$37:$AK$40</c15:sqref>
                        </c15:formulaRef>
                      </c:ext>
                    </c:extLst>
                    <c:strCache>
                      <c:ptCount val="3"/>
                      <c:pt idx="0">
                        <c:v> RISCO BAIXO </c:v>
                      </c:pt>
                      <c:pt idx="1">
                        <c:v> RISCO MÉDIO </c:v>
                      </c:pt>
                      <c:pt idx="2">
                        <c:v> RISCO ALTO 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8-712B-461F-80CF-3103B5D702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  <c:holeSize val="75"/>
      </c:doughnutChart>
      <c:pieChart>
        <c:varyColors val="1"/>
        <c:ser>
          <c:idx val="1"/>
          <c:order val="1"/>
          <c:tx>
            <c:v>Ponteiro</c:v>
          </c:tx>
          <c:spPr>
            <a:noFill/>
            <a:ln>
              <a:noFill/>
            </a:ln>
          </c:spPr>
          <c:explosion val="27"/>
          <c:dPt>
            <c:idx val="0"/>
            <c:bubble3D val="0"/>
            <c:explosion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A-712B-461F-80CF-3103B5D70256}"/>
              </c:ext>
            </c:extLst>
          </c:dPt>
          <c:dPt>
            <c:idx val="1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C-712B-461F-80CF-3103B5D70256}"/>
              </c:ext>
            </c:extLst>
          </c:dPt>
          <c:dPt>
            <c:idx val="2"/>
            <c:bubble3D val="0"/>
            <c:explosion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E-712B-461F-80CF-3103B5D70256}"/>
              </c:ext>
            </c:extLst>
          </c:dPt>
          <c:dLbls>
            <c:dLbl>
              <c:idx val="1"/>
              <c:tx>
                <c:strRef>
                  <c:f>'📈'!$AX$10</c:f>
                  <c:strCache>
                    <c:ptCount val="1"/>
                    <c:pt idx="0">
                      <c:v>2%</c:v>
                    </c:pt>
                  </c:strCache>
                </c:strRef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{3E314FE4-E831-43AE-A776-CAA6114D2890}</c15:txfldGUID>
                      <c15:f>'📈'!$AX$10</c15:f>
                      <c15:dlblFieldTableCache>
                        <c:ptCount val="1"/>
                        <c:pt idx="0">
                          <c:v>2%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C-712B-461F-80CF-3103B5D7025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/>
            </c:extLst>
          </c:dLbls>
          <c:val>
            <c:numRef>
              <c:f>'📈'!$AX$28:$AX$30</c:f>
              <c:numCache>
                <c:formatCode>0.00</c:formatCode>
                <c:ptCount val="3"/>
                <c:pt idx="0">
                  <c:v>0.36196455191692656</c:v>
                </c:pt>
                <c:pt idx="1">
                  <c:v>3</c:v>
                </c:pt>
                <c:pt idx="2">
                  <c:v>196.63803544808309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712B-461F-80CF-3103B5D702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'📈'!$BA$33</c:f>
          <c:strCache>
            <c:ptCount val="1"/>
            <c:pt idx="0">
              <c:v>RESERVA EMERGÊNCIA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doughnutChart>
        <c:varyColors val="1"/>
        <c:ser>
          <c:idx val="0"/>
          <c:order val="0"/>
          <c:spPr>
            <a:ln>
              <a:noFill/>
            </a:ln>
          </c:spPr>
          <c:dPt>
            <c:idx val="0"/>
            <c:bubble3D val="0"/>
            <c:spPr>
              <a:solidFill>
                <a:srgbClr val="FF8989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3A9C-4A9D-A5F5-EE5B7F19501A}"/>
              </c:ext>
            </c:extLst>
          </c:dPt>
          <c:dPt>
            <c:idx val="1"/>
            <c:bubble3D val="0"/>
            <c:spPr>
              <a:solidFill>
                <a:srgbClr val="FFEBAB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3A9C-4A9D-A5F5-EE5B7F19501A}"/>
              </c:ext>
            </c:extLst>
          </c:dPt>
          <c:dPt>
            <c:idx val="2"/>
            <c:bubble3D val="0"/>
            <c:spPr>
              <a:solidFill>
                <a:srgbClr val="92D050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3A9C-4A9D-A5F5-EE5B7F19501A}"/>
              </c:ext>
            </c:extLst>
          </c:dPt>
          <c:dPt>
            <c:idx val="3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3A9C-4A9D-A5F5-EE5B7F19501A}"/>
              </c:ext>
            </c:extLst>
          </c:dPt>
          <c:val>
            <c:numRef>
              <c:f>'📈'!$BB$37:$BB$40</c:f>
              <c:numCache>
                <c:formatCode>0.00</c:formatCode>
                <c:ptCount val="4"/>
                <c:pt idx="0">
                  <c:v>10</c:v>
                </c:pt>
                <c:pt idx="1">
                  <c:v>45</c:v>
                </c:pt>
                <c:pt idx="2">
                  <c:v>45</c:v>
                </c:pt>
                <c:pt idx="3">
                  <c:v>100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'📈'!$AK$37:$AK$40</c15:sqref>
                        </c15:formulaRef>
                      </c:ext>
                    </c:extLst>
                    <c:strCache>
                      <c:ptCount val="3"/>
                      <c:pt idx="0">
                        <c:v> RISCO BAIXO </c:v>
                      </c:pt>
                      <c:pt idx="1">
                        <c:v> RISCO MÉDIO </c:v>
                      </c:pt>
                      <c:pt idx="2">
                        <c:v> RISCO ALTO 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8-3A9C-4A9D-A5F5-EE5B7F1950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  <c:holeSize val="75"/>
      </c:doughnutChart>
      <c:pieChart>
        <c:varyColors val="1"/>
        <c:ser>
          <c:idx val="1"/>
          <c:order val="1"/>
          <c:tx>
            <c:v>Ponteiro</c:v>
          </c:tx>
          <c:spPr>
            <a:noFill/>
            <a:ln>
              <a:noFill/>
            </a:ln>
          </c:spPr>
          <c:explosion val="27"/>
          <c:dPt>
            <c:idx val="0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A-3A9C-4A9D-A5F5-EE5B7F19501A}"/>
              </c:ext>
            </c:extLst>
          </c:dPt>
          <c:dPt>
            <c:idx val="1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C-3A9C-4A9D-A5F5-EE5B7F19501A}"/>
              </c:ext>
            </c:extLst>
          </c:dPt>
          <c:dPt>
            <c:idx val="2"/>
            <c:bubble3D val="0"/>
            <c:explosion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E-3A9C-4A9D-A5F5-EE5B7F19501A}"/>
              </c:ext>
            </c:extLst>
          </c:dPt>
          <c:dLbls>
            <c:dLbl>
              <c:idx val="1"/>
              <c:tx>
                <c:strRef>
                  <c:f>'📈'!$AX$11</c:f>
                  <c:strCache>
                    <c:ptCount val="1"/>
                    <c:pt idx="0">
                      <c:v>35%</c:v>
                    </c:pt>
                  </c:strCache>
                </c:strRef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{E4C7AF17-F635-413A-879A-33134980A7D2}</c15:txfldGUID>
                      <c15:f>'📈'!$AX$11</c15:f>
                      <c15:dlblFieldTableCache>
                        <c:ptCount val="1"/>
                        <c:pt idx="0">
                          <c:v>35%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C-3A9C-4A9D-A5F5-EE5B7F19501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/>
            </c:extLst>
          </c:dLbls>
          <c:val>
            <c:numRef>
              <c:f>'📈'!$BB$28:$BB$30</c:f>
              <c:numCache>
                <c:formatCode>0.00</c:formatCode>
                <c:ptCount val="3"/>
                <c:pt idx="0">
                  <c:v>33.618531829804233</c:v>
                </c:pt>
                <c:pt idx="1">
                  <c:v>3</c:v>
                </c:pt>
                <c:pt idx="2">
                  <c:v>163.38146817019577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3A9C-4A9D-A5F5-EE5B7F1950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'📈'!$BE$33</c:f>
          <c:strCache>
            <c:ptCount val="1"/>
            <c:pt idx="0">
              <c:v>INVESTIMENTOS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doughnutChart>
        <c:varyColors val="1"/>
        <c:ser>
          <c:idx val="0"/>
          <c:order val="0"/>
          <c:spPr>
            <a:ln>
              <a:noFill/>
            </a:ln>
          </c:spPr>
          <c:dPt>
            <c:idx val="0"/>
            <c:bubble3D val="0"/>
            <c:spPr>
              <a:solidFill>
                <a:srgbClr val="FF8989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A929-406B-9582-13B1906F64AA}"/>
              </c:ext>
            </c:extLst>
          </c:dPt>
          <c:dPt>
            <c:idx val="1"/>
            <c:bubble3D val="0"/>
            <c:spPr>
              <a:solidFill>
                <a:srgbClr val="FFEBAB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A929-406B-9582-13B1906F64AA}"/>
              </c:ext>
            </c:extLst>
          </c:dPt>
          <c:dPt>
            <c:idx val="2"/>
            <c:bubble3D val="0"/>
            <c:spPr>
              <a:solidFill>
                <a:srgbClr val="92D050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A929-406B-9582-13B1906F64AA}"/>
              </c:ext>
            </c:extLst>
          </c:dPt>
          <c:dPt>
            <c:idx val="3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A929-406B-9582-13B1906F64AA}"/>
              </c:ext>
            </c:extLst>
          </c:dPt>
          <c:val>
            <c:numRef>
              <c:f>'📈'!$BF$37:$BF$40</c:f>
              <c:numCache>
                <c:formatCode>0.00</c:formatCode>
                <c:ptCount val="4"/>
                <c:pt idx="0">
                  <c:v>10</c:v>
                </c:pt>
                <c:pt idx="1">
                  <c:v>45</c:v>
                </c:pt>
                <c:pt idx="2">
                  <c:v>45</c:v>
                </c:pt>
                <c:pt idx="3">
                  <c:v>100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'📈'!$AK$37:$AK$40</c15:sqref>
                        </c15:formulaRef>
                      </c:ext>
                    </c:extLst>
                    <c:strCache>
                      <c:ptCount val="3"/>
                      <c:pt idx="0">
                        <c:v> RISCO BAIXO </c:v>
                      </c:pt>
                      <c:pt idx="1">
                        <c:v> RISCO MÉDIO </c:v>
                      </c:pt>
                      <c:pt idx="2">
                        <c:v> RISCO ALTO 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8-A929-406B-9582-13B1906F64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  <c:holeSize val="75"/>
      </c:doughnutChart>
      <c:pieChart>
        <c:varyColors val="1"/>
        <c:ser>
          <c:idx val="1"/>
          <c:order val="1"/>
          <c:tx>
            <c:v>Ponteiro</c:v>
          </c:tx>
          <c:spPr>
            <a:noFill/>
            <a:ln>
              <a:noFill/>
            </a:ln>
          </c:spPr>
          <c:explosion val="27"/>
          <c:dPt>
            <c:idx val="0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A-A929-406B-9582-13B1906F64AA}"/>
              </c:ext>
            </c:extLst>
          </c:dPt>
          <c:dPt>
            <c:idx val="1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C-A929-406B-9582-13B1906F64AA}"/>
              </c:ext>
            </c:extLst>
          </c:dPt>
          <c:dPt>
            <c:idx val="2"/>
            <c:bubble3D val="0"/>
            <c:explosion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E-A929-406B-9582-13B1906F64AA}"/>
              </c:ext>
            </c:extLst>
          </c:dPt>
          <c:dLbls>
            <c:dLbl>
              <c:idx val="1"/>
              <c:tx>
                <c:strRef>
                  <c:f>'📈'!$AX$12</c:f>
                  <c:strCache>
                    <c:ptCount val="1"/>
                    <c:pt idx="0">
                      <c:v>38%</c:v>
                    </c:pt>
                  </c:strCache>
                </c:strRef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{99E26DC3-77FD-464E-8A17-6D84E044FB8F}</c15:txfldGUID>
                      <c15:f>'📈'!$AX$12</c15:f>
                      <c15:dlblFieldTableCache>
                        <c:ptCount val="1"/>
                        <c:pt idx="0">
                          <c:v>38%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C-A929-406B-9582-13B1906F64A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/>
            </c:extLst>
          </c:dLbls>
          <c:val>
            <c:numRef>
              <c:f>'📈'!$BF$28:$BF$30</c:f>
              <c:numCache>
                <c:formatCode>0.00</c:formatCode>
                <c:ptCount val="3"/>
                <c:pt idx="0">
                  <c:v>36.083381312117979</c:v>
                </c:pt>
                <c:pt idx="1">
                  <c:v>3</c:v>
                </c:pt>
                <c:pt idx="2">
                  <c:v>160.91661868788202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A929-406B-9582-13B1906F64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_xlchart.v1.1</cx:f>
      </cx:strDim>
      <cx:numDim type="size">
        <cx:f>_xlchart.v1.0</cx:f>
      </cx:numDim>
    </cx:data>
  </cx:chartData>
  <cx:chart>
    <cx:title pos="t" align="ctr" overlay="0">
      <cx:tx>
        <cx:txData>
          <cx:v>RECEITAS FIXAS</cx:v>
        </cx:txData>
      </cx:tx>
      <cx:txPr>
        <a:bodyPr rot="0" spcFirstLastPara="1" vertOverflow="ellipsis" vert="horz" wrap="square" lIns="38100" tIns="19050" rIns="38100" bIns="19050" anchor="ctr" anchorCtr="1" compatLnSpc="0"/>
        <a:lstStyle/>
        <a:p>
          <a:pPr algn="ctr" rtl="0">
            <a:defRPr sz="1200" b="1" i="0" u="none" strike="noStrike" cap="all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r>
            <a:rPr kumimoji="0" lang="en-GB" sz="1200" b="1" i="0" u="none" strike="noStrike" kern="0" cap="all" spc="0" normalizeH="0" baseline="0" noProof="0">
              <a:ln>
                <a:noFill/>
              </a:ln>
              <a:solidFill>
                <a:sysClr val="windowText" lastClr="000000">
                  <a:lumMod val="65000"/>
                  <a:lumOff val="35000"/>
                </a:sysClr>
              </a:solidFill>
              <a:effectLst/>
              <a:uLnTx/>
              <a:uFillTx/>
              <a:latin typeface="Calibri" panose="020F0502020204030204"/>
            </a:rPr>
            <a:t>RECEITAS FIXAS</a:t>
          </a:r>
        </a:p>
      </cx:txPr>
    </cx:title>
    <cx:plotArea>
      <cx:plotAreaRegion>
        <cx:series layoutId="sunburst" uniqueId="{51950971-C88E-40C3-9BB2-00A0C99BE70F}" formatIdx="0">
          <cx:dataLabels pos="ctr">
            <cx:txPr>
              <a:bodyPr spcFirstLastPara="1" vertOverflow="ellipsis" horzOverflow="overflow" wrap="square" lIns="0" tIns="0" rIns="0" bIns="0" anchor="ctr" anchorCtr="1"/>
              <a:lstStyle/>
              <a:p>
                <a:pPr algn="ctr" rtl="0">
                  <a:defRPr sz="900"/>
                </a:pPr>
                <a:endParaRPr lang="pt-BR" sz="900" b="1" i="0" u="none" strike="noStrike" baseline="0">
                  <a:solidFill>
                    <a:sysClr val="window" lastClr="FFFFFF"/>
                  </a:solidFill>
                  <a:latin typeface="Calibri" panose="020F0502020204030204"/>
                </a:endParaRPr>
              </a:p>
            </cx:txPr>
            <cx:visibility seriesName="0" categoryName="1" value="1"/>
            <cx:separator>
</cx:separator>
          </cx:dataLabels>
          <cx:dataId val="0"/>
          <cx:layoutPr>
            <cx:parentLabelLayout val="overlapping"/>
          </cx:layoutPr>
        </cx:series>
      </cx:plotAreaRegion>
    </cx:plotArea>
  </cx:chart>
  <cx:spPr>
    <a:ln>
      <a:noFill/>
    </a:ln>
  </cx:spPr>
</cx:chartSpace>
</file>

<file path=xl/charts/chartEx2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_xlchart.v1.5</cx:f>
      </cx:strDim>
      <cx:numDim type="size">
        <cx:f>_xlchart.v1.4</cx:f>
      </cx:numDim>
    </cx:data>
  </cx:chartData>
  <cx:chart>
    <cx:title pos="t" align="ctr" overlay="0">
      <cx:tx>
        <cx:txData>
          <cx:v>RECEITAS VARIÁVEIS</cx:v>
        </cx:txData>
      </cx:tx>
      <cx:txPr>
        <a:bodyPr rot="0" spcFirstLastPara="1" vertOverflow="ellipsis" vert="horz" wrap="square" lIns="38100" tIns="19050" rIns="38100" bIns="19050" anchor="ctr" anchorCtr="1" compatLnSpc="0"/>
        <a:lstStyle/>
        <a:p>
          <a:pPr algn="ctr" rtl="0">
            <a:defRPr sz="1200" b="1" i="0" u="none" strike="noStrike" cap="all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r>
            <a:rPr kumimoji="0" lang="en-GB" sz="1200" b="1" i="0" u="none" strike="noStrike" kern="0" cap="all" spc="0" normalizeH="0" baseline="0" noProof="0">
              <a:ln>
                <a:noFill/>
              </a:ln>
              <a:solidFill>
                <a:sysClr val="windowText" lastClr="000000">
                  <a:lumMod val="65000"/>
                  <a:lumOff val="35000"/>
                </a:sysClr>
              </a:solidFill>
              <a:effectLst/>
              <a:uLnTx/>
              <a:uFillTx/>
              <a:latin typeface="Calibri" panose="020F0502020204030204"/>
            </a:rPr>
            <a:t>RECEITAS VARIÁVEIS</a:t>
          </a:r>
        </a:p>
      </cx:txPr>
    </cx:title>
    <cx:plotArea>
      <cx:plotAreaRegion>
        <cx:series layoutId="sunburst" uniqueId="{51950971-C88E-40C3-9BB2-00A0C99BE70F}" formatIdx="0">
          <cx:dataLabels pos="ctr">
            <cx:txPr>
              <a:bodyPr spcFirstLastPara="1" vertOverflow="ellipsis" horzOverflow="overflow" wrap="square" lIns="0" tIns="0" rIns="0" bIns="0" anchor="ctr" anchorCtr="1"/>
              <a:lstStyle/>
              <a:p>
                <a:pPr algn="ctr" rtl="0">
                  <a:defRPr sz="900"/>
                </a:pPr>
                <a:endParaRPr lang="pt-BR" sz="900" b="1" i="0" u="none" strike="noStrike" baseline="0">
                  <a:solidFill>
                    <a:sysClr val="window" lastClr="FFFFFF"/>
                  </a:solidFill>
                  <a:latin typeface="Calibri" panose="020F0502020204030204"/>
                </a:endParaRPr>
              </a:p>
            </cx:txPr>
            <cx:visibility seriesName="0" categoryName="1" value="1"/>
            <cx:separator>
</cx:separator>
          </cx:dataLabels>
          <cx:dataId val="0"/>
          <cx:layoutPr>
            <cx:parentLabelLayout val="overlapping"/>
          </cx:layoutPr>
        </cx:series>
      </cx:plotAreaRegion>
    </cx:plotArea>
  </cx:chart>
  <cx:spPr>
    <a:ln>
      <a:noFill/>
    </a:ln>
  </cx:spPr>
</cx:chartSpace>
</file>

<file path=xl/charts/chartEx3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_xlchart.v1.7</cx:f>
      </cx:strDim>
      <cx:numDim type="size">
        <cx:f>_xlchart.v1.6</cx:f>
      </cx:numDim>
    </cx:data>
  </cx:chartData>
  <cx:chart>
    <cx:title pos="t" align="ctr" overlay="0">
      <cx:tx>
        <cx:txData>
          <cx:v>DESPESAS FIXAS</cx:v>
        </cx:txData>
      </cx:tx>
      <cx:txPr>
        <a:bodyPr rot="0" spcFirstLastPara="1" vertOverflow="ellipsis" vert="horz" wrap="square" lIns="38100" tIns="19050" rIns="38100" bIns="19050" anchor="ctr" anchorCtr="1" compatLnSpc="0"/>
        <a:lstStyle/>
        <a:p>
          <a:pPr algn="ctr" rtl="0">
            <a:defRPr sz="1200" b="1" i="0" u="none" strike="noStrike" cap="all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r>
            <a:rPr kumimoji="0" lang="en-GB" sz="1200" b="1" i="0" u="none" strike="noStrike" kern="0" cap="all" spc="0" normalizeH="0" baseline="0" noProof="0">
              <a:ln>
                <a:noFill/>
              </a:ln>
              <a:solidFill>
                <a:sysClr val="windowText" lastClr="000000">
                  <a:lumMod val="65000"/>
                  <a:lumOff val="35000"/>
                </a:sysClr>
              </a:solidFill>
              <a:effectLst/>
              <a:uLnTx/>
              <a:uFillTx/>
              <a:latin typeface="Calibri" panose="020F0502020204030204"/>
            </a:rPr>
            <a:t>DESPESAS FIXAS</a:t>
          </a:r>
        </a:p>
      </cx:txPr>
    </cx:title>
    <cx:plotArea>
      <cx:plotAreaRegion>
        <cx:series layoutId="sunburst" uniqueId="{51950971-C88E-40C3-9BB2-00A0C99BE70F}" formatIdx="0">
          <cx:dataLabels pos="ctr">
            <cx:txPr>
              <a:bodyPr spcFirstLastPara="1" vertOverflow="ellipsis" horzOverflow="overflow" wrap="square" lIns="0" tIns="0" rIns="0" bIns="0" anchor="ctr" anchorCtr="1"/>
              <a:lstStyle/>
              <a:p>
                <a:pPr algn="ctr" rtl="0">
                  <a:defRPr sz="900"/>
                </a:pPr>
                <a:endParaRPr lang="pt-BR" sz="900" b="1" i="0" u="none" strike="noStrike" baseline="0">
                  <a:solidFill>
                    <a:sysClr val="window" lastClr="FFFFFF"/>
                  </a:solidFill>
                  <a:latin typeface="Calibri" panose="020F0502020204030204"/>
                </a:endParaRPr>
              </a:p>
            </cx:txPr>
            <cx:visibility seriesName="0" categoryName="1" value="1"/>
            <cx:separator>
</cx:separator>
          </cx:dataLabels>
          <cx:dataId val="0"/>
          <cx:layoutPr>
            <cx:parentLabelLayout val="overlapping"/>
          </cx:layoutPr>
        </cx:series>
      </cx:plotAreaRegion>
    </cx:plotArea>
  </cx:chart>
  <cx:spPr>
    <a:ln>
      <a:noFill/>
    </a:ln>
  </cx:spPr>
</cx:chartSpace>
</file>

<file path=xl/charts/chartEx4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_xlchart.v1.3</cx:f>
      </cx:strDim>
      <cx:numDim type="size">
        <cx:f>_xlchart.v1.2</cx:f>
      </cx:numDim>
    </cx:data>
  </cx:chartData>
  <cx:chart>
    <cx:title pos="t" align="ctr" overlay="0">
      <cx:tx>
        <cx:txData>
          <cx:v>DESPESAS VARIÁVEIS</cx:v>
        </cx:txData>
      </cx:tx>
      <cx:txPr>
        <a:bodyPr rot="0" spcFirstLastPara="1" vertOverflow="ellipsis" vert="horz" wrap="square" lIns="38100" tIns="19050" rIns="38100" bIns="19050" anchor="ctr" anchorCtr="1" compatLnSpc="0"/>
        <a:lstStyle/>
        <a:p>
          <a:pPr algn="ctr" rtl="0">
            <a:defRPr sz="1200" b="1" i="0" u="none" strike="noStrike" cap="all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r>
            <a:rPr kumimoji="0" lang="en-GB" sz="1200" b="1" i="0" u="none" strike="noStrike" kern="0" cap="all" spc="0" normalizeH="0" baseline="0" noProof="0">
              <a:ln>
                <a:noFill/>
              </a:ln>
              <a:solidFill>
                <a:sysClr val="windowText" lastClr="000000">
                  <a:lumMod val="65000"/>
                  <a:lumOff val="35000"/>
                </a:sysClr>
              </a:solidFill>
              <a:effectLst/>
              <a:uLnTx/>
              <a:uFillTx/>
              <a:latin typeface="Calibri" panose="020F0502020204030204"/>
            </a:rPr>
            <a:t>DESPESAS VARIÁVEIS</a:t>
          </a:r>
        </a:p>
      </cx:txPr>
    </cx:title>
    <cx:plotArea>
      <cx:plotAreaRegion>
        <cx:series layoutId="sunburst" uniqueId="{51950971-C88E-40C3-9BB2-00A0C99BE70F}" formatIdx="0">
          <cx:dataLabels pos="ctr">
            <cx:txPr>
              <a:bodyPr spcFirstLastPara="1" vertOverflow="ellipsis" horzOverflow="overflow" wrap="square" lIns="0" tIns="0" rIns="0" bIns="0" anchor="ctr" anchorCtr="1"/>
              <a:lstStyle/>
              <a:p>
                <a:pPr algn="ctr" rtl="0">
                  <a:defRPr sz="900"/>
                </a:pPr>
                <a:endParaRPr lang="pt-BR" sz="900" b="1" i="0" u="none" strike="noStrike" baseline="0">
                  <a:solidFill>
                    <a:sysClr val="window" lastClr="FFFFFF"/>
                  </a:solidFill>
                  <a:latin typeface="Calibri" panose="020F0502020204030204"/>
                </a:endParaRPr>
              </a:p>
            </cx:txPr>
            <cx:visibility seriesName="0" categoryName="1" value="1"/>
            <cx:separator>
</cx:separator>
          </cx:dataLabels>
          <cx:dataId val="0"/>
          <cx:layoutPr>
            <cx:parentLabelLayout val="overlapping"/>
          </cx:layoutPr>
        </cx:series>
      </cx:plotAreaRegion>
    </cx:plotArea>
  </cx:chart>
  <cx:spPr>
    <a:ln>
      <a:noFill/>
    </a:ln>
  </cx:spPr>
</cx:chartSpace>
</file>

<file path=xl/charts/chartEx5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_xlchart.v1.13</cx:f>
      </cx:strDim>
      <cx:numDim type="size">
        <cx:f>_xlchart.v1.12</cx:f>
      </cx:numDim>
    </cx:data>
  </cx:chartData>
  <cx:chart>
    <cx:title pos="t" align="ctr" overlay="0">
      <cx:tx>
        <cx:txData>
          <cx:v>RENDA FIXA</cx:v>
        </cx:txData>
      </cx:tx>
      <cx:txPr>
        <a:bodyPr rot="0" spcFirstLastPara="1" vertOverflow="ellipsis" vert="horz" wrap="square" lIns="38100" tIns="19050" rIns="38100" bIns="19050" anchor="ctr" anchorCtr="1" compatLnSpc="0"/>
        <a:lstStyle/>
        <a:p>
          <a:pPr algn="ctr" rtl="0">
            <a:defRPr sz="1200" b="1" i="0" u="none" strike="noStrike" cap="all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r>
            <a:rPr kumimoji="0" lang="en-GB" sz="1200" b="1" i="0" u="none" strike="noStrike" kern="0" cap="all" spc="0" normalizeH="0" baseline="0" noProof="0">
              <a:ln>
                <a:noFill/>
              </a:ln>
              <a:solidFill>
                <a:sysClr val="windowText" lastClr="000000">
                  <a:lumMod val="65000"/>
                  <a:lumOff val="35000"/>
                </a:sysClr>
              </a:solidFill>
              <a:effectLst/>
              <a:uLnTx/>
              <a:uFillTx/>
              <a:latin typeface="Calibri" panose="020F0502020204030204"/>
            </a:rPr>
            <a:t>RENDA FIXA</a:t>
          </a:r>
        </a:p>
      </cx:txPr>
    </cx:title>
    <cx:plotArea>
      <cx:plotAreaRegion>
        <cx:series layoutId="sunburst" uniqueId="{51950971-C88E-40C3-9BB2-00A0C99BE70F}" formatIdx="0">
          <cx:dataLabels pos="ctr">
            <cx:txPr>
              <a:bodyPr spcFirstLastPara="1" vertOverflow="ellipsis" horzOverflow="overflow" wrap="square" lIns="0" tIns="0" rIns="0" bIns="0" anchor="ctr" anchorCtr="1"/>
              <a:lstStyle/>
              <a:p>
                <a:pPr algn="ctr" rtl="0">
                  <a:defRPr sz="900"/>
                </a:pPr>
                <a:endParaRPr lang="pt-BR" sz="900" b="1" i="0" u="none" strike="noStrike" baseline="0">
                  <a:solidFill>
                    <a:sysClr val="window" lastClr="FFFFFF"/>
                  </a:solidFill>
                  <a:latin typeface="Calibri" panose="020F0502020204030204"/>
                </a:endParaRPr>
              </a:p>
            </cx:txPr>
            <cx:visibility seriesName="0" categoryName="1" value="1"/>
            <cx:separator>
</cx:separator>
          </cx:dataLabels>
          <cx:dataId val="0"/>
          <cx:layoutPr>
            <cx:parentLabelLayout val="overlapping"/>
          </cx:layoutPr>
        </cx:series>
      </cx:plotAreaRegion>
    </cx:plotArea>
  </cx:chart>
  <cx:spPr>
    <a:ln>
      <a:noFill/>
    </a:ln>
  </cx:spPr>
</cx:chartSpace>
</file>

<file path=xl/charts/chartEx6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_xlchart.v1.11</cx:f>
      </cx:strDim>
      <cx:numDim type="size">
        <cx:f>_xlchart.v1.10</cx:f>
      </cx:numDim>
    </cx:data>
  </cx:chartData>
  <cx:chart>
    <cx:title pos="t" align="ctr" overlay="0">
      <cx:tx>
        <cx:txData>
          <cx:v>RENDA VARIÁVEL</cx:v>
        </cx:txData>
      </cx:tx>
      <cx:txPr>
        <a:bodyPr rot="0" spcFirstLastPara="1" vertOverflow="ellipsis" vert="horz" wrap="square" lIns="38100" tIns="19050" rIns="38100" bIns="19050" anchor="ctr" anchorCtr="1" compatLnSpc="0"/>
        <a:lstStyle/>
        <a:p>
          <a:pPr algn="ctr" rtl="0">
            <a:defRPr sz="1200" b="1" i="0" u="none" strike="noStrike" cap="all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r>
            <a:rPr kumimoji="0" lang="en-GB" sz="1200" b="1" i="0" u="none" strike="noStrike" kern="0" cap="all" spc="0" normalizeH="0" baseline="0" noProof="0">
              <a:ln>
                <a:noFill/>
              </a:ln>
              <a:solidFill>
                <a:sysClr val="windowText" lastClr="000000">
                  <a:lumMod val="65000"/>
                  <a:lumOff val="35000"/>
                </a:sysClr>
              </a:solidFill>
              <a:effectLst/>
              <a:uLnTx/>
              <a:uFillTx/>
              <a:latin typeface="Calibri" panose="020F0502020204030204"/>
            </a:rPr>
            <a:t>RENDA VARIÁVEL</a:t>
          </a:r>
        </a:p>
      </cx:txPr>
    </cx:title>
    <cx:plotArea>
      <cx:plotAreaRegion>
        <cx:series layoutId="sunburst" uniqueId="{51950971-C88E-40C3-9BB2-00A0C99BE70F}" formatIdx="0">
          <cx:dataLabels pos="ctr">
            <cx:txPr>
              <a:bodyPr spcFirstLastPara="1" vertOverflow="ellipsis" horzOverflow="overflow" wrap="square" lIns="0" tIns="0" rIns="0" bIns="0" anchor="ctr" anchorCtr="1"/>
              <a:lstStyle/>
              <a:p>
                <a:pPr algn="ctr" rtl="0">
                  <a:defRPr sz="900"/>
                </a:pPr>
                <a:endParaRPr lang="pt-BR" sz="900" b="1" i="0" u="none" strike="noStrike" baseline="0">
                  <a:solidFill>
                    <a:sysClr val="window" lastClr="FFFFFF"/>
                  </a:solidFill>
                  <a:latin typeface="Calibri" panose="020F0502020204030204"/>
                </a:endParaRPr>
              </a:p>
            </cx:txPr>
            <cx:visibility seriesName="0" categoryName="1" value="1"/>
            <cx:separator>
</cx:separator>
          </cx:dataLabels>
          <cx:dataId val="0"/>
          <cx:layoutPr>
            <cx:parentLabelLayout val="overlapping"/>
          </cx:layoutPr>
        </cx:series>
      </cx:plotAreaRegion>
    </cx:plotArea>
  </cx:chart>
  <cx:spPr>
    <a:ln>
      <a:noFill/>
    </a:ln>
  </cx:spPr>
</cx:chartSpace>
</file>

<file path=xl/charts/chartEx7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_xlchart.v1.17</cx:f>
      </cx:strDim>
      <cx:numDim type="size">
        <cx:f>_xlchart.v1.16</cx:f>
      </cx:numDim>
    </cx:data>
  </cx:chartData>
  <cx:chart>
    <cx:title pos="t" align="ctr" overlay="0">
      <cx:tx>
        <cx:txData>
          <cx:v>OUTROS INVESTIMENTOS</cx:v>
        </cx:txData>
      </cx:tx>
      <cx:txPr>
        <a:bodyPr rot="0" spcFirstLastPara="1" vertOverflow="ellipsis" vert="horz" wrap="square" lIns="38100" tIns="19050" rIns="38100" bIns="19050" anchor="ctr" anchorCtr="1" compatLnSpc="0"/>
        <a:lstStyle/>
        <a:p>
          <a:pPr algn="ctr" rtl="0">
            <a:defRPr sz="1200" b="1" i="0" u="none" strike="noStrike" cap="all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r>
            <a:rPr kumimoji="0" lang="en-GB" sz="1200" b="1" i="0" u="none" strike="noStrike" kern="0" cap="all" spc="0" normalizeH="0" baseline="0" noProof="0">
              <a:ln>
                <a:noFill/>
              </a:ln>
              <a:solidFill>
                <a:sysClr val="windowText" lastClr="000000">
                  <a:lumMod val="65000"/>
                  <a:lumOff val="35000"/>
                </a:sysClr>
              </a:solidFill>
              <a:effectLst/>
              <a:uLnTx/>
              <a:uFillTx/>
              <a:latin typeface="Calibri" panose="020F0502020204030204"/>
            </a:rPr>
            <a:t>OUTROS INVESTIMENTOS</a:t>
          </a:r>
        </a:p>
      </cx:txPr>
    </cx:title>
    <cx:plotArea>
      <cx:plotAreaRegion>
        <cx:series layoutId="sunburst" uniqueId="{51950971-C88E-40C3-9BB2-00A0C99BE70F}" formatIdx="0">
          <cx:dataLabels pos="ctr">
            <cx:txPr>
              <a:bodyPr spcFirstLastPara="1" vertOverflow="ellipsis" horzOverflow="overflow" wrap="square" lIns="0" tIns="0" rIns="0" bIns="0" anchor="ctr" anchorCtr="1"/>
              <a:lstStyle/>
              <a:p>
                <a:pPr algn="ctr" rtl="0">
                  <a:defRPr sz="900"/>
                </a:pPr>
                <a:endParaRPr lang="pt-BR" sz="900" b="1" i="0" u="none" strike="noStrike" baseline="0">
                  <a:solidFill>
                    <a:sysClr val="window" lastClr="FFFFFF"/>
                  </a:solidFill>
                  <a:latin typeface="Calibri" panose="020F0502020204030204"/>
                </a:endParaRPr>
              </a:p>
            </cx:txPr>
            <cx:visibility seriesName="0" categoryName="1" value="1"/>
            <cx:separator>
</cx:separator>
          </cx:dataLabels>
          <cx:dataId val="0"/>
          <cx:layoutPr>
            <cx:parentLabelLayout val="overlapping"/>
          </cx:layoutPr>
        </cx:series>
      </cx:plotAreaRegion>
    </cx:plotArea>
  </cx:chart>
  <cx:spPr>
    <a:ln>
      <a:noFill/>
    </a:ln>
  </cx:spPr>
</cx:chartSpace>
</file>

<file path=xl/charts/chartEx8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_xlchart.v1.15</cx:f>
      </cx:strDim>
      <cx:numDim type="size">
        <cx:f>_xlchart.v1.14</cx:f>
      </cx:numDim>
    </cx:data>
  </cx:chartData>
  <cx:chart>
    <cx:title pos="t" align="ctr" overlay="0">
      <cx:tx>
        <cx:txData>
          <cx:v>RENDA FIXA</cx:v>
        </cx:txData>
      </cx:tx>
      <cx:txPr>
        <a:bodyPr rot="0" spcFirstLastPara="1" vertOverflow="ellipsis" vert="horz" wrap="square" lIns="38100" tIns="19050" rIns="38100" bIns="19050" anchor="ctr" anchorCtr="1" compatLnSpc="0"/>
        <a:lstStyle/>
        <a:p>
          <a:pPr algn="ctr" rtl="0">
            <a:defRPr sz="1200" b="1" i="0" u="none" strike="noStrike" cap="all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r>
            <a:rPr kumimoji="0" lang="en-GB" sz="1200" b="1" i="0" u="none" strike="noStrike" kern="0" cap="all" spc="0" normalizeH="0" baseline="0" noProof="0">
              <a:ln>
                <a:noFill/>
              </a:ln>
              <a:solidFill>
                <a:sysClr val="windowText" lastClr="000000">
                  <a:lumMod val="65000"/>
                  <a:lumOff val="35000"/>
                </a:sysClr>
              </a:solidFill>
              <a:effectLst/>
              <a:uLnTx/>
              <a:uFillTx/>
              <a:latin typeface="Calibri" panose="020F0502020204030204"/>
            </a:rPr>
            <a:t>RENDA FIXA</a:t>
          </a:r>
        </a:p>
      </cx:txPr>
    </cx:title>
    <cx:plotArea>
      <cx:plotAreaRegion>
        <cx:series layoutId="sunburst" uniqueId="{51950971-C88E-40C3-9BB2-00A0C99BE70F}" formatIdx="0">
          <cx:dataLabels pos="ctr">
            <cx:txPr>
              <a:bodyPr spcFirstLastPara="1" vertOverflow="ellipsis" horzOverflow="overflow" wrap="square" lIns="0" tIns="0" rIns="0" bIns="0" anchor="ctr" anchorCtr="1"/>
              <a:lstStyle/>
              <a:p>
                <a:pPr algn="ctr" rtl="0">
                  <a:defRPr sz="900"/>
                </a:pPr>
                <a:endParaRPr lang="pt-BR" sz="900" b="1" i="0" u="none" strike="noStrike" baseline="0">
                  <a:solidFill>
                    <a:sysClr val="window" lastClr="FFFFFF"/>
                  </a:solidFill>
                  <a:latin typeface="Calibri" panose="020F0502020204030204"/>
                </a:endParaRPr>
              </a:p>
            </cx:txPr>
            <cx:visibility seriesName="0" categoryName="1" value="1"/>
            <cx:separator>
</cx:separator>
          </cx:dataLabels>
          <cx:dataId val="0"/>
          <cx:layoutPr>
            <cx:parentLabelLayout val="overlapping"/>
          </cx:layoutPr>
        </cx:series>
      </cx:plotAreaRegion>
    </cx:plotArea>
  </cx:chart>
  <cx:spPr>
    <a:ln>
      <a:noFill/>
    </a:ln>
  </cx:spPr>
</cx:chartSpace>
</file>

<file path=xl/charts/chartEx9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_xlchart.v1.19</cx:f>
      </cx:strDim>
      <cx:numDim type="size">
        <cx:f>_xlchart.v1.18</cx:f>
      </cx:numDim>
    </cx:data>
  </cx:chartData>
  <cx:chart>
    <cx:title pos="t" align="ctr" overlay="0">
      <cx:tx>
        <cx:txData>
          <cx:v>RENDA VARIÁVEL</cx:v>
        </cx:txData>
      </cx:tx>
      <cx:txPr>
        <a:bodyPr rot="0" spcFirstLastPara="1" vertOverflow="ellipsis" vert="horz" wrap="square" lIns="38100" tIns="19050" rIns="38100" bIns="19050" anchor="ctr" anchorCtr="1" compatLnSpc="0"/>
        <a:lstStyle/>
        <a:p>
          <a:pPr algn="ctr" rtl="0">
            <a:defRPr sz="1200" b="1" i="0" u="none" strike="noStrike" cap="all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r>
            <a:rPr kumimoji="0" lang="en-GB" sz="1200" b="1" i="0" u="none" strike="noStrike" kern="0" cap="all" spc="0" normalizeH="0" baseline="0" noProof="0">
              <a:ln>
                <a:noFill/>
              </a:ln>
              <a:solidFill>
                <a:sysClr val="windowText" lastClr="000000">
                  <a:lumMod val="65000"/>
                  <a:lumOff val="35000"/>
                </a:sysClr>
              </a:solidFill>
              <a:effectLst/>
              <a:uLnTx/>
              <a:uFillTx/>
              <a:latin typeface="Calibri" panose="020F0502020204030204"/>
            </a:rPr>
            <a:t>RENDA VARIÁVEL</a:t>
          </a:r>
        </a:p>
      </cx:txPr>
    </cx:title>
    <cx:plotArea>
      <cx:plotAreaRegion>
        <cx:series layoutId="sunburst" uniqueId="{51950971-C88E-40C3-9BB2-00A0C99BE70F}" formatIdx="0">
          <cx:dataLabels pos="ctr">
            <cx:txPr>
              <a:bodyPr spcFirstLastPara="1" vertOverflow="ellipsis" horzOverflow="overflow" wrap="square" lIns="0" tIns="0" rIns="0" bIns="0" anchor="ctr" anchorCtr="1"/>
              <a:lstStyle/>
              <a:p>
                <a:pPr algn="ctr" rtl="0">
                  <a:defRPr sz="900"/>
                </a:pPr>
                <a:endParaRPr lang="pt-BR" sz="900" b="1" i="0" u="none" strike="noStrike" baseline="0">
                  <a:solidFill>
                    <a:sysClr val="window" lastClr="FFFFFF"/>
                  </a:solidFill>
                  <a:latin typeface="Calibri" panose="020F0502020204030204"/>
                </a:endParaRPr>
              </a:p>
            </cx:txPr>
            <cx:visibility seriesName="0" categoryName="1" value="1"/>
            <cx:separator>
</cx:separator>
          </cx:dataLabels>
          <cx:dataId val="0"/>
          <cx:layoutPr>
            <cx:parentLabelLayout val="overlapping"/>
          </cx:layoutPr>
        </cx:series>
      </cx:plotAreaRegion>
    </cx:plotArea>
  </cx:chart>
  <cx:spPr>
    <a:ln>
      <a:noFill/>
    </a:ln>
  </cx:spPr>
</cx:chartSpace>
</file>

<file path=xl/charts/chartEx10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_xlchart.v1.9</cx:f>
      </cx:strDim>
      <cx:numDim type="size">
        <cx:f>_xlchart.v1.8</cx:f>
      </cx:numDim>
    </cx:data>
  </cx:chartData>
  <cx:chart>
    <cx:title pos="t" align="ctr" overlay="0">
      <cx:tx>
        <cx:txData>
          <cx:v>OUTRAS RESERVAS</cx:v>
        </cx:txData>
      </cx:tx>
      <cx:txPr>
        <a:bodyPr rot="0" spcFirstLastPara="1" vertOverflow="ellipsis" vert="horz" wrap="square" lIns="38100" tIns="19050" rIns="38100" bIns="19050" anchor="ctr" anchorCtr="1" compatLnSpc="0"/>
        <a:lstStyle/>
        <a:p>
          <a:pPr algn="ctr" rtl="0">
            <a:defRPr sz="1200" b="1" i="0" u="none" strike="noStrike" cap="all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r>
            <a:rPr kumimoji="0" lang="en-GB" sz="1200" b="1" i="0" u="none" strike="noStrike" kern="0" cap="all" spc="0" normalizeH="0" baseline="0" noProof="0">
              <a:ln>
                <a:noFill/>
              </a:ln>
              <a:solidFill>
                <a:sysClr val="windowText" lastClr="000000">
                  <a:lumMod val="65000"/>
                  <a:lumOff val="35000"/>
                </a:sysClr>
              </a:solidFill>
              <a:effectLst/>
              <a:uLnTx/>
              <a:uFillTx/>
              <a:latin typeface="Calibri" panose="020F0502020204030204"/>
            </a:rPr>
            <a:t>OUTRAS RESERVAS</a:t>
          </a:r>
        </a:p>
      </cx:txPr>
    </cx:title>
    <cx:plotArea>
      <cx:plotAreaRegion>
        <cx:series layoutId="sunburst" uniqueId="{51950971-C88E-40C3-9BB2-00A0C99BE70F}" formatIdx="0">
          <cx:dataLabels pos="ctr">
            <cx:txPr>
              <a:bodyPr spcFirstLastPara="1" vertOverflow="ellipsis" horzOverflow="overflow" wrap="square" lIns="0" tIns="0" rIns="0" bIns="0" anchor="ctr" anchorCtr="1"/>
              <a:lstStyle/>
              <a:p>
                <a:pPr algn="ctr" rtl="0">
                  <a:defRPr sz="900"/>
                </a:pPr>
                <a:endParaRPr lang="pt-BR" sz="900" b="1" i="0" u="none" strike="noStrike" baseline="0">
                  <a:solidFill>
                    <a:sysClr val="window" lastClr="FFFFFF"/>
                  </a:solidFill>
                  <a:latin typeface="Calibri" panose="020F0502020204030204"/>
                </a:endParaRPr>
              </a:p>
            </cx:txPr>
            <cx:visibility seriesName="0" categoryName="1" value="1"/>
            <cx:separator>
</cx:separator>
          </cx:dataLabels>
          <cx:dataId val="0"/>
          <cx:layoutPr>
            <cx:parentLabelLayout val="overlapping"/>
          </cx:layoutPr>
        </cx:series>
      </cx:plotAreaRegion>
    </cx:plotArea>
  </cx:chart>
  <cx:spPr>
    <a:ln>
      <a:noFill/>
    </a:ln>
  </cx:spPr>
</cx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416">
  <cs:axisTitle>
    <cs:lnRef idx="0"/>
    <cs:fillRef idx="0"/>
    <cs:effectRef idx="0"/>
    <cs:fontRef idx="minor">
      <a:schemeClr val="tx1">
        <a:lumMod val="65000"/>
        <a:lumOff val="35000"/>
      </a:schemeClr>
    </cs:fontRef>
    <cs:spPr>
      <a:solidFill>
        <a:schemeClr val="bg1">
          <a:lumMod val="65000"/>
        </a:schemeClr>
      </a:solidFill>
      <a:ln>
        <a:solidFill>
          <a:schemeClr val="bg1"/>
        </a:solidFill>
      </a:ln>
    </cs:spPr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lt1"/>
    </cs:fontRef>
    <cs:defRPr sz="1000" b="1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cap="all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416">
  <cs:axisTitle>
    <cs:lnRef idx="0"/>
    <cs:fillRef idx="0"/>
    <cs:effectRef idx="0"/>
    <cs:fontRef idx="minor">
      <a:schemeClr val="tx1">
        <a:lumMod val="65000"/>
        <a:lumOff val="35000"/>
      </a:schemeClr>
    </cs:fontRef>
    <cs:spPr>
      <a:solidFill>
        <a:schemeClr val="bg1">
          <a:lumMod val="65000"/>
        </a:schemeClr>
      </a:solidFill>
      <a:ln>
        <a:solidFill>
          <a:schemeClr val="bg1"/>
        </a:solidFill>
      </a:ln>
    </cs:spPr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lt1"/>
    </cs:fontRef>
    <cs:defRPr sz="1000" b="1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cap="all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416">
  <cs:axisTitle>
    <cs:lnRef idx="0"/>
    <cs:fillRef idx="0"/>
    <cs:effectRef idx="0"/>
    <cs:fontRef idx="minor">
      <a:schemeClr val="tx1">
        <a:lumMod val="65000"/>
        <a:lumOff val="35000"/>
      </a:schemeClr>
    </cs:fontRef>
    <cs:spPr>
      <a:solidFill>
        <a:schemeClr val="bg1">
          <a:lumMod val="65000"/>
        </a:schemeClr>
      </a:solidFill>
      <a:ln>
        <a:solidFill>
          <a:schemeClr val="bg1"/>
        </a:solidFill>
      </a:ln>
    </cs:spPr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lt1"/>
    </cs:fontRef>
    <cs:defRPr sz="1000" b="1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cap="all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416">
  <cs:axisTitle>
    <cs:lnRef idx="0"/>
    <cs:fillRef idx="0"/>
    <cs:effectRef idx="0"/>
    <cs:fontRef idx="minor">
      <a:schemeClr val="tx1">
        <a:lumMod val="65000"/>
        <a:lumOff val="35000"/>
      </a:schemeClr>
    </cs:fontRef>
    <cs:spPr>
      <a:solidFill>
        <a:schemeClr val="bg1">
          <a:lumMod val="65000"/>
        </a:schemeClr>
      </a:solidFill>
      <a:ln>
        <a:solidFill>
          <a:schemeClr val="bg1"/>
        </a:solidFill>
      </a:ln>
    </cs:spPr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lt1"/>
    </cs:fontRef>
    <cs:defRPr sz="1000" b="1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cap="all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416">
  <cs:axisTitle>
    <cs:lnRef idx="0"/>
    <cs:fillRef idx="0"/>
    <cs:effectRef idx="0"/>
    <cs:fontRef idx="minor">
      <a:schemeClr val="tx1">
        <a:lumMod val="65000"/>
        <a:lumOff val="35000"/>
      </a:schemeClr>
    </cs:fontRef>
    <cs:spPr>
      <a:solidFill>
        <a:schemeClr val="bg1">
          <a:lumMod val="65000"/>
        </a:schemeClr>
      </a:solidFill>
      <a:ln>
        <a:solidFill>
          <a:schemeClr val="bg1"/>
        </a:solidFill>
      </a:ln>
    </cs:spPr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lt1"/>
    </cs:fontRef>
    <cs:defRPr sz="1000" b="1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cap="all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9.xml><?xml version="1.0" encoding="utf-8"?>
<cs:chartStyle xmlns:cs="http://schemas.microsoft.com/office/drawing/2012/chartStyle" xmlns:a="http://schemas.openxmlformats.org/drawingml/2006/main" id="416">
  <cs:axisTitle>
    <cs:lnRef idx="0"/>
    <cs:fillRef idx="0"/>
    <cs:effectRef idx="0"/>
    <cs:fontRef idx="minor">
      <a:schemeClr val="tx1">
        <a:lumMod val="65000"/>
        <a:lumOff val="35000"/>
      </a:schemeClr>
    </cs:fontRef>
    <cs:spPr>
      <a:solidFill>
        <a:schemeClr val="bg1">
          <a:lumMod val="65000"/>
        </a:schemeClr>
      </a:solidFill>
      <a:ln>
        <a:solidFill>
          <a:schemeClr val="bg1"/>
        </a:solidFill>
      </a:ln>
    </cs:spPr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lt1"/>
    </cs:fontRef>
    <cs:defRPr sz="1000" b="1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cap="all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10.xml><?xml version="1.0" encoding="utf-8"?>
<cs:chartStyle xmlns:cs="http://schemas.microsoft.com/office/drawing/2012/chartStyle" xmlns:a="http://schemas.openxmlformats.org/drawingml/2006/main" id="416">
  <cs:axisTitle>
    <cs:lnRef idx="0"/>
    <cs:fillRef idx="0"/>
    <cs:effectRef idx="0"/>
    <cs:fontRef idx="minor">
      <a:schemeClr val="tx1">
        <a:lumMod val="65000"/>
        <a:lumOff val="35000"/>
      </a:schemeClr>
    </cs:fontRef>
    <cs:spPr>
      <a:solidFill>
        <a:schemeClr val="bg1">
          <a:lumMod val="65000"/>
        </a:schemeClr>
      </a:solidFill>
      <a:ln>
        <a:solidFill>
          <a:schemeClr val="bg1"/>
        </a:solidFill>
      </a:ln>
    </cs:spPr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lt1"/>
    </cs:fontRef>
    <cs:defRPr sz="1000" b="1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cap="all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11.xml><?xml version="1.0" encoding="utf-8"?>
<cs:chartStyle xmlns:cs="http://schemas.microsoft.com/office/drawing/2012/chartStyle" xmlns:a="http://schemas.openxmlformats.org/drawingml/2006/main" id="29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2.xml><?xml version="1.0" encoding="utf-8"?>
<cs:chartStyle xmlns:cs="http://schemas.microsoft.com/office/drawing/2012/chartStyle" xmlns:a="http://schemas.openxmlformats.org/drawingml/2006/main" id="416">
  <cs:axisTitle>
    <cs:lnRef idx="0"/>
    <cs:fillRef idx="0"/>
    <cs:effectRef idx="0"/>
    <cs:fontRef idx="minor">
      <a:schemeClr val="tx1">
        <a:lumMod val="65000"/>
        <a:lumOff val="35000"/>
      </a:schemeClr>
    </cs:fontRef>
    <cs:spPr>
      <a:solidFill>
        <a:schemeClr val="bg1">
          <a:lumMod val="65000"/>
        </a:schemeClr>
      </a:solidFill>
      <a:ln>
        <a:solidFill>
          <a:schemeClr val="bg1"/>
        </a:solidFill>
      </a:ln>
    </cs:spPr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lt1"/>
    </cs:fontRef>
    <cs:defRPr sz="1000" b="1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cap="all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13.xml><?xml version="1.0" encoding="utf-8"?>
<cs:chartStyle xmlns:cs="http://schemas.microsoft.com/office/drawing/2012/chartStyle" xmlns:a="http://schemas.openxmlformats.org/drawingml/2006/main" id="416">
  <cs:axisTitle>
    <cs:lnRef idx="0"/>
    <cs:fillRef idx="0"/>
    <cs:effectRef idx="0"/>
    <cs:fontRef idx="minor">
      <a:schemeClr val="tx1">
        <a:lumMod val="65000"/>
        <a:lumOff val="35000"/>
      </a:schemeClr>
    </cs:fontRef>
    <cs:spPr>
      <a:solidFill>
        <a:schemeClr val="bg1">
          <a:lumMod val="65000"/>
        </a:schemeClr>
      </a:solidFill>
      <a:ln>
        <a:solidFill>
          <a:schemeClr val="bg1"/>
        </a:solidFill>
      </a:ln>
    </cs:spPr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lt1"/>
    </cs:fontRef>
    <cs:defRPr sz="1000" b="1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cap="all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14.xml><?xml version="1.0" encoding="utf-8"?>
<cs:chartStyle xmlns:cs="http://schemas.microsoft.com/office/drawing/2012/chartStyle" xmlns:a="http://schemas.openxmlformats.org/drawingml/2006/main" id="416">
  <cs:axisTitle>
    <cs:lnRef idx="0"/>
    <cs:fillRef idx="0"/>
    <cs:effectRef idx="0"/>
    <cs:fontRef idx="minor">
      <a:schemeClr val="tx1">
        <a:lumMod val="65000"/>
        <a:lumOff val="35000"/>
      </a:schemeClr>
    </cs:fontRef>
    <cs:spPr>
      <a:solidFill>
        <a:schemeClr val="bg1">
          <a:lumMod val="65000"/>
        </a:schemeClr>
      </a:solidFill>
      <a:ln>
        <a:solidFill>
          <a:schemeClr val="bg1"/>
        </a:solidFill>
      </a:ln>
    </cs:spPr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lt1"/>
    </cs:fontRef>
    <cs:defRPr sz="1000" b="1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cap="all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15.xml><?xml version="1.0" encoding="utf-8"?>
<cs:chartStyle xmlns:cs="http://schemas.microsoft.com/office/drawing/2012/chartStyle" xmlns:a="http://schemas.openxmlformats.org/drawingml/2006/main" id="416">
  <cs:axisTitle>
    <cs:lnRef idx="0"/>
    <cs:fillRef idx="0"/>
    <cs:effectRef idx="0"/>
    <cs:fontRef idx="minor">
      <a:schemeClr val="tx1">
        <a:lumMod val="65000"/>
        <a:lumOff val="35000"/>
      </a:schemeClr>
    </cs:fontRef>
    <cs:spPr>
      <a:solidFill>
        <a:schemeClr val="bg1">
          <a:lumMod val="65000"/>
        </a:schemeClr>
      </a:solidFill>
      <a:ln>
        <a:solidFill>
          <a:schemeClr val="bg1"/>
        </a:solidFill>
      </a:ln>
    </cs:spPr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lt1"/>
    </cs:fontRef>
    <cs:defRPr sz="1000" b="1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cap="all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16.xml><?xml version="1.0" encoding="utf-8"?>
<cs:chartStyle xmlns:cs="http://schemas.microsoft.com/office/drawing/2012/chartStyle" xmlns:a="http://schemas.openxmlformats.org/drawingml/2006/main" id="416">
  <cs:axisTitle>
    <cs:lnRef idx="0"/>
    <cs:fillRef idx="0"/>
    <cs:effectRef idx="0"/>
    <cs:fontRef idx="minor">
      <a:schemeClr val="tx1">
        <a:lumMod val="65000"/>
        <a:lumOff val="35000"/>
      </a:schemeClr>
    </cs:fontRef>
    <cs:spPr>
      <a:solidFill>
        <a:schemeClr val="bg1">
          <a:lumMod val="65000"/>
        </a:schemeClr>
      </a:solidFill>
      <a:ln>
        <a:solidFill>
          <a:schemeClr val="bg1"/>
        </a:solidFill>
      </a:ln>
    </cs:spPr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lt1"/>
    </cs:fontRef>
    <cs:defRPr sz="1000" b="1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cap="all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17.xml><?xml version="1.0" encoding="utf-8"?>
<cs:chartStyle xmlns:cs="http://schemas.microsoft.com/office/drawing/2012/chartStyle" xmlns:a="http://schemas.openxmlformats.org/drawingml/2006/main" id="416">
  <cs:axisTitle>
    <cs:lnRef idx="0"/>
    <cs:fillRef idx="0"/>
    <cs:effectRef idx="0"/>
    <cs:fontRef idx="minor">
      <a:schemeClr val="tx1">
        <a:lumMod val="65000"/>
        <a:lumOff val="35000"/>
      </a:schemeClr>
    </cs:fontRef>
    <cs:spPr>
      <a:solidFill>
        <a:schemeClr val="bg1">
          <a:lumMod val="65000"/>
        </a:schemeClr>
      </a:solidFill>
      <a:ln>
        <a:solidFill>
          <a:schemeClr val="bg1"/>
        </a:solidFill>
      </a:ln>
    </cs:spPr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lt1"/>
    </cs:fontRef>
    <cs:defRPr sz="1000" b="1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cap="all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18.xml><?xml version="1.0" encoding="utf-8"?>
<cs:chartStyle xmlns:cs="http://schemas.microsoft.com/office/drawing/2012/chartStyle" xmlns:a="http://schemas.openxmlformats.org/drawingml/2006/main" id="416">
  <cs:axisTitle>
    <cs:lnRef idx="0"/>
    <cs:fillRef idx="0"/>
    <cs:effectRef idx="0"/>
    <cs:fontRef idx="minor">
      <a:schemeClr val="tx1">
        <a:lumMod val="65000"/>
        <a:lumOff val="35000"/>
      </a:schemeClr>
    </cs:fontRef>
    <cs:spPr>
      <a:solidFill>
        <a:schemeClr val="bg1">
          <a:lumMod val="65000"/>
        </a:schemeClr>
      </a:solidFill>
      <a:ln>
        <a:solidFill>
          <a:schemeClr val="bg1"/>
        </a:solidFill>
      </a:ln>
    </cs:spPr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lt1"/>
    </cs:fontRef>
    <cs:defRPr sz="1000" b="1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cap="all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1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focanodinheiro.neon.com.br/controle-financeiro/planilha-de-gastos-mensais#como-configurar?utm_source=planilha&amp;utm_medium=rich-content&amp;utm_campaign=planilha-de-gastos-mensais&amp;utm_content=aba-inicio-como-configurar" TargetMode="External"/><Relationship Id="rId7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hyperlink" Target="https://neon.com.br" TargetMode="External"/><Relationship Id="rId5" Type="http://schemas.openxmlformats.org/officeDocument/2006/relationships/hyperlink" Target="https://focanodinheiro.neon.com.br/controle-financeiro/planilha-de-gastos-mensais#como-analisar?utm_source=planilha&amp;utm_medium=rich-content&amp;utm_campaign=planilha-de-gastos-mensais&amp;utm_content=aba-inicio-como-analisar" TargetMode="External"/><Relationship Id="rId4" Type="http://schemas.openxmlformats.org/officeDocument/2006/relationships/hyperlink" Target="https://focanodinheiro.neon.com.br/controle-financeiro/planilha-de-gastos-mensais#como-preencher?utm_source=planilha&amp;utm_medium=rich-content&amp;utm_campaign=planilha-de-gastos-mensais&amp;utm_content=aba-inicio-como-preencher" TargetMode="Externa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hyperlink" Target="https://focanodinheiro.neon.com.br/controle-financeiro/metodo-do-pote?utm_source=planilha&amp;utm_medium=rich-content&amp;utm_campaign=planilha-de-gastos-mensais&amp;utm_content=aba-mes-graph" TargetMode="External"/><Relationship Id="rId3" Type="http://schemas.openxmlformats.org/officeDocument/2006/relationships/image" Target="../media/image6.jpeg"/><Relationship Id="rId7" Type="http://schemas.openxmlformats.org/officeDocument/2006/relationships/image" Target="../media/image3.png"/><Relationship Id="rId2" Type="http://schemas.openxmlformats.org/officeDocument/2006/relationships/image" Target="../media/image5.svg"/><Relationship Id="rId1" Type="http://schemas.openxmlformats.org/officeDocument/2006/relationships/image" Target="../media/image4.png"/><Relationship Id="rId6" Type="http://schemas.openxmlformats.org/officeDocument/2006/relationships/hyperlink" Target="https://neon.com.br" TargetMode="External"/><Relationship Id="rId5" Type="http://schemas.openxmlformats.org/officeDocument/2006/relationships/image" Target="../media/image8.png"/><Relationship Id="rId10" Type="http://schemas.openxmlformats.org/officeDocument/2006/relationships/image" Target="../media/image10.svg"/><Relationship Id="rId4" Type="http://schemas.openxmlformats.org/officeDocument/2006/relationships/image" Target="../media/image7.png"/><Relationship Id="rId9" Type="http://schemas.openxmlformats.org/officeDocument/2006/relationships/image" Target="../media/image9.pn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hyperlink" Target="#'8'!A1"/><Relationship Id="rId13" Type="http://schemas.openxmlformats.org/officeDocument/2006/relationships/hyperlink" Target="#ANUAL!A1"/><Relationship Id="rId18" Type="http://schemas.openxmlformats.org/officeDocument/2006/relationships/image" Target="../media/image14.png"/><Relationship Id="rId3" Type="http://schemas.openxmlformats.org/officeDocument/2006/relationships/hyperlink" Target="#'3'!A1"/><Relationship Id="rId7" Type="http://schemas.openxmlformats.org/officeDocument/2006/relationships/hyperlink" Target="#'7'!A1"/><Relationship Id="rId12" Type="http://schemas.openxmlformats.org/officeDocument/2006/relationships/hyperlink" Target="#'12'!A1"/><Relationship Id="rId17" Type="http://schemas.openxmlformats.org/officeDocument/2006/relationships/hyperlink" Target="https://neon.com.br" TargetMode="External"/><Relationship Id="rId2" Type="http://schemas.openxmlformats.org/officeDocument/2006/relationships/hyperlink" Target="#'2'!A1"/><Relationship Id="rId16" Type="http://schemas.openxmlformats.org/officeDocument/2006/relationships/image" Target="../media/image13.png"/><Relationship Id="rId1" Type="http://schemas.openxmlformats.org/officeDocument/2006/relationships/hyperlink" Target="#'1'!A1"/><Relationship Id="rId6" Type="http://schemas.openxmlformats.org/officeDocument/2006/relationships/hyperlink" Target="#'6'!A1"/><Relationship Id="rId11" Type="http://schemas.openxmlformats.org/officeDocument/2006/relationships/hyperlink" Target="#'11'!A1"/><Relationship Id="rId5" Type="http://schemas.openxmlformats.org/officeDocument/2006/relationships/hyperlink" Target="#'5'!A1"/><Relationship Id="rId15" Type="http://schemas.openxmlformats.org/officeDocument/2006/relationships/image" Target="../media/image12.svg"/><Relationship Id="rId10" Type="http://schemas.openxmlformats.org/officeDocument/2006/relationships/hyperlink" Target="#'10'!A1"/><Relationship Id="rId19" Type="http://schemas.openxmlformats.org/officeDocument/2006/relationships/image" Target="../media/image15.png"/><Relationship Id="rId4" Type="http://schemas.openxmlformats.org/officeDocument/2006/relationships/hyperlink" Target="#'4'!A1"/><Relationship Id="rId9" Type="http://schemas.openxmlformats.org/officeDocument/2006/relationships/hyperlink" Target="#'9'!A1"/><Relationship Id="rId14" Type="http://schemas.openxmlformats.org/officeDocument/2006/relationships/image" Target="../media/image11.pn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23.svg"/><Relationship Id="rId13" Type="http://schemas.openxmlformats.org/officeDocument/2006/relationships/image" Target="../media/image26.png"/><Relationship Id="rId18" Type="http://schemas.openxmlformats.org/officeDocument/2006/relationships/image" Target="../media/image30.svg"/><Relationship Id="rId3" Type="http://schemas.openxmlformats.org/officeDocument/2006/relationships/image" Target="../media/image18.png"/><Relationship Id="rId21" Type="http://schemas.openxmlformats.org/officeDocument/2006/relationships/image" Target="../media/image33.png"/><Relationship Id="rId7" Type="http://schemas.openxmlformats.org/officeDocument/2006/relationships/image" Target="../media/image22.png"/><Relationship Id="rId12" Type="http://schemas.openxmlformats.org/officeDocument/2006/relationships/hyperlink" Target="#'&#128274;'!A1"/><Relationship Id="rId17" Type="http://schemas.openxmlformats.org/officeDocument/2006/relationships/image" Target="../media/image29.png"/><Relationship Id="rId2" Type="http://schemas.openxmlformats.org/officeDocument/2006/relationships/image" Target="../media/image17.svg"/><Relationship Id="rId16" Type="http://schemas.openxmlformats.org/officeDocument/2006/relationships/image" Target="../media/image28.svg"/><Relationship Id="rId20" Type="http://schemas.openxmlformats.org/officeDocument/2006/relationships/image" Target="../media/image32.svg"/><Relationship Id="rId1" Type="http://schemas.openxmlformats.org/officeDocument/2006/relationships/image" Target="../media/image16.png"/><Relationship Id="rId6" Type="http://schemas.openxmlformats.org/officeDocument/2006/relationships/image" Target="../media/image21.svg"/><Relationship Id="rId11" Type="http://schemas.openxmlformats.org/officeDocument/2006/relationships/image" Target="../media/image25.svg"/><Relationship Id="rId5" Type="http://schemas.openxmlformats.org/officeDocument/2006/relationships/image" Target="../media/image20.png"/><Relationship Id="rId15" Type="http://schemas.openxmlformats.org/officeDocument/2006/relationships/image" Target="../media/image9.png"/><Relationship Id="rId10" Type="http://schemas.openxmlformats.org/officeDocument/2006/relationships/image" Target="../media/image24.png"/><Relationship Id="rId19" Type="http://schemas.openxmlformats.org/officeDocument/2006/relationships/image" Target="../media/image31.png"/><Relationship Id="rId4" Type="http://schemas.openxmlformats.org/officeDocument/2006/relationships/image" Target="../media/image19.svg"/><Relationship Id="rId9" Type="http://schemas.openxmlformats.org/officeDocument/2006/relationships/hyperlink" Target="#'&#128200;'!A1"/><Relationship Id="rId14" Type="http://schemas.openxmlformats.org/officeDocument/2006/relationships/image" Target="../media/image27.svg"/><Relationship Id="rId22" Type="http://schemas.openxmlformats.org/officeDocument/2006/relationships/image" Target="../media/image34.svg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image" Target="../media/image23.svg"/><Relationship Id="rId13" Type="http://schemas.openxmlformats.org/officeDocument/2006/relationships/image" Target="../media/image26.png"/><Relationship Id="rId18" Type="http://schemas.openxmlformats.org/officeDocument/2006/relationships/hyperlink" Target="https://focanodinheiro.neon.com.br/controle-financeiro/economizar-dinheiro-dia-a-dia-melhores-dicas?utm_source=planilha&amp;utm_medium=rich-content&amp;utm_campaign=planilha-de-gastos-mensais&amp;utm_content=aba-mes" TargetMode="External"/><Relationship Id="rId26" Type="http://schemas.openxmlformats.org/officeDocument/2006/relationships/hyperlink" Target="https://focanodinheiro.neon.com.br/controle-financeiro/quando-gastar-reserva-de-emergencia?utm_source=planilha&amp;utm_medium=rich-content&amp;utm_campaign=planilha-de-gastos-mensais&amp;utm_content=aba-mes" TargetMode="External"/><Relationship Id="rId39" Type="http://schemas.openxmlformats.org/officeDocument/2006/relationships/image" Target="../media/image12.svg"/><Relationship Id="rId3" Type="http://schemas.openxmlformats.org/officeDocument/2006/relationships/image" Target="../media/image18.png"/><Relationship Id="rId21" Type="http://schemas.openxmlformats.org/officeDocument/2006/relationships/hyperlink" Target="https://focanodinheiro.neon.com.br/juntar-dinheiro/como-ganhar-dinheiro-extra?utm_source=planilha&amp;utm_medium=rich-content&amp;utm_campaign=planilha-de-gastos-mensais&amp;utm_content=aba-mes" TargetMode="External"/><Relationship Id="rId34" Type="http://schemas.openxmlformats.org/officeDocument/2006/relationships/image" Target="../media/image32.svg"/><Relationship Id="rId7" Type="http://schemas.openxmlformats.org/officeDocument/2006/relationships/image" Target="../media/image22.png"/><Relationship Id="rId12" Type="http://schemas.openxmlformats.org/officeDocument/2006/relationships/hyperlink" Target="#'&#128274;'!A1"/><Relationship Id="rId17" Type="http://schemas.openxmlformats.org/officeDocument/2006/relationships/image" Target="../media/image28.svg"/><Relationship Id="rId25" Type="http://schemas.openxmlformats.org/officeDocument/2006/relationships/hyperlink" Target="https://focanodinheiro.neon.com.br/controle-financeiro/o-que-e-reserva-de-emergencia-aprenda-a-montar-uma?utm_source=planilha&amp;utm_medium=rich-content&amp;utm_campaign=planilha-de-gastos-mensais&amp;utm_content=aba-mes" TargetMode="External"/><Relationship Id="rId33" Type="http://schemas.openxmlformats.org/officeDocument/2006/relationships/image" Target="../media/image31.png"/><Relationship Id="rId38" Type="http://schemas.openxmlformats.org/officeDocument/2006/relationships/image" Target="../media/image11.png"/><Relationship Id="rId2" Type="http://schemas.openxmlformats.org/officeDocument/2006/relationships/image" Target="../media/image17.svg"/><Relationship Id="rId16" Type="http://schemas.openxmlformats.org/officeDocument/2006/relationships/image" Target="../media/image9.png"/><Relationship Id="rId20" Type="http://schemas.openxmlformats.org/officeDocument/2006/relationships/hyperlink" Target="https://focanodinheiro.neon.com.br/juntar-dinheiro/dicas-faceis-para-juntar-dinheiro-rapido?utm_source=planilha&amp;utm_medium=rich-content&amp;utm_campaign=planilha-de-gastos-mensais&amp;utm_content=aba-mes" TargetMode="External"/><Relationship Id="rId29" Type="http://schemas.openxmlformats.org/officeDocument/2006/relationships/image" Target="../media/image35.png"/><Relationship Id="rId1" Type="http://schemas.openxmlformats.org/officeDocument/2006/relationships/image" Target="../media/image16.png"/><Relationship Id="rId6" Type="http://schemas.openxmlformats.org/officeDocument/2006/relationships/image" Target="../media/image21.svg"/><Relationship Id="rId11" Type="http://schemas.openxmlformats.org/officeDocument/2006/relationships/image" Target="../media/image25.svg"/><Relationship Id="rId24" Type="http://schemas.openxmlformats.org/officeDocument/2006/relationships/hyperlink" Target="https://focanodinheiro.neon.com.br/investimentos/investir-em-ouro?utm_source=planilha&amp;utm_medium=rich-content&amp;utm_campaign=planilha-de-gastos-mensais&amp;utm_content=aba-mes" TargetMode="External"/><Relationship Id="rId32" Type="http://schemas.openxmlformats.org/officeDocument/2006/relationships/image" Target="../media/image30.svg"/><Relationship Id="rId37" Type="http://schemas.openxmlformats.org/officeDocument/2006/relationships/hyperlink" Target="#ANUAL!A1"/><Relationship Id="rId40" Type="http://schemas.openxmlformats.org/officeDocument/2006/relationships/hyperlink" Target="https://focanodinheiro.neon.com.br/juntar-dinheiro/desafio-das-52-semanas-tabela-para-juntar-dinheiro?utm_source=planilha&amp;utm_medium=rich-content&amp;utm_campaign=planilha-de-gastos-mensais&amp;utm_content=aba-mes" TargetMode="External"/><Relationship Id="rId5" Type="http://schemas.openxmlformats.org/officeDocument/2006/relationships/image" Target="../media/image20.png"/><Relationship Id="rId15" Type="http://schemas.openxmlformats.org/officeDocument/2006/relationships/hyperlink" Target="https://focanodinheiro.neon.com.br/novidades/como-neon-ajudou-a-organizar-financas-e-guardar-dinheiro?utm_source=planilha&amp;utm_medium=rich-content&amp;utm_campaign=planilha-de-gastos-mensais&amp;utm_content=aba-mes" TargetMode="External"/><Relationship Id="rId23" Type="http://schemas.openxmlformats.org/officeDocument/2006/relationships/hyperlink" Target="https://focanodinheiro.neon.com.br/investimentos/tudo-sobre-warren-buffett?utm_source=planilha&amp;utm_medium=rich-content&amp;utm_campaign=planilha-de-gastos-mensais&amp;utm_content=aba-mes" TargetMode="External"/><Relationship Id="rId28" Type="http://schemas.openxmlformats.org/officeDocument/2006/relationships/hyperlink" Target="#'2'!A1"/><Relationship Id="rId36" Type="http://schemas.openxmlformats.org/officeDocument/2006/relationships/image" Target="../media/image34.svg"/><Relationship Id="rId10" Type="http://schemas.openxmlformats.org/officeDocument/2006/relationships/image" Target="../media/image24.png"/><Relationship Id="rId19" Type="http://schemas.openxmlformats.org/officeDocument/2006/relationships/hyperlink" Target="https://focanodinheiro.neon.com.br/juntar-dinheiro/45-dias-sem-gastar?utm_source=planilha&amp;utm_medium=rich-content&amp;utm_campaign=planilha-de-gastos-mensais&amp;utm_content=aba-mes" TargetMode="External"/><Relationship Id="rId31" Type="http://schemas.openxmlformats.org/officeDocument/2006/relationships/image" Target="../media/image29.png"/><Relationship Id="rId4" Type="http://schemas.openxmlformats.org/officeDocument/2006/relationships/image" Target="../media/image19.svg"/><Relationship Id="rId9" Type="http://schemas.openxmlformats.org/officeDocument/2006/relationships/hyperlink" Target="#'&#128200;'!A1"/><Relationship Id="rId14" Type="http://schemas.openxmlformats.org/officeDocument/2006/relationships/image" Target="../media/image27.svg"/><Relationship Id="rId22" Type="http://schemas.openxmlformats.org/officeDocument/2006/relationships/hyperlink" Target="https://focanodinheiro.neon.com.br/investimentos/melhores-investimentos-para-aplicar-seu-dinheiro?utm_source=planilha&amp;utm_medium=rich-content&amp;utm_campaign=planilha-de-gastos-mensais&amp;utm_content=aba-mes" TargetMode="External"/><Relationship Id="rId27" Type="http://schemas.openxmlformats.org/officeDocument/2006/relationships/hyperlink" Target="https://focanodinheiro.neon.com.br/controle-financeiro/planejamento-sem-salario-fixo?utm_source=planilha&amp;utm_medium=rich-content&amp;utm_campaign=planilha-de-gastos-mensais&amp;utm_content=aba-mes" TargetMode="External"/><Relationship Id="rId30" Type="http://schemas.openxmlformats.org/officeDocument/2006/relationships/image" Target="../media/image36.svg"/><Relationship Id="rId35" Type="http://schemas.openxmlformats.org/officeDocument/2006/relationships/image" Target="../media/image33.png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image" Target="../media/image23.svg"/><Relationship Id="rId13" Type="http://schemas.openxmlformats.org/officeDocument/2006/relationships/image" Target="../media/image26.png"/><Relationship Id="rId18" Type="http://schemas.openxmlformats.org/officeDocument/2006/relationships/hyperlink" Target="https://focanodinheiro.neon.com.br/controle-financeiro/economizar-dinheiro-dia-a-dia-melhores-dicas?utm_source=planilha&amp;utm_medium=rich-content&amp;utm_campaign=planilha-de-gastos-mensais&amp;utm_content=aba-mes" TargetMode="External"/><Relationship Id="rId26" Type="http://schemas.openxmlformats.org/officeDocument/2006/relationships/hyperlink" Target="https://focanodinheiro.neon.com.br/controle-financeiro/quando-gastar-reserva-de-emergencia?utm_source=planilha&amp;utm_medium=rich-content&amp;utm_campaign=planilha-de-gastos-mensais&amp;utm_content=aba-mes" TargetMode="External"/><Relationship Id="rId39" Type="http://schemas.openxmlformats.org/officeDocument/2006/relationships/image" Target="../media/image35.png"/><Relationship Id="rId3" Type="http://schemas.openxmlformats.org/officeDocument/2006/relationships/image" Target="../media/image18.png"/><Relationship Id="rId21" Type="http://schemas.openxmlformats.org/officeDocument/2006/relationships/hyperlink" Target="https://focanodinheiro.neon.com.br/juntar-dinheiro/como-ganhar-dinheiro-extra?utm_source=planilha&amp;utm_medium=rich-content&amp;utm_campaign=planilha-de-gastos-mensais&amp;utm_content=aba-mes" TargetMode="External"/><Relationship Id="rId34" Type="http://schemas.openxmlformats.org/officeDocument/2006/relationships/hyperlink" Target="#ANUAL!A1"/><Relationship Id="rId7" Type="http://schemas.openxmlformats.org/officeDocument/2006/relationships/image" Target="../media/image22.png"/><Relationship Id="rId12" Type="http://schemas.openxmlformats.org/officeDocument/2006/relationships/hyperlink" Target="#'&#128274;'!A1"/><Relationship Id="rId17" Type="http://schemas.openxmlformats.org/officeDocument/2006/relationships/image" Target="../media/image28.svg"/><Relationship Id="rId25" Type="http://schemas.openxmlformats.org/officeDocument/2006/relationships/hyperlink" Target="https://focanodinheiro.neon.com.br/controle-financeiro/o-que-e-reserva-de-emergencia-aprenda-a-montar-uma?utm_source=planilha&amp;utm_medium=rich-content&amp;utm_campaign=planilha-de-gastos-mensais&amp;utm_content=aba-mes" TargetMode="External"/><Relationship Id="rId33" Type="http://schemas.openxmlformats.org/officeDocument/2006/relationships/image" Target="../media/image34.svg"/><Relationship Id="rId38" Type="http://schemas.openxmlformats.org/officeDocument/2006/relationships/hyperlink" Target="#'3'!A1"/><Relationship Id="rId2" Type="http://schemas.openxmlformats.org/officeDocument/2006/relationships/image" Target="../media/image17.svg"/><Relationship Id="rId16" Type="http://schemas.openxmlformats.org/officeDocument/2006/relationships/image" Target="../media/image9.png"/><Relationship Id="rId20" Type="http://schemas.openxmlformats.org/officeDocument/2006/relationships/hyperlink" Target="https://focanodinheiro.neon.com.br/juntar-dinheiro/dicas-faceis-para-juntar-dinheiro-rapido?utm_source=planilha&amp;utm_medium=rich-content&amp;utm_campaign=planilha-de-gastos-mensais&amp;utm_content=aba-mes" TargetMode="External"/><Relationship Id="rId29" Type="http://schemas.openxmlformats.org/officeDocument/2006/relationships/image" Target="../media/image30.svg"/><Relationship Id="rId41" Type="http://schemas.openxmlformats.org/officeDocument/2006/relationships/hyperlink" Target="#'1'!A1"/><Relationship Id="rId1" Type="http://schemas.openxmlformats.org/officeDocument/2006/relationships/image" Target="../media/image16.png"/><Relationship Id="rId6" Type="http://schemas.openxmlformats.org/officeDocument/2006/relationships/image" Target="../media/image21.svg"/><Relationship Id="rId11" Type="http://schemas.openxmlformats.org/officeDocument/2006/relationships/image" Target="../media/image25.svg"/><Relationship Id="rId24" Type="http://schemas.openxmlformats.org/officeDocument/2006/relationships/hyperlink" Target="https://focanodinheiro.neon.com.br/investimentos/investir-em-ouro?utm_source=planilha&amp;utm_medium=rich-content&amp;utm_campaign=planilha-de-gastos-mensais&amp;utm_content=aba-mes" TargetMode="External"/><Relationship Id="rId32" Type="http://schemas.openxmlformats.org/officeDocument/2006/relationships/image" Target="../media/image33.png"/><Relationship Id="rId37" Type="http://schemas.openxmlformats.org/officeDocument/2006/relationships/hyperlink" Target="https://focanodinheiro.neon.com.br/juntar-dinheiro/desafio-das-52-semanas-tabela-para-juntar-dinheiro?utm_source=planilha&amp;utm_medium=rich-content&amp;utm_campaign=planilha-de-gastos-mensais&amp;utm_content=aba-mes" TargetMode="External"/><Relationship Id="rId40" Type="http://schemas.openxmlformats.org/officeDocument/2006/relationships/image" Target="../media/image36.svg"/><Relationship Id="rId5" Type="http://schemas.openxmlformats.org/officeDocument/2006/relationships/image" Target="../media/image20.png"/><Relationship Id="rId15" Type="http://schemas.openxmlformats.org/officeDocument/2006/relationships/hyperlink" Target="https://focanodinheiro.neon.com.br/novidades/como-neon-ajudou-a-organizar-financas-e-guardar-dinheiro?utm_source=planilha&amp;utm_medium=rich-content&amp;utm_campaign=planilha-de-gastos-mensais&amp;utm_content=aba-mes" TargetMode="External"/><Relationship Id="rId23" Type="http://schemas.openxmlformats.org/officeDocument/2006/relationships/hyperlink" Target="https://focanodinheiro.neon.com.br/investimentos/tudo-sobre-warren-buffett?utm_source=planilha&amp;utm_medium=rich-content&amp;utm_campaign=planilha-de-gastos-mensais&amp;utm_content=aba-mes" TargetMode="External"/><Relationship Id="rId28" Type="http://schemas.openxmlformats.org/officeDocument/2006/relationships/image" Target="../media/image29.png"/><Relationship Id="rId36" Type="http://schemas.openxmlformats.org/officeDocument/2006/relationships/image" Target="../media/image12.svg"/><Relationship Id="rId10" Type="http://schemas.openxmlformats.org/officeDocument/2006/relationships/image" Target="../media/image24.png"/><Relationship Id="rId19" Type="http://schemas.openxmlformats.org/officeDocument/2006/relationships/hyperlink" Target="https://focanodinheiro.neon.com.br/juntar-dinheiro/45-dias-sem-gastar?utm_source=planilha&amp;utm_medium=rich-content&amp;utm_campaign=planilha-de-gastos-mensais&amp;utm_content=aba-mes" TargetMode="External"/><Relationship Id="rId31" Type="http://schemas.openxmlformats.org/officeDocument/2006/relationships/image" Target="../media/image32.svg"/><Relationship Id="rId4" Type="http://schemas.openxmlformats.org/officeDocument/2006/relationships/image" Target="../media/image19.svg"/><Relationship Id="rId9" Type="http://schemas.openxmlformats.org/officeDocument/2006/relationships/hyperlink" Target="#'&#128200;'!A1"/><Relationship Id="rId14" Type="http://schemas.openxmlformats.org/officeDocument/2006/relationships/image" Target="../media/image27.svg"/><Relationship Id="rId22" Type="http://schemas.openxmlformats.org/officeDocument/2006/relationships/hyperlink" Target="https://focanodinheiro.neon.com.br/investimentos/melhores-investimentos-para-aplicar-seu-dinheiro?utm_source=planilha&amp;utm_medium=rich-content&amp;utm_campaign=planilha-de-gastos-mensais&amp;utm_content=aba-mes" TargetMode="External"/><Relationship Id="rId27" Type="http://schemas.openxmlformats.org/officeDocument/2006/relationships/hyperlink" Target="https://focanodinheiro.neon.com.br/controle-financeiro/planejamento-sem-salario-fixo?utm_source=planilha&amp;utm_medium=rich-content&amp;utm_campaign=planilha-de-gastos-mensais&amp;utm_content=aba-mes" TargetMode="External"/><Relationship Id="rId30" Type="http://schemas.openxmlformats.org/officeDocument/2006/relationships/image" Target="../media/image31.png"/><Relationship Id="rId35" Type="http://schemas.openxmlformats.org/officeDocument/2006/relationships/image" Target="../media/image11.png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image" Target="../media/image23.svg"/><Relationship Id="rId13" Type="http://schemas.openxmlformats.org/officeDocument/2006/relationships/image" Target="../media/image26.png"/><Relationship Id="rId18" Type="http://schemas.openxmlformats.org/officeDocument/2006/relationships/hyperlink" Target="https://focanodinheiro.neon.com.br/controle-financeiro/economizar-dinheiro-dia-a-dia-melhores-dicas?utm_source=planilha&amp;utm_medium=rich-content&amp;utm_campaign=planilha-de-gastos-mensais&amp;utm_content=aba-mes" TargetMode="External"/><Relationship Id="rId26" Type="http://schemas.openxmlformats.org/officeDocument/2006/relationships/hyperlink" Target="https://focanodinheiro.neon.com.br/controle-financeiro/quando-gastar-reserva-de-emergencia?utm_source=planilha&amp;utm_medium=rich-content&amp;utm_campaign=planilha-de-gastos-mensais&amp;utm_content=aba-mes" TargetMode="External"/><Relationship Id="rId39" Type="http://schemas.openxmlformats.org/officeDocument/2006/relationships/image" Target="../media/image35.png"/><Relationship Id="rId3" Type="http://schemas.openxmlformats.org/officeDocument/2006/relationships/image" Target="../media/image18.png"/><Relationship Id="rId21" Type="http://schemas.openxmlformats.org/officeDocument/2006/relationships/hyperlink" Target="https://focanodinheiro.neon.com.br/juntar-dinheiro/como-ganhar-dinheiro-extra?utm_source=planilha&amp;utm_medium=rich-content&amp;utm_campaign=planilha-de-gastos-mensais&amp;utm_content=aba-mes" TargetMode="External"/><Relationship Id="rId34" Type="http://schemas.openxmlformats.org/officeDocument/2006/relationships/hyperlink" Target="#ANUAL!A1"/><Relationship Id="rId7" Type="http://schemas.openxmlformats.org/officeDocument/2006/relationships/image" Target="../media/image22.png"/><Relationship Id="rId12" Type="http://schemas.openxmlformats.org/officeDocument/2006/relationships/hyperlink" Target="#'&#128274;'!A1"/><Relationship Id="rId17" Type="http://schemas.openxmlformats.org/officeDocument/2006/relationships/image" Target="../media/image28.svg"/><Relationship Id="rId25" Type="http://schemas.openxmlformats.org/officeDocument/2006/relationships/hyperlink" Target="https://focanodinheiro.neon.com.br/controle-financeiro/o-que-e-reserva-de-emergencia-aprenda-a-montar-uma?utm_source=planilha&amp;utm_medium=rich-content&amp;utm_campaign=planilha-de-gastos-mensais&amp;utm_content=aba-mes" TargetMode="External"/><Relationship Id="rId33" Type="http://schemas.openxmlformats.org/officeDocument/2006/relationships/image" Target="../media/image34.svg"/><Relationship Id="rId38" Type="http://schemas.openxmlformats.org/officeDocument/2006/relationships/hyperlink" Target="#'4'!A1"/><Relationship Id="rId2" Type="http://schemas.openxmlformats.org/officeDocument/2006/relationships/image" Target="../media/image17.svg"/><Relationship Id="rId16" Type="http://schemas.openxmlformats.org/officeDocument/2006/relationships/image" Target="../media/image9.png"/><Relationship Id="rId20" Type="http://schemas.openxmlformats.org/officeDocument/2006/relationships/hyperlink" Target="https://focanodinheiro.neon.com.br/juntar-dinheiro/dicas-faceis-para-juntar-dinheiro-rapido?utm_source=planilha&amp;utm_medium=rich-content&amp;utm_campaign=planilha-de-gastos-mensais&amp;utm_content=aba-mes" TargetMode="External"/><Relationship Id="rId29" Type="http://schemas.openxmlformats.org/officeDocument/2006/relationships/image" Target="../media/image30.svg"/><Relationship Id="rId41" Type="http://schemas.openxmlformats.org/officeDocument/2006/relationships/hyperlink" Target="#'2'!A1"/><Relationship Id="rId1" Type="http://schemas.openxmlformats.org/officeDocument/2006/relationships/image" Target="../media/image16.png"/><Relationship Id="rId6" Type="http://schemas.openxmlformats.org/officeDocument/2006/relationships/image" Target="../media/image21.svg"/><Relationship Id="rId11" Type="http://schemas.openxmlformats.org/officeDocument/2006/relationships/image" Target="../media/image25.svg"/><Relationship Id="rId24" Type="http://schemas.openxmlformats.org/officeDocument/2006/relationships/hyperlink" Target="https://focanodinheiro.neon.com.br/investimentos/investir-em-ouro?utm_source=planilha&amp;utm_medium=rich-content&amp;utm_campaign=planilha-de-gastos-mensais&amp;utm_content=aba-mes" TargetMode="External"/><Relationship Id="rId32" Type="http://schemas.openxmlformats.org/officeDocument/2006/relationships/image" Target="../media/image33.png"/><Relationship Id="rId37" Type="http://schemas.openxmlformats.org/officeDocument/2006/relationships/hyperlink" Target="https://focanodinheiro.neon.com.br/juntar-dinheiro/desafio-das-52-semanas-tabela-para-juntar-dinheiro?utm_source=planilha&amp;utm_medium=rich-content&amp;utm_campaign=planilha-de-gastos-mensais&amp;utm_content=aba-mes" TargetMode="External"/><Relationship Id="rId40" Type="http://schemas.openxmlformats.org/officeDocument/2006/relationships/image" Target="../media/image36.svg"/><Relationship Id="rId5" Type="http://schemas.openxmlformats.org/officeDocument/2006/relationships/image" Target="../media/image20.png"/><Relationship Id="rId15" Type="http://schemas.openxmlformats.org/officeDocument/2006/relationships/hyperlink" Target="https://focanodinheiro.neon.com.br/novidades/como-neon-ajudou-a-organizar-financas-e-guardar-dinheiro?utm_source=planilha&amp;utm_medium=rich-content&amp;utm_campaign=planilha-de-gastos-mensais&amp;utm_content=aba-mes" TargetMode="External"/><Relationship Id="rId23" Type="http://schemas.openxmlformats.org/officeDocument/2006/relationships/hyperlink" Target="https://focanodinheiro.neon.com.br/investimentos/tudo-sobre-warren-buffett?utm_source=planilha&amp;utm_medium=rich-content&amp;utm_campaign=planilha-de-gastos-mensais&amp;utm_content=aba-mes" TargetMode="External"/><Relationship Id="rId28" Type="http://schemas.openxmlformats.org/officeDocument/2006/relationships/image" Target="../media/image29.png"/><Relationship Id="rId36" Type="http://schemas.openxmlformats.org/officeDocument/2006/relationships/image" Target="../media/image12.svg"/><Relationship Id="rId10" Type="http://schemas.openxmlformats.org/officeDocument/2006/relationships/image" Target="../media/image24.png"/><Relationship Id="rId19" Type="http://schemas.openxmlformats.org/officeDocument/2006/relationships/hyperlink" Target="https://focanodinheiro.neon.com.br/juntar-dinheiro/45-dias-sem-gastar?utm_source=planilha&amp;utm_medium=rich-content&amp;utm_campaign=planilha-de-gastos-mensais&amp;utm_content=aba-mes" TargetMode="External"/><Relationship Id="rId31" Type="http://schemas.openxmlformats.org/officeDocument/2006/relationships/image" Target="../media/image32.svg"/><Relationship Id="rId4" Type="http://schemas.openxmlformats.org/officeDocument/2006/relationships/image" Target="../media/image19.svg"/><Relationship Id="rId9" Type="http://schemas.openxmlformats.org/officeDocument/2006/relationships/hyperlink" Target="#'&#128200;'!A1"/><Relationship Id="rId14" Type="http://schemas.openxmlformats.org/officeDocument/2006/relationships/image" Target="../media/image27.svg"/><Relationship Id="rId22" Type="http://schemas.openxmlformats.org/officeDocument/2006/relationships/hyperlink" Target="https://focanodinheiro.neon.com.br/investimentos/melhores-investimentos-para-aplicar-seu-dinheiro?utm_source=planilha&amp;utm_medium=rich-content&amp;utm_campaign=planilha-de-gastos-mensais&amp;utm_content=aba-mes" TargetMode="External"/><Relationship Id="rId27" Type="http://schemas.openxmlformats.org/officeDocument/2006/relationships/hyperlink" Target="https://focanodinheiro.neon.com.br/controle-financeiro/planejamento-sem-salario-fixo?utm_source=planilha&amp;utm_medium=rich-content&amp;utm_campaign=planilha-de-gastos-mensais&amp;utm_content=aba-mes" TargetMode="External"/><Relationship Id="rId30" Type="http://schemas.openxmlformats.org/officeDocument/2006/relationships/image" Target="../media/image31.png"/><Relationship Id="rId35" Type="http://schemas.openxmlformats.org/officeDocument/2006/relationships/image" Target="../media/image11.png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image" Target="../media/image23.svg"/><Relationship Id="rId13" Type="http://schemas.openxmlformats.org/officeDocument/2006/relationships/image" Target="../media/image26.png"/><Relationship Id="rId18" Type="http://schemas.openxmlformats.org/officeDocument/2006/relationships/hyperlink" Target="https://focanodinheiro.neon.com.br/controle-financeiro/economizar-dinheiro-dia-a-dia-melhores-dicas?utm_source=planilha&amp;utm_medium=rich-content&amp;utm_campaign=planilha-de-gastos-mensais&amp;utm_content=aba-mes" TargetMode="External"/><Relationship Id="rId26" Type="http://schemas.openxmlformats.org/officeDocument/2006/relationships/hyperlink" Target="https://focanodinheiro.neon.com.br/controle-financeiro/quando-gastar-reserva-de-emergencia?utm_source=planilha&amp;utm_medium=rich-content&amp;utm_campaign=planilha-de-gastos-mensais&amp;utm_content=aba-mes" TargetMode="External"/><Relationship Id="rId39" Type="http://schemas.openxmlformats.org/officeDocument/2006/relationships/image" Target="../media/image35.png"/><Relationship Id="rId3" Type="http://schemas.openxmlformats.org/officeDocument/2006/relationships/image" Target="../media/image18.png"/><Relationship Id="rId21" Type="http://schemas.openxmlformats.org/officeDocument/2006/relationships/hyperlink" Target="https://focanodinheiro.neon.com.br/juntar-dinheiro/como-ganhar-dinheiro-extra?utm_source=planilha&amp;utm_medium=rich-content&amp;utm_campaign=planilha-de-gastos-mensais&amp;utm_content=aba-mes" TargetMode="External"/><Relationship Id="rId34" Type="http://schemas.openxmlformats.org/officeDocument/2006/relationships/hyperlink" Target="#ANUAL!A1"/><Relationship Id="rId7" Type="http://schemas.openxmlformats.org/officeDocument/2006/relationships/image" Target="../media/image22.png"/><Relationship Id="rId12" Type="http://schemas.openxmlformats.org/officeDocument/2006/relationships/hyperlink" Target="#'&#128274;'!A1"/><Relationship Id="rId17" Type="http://schemas.openxmlformats.org/officeDocument/2006/relationships/image" Target="../media/image28.svg"/><Relationship Id="rId25" Type="http://schemas.openxmlformats.org/officeDocument/2006/relationships/hyperlink" Target="https://focanodinheiro.neon.com.br/controle-financeiro/o-que-e-reserva-de-emergencia-aprenda-a-montar-uma?utm_source=planilha&amp;utm_medium=rich-content&amp;utm_campaign=planilha-de-gastos-mensais&amp;utm_content=aba-mes" TargetMode="External"/><Relationship Id="rId33" Type="http://schemas.openxmlformats.org/officeDocument/2006/relationships/image" Target="../media/image34.svg"/><Relationship Id="rId38" Type="http://schemas.openxmlformats.org/officeDocument/2006/relationships/hyperlink" Target="#'5'!A1"/><Relationship Id="rId2" Type="http://schemas.openxmlformats.org/officeDocument/2006/relationships/image" Target="../media/image17.svg"/><Relationship Id="rId16" Type="http://schemas.openxmlformats.org/officeDocument/2006/relationships/image" Target="../media/image9.png"/><Relationship Id="rId20" Type="http://schemas.openxmlformats.org/officeDocument/2006/relationships/hyperlink" Target="https://focanodinheiro.neon.com.br/juntar-dinheiro/dicas-faceis-para-juntar-dinheiro-rapido?utm_source=planilha&amp;utm_medium=rich-content&amp;utm_campaign=planilha-de-gastos-mensais&amp;utm_content=aba-mes" TargetMode="External"/><Relationship Id="rId29" Type="http://schemas.openxmlformats.org/officeDocument/2006/relationships/image" Target="../media/image30.svg"/><Relationship Id="rId41" Type="http://schemas.openxmlformats.org/officeDocument/2006/relationships/hyperlink" Target="#'3'!A1"/><Relationship Id="rId1" Type="http://schemas.openxmlformats.org/officeDocument/2006/relationships/image" Target="../media/image16.png"/><Relationship Id="rId6" Type="http://schemas.openxmlformats.org/officeDocument/2006/relationships/image" Target="../media/image21.svg"/><Relationship Id="rId11" Type="http://schemas.openxmlformats.org/officeDocument/2006/relationships/image" Target="../media/image25.svg"/><Relationship Id="rId24" Type="http://schemas.openxmlformats.org/officeDocument/2006/relationships/hyperlink" Target="https://focanodinheiro.neon.com.br/investimentos/investir-em-ouro?utm_source=planilha&amp;utm_medium=rich-content&amp;utm_campaign=planilha-de-gastos-mensais&amp;utm_content=aba-mes" TargetMode="External"/><Relationship Id="rId32" Type="http://schemas.openxmlformats.org/officeDocument/2006/relationships/image" Target="../media/image33.png"/><Relationship Id="rId37" Type="http://schemas.openxmlformats.org/officeDocument/2006/relationships/hyperlink" Target="https://focanodinheiro.neon.com.br/juntar-dinheiro/desafio-das-52-semanas-tabela-para-juntar-dinheiro?utm_source=planilha&amp;utm_medium=rich-content&amp;utm_campaign=planilha-de-gastos-mensais&amp;utm_content=aba-mes" TargetMode="External"/><Relationship Id="rId40" Type="http://schemas.openxmlformats.org/officeDocument/2006/relationships/image" Target="../media/image36.svg"/><Relationship Id="rId5" Type="http://schemas.openxmlformats.org/officeDocument/2006/relationships/image" Target="../media/image20.png"/><Relationship Id="rId15" Type="http://schemas.openxmlformats.org/officeDocument/2006/relationships/hyperlink" Target="https://focanodinheiro.neon.com.br/novidades/como-neon-ajudou-a-organizar-financas-e-guardar-dinheiro?utm_source=planilha&amp;utm_medium=rich-content&amp;utm_campaign=planilha-de-gastos-mensais&amp;utm_content=aba-mes" TargetMode="External"/><Relationship Id="rId23" Type="http://schemas.openxmlformats.org/officeDocument/2006/relationships/hyperlink" Target="https://focanodinheiro.neon.com.br/investimentos/tudo-sobre-warren-buffett?utm_source=planilha&amp;utm_medium=rich-content&amp;utm_campaign=planilha-de-gastos-mensais&amp;utm_content=aba-mes" TargetMode="External"/><Relationship Id="rId28" Type="http://schemas.openxmlformats.org/officeDocument/2006/relationships/image" Target="../media/image29.png"/><Relationship Id="rId36" Type="http://schemas.openxmlformats.org/officeDocument/2006/relationships/image" Target="../media/image12.svg"/><Relationship Id="rId10" Type="http://schemas.openxmlformats.org/officeDocument/2006/relationships/image" Target="../media/image24.png"/><Relationship Id="rId19" Type="http://schemas.openxmlformats.org/officeDocument/2006/relationships/hyperlink" Target="https://focanodinheiro.neon.com.br/juntar-dinheiro/45-dias-sem-gastar?utm_source=planilha&amp;utm_medium=rich-content&amp;utm_campaign=planilha-de-gastos-mensais&amp;utm_content=aba-mes" TargetMode="External"/><Relationship Id="rId31" Type="http://schemas.openxmlformats.org/officeDocument/2006/relationships/image" Target="../media/image32.svg"/><Relationship Id="rId4" Type="http://schemas.openxmlformats.org/officeDocument/2006/relationships/image" Target="../media/image19.svg"/><Relationship Id="rId9" Type="http://schemas.openxmlformats.org/officeDocument/2006/relationships/hyperlink" Target="#'&#128200;'!A1"/><Relationship Id="rId14" Type="http://schemas.openxmlformats.org/officeDocument/2006/relationships/image" Target="../media/image27.svg"/><Relationship Id="rId22" Type="http://schemas.openxmlformats.org/officeDocument/2006/relationships/hyperlink" Target="https://focanodinheiro.neon.com.br/investimentos/melhores-investimentos-para-aplicar-seu-dinheiro?utm_source=planilha&amp;utm_medium=rich-content&amp;utm_campaign=planilha-de-gastos-mensais&amp;utm_content=aba-mes" TargetMode="External"/><Relationship Id="rId27" Type="http://schemas.openxmlformats.org/officeDocument/2006/relationships/hyperlink" Target="https://focanodinheiro.neon.com.br/controle-financeiro/planejamento-sem-salario-fixo?utm_source=planilha&amp;utm_medium=rich-content&amp;utm_campaign=planilha-de-gastos-mensais&amp;utm_content=aba-mes" TargetMode="External"/><Relationship Id="rId30" Type="http://schemas.openxmlformats.org/officeDocument/2006/relationships/image" Target="../media/image31.png"/><Relationship Id="rId35" Type="http://schemas.openxmlformats.org/officeDocument/2006/relationships/image" Target="../media/image11.png"/></Relationships>
</file>

<file path=xl/drawings/_rels/drawing9.xml.rels><?xml version="1.0" encoding="UTF-8" standalone="yes"?>
<Relationships xmlns="http://schemas.openxmlformats.org/package/2006/relationships"><Relationship Id="rId8" Type="http://schemas.openxmlformats.org/officeDocument/2006/relationships/image" Target="../media/image23.svg"/><Relationship Id="rId13" Type="http://schemas.openxmlformats.org/officeDocument/2006/relationships/image" Target="../media/image26.png"/><Relationship Id="rId18" Type="http://schemas.openxmlformats.org/officeDocument/2006/relationships/hyperlink" Target="https://focanodinheiro.neon.com.br/controle-financeiro/economizar-dinheiro-dia-a-dia-melhores-dicas?utm_source=planilha&amp;utm_medium=rich-content&amp;utm_campaign=planilha-de-gastos-mensais&amp;utm_content=aba-mes" TargetMode="External"/><Relationship Id="rId26" Type="http://schemas.openxmlformats.org/officeDocument/2006/relationships/hyperlink" Target="https://focanodinheiro.neon.com.br/controle-financeiro/quando-gastar-reserva-de-emergencia?utm_source=planilha&amp;utm_medium=rich-content&amp;utm_campaign=planilha-de-gastos-mensais&amp;utm_content=aba-mes" TargetMode="External"/><Relationship Id="rId39" Type="http://schemas.openxmlformats.org/officeDocument/2006/relationships/image" Target="../media/image35.png"/><Relationship Id="rId3" Type="http://schemas.openxmlformats.org/officeDocument/2006/relationships/image" Target="../media/image18.png"/><Relationship Id="rId21" Type="http://schemas.openxmlformats.org/officeDocument/2006/relationships/hyperlink" Target="https://focanodinheiro.neon.com.br/juntar-dinheiro/como-ganhar-dinheiro-extra?utm_source=planilha&amp;utm_medium=rich-content&amp;utm_campaign=planilha-de-gastos-mensais&amp;utm_content=aba-mes" TargetMode="External"/><Relationship Id="rId34" Type="http://schemas.openxmlformats.org/officeDocument/2006/relationships/hyperlink" Target="#ANUAL!A1"/><Relationship Id="rId7" Type="http://schemas.openxmlformats.org/officeDocument/2006/relationships/image" Target="../media/image22.png"/><Relationship Id="rId12" Type="http://schemas.openxmlformats.org/officeDocument/2006/relationships/hyperlink" Target="#'&#128274;'!A1"/><Relationship Id="rId17" Type="http://schemas.openxmlformats.org/officeDocument/2006/relationships/image" Target="../media/image28.svg"/><Relationship Id="rId25" Type="http://schemas.openxmlformats.org/officeDocument/2006/relationships/hyperlink" Target="https://focanodinheiro.neon.com.br/controle-financeiro/o-que-e-reserva-de-emergencia-aprenda-a-montar-uma?utm_source=planilha&amp;utm_medium=rich-content&amp;utm_campaign=planilha-de-gastos-mensais&amp;utm_content=aba-mes" TargetMode="External"/><Relationship Id="rId33" Type="http://schemas.openxmlformats.org/officeDocument/2006/relationships/image" Target="../media/image34.svg"/><Relationship Id="rId38" Type="http://schemas.openxmlformats.org/officeDocument/2006/relationships/hyperlink" Target="#'6'!A1"/><Relationship Id="rId2" Type="http://schemas.openxmlformats.org/officeDocument/2006/relationships/image" Target="../media/image17.svg"/><Relationship Id="rId16" Type="http://schemas.openxmlformats.org/officeDocument/2006/relationships/image" Target="../media/image9.png"/><Relationship Id="rId20" Type="http://schemas.openxmlformats.org/officeDocument/2006/relationships/hyperlink" Target="https://focanodinheiro.neon.com.br/juntar-dinheiro/dicas-faceis-para-juntar-dinheiro-rapido?utm_source=planilha&amp;utm_medium=rich-content&amp;utm_campaign=planilha-de-gastos-mensais&amp;utm_content=aba-mes" TargetMode="External"/><Relationship Id="rId29" Type="http://schemas.openxmlformats.org/officeDocument/2006/relationships/image" Target="../media/image30.svg"/><Relationship Id="rId41" Type="http://schemas.openxmlformats.org/officeDocument/2006/relationships/hyperlink" Target="#'4'!A1"/><Relationship Id="rId1" Type="http://schemas.openxmlformats.org/officeDocument/2006/relationships/image" Target="../media/image16.png"/><Relationship Id="rId6" Type="http://schemas.openxmlformats.org/officeDocument/2006/relationships/image" Target="../media/image21.svg"/><Relationship Id="rId11" Type="http://schemas.openxmlformats.org/officeDocument/2006/relationships/image" Target="../media/image25.svg"/><Relationship Id="rId24" Type="http://schemas.openxmlformats.org/officeDocument/2006/relationships/hyperlink" Target="https://focanodinheiro.neon.com.br/investimentos/investir-em-ouro?utm_source=planilha&amp;utm_medium=rich-content&amp;utm_campaign=planilha-de-gastos-mensais&amp;utm_content=aba-mes" TargetMode="External"/><Relationship Id="rId32" Type="http://schemas.openxmlformats.org/officeDocument/2006/relationships/image" Target="../media/image33.png"/><Relationship Id="rId37" Type="http://schemas.openxmlformats.org/officeDocument/2006/relationships/hyperlink" Target="https://focanodinheiro.neon.com.br/juntar-dinheiro/desafio-das-52-semanas-tabela-para-juntar-dinheiro?utm_source=planilha&amp;utm_medium=rich-content&amp;utm_campaign=planilha-de-gastos-mensais&amp;utm_content=aba-mes" TargetMode="External"/><Relationship Id="rId40" Type="http://schemas.openxmlformats.org/officeDocument/2006/relationships/image" Target="../media/image36.svg"/><Relationship Id="rId5" Type="http://schemas.openxmlformats.org/officeDocument/2006/relationships/image" Target="../media/image20.png"/><Relationship Id="rId15" Type="http://schemas.openxmlformats.org/officeDocument/2006/relationships/hyperlink" Target="https://focanodinheiro.neon.com.br/novidades/como-neon-ajudou-a-organizar-financas-e-guardar-dinheiro?utm_source=planilha&amp;utm_medium=rich-content&amp;utm_campaign=planilha-de-gastos-mensais&amp;utm_content=aba-mes" TargetMode="External"/><Relationship Id="rId23" Type="http://schemas.openxmlformats.org/officeDocument/2006/relationships/hyperlink" Target="https://focanodinheiro.neon.com.br/investimentos/tudo-sobre-warren-buffett?utm_source=planilha&amp;utm_medium=rich-content&amp;utm_campaign=planilha-de-gastos-mensais&amp;utm_content=aba-mes" TargetMode="External"/><Relationship Id="rId28" Type="http://schemas.openxmlformats.org/officeDocument/2006/relationships/image" Target="../media/image29.png"/><Relationship Id="rId36" Type="http://schemas.openxmlformats.org/officeDocument/2006/relationships/image" Target="../media/image12.svg"/><Relationship Id="rId10" Type="http://schemas.openxmlformats.org/officeDocument/2006/relationships/image" Target="../media/image24.png"/><Relationship Id="rId19" Type="http://schemas.openxmlformats.org/officeDocument/2006/relationships/hyperlink" Target="https://focanodinheiro.neon.com.br/juntar-dinheiro/45-dias-sem-gastar?utm_source=planilha&amp;utm_medium=rich-content&amp;utm_campaign=planilha-de-gastos-mensais&amp;utm_content=aba-mes" TargetMode="External"/><Relationship Id="rId31" Type="http://schemas.openxmlformats.org/officeDocument/2006/relationships/image" Target="../media/image32.svg"/><Relationship Id="rId4" Type="http://schemas.openxmlformats.org/officeDocument/2006/relationships/image" Target="../media/image19.svg"/><Relationship Id="rId9" Type="http://schemas.openxmlformats.org/officeDocument/2006/relationships/hyperlink" Target="#'&#128200;'!A1"/><Relationship Id="rId14" Type="http://schemas.openxmlformats.org/officeDocument/2006/relationships/image" Target="../media/image27.svg"/><Relationship Id="rId22" Type="http://schemas.openxmlformats.org/officeDocument/2006/relationships/hyperlink" Target="https://focanodinheiro.neon.com.br/investimentos/melhores-investimentos-para-aplicar-seu-dinheiro?utm_source=planilha&amp;utm_medium=rich-content&amp;utm_campaign=planilha-de-gastos-mensais&amp;utm_content=aba-mes" TargetMode="External"/><Relationship Id="rId27" Type="http://schemas.openxmlformats.org/officeDocument/2006/relationships/hyperlink" Target="https://focanodinheiro.neon.com.br/controle-financeiro/planejamento-sem-salario-fixo?utm_source=planilha&amp;utm_medium=rich-content&amp;utm_campaign=planilha-de-gastos-mensais&amp;utm_content=aba-mes" TargetMode="External"/><Relationship Id="rId30" Type="http://schemas.openxmlformats.org/officeDocument/2006/relationships/image" Target="../media/image31.png"/><Relationship Id="rId35" Type="http://schemas.openxmlformats.org/officeDocument/2006/relationships/image" Target="../media/image11.png"/></Relationships>
</file>

<file path=xl/drawings/_rels/drawing10.xml.rels><?xml version="1.0" encoding="UTF-8" standalone="yes"?>
<Relationships xmlns="http://schemas.openxmlformats.org/package/2006/relationships"><Relationship Id="rId8" Type="http://schemas.openxmlformats.org/officeDocument/2006/relationships/image" Target="../media/image23.svg"/><Relationship Id="rId13" Type="http://schemas.openxmlformats.org/officeDocument/2006/relationships/image" Target="../media/image26.png"/><Relationship Id="rId18" Type="http://schemas.openxmlformats.org/officeDocument/2006/relationships/hyperlink" Target="https://focanodinheiro.neon.com.br/controle-financeiro/economizar-dinheiro-dia-a-dia-melhores-dicas?utm_source=planilha&amp;utm_medium=rich-content&amp;utm_campaign=planilha-de-gastos-mensais&amp;utm_content=aba-mes" TargetMode="External"/><Relationship Id="rId26" Type="http://schemas.openxmlformats.org/officeDocument/2006/relationships/hyperlink" Target="https://focanodinheiro.neon.com.br/controle-financeiro/quando-gastar-reserva-de-emergencia?utm_source=planilha&amp;utm_medium=rich-content&amp;utm_campaign=planilha-de-gastos-mensais&amp;utm_content=aba-mes" TargetMode="External"/><Relationship Id="rId39" Type="http://schemas.openxmlformats.org/officeDocument/2006/relationships/image" Target="../media/image35.png"/><Relationship Id="rId3" Type="http://schemas.openxmlformats.org/officeDocument/2006/relationships/image" Target="../media/image18.png"/><Relationship Id="rId21" Type="http://schemas.openxmlformats.org/officeDocument/2006/relationships/hyperlink" Target="https://focanodinheiro.neon.com.br/juntar-dinheiro/como-ganhar-dinheiro-extra?utm_source=planilha&amp;utm_medium=rich-content&amp;utm_campaign=planilha-de-gastos-mensais&amp;utm_content=aba-mes" TargetMode="External"/><Relationship Id="rId34" Type="http://schemas.openxmlformats.org/officeDocument/2006/relationships/hyperlink" Target="#ANUAL!A1"/><Relationship Id="rId7" Type="http://schemas.openxmlformats.org/officeDocument/2006/relationships/image" Target="../media/image22.png"/><Relationship Id="rId12" Type="http://schemas.openxmlformats.org/officeDocument/2006/relationships/hyperlink" Target="#'&#128274;'!A1"/><Relationship Id="rId17" Type="http://schemas.openxmlformats.org/officeDocument/2006/relationships/image" Target="../media/image28.svg"/><Relationship Id="rId25" Type="http://schemas.openxmlformats.org/officeDocument/2006/relationships/hyperlink" Target="https://focanodinheiro.neon.com.br/controle-financeiro/o-que-e-reserva-de-emergencia-aprenda-a-montar-uma?utm_source=planilha&amp;utm_medium=rich-content&amp;utm_campaign=planilha-de-gastos-mensais&amp;utm_content=aba-mes" TargetMode="External"/><Relationship Id="rId33" Type="http://schemas.openxmlformats.org/officeDocument/2006/relationships/image" Target="../media/image34.svg"/><Relationship Id="rId38" Type="http://schemas.openxmlformats.org/officeDocument/2006/relationships/hyperlink" Target="#'7'!A1"/><Relationship Id="rId2" Type="http://schemas.openxmlformats.org/officeDocument/2006/relationships/image" Target="../media/image17.svg"/><Relationship Id="rId16" Type="http://schemas.openxmlformats.org/officeDocument/2006/relationships/image" Target="../media/image9.png"/><Relationship Id="rId20" Type="http://schemas.openxmlformats.org/officeDocument/2006/relationships/hyperlink" Target="https://focanodinheiro.neon.com.br/juntar-dinheiro/dicas-faceis-para-juntar-dinheiro-rapido?utm_source=planilha&amp;utm_medium=rich-content&amp;utm_campaign=planilha-de-gastos-mensais&amp;utm_content=aba-mes" TargetMode="External"/><Relationship Id="rId29" Type="http://schemas.openxmlformats.org/officeDocument/2006/relationships/image" Target="../media/image30.svg"/><Relationship Id="rId41" Type="http://schemas.openxmlformats.org/officeDocument/2006/relationships/hyperlink" Target="#'5'!A1"/><Relationship Id="rId1" Type="http://schemas.openxmlformats.org/officeDocument/2006/relationships/image" Target="../media/image16.png"/><Relationship Id="rId6" Type="http://schemas.openxmlformats.org/officeDocument/2006/relationships/image" Target="../media/image21.svg"/><Relationship Id="rId11" Type="http://schemas.openxmlformats.org/officeDocument/2006/relationships/image" Target="../media/image25.svg"/><Relationship Id="rId24" Type="http://schemas.openxmlformats.org/officeDocument/2006/relationships/hyperlink" Target="https://focanodinheiro.neon.com.br/investimentos/investir-em-ouro?utm_source=planilha&amp;utm_medium=rich-content&amp;utm_campaign=planilha-de-gastos-mensais&amp;utm_content=aba-mes" TargetMode="External"/><Relationship Id="rId32" Type="http://schemas.openxmlformats.org/officeDocument/2006/relationships/image" Target="../media/image33.png"/><Relationship Id="rId37" Type="http://schemas.openxmlformats.org/officeDocument/2006/relationships/hyperlink" Target="https://focanodinheiro.neon.com.br/juntar-dinheiro/desafio-das-52-semanas-tabela-para-juntar-dinheiro?utm_source=planilha&amp;utm_medium=rich-content&amp;utm_campaign=planilha-de-gastos-mensais&amp;utm_content=aba-mes" TargetMode="External"/><Relationship Id="rId40" Type="http://schemas.openxmlformats.org/officeDocument/2006/relationships/image" Target="../media/image36.svg"/><Relationship Id="rId5" Type="http://schemas.openxmlformats.org/officeDocument/2006/relationships/image" Target="../media/image20.png"/><Relationship Id="rId15" Type="http://schemas.openxmlformats.org/officeDocument/2006/relationships/hyperlink" Target="https://focanodinheiro.neon.com.br/novidades/como-neon-ajudou-a-organizar-financas-e-guardar-dinheiro?utm_source=planilha&amp;utm_medium=rich-content&amp;utm_campaign=planilha-de-gastos-mensais&amp;utm_content=aba-mes" TargetMode="External"/><Relationship Id="rId23" Type="http://schemas.openxmlformats.org/officeDocument/2006/relationships/hyperlink" Target="https://focanodinheiro.neon.com.br/investimentos/tudo-sobre-warren-buffett?utm_source=planilha&amp;utm_medium=rich-content&amp;utm_campaign=planilha-de-gastos-mensais&amp;utm_content=aba-mes" TargetMode="External"/><Relationship Id="rId28" Type="http://schemas.openxmlformats.org/officeDocument/2006/relationships/image" Target="../media/image29.png"/><Relationship Id="rId36" Type="http://schemas.openxmlformats.org/officeDocument/2006/relationships/image" Target="../media/image12.svg"/><Relationship Id="rId10" Type="http://schemas.openxmlformats.org/officeDocument/2006/relationships/image" Target="../media/image24.png"/><Relationship Id="rId19" Type="http://schemas.openxmlformats.org/officeDocument/2006/relationships/hyperlink" Target="https://focanodinheiro.neon.com.br/juntar-dinheiro/45-dias-sem-gastar?utm_source=planilha&amp;utm_medium=rich-content&amp;utm_campaign=planilha-de-gastos-mensais&amp;utm_content=aba-mes" TargetMode="External"/><Relationship Id="rId31" Type="http://schemas.openxmlformats.org/officeDocument/2006/relationships/image" Target="../media/image32.svg"/><Relationship Id="rId4" Type="http://schemas.openxmlformats.org/officeDocument/2006/relationships/image" Target="../media/image19.svg"/><Relationship Id="rId9" Type="http://schemas.openxmlformats.org/officeDocument/2006/relationships/hyperlink" Target="#'&#128200;'!A1"/><Relationship Id="rId14" Type="http://schemas.openxmlformats.org/officeDocument/2006/relationships/image" Target="../media/image27.svg"/><Relationship Id="rId22" Type="http://schemas.openxmlformats.org/officeDocument/2006/relationships/hyperlink" Target="https://focanodinheiro.neon.com.br/investimentos/melhores-investimentos-para-aplicar-seu-dinheiro?utm_source=planilha&amp;utm_medium=rich-content&amp;utm_campaign=planilha-de-gastos-mensais&amp;utm_content=aba-mes" TargetMode="External"/><Relationship Id="rId27" Type="http://schemas.openxmlformats.org/officeDocument/2006/relationships/hyperlink" Target="https://focanodinheiro.neon.com.br/controle-financeiro/planejamento-sem-salario-fixo?utm_source=planilha&amp;utm_medium=rich-content&amp;utm_campaign=planilha-de-gastos-mensais&amp;utm_content=aba-mes" TargetMode="External"/><Relationship Id="rId30" Type="http://schemas.openxmlformats.org/officeDocument/2006/relationships/image" Target="../media/image31.png"/><Relationship Id="rId35" Type="http://schemas.openxmlformats.org/officeDocument/2006/relationships/image" Target="../media/image11.png"/></Relationships>
</file>

<file path=xl/drawings/_rels/drawing11.xml.rels><?xml version="1.0" encoding="UTF-8" standalone="yes"?>
<Relationships xmlns="http://schemas.openxmlformats.org/package/2006/relationships"><Relationship Id="rId8" Type="http://schemas.openxmlformats.org/officeDocument/2006/relationships/image" Target="../media/image23.svg"/><Relationship Id="rId13" Type="http://schemas.openxmlformats.org/officeDocument/2006/relationships/image" Target="../media/image26.png"/><Relationship Id="rId18" Type="http://schemas.openxmlformats.org/officeDocument/2006/relationships/hyperlink" Target="https://focanodinheiro.neon.com.br/controle-financeiro/economizar-dinheiro-dia-a-dia-melhores-dicas?utm_source=planilha&amp;utm_medium=rich-content&amp;utm_campaign=planilha-de-gastos-mensais&amp;utm_content=aba-mes" TargetMode="External"/><Relationship Id="rId26" Type="http://schemas.openxmlformats.org/officeDocument/2006/relationships/hyperlink" Target="https://focanodinheiro.neon.com.br/controle-financeiro/quando-gastar-reserva-de-emergencia?utm_source=planilha&amp;utm_medium=rich-content&amp;utm_campaign=planilha-de-gastos-mensais&amp;utm_content=aba-mes" TargetMode="External"/><Relationship Id="rId39" Type="http://schemas.openxmlformats.org/officeDocument/2006/relationships/image" Target="../media/image35.png"/><Relationship Id="rId3" Type="http://schemas.openxmlformats.org/officeDocument/2006/relationships/image" Target="../media/image18.png"/><Relationship Id="rId21" Type="http://schemas.openxmlformats.org/officeDocument/2006/relationships/hyperlink" Target="https://focanodinheiro.neon.com.br/juntar-dinheiro/como-ganhar-dinheiro-extra?utm_source=planilha&amp;utm_medium=rich-content&amp;utm_campaign=planilha-de-gastos-mensais&amp;utm_content=aba-mes" TargetMode="External"/><Relationship Id="rId34" Type="http://schemas.openxmlformats.org/officeDocument/2006/relationships/hyperlink" Target="#ANUAL!A1"/><Relationship Id="rId7" Type="http://schemas.openxmlformats.org/officeDocument/2006/relationships/image" Target="../media/image22.png"/><Relationship Id="rId12" Type="http://schemas.openxmlformats.org/officeDocument/2006/relationships/hyperlink" Target="#'&#128274;'!A1"/><Relationship Id="rId17" Type="http://schemas.openxmlformats.org/officeDocument/2006/relationships/image" Target="../media/image28.svg"/><Relationship Id="rId25" Type="http://schemas.openxmlformats.org/officeDocument/2006/relationships/hyperlink" Target="https://focanodinheiro.neon.com.br/controle-financeiro/o-que-e-reserva-de-emergencia-aprenda-a-montar-uma?utm_source=planilha&amp;utm_medium=rich-content&amp;utm_campaign=planilha-de-gastos-mensais&amp;utm_content=aba-mes" TargetMode="External"/><Relationship Id="rId33" Type="http://schemas.openxmlformats.org/officeDocument/2006/relationships/image" Target="../media/image34.svg"/><Relationship Id="rId38" Type="http://schemas.openxmlformats.org/officeDocument/2006/relationships/hyperlink" Target="#'8'!A1"/><Relationship Id="rId2" Type="http://schemas.openxmlformats.org/officeDocument/2006/relationships/image" Target="../media/image17.svg"/><Relationship Id="rId16" Type="http://schemas.openxmlformats.org/officeDocument/2006/relationships/image" Target="../media/image9.png"/><Relationship Id="rId20" Type="http://schemas.openxmlformats.org/officeDocument/2006/relationships/hyperlink" Target="https://focanodinheiro.neon.com.br/juntar-dinheiro/dicas-faceis-para-juntar-dinheiro-rapido?utm_source=planilha&amp;utm_medium=rich-content&amp;utm_campaign=planilha-de-gastos-mensais&amp;utm_content=aba-mes" TargetMode="External"/><Relationship Id="rId29" Type="http://schemas.openxmlformats.org/officeDocument/2006/relationships/image" Target="../media/image30.svg"/><Relationship Id="rId41" Type="http://schemas.openxmlformats.org/officeDocument/2006/relationships/hyperlink" Target="#'6'!A1"/><Relationship Id="rId1" Type="http://schemas.openxmlformats.org/officeDocument/2006/relationships/image" Target="../media/image16.png"/><Relationship Id="rId6" Type="http://schemas.openxmlformats.org/officeDocument/2006/relationships/image" Target="../media/image21.svg"/><Relationship Id="rId11" Type="http://schemas.openxmlformats.org/officeDocument/2006/relationships/image" Target="../media/image25.svg"/><Relationship Id="rId24" Type="http://schemas.openxmlformats.org/officeDocument/2006/relationships/hyperlink" Target="https://focanodinheiro.neon.com.br/investimentos/investir-em-ouro?utm_source=planilha&amp;utm_medium=rich-content&amp;utm_campaign=planilha-de-gastos-mensais&amp;utm_content=aba-mes" TargetMode="External"/><Relationship Id="rId32" Type="http://schemas.openxmlformats.org/officeDocument/2006/relationships/image" Target="../media/image33.png"/><Relationship Id="rId37" Type="http://schemas.openxmlformats.org/officeDocument/2006/relationships/hyperlink" Target="https://focanodinheiro.neon.com.br/juntar-dinheiro/desafio-das-52-semanas-tabela-para-juntar-dinheiro?utm_source=planilha&amp;utm_medium=rich-content&amp;utm_campaign=planilha-de-gastos-mensais&amp;utm_content=aba-mes" TargetMode="External"/><Relationship Id="rId40" Type="http://schemas.openxmlformats.org/officeDocument/2006/relationships/image" Target="../media/image36.svg"/><Relationship Id="rId5" Type="http://schemas.openxmlformats.org/officeDocument/2006/relationships/image" Target="../media/image20.png"/><Relationship Id="rId15" Type="http://schemas.openxmlformats.org/officeDocument/2006/relationships/hyperlink" Target="https://focanodinheiro.neon.com.br/novidades/como-neon-ajudou-a-organizar-financas-e-guardar-dinheiro?utm_source=planilha&amp;utm_medium=rich-content&amp;utm_campaign=planilha-de-gastos-mensais&amp;utm_content=aba-mes" TargetMode="External"/><Relationship Id="rId23" Type="http://schemas.openxmlformats.org/officeDocument/2006/relationships/hyperlink" Target="https://focanodinheiro.neon.com.br/investimentos/tudo-sobre-warren-buffett?utm_source=planilha&amp;utm_medium=rich-content&amp;utm_campaign=planilha-de-gastos-mensais&amp;utm_content=aba-mes" TargetMode="External"/><Relationship Id="rId28" Type="http://schemas.openxmlformats.org/officeDocument/2006/relationships/image" Target="../media/image29.png"/><Relationship Id="rId36" Type="http://schemas.openxmlformats.org/officeDocument/2006/relationships/image" Target="../media/image12.svg"/><Relationship Id="rId10" Type="http://schemas.openxmlformats.org/officeDocument/2006/relationships/image" Target="../media/image24.png"/><Relationship Id="rId19" Type="http://schemas.openxmlformats.org/officeDocument/2006/relationships/hyperlink" Target="https://focanodinheiro.neon.com.br/juntar-dinheiro/45-dias-sem-gastar?utm_source=planilha&amp;utm_medium=rich-content&amp;utm_campaign=planilha-de-gastos-mensais&amp;utm_content=aba-mes" TargetMode="External"/><Relationship Id="rId31" Type="http://schemas.openxmlformats.org/officeDocument/2006/relationships/image" Target="../media/image32.svg"/><Relationship Id="rId4" Type="http://schemas.openxmlformats.org/officeDocument/2006/relationships/image" Target="../media/image19.svg"/><Relationship Id="rId9" Type="http://schemas.openxmlformats.org/officeDocument/2006/relationships/hyperlink" Target="#'&#128200;'!A1"/><Relationship Id="rId14" Type="http://schemas.openxmlformats.org/officeDocument/2006/relationships/image" Target="../media/image27.svg"/><Relationship Id="rId22" Type="http://schemas.openxmlformats.org/officeDocument/2006/relationships/hyperlink" Target="https://focanodinheiro.neon.com.br/investimentos/melhores-investimentos-para-aplicar-seu-dinheiro?utm_source=planilha&amp;utm_medium=rich-content&amp;utm_campaign=planilha-de-gastos-mensais&amp;utm_content=aba-mes" TargetMode="External"/><Relationship Id="rId27" Type="http://schemas.openxmlformats.org/officeDocument/2006/relationships/hyperlink" Target="https://focanodinheiro.neon.com.br/controle-financeiro/planejamento-sem-salario-fixo?utm_source=planilha&amp;utm_medium=rich-content&amp;utm_campaign=planilha-de-gastos-mensais&amp;utm_content=aba-mes" TargetMode="External"/><Relationship Id="rId30" Type="http://schemas.openxmlformats.org/officeDocument/2006/relationships/image" Target="../media/image31.png"/><Relationship Id="rId35" Type="http://schemas.openxmlformats.org/officeDocument/2006/relationships/image" Target="../media/image11.png"/></Relationships>
</file>

<file path=xl/drawings/_rels/drawing12.xml.rels><?xml version="1.0" encoding="UTF-8" standalone="yes"?>
<Relationships xmlns="http://schemas.openxmlformats.org/package/2006/relationships"><Relationship Id="rId8" Type="http://schemas.openxmlformats.org/officeDocument/2006/relationships/image" Target="../media/image23.svg"/><Relationship Id="rId13" Type="http://schemas.openxmlformats.org/officeDocument/2006/relationships/image" Target="../media/image26.png"/><Relationship Id="rId18" Type="http://schemas.openxmlformats.org/officeDocument/2006/relationships/hyperlink" Target="https://focanodinheiro.neon.com.br/controle-financeiro/economizar-dinheiro-dia-a-dia-melhores-dicas?utm_source=planilha&amp;utm_medium=rich-content&amp;utm_campaign=planilha-de-gastos-mensais&amp;utm_content=aba-mes" TargetMode="External"/><Relationship Id="rId26" Type="http://schemas.openxmlformats.org/officeDocument/2006/relationships/hyperlink" Target="https://focanodinheiro.neon.com.br/controle-financeiro/quando-gastar-reserva-de-emergencia?utm_source=planilha&amp;utm_medium=rich-content&amp;utm_campaign=planilha-de-gastos-mensais&amp;utm_content=aba-mes" TargetMode="External"/><Relationship Id="rId39" Type="http://schemas.openxmlformats.org/officeDocument/2006/relationships/image" Target="../media/image35.png"/><Relationship Id="rId3" Type="http://schemas.openxmlformats.org/officeDocument/2006/relationships/image" Target="../media/image18.png"/><Relationship Id="rId21" Type="http://schemas.openxmlformats.org/officeDocument/2006/relationships/hyperlink" Target="https://focanodinheiro.neon.com.br/juntar-dinheiro/como-ganhar-dinheiro-extra?utm_source=planilha&amp;utm_medium=rich-content&amp;utm_campaign=planilha-de-gastos-mensais&amp;utm_content=aba-mes" TargetMode="External"/><Relationship Id="rId34" Type="http://schemas.openxmlformats.org/officeDocument/2006/relationships/hyperlink" Target="#ANUAL!A1"/><Relationship Id="rId7" Type="http://schemas.openxmlformats.org/officeDocument/2006/relationships/image" Target="../media/image22.png"/><Relationship Id="rId12" Type="http://schemas.openxmlformats.org/officeDocument/2006/relationships/hyperlink" Target="#'&#128274;'!A1"/><Relationship Id="rId17" Type="http://schemas.openxmlformats.org/officeDocument/2006/relationships/image" Target="../media/image28.svg"/><Relationship Id="rId25" Type="http://schemas.openxmlformats.org/officeDocument/2006/relationships/hyperlink" Target="https://focanodinheiro.neon.com.br/controle-financeiro/o-que-e-reserva-de-emergencia-aprenda-a-montar-uma?utm_source=planilha&amp;utm_medium=rich-content&amp;utm_campaign=planilha-de-gastos-mensais&amp;utm_content=aba-mes" TargetMode="External"/><Relationship Id="rId33" Type="http://schemas.openxmlformats.org/officeDocument/2006/relationships/image" Target="../media/image34.svg"/><Relationship Id="rId38" Type="http://schemas.openxmlformats.org/officeDocument/2006/relationships/hyperlink" Target="#'9'!A1"/><Relationship Id="rId2" Type="http://schemas.openxmlformats.org/officeDocument/2006/relationships/image" Target="../media/image17.svg"/><Relationship Id="rId16" Type="http://schemas.openxmlformats.org/officeDocument/2006/relationships/image" Target="../media/image9.png"/><Relationship Id="rId20" Type="http://schemas.openxmlformats.org/officeDocument/2006/relationships/hyperlink" Target="https://focanodinheiro.neon.com.br/juntar-dinheiro/dicas-faceis-para-juntar-dinheiro-rapido?utm_source=planilha&amp;utm_medium=rich-content&amp;utm_campaign=planilha-de-gastos-mensais&amp;utm_content=aba-mes" TargetMode="External"/><Relationship Id="rId29" Type="http://schemas.openxmlformats.org/officeDocument/2006/relationships/image" Target="../media/image30.svg"/><Relationship Id="rId41" Type="http://schemas.openxmlformats.org/officeDocument/2006/relationships/hyperlink" Target="#'7'!A1"/><Relationship Id="rId1" Type="http://schemas.openxmlformats.org/officeDocument/2006/relationships/image" Target="../media/image16.png"/><Relationship Id="rId6" Type="http://schemas.openxmlformats.org/officeDocument/2006/relationships/image" Target="../media/image21.svg"/><Relationship Id="rId11" Type="http://schemas.openxmlformats.org/officeDocument/2006/relationships/image" Target="../media/image25.svg"/><Relationship Id="rId24" Type="http://schemas.openxmlformats.org/officeDocument/2006/relationships/hyperlink" Target="https://focanodinheiro.neon.com.br/investimentos/investir-em-ouro?utm_source=planilha&amp;utm_medium=rich-content&amp;utm_campaign=planilha-de-gastos-mensais&amp;utm_content=aba-mes" TargetMode="External"/><Relationship Id="rId32" Type="http://schemas.openxmlformats.org/officeDocument/2006/relationships/image" Target="../media/image33.png"/><Relationship Id="rId37" Type="http://schemas.openxmlformats.org/officeDocument/2006/relationships/hyperlink" Target="https://focanodinheiro.neon.com.br/juntar-dinheiro/desafio-das-52-semanas-tabela-para-juntar-dinheiro?utm_source=planilha&amp;utm_medium=rich-content&amp;utm_campaign=planilha-de-gastos-mensais&amp;utm_content=aba-mes" TargetMode="External"/><Relationship Id="rId40" Type="http://schemas.openxmlformats.org/officeDocument/2006/relationships/image" Target="../media/image36.svg"/><Relationship Id="rId5" Type="http://schemas.openxmlformats.org/officeDocument/2006/relationships/image" Target="../media/image20.png"/><Relationship Id="rId15" Type="http://schemas.openxmlformats.org/officeDocument/2006/relationships/hyperlink" Target="https://focanodinheiro.neon.com.br/novidades/como-neon-ajudou-a-organizar-financas-e-guardar-dinheiro?utm_source=planilha&amp;utm_medium=rich-content&amp;utm_campaign=planilha-de-gastos-mensais&amp;utm_content=aba-mes" TargetMode="External"/><Relationship Id="rId23" Type="http://schemas.openxmlformats.org/officeDocument/2006/relationships/hyperlink" Target="https://focanodinheiro.neon.com.br/investimentos/tudo-sobre-warren-buffett?utm_source=planilha&amp;utm_medium=rich-content&amp;utm_campaign=planilha-de-gastos-mensais&amp;utm_content=aba-mes" TargetMode="External"/><Relationship Id="rId28" Type="http://schemas.openxmlformats.org/officeDocument/2006/relationships/image" Target="../media/image29.png"/><Relationship Id="rId36" Type="http://schemas.openxmlformats.org/officeDocument/2006/relationships/image" Target="../media/image12.svg"/><Relationship Id="rId10" Type="http://schemas.openxmlformats.org/officeDocument/2006/relationships/image" Target="../media/image24.png"/><Relationship Id="rId19" Type="http://schemas.openxmlformats.org/officeDocument/2006/relationships/hyperlink" Target="https://focanodinheiro.neon.com.br/juntar-dinheiro/45-dias-sem-gastar?utm_source=planilha&amp;utm_medium=rich-content&amp;utm_campaign=planilha-de-gastos-mensais&amp;utm_content=aba-mes" TargetMode="External"/><Relationship Id="rId31" Type="http://schemas.openxmlformats.org/officeDocument/2006/relationships/image" Target="../media/image32.svg"/><Relationship Id="rId4" Type="http://schemas.openxmlformats.org/officeDocument/2006/relationships/image" Target="../media/image19.svg"/><Relationship Id="rId9" Type="http://schemas.openxmlformats.org/officeDocument/2006/relationships/hyperlink" Target="#'&#128200;'!A1"/><Relationship Id="rId14" Type="http://schemas.openxmlformats.org/officeDocument/2006/relationships/image" Target="../media/image27.svg"/><Relationship Id="rId22" Type="http://schemas.openxmlformats.org/officeDocument/2006/relationships/hyperlink" Target="https://focanodinheiro.neon.com.br/investimentos/melhores-investimentos-para-aplicar-seu-dinheiro?utm_source=planilha&amp;utm_medium=rich-content&amp;utm_campaign=planilha-de-gastos-mensais&amp;utm_content=aba-mes" TargetMode="External"/><Relationship Id="rId27" Type="http://schemas.openxmlformats.org/officeDocument/2006/relationships/hyperlink" Target="https://focanodinheiro.neon.com.br/controle-financeiro/planejamento-sem-salario-fixo?utm_source=planilha&amp;utm_medium=rich-content&amp;utm_campaign=planilha-de-gastos-mensais&amp;utm_content=aba-mes" TargetMode="External"/><Relationship Id="rId30" Type="http://schemas.openxmlformats.org/officeDocument/2006/relationships/image" Target="../media/image31.png"/><Relationship Id="rId35" Type="http://schemas.openxmlformats.org/officeDocument/2006/relationships/image" Target="../media/image11.png"/></Relationships>
</file>

<file path=xl/drawings/_rels/drawing13.xml.rels><?xml version="1.0" encoding="UTF-8" standalone="yes"?>
<Relationships xmlns="http://schemas.openxmlformats.org/package/2006/relationships"><Relationship Id="rId8" Type="http://schemas.openxmlformats.org/officeDocument/2006/relationships/image" Target="../media/image23.svg"/><Relationship Id="rId13" Type="http://schemas.openxmlformats.org/officeDocument/2006/relationships/image" Target="../media/image26.png"/><Relationship Id="rId18" Type="http://schemas.openxmlformats.org/officeDocument/2006/relationships/hyperlink" Target="https://focanodinheiro.neon.com.br/controle-financeiro/economizar-dinheiro-dia-a-dia-melhores-dicas?utm_source=planilha&amp;utm_medium=rich-content&amp;utm_campaign=planilha-de-gastos-mensais&amp;utm_content=aba-mes" TargetMode="External"/><Relationship Id="rId26" Type="http://schemas.openxmlformats.org/officeDocument/2006/relationships/hyperlink" Target="https://focanodinheiro.neon.com.br/controle-financeiro/quando-gastar-reserva-de-emergencia?utm_source=planilha&amp;utm_medium=rich-content&amp;utm_campaign=planilha-de-gastos-mensais&amp;utm_content=aba-mes" TargetMode="External"/><Relationship Id="rId39" Type="http://schemas.openxmlformats.org/officeDocument/2006/relationships/image" Target="../media/image35.png"/><Relationship Id="rId3" Type="http://schemas.openxmlformats.org/officeDocument/2006/relationships/image" Target="../media/image18.png"/><Relationship Id="rId21" Type="http://schemas.openxmlformats.org/officeDocument/2006/relationships/hyperlink" Target="https://focanodinheiro.neon.com.br/juntar-dinheiro/como-ganhar-dinheiro-extra?utm_source=planilha&amp;utm_medium=rich-content&amp;utm_campaign=planilha-de-gastos-mensais&amp;utm_content=aba-mes" TargetMode="External"/><Relationship Id="rId34" Type="http://schemas.openxmlformats.org/officeDocument/2006/relationships/hyperlink" Target="#ANUAL!A1"/><Relationship Id="rId7" Type="http://schemas.openxmlformats.org/officeDocument/2006/relationships/image" Target="../media/image22.png"/><Relationship Id="rId12" Type="http://schemas.openxmlformats.org/officeDocument/2006/relationships/hyperlink" Target="#'&#128274;'!A1"/><Relationship Id="rId17" Type="http://schemas.openxmlformats.org/officeDocument/2006/relationships/image" Target="../media/image28.svg"/><Relationship Id="rId25" Type="http://schemas.openxmlformats.org/officeDocument/2006/relationships/hyperlink" Target="https://focanodinheiro.neon.com.br/controle-financeiro/o-que-e-reserva-de-emergencia-aprenda-a-montar-uma?utm_source=planilha&amp;utm_medium=rich-content&amp;utm_campaign=planilha-de-gastos-mensais&amp;utm_content=aba-mes" TargetMode="External"/><Relationship Id="rId33" Type="http://schemas.openxmlformats.org/officeDocument/2006/relationships/image" Target="../media/image34.svg"/><Relationship Id="rId38" Type="http://schemas.openxmlformats.org/officeDocument/2006/relationships/hyperlink" Target="#'10'!A1"/><Relationship Id="rId2" Type="http://schemas.openxmlformats.org/officeDocument/2006/relationships/image" Target="../media/image17.svg"/><Relationship Id="rId16" Type="http://schemas.openxmlformats.org/officeDocument/2006/relationships/image" Target="../media/image9.png"/><Relationship Id="rId20" Type="http://schemas.openxmlformats.org/officeDocument/2006/relationships/hyperlink" Target="https://focanodinheiro.neon.com.br/juntar-dinheiro/dicas-faceis-para-juntar-dinheiro-rapido?utm_source=planilha&amp;utm_medium=rich-content&amp;utm_campaign=planilha-de-gastos-mensais&amp;utm_content=aba-mes" TargetMode="External"/><Relationship Id="rId29" Type="http://schemas.openxmlformats.org/officeDocument/2006/relationships/image" Target="../media/image30.svg"/><Relationship Id="rId41" Type="http://schemas.openxmlformats.org/officeDocument/2006/relationships/hyperlink" Target="#'8'!A1"/><Relationship Id="rId1" Type="http://schemas.openxmlformats.org/officeDocument/2006/relationships/image" Target="../media/image16.png"/><Relationship Id="rId6" Type="http://schemas.openxmlformats.org/officeDocument/2006/relationships/image" Target="../media/image21.svg"/><Relationship Id="rId11" Type="http://schemas.openxmlformats.org/officeDocument/2006/relationships/image" Target="../media/image25.svg"/><Relationship Id="rId24" Type="http://schemas.openxmlformats.org/officeDocument/2006/relationships/hyperlink" Target="https://focanodinheiro.neon.com.br/investimentos/investir-em-ouro?utm_source=planilha&amp;utm_medium=rich-content&amp;utm_campaign=planilha-de-gastos-mensais&amp;utm_content=aba-mes" TargetMode="External"/><Relationship Id="rId32" Type="http://schemas.openxmlformats.org/officeDocument/2006/relationships/image" Target="../media/image33.png"/><Relationship Id="rId37" Type="http://schemas.openxmlformats.org/officeDocument/2006/relationships/hyperlink" Target="https://focanodinheiro.neon.com.br/juntar-dinheiro/desafio-das-52-semanas-tabela-para-juntar-dinheiro?utm_source=planilha&amp;utm_medium=rich-content&amp;utm_campaign=planilha-de-gastos-mensais&amp;utm_content=aba-mes" TargetMode="External"/><Relationship Id="rId40" Type="http://schemas.openxmlformats.org/officeDocument/2006/relationships/image" Target="../media/image36.svg"/><Relationship Id="rId5" Type="http://schemas.openxmlformats.org/officeDocument/2006/relationships/image" Target="../media/image20.png"/><Relationship Id="rId15" Type="http://schemas.openxmlformats.org/officeDocument/2006/relationships/hyperlink" Target="https://focanodinheiro.neon.com.br/novidades/como-neon-ajudou-a-organizar-financas-e-guardar-dinheiro?utm_source=planilha&amp;utm_medium=rich-content&amp;utm_campaign=planilha-de-gastos-mensais&amp;utm_content=aba-mes" TargetMode="External"/><Relationship Id="rId23" Type="http://schemas.openxmlformats.org/officeDocument/2006/relationships/hyperlink" Target="https://focanodinheiro.neon.com.br/investimentos/tudo-sobre-warren-buffett?utm_source=planilha&amp;utm_medium=rich-content&amp;utm_campaign=planilha-de-gastos-mensais&amp;utm_content=aba-mes" TargetMode="External"/><Relationship Id="rId28" Type="http://schemas.openxmlformats.org/officeDocument/2006/relationships/image" Target="../media/image29.png"/><Relationship Id="rId36" Type="http://schemas.openxmlformats.org/officeDocument/2006/relationships/image" Target="../media/image12.svg"/><Relationship Id="rId10" Type="http://schemas.openxmlformats.org/officeDocument/2006/relationships/image" Target="../media/image24.png"/><Relationship Id="rId19" Type="http://schemas.openxmlformats.org/officeDocument/2006/relationships/hyperlink" Target="https://focanodinheiro.neon.com.br/juntar-dinheiro/45-dias-sem-gastar?utm_source=planilha&amp;utm_medium=rich-content&amp;utm_campaign=planilha-de-gastos-mensais&amp;utm_content=aba-mes" TargetMode="External"/><Relationship Id="rId31" Type="http://schemas.openxmlformats.org/officeDocument/2006/relationships/image" Target="../media/image32.svg"/><Relationship Id="rId4" Type="http://schemas.openxmlformats.org/officeDocument/2006/relationships/image" Target="../media/image19.svg"/><Relationship Id="rId9" Type="http://schemas.openxmlformats.org/officeDocument/2006/relationships/hyperlink" Target="#'&#128200;'!A1"/><Relationship Id="rId14" Type="http://schemas.openxmlformats.org/officeDocument/2006/relationships/image" Target="../media/image27.svg"/><Relationship Id="rId22" Type="http://schemas.openxmlformats.org/officeDocument/2006/relationships/hyperlink" Target="https://focanodinheiro.neon.com.br/investimentos/melhores-investimentos-para-aplicar-seu-dinheiro?utm_source=planilha&amp;utm_medium=rich-content&amp;utm_campaign=planilha-de-gastos-mensais&amp;utm_content=aba-mes" TargetMode="External"/><Relationship Id="rId27" Type="http://schemas.openxmlformats.org/officeDocument/2006/relationships/hyperlink" Target="https://focanodinheiro.neon.com.br/controle-financeiro/planejamento-sem-salario-fixo?utm_source=planilha&amp;utm_medium=rich-content&amp;utm_campaign=planilha-de-gastos-mensais&amp;utm_content=aba-mes" TargetMode="External"/><Relationship Id="rId30" Type="http://schemas.openxmlformats.org/officeDocument/2006/relationships/image" Target="../media/image31.png"/><Relationship Id="rId35" Type="http://schemas.openxmlformats.org/officeDocument/2006/relationships/image" Target="../media/image11.png"/></Relationships>
</file>

<file path=xl/drawings/_rels/drawing14.xml.rels><?xml version="1.0" encoding="UTF-8" standalone="yes"?>
<Relationships xmlns="http://schemas.openxmlformats.org/package/2006/relationships"><Relationship Id="rId8" Type="http://schemas.openxmlformats.org/officeDocument/2006/relationships/image" Target="../media/image23.svg"/><Relationship Id="rId13" Type="http://schemas.openxmlformats.org/officeDocument/2006/relationships/image" Target="../media/image26.png"/><Relationship Id="rId18" Type="http://schemas.openxmlformats.org/officeDocument/2006/relationships/hyperlink" Target="https://focanodinheiro.neon.com.br/controle-financeiro/economizar-dinheiro-dia-a-dia-melhores-dicas?utm_source=planilha&amp;utm_medium=rich-content&amp;utm_campaign=planilha-de-gastos-mensais&amp;utm_content=aba-mes" TargetMode="External"/><Relationship Id="rId26" Type="http://schemas.openxmlformats.org/officeDocument/2006/relationships/hyperlink" Target="https://focanodinheiro.neon.com.br/controle-financeiro/quando-gastar-reserva-de-emergencia?utm_source=planilha&amp;utm_medium=rich-content&amp;utm_campaign=planilha-de-gastos-mensais&amp;utm_content=aba-mes" TargetMode="External"/><Relationship Id="rId39" Type="http://schemas.openxmlformats.org/officeDocument/2006/relationships/image" Target="../media/image35.png"/><Relationship Id="rId3" Type="http://schemas.openxmlformats.org/officeDocument/2006/relationships/image" Target="../media/image18.png"/><Relationship Id="rId21" Type="http://schemas.openxmlformats.org/officeDocument/2006/relationships/hyperlink" Target="https://focanodinheiro.neon.com.br/juntar-dinheiro/como-ganhar-dinheiro-extra?utm_source=planilha&amp;utm_medium=rich-content&amp;utm_campaign=planilha-de-gastos-mensais&amp;utm_content=aba-mes" TargetMode="External"/><Relationship Id="rId34" Type="http://schemas.openxmlformats.org/officeDocument/2006/relationships/hyperlink" Target="#ANUAL!A1"/><Relationship Id="rId7" Type="http://schemas.openxmlformats.org/officeDocument/2006/relationships/image" Target="../media/image22.png"/><Relationship Id="rId12" Type="http://schemas.openxmlformats.org/officeDocument/2006/relationships/hyperlink" Target="#'&#128274;'!A1"/><Relationship Id="rId17" Type="http://schemas.openxmlformats.org/officeDocument/2006/relationships/image" Target="../media/image28.svg"/><Relationship Id="rId25" Type="http://schemas.openxmlformats.org/officeDocument/2006/relationships/hyperlink" Target="https://focanodinheiro.neon.com.br/controle-financeiro/o-que-e-reserva-de-emergencia-aprenda-a-montar-uma?utm_source=planilha&amp;utm_medium=rich-content&amp;utm_campaign=planilha-de-gastos-mensais&amp;utm_content=aba-mes" TargetMode="External"/><Relationship Id="rId33" Type="http://schemas.openxmlformats.org/officeDocument/2006/relationships/image" Target="../media/image34.svg"/><Relationship Id="rId38" Type="http://schemas.openxmlformats.org/officeDocument/2006/relationships/hyperlink" Target="#'11'!A1"/><Relationship Id="rId2" Type="http://schemas.openxmlformats.org/officeDocument/2006/relationships/image" Target="../media/image17.svg"/><Relationship Id="rId16" Type="http://schemas.openxmlformats.org/officeDocument/2006/relationships/image" Target="../media/image9.png"/><Relationship Id="rId20" Type="http://schemas.openxmlformats.org/officeDocument/2006/relationships/hyperlink" Target="https://focanodinheiro.neon.com.br/juntar-dinheiro/dicas-faceis-para-juntar-dinheiro-rapido?utm_source=planilha&amp;utm_medium=rich-content&amp;utm_campaign=planilha-de-gastos-mensais&amp;utm_content=aba-mes" TargetMode="External"/><Relationship Id="rId29" Type="http://schemas.openxmlformats.org/officeDocument/2006/relationships/image" Target="../media/image30.svg"/><Relationship Id="rId41" Type="http://schemas.openxmlformats.org/officeDocument/2006/relationships/hyperlink" Target="#'9'!A1"/><Relationship Id="rId1" Type="http://schemas.openxmlformats.org/officeDocument/2006/relationships/image" Target="../media/image16.png"/><Relationship Id="rId6" Type="http://schemas.openxmlformats.org/officeDocument/2006/relationships/image" Target="../media/image21.svg"/><Relationship Id="rId11" Type="http://schemas.openxmlformats.org/officeDocument/2006/relationships/image" Target="../media/image25.svg"/><Relationship Id="rId24" Type="http://schemas.openxmlformats.org/officeDocument/2006/relationships/hyperlink" Target="https://focanodinheiro.neon.com.br/investimentos/investir-em-ouro?utm_source=planilha&amp;utm_medium=rich-content&amp;utm_campaign=planilha-de-gastos-mensais&amp;utm_content=aba-mes" TargetMode="External"/><Relationship Id="rId32" Type="http://schemas.openxmlformats.org/officeDocument/2006/relationships/image" Target="../media/image33.png"/><Relationship Id="rId37" Type="http://schemas.openxmlformats.org/officeDocument/2006/relationships/hyperlink" Target="https://focanodinheiro.neon.com.br/juntar-dinheiro/desafio-das-52-semanas-tabela-para-juntar-dinheiro?utm_source=planilha&amp;utm_medium=rich-content&amp;utm_campaign=planilha-de-gastos-mensais&amp;utm_content=aba-mes" TargetMode="External"/><Relationship Id="rId40" Type="http://schemas.openxmlformats.org/officeDocument/2006/relationships/image" Target="../media/image36.svg"/><Relationship Id="rId5" Type="http://schemas.openxmlformats.org/officeDocument/2006/relationships/image" Target="../media/image20.png"/><Relationship Id="rId15" Type="http://schemas.openxmlformats.org/officeDocument/2006/relationships/hyperlink" Target="https://focanodinheiro.neon.com.br/novidades/como-neon-ajudou-a-organizar-financas-e-guardar-dinheiro?utm_source=planilha&amp;utm_medium=rich-content&amp;utm_campaign=planilha-de-gastos-mensais&amp;utm_content=aba-mes" TargetMode="External"/><Relationship Id="rId23" Type="http://schemas.openxmlformats.org/officeDocument/2006/relationships/hyperlink" Target="https://focanodinheiro.neon.com.br/investimentos/tudo-sobre-warren-buffett?utm_source=planilha&amp;utm_medium=rich-content&amp;utm_campaign=planilha-de-gastos-mensais&amp;utm_content=aba-mes" TargetMode="External"/><Relationship Id="rId28" Type="http://schemas.openxmlformats.org/officeDocument/2006/relationships/image" Target="../media/image29.png"/><Relationship Id="rId36" Type="http://schemas.openxmlformats.org/officeDocument/2006/relationships/image" Target="../media/image12.svg"/><Relationship Id="rId10" Type="http://schemas.openxmlformats.org/officeDocument/2006/relationships/image" Target="../media/image24.png"/><Relationship Id="rId19" Type="http://schemas.openxmlformats.org/officeDocument/2006/relationships/hyperlink" Target="https://focanodinheiro.neon.com.br/juntar-dinheiro/45-dias-sem-gastar?utm_source=planilha&amp;utm_medium=rich-content&amp;utm_campaign=planilha-de-gastos-mensais&amp;utm_content=aba-mes" TargetMode="External"/><Relationship Id="rId31" Type="http://schemas.openxmlformats.org/officeDocument/2006/relationships/image" Target="../media/image32.svg"/><Relationship Id="rId4" Type="http://schemas.openxmlformats.org/officeDocument/2006/relationships/image" Target="../media/image19.svg"/><Relationship Id="rId9" Type="http://schemas.openxmlformats.org/officeDocument/2006/relationships/hyperlink" Target="#'&#128200;'!A1"/><Relationship Id="rId14" Type="http://schemas.openxmlformats.org/officeDocument/2006/relationships/image" Target="../media/image27.svg"/><Relationship Id="rId22" Type="http://schemas.openxmlformats.org/officeDocument/2006/relationships/hyperlink" Target="https://focanodinheiro.neon.com.br/investimentos/melhores-investimentos-para-aplicar-seu-dinheiro?utm_source=planilha&amp;utm_medium=rich-content&amp;utm_campaign=planilha-de-gastos-mensais&amp;utm_content=aba-mes" TargetMode="External"/><Relationship Id="rId27" Type="http://schemas.openxmlformats.org/officeDocument/2006/relationships/hyperlink" Target="https://focanodinheiro.neon.com.br/controle-financeiro/planejamento-sem-salario-fixo?utm_source=planilha&amp;utm_medium=rich-content&amp;utm_campaign=planilha-de-gastos-mensais&amp;utm_content=aba-mes" TargetMode="External"/><Relationship Id="rId30" Type="http://schemas.openxmlformats.org/officeDocument/2006/relationships/image" Target="../media/image31.png"/><Relationship Id="rId35" Type="http://schemas.openxmlformats.org/officeDocument/2006/relationships/image" Target="../media/image11.png"/></Relationships>
</file>

<file path=xl/drawings/_rels/drawing15.xml.rels><?xml version="1.0" encoding="UTF-8" standalone="yes"?>
<Relationships xmlns="http://schemas.openxmlformats.org/package/2006/relationships"><Relationship Id="rId8" Type="http://schemas.openxmlformats.org/officeDocument/2006/relationships/image" Target="../media/image23.svg"/><Relationship Id="rId13" Type="http://schemas.openxmlformats.org/officeDocument/2006/relationships/image" Target="../media/image26.png"/><Relationship Id="rId18" Type="http://schemas.openxmlformats.org/officeDocument/2006/relationships/hyperlink" Target="https://focanodinheiro.neon.com.br/controle-financeiro/economizar-dinheiro-dia-a-dia-melhores-dicas?utm_source=planilha&amp;utm_medium=rich-content&amp;utm_campaign=planilha-de-gastos-mensais&amp;utm_content=aba-mes" TargetMode="External"/><Relationship Id="rId26" Type="http://schemas.openxmlformats.org/officeDocument/2006/relationships/hyperlink" Target="https://focanodinheiro.neon.com.br/controle-financeiro/quando-gastar-reserva-de-emergencia?utm_source=planilha&amp;utm_medium=rich-content&amp;utm_campaign=planilha-de-gastos-mensais&amp;utm_content=aba-mes" TargetMode="External"/><Relationship Id="rId39" Type="http://schemas.openxmlformats.org/officeDocument/2006/relationships/image" Target="../media/image35.png"/><Relationship Id="rId3" Type="http://schemas.openxmlformats.org/officeDocument/2006/relationships/image" Target="../media/image18.png"/><Relationship Id="rId21" Type="http://schemas.openxmlformats.org/officeDocument/2006/relationships/hyperlink" Target="https://focanodinheiro.neon.com.br/juntar-dinheiro/como-ganhar-dinheiro-extra?utm_source=planilha&amp;utm_medium=rich-content&amp;utm_campaign=planilha-de-gastos-mensais&amp;utm_content=aba-mes" TargetMode="External"/><Relationship Id="rId34" Type="http://schemas.openxmlformats.org/officeDocument/2006/relationships/hyperlink" Target="#ANUAL!A1"/><Relationship Id="rId7" Type="http://schemas.openxmlformats.org/officeDocument/2006/relationships/image" Target="../media/image22.png"/><Relationship Id="rId12" Type="http://schemas.openxmlformats.org/officeDocument/2006/relationships/hyperlink" Target="#'&#128274;'!A1"/><Relationship Id="rId17" Type="http://schemas.openxmlformats.org/officeDocument/2006/relationships/image" Target="../media/image28.svg"/><Relationship Id="rId25" Type="http://schemas.openxmlformats.org/officeDocument/2006/relationships/hyperlink" Target="https://focanodinheiro.neon.com.br/controle-financeiro/o-que-e-reserva-de-emergencia-aprenda-a-montar-uma?utm_source=planilha&amp;utm_medium=rich-content&amp;utm_campaign=planilha-de-gastos-mensais&amp;utm_content=aba-mes" TargetMode="External"/><Relationship Id="rId33" Type="http://schemas.openxmlformats.org/officeDocument/2006/relationships/image" Target="../media/image34.svg"/><Relationship Id="rId38" Type="http://schemas.openxmlformats.org/officeDocument/2006/relationships/hyperlink" Target="#'12'!A1"/><Relationship Id="rId2" Type="http://schemas.openxmlformats.org/officeDocument/2006/relationships/image" Target="../media/image17.svg"/><Relationship Id="rId16" Type="http://schemas.openxmlformats.org/officeDocument/2006/relationships/image" Target="../media/image9.png"/><Relationship Id="rId20" Type="http://schemas.openxmlformats.org/officeDocument/2006/relationships/hyperlink" Target="https://focanodinheiro.neon.com.br/juntar-dinheiro/dicas-faceis-para-juntar-dinheiro-rapido?utm_source=planilha&amp;utm_medium=rich-content&amp;utm_campaign=planilha-de-gastos-mensais&amp;utm_content=aba-mes" TargetMode="External"/><Relationship Id="rId29" Type="http://schemas.openxmlformats.org/officeDocument/2006/relationships/image" Target="../media/image30.svg"/><Relationship Id="rId41" Type="http://schemas.openxmlformats.org/officeDocument/2006/relationships/hyperlink" Target="#'10'!A1"/><Relationship Id="rId1" Type="http://schemas.openxmlformats.org/officeDocument/2006/relationships/image" Target="../media/image16.png"/><Relationship Id="rId6" Type="http://schemas.openxmlformats.org/officeDocument/2006/relationships/image" Target="../media/image21.svg"/><Relationship Id="rId11" Type="http://schemas.openxmlformats.org/officeDocument/2006/relationships/image" Target="../media/image25.svg"/><Relationship Id="rId24" Type="http://schemas.openxmlformats.org/officeDocument/2006/relationships/hyperlink" Target="https://focanodinheiro.neon.com.br/investimentos/investir-em-ouro?utm_source=planilha&amp;utm_medium=rich-content&amp;utm_campaign=planilha-de-gastos-mensais&amp;utm_content=aba-mes" TargetMode="External"/><Relationship Id="rId32" Type="http://schemas.openxmlformats.org/officeDocument/2006/relationships/image" Target="../media/image33.png"/><Relationship Id="rId37" Type="http://schemas.openxmlformats.org/officeDocument/2006/relationships/hyperlink" Target="https://focanodinheiro.neon.com.br/juntar-dinheiro/desafio-das-52-semanas-tabela-para-juntar-dinheiro?utm_source=planilha&amp;utm_medium=rich-content&amp;utm_campaign=planilha-de-gastos-mensais&amp;utm_content=aba-mes" TargetMode="External"/><Relationship Id="rId40" Type="http://schemas.openxmlformats.org/officeDocument/2006/relationships/image" Target="../media/image36.svg"/><Relationship Id="rId5" Type="http://schemas.openxmlformats.org/officeDocument/2006/relationships/image" Target="../media/image20.png"/><Relationship Id="rId15" Type="http://schemas.openxmlformats.org/officeDocument/2006/relationships/hyperlink" Target="https://focanodinheiro.neon.com.br/novidades/como-neon-ajudou-a-organizar-financas-e-guardar-dinheiro?utm_source=planilha&amp;utm_medium=rich-content&amp;utm_campaign=planilha-de-gastos-mensais&amp;utm_content=aba-mes" TargetMode="External"/><Relationship Id="rId23" Type="http://schemas.openxmlformats.org/officeDocument/2006/relationships/hyperlink" Target="https://focanodinheiro.neon.com.br/investimentos/tudo-sobre-warren-buffett?utm_source=planilha&amp;utm_medium=rich-content&amp;utm_campaign=planilha-de-gastos-mensais&amp;utm_content=aba-mes" TargetMode="External"/><Relationship Id="rId28" Type="http://schemas.openxmlformats.org/officeDocument/2006/relationships/image" Target="../media/image29.png"/><Relationship Id="rId36" Type="http://schemas.openxmlformats.org/officeDocument/2006/relationships/image" Target="../media/image12.svg"/><Relationship Id="rId10" Type="http://schemas.openxmlformats.org/officeDocument/2006/relationships/image" Target="../media/image24.png"/><Relationship Id="rId19" Type="http://schemas.openxmlformats.org/officeDocument/2006/relationships/hyperlink" Target="https://focanodinheiro.neon.com.br/juntar-dinheiro/45-dias-sem-gastar?utm_source=planilha&amp;utm_medium=rich-content&amp;utm_campaign=planilha-de-gastos-mensais&amp;utm_content=aba-mes" TargetMode="External"/><Relationship Id="rId31" Type="http://schemas.openxmlformats.org/officeDocument/2006/relationships/image" Target="../media/image32.svg"/><Relationship Id="rId4" Type="http://schemas.openxmlformats.org/officeDocument/2006/relationships/image" Target="../media/image19.svg"/><Relationship Id="rId9" Type="http://schemas.openxmlformats.org/officeDocument/2006/relationships/hyperlink" Target="#'&#128200;'!A1"/><Relationship Id="rId14" Type="http://schemas.openxmlformats.org/officeDocument/2006/relationships/image" Target="../media/image27.svg"/><Relationship Id="rId22" Type="http://schemas.openxmlformats.org/officeDocument/2006/relationships/hyperlink" Target="https://focanodinheiro.neon.com.br/investimentos/melhores-investimentos-para-aplicar-seu-dinheiro?utm_source=planilha&amp;utm_medium=rich-content&amp;utm_campaign=planilha-de-gastos-mensais&amp;utm_content=aba-mes" TargetMode="External"/><Relationship Id="rId27" Type="http://schemas.openxmlformats.org/officeDocument/2006/relationships/hyperlink" Target="https://focanodinheiro.neon.com.br/controle-financeiro/planejamento-sem-salario-fixo?utm_source=planilha&amp;utm_medium=rich-content&amp;utm_campaign=planilha-de-gastos-mensais&amp;utm_content=aba-mes" TargetMode="External"/><Relationship Id="rId30" Type="http://schemas.openxmlformats.org/officeDocument/2006/relationships/image" Target="../media/image31.png"/><Relationship Id="rId35" Type="http://schemas.openxmlformats.org/officeDocument/2006/relationships/image" Target="../media/image11.png"/></Relationships>
</file>

<file path=xl/drawings/_rels/drawing16.xml.rels><?xml version="1.0" encoding="UTF-8" standalone="yes"?>
<Relationships xmlns="http://schemas.openxmlformats.org/package/2006/relationships"><Relationship Id="rId8" Type="http://schemas.openxmlformats.org/officeDocument/2006/relationships/image" Target="../media/image23.svg"/><Relationship Id="rId13" Type="http://schemas.openxmlformats.org/officeDocument/2006/relationships/image" Target="../media/image26.png"/><Relationship Id="rId18" Type="http://schemas.openxmlformats.org/officeDocument/2006/relationships/hyperlink" Target="https://focanodinheiro.neon.com.br/controle-financeiro/economizar-dinheiro-dia-a-dia-melhores-dicas?utm_source=planilha&amp;utm_medium=rich-content&amp;utm_campaign=planilha-de-gastos-mensais&amp;utm_content=aba-mes" TargetMode="External"/><Relationship Id="rId26" Type="http://schemas.openxmlformats.org/officeDocument/2006/relationships/hyperlink" Target="https://focanodinheiro.neon.com.br/controle-financeiro/quando-gastar-reserva-de-emergencia?utm_source=planilha&amp;utm_medium=rich-content&amp;utm_campaign=planilha-de-gastos-mensais&amp;utm_content=aba-mes" TargetMode="External"/><Relationship Id="rId39" Type="http://schemas.openxmlformats.org/officeDocument/2006/relationships/image" Target="../media/image35.png"/><Relationship Id="rId3" Type="http://schemas.openxmlformats.org/officeDocument/2006/relationships/image" Target="../media/image18.png"/><Relationship Id="rId21" Type="http://schemas.openxmlformats.org/officeDocument/2006/relationships/hyperlink" Target="https://focanodinheiro.neon.com.br/juntar-dinheiro/como-ganhar-dinheiro-extra?utm_source=planilha&amp;utm_medium=rich-content&amp;utm_campaign=planilha-de-gastos-mensais&amp;utm_content=aba-mes" TargetMode="External"/><Relationship Id="rId34" Type="http://schemas.openxmlformats.org/officeDocument/2006/relationships/hyperlink" Target="#ANUAL!A1"/><Relationship Id="rId7" Type="http://schemas.openxmlformats.org/officeDocument/2006/relationships/image" Target="../media/image22.png"/><Relationship Id="rId12" Type="http://schemas.openxmlformats.org/officeDocument/2006/relationships/hyperlink" Target="#'&#128274;'!A1"/><Relationship Id="rId17" Type="http://schemas.openxmlformats.org/officeDocument/2006/relationships/image" Target="../media/image28.svg"/><Relationship Id="rId25" Type="http://schemas.openxmlformats.org/officeDocument/2006/relationships/hyperlink" Target="https://focanodinheiro.neon.com.br/controle-financeiro/o-que-e-reserva-de-emergencia-aprenda-a-montar-uma?utm_source=planilha&amp;utm_medium=rich-content&amp;utm_campaign=planilha-de-gastos-mensais&amp;utm_content=aba-mes" TargetMode="External"/><Relationship Id="rId33" Type="http://schemas.openxmlformats.org/officeDocument/2006/relationships/image" Target="../media/image34.svg"/><Relationship Id="rId38" Type="http://schemas.openxmlformats.org/officeDocument/2006/relationships/hyperlink" Target="#'1'!A1"/><Relationship Id="rId2" Type="http://schemas.openxmlformats.org/officeDocument/2006/relationships/image" Target="../media/image17.svg"/><Relationship Id="rId16" Type="http://schemas.openxmlformats.org/officeDocument/2006/relationships/image" Target="../media/image9.png"/><Relationship Id="rId20" Type="http://schemas.openxmlformats.org/officeDocument/2006/relationships/hyperlink" Target="https://focanodinheiro.neon.com.br/juntar-dinheiro/dicas-faceis-para-juntar-dinheiro-rapido?utm_source=planilha&amp;utm_medium=rich-content&amp;utm_campaign=planilha-de-gastos-mensais&amp;utm_content=aba-mes" TargetMode="External"/><Relationship Id="rId29" Type="http://schemas.openxmlformats.org/officeDocument/2006/relationships/image" Target="../media/image30.svg"/><Relationship Id="rId41" Type="http://schemas.openxmlformats.org/officeDocument/2006/relationships/hyperlink" Target="#'11'!A1"/><Relationship Id="rId1" Type="http://schemas.openxmlformats.org/officeDocument/2006/relationships/image" Target="../media/image16.png"/><Relationship Id="rId6" Type="http://schemas.openxmlformats.org/officeDocument/2006/relationships/image" Target="../media/image21.svg"/><Relationship Id="rId11" Type="http://schemas.openxmlformats.org/officeDocument/2006/relationships/image" Target="../media/image25.svg"/><Relationship Id="rId24" Type="http://schemas.openxmlformats.org/officeDocument/2006/relationships/hyperlink" Target="https://focanodinheiro.neon.com.br/investimentos/investir-em-ouro?utm_source=planilha&amp;utm_medium=rich-content&amp;utm_campaign=planilha-de-gastos-mensais&amp;utm_content=aba-mes" TargetMode="External"/><Relationship Id="rId32" Type="http://schemas.openxmlformats.org/officeDocument/2006/relationships/image" Target="../media/image33.png"/><Relationship Id="rId37" Type="http://schemas.openxmlformats.org/officeDocument/2006/relationships/hyperlink" Target="https://focanodinheiro.neon.com.br/juntar-dinheiro/desafio-das-52-semanas-tabela-para-juntar-dinheiro?utm_source=planilha&amp;utm_medium=rich-content&amp;utm_campaign=planilha-de-gastos-mensais&amp;utm_content=aba-mes" TargetMode="External"/><Relationship Id="rId40" Type="http://schemas.openxmlformats.org/officeDocument/2006/relationships/image" Target="../media/image36.svg"/><Relationship Id="rId5" Type="http://schemas.openxmlformats.org/officeDocument/2006/relationships/image" Target="../media/image20.png"/><Relationship Id="rId15" Type="http://schemas.openxmlformats.org/officeDocument/2006/relationships/hyperlink" Target="https://focanodinheiro.neon.com.br/novidades/como-neon-ajudou-a-organizar-financas-e-guardar-dinheiro?utm_source=planilha&amp;utm_medium=rich-content&amp;utm_campaign=planilha-de-gastos-mensais&amp;utm_content=aba-mes" TargetMode="External"/><Relationship Id="rId23" Type="http://schemas.openxmlformats.org/officeDocument/2006/relationships/hyperlink" Target="https://focanodinheiro.neon.com.br/investimentos/tudo-sobre-warren-buffett?utm_source=planilha&amp;utm_medium=rich-content&amp;utm_campaign=planilha-de-gastos-mensais&amp;utm_content=aba-mes" TargetMode="External"/><Relationship Id="rId28" Type="http://schemas.openxmlformats.org/officeDocument/2006/relationships/image" Target="../media/image29.png"/><Relationship Id="rId36" Type="http://schemas.openxmlformats.org/officeDocument/2006/relationships/image" Target="../media/image12.svg"/><Relationship Id="rId10" Type="http://schemas.openxmlformats.org/officeDocument/2006/relationships/image" Target="../media/image24.png"/><Relationship Id="rId19" Type="http://schemas.openxmlformats.org/officeDocument/2006/relationships/hyperlink" Target="https://focanodinheiro.neon.com.br/juntar-dinheiro/45-dias-sem-gastar?utm_source=planilha&amp;utm_medium=rich-content&amp;utm_campaign=planilha-de-gastos-mensais&amp;utm_content=aba-mes" TargetMode="External"/><Relationship Id="rId31" Type="http://schemas.openxmlformats.org/officeDocument/2006/relationships/image" Target="../media/image32.svg"/><Relationship Id="rId4" Type="http://schemas.openxmlformats.org/officeDocument/2006/relationships/image" Target="../media/image19.svg"/><Relationship Id="rId9" Type="http://schemas.openxmlformats.org/officeDocument/2006/relationships/hyperlink" Target="#'&#128200;'!A1"/><Relationship Id="rId14" Type="http://schemas.openxmlformats.org/officeDocument/2006/relationships/image" Target="../media/image27.svg"/><Relationship Id="rId22" Type="http://schemas.openxmlformats.org/officeDocument/2006/relationships/hyperlink" Target="https://focanodinheiro.neon.com.br/investimentos/melhores-investimentos-para-aplicar-seu-dinheiro?utm_source=planilha&amp;utm_medium=rich-content&amp;utm_campaign=planilha-de-gastos-mensais&amp;utm_content=aba-mes" TargetMode="External"/><Relationship Id="rId27" Type="http://schemas.openxmlformats.org/officeDocument/2006/relationships/hyperlink" Target="https://focanodinheiro.neon.com.br/controle-financeiro/planejamento-sem-salario-fixo?utm_source=planilha&amp;utm_medium=rich-content&amp;utm_campaign=planilha-de-gastos-mensais&amp;utm_content=aba-mes" TargetMode="External"/><Relationship Id="rId30" Type="http://schemas.openxmlformats.org/officeDocument/2006/relationships/image" Target="../media/image31.png"/><Relationship Id="rId35" Type="http://schemas.openxmlformats.org/officeDocument/2006/relationships/image" Target="../media/image11.png"/></Relationships>
</file>

<file path=xl/drawings/_rels/drawing17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2.svg"/><Relationship Id="rId18" Type="http://schemas.microsoft.com/office/2014/relationships/chartEx" Target="../charts/chartEx1.xml"/><Relationship Id="rId26" Type="http://schemas.openxmlformats.org/officeDocument/2006/relationships/hyperlink" Target="https://focanodinheiro.neon.com.br/juntar-dinheiro/dicas-faceis-para-juntar-dinheiro-rapido?utm_source=planilha&amp;utm_medium=rich-content&amp;utm_campaign=planilha-de-gastos-mensais&amp;utm_content=aba-mes-graph" TargetMode="External"/><Relationship Id="rId39" Type="http://schemas.openxmlformats.org/officeDocument/2006/relationships/hyperlink" Target="https://focanodinheiro.neon.com.br/novidades/aplicacao-cdb-neon-como-funciona?utm_source=planilha&amp;utm_medium=rich-content&amp;utm_campaign=planilha-de-gastos-mensais&amp;utm_content=aba-mes-graph" TargetMode="External"/><Relationship Id="rId21" Type="http://schemas.microsoft.com/office/2014/relationships/chartEx" Target="../charts/chartEx4.xml"/><Relationship Id="rId34" Type="http://schemas.openxmlformats.org/officeDocument/2006/relationships/hyperlink" Target="https://focanodinheiro.neon.com.br/juntar-dinheiro/como-ganhar-dinheiro-extra" TargetMode="External"/><Relationship Id="rId42" Type="http://schemas.microsoft.com/office/2014/relationships/chartEx" Target="../charts/chartEx5.xml"/><Relationship Id="rId47" Type="http://schemas.microsoft.com/office/2014/relationships/chartEx" Target="../charts/chartEx10.xml"/><Relationship Id="rId50" Type="http://schemas.openxmlformats.org/officeDocument/2006/relationships/image" Target="../media/image20.png"/><Relationship Id="rId55" Type="http://schemas.openxmlformats.org/officeDocument/2006/relationships/image" Target="../media/image34.svg"/><Relationship Id="rId7" Type="http://schemas.openxmlformats.org/officeDocument/2006/relationships/image" Target="../media/image10.svg"/><Relationship Id="rId2" Type="http://schemas.openxmlformats.org/officeDocument/2006/relationships/chart" Target="../charts/chart2.xml"/><Relationship Id="rId16" Type="http://schemas.openxmlformats.org/officeDocument/2006/relationships/image" Target="../media/image27.svg"/><Relationship Id="rId20" Type="http://schemas.microsoft.com/office/2014/relationships/chartEx" Target="../charts/chartEx3.xml"/><Relationship Id="rId29" Type="http://schemas.openxmlformats.org/officeDocument/2006/relationships/hyperlink" Target="https://focanodinheiro.neon.com.br/investimentos/melhores-investimentos-para-aplicar-seu-dinheiro?utm_source=planilha&amp;utm_medium=rich-content&amp;utm_campaign=planilha-de-gastos-mensais&amp;utm_content=aba-mes-graph" TargetMode="External"/><Relationship Id="rId41" Type="http://schemas.openxmlformats.org/officeDocument/2006/relationships/hyperlink" Target="https://focanodinheiro.neon.com.br/investimentos/renda-fixa?utm_source=planilha&amp;utm_medium=rich-content&amp;utm_campaign=planilha-de-gastos-mensais&amp;utm_content=aba-mes-graph" TargetMode="External"/><Relationship Id="rId54" Type="http://schemas.openxmlformats.org/officeDocument/2006/relationships/image" Target="../media/image33.png"/><Relationship Id="rId62" Type="http://schemas.openxmlformats.org/officeDocument/2006/relationships/image" Target="../media/image3.png"/><Relationship Id="rId1" Type="http://schemas.openxmlformats.org/officeDocument/2006/relationships/chart" Target="../charts/chart1.xml"/><Relationship Id="rId6" Type="http://schemas.openxmlformats.org/officeDocument/2006/relationships/image" Target="../media/image9.png"/><Relationship Id="rId11" Type="http://schemas.openxmlformats.org/officeDocument/2006/relationships/hyperlink" Target="#ANUAL!A1"/><Relationship Id="rId24" Type="http://schemas.openxmlformats.org/officeDocument/2006/relationships/chart" Target="../charts/chart6.xml"/><Relationship Id="rId32" Type="http://schemas.openxmlformats.org/officeDocument/2006/relationships/image" Target="../media/image39.png"/><Relationship Id="rId37" Type="http://schemas.openxmlformats.org/officeDocument/2006/relationships/hyperlink" Target="https://focanodinheiro.neon.com.br/controle-financeiro/como-sair-da-divida-e-poupar?utm_source=planilha&amp;utm_medium=rich-content&amp;utm_campaign=planilha-de-gastos-mensais&amp;utm_content=aba-mes-graph" TargetMode="External"/><Relationship Id="rId40" Type="http://schemas.openxmlformats.org/officeDocument/2006/relationships/hyperlink" Target="https://focanodinheiro.neon.com.br/controle-financeiro/quando-gastar-reserva-de-emergencia?utm_source=planilha&amp;utm_medium=rich-content&amp;utm_campaign=planilha-de-gastos-mensais&amp;utm_content=aba-mes-graph" TargetMode="External"/><Relationship Id="rId45" Type="http://schemas.microsoft.com/office/2014/relationships/chartEx" Target="../charts/chartEx8.xml"/><Relationship Id="rId53" Type="http://schemas.openxmlformats.org/officeDocument/2006/relationships/image" Target="../media/image32.svg"/><Relationship Id="rId58" Type="http://schemas.openxmlformats.org/officeDocument/2006/relationships/chart" Target="../charts/chart11.xml"/><Relationship Id="rId5" Type="http://schemas.openxmlformats.org/officeDocument/2006/relationships/hyperlink" Target="https://focanodinheiro.neon.com.br/controle-financeiro/metodo-do-pote?utm_source=planilha&amp;utm_medium=rich-content&amp;utm_campaign=planilha-de-gastos-mensais&amp;utm_content=aba-mes-graph" TargetMode="External"/><Relationship Id="rId15" Type="http://schemas.openxmlformats.org/officeDocument/2006/relationships/image" Target="../media/image26.png"/><Relationship Id="rId23" Type="http://schemas.openxmlformats.org/officeDocument/2006/relationships/chart" Target="../charts/chart5.xml"/><Relationship Id="rId28" Type="http://schemas.openxmlformats.org/officeDocument/2006/relationships/hyperlink" Target="https://focanodinheiro.neon.com.br/controle-financeiro/como-priorizar-contas?utm_source=planilha&amp;utm_medium=rich-content&amp;utm_campaign=planilha-de-gastos-mensais&amp;utm_content=aba-mes-graph" TargetMode="External"/><Relationship Id="rId36" Type="http://schemas.openxmlformats.org/officeDocument/2006/relationships/hyperlink" Target="https://focanodinheiro.neon.com.br/controle-financeiro/economizar-dinheiro-dia-a-dia-melhores-dicas?utm_source=planilha&amp;utm_medium=rich-content&amp;utm_campaign=planilha-de-gastos-mensais&amp;utm_content=aba-mes-graph" TargetMode="External"/><Relationship Id="rId49" Type="http://schemas.openxmlformats.org/officeDocument/2006/relationships/image" Target="../media/image30.svg"/><Relationship Id="rId57" Type="http://schemas.openxmlformats.org/officeDocument/2006/relationships/chart" Target="../charts/chart10.xml"/><Relationship Id="rId61" Type="http://schemas.openxmlformats.org/officeDocument/2006/relationships/hyperlink" Target="https://neon.com.br" TargetMode="External"/><Relationship Id="rId10" Type="http://schemas.openxmlformats.org/officeDocument/2006/relationships/chart" Target="../charts/chart3.xml"/><Relationship Id="rId19" Type="http://schemas.microsoft.com/office/2014/relationships/chartEx" Target="../charts/chartEx2.xml"/><Relationship Id="rId31" Type="http://schemas.openxmlformats.org/officeDocument/2006/relationships/hyperlink" Target="https://focanodinheiro.neon.com.br/juntar-dinheiro/10-desafios-juntar-dinheiro?utm_source=planilha&amp;utm_medium=rich-content&amp;utm_campaign=planilha-de-gastos-mensais&amp;utm_content=aba-mes-graph" TargetMode="External"/><Relationship Id="rId44" Type="http://schemas.microsoft.com/office/2014/relationships/chartEx" Target="../charts/chartEx7.xml"/><Relationship Id="rId52" Type="http://schemas.openxmlformats.org/officeDocument/2006/relationships/image" Target="../media/image31.png"/><Relationship Id="rId60" Type="http://schemas.openxmlformats.org/officeDocument/2006/relationships/chart" Target="../charts/chart13.xml"/><Relationship Id="rId4" Type="http://schemas.openxmlformats.org/officeDocument/2006/relationships/image" Target="../media/image38.svg"/><Relationship Id="rId9" Type="http://schemas.openxmlformats.org/officeDocument/2006/relationships/image" Target="../media/image25.svg"/><Relationship Id="rId14" Type="http://schemas.openxmlformats.org/officeDocument/2006/relationships/hyperlink" Target="#'&#128274;'!A1"/><Relationship Id="rId22" Type="http://schemas.openxmlformats.org/officeDocument/2006/relationships/chart" Target="../charts/chart4.xml"/><Relationship Id="rId27" Type="http://schemas.openxmlformats.org/officeDocument/2006/relationships/chart" Target="../charts/chart8.xml"/><Relationship Id="rId30" Type="http://schemas.openxmlformats.org/officeDocument/2006/relationships/hyperlink" Target="https://focanodinheiro.neon.com.br/controle-financeiro/o-que-e-reserva-de-emergencia-aprenda-a-montar-uma?utm_source=planilha&amp;utm_medium=rich-content&amp;utm_campaign=planilha-de-gastos-mensais&amp;utm_content=aba-mes-graph" TargetMode="External"/><Relationship Id="rId35" Type="http://schemas.openxmlformats.org/officeDocument/2006/relationships/hyperlink" Target="https://focanodinheiro.neon.com.br/juntar-dinheiro/como-ganhar-dinheiro-extra?utm_source=planilha&amp;utm_medium=rich-content&amp;utm_campaign=planilha-de-gastos-mensais&amp;utm_content=aba-mes-graph" TargetMode="External"/><Relationship Id="rId43" Type="http://schemas.microsoft.com/office/2014/relationships/chartEx" Target="../charts/chartEx6.xml"/><Relationship Id="rId48" Type="http://schemas.openxmlformats.org/officeDocument/2006/relationships/image" Target="../media/image29.png"/><Relationship Id="rId56" Type="http://schemas.openxmlformats.org/officeDocument/2006/relationships/chart" Target="../charts/chart9.xml"/><Relationship Id="rId8" Type="http://schemas.openxmlformats.org/officeDocument/2006/relationships/image" Target="../media/image24.png"/><Relationship Id="rId51" Type="http://schemas.openxmlformats.org/officeDocument/2006/relationships/image" Target="../media/image21.svg"/><Relationship Id="rId3" Type="http://schemas.openxmlformats.org/officeDocument/2006/relationships/image" Target="../media/image37.png"/><Relationship Id="rId12" Type="http://schemas.openxmlformats.org/officeDocument/2006/relationships/image" Target="../media/image11.png"/><Relationship Id="rId17" Type="http://schemas.openxmlformats.org/officeDocument/2006/relationships/hyperlink" Target="https://focanodinheiro.neon.com.br/controle-financeiro/conceito-viver-degrau-abaixo?utm_source=planilha&amp;utm_medium=rich-content&amp;utm_campaign=planilha-de-gastos-mensais&amp;utm_content=aba-mes-graph" TargetMode="External"/><Relationship Id="rId25" Type="http://schemas.openxmlformats.org/officeDocument/2006/relationships/chart" Target="../charts/chart7.xml"/><Relationship Id="rId33" Type="http://schemas.openxmlformats.org/officeDocument/2006/relationships/image" Target="../media/image40.svg"/><Relationship Id="rId38" Type="http://schemas.openxmlformats.org/officeDocument/2006/relationships/hyperlink" Target="https://focanodinheiro.neon.com.br/investimentos/aplicacoes-financeiras-mais-rentaveis?utm_source=planilha&amp;utm_medium=rich-content&amp;utm_campaign=planilha-de-gastos-mensais&amp;utm_content=aba-mes-graph" TargetMode="External"/><Relationship Id="rId46" Type="http://schemas.microsoft.com/office/2014/relationships/chartEx" Target="../charts/chartEx9.xml"/><Relationship Id="rId59" Type="http://schemas.openxmlformats.org/officeDocument/2006/relationships/chart" Target="../charts/chart1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464798</xdr:colOff>
      <xdr:row>1</xdr:row>
      <xdr:rowOff>66260</xdr:rowOff>
    </xdr:from>
    <xdr:ext cx="1370911" cy="1307283"/>
    <xdr:pic>
      <xdr:nvPicPr>
        <xdr:cNvPr id="2" name="Imagem 1">
          <a:extLst>
            <a:ext uri="{FF2B5EF4-FFF2-40B4-BE49-F238E27FC236}">
              <a16:creationId xmlns:a16="http://schemas.microsoft.com/office/drawing/2014/main" id="{BD38C6D0-A798-44C6-9410-F8BBB7A55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53255" y="256760"/>
          <a:ext cx="1370911" cy="13072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587580</xdr:colOff>
      <xdr:row>6</xdr:row>
      <xdr:rowOff>99392</xdr:rowOff>
    </xdr:from>
    <xdr:ext cx="1904552" cy="2758254"/>
    <xdr:pic>
      <xdr:nvPicPr>
        <xdr:cNvPr id="3" name="Imagem 2">
          <a:extLst>
            <a:ext uri="{FF2B5EF4-FFF2-40B4-BE49-F238E27FC236}">
              <a16:creationId xmlns:a16="http://schemas.microsoft.com/office/drawing/2014/main" id="{4C4F8930-0013-411D-9957-5060AC1A6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80" y="1242392"/>
          <a:ext cx="1904552" cy="275825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5</xdr:col>
      <xdr:colOff>11209</xdr:colOff>
      <xdr:row>12</xdr:row>
      <xdr:rowOff>75030</xdr:rowOff>
    </xdr:from>
    <xdr:to>
      <xdr:col>7</xdr:col>
      <xdr:colOff>594520</xdr:colOff>
      <xdr:row>20</xdr:row>
      <xdr:rowOff>131060</xdr:rowOff>
    </xdr:to>
    <xdr:grpSp>
      <xdr:nvGrpSpPr>
        <xdr:cNvPr id="32" name="Agrupar 31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E3EDFA7D-977D-4C6D-B7EC-C6CA9E9FDB7D}"/>
            </a:ext>
          </a:extLst>
        </xdr:cNvPr>
        <xdr:cNvGrpSpPr/>
      </xdr:nvGrpSpPr>
      <xdr:grpSpPr>
        <a:xfrm>
          <a:off x="3125470" y="2367656"/>
          <a:ext cx="1829015" cy="1546900"/>
          <a:chOff x="3541060" y="3059206"/>
          <a:chExt cx="1882587" cy="1658471"/>
        </a:xfrm>
      </xdr:grpSpPr>
      <xdr:grpSp>
        <xdr:nvGrpSpPr>
          <xdr:cNvPr id="15" name="Agrupar 14">
            <a:extLst>
              <a:ext uri="{FF2B5EF4-FFF2-40B4-BE49-F238E27FC236}">
                <a16:creationId xmlns:a16="http://schemas.microsoft.com/office/drawing/2014/main" id="{568389E1-0D09-4DCA-89FF-67293C791C2B}"/>
              </a:ext>
            </a:extLst>
          </xdr:cNvPr>
          <xdr:cNvGrpSpPr/>
        </xdr:nvGrpSpPr>
        <xdr:grpSpPr>
          <a:xfrm>
            <a:off x="3664323" y="3171265"/>
            <a:ext cx="1759324" cy="1546412"/>
            <a:chOff x="3664323" y="3171265"/>
            <a:chExt cx="1759324" cy="1546412"/>
          </a:xfrm>
        </xdr:grpSpPr>
        <xdr:sp macro="" textlink="">
          <xdr:nvSpPr>
            <xdr:cNvPr id="10" name="Retângulo: Cantos Arredondados 9">
              <a:extLst>
                <a:ext uri="{FF2B5EF4-FFF2-40B4-BE49-F238E27FC236}">
                  <a16:creationId xmlns:a16="http://schemas.microsoft.com/office/drawing/2014/main" id="{F64B2282-D929-4023-AB73-DBFA1E5710E9}"/>
                </a:ext>
              </a:extLst>
            </xdr:cNvPr>
            <xdr:cNvSpPr/>
          </xdr:nvSpPr>
          <xdr:spPr>
            <a:xfrm>
              <a:off x="3664323" y="3171265"/>
              <a:ext cx="1759324" cy="1546412"/>
            </a:xfrm>
            <a:prstGeom prst="roundRect">
              <a:avLst/>
            </a:prstGeom>
            <a:solidFill>
              <a:schemeClr val="bg1"/>
            </a:solidFill>
            <a:ln>
              <a:solidFill>
                <a:schemeClr val="bg2"/>
              </a:solidFill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wrap="square" rtlCol="0" anchor="t">
              <a:noAutofit/>
            </a:bodyPr>
            <a:lstStyle/>
            <a:p>
              <a:pPr algn="ctr"/>
              <a:r>
                <a:rPr lang="pt-BR" sz="1800" b="1" baseline="0">
                  <a:solidFill>
                    <a:srgbClr val="0070C0"/>
                  </a:solidFill>
                  <a:latin typeface="+mn-lt"/>
                  <a:ea typeface="+mn-ea"/>
                  <a:cs typeface="+mn-cs"/>
                </a:rPr>
                <a:t>COMO CONFIGURAR</a:t>
              </a:r>
            </a:p>
          </xdr:txBody>
        </xdr:sp>
        <xdr:grpSp>
          <xdr:nvGrpSpPr>
            <xdr:cNvPr id="14" name="Agrupar 13">
              <a:extLst>
                <a:ext uri="{FF2B5EF4-FFF2-40B4-BE49-F238E27FC236}">
                  <a16:creationId xmlns:a16="http://schemas.microsoft.com/office/drawing/2014/main" id="{642DD716-24A7-4714-87D3-DE2A7EDA867E}"/>
                </a:ext>
              </a:extLst>
            </xdr:cNvPr>
            <xdr:cNvGrpSpPr/>
          </xdr:nvGrpSpPr>
          <xdr:grpSpPr>
            <a:xfrm>
              <a:off x="4280647" y="4022912"/>
              <a:ext cx="481852" cy="481852"/>
              <a:chOff x="4437530" y="3574676"/>
              <a:chExt cx="795618" cy="795618"/>
            </a:xfrm>
          </xdr:grpSpPr>
          <xdr:sp macro="" textlink="">
            <xdr:nvSpPr>
              <xdr:cNvPr id="13" name="Elipse 12">
                <a:extLst>
                  <a:ext uri="{FF2B5EF4-FFF2-40B4-BE49-F238E27FC236}">
                    <a16:creationId xmlns:a16="http://schemas.microsoft.com/office/drawing/2014/main" id="{4753C281-9B4C-4AFD-9DB5-F3705B0BE821}"/>
                  </a:ext>
                </a:extLst>
              </xdr:cNvPr>
              <xdr:cNvSpPr/>
            </xdr:nvSpPr>
            <xdr:spPr>
              <a:xfrm>
                <a:off x="4437530" y="3574676"/>
                <a:ext cx="795618" cy="795618"/>
              </a:xfrm>
              <a:prstGeom prst="ellipse">
                <a:avLst/>
              </a:prstGeom>
              <a:solidFill>
                <a:schemeClr val="accent4"/>
              </a:solidFill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GB" sz="1050"/>
              </a:p>
            </xdr:txBody>
          </xdr:sp>
          <xdr:sp macro="" textlink="">
            <xdr:nvSpPr>
              <xdr:cNvPr id="12" name="Fluxograma: Extrair 11">
                <a:extLst>
                  <a:ext uri="{FF2B5EF4-FFF2-40B4-BE49-F238E27FC236}">
                    <a16:creationId xmlns:a16="http://schemas.microsoft.com/office/drawing/2014/main" id="{EFAF2792-0C16-4307-BEF1-467632CC5602}"/>
                  </a:ext>
                </a:extLst>
              </xdr:cNvPr>
              <xdr:cNvSpPr/>
            </xdr:nvSpPr>
            <xdr:spPr>
              <a:xfrm rot="5400000">
                <a:off x="4700491" y="3776492"/>
                <a:ext cx="359344" cy="391989"/>
              </a:xfrm>
              <a:prstGeom prst="flowChartExtract">
                <a:avLst/>
              </a:prstGeom>
              <a:solidFill>
                <a:schemeClr val="bg1"/>
              </a:solidFill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GB" sz="1050"/>
              </a:p>
            </xdr:txBody>
          </xdr:sp>
        </xdr:grpSp>
      </xdr:grpSp>
      <xdr:sp macro="" textlink="">
        <xdr:nvSpPr>
          <xdr:cNvPr id="27" name="Elipse 26">
            <a:extLst>
              <a:ext uri="{FF2B5EF4-FFF2-40B4-BE49-F238E27FC236}">
                <a16:creationId xmlns:a16="http://schemas.microsoft.com/office/drawing/2014/main" id="{3C2B4135-D589-44F5-9F0F-74E21083F347}"/>
              </a:ext>
            </a:extLst>
          </xdr:cNvPr>
          <xdr:cNvSpPr/>
        </xdr:nvSpPr>
        <xdr:spPr>
          <a:xfrm>
            <a:off x="3541060" y="3059206"/>
            <a:ext cx="381000" cy="381000"/>
          </a:xfrm>
          <a:prstGeom prst="ellipse">
            <a:avLst/>
          </a:prstGeom>
          <a:solidFill>
            <a:srgbClr val="00A6F0"/>
          </a:solidFill>
          <a:ln w="38100">
            <a:solidFill>
              <a:schemeClr val="bg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GB" sz="1400" b="1"/>
              <a:t>1</a:t>
            </a:r>
          </a:p>
        </xdr:txBody>
      </xdr:sp>
    </xdr:grpSp>
    <xdr:clientData/>
  </xdr:twoCellAnchor>
  <xdr:twoCellAnchor>
    <xdr:from>
      <xdr:col>8</xdr:col>
      <xdr:colOff>408813</xdr:colOff>
      <xdr:row>12</xdr:row>
      <xdr:rowOff>75030</xdr:rowOff>
    </xdr:from>
    <xdr:to>
      <xdr:col>9</xdr:col>
      <xdr:colOff>1543862</xdr:colOff>
      <xdr:row>20</xdr:row>
      <xdr:rowOff>131060</xdr:rowOff>
    </xdr:to>
    <xdr:grpSp>
      <xdr:nvGrpSpPr>
        <xdr:cNvPr id="31" name="Agrupar 30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C89821B4-6BCB-4A93-BB1B-1709752913C3}"/>
            </a:ext>
          </a:extLst>
        </xdr:cNvPr>
        <xdr:cNvGrpSpPr/>
      </xdr:nvGrpSpPr>
      <xdr:grpSpPr>
        <a:xfrm>
          <a:off x="5391630" y="2367656"/>
          <a:ext cx="1757902" cy="1546900"/>
          <a:chOff x="5665696" y="3059206"/>
          <a:chExt cx="1826557" cy="1658471"/>
        </a:xfrm>
      </xdr:grpSpPr>
      <xdr:grpSp>
        <xdr:nvGrpSpPr>
          <xdr:cNvPr id="16" name="Agrupar 15">
            <a:extLst>
              <a:ext uri="{FF2B5EF4-FFF2-40B4-BE49-F238E27FC236}">
                <a16:creationId xmlns:a16="http://schemas.microsoft.com/office/drawing/2014/main" id="{08D1BDEB-F120-4E92-BC87-BBFBD09FBB15}"/>
              </a:ext>
            </a:extLst>
          </xdr:cNvPr>
          <xdr:cNvGrpSpPr/>
        </xdr:nvGrpSpPr>
        <xdr:grpSpPr>
          <a:xfrm>
            <a:off x="5732929" y="3171265"/>
            <a:ext cx="1759324" cy="1546412"/>
            <a:chOff x="3664323" y="3171265"/>
            <a:chExt cx="1759324" cy="1546412"/>
          </a:xfrm>
        </xdr:grpSpPr>
        <xdr:sp macro="" textlink="">
          <xdr:nvSpPr>
            <xdr:cNvPr id="17" name="Retângulo: Cantos Arredondados 16">
              <a:extLst>
                <a:ext uri="{FF2B5EF4-FFF2-40B4-BE49-F238E27FC236}">
                  <a16:creationId xmlns:a16="http://schemas.microsoft.com/office/drawing/2014/main" id="{700140F8-6F1A-48C4-ADEC-F9F7095D39C9}"/>
                </a:ext>
              </a:extLst>
            </xdr:cNvPr>
            <xdr:cNvSpPr/>
          </xdr:nvSpPr>
          <xdr:spPr>
            <a:xfrm>
              <a:off x="3664323" y="3171265"/>
              <a:ext cx="1759324" cy="1546412"/>
            </a:xfrm>
            <a:prstGeom prst="roundRect">
              <a:avLst/>
            </a:prstGeom>
            <a:solidFill>
              <a:schemeClr val="bg1"/>
            </a:solidFill>
            <a:ln>
              <a:solidFill>
                <a:schemeClr val="bg2"/>
              </a:solidFill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wrap="square" rtlCol="0" anchor="t">
              <a:noAutofit/>
            </a:bodyPr>
            <a:lstStyle/>
            <a:p>
              <a:pPr algn="ctr"/>
              <a:r>
                <a:rPr lang="pt-BR" sz="1800" b="1" baseline="0">
                  <a:solidFill>
                    <a:srgbClr val="0070C0"/>
                  </a:solidFill>
                  <a:latin typeface="+mn-lt"/>
                  <a:ea typeface="+mn-ea"/>
                  <a:cs typeface="+mn-cs"/>
                </a:rPr>
                <a:t>COMO PREENCHER</a:t>
              </a:r>
            </a:p>
          </xdr:txBody>
        </xdr:sp>
        <xdr:grpSp>
          <xdr:nvGrpSpPr>
            <xdr:cNvPr id="18" name="Agrupar 17">
              <a:extLst>
                <a:ext uri="{FF2B5EF4-FFF2-40B4-BE49-F238E27FC236}">
                  <a16:creationId xmlns:a16="http://schemas.microsoft.com/office/drawing/2014/main" id="{A8850CEF-1ED9-42E8-8850-460E845CECDB}"/>
                </a:ext>
              </a:extLst>
            </xdr:cNvPr>
            <xdr:cNvGrpSpPr/>
          </xdr:nvGrpSpPr>
          <xdr:grpSpPr>
            <a:xfrm>
              <a:off x="4280647" y="4022912"/>
              <a:ext cx="481852" cy="481852"/>
              <a:chOff x="4437530" y="3574676"/>
              <a:chExt cx="795618" cy="795618"/>
            </a:xfrm>
          </xdr:grpSpPr>
          <xdr:sp macro="" textlink="">
            <xdr:nvSpPr>
              <xdr:cNvPr id="19" name="Elipse 18">
                <a:extLst>
                  <a:ext uri="{FF2B5EF4-FFF2-40B4-BE49-F238E27FC236}">
                    <a16:creationId xmlns:a16="http://schemas.microsoft.com/office/drawing/2014/main" id="{4D540863-0F45-4634-BD2D-2812F22C9B45}"/>
                  </a:ext>
                </a:extLst>
              </xdr:cNvPr>
              <xdr:cNvSpPr/>
            </xdr:nvSpPr>
            <xdr:spPr>
              <a:xfrm>
                <a:off x="4437530" y="3574676"/>
                <a:ext cx="795618" cy="795618"/>
              </a:xfrm>
              <a:prstGeom prst="ellipse">
                <a:avLst/>
              </a:prstGeom>
              <a:solidFill>
                <a:schemeClr val="accent4"/>
              </a:solidFill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GB" sz="1050"/>
              </a:p>
            </xdr:txBody>
          </xdr:sp>
          <xdr:sp macro="" textlink="">
            <xdr:nvSpPr>
              <xdr:cNvPr id="20" name="Fluxograma: Extrair 19">
                <a:extLst>
                  <a:ext uri="{FF2B5EF4-FFF2-40B4-BE49-F238E27FC236}">
                    <a16:creationId xmlns:a16="http://schemas.microsoft.com/office/drawing/2014/main" id="{8C4C088A-7065-484A-845B-9FA12B9D63B2}"/>
                  </a:ext>
                </a:extLst>
              </xdr:cNvPr>
              <xdr:cNvSpPr/>
            </xdr:nvSpPr>
            <xdr:spPr>
              <a:xfrm rot="5400000">
                <a:off x="4700491" y="3776492"/>
                <a:ext cx="359344" cy="391989"/>
              </a:xfrm>
              <a:prstGeom prst="flowChartExtract">
                <a:avLst/>
              </a:prstGeom>
              <a:solidFill>
                <a:schemeClr val="bg1"/>
              </a:solidFill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GB" sz="1050"/>
              </a:p>
            </xdr:txBody>
          </xdr:sp>
        </xdr:grpSp>
      </xdr:grpSp>
      <xdr:sp macro="" textlink="">
        <xdr:nvSpPr>
          <xdr:cNvPr id="28" name="Elipse 27">
            <a:extLst>
              <a:ext uri="{FF2B5EF4-FFF2-40B4-BE49-F238E27FC236}">
                <a16:creationId xmlns:a16="http://schemas.microsoft.com/office/drawing/2014/main" id="{DDDED592-C015-4596-844F-2FDB58B66C50}"/>
              </a:ext>
            </a:extLst>
          </xdr:cNvPr>
          <xdr:cNvSpPr/>
        </xdr:nvSpPr>
        <xdr:spPr>
          <a:xfrm>
            <a:off x="5665696" y="3059206"/>
            <a:ext cx="381000" cy="381000"/>
          </a:xfrm>
          <a:prstGeom prst="ellipse">
            <a:avLst/>
          </a:prstGeom>
          <a:solidFill>
            <a:srgbClr val="00A6F0"/>
          </a:solidFill>
          <a:ln w="38100">
            <a:solidFill>
              <a:schemeClr val="bg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GB" sz="1400" b="1"/>
              <a:t>2</a:t>
            </a:r>
          </a:p>
        </xdr:txBody>
      </xdr:sp>
    </xdr:grpSp>
    <xdr:clientData/>
  </xdr:twoCellAnchor>
  <xdr:twoCellAnchor>
    <xdr:from>
      <xdr:col>9</xdr:col>
      <xdr:colOff>1963274</xdr:colOff>
      <xdr:row>12</xdr:row>
      <xdr:rowOff>75030</xdr:rowOff>
    </xdr:from>
    <xdr:to>
      <xdr:col>11</xdr:col>
      <xdr:colOff>553526</xdr:colOff>
      <xdr:row>20</xdr:row>
      <xdr:rowOff>131060</xdr:rowOff>
    </xdr:to>
    <xdr:grpSp>
      <xdr:nvGrpSpPr>
        <xdr:cNvPr id="30" name="Agrupar 29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A663917F-F814-4016-B8CC-BE7847F577CF}"/>
            </a:ext>
          </a:extLst>
        </xdr:cNvPr>
        <xdr:cNvGrpSpPr/>
      </xdr:nvGrpSpPr>
      <xdr:grpSpPr>
        <a:xfrm>
          <a:off x="7568944" y="2367656"/>
          <a:ext cx="1850286" cy="1546900"/>
          <a:chOff x="7779126" y="3059206"/>
          <a:chExt cx="1848968" cy="1658471"/>
        </a:xfrm>
      </xdr:grpSpPr>
      <xdr:grpSp>
        <xdr:nvGrpSpPr>
          <xdr:cNvPr id="21" name="Agrupar 20">
            <a:extLst>
              <a:ext uri="{FF2B5EF4-FFF2-40B4-BE49-F238E27FC236}">
                <a16:creationId xmlns:a16="http://schemas.microsoft.com/office/drawing/2014/main" id="{83DF65CA-F5DE-43AE-A0A2-D253DB2D0249}"/>
              </a:ext>
            </a:extLst>
          </xdr:cNvPr>
          <xdr:cNvGrpSpPr/>
        </xdr:nvGrpSpPr>
        <xdr:grpSpPr>
          <a:xfrm>
            <a:off x="7868770" y="3171265"/>
            <a:ext cx="1759324" cy="1546412"/>
            <a:chOff x="3664323" y="3171265"/>
            <a:chExt cx="1759324" cy="1546412"/>
          </a:xfrm>
        </xdr:grpSpPr>
        <xdr:sp macro="" textlink="">
          <xdr:nvSpPr>
            <xdr:cNvPr id="22" name="Retângulo: Cantos Arredondados 21">
              <a:extLst>
                <a:ext uri="{FF2B5EF4-FFF2-40B4-BE49-F238E27FC236}">
                  <a16:creationId xmlns:a16="http://schemas.microsoft.com/office/drawing/2014/main" id="{FE55B892-7D38-46AF-A692-666DF6EE5D5F}"/>
                </a:ext>
              </a:extLst>
            </xdr:cNvPr>
            <xdr:cNvSpPr/>
          </xdr:nvSpPr>
          <xdr:spPr>
            <a:xfrm>
              <a:off x="3664323" y="3171265"/>
              <a:ext cx="1759324" cy="1546412"/>
            </a:xfrm>
            <a:prstGeom prst="roundRect">
              <a:avLst/>
            </a:prstGeom>
            <a:solidFill>
              <a:schemeClr val="bg1"/>
            </a:solidFill>
            <a:ln>
              <a:solidFill>
                <a:schemeClr val="bg2"/>
              </a:solidFill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wrap="square" rtlCol="0" anchor="t">
              <a:noAutofit/>
            </a:bodyPr>
            <a:lstStyle/>
            <a:p>
              <a:pPr algn="ctr"/>
              <a:r>
                <a:rPr lang="pt-BR" sz="1800" b="1" baseline="0">
                  <a:solidFill>
                    <a:srgbClr val="0070C0"/>
                  </a:solidFill>
                  <a:latin typeface="+mn-lt"/>
                  <a:ea typeface="+mn-ea"/>
                  <a:cs typeface="+mn-cs"/>
                </a:rPr>
                <a:t>COMO ANALISAR</a:t>
              </a:r>
            </a:p>
          </xdr:txBody>
        </xdr:sp>
        <xdr:grpSp>
          <xdr:nvGrpSpPr>
            <xdr:cNvPr id="23" name="Agrupar 22">
              <a:extLst>
                <a:ext uri="{FF2B5EF4-FFF2-40B4-BE49-F238E27FC236}">
                  <a16:creationId xmlns:a16="http://schemas.microsoft.com/office/drawing/2014/main" id="{890C54F1-F410-4E18-8BED-F476091F981C}"/>
                </a:ext>
              </a:extLst>
            </xdr:cNvPr>
            <xdr:cNvGrpSpPr/>
          </xdr:nvGrpSpPr>
          <xdr:grpSpPr>
            <a:xfrm>
              <a:off x="4280647" y="4022912"/>
              <a:ext cx="481852" cy="481852"/>
              <a:chOff x="4437530" y="3574676"/>
              <a:chExt cx="795618" cy="795618"/>
            </a:xfrm>
          </xdr:grpSpPr>
          <xdr:sp macro="" textlink="">
            <xdr:nvSpPr>
              <xdr:cNvPr id="24" name="Elipse 23">
                <a:extLst>
                  <a:ext uri="{FF2B5EF4-FFF2-40B4-BE49-F238E27FC236}">
                    <a16:creationId xmlns:a16="http://schemas.microsoft.com/office/drawing/2014/main" id="{09F48036-8041-4C0C-941A-F9B96C6C1918}"/>
                  </a:ext>
                </a:extLst>
              </xdr:cNvPr>
              <xdr:cNvSpPr/>
            </xdr:nvSpPr>
            <xdr:spPr>
              <a:xfrm>
                <a:off x="4437530" y="3574676"/>
                <a:ext cx="795618" cy="795618"/>
              </a:xfrm>
              <a:prstGeom prst="ellipse">
                <a:avLst/>
              </a:prstGeom>
              <a:solidFill>
                <a:schemeClr val="accent4"/>
              </a:solidFill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GB" sz="1050"/>
              </a:p>
            </xdr:txBody>
          </xdr:sp>
          <xdr:sp macro="" textlink="">
            <xdr:nvSpPr>
              <xdr:cNvPr id="25" name="Fluxograma: Extrair 24">
                <a:extLst>
                  <a:ext uri="{FF2B5EF4-FFF2-40B4-BE49-F238E27FC236}">
                    <a16:creationId xmlns:a16="http://schemas.microsoft.com/office/drawing/2014/main" id="{6DC6C458-AEBF-4A90-B67D-5FE7BB31F30F}"/>
                  </a:ext>
                </a:extLst>
              </xdr:cNvPr>
              <xdr:cNvSpPr/>
            </xdr:nvSpPr>
            <xdr:spPr>
              <a:xfrm rot="5400000">
                <a:off x="4700491" y="3776492"/>
                <a:ext cx="359344" cy="391989"/>
              </a:xfrm>
              <a:prstGeom prst="flowChartExtract">
                <a:avLst/>
              </a:prstGeom>
              <a:solidFill>
                <a:schemeClr val="bg1"/>
              </a:solidFill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GB" sz="1050"/>
              </a:p>
            </xdr:txBody>
          </xdr:sp>
        </xdr:grpSp>
      </xdr:grpSp>
      <xdr:sp macro="" textlink="">
        <xdr:nvSpPr>
          <xdr:cNvPr id="29" name="Elipse 28">
            <a:extLst>
              <a:ext uri="{FF2B5EF4-FFF2-40B4-BE49-F238E27FC236}">
                <a16:creationId xmlns:a16="http://schemas.microsoft.com/office/drawing/2014/main" id="{7B29CBD4-B475-47C0-8490-9F9A02D11760}"/>
              </a:ext>
            </a:extLst>
          </xdr:cNvPr>
          <xdr:cNvSpPr/>
        </xdr:nvSpPr>
        <xdr:spPr>
          <a:xfrm>
            <a:off x="7779126" y="3059206"/>
            <a:ext cx="381000" cy="381000"/>
          </a:xfrm>
          <a:prstGeom prst="ellipse">
            <a:avLst/>
          </a:prstGeom>
          <a:solidFill>
            <a:srgbClr val="00A6F0"/>
          </a:solidFill>
          <a:ln w="38100">
            <a:solidFill>
              <a:schemeClr val="bg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GB" sz="1400" b="1"/>
              <a:t>3</a:t>
            </a:r>
          </a:p>
        </xdr:txBody>
      </xdr:sp>
    </xdr:grpSp>
    <xdr:clientData/>
  </xdr:twoCellAnchor>
  <xdr:twoCellAnchor editAs="oneCell">
    <xdr:from>
      <xdr:col>1</xdr:col>
      <xdr:colOff>190501</xdr:colOff>
      <xdr:row>2</xdr:row>
      <xdr:rowOff>58466</xdr:rowOff>
    </xdr:from>
    <xdr:to>
      <xdr:col>3</xdr:col>
      <xdr:colOff>448236</xdr:colOff>
      <xdr:row>5</xdr:row>
      <xdr:rowOff>32185</xdr:rowOff>
    </xdr:to>
    <xdr:pic>
      <xdr:nvPicPr>
        <xdr:cNvPr id="36" name="Imagem 35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FE893E92-B3C7-4398-B9C6-7B06A4B0BA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3414" y="439466"/>
          <a:ext cx="1483561" cy="54521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924789</xdr:colOff>
      <xdr:row>15</xdr:row>
      <xdr:rowOff>131048</xdr:rowOff>
    </xdr:from>
    <xdr:to>
      <xdr:col>8</xdr:col>
      <xdr:colOff>236072</xdr:colOff>
      <xdr:row>18</xdr:row>
      <xdr:rowOff>185281</xdr:rowOff>
    </xdr:to>
    <xdr:pic>
      <xdr:nvPicPr>
        <xdr:cNvPr id="10" name="Gráfico 9" descr="Seta de linha: curva no sentido horário">
          <a:extLst>
            <a:ext uri="{FF2B5EF4-FFF2-40B4-BE49-F238E27FC236}">
              <a16:creationId xmlns:a16="http://schemas.microsoft.com/office/drawing/2014/main" id="{0669C77F-EADD-4867-90B9-06A692C2A4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 rot="3097839" flipH="1">
          <a:off x="4620489" y="3369548"/>
          <a:ext cx="797183" cy="797183"/>
        </a:xfrm>
        <a:prstGeom prst="rect">
          <a:avLst/>
        </a:prstGeom>
      </xdr:spPr>
    </xdr:pic>
    <xdr:clientData/>
  </xdr:twoCellAnchor>
  <xdr:oneCellAnchor>
    <xdr:from>
      <xdr:col>9</xdr:col>
      <xdr:colOff>368675</xdr:colOff>
      <xdr:row>0</xdr:row>
      <xdr:rowOff>0</xdr:rowOff>
    </xdr:from>
    <xdr:ext cx="2945466" cy="1567185"/>
    <xdr:pic>
      <xdr:nvPicPr>
        <xdr:cNvPr id="2" name="Imagem 1">
          <a:extLst>
            <a:ext uri="{FF2B5EF4-FFF2-40B4-BE49-F238E27FC236}">
              <a16:creationId xmlns:a16="http://schemas.microsoft.com/office/drawing/2014/main" id="{EE1C2CC7-E6EA-4B56-BC83-1317001FC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21825" y="0"/>
          <a:ext cx="2945466" cy="15671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</xdr:colOff>
      <xdr:row>9</xdr:row>
      <xdr:rowOff>19783</xdr:rowOff>
    </xdr:from>
    <xdr:ext cx="5681381" cy="69864"/>
    <xdr:pic>
      <xdr:nvPicPr>
        <xdr:cNvPr id="3" name="Imagem 2">
          <a:extLst>
            <a:ext uri="{FF2B5EF4-FFF2-40B4-BE49-F238E27FC236}">
              <a16:creationId xmlns:a16="http://schemas.microsoft.com/office/drawing/2014/main" id="{ACEE7043-F80D-47D6-B40F-8A31260B1B9E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" y="1734283"/>
          <a:ext cx="5681381" cy="69864"/>
        </a:xfrm>
        <a:prstGeom prst="rect">
          <a:avLst/>
        </a:prstGeom>
      </xdr:spPr>
    </xdr:pic>
    <xdr:clientData/>
  </xdr:oneCellAnchor>
  <xdr:oneCellAnchor>
    <xdr:from>
      <xdr:col>2</xdr:col>
      <xdr:colOff>249045</xdr:colOff>
      <xdr:row>0</xdr:row>
      <xdr:rowOff>0</xdr:rowOff>
    </xdr:from>
    <xdr:ext cx="1806008" cy="2017059"/>
    <xdr:pic>
      <xdr:nvPicPr>
        <xdr:cNvPr id="4" name="Imagem 3">
          <a:extLst>
            <a:ext uri="{FF2B5EF4-FFF2-40B4-BE49-F238E27FC236}">
              <a16:creationId xmlns:a16="http://schemas.microsoft.com/office/drawing/2014/main" id="{B6B2EF68-F97B-4D7F-818E-C0D0C052BB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049145" y="0"/>
          <a:ext cx="1806008" cy="2017059"/>
        </a:xfrm>
        <a:prstGeom prst="rect">
          <a:avLst/>
        </a:prstGeom>
      </xdr:spPr>
    </xdr:pic>
    <xdr:clientData/>
  </xdr:oneCellAnchor>
  <xdr:twoCellAnchor editAs="oneCell">
    <xdr:from>
      <xdr:col>13</xdr:col>
      <xdr:colOff>38100</xdr:colOff>
      <xdr:row>4</xdr:row>
      <xdr:rowOff>95250</xdr:rowOff>
    </xdr:from>
    <xdr:to>
      <xdr:col>15</xdr:col>
      <xdr:colOff>769186</xdr:colOff>
      <xdr:row>7</xdr:row>
      <xdr:rowOff>68969</xdr:rowOff>
    </xdr:to>
    <xdr:pic>
      <xdr:nvPicPr>
        <xdr:cNvPr id="5" name="Imagem 4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B033E5A6-991D-4851-A2B5-37DCCD8DA5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24975" y="857250"/>
          <a:ext cx="1483561" cy="545219"/>
        </a:xfrm>
        <a:prstGeom prst="rect">
          <a:avLst/>
        </a:prstGeom>
      </xdr:spPr>
    </xdr:pic>
    <xdr:clientData/>
  </xdr:twoCellAnchor>
  <xdr:twoCellAnchor>
    <xdr:from>
      <xdr:col>0</xdr:col>
      <xdr:colOff>561975</xdr:colOff>
      <xdr:row>18</xdr:row>
      <xdr:rowOff>95250</xdr:rowOff>
    </xdr:from>
    <xdr:to>
      <xdr:col>7</xdr:col>
      <xdr:colOff>38100</xdr:colOff>
      <xdr:row>20</xdr:row>
      <xdr:rowOff>85725</xdr:rowOff>
    </xdr:to>
    <xdr:sp macro="" textlink="">
      <xdr:nvSpPr>
        <xdr:cNvPr id="6" name="Retângulo: Cantos Arredondados 5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C28D180F-A15F-4A8D-8E51-3BB33D09FFA2}"/>
            </a:ext>
          </a:extLst>
        </xdr:cNvPr>
        <xdr:cNvSpPr/>
      </xdr:nvSpPr>
      <xdr:spPr>
        <a:xfrm>
          <a:off x="561975" y="4076700"/>
          <a:ext cx="4400550" cy="533400"/>
        </a:xfrm>
        <a:prstGeom prst="roundRect">
          <a:avLst>
            <a:gd name="adj" fmla="val 45606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96000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100" b="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Conheça o </a:t>
          </a:r>
          <a:r>
            <a:rPr lang="pt-BR" sz="11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Método do Pote</a:t>
          </a:r>
          <a:r>
            <a:rPr lang="pt-BR" sz="1100" b="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no Blog da Neon. </a:t>
          </a:r>
          <a:r>
            <a:rPr lang="pt-BR" sz="1100" b="1" u="sng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Leia aqui</a:t>
          </a:r>
          <a:r>
            <a:rPr lang="pt-BR" sz="1100" b="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.</a:t>
          </a:r>
          <a:endParaRPr lang="pt-BR">
            <a:effectLst/>
          </a:endParaRPr>
        </a:p>
        <a:p>
          <a:pPr algn="l"/>
          <a:endParaRPr lang="pt-BR" sz="1100"/>
        </a:p>
      </xdr:txBody>
    </xdr:sp>
    <xdr:clientData/>
  </xdr:twoCellAnchor>
  <xdr:twoCellAnchor>
    <xdr:from>
      <xdr:col>1</xdr:col>
      <xdr:colOff>93133</xdr:colOff>
      <xdr:row>18</xdr:row>
      <xdr:rowOff>206900</xdr:rowOff>
    </xdr:from>
    <xdr:to>
      <xdr:col>2</xdr:col>
      <xdr:colOff>155236</xdr:colOff>
      <xdr:row>19</xdr:row>
      <xdr:rowOff>138966</xdr:rowOff>
    </xdr:to>
    <xdr:pic>
      <xdr:nvPicPr>
        <xdr:cNvPr id="7" name="Gráfico 6" descr="Ajudar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CEB1A16E-BBEB-4D05-BE76-50C6DE05DC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0"/>
            </a:ext>
          </a:extLst>
        </a:blip>
        <a:stretch>
          <a:fillRect/>
        </a:stretch>
      </xdr:blipFill>
      <xdr:spPr>
        <a:xfrm>
          <a:off x="674158" y="4188350"/>
          <a:ext cx="281178" cy="274966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  <xdr:twoCellAnchor editAs="oneCell">
    <xdr:from>
      <xdr:col>0</xdr:col>
      <xdr:colOff>320059</xdr:colOff>
      <xdr:row>16</xdr:row>
      <xdr:rowOff>167126</xdr:rowOff>
    </xdr:from>
    <xdr:to>
      <xdr:col>2</xdr:col>
      <xdr:colOff>163398</xdr:colOff>
      <xdr:row>18</xdr:row>
      <xdr:rowOff>267640</xdr:rowOff>
    </xdr:to>
    <xdr:pic>
      <xdr:nvPicPr>
        <xdr:cNvPr id="9" name="Gráfico 8" descr="Seta de linha: curva no sentido horário">
          <a:extLst>
            <a:ext uri="{FF2B5EF4-FFF2-40B4-BE49-F238E27FC236}">
              <a16:creationId xmlns:a16="http://schemas.microsoft.com/office/drawing/2014/main" id="{E9A7B4A6-F40C-420F-B746-B2D51BAFC1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 rot="20632089" flipV="1">
          <a:off x="320059" y="3605651"/>
          <a:ext cx="643439" cy="64343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422818</xdr:colOff>
      <xdr:row>2</xdr:row>
      <xdr:rowOff>123739</xdr:rowOff>
    </xdr:from>
    <xdr:to>
      <xdr:col>10</xdr:col>
      <xdr:colOff>995288</xdr:colOff>
      <xdr:row>3</xdr:row>
      <xdr:rowOff>190027</xdr:rowOff>
    </xdr:to>
    <xdr:grpSp>
      <xdr:nvGrpSpPr>
        <xdr:cNvPr id="4" name="Agrupar 3">
          <a:extLst>
            <a:ext uri="{FF2B5EF4-FFF2-40B4-BE49-F238E27FC236}">
              <a16:creationId xmlns:a16="http://schemas.microsoft.com/office/drawing/2014/main" id="{D44723C8-D8B3-49E7-9FD7-05B29C872886}"/>
            </a:ext>
          </a:extLst>
        </xdr:cNvPr>
        <xdr:cNvGrpSpPr/>
      </xdr:nvGrpSpPr>
      <xdr:grpSpPr>
        <a:xfrm>
          <a:off x="3089818" y="547072"/>
          <a:ext cx="8946003" cy="303355"/>
          <a:chOff x="2257987" y="309723"/>
          <a:chExt cx="9032905" cy="344259"/>
        </a:xfrm>
        <a:solidFill>
          <a:sysClr val="window" lastClr="FFFFFF"/>
        </a:solidFill>
        <a:effectLst>
          <a:outerShdw blurRad="50800" dist="38100" dir="2700000" algn="tl" rotWithShape="0">
            <a:schemeClr val="accent1">
              <a:alpha val="40000"/>
            </a:schemeClr>
          </a:outerShdw>
        </a:effectLst>
      </xdr:grpSpPr>
      <xdr:sp macro="" textlink="">
        <xdr:nvSpPr>
          <xdr:cNvPr id="5" name="Forma Livre: Forma 4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E1CC0E2C-FCC8-495E-A6EB-B5087C290FB0}"/>
              </a:ext>
            </a:extLst>
          </xdr:cNvPr>
          <xdr:cNvSpPr/>
        </xdr:nvSpPr>
        <xdr:spPr>
          <a:xfrm>
            <a:off x="2257987" y="309723"/>
            <a:ext cx="860648" cy="344259"/>
          </a:xfrm>
          <a:custGeom>
            <a:avLst/>
            <a:gdLst>
              <a:gd name="connsiteX0" fmla="*/ 0 w 860648"/>
              <a:gd name="connsiteY0" fmla="*/ 0 h 344259"/>
              <a:gd name="connsiteX1" fmla="*/ 688519 w 860648"/>
              <a:gd name="connsiteY1" fmla="*/ 0 h 344259"/>
              <a:gd name="connsiteX2" fmla="*/ 860648 w 860648"/>
              <a:gd name="connsiteY2" fmla="*/ 172130 h 344259"/>
              <a:gd name="connsiteX3" fmla="*/ 688519 w 860648"/>
              <a:gd name="connsiteY3" fmla="*/ 344259 h 344259"/>
              <a:gd name="connsiteX4" fmla="*/ 0 w 860648"/>
              <a:gd name="connsiteY4" fmla="*/ 344259 h 344259"/>
              <a:gd name="connsiteX5" fmla="*/ 0 w 860648"/>
              <a:gd name="connsiteY5" fmla="*/ 0 h 3442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</a:cxnLst>
            <a:rect l="l" t="t" r="r" b="b"/>
            <a:pathLst>
              <a:path w="860648" h="344259">
                <a:moveTo>
                  <a:pt x="0" y="0"/>
                </a:moveTo>
                <a:lnTo>
                  <a:pt x="688519" y="0"/>
                </a:lnTo>
                <a:lnTo>
                  <a:pt x="860648" y="172130"/>
                </a:lnTo>
                <a:lnTo>
                  <a:pt x="688519" y="344259"/>
                </a:lnTo>
                <a:lnTo>
                  <a:pt x="0" y="344259"/>
                </a:lnTo>
                <a:lnTo>
                  <a:pt x="0" y="0"/>
                </a:lnTo>
                <a:close/>
              </a:path>
            </a:pathLst>
          </a:custGeom>
          <a:grpFill/>
          <a:ln>
            <a:noFill/>
          </a:ln>
        </xdr:spPr>
        <xdr:style>
          <a:lnRef idx="2">
            <a:scrgbClr r="0" g="0" b="0"/>
          </a:lnRef>
          <a:fillRef idx="1">
            <a:schemeClr val="accent1">
              <a:hueOff val="0"/>
              <a:satOff val="0"/>
              <a:lumOff val="0"/>
              <a:alphaOff val="0"/>
            </a:schemeClr>
          </a:fillRef>
          <a:effectRef idx="0">
            <a:schemeClr val="accent1">
              <a:hueOff val="0"/>
              <a:satOff val="0"/>
              <a:lumOff val="0"/>
              <a:alphaOff val="0"/>
            </a:schemeClr>
          </a:effectRef>
          <a:fontRef idx="minor">
            <a:schemeClr val="lt1"/>
          </a:fontRef>
        </xdr:style>
        <xdr:txBody>
          <a:bodyPr spcFirstLastPara="0" vert="horz" wrap="square" lIns="85344" tIns="42672" rIns="107401" bIns="42672" numCol="1" spcCol="1270" anchor="ctr" anchorCtr="0">
            <a:noAutofit/>
          </a:bodyPr>
          <a:lstStyle/>
          <a:p>
            <a:pPr marL="0" lvl="0" indent="0" algn="ctr" defTabSz="71120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  <a:buNone/>
            </a:pPr>
            <a:r>
              <a:rPr lang="en-GB" sz="1400" kern="1200">
                <a:solidFill>
                  <a:srgbClr val="00B0F0"/>
                </a:solidFill>
              </a:rPr>
              <a:t>JAN</a:t>
            </a:r>
          </a:p>
        </xdr:txBody>
      </xdr:sp>
      <xdr:sp macro="" textlink="">
        <xdr:nvSpPr>
          <xdr:cNvPr id="6" name="Forma Livre: Forma 5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BF696951-5385-4A9C-8462-48FC5B80AB68}"/>
              </a:ext>
            </a:extLst>
          </xdr:cNvPr>
          <xdr:cNvSpPr/>
        </xdr:nvSpPr>
        <xdr:spPr>
          <a:xfrm>
            <a:off x="3000919" y="309723"/>
            <a:ext cx="860648" cy="344259"/>
          </a:xfrm>
          <a:custGeom>
            <a:avLst/>
            <a:gdLst>
              <a:gd name="connsiteX0" fmla="*/ 0 w 860648"/>
              <a:gd name="connsiteY0" fmla="*/ 0 h 344259"/>
              <a:gd name="connsiteX1" fmla="*/ 688519 w 860648"/>
              <a:gd name="connsiteY1" fmla="*/ 0 h 344259"/>
              <a:gd name="connsiteX2" fmla="*/ 860648 w 860648"/>
              <a:gd name="connsiteY2" fmla="*/ 172130 h 344259"/>
              <a:gd name="connsiteX3" fmla="*/ 688519 w 860648"/>
              <a:gd name="connsiteY3" fmla="*/ 344259 h 344259"/>
              <a:gd name="connsiteX4" fmla="*/ 0 w 860648"/>
              <a:gd name="connsiteY4" fmla="*/ 344259 h 344259"/>
              <a:gd name="connsiteX5" fmla="*/ 172130 w 860648"/>
              <a:gd name="connsiteY5" fmla="*/ 172130 h 344259"/>
              <a:gd name="connsiteX6" fmla="*/ 0 w 860648"/>
              <a:gd name="connsiteY6" fmla="*/ 0 h 3442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860648" h="344259">
                <a:moveTo>
                  <a:pt x="0" y="0"/>
                </a:moveTo>
                <a:lnTo>
                  <a:pt x="688519" y="0"/>
                </a:lnTo>
                <a:lnTo>
                  <a:pt x="860648" y="172130"/>
                </a:lnTo>
                <a:lnTo>
                  <a:pt x="688519" y="344259"/>
                </a:lnTo>
                <a:lnTo>
                  <a:pt x="0" y="344259"/>
                </a:lnTo>
                <a:lnTo>
                  <a:pt x="172130" y="172130"/>
                </a:lnTo>
                <a:lnTo>
                  <a:pt x="0" y="0"/>
                </a:lnTo>
                <a:close/>
              </a:path>
            </a:pathLst>
          </a:custGeom>
          <a:grpFill/>
          <a:ln>
            <a:noFill/>
          </a:ln>
        </xdr:spPr>
        <xdr:style>
          <a:lnRef idx="2">
            <a:scrgbClr r="0" g="0" b="0"/>
          </a:lnRef>
          <a:fillRef idx="1">
            <a:schemeClr val="accent1">
              <a:hueOff val="0"/>
              <a:satOff val="0"/>
              <a:lumOff val="0"/>
              <a:alphaOff val="0"/>
            </a:schemeClr>
          </a:fillRef>
          <a:effectRef idx="0">
            <a:schemeClr val="accent1">
              <a:hueOff val="0"/>
              <a:satOff val="0"/>
              <a:lumOff val="0"/>
              <a:alphaOff val="0"/>
            </a:schemeClr>
          </a:effectRef>
          <a:fontRef idx="minor">
            <a:schemeClr val="lt1"/>
          </a:fontRef>
        </xdr:style>
        <xdr:txBody>
          <a:bodyPr spcFirstLastPara="0" vert="horz" wrap="square" lIns="236138" tIns="42672" rIns="193465" bIns="42672" numCol="1" spcCol="1270" anchor="ctr" anchorCtr="0">
            <a:noAutofit/>
          </a:bodyPr>
          <a:lstStyle/>
          <a:p>
            <a:pPr marL="0" lvl="0" indent="0" algn="ctr" defTabSz="71120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  <a:buNone/>
            </a:pPr>
            <a:r>
              <a:rPr lang="en-GB" sz="1400" kern="1200">
                <a:solidFill>
                  <a:srgbClr val="00B0F0"/>
                </a:solidFill>
              </a:rPr>
              <a:t>FEV</a:t>
            </a:r>
          </a:p>
        </xdr:txBody>
      </xdr:sp>
      <xdr:sp macro="" textlink="">
        <xdr:nvSpPr>
          <xdr:cNvPr id="7" name="Forma Livre: Forma 6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FE51D5C1-FD4A-49E5-9174-3DED22880311}"/>
              </a:ext>
            </a:extLst>
          </xdr:cNvPr>
          <xdr:cNvSpPr/>
        </xdr:nvSpPr>
        <xdr:spPr>
          <a:xfrm>
            <a:off x="3743851" y="309723"/>
            <a:ext cx="860648" cy="344259"/>
          </a:xfrm>
          <a:custGeom>
            <a:avLst/>
            <a:gdLst>
              <a:gd name="connsiteX0" fmla="*/ 0 w 860648"/>
              <a:gd name="connsiteY0" fmla="*/ 0 h 344259"/>
              <a:gd name="connsiteX1" fmla="*/ 688519 w 860648"/>
              <a:gd name="connsiteY1" fmla="*/ 0 h 344259"/>
              <a:gd name="connsiteX2" fmla="*/ 860648 w 860648"/>
              <a:gd name="connsiteY2" fmla="*/ 172130 h 344259"/>
              <a:gd name="connsiteX3" fmla="*/ 688519 w 860648"/>
              <a:gd name="connsiteY3" fmla="*/ 344259 h 344259"/>
              <a:gd name="connsiteX4" fmla="*/ 0 w 860648"/>
              <a:gd name="connsiteY4" fmla="*/ 344259 h 344259"/>
              <a:gd name="connsiteX5" fmla="*/ 172130 w 860648"/>
              <a:gd name="connsiteY5" fmla="*/ 172130 h 344259"/>
              <a:gd name="connsiteX6" fmla="*/ 0 w 860648"/>
              <a:gd name="connsiteY6" fmla="*/ 0 h 3442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860648" h="344259">
                <a:moveTo>
                  <a:pt x="0" y="0"/>
                </a:moveTo>
                <a:lnTo>
                  <a:pt x="688519" y="0"/>
                </a:lnTo>
                <a:lnTo>
                  <a:pt x="860648" y="172130"/>
                </a:lnTo>
                <a:lnTo>
                  <a:pt x="688519" y="344259"/>
                </a:lnTo>
                <a:lnTo>
                  <a:pt x="0" y="344259"/>
                </a:lnTo>
                <a:lnTo>
                  <a:pt x="172130" y="172130"/>
                </a:lnTo>
                <a:lnTo>
                  <a:pt x="0" y="0"/>
                </a:lnTo>
                <a:close/>
              </a:path>
            </a:pathLst>
          </a:custGeom>
          <a:grpFill/>
          <a:ln>
            <a:noFill/>
          </a:ln>
        </xdr:spPr>
        <xdr:style>
          <a:lnRef idx="2">
            <a:scrgbClr r="0" g="0" b="0"/>
          </a:lnRef>
          <a:fillRef idx="1">
            <a:schemeClr val="accent1">
              <a:hueOff val="0"/>
              <a:satOff val="0"/>
              <a:lumOff val="0"/>
              <a:alphaOff val="0"/>
            </a:schemeClr>
          </a:fillRef>
          <a:effectRef idx="0">
            <a:schemeClr val="accent1">
              <a:hueOff val="0"/>
              <a:satOff val="0"/>
              <a:lumOff val="0"/>
              <a:alphaOff val="0"/>
            </a:schemeClr>
          </a:effectRef>
          <a:fontRef idx="minor">
            <a:schemeClr val="lt1"/>
          </a:fontRef>
        </xdr:style>
        <xdr:txBody>
          <a:bodyPr spcFirstLastPara="0" vert="horz" wrap="square" lIns="236138" tIns="42672" rIns="193465" bIns="42672" numCol="1" spcCol="1270" anchor="ctr" anchorCtr="0">
            <a:noAutofit/>
          </a:bodyPr>
          <a:lstStyle/>
          <a:p>
            <a:pPr marL="0" lvl="0" indent="0" algn="ctr" defTabSz="71120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  <a:buNone/>
            </a:pPr>
            <a:r>
              <a:rPr lang="en-GB" sz="1400" kern="1200">
                <a:solidFill>
                  <a:srgbClr val="00B0F0"/>
                </a:solidFill>
              </a:rPr>
              <a:t>MAR</a:t>
            </a:r>
          </a:p>
        </xdr:txBody>
      </xdr:sp>
      <xdr:sp macro="" textlink="">
        <xdr:nvSpPr>
          <xdr:cNvPr id="8" name="Forma Livre: Forma 7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0CF93FF0-C5AE-45D6-8114-0C981C6AFB8E}"/>
              </a:ext>
            </a:extLst>
          </xdr:cNvPr>
          <xdr:cNvSpPr/>
        </xdr:nvSpPr>
        <xdr:spPr>
          <a:xfrm>
            <a:off x="4486783" y="309723"/>
            <a:ext cx="860648" cy="344259"/>
          </a:xfrm>
          <a:custGeom>
            <a:avLst/>
            <a:gdLst>
              <a:gd name="connsiteX0" fmla="*/ 0 w 860648"/>
              <a:gd name="connsiteY0" fmla="*/ 0 h 344259"/>
              <a:gd name="connsiteX1" fmla="*/ 688519 w 860648"/>
              <a:gd name="connsiteY1" fmla="*/ 0 h 344259"/>
              <a:gd name="connsiteX2" fmla="*/ 860648 w 860648"/>
              <a:gd name="connsiteY2" fmla="*/ 172130 h 344259"/>
              <a:gd name="connsiteX3" fmla="*/ 688519 w 860648"/>
              <a:gd name="connsiteY3" fmla="*/ 344259 h 344259"/>
              <a:gd name="connsiteX4" fmla="*/ 0 w 860648"/>
              <a:gd name="connsiteY4" fmla="*/ 344259 h 344259"/>
              <a:gd name="connsiteX5" fmla="*/ 172130 w 860648"/>
              <a:gd name="connsiteY5" fmla="*/ 172130 h 344259"/>
              <a:gd name="connsiteX6" fmla="*/ 0 w 860648"/>
              <a:gd name="connsiteY6" fmla="*/ 0 h 3442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860648" h="344259">
                <a:moveTo>
                  <a:pt x="0" y="0"/>
                </a:moveTo>
                <a:lnTo>
                  <a:pt x="688519" y="0"/>
                </a:lnTo>
                <a:lnTo>
                  <a:pt x="860648" y="172130"/>
                </a:lnTo>
                <a:lnTo>
                  <a:pt x="688519" y="344259"/>
                </a:lnTo>
                <a:lnTo>
                  <a:pt x="0" y="344259"/>
                </a:lnTo>
                <a:lnTo>
                  <a:pt x="172130" y="172130"/>
                </a:lnTo>
                <a:lnTo>
                  <a:pt x="0" y="0"/>
                </a:lnTo>
                <a:close/>
              </a:path>
            </a:pathLst>
          </a:custGeom>
          <a:grpFill/>
          <a:ln>
            <a:noFill/>
          </a:ln>
        </xdr:spPr>
        <xdr:style>
          <a:lnRef idx="2">
            <a:scrgbClr r="0" g="0" b="0"/>
          </a:lnRef>
          <a:fillRef idx="1">
            <a:schemeClr val="accent1">
              <a:hueOff val="0"/>
              <a:satOff val="0"/>
              <a:lumOff val="0"/>
              <a:alphaOff val="0"/>
            </a:schemeClr>
          </a:fillRef>
          <a:effectRef idx="0">
            <a:schemeClr val="accent1">
              <a:hueOff val="0"/>
              <a:satOff val="0"/>
              <a:lumOff val="0"/>
              <a:alphaOff val="0"/>
            </a:schemeClr>
          </a:effectRef>
          <a:fontRef idx="minor">
            <a:schemeClr val="lt1"/>
          </a:fontRef>
        </xdr:style>
        <xdr:txBody>
          <a:bodyPr spcFirstLastPara="0" vert="horz" wrap="square" lIns="236138" tIns="42672" rIns="193465" bIns="42672" numCol="1" spcCol="1270" anchor="ctr" anchorCtr="0">
            <a:noAutofit/>
          </a:bodyPr>
          <a:lstStyle/>
          <a:p>
            <a:pPr marL="0" lvl="0" indent="0" algn="ctr" defTabSz="71120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  <a:buNone/>
            </a:pPr>
            <a:r>
              <a:rPr lang="en-GB" sz="1400" kern="1200">
                <a:solidFill>
                  <a:srgbClr val="00B0F0"/>
                </a:solidFill>
              </a:rPr>
              <a:t>ABR</a:t>
            </a:r>
          </a:p>
        </xdr:txBody>
      </xdr:sp>
      <xdr:sp macro="" textlink="">
        <xdr:nvSpPr>
          <xdr:cNvPr id="9" name="Forma Livre: Forma 8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8F74BB8A-1BB1-4030-B54B-8457B23C8C4A}"/>
              </a:ext>
            </a:extLst>
          </xdr:cNvPr>
          <xdr:cNvSpPr/>
        </xdr:nvSpPr>
        <xdr:spPr>
          <a:xfrm>
            <a:off x="5229715" y="309723"/>
            <a:ext cx="860648" cy="344259"/>
          </a:xfrm>
          <a:custGeom>
            <a:avLst/>
            <a:gdLst>
              <a:gd name="connsiteX0" fmla="*/ 0 w 860648"/>
              <a:gd name="connsiteY0" fmla="*/ 0 h 344259"/>
              <a:gd name="connsiteX1" fmla="*/ 688519 w 860648"/>
              <a:gd name="connsiteY1" fmla="*/ 0 h 344259"/>
              <a:gd name="connsiteX2" fmla="*/ 860648 w 860648"/>
              <a:gd name="connsiteY2" fmla="*/ 172130 h 344259"/>
              <a:gd name="connsiteX3" fmla="*/ 688519 w 860648"/>
              <a:gd name="connsiteY3" fmla="*/ 344259 h 344259"/>
              <a:gd name="connsiteX4" fmla="*/ 0 w 860648"/>
              <a:gd name="connsiteY4" fmla="*/ 344259 h 344259"/>
              <a:gd name="connsiteX5" fmla="*/ 172130 w 860648"/>
              <a:gd name="connsiteY5" fmla="*/ 172130 h 344259"/>
              <a:gd name="connsiteX6" fmla="*/ 0 w 860648"/>
              <a:gd name="connsiteY6" fmla="*/ 0 h 3442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860648" h="344259">
                <a:moveTo>
                  <a:pt x="0" y="0"/>
                </a:moveTo>
                <a:lnTo>
                  <a:pt x="688519" y="0"/>
                </a:lnTo>
                <a:lnTo>
                  <a:pt x="860648" y="172130"/>
                </a:lnTo>
                <a:lnTo>
                  <a:pt x="688519" y="344259"/>
                </a:lnTo>
                <a:lnTo>
                  <a:pt x="0" y="344259"/>
                </a:lnTo>
                <a:lnTo>
                  <a:pt x="172130" y="172130"/>
                </a:lnTo>
                <a:lnTo>
                  <a:pt x="0" y="0"/>
                </a:lnTo>
                <a:close/>
              </a:path>
            </a:pathLst>
          </a:custGeom>
          <a:grpFill/>
          <a:ln>
            <a:noFill/>
          </a:ln>
        </xdr:spPr>
        <xdr:style>
          <a:lnRef idx="2">
            <a:scrgbClr r="0" g="0" b="0"/>
          </a:lnRef>
          <a:fillRef idx="1">
            <a:schemeClr val="accent1">
              <a:hueOff val="0"/>
              <a:satOff val="0"/>
              <a:lumOff val="0"/>
              <a:alphaOff val="0"/>
            </a:schemeClr>
          </a:fillRef>
          <a:effectRef idx="0">
            <a:schemeClr val="accent1">
              <a:hueOff val="0"/>
              <a:satOff val="0"/>
              <a:lumOff val="0"/>
              <a:alphaOff val="0"/>
            </a:schemeClr>
          </a:effectRef>
          <a:fontRef idx="minor">
            <a:schemeClr val="lt1"/>
          </a:fontRef>
        </xdr:style>
        <xdr:txBody>
          <a:bodyPr spcFirstLastPara="0" vert="horz" wrap="square" lIns="236138" tIns="42672" rIns="193465" bIns="42672" numCol="1" spcCol="1270" anchor="ctr" anchorCtr="0">
            <a:noAutofit/>
          </a:bodyPr>
          <a:lstStyle/>
          <a:p>
            <a:pPr marL="0" lvl="0" indent="0" algn="ctr" defTabSz="71120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  <a:buNone/>
            </a:pPr>
            <a:r>
              <a:rPr lang="en-GB" sz="1400" kern="1200">
                <a:solidFill>
                  <a:srgbClr val="00B0F0"/>
                </a:solidFill>
              </a:rPr>
              <a:t>MAI</a:t>
            </a:r>
          </a:p>
        </xdr:txBody>
      </xdr:sp>
      <xdr:sp macro="" textlink="">
        <xdr:nvSpPr>
          <xdr:cNvPr id="10" name="Forma Livre: Forma 9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B657E742-A976-461C-B756-4878103778E5}"/>
              </a:ext>
            </a:extLst>
          </xdr:cNvPr>
          <xdr:cNvSpPr/>
        </xdr:nvSpPr>
        <xdr:spPr>
          <a:xfrm>
            <a:off x="5972647" y="309723"/>
            <a:ext cx="860648" cy="344259"/>
          </a:xfrm>
          <a:custGeom>
            <a:avLst/>
            <a:gdLst>
              <a:gd name="connsiteX0" fmla="*/ 0 w 860648"/>
              <a:gd name="connsiteY0" fmla="*/ 0 h 344259"/>
              <a:gd name="connsiteX1" fmla="*/ 688519 w 860648"/>
              <a:gd name="connsiteY1" fmla="*/ 0 h 344259"/>
              <a:gd name="connsiteX2" fmla="*/ 860648 w 860648"/>
              <a:gd name="connsiteY2" fmla="*/ 172130 h 344259"/>
              <a:gd name="connsiteX3" fmla="*/ 688519 w 860648"/>
              <a:gd name="connsiteY3" fmla="*/ 344259 h 344259"/>
              <a:gd name="connsiteX4" fmla="*/ 0 w 860648"/>
              <a:gd name="connsiteY4" fmla="*/ 344259 h 344259"/>
              <a:gd name="connsiteX5" fmla="*/ 172130 w 860648"/>
              <a:gd name="connsiteY5" fmla="*/ 172130 h 344259"/>
              <a:gd name="connsiteX6" fmla="*/ 0 w 860648"/>
              <a:gd name="connsiteY6" fmla="*/ 0 h 3442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860648" h="344259">
                <a:moveTo>
                  <a:pt x="0" y="0"/>
                </a:moveTo>
                <a:lnTo>
                  <a:pt x="688519" y="0"/>
                </a:lnTo>
                <a:lnTo>
                  <a:pt x="860648" y="172130"/>
                </a:lnTo>
                <a:lnTo>
                  <a:pt x="688519" y="344259"/>
                </a:lnTo>
                <a:lnTo>
                  <a:pt x="0" y="344259"/>
                </a:lnTo>
                <a:lnTo>
                  <a:pt x="172130" y="172130"/>
                </a:lnTo>
                <a:lnTo>
                  <a:pt x="0" y="0"/>
                </a:lnTo>
                <a:close/>
              </a:path>
            </a:pathLst>
          </a:custGeom>
          <a:grpFill/>
          <a:ln>
            <a:noFill/>
          </a:ln>
        </xdr:spPr>
        <xdr:style>
          <a:lnRef idx="2">
            <a:scrgbClr r="0" g="0" b="0"/>
          </a:lnRef>
          <a:fillRef idx="1">
            <a:schemeClr val="accent1">
              <a:hueOff val="0"/>
              <a:satOff val="0"/>
              <a:lumOff val="0"/>
              <a:alphaOff val="0"/>
            </a:schemeClr>
          </a:fillRef>
          <a:effectRef idx="0">
            <a:schemeClr val="accent1">
              <a:hueOff val="0"/>
              <a:satOff val="0"/>
              <a:lumOff val="0"/>
              <a:alphaOff val="0"/>
            </a:schemeClr>
          </a:effectRef>
          <a:fontRef idx="minor">
            <a:schemeClr val="lt1"/>
          </a:fontRef>
        </xdr:style>
        <xdr:txBody>
          <a:bodyPr spcFirstLastPara="0" vert="horz" wrap="square" lIns="236138" tIns="42672" rIns="193465" bIns="42672" numCol="1" spcCol="1270" anchor="ctr" anchorCtr="0">
            <a:noAutofit/>
          </a:bodyPr>
          <a:lstStyle/>
          <a:p>
            <a:pPr marL="0" lvl="0" indent="0" algn="ctr" defTabSz="71120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  <a:buNone/>
            </a:pPr>
            <a:r>
              <a:rPr lang="en-GB" sz="1400" kern="1200">
                <a:solidFill>
                  <a:srgbClr val="00B0F0"/>
                </a:solidFill>
              </a:rPr>
              <a:t>JUN</a:t>
            </a:r>
          </a:p>
        </xdr:txBody>
      </xdr:sp>
      <xdr:sp macro="" textlink="">
        <xdr:nvSpPr>
          <xdr:cNvPr id="11" name="Forma Livre: Forma 10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BD936B5D-1F34-4033-A008-51400516D428}"/>
              </a:ext>
            </a:extLst>
          </xdr:cNvPr>
          <xdr:cNvSpPr/>
        </xdr:nvSpPr>
        <xdr:spPr>
          <a:xfrm>
            <a:off x="6715579" y="309723"/>
            <a:ext cx="860648" cy="344259"/>
          </a:xfrm>
          <a:custGeom>
            <a:avLst/>
            <a:gdLst>
              <a:gd name="connsiteX0" fmla="*/ 0 w 860648"/>
              <a:gd name="connsiteY0" fmla="*/ 0 h 344259"/>
              <a:gd name="connsiteX1" fmla="*/ 688519 w 860648"/>
              <a:gd name="connsiteY1" fmla="*/ 0 h 344259"/>
              <a:gd name="connsiteX2" fmla="*/ 860648 w 860648"/>
              <a:gd name="connsiteY2" fmla="*/ 172130 h 344259"/>
              <a:gd name="connsiteX3" fmla="*/ 688519 w 860648"/>
              <a:gd name="connsiteY3" fmla="*/ 344259 h 344259"/>
              <a:gd name="connsiteX4" fmla="*/ 0 w 860648"/>
              <a:gd name="connsiteY4" fmla="*/ 344259 h 344259"/>
              <a:gd name="connsiteX5" fmla="*/ 172130 w 860648"/>
              <a:gd name="connsiteY5" fmla="*/ 172130 h 344259"/>
              <a:gd name="connsiteX6" fmla="*/ 0 w 860648"/>
              <a:gd name="connsiteY6" fmla="*/ 0 h 3442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860648" h="344259">
                <a:moveTo>
                  <a:pt x="0" y="0"/>
                </a:moveTo>
                <a:lnTo>
                  <a:pt x="688519" y="0"/>
                </a:lnTo>
                <a:lnTo>
                  <a:pt x="860648" y="172130"/>
                </a:lnTo>
                <a:lnTo>
                  <a:pt x="688519" y="344259"/>
                </a:lnTo>
                <a:lnTo>
                  <a:pt x="0" y="344259"/>
                </a:lnTo>
                <a:lnTo>
                  <a:pt x="172130" y="172130"/>
                </a:lnTo>
                <a:lnTo>
                  <a:pt x="0" y="0"/>
                </a:lnTo>
                <a:close/>
              </a:path>
            </a:pathLst>
          </a:custGeom>
          <a:grpFill/>
          <a:ln>
            <a:noFill/>
          </a:ln>
        </xdr:spPr>
        <xdr:style>
          <a:lnRef idx="2">
            <a:scrgbClr r="0" g="0" b="0"/>
          </a:lnRef>
          <a:fillRef idx="1">
            <a:schemeClr val="accent1">
              <a:hueOff val="0"/>
              <a:satOff val="0"/>
              <a:lumOff val="0"/>
              <a:alphaOff val="0"/>
            </a:schemeClr>
          </a:fillRef>
          <a:effectRef idx="0">
            <a:schemeClr val="accent1">
              <a:hueOff val="0"/>
              <a:satOff val="0"/>
              <a:lumOff val="0"/>
              <a:alphaOff val="0"/>
            </a:schemeClr>
          </a:effectRef>
          <a:fontRef idx="minor">
            <a:schemeClr val="lt1"/>
          </a:fontRef>
        </xdr:style>
        <xdr:txBody>
          <a:bodyPr spcFirstLastPara="0" vert="horz" wrap="square" lIns="236138" tIns="42672" rIns="193465" bIns="42672" numCol="1" spcCol="1270" anchor="ctr" anchorCtr="0">
            <a:noAutofit/>
          </a:bodyPr>
          <a:lstStyle/>
          <a:p>
            <a:pPr marL="0" lvl="0" indent="0" algn="ctr" defTabSz="71120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  <a:buNone/>
            </a:pPr>
            <a:r>
              <a:rPr lang="en-GB" sz="1400" kern="1200">
                <a:solidFill>
                  <a:srgbClr val="00B0F0"/>
                </a:solidFill>
              </a:rPr>
              <a:t>JUL</a:t>
            </a:r>
          </a:p>
        </xdr:txBody>
      </xdr:sp>
      <xdr:sp macro="" textlink="">
        <xdr:nvSpPr>
          <xdr:cNvPr id="12" name="Forma Livre: Forma 11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EDDA5A09-1EA3-42C9-96C3-812AB1850368}"/>
              </a:ext>
            </a:extLst>
          </xdr:cNvPr>
          <xdr:cNvSpPr/>
        </xdr:nvSpPr>
        <xdr:spPr>
          <a:xfrm>
            <a:off x="7458511" y="309723"/>
            <a:ext cx="860648" cy="344259"/>
          </a:xfrm>
          <a:custGeom>
            <a:avLst/>
            <a:gdLst>
              <a:gd name="connsiteX0" fmla="*/ 0 w 860648"/>
              <a:gd name="connsiteY0" fmla="*/ 0 h 344259"/>
              <a:gd name="connsiteX1" fmla="*/ 688519 w 860648"/>
              <a:gd name="connsiteY1" fmla="*/ 0 h 344259"/>
              <a:gd name="connsiteX2" fmla="*/ 860648 w 860648"/>
              <a:gd name="connsiteY2" fmla="*/ 172130 h 344259"/>
              <a:gd name="connsiteX3" fmla="*/ 688519 w 860648"/>
              <a:gd name="connsiteY3" fmla="*/ 344259 h 344259"/>
              <a:gd name="connsiteX4" fmla="*/ 0 w 860648"/>
              <a:gd name="connsiteY4" fmla="*/ 344259 h 344259"/>
              <a:gd name="connsiteX5" fmla="*/ 172130 w 860648"/>
              <a:gd name="connsiteY5" fmla="*/ 172130 h 344259"/>
              <a:gd name="connsiteX6" fmla="*/ 0 w 860648"/>
              <a:gd name="connsiteY6" fmla="*/ 0 h 3442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860648" h="344259">
                <a:moveTo>
                  <a:pt x="0" y="0"/>
                </a:moveTo>
                <a:lnTo>
                  <a:pt x="688519" y="0"/>
                </a:lnTo>
                <a:lnTo>
                  <a:pt x="860648" y="172130"/>
                </a:lnTo>
                <a:lnTo>
                  <a:pt x="688519" y="344259"/>
                </a:lnTo>
                <a:lnTo>
                  <a:pt x="0" y="344259"/>
                </a:lnTo>
                <a:lnTo>
                  <a:pt x="172130" y="172130"/>
                </a:lnTo>
                <a:lnTo>
                  <a:pt x="0" y="0"/>
                </a:lnTo>
                <a:close/>
              </a:path>
            </a:pathLst>
          </a:custGeom>
          <a:grpFill/>
          <a:ln>
            <a:noFill/>
          </a:ln>
        </xdr:spPr>
        <xdr:style>
          <a:lnRef idx="2">
            <a:scrgbClr r="0" g="0" b="0"/>
          </a:lnRef>
          <a:fillRef idx="1">
            <a:schemeClr val="accent1">
              <a:hueOff val="0"/>
              <a:satOff val="0"/>
              <a:lumOff val="0"/>
              <a:alphaOff val="0"/>
            </a:schemeClr>
          </a:fillRef>
          <a:effectRef idx="0">
            <a:schemeClr val="accent1">
              <a:hueOff val="0"/>
              <a:satOff val="0"/>
              <a:lumOff val="0"/>
              <a:alphaOff val="0"/>
            </a:schemeClr>
          </a:effectRef>
          <a:fontRef idx="minor">
            <a:schemeClr val="lt1"/>
          </a:fontRef>
        </xdr:style>
        <xdr:txBody>
          <a:bodyPr spcFirstLastPara="0" vert="horz" wrap="square" lIns="236138" tIns="42672" rIns="193465" bIns="42672" numCol="1" spcCol="1270" anchor="ctr" anchorCtr="0">
            <a:noAutofit/>
          </a:bodyPr>
          <a:lstStyle/>
          <a:p>
            <a:pPr marL="0" lvl="0" indent="0" algn="ctr" defTabSz="71120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  <a:buNone/>
            </a:pPr>
            <a:r>
              <a:rPr lang="en-GB" sz="1400" kern="1200">
                <a:solidFill>
                  <a:srgbClr val="00B0F0"/>
                </a:solidFill>
              </a:rPr>
              <a:t>AGO</a:t>
            </a:r>
          </a:p>
        </xdr:txBody>
      </xdr:sp>
      <xdr:sp macro="" textlink="">
        <xdr:nvSpPr>
          <xdr:cNvPr id="13" name="Forma Livre: Forma 12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8A1AA2F9-E63C-4931-AD5A-361ED6BC2F72}"/>
              </a:ext>
            </a:extLst>
          </xdr:cNvPr>
          <xdr:cNvSpPr/>
        </xdr:nvSpPr>
        <xdr:spPr>
          <a:xfrm>
            <a:off x="8201443" y="309723"/>
            <a:ext cx="860648" cy="344259"/>
          </a:xfrm>
          <a:custGeom>
            <a:avLst/>
            <a:gdLst>
              <a:gd name="connsiteX0" fmla="*/ 0 w 860648"/>
              <a:gd name="connsiteY0" fmla="*/ 0 h 344259"/>
              <a:gd name="connsiteX1" fmla="*/ 688519 w 860648"/>
              <a:gd name="connsiteY1" fmla="*/ 0 h 344259"/>
              <a:gd name="connsiteX2" fmla="*/ 860648 w 860648"/>
              <a:gd name="connsiteY2" fmla="*/ 172130 h 344259"/>
              <a:gd name="connsiteX3" fmla="*/ 688519 w 860648"/>
              <a:gd name="connsiteY3" fmla="*/ 344259 h 344259"/>
              <a:gd name="connsiteX4" fmla="*/ 0 w 860648"/>
              <a:gd name="connsiteY4" fmla="*/ 344259 h 344259"/>
              <a:gd name="connsiteX5" fmla="*/ 172130 w 860648"/>
              <a:gd name="connsiteY5" fmla="*/ 172130 h 344259"/>
              <a:gd name="connsiteX6" fmla="*/ 0 w 860648"/>
              <a:gd name="connsiteY6" fmla="*/ 0 h 3442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860648" h="344259">
                <a:moveTo>
                  <a:pt x="0" y="0"/>
                </a:moveTo>
                <a:lnTo>
                  <a:pt x="688519" y="0"/>
                </a:lnTo>
                <a:lnTo>
                  <a:pt x="860648" y="172130"/>
                </a:lnTo>
                <a:lnTo>
                  <a:pt x="688519" y="344259"/>
                </a:lnTo>
                <a:lnTo>
                  <a:pt x="0" y="344259"/>
                </a:lnTo>
                <a:lnTo>
                  <a:pt x="172130" y="172130"/>
                </a:lnTo>
                <a:lnTo>
                  <a:pt x="0" y="0"/>
                </a:lnTo>
                <a:close/>
              </a:path>
            </a:pathLst>
          </a:custGeom>
          <a:grpFill/>
          <a:ln>
            <a:noFill/>
          </a:ln>
        </xdr:spPr>
        <xdr:style>
          <a:lnRef idx="2">
            <a:scrgbClr r="0" g="0" b="0"/>
          </a:lnRef>
          <a:fillRef idx="1">
            <a:schemeClr val="accent1">
              <a:hueOff val="0"/>
              <a:satOff val="0"/>
              <a:lumOff val="0"/>
              <a:alphaOff val="0"/>
            </a:schemeClr>
          </a:fillRef>
          <a:effectRef idx="0">
            <a:schemeClr val="accent1">
              <a:hueOff val="0"/>
              <a:satOff val="0"/>
              <a:lumOff val="0"/>
              <a:alphaOff val="0"/>
            </a:schemeClr>
          </a:effectRef>
          <a:fontRef idx="minor">
            <a:schemeClr val="lt1"/>
          </a:fontRef>
        </xdr:style>
        <xdr:txBody>
          <a:bodyPr spcFirstLastPara="0" vert="horz" wrap="square" lIns="236138" tIns="42672" rIns="193465" bIns="42672" numCol="1" spcCol="1270" anchor="ctr" anchorCtr="0">
            <a:noAutofit/>
          </a:bodyPr>
          <a:lstStyle/>
          <a:p>
            <a:pPr marL="0" lvl="0" indent="0" algn="ctr" defTabSz="71120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  <a:buNone/>
            </a:pPr>
            <a:r>
              <a:rPr lang="en-GB" sz="1400" kern="1200">
                <a:solidFill>
                  <a:srgbClr val="00B0F0"/>
                </a:solidFill>
              </a:rPr>
              <a:t>SET</a:t>
            </a:r>
          </a:p>
        </xdr:txBody>
      </xdr:sp>
      <xdr:sp macro="" textlink="">
        <xdr:nvSpPr>
          <xdr:cNvPr id="14" name="Forma Livre: Forma 13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4D90A07F-37CB-4FEB-B650-6324E334C8A6}"/>
              </a:ext>
            </a:extLst>
          </xdr:cNvPr>
          <xdr:cNvSpPr/>
        </xdr:nvSpPr>
        <xdr:spPr>
          <a:xfrm>
            <a:off x="8944375" y="309723"/>
            <a:ext cx="860648" cy="344259"/>
          </a:xfrm>
          <a:custGeom>
            <a:avLst/>
            <a:gdLst>
              <a:gd name="connsiteX0" fmla="*/ 0 w 860648"/>
              <a:gd name="connsiteY0" fmla="*/ 0 h 344259"/>
              <a:gd name="connsiteX1" fmla="*/ 688519 w 860648"/>
              <a:gd name="connsiteY1" fmla="*/ 0 h 344259"/>
              <a:gd name="connsiteX2" fmla="*/ 860648 w 860648"/>
              <a:gd name="connsiteY2" fmla="*/ 172130 h 344259"/>
              <a:gd name="connsiteX3" fmla="*/ 688519 w 860648"/>
              <a:gd name="connsiteY3" fmla="*/ 344259 h 344259"/>
              <a:gd name="connsiteX4" fmla="*/ 0 w 860648"/>
              <a:gd name="connsiteY4" fmla="*/ 344259 h 344259"/>
              <a:gd name="connsiteX5" fmla="*/ 172130 w 860648"/>
              <a:gd name="connsiteY5" fmla="*/ 172130 h 344259"/>
              <a:gd name="connsiteX6" fmla="*/ 0 w 860648"/>
              <a:gd name="connsiteY6" fmla="*/ 0 h 3442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860648" h="344259">
                <a:moveTo>
                  <a:pt x="0" y="0"/>
                </a:moveTo>
                <a:lnTo>
                  <a:pt x="688519" y="0"/>
                </a:lnTo>
                <a:lnTo>
                  <a:pt x="860648" y="172130"/>
                </a:lnTo>
                <a:lnTo>
                  <a:pt x="688519" y="344259"/>
                </a:lnTo>
                <a:lnTo>
                  <a:pt x="0" y="344259"/>
                </a:lnTo>
                <a:lnTo>
                  <a:pt x="172130" y="172130"/>
                </a:lnTo>
                <a:lnTo>
                  <a:pt x="0" y="0"/>
                </a:lnTo>
                <a:close/>
              </a:path>
            </a:pathLst>
          </a:custGeom>
          <a:grpFill/>
          <a:ln>
            <a:noFill/>
          </a:ln>
        </xdr:spPr>
        <xdr:style>
          <a:lnRef idx="2">
            <a:scrgbClr r="0" g="0" b="0"/>
          </a:lnRef>
          <a:fillRef idx="1">
            <a:schemeClr val="accent1">
              <a:hueOff val="0"/>
              <a:satOff val="0"/>
              <a:lumOff val="0"/>
              <a:alphaOff val="0"/>
            </a:schemeClr>
          </a:fillRef>
          <a:effectRef idx="0">
            <a:schemeClr val="accent1">
              <a:hueOff val="0"/>
              <a:satOff val="0"/>
              <a:lumOff val="0"/>
              <a:alphaOff val="0"/>
            </a:schemeClr>
          </a:effectRef>
          <a:fontRef idx="minor">
            <a:schemeClr val="lt1"/>
          </a:fontRef>
        </xdr:style>
        <xdr:txBody>
          <a:bodyPr spcFirstLastPara="0" vert="horz" wrap="square" lIns="236138" tIns="42672" rIns="193465" bIns="42672" numCol="1" spcCol="1270" anchor="ctr" anchorCtr="0">
            <a:noAutofit/>
          </a:bodyPr>
          <a:lstStyle/>
          <a:p>
            <a:pPr marL="0" lvl="0" indent="0" algn="ctr" defTabSz="71120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  <a:buNone/>
            </a:pPr>
            <a:r>
              <a:rPr lang="en-GB" sz="1400" kern="1200">
                <a:solidFill>
                  <a:srgbClr val="00B0F0"/>
                </a:solidFill>
              </a:rPr>
              <a:t>OUT</a:t>
            </a:r>
          </a:p>
        </xdr:txBody>
      </xdr:sp>
      <xdr:sp macro="" textlink="">
        <xdr:nvSpPr>
          <xdr:cNvPr id="15" name="Forma Livre: Forma 14">
            <a:hlinkClick xmlns:r="http://schemas.openxmlformats.org/officeDocument/2006/relationships" r:id="rId11"/>
            <a:extLst>
              <a:ext uri="{FF2B5EF4-FFF2-40B4-BE49-F238E27FC236}">
                <a16:creationId xmlns:a16="http://schemas.microsoft.com/office/drawing/2014/main" id="{7C02E949-6C97-4EBA-A899-5F26A937A863}"/>
              </a:ext>
            </a:extLst>
          </xdr:cNvPr>
          <xdr:cNvSpPr/>
        </xdr:nvSpPr>
        <xdr:spPr>
          <a:xfrm>
            <a:off x="9687307" y="309723"/>
            <a:ext cx="860648" cy="344259"/>
          </a:xfrm>
          <a:custGeom>
            <a:avLst/>
            <a:gdLst>
              <a:gd name="connsiteX0" fmla="*/ 0 w 860648"/>
              <a:gd name="connsiteY0" fmla="*/ 0 h 344259"/>
              <a:gd name="connsiteX1" fmla="*/ 688519 w 860648"/>
              <a:gd name="connsiteY1" fmla="*/ 0 h 344259"/>
              <a:gd name="connsiteX2" fmla="*/ 860648 w 860648"/>
              <a:gd name="connsiteY2" fmla="*/ 172130 h 344259"/>
              <a:gd name="connsiteX3" fmla="*/ 688519 w 860648"/>
              <a:gd name="connsiteY3" fmla="*/ 344259 h 344259"/>
              <a:gd name="connsiteX4" fmla="*/ 0 w 860648"/>
              <a:gd name="connsiteY4" fmla="*/ 344259 h 344259"/>
              <a:gd name="connsiteX5" fmla="*/ 172130 w 860648"/>
              <a:gd name="connsiteY5" fmla="*/ 172130 h 344259"/>
              <a:gd name="connsiteX6" fmla="*/ 0 w 860648"/>
              <a:gd name="connsiteY6" fmla="*/ 0 h 3442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860648" h="344259">
                <a:moveTo>
                  <a:pt x="0" y="0"/>
                </a:moveTo>
                <a:lnTo>
                  <a:pt x="688519" y="0"/>
                </a:lnTo>
                <a:lnTo>
                  <a:pt x="860648" y="172130"/>
                </a:lnTo>
                <a:lnTo>
                  <a:pt x="688519" y="344259"/>
                </a:lnTo>
                <a:lnTo>
                  <a:pt x="0" y="344259"/>
                </a:lnTo>
                <a:lnTo>
                  <a:pt x="172130" y="172130"/>
                </a:lnTo>
                <a:lnTo>
                  <a:pt x="0" y="0"/>
                </a:lnTo>
                <a:close/>
              </a:path>
            </a:pathLst>
          </a:custGeom>
          <a:grpFill/>
          <a:ln>
            <a:noFill/>
          </a:ln>
        </xdr:spPr>
        <xdr:style>
          <a:lnRef idx="2">
            <a:scrgbClr r="0" g="0" b="0"/>
          </a:lnRef>
          <a:fillRef idx="1">
            <a:schemeClr val="accent1">
              <a:hueOff val="0"/>
              <a:satOff val="0"/>
              <a:lumOff val="0"/>
              <a:alphaOff val="0"/>
            </a:schemeClr>
          </a:fillRef>
          <a:effectRef idx="0">
            <a:schemeClr val="accent1">
              <a:hueOff val="0"/>
              <a:satOff val="0"/>
              <a:lumOff val="0"/>
              <a:alphaOff val="0"/>
            </a:schemeClr>
          </a:effectRef>
          <a:fontRef idx="minor">
            <a:schemeClr val="lt1"/>
          </a:fontRef>
        </xdr:style>
        <xdr:txBody>
          <a:bodyPr spcFirstLastPara="0" vert="horz" wrap="square" lIns="236138" tIns="42672" rIns="193465" bIns="42672" numCol="1" spcCol="1270" anchor="ctr" anchorCtr="0">
            <a:noAutofit/>
          </a:bodyPr>
          <a:lstStyle/>
          <a:p>
            <a:pPr marL="0" lvl="0" indent="0" algn="ctr" defTabSz="71120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  <a:buNone/>
            </a:pPr>
            <a:r>
              <a:rPr lang="en-GB" sz="1400" kern="1200">
                <a:solidFill>
                  <a:srgbClr val="00B0F0"/>
                </a:solidFill>
              </a:rPr>
              <a:t>NOV</a:t>
            </a:r>
          </a:p>
        </xdr:txBody>
      </xdr:sp>
      <xdr:sp macro="" textlink="">
        <xdr:nvSpPr>
          <xdr:cNvPr id="16" name="Forma Livre: Forma 15">
            <a:hlinkClick xmlns:r="http://schemas.openxmlformats.org/officeDocument/2006/relationships" r:id="rId12"/>
            <a:extLst>
              <a:ext uri="{FF2B5EF4-FFF2-40B4-BE49-F238E27FC236}">
                <a16:creationId xmlns:a16="http://schemas.microsoft.com/office/drawing/2014/main" id="{44E7729B-ACB4-4182-9585-F4D9F7D7E583}"/>
              </a:ext>
            </a:extLst>
          </xdr:cNvPr>
          <xdr:cNvSpPr/>
        </xdr:nvSpPr>
        <xdr:spPr>
          <a:xfrm>
            <a:off x="10430244" y="309723"/>
            <a:ext cx="860648" cy="344259"/>
          </a:xfrm>
          <a:custGeom>
            <a:avLst/>
            <a:gdLst>
              <a:gd name="connsiteX0" fmla="*/ 0 w 860648"/>
              <a:gd name="connsiteY0" fmla="*/ 0 h 344259"/>
              <a:gd name="connsiteX1" fmla="*/ 688519 w 860648"/>
              <a:gd name="connsiteY1" fmla="*/ 0 h 344259"/>
              <a:gd name="connsiteX2" fmla="*/ 860648 w 860648"/>
              <a:gd name="connsiteY2" fmla="*/ 172130 h 344259"/>
              <a:gd name="connsiteX3" fmla="*/ 688519 w 860648"/>
              <a:gd name="connsiteY3" fmla="*/ 344259 h 344259"/>
              <a:gd name="connsiteX4" fmla="*/ 0 w 860648"/>
              <a:gd name="connsiteY4" fmla="*/ 344259 h 344259"/>
              <a:gd name="connsiteX5" fmla="*/ 172130 w 860648"/>
              <a:gd name="connsiteY5" fmla="*/ 172130 h 344259"/>
              <a:gd name="connsiteX6" fmla="*/ 0 w 860648"/>
              <a:gd name="connsiteY6" fmla="*/ 0 h 3442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860648" h="344259">
                <a:moveTo>
                  <a:pt x="0" y="0"/>
                </a:moveTo>
                <a:lnTo>
                  <a:pt x="688519" y="0"/>
                </a:lnTo>
                <a:lnTo>
                  <a:pt x="860648" y="172130"/>
                </a:lnTo>
                <a:lnTo>
                  <a:pt x="688519" y="344259"/>
                </a:lnTo>
                <a:lnTo>
                  <a:pt x="0" y="344259"/>
                </a:lnTo>
                <a:lnTo>
                  <a:pt x="172130" y="172130"/>
                </a:lnTo>
                <a:lnTo>
                  <a:pt x="0" y="0"/>
                </a:lnTo>
                <a:close/>
              </a:path>
            </a:pathLst>
          </a:custGeom>
          <a:grpFill/>
          <a:ln>
            <a:noFill/>
          </a:ln>
        </xdr:spPr>
        <xdr:style>
          <a:lnRef idx="2">
            <a:scrgbClr r="0" g="0" b="0"/>
          </a:lnRef>
          <a:fillRef idx="1">
            <a:schemeClr val="accent1">
              <a:hueOff val="0"/>
              <a:satOff val="0"/>
              <a:lumOff val="0"/>
              <a:alphaOff val="0"/>
            </a:schemeClr>
          </a:fillRef>
          <a:effectRef idx="0">
            <a:schemeClr val="accent1">
              <a:hueOff val="0"/>
              <a:satOff val="0"/>
              <a:lumOff val="0"/>
              <a:alphaOff val="0"/>
            </a:schemeClr>
          </a:effectRef>
          <a:fontRef idx="minor">
            <a:schemeClr val="lt1"/>
          </a:fontRef>
        </xdr:style>
        <xdr:txBody>
          <a:bodyPr spcFirstLastPara="0" vert="horz" wrap="square" lIns="236138" tIns="42672" rIns="193465" bIns="42672" numCol="1" spcCol="1270" anchor="ctr" anchorCtr="0">
            <a:noAutofit/>
          </a:bodyPr>
          <a:lstStyle/>
          <a:p>
            <a:pPr marL="0" lvl="0" indent="0" algn="ctr" defTabSz="71120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  <a:buNone/>
            </a:pPr>
            <a:r>
              <a:rPr lang="en-GB" sz="1400" kern="1200">
                <a:solidFill>
                  <a:srgbClr val="00B0F0"/>
                </a:solidFill>
              </a:rPr>
              <a:t>DEZ</a:t>
            </a:r>
          </a:p>
        </xdr:txBody>
      </xdr:sp>
    </xdr:grpSp>
    <xdr:clientData/>
  </xdr:twoCellAnchor>
  <xdr:oneCellAnchor>
    <xdr:from>
      <xdr:col>11</xdr:col>
      <xdr:colOff>459441</xdr:colOff>
      <xdr:row>1</xdr:row>
      <xdr:rowOff>107577</xdr:rowOff>
    </xdr:from>
    <xdr:ext cx="343681" cy="373563"/>
    <xdr:pic>
      <xdr:nvPicPr>
        <xdr:cNvPr id="17" name="Gráfico 16" descr="Virar calendário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143E85CB-B38E-44A3-B8F5-50B13266BA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5"/>
            </a:ext>
          </a:extLst>
        </a:blip>
        <a:stretch>
          <a:fillRect/>
        </a:stretch>
      </xdr:blipFill>
      <xdr:spPr>
        <a:xfrm>
          <a:off x="12348882" y="298077"/>
          <a:ext cx="343681" cy="373563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3</xdr:col>
      <xdr:colOff>56030</xdr:colOff>
      <xdr:row>1</xdr:row>
      <xdr:rowOff>84932</xdr:rowOff>
    </xdr:from>
    <xdr:ext cx="504265" cy="537448"/>
    <xdr:pic>
      <xdr:nvPicPr>
        <xdr:cNvPr id="18" name="Imagem 17">
          <a:extLst>
            <a:ext uri="{FF2B5EF4-FFF2-40B4-BE49-F238E27FC236}">
              <a16:creationId xmlns:a16="http://schemas.microsoft.com/office/drawing/2014/main" id="{1E1CA598-5F5C-43F6-9AD0-6E9E55C6E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4830" y="275432"/>
          <a:ext cx="504265" cy="53744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7</xdr:col>
      <xdr:colOff>930089</xdr:colOff>
      <xdr:row>0</xdr:row>
      <xdr:rowOff>112689</xdr:rowOff>
    </xdr:from>
    <xdr:to>
      <xdr:col>7</xdr:col>
      <xdr:colOff>1792941</xdr:colOff>
      <xdr:row>2</xdr:row>
      <xdr:rowOff>7337</xdr:rowOff>
    </xdr:to>
    <xdr:pic>
      <xdr:nvPicPr>
        <xdr:cNvPr id="19" name="Imagem 18">
          <a:hlinkClick xmlns:r="http://schemas.openxmlformats.org/officeDocument/2006/relationships" r:id="rId17"/>
          <a:extLst>
            <a:ext uri="{FF2B5EF4-FFF2-40B4-BE49-F238E27FC236}">
              <a16:creationId xmlns:a16="http://schemas.microsoft.com/office/drawing/2014/main" id="{5492AD85-5EF8-4A37-B972-DE5E3DE513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34736" y="112689"/>
          <a:ext cx="862852" cy="320472"/>
        </a:xfrm>
        <a:prstGeom prst="rect">
          <a:avLst/>
        </a:prstGeom>
      </xdr:spPr>
    </xdr:pic>
    <xdr:clientData/>
  </xdr:twoCellAnchor>
  <xdr:twoCellAnchor>
    <xdr:from>
      <xdr:col>0</xdr:col>
      <xdr:colOff>281631</xdr:colOff>
      <xdr:row>4</xdr:row>
      <xdr:rowOff>33617</xdr:rowOff>
    </xdr:from>
    <xdr:to>
      <xdr:col>3</xdr:col>
      <xdr:colOff>259733</xdr:colOff>
      <xdr:row>5</xdr:row>
      <xdr:rowOff>127307</xdr:rowOff>
    </xdr:to>
    <xdr:grpSp>
      <xdr:nvGrpSpPr>
        <xdr:cNvPr id="25" name="Agrupar 24">
          <a:extLst>
            <a:ext uri="{FF2B5EF4-FFF2-40B4-BE49-F238E27FC236}">
              <a16:creationId xmlns:a16="http://schemas.microsoft.com/office/drawing/2014/main" id="{7ED889B6-6CEE-4202-A206-67FD952338BB}"/>
            </a:ext>
          </a:extLst>
        </xdr:cNvPr>
        <xdr:cNvGrpSpPr/>
      </xdr:nvGrpSpPr>
      <xdr:grpSpPr>
        <a:xfrm>
          <a:off x="281631" y="931084"/>
          <a:ext cx="291369" cy="296890"/>
          <a:chOff x="113542" y="1143000"/>
          <a:chExt cx="280661" cy="306601"/>
        </a:xfrm>
      </xdr:grpSpPr>
      <xdr:sp macro="" textlink="">
        <xdr:nvSpPr>
          <xdr:cNvPr id="24" name="Elipse 23">
            <a:extLst>
              <a:ext uri="{FF2B5EF4-FFF2-40B4-BE49-F238E27FC236}">
                <a16:creationId xmlns:a16="http://schemas.microsoft.com/office/drawing/2014/main" id="{D9FD7101-48A6-4037-B4F1-1368CAE8B643}"/>
              </a:ext>
            </a:extLst>
          </xdr:cNvPr>
          <xdr:cNvSpPr/>
        </xdr:nvSpPr>
        <xdr:spPr>
          <a:xfrm>
            <a:off x="123569" y="1380190"/>
            <a:ext cx="201334" cy="69411"/>
          </a:xfrm>
          <a:prstGeom prst="ellipse">
            <a:avLst/>
          </a:prstGeom>
          <a:solidFill>
            <a:schemeClr val="bg1"/>
          </a:solidFill>
          <a:ln>
            <a:noFill/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GB" sz="1100"/>
          </a:p>
        </xdr:txBody>
      </xdr:sp>
      <xdr:pic>
        <xdr:nvPicPr>
          <xdr:cNvPr id="22" name="Imagem 21">
            <a:extLst>
              <a:ext uri="{FF2B5EF4-FFF2-40B4-BE49-F238E27FC236}">
                <a16:creationId xmlns:a16="http://schemas.microsoft.com/office/drawing/2014/main" id="{170107B0-B54A-4C2F-AE0C-D9424D75E12C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13542" y="1143000"/>
            <a:ext cx="280661" cy="275019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3923</xdr:colOff>
      <xdr:row>54</xdr:row>
      <xdr:rowOff>78440</xdr:rowOff>
    </xdr:from>
    <xdr:to>
      <xdr:col>3</xdr:col>
      <xdr:colOff>99173</xdr:colOff>
      <xdr:row>57</xdr:row>
      <xdr:rowOff>67796</xdr:rowOff>
    </xdr:to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3DF3ED6C-862D-4762-93B4-82067DF98CC5}"/>
            </a:ext>
          </a:extLst>
        </xdr:cNvPr>
        <xdr:cNvSpPr/>
      </xdr:nvSpPr>
      <xdr:spPr>
        <a:xfrm>
          <a:off x="299198" y="10365440"/>
          <a:ext cx="685800" cy="56085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REDUZI</a:t>
          </a:r>
          <a:br>
            <a:rPr lang="en-GB" sz="1000" b="1"/>
          </a:br>
          <a:r>
            <a:rPr lang="en-GB" sz="1000" b="1"/>
            <a:t>DESPESAS</a:t>
          </a:r>
          <a:br>
            <a:rPr lang="en-GB" sz="1000" b="1"/>
          </a:br>
          <a:r>
            <a:rPr lang="en-GB" sz="1000" b="1"/>
            <a:t>VARIÁVEIS?</a:t>
          </a:r>
        </a:p>
      </xdr:txBody>
    </xdr:sp>
    <xdr:clientData/>
  </xdr:twoCellAnchor>
  <xdr:twoCellAnchor>
    <xdr:from>
      <xdr:col>0</xdr:col>
      <xdr:colOff>136072</xdr:colOff>
      <xdr:row>8</xdr:row>
      <xdr:rowOff>104775</xdr:rowOff>
    </xdr:from>
    <xdr:to>
      <xdr:col>3</xdr:col>
      <xdr:colOff>81643</xdr:colOff>
      <xdr:row>11</xdr:row>
      <xdr:rowOff>76201</xdr:rowOff>
    </xdr:to>
    <xdr:sp macro="" textlink="">
      <xdr:nvSpPr>
        <xdr:cNvPr id="3" name="Retângulo: Cantos Arredondados 2">
          <a:extLst>
            <a:ext uri="{FF2B5EF4-FFF2-40B4-BE49-F238E27FC236}">
              <a16:creationId xmlns:a16="http://schemas.microsoft.com/office/drawing/2014/main" id="{432099E0-BC2B-4C31-8A3D-27DA2A0596C7}"/>
            </a:ext>
          </a:extLst>
        </xdr:cNvPr>
        <xdr:cNvSpPr/>
      </xdr:nvSpPr>
      <xdr:spPr>
        <a:xfrm>
          <a:off x="136072" y="1628775"/>
          <a:ext cx="831396" cy="542926"/>
        </a:xfrm>
        <a:prstGeom prst="roundRect">
          <a:avLst>
            <a:gd name="adj" fmla="val 7028"/>
          </a:avLst>
        </a:prstGeom>
        <a:solidFill>
          <a:srgbClr val="007CA8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CONSEGUI</a:t>
          </a:r>
          <a:br>
            <a:rPr lang="en-GB" sz="1000" b="1"/>
          </a:br>
          <a:r>
            <a:rPr lang="en-GB" sz="1000" b="1"/>
            <a:t>JUNTAR</a:t>
          </a:r>
          <a:br>
            <a:rPr lang="en-GB" sz="1000" b="1"/>
          </a:br>
          <a:r>
            <a:rPr lang="en-GB" sz="1000" b="1"/>
            <a:t>DINHEIRO?</a:t>
          </a:r>
        </a:p>
      </xdr:txBody>
    </xdr:sp>
    <xdr:clientData/>
  </xdr:twoCellAnchor>
  <xdr:twoCellAnchor>
    <xdr:from>
      <xdr:col>0</xdr:col>
      <xdr:colOff>136072</xdr:colOff>
      <xdr:row>19</xdr:row>
      <xdr:rowOff>104775</xdr:rowOff>
    </xdr:from>
    <xdr:to>
      <xdr:col>3</xdr:col>
      <xdr:colOff>81643</xdr:colOff>
      <xdr:row>22</xdr:row>
      <xdr:rowOff>57151</xdr:rowOff>
    </xdr:to>
    <xdr:sp macro="" textlink="">
      <xdr:nvSpPr>
        <xdr:cNvPr id="4" name="Retângulo: Cantos Arredondados 3">
          <a:extLst>
            <a:ext uri="{FF2B5EF4-FFF2-40B4-BE49-F238E27FC236}">
              <a16:creationId xmlns:a16="http://schemas.microsoft.com/office/drawing/2014/main" id="{A124EC43-17A6-4032-82C3-34B2C1B1491B}"/>
            </a:ext>
          </a:extLst>
        </xdr:cNvPr>
        <xdr:cNvSpPr/>
      </xdr:nvSpPr>
      <xdr:spPr>
        <a:xfrm>
          <a:off x="136072" y="3724275"/>
          <a:ext cx="831396" cy="523876"/>
        </a:xfrm>
        <a:prstGeom prst="roundRect">
          <a:avLst>
            <a:gd name="adj" fmla="val 7028"/>
          </a:avLst>
        </a:prstGeom>
        <a:solidFill>
          <a:srgbClr val="007CA8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CONSEGUI</a:t>
          </a:r>
          <a:br>
            <a:rPr lang="en-GB" sz="1000" b="1"/>
          </a:br>
          <a:r>
            <a:rPr lang="en-GB" sz="1000" b="1"/>
            <a:t>GUARDAR E</a:t>
          </a:r>
          <a:br>
            <a:rPr lang="en-GB" sz="1000" b="1"/>
          </a:br>
          <a:r>
            <a:rPr lang="en-GB" sz="1000" b="1"/>
            <a:t>INVESTIR?</a:t>
          </a:r>
        </a:p>
      </xdr:txBody>
    </xdr:sp>
    <xdr:clientData/>
  </xdr:twoCellAnchor>
  <xdr:oneCellAnchor>
    <xdr:from>
      <xdr:col>2</xdr:col>
      <xdr:colOff>282383</xdr:colOff>
      <xdr:row>20</xdr:row>
      <xdr:rowOff>118215</xdr:rowOff>
    </xdr:from>
    <xdr:ext cx="399499" cy="396000"/>
    <xdr:pic>
      <xdr:nvPicPr>
        <xdr:cNvPr id="5" name="Gráfico 4" descr="Cofrinho">
          <a:extLst>
            <a:ext uri="{FF2B5EF4-FFF2-40B4-BE49-F238E27FC236}">
              <a16:creationId xmlns:a16="http://schemas.microsoft.com/office/drawing/2014/main" id="{20C02605-6B11-4CEF-8311-AEA26279FC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872933" y="3928215"/>
          <a:ext cx="399499" cy="396000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2</xdr:col>
      <xdr:colOff>283926</xdr:colOff>
      <xdr:row>9</xdr:row>
      <xdr:rowOff>151343</xdr:rowOff>
    </xdr:from>
    <xdr:ext cx="396412" cy="396000"/>
    <xdr:pic>
      <xdr:nvPicPr>
        <xdr:cNvPr id="6" name="Gráfico 5" descr="Carteira">
          <a:extLst>
            <a:ext uri="{FF2B5EF4-FFF2-40B4-BE49-F238E27FC236}">
              <a16:creationId xmlns:a16="http://schemas.microsoft.com/office/drawing/2014/main" id="{253537A7-8955-44C8-8E25-E5AF0FF827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874476" y="1865843"/>
          <a:ext cx="396412" cy="396000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3923</xdr:colOff>
      <xdr:row>31</xdr:row>
      <xdr:rowOff>89647</xdr:rowOff>
    </xdr:from>
    <xdr:to>
      <xdr:col>3</xdr:col>
      <xdr:colOff>99173</xdr:colOff>
      <xdr:row>34</xdr:row>
      <xdr:rowOff>79002</xdr:rowOff>
    </xdr:to>
    <xdr:sp macro="" textlink="">
      <xdr:nvSpPr>
        <xdr:cNvPr id="7" name="Retângulo: Cantos Arredondados 6">
          <a:extLst>
            <a:ext uri="{FF2B5EF4-FFF2-40B4-BE49-F238E27FC236}">
              <a16:creationId xmlns:a16="http://schemas.microsoft.com/office/drawing/2014/main" id="{A5080B17-0504-4A8A-8E60-B71D65223F86}"/>
            </a:ext>
          </a:extLst>
        </xdr:cNvPr>
        <xdr:cNvSpPr/>
      </xdr:nvSpPr>
      <xdr:spPr>
        <a:xfrm>
          <a:off x="299198" y="5995147"/>
          <a:ext cx="685800" cy="560855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REDUZI</a:t>
          </a:r>
          <a:br>
            <a:rPr lang="en-GB" sz="1000" b="1"/>
          </a:br>
          <a:r>
            <a:rPr lang="en-GB" sz="1000" b="1"/>
            <a:t>DESPESAS</a:t>
          </a:r>
          <a:br>
            <a:rPr lang="en-GB" sz="1000" b="1"/>
          </a:br>
          <a:r>
            <a:rPr lang="en-GB" sz="1000" b="1"/>
            <a:t>F</a:t>
          </a:r>
          <a:r>
            <a:rPr lang="en-GB" sz="1000" b="1" baseline="0"/>
            <a:t>IXAS?</a:t>
          </a:r>
          <a:endParaRPr lang="en-GB" sz="1000" b="1"/>
        </a:p>
      </xdr:txBody>
    </xdr:sp>
    <xdr:clientData/>
  </xdr:twoCellAnchor>
  <xdr:oneCellAnchor>
    <xdr:from>
      <xdr:col>2</xdr:col>
      <xdr:colOff>315419</xdr:colOff>
      <xdr:row>32</xdr:row>
      <xdr:rowOff>144489</xdr:rowOff>
    </xdr:from>
    <xdr:ext cx="394594" cy="396000"/>
    <xdr:pic>
      <xdr:nvPicPr>
        <xdr:cNvPr id="8" name="Gráfico 7" descr="Eletricista">
          <a:extLst>
            <a:ext uri="{FF2B5EF4-FFF2-40B4-BE49-F238E27FC236}">
              <a16:creationId xmlns:a16="http://schemas.microsoft.com/office/drawing/2014/main" id="{62BAC3D3-4CB4-4A5C-B684-CD42D65149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6"/>
            </a:ext>
          </a:extLst>
        </a:blip>
        <a:stretch>
          <a:fillRect/>
        </a:stretch>
      </xdr:blipFill>
      <xdr:spPr>
        <a:xfrm>
          <a:off x="886919" y="6240489"/>
          <a:ext cx="394594" cy="396000"/>
        </a:xfrm>
        <a:prstGeom prst="rect">
          <a:avLst/>
        </a:prstGeom>
        <a:effectLst/>
      </xdr:spPr>
    </xdr:pic>
    <xdr:clientData/>
  </xdr:oneCellAnchor>
  <xdr:oneCellAnchor>
    <xdr:from>
      <xdr:col>2</xdr:col>
      <xdr:colOff>311917</xdr:colOff>
      <xdr:row>55</xdr:row>
      <xdr:rowOff>132264</xdr:rowOff>
    </xdr:from>
    <xdr:ext cx="401599" cy="396000"/>
    <xdr:pic>
      <xdr:nvPicPr>
        <xdr:cNvPr id="9" name="Gráfico 8" descr="Artista">
          <a:extLst>
            <a:ext uri="{FF2B5EF4-FFF2-40B4-BE49-F238E27FC236}">
              <a16:creationId xmlns:a16="http://schemas.microsoft.com/office/drawing/2014/main" id="{3AF4DE96-EC06-4E48-946F-94F0617B47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8"/>
            </a:ext>
          </a:extLst>
        </a:blip>
        <a:stretch>
          <a:fillRect/>
        </a:stretch>
      </xdr:blipFill>
      <xdr:spPr>
        <a:xfrm>
          <a:off x="883417" y="10609764"/>
          <a:ext cx="401599" cy="396000"/>
        </a:xfrm>
        <a:prstGeom prst="rect">
          <a:avLst/>
        </a:prstGeom>
        <a:effectLst/>
      </xdr:spPr>
    </xdr:pic>
    <xdr:clientData/>
  </xdr:oneCellAnchor>
  <xdr:twoCellAnchor>
    <xdr:from>
      <xdr:col>16</xdr:col>
      <xdr:colOff>0</xdr:colOff>
      <xdr:row>1</xdr:row>
      <xdr:rowOff>123264</xdr:rowOff>
    </xdr:from>
    <xdr:to>
      <xdr:col>16</xdr:col>
      <xdr:colOff>0</xdr:colOff>
      <xdr:row>1</xdr:row>
      <xdr:rowOff>202601</xdr:rowOff>
    </xdr:to>
    <xdr:sp macro="" textlink="">
      <xdr:nvSpPr>
        <xdr:cNvPr id="10" name="Fluxograma: Operação Manual 9">
          <a:extLst>
            <a:ext uri="{FF2B5EF4-FFF2-40B4-BE49-F238E27FC236}">
              <a16:creationId xmlns:a16="http://schemas.microsoft.com/office/drawing/2014/main" id="{CCE8AF6A-9B69-4911-B85C-BB47EA57BBA3}"/>
            </a:ext>
          </a:extLst>
        </xdr:cNvPr>
        <xdr:cNvSpPr/>
      </xdr:nvSpPr>
      <xdr:spPr>
        <a:xfrm rot="10800000">
          <a:off x="4724400" y="313764"/>
          <a:ext cx="0" cy="69812"/>
        </a:xfrm>
        <a:prstGeom prst="flowChartManualOperation">
          <a:avLst/>
        </a:prstGeom>
        <a:gradFill flip="none" rotWithShape="1">
          <a:gsLst>
            <a:gs pos="0">
              <a:srgbClr val="00B0F0"/>
            </a:gs>
            <a:gs pos="68000">
              <a:srgbClr val="FFF6D9">
                <a:shade val="67500"/>
                <a:satMod val="115000"/>
              </a:srgbClr>
            </a:gs>
            <a:gs pos="100000">
              <a:srgbClr val="FFF6D9">
                <a:shade val="100000"/>
                <a:satMod val="115000"/>
              </a:srgbClr>
            </a:gs>
          </a:gsLst>
          <a:lin ang="16200000" scaled="0"/>
          <a:tileRect/>
        </a:gra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</xdr:col>
      <xdr:colOff>0</xdr:colOff>
      <xdr:row>76</xdr:row>
      <xdr:rowOff>104775</xdr:rowOff>
    </xdr:from>
    <xdr:to>
      <xdr:col>3</xdr:col>
      <xdr:colOff>95250</xdr:colOff>
      <xdr:row>79</xdr:row>
      <xdr:rowOff>76201</xdr:rowOff>
    </xdr:to>
    <xdr:sp macro="" textlink="">
      <xdr:nvSpPr>
        <xdr:cNvPr id="11" name="Retângulo: Cantos Arredondados 10">
          <a:extLst>
            <a:ext uri="{FF2B5EF4-FFF2-40B4-BE49-F238E27FC236}">
              <a16:creationId xmlns:a16="http://schemas.microsoft.com/office/drawing/2014/main" id="{017664F3-6F54-4EC1-BF36-75A6BCE219A4}"/>
            </a:ext>
          </a:extLst>
        </xdr:cNvPr>
        <xdr:cNvSpPr/>
      </xdr:nvSpPr>
      <xdr:spPr>
        <a:xfrm>
          <a:off x="295275" y="14582775"/>
          <a:ext cx="68580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AUMENTEI</a:t>
          </a:r>
          <a:br>
            <a:rPr lang="en-GB" sz="1000" b="1"/>
          </a:br>
          <a:r>
            <a:rPr lang="en-GB" sz="1000" b="1"/>
            <a:t>GANHOS</a:t>
          </a:r>
          <a:br>
            <a:rPr lang="en-GB" sz="1000" b="1"/>
          </a:br>
          <a:r>
            <a:rPr lang="en-GB" sz="1000" b="1"/>
            <a:t>FIXOS?</a:t>
          </a:r>
        </a:p>
      </xdr:txBody>
    </xdr:sp>
    <xdr:clientData/>
  </xdr:twoCellAnchor>
  <xdr:oneCellAnchor>
    <xdr:from>
      <xdr:col>23</xdr:col>
      <xdr:colOff>212911</xdr:colOff>
      <xdr:row>2</xdr:row>
      <xdr:rowOff>349</xdr:rowOff>
    </xdr:from>
    <xdr:ext cx="310402" cy="310040"/>
    <xdr:pic>
      <xdr:nvPicPr>
        <xdr:cNvPr id="12" name="Gráfico 11" descr="Impressão digital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2E264440-FBB0-4E43-9F0D-2C1FC1249F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1"/>
            </a:ext>
          </a:extLst>
        </a:blip>
        <a:stretch>
          <a:fillRect/>
        </a:stretch>
      </xdr:blipFill>
      <xdr:spPr>
        <a:xfrm>
          <a:off x="7004236" y="381349"/>
          <a:ext cx="310402" cy="310040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21</xdr:col>
      <xdr:colOff>179294</xdr:colOff>
      <xdr:row>1</xdr:row>
      <xdr:rowOff>174813</xdr:rowOff>
    </xdr:from>
    <xdr:ext cx="380379" cy="364525"/>
    <xdr:pic>
      <xdr:nvPicPr>
        <xdr:cNvPr id="13" name="Gráfico 12" descr="Trancar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id="{3AE22102-D481-4164-B61F-6BB31B0931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4"/>
            </a:ext>
          </a:extLst>
        </a:blip>
        <a:stretch>
          <a:fillRect/>
        </a:stretch>
      </xdr:blipFill>
      <xdr:spPr>
        <a:xfrm>
          <a:off x="6380069" y="365313"/>
          <a:ext cx="380379" cy="364525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1</xdr:col>
      <xdr:colOff>1765</xdr:colOff>
      <xdr:row>8</xdr:row>
      <xdr:rowOff>112059</xdr:rowOff>
    </xdr:from>
    <xdr:ext cx="246528" cy="246528"/>
    <xdr:pic>
      <xdr:nvPicPr>
        <xdr:cNvPr id="14" name="Gráfico 13" descr="Ajudar">
          <a:extLst>
            <a:ext uri="{FF2B5EF4-FFF2-40B4-BE49-F238E27FC236}">
              <a16:creationId xmlns:a16="http://schemas.microsoft.com/office/drawing/2014/main" id="{0135AD8D-8964-4EE3-8A7D-0A73A5DE6F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6"/>
            </a:ext>
          </a:extLst>
        </a:blip>
        <a:stretch>
          <a:fillRect/>
        </a:stretch>
      </xdr:blipFill>
      <xdr:spPr>
        <a:xfrm>
          <a:off x="297040" y="1636059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0</xdr:col>
      <xdr:colOff>142958</xdr:colOff>
      <xdr:row>19</xdr:row>
      <xdr:rowOff>107577</xdr:rowOff>
    </xdr:from>
    <xdr:ext cx="246528" cy="246528"/>
    <xdr:pic>
      <xdr:nvPicPr>
        <xdr:cNvPr id="15" name="Gráfico 14" descr="Ajudar">
          <a:extLst>
            <a:ext uri="{FF2B5EF4-FFF2-40B4-BE49-F238E27FC236}">
              <a16:creationId xmlns:a16="http://schemas.microsoft.com/office/drawing/2014/main" id="{135276B7-4888-4BA3-9E91-84910E679F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6"/>
            </a:ext>
          </a:extLst>
        </a:blip>
        <a:stretch>
          <a:fillRect/>
        </a:stretch>
      </xdr:blipFill>
      <xdr:spPr>
        <a:xfrm>
          <a:off x="142958" y="3727077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1</xdr:col>
      <xdr:colOff>15211</xdr:colOff>
      <xdr:row>31</xdr:row>
      <xdr:rowOff>103094</xdr:rowOff>
    </xdr:from>
    <xdr:ext cx="246528" cy="246528"/>
    <xdr:pic>
      <xdr:nvPicPr>
        <xdr:cNvPr id="16" name="Gráfico 15" descr="Ajudar">
          <a:extLst>
            <a:ext uri="{FF2B5EF4-FFF2-40B4-BE49-F238E27FC236}">
              <a16:creationId xmlns:a16="http://schemas.microsoft.com/office/drawing/2014/main" id="{82C34066-0C01-46A2-8F3F-353FE0B876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6"/>
            </a:ext>
          </a:extLst>
        </a:blip>
        <a:stretch>
          <a:fillRect/>
        </a:stretch>
      </xdr:blipFill>
      <xdr:spPr>
        <a:xfrm>
          <a:off x="310486" y="6008594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1</xdr:col>
      <xdr:colOff>10727</xdr:colOff>
      <xdr:row>54</xdr:row>
      <xdr:rowOff>87407</xdr:rowOff>
    </xdr:from>
    <xdr:ext cx="246528" cy="246528"/>
    <xdr:pic>
      <xdr:nvPicPr>
        <xdr:cNvPr id="17" name="Gráfico 16" descr="Ajudar">
          <a:extLst>
            <a:ext uri="{FF2B5EF4-FFF2-40B4-BE49-F238E27FC236}">
              <a16:creationId xmlns:a16="http://schemas.microsoft.com/office/drawing/2014/main" id="{A33E6876-F94E-4AC0-9173-B18372DA36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6"/>
            </a:ext>
          </a:extLst>
        </a:blip>
        <a:stretch>
          <a:fillRect/>
        </a:stretch>
      </xdr:blipFill>
      <xdr:spPr>
        <a:xfrm>
          <a:off x="306002" y="10374407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1</xdr:col>
      <xdr:colOff>6244</xdr:colOff>
      <xdr:row>76</xdr:row>
      <xdr:rowOff>116542</xdr:rowOff>
    </xdr:from>
    <xdr:ext cx="246528" cy="246528"/>
    <xdr:pic>
      <xdr:nvPicPr>
        <xdr:cNvPr id="18" name="Gráfico 17" descr="Ajudar">
          <a:extLst>
            <a:ext uri="{FF2B5EF4-FFF2-40B4-BE49-F238E27FC236}">
              <a16:creationId xmlns:a16="http://schemas.microsoft.com/office/drawing/2014/main" id="{F05B9ED5-3E10-4D08-A21A-285FCE0F2E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6"/>
            </a:ext>
          </a:extLst>
        </a:blip>
        <a:stretch>
          <a:fillRect/>
        </a:stretch>
      </xdr:blipFill>
      <xdr:spPr>
        <a:xfrm>
          <a:off x="301519" y="14594542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90</xdr:row>
      <xdr:rowOff>104775</xdr:rowOff>
    </xdr:from>
    <xdr:to>
      <xdr:col>3</xdr:col>
      <xdr:colOff>95250</xdr:colOff>
      <xdr:row>93</xdr:row>
      <xdr:rowOff>76201</xdr:rowOff>
    </xdr:to>
    <xdr:sp macro="" textlink="">
      <xdr:nvSpPr>
        <xdr:cNvPr id="19" name="Retângulo: Cantos Arredondados 18">
          <a:extLst>
            <a:ext uri="{FF2B5EF4-FFF2-40B4-BE49-F238E27FC236}">
              <a16:creationId xmlns:a16="http://schemas.microsoft.com/office/drawing/2014/main" id="{9AA9006D-5C4A-4CC4-8B66-55B5C7BF3C94}"/>
            </a:ext>
          </a:extLst>
        </xdr:cNvPr>
        <xdr:cNvSpPr/>
      </xdr:nvSpPr>
      <xdr:spPr>
        <a:xfrm>
          <a:off x="295275" y="17249775"/>
          <a:ext cx="68580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AUMENTEI</a:t>
          </a:r>
          <a:br>
            <a:rPr lang="en-GB" sz="1000" b="1"/>
          </a:br>
          <a:r>
            <a:rPr lang="en-GB" sz="1000" b="1"/>
            <a:t>GANHOS</a:t>
          </a:r>
          <a:br>
            <a:rPr lang="en-GB" sz="1000" b="1"/>
          </a:br>
          <a:r>
            <a:rPr lang="en-GB" sz="1000" b="1"/>
            <a:t>VARIÁVEIS?</a:t>
          </a:r>
        </a:p>
      </xdr:txBody>
    </xdr:sp>
    <xdr:clientData/>
  </xdr:twoCellAnchor>
  <xdr:oneCellAnchor>
    <xdr:from>
      <xdr:col>1</xdr:col>
      <xdr:colOff>6244</xdr:colOff>
      <xdr:row>90</xdr:row>
      <xdr:rowOff>116542</xdr:rowOff>
    </xdr:from>
    <xdr:ext cx="246528" cy="246528"/>
    <xdr:pic>
      <xdr:nvPicPr>
        <xdr:cNvPr id="20" name="Gráfico 19" descr="Ajudar">
          <a:extLst>
            <a:ext uri="{FF2B5EF4-FFF2-40B4-BE49-F238E27FC236}">
              <a16:creationId xmlns:a16="http://schemas.microsoft.com/office/drawing/2014/main" id="{AC481743-8E86-4F6C-9FD2-4AD6DDBA7A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6"/>
            </a:ext>
          </a:extLst>
        </a:blip>
        <a:stretch>
          <a:fillRect/>
        </a:stretch>
      </xdr:blipFill>
      <xdr:spPr>
        <a:xfrm>
          <a:off x="301519" y="17261542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107</xdr:row>
      <xdr:rowOff>104775</xdr:rowOff>
    </xdr:from>
    <xdr:to>
      <xdr:col>3</xdr:col>
      <xdr:colOff>95250</xdr:colOff>
      <xdr:row>110</xdr:row>
      <xdr:rowOff>76201</xdr:rowOff>
    </xdr:to>
    <xdr:sp macro="" textlink="">
      <xdr:nvSpPr>
        <xdr:cNvPr id="21" name="Retângulo: Cantos Arredondados 20">
          <a:extLst>
            <a:ext uri="{FF2B5EF4-FFF2-40B4-BE49-F238E27FC236}">
              <a16:creationId xmlns:a16="http://schemas.microsoft.com/office/drawing/2014/main" id="{69E062D1-7013-45C5-8BAF-58D3C7463192}"/>
            </a:ext>
          </a:extLst>
        </xdr:cNvPr>
        <xdr:cNvSpPr/>
      </xdr:nvSpPr>
      <xdr:spPr>
        <a:xfrm>
          <a:off x="295275" y="20488275"/>
          <a:ext cx="68580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INVESTI</a:t>
          </a:r>
          <a:r>
            <a:rPr lang="en-GB" sz="1000" b="1" baseline="0"/>
            <a:t> EM</a:t>
          </a:r>
          <a:br>
            <a:rPr lang="en-GB" sz="1000" b="1"/>
          </a:br>
          <a:r>
            <a:rPr lang="en-GB" sz="1000" b="1"/>
            <a:t>RENDA</a:t>
          </a:r>
          <a:br>
            <a:rPr lang="en-GB" sz="1000" b="1"/>
          </a:br>
          <a:r>
            <a:rPr lang="en-GB" sz="1000" b="1" baseline="0"/>
            <a:t>FIXA?</a:t>
          </a:r>
          <a:endParaRPr lang="en-GB" sz="1000" b="1"/>
        </a:p>
      </xdr:txBody>
    </xdr:sp>
    <xdr:clientData/>
  </xdr:twoCellAnchor>
  <xdr:oneCellAnchor>
    <xdr:from>
      <xdr:col>1</xdr:col>
      <xdr:colOff>6244</xdr:colOff>
      <xdr:row>107</xdr:row>
      <xdr:rowOff>116542</xdr:rowOff>
    </xdr:from>
    <xdr:ext cx="246528" cy="246528"/>
    <xdr:pic>
      <xdr:nvPicPr>
        <xdr:cNvPr id="22" name="Gráfico 21" descr="Ajudar">
          <a:extLst>
            <a:ext uri="{FF2B5EF4-FFF2-40B4-BE49-F238E27FC236}">
              <a16:creationId xmlns:a16="http://schemas.microsoft.com/office/drawing/2014/main" id="{6CA180F7-6230-40EC-A5E7-CDA97B6DC5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6"/>
            </a:ext>
          </a:extLst>
        </a:blip>
        <a:stretch>
          <a:fillRect/>
        </a:stretch>
      </xdr:blipFill>
      <xdr:spPr>
        <a:xfrm>
          <a:off x="301519" y="20500042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126</xdr:row>
      <xdr:rowOff>104775</xdr:rowOff>
    </xdr:from>
    <xdr:to>
      <xdr:col>3</xdr:col>
      <xdr:colOff>95250</xdr:colOff>
      <xdr:row>129</xdr:row>
      <xdr:rowOff>76201</xdr:rowOff>
    </xdr:to>
    <xdr:sp macro="" textlink="">
      <xdr:nvSpPr>
        <xdr:cNvPr id="23" name="Retângulo: Cantos Arredondados 22">
          <a:extLst>
            <a:ext uri="{FF2B5EF4-FFF2-40B4-BE49-F238E27FC236}">
              <a16:creationId xmlns:a16="http://schemas.microsoft.com/office/drawing/2014/main" id="{173C67EA-7F6F-4B23-AA7D-2C6220555DF1}"/>
            </a:ext>
          </a:extLst>
        </xdr:cNvPr>
        <xdr:cNvSpPr/>
      </xdr:nvSpPr>
      <xdr:spPr>
        <a:xfrm>
          <a:off x="295275" y="24107775"/>
          <a:ext cx="68580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INVESTI EM</a:t>
          </a:r>
          <a:br>
            <a:rPr lang="en-GB" sz="1000" b="1"/>
          </a:br>
          <a:r>
            <a:rPr lang="en-GB" sz="1000" b="1"/>
            <a:t>RENDA </a:t>
          </a:r>
          <a:r>
            <a:rPr lang="en-GB" sz="1000" b="1" baseline="0"/>
            <a:t>VARIÁVEL?</a:t>
          </a:r>
          <a:endParaRPr lang="en-GB" sz="1000" b="1"/>
        </a:p>
      </xdr:txBody>
    </xdr:sp>
    <xdr:clientData/>
  </xdr:twoCellAnchor>
  <xdr:oneCellAnchor>
    <xdr:from>
      <xdr:col>1</xdr:col>
      <xdr:colOff>6244</xdr:colOff>
      <xdr:row>126</xdr:row>
      <xdr:rowOff>116542</xdr:rowOff>
    </xdr:from>
    <xdr:ext cx="246528" cy="246528"/>
    <xdr:pic>
      <xdr:nvPicPr>
        <xdr:cNvPr id="24" name="Gráfico 23" descr="Ajudar">
          <a:extLst>
            <a:ext uri="{FF2B5EF4-FFF2-40B4-BE49-F238E27FC236}">
              <a16:creationId xmlns:a16="http://schemas.microsoft.com/office/drawing/2014/main" id="{E6F1F622-6C8D-4E73-8A34-86E1AABEBB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6"/>
            </a:ext>
          </a:extLst>
        </a:blip>
        <a:stretch>
          <a:fillRect/>
        </a:stretch>
      </xdr:blipFill>
      <xdr:spPr>
        <a:xfrm>
          <a:off x="301519" y="24119542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145</xdr:row>
      <xdr:rowOff>104775</xdr:rowOff>
    </xdr:from>
    <xdr:to>
      <xdr:col>3</xdr:col>
      <xdr:colOff>95250</xdr:colOff>
      <xdr:row>148</xdr:row>
      <xdr:rowOff>76201</xdr:rowOff>
    </xdr:to>
    <xdr:sp macro="" textlink="">
      <xdr:nvSpPr>
        <xdr:cNvPr id="25" name="Retângulo: Cantos Arredondados 24">
          <a:extLst>
            <a:ext uri="{FF2B5EF4-FFF2-40B4-BE49-F238E27FC236}">
              <a16:creationId xmlns:a16="http://schemas.microsoft.com/office/drawing/2014/main" id="{828CDF0B-07C3-43B3-8B7F-9FEE23A477F7}"/>
            </a:ext>
          </a:extLst>
        </xdr:cNvPr>
        <xdr:cNvSpPr/>
      </xdr:nvSpPr>
      <xdr:spPr>
        <a:xfrm>
          <a:off x="295275" y="27727275"/>
          <a:ext cx="68580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INVESTI</a:t>
          </a:r>
          <a:r>
            <a:rPr lang="en-GB" sz="1000" b="1" baseline="0"/>
            <a:t> EM</a:t>
          </a:r>
          <a:br>
            <a:rPr lang="en-GB" sz="1000" b="1"/>
          </a:br>
          <a:r>
            <a:rPr lang="en-GB" sz="1000" b="1"/>
            <a:t>OUTROS</a:t>
          </a:r>
          <a:br>
            <a:rPr lang="en-GB" sz="1000" b="1"/>
          </a:br>
          <a:r>
            <a:rPr lang="en-GB" sz="1000" b="1"/>
            <a:t>ATIVOS?</a:t>
          </a:r>
        </a:p>
      </xdr:txBody>
    </xdr:sp>
    <xdr:clientData/>
  </xdr:twoCellAnchor>
  <xdr:oneCellAnchor>
    <xdr:from>
      <xdr:col>1</xdr:col>
      <xdr:colOff>6244</xdr:colOff>
      <xdr:row>145</xdr:row>
      <xdr:rowOff>116542</xdr:rowOff>
    </xdr:from>
    <xdr:ext cx="246528" cy="246528"/>
    <xdr:pic>
      <xdr:nvPicPr>
        <xdr:cNvPr id="26" name="Gráfico 25" descr="Ajudar">
          <a:extLst>
            <a:ext uri="{FF2B5EF4-FFF2-40B4-BE49-F238E27FC236}">
              <a16:creationId xmlns:a16="http://schemas.microsoft.com/office/drawing/2014/main" id="{1A3FC3CF-715A-47F5-89B1-6016639608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6"/>
            </a:ext>
          </a:extLst>
        </a:blip>
        <a:stretch>
          <a:fillRect/>
        </a:stretch>
      </xdr:blipFill>
      <xdr:spPr>
        <a:xfrm>
          <a:off x="301519" y="27739042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162</xdr:row>
      <xdr:rowOff>104775</xdr:rowOff>
    </xdr:from>
    <xdr:to>
      <xdr:col>3</xdr:col>
      <xdr:colOff>95250</xdr:colOff>
      <xdr:row>165</xdr:row>
      <xdr:rowOff>76201</xdr:rowOff>
    </xdr:to>
    <xdr:sp macro="" textlink="">
      <xdr:nvSpPr>
        <xdr:cNvPr id="27" name="Retângulo: Cantos Arredondados 26">
          <a:extLst>
            <a:ext uri="{FF2B5EF4-FFF2-40B4-BE49-F238E27FC236}">
              <a16:creationId xmlns:a16="http://schemas.microsoft.com/office/drawing/2014/main" id="{D7A9206A-023E-4379-8B8B-DDF2AA077C34}"/>
            </a:ext>
          </a:extLst>
        </xdr:cNvPr>
        <xdr:cNvSpPr/>
      </xdr:nvSpPr>
      <xdr:spPr>
        <a:xfrm>
          <a:off x="295275" y="30965775"/>
          <a:ext cx="68580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GUARDEI</a:t>
          </a:r>
          <a:br>
            <a:rPr lang="en-GB" sz="1000" b="1"/>
          </a:br>
          <a:r>
            <a:rPr lang="en-GB" sz="1000" b="1"/>
            <a:t>RESERVA EM</a:t>
          </a:r>
          <a:br>
            <a:rPr lang="en-GB" sz="1000" b="1"/>
          </a:br>
          <a:r>
            <a:rPr lang="en-GB" sz="1000" b="1"/>
            <a:t>RENDA</a:t>
          </a:r>
          <a:r>
            <a:rPr lang="en-GB" sz="1000" b="1" baseline="0"/>
            <a:t> </a:t>
          </a:r>
          <a:r>
            <a:rPr lang="en-GB" sz="1000" b="1"/>
            <a:t>FIXA?</a:t>
          </a:r>
        </a:p>
      </xdr:txBody>
    </xdr:sp>
    <xdr:clientData/>
  </xdr:twoCellAnchor>
  <xdr:oneCellAnchor>
    <xdr:from>
      <xdr:col>1</xdr:col>
      <xdr:colOff>6244</xdr:colOff>
      <xdr:row>162</xdr:row>
      <xdr:rowOff>116542</xdr:rowOff>
    </xdr:from>
    <xdr:ext cx="246528" cy="246528"/>
    <xdr:pic>
      <xdr:nvPicPr>
        <xdr:cNvPr id="28" name="Gráfico 27" descr="Ajudar">
          <a:extLst>
            <a:ext uri="{FF2B5EF4-FFF2-40B4-BE49-F238E27FC236}">
              <a16:creationId xmlns:a16="http://schemas.microsoft.com/office/drawing/2014/main" id="{2BC9226E-752B-416A-B9DC-344E00C246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6"/>
            </a:ext>
          </a:extLst>
        </a:blip>
        <a:stretch>
          <a:fillRect/>
        </a:stretch>
      </xdr:blipFill>
      <xdr:spPr>
        <a:xfrm>
          <a:off x="301519" y="30977542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181</xdr:row>
      <xdr:rowOff>104775</xdr:rowOff>
    </xdr:from>
    <xdr:to>
      <xdr:col>3</xdr:col>
      <xdr:colOff>95250</xdr:colOff>
      <xdr:row>184</xdr:row>
      <xdr:rowOff>76201</xdr:rowOff>
    </xdr:to>
    <xdr:sp macro="" textlink="">
      <xdr:nvSpPr>
        <xdr:cNvPr id="29" name="Retângulo: Cantos Arredondados 28">
          <a:extLst>
            <a:ext uri="{FF2B5EF4-FFF2-40B4-BE49-F238E27FC236}">
              <a16:creationId xmlns:a16="http://schemas.microsoft.com/office/drawing/2014/main" id="{EE13CBEA-8C80-46A9-9916-5BBD5627E284}"/>
            </a:ext>
          </a:extLst>
        </xdr:cNvPr>
        <xdr:cNvSpPr/>
      </xdr:nvSpPr>
      <xdr:spPr>
        <a:xfrm>
          <a:off x="295275" y="34585275"/>
          <a:ext cx="68580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/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GUARDEI</a:t>
          </a:r>
          <a:b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RESERVA EM</a:t>
          </a:r>
          <a:b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RENDA</a:t>
          </a:r>
          <a:r>
            <a:rPr lang="en-GB" sz="10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VARIÁVEL?</a:t>
          </a:r>
          <a:endParaRPr lang="en-GB" sz="1000">
            <a:effectLst/>
          </a:endParaRPr>
        </a:p>
      </xdr:txBody>
    </xdr:sp>
    <xdr:clientData/>
  </xdr:twoCellAnchor>
  <xdr:oneCellAnchor>
    <xdr:from>
      <xdr:col>1</xdr:col>
      <xdr:colOff>6244</xdr:colOff>
      <xdr:row>181</xdr:row>
      <xdr:rowOff>116542</xdr:rowOff>
    </xdr:from>
    <xdr:ext cx="246528" cy="246528"/>
    <xdr:pic>
      <xdr:nvPicPr>
        <xdr:cNvPr id="30" name="Gráfico 29" descr="Ajudar">
          <a:extLst>
            <a:ext uri="{FF2B5EF4-FFF2-40B4-BE49-F238E27FC236}">
              <a16:creationId xmlns:a16="http://schemas.microsoft.com/office/drawing/2014/main" id="{45A783AB-B7F7-4087-86DE-10347B0E2C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6"/>
            </a:ext>
          </a:extLst>
        </a:blip>
        <a:stretch>
          <a:fillRect/>
        </a:stretch>
      </xdr:blipFill>
      <xdr:spPr>
        <a:xfrm>
          <a:off x="301519" y="34597042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200</xdr:row>
      <xdr:rowOff>104775</xdr:rowOff>
    </xdr:from>
    <xdr:to>
      <xdr:col>3</xdr:col>
      <xdr:colOff>95250</xdr:colOff>
      <xdr:row>203</xdr:row>
      <xdr:rowOff>76201</xdr:rowOff>
    </xdr:to>
    <xdr:sp macro="" textlink="">
      <xdr:nvSpPr>
        <xdr:cNvPr id="31" name="Retângulo: Cantos Arredondados 30">
          <a:extLst>
            <a:ext uri="{FF2B5EF4-FFF2-40B4-BE49-F238E27FC236}">
              <a16:creationId xmlns:a16="http://schemas.microsoft.com/office/drawing/2014/main" id="{35891904-0385-48F2-AA78-5BF3DBEFD4C3}"/>
            </a:ext>
          </a:extLst>
        </xdr:cNvPr>
        <xdr:cNvSpPr/>
      </xdr:nvSpPr>
      <xdr:spPr>
        <a:xfrm>
          <a:off x="295275" y="38204775"/>
          <a:ext cx="68580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/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GUARDEI</a:t>
          </a:r>
          <a:b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RESERVA EM</a:t>
          </a:r>
          <a:b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OUTROS ATIVOS?</a:t>
          </a:r>
          <a:endParaRPr lang="en-GB" sz="1000">
            <a:effectLst/>
          </a:endParaRPr>
        </a:p>
      </xdr:txBody>
    </xdr:sp>
    <xdr:clientData/>
  </xdr:twoCellAnchor>
  <xdr:oneCellAnchor>
    <xdr:from>
      <xdr:col>1</xdr:col>
      <xdr:colOff>6244</xdr:colOff>
      <xdr:row>200</xdr:row>
      <xdr:rowOff>116542</xdr:rowOff>
    </xdr:from>
    <xdr:ext cx="246528" cy="246528"/>
    <xdr:pic>
      <xdr:nvPicPr>
        <xdr:cNvPr id="32" name="Gráfico 31" descr="Ajudar">
          <a:extLst>
            <a:ext uri="{FF2B5EF4-FFF2-40B4-BE49-F238E27FC236}">
              <a16:creationId xmlns:a16="http://schemas.microsoft.com/office/drawing/2014/main" id="{622610EA-ABBD-4DB1-9E9C-3484A4DA8B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6"/>
            </a:ext>
          </a:extLst>
        </a:blip>
        <a:stretch>
          <a:fillRect/>
        </a:stretch>
      </xdr:blipFill>
      <xdr:spPr>
        <a:xfrm>
          <a:off x="301519" y="38216542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2</xdr:col>
      <xdr:colOff>319257</xdr:colOff>
      <xdr:row>77</xdr:row>
      <xdr:rowOff>126685</xdr:rowOff>
    </xdr:from>
    <xdr:ext cx="392036" cy="396000"/>
    <xdr:pic>
      <xdr:nvPicPr>
        <xdr:cNvPr id="33" name="Gráfico 32" descr="Dinheiro">
          <a:extLst>
            <a:ext uri="{FF2B5EF4-FFF2-40B4-BE49-F238E27FC236}">
              <a16:creationId xmlns:a16="http://schemas.microsoft.com/office/drawing/2014/main" id="{0BD4C34C-B6AB-401A-960E-420CC80397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8"/>
            </a:ext>
          </a:extLst>
        </a:blip>
        <a:stretch>
          <a:fillRect/>
        </a:stretch>
      </xdr:blipFill>
      <xdr:spPr>
        <a:xfrm flipH="1">
          <a:off x="881232" y="14795185"/>
          <a:ext cx="392036" cy="396000"/>
        </a:xfrm>
        <a:prstGeom prst="rect">
          <a:avLst/>
        </a:prstGeom>
      </xdr:spPr>
    </xdr:pic>
    <xdr:clientData/>
  </xdr:oneCellAnchor>
  <xdr:oneCellAnchor>
    <xdr:from>
      <xdr:col>2</xdr:col>
      <xdr:colOff>319257</xdr:colOff>
      <xdr:row>91</xdr:row>
      <xdr:rowOff>115798</xdr:rowOff>
    </xdr:from>
    <xdr:ext cx="400936" cy="396000"/>
    <xdr:pic>
      <xdr:nvPicPr>
        <xdr:cNvPr id="34" name="Gráfico 33" descr="Dinheiro">
          <a:extLst>
            <a:ext uri="{FF2B5EF4-FFF2-40B4-BE49-F238E27FC236}">
              <a16:creationId xmlns:a16="http://schemas.microsoft.com/office/drawing/2014/main" id="{ADDE8FD3-B4E0-49E8-9BA8-391AB084CB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8"/>
            </a:ext>
          </a:extLst>
        </a:blip>
        <a:stretch>
          <a:fillRect/>
        </a:stretch>
      </xdr:blipFill>
      <xdr:spPr>
        <a:xfrm flipH="1">
          <a:off x="881232" y="17451298"/>
          <a:ext cx="400936" cy="396000"/>
        </a:xfrm>
        <a:prstGeom prst="rect">
          <a:avLst/>
        </a:prstGeom>
      </xdr:spPr>
    </xdr:pic>
    <xdr:clientData/>
  </xdr:oneCellAnchor>
  <xdr:oneCellAnchor>
    <xdr:from>
      <xdr:col>2</xdr:col>
      <xdr:colOff>330528</xdr:colOff>
      <xdr:row>108</xdr:row>
      <xdr:rowOff>134224</xdr:rowOff>
    </xdr:from>
    <xdr:ext cx="392250" cy="406701"/>
    <xdr:pic>
      <xdr:nvPicPr>
        <xdr:cNvPr id="35" name="Gráfico 34" descr="Moedas">
          <a:extLst>
            <a:ext uri="{FF2B5EF4-FFF2-40B4-BE49-F238E27FC236}">
              <a16:creationId xmlns:a16="http://schemas.microsoft.com/office/drawing/2014/main" id="{9EE387FC-F18A-4EDB-BD96-CB4983C76D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0"/>
            </a:ext>
          </a:extLst>
        </a:blip>
        <a:stretch>
          <a:fillRect/>
        </a:stretch>
      </xdr:blipFill>
      <xdr:spPr>
        <a:xfrm flipH="1">
          <a:off x="882978" y="20708224"/>
          <a:ext cx="392250" cy="406701"/>
        </a:xfrm>
        <a:prstGeom prst="rect">
          <a:avLst/>
        </a:prstGeom>
      </xdr:spPr>
    </xdr:pic>
    <xdr:clientData/>
  </xdr:oneCellAnchor>
  <xdr:oneCellAnchor>
    <xdr:from>
      <xdr:col>2</xdr:col>
      <xdr:colOff>285751</xdr:colOff>
      <xdr:row>127</xdr:row>
      <xdr:rowOff>149678</xdr:rowOff>
    </xdr:from>
    <xdr:ext cx="392250" cy="406703"/>
    <xdr:pic>
      <xdr:nvPicPr>
        <xdr:cNvPr id="36" name="Gráfico 35" descr="Moedas">
          <a:extLst>
            <a:ext uri="{FF2B5EF4-FFF2-40B4-BE49-F238E27FC236}">
              <a16:creationId xmlns:a16="http://schemas.microsoft.com/office/drawing/2014/main" id="{6C6CB369-AC62-4785-88CB-CF1374735A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0"/>
            </a:ext>
          </a:extLst>
        </a:blip>
        <a:stretch>
          <a:fillRect/>
        </a:stretch>
      </xdr:blipFill>
      <xdr:spPr>
        <a:xfrm flipH="1">
          <a:off x="876301" y="24343178"/>
          <a:ext cx="392250" cy="406703"/>
        </a:xfrm>
        <a:prstGeom prst="rect">
          <a:avLst/>
        </a:prstGeom>
      </xdr:spPr>
    </xdr:pic>
    <xdr:clientData/>
  </xdr:oneCellAnchor>
  <xdr:oneCellAnchor>
    <xdr:from>
      <xdr:col>2</xdr:col>
      <xdr:colOff>288474</xdr:colOff>
      <xdr:row>146</xdr:row>
      <xdr:rowOff>152399</xdr:rowOff>
    </xdr:from>
    <xdr:ext cx="392250" cy="406702"/>
    <xdr:pic>
      <xdr:nvPicPr>
        <xdr:cNvPr id="37" name="Gráfico 36" descr="Moedas">
          <a:extLst>
            <a:ext uri="{FF2B5EF4-FFF2-40B4-BE49-F238E27FC236}">
              <a16:creationId xmlns:a16="http://schemas.microsoft.com/office/drawing/2014/main" id="{84B8A51B-5AA9-4AE5-B89E-9D05D42AB3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0"/>
            </a:ext>
          </a:extLst>
        </a:blip>
        <a:stretch>
          <a:fillRect/>
        </a:stretch>
      </xdr:blipFill>
      <xdr:spPr>
        <a:xfrm flipH="1">
          <a:off x="879024" y="27965399"/>
          <a:ext cx="392250" cy="406702"/>
        </a:xfrm>
        <a:prstGeom prst="rect">
          <a:avLst/>
        </a:prstGeom>
      </xdr:spPr>
    </xdr:pic>
    <xdr:clientData/>
  </xdr:oneCellAnchor>
  <xdr:oneCellAnchor>
    <xdr:from>
      <xdr:col>2</xdr:col>
      <xdr:colOff>300483</xdr:colOff>
      <xdr:row>163</xdr:row>
      <xdr:rowOff>123265</xdr:rowOff>
    </xdr:from>
    <xdr:ext cx="405011" cy="396000"/>
    <xdr:pic>
      <xdr:nvPicPr>
        <xdr:cNvPr id="38" name="Gráfico 37" descr="Sirene">
          <a:extLst>
            <a:ext uri="{FF2B5EF4-FFF2-40B4-BE49-F238E27FC236}">
              <a16:creationId xmlns:a16="http://schemas.microsoft.com/office/drawing/2014/main" id="{23A0C3BA-4B65-4D11-BCEA-CDD57852BA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2"/>
            </a:ext>
          </a:extLst>
        </a:blip>
        <a:stretch>
          <a:fillRect/>
        </a:stretch>
      </xdr:blipFill>
      <xdr:spPr>
        <a:xfrm>
          <a:off x="881508" y="31174765"/>
          <a:ext cx="405011" cy="396000"/>
        </a:xfrm>
        <a:prstGeom prst="rect">
          <a:avLst/>
        </a:prstGeom>
        <a:effectLst/>
      </xdr:spPr>
    </xdr:pic>
    <xdr:clientData/>
  </xdr:oneCellAnchor>
  <xdr:oneCellAnchor>
    <xdr:from>
      <xdr:col>2</xdr:col>
      <xdr:colOff>300483</xdr:colOff>
      <xdr:row>182</xdr:row>
      <xdr:rowOff>107576</xdr:rowOff>
    </xdr:from>
    <xdr:ext cx="405011" cy="396801"/>
    <xdr:pic>
      <xdr:nvPicPr>
        <xdr:cNvPr id="39" name="Gráfico 38" descr="Sirene">
          <a:extLst>
            <a:ext uri="{FF2B5EF4-FFF2-40B4-BE49-F238E27FC236}">
              <a16:creationId xmlns:a16="http://schemas.microsoft.com/office/drawing/2014/main" id="{A833D204-8C8E-4C53-9A4F-0BD112F041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2"/>
            </a:ext>
          </a:extLst>
        </a:blip>
        <a:stretch>
          <a:fillRect/>
        </a:stretch>
      </xdr:blipFill>
      <xdr:spPr>
        <a:xfrm>
          <a:off x="881508" y="34778576"/>
          <a:ext cx="405011" cy="396801"/>
        </a:xfrm>
        <a:prstGeom prst="rect">
          <a:avLst/>
        </a:prstGeom>
        <a:effectLst/>
      </xdr:spPr>
    </xdr:pic>
    <xdr:clientData/>
  </xdr:oneCellAnchor>
  <xdr:oneCellAnchor>
    <xdr:from>
      <xdr:col>2</xdr:col>
      <xdr:colOff>300483</xdr:colOff>
      <xdr:row>201</xdr:row>
      <xdr:rowOff>125505</xdr:rowOff>
    </xdr:from>
    <xdr:ext cx="405011" cy="396000"/>
    <xdr:pic>
      <xdr:nvPicPr>
        <xdr:cNvPr id="40" name="Gráfico 39" descr="Sirene">
          <a:extLst>
            <a:ext uri="{FF2B5EF4-FFF2-40B4-BE49-F238E27FC236}">
              <a16:creationId xmlns:a16="http://schemas.microsoft.com/office/drawing/2014/main" id="{6B1EFE59-F87E-49BA-AC71-602EDFABB1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2"/>
            </a:ext>
          </a:extLst>
        </a:blip>
        <a:stretch>
          <a:fillRect/>
        </a:stretch>
      </xdr:blipFill>
      <xdr:spPr>
        <a:xfrm>
          <a:off x="881508" y="38416005"/>
          <a:ext cx="405011" cy="396000"/>
        </a:xfrm>
        <a:prstGeom prst="rect">
          <a:avLst/>
        </a:prstGeom>
        <a:effectLst/>
      </xdr:spPr>
    </xdr:pic>
    <xdr:clientData/>
  </xdr:oneCellAnchor>
  <xdr:twoCellAnchor>
    <xdr:from>
      <xdr:col>16</xdr:col>
      <xdr:colOff>0</xdr:colOff>
      <xdr:row>2</xdr:row>
      <xdr:rowOff>174812</xdr:rowOff>
    </xdr:from>
    <xdr:to>
      <xdr:col>16</xdr:col>
      <xdr:colOff>0</xdr:colOff>
      <xdr:row>2</xdr:row>
      <xdr:rowOff>174812</xdr:rowOff>
    </xdr:to>
    <xdr:cxnSp macro="">
      <xdr:nvCxnSpPr>
        <xdr:cNvPr id="41" name="Conector reto 40">
          <a:extLst>
            <a:ext uri="{FF2B5EF4-FFF2-40B4-BE49-F238E27FC236}">
              <a16:creationId xmlns:a16="http://schemas.microsoft.com/office/drawing/2014/main" id="{F5CC944C-D172-4A33-BCEF-CA69A0F3C5C4}"/>
            </a:ext>
          </a:extLst>
        </xdr:cNvPr>
        <xdr:cNvCxnSpPr/>
      </xdr:nvCxnSpPr>
      <xdr:spPr>
        <a:xfrm>
          <a:off x="4724400" y="555812"/>
          <a:ext cx="0" cy="0"/>
        </a:xfrm>
        <a:prstGeom prst="line">
          <a:avLst/>
        </a:prstGeom>
        <a:ln>
          <a:solidFill>
            <a:srgbClr val="FFEBAB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0</xdr:colOff>
      <xdr:row>2</xdr:row>
      <xdr:rowOff>174812</xdr:rowOff>
    </xdr:from>
    <xdr:to>
      <xdr:col>16</xdr:col>
      <xdr:colOff>0</xdr:colOff>
      <xdr:row>2</xdr:row>
      <xdr:rowOff>174812</xdr:rowOff>
    </xdr:to>
    <xdr:cxnSp macro="">
      <xdr:nvCxnSpPr>
        <xdr:cNvPr id="42" name="Conector reto 41">
          <a:extLst>
            <a:ext uri="{FF2B5EF4-FFF2-40B4-BE49-F238E27FC236}">
              <a16:creationId xmlns:a16="http://schemas.microsoft.com/office/drawing/2014/main" id="{C435BA8B-4F3E-4740-8E61-85854BFF3B2C}"/>
            </a:ext>
          </a:extLst>
        </xdr:cNvPr>
        <xdr:cNvCxnSpPr/>
      </xdr:nvCxnSpPr>
      <xdr:spPr>
        <a:xfrm>
          <a:off x="4724400" y="555812"/>
          <a:ext cx="0" cy="0"/>
        </a:xfrm>
        <a:prstGeom prst="line">
          <a:avLst/>
        </a:prstGeom>
        <a:ln>
          <a:solidFill>
            <a:srgbClr val="FFEBAB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0</xdr:colOff>
      <xdr:row>5</xdr:row>
      <xdr:rowOff>0</xdr:rowOff>
    </xdr:from>
    <xdr:to>
      <xdr:col>16</xdr:col>
      <xdr:colOff>549089</xdr:colOff>
      <xdr:row>6</xdr:row>
      <xdr:rowOff>11207</xdr:rowOff>
    </xdr:to>
    <xdr:sp macro="" textlink="">
      <xdr:nvSpPr>
        <xdr:cNvPr id="47" name="Balão de Fala: Retângulo com Cantos Arredondados 46">
          <a:extLst>
            <a:ext uri="{FF2B5EF4-FFF2-40B4-BE49-F238E27FC236}">
              <a16:creationId xmlns:a16="http://schemas.microsoft.com/office/drawing/2014/main" id="{5599A158-C2F6-4005-873F-D02A3E6024B1}"/>
            </a:ext>
          </a:extLst>
        </xdr:cNvPr>
        <xdr:cNvSpPr/>
      </xdr:nvSpPr>
      <xdr:spPr>
        <a:xfrm>
          <a:off x="10174941" y="795618"/>
          <a:ext cx="549089" cy="179295"/>
        </a:xfrm>
        <a:prstGeom prst="wedgeRoundRectCallout">
          <a:avLst>
            <a:gd name="adj1" fmla="val -18889"/>
            <a:gd name="adj2" fmla="val 13747"/>
            <a:gd name="adj3" fmla="val 16667"/>
          </a:avLst>
        </a:prstGeom>
        <a:solidFill>
          <a:srgbClr val="7030A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tIns="28800" bIns="36000" rtlCol="0" anchor="ctr"/>
        <a:lstStyle/>
        <a:p>
          <a:pPr algn="ctr"/>
          <a:r>
            <a:rPr lang="en-GB" sz="900"/>
            <a:t>MESES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153895</xdr:colOff>
      <xdr:row>54</xdr:row>
      <xdr:rowOff>78440</xdr:rowOff>
    </xdr:from>
    <xdr:to>
      <xdr:col>3</xdr:col>
      <xdr:colOff>99733</xdr:colOff>
      <xdr:row>57</xdr:row>
      <xdr:rowOff>64621</xdr:rowOff>
    </xdr:to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29BA34A0-4F55-4A25-B09A-6EC7B0A1430E}"/>
            </a:ext>
          </a:extLst>
        </xdr:cNvPr>
        <xdr:cNvSpPr/>
      </xdr:nvSpPr>
      <xdr:spPr>
        <a:xfrm>
          <a:off x="144370" y="10365440"/>
          <a:ext cx="383988" cy="557681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REDUZI</a:t>
          </a:r>
          <a:br>
            <a:rPr lang="en-GB" sz="1000" b="1"/>
          </a:br>
          <a:r>
            <a:rPr lang="en-GB" sz="1000" b="1"/>
            <a:t>DESPESAS</a:t>
          </a:r>
          <a:br>
            <a:rPr lang="en-GB" sz="1000" b="1"/>
          </a:br>
          <a:r>
            <a:rPr lang="en-GB" sz="1000" b="1"/>
            <a:t>VARIÁVEIS?</a:t>
          </a:r>
        </a:p>
      </xdr:txBody>
    </xdr:sp>
    <xdr:clientData/>
  </xdr:twoCellAnchor>
  <xdr:twoCellAnchor>
    <xdr:from>
      <xdr:col>0</xdr:col>
      <xdr:colOff>132337</xdr:colOff>
      <xdr:row>8</xdr:row>
      <xdr:rowOff>104775</xdr:rowOff>
    </xdr:from>
    <xdr:to>
      <xdr:col>3</xdr:col>
      <xdr:colOff>77908</xdr:colOff>
      <xdr:row>11</xdr:row>
      <xdr:rowOff>76201</xdr:rowOff>
    </xdr:to>
    <xdr:sp macro="" textlink="">
      <xdr:nvSpPr>
        <xdr:cNvPr id="3" name="Retângulo: Cantos Arredondados 2">
          <a:extLst>
            <a:ext uri="{FF2B5EF4-FFF2-40B4-BE49-F238E27FC236}">
              <a16:creationId xmlns:a16="http://schemas.microsoft.com/office/drawing/2014/main" id="{5FA510C9-1585-4024-8865-81258D8B6EDD}"/>
            </a:ext>
          </a:extLst>
        </xdr:cNvPr>
        <xdr:cNvSpPr/>
      </xdr:nvSpPr>
      <xdr:spPr>
        <a:xfrm>
          <a:off x="132337" y="1628775"/>
          <a:ext cx="374196" cy="542926"/>
        </a:xfrm>
        <a:prstGeom prst="roundRect">
          <a:avLst>
            <a:gd name="adj" fmla="val 7028"/>
          </a:avLst>
        </a:prstGeom>
        <a:solidFill>
          <a:srgbClr val="007CA8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CONSEGUI</a:t>
          </a:r>
          <a:br>
            <a:rPr lang="en-GB" sz="1000" b="1"/>
          </a:br>
          <a:r>
            <a:rPr lang="en-GB" sz="1000" b="1"/>
            <a:t>JUNTAR</a:t>
          </a:r>
          <a:br>
            <a:rPr lang="en-GB" sz="1000" b="1"/>
          </a:br>
          <a:r>
            <a:rPr lang="en-GB" sz="1000" b="1"/>
            <a:t>DINHEIRO?</a:t>
          </a:r>
        </a:p>
      </xdr:txBody>
    </xdr:sp>
    <xdr:clientData/>
  </xdr:twoCellAnchor>
  <xdr:twoCellAnchor>
    <xdr:from>
      <xdr:col>0</xdr:col>
      <xdr:colOff>132337</xdr:colOff>
      <xdr:row>19</xdr:row>
      <xdr:rowOff>104775</xdr:rowOff>
    </xdr:from>
    <xdr:to>
      <xdr:col>3</xdr:col>
      <xdr:colOff>77908</xdr:colOff>
      <xdr:row>22</xdr:row>
      <xdr:rowOff>57151</xdr:rowOff>
    </xdr:to>
    <xdr:sp macro="" textlink="">
      <xdr:nvSpPr>
        <xdr:cNvPr id="4" name="Retângulo: Cantos Arredondados 3">
          <a:extLst>
            <a:ext uri="{FF2B5EF4-FFF2-40B4-BE49-F238E27FC236}">
              <a16:creationId xmlns:a16="http://schemas.microsoft.com/office/drawing/2014/main" id="{6AAE9AC2-F366-472E-A1A5-34B0FABBEA40}"/>
            </a:ext>
          </a:extLst>
        </xdr:cNvPr>
        <xdr:cNvSpPr/>
      </xdr:nvSpPr>
      <xdr:spPr>
        <a:xfrm>
          <a:off x="132337" y="3724275"/>
          <a:ext cx="374196" cy="523876"/>
        </a:xfrm>
        <a:prstGeom prst="roundRect">
          <a:avLst>
            <a:gd name="adj" fmla="val 7028"/>
          </a:avLst>
        </a:prstGeom>
        <a:solidFill>
          <a:srgbClr val="007CA8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CONSEGUI</a:t>
          </a:r>
          <a:br>
            <a:rPr lang="en-GB" sz="1000" b="1"/>
          </a:br>
          <a:r>
            <a:rPr lang="en-GB" sz="1000" b="1"/>
            <a:t>GUARDAR E</a:t>
          </a:r>
          <a:br>
            <a:rPr lang="en-GB" sz="1000" b="1"/>
          </a:br>
          <a:r>
            <a:rPr lang="en-GB" sz="1000" b="1"/>
            <a:t>INVESTIR?</a:t>
          </a:r>
        </a:p>
      </xdr:txBody>
    </xdr:sp>
    <xdr:clientData/>
  </xdr:twoCellAnchor>
  <xdr:oneCellAnchor>
    <xdr:from>
      <xdr:col>2</xdr:col>
      <xdr:colOff>282383</xdr:colOff>
      <xdr:row>20</xdr:row>
      <xdr:rowOff>118215</xdr:rowOff>
    </xdr:from>
    <xdr:ext cx="399499" cy="396000"/>
    <xdr:pic>
      <xdr:nvPicPr>
        <xdr:cNvPr id="5" name="Gráfico 4" descr="Cofrinho">
          <a:extLst>
            <a:ext uri="{FF2B5EF4-FFF2-40B4-BE49-F238E27FC236}">
              <a16:creationId xmlns:a16="http://schemas.microsoft.com/office/drawing/2014/main" id="{3A738CA7-03E5-4181-860E-58DEAF48BB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425258" y="3928215"/>
          <a:ext cx="399499" cy="396000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2</xdr:col>
      <xdr:colOff>283926</xdr:colOff>
      <xdr:row>9</xdr:row>
      <xdr:rowOff>151343</xdr:rowOff>
    </xdr:from>
    <xdr:ext cx="396412" cy="396001"/>
    <xdr:pic>
      <xdr:nvPicPr>
        <xdr:cNvPr id="6" name="Gráfico 5" descr="Carteira">
          <a:extLst>
            <a:ext uri="{FF2B5EF4-FFF2-40B4-BE49-F238E27FC236}">
              <a16:creationId xmlns:a16="http://schemas.microsoft.com/office/drawing/2014/main" id="{7C9C868C-0860-42B6-94D3-86E2788E18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426801" y="1865843"/>
          <a:ext cx="396412" cy="396001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0</xdr:col>
      <xdr:colOff>145864</xdr:colOff>
      <xdr:row>31</xdr:row>
      <xdr:rowOff>89647</xdr:rowOff>
    </xdr:from>
    <xdr:to>
      <xdr:col>3</xdr:col>
      <xdr:colOff>91702</xdr:colOff>
      <xdr:row>34</xdr:row>
      <xdr:rowOff>79002</xdr:rowOff>
    </xdr:to>
    <xdr:sp macro="" textlink="">
      <xdr:nvSpPr>
        <xdr:cNvPr id="7" name="Retângulo: Cantos Arredondados 6">
          <a:extLst>
            <a:ext uri="{FF2B5EF4-FFF2-40B4-BE49-F238E27FC236}">
              <a16:creationId xmlns:a16="http://schemas.microsoft.com/office/drawing/2014/main" id="{28E292F9-3FDD-4B50-8BF8-522543355DC3}"/>
            </a:ext>
          </a:extLst>
        </xdr:cNvPr>
        <xdr:cNvSpPr/>
      </xdr:nvSpPr>
      <xdr:spPr>
        <a:xfrm>
          <a:off x="145864" y="5995147"/>
          <a:ext cx="374463" cy="560855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REDUZI</a:t>
          </a:r>
          <a:br>
            <a:rPr lang="en-GB" sz="1000" b="1"/>
          </a:br>
          <a:r>
            <a:rPr lang="en-GB" sz="1000" b="1"/>
            <a:t>DESPESAS</a:t>
          </a:r>
          <a:br>
            <a:rPr lang="en-GB" sz="1000" b="1"/>
          </a:br>
          <a:r>
            <a:rPr lang="en-GB" sz="1000" b="1"/>
            <a:t>F</a:t>
          </a:r>
          <a:r>
            <a:rPr lang="en-GB" sz="1000" b="1" baseline="0"/>
            <a:t>IXAS?</a:t>
          </a:r>
          <a:endParaRPr lang="en-GB" sz="1000" b="1"/>
        </a:p>
      </xdr:txBody>
    </xdr:sp>
    <xdr:clientData/>
  </xdr:twoCellAnchor>
  <xdr:oneCellAnchor>
    <xdr:from>
      <xdr:col>2</xdr:col>
      <xdr:colOff>315419</xdr:colOff>
      <xdr:row>32</xdr:row>
      <xdr:rowOff>144489</xdr:rowOff>
    </xdr:from>
    <xdr:ext cx="394594" cy="395999"/>
    <xdr:pic>
      <xdr:nvPicPr>
        <xdr:cNvPr id="8" name="Gráfico 7" descr="Eletricista">
          <a:extLst>
            <a:ext uri="{FF2B5EF4-FFF2-40B4-BE49-F238E27FC236}">
              <a16:creationId xmlns:a16="http://schemas.microsoft.com/office/drawing/2014/main" id="{598F6AAB-8AAF-44E7-88BB-FE583E0769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6"/>
            </a:ext>
          </a:extLst>
        </a:blip>
        <a:stretch>
          <a:fillRect/>
        </a:stretch>
      </xdr:blipFill>
      <xdr:spPr>
        <a:xfrm>
          <a:off x="429719" y="6240489"/>
          <a:ext cx="394594" cy="395999"/>
        </a:xfrm>
        <a:prstGeom prst="rect">
          <a:avLst/>
        </a:prstGeom>
        <a:effectLst/>
      </xdr:spPr>
    </xdr:pic>
    <xdr:clientData/>
  </xdr:oneCellAnchor>
  <xdr:oneCellAnchor>
    <xdr:from>
      <xdr:col>2</xdr:col>
      <xdr:colOff>311917</xdr:colOff>
      <xdr:row>55</xdr:row>
      <xdr:rowOff>132264</xdr:rowOff>
    </xdr:from>
    <xdr:ext cx="401599" cy="395999"/>
    <xdr:pic>
      <xdr:nvPicPr>
        <xdr:cNvPr id="9" name="Gráfico 8" descr="Artista">
          <a:extLst>
            <a:ext uri="{FF2B5EF4-FFF2-40B4-BE49-F238E27FC236}">
              <a16:creationId xmlns:a16="http://schemas.microsoft.com/office/drawing/2014/main" id="{753C8D0A-3C67-481F-A3A8-010BD4EC34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8"/>
            </a:ext>
          </a:extLst>
        </a:blip>
        <a:stretch>
          <a:fillRect/>
        </a:stretch>
      </xdr:blipFill>
      <xdr:spPr>
        <a:xfrm>
          <a:off x="426217" y="10609764"/>
          <a:ext cx="401599" cy="395999"/>
        </a:xfrm>
        <a:prstGeom prst="rect">
          <a:avLst/>
        </a:prstGeom>
        <a:effectLst/>
      </xdr:spPr>
    </xdr:pic>
    <xdr:clientData/>
  </xdr:oneCellAnchor>
  <xdr:twoCellAnchor>
    <xdr:from>
      <xdr:col>1</xdr:col>
      <xdr:colOff>0</xdr:colOff>
      <xdr:row>76</xdr:row>
      <xdr:rowOff>104775</xdr:rowOff>
    </xdr:from>
    <xdr:to>
      <xdr:col>3</xdr:col>
      <xdr:colOff>95250</xdr:colOff>
      <xdr:row>79</xdr:row>
      <xdr:rowOff>76201</xdr:rowOff>
    </xdr:to>
    <xdr:sp macro="" textlink="">
      <xdr:nvSpPr>
        <xdr:cNvPr id="10" name="Retângulo: Cantos Arredondados 9">
          <a:extLst>
            <a:ext uri="{FF2B5EF4-FFF2-40B4-BE49-F238E27FC236}">
              <a16:creationId xmlns:a16="http://schemas.microsoft.com/office/drawing/2014/main" id="{101EDC2C-E34C-4D5E-8F8E-39A5233561BE}"/>
            </a:ext>
          </a:extLst>
        </xdr:cNvPr>
        <xdr:cNvSpPr/>
      </xdr:nvSpPr>
      <xdr:spPr>
        <a:xfrm>
          <a:off x="142875" y="14582775"/>
          <a:ext cx="38100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AUMENTEI</a:t>
          </a:r>
          <a:br>
            <a:rPr lang="en-GB" sz="1000" b="1"/>
          </a:br>
          <a:r>
            <a:rPr lang="en-GB" sz="1000" b="1"/>
            <a:t>GANHOS</a:t>
          </a:r>
          <a:br>
            <a:rPr lang="en-GB" sz="1000" b="1"/>
          </a:br>
          <a:r>
            <a:rPr lang="en-GB" sz="1000" b="1"/>
            <a:t>FIXOS?</a:t>
          </a:r>
        </a:p>
      </xdr:txBody>
    </xdr:sp>
    <xdr:clientData/>
  </xdr:twoCellAnchor>
  <xdr:oneCellAnchor>
    <xdr:from>
      <xdr:col>28</xdr:col>
      <xdr:colOff>211792</xdr:colOff>
      <xdr:row>1</xdr:row>
      <xdr:rowOff>166407</xdr:rowOff>
    </xdr:from>
    <xdr:ext cx="310402" cy="310039"/>
    <xdr:pic>
      <xdr:nvPicPr>
        <xdr:cNvPr id="11" name="Gráfico 10" descr="Impressão digital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B4AF10B3-622C-49D3-AB14-C2D32ADC4E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1"/>
            </a:ext>
          </a:extLst>
        </a:blip>
        <a:stretch>
          <a:fillRect/>
        </a:stretch>
      </xdr:blipFill>
      <xdr:spPr>
        <a:xfrm>
          <a:off x="4145617" y="356907"/>
          <a:ext cx="310402" cy="310039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25</xdr:col>
      <xdr:colOff>188660</xdr:colOff>
      <xdr:row>1</xdr:row>
      <xdr:rowOff>129989</xdr:rowOff>
    </xdr:from>
    <xdr:ext cx="369173" cy="364524"/>
    <xdr:pic>
      <xdr:nvPicPr>
        <xdr:cNvPr id="12" name="Gráfico 11" descr="Trancar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id="{B83B5202-E5EC-487E-A176-7E64AECA27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4"/>
            </a:ext>
          </a:extLst>
        </a:blip>
        <a:stretch>
          <a:fillRect/>
        </a:stretch>
      </xdr:blipFill>
      <xdr:spPr>
        <a:xfrm>
          <a:off x="3712910" y="320489"/>
          <a:ext cx="369173" cy="364524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1</xdr:col>
      <xdr:colOff>1017</xdr:colOff>
      <xdr:row>19</xdr:row>
      <xdr:rowOff>126254</xdr:rowOff>
    </xdr:from>
    <xdr:ext cx="250264" cy="246528"/>
    <xdr:pic>
      <xdr:nvPicPr>
        <xdr:cNvPr id="13" name="Gráfico 12" descr="Ajudar">
          <a:hlinkClick xmlns:r="http://schemas.openxmlformats.org/officeDocument/2006/relationships" r:id="rId15"/>
          <a:extLst>
            <a:ext uri="{FF2B5EF4-FFF2-40B4-BE49-F238E27FC236}">
              <a16:creationId xmlns:a16="http://schemas.microsoft.com/office/drawing/2014/main" id="{37C20333-E40B-4A83-BA0A-1E662BA554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3892" y="3745754"/>
          <a:ext cx="250264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1</xdr:col>
      <xdr:colOff>15211</xdr:colOff>
      <xdr:row>31</xdr:row>
      <xdr:rowOff>114300</xdr:rowOff>
    </xdr:from>
    <xdr:ext cx="246528" cy="246528"/>
    <xdr:pic>
      <xdr:nvPicPr>
        <xdr:cNvPr id="14" name="Gráfico 13" descr="Ajudar">
          <a:hlinkClick xmlns:r="http://schemas.openxmlformats.org/officeDocument/2006/relationships" r:id="rId18"/>
          <a:extLst>
            <a:ext uri="{FF2B5EF4-FFF2-40B4-BE49-F238E27FC236}">
              <a16:creationId xmlns:a16="http://schemas.microsoft.com/office/drawing/2014/main" id="{D8F893D8-54FF-4236-B00E-63EE1A6990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58086" y="6019800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1</xdr:col>
      <xdr:colOff>10727</xdr:colOff>
      <xdr:row>54</xdr:row>
      <xdr:rowOff>98613</xdr:rowOff>
    </xdr:from>
    <xdr:ext cx="246528" cy="246529"/>
    <xdr:pic>
      <xdr:nvPicPr>
        <xdr:cNvPr id="15" name="Gráfico 14" descr="Ajudar">
          <a:hlinkClick xmlns:r="http://schemas.openxmlformats.org/officeDocument/2006/relationships" r:id="rId19"/>
          <a:extLst>
            <a:ext uri="{FF2B5EF4-FFF2-40B4-BE49-F238E27FC236}">
              <a16:creationId xmlns:a16="http://schemas.microsoft.com/office/drawing/2014/main" id="{945AF66A-5AC4-484A-A184-D53552C4BA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53602" y="10385613"/>
          <a:ext cx="246528" cy="246529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1</xdr:col>
      <xdr:colOff>6244</xdr:colOff>
      <xdr:row>76</xdr:row>
      <xdr:rowOff>127748</xdr:rowOff>
    </xdr:from>
    <xdr:ext cx="246528" cy="246528"/>
    <xdr:pic>
      <xdr:nvPicPr>
        <xdr:cNvPr id="16" name="Gráfico 15" descr="Ajudar">
          <a:hlinkClick xmlns:r="http://schemas.openxmlformats.org/officeDocument/2006/relationships" r:id="rId20"/>
          <a:extLst>
            <a:ext uri="{FF2B5EF4-FFF2-40B4-BE49-F238E27FC236}">
              <a16:creationId xmlns:a16="http://schemas.microsoft.com/office/drawing/2014/main" id="{DB2DDAEA-E0D2-4E0D-A5A2-172778BCD7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146057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90</xdr:row>
      <xdr:rowOff>104775</xdr:rowOff>
    </xdr:from>
    <xdr:to>
      <xdr:col>3</xdr:col>
      <xdr:colOff>95250</xdr:colOff>
      <xdr:row>93</xdr:row>
      <xdr:rowOff>76201</xdr:rowOff>
    </xdr:to>
    <xdr:sp macro="" textlink="">
      <xdr:nvSpPr>
        <xdr:cNvPr id="17" name="Retângulo: Cantos Arredondados 16">
          <a:extLst>
            <a:ext uri="{FF2B5EF4-FFF2-40B4-BE49-F238E27FC236}">
              <a16:creationId xmlns:a16="http://schemas.microsoft.com/office/drawing/2014/main" id="{F0E04320-2B13-40A7-B768-8FA3DA75D79D}"/>
            </a:ext>
          </a:extLst>
        </xdr:cNvPr>
        <xdr:cNvSpPr/>
      </xdr:nvSpPr>
      <xdr:spPr>
        <a:xfrm>
          <a:off x="142875" y="17249775"/>
          <a:ext cx="38100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AUMENTEI</a:t>
          </a:r>
          <a:br>
            <a:rPr lang="en-GB" sz="1000" b="1"/>
          </a:br>
          <a:r>
            <a:rPr lang="en-GB" sz="1000" b="1"/>
            <a:t>GANHOS</a:t>
          </a:r>
          <a:br>
            <a:rPr lang="en-GB" sz="1000" b="1"/>
          </a:br>
          <a:r>
            <a:rPr lang="en-GB" sz="1000" b="1"/>
            <a:t>VARIÁVEIS?</a:t>
          </a:r>
        </a:p>
      </xdr:txBody>
    </xdr:sp>
    <xdr:clientData/>
  </xdr:twoCellAnchor>
  <xdr:oneCellAnchor>
    <xdr:from>
      <xdr:col>1</xdr:col>
      <xdr:colOff>6244</xdr:colOff>
      <xdr:row>90</xdr:row>
      <xdr:rowOff>127748</xdr:rowOff>
    </xdr:from>
    <xdr:ext cx="246528" cy="246528"/>
    <xdr:pic>
      <xdr:nvPicPr>
        <xdr:cNvPr id="18" name="Gráfico 17" descr="Ajudar">
          <a:hlinkClick xmlns:r="http://schemas.openxmlformats.org/officeDocument/2006/relationships" r:id="rId21"/>
          <a:extLst>
            <a:ext uri="{FF2B5EF4-FFF2-40B4-BE49-F238E27FC236}">
              <a16:creationId xmlns:a16="http://schemas.microsoft.com/office/drawing/2014/main" id="{08FD059D-0752-4A9A-9FFD-8CA08BCB25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172727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107</xdr:row>
      <xdr:rowOff>104775</xdr:rowOff>
    </xdr:from>
    <xdr:to>
      <xdr:col>3</xdr:col>
      <xdr:colOff>95250</xdr:colOff>
      <xdr:row>110</xdr:row>
      <xdr:rowOff>76201</xdr:rowOff>
    </xdr:to>
    <xdr:sp macro="" textlink="">
      <xdr:nvSpPr>
        <xdr:cNvPr id="19" name="Retângulo: Cantos Arredondados 18">
          <a:extLst>
            <a:ext uri="{FF2B5EF4-FFF2-40B4-BE49-F238E27FC236}">
              <a16:creationId xmlns:a16="http://schemas.microsoft.com/office/drawing/2014/main" id="{77267F97-310D-4DA8-B6C8-458A597C15D1}"/>
            </a:ext>
          </a:extLst>
        </xdr:cNvPr>
        <xdr:cNvSpPr/>
      </xdr:nvSpPr>
      <xdr:spPr>
        <a:xfrm>
          <a:off x="142875" y="20488275"/>
          <a:ext cx="38100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INVESTI</a:t>
          </a:r>
          <a:r>
            <a:rPr lang="en-GB" sz="1000" b="1" baseline="0"/>
            <a:t> EM</a:t>
          </a:r>
          <a:br>
            <a:rPr lang="en-GB" sz="1000" b="1"/>
          </a:br>
          <a:r>
            <a:rPr lang="en-GB" sz="1000" b="1"/>
            <a:t>RENDA</a:t>
          </a:r>
          <a:br>
            <a:rPr lang="en-GB" sz="1000" b="1"/>
          </a:br>
          <a:r>
            <a:rPr lang="en-GB" sz="1000" b="1" baseline="0"/>
            <a:t>FIXA?</a:t>
          </a:r>
          <a:endParaRPr lang="en-GB" sz="1000" b="1"/>
        </a:p>
      </xdr:txBody>
    </xdr:sp>
    <xdr:clientData/>
  </xdr:twoCellAnchor>
  <xdr:oneCellAnchor>
    <xdr:from>
      <xdr:col>1</xdr:col>
      <xdr:colOff>6244</xdr:colOff>
      <xdr:row>107</xdr:row>
      <xdr:rowOff>127748</xdr:rowOff>
    </xdr:from>
    <xdr:ext cx="246528" cy="246528"/>
    <xdr:pic>
      <xdr:nvPicPr>
        <xdr:cNvPr id="20" name="Gráfico 19" descr="Ajudar">
          <a:hlinkClick xmlns:r="http://schemas.openxmlformats.org/officeDocument/2006/relationships" r:id="rId22"/>
          <a:extLst>
            <a:ext uri="{FF2B5EF4-FFF2-40B4-BE49-F238E27FC236}">
              <a16:creationId xmlns:a16="http://schemas.microsoft.com/office/drawing/2014/main" id="{6FB3AE14-266A-4733-95F1-0F5FD7A435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205112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126</xdr:row>
      <xdr:rowOff>104775</xdr:rowOff>
    </xdr:from>
    <xdr:to>
      <xdr:col>3</xdr:col>
      <xdr:colOff>95250</xdr:colOff>
      <xdr:row>129</xdr:row>
      <xdr:rowOff>76201</xdr:rowOff>
    </xdr:to>
    <xdr:sp macro="" textlink="">
      <xdr:nvSpPr>
        <xdr:cNvPr id="21" name="Retângulo: Cantos Arredondados 20">
          <a:extLst>
            <a:ext uri="{FF2B5EF4-FFF2-40B4-BE49-F238E27FC236}">
              <a16:creationId xmlns:a16="http://schemas.microsoft.com/office/drawing/2014/main" id="{8D33452B-2A7B-497C-92A4-425A0E649AF0}"/>
            </a:ext>
          </a:extLst>
        </xdr:cNvPr>
        <xdr:cNvSpPr/>
      </xdr:nvSpPr>
      <xdr:spPr>
        <a:xfrm>
          <a:off x="142875" y="24107775"/>
          <a:ext cx="38100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INVESTI EM</a:t>
          </a:r>
          <a:br>
            <a:rPr lang="en-GB" sz="1000" b="1"/>
          </a:br>
          <a:r>
            <a:rPr lang="en-GB" sz="1000" b="1"/>
            <a:t>RENDA </a:t>
          </a:r>
          <a:r>
            <a:rPr lang="en-GB" sz="1000" b="1" baseline="0"/>
            <a:t>VARIÁVEL?</a:t>
          </a:r>
          <a:endParaRPr lang="en-GB" sz="1000" b="1"/>
        </a:p>
      </xdr:txBody>
    </xdr:sp>
    <xdr:clientData/>
  </xdr:twoCellAnchor>
  <xdr:oneCellAnchor>
    <xdr:from>
      <xdr:col>1</xdr:col>
      <xdr:colOff>6244</xdr:colOff>
      <xdr:row>126</xdr:row>
      <xdr:rowOff>127748</xdr:rowOff>
    </xdr:from>
    <xdr:ext cx="246528" cy="246528"/>
    <xdr:pic>
      <xdr:nvPicPr>
        <xdr:cNvPr id="22" name="Gráfico 21" descr="Ajudar">
          <a:hlinkClick xmlns:r="http://schemas.openxmlformats.org/officeDocument/2006/relationships" r:id="rId23"/>
          <a:extLst>
            <a:ext uri="{FF2B5EF4-FFF2-40B4-BE49-F238E27FC236}">
              <a16:creationId xmlns:a16="http://schemas.microsoft.com/office/drawing/2014/main" id="{A4055652-707F-4D22-BA9A-FDBC2FCC76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241307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145</xdr:row>
      <xdr:rowOff>104775</xdr:rowOff>
    </xdr:from>
    <xdr:to>
      <xdr:col>3</xdr:col>
      <xdr:colOff>95250</xdr:colOff>
      <xdr:row>148</xdr:row>
      <xdr:rowOff>76201</xdr:rowOff>
    </xdr:to>
    <xdr:sp macro="" textlink="">
      <xdr:nvSpPr>
        <xdr:cNvPr id="23" name="Retângulo: Cantos Arredondados 22">
          <a:extLst>
            <a:ext uri="{FF2B5EF4-FFF2-40B4-BE49-F238E27FC236}">
              <a16:creationId xmlns:a16="http://schemas.microsoft.com/office/drawing/2014/main" id="{4C7B388A-0402-4213-9522-53486904A68A}"/>
            </a:ext>
          </a:extLst>
        </xdr:cNvPr>
        <xdr:cNvSpPr/>
      </xdr:nvSpPr>
      <xdr:spPr>
        <a:xfrm>
          <a:off x="142875" y="27727275"/>
          <a:ext cx="38100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INVESTI</a:t>
          </a:r>
          <a:r>
            <a:rPr lang="en-GB" sz="1000" b="1" baseline="0"/>
            <a:t> EM</a:t>
          </a:r>
          <a:br>
            <a:rPr lang="en-GB" sz="1000" b="1"/>
          </a:br>
          <a:r>
            <a:rPr lang="en-GB" sz="1000" b="1"/>
            <a:t>OUTROS</a:t>
          </a:r>
          <a:br>
            <a:rPr lang="en-GB" sz="1000" b="1"/>
          </a:br>
          <a:r>
            <a:rPr lang="en-GB" sz="1000" b="1"/>
            <a:t>ATIVOS?</a:t>
          </a:r>
        </a:p>
      </xdr:txBody>
    </xdr:sp>
    <xdr:clientData/>
  </xdr:twoCellAnchor>
  <xdr:oneCellAnchor>
    <xdr:from>
      <xdr:col>1</xdr:col>
      <xdr:colOff>6244</xdr:colOff>
      <xdr:row>145</xdr:row>
      <xdr:rowOff>127748</xdr:rowOff>
    </xdr:from>
    <xdr:ext cx="246528" cy="246528"/>
    <xdr:pic>
      <xdr:nvPicPr>
        <xdr:cNvPr id="24" name="Gráfico 23" descr="Ajudar">
          <a:hlinkClick xmlns:r="http://schemas.openxmlformats.org/officeDocument/2006/relationships" r:id="rId24"/>
          <a:extLst>
            <a:ext uri="{FF2B5EF4-FFF2-40B4-BE49-F238E27FC236}">
              <a16:creationId xmlns:a16="http://schemas.microsoft.com/office/drawing/2014/main" id="{1B8F0B61-ACAB-46E7-B34F-0125478725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277502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162</xdr:row>
      <xdr:rowOff>104775</xdr:rowOff>
    </xdr:from>
    <xdr:to>
      <xdr:col>3</xdr:col>
      <xdr:colOff>95250</xdr:colOff>
      <xdr:row>165</xdr:row>
      <xdr:rowOff>76201</xdr:rowOff>
    </xdr:to>
    <xdr:sp macro="" textlink="">
      <xdr:nvSpPr>
        <xdr:cNvPr id="25" name="Retângulo: Cantos Arredondados 24">
          <a:extLst>
            <a:ext uri="{FF2B5EF4-FFF2-40B4-BE49-F238E27FC236}">
              <a16:creationId xmlns:a16="http://schemas.microsoft.com/office/drawing/2014/main" id="{E07D4A99-0F5F-4695-80EE-E4416F286F8F}"/>
            </a:ext>
          </a:extLst>
        </xdr:cNvPr>
        <xdr:cNvSpPr/>
      </xdr:nvSpPr>
      <xdr:spPr>
        <a:xfrm>
          <a:off x="142875" y="30965775"/>
          <a:ext cx="38100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GUARDEI</a:t>
          </a:r>
          <a:br>
            <a:rPr lang="en-GB" sz="1000" b="1"/>
          </a:br>
          <a:r>
            <a:rPr lang="en-GB" sz="1000" b="1"/>
            <a:t>RESERVA EM</a:t>
          </a:r>
          <a:br>
            <a:rPr lang="en-GB" sz="1000" b="1"/>
          </a:br>
          <a:r>
            <a:rPr lang="en-GB" sz="1000" b="1"/>
            <a:t>RENDA</a:t>
          </a:r>
          <a:r>
            <a:rPr lang="en-GB" sz="1000" b="1" baseline="0"/>
            <a:t> </a:t>
          </a:r>
          <a:r>
            <a:rPr lang="en-GB" sz="1000" b="1"/>
            <a:t>FIXA?</a:t>
          </a:r>
        </a:p>
      </xdr:txBody>
    </xdr:sp>
    <xdr:clientData/>
  </xdr:twoCellAnchor>
  <xdr:oneCellAnchor>
    <xdr:from>
      <xdr:col>1</xdr:col>
      <xdr:colOff>6244</xdr:colOff>
      <xdr:row>162</xdr:row>
      <xdr:rowOff>127748</xdr:rowOff>
    </xdr:from>
    <xdr:ext cx="246528" cy="246528"/>
    <xdr:pic>
      <xdr:nvPicPr>
        <xdr:cNvPr id="26" name="Gráfico 25" descr="Ajudar">
          <a:hlinkClick xmlns:r="http://schemas.openxmlformats.org/officeDocument/2006/relationships" r:id="rId25"/>
          <a:extLst>
            <a:ext uri="{FF2B5EF4-FFF2-40B4-BE49-F238E27FC236}">
              <a16:creationId xmlns:a16="http://schemas.microsoft.com/office/drawing/2014/main" id="{A967EE96-CEB7-4ABD-8D2F-775221B848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309887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181</xdr:row>
      <xdr:rowOff>104775</xdr:rowOff>
    </xdr:from>
    <xdr:to>
      <xdr:col>3</xdr:col>
      <xdr:colOff>95250</xdr:colOff>
      <xdr:row>184</xdr:row>
      <xdr:rowOff>76201</xdr:rowOff>
    </xdr:to>
    <xdr:sp macro="" textlink="">
      <xdr:nvSpPr>
        <xdr:cNvPr id="27" name="Retângulo: Cantos Arredondados 26">
          <a:extLst>
            <a:ext uri="{FF2B5EF4-FFF2-40B4-BE49-F238E27FC236}">
              <a16:creationId xmlns:a16="http://schemas.microsoft.com/office/drawing/2014/main" id="{578BE9A8-4C57-43C2-BF2E-E0227BB8D0BE}"/>
            </a:ext>
          </a:extLst>
        </xdr:cNvPr>
        <xdr:cNvSpPr/>
      </xdr:nvSpPr>
      <xdr:spPr>
        <a:xfrm>
          <a:off x="142875" y="34585275"/>
          <a:ext cx="38100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/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GUARDEI</a:t>
          </a:r>
          <a:b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RESERVA EM</a:t>
          </a:r>
          <a:b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RENDA</a:t>
          </a:r>
          <a:r>
            <a:rPr lang="en-GB" sz="10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VARIÁVEL?</a:t>
          </a:r>
          <a:endParaRPr lang="en-GB" sz="1000">
            <a:effectLst/>
          </a:endParaRPr>
        </a:p>
      </xdr:txBody>
    </xdr:sp>
    <xdr:clientData/>
  </xdr:twoCellAnchor>
  <xdr:oneCellAnchor>
    <xdr:from>
      <xdr:col>1</xdr:col>
      <xdr:colOff>6244</xdr:colOff>
      <xdr:row>181</xdr:row>
      <xdr:rowOff>127748</xdr:rowOff>
    </xdr:from>
    <xdr:ext cx="246528" cy="246528"/>
    <xdr:pic>
      <xdr:nvPicPr>
        <xdr:cNvPr id="28" name="Gráfico 27" descr="Ajudar">
          <a:hlinkClick xmlns:r="http://schemas.openxmlformats.org/officeDocument/2006/relationships" r:id="rId26"/>
          <a:extLst>
            <a:ext uri="{FF2B5EF4-FFF2-40B4-BE49-F238E27FC236}">
              <a16:creationId xmlns:a16="http://schemas.microsoft.com/office/drawing/2014/main" id="{7F972752-CCFE-4DBC-9D81-39B1821E6B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346082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200</xdr:row>
      <xdr:rowOff>104775</xdr:rowOff>
    </xdr:from>
    <xdr:to>
      <xdr:col>3</xdr:col>
      <xdr:colOff>95250</xdr:colOff>
      <xdr:row>203</xdr:row>
      <xdr:rowOff>76201</xdr:rowOff>
    </xdr:to>
    <xdr:sp macro="" textlink="">
      <xdr:nvSpPr>
        <xdr:cNvPr id="29" name="Retângulo: Cantos Arredondados 28">
          <a:extLst>
            <a:ext uri="{FF2B5EF4-FFF2-40B4-BE49-F238E27FC236}">
              <a16:creationId xmlns:a16="http://schemas.microsoft.com/office/drawing/2014/main" id="{F84B77C3-C5F4-4CD7-BC55-0909C43F0954}"/>
            </a:ext>
          </a:extLst>
        </xdr:cNvPr>
        <xdr:cNvSpPr/>
      </xdr:nvSpPr>
      <xdr:spPr>
        <a:xfrm>
          <a:off x="142875" y="38204775"/>
          <a:ext cx="38100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/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GUARDEI</a:t>
          </a:r>
          <a:b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RESERVA EM</a:t>
          </a:r>
          <a:b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OUTROS ATIVOS?</a:t>
          </a:r>
          <a:endParaRPr lang="en-GB" sz="1000">
            <a:effectLst/>
          </a:endParaRPr>
        </a:p>
      </xdr:txBody>
    </xdr:sp>
    <xdr:clientData/>
  </xdr:twoCellAnchor>
  <xdr:oneCellAnchor>
    <xdr:from>
      <xdr:col>1</xdr:col>
      <xdr:colOff>6244</xdr:colOff>
      <xdr:row>200</xdr:row>
      <xdr:rowOff>127748</xdr:rowOff>
    </xdr:from>
    <xdr:ext cx="246528" cy="246528"/>
    <xdr:pic>
      <xdr:nvPicPr>
        <xdr:cNvPr id="30" name="Gráfico 29" descr="Ajudar">
          <a:hlinkClick xmlns:r="http://schemas.openxmlformats.org/officeDocument/2006/relationships" r:id="rId27"/>
          <a:extLst>
            <a:ext uri="{FF2B5EF4-FFF2-40B4-BE49-F238E27FC236}">
              <a16:creationId xmlns:a16="http://schemas.microsoft.com/office/drawing/2014/main" id="{EA5CF05F-7A29-48C8-9446-0D48086DB3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382277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35</xdr:col>
      <xdr:colOff>84605</xdr:colOff>
      <xdr:row>2</xdr:row>
      <xdr:rowOff>2242</xdr:rowOff>
    </xdr:from>
    <xdr:ext cx="429353" cy="424356"/>
    <xdr:pic>
      <xdr:nvPicPr>
        <xdr:cNvPr id="31" name="Gráfico 30" descr="Seta Reta">
          <a:hlinkClick xmlns:r="http://schemas.openxmlformats.org/officeDocument/2006/relationships" r:id="rId28" tooltip="PRÓXIMO MÊS"/>
          <a:extLst>
            <a:ext uri="{FF2B5EF4-FFF2-40B4-BE49-F238E27FC236}">
              <a16:creationId xmlns:a16="http://schemas.microsoft.com/office/drawing/2014/main" id="{2DA20D7F-A768-43F4-AC36-FA68301907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0"/>
            </a:ext>
          </a:extLst>
        </a:blip>
        <a:stretch>
          <a:fillRect/>
        </a:stretch>
      </xdr:blipFill>
      <xdr:spPr>
        <a:xfrm rot="10800000">
          <a:off x="5085230" y="383242"/>
          <a:ext cx="429353" cy="424356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2</xdr:col>
      <xdr:colOff>319257</xdr:colOff>
      <xdr:row>77</xdr:row>
      <xdr:rowOff>126685</xdr:rowOff>
    </xdr:from>
    <xdr:ext cx="392036" cy="395999"/>
    <xdr:pic>
      <xdr:nvPicPr>
        <xdr:cNvPr id="32" name="Gráfico 31" descr="Dinheiro">
          <a:extLst>
            <a:ext uri="{FF2B5EF4-FFF2-40B4-BE49-F238E27FC236}">
              <a16:creationId xmlns:a16="http://schemas.microsoft.com/office/drawing/2014/main" id="{331224D8-4604-454D-A7F8-757D680546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2"/>
            </a:ext>
          </a:extLst>
        </a:blip>
        <a:stretch>
          <a:fillRect/>
        </a:stretch>
      </xdr:blipFill>
      <xdr:spPr>
        <a:xfrm flipH="1">
          <a:off x="424032" y="14795185"/>
          <a:ext cx="392036" cy="395999"/>
        </a:xfrm>
        <a:prstGeom prst="rect">
          <a:avLst/>
        </a:prstGeom>
      </xdr:spPr>
    </xdr:pic>
    <xdr:clientData/>
  </xdr:oneCellAnchor>
  <xdr:oneCellAnchor>
    <xdr:from>
      <xdr:col>2</xdr:col>
      <xdr:colOff>319257</xdr:colOff>
      <xdr:row>91</xdr:row>
      <xdr:rowOff>115798</xdr:rowOff>
    </xdr:from>
    <xdr:ext cx="400936" cy="396000"/>
    <xdr:pic>
      <xdr:nvPicPr>
        <xdr:cNvPr id="33" name="Gráfico 32" descr="Dinheiro">
          <a:extLst>
            <a:ext uri="{FF2B5EF4-FFF2-40B4-BE49-F238E27FC236}">
              <a16:creationId xmlns:a16="http://schemas.microsoft.com/office/drawing/2014/main" id="{1938BC8A-D1E7-46CC-980F-B6A9ED26A2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2"/>
            </a:ext>
          </a:extLst>
        </a:blip>
        <a:stretch>
          <a:fillRect/>
        </a:stretch>
      </xdr:blipFill>
      <xdr:spPr>
        <a:xfrm flipH="1">
          <a:off x="424032" y="17451298"/>
          <a:ext cx="400936" cy="396000"/>
        </a:xfrm>
        <a:prstGeom prst="rect">
          <a:avLst/>
        </a:prstGeom>
      </xdr:spPr>
    </xdr:pic>
    <xdr:clientData/>
  </xdr:oneCellAnchor>
  <xdr:oneCellAnchor>
    <xdr:from>
      <xdr:col>2</xdr:col>
      <xdr:colOff>330528</xdr:colOff>
      <xdr:row>108</xdr:row>
      <xdr:rowOff>134224</xdr:rowOff>
    </xdr:from>
    <xdr:ext cx="392250" cy="406702"/>
    <xdr:pic>
      <xdr:nvPicPr>
        <xdr:cNvPr id="34" name="Gráfico 33" descr="Moedas">
          <a:extLst>
            <a:ext uri="{FF2B5EF4-FFF2-40B4-BE49-F238E27FC236}">
              <a16:creationId xmlns:a16="http://schemas.microsoft.com/office/drawing/2014/main" id="{4666477A-DE4C-40B0-AB11-FB31897DD4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4"/>
            </a:ext>
          </a:extLst>
        </a:blip>
        <a:stretch>
          <a:fillRect/>
        </a:stretch>
      </xdr:blipFill>
      <xdr:spPr>
        <a:xfrm flipH="1">
          <a:off x="425778" y="20708224"/>
          <a:ext cx="392250" cy="406702"/>
        </a:xfrm>
        <a:prstGeom prst="rect">
          <a:avLst/>
        </a:prstGeom>
      </xdr:spPr>
    </xdr:pic>
    <xdr:clientData/>
  </xdr:oneCellAnchor>
  <xdr:oneCellAnchor>
    <xdr:from>
      <xdr:col>2</xdr:col>
      <xdr:colOff>285751</xdr:colOff>
      <xdr:row>127</xdr:row>
      <xdr:rowOff>149678</xdr:rowOff>
    </xdr:from>
    <xdr:ext cx="392250" cy="406704"/>
    <xdr:pic>
      <xdr:nvPicPr>
        <xdr:cNvPr id="35" name="Gráfico 34" descr="Moedas">
          <a:extLst>
            <a:ext uri="{FF2B5EF4-FFF2-40B4-BE49-F238E27FC236}">
              <a16:creationId xmlns:a16="http://schemas.microsoft.com/office/drawing/2014/main" id="{F6305C3C-99F6-4393-88D2-C07A2184FD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4"/>
            </a:ext>
          </a:extLst>
        </a:blip>
        <a:stretch>
          <a:fillRect/>
        </a:stretch>
      </xdr:blipFill>
      <xdr:spPr>
        <a:xfrm flipH="1">
          <a:off x="428626" y="24343178"/>
          <a:ext cx="392250" cy="406704"/>
        </a:xfrm>
        <a:prstGeom prst="rect">
          <a:avLst/>
        </a:prstGeom>
      </xdr:spPr>
    </xdr:pic>
    <xdr:clientData/>
  </xdr:oneCellAnchor>
  <xdr:oneCellAnchor>
    <xdr:from>
      <xdr:col>2</xdr:col>
      <xdr:colOff>288474</xdr:colOff>
      <xdr:row>146</xdr:row>
      <xdr:rowOff>152399</xdr:rowOff>
    </xdr:from>
    <xdr:ext cx="392250" cy="406702"/>
    <xdr:pic>
      <xdr:nvPicPr>
        <xdr:cNvPr id="36" name="Gráfico 35" descr="Moedas">
          <a:extLst>
            <a:ext uri="{FF2B5EF4-FFF2-40B4-BE49-F238E27FC236}">
              <a16:creationId xmlns:a16="http://schemas.microsoft.com/office/drawing/2014/main" id="{1AEC2432-5AD2-4E0A-8B59-274793A6C5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4"/>
            </a:ext>
          </a:extLst>
        </a:blip>
        <a:stretch>
          <a:fillRect/>
        </a:stretch>
      </xdr:blipFill>
      <xdr:spPr>
        <a:xfrm flipH="1">
          <a:off x="431349" y="27965399"/>
          <a:ext cx="392250" cy="406702"/>
        </a:xfrm>
        <a:prstGeom prst="rect">
          <a:avLst/>
        </a:prstGeom>
      </xdr:spPr>
    </xdr:pic>
    <xdr:clientData/>
  </xdr:oneCellAnchor>
  <xdr:oneCellAnchor>
    <xdr:from>
      <xdr:col>2</xdr:col>
      <xdr:colOff>300483</xdr:colOff>
      <xdr:row>163</xdr:row>
      <xdr:rowOff>123265</xdr:rowOff>
    </xdr:from>
    <xdr:ext cx="405011" cy="396000"/>
    <xdr:pic>
      <xdr:nvPicPr>
        <xdr:cNvPr id="37" name="Gráfico 36" descr="Sirene">
          <a:extLst>
            <a:ext uri="{FF2B5EF4-FFF2-40B4-BE49-F238E27FC236}">
              <a16:creationId xmlns:a16="http://schemas.microsoft.com/office/drawing/2014/main" id="{08F3A769-BBCF-4574-836F-5CA6A5947E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6"/>
            </a:ext>
          </a:extLst>
        </a:blip>
        <a:stretch>
          <a:fillRect/>
        </a:stretch>
      </xdr:blipFill>
      <xdr:spPr>
        <a:xfrm>
          <a:off x="424308" y="31174765"/>
          <a:ext cx="405011" cy="396000"/>
        </a:xfrm>
        <a:prstGeom prst="rect">
          <a:avLst/>
        </a:prstGeom>
        <a:effectLst/>
      </xdr:spPr>
    </xdr:pic>
    <xdr:clientData/>
  </xdr:oneCellAnchor>
  <xdr:oneCellAnchor>
    <xdr:from>
      <xdr:col>2</xdr:col>
      <xdr:colOff>300483</xdr:colOff>
      <xdr:row>182</xdr:row>
      <xdr:rowOff>107576</xdr:rowOff>
    </xdr:from>
    <xdr:ext cx="405011" cy="400203"/>
    <xdr:pic>
      <xdr:nvPicPr>
        <xdr:cNvPr id="38" name="Gráfico 37" descr="Sirene">
          <a:extLst>
            <a:ext uri="{FF2B5EF4-FFF2-40B4-BE49-F238E27FC236}">
              <a16:creationId xmlns:a16="http://schemas.microsoft.com/office/drawing/2014/main" id="{6D728509-1627-4D98-9C84-2536030A1F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6"/>
            </a:ext>
          </a:extLst>
        </a:blip>
        <a:stretch>
          <a:fillRect/>
        </a:stretch>
      </xdr:blipFill>
      <xdr:spPr>
        <a:xfrm>
          <a:off x="424308" y="34778576"/>
          <a:ext cx="405011" cy="400203"/>
        </a:xfrm>
        <a:prstGeom prst="rect">
          <a:avLst/>
        </a:prstGeom>
        <a:effectLst/>
      </xdr:spPr>
    </xdr:pic>
    <xdr:clientData/>
  </xdr:oneCellAnchor>
  <xdr:oneCellAnchor>
    <xdr:from>
      <xdr:col>2</xdr:col>
      <xdr:colOff>300483</xdr:colOff>
      <xdr:row>201</xdr:row>
      <xdr:rowOff>125505</xdr:rowOff>
    </xdr:from>
    <xdr:ext cx="405011" cy="396000"/>
    <xdr:pic>
      <xdr:nvPicPr>
        <xdr:cNvPr id="39" name="Gráfico 38" descr="Sirene">
          <a:extLst>
            <a:ext uri="{FF2B5EF4-FFF2-40B4-BE49-F238E27FC236}">
              <a16:creationId xmlns:a16="http://schemas.microsoft.com/office/drawing/2014/main" id="{CEF4303B-2F10-40FB-9697-CC90A8C24B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6"/>
            </a:ext>
          </a:extLst>
        </a:blip>
        <a:stretch>
          <a:fillRect/>
        </a:stretch>
      </xdr:blipFill>
      <xdr:spPr>
        <a:xfrm>
          <a:off x="424308" y="38416005"/>
          <a:ext cx="405011" cy="396000"/>
        </a:xfrm>
        <a:prstGeom prst="rect">
          <a:avLst/>
        </a:prstGeom>
        <a:effectLst/>
      </xdr:spPr>
    </xdr:pic>
    <xdr:clientData/>
  </xdr:oneCellAnchor>
  <xdr:oneCellAnchor>
    <xdr:from>
      <xdr:col>31</xdr:col>
      <xdr:colOff>190500</xdr:colOff>
      <xdr:row>1</xdr:row>
      <xdr:rowOff>141194</xdr:rowOff>
    </xdr:from>
    <xdr:ext cx="342000" cy="341999"/>
    <xdr:pic>
      <xdr:nvPicPr>
        <xdr:cNvPr id="40" name="Gráfico 39" descr="Virar calendário">
          <a:hlinkClick xmlns:r="http://schemas.openxmlformats.org/officeDocument/2006/relationships" r:id="rId37"/>
          <a:extLst>
            <a:ext uri="{FF2B5EF4-FFF2-40B4-BE49-F238E27FC236}">
              <a16:creationId xmlns:a16="http://schemas.microsoft.com/office/drawing/2014/main" id="{D5DDEE63-7AE8-4A7B-B949-3220C0574C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9"/>
            </a:ext>
          </a:extLst>
        </a:blip>
        <a:stretch>
          <a:fillRect/>
        </a:stretch>
      </xdr:blipFill>
      <xdr:spPr>
        <a:xfrm>
          <a:off x="4572000" y="331694"/>
          <a:ext cx="342000" cy="341999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26</xdr:col>
      <xdr:colOff>324971</xdr:colOff>
      <xdr:row>2</xdr:row>
      <xdr:rowOff>174812</xdr:rowOff>
    </xdr:from>
    <xdr:to>
      <xdr:col>28</xdr:col>
      <xdr:colOff>22412</xdr:colOff>
      <xdr:row>2</xdr:row>
      <xdr:rowOff>174812</xdr:rowOff>
    </xdr:to>
    <xdr:cxnSp macro="">
      <xdr:nvCxnSpPr>
        <xdr:cNvPr id="41" name="Conector reto 40">
          <a:extLst>
            <a:ext uri="{FF2B5EF4-FFF2-40B4-BE49-F238E27FC236}">
              <a16:creationId xmlns:a16="http://schemas.microsoft.com/office/drawing/2014/main" id="{EC87B3B3-8F05-4B9B-8863-F6ECF2E24316}"/>
            </a:ext>
          </a:extLst>
        </xdr:cNvPr>
        <xdr:cNvCxnSpPr/>
      </xdr:nvCxnSpPr>
      <xdr:spPr>
        <a:xfrm>
          <a:off x="3858746" y="555812"/>
          <a:ext cx="164166" cy="0"/>
        </a:xfrm>
        <a:prstGeom prst="line">
          <a:avLst/>
        </a:prstGeom>
        <a:ln>
          <a:solidFill>
            <a:srgbClr val="FFEBAB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331694</xdr:colOff>
      <xdr:row>2</xdr:row>
      <xdr:rowOff>174812</xdr:rowOff>
    </xdr:from>
    <xdr:to>
      <xdr:col>31</xdr:col>
      <xdr:colOff>29135</xdr:colOff>
      <xdr:row>2</xdr:row>
      <xdr:rowOff>174812</xdr:rowOff>
    </xdr:to>
    <xdr:cxnSp macro="">
      <xdr:nvCxnSpPr>
        <xdr:cNvPr id="42" name="Conector reto 41">
          <a:extLst>
            <a:ext uri="{FF2B5EF4-FFF2-40B4-BE49-F238E27FC236}">
              <a16:creationId xmlns:a16="http://schemas.microsoft.com/office/drawing/2014/main" id="{CF4518A9-B738-492B-845B-641A323FCA98}"/>
            </a:ext>
          </a:extLst>
        </xdr:cNvPr>
        <xdr:cNvCxnSpPr/>
      </xdr:nvCxnSpPr>
      <xdr:spPr>
        <a:xfrm>
          <a:off x="4284569" y="555812"/>
          <a:ext cx="173691" cy="0"/>
        </a:xfrm>
        <a:prstGeom prst="line">
          <a:avLst/>
        </a:prstGeom>
        <a:ln>
          <a:solidFill>
            <a:srgbClr val="FFEBAB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0</xdr:col>
      <xdr:colOff>142210</xdr:colOff>
      <xdr:row>8</xdr:row>
      <xdr:rowOff>121771</xdr:rowOff>
    </xdr:from>
    <xdr:ext cx="250264" cy="246528"/>
    <xdr:pic>
      <xdr:nvPicPr>
        <xdr:cNvPr id="44" name="Gráfico 43" descr="Ajudar">
          <a:hlinkClick xmlns:r="http://schemas.openxmlformats.org/officeDocument/2006/relationships" r:id="rId40"/>
          <a:extLst>
            <a:ext uri="{FF2B5EF4-FFF2-40B4-BE49-F238E27FC236}">
              <a16:creationId xmlns:a16="http://schemas.microsoft.com/office/drawing/2014/main" id="{11B219AB-D89F-40A9-B5A9-795341D427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2210" y="1645771"/>
          <a:ext cx="250264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35</xdr:col>
      <xdr:colOff>0</xdr:colOff>
      <xdr:row>5</xdr:row>
      <xdr:rowOff>0</xdr:rowOff>
    </xdr:from>
    <xdr:to>
      <xdr:col>35</xdr:col>
      <xdr:colOff>549089</xdr:colOff>
      <xdr:row>6</xdr:row>
      <xdr:rowOff>11207</xdr:rowOff>
    </xdr:to>
    <xdr:sp macro="" textlink="">
      <xdr:nvSpPr>
        <xdr:cNvPr id="48" name="Balão de Fala: Retângulo com Cantos Arredondados 47">
          <a:extLst>
            <a:ext uri="{FF2B5EF4-FFF2-40B4-BE49-F238E27FC236}">
              <a16:creationId xmlns:a16="http://schemas.microsoft.com/office/drawing/2014/main" id="{EF5FF247-6C0F-46A4-92BB-D2730483C98F}"/>
            </a:ext>
          </a:extLst>
        </xdr:cNvPr>
        <xdr:cNvSpPr/>
      </xdr:nvSpPr>
      <xdr:spPr>
        <a:xfrm>
          <a:off x="13973735" y="795618"/>
          <a:ext cx="549089" cy="179295"/>
        </a:xfrm>
        <a:prstGeom prst="wedgeRoundRectCallout">
          <a:avLst>
            <a:gd name="adj1" fmla="val -18889"/>
            <a:gd name="adj2" fmla="val 13747"/>
            <a:gd name="adj3" fmla="val 16667"/>
          </a:avLst>
        </a:prstGeom>
        <a:solidFill>
          <a:srgbClr val="7030A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tIns="28800" bIns="36000" rtlCol="0" anchor="ctr"/>
        <a:lstStyle/>
        <a:p>
          <a:pPr algn="ctr"/>
          <a:r>
            <a:rPr lang="en-GB" sz="900"/>
            <a:t>DIAS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153895</xdr:colOff>
      <xdr:row>54</xdr:row>
      <xdr:rowOff>78440</xdr:rowOff>
    </xdr:from>
    <xdr:to>
      <xdr:col>3</xdr:col>
      <xdr:colOff>99733</xdr:colOff>
      <xdr:row>57</xdr:row>
      <xdr:rowOff>64621</xdr:rowOff>
    </xdr:to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1E1AE9C8-843A-41BE-87B7-81CAE5758F02}"/>
            </a:ext>
          </a:extLst>
        </xdr:cNvPr>
        <xdr:cNvSpPr/>
      </xdr:nvSpPr>
      <xdr:spPr>
        <a:xfrm>
          <a:off x="144370" y="10365440"/>
          <a:ext cx="2155638" cy="557681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REDUZI</a:t>
          </a:r>
          <a:br>
            <a:rPr lang="en-GB" sz="1000" b="1"/>
          </a:br>
          <a:r>
            <a:rPr lang="en-GB" sz="1000" b="1"/>
            <a:t>DESPESAS</a:t>
          </a:r>
          <a:br>
            <a:rPr lang="en-GB" sz="1000" b="1"/>
          </a:br>
          <a:r>
            <a:rPr lang="en-GB" sz="1000" b="1"/>
            <a:t>VARIÁVEIS?</a:t>
          </a:r>
        </a:p>
      </xdr:txBody>
    </xdr:sp>
    <xdr:clientData/>
  </xdr:twoCellAnchor>
  <xdr:twoCellAnchor>
    <xdr:from>
      <xdr:col>0</xdr:col>
      <xdr:colOff>132337</xdr:colOff>
      <xdr:row>8</xdr:row>
      <xdr:rowOff>104775</xdr:rowOff>
    </xdr:from>
    <xdr:to>
      <xdr:col>3</xdr:col>
      <xdr:colOff>77908</xdr:colOff>
      <xdr:row>11</xdr:row>
      <xdr:rowOff>76201</xdr:rowOff>
    </xdr:to>
    <xdr:sp macro="" textlink="">
      <xdr:nvSpPr>
        <xdr:cNvPr id="3" name="Retângulo: Cantos Arredondados 2">
          <a:extLst>
            <a:ext uri="{FF2B5EF4-FFF2-40B4-BE49-F238E27FC236}">
              <a16:creationId xmlns:a16="http://schemas.microsoft.com/office/drawing/2014/main" id="{739BC166-DF3D-4EE9-AC4E-D5AF2E37AE3A}"/>
            </a:ext>
          </a:extLst>
        </xdr:cNvPr>
        <xdr:cNvSpPr/>
      </xdr:nvSpPr>
      <xdr:spPr>
        <a:xfrm>
          <a:off x="132337" y="1628775"/>
          <a:ext cx="2145846" cy="542926"/>
        </a:xfrm>
        <a:prstGeom prst="roundRect">
          <a:avLst>
            <a:gd name="adj" fmla="val 7028"/>
          </a:avLst>
        </a:prstGeom>
        <a:solidFill>
          <a:srgbClr val="007CA8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CONSEGUI</a:t>
          </a:r>
          <a:br>
            <a:rPr lang="en-GB" sz="1000" b="1"/>
          </a:br>
          <a:r>
            <a:rPr lang="en-GB" sz="1000" b="1"/>
            <a:t>JUNTAR</a:t>
          </a:r>
          <a:br>
            <a:rPr lang="en-GB" sz="1000" b="1"/>
          </a:br>
          <a:r>
            <a:rPr lang="en-GB" sz="1000" b="1"/>
            <a:t>DINHEIRO?</a:t>
          </a:r>
        </a:p>
      </xdr:txBody>
    </xdr:sp>
    <xdr:clientData/>
  </xdr:twoCellAnchor>
  <xdr:twoCellAnchor>
    <xdr:from>
      <xdr:col>0</xdr:col>
      <xdr:colOff>132337</xdr:colOff>
      <xdr:row>19</xdr:row>
      <xdr:rowOff>104775</xdr:rowOff>
    </xdr:from>
    <xdr:to>
      <xdr:col>3</xdr:col>
      <xdr:colOff>77908</xdr:colOff>
      <xdr:row>22</xdr:row>
      <xdr:rowOff>57151</xdr:rowOff>
    </xdr:to>
    <xdr:sp macro="" textlink="">
      <xdr:nvSpPr>
        <xdr:cNvPr id="4" name="Retângulo: Cantos Arredondados 3">
          <a:extLst>
            <a:ext uri="{FF2B5EF4-FFF2-40B4-BE49-F238E27FC236}">
              <a16:creationId xmlns:a16="http://schemas.microsoft.com/office/drawing/2014/main" id="{18438A80-97A6-4198-B675-4447393EB20C}"/>
            </a:ext>
          </a:extLst>
        </xdr:cNvPr>
        <xdr:cNvSpPr/>
      </xdr:nvSpPr>
      <xdr:spPr>
        <a:xfrm>
          <a:off x="132337" y="3724275"/>
          <a:ext cx="2145846" cy="523876"/>
        </a:xfrm>
        <a:prstGeom prst="roundRect">
          <a:avLst>
            <a:gd name="adj" fmla="val 7028"/>
          </a:avLst>
        </a:prstGeom>
        <a:solidFill>
          <a:srgbClr val="007CA8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CONSEGUI</a:t>
          </a:r>
          <a:br>
            <a:rPr lang="en-GB" sz="1000" b="1"/>
          </a:br>
          <a:r>
            <a:rPr lang="en-GB" sz="1000" b="1"/>
            <a:t>GUARDAR E</a:t>
          </a:r>
          <a:br>
            <a:rPr lang="en-GB" sz="1000" b="1"/>
          </a:br>
          <a:r>
            <a:rPr lang="en-GB" sz="1000" b="1"/>
            <a:t>INVESTIR?</a:t>
          </a:r>
        </a:p>
      </xdr:txBody>
    </xdr:sp>
    <xdr:clientData/>
  </xdr:twoCellAnchor>
  <xdr:oneCellAnchor>
    <xdr:from>
      <xdr:col>2</xdr:col>
      <xdr:colOff>282383</xdr:colOff>
      <xdr:row>20</xdr:row>
      <xdr:rowOff>118215</xdr:rowOff>
    </xdr:from>
    <xdr:ext cx="399499" cy="396000"/>
    <xdr:pic>
      <xdr:nvPicPr>
        <xdr:cNvPr id="5" name="Gráfico 4" descr="Cofrinho">
          <a:extLst>
            <a:ext uri="{FF2B5EF4-FFF2-40B4-BE49-F238E27FC236}">
              <a16:creationId xmlns:a16="http://schemas.microsoft.com/office/drawing/2014/main" id="{38CC503C-10C9-4B88-B3BA-3F920CD8DF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530033" y="3928215"/>
          <a:ext cx="399499" cy="396000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2</xdr:col>
      <xdr:colOff>283926</xdr:colOff>
      <xdr:row>9</xdr:row>
      <xdr:rowOff>151343</xdr:rowOff>
    </xdr:from>
    <xdr:ext cx="396412" cy="396001"/>
    <xdr:pic>
      <xdr:nvPicPr>
        <xdr:cNvPr id="6" name="Gráfico 5" descr="Carteira">
          <a:extLst>
            <a:ext uri="{FF2B5EF4-FFF2-40B4-BE49-F238E27FC236}">
              <a16:creationId xmlns:a16="http://schemas.microsoft.com/office/drawing/2014/main" id="{17F2A8E4-FB07-4193-B376-D30446BC94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531576" y="1865843"/>
          <a:ext cx="396412" cy="396001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0</xdr:col>
      <xdr:colOff>145864</xdr:colOff>
      <xdr:row>31</xdr:row>
      <xdr:rowOff>89647</xdr:rowOff>
    </xdr:from>
    <xdr:to>
      <xdr:col>3</xdr:col>
      <xdr:colOff>91702</xdr:colOff>
      <xdr:row>34</xdr:row>
      <xdr:rowOff>79002</xdr:rowOff>
    </xdr:to>
    <xdr:sp macro="" textlink="">
      <xdr:nvSpPr>
        <xdr:cNvPr id="7" name="Retângulo: Cantos Arredondados 6">
          <a:extLst>
            <a:ext uri="{FF2B5EF4-FFF2-40B4-BE49-F238E27FC236}">
              <a16:creationId xmlns:a16="http://schemas.microsoft.com/office/drawing/2014/main" id="{2F5A5424-0F9C-424D-970B-60B7AC15D73E}"/>
            </a:ext>
          </a:extLst>
        </xdr:cNvPr>
        <xdr:cNvSpPr/>
      </xdr:nvSpPr>
      <xdr:spPr>
        <a:xfrm>
          <a:off x="145864" y="5995147"/>
          <a:ext cx="2146113" cy="560855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REDUZI</a:t>
          </a:r>
          <a:br>
            <a:rPr lang="en-GB" sz="1000" b="1"/>
          </a:br>
          <a:r>
            <a:rPr lang="en-GB" sz="1000" b="1"/>
            <a:t>DESPESAS</a:t>
          </a:r>
          <a:br>
            <a:rPr lang="en-GB" sz="1000" b="1"/>
          </a:br>
          <a:r>
            <a:rPr lang="en-GB" sz="1000" b="1"/>
            <a:t>F</a:t>
          </a:r>
          <a:r>
            <a:rPr lang="en-GB" sz="1000" b="1" baseline="0"/>
            <a:t>IXAS?</a:t>
          </a:r>
          <a:endParaRPr lang="en-GB" sz="1000" b="1"/>
        </a:p>
      </xdr:txBody>
    </xdr:sp>
    <xdr:clientData/>
  </xdr:twoCellAnchor>
  <xdr:oneCellAnchor>
    <xdr:from>
      <xdr:col>2</xdr:col>
      <xdr:colOff>315419</xdr:colOff>
      <xdr:row>32</xdr:row>
      <xdr:rowOff>144489</xdr:rowOff>
    </xdr:from>
    <xdr:ext cx="394594" cy="395999"/>
    <xdr:pic>
      <xdr:nvPicPr>
        <xdr:cNvPr id="8" name="Gráfico 7" descr="Eletricista">
          <a:extLst>
            <a:ext uri="{FF2B5EF4-FFF2-40B4-BE49-F238E27FC236}">
              <a16:creationId xmlns:a16="http://schemas.microsoft.com/office/drawing/2014/main" id="{40C6DD94-8B31-4CD5-897B-481E61AC22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6"/>
            </a:ext>
          </a:extLst>
        </a:blip>
        <a:stretch>
          <a:fillRect/>
        </a:stretch>
      </xdr:blipFill>
      <xdr:spPr>
        <a:xfrm>
          <a:off x="563069" y="6240489"/>
          <a:ext cx="394594" cy="395999"/>
        </a:xfrm>
        <a:prstGeom prst="rect">
          <a:avLst/>
        </a:prstGeom>
        <a:effectLst/>
      </xdr:spPr>
    </xdr:pic>
    <xdr:clientData/>
  </xdr:oneCellAnchor>
  <xdr:oneCellAnchor>
    <xdr:from>
      <xdr:col>2</xdr:col>
      <xdr:colOff>311917</xdr:colOff>
      <xdr:row>55</xdr:row>
      <xdr:rowOff>132264</xdr:rowOff>
    </xdr:from>
    <xdr:ext cx="401599" cy="395999"/>
    <xdr:pic>
      <xdr:nvPicPr>
        <xdr:cNvPr id="9" name="Gráfico 8" descr="Artista">
          <a:extLst>
            <a:ext uri="{FF2B5EF4-FFF2-40B4-BE49-F238E27FC236}">
              <a16:creationId xmlns:a16="http://schemas.microsoft.com/office/drawing/2014/main" id="{000ED7A0-3BF0-456C-A1D5-F7738EBAF7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8"/>
            </a:ext>
          </a:extLst>
        </a:blip>
        <a:stretch>
          <a:fillRect/>
        </a:stretch>
      </xdr:blipFill>
      <xdr:spPr>
        <a:xfrm>
          <a:off x="559567" y="10609764"/>
          <a:ext cx="401599" cy="395999"/>
        </a:xfrm>
        <a:prstGeom prst="rect">
          <a:avLst/>
        </a:prstGeom>
        <a:effectLst/>
      </xdr:spPr>
    </xdr:pic>
    <xdr:clientData/>
  </xdr:oneCellAnchor>
  <xdr:twoCellAnchor>
    <xdr:from>
      <xdr:col>1</xdr:col>
      <xdr:colOff>0</xdr:colOff>
      <xdr:row>76</xdr:row>
      <xdr:rowOff>104775</xdr:rowOff>
    </xdr:from>
    <xdr:to>
      <xdr:col>3</xdr:col>
      <xdr:colOff>95250</xdr:colOff>
      <xdr:row>79</xdr:row>
      <xdr:rowOff>76201</xdr:rowOff>
    </xdr:to>
    <xdr:sp macro="" textlink="">
      <xdr:nvSpPr>
        <xdr:cNvPr id="10" name="Retângulo: Cantos Arredondados 9">
          <a:extLst>
            <a:ext uri="{FF2B5EF4-FFF2-40B4-BE49-F238E27FC236}">
              <a16:creationId xmlns:a16="http://schemas.microsoft.com/office/drawing/2014/main" id="{42DC4004-885D-4884-99F3-EB39587FA432}"/>
            </a:ext>
          </a:extLst>
        </xdr:cNvPr>
        <xdr:cNvSpPr/>
      </xdr:nvSpPr>
      <xdr:spPr>
        <a:xfrm>
          <a:off x="142875" y="145827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AUMENTEI</a:t>
          </a:r>
          <a:br>
            <a:rPr lang="en-GB" sz="1000" b="1"/>
          </a:br>
          <a:r>
            <a:rPr lang="en-GB" sz="1000" b="1"/>
            <a:t>GANHOS</a:t>
          </a:r>
          <a:br>
            <a:rPr lang="en-GB" sz="1000" b="1"/>
          </a:br>
          <a:r>
            <a:rPr lang="en-GB" sz="1000" b="1"/>
            <a:t>FIXOS?</a:t>
          </a:r>
        </a:p>
      </xdr:txBody>
    </xdr:sp>
    <xdr:clientData/>
  </xdr:twoCellAnchor>
  <xdr:oneCellAnchor>
    <xdr:from>
      <xdr:col>28</xdr:col>
      <xdr:colOff>211792</xdr:colOff>
      <xdr:row>1</xdr:row>
      <xdr:rowOff>166407</xdr:rowOff>
    </xdr:from>
    <xdr:ext cx="310402" cy="310039"/>
    <xdr:pic>
      <xdr:nvPicPr>
        <xdr:cNvPr id="11" name="Gráfico 10" descr="Impressão digital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7C808D13-4A43-4DD4-92CE-7D5933E887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1"/>
            </a:ext>
          </a:extLst>
        </a:blip>
        <a:stretch>
          <a:fillRect/>
        </a:stretch>
      </xdr:blipFill>
      <xdr:spPr>
        <a:xfrm>
          <a:off x="11641792" y="356907"/>
          <a:ext cx="310402" cy="310039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25</xdr:col>
      <xdr:colOff>188660</xdr:colOff>
      <xdr:row>1</xdr:row>
      <xdr:rowOff>129989</xdr:rowOff>
    </xdr:from>
    <xdr:ext cx="369173" cy="364524"/>
    <xdr:pic>
      <xdr:nvPicPr>
        <xdr:cNvPr id="12" name="Gráfico 11" descr="Trancar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id="{096F571A-1770-4FE3-8C1D-BED233245B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4"/>
            </a:ext>
          </a:extLst>
        </a:blip>
        <a:stretch>
          <a:fillRect/>
        </a:stretch>
      </xdr:blipFill>
      <xdr:spPr>
        <a:xfrm>
          <a:off x="10504235" y="320489"/>
          <a:ext cx="369173" cy="364524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1</xdr:col>
      <xdr:colOff>1017</xdr:colOff>
      <xdr:row>19</xdr:row>
      <xdr:rowOff>126254</xdr:rowOff>
    </xdr:from>
    <xdr:ext cx="250264" cy="246528"/>
    <xdr:pic>
      <xdr:nvPicPr>
        <xdr:cNvPr id="13" name="Gráfico 12" descr="Ajudar">
          <a:hlinkClick xmlns:r="http://schemas.openxmlformats.org/officeDocument/2006/relationships" r:id="rId15"/>
          <a:extLst>
            <a:ext uri="{FF2B5EF4-FFF2-40B4-BE49-F238E27FC236}">
              <a16:creationId xmlns:a16="http://schemas.microsoft.com/office/drawing/2014/main" id="{3DFFE206-132C-4BBB-9A7B-84DDD51837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3892" y="3745754"/>
          <a:ext cx="250264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1</xdr:col>
      <xdr:colOff>15211</xdr:colOff>
      <xdr:row>31</xdr:row>
      <xdr:rowOff>114300</xdr:rowOff>
    </xdr:from>
    <xdr:ext cx="246528" cy="246528"/>
    <xdr:pic>
      <xdr:nvPicPr>
        <xdr:cNvPr id="14" name="Gráfico 13" descr="Ajudar">
          <a:hlinkClick xmlns:r="http://schemas.openxmlformats.org/officeDocument/2006/relationships" r:id="rId18"/>
          <a:extLst>
            <a:ext uri="{FF2B5EF4-FFF2-40B4-BE49-F238E27FC236}">
              <a16:creationId xmlns:a16="http://schemas.microsoft.com/office/drawing/2014/main" id="{7924C544-7D13-4A84-901D-B982564C15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58086" y="6019800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1</xdr:col>
      <xdr:colOff>10727</xdr:colOff>
      <xdr:row>54</xdr:row>
      <xdr:rowOff>98613</xdr:rowOff>
    </xdr:from>
    <xdr:ext cx="246528" cy="246529"/>
    <xdr:pic>
      <xdr:nvPicPr>
        <xdr:cNvPr id="15" name="Gráfico 14" descr="Ajudar">
          <a:hlinkClick xmlns:r="http://schemas.openxmlformats.org/officeDocument/2006/relationships" r:id="rId19"/>
          <a:extLst>
            <a:ext uri="{FF2B5EF4-FFF2-40B4-BE49-F238E27FC236}">
              <a16:creationId xmlns:a16="http://schemas.microsoft.com/office/drawing/2014/main" id="{5530C954-00EB-4C39-9139-908504DA08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53602" y="10385613"/>
          <a:ext cx="246528" cy="246529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1</xdr:col>
      <xdr:colOff>6244</xdr:colOff>
      <xdr:row>76</xdr:row>
      <xdr:rowOff>127748</xdr:rowOff>
    </xdr:from>
    <xdr:ext cx="246528" cy="246528"/>
    <xdr:pic>
      <xdr:nvPicPr>
        <xdr:cNvPr id="16" name="Gráfico 15" descr="Ajudar">
          <a:hlinkClick xmlns:r="http://schemas.openxmlformats.org/officeDocument/2006/relationships" r:id="rId20"/>
          <a:extLst>
            <a:ext uri="{FF2B5EF4-FFF2-40B4-BE49-F238E27FC236}">
              <a16:creationId xmlns:a16="http://schemas.microsoft.com/office/drawing/2014/main" id="{70AA550F-3F0F-4470-8E40-ED3D45F1A7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146057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90</xdr:row>
      <xdr:rowOff>104775</xdr:rowOff>
    </xdr:from>
    <xdr:to>
      <xdr:col>3</xdr:col>
      <xdr:colOff>95250</xdr:colOff>
      <xdr:row>93</xdr:row>
      <xdr:rowOff>76201</xdr:rowOff>
    </xdr:to>
    <xdr:sp macro="" textlink="">
      <xdr:nvSpPr>
        <xdr:cNvPr id="17" name="Retângulo: Cantos Arredondados 16">
          <a:extLst>
            <a:ext uri="{FF2B5EF4-FFF2-40B4-BE49-F238E27FC236}">
              <a16:creationId xmlns:a16="http://schemas.microsoft.com/office/drawing/2014/main" id="{6275DF7B-C38A-41F7-B60E-191A58F5D13E}"/>
            </a:ext>
          </a:extLst>
        </xdr:cNvPr>
        <xdr:cNvSpPr/>
      </xdr:nvSpPr>
      <xdr:spPr>
        <a:xfrm>
          <a:off x="142875" y="172497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AUMENTEI</a:t>
          </a:r>
          <a:br>
            <a:rPr lang="en-GB" sz="1000" b="1"/>
          </a:br>
          <a:r>
            <a:rPr lang="en-GB" sz="1000" b="1"/>
            <a:t>GANHOS</a:t>
          </a:r>
          <a:br>
            <a:rPr lang="en-GB" sz="1000" b="1"/>
          </a:br>
          <a:r>
            <a:rPr lang="en-GB" sz="1000" b="1"/>
            <a:t>VARIÁVEIS?</a:t>
          </a:r>
        </a:p>
      </xdr:txBody>
    </xdr:sp>
    <xdr:clientData/>
  </xdr:twoCellAnchor>
  <xdr:oneCellAnchor>
    <xdr:from>
      <xdr:col>1</xdr:col>
      <xdr:colOff>6244</xdr:colOff>
      <xdr:row>90</xdr:row>
      <xdr:rowOff>127748</xdr:rowOff>
    </xdr:from>
    <xdr:ext cx="246528" cy="246528"/>
    <xdr:pic>
      <xdr:nvPicPr>
        <xdr:cNvPr id="18" name="Gráfico 17" descr="Ajudar">
          <a:hlinkClick xmlns:r="http://schemas.openxmlformats.org/officeDocument/2006/relationships" r:id="rId21"/>
          <a:extLst>
            <a:ext uri="{FF2B5EF4-FFF2-40B4-BE49-F238E27FC236}">
              <a16:creationId xmlns:a16="http://schemas.microsoft.com/office/drawing/2014/main" id="{5C2ED16B-8B01-4402-A4E6-9AE70B2E4A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172727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107</xdr:row>
      <xdr:rowOff>104775</xdr:rowOff>
    </xdr:from>
    <xdr:to>
      <xdr:col>3</xdr:col>
      <xdr:colOff>95250</xdr:colOff>
      <xdr:row>110</xdr:row>
      <xdr:rowOff>76201</xdr:rowOff>
    </xdr:to>
    <xdr:sp macro="" textlink="">
      <xdr:nvSpPr>
        <xdr:cNvPr id="19" name="Retângulo: Cantos Arredondados 18">
          <a:extLst>
            <a:ext uri="{FF2B5EF4-FFF2-40B4-BE49-F238E27FC236}">
              <a16:creationId xmlns:a16="http://schemas.microsoft.com/office/drawing/2014/main" id="{2E6337E3-D2AA-4437-BA1A-35516106B4CB}"/>
            </a:ext>
          </a:extLst>
        </xdr:cNvPr>
        <xdr:cNvSpPr/>
      </xdr:nvSpPr>
      <xdr:spPr>
        <a:xfrm>
          <a:off x="142875" y="204882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INVESTI</a:t>
          </a:r>
          <a:r>
            <a:rPr lang="en-GB" sz="1000" b="1" baseline="0"/>
            <a:t> EM</a:t>
          </a:r>
          <a:br>
            <a:rPr lang="en-GB" sz="1000" b="1"/>
          </a:br>
          <a:r>
            <a:rPr lang="en-GB" sz="1000" b="1"/>
            <a:t>RENDA</a:t>
          </a:r>
          <a:br>
            <a:rPr lang="en-GB" sz="1000" b="1"/>
          </a:br>
          <a:r>
            <a:rPr lang="en-GB" sz="1000" b="1" baseline="0"/>
            <a:t>FIXA?</a:t>
          </a:r>
          <a:endParaRPr lang="en-GB" sz="1000" b="1"/>
        </a:p>
      </xdr:txBody>
    </xdr:sp>
    <xdr:clientData/>
  </xdr:twoCellAnchor>
  <xdr:oneCellAnchor>
    <xdr:from>
      <xdr:col>1</xdr:col>
      <xdr:colOff>6244</xdr:colOff>
      <xdr:row>107</xdr:row>
      <xdr:rowOff>127748</xdr:rowOff>
    </xdr:from>
    <xdr:ext cx="246528" cy="246528"/>
    <xdr:pic>
      <xdr:nvPicPr>
        <xdr:cNvPr id="20" name="Gráfico 19" descr="Ajudar">
          <a:hlinkClick xmlns:r="http://schemas.openxmlformats.org/officeDocument/2006/relationships" r:id="rId22"/>
          <a:extLst>
            <a:ext uri="{FF2B5EF4-FFF2-40B4-BE49-F238E27FC236}">
              <a16:creationId xmlns:a16="http://schemas.microsoft.com/office/drawing/2014/main" id="{294B8E4F-62CD-4ACF-8379-46C9338DD5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205112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126</xdr:row>
      <xdr:rowOff>104775</xdr:rowOff>
    </xdr:from>
    <xdr:to>
      <xdr:col>3</xdr:col>
      <xdr:colOff>95250</xdr:colOff>
      <xdr:row>129</xdr:row>
      <xdr:rowOff>76201</xdr:rowOff>
    </xdr:to>
    <xdr:sp macro="" textlink="">
      <xdr:nvSpPr>
        <xdr:cNvPr id="21" name="Retângulo: Cantos Arredondados 20">
          <a:extLst>
            <a:ext uri="{FF2B5EF4-FFF2-40B4-BE49-F238E27FC236}">
              <a16:creationId xmlns:a16="http://schemas.microsoft.com/office/drawing/2014/main" id="{622C29E3-1955-4D2B-8055-2C7995AEDB2D}"/>
            </a:ext>
          </a:extLst>
        </xdr:cNvPr>
        <xdr:cNvSpPr/>
      </xdr:nvSpPr>
      <xdr:spPr>
        <a:xfrm>
          <a:off x="142875" y="241077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INVESTI EM</a:t>
          </a:r>
          <a:br>
            <a:rPr lang="en-GB" sz="1000" b="1"/>
          </a:br>
          <a:r>
            <a:rPr lang="en-GB" sz="1000" b="1"/>
            <a:t>RENDA </a:t>
          </a:r>
          <a:r>
            <a:rPr lang="en-GB" sz="1000" b="1" baseline="0"/>
            <a:t>VARIÁVEL?</a:t>
          </a:r>
          <a:endParaRPr lang="en-GB" sz="1000" b="1"/>
        </a:p>
      </xdr:txBody>
    </xdr:sp>
    <xdr:clientData/>
  </xdr:twoCellAnchor>
  <xdr:oneCellAnchor>
    <xdr:from>
      <xdr:col>1</xdr:col>
      <xdr:colOff>6244</xdr:colOff>
      <xdr:row>126</xdr:row>
      <xdr:rowOff>127748</xdr:rowOff>
    </xdr:from>
    <xdr:ext cx="246528" cy="246528"/>
    <xdr:pic>
      <xdr:nvPicPr>
        <xdr:cNvPr id="22" name="Gráfico 21" descr="Ajudar">
          <a:hlinkClick xmlns:r="http://schemas.openxmlformats.org/officeDocument/2006/relationships" r:id="rId23"/>
          <a:extLst>
            <a:ext uri="{FF2B5EF4-FFF2-40B4-BE49-F238E27FC236}">
              <a16:creationId xmlns:a16="http://schemas.microsoft.com/office/drawing/2014/main" id="{76B2FBFD-9508-4CA2-8DD8-1E47C9F9FD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241307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145</xdr:row>
      <xdr:rowOff>104775</xdr:rowOff>
    </xdr:from>
    <xdr:to>
      <xdr:col>3</xdr:col>
      <xdr:colOff>95250</xdr:colOff>
      <xdr:row>148</xdr:row>
      <xdr:rowOff>76201</xdr:rowOff>
    </xdr:to>
    <xdr:sp macro="" textlink="">
      <xdr:nvSpPr>
        <xdr:cNvPr id="23" name="Retângulo: Cantos Arredondados 22">
          <a:extLst>
            <a:ext uri="{FF2B5EF4-FFF2-40B4-BE49-F238E27FC236}">
              <a16:creationId xmlns:a16="http://schemas.microsoft.com/office/drawing/2014/main" id="{6331AE22-D21C-41BA-BE04-F8175EAE108D}"/>
            </a:ext>
          </a:extLst>
        </xdr:cNvPr>
        <xdr:cNvSpPr/>
      </xdr:nvSpPr>
      <xdr:spPr>
        <a:xfrm>
          <a:off x="142875" y="277272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INVESTI</a:t>
          </a:r>
          <a:r>
            <a:rPr lang="en-GB" sz="1000" b="1" baseline="0"/>
            <a:t> EM</a:t>
          </a:r>
          <a:br>
            <a:rPr lang="en-GB" sz="1000" b="1"/>
          </a:br>
          <a:r>
            <a:rPr lang="en-GB" sz="1000" b="1"/>
            <a:t>OUTROS</a:t>
          </a:r>
          <a:br>
            <a:rPr lang="en-GB" sz="1000" b="1"/>
          </a:br>
          <a:r>
            <a:rPr lang="en-GB" sz="1000" b="1"/>
            <a:t>ATIVOS?</a:t>
          </a:r>
        </a:p>
      </xdr:txBody>
    </xdr:sp>
    <xdr:clientData/>
  </xdr:twoCellAnchor>
  <xdr:oneCellAnchor>
    <xdr:from>
      <xdr:col>1</xdr:col>
      <xdr:colOff>6244</xdr:colOff>
      <xdr:row>145</xdr:row>
      <xdr:rowOff>127748</xdr:rowOff>
    </xdr:from>
    <xdr:ext cx="246528" cy="246528"/>
    <xdr:pic>
      <xdr:nvPicPr>
        <xdr:cNvPr id="24" name="Gráfico 23" descr="Ajudar">
          <a:hlinkClick xmlns:r="http://schemas.openxmlformats.org/officeDocument/2006/relationships" r:id="rId24"/>
          <a:extLst>
            <a:ext uri="{FF2B5EF4-FFF2-40B4-BE49-F238E27FC236}">
              <a16:creationId xmlns:a16="http://schemas.microsoft.com/office/drawing/2014/main" id="{48F368A3-9960-4E32-BC47-45320052E0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277502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162</xdr:row>
      <xdr:rowOff>104775</xdr:rowOff>
    </xdr:from>
    <xdr:to>
      <xdr:col>3</xdr:col>
      <xdr:colOff>95250</xdr:colOff>
      <xdr:row>165</xdr:row>
      <xdr:rowOff>76201</xdr:rowOff>
    </xdr:to>
    <xdr:sp macro="" textlink="">
      <xdr:nvSpPr>
        <xdr:cNvPr id="25" name="Retângulo: Cantos Arredondados 24">
          <a:extLst>
            <a:ext uri="{FF2B5EF4-FFF2-40B4-BE49-F238E27FC236}">
              <a16:creationId xmlns:a16="http://schemas.microsoft.com/office/drawing/2014/main" id="{6125C1A4-1432-485A-82EC-FAAE4232701D}"/>
            </a:ext>
          </a:extLst>
        </xdr:cNvPr>
        <xdr:cNvSpPr/>
      </xdr:nvSpPr>
      <xdr:spPr>
        <a:xfrm>
          <a:off x="142875" y="309657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GUARDEI</a:t>
          </a:r>
          <a:br>
            <a:rPr lang="en-GB" sz="1000" b="1"/>
          </a:br>
          <a:r>
            <a:rPr lang="en-GB" sz="1000" b="1"/>
            <a:t>RESERVA EM</a:t>
          </a:r>
          <a:br>
            <a:rPr lang="en-GB" sz="1000" b="1"/>
          </a:br>
          <a:r>
            <a:rPr lang="en-GB" sz="1000" b="1"/>
            <a:t>RENDA</a:t>
          </a:r>
          <a:r>
            <a:rPr lang="en-GB" sz="1000" b="1" baseline="0"/>
            <a:t> </a:t>
          </a:r>
          <a:r>
            <a:rPr lang="en-GB" sz="1000" b="1"/>
            <a:t>FIXA?</a:t>
          </a:r>
        </a:p>
      </xdr:txBody>
    </xdr:sp>
    <xdr:clientData/>
  </xdr:twoCellAnchor>
  <xdr:oneCellAnchor>
    <xdr:from>
      <xdr:col>1</xdr:col>
      <xdr:colOff>6244</xdr:colOff>
      <xdr:row>162</xdr:row>
      <xdr:rowOff>127748</xdr:rowOff>
    </xdr:from>
    <xdr:ext cx="246528" cy="246528"/>
    <xdr:pic>
      <xdr:nvPicPr>
        <xdr:cNvPr id="26" name="Gráfico 25" descr="Ajudar">
          <a:hlinkClick xmlns:r="http://schemas.openxmlformats.org/officeDocument/2006/relationships" r:id="rId25"/>
          <a:extLst>
            <a:ext uri="{FF2B5EF4-FFF2-40B4-BE49-F238E27FC236}">
              <a16:creationId xmlns:a16="http://schemas.microsoft.com/office/drawing/2014/main" id="{5B2D704B-08CC-46AB-8B7C-C4075B559D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309887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181</xdr:row>
      <xdr:rowOff>104775</xdr:rowOff>
    </xdr:from>
    <xdr:to>
      <xdr:col>3</xdr:col>
      <xdr:colOff>95250</xdr:colOff>
      <xdr:row>184</xdr:row>
      <xdr:rowOff>76201</xdr:rowOff>
    </xdr:to>
    <xdr:sp macro="" textlink="">
      <xdr:nvSpPr>
        <xdr:cNvPr id="27" name="Retângulo: Cantos Arredondados 26">
          <a:extLst>
            <a:ext uri="{FF2B5EF4-FFF2-40B4-BE49-F238E27FC236}">
              <a16:creationId xmlns:a16="http://schemas.microsoft.com/office/drawing/2014/main" id="{DCDC05E4-EE3D-4231-ADD4-2B4EF0D65C18}"/>
            </a:ext>
          </a:extLst>
        </xdr:cNvPr>
        <xdr:cNvSpPr/>
      </xdr:nvSpPr>
      <xdr:spPr>
        <a:xfrm>
          <a:off x="142875" y="345852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/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GUARDEI</a:t>
          </a:r>
          <a:b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RESERVA EM</a:t>
          </a:r>
          <a:b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RENDA</a:t>
          </a:r>
          <a:r>
            <a:rPr lang="en-GB" sz="10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VARIÁVEL?</a:t>
          </a:r>
          <a:endParaRPr lang="en-GB" sz="1000">
            <a:effectLst/>
          </a:endParaRPr>
        </a:p>
      </xdr:txBody>
    </xdr:sp>
    <xdr:clientData/>
  </xdr:twoCellAnchor>
  <xdr:oneCellAnchor>
    <xdr:from>
      <xdr:col>1</xdr:col>
      <xdr:colOff>6244</xdr:colOff>
      <xdr:row>181</xdr:row>
      <xdr:rowOff>127748</xdr:rowOff>
    </xdr:from>
    <xdr:ext cx="246528" cy="246528"/>
    <xdr:pic>
      <xdr:nvPicPr>
        <xdr:cNvPr id="28" name="Gráfico 27" descr="Ajudar">
          <a:hlinkClick xmlns:r="http://schemas.openxmlformats.org/officeDocument/2006/relationships" r:id="rId26"/>
          <a:extLst>
            <a:ext uri="{FF2B5EF4-FFF2-40B4-BE49-F238E27FC236}">
              <a16:creationId xmlns:a16="http://schemas.microsoft.com/office/drawing/2014/main" id="{728C375E-FC4E-497D-AADF-3ADD9605A7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346082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200</xdr:row>
      <xdr:rowOff>104775</xdr:rowOff>
    </xdr:from>
    <xdr:to>
      <xdr:col>3</xdr:col>
      <xdr:colOff>95250</xdr:colOff>
      <xdr:row>203</xdr:row>
      <xdr:rowOff>76201</xdr:rowOff>
    </xdr:to>
    <xdr:sp macro="" textlink="">
      <xdr:nvSpPr>
        <xdr:cNvPr id="29" name="Retângulo: Cantos Arredondados 28">
          <a:extLst>
            <a:ext uri="{FF2B5EF4-FFF2-40B4-BE49-F238E27FC236}">
              <a16:creationId xmlns:a16="http://schemas.microsoft.com/office/drawing/2014/main" id="{F3E178C4-7F6F-4734-9EA5-A436C36A916C}"/>
            </a:ext>
          </a:extLst>
        </xdr:cNvPr>
        <xdr:cNvSpPr/>
      </xdr:nvSpPr>
      <xdr:spPr>
        <a:xfrm>
          <a:off x="142875" y="382047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/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GUARDEI</a:t>
          </a:r>
          <a:b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RESERVA EM</a:t>
          </a:r>
          <a:b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OUTROS ATIVOS?</a:t>
          </a:r>
          <a:endParaRPr lang="en-GB" sz="1000">
            <a:effectLst/>
          </a:endParaRPr>
        </a:p>
      </xdr:txBody>
    </xdr:sp>
    <xdr:clientData/>
  </xdr:twoCellAnchor>
  <xdr:oneCellAnchor>
    <xdr:from>
      <xdr:col>1</xdr:col>
      <xdr:colOff>6244</xdr:colOff>
      <xdr:row>200</xdr:row>
      <xdr:rowOff>127748</xdr:rowOff>
    </xdr:from>
    <xdr:ext cx="246528" cy="246528"/>
    <xdr:pic>
      <xdr:nvPicPr>
        <xdr:cNvPr id="30" name="Gráfico 29" descr="Ajudar">
          <a:hlinkClick xmlns:r="http://schemas.openxmlformats.org/officeDocument/2006/relationships" r:id="rId27"/>
          <a:extLst>
            <a:ext uri="{FF2B5EF4-FFF2-40B4-BE49-F238E27FC236}">
              <a16:creationId xmlns:a16="http://schemas.microsoft.com/office/drawing/2014/main" id="{00E08F27-7766-4FFC-B4E1-0695F5E834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382277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2</xdr:col>
      <xdr:colOff>319257</xdr:colOff>
      <xdr:row>77</xdr:row>
      <xdr:rowOff>126685</xdr:rowOff>
    </xdr:from>
    <xdr:ext cx="392036" cy="395999"/>
    <xdr:pic>
      <xdr:nvPicPr>
        <xdr:cNvPr id="31" name="Gráfico 30" descr="Dinheiro">
          <a:extLst>
            <a:ext uri="{FF2B5EF4-FFF2-40B4-BE49-F238E27FC236}">
              <a16:creationId xmlns:a16="http://schemas.microsoft.com/office/drawing/2014/main" id="{9881DFEF-97B1-4B11-8581-01E891DF28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9"/>
            </a:ext>
          </a:extLst>
        </a:blip>
        <a:stretch>
          <a:fillRect/>
        </a:stretch>
      </xdr:blipFill>
      <xdr:spPr>
        <a:xfrm flipH="1">
          <a:off x="566907" y="14795185"/>
          <a:ext cx="392036" cy="395999"/>
        </a:xfrm>
        <a:prstGeom prst="rect">
          <a:avLst/>
        </a:prstGeom>
      </xdr:spPr>
    </xdr:pic>
    <xdr:clientData/>
  </xdr:oneCellAnchor>
  <xdr:oneCellAnchor>
    <xdr:from>
      <xdr:col>2</xdr:col>
      <xdr:colOff>319257</xdr:colOff>
      <xdr:row>91</xdr:row>
      <xdr:rowOff>115798</xdr:rowOff>
    </xdr:from>
    <xdr:ext cx="400936" cy="396000"/>
    <xdr:pic>
      <xdr:nvPicPr>
        <xdr:cNvPr id="32" name="Gráfico 31" descr="Dinheiro">
          <a:extLst>
            <a:ext uri="{FF2B5EF4-FFF2-40B4-BE49-F238E27FC236}">
              <a16:creationId xmlns:a16="http://schemas.microsoft.com/office/drawing/2014/main" id="{D35C98C0-4F79-4B11-890D-F73DBC7965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9"/>
            </a:ext>
          </a:extLst>
        </a:blip>
        <a:stretch>
          <a:fillRect/>
        </a:stretch>
      </xdr:blipFill>
      <xdr:spPr>
        <a:xfrm flipH="1">
          <a:off x="566907" y="17451298"/>
          <a:ext cx="400936" cy="396000"/>
        </a:xfrm>
        <a:prstGeom prst="rect">
          <a:avLst/>
        </a:prstGeom>
      </xdr:spPr>
    </xdr:pic>
    <xdr:clientData/>
  </xdr:oneCellAnchor>
  <xdr:oneCellAnchor>
    <xdr:from>
      <xdr:col>2</xdr:col>
      <xdr:colOff>330528</xdr:colOff>
      <xdr:row>108</xdr:row>
      <xdr:rowOff>134224</xdr:rowOff>
    </xdr:from>
    <xdr:ext cx="392250" cy="406702"/>
    <xdr:pic>
      <xdr:nvPicPr>
        <xdr:cNvPr id="33" name="Gráfico 32" descr="Moedas">
          <a:extLst>
            <a:ext uri="{FF2B5EF4-FFF2-40B4-BE49-F238E27FC236}">
              <a16:creationId xmlns:a16="http://schemas.microsoft.com/office/drawing/2014/main" id="{DAAD8E39-C865-49D9-9C47-8A88593347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1"/>
            </a:ext>
          </a:extLst>
        </a:blip>
        <a:stretch>
          <a:fillRect/>
        </a:stretch>
      </xdr:blipFill>
      <xdr:spPr>
        <a:xfrm flipH="1">
          <a:off x="578178" y="20708224"/>
          <a:ext cx="392250" cy="406702"/>
        </a:xfrm>
        <a:prstGeom prst="rect">
          <a:avLst/>
        </a:prstGeom>
      </xdr:spPr>
    </xdr:pic>
    <xdr:clientData/>
  </xdr:oneCellAnchor>
  <xdr:oneCellAnchor>
    <xdr:from>
      <xdr:col>2</xdr:col>
      <xdr:colOff>285751</xdr:colOff>
      <xdr:row>127</xdr:row>
      <xdr:rowOff>149678</xdr:rowOff>
    </xdr:from>
    <xdr:ext cx="392250" cy="406704"/>
    <xdr:pic>
      <xdr:nvPicPr>
        <xdr:cNvPr id="34" name="Gráfico 33" descr="Moedas">
          <a:extLst>
            <a:ext uri="{FF2B5EF4-FFF2-40B4-BE49-F238E27FC236}">
              <a16:creationId xmlns:a16="http://schemas.microsoft.com/office/drawing/2014/main" id="{CF460536-38E5-4FA9-8D32-ABA19AACAF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1"/>
            </a:ext>
          </a:extLst>
        </a:blip>
        <a:stretch>
          <a:fillRect/>
        </a:stretch>
      </xdr:blipFill>
      <xdr:spPr>
        <a:xfrm flipH="1">
          <a:off x="533401" y="24343178"/>
          <a:ext cx="392250" cy="406704"/>
        </a:xfrm>
        <a:prstGeom prst="rect">
          <a:avLst/>
        </a:prstGeom>
      </xdr:spPr>
    </xdr:pic>
    <xdr:clientData/>
  </xdr:oneCellAnchor>
  <xdr:oneCellAnchor>
    <xdr:from>
      <xdr:col>2</xdr:col>
      <xdr:colOff>288474</xdr:colOff>
      <xdr:row>146</xdr:row>
      <xdr:rowOff>152399</xdr:rowOff>
    </xdr:from>
    <xdr:ext cx="392250" cy="406702"/>
    <xdr:pic>
      <xdr:nvPicPr>
        <xdr:cNvPr id="35" name="Gráfico 34" descr="Moedas">
          <a:extLst>
            <a:ext uri="{FF2B5EF4-FFF2-40B4-BE49-F238E27FC236}">
              <a16:creationId xmlns:a16="http://schemas.microsoft.com/office/drawing/2014/main" id="{64242CEB-AC28-41F7-99EE-DF07B56447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1"/>
            </a:ext>
          </a:extLst>
        </a:blip>
        <a:stretch>
          <a:fillRect/>
        </a:stretch>
      </xdr:blipFill>
      <xdr:spPr>
        <a:xfrm flipH="1">
          <a:off x="536124" y="27965399"/>
          <a:ext cx="392250" cy="406702"/>
        </a:xfrm>
        <a:prstGeom prst="rect">
          <a:avLst/>
        </a:prstGeom>
      </xdr:spPr>
    </xdr:pic>
    <xdr:clientData/>
  </xdr:oneCellAnchor>
  <xdr:oneCellAnchor>
    <xdr:from>
      <xdr:col>2</xdr:col>
      <xdr:colOff>300483</xdr:colOff>
      <xdr:row>163</xdr:row>
      <xdr:rowOff>123265</xdr:rowOff>
    </xdr:from>
    <xdr:ext cx="405011" cy="396000"/>
    <xdr:pic>
      <xdr:nvPicPr>
        <xdr:cNvPr id="36" name="Gráfico 35" descr="Sirene">
          <a:extLst>
            <a:ext uri="{FF2B5EF4-FFF2-40B4-BE49-F238E27FC236}">
              <a16:creationId xmlns:a16="http://schemas.microsoft.com/office/drawing/2014/main" id="{3EDD4AE7-4675-4CEF-8C01-A61D065626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3"/>
            </a:ext>
          </a:extLst>
        </a:blip>
        <a:stretch>
          <a:fillRect/>
        </a:stretch>
      </xdr:blipFill>
      <xdr:spPr>
        <a:xfrm>
          <a:off x="548133" y="31174765"/>
          <a:ext cx="405011" cy="396000"/>
        </a:xfrm>
        <a:prstGeom prst="rect">
          <a:avLst/>
        </a:prstGeom>
        <a:effectLst/>
      </xdr:spPr>
    </xdr:pic>
    <xdr:clientData/>
  </xdr:oneCellAnchor>
  <xdr:oneCellAnchor>
    <xdr:from>
      <xdr:col>2</xdr:col>
      <xdr:colOff>300483</xdr:colOff>
      <xdr:row>182</xdr:row>
      <xdr:rowOff>107576</xdr:rowOff>
    </xdr:from>
    <xdr:ext cx="405011" cy="400203"/>
    <xdr:pic>
      <xdr:nvPicPr>
        <xdr:cNvPr id="37" name="Gráfico 36" descr="Sirene">
          <a:extLst>
            <a:ext uri="{FF2B5EF4-FFF2-40B4-BE49-F238E27FC236}">
              <a16:creationId xmlns:a16="http://schemas.microsoft.com/office/drawing/2014/main" id="{402FC351-4977-4AF0-82E6-16734FA92E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3"/>
            </a:ext>
          </a:extLst>
        </a:blip>
        <a:stretch>
          <a:fillRect/>
        </a:stretch>
      </xdr:blipFill>
      <xdr:spPr>
        <a:xfrm>
          <a:off x="548133" y="34778576"/>
          <a:ext cx="405011" cy="400203"/>
        </a:xfrm>
        <a:prstGeom prst="rect">
          <a:avLst/>
        </a:prstGeom>
        <a:effectLst/>
      </xdr:spPr>
    </xdr:pic>
    <xdr:clientData/>
  </xdr:oneCellAnchor>
  <xdr:oneCellAnchor>
    <xdr:from>
      <xdr:col>2</xdr:col>
      <xdr:colOff>300483</xdr:colOff>
      <xdr:row>201</xdr:row>
      <xdr:rowOff>125505</xdr:rowOff>
    </xdr:from>
    <xdr:ext cx="405011" cy="396000"/>
    <xdr:pic>
      <xdr:nvPicPr>
        <xdr:cNvPr id="38" name="Gráfico 37" descr="Sirene">
          <a:extLst>
            <a:ext uri="{FF2B5EF4-FFF2-40B4-BE49-F238E27FC236}">
              <a16:creationId xmlns:a16="http://schemas.microsoft.com/office/drawing/2014/main" id="{A03CD817-B029-4495-B1A4-FEEBB4D079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3"/>
            </a:ext>
          </a:extLst>
        </a:blip>
        <a:stretch>
          <a:fillRect/>
        </a:stretch>
      </xdr:blipFill>
      <xdr:spPr>
        <a:xfrm>
          <a:off x="548133" y="38416005"/>
          <a:ext cx="405011" cy="396000"/>
        </a:xfrm>
        <a:prstGeom prst="rect">
          <a:avLst/>
        </a:prstGeom>
        <a:effectLst/>
      </xdr:spPr>
    </xdr:pic>
    <xdr:clientData/>
  </xdr:oneCellAnchor>
  <xdr:oneCellAnchor>
    <xdr:from>
      <xdr:col>31</xdr:col>
      <xdr:colOff>190500</xdr:colOff>
      <xdr:row>1</xdr:row>
      <xdr:rowOff>141194</xdr:rowOff>
    </xdr:from>
    <xdr:ext cx="342000" cy="341999"/>
    <xdr:pic>
      <xdr:nvPicPr>
        <xdr:cNvPr id="39" name="Gráfico 38" descr="Virar calendário">
          <a:hlinkClick xmlns:r="http://schemas.openxmlformats.org/officeDocument/2006/relationships" r:id="rId34"/>
          <a:extLst>
            <a:ext uri="{FF2B5EF4-FFF2-40B4-BE49-F238E27FC236}">
              <a16:creationId xmlns:a16="http://schemas.microsoft.com/office/drawing/2014/main" id="{B22A92F1-CA7B-4C91-941D-6D0E26AA43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6"/>
            </a:ext>
          </a:extLst>
        </a:blip>
        <a:stretch>
          <a:fillRect/>
        </a:stretch>
      </xdr:blipFill>
      <xdr:spPr>
        <a:xfrm>
          <a:off x="12734925" y="331694"/>
          <a:ext cx="342000" cy="341999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26</xdr:col>
      <xdr:colOff>324971</xdr:colOff>
      <xdr:row>2</xdr:row>
      <xdr:rowOff>174812</xdr:rowOff>
    </xdr:from>
    <xdr:to>
      <xdr:col>28</xdr:col>
      <xdr:colOff>22412</xdr:colOff>
      <xdr:row>2</xdr:row>
      <xdr:rowOff>174812</xdr:rowOff>
    </xdr:to>
    <xdr:cxnSp macro="">
      <xdr:nvCxnSpPr>
        <xdr:cNvPr id="40" name="Conector reto 39">
          <a:extLst>
            <a:ext uri="{FF2B5EF4-FFF2-40B4-BE49-F238E27FC236}">
              <a16:creationId xmlns:a16="http://schemas.microsoft.com/office/drawing/2014/main" id="{F0BFB1F9-FC09-4F23-A80F-110B1DAC0A7F}"/>
            </a:ext>
          </a:extLst>
        </xdr:cNvPr>
        <xdr:cNvCxnSpPr/>
      </xdr:nvCxnSpPr>
      <xdr:spPr>
        <a:xfrm>
          <a:off x="11012021" y="555812"/>
          <a:ext cx="440391" cy="0"/>
        </a:xfrm>
        <a:prstGeom prst="line">
          <a:avLst/>
        </a:prstGeom>
        <a:ln>
          <a:solidFill>
            <a:srgbClr val="FFEBAB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331694</xdr:colOff>
      <xdr:row>2</xdr:row>
      <xdr:rowOff>174812</xdr:rowOff>
    </xdr:from>
    <xdr:to>
      <xdr:col>31</xdr:col>
      <xdr:colOff>29135</xdr:colOff>
      <xdr:row>2</xdr:row>
      <xdr:rowOff>174812</xdr:rowOff>
    </xdr:to>
    <xdr:cxnSp macro="">
      <xdr:nvCxnSpPr>
        <xdr:cNvPr id="41" name="Conector reto 40">
          <a:extLst>
            <a:ext uri="{FF2B5EF4-FFF2-40B4-BE49-F238E27FC236}">
              <a16:creationId xmlns:a16="http://schemas.microsoft.com/office/drawing/2014/main" id="{44A18254-1390-43CB-95D2-F5440484E200}"/>
            </a:ext>
          </a:extLst>
        </xdr:cNvPr>
        <xdr:cNvCxnSpPr/>
      </xdr:nvCxnSpPr>
      <xdr:spPr>
        <a:xfrm>
          <a:off x="12133169" y="555812"/>
          <a:ext cx="440391" cy="0"/>
        </a:xfrm>
        <a:prstGeom prst="line">
          <a:avLst/>
        </a:prstGeom>
        <a:ln>
          <a:solidFill>
            <a:srgbClr val="FFEBAB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0</xdr:col>
      <xdr:colOff>142210</xdr:colOff>
      <xdr:row>8</xdr:row>
      <xdr:rowOff>121771</xdr:rowOff>
    </xdr:from>
    <xdr:ext cx="250264" cy="246528"/>
    <xdr:pic>
      <xdr:nvPicPr>
        <xdr:cNvPr id="43" name="Gráfico 42" descr="Ajudar">
          <a:hlinkClick xmlns:r="http://schemas.openxmlformats.org/officeDocument/2006/relationships" r:id="rId37"/>
          <a:extLst>
            <a:ext uri="{FF2B5EF4-FFF2-40B4-BE49-F238E27FC236}">
              <a16:creationId xmlns:a16="http://schemas.microsoft.com/office/drawing/2014/main" id="{168A9A7E-5F2F-45C3-B66A-46914A8AB5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2210" y="1645771"/>
          <a:ext cx="250264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35</xdr:col>
      <xdr:colOff>185459</xdr:colOff>
      <xdr:row>2</xdr:row>
      <xdr:rowOff>134471</xdr:rowOff>
    </xdr:from>
    <xdr:ext cx="429353" cy="424356"/>
    <xdr:pic>
      <xdr:nvPicPr>
        <xdr:cNvPr id="44" name="Gráfico 43" descr="Seta Reta">
          <a:hlinkClick xmlns:r="http://schemas.openxmlformats.org/officeDocument/2006/relationships" r:id="rId38" tooltip="PRÓXIMO MÊS"/>
          <a:extLst>
            <a:ext uri="{FF2B5EF4-FFF2-40B4-BE49-F238E27FC236}">
              <a16:creationId xmlns:a16="http://schemas.microsoft.com/office/drawing/2014/main" id="{BD98C42A-5CE2-411E-ACF0-074D819CEA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0"/>
            </a:ext>
          </a:extLst>
        </a:blip>
        <a:stretch>
          <a:fillRect/>
        </a:stretch>
      </xdr:blipFill>
      <xdr:spPr>
        <a:xfrm rot="10800000">
          <a:off x="13472834" y="515471"/>
          <a:ext cx="429353" cy="424356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35</xdr:col>
      <xdr:colOff>156882</xdr:colOff>
      <xdr:row>1</xdr:row>
      <xdr:rowOff>56030</xdr:rowOff>
    </xdr:from>
    <xdr:ext cx="426552" cy="424356"/>
    <xdr:pic>
      <xdr:nvPicPr>
        <xdr:cNvPr id="45" name="Gráfico 44" descr="Seta Reta">
          <a:hlinkClick xmlns:r="http://schemas.openxmlformats.org/officeDocument/2006/relationships" r:id="rId41" tooltip="MÊS ANTERIOR"/>
          <a:extLst>
            <a:ext uri="{FF2B5EF4-FFF2-40B4-BE49-F238E27FC236}">
              <a16:creationId xmlns:a16="http://schemas.microsoft.com/office/drawing/2014/main" id="{521E32D0-43C1-4B50-B899-51219F0F11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0"/>
            </a:ext>
          </a:extLst>
        </a:blip>
        <a:stretch>
          <a:fillRect/>
        </a:stretch>
      </xdr:blipFill>
      <xdr:spPr>
        <a:xfrm>
          <a:off x="13444257" y="246530"/>
          <a:ext cx="426552" cy="424356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33</xdr:col>
      <xdr:colOff>0</xdr:colOff>
      <xdr:row>5</xdr:row>
      <xdr:rowOff>0</xdr:rowOff>
    </xdr:from>
    <xdr:to>
      <xdr:col>35</xdr:col>
      <xdr:colOff>549089</xdr:colOff>
      <xdr:row>6</xdr:row>
      <xdr:rowOff>11207</xdr:rowOff>
    </xdr:to>
    <xdr:sp macro="" textlink="">
      <xdr:nvSpPr>
        <xdr:cNvPr id="48" name="Balão de Fala: Retângulo com Cantos Arredondados 47">
          <a:extLst>
            <a:ext uri="{FF2B5EF4-FFF2-40B4-BE49-F238E27FC236}">
              <a16:creationId xmlns:a16="http://schemas.microsoft.com/office/drawing/2014/main" id="{11DA81A9-AE15-4C7D-8240-55EE24F80C90}"/>
            </a:ext>
          </a:extLst>
        </xdr:cNvPr>
        <xdr:cNvSpPr/>
      </xdr:nvSpPr>
      <xdr:spPr>
        <a:xfrm>
          <a:off x="13234147" y="795618"/>
          <a:ext cx="549089" cy="179295"/>
        </a:xfrm>
        <a:prstGeom prst="wedgeRoundRectCallout">
          <a:avLst>
            <a:gd name="adj1" fmla="val -18889"/>
            <a:gd name="adj2" fmla="val 13747"/>
            <a:gd name="adj3" fmla="val 16667"/>
          </a:avLst>
        </a:prstGeom>
        <a:solidFill>
          <a:srgbClr val="7030A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tIns="28800" bIns="36000" rtlCol="0" anchor="ctr"/>
        <a:lstStyle/>
        <a:p>
          <a:pPr algn="ctr"/>
          <a:r>
            <a:rPr lang="en-GB" sz="900"/>
            <a:t>DIAS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153895</xdr:colOff>
      <xdr:row>54</xdr:row>
      <xdr:rowOff>78440</xdr:rowOff>
    </xdr:from>
    <xdr:to>
      <xdr:col>3</xdr:col>
      <xdr:colOff>99733</xdr:colOff>
      <xdr:row>57</xdr:row>
      <xdr:rowOff>64621</xdr:rowOff>
    </xdr:to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F70F7140-43A0-4304-BD59-5950B270C595}"/>
            </a:ext>
          </a:extLst>
        </xdr:cNvPr>
        <xdr:cNvSpPr/>
      </xdr:nvSpPr>
      <xdr:spPr>
        <a:xfrm>
          <a:off x="144370" y="10365440"/>
          <a:ext cx="383988" cy="557681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REDUZI</a:t>
          </a:r>
          <a:br>
            <a:rPr lang="en-GB" sz="1000" b="1"/>
          </a:br>
          <a:r>
            <a:rPr lang="en-GB" sz="1000" b="1"/>
            <a:t>DESPESAS</a:t>
          </a:r>
          <a:br>
            <a:rPr lang="en-GB" sz="1000" b="1"/>
          </a:br>
          <a:r>
            <a:rPr lang="en-GB" sz="1000" b="1"/>
            <a:t>VARIÁVEIS?</a:t>
          </a:r>
        </a:p>
      </xdr:txBody>
    </xdr:sp>
    <xdr:clientData/>
  </xdr:twoCellAnchor>
  <xdr:twoCellAnchor>
    <xdr:from>
      <xdr:col>0</xdr:col>
      <xdr:colOff>132337</xdr:colOff>
      <xdr:row>8</xdr:row>
      <xdr:rowOff>104775</xdr:rowOff>
    </xdr:from>
    <xdr:to>
      <xdr:col>3</xdr:col>
      <xdr:colOff>77908</xdr:colOff>
      <xdr:row>11</xdr:row>
      <xdr:rowOff>76201</xdr:rowOff>
    </xdr:to>
    <xdr:sp macro="" textlink="">
      <xdr:nvSpPr>
        <xdr:cNvPr id="3" name="Retângulo: Cantos Arredondados 2">
          <a:extLst>
            <a:ext uri="{FF2B5EF4-FFF2-40B4-BE49-F238E27FC236}">
              <a16:creationId xmlns:a16="http://schemas.microsoft.com/office/drawing/2014/main" id="{782BA894-6576-4B44-9E7B-00CEFAAFAEE1}"/>
            </a:ext>
          </a:extLst>
        </xdr:cNvPr>
        <xdr:cNvSpPr/>
      </xdr:nvSpPr>
      <xdr:spPr>
        <a:xfrm>
          <a:off x="132337" y="1628775"/>
          <a:ext cx="374196" cy="542926"/>
        </a:xfrm>
        <a:prstGeom prst="roundRect">
          <a:avLst>
            <a:gd name="adj" fmla="val 7028"/>
          </a:avLst>
        </a:prstGeom>
        <a:solidFill>
          <a:srgbClr val="007CA8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CONSEGUI</a:t>
          </a:r>
          <a:br>
            <a:rPr lang="en-GB" sz="1000" b="1"/>
          </a:br>
          <a:r>
            <a:rPr lang="en-GB" sz="1000" b="1"/>
            <a:t>JUNTAR</a:t>
          </a:r>
          <a:br>
            <a:rPr lang="en-GB" sz="1000" b="1"/>
          </a:br>
          <a:r>
            <a:rPr lang="en-GB" sz="1000" b="1"/>
            <a:t>DINHEIRO?</a:t>
          </a:r>
        </a:p>
      </xdr:txBody>
    </xdr:sp>
    <xdr:clientData/>
  </xdr:twoCellAnchor>
  <xdr:twoCellAnchor>
    <xdr:from>
      <xdr:col>0</xdr:col>
      <xdr:colOff>132337</xdr:colOff>
      <xdr:row>19</xdr:row>
      <xdr:rowOff>104775</xdr:rowOff>
    </xdr:from>
    <xdr:to>
      <xdr:col>3</xdr:col>
      <xdr:colOff>77908</xdr:colOff>
      <xdr:row>22</xdr:row>
      <xdr:rowOff>57151</xdr:rowOff>
    </xdr:to>
    <xdr:sp macro="" textlink="">
      <xdr:nvSpPr>
        <xdr:cNvPr id="4" name="Retângulo: Cantos Arredondados 3">
          <a:extLst>
            <a:ext uri="{FF2B5EF4-FFF2-40B4-BE49-F238E27FC236}">
              <a16:creationId xmlns:a16="http://schemas.microsoft.com/office/drawing/2014/main" id="{0B5BD8BA-4506-434C-BA3F-2E2FDD5390D8}"/>
            </a:ext>
          </a:extLst>
        </xdr:cNvPr>
        <xdr:cNvSpPr/>
      </xdr:nvSpPr>
      <xdr:spPr>
        <a:xfrm>
          <a:off x="132337" y="3724275"/>
          <a:ext cx="374196" cy="523876"/>
        </a:xfrm>
        <a:prstGeom prst="roundRect">
          <a:avLst>
            <a:gd name="adj" fmla="val 7028"/>
          </a:avLst>
        </a:prstGeom>
        <a:solidFill>
          <a:srgbClr val="007CA8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CONSEGUI</a:t>
          </a:r>
          <a:br>
            <a:rPr lang="en-GB" sz="1000" b="1"/>
          </a:br>
          <a:r>
            <a:rPr lang="en-GB" sz="1000" b="1"/>
            <a:t>GUARDAR E</a:t>
          </a:r>
          <a:br>
            <a:rPr lang="en-GB" sz="1000" b="1"/>
          </a:br>
          <a:r>
            <a:rPr lang="en-GB" sz="1000" b="1"/>
            <a:t>INVESTIR?</a:t>
          </a:r>
        </a:p>
      </xdr:txBody>
    </xdr:sp>
    <xdr:clientData/>
  </xdr:twoCellAnchor>
  <xdr:oneCellAnchor>
    <xdr:from>
      <xdr:col>2</xdr:col>
      <xdr:colOff>282383</xdr:colOff>
      <xdr:row>20</xdr:row>
      <xdr:rowOff>118215</xdr:rowOff>
    </xdr:from>
    <xdr:ext cx="399499" cy="396000"/>
    <xdr:pic>
      <xdr:nvPicPr>
        <xdr:cNvPr id="5" name="Gráfico 4" descr="Cofrinho">
          <a:extLst>
            <a:ext uri="{FF2B5EF4-FFF2-40B4-BE49-F238E27FC236}">
              <a16:creationId xmlns:a16="http://schemas.microsoft.com/office/drawing/2014/main" id="{EF684175-9218-4E5B-8542-62298F7897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425258" y="3928215"/>
          <a:ext cx="399499" cy="396000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2</xdr:col>
      <xdr:colOff>283926</xdr:colOff>
      <xdr:row>9</xdr:row>
      <xdr:rowOff>151343</xdr:rowOff>
    </xdr:from>
    <xdr:ext cx="396412" cy="396001"/>
    <xdr:pic>
      <xdr:nvPicPr>
        <xdr:cNvPr id="6" name="Gráfico 5" descr="Carteira">
          <a:extLst>
            <a:ext uri="{FF2B5EF4-FFF2-40B4-BE49-F238E27FC236}">
              <a16:creationId xmlns:a16="http://schemas.microsoft.com/office/drawing/2014/main" id="{BA62D597-E903-449E-971D-C10E4426DE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426801" y="1865843"/>
          <a:ext cx="396412" cy="396001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0</xdr:col>
      <xdr:colOff>145864</xdr:colOff>
      <xdr:row>31</xdr:row>
      <xdr:rowOff>89647</xdr:rowOff>
    </xdr:from>
    <xdr:to>
      <xdr:col>3</xdr:col>
      <xdr:colOff>91702</xdr:colOff>
      <xdr:row>34</xdr:row>
      <xdr:rowOff>79002</xdr:rowOff>
    </xdr:to>
    <xdr:sp macro="" textlink="">
      <xdr:nvSpPr>
        <xdr:cNvPr id="7" name="Retângulo: Cantos Arredondados 6">
          <a:extLst>
            <a:ext uri="{FF2B5EF4-FFF2-40B4-BE49-F238E27FC236}">
              <a16:creationId xmlns:a16="http://schemas.microsoft.com/office/drawing/2014/main" id="{B9B9D3E5-5961-4004-87BE-CAB0140CF68D}"/>
            </a:ext>
          </a:extLst>
        </xdr:cNvPr>
        <xdr:cNvSpPr/>
      </xdr:nvSpPr>
      <xdr:spPr>
        <a:xfrm>
          <a:off x="145864" y="5995147"/>
          <a:ext cx="374463" cy="560855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REDUZI</a:t>
          </a:r>
          <a:br>
            <a:rPr lang="en-GB" sz="1000" b="1"/>
          </a:br>
          <a:r>
            <a:rPr lang="en-GB" sz="1000" b="1"/>
            <a:t>DESPESAS</a:t>
          </a:r>
          <a:br>
            <a:rPr lang="en-GB" sz="1000" b="1"/>
          </a:br>
          <a:r>
            <a:rPr lang="en-GB" sz="1000" b="1"/>
            <a:t>F</a:t>
          </a:r>
          <a:r>
            <a:rPr lang="en-GB" sz="1000" b="1" baseline="0"/>
            <a:t>IXAS?</a:t>
          </a:r>
          <a:endParaRPr lang="en-GB" sz="1000" b="1"/>
        </a:p>
      </xdr:txBody>
    </xdr:sp>
    <xdr:clientData/>
  </xdr:twoCellAnchor>
  <xdr:oneCellAnchor>
    <xdr:from>
      <xdr:col>2</xdr:col>
      <xdr:colOff>315419</xdr:colOff>
      <xdr:row>32</xdr:row>
      <xdr:rowOff>144489</xdr:rowOff>
    </xdr:from>
    <xdr:ext cx="394594" cy="395999"/>
    <xdr:pic>
      <xdr:nvPicPr>
        <xdr:cNvPr id="8" name="Gráfico 7" descr="Eletricista">
          <a:extLst>
            <a:ext uri="{FF2B5EF4-FFF2-40B4-BE49-F238E27FC236}">
              <a16:creationId xmlns:a16="http://schemas.microsoft.com/office/drawing/2014/main" id="{169A8E88-2722-4F05-A7E5-81BDEDCCEE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6"/>
            </a:ext>
          </a:extLst>
        </a:blip>
        <a:stretch>
          <a:fillRect/>
        </a:stretch>
      </xdr:blipFill>
      <xdr:spPr>
        <a:xfrm>
          <a:off x="429719" y="6240489"/>
          <a:ext cx="394594" cy="395999"/>
        </a:xfrm>
        <a:prstGeom prst="rect">
          <a:avLst/>
        </a:prstGeom>
        <a:effectLst/>
      </xdr:spPr>
    </xdr:pic>
    <xdr:clientData/>
  </xdr:oneCellAnchor>
  <xdr:oneCellAnchor>
    <xdr:from>
      <xdr:col>2</xdr:col>
      <xdr:colOff>311917</xdr:colOff>
      <xdr:row>55</xdr:row>
      <xdr:rowOff>132264</xdr:rowOff>
    </xdr:from>
    <xdr:ext cx="401599" cy="395999"/>
    <xdr:pic>
      <xdr:nvPicPr>
        <xdr:cNvPr id="9" name="Gráfico 8" descr="Artista">
          <a:extLst>
            <a:ext uri="{FF2B5EF4-FFF2-40B4-BE49-F238E27FC236}">
              <a16:creationId xmlns:a16="http://schemas.microsoft.com/office/drawing/2014/main" id="{3BE96B55-8EA7-41CC-BD2F-FFEF46FA02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8"/>
            </a:ext>
          </a:extLst>
        </a:blip>
        <a:stretch>
          <a:fillRect/>
        </a:stretch>
      </xdr:blipFill>
      <xdr:spPr>
        <a:xfrm>
          <a:off x="426217" y="10609764"/>
          <a:ext cx="401599" cy="395999"/>
        </a:xfrm>
        <a:prstGeom prst="rect">
          <a:avLst/>
        </a:prstGeom>
        <a:effectLst/>
      </xdr:spPr>
    </xdr:pic>
    <xdr:clientData/>
  </xdr:oneCellAnchor>
  <xdr:twoCellAnchor>
    <xdr:from>
      <xdr:col>1</xdr:col>
      <xdr:colOff>0</xdr:colOff>
      <xdr:row>76</xdr:row>
      <xdr:rowOff>104775</xdr:rowOff>
    </xdr:from>
    <xdr:to>
      <xdr:col>3</xdr:col>
      <xdr:colOff>95250</xdr:colOff>
      <xdr:row>79</xdr:row>
      <xdr:rowOff>76201</xdr:rowOff>
    </xdr:to>
    <xdr:sp macro="" textlink="">
      <xdr:nvSpPr>
        <xdr:cNvPr id="10" name="Retângulo: Cantos Arredondados 9">
          <a:extLst>
            <a:ext uri="{FF2B5EF4-FFF2-40B4-BE49-F238E27FC236}">
              <a16:creationId xmlns:a16="http://schemas.microsoft.com/office/drawing/2014/main" id="{C8489DD4-88C3-4229-B347-95FF468B2A4C}"/>
            </a:ext>
          </a:extLst>
        </xdr:cNvPr>
        <xdr:cNvSpPr/>
      </xdr:nvSpPr>
      <xdr:spPr>
        <a:xfrm>
          <a:off x="142875" y="14582775"/>
          <a:ext cx="38100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AUMENTEI</a:t>
          </a:r>
          <a:br>
            <a:rPr lang="en-GB" sz="1000" b="1"/>
          </a:br>
          <a:r>
            <a:rPr lang="en-GB" sz="1000" b="1"/>
            <a:t>GANHOS</a:t>
          </a:r>
          <a:br>
            <a:rPr lang="en-GB" sz="1000" b="1"/>
          </a:br>
          <a:r>
            <a:rPr lang="en-GB" sz="1000" b="1"/>
            <a:t>FIXOS?</a:t>
          </a:r>
        </a:p>
      </xdr:txBody>
    </xdr:sp>
    <xdr:clientData/>
  </xdr:twoCellAnchor>
  <xdr:oneCellAnchor>
    <xdr:from>
      <xdr:col>28</xdr:col>
      <xdr:colOff>211792</xdr:colOff>
      <xdr:row>1</xdr:row>
      <xdr:rowOff>166407</xdr:rowOff>
    </xdr:from>
    <xdr:ext cx="310402" cy="310039"/>
    <xdr:pic>
      <xdr:nvPicPr>
        <xdr:cNvPr id="11" name="Gráfico 10" descr="Impressão digital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617529C6-EEFA-4E1A-B341-4E6D6CE024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1"/>
            </a:ext>
          </a:extLst>
        </a:blip>
        <a:stretch>
          <a:fillRect/>
        </a:stretch>
      </xdr:blipFill>
      <xdr:spPr>
        <a:xfrm>
          <a:off x="4145617" y="356907"/>
          <a:ext cx="310402" cy="310039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25</xdr:col>
      <xdr:colOff>188660</xdr:colOff>
      <xdr:row>1</xdr:row>
      <xdr:rowOff>129989</xdr:rowOff>
    </xdr:from>
    <xdr:ext cx="369173" cy="364524"/>
    <xdr:pic>
      <xdr:nvPicPr>
        <xdr:cNvPr id="12" name="Gráfico 11" descr="Trancar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id="{B7ACCD85-4CFE-4AE2-9181-96349F062D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4"/>
            </a:ext>
          </a:extLst>
        </a:blip>
        <a:stretch>
          <a:fillRect/>
        </a:stretch>
      </xdr:blipFill>
      <xdr:spPr>
        <a:xfrm>
          <a:off x="3712910" y="320489"/>
          <a:ext cx="369173" cy="364524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1</xdr:col>
      <xdr:colOff>1017</xdr:colOff>
      <xdr:row>19</xdr:row>
      <xdr:rowOff>126254</xdr:rowOff>
    </xdr:from>
    <xdr:ext cx="250264" cy="246528"/>
    <xdr:pic>
      <xdr:nvPicPr>
        <xdr:cNvPr id="13" name="Gráfico 12" descr="Ajudar">
          <a:hlinkClick xmlns:r="http://schemas.openxmlformats.org/officeDocument/2006/relationships" r:id="rId15"/>
          <a:extLst>
            <a:ext uri="{FF2B5EF4-FFF2-40B4-BE49-F238E27FC236}">
              <a16:creationId xmlns:a16="http://schemas.microsoft.com/office/drawing/2014/main" id="{00DB2CDC-9528-42B7-BC80-48713137F8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3892" y="3745754"/>
          <a:ext cx="250264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1</xdr:col>
      <xdr:colOff>15211</xdr:colOff>
      <xdr:row>31</xdr:row>
      <xdr:rowOff>114300</xdr:rowOff>
    </xdr:from>
    <xdr:ext cx="246528" cy="246528"/>
    <xdr:pic>
      <xdr:nvPicPr>
        <xdr:cNvPr id="14" name="Gráfico 13" descr="Ajudar">
          <a:hlinkClick xmlns:r="http://schemas.openxmlformats.org/officeDocument/2006/relationships" r:id="rId18"/>
          <a:extLst>
            <a:ext uri="{FF2B5EF4-FFF2-40B4-BE49-F238E27FC236}">
              <a16:creationId xmlns:a16="http://schemas.microsoft.com/office/drawing/2014/main" id="{E3DD99D4-7D85-42FF-A2AF-E8557084F9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58086" y="6019800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1</xdr:col>
      <xdr:colOff>10727</xdr:colOff>
      <xdr:row>54</xdr:row>
      <xdr:rowOff>98613</xdr:rowOff>
    </xdr:from>
    <xdr:ext cx="246528" cy="246529"/>
    <xdr:pic>
      <xdr:nvPicPr>
        <xdr:cNvPr id="15" name="Gráfico 14" descr="Ajudar">
          <a:hlinkClick xmlns:r="http://schemas.openxmlformats.org/officeDocument/2006/relationships" r:id="rId19"/>
          <a:extLst>
            <a:ext uri="{FF2B5EF4-FFF2-40B4-BE49-F238E27FC236}">
              <a16:creationId xmlns:a16="http://schemas.microsoft.com/office/drawing/2014/main" id="{D599581D-0B3F-4614-9B08-48C1D7B844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53602" y="10385613"/>
          <a:ext cx="246528" cy="246529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1</xdr:col>
      <xdr:colOff>6244</xdr:colOff>
      <xdr:row>76</xdr:row>
      <xdr:rowOff>127748</xdr:rowOff>
    </xdr:from>
    <xdr:ext cx="246528" cy="246528"/>
    <xdr:pic>
      <xdr:nvPicPr>
        <xdr:cNvPr id="16" name="Gráfico 15" descr="Ajudar">
          <a:hlinkClick xmlns:r="http://schemas.openxmlformats.org/officeDocument/2006/relationships" r:id="rId20"/>
          <a:extLst>
            <a:ext uri="{FF2B5EF4-FFF2-40B4-BE49-F238E27FC236}">
              <a16:creationId xmlns:a16="http://schemas.microsoft.com/office/drawing/2014/main" id="{0AE2B481-389E-4385-AD0B-8F10667DD7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146057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90</xdr:row>
      <xdr:rowOff>104775</xdr:rowOff>
    </xdr:from>
    <xdr:to>
      <xdr:col>3</xdr:col>
      <xdr:colOff>95250</xdr:colOff>
      <xdr:row>93</xdr:row>
      <xdr:rowOff>76201</xdr:rowOff>
    </xdr:to>
    <xdr:sp macro="" textlink="">
      <xdr:nvSpPr>
        <xdr:cNvPr id="17" name="Retângulo: Cantos Arredondados 16">
          <a:extLst>
            <a:ext uri="{FF2B5EF4-FFF2-40B4-BE49-F238E27FC236}">
              <a16:creationId xmlns:a16="http://schemas.microsoft.com/office/drawing/2014/main" id="{293C4981-4C12-4F8E-A813-9CE01498180F}"/>
            </a:ext>
          </a:extLst>
        </xdr:cNvPr>
        <xdr:cNvSpPr/>
      </xdr:nvSpPr>
      <xdr:spPr>
        <a:xfrm>
          <a:off x="142875" y="17249775"/>
          <a:ext cx="38100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AUMENTEI</a:t>
          </a:r>
          <a:br>
            <a:rPr lang="en-GB" sz="1000" b="1"/>
          </a:br>
          <a:r>
            <a:rPr lang="en-GB" sz="1000" b="1"/>
            <a:t>GANHOS</a:t>
          </a:r>
          <a:br>
            <a:rPr lang="en-GB" sz="1000" b="1"/>
          </a:br>
          <a:r>
            <a:rPr lang="en-GB" sz="1000" b="1"/>
            <a:t>VARIÁVEIS?</a:t>
          </a:r>
        </a:p>
      </xdr:txBody>
    </xdr:sp>
    <xdr:clientData/>
  </xdr:twoCellAnchor>
  <xdr:oneCellAnchor>
    <xdr:from>
      <xdr:col>1</xdr:col>
      <xdr:colOff>6244</xdr:colOff>
      <xdr:row>90</xdr:row>
      <xdr:rowOff>127748</xdr:rowOff>
    </xdr:from>
    <xdr:ext cx="246528" cy="246528"/>
    <xdr:pic>
      <xdr:nvPicPr>
        <xdr:cNvPr id="18" name="Gráfico 17" descr="Ajudar">
          <a:hlinkClick xmlns:r="http://schemas.openxmlformats.org/officeDocument/2006/relationships" r:id="rId21"/>
          <a:extLst>
            <a:ext uri="{FF2B5EF4-FFF2-40B4-BE49-F238E27FC236}">
              <a16:creationId xmlns:a16="http://schemas.microsoft.com/office/drawing/2014/main" id="{6CD64A4A-FAE1-4B3C-9E69-095DF20FF3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172727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107</xdr:row>
      <xdr:rowOff>104775</xdr:rowOff>
    </xdr:from>
    <xdr:to>
      <xdr:col>3</xdr:col>
      <xdr:colOff>95250</xdr:colOff>
      <xdr:row>110</xdr:row>
      <xdr:rowOff>76201</xdr:rowOff>
    </xdr:to>
    <xdr:sp macro="" textlink="">
      <xdr:nvSpPr>
        <xdr:cNvPr id="19" name="Retângulo: Cantos Arredondados 18">
          <a:extLst>
            <a:ext uri="{FF2B5EF4-FFF2-40B4-BE49-F238E27FC236}">
              <a16:creationId xmlns:a16="http://schemas.microsoft.com/office/drawing/2014/main" id="{A833D9FF-46D5-428C-AA78-F7CAC0F8230A}"/>
            </a:ext>
          </a:extLst>
        </xdr:cNvPr>
        <xdr:cNvSpPr/>
      </xdr:nvSpPr>
      <xdr:spPr>
        <a:xfrm>
          <a:off x="142875" y="20488275"/>
          <a:ext cx="38100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INVESTI</a:t>
          </a:r>
          <a:r>
            <a:rPr lang="en-GB" sz="1000" b="1" baseline="0"/>
            <a:t> EM</a:t>
          </a:r>
          <a:br>
            <a:rPr lang="en-GB" sz="1000" b="1"/>
          </a:br>
          <a:r>
            <a:rPr lang="en-GB" sz="1000" b="1"/>
            <a:t>RENDA</a:t>
          </a:r>
          <a:br>
            <a:rPr lang="en-GB" sz="1000" b="1"/>
          </a:br>
          <a:r>
            <a:rPr lang="en-GB" sz="1000" b="1" baseline="0"/>
            <a:t>FIXA?</a:t>
          </a:r>
          <a:endParaRPr lang="en-GB" sz="1000" b="1"/>
        </a:p>
      </xdr:txBody>
    </xdr:sp>
    <xdr:clientData/>
  </xdr:twoCellAnchor>
  <xdr:oneCellAnchor>
    <xdr:from>
      <xdr:col>1</xdr:col>
      <xdr:colOff>6244</xdr:colOff>
      <xdr:row>107</xdr:row>
      <xdr:rowOff>127748</xdr:rowOff>
    </xdr:from>
    <xdr:ext cx="246528" cy="246528"/>
    <xdr:pic>
      <xdr:nvPicPr>
        <xdr:cNvPr id="20" name="Gráfico 19" descr="Ajudar">
          <a:hlinkClick xmlns:r="http://schemas.openxmlformats.org/officeDocument/2006/relationships" r:id="rId22"/>
          <a:extLst>
            <a:ext uri="{FF2B5EF4-FFF2-40B4-BE49-F238E27FC236}">
              <a16:creationId xmlns:a16="http://schemas.microsoft.com/office/drawing/2014/main" id="{99A24814-2D5D-47C0-9D60-1CB6FFACCE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205112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126</xdr:row>
      <xdr:rowOff>104775</xdr:rowOff>
    </xdr:from>
    <xdr:to>
      <xdr:col>3</xdr:col>
      <xdr:colOff>95250</xdr:colOff>
      <xdr:row>129</xdr:row>
      <xdr:rowOff>76201</xdr:rowOff>
    </xdr:to>
    <xdr:sp macro="" textlink="">
      <xdr:nvSpPr>
        <xdr:cNvPr id="21" name="Retângulo: Cantos Arredondados 20">
          <a:extLst>
            <a:ext uri="{FF2B5EF4-FFF2-40B4-BE49-F238E27FC236}">
              <a16:creationId xmlns:a16="http://schemas.microsoft.com/office/drawing/2014/main" id="{8F69A69F-EDD0-42EB-ABD5-FBD89CCCB525}"/>
            </a:ext>
          </a:extLst>
        </xdr:cNvPr>
        <xdr:cNvSpPr/>
      </xdr:nvSpPr>
      <xdr:spPr>
        <a:xfrm>
          <a:off x="142875" y="24107775"/>
          <a:ext cx="38100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INVESTI EM</a:t>
          </a:r>
          <a:br>
            <a:rPr lang="en-GB" sz="1000" b="1"/>
          </a:br>
          <a:r>
            <a:rPr lang="en-GB" sz="1000" b="1"/>
            <a:t>RENDA </a:t>
          </a:r>
          <a:r>
            <a:rPr lang="en-GB" sz="1000" b="1" baseline="0"/>
            <a:t>VARIÁVEL?</a:t>
          </a:r>
          <a:endParaRPr lang="en-GB" sz="1000" b="1"/>
        </a:p>
      </xdr:txBody>
    </xdr:sp>
    <xdr:clientData/>
  </xdr:twoCellAnchor>
  <xdr:oneCellAnchor>
    <xdr:from>
      <xdr:col>1</xdr:col>
      <xdr:colOff>6244</xdr:colOff>
      <xdr:row>126</xdr:row>
      <xdr:rowOff>127748</xdr:rowOff>
    </xdr:from>
    <xdr:ext cx="246528" cy="246528"/>
    <xdr:pic>
      <xdr:nvPicPr>
        <xdr:cNvPr id="22" name="Gráfico 21" descr="Ajudar">
          <a:hlinkClick xmlns:r="http://schemas.openxmlformats.org/officeDocument/2006/relationships" r:id="rId23"/>
          <a:extLst>
            <a:ext uri="{FF2B5EF4-FFF2-40B4-BE49-F238E27FC236}">
              <a16:creationId xmlns:a16="http://schemas.microsoft.com/office/drawing/2014/main" id="{12750B84-F671-42DA-B251-C41311D45B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241307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145</xdr:row>
      <xdr:rowOff>104775</xdr:rowOff>
    </xdr:from>
    <xdr:to>
      <xdr:col>3</xdr:col>
      <xdr:colOff>95250</xdr:colOff>
      <xdr:row>148</xdr:row>
      <xdr:rowOff>76201</xdr:rowOff>
    </xdr:to>
    <xdr:sp macro="" textlink="">
      <xdr:nvSpPr>
        <xdr:cNvPr id="23" name="Retângulo: Cantos Arredondados 22">
          <a:extLst>
            <a:ext uri="{FF2B5EF4-FFF2-40B4-BE49-F238E27FC236}">
              <a16:creationId xmlns:a16="http://schemas.microsoft.com/office/drawing/2014/main" id="{07AB7272-2027-4367-A185-18DF3162BC3C}"/>
            </a:ext>
          </a:extLst>
        </xdr:cNvPr>
        <xdr:cNvSpPr/>
      </xdr:nvSpPr>
      <xdr:spPr>
        <a:xfrm>
          <a:off x="142875" y="27727275"/>
          <a:ext cx="38100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INVESTI</a:t>
          </a:r>
          <a:r>
            <a:rPr lang="en-GB" sz="1000" b="1" baseline="0"/>
            <a:t> EM</a:t>
          </a:r>
          <a:br>
            <a:rPr lang="en-GB" sz="1000" b="1"/>
          </a:br>
          <a:r>
            <a:rPr lang="en-GB" sz="1000" b="1"/>
            <a:t>OUTROS</a:t>
          </a:r>
          <a:br>
            <a:rPr lang="en-GB" sz="1000" b="1"/>
          </a:br>
          <a:r>
            <a:rPr lang="en-GB" sz="1000" b="1"/>
            <a:t>ATIVOS?</a:t>
          </a:r>
        </a:p>
      </xdr:txBody>
    </xdr:sp>
    <xdr:clientData/>
  </xdr:twoCellAnchor>
  <xdr:oneCellAnchor>
    <xdr:from>
      <xdr:col>1</xdr:col>
      <xdr:colOff>6244</xdr:colOff>
      <xdr:row>145</xdr:row>
      <xdr:rowOff>127748</xdr:rowOff>
    </xdr:from>
    <xdr:ext cx="246528" cy="246528"/>
    <xdr:pic>
      <xdr:nvPicPr>
        <xdr:cNvPr id="24" name="Gráfico 23" descr="Ajudar">
          <a:hlinkClick xmlns:r="http://schemas.openxmlformats.org/officeDocument/2006/relationships" r:id="rId24"/>
          <a:extLst>
            <a:ext uri="{FF2B5EF4-FFF2-40B4-BE49-F238E27FC236}">
              <a16:creationId xmlns:a16="http://schemas.microsoft.com/office/drawing/2014/main" id="{B0299964-60D1-4293-95C3-2A34BA6F58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277502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162</xdr:row>
      <xdr:rowOff>104775</xdr:rowOff>
    </xdr:from>
    <xdr:to>
      <xdr:col>3</xdr:col>
      <xdr:colOff>95250</xdr:colOff>
      <xdr:row>165</xdr:row>
      <xdr:rowOff>76201</xdr:rowOff>
    </xdr:to>
    <xdr:sp macro="" textlink="">
      <xdr:nvSpPr>
        <xdr:cNvPr id="25" name="Retângulo: Cantos Arredondados 24">
          <a:extLst>
            <a:ext uri="{FF2B5EF4-FFF2-40B4-BE49-F238E27FC236}">
              <a16:creationId xmlns:a16="http://schemas.microsoft.com/office/drawing/2014/main" id="{6B5380FE-B4DE-4130-8685-2EDD968E4BED}"/>
            </a:ext>
          </a:extLst>
        </xdr:cNvPr>
        <xdr:cNvSpPr/>
      </xdr:nvSpPr>
      <xdr:spPr>
        <a:xfrm>
          <a:off x="142875" y="30965775"/>
          <a:ext cx="38100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GUARDEI</a:t>
          </a:r>
          <a:br>
            <a:rPr lang="en-GB" sz="1000" b="1"/>
          </a:br>
          <a:r>
            <a:rPr lang="en-GB" sz="1000" b="1"/>
            <a:t>RESERVA EM</a:t>
          </a:r>
          <a:br>
            <a:rPr lang="en-GB" sz="1000" b="1"/>
          </a:br>
          <a:r>
            <a:rPr lang="en-GB" sz="1000" b="1"/>
            <a:t>RENDA</a:t>
          </a:r>
          <a:r>
            <a:rPr lang="en-GB" sz="1000" b="1" baseline="0"/>
            <a:t> </a:t>
          </a:r>
          <a:r>
            <a:rPr lang="en-GB" sz="1000" b="1"/>
            <a:t>FIXA?</a:t>
          </a:r>
        </a:p>
      </xdr:txBody>
    </xdr:sp>
    <xdr:clientData/>
  </xdr:twoCellAnchor>
  <xdr:oneCellAnchor>
    <xdr:from>
      <xdr:col>1</xdr:col>
      <xdr:colOff>6244</xdr:colOff>
      <xdr:row>162</xdr:row>
      <xdr:rowOff>127748</xdr:rowOff>
    </xdr:from>
    <xdr:ext cx="246528" cy="246528"/>
    <xdr:pic>
      <xdr:nvPicPr>
        <xdr:cNvPr id="26" name="Gráfico 25" descr="Ajudar">
          <a:hlinkClick xmlns:r="http://schemas.openxmlformats.org/officeDocument/2006/relationships" r:id="rId25"/>
          <a:extLst>
            <a:ext uri="{FF2B5EF4-FFF2-40B4-BE49-F238E27FC236}">
              <a16:creationId xmlns:a16="http://schemas.microsoft.com/office/drawing/2014/main" id="{7AE0C812-BB0A-4718-88E8-FB0FBFB120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309887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181</xdr:row>
      <xdr:rowOff>104775</xdr:rowOff>
    </xdr:from>
    <xdr:to>
      <xdr:col>3</xdr:col>
      <xdr:colOff>95250</xdr:colOff>
      <xdr:row>184</xdr:row>
      <xdr:rowOff>76201</xdr:rowOff>
    </xdr:to>
    <xdr:sp macro="" textlink="">
      <xdr:nvSpPr>
        <xdr:cNvPr id="27" name="Retângulo: Cantos Arredondados 26">
          <a:extLst>
            <a:ext uri="{FF2B5EF4-FFF2-40B4-BE49-F238E27FC236}">
              <a16:creationId xmlns:a16="http://schemas.microsoft.com/office/drawing/2014/main" id="{6BD3CF41-3587-437B-AEAD-96FA7E279EB1}"/>
            </a:ext>
          </a:extLst>
        </xdr:cNvPr>
        <xdr:cNvSpPr/>
      </xdr:nvSpPr>
      <xdr:spPr>
        <a:xfrm>
          <a:off x="142875" y="34585275"/>
          <a:ext cx="38100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/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GUARDEI</a:t>
          </a:r>
          <a:b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RESERVA EM</a:t>
          </a:r>
          <a:b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RENDA</a:t>
          </a:r>
          <a:r>
            <a:rPr lang="en-GB" sz="10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VARIÁVEL?</a:t>
          </a:r>
          <a:endParaRPr lang="en-GB" sz="1000">
            <a:effectLst/>
          </a:endParaRPr>
        </a:p>
      </xdr:txBody>
    </xdr:sp>
    <xdr:clientData/>
  </xdr:twoCellAnchor>
  <xdr:oneCellAnchor>
    <xdr:from>
      <xdr:col>1</xdr:col>
      <xdr:colOff>6244</xdr:colOff>
      <xdr:row>181</xdr:row>
      <xdr:rowOff>127748</xdr:rowOff>
    </xdr:from>
    <xdr:ext cx="246528" cy="246528"/>
    <xdr:pic>
      <xdr:nvPicPr>
        <xdr:cNvPr id="28" name="Gráfico 27" descr="Ajudar">
          <a:hlinkClick xmlns:r="http://schemas.openxmlformats.org/officeDocument/2006/relationships" r:id="rId26"/>
          <a:extLst>
            <a:ext uri="{FF2B5EF4-FFF2-40B4-BE49-F238E27FC236}">
              <a16:creationId xmlns:a16="http://schemas.microsoft.com/office/drawing/2014/main" id="{44E1E1AF-14AF-4602-AE1C-FB93AA7471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346082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200</xdr:row>
      <xdr:rowOff>104775</xdr:rowOff>
    </xdr:from>
    <xdr:to>
      <xdr:col>3</xdr:col>
      <xdr:colOff>95250</xdr:colOff>
      <xdr:row>203</xdr:row>
      <xdr:rowOff>76201</xdr:rowOff>
    </xdr:to>
    <xdr:sp macro="" textlink="">
      <xdr:nvSpPr>
        <xdr:cNvPr id="29" name="Retângulo: Cantos Arredondados 28">
          <a:extLst>
            <a:ext uri="{FF2B5EF4-FFF2-40B4-BE49-F238E27FC236}">
              <a16:creationId xmlns:a16="http://schemas.microsoft.com/office/drawing/2014/main" id="{99DC87F1-2999-48AC-BCE1-FC0192DFF27E}"/>
            </a:ext>
          </a:extLst>
        </xdr:cNvPr>
        <xdr:cNvSpPr/>
      </xdr:nvSpPr>
      <xdr:spPr>
        <a:xfrm>
          <a:off x="142875" y="38204775"/>
          <a:ext cx="38100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/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GUARDEI</a:t>
          </a:r>
          <a:b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RESERVA EM</a:t>
          </a:r>
          <a:b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OUTROS ATIVOS?</a:t>
          </a:r>
          <a:endParaRPr lang="en-GB" sz="1000">
            <a:effectLst/>
          </a:endParaRPr>
        </a:p>
      </xdr:txBody>
    </xdr:sp>
    <xdr:clientData/>
  </xdr:twoCellAnchor>
  <xdr:oneCellAnchor>
    <xdr:from>
      <xdr:col>1</xdr:col>
      <xdr:colOff>6244</xdr:colOff>
      <xdr:row>200</xdr:row>
      <xdr:rowOff>127748</xdr:rowOff>
    </xdr:from>
    <xdr:ext cx="246528" cy="246528"/>
    <xdr:pic>
      <xdr:nvPicPr>
        <xdr:cNvPr id="30" name="Gráfico 29" descr="Ajudar">
          <a:hlinkClick xmlns:r="http://schemas.openxmlformats.org/officeDocument/2006/relationships" r:id="rId27"/>
          <a:extLst>
            <a:ext uri="{FF2B5EF4-FFF2-40B4-BE49-F238E27FC236}">
              <a16:creationId xmlns:a16="http://schemas.microsoft.com/office/drawing/2014/main" id="{BC5C8874-6E63-475A-9D5E-8F2EA0E2D7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382277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2</xdr:col>
      <xdr:colOff>319257</xdr:colOff>
      <xdr:row>77</xdr:row>
      <xdr:rowOff>126685</xdr:rowOff>
    </xdr:from>
    <xdr:ext cx="392036" cy="395999"/>
    <xdr:pic>
      <xdr:nvPicPr>
        <xdr:cNvPr id="31" name="Gráfico 30" descr="Dinheiro">
          <a:extLst>
            <a:ext uri="{FF2B5EF4-FFF2-40B4-BE49-F238E27FC236}">
              <a16:creationId xmlns:a16="http://schemas.microsoft.com/office/drawing/2014/main" id="{4D429C86-86C5-40C1-BB81-BEA8CF0801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9"/>
            </a:ext>
          </a:extLst>
        </a:blip>
        <a:stretch>
          <a:fillRect/>
        </a:stretch>
      </xdr:blipFill>
      <xdr:spPr>
        <a:xfrm flipH="1">
          <a:off x="424032" y="14795185"/>
          <a:ext cx="392036" cy="395999"/>
        </a:xfrm>
        <a:prstGeom prst="rect">
          <a:avLst/>
        </a:prstGeom>
      </xdr:spPr>
    </xdr:pic>
    <xdr:clientData/>
  </xdr:oneCellAnchor>
  <xdr:oneCellAnchor>
    <xdr:from>
      <xdr:col>2</xdr:col>
      <xdr:colOff>319257</xdr:colOff>
      <xdr:row>91</xdr:row>
      <xdr:rowOff>115798</xdr:rowOff>
    </xdr:from>
    <xdr:ext cx="400936" cy="396000"/>
    <xdr:pic>
      <xdr:nvPicPr>
        <xdr:cNvPr id="32" name="Gráfico 31" descr="Dinheiro">
          <a:extLst>
            <a:ext uri="{FF2B5EF4-FFF2-40B4-BE49-F238E27FC236}">
              <a16:creationId xmlns:a16="http://schemas.microsoft.com/office/drawing/2014/main" id="{0F566A01-E4DC-49CD-B69B-D4135C2E36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9"/>
            </a:ext>
          </a:extLst>
        </a:blip>
        <a:stretch>
          <a:fillRect/>
        </a:stretch>
      </xdr:blipFill>
      <xdr:spPr>
        <a:xfrm flipH="1">
          <a:off x="424032" y="17451298"/>
          <a:ext cx="400936" cy="396000"/>
        </a:xfrm>
        <a:prstGeom prst="rect">
          <a:avLst/>
        </a:prstGeom>
      </xdr:spPr>
    </xdr:pic>
    <xdr:clientData/>
  </xdr:oneCellAnchor>
  <xdr:oneCellAnchor>
    <xdr:from>
      <xdr:col>2</xdr:col>
      <xdr:colOff>330528</xdr:colOff>
      <xdr:row>108</xdr:row>
      <xdr:rowOff>134224</xdr:rowOff>
    </xdr:from>
    <xdr:ext cx="392250" cy="406702"/>
    <xdr:pic>
      <xdr:nvPicPr>
        <xdr:cNvPr id="33" name="Gráfico 32" descr="Moedas">
          <a:extLst>
            <a:ext uri="{FF2B5EF4-FFF2-40B4-BE49-F238E27FC236}">
              <a16:creationId xmlns:a16="http://schemas.microsoft.com/office/drawing/2014/main" id="{50FF3BDD-087A-4460-8FA6-5CB6381BE0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1"/>
            </a:ext>
          </a:extLst>
        </a:blip>
        <a:stretch>
          <a:fillRect/>
        </a:stretch>
      </xdr:blipFill>
      <xdr:spPr>
        <a:xfrm flipH="1">
          <a:off x="425778" y="20708224"/>
          <a:ext cx="392250" cy="406702"/>
        </a:xfrm>
        <a:prstGeom prst="rect">
          <a:avLst/>
        </a:prstGeom>
      </xdr:spPr>
    </xdr:pic>
    <xdr:clientData/>
  </xdr:oneCellAnchor>
  <xdr:oneCellAnchor>
    <xdr:from>
      <xdr:col>2</xdr:col>
      <xdr:colOff>285751</xdr:colOff>
      <xdr:row>127</xdr:row>
      <xdr:rowOff>149678</xdr:rowOff>
    </xdr:from>
    <xdr:ext cx="392250" cy="406704"/>
    <xdr:pic>
      <xdr:nvPicPr>
        <xdr:cNvPr id="34" name="Gráfico 33" descr="Moedas">
          <a:extLst>
            <a:ext uri="{FF2B5EF4-FFF2-40B4-BE49-F238E27FC236}">
              <a16:creationId xmlns:a16="http://schemas.microsoft.com/office/drawing/2014/main" id="{B60EBFD8-E042-4CC3-B6DA-2C14992F81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1"/>
            </a:ext>
          </a:extLst>
        </a:blip>
        <a:stretch>
          <a:fillRect/>
        </a:stretch>
      </xdr:blipFill>
      <xdr:spPr>
        <a:xfrm flipH="1">
          <a:off x="428626" y="24343178"/>
          <a:ext cx="392250" cy="406704"/>
        </a:xfrm>
        <a:prstGeom prst="rect">
          <a:avLst/>
        </a:prstGeom>
      </xdr:spPr>
    </xdr:pic>
    <xdr:clientData/>
  </xdr:oneCellAnchor>
  <xdr:oneCellAnchor>
    <xdr:from>
      <xdr:col>2</xdr:col>
      <xdr:colOff>288474</xdr:colOff>
      <xdr:row>146</xdr:row>
      <xdr:rowOff>152399</xdr:rowOff>
    </xdr:from>
    <xdr:ext cx="392250" cy="406702"/>
    <xdr:pic>
      <xdr:nvPicPr>
        <xdr:cNvPr id="35" name="Gráfico 34" descr="Moedas">
          <a:extLst>
            <a:ext uri="{FF2B5EF4-FFF2-40B4-BE49-F238E27FC236}">
              <a16:creationId xmlns:a16="http://schemas.microsoft.com/office/drawing/2014/main" id="{2FE067D5-6DC5-4123-BB12-7D7CDC164E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1"/>
            </a:ext>
          </a:extLst>
        </a:blip>
        <a:stretch>
          <a:fillRect/>
        </a:stretch>
      </xdr:blipFill>
      <xdr:spPr>
        <a:xfrm flipH="1">
          <a:off x="431349" y="27965399"/>
          <a:ext cx="392250" cy="406702"/>
        </a:xfrm>
        <a:prstGeom prst="rect">
          <a:avLst/>
        </a:prstGeom>
      </xdr:spPr>
    </xdr:pic>
    <xdr:clientData/>
  </xdr:oneCellAnchor>
  <xdr:oneCellAnchor>
    <xdr:from>
      <xdr:col>2</xdr:col>
      <xdr:colOff>300483</xdr:colOff>
      <xdr:row>163</xdr:row>
      <xdr:rowOff>123265</xdr:rowOff>
    </xdr:from>
    <xdr:ext cx="405011" cy="396000"/>
    <xdr:pic>
      <xdr:nvPicPr>
        <xdr:cNvPr id="36" name="Gráfico 35" descr="Sirene">
          <a:extLst>
            <a:ext uri="{FF2B5EF4-FFF2-40B4-BE49-F238E27FC236}">
              <a16:creationId xmlns:a16="http://schemas.microsoft.com/office/drawing/2014/main" id="{7CE94020-DC6B-46BC-BF32-04BE77249A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3"/>
            </a:ext>
          </a:extLst>
        </a:blip>
        <a:stretch>
          <a:fillRect/>
        </a:stretch>
      </xdr:blipFill>
      <xdr:spPr>
        <a:xfrm>
          <a:off x="424308" y="31174765"/>
          <a:ext cx="405011" cy="396000"/>
        </a:xfrm>
        <a:prstGeom prst="rect">
          <a:avLst/>
        </a:prstGeom>
        <a:effectLst/>
      </xdr:spPr>
    </xdr:pic>
    <xdr:clientData/>
  </xdr:oneCellAnchor>
  <xdr:oneCellAnchor>
    <xdr:from>
      <xdr:col>2</xdr:col>
      <xdr:colOff>300483</xdr:colOff>
      <xdr:row>182</xdr:row>
      <xdr:rowOff>107576</xdr:rowOff>
    </xdr:from>
    <xdr:ext cx="405011" cy="400203"/>
    <xdr:pic>
      <xdr:nvPicPr>
        <xdr:cNvPr id="37" name="Gráfico 36" descr="Sirene">
          <a:extLst>
            <a:ext uri="{FF2B5EF4-FFF2-40B4-BE49-F238E27FC236}">
              <a16:creationId xmlns:a16="http://schemas.microsoft.com/office/drawing/2014/main" id="{BEFDE9B7-61AB-4274-B88E-89AB395A40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3"/>
            </a:ext>
          </a:extLst>
        </a:blip>
        <a:stretch>
          <a:fillRect/>
        </a:stretch>
      </xdr:blipFill>
      <xdr:spPr>
        <a:xfrm>
          <a:off x="424308" y="34778576"/>
          <a:ext cx="405011" cy="400203"/>
        </a:xfrm>
        <a:prstGeom prst="rect">
          <a:avLst/>
        </a:prstGeom>
        <a:effectLst/>
      </xdr:spPr>
    </xdr:pic>
    <xdr:clientData/>
  </xdr:oneCellAnchor>
  <xdr:oneCellAnchor>
    <xdr:from>
      <xdr:col>2</xdr:col>
      <xdr:colOff>300483</xdr:colOff>
      <xdr:row>201</xdr:row>
      <xdr:rowOff>125505</xdr:rowOff>
    </xdr:from>
    <xdr:ext cx="405011" cy="396000"/>
    <xdr:pic>
      <xdr:nvPicPr>
        <xdr:cNvPr id="38" name="Gráfico 37" descr="Sirene">
          <a:extLst>
            <a:ext uri="{FF2B5EF4-FFF2-40B4-BE49-F238E27FC236}">
              <a16:creationId xmlns:a16="http://schemas.microsoft.com/office/drawing/2014/main" id="{64044DB9-F6E9-4FE0-B97C-BE3B64C3F5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3"/>
            </a:ext>
          </a:extLst>
        </a:blip>
        <a:stretch>
          <a:fillRect/>
        </a:stretch>
      </xdr:blipFill>
      <xdr:spPr>
        <a:xfrm>
          <a:off x="424308" y="38416005"/>
          <a:ext cx="405011" cy="396000"/>
        </a:xfrm>
        <a:prstGeom prst="rect">
          <a:avLst/>
        </a:prstGeom>
        <a:effectLst/>
      </xdr:spPr>
    </xdr:pic>
    <xdr:clientData/>
  </xdr:oneCellAnchor>
  <xdr:oneCellAnchor>
    <xdr:from>
      <xdr:col>31</xdr:col>
      <xdr:colOff>190500</xdr:colOff>
      <xdr:row>1</xdr:row>
      <xdr:rowOff>141194</xdr:rowOff>
    </xdr:from>
    <xdr:ext cx="342000" cy="341999"/>
    <xdr:pic>
      <xdr:nvPicPr>
        <xdr:cNvPr id="39" name="Gráfico 38" descr="Virar calendário">
          <a:hlinkClick xmlns:r="http://schemas.openxmlformats.org/officeDocument/2006/relationships" r:id="rId34"/>
          <a:extLst>
            <a:ext uri="{FF2B5EF4-FFF2-40B4-BE49-F238E27FC236}">
              <a16:creationId xmlns:a16="http://schemas.microsoft.com/office/drawing/2014/main" id="{8AAA8C02-4F39-49B9-81D2-9B080455B4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6"/>
            </a:ext>
          </a:extLst>
        </a:blip>
        <a:stretch>
          <a:fillRect/>
        </a:stretch>
      </xdr:blipFill>
      <xdr:spPr>
        <a:xfrm>
          <a:off x="4572000" y="331694"/>
          <a:ext cx="342000" cy="341999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26</xdr:col>
      <xdr:colOff>324971</xdr:colOff>
      <xdr:row>2</xdr:row>
      <xdr:rowOff>174812</xdr:rowOff>
    </xdr:from>
    <xdr:to>
      <xdr:col>28</xdr:col>
      <xdr:colOff>22412</xdr:colOff>
      <xdr:row>2</xdr:row>
      <xdr:rowOff>174812</xdr:rowOff>
    </xdr:to>
    <xdr:cxnSp macro="">
      <xdr:nvCxnSpPr>
        <xdr:cNvPr id="40" name="Conector reto 39">
          <a:extLst>
            <a:ext uri="{FF2B5EF4-FFF2-40B4-BE49-F238E27FC236}">
              <a16:creationId xmlns:a16="http://schemas.microsoft.com/office/drawing/2014/main" id="{24E3CAFB-A9BD-4B47-A4A8-3C7871EB9866}"/>
            </a:ext>
          </a:extLst>
        </xdr:cNvPr>
        <xdr:cNvCxnSpPr/>
      </xdr:nvCxnSpPr>
      <xdr:spPr>
        <a:xfrm>
          <a:off x="3858746" y="555812"/>
          <a:ext cx="164166" cy="0"/>
        </a:xfrm>
        <a:prstGeom prst="line">
          <a:avLst/>
        </a:prstGeom>
        <a:ln>
          <a:solidFill>
            <a:srgbClr val="FFEBAB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331694</xdr:colOff>
      <xdr:row>2</xdr:row>
      <xdr:rowOff>174812</xdr:rowOff>
    </xdr:from>
    <xdr:to>
      <xdr:col>31</xdr:col>
      <xdr:colOff>29135</xdr:colOff>
      <xdr:row>2</xdr:row>
      <xdr:rowOff>174812</xdr:rowOff>
    </xdr:to>
    <xdr:cxnSp macro="">
      <xdr:nvCxnSpPr>
        <xdr:cNvPr id="41" name="Conector reto 40">
          <a:extLst>
            <a:ext uri="{FF2B5EF4-FFF2-40B4-BE49-F238E27FC236}">
              <a16:creationId xmlns:a16="http://schemas.microsoft.com/office/drawing/2014/main" id="{A6191304-2E97-454D-8933-FF006B160F0F}"/>
            </a:ext>
          </a:extLst>
        </xdr:cNvPr>
        <xdr:cNvCxnSpPr/>
      </xdr:nvCxnSpPr>
      <xdr:spPr>
        <a:xfrm>
          <a:off x="4284569" y="555812"/>
          <a:ext cx="173691" cy="0"/>
        </a:xfrm>
        <a:prstGeom prst="line">
          <a:avLst/>
        </a:prstGeom>
        <a:ln>
          <a:solidFill>
            <a:srgbClr val="FFEBAB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0</xdr:col>
      <xdr:colOff>142210</xdr:colOff>
      <xdr:row>8</xdr:row>
      <xdr:rowOff>121771</xdr:rowOff>
    </xdr:from>
    <xdr:ext cx="250264" cy="246528"/>
    <xdr:pic>
      <xdr:nvPicPr>
        <xdr:cNvPr id="43" name="Gráfico 42" descr="Ajudar">
          <a:hlinkClick xmlns:r="http://schemas.openxmlformats.org/officeDocument/2006/relationships" r:id="rId37"/>
          <a:extLst>
            <a:ext uri="{FF2B5EF4-FFF2-40B4-BE49-F238E27FC236}">
              <a16:creationId xmlns:a16="http://schemas.microsoft.com/office/drawing/2014/main" id="{D294302A-A915-4677-8F37-CC93DC1A31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2210" y="1645771"/>
          <a:ext cx="250264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35</xdr:col>
      <xdr:colOff>107018</xdr:colOff>
      <xdr:row>2</xdr:row>
      <xdr:rowOff>134471</xdr:rowOff>
    </xdr:from>
    <xdr:ext cx="429353" cy="424356"/>
    <xdr:pic>
      <xdr:nvPicPr>
        <xdr:cNvPr id="44" name="Gráfico 43" descr="Seta Reta">
          <a:hlinkClick xmlns:r="http://schemas.openxmlformats.org/officeDocument/2006/relationships" r:id="rId38" tooltip="PRÓXIMO MÊS"/>
          <a:extLst>
            <a:ext uri="{FF2B5EF4-FFF2-40B4-BE49-F238E27FC236}">
              <a16:creationId xmlns:a16="http://schemas.microsoft.com/office/drawing/2014/main" id="{F0C3548F-48D3-4987-8BCE-89276EE416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0"/>
            </a:ext>
          </a:extLst>
        </a:blip>
        <a:stretch>
          <a:fillRect/>
        </a:stretch>
      </xdr:blipFill>
      <xdr:spPr>
        <a:xfrm rot="10800000">
          <a:off x="5107643" y="515471"/>
          <a:ext cx="429353" cy="424356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35</xdr:col>
      <xdr:colOff>78441</xdr:colOff>
      <xdr:row>1</xdr:row>
      <xdr:rowOff>56030</xdr:rowOff>
    </xdr:from>
    <xdr:ext cx="426552" cy="424356"/>
    <xdr:pic>
      <xdr:nvPicPr>
        <xdr:cNvPr id="45" name="Gráfico 44" descr="Seta Reta">
          <a:hlinkClick xmlns:r="http://schemas.openxmlformats.org/officeDocument/2006/relationships" r:id="rId41" tooltip="MÊS ANTERIOR"/>
          <a:extLst>
            <a:ext uri="{FF2B5EF4-FFF2-40B4-BE49-F238E27FC236}">
              <a16:creationId xmlns:a16="http://schemas.microsoft.com/office/drawing/2014/main" id="{C16F1489-8E17-4536-A914-4780CD0B38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0"/>
            </a:ext>
          </a:extLst>
        </a:blip>
        <a:stretch>
          <a:fillRect/>
        </a:stretch>
      </xdr:blipFill>
      <xdr:spPr>
        <a:xfrm>
          <a:off x="5079066" y="246530"/>
          <a:ext cx="426552" cy="424356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35</xdr:col>
      <xdr:colOff>0</xdr:colOff>
      <xdr:row>5</xdr:row>
      <xdr:rowOff>0</xdr:rowOff>
    </xdr:from>
    <xdr:to>
      <xdr:col>35</xdr:col>
      <xdr:colOff>549089</xdr:colOff>
      <xdr:row>6</xdr:row>
      <xdr:rowOff>11207</xdr:rowOff>
    </xdr:to>
    <xdr:sp macro="" textlink="">
      <xdr:nvSpPr>
        <xdr:cNvPr id="46" name="Balão de Fala: Retângulo com Cantos Arredondados 45">
          <a:extLst>
            <a:ext uri="{FF2B5EF4-FFF2-40B4-BE49-F238E27FC236}">
              <a16:creationId xmlns:a16="http://schemas.microsoft.com/office/drawing/2014/main" id="{E6BE2E9B-CD9B-4F11-8A6E-4DB9A425DB5E}"/>
            </a:ext>
          </a:extLst>
        </xdr:cNvPr>
        <xdr:cNvSpPr/>
      </xdr:nvSpPr>
      <xdr:spPr>
        <a:xfrm>
          <a:off x="13973735" y="795618"/>
          <a:ext cx="549089" cy="179295"/>
        </a:xfrm>
        <a:prstGeom prst="wedgeRoundRectCallout">
          <a:avLst>
            <a:gd name="adj1" fmla="val -18889"/>
            <a:gd name="adj2" fmla="val 13747"/>
            <a:gd name="adj3" fmla="val 16667"/>
          </a:avLst>
        </a:prstGeom>
        <a:solidFill>
          <a:srgbClr val="7030A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tIns="28800" bIns="36000" rtlCol="0" anchor="ctr"/>
        <a:lstStyle/>
        <a:p>
          <a:pPr algn="ctr"/>
          <a:r>
            <a:rPr lang="en-GB" sz="900"/>
            <a:t>DIAS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153895</xdr:colOff>
      <xdr:row>54</xdr:row>
      <xdr:rowOff>78440</xdr:rowOff>
    </xdr:from>
    <xdr:to>
      <xdr:col>3</xdr:col>
      <xdr:colOff>99733</xdr:colOff>
      <xdr:row>57</xdr:row>
      <xdr:rowOff>64621</xdr:rowOff>
    </xdr:to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1B254E38-B386-4ED8-A5B0-0F4F5DE2B06F}"/>
            </a:ext>
          </a:extLst>
        </xdr:cNvPr>
        <xdr:cNvSpPr/>
      </xdr:nvSpPr>
      <xdr:spPr>
        <a:xfrm>
          <a:off x="144370" y="10365440"/>
          <a:ext cx="2155638" cy="557681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REDUZI</a:t>
          </a:r>
          <a:br>
            <a:rPr lang="en-GB" sz="1000" b="1"/>
          </a:br>
          <a:r>
            <a:rPr lang="en-GB" sz="1000" b="1"/>
            <a:t>DESPESAS</a:t>
          </a:r>
          <a:br>
            <a:rPr lang="en-GB" sz="1000" b="1"/>
          </a:br>
          <a:r>
            <a:rPr lang="en-GB" sz="1000" b="1"/>
            <a:t>VARIÁVEIS?</a:t>
          </a:r>
        </a:p>
      </xdr:txBody>
    </xdr:sp>
    <xdr:clientData/>
  </xdr:twoCellAnchor>
  <xdr:twoCellAnchor>
    <xdr:from>
      <xdr:col>0</xdr:col>
      <xdr:colOff>132337</xdr:colOff>
      <xdr:row>8</xdr:row>
      <xdr:rowOff>104775</xdr:rowOff>
    </xdr:from>
    <xdr:to>
      <xdr:col>3</xdr:col>
      <xdr:colOff>77908</xdr:colOff>
      <xdr:row>11</xdr:row>
      <xdr:rowOff>76201</xdr:rowOff>
    </xdr:to>
    <xdr:sp macro="" textlink="">
      <xdr:nvSpPr>
        <xdr:cNvPr id="3" name="Retângulo: Cantos Arredondados 2">
          <a:extLst>
            <a:ext uri="{FF2B5EF4-FFF2-40B4-BE49-F238E27FC236}">
              <a16:creationId xmlns:a16="http://schemas.microsoft.com/office/drawing/2014/main" id="{AADDF5F4-6E1E-488F-A0D1-AB879EF74575}"/>
            </a:ext>
          </a:extLst>
        </xdr:cNvPr>
        <xdr:cNvSpPr/>
      </xdr:nvSpPr>
      <xdr:spPr>
        <a:xfrm>
          <a:off x="132337" y="1628775"/>
          <a:ext cx="2145846" cy="542926"/>
        </a:xfrm>
        <a:prstGeom prst="roundRect">
          <a:avLst>
            <a:gd name="adj" fmla="val 7028"/>
          </a:avLst>
        </a:prstGeom>
        <a:solidFill>
          <a:srgbClr val="007CA8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CONSEGUI</a:t>
          </a:r>
          <a:br>
            <a:rPr lang="en-GB" sz="1000" b="1"/>
          </a:br>
          <a:r>
            <a:rPr lang="en-GB" sz="1000" b="1"/>
            <a:t>JUNTAR</a:t>
          </a:r>
          <a:br>
            <a:rPr lang="en-GB" sz="1000" b="1"/>
          </a:br>
          <a:r>
            <a:rPr lang="en-GB" sz="1000" b="1"/>
            <a:t>DINHEIRO?</a:t>
          </a:r>
        </a:p>
      </xdr:txBody>
    </xdr:sp>
    <xdr:clientData/>
  </xdr:twoCellAnchor>
  <xdr:twoCellAnchor>
    <xdr:from>
      <xdr:col>0</xdr:col>
      <xdr:colOff>132337</xdr:colOff>
      <xdr:row>19</xdr:row>
      <xdr:rowOff>104775</xdr:rowOff>
    </xdr:from>
    <xdr:to>
      <xdr:col>3</xdr:col>
      <xdr:colOff>77908</xdr:colOff>
      <xdr:row>22</xdr:row>
      <xdr:rowOff>57151</xdr:rowOff>
    </xdr:to>
    <xdr:sp macro="" textlink="">
      <xdr:nvSpPr>
        <xdr:cNvPr id="4" name="Retângulo: Cantos Arredondados 3">
          <a:extLst>
            <a:ext uri="{FF2B5EF4-FFF2-40B4-BE49-F238E27FC236}">
              <a16:creationId xmlns:a16="http://schemas.microsoft.com/office/drawing/2014/main" id="{D48599A4-FF4D-4EFE-A892-BC8071CF5F1F}"/>
            </a:ext>
          </a:extLst>
        </xdr:cNvPr>
        <xdr:cNvSpPr/>
      </xdr:nvSpPr>
      <xdr:spPr>
        <a:xfrm>
          <a:off x="132337" y="3724275"/>
          <a:ext cx="2145846" cy="523876"/>
        </a:xfrm>
        <a:prstGeom prst="roundRect">
          <a:avLst>
            <a:gd name="adj" fmla="val 7028"/>
          </a:avLst>
        </a:prstGeom>
        <a:solidFill>
          <a:srgbClr val="007CA8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CONSEGUI</a:t>
          </a:r>
          <a:br>
            <a:rPr lang="en-GB" sz="1000" b="1"/>
          </a:br>
          <a:r>
            <a:rPr lang="en-GB" sz="1000" b="1"/>
            <a:t>GUARDAR E</a:t>
          </a:r>
          <a:br>
            <a:rPr lang="en-GB" sz="1000" b="1"/>
          </a:br>
          <a:r>
            <a:rPr lang="en-GB" sz="1000" b="1"/>
            <a:t>INVESTIR?</a:t>
          </a:r>
        </a:p>
      </xdr:txBody>
    </xdr:sp>
    <xdr:clientData/>
  </xdr:twoCellAnchor>
  <xdr:oneCellAnchor>
    <xdr:from>
      <xdr:col>2</xdr:col>
      <xdr:colOff>282383</xdr:colOff>
      <xdr:row>20</xdr:row>
      <xdr:rowOff>118215</xdr:rowOff>
    </xdr:from>
    <xdr:ext cx="399499" cy="396000"/>
    <xdr:pic>
      <xdr:nvPicPr>
        <xdr:cNvPr id="5" name="Gráfico 4" descr="Cofrinho">
          <a:extLst>
            <a:ext uri="{FF2B5EF4-FFF2-40B4-BE49-F238E27FC236}">
              <a16:creationId xmlns:a16="http://schemas.microsoft.com/office/drawing/2014/main" id="{78D19D4F-942F-4813-9D11-0570C3284B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530033" y="3928215"/>
          <a:ext cx="399499" cy="396000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2</xdr:col>
      <xdr:colOff>283926</xdr:colOff>
      <xdr:row>9</xdr:row>
      <xdr:rowOff>151343</xdr:rowOff>
    </xdr:from>
    <xdr:ext cx="396412" cy="396001"/>
    <xdr:pic>
      <xdr:nvPicPr>
        <xdr:cNvPr id="6" name="Gráfico 5" descr="Carteira">
          <a:extLst>
            <a:ext uri="{FF2B5EF4-FFF2-40B4-BE49-F238E27FC236}">
              <a16:creationId xmlns:a16="http://schemas.microsoft.com/office/drawing/2014/main" id="{FA3978C6-6A6E-4239-B0C3-1E32B01AD8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531576" y="1865843"/>
          <a:ext cx="396412" cy="396001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0</xdr:col>
      <xdr:colOff>145864</xdr:colOff>
      <xdr:row>31</xdr:row>
      <xdr:rowOff>89647</xdr:rowOff>
    </xdr:from>
    <xdr:to>
      <xdr:col>3</xdr:col>
      <xdr:colOff>91702</xdr:colOff>
      <xdr:row>34</xdr:row>
      <xdr:rowOff>79002</xdr:rowOff>
    </xdr:to>
    <xdr:sp macro="" textlink="">
      <xdr:nvSpPr>
        <xdr:cNvPr id="7" name="Retângulo: Cantos Arredondados 6">
          <a:extLst>
            <a:ext uri="{FF2B5EF4-FFF2-40B4-BE49-F238E27FC236}">
              <a16:creationId xmlns:a16="http://schemas.microsoft.com/office/drawing/2014/main" id="{2383B8AE-65C9-4777-9D17-32BECD1EA6BE}"/>
            </a:ext>
          </a:extLst>
        </xdr:cNvPr>
        <xdr:cNvSpPr/>
      </xdr:nvSpPr>
      <xdr:spPr>
        <a:xfrm>
          <a:off x="145864" y="5995147"/>
          <a:ext cx="2146113" cy="560855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REDUZI</a:t>
          </a:r>
          <a:br>
            <a:rPr lang="en-GB" sz="1000" b="1"/>
          </a:br>
          <a:r>
            <a:rPr lang="en-GB" sz="1000" b="1"/>
            <a:t>DESPESAS</a:t>
          </a:r>
          <a:br>
            <a:rPr lang="en-GB" sz="1000" b="1"/>
          </a:br>
          <a:r>
            <a:rPr lang="en-GB" sz="1000" b="1"/>
            <a:t>F</a:t>
          </a:r>
          <a:r>
            <a:rPr lang="en-GB" sz="1000" b="1" baseline="0"/>
            <a:t>IXAS?</a:t>
          </a:r>
          <a:endParaRPr lang="en-GB" sz="1000" b="1"/>
        </a:p>
      </xdr:txBody>
    </xdr:sp>
    <xdr:clientData/>
  </xdr:twoCellAnchor>
  <xdr:oneCellAnchor>
    <xdr:from>
      <xdr:col>2</xdr:col>
      <xdr:colOff>315419</xdr:colOff>
      <xdr:row>32</xdr:row>
      <xdr:rowOff>144489</xdr:rowOff>
    </xdr:from>
    <xdr:ext cx="394594" cy="395999"/>
    <xdr:pic>
      <xdr:nvPicPr>
        <xdr:cNvPr id="8" name="Gráfico 7" descr="Eletricista">
          <a:extLst>
            <a:ext uri="{FF2B5EF4-FFF2-40B4-BE49-F238E27FC236}">
              <a16:creationId xmlns:a16="http://schemas.microsoft.com/office/drawing/2014/main" id="{D98FAA24-8A3B-4286-B935-A2DD38E742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6"/>
            </a:ext>
          </a:extLst>
        </a:blip>
        <a:stretch>
          <a:fillRect/>
        </a:stretch>
      </xdr:blipFill>
      <xdr:spPr>
        <a:xfrm>
          <a:off x="563069" y="6240489"/>
          <a:ext cx="394594" cy="395999"/>
        </a:xfrm>
        <a:prstGeom prst="rect">
          <a:avLst/>
        </a:prstGeom>
        <a:effectLst/>
      </xdr:spPr>
    </xdr:pic>
    <xdr:clientData/>
  </xdr:oneCellAnchor>
  <xdr:oneCellAnchor>
    <xdr:from>
      <xdr:col>2</xdr:col>
      <xdr:colOff>311917</xdr:colOff>
      <xdr:row>55</xdr:row>
      <xdr:rowOff>132264</xdr:rowOff>
    </xdr:from>
    <xdr:ext cx="401599" cy="395999"/>
    <xdr:pic>
      <xdr:nvPicPr>
        <xdr:cNvPr id="9" name="Gráfico 8" descr="Artista">
          <a:extLst>
            <a:ext uri="{FF2B5EF4-FFF2-40B4-BE49-F238E27FC236}">
              <a16:creationId xmlns:a16="http://schemas.microsoft.com/office/drawing/2014/main" id="{66C11852-6C52-4E71-AB62-5F3956BA38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8"/>
            </a:ext>
          </a:extLst>
        </a:blip>
        <a:stretch>
          <a:fillRect/>
        </a:stretch>
      </xdr:blipFill>
      <xdr:spPr>
        <a:xfrm>
          <a:off x="559567" y="10609764"/>
          <a:ext cx="401599" cy="395999"/>
        </a:xfrm>
        <a:prstGeom prst="rect">
          <a:avLst/>
        </a:prstGeom>
        <a:effectLst/>
      </xdr:spPr>
    </xdr:pic>
    <xdr:clientData/>
  </xdr:oneCellAnchor>
  <xdr:twoCellAnchor>
    <xdr:from>
      <xdr:col>1</xdr:col>
      <xdr:colOff>0</xdr:colOff>
      <xdr:row>76</xdr:row>
      <xdr:rowOff>104775</xdr:rowOff>
    </xdr:from>
    <xdr:to>
      <xdr:col>3</xdr:col>
      <xdr:colOff>95250</xdr:colOff>
      <xdr:row>79</xdr:row>
      <xdr:rowOff>76201</xdr:rowOff>
    </xdr:to>
    <xdr:sp macro="" textlink="">
      <xdr:nvSpPr>
        <xdr:cNvPr id="10" name="Retângulo: Cantos Arredondados 9">
          <a:extLst>
            <a:ext uri="{FF2B5EF4-FFF2-40B4-BE49-F238E27FC236}">
              <a16:creationId xmlns:a16="http://schemas.microsoft.com/office/drawing/2014/main" id="{40C9664D-5CB5-45E9-8489-B96B618F5975}"/>
            </a:ext>
          </a:extLst>
        </xdr:cNvPr>
        <xdr:cNvSpPr/>
      </xdr:nvSpPr>
      <xdr:spPr>
        <a:xfrm>
          <a:off x="142875" y="145827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AUMENTEI</a:t>
          </a:r>
          <a:br>
            <a:rPr lang="en-GB" sz="1000" b="1"/>
          </a:br>
          <a:r>
            <a:rPr lang="en-GB" sz="1000" b="1"/>
            <a:t>GANHOS</a:t>
          </a:r>
          <a:br>
            <a:rPr lang="en-GB" sz="1000" b="1"/>
          </a:br>
          <a:r>
            <a:rPr lang="en-GB" sz="1000" b="1"/>
            <a:t>FIXOS?</a:t>
          </a:r>
        </a:p>
      </xdr:txBody>
    </xdr:sp>
    <xdr:clientData/>
  </xdr:twoCellAnchor>
  <xdr:oneCellAnchor>
    <xdr:from>
      <xdr:col>28</xdr:col>
      <xdr:colOff>211792</xdr:colOff>
      <xdr:row>1</xdr:row>
      <xdr:rowOff>166407</xdr:rowOff>
    </xdr:from>
    <xdr:ext cx="310402" cy="310039"/>
    <xdr:pic>
      <xdr:nvPicPr>
        <xdr:cNvPr id="11" name="Gráfico 10" descr="Impressão digital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ED51C477-9659-4E71-BC20-9CB6770F52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1"/>
            </a:ext>
          </a:extLst>
        </a:blip>
        <a:stretch>
          <a:fillRect/>
        </a:stretch>
      </xdr:blipFill>
      <xdr:spPr>
        <a:xfrm>
          <a:off x="11641792" y="356907"/>
          <a:ext cx="310402" cy="310039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25</xdr:col>
      <xdr:colOff>188660</xdr:colOff>
      <xdr:row>1</xdr:row>
      <xdr:rowOff>129989</xdr:rowOff>
    </xdr:from>
    <xdr:ext cx="369173" cy="364524"/>
    <xdr:pic>
      <xdr:nvPicPr>
        <xdr:cNvPr id="12" name="Gráfico 11" descr="Trancar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id="{9307E2FB-4A1D-45FD-BC32-ECE00A185E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4"/>
            </a:ext>
          </a:extLst>
        </a:blip>
        <a:stretch>
          <a:fillRect/>
        </a:stretch>
      </xdr:blipFill>
      <xdr:spPr>
        <a:xfrm>
          <a:off x="10504235" y="320489"/>
          <a:ext cx="369173" cy="364524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1</xdr:col>
      <xdr:colOff>1017</xdr:colOff>
      <xdr:row>19</xdr:row>
      <xdr:rowOff>126254</xdr:rowOff>
    </xdr:from>
    <xdr:ext cx="250264" cy="246528"/>
    <xdr:pic>
      <xdr:nvPicPr>
        <xdr:cNvPr id="13" name="Gráfico 12" descr="Ajudar">
          <a:hlinkClick xmlns:r="http://schemas.openxmlformats.org/officeDocument/2006/relationships" r:id="rId15"/>
          <a:extLst>
            <a:ext uri="{FF2B5EF4-FFF2-40B4-BE49-F238E27FC236}">
              <a16:creationId xmlns:a16="http://schemas.microsoft.com/office/drawing/2014/main" id="{95591394-729A-4D09-A5BF-3EFFF9D658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3892" y="3745754"/>
          <a:ext cx="250264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1</xdr:col>
      <xdr:colOff>15211</xdr:colOff>
      <xdr:row>31</xdr:row>
      <xdr:rowOff>114300</xdr:rowOff>
    </xdr:from>
    <xdr:ext cx="246528" cy="246528"/>
    <xdr:pic>
      <xdr:nvPicPr>
        <xdr:cNvPr id="14" name="Gráfico 13" descr="Ajudar">
          <a:hlinkClick xmlns:r="http://schemas.openxmlformats.org/officeDocument/2006/relationships" r:id="rId18"/>
          <a:extLst>
            <a:ext uri="{FF2B5EF4-FFF2-40B4-BE49-F238E27FC236}">
              <a16:creationId xmlns:a16="http://schemas.microsoft.com/office/drawing/2014/main" id="{C58E6F16-DF7D-4193-A7F2-6C6DF5E034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58086" y="6019800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1</xdr:col>
      <xdr:colOff>10727</xdr:colOff>
      <xdr:row>54</xdr:row>
      <xdr:rowOff>98613</xdr:rowOff>
    </xdr:from>
    <xdr:ext cx="246528" cy="246529"/>
    <xdr:pic>
      <xdr:nvPicPr>
        <xdr:cNvPr id="15" name="Gráfico 14" descr="Ajudar">
          <a:hlinkClick xmlns:r="http://schemas.openxmlformats.org/officeDocument/2006/relationships" r:id="rId19"/>
          <a:extLst>
            <a:ext uri="{FF2B5EF4-FFF2-40B4-BE49-F238E27FC236}">
              <a16:creationId xmlns:a16="http://schemas.microsoft.com/office/drawing/2014/main" id="{E8033301-1732-4926-8EE8-8DEE7C2D2E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53602" y="10385613"/>
          <a:ext cx="246528" cy="246529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1</xdr:col>
      <xdr:colOff>6244</xdr:colOff>
      <xdr:row>76</xdr:row>
      <xdr:rowOff>127748</xdr:rowOff>
    </xdr:from>
    <xdr:ext cx="246528" cy="246528"/>
    <xdr:pic>
      <xdr:nvPicPr>
        <xdr:cNvPr id="16" name="Gráfico 15" descr="Ajudar">
          <a:hlinkClick xmlns:r="http://schemas.openxmlformats.org/officeDocument/2006/relationships" r:id="rId20"/>
          <a:extLst>
            <a:ext uri="{FF2B5EF4-FFF2-40B4-BE49-F238E27FC236}">
              <a16:creationId xmlns:a16="http://schemas.microsoft.com/office/drawing/2014/main" id="{3DA44C02-EDA5-4716-9057-8D843A58F0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146057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90</xdr:row>
      <xdr:rowOff>104775</xdr:rowOff>
    </xdr:from>
    <xdr:to>
      <xdr:col>3</xdr:col>
      <xdr:colOff>95250</xdr:colOff>
      <xdr:row>93</xdr:row>
      <xdr:rowOff>76201</xdr:rowOff>
    </xdr:to>
    <xdr:sp macro="" textlink="">
      <xdr:nvSpPr>
        <xdr:cNvPr id="17" name="Retângulo: Cantos Arredondados 16">
          <a:extLst>
            <a:ext uri="{FF2B5EF4-FFF2-40B4-BE49-F238E27FC236}">
              <a16:creationId xmlns:a16="http://schemas.microsoft.com/office/drawing/2014/main" id="{47DEEF06-27DA-477E-B5DD-4A053637D2B3}"/>
            </a:ext>
          </a:extLst>
        </xdr:cNvPr>
        <xdr:cNvSpPr/>
      </xdr:nvSpPr>
      <xdr:spPr>
        <a:xfrm>
          <a:off x="142875" y="172497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AUMENTEI</a:t>
          </a:r>
          <a:br>
            <a:rPr lang="en-GB" sz="1000" b="1"/>
          </a:br>
          <a:r>
            <a:rPr lang="en-GB" sz="1000" b="1"/>
            <a:t>GANHOS</a:t>
          </a:r>
          <a:br>
            <a:rPr lang="en-GB" sz="1000" b="1"/>
          </a:br>
          <a:r>
            <a:rPr lang="en-GB" sz="1000" b="1"/>
            <a:t>VARIÁVEIS?</a:t>
          </a:r>
        </a:p>
      </xdr:txBody>
    </xdr:sp>
    <xdr:clientData/>
  </xdr:twoCellAnchor>
  <xdr:oneCellAnchor>
    <xdr:from>
      <xdr:col>1</xdr:col>
      <xdr:colOff>6244</xdr:colOff>
      <xdr:row>90</xdr:row>
      <xdr:rowOff>127748</xdr:rowOff>
    </xdr:from>
    <xdr:ext cx="246528" cy="246528"/>
    <xdr:pic>
      <xdr:nvPicPr>
        <xdr:cNvPr id="18" name="Gráfico 17" descr="Ajudar">
          <a:hlinkClick xmlns:r="http://schemas.openxmlformats.org/officeDocument/2006/relationships" r:id="rId21"/>
          <a:extLst>
            <a:ext uri="{FF2B5EF4-FFF2-40B4-BE49-F238E27FC236}">
              <a16:creationId xmlns:a16="http://schemas.microsoft.com/office/drawing/2014/main" id="{C66CD817-962E-4DE9-8F05-ABB81FD9D3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172727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107</xdr:row>
      <xdr:rowOff>104775</xdr:rowOff>
    </xdr:from>
    <xdr:to>
      <xdr:col>3</xdr:col>
      <xdr:colOff>95250</xdr:colOff>
      <xdr:row>110</xdr:row>
      <xdr:rowOff>76201</xdr:rowOff>
    </xdr:to>
    <xdr:sp macro="" textlink="">
      <xdr:nvSpPr>
        <xdr:cNvPr id="19" name="Retângulo: Cantos Arredondados 18">
          <a:extLst>
            <a:ext uri="{FF2B5EF4-FFF2-40B4-BE49-F238E27FC236}">
              <a16:creationId xmlns:a16="http://schemas.microsoft.com/office/drawing/2014/main" id="{F8793832-7AEC-4E33-83C3-752E11EF0058}"/>
            </a:ext>
          </a:extLst>
        </xdr:cNvPr>
        <xdr:cNvSpPr/>
      </xdr:nvSpPr>
      <xdr:spPr>
        <a:xfrm>
          <a:off x="142875" y="204882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INVESTI</a:t>
          </a:r>
          <a:r>
            <a:rPr lang="en-GB" sz="1000" b="1" baseline="0"/>
            <a:t> EM</a:t>
          </a:r>
          <a:br>
            <a:rPr lang="en-GB" sz="1000" b="1"/>
          </a:br>
          <a:r>
            <a:rPr lang="en-GB" sz="1000" b="1"/>
            <a:t>RENDA</a:t>
          </a:r>
          <a:br>
            <a:rPr lang="en-GB" sz="1000" b="1"/>
          </a:br>
          <a:r>
            <a:rPr lang="en-GB" sz="1000" b="1" baseline="0"/>
            <a:t>FIXA?</a:t>
          </a:r>
          <a:endParaRPr lang="en-GB" sz="1000" b="1"/>
        </a:p>
      </xdr:txBody>
    </xdr:sp>
    <xdr:clientData/>
  </xdr:twoCellAnchor>
  <xdr:oneCellAnchor>
    <xdr:from>
      <xdr:col>1</xdr:col>
      <xdr:colOff>6244</xdr:colOff>
      <xdr:row>107</xdr:row>
      <xdr:rowOff>127748</xdr:rowOff>
    </xdr:from>
    <xdr:ext cx="246528" cy="246528"/>
    <xdr:pic>
      <xdr:nvPicPr>
        <xdr:cNvPr id="20" name="Gráfico 19" descr="Ajudar">
          <a:hlinkClick xmlns:r="http://schemas.openxmlformats.org/officeDocument/2006/relationships" r:id="rId22"/>
          <a:extLst>
            <a:ext uri="{FF2B5EF4-FFF2-40B4-BE49-F238E27FC236}">
              <a16:creationId xmlns:a16="http://schemas.microsoft.com/office/drawing/2014/main" id="{86737A56-695B-4BDE-99E8-618DDB4A1B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205112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126</xdr:row>
      <xdr:rowOff>104775</xdr:rowOff>
    </xdr:from>
    <xdr:to>
      <xdr:col>3</xdr:col>
      <xdr:colOff>95250</xdr:colOff>
      <xdr:row>129</xdr:row>
      <xdr:rowOff>76201</xdr:rowOff>
    </xdr:to>
    <xdr:sp macro="" textlink="">
      <xdr:nvSpPr>
        <xdr:cNvPr id="21" name="Retângulo: Cantos Arredondados 20">
          <a:extLst>
            <a:ext uri="{FF2B5EF4-FFF2-40B4-BE49-F238E27FC236}">
              <a16:creationId xmlns:a16="http://schemas.microsoft.com/office/drawing/2014/main" id="{9E0B8DBE-B75E-4864-A4EB-4F6456DF8046}"/>
            </a:ext>
          </a:extLst>
        </xdr:cNvPr>
        <xdr:cNvSpPr/>
      </xdr:nvSpPr>
      <xdr:spPr>
        <a:xfrm>
          <a:off x="142875" y="241077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INVESTI EM</a:t>
          </a:r>
          <a:br>
            <a:rPr lang="en-GB" sz="1000" b="1"/>
          </a:br>
          <a:r>
            <a:rPr lang="en-GB" sz="1000" b="1"/>
            <a:t>RENDA </a:t>
          </a:r>
          <a:r>
            <a:rPr lang="en-GB" sz="1000" b="1" baseline="0"/>
            <a:t>VARIÁVEL?</a:t>
          </a:r>
          <a:endParaRPr lang="en-GB" sz="1000" b="1"/>
        </a:p>
      </xdr:txBody>
    </xdr:sp>
    <xdr:clientData/>
  </xdr:twoCellAnchor>
  <xdr:oneCellAnchor>
    <xdr:from>
      <xdr:col>1</xdr:col>
      <xdr:colOff>6244</xdr:colOff>
      <xdr:row>126</xdr:row>
      <xdr:rowOff>127748</xdr:rowOff>
    </xdr:from>
    <xdr:ext cx="246528" cy="246528"/>
    <xdr:pic>
      <xdr:nvPicPr>
        <xdr:cNvPr id="22" name="Gráfico 21" descr="Ajudar">
          <a:hlinkClick xmlns:r="http://schemas.openxmlformats.org/officeDocument/2006/relationships" r:id="rId23"/>
          <a:extLst>
            <a:ext uri="{FF2B5EF4-FFF2-40B4-BE49-F238E27FC236}">
              <a16:creationId xmlns:a16="http://schemas.microsoft.com/office/drawing/2014/main" id="{50C779C9-5FDF-4CCC-AD20-5BC2DD7B2F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241307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145</xdr:row>
      <xdr:rowOff>104775</xdr:rowOff>
    </xdr:from>
    <xdr:to>
      <xdr:col>3</xdr:col>
      <xdr:colOff>95250</xdr:colOff>
      <xdr:row>148</xdr:row>
      <xdr:rowOff>76201</xdr:rowOff>
    </xdr:to>
    <xdr:sp macro="" textlink="">
      <xdr:nvSpPr>
        <xdr:cNvPr id="23" name="Retângulo: Cantos Arredondados 22">
          <a:extLst>
            <a:ext uri="{FF2B5EF4-FFF2-40B4-BE49-F238E27FC236}">
              <a16:creationId xmlns:a16="http://schemas.microsoft.com/office/drawing/2014/main" id="{A1B31857-C90A-4832-B807-B9F5E6ED6181}"/>
            </a:ext>
          </a:extLst>
        </xdr:cNvPr>
        <xdr:cNvSpPr/>
      </xdr:nvSpPr>
      <xdr:spPr>
        <a:xfrm>
          <a:off x="142875" y="277272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INVESTI</a:t>
          </a:r>
          <a:r>
            <a:rPr lang="en-GB" sz="1000" b="1" baseline="0"/>
            <a:t> EM</a:t>
          </a:r>
          <a:br>
            <a:rPr lang="en-GB" sz="1000" b="1"/>
          </a:br>
          <a:r>
            <a:rPr lang="en-GB" sz="1000" b="1"/>
            <a:t>OUTROS</a:t>
          </a:r>
          <a:br>
            <a:rPr lang="en-GB" sz="1000" b="1"/>
          </a:br>
          <a:r>
            <a:rPr lang="en-GB" sz="1000" b="1"/>
            <a:t>ATIVOS?</a:t>
          </a:r>
        </a:p>
      </xdr:txBody>
    </xdr:sp>
    <xdr:clientData/>
  </xdr:twoCellAnchor>
  <xdr:oneCellAnchor>
    <xdr:from>
      <xdr:col>1</xdr:col>
      <xdr:colOff>6244</xdr:colOff>
      <xdr:row>145</xdr:row>
      <xdr:rowOff>127748</xdr:rowOff>
    </xdr:from>
    <xdr:ext cx="246528" cy="246528"/>
    <xdr:pic>
      <xdr:nvPicPr>
        <xdr:cNvPr id="24" name="Gráfico 23" descr="Ajudar">
          <a:hlinkClick xmlns:r="http://schemas.openxmlformats.org/officeDocument/2006/relationships" r:id="rId24"/>
          <a:extLst>
            <a:ext uri="{FF2B5EF4-FFF2-40B4-BE49-F238E27FC236}">
              <a16:creationId xmlns:a16="http://schemas.microsoft.com/office/drawing/2014/main" id="{C6E613F0-43A3-4EBD-B926-CFC27296C4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277502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162</xdr:row>
      <xdr:rowOff>104775</xdr:rowOff>
    </xdr:from>
    <xdr:to>
      <xdr:col>3</xdr:col>
      <xdr:colOff>95250</xdr:colOff>
      <xdr:row>165</xdr:row>
      <xdr:rowOff>76201</xdr:rowOff>
    </xdr:to>
    <xdr:sp macro="" textlink="">
      <xdr:nvSpPr>
        <xdr:cNvPr id="25" name="Retângulo: Cantos Arredondados 24">
          <a:extLst>
            <a:ext uri="{FF2B5EF4-FFF2-40B4-BE49-F238E27FC236}">
              <a16:creationId xmlns:a16="http://schemas.microsoft.com/office/drawing/2014/main" id="{D47FC2FF-77F0-4716-A771-39B9C4E4ABC3}"/>
            </a:ext>
          </a:extLst>
        </xdr:cNvPr>
        <xdr:cNvSpPr/>
      </xdr:nvSpPr>
      <xdr:spPr>
        <a:xfrm>
          <a:off x="142875" y="309657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GUARDEI</a:t>
          </a:r>
          <a:br>
            <a:rPr lang="en-GB" sz="1000" b="1"/>
          </a:br>
          <a:r>
            <a:rPr lang="en-GB" sz="1000" b="1"/>
            <a:t>RESERVA EM</a:t>
          </a:r>
          <a:br>
            <a:rPr lang="en-GB" sz="1000" b="1"/>
          </a:br>
          <a:r>
            <a:rPr lang="en-GB" sz="1000" b="1"/>
            <a:t>RENDA</a:t>
          </a:r>
          <a:r>
            <a:rPr lang="en-GB" sz="1000" b="1" baseline="0"/>
            <a:t> </a:t>
          </a:r>
          <a:r>
            <a:rPr lang="en-GB" sz="1000" b="1"/>
            <a:t>FIXA?</a:t>
          </a:r>
        </a:p>
      </xdr:txBody>
    </xdr:sp>
    <xdr:clientData/>
  </xdr:twoCellAnchor>
  <xdr:oneCellAnchor>
    <xdr:from>
      <xdr:col>1</xdr:col>
      <xdr:colOff>6244</xdr:colOff>
      <xdr:row>162</xdr:row>
      <xdr:rowOff>127748</xdr:rowOff>
    </xdr:from>
    <xdr:ext cx="246528" cy="246528"/>
    <xdr:pic>
      <xdr:nvPicPr>
        <xdr:cNvPr id="26" name="Gráfico 25" descr="Ajudar">
          <a:hlinkClick xmlns:r="http://schemas.openxmlformats.org/officeDocument/2006/relationships" r:id="rId25"/>
          <a:extLst>
            <a:ext uri="{FF2B5EF4-FFF2-40B4-BE49-F238E27FC236}">
              <a16:creationId xmlns:a16="http://schemas.microsoft.com/office/drawing/2014/main" id="{1B8958CB-ACC8-4913-B53F-A5A7F9C60D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309887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181</xdr:row>
      <xdr:rowOff>104775</xdr:rowOff>
    </xdr:from>
    <xdr:to>
      <xdr:col>3</xdr:col>
      <xdr:colOff>95250</xdr:colOff>
      <xdr:row>184</xdr:row>
      <xdr:rowOff>76201</xdr:rowOff>
    </xdr:to>
    <xdr:sp macro="" textlink="">
      <xdr:nvSpPr>
        <xdr:cNvPr id="27" name="Retângulo: Cantos Arredondados 26">
          <a:extLst>
            <a:ext uri="{FF2B5EF4-FFF2-40B4-BE49-F238E27FC236}">
              <a16:creationId xmlns:a16="http://schemas.microsoft.com/office/drawing/2014/main" id="{207D0290-A865-4CF8-89BE-50AE805A31C4}"/>
            </a:ext>
          </a:extLst>
        </xdr:cNvPr>
        <xdr:cNvSpPr/>
      </xdr:nvSpPr>
      <xdr:spPr>
        <a:xfrm>
          <a:off x="142875" y="345852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/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GUARDEI</a:t>
          </a:r>
          <a:b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RESERVA EM</a:t>
          </a:r>
          <a:b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RENDA</a:t>
          </a:r>
          <a:r>
            <a:rPr lang="en-GB" sz="10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VARIÁVEL?</a:t>
          </a:r>
          <a:endParaRPr lang="en-GB" sz="1000">
            <a:effectLst/>
          </a:endParaRPr>
        </a:p>
      </xdr:txBody>
    </xdr:sp>
    <xdr:clientData/>
  </xdr:twoCellAnchor>
  <xdr:oneCellAnchor>
    <xdr:from>
      <xdr:col>1</xdr:col>
      <xdr:colOff>6244</xdr:colOff>
      <xdr:row>181</xdr:row>
      <xdr:rowOff>127748</xdr:rowOff>
    </xdr:from>
    <xdr:ext cx="246528" cy="246528"/>
    <xdr:pic>
      <xdr:nvPicPr>
        <xdr:cNvPr id="28" name="Gráfico 27" descr="Ajudar">
          <a:hlinkClick xmlns:r="http://schemas.openxmlformats.org/officeDocument/2006/relationships" r:id="rId26"/>
          <a:extLst>
            <a:ext uri="{FF2B5EF4-FFF2-40B4-BE49-F238E27FC236}">
              <a16:creationId xmlns:a16="http://schemas.microsoft.com/office/drawing/2014/main" id="{AE6C69BA-9679-4C97-ADC8-1953F2BF17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346082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200</xdr:row>
      <xdr:rowOff>104775</xdr:rowOff>
    </xdr:from>
    <xdr:to>
      <xdr:col>3</xdr:col>
      <xdr:colOff>95250</xdr:colOff>
      <xdr:row>203</xdr:row>
      <xdr:rowOff>76201</xdr:rowOff>
    </xdr:to>
    <xdr:sp macro="" textlink="">
      <xdr:nvSpPr>
        <xdr:cNvPr id="29" name="Retângulo: Cantos Arredondados 28">
          <a:extLst>
            <a:ext uri="{FF2B5EF4-FFF2-40B4-BE49-F238E27FC236}">
              <a16:creationId xmlns:a16="http://schemas.microsoft.com/office/drawing/2014/main" id="{35DCF93A-808C-44C3-8F73-D4A79F9671F4}"/>
            </a:ext>
          </a:extLst>
        </xdr:cNvPr>
        <xdr:cNvSpPr/>
      </xdr:nvSpPr>
      <xdr:spPr>
        <a:xfrm>
          <a:off x="142875" y="382047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/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GUARDEI</a:t>
          </a:r>
          <a:b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RESERVA EM</a:t>
          </a:r>
          <a:b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OUTROS ATIVOS?</a:t>
          </a:r>
          <a:endParaRPr lang="en-GB" sz="1000">
            <a:effectLst/>
          </a:endParaRPr>
        </a:p>
      </xdr:txBody>
    </xdr:sp>
    <xdr:clientData/>
  </xdr:twoCellAnchor>
  <xdr:oneCellAnchor>
    <xdr:from>
      <xdr:col>1</xdr:col>
      <xdr:colOff>6244</xdr:colOff>
      <xdr:row>200</xdr:row>
      <xdr:rowOff>127748</xdr:rowOff>
    </xdr:from>
    <xdr:ext cx="246528" cy="246528"/>
    <xdr:pic>
      <xdr:nvPicPr>
        <xdr:cNvPr id="30" name="Gráfico 29" descr="Ajudar">
          <a:hlinkClick xmlns:r="http://schemas.openxmlformats.org/officeDocument/2006/relationships" r:id="rId27"/>
          <a:extLst>
            <a:ext uri="{FF2B5EF4-FFF2-40B4-BE49-F238E27FC236}">
              <a16:creationId xmlns:a16="http://schemas.microsoft.com/office/drawing/2014/main" id="{3A719BCA-A873-4B98-B751-F32D5CBF3D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382277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2</xdr:col>
      <xdr:colOff>319257</xdr:colOff>
      <xdr:row>77</xdr:row>
      <xdr:rowOff>126685</xdr:rowOff>
    </xdr:from>
    <xdr:ext cx="392036" cy="395999"/>
    <xdr:pic>
      <xdr:nvPicPr>
        <xdr:cNvPr id="31" name="Gráfico 30" descr="Dinheiro">
          <a:extLst>
            <a:ext uri="{FF2B5EF4-FFF2-40B4-BE49-F238E27FC236}">
              <a16:creationId xmlns:a16="http://schemas.microsoft.com/office/drawing/2014/main" id="{31EE74D5-9DB8-4843-B337-FD07B4A993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9"/>
            </a:ext>
          </a:extLst>
        </a:blip>
        <a:stretch>
          <a:fillRect/>
        </a:stretch>
      </xdr:blipFill>
      <xdr:spPr>
        <a:xfrm flipH="1">
          <a:off x="566907" y="14795185"/>
          <a:ext cx="392036" cy="395999"/>
        </a:xfrm>
        <a:prstGeom prst="rect">
          <a:avLst/>
        </a:prstGeom>
      </xdr:spPr>
    </xdr:pic>
    <xdr:clientData/>
  </xdr:oneCellAnchor>
  <xdr:oneCellAnchor>
    <xdr:from>
      <xdr:col>2</xdr:col>
      <xdr:colOff>319257</xdr:colOff>
      <xdr:row>91</xdr:row>
      <xdr:rowOff>115798</xdr:rowOff>
    </xdr:from>
    <xdr:ext cx="400936" cy="396000"/>
    <xdr:pic>
      <xdr:nvPicPr>
        <xdr:cNvPr id="32" name="Gráfico 31" descr="Dinheiro">
          <a:extLst>
            <a:ext uri="{FF2B5EF4-FFF2-40B4-BE49-F238E27FC236}">
              <a16:creationId xmlns:a16="http://schemas.microsoft.com/office/drawing/2014/main" id="{B93722F6-8D03-4D2F-9F21-0C182AE58A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9"/>
            </a:ext>
          </a:extLst>
        </a:blip>
        <a:stretch>
          <a:fillRect/>
        </a:stretch>
      </xdr:blipFill>
      <xdr:spPr>
        <a:xfrm flipH="1">
          <a:off x="566907" y="17451298"/>
          <a:ext cx="400936" cy="396000"/>
        </a:xfrm>
        <a:prstGeom prst="rect">
          <a:avLst/>
        </a:prstGeom>
      </xdr:spPr>
    </xdr:pic>
    <xdr:clientData/>
  </xdr:oneCellAnchor>
  <xdr:oneCellAnchor>
    <xdr:from>
      <xdr:col>2</xdr:col>
      <xdr:colOff>330528</xdr:colOff>
      <xdr:row>108</xdr:row>
      <xdr:rowOff>134224</xdr:rowOff>
    </xdr:from>
    <xdr:ext cx="392250" cy="406702"/>
    <xdr:pic>
      <xdr:nvPicPr>
        <xdr:cNvPr id="33" name="Gráfico 32" descr="Moedas">
          <a:extLst>
            <a:ext uri="{FF2B5EF4-FFF2-40B4-BE49-F238E27FC236}">
              <a16:creationId xmlns:a16="http://schemas.microsoft.com/office/drawing/2014/main" id="{E372F13A-44E2-4272-A368-5D80C565CD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1"/>
            </a:ext>
          </a:extLst>
        </a:blip>
        <a:stretch>
          <a:fillRect/>
        </a:stretch>
      </xdr:blipFill>
      <xdr:spPr>
        <a:xfrm flipH="1">
          <a:off x="578178" y="20708224"/>
          <a:ext cx="392250" cy="406702"/>
        </a:xfrm>
        <a:prstGeom prst="rect">
          <a:avLst/>
        </a:prstGeom>
      </xdr:spPr>
    </xdr:pic>
    <xdr:clientData/>
  </xdr:oneCellAnchor>
  <xdr:oneCellAnchor>
    <xdr:from>
      <xdr:col>2</xdr:col>
      <xdr:colOff>285751</xdr:colOff>
      <xdr:row>127</xdr:row>
      <xdr:rowOff>149678</xdr:rowOff>
    </xdr:from>
    <xdr:ext cx="392250" cy="406704"/>
    <xdr:pic>
      <xdr:nvPicPr>
        <xdr:cNvPr id="34" name="Gráfico 33" descr="Moedas">
          <a:extLst>
            <a:ext uri="{FF2B5EF4-FFF2-40B4-BE49-F238E27FC236}">
              <a16:creationId xmlns:a16="http://schemas.microsoft.com/office/drawing/2014/main" id="{702006D4-DA42-4F59-B8B5-39492EABA8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1"/>
            </a:ext>
          </a:extLst>
        </a:blip>
        <a:stretch>
          <a:fillRect/>
        </a:stretch>
      </xdr:blipFill>
      <xdr:spPr>
        <a:xfrm flipH="1">
          <a:off x="533401" y="24343178"/>
          <a:ext cx="392250" cy="406704"/>
        </a:xfrm>
        <a:prstGeom prst="rect">
          <a:avLst/>
        </a:prstGeom>
      </xdr:spPr>
    </xdr:pic>
    <xdr:clientData/>
  </xdr:oneCellAnchor>
  <xdr:oneCellAnchor>
    <xdr:from>
      <xdr:col>2</xdr:col>
      <xdr:colOff>288474</xdr:colOff>
      <xdr:row>146</xdr:row>
      <xdr:rowOff>152399</xdr:rowOff>
    </xdr:from>
    <xdr:ext cx="392250" cy="406702"/>
    <xdr:pic>
      <xdr:nvPicPr>
        <xdr:cNvPr id="35" name="Gráfico 34" descr="Moedas">
          <a:extLst>
            <a:ext uri="{FF2B5EF4-FFF2-40B4-BE49-F238E27FC236}">
              <a16:creationId xmlns:a16="http://schemas.microsoft.com/office/drawing/2014/main" id="{ACF1CF61-2BA0-4224-855D-0A3D3F8B4A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1"/>
            </a:ext>
          </a:extLst>
        </a:blip>
        <a:stretch>
          <a:fillRect/>
        </a:stretch>
      </xdr:blipFill>
      <xdr:spPr>
        <a:xfrm flipH="1">
          <a:off x="536124" y="27965399"/>
          <a:ext cx="392250" cy="406702"/>
        </a:xfrm>
        <a:prstGeom prst="rect">
          <a:avLst/>
        </a:prstGeom>
      </xdr:spPr>
    </xdr:pic>
    <xdr:clientData/>
  </xdr:oneCellAnchor>
  <xdr:oneCellAnchor>
    <xdr:from>
      <xdr:col>2</xdr:col>
      <xdr:colOff>300483</xdr:colOff>
      <xdr:row>163</xdr:row>
      <xdr:rowOff>123265</xdr:rowOff>
    </xdr:from>
    <xdr:ext cx="405011" cy="396000"/>
    <xdr:pic>
      <xdr:nvPicPr>
        <xdr:cNvPr id="36" name="Gráfico 35" descr="Sirene">
          <a:extLst>
            <a:ext uri="{FF2B5EF4-FFF2-40B4-BE49-F238E27FC236}">
              <a16:creationId xmlns:a16="http://schemas.microsoft.com/office/drawing/2014/main" id="{DF37D35F-F135-4BD0-9621-ED9DC52CE2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3"/>
            </a:ext>
          </a:extLst>
        </a:blip>
        <a:stretch>
          <a:fillRect/>
        </a:stretch>
      </xdr:blipFill>
      <xdr:spPr>
        <a:xfrm>
          <a:off x="548133" y="31174765"/>
          <a:ext cx="405011" cy="396000"/>
        </a:xfrm>
        <a:prstGeom prst="rect">
          <a:avLst/>
        </a:prstGeom>
        <a:effectLst/>
      </xdr:spPr>
    </xdr:pic>
    <xdr:clientData/>
  </xdr:oneCellAnchor>
  <xdr:oneCellAnchor>
    <xdr:from>
      <xdr:col>2</xdr:col>
      <xdr:colOff>300483</xdr:colOff>
      <xdr:row>182</xdr:row>
      <xdr:rowOff>107576</xdr:rowOff>
    </xdr:from>
    <xdr:ext cx="405011" cy="400203"/>
    <xdr:pic>
      <xdr:nvPicPr>
        <xdr:cNvPr id="37" name="Gráfico 36" descr="Sirene">
          <a:extLst>
            <a:ext uri="{FF2B5EF4-FFF2-40B4-BE49-F238E27FC236}">
              <a16:creationId xmlns:a16="http://schemas.microsoft.com/office/drawing/2014/main" id="{C071A41C-993F-45DF-8AD0-E6CB87B036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3"/>
            </a:ext>
          </a:extLst>
        </a:blip>
        <a:stretch>
          <a:fillRect/>
        </a:stretch>
      </xdr:blipFill>
      <xdr:spPr>
        <a:xfrm>
          <a:off x="548133" y="34778576"/>
          <a:ext cx="405011" cy="400203"/>
        </a:xfrm>
        <a:prstGeom prst="rect">
          <a:avLst/>
        </a:prstGeom>
        <a:effectLst/>
      </xdr:spPr>
    </xdr:pic>
    <xdr:clientData/>
  </xdr:oneCellAnchor>
  <xdr:oneCellAnchor>
    <xdr:from>
      <xdr:col>2</xdr:col>
      <xdr:colOff>300483</xdr:colOff>
      <xdr:row>201</xdr:row>
      <xdr:rowOff>125505</xdr:rowOff>
    </xdr:from>
    <xdr:ext cx="405011" cy="396000"/>
    <xdr:pic>
      <xdr:nvPicPr>
        <xdr:cNvPr id="38" name="Gráfico 37" descr="Sirene">
          <a:extLst>
            <a:ext uri="{FF2B5EF4-FFF2-40B4-BE49-F238E27FC236}">
              <a16:creationId xmlns:a16="http://schemas.microsoft.com/office/drawing/2014/main" id="{A05F183C-8C81-43AB-9CE1-9232DFB46F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3"/>
            </a:ext>
          </a:extLst>
        </a:blip>
        <a:stretch>
          <a:fillRect/>
        </a:stretch>
      </xdr:blipFill>
      <xdr:spPr>
        <a:xfrm>
          <a:off x="548133" y="38416005"/>
          <a:ext cx="405011" cy="396000"/>
        </a:xfrm>
        <a:prstGeom prst="rect">
          <a:avLst/>
        </a:prstGeom>
        <a:effectLst/>
      </xdr:spPr>
    </xdr:pic>
    <xdr:clientData/>
  </xdr:oneCellAnchor>
  <xdr:oneCellAnchor>
    <xdr:from>
      <xdr:col>31</xdr:col>
      <xdr:colOff>190500</xdr:colOff>
      <xdr:row>1</xdr:row>
      <xdr:rowOff>141194</xdr:rowOff>
    </xdr:from>
    <xdr:ext cx="342000" cy="341999"/>
    <xdr:pic>
      <xdr:nvPicPr>
        <xdr:cNvPr id="39" name="Gráfico 38" descr="Virar calendário">
          <a:hlinkClick xmlns:r="http://schemas.openxmlformats.org/officeDocument/2006/relationships" r:id="rId34"/>
          <a:extLst>
            <a:ext uri="{FF2B5EF4-FFF2-40B4-BE49-F238E27FC236}">
              <a16:creationId xmlns:a16="http://schemas.microsoft.com/office/drawing/2014/main" id="{3A6C2F27-4810-4007-9679-144EBFC693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6"/>
            </a:ext>
          </a:extLst>
        </a:blip>
        <a:stretch>
          <a:fillRect/>
        </a:stretch>
      </xdr:blipFill>
      <xdr:spPr>
        <a:xfrm>
          <a:off x="12734925" y="331694"/>
          <a:ext cx="342000" cy="341999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26</xdr:col>
      <xdr:colOff>324971</xdr:colOff>
      <xdr:row>2</xdr:row>
      <xdr:rowOff>174812</xdr:rowOff>
    </xdr:from>
    <xdr:to>
      <xdr:col>28</xdr:col>
      <xdr:colOff>22412</xdr:colOff>
      <xdr:row>2</xdr:row>
      <xdr:rowOff>174812</xdr:rowOff>
    </xdr:to>
    <xdr:cxnSp macro="">
      <xdr:nvCxnSpPr>
        <xdr:cNvPr id="40" name="Conector reto 39">
          <a:extLst>
            <a:ext uri="{FF2B5EF4-FFF2-40B4-BE49-F238E27FC236}">
              <a16:creationId xmlns:a16="http://schemas.microsoft.com/office/drawing/2014/main" id="{EF423870-1125-4922-BAB1-03A672A516D3}"/>
            </a:ext>
          </a:extLst>
        </xdr:cNvPr>
        <xdr:cNvCxnSpPr/>
      </xdr:nvCxnSpPr>
      <xdr:spPr>
        <a:xfrm>
          <a:off x="11012021" y="555812"/>
          <a:ext cx="440391" cy="0"/>
        </a:xfrm>
        <a:prstGeom prst="line">
          <a:avLst/>
        </a:prstGeom>
        <a:ln>
          <a:solidFill>
            <a:srgbClr val="FFEBAB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331694</xdr:colOff>
      <xdr:row>2</xdr:row>
      <xdr:rowOff>174812</xdr:rowOff>
    </xdr:from>
    <xdr:to>
      <xdr:col>31</xdr:col>
      <xdr:colOff>29135</xdr:colOff>
      <xdr:row>2</xdr:row>
      <xdr:rowOff>174812</xdr:rowOff>
    </xdr:to>
    <xdr:cxnSp macro="">
      <xdr:nvCxnSpPr>
        <xdr:cNvPr id="41" name="Conector reto 40">
          <a:extLst>
            <a:ext uri="{FF2B5EF4-FFF2-40B4-BE49-F238E27FC236}">
              <a16:creationId xmlns:a16="http://schemas.microsoft.com/office/drawing/2014/main" id="{5FE49108-25FF-40DA-88AE-D174856AA641}"/>
            </a:ext>
          </a:extLst>
        </xdr:cNvPr>
        <xdr:cNvCxnSpPr/>
      </xdr:nvCxnSpPr>
      <xdr:spPr>
        <a:xfrm>
          <a:off x="12133169" y="555812"/>
          <a:ext cx="440391" cy="0"/>
        </a:xfrm>
        <a:prstGeom prst="line">
          <a:avLst/>
        </a:prstGeom>
        <a:ln>
          <a:solidFill>
            <a:srgbClr val="FFEBAB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0</xdr:col>
      <xdr:colOff>142210</xdr:colOff>
      <xdr:row>8</xdr:row>
      <xdr:rowOff>121771</xdr:rowOff>
    </xdr:from>
    <xdr:ext cx="250264" cy="246528"/>
    <xdr:pic>
      <xdr:nvPicPr>
        <xdr:cNvPr id="43" name="Gráfico 42" descr="Ajudar">
          <a:hlinkClick xmlns:r="http://schemas.openxmlformats.org/officeDocument/2006/relationships" r:id="rId37"/>
          <a:extLst>
            <a:ext uri="{FF2B5EF4-FFF2-40B4-BE49-F238E27FC236}">
              <a16:creationId xmlns:a16="http://schemas.microsoft.com/office/drawing/2014/main" id="{F3B08914-E726-4174-B91F-9CEFEBFF6A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2210" y="1645771"/>
          <a:ext cx="250264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35</xdr:col>
      <xdr:colOff>185459</xdr:colOff>
      <xdr:row>2</xdr:row>
      <xdr:rowOff>145676</xdr:rowOff>
    </xdr:from>
    <xdr:ext cx="429353" cy="424356"/>
    <xdr:pic>
      <xdr:nvPicPr>
        <xdr:cNvPr id="44" name="Gráfico 43" descr="Seta Reta">
          <a:hlinkClick xmlns:r="http://schemas.openxmlformats.org/officeDocument/2006/relationships" r:id="rId38" tooltip="PRÓXIMO MÊS"/>
          <a:extLst>
            <a:ext uri="{FF2B5EF4-FFF2-40B4-BE49-F238E27FC236}">
              <a16:creationId xmlns:a16="http://schemas.microsoft.com/office/drawing/2014/main" id="{88CE8315-7756-4A93-A445-18890B0D40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0"/>
            </a:ext>
          </a:extLst>
        </a:blip>
        <a:stretch>
          <a:fillRect/>
        </a:stretch>
      </xdr:blipFill>
      <xdr:spPr>
        <a:xfrm rot="10800000">
          <a:off x="13844309" y="526676"/>
          <a:ext cx="429353" cy="424356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35</xdr:col>
      <xdr:colOff>156882</xdr:colOff>
      <xdr:row>1</xdr:row>
      <xdr:rowOff>67235</xdr:rowOff>
    </xdr:from>
    <xdr:ext cx="426552" cy="424356"/>
    <xdr:pic>
      <xdr:nvPicPr>
        <xdr:cNvPr id="45" name="Gráfico 44" descr="Seta Reta">
          <a:hlinkClick xmlns:r="http://schemas.openxmlformats.org/officeDocument/2006/relationships" r:id="rId41" tooltip="MÊS ANTERIOR"/>
          <a:extLst>
            <a:ext uri="{FF2B5EF4-FFF2-40B4-BE49-F238E27FC236}">
              <a16:creationId xmlns:a16="http://schemas.microsoft.com/office/drawing/2014/main" id="{23024A40-B31D-4738-A1AE-9FD1915EE9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0"/>
            </a:ext>
          </a:extLst>
        </a:blip>
        <a:stretch>
          <a:fillRect/>
        </a:stretch>
      </xdr:blipFill>
      <xdr:spPr>
        <a:xfrm>
          <a:off x="13815732" y="257735"/>
          <a:ext cx="426552" cy="424356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34</xdr:col>
      <xdr:colOff>0</xdr:colOff>
      <xdr:row>5</xdr:row>
      <xdr:rowOff>0</xdr:rowOff>
    </xdr:from>
    <xdr:to>
      <xdr:col>35</xdr:col>
      <xdr:colOff>549089</xdr:colOff>
      <xdr:row>6</xdr:row>
      <xdr:rowOff>11207</xdr:rowOff>
    </xdr:to>
    <xdr:sp macro="" textlink="">
      <xdr:nvSpPr>
        <xdr:cNvPr id="46" name="Balão de Fala: Retângulo com Cantos Arredondados 45">
          <a:extLst>
            <a:ext uri="{FF2B5EF4-FFF2-40B4-BE49-F238E27FC236}">
              <a16:creationId xmlns:a16="http://schemas.microsoft.com/office/drawing/2014/main" id="{9FA77056-E1AB-4C08-A2E6-537D8F351705}"/>
            </a:ext>
          </a:extLst>
        </xdr:cNvPr>
        <xdr:cNvSpPr/>
      </xdr:nvSpPr>
      <xdr:spPr>
        <a:xfrm>
          <a:off x="13603941" y="795618"/>
          <a:ext cx="549089" cy="179295"/>
        </a:xfrm>
        <a:prstGeom prst="wedgeRoundRectCallout">
          <a:avLst>
            <a:gd name="adj1" fmla="val -18889"/>
            <a:gd name="adj2" fmla="val 13747"/>
            <a:gd name="adj3" fmla="val 16667"/>
          </a:avLst>
        </a:prstGeom>
        <a:solidFill>
          <a:srgbClr val="7030A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tIns="28800" bIns="36000" rtlCol="0" anchor="ctr"/>
        <a:lstStyle/>
        <a:p>
          <a:pPr algn="ctr"/>
          <a:r>
            <a:rPr lang="en-GB" sz="900"/>
            <a:t>DIAS</a:t>
          </a: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153895</xdr:colOff>
      <xdr:row>54</xdr:row>
      <xdr:rowOff>78440</xdr:rowOff>
    </xdr:from>
    <xdr:to>
      <xdr:col>3</xdr:col>
      <xdr:colOff>99733</xdr:colOff>
      <xdr:row>57</xdr:row>
      <xdr:rowOff>64621</xdr:rowOff>
    </xdr:to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7FEEF281-6A55-4E6A-B066-9FE8D759DD35}"/>
            </a:ext>
          </a:extLst>
        </xdr:cNvPr>
        <xdr:cNvSpPr/>
      </xdr:nvSpPr>
      <xdr:spPr>
        <a:xfrm>
          <a:off x="144370" y="10365440"/>
          <a:ext cx="2155638" cy="557681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REDUZI</a:t>
          </a:r>
          <a:br>
            <a:rPr lang="en-GB" sz="1000" b="1"/>
          </a:br>
          <a:r>
            <a:rPr lang="en-GB" sz="1000" b="1"/>
            <a:t>DESPESAS</a:t>
          </a:r>
          <a:br>
            <a:rPr lang="en-GB" sz="1000" b="1"/>
          </a:br>
          <a:r>
            <a:rPr lang="en-GB" sz="1000" b="1"/>
            <a:t>VARIÁVEIS?</a:t>
          </a:r>
        </a:p>
      </xdr:txBody>
    </xdr:sp>
    <xdr:clientData/>
  </xdr:twoCellAnchor>
  <xdr:twoCellAnchor>
    <xdr:from>
      <xdr:col>0</xdr:col>
      <xdr:colOff>132337</xdr:colOff>
      <xdr:row>8</xdr:row>
      <xdr:rowOff>104775</xdr:rowOff>
    </xdr:from>
    <xdr:to>
      <xdr:col>3</xdr:col>
      <xdr:colOff>77908</xdr:colOff>
      <xdr:row>11</xdr:row>
      <xdr:rowOff>76201</xdr:rowOff>
    </xdr:to>
    <xdr:sp macro="" textlink="">
      <xdr:nvSpPr>
        <xdr:cNvPr id="3" name="Retângulo: Cantos Arredondados 2">
          <a:extLst>
            <a:ext uri="{FF2B5EF4-FFF2-40B4-BE49-F238E27FC236}">
              <a16:creationId xmlns:a16="http://schemas.microsoft.com/office/drawing/2014/main" id="{5FABA100-3794-4CBB-BBFC-967B70DFF070}"/>
            </a:ext>
          </a:extLst>
        </xdr:cNvPr>
        <xdr:cNvSpPr/>
      </xdr:nvSpPr>
      <xdr:spPr>
        <a:xfrm>
          <a:off x="132337" y="1628775"/>
          <a:ext cx="2145846" cy="542926"/>
        </a:xfrm>
        <a:prstGeom prst="roundRect">
          <a:avLst>
            <a:gd name="adj" fmla="val 7028"/>
          </a:avLst>
        </a:prstGeom>
        <a:solidFill>
          <a:srgbClr val="007CA8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CONSEGUI</a:t>
          </a:r>
          <a:br>
            <a:rPr lang="en-GB" sz="1000" b="1"/>
          </a:br>
          <a:r>
            <a:rPr lang="en-GB" sz="1000" b="1"/>
            <a:t>JUNTAR</a:t>
          </a:r>
          <a:br>
            <a:rPr lang="en-GB" sz="1000" b="1"/>
          </a:br>
          <a:r>
            <a:rPr lang="en-GB" sz="1000" b="1"/>
            <a:t>DINHEIRO?</a:t>
          </a:r>
        </a:p>
      </xdr:txBody>
    </xdr:sp>
    <xdr:clientData/>
  </xdr:twoCellAnchor>
  <xdr:twoCellAnchor>
    <xdr:from>
      <xdr:col>0</xdr:col>
      <xdr:colOff>132337</xdr:colOff>
      <xdr:row>19</xdr:row>
      <xdr:rowOff>104775</xdr:rowOff>
    </xdr:from>
    <xdr:to>
      <xdr:col>3</xdr:col>
      <xdr:colOff>77908</xdr:colOff>
      <xdr:row>22</xdr:row>
      <xdr:rowOff>57151</xdr:rowOff>
    </xdr:to>
    <xdr:sp macro="" textlink="">
      <xdr:nvSpPr>
        <xdr:cNvPr id="4" name="Retângulo: Cantos Arredondados 3">
          <a:extLst>
            <a:ext uri="{FF2B5EF4-FFF2-40B4-BE49-F238E27FC236}">
              <a16:creationId xmlns:a16="http://schemas.microsoft.com/office/drawing/2014/main" id="{FC9B548D-6405-4778-96F1-9D5A4E7409C0}"/>
            </a:ext>
          </a:extLst>
        </xdr:cNvPr>
        <xdr:cNvSpPr/>
      </xdr:nvSpPr>
      <xdr:spPr>
        <a:xfrm>
          <a:off x="132337" y="3724275"/>
          <a:ext cx="2145846" cy="523876"/>
        </a:xfrm>
        <a:prstGeom prst="roundRect">
          <a:avLst>
            <a:gd name="adj" fmla="val 7028"/>
          </a:avLst>
        </a:prstGeom>
        <a:solidFill>
          <a:srgbClr val="007CA8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CONSEGUI</a:t>
          </a:r>
          <a:br>
            <a:rPr lang="en-GB" sz="1000" b="1"/>
          </a:br>
          <a:r>
            <a:rPr lang="en-GB" sz="1000" b="1"/>
            <a:t>GUARDAR E</a:t>
          </a:r>
          <a:br>
            <a:rPr lang="en-GB" sz="1000" b="1"/>
          </a:br>
          <a:r>
            <a:rPr lang="en-GB" sz="1000" b="1"/>
            <a:t>INVESTIR?</a:t>
          </a:r>
        </a:p>
      </xdr:txBody>
    </xdr:sp>
    <xdr:clientData/>
  </xdr:twoCellAnchor>
  <xdr:oneCellAnchor>
    <xdr:from>
      <xdr:col>2</xdr:col>
      <xdr:colOff>282383</xdr:colOff>
      <xdr:row>20</xdr:row>
      <xdr:rowOff>118215</xdr:rowOff>
    </xdr:from>
    <xdr:ext cx="399499" cy="396000"/>
    <xdr:pic>
      <xdr:nvPicPr>
        <xdr:cNvPr id="5" name="Gráfico 4" descr="Cofrinho">
          <a:extLst>
            <a:ext uri="{FF2B5EF4-FFF2-40B4-BE49-F238E27FC236}">
              <a16:creationId xmlns:a16="http://schemas.microsoft.com/office/drawing/2014/main" id="{B0F13A0E-F236-4216-8F89-66F35CB09E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530033" y="3928215"/>
          <a:ext cx="399499" cy="396000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2</xdr:col>
      <xdr:colOff>283926</xdr:colOff>
      <xdr:row>9</xdr:row>
      <xdr:rowOff>151343</xdr:rowOff>
    </xdr:from>
    <xdr:ext cx="396412" cy="396001"/>
    <xdr:pic>
      <xdr:nvPicPr>
        <xdr:cNvPr id="6" name="Gráfico 5" descr="Carteira">
          <a:extLst>
            <a:ext uri="{FF2B5EF4-FFF2-40B4-BE49-F238E27FC236}">
              <a16:creationId xmlns:a16="http://schemas.microsoft.com/office/drawing/2014/main" id="{22DB95EE-4049-4103-AD85-302FDEC006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531576" y="1865843"/>
          <a:ext cx="396412" cy="396001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0</xdr:col>
      <xdr:colOff>145864</xdr:colOff>
      <xdr:row>31</xdr:row>
      <xdr:rowOff>89647</xdr:rowOff>
    </xdr:from>
    <xdr:to>
      <xdr:col>3</xdr:col>
      <xdr:colOff>91702</xdr:colOff>
      <xdr:row>34</xdr:row>
      <xdr:rowOff>79002</xdr:rowOff>
    </xdr:to>
    <xdr:sp macro="" textlink="">
      <xdr:nvSpPr>
        <xdr:cNvPr id="7" name="Retângulo: Cantos Arredondados 6">
          <a:extLst>
            <a:ext uri="{FF2B5EF4-FFF2-40B4-BE49-F238E27FC236}">
              <a16:creationId xmlns:a16="http://schemas.microsoft.com/office/drawing/2014/main" id="{C3428219-E695-4345-899F-3CE1B1876962}"/>
            </a:ext>
          </a:extLst>
        </xdr:cNvPr>
        <xdr:cNvSpPr/>
      </xdr:nvSpPr>
      <xdr:spPr>
        <a:xfrm>
          <a:off x="145864" y="5995147"/>
          <a:ext cx="2146113" cy="560855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REDUZI</a:t>
          </a:r>
          <a:br>
            <a:rPr lang="en-GB" sz="1000" b="1"/>
          </a:br>
          <a:r>
            <a:rPr lang="en-GB" sz="1000" b="1"/>
            <a:t>DESPESAS</a:t>
          </a:r>
          <a:br>
            <a:rPr lang="en-GB" sz="1000" b="1"/>
          </a:br>
          <a:r>
            <a:rPr lang="en-GB" sz="1000" b="1"/>
            <a:t>F</a:t>
          </a:r>
          <a:r>
            <a:rPr lang="en-GB" sz="1000" b="1" baseline="0"/>
            <a:t>IXAS?</a:t>
          </a:r>
          <a:endParaRPr lang="en-GB" sz="1000" b="1"/>
        </a:p>
      </xdr:txBody>
    </xdr:sp>
    <xdr:clientData/>
  </xdr:twoCellAnchor>
  <xdr:oneCellAnchor>
    <xdr:from>
      <xdr:col>2</xdr:col>
      <xdr:colOff>315419</xdr:colOff>
      <xdr:row>32</xdr:row>
      <xdr:rowOff>144489</xdr:rowOff>
    </xdr:from>
    <xdr:ext cx="394594" cy="395999"/>
    <xdr:pic>
      <xdr:nvPicPr>
        <xdr:cNvPr id="8" name="Gráfico 7" descr="Eletricista">
          <a:extLst>
            <a:ext uri="{FF2B5EF4-FFF2-40B4-BE49-F238E27FC236}">
              <a16:creationId xmlns:a16="http://schemas.microsoft.com/office/drawing/2014/main" id="{56FBD7BF-70CF-402D-AB31-293464CC9D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6"/>
            </a:ext>
          </a:extLst>
        </a:blip>
        <a:stretch>
          <a:fillRect/>
        </a:stretch>
      </xdr:blipFill>
      <xdr:spPr>
        <a:xfrm>
          <a:off x="563069" y="6240489"/>
          <a:ext cx="394594" cy="395999"/>
        </a:xfrm>
        <a:prstGeom prst="rect">
          <a:avLst/>
        </a:prstGeom>
        <a:effectLst/>
      </xdr:spPr>
    </xdr:pic>
    <xdr:clientData/>
  </xdr:oneCellAnchor>
  <xdr:oneCellAnchor>
    <xdr:from>
      <xdr:col>2</xdr:col>
      <xdr:colOff>311917</xdr:colOff>
      <xdr:row>55</xdr:row>
      <xdr:rowOff>132264</xdr:rowOff>
    </xdr:from>
    <xdr:ext cx="401599" cy="395999"/>
    <xdr:pic>
      <xdr:nvPicPr>
        <xdr:cNvPr id="9" name="Gráfico 8" descr="Artista">
          <a:extLst>
            <a:ext uri="{FF2B5EF4-FFF2-40B4-BE49-F238E27FC236}">
              <a16:creationId xmlns:a16="http://schemas.microsoft.com/office/drawing/2014/main" id="{9B326F70-7B95-4219-9005-8B99D32DD5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8"/>
            </a:ext>
          </a:extLst>
        </a:blip>
        <a:stretch>
          <a:fillRect/>
        </a:stretch>
      </xdr:blipFill>
      <xdr:spPr>
        <a:xfrm>
          <a:off x="559567" y="10609764"/>
          <a:ext cx="401599" cy="395999"/>
        </a:xfrm>
        <a:prstGeom prst="rect">
          <a:avLst/>
        </a:prstGeom>
        <a:effectLst/>
      </xdr:spPr>
    </xdr:pic>
    <xdr:clientData/>
  </xdr:oneCellAnchor>
  <xdr:twoCellAnchor>
    <xdr:from>
      <xdr:col>1</xdr:col>
      <xdr:colOff>0</xdr:colOff>
      <xdr:row>76</xdr:row>
      <xdr:rowOff>104775</xdr:rowOff>
    </xdr:from>
    <xdr:to>
      <xdr:col>3</xdr:col>
      <xdr:colOff>95250</xdr:colOff>
      <xdr:row>79</xdr:row>
      <xdr:rowOff>76201</xdr:rowOff>
    </xdr:to>
    <xdr:sp macro="" textlink="">
      <xdr:nvSpPr>
        <xdr:cNvPr id="10" name="Retângulo: Cantos Arredondados 9">
          <a:extLst>
            <a:ext uri="{FF2B5EF4-FFF2-40B4-BE49-F238E27FC236}">
              <a16:creationId xmlns:a16="http://schemas.microsoft.com/office/drawing/2014/main" id="{2B9FFB23-C487-4402-B7B1-07F20447B967}"/>
            </a:ext>
          </a:extLst>
        </xdr:cNvPr>
        <xdr:cNvSpPr/>
      </xdr:nvSpPr>
      <xdr:spPr>
        <a:xfrm>
          <a:off x="142875" y="145827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AUMENTEI</a:t>
          </a:r>
          <a:br>
            <a:rPr lang="en-GB" sz="1000" b="1"/>
          </a:br>
          <a:r>
            <a:rPr lang="en-GB" sz="1000" b="1"/>
            <a:t>GANHOS</a:t>
          </a:r>
          <a:br>
            <a:rPr lang="en-GB" sz="1000" b="1"/>
          </a:br>
          <a:r>
            <a:rPr lang="en-GB" sz="1000" b="1"/>
            <a:t>FIXOS?</a:t>
          </a:r>
        </a:p>
      </xdr:txBody>
    </xdr:sp>
    <xdr:clientData/>
  </xdr:twoCellAnchor>
  <xdr:oneCellAnchor>
    <xdr:from>
      <xdr:col>28</xdr:col>
      <xdr:colOff>211792</xdr:colOff>
      <xdr:row>1</xdr:row>
      <xdr:rowOff>166407</xdr:rowOff>
    </xdr:from>
    <xdr:ext cx="310402" cy="310039"/>
    <xdr:pic>
      <xdr:nvPicPr>
        <xdr:cNvPr id="11" name="Gráfico 10" descr="Impressão digital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E470C452-F430-40CD-AF3B-935D33B378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1"/>
            </a:ext>
          </a:extLst>
        </a:blip>
        <a:stretch>
          <a:fillRect/>
        </a:stretch>
      </xdr:blipFill>
      <xdr:spPr>
        <a:xfrm>
          <a:off x="11641792" y="356907"/>
          <a:ext cx="310402" cy="310039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25</xdr:col>
      <xdr:colOff>188660</xdr:colOff>
      <xdr:row>1</xdr:row>
      <xdr:rowOff>129989</xdr:rowOff>
    </xdr:from>
    <xdr:ext cx="369173" cy="364524"/>
    <xdr:pic>
      <xdr:nvPicPr>
        <xdr:cNvPr id="12" name="Gráfico 11" descr="Trancar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id="{74045EB3-070A-4B60-804F-40835993FE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4"/>
            </a:ext>
          </a:extLst>
        </a:blip>
        <a:stretch>
          <a:fillRect/>
        </a:stretch>
      </xdr:blipFill>
      <xdr:spPr>
        <a:xfrm>
          <a:off x="10504235" y="320489"/>
          <a:ext cx="369173" cy="364524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1</xdr:col>
      <xdr:colOff>1017</xdr:colOff>
      <xdr:row>19</xdr:row>
      <xdr:rowOff>126254</xdr:rowOff>
    </xdr:from>
    <xdr:ext cx="250264" cy="246528"/>
    <xdr:pic>
      <xdr:nvPicPr>
        <xdr:cNvPr id="13" name="Gráfico 12" descr="Ajudar">
          <a:hlinkClick xmlns:r="http://schemas.openxmlformats.org/officeDocument/2006/relationships" r:id="rId15"/>
          <a:extLst>
            <a:ext uri="{FF2B5EF4-FFF2-40B4-BE49-F238E27FC236}">
              <a16:creationId xmlns:a16="http://schemas.microsoft.com/office/drawing/2014/main" id="{52C9DA79-9D44-4C50-9327-71223A6D24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3892" y="3745754"/>
          <a:ext cx="250264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1</xdr:col>
      <xdr:colOff>15211</xdr:colOff>
      <xdr:row>31</xdr:row>
      <xdr:rowOff>114300</xdr:rowOff>
    </xdr:from>
    <xdr:ext cx="246528" cy="246528"/>
    <xdr:pic>
      <xdr:nvPicPr>
        <xdr:cNvPr id="14" name="Gráfico 13" descr="Ajudar">
          <a:hlinkClick xmlns:r="http://schemas.openxmlformats.org/officeDocument/2006/relationships" r:id="rId18"/>
          <a:extLst>
            <a:ext uri="{FF2B5EF4-FFF2-40B4-BE49-F238E27FC236}">
              <a16:creationId xmlns:a16="http://schemas.microsoft.com/office/drawing/2014/main" id="{37992AED-0C87-401D-B2E2-4CE8591810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58086" y="6019800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1</xdr:col>
      <xdr:colOff>10727</xdr:colOff>
      <xdr:row>54</xdr:row>
      <xdr:rowOff>98613</xdr:rowOff>
    </xdr:from>
    <xdr:ext cx="246528" cy="246529"/>
    <xdr:pic>
      <xdr:nvPicPr>
        <xdr:cNvPr id="15" name="Gráfico 14" descr="Ajudar">
          <a:hlinkClick xmlns:r="http://schemas.openxmlformats.org/officeDocument/2006/relationships" r:id="rId19"/>
          <a:extLst>
            <a:ext uri="{FF2B5EF4-FFF2-40B4-BE49-F238E27FC236}">
              <a16:creationId xmlns:a16="http://schemas.microsoft.com/office/drawing/2014/main" id="{B8FBD53E-AC2E-4091-AAFF-853F88E852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53602" y="10385613"/>
          <a:ext cx="246528" cy="246529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1</xdr:col>
      <xdr:colOff>6244</xdr:colOff>
      <xdr:row>76</xdr:row>
      <xdr:rowOff>127748</xdr:rowOff>
    </xdr:from>
    <xdr:ext cx="246528" cy="246528"/>
    <xdr:pic>
      <xdr:nvPicPr>
        <xdr:cNvPr id="16" name="Gráfico 15" descr="Ajudar">
          <a:hlinkClick xmlns:r="http://schemas.openxmlformats.org/officeDocument/2006/relationships" r:id="rId20"/>
          <a:extLst>
            <a:ext uri="{FF2B5EF4-FFF2-40B4-BE49-F238E27FC236}">
              <a16:creationId xmlns:a16="http://schemas.microsoft.com/office/drawing/2014/main" id="{2D5714D9-18FC-49E2-A8F8-918EA7C2D2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146057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90</xdr:row>
      <xdr:rowOff>104775</xdr:rowOff>
    </xdr:from>
    <xdr:to>
      <xdr:col>3</xdr:col>
      <xdr:colOff>95250</xdr:colOff>
      <xdr:row>93</xdr:row>
      <xdr:rowOff>76201</xdr:rowOff>
    </xdr:to>
    <xdr:sp macro="" textlink="">
      <xdr:nvSpPr>
        <xdr:cNvPr id="17" name="Retângulo: Cantos Arredondados 16">
          <a:extLst>
            <a:ext uri="{FF2B5EF4-FFF2-40B4-BE49-F238E27FC236}">
              <a16:creationId xmlns:a16="http://schemas.microsoft.com/office/drawing/2014/main" id="{1E23B803-9E19-4B41-BA0C-8284384498D0}"/>
            </a:ext>
          </a:extLst>
        </xdr:cNvPr>
        <xdr:cNvSpPr/>
      </xdr:nvSpPr>
      <xdr:spPr>
        <a:xfrm>
          <a:off x="142875" y="172497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AUMENTEI</a:t>
          </a:r>
          <a:br>
            <a:rPr lang="en-GB" sz="1000" b="1"/>
          </a:br>
          <a:r>
            <a:rPr lang="en-GB" sz="1000" b="1"/>
            <a:t>GANHOS</a:t>
          </a:r>
          <a:br>
            <a:rPr lang="en-GB" sz="1000" b="1"/>
          </a:br>
          <a:r>
            <a:rPr lang="en-GB" sz="1000" b="1"/>
            <a:t>VARIÁVEIS?</a:t>
          </a:r>
        </a:p>
      </xdr:txBody>
    </xdr:sp>
    <xdr:clientData/>
  </xdr:twoCellAnchor>
  <xdr:oneCellAnchor>
    <xdr:from>
      <xdr:col>1</xdr:col>
      <xdr:colOff>6244</xdr:colOff>
      <xdr:row>90</xdr:row>
      <xdr:rowOff>127748</xdr:rowOff>
    </xdr:from>
    <xdr:ext cx="246528" cy="246528"/>
    <xdr:pic>
      <xdr:nvPicPr>
        <xdr:cNvPr id="18" name="Gráfico 17" descr="Ajudar">
          <a:hlinkClick xmlns:r="http://schemas.openxmlformats.org/officeDocument/2006/relationships" r:id="rId21"/>
          <a:extLst>
            <a:ext uri="{FF2B5EF4-FFF2-40B4-BE49-F238E27FC236}">
              <a16:creationId xmlns:a16="http://schemas.microsoft.com/office/drawing/2014/main" id="{16FF20C0-2E9B-4A99-A150-CB9EBCEC38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172727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107</xdr:row>
      <xdr:rowOff>104775</xdr:rowOff>
    </xdr:from>
    <xdr:to>
      <xdr:col>3</xdr:col>
      <xdr:colOff>95250</xdr:colOff>
      <xdr:row>110</xdr:row>
      <xdr:rowOff>76201</xdr:rowOff>
    </xdr:to>
    <xdr:sp macro="" textlink="">
      <xdr:nvSpPr>
        <xdr:cNvPr id="19" name="Retângulo: Cantos Arredondados 18">
          <a:extLst>
            <a:ext uri="{FF2B5EF4-FFF2-40B4-BE49-F238E27FC236}">
              <a16:creationId xmlns:a16="http://schemas.microsoft.com/office/drawing/2014/main" id="{B5A12543-2A05-4FED-A444-991EDD33837D}"/>
            </a:ext>
          </a:extLst>
        </xdr:cNvPr>
        <xdr:cNvSpPr/>
      </xdr:nvSpPr>
      <xdr:spPr>
        <a:xfrm>
          <a:off x="142875" y="204882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INVESTI</a:t>
          </a:r>
          <a:r>
            <a:rPr lang="en-GB" sz="1000" b="1" baseline="0"/>
            <a:t> EM</a:t>
          </a:r>
          <a:br>
            <a:rPr lang="en-GB" sz="1000" b="1"/>
          </a:br>
          <a:r>
            <a:rPr lang="en-GB" sz="1000" b="1"/>
            <a:t>RENDA</a:t>
          </a:r>
          <a:br>
            <a:rPr lang="en-GB" sz="1000" b="1"/>
          </a:br>
          <a:r>
            <a:rPr lang="en-GB" sz="1000" b="1" baseline="0"/>
            <a:t>FIXA?</a:t>
          </a:r>
          <a:endParaRPr lang="en-GB" sz="1000" b="1"/>
        </a:p>
      </xdr:txBody>
    </xdr:sp>
    <xdr:clientData/>
  </xdr:twoCellAnchor>
  <xdr:oneCellAnchor>
    <xdr:from>
      <xdr:col>1</xdr:col>
      <xdr:colOff>6244</xdr:colOff>
      <xdr:row>107</xdr:row>
      <xdr:rowOff>127748</xdr:rowOff>
    </xdr:from>
    <xdr:ext cx="246528" cy="246528"/>
    <xdr:pic>
      <xdr:nvPicPr>
        <xdr:cNvPr id="20" name="Gráfico 19" descr="Ajudar">
          <a:hlinkClick xmlns:r="http://schemas.openxmlformats.org/officeDocument/2006/relationships" r:id="rId22"/>
          <a:extLst>
            <a:ext uri="{FF2B5EF4-FFF2-40B4-BE49-F238E27FC236}">
              <a16:creationId xmlns:a16="http://schemas.microsoft.com/office/drawing/2014/main" id="{6E168676-8789-4AF9-B021-6D141E609C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205112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126</xdr:row>
      <xdr:rowOff>104775</xdr:rowOff>
    </xdr:from>
    <xdr:to>
      <xdr:col>3</xdr:col>
      <xdr:colOff>95250</xdr:colOff>
      <xdr:row>129</xdr:row>
      <xdr:rowOff>76201</xdr:rowOff>
    </xdr:to>
    <xdr:sp macro="" textlink="">
      <xdr:nvSpPr>
        <xdr:cNvPr id="21" name="Retângulo: Cantos Arredondados 20">
          <a:extLst>
            <a:ext uri="{FF2B5EF4-FFF2-40B4-BE49-F238E27FC236}">
              <a16:creationId xmlns:a16="http://schemas.microsoft.com/office/drawing/2014/main" id="{2C397A37-760E-4DEC-8A02-3849CFE7F3DB}"/>
            </a:ext>
          </a:extLst>
        </xdr:cNvPr>
        <xdr:cNvSpPr/>
      </xdr:nvSpPr>
      <xdr:spPr>
        <a:xfrm>
          <a:off x="142875" y="241077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INVESTI EM</a:t>
          </a:r>
          <a:br>
            <a:rPr lang="en-GB" sz="1000" b="1"/>
          </a:br>
          <a:r>
            <a:rPr lang="en-GB" sz="1000" b="1"/>
            <a:t>RENDA </a:t>
          </a:r>
          <a:r>
            <a:rPr lang="en-GB" sz="1000" b="1" baseline="0"/>
            <a:t>VARIÁVEL?</a:t>
          </a:r>
          <a:endParaRPr lang="en-GB" sz="1000" b="1"/>
        </a:p>
      </xdr:txBody>
    </xdr:sp>
    <xdr:clientData/>
  </xdr:twoCellAnchor>
  <xdr:oneCellAnchor>
    <xdr:from>
      <xdr:col>1</xdr:col>
      <xdr:colOff>6244</xdr:colOff>
      <xdr:row>126</xdr:row>
      <xdr:rowOff>127748</xdr:rowOff>
    </xdr:from>
    <xdr:ext cx="246528" cy="246528"/>
    <xdr:pic>
      <xdr:nvPicPr>
        <xdr:cNvPr id="22" name="Gráfico 21" descr="Ajudar">
          <a:hlinkClick xmlns:r="http://schemas.openxmlformats.org/officeDocument/2006/relationships" r:id="rId23"/>
          <a:extLst>
            <a:ext uri="{FF2B5EF4-FFF2-40B4-BE49-F238E27FC236}">
              <a16:creationId xmlns:a16="http://schemas.microsoft.com/office/drawing/2014/main" id="{20412C1A-C28D-4766-BFFF-0C499C17E3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241307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145</xdr:row>
      <xdr:rowOff>104775</xdr:rowOff>
    </xdr:from>
    <xdr:to>
      <xdr:col>3</xdr:col>
      <xdr:colOff>95250</xdr:colOff>
      <xdr:row>148</xdr:row>
      <xdr:rowOff>76201</xdr:rowOff>
    </xdr:to>
    <xdr:sp macro="" textlink="">
      <xdr:nvSpPr>
        <xdr:cNvPr id="23" name="Retângulo: Cantos Arredondados 22">
          <a:extLst>
            <a:ext uri="{FF2B5EF4-FFF2-40B4-BE49-F238E27FC236}">
              <a16:creationId xmlns:a16="http://schemas.microsoft.com/office/drawing/2014/main" id="{87010EE3-FBA8-4C57-9ED7-AB1F7B9F1C77}"/>
            </a:ext>
          </a:extLst>
        </xdr:cNvPr>
        <xdr:cNvSpPr/>
      </xdr:nvSpPr>
      <xdr:spPr>
        <a:xfrm>
          <a:off x="142875" y="277272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INVESTI</a:t>
          </a:r>
          <a:r>
            <a:rPr lang="en-GB" sz="1000" b="1" baseline="0"/>
            <a:t> EM</a:t>
          </a:r>
          <a:br>
            <a:rPr lang="en-GB" sz="1000" b="1"/>
          </a:br>
          <a:r>
            <a:rPr lang="en-GB" sz="1000" b="1"/>
            <a:t>OUTROS</a:t>
          </a:r>
          <a:br>
            <a:rPr lang="en-GB" sz="1000" b="1"/>
          </a:br>
          <a:r>
            <a:rPr lang="en-GB" sz="1000" b="1"/>
            <a:t>ATIVOS?</a:t>
          </a:r>
        </a:p>
      </xdr:txBody>
    </xdr:sp>
    <xdr:clientData/>
  </xdr:twoCellAnchor>
  <xdr:oneCellAnchor>
    <xdr:from>
      <xdr:col>1</xdr:col>
      <xdr:colOff>6244</xdr:colOff>
      <xdr:row>145</xdr:row>
      <xdr:rowOff>127748</xdr:rowOff>
    </xdr:from>
    <xdr:ext cx="246528" cy="246528"/>
    <xdr:pic>
      <xdr:nvPicPr>
        <xdr:cNvPr id="24" name="Gráfico 23" descr="Ajudar">
          <a:hlinkClick xmlns:r="http://schemas.openxmlformats.org/officeDocument/2006/relationships" r:id="rId24"/>
          <a:extLst>
            <a:ext uri="{FF2B5EF4-FFF2-40B4-BE49-F238E27FC236}">
              <a16:creationId xmlns:a16="http://schemas.microsoft.com/office/drawing/2014/main" id="{0FBF0BE9-BC06-4784-AFE8-7D53E22AAA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277502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162</xdr:row>
      <xdr:rowOff>104775</xdr:rowOff>
    </xdr:from>
    <xdr:to>
      <xdr:col>3</xdr:col>
      <xdr:colOff>95250</xdr:colOff>
      <xdr:row>165</xdr:row>
      <xdr:rowOff>76201</xdr:rowOff>
    </xdr:to>
    <xdr:sp macro="" textlink="">
      <xdr:nvSpPr>
        <xdr:cNvPr id="25" name="Retângulo: Cantos Arredondados 24">
          <a:extLst>
            <a:ext uri="{FF2B5EF4-FFF2-40B4-BE49-F238E27FC236}">
              <a16:creationId xmlns:a16="http://schemas.microsoft.com/office/drawing/2014/main" id="{C99F0BA0-5ADB-46C7-BDA4-6050878A1575}"/>
            </a:ext>
          </a:extLst>
        </xdr:cNvPr>
        <xdr:cNvSpPr/>
      </xdr:nvSpPr>
      <xdr:spPr>
        <a:xfrm>
          <a:off x="142875" y="309657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GUARDEI</a:t>
          </a:r>
          <a:br>
            <a:rPr lang="en-GB" sz="1000" b="1"/>
          </a:br>
          <a:r>
            <a:rPr lang="en-GB" sz="1000" b="1"/>
            <a:t>RESERVA EM</a:t>
          </a:r>
          <a:br>
            <a:rPr lang="en-GB" sz="1000" b="1"/>
          </a:br>
          <a:r>
            <a:rPr lang="en-GB" sz="1000" b="1"/>
            <a:t>RENDA</a:t>
          </a:r>
          <a:r>
            <a:rPr lang="en-GB" sz="1000" b="1" baseline="0"/>
            <a:t> </a:t>
          </a:r>
          <a:r>
            <a:rPr lang="en-GB" sz="1000" b="1"/>
            <a:t>FIXA?</a:t>
          </a:r>
        </a:p>
      </xdr:txBody>
    </xdr:sp>
    <xdr:clientData/>
  </xdr:twoCellAnchor>
  <xdr:oneCellAnchor>
    <xdr:from>
      <xdr:col>1</xdr:col>
      <xdr:colOff>6244</xdr:colOff>
      <xdr:row>162</xdr:row>
      <xdr:rowOff>127748</xdr:rowOff>
    </xdr:from>
    <xdr:ext cx="246528" cy="246528"/>
    <xdr:pic>
      <xdr:nvPicPr>
        <xdr:cNvPr id="26" name="Gráfico 25" descr="Ajudar">
          <a:hlinkClick xmlns:r="http://schemas.openxmlformats.org/officeDocument/2006/relationships" r:id="rId25"/>
          <a:extLst>
            <a:ext uri="{FF2B5EF4-FFF2-40B4-BE49-F238E27FC236}">
              <a16:creationId xmlns:a16="http://schemas.microsoft.com/office/drawing/2014/main" id="{A2ABAF04-6109-4FAE-B57D-6A411868FA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309887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181</xdr:row>
      <xdr:rowOff>104775</xdr:rowOff>
    </xdr:from>
    <xdr:to>
      <xdr:col>3</xdr:col>
      <xdr:colOff>95250</xdr:colOff>
      <xdr:row>184</xdr:row>
      <xdr:rowOff>76201</xdr:rowOff>
    </xdr:to>
    <xdr:sp macro="" textlink="">
      <xdr:nvSpPr>
        <xdr:cNvPr id="27" name="Retângulo: Cantos Arredondados 26">
          <a:extLst>
            <a:ext uri="{FF2B5EF4-FFF2-40B4-BE49-F238E27FC236}">
              <a16:creationId xmlns:a16="http://schemas.microsoft.com/office/drawing/2014/main" id="{5A45A155-C44F-4851-98CB-E8CB1F7EB227}"/>
            </a:ext>
          </a:extLst>
        </xdr:cNvPr>
        <xdr:cNvSpPr/>
      </xdr:nvSpPr>
      <xdr:spPr>
        <a:xfrm>
          <a:off x="142875" y="345852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/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GUARDEI</a:t>
          </a:r>
          <a:b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RESERVA EM</a:t>
          </a:r>
          <a:b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RENDA</a:t>
          </a:r>
          <a:r>
            <a:rPr lang="en-GB" sz="10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VARIÁVEL?</a:t>
          </a:r>
          <a:endParaRPr lang="en-GB" sz="1000">
            <a:effectLst/>
          </a:endParaRPr>
        </a:p>
      </xdr:txBody>
    </xdr:sp>
    <xdr:clientData/>
  </xdr:twoCellAnchor>
  <xdr:oneCellAnchor>
    <xdr:from>
      <xdr:col>1</xdr:col>
      <xdr:colOff>6244</xdr:colOff>
      <xdr:row>181</xdr:row>
      <xdr:rowOff>127748</xdr:rowOff>
    </xdr:from>
    <xdr:ext cx="246528" cy="246528"/>
    <xdr:pic>
      <xdr:nvPicPr>
        <xdr:cNvPr id="28" name="Gráfico 27" descr="Ajudar">
          <a:hlinkClick xmlns:r="http://schemas.openxmlformats.org/officeDocument/2006/relationships" r:id="rId26"/>
          <a:extLst>
            <a:ext uri="{FF2B5EF4-FFF2-40B4-BE49-F238E27FC236}">
              <a16:creationId xmlns:a16="http://schemas.microsoft.com/office/drawing/2014/main" id="{086A1C48-2136-4818-89DE-60DA95D243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346082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200</xdr:row>
      <xdr:rowOff>104775</xdr:rowOff>
    </xdr:from>
    <xdr:to>
      <xdr:col>3</xdr:col>
      <xdr:colOff>95250</xdr:colOff>
      <xdr:row>203</xdr:row>
      <xdr:rowOff>76201</xdr:rowOff>
    </xdr:to>
    <xdr:sp macro="" textlink="">
      <xdr:nvSpPr>
        <xdr:cNvPr id="29" name="Retângulo: Cantos Arredondados 28">
          <a:extLst>
            <a:ext uri="{FF2B5EF4-FFF2-40B4-BE49-F238E27FC236}">
              <a16:creationId xmlns:a16="http://schemas.microsoft.com/office/drawing/2014/main" id="{F265F947-08E7-4630-80E1-BB37A754129B}"/>
            </a:ext>
          </a:extLst>
        </xdr:cNvPr>
        <xdr:cNvSpPr/>
      </xdr:nvSpPr>
      <xdr:spPr>
        <a:xfrm>
          <a:off x="142875" y="382047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/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GUARDEI</a:t>
          </a:r>
          <a:b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RESERVA EM</a:t>
          </a:r>
          <a:b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OUTROS ATIVOS?</a:t>
          </a:r>
          <a:endParaRPr lang="en-GB" sz="1000">
            <a:effectLst/>
          </a:endParaRPr>
        </a:p>
      </xdr:txBody>
    </xdr:sp>
    <xdr:clientData/>
  </xdr:twoCellAnchor>
  <xdr:oneCellAnchor>
    <xdr:from>
      <xdr:col>1</xdr:col>
      <xdr:colOff>6244</xdr:colOff>
      <xdr:row>200</xdr:row>
      <xdr:rowOff>127748</xdr:rowOff>
    </xdr:from>
    <xdr:ext cx="246528" cy="246528"/>
    <xdr:pic>
      <xdr:nvPicPr>
        <xdr:cNvPr id="30" name="Gráfico 29" descr="Ajudar">
          <a:hlinkClick xmlns:r="http://schemas.openxmlformats.org/officeDocument/2006/relationships" r:id="rId27"/>
          <a:extLst>
            <a:ext uri="{FF2B5EF4-FFF2-40B4-BE49-F238E27FC236}">
              <a16:creationId xmlns:a16="http://schemas.microsoft.com/office/drawing/2014/main" id="{DF72F982-E2B4-48D5-9320-C595EF7C43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382277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2</xdr:col>
      <xdr:colOff>319257</xdr:colOff>
      <xdr:row>77</xdr:row>
      <xdr:rowOff>126685</xdr:rowOff>
    </xdr:from>
    <xdr:ext cx="392036" cy="395999"/>
    <xdr:pic>
      <xdr:nvPicPr>
        <xdr:cNvPr id="31" name="Gráfico 30" descr="Dinheiro">
          <a:extLst>
            <a:ext uri="{FF2B5EF4-FFF2-40B4-BE49-F238E27FC236}">
              <a16:creationId xmlns:a16="http://schemas.microsoft.com/office/drawing/2014/main" id="{B1376B71-A4AC-44B6-B75A-C554CF9269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9"/>
            </a:ext>
          </a:extLst>
        </a:blip>
        <a:stretch>
          <a:fillRect/>
        </a:stretch>
      </xdr:blipFill>
      <xdr:spPr>
        <a:xfrm flipH="1">
          <a:off x="566907" y="14795185"/>
          <a:ext cx="392036" cy="395999"/>
        </a:xfrm>
        <a:prstGeom prst="rect">
          <a:avLst/>
        </a:prstGeom>
      </xdr:spPr>
    </xdr:pic>
    <xdr:clientData/>
  </xdr:oneCellAnchor>
  <xdr:oneCellAnchor>
    <xdr:from>
      <xdr:col>2</xdr:col>
      <xdr:colOff>319257</xdr:colOff>
      <xdr:row>91</xdr:row>
      <xdr:rowOff>115798</xdr:rowOff>
    </xdr:from>
    <xdr:ext cx="400936" cy="396000"/>
    <xdr:pic>
      <xdr:nvPicPr>
        <xdr:cNvPr id="32" name="Gráfico 31" descr="Dinheiro">
          <a:extLst>
            <a:ext uri="{FF2B5EF4-FFF2-40B4-BE49-F238E27FC236}">
              <a16:creationId xmlns:a16="http://schemas.microsoft.com/office/drawing/2014/main" id="{60C8B259-1F3E-420C-AD75-F4258EDE27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9"/>
            </a:ext>
          </a:extLst>
        </a:blip>
        <a:stretch>
          <a:fillRect/>
        </a:stretch>
      </xdr:blipFill>
      <xdr:spPr>
        <a:xfrm flipH="1">
          <a:off x="566907" y="17451298"/>
          <a:ext cx="400936" cy="396000"/>
        </a:xfrm>
        <a:prstGeom prst="rect">
          <a:avLst/>
        </a:prstGeom>
      </xdr:spPr>
    </xdr:pic>
    <xdr:clientData/>
  </xdr:oneCellAnchor>
  <xdr:oneCellAnchor>
    <xdr:from>
      <xdr:col>2</xdr:col>
      <xdr:colOff>330528</xdr:colOff>
      <xdr:row>108</xdr:row>
      <xdr:rowOff>134224</xdr:rowOff>
    </xdr:from>
    <xdr:ext cx="392250" cy="406702"/>
    <xdr:pic>
      <xdr:nvPicPr>
        <xdr:cNvPr id="33" name="Gráfico 32" descr="Moedas">
          <a:extLst>
            <a:ext uri="{FF2B5EF4-FFF2-40B4-BE49-F238E27FC236}">
              <a16:creationId xmlns:a16="http://schemas.microsoft.com/office/drawing/2014/main" id="{CDF8FC3C-9D81-4BE4-B99F-2CA128798D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1"/>
            </a:ext>
          </a:extLst>
        </a:blip>
        <a:stretch>
          <a:fillRect/>
        </a:stretch>
      </xdr:blipFill>
      <xdr:spPr>
        <a:xfrm flipH="1">
          <a:off x="578178" y="20708224"/>
          <a:ext cx="392250" cy="406702"/>
        </a:xfrm>
        <a:prstGeom prst="rect">
          <a:avLst/>
        </a:prstGeom>
      </xdr:spPr>
    </xdr:pic>
    <xdr:clientData/>
  </xdr:oneCellAnchor>
  <xdr:oneCellAnchor>
    <xdr:from>
      <xdr:col>2</xdr:col>
      <xdr:colOff>285751</xdr:colOff>
      <xdr:row>127</xdr:row>
      <xdr:rowOff>149678</xdr:rowOff>
    </xdr:from>
    <xdr:ext cx="392250" cy="406704"/>
    <xdr:pic>
      <xdr:nvPicPr>
        <xdr:cNvPr id="34" name="Gráfico 33" descr="Moedas">
          <a:extLst>
            <a:ext uri="{FF2B5EF4-FFF2-40B4-BE49-F238E27FC236}">
              <a16:creationId xmlns:a16="http://schemas.microsoft.com/office/drawing/2014/main" id="{07D3B43C-70D7-4E7A-838C-7EDDEB4F88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1"/>
            </a:ext>
          </a:extLst>
        </a:blip>
        <a:stretch>
          <a:fillRect/>
        </a:stretch>
      </xdr:blipFill>
      <xdr:spPr>
        <a:xfrm flipH="1">
          <a:off x="533401" y="24343178"/>
          <a:ext cx="392250" cy="406704"/>
        </a:xfrm>
        <a:prstGeom prst="rect">
          <a:avLst/>
        </a:prstGeom>
      </xdr:spPr>
    </xdr:pic>
    <xdr:clientData/>
  </xdr:oneCellAnchor>
  <xdr:oneCellAnchor>
    <xdr:from>
      <xdr:col>2</xdr:col>
      <xdr:colOff>288474</xdr:colOff>
      <xdr:row>146</xdr:row>
      <xdr:rowOff>152399</xdr:rowOff>
    </xdr:from>
    <xdr:ext cx="392250" cy="406702"/>
    <xdr:pic>
      <xdr:nvPicPr>
        <xdr:cNvPr id="35" name="Gráfico 34" descr="Moedas">
          <a:extLst>
            <a:ext uri="{FF2B5EF4-FFF2-40B4-BE49-F238E27FC236}">
              <a16:creationId xmlns:a16="http://schemas.microsoft.com/office/drawing/2014/main" id="{054D039C-C2C7-4BE2-950D-BF6CF3E0A5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1"/>
            </a:ext>
          </a:extLst>
        </a:blip>
        <a:stretch>
          <a:fillRect/>
        </a:stretch>
      </xdr:blipFill>
      <xdr:spPr>
        <a:xfrm flipH="1">
          <a:off x="536124" y="27965399"/>
          <a:ext cx="392250" cy="406702"/>
        </a:xfrm>
        <a:prstGeom prst="rect">
          <a:avLst/>
        </a:prstGeom>
      </xdr:spPr>
    </xdr:pic>
    <xdr:clientData/>
  </xdr:oneCellAnchor>
  <xdr:oneCellAnchor>
    <xdr:from>
      <xdr:col>2</xdr:col>
      <xdr:colOff>300483</xdr:colOff>
      <xdr:row>163</xdr:row>
      <xdr:rowOff>123265</xdr:rowOff>
    </xdr:from>
    <xdr:ext cx="405011" cy="396000"/>
    <xdr:pic>
      <xdr:nvPicPr>
        <xdr:cNvPr id="36" name="Gráfico 35" descr="Sirene">
          <a:extLst>
            <a:ext uri="{FF2B5EF4-FFF2-40B4-BE49-F238E27FC236}">
              <a16:creationId xmlns:a16="http://schemas.microsoft.com/office/drawing/2014/main" id="{639CC5AF-99E4-40D4-939B-CBE919ECB3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3"/>
            </a:ext>
          </a:extLst>
        </a:blip>
        <a:stretch>
          <a:fillRect/>
        </a:stretch>
      </xdr:blipFill>
      <xdr:spPr>
        <a:xfrm>
          <a:off x="548133" y="31174765"/>
          <a:ext cx="405011" cy="396000"/>
        </a:xfrm>
        <a:prstGeom prst="rect">
          <a:avLst/>
        </a:prstGeom>
        <a:effectLst/>
      </xdr:spPr>
    </xdr:pic>
    <xdr:clientData/>
  </xdr:oneCellAnchor>
  <xdr:oneCellAnchor>
    <xdr:from>
      <xdr:col>2</xdr:col>
      <xdr:colOff>300483</xdr:colOff>
      <xdr:row>182</xdr:row>
      <xdr:rowOff>107576</xdr:rowOff>
    </xdr:from>
    <xdr:ext cx="405011" cy="400203"/>
    <xdr:pic>
      <xdr:nvPicPr>
        <xdr:cNvPr id="37" name="Gráfico 36" descr="Sirene">
          <a:extLst>
            <a:ext uri="{FF2B5EF4-FFF2-40B4-BE49-F238E27FC236}">
              <a16:creationId xmlns:a16="http://schemas.microsoft.com/office/drawing/2014/main" id="{7FC3B60F-4774-403A-B6FF-8065BE3B34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3"/>
            </a:ext>
          </a:extLst>
        </a:blip>
        <a:stretch>
          <a:fillRect/>
        </a:stretch>
      </xdr:blipFill>
      <xdr:spPr>
        <a:xfrm>
          <a:off x="548133" y="34778576"/>
          <a:ext cx="405011" cy="400203"/>
        </a:xfrm>
        <a:prstGeom prst="rect">
          <a:avLst/>
        </a:prstGeom>
        <a:effectLst/>
      </xdr:spPr>
    </xdr:pic>
    <xdr:clientData/>
  </xdr:oneCellAnchor>
  <xdr:oneCellAnchor>
    <xdr:from>
      <xdr:col>2</xdr:col>
      <xdr:colOff>300483</xdr:colOff>
      <xdr:row>201</xdr:row>
      <xdr:rowOff>125505</xdr:rowOff>
    </xdr:from>
    <xdr:ext cx="405011" cy="396000"/>
    <xdr:pic>
      <xdr:nvPicPr>
        <xdr:cNvPr id="38" name="Gráfico 37" descr="Sirene">
          <a:extLst>
            <a:ext uri="{FF2B5EF4-FFF2-40B4-BE49-F238E27FC236}">
              <a16:creationId xmlns:a16="http://schemas.microsoft.com/office/drawing/2014/main" id="{5265DF3C-938E-424E-825A-68BF0BA6B1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3"/>
            </a:ext>
          </a:extLst>
        </a:blip>
        <a:stretch>
          <a:fillRect/>
        </a:stretch>
      </xdr:blipFill>
      <xdr:spPr>
        <a:xfrm>
          <a:off x="548133" y="38416005"/>
          <a:ext cx="405011" cy="396000"/>
        </a:xfrm>
        <a:prstGeom prst="rect">
          <a:avLst/>
        </a:prstGeom>
        <a:effectLst/>
      </xdr:spPr>
    </xdr:pic>
    <xdr:clientData/>
  </xdr:oneCellAnchor>
  <xdr:oneCellAnchor>
    <xdr:from>
      <xdr:col>31</xdr:col>
      <xdr:colOff>190500</xdr:colOff>
      <xdr:row>1</xdr:row>
      <xdr:rowOff>141194</xdr:rowOff>
    </xdr:from>
    <xdr:ext cx="342000" cy="341999"/>
    <xdr:pic>
      <xdr:nvPicPr>
        <xdr:cNvPr id="39" name="Gráfico 38" descr="Virar calendário">
          <a:hlinkClick xmlns:r="http://schemas.openxmlformats.org/officeDocument/2006/relationships" r:id="rId34"/>
          <a:extLst>
            <a:ext uri="{FF2B5EF4-FFF2-40B4-BE49-F238E27FC236}">
              <a16:creationId xmlns:a16="http://schemas.microsoft.com/office/drawing/2014/main" id="{E9C2281C-EA18-4DB6-82FC-DB7AF50AA0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6"/>
            </a:ext>
          </a:extLst>
        </a:blip>
        <a:stretch>
          <a:fillRect/>
        </a:stretch>
      </xdr:blipFill>
      <xdr:spPr>
        <a:xfrm>
          <a:off x="12734925" y="331694"/>
          <a:ext cx="342000" cy="341999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26</xdr:col>
      <xdr:colOff>324971</xdr:colOff>
      <xdr:row>2</xdr:row>
      <xdr:rowOff>174812</xdr:rowOff>
    </xdr:from>
    <xdr:to>
      <xdr:col>28</xdr:col>
      <xdr:colOff>22412</xdr:colOff>
      <xdr:row>2</xdr:row>
      <xdr:rowOff>174812</xdr:rowOff>
    </xdr:to>
    <xdr:cxnSp macro="">
      <xdr:nvCxnSpPr>
        <xdr:cNvPr id="40" name="Conector reto 39">
          <a:extLst>
            <a:ext uri="{FF2B5EF4-FFF2-40B4-BE49-F238E27FC236}">
              <a16:creationId xmlns:a16="http://schemas.microsoft.com/office/drawing/2014/main" id="{3B2E3456-F2D9-4A38-9561-EB7AAE9C2672}"/>
            </a:ext>
          </a:extLst>
        </xdr:cNvPr>
        <xdr:cNvCxnSpPr/>
      </xdr:nvCxnSpPr>
      <xdr:spPr>
        <a:xfrm>
          <a:off x="11012021" y="555812"/>
          <a:ext cx="440391" cy="0"/>
        </a:xfrm>
        <a:prstGeom prst="line">
          <a:avLst/>
        </a:prstGeom>
        <a:ln>
          <a:solidFill>
            <a:srgbClr val="FFEBAB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331694</xdr:colOff>
      <xdr:row>2</xdr:row>
      <xdr:rowOff>174812</xdr:rowOff>
    </xdr:from>
    <xdr:to>
      <xdr:col>31</xdr:col>
      <xdr:colOff>29135</xdr:colOff>
      <xdr:row>2</xdr:row>
      <xdr:rowOff>174812</xdr:rowOff>
    </xdr:to>
    <xdr:cxnSp macro="">
      <xdr:nvCxnSpPr>
        <xdr:cNvPr id="41" name="Conector reto 40">
          <a:extLst>
            <a:ext uri="{FF2B5EF4-FFF2-40B4-BE49-F238E27FC236}">
              <a16:creationId xmlns:a16="http://schemas.microsoft.com/office/drawing/2014/main" id="{A9AC8260-A345-45C4-9690-185881C9F3CC}"/>
            </a:ext>
          </a:extLst>
        </xdr:cNvPr>
        <xdr:cNvCxnSpPr/>
      </xdr:nvCxnSpPr>
      <xdr:spPr>
        <a:xfrm>
          <a:off x="12133169" y="555812"/>
          <a:ext cx="440391" cy="0"/>
        </a:xfrm>
        <a:prstGeom prst="line">
          <a:avLst/>
        </a:prstGeom>
        <a:ln>
          <a:solidFill>
            <a:srgbClr val="FFEBAB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0</xdr:col>
      <xdr:colOff>142210</xdr:colOff>
      <xdr:row>8</xdr:row>
      <xdr:rowOff>121771</xdr:rowOff>
    </xdr:from>
    <xdr:ext cx="250264" cy="246528"/>
    <xdr:pic>
      <xdr:nvPicPr>
        <xdr:cNvPr id="43" name="Gráfico 42" descr="Ajudar">
          <a:hlinkClick xmlns:r="http://schemas.openxmlformats.org/officeDocument/2006/relationships" r:id="rId37"/>
          <a:extLst>
            <a:ext uri="{FF2B5EF4-FFF2-40B4-BE49-F238E27FC236}">
              <a16:creationId xmlns:a16="http://schemas.microsoft.com/office/drawing/2014/main" id="{B3B55556-7196-4743-BF1E-DFD6E377E6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2210" y="1645771"/>
          <a:ext cx="250264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35</xdr:col>
      <xdr:colOff>185459</xdr:colOff>
      <xdr:row>2</xdr:row>
      <xdr:rowOff>145676</xdr:rowOff>
    </xdr:from>
    <xdr:ext cx="429353" cy="424356"/>
    <xdr:pic>
      <xdr:nvPicPr>
        <xdr:cNvPr id="44" name="Gráfico 43" descr="Seta Reta">
          <a:hlinkClick xmlns:r="http://schemas.openxmlformats.org/officeDocument/2006/relationships" r:id="rId38" tooltip="PRÓXIMO MÊS"/>
          <a:extLst>
            <a:ext uri="{FF2B5EF4-FFF2-40B4-BE49-F238E27FC236}">
              <a16:creationId xmlns:a16="http://schemas.microsoft.com/office/drawing/2014/main" id="{A084FC0F-00B1-43BA-85C2-FA21D715EF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0"/>
            </a:ext>
          </a:extLst>
        </a:blip>
        <a:stretch>
          <a:fillRect/>
        </a:stretch>
      </xdr:blipFill>
      <xdr:spPr>
        <a:xfrm rot="10800000">
          <a:off x="14215784" y="526676"/>
          <a:ext cx="429353" cy="424356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35</xdr:col>
      <xdr:colOff>156882</xdr:colOff>
      <xdr:row>1</xdr:row>
      <xdr:rowOff>67235</xdr:rowOff>
    </xdr:from>
    <xdr:ext cx="426552" cy="424356"/>
    <xdr:pic>
      <xdr:nvPicPr>
        <xdr:cNvPr id="45" name="Gráfico 44" descr="Seta Reta">
          <a:hlinkClick xmlns:r="http://schemas.openxmlformats.org/officeDocument/2006/relationships" r:id="rId41" tooltip="MÊS ANTERIOR"/>
          <a:extLst>
            <a:ext uri="{FF2B5EF4-FFF2-40B4-BE49-F238E27FC236}">
              <a16:creationId xmlns:a16="http://schemas.microsoft.com/office/drawing/2014/main" id="{4DC4FD0F-8C03-4472-B4EB-358BEDF386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0"/>
            </a:ext>
          </a:extLst>
        </a:blip>
        <a:stretch>
          <a:fillRect/>
        </a:stretch>
      </xdr:blipFill>
      <xdr:spPr>
        <a:xfrm>
          <a:off x="14187207" y="257735"/>
          <a:ext cx="426552" cy="424356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35</xdr:col>
      <xdr:colOff>0</xdr:colOff>
      <xdr:row>5</xdr:row>
      <xdr:rowOff>0</xdr:rowOff>
    </xdr:from>
    <xdr:to>
      <xdr:col>35</xdr:col>
      <xdr:colOff>549089</xdr:colOff>
      <xdr:row>6</xdr:row>
      <xdr:rowOff>11207</xdr:rowOff>
    </xdr:to>
    <xdr:sp macro="" textlink="">
      <xdr:nvSpPr>
        <xdr:cNvPr id="46" name="Balão de Fala: Retângulo com Cantos Arredondados 45">
          <a:extLst>
            <a:ext uri="{FF2B5EF4-FFF2-40B4-BE49-F238E27FC236}">
              <a16:creationId xmlns:a16="http://schemas.microsoft.com/office/drawing/2014/main" id="{7FE2AAB3-9C94-4817-BE65-214A2904010B}"/>
            </a:ext>
          </a:extLst>
        </xdr:cNvPr>
        <xdr:cNvSpPr/>
      </xdr:nvSpPr>
      <xdr:spPr>
        <a:xfrm>
          <a:off x="13973735" y="795618"/>
          <a:ext cx="549089" cy="179295"/>
        </a:xfrm>
        <a:prstGeom prst="wedgeRoundRectCallout">
          <a:avLst>
            <a:gd name="adj1" fmla="val -18889"/>
            <a:gd name="adj2" fmla="val 13747"/>
            <a:gd name="adj3" fmla="val 16667"/>
          </a:avLst>
        </a:prstGeom>
        <a:solidFill>
          <a:srgbClr val="7030A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tIns="28800" bIns="36000" rtlCol="0" anchor="ctr"/>
        <a:lstStyle/>
        <a:p>
          <a:pPr algn="ctr"/>
          <a:r>
            <a:rPr lang="en-GB" sz="900"/>
            <a:t>DIAS</a:t>
          </a: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153895</xdr:colOff>
      <xdr:row>54</xdr:row>
      <xdr:rowOff>78440</xdr:rowOff>
    </xdr:from>
    <xdr:to>
      <xdr:col>3</xdr:col>
      <xdr:colOff>99733</xdr:colOff>
      <xdr:row>57</xdr:row>
      <xdr:rowOff>64621</xdr:rowOff>
    </xdr:to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745CA805-5386-4628-BD6C-EF3FFB8C8B02}"/>
            </a:ext>
          </a:extLst>
        </xdr:cNvPr>
        <xdr:cNvSpPr/>
      </xdr:nvSpPr>
      <xdr:spPr>
        <a:xfrm>
          <a:off x="144370" y="10365440"/>
          <a:ext cx="2155638" cy="557681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REDUZI</a:t>
          </a:r>
          <a:br>
            <a:rPr lang="en-GB" sz="1000" b="1"/>
          </a:br>
          <a:r>
            <a:rPr lang="en-GB" sz="1000" b="1"/>
            <a:t>DESPESAS</a:t>
          </a:r>
          <a:br>
            <a:rPr lang="en-GB" sz="1000" b="1"/>
          </a:br>
          <a:r>
            <a:rPr lang="en-GB" sz="1000" b="1"/>
            <a:t>VARIÁVEIS?</a:t>
          </a:r>
        </a:p>
      </xdr:txBody>
    </xdr:sp>
    <xdr:clientData/>
  </xdr:twoCellAnchor>
  <xdr:twoCellAnchor>
    <xdr:from>
      <xdr:col>0</xdr:col>
      <xdr:colOff>132337</xdr:colOff>
      <xdr:row>8</xdr:row>
      <xdr:rowOff>104775</xdr:rowOff>
    </xdr:from>
    <xdr:to>
      <xdr:col>3</xdr:col>
      <xdr:colOff>77908</xdr:colOff>
      <xdr:row>11</xdr:row>
      <xdr:rowOff>76201</xdr:rowOff>
    </xdr:to>
    <xdr:sp macro="" textlink="">
      <xdr:nvSpPr>
        <xdr:cNvPr id="3" name="Retângulo: Cantos Arredondados 2">
          <a:extLst>
            <a:ext uri="{FF2B5EF4-FFF2-40B4-BE49-F238E27FC236}">
              <a16:creationId xmlns:a16="http://schemas.microsoft.com/office/drawing/2014/main" id="{BA3F0466-D387-487F-B3E7-ED243D44CE1A}"/>
            </a:ext>
          </a:extLst>
        </xdr:cNvPr>
        <xdr:cNvSpPr/>
      </xdr:nvSpPr>
      <xdr:spPr>
        <a:xfrm>
          <a:off x="132337" y="1628775"/>
          <a:ext cx="2145846" cy="542926"/>
        </a:xfrm>
        <a:prstGeom prst="roundRect">
          <a:avLst>
            <a:gd name="adj" fmla="val 7028"/>
          </a:avLst>
        </a:prstGeom>
        <a:solidFill>
          <a:srgbClr val="007CA8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CONSEGUI</a:t>
          </a:r>
          <a:br>
            <a:rPr lang="en-GB" sz="1000" b="1"/>
          </a:br>
          <a:r>
            <a:rPr lang="en-GB" sz="1000" b="1"/>
            <a:t>JUNTAR</a:t>
          </a:r>
          <a:br>
            <a:rPr lang="en-GB" sz="1000" b="1"/>
          </a:br>
          <a:r>
            <a:rPr lang="en-GB" sz="1000" b="1"/>
            <a:t>DINHEIRO?</a:t>
          </a:r>
        </a:p>
      </xdr:txBody>
    </xdr:sp>
    <xdr:clientData/>
  </xdr:twoCellAnchor>
  <xdr:twoCellAnchor>
    <xdr:from>
      <xdr:col>0</xdr:col>
      <xdr:colOff>132337</xdr:colOff>
      <xdr:row>19</xdr:row>
      <xdr:rowOff>104775</xdr:rowOff>
    </xdr:from>
    <xdr:to>
      <xdr:col>3</xdr:col>
      <xdr:colOff>77908</xdr:colOff>
      <xdr:row>22</xdr:row>
      <xdr:rowOff>57151</xdr:rowOff>
    </xdr:to>
    <xdr:sp macro="" textlink="">
      <xdr:nvSpPr>
        <xdr:cNvPr id="4" name="Retângulo: Cantos Arredondados 3">
          <a:extLst>
            <a:ext uri="{FF2B5EF4-FFF2-40B4-BE49-F238E27FC236}">
              <a16:creationId xmlns:a16="http://schemas.microsoft.com/office/drawing/2014/main" id="{FB66AEE5-493D-4694-837E-CAD4D16D6B74}"/>
            </a:ext>
          </a:extLst>
        </xdr:cNvPr>
        <xdr:cNvSpPr/>
      </xdr:nvSpPr>
      <xdr:spPr>
        <a:xfrm>
          <a:off x="132337" y="3724275"/>
          <a:ext cx="2145846" cy="523876"/>
        </a:xfrm>
        <a:prstGeom prst="roundRect">
          <a:avLst>
            <a:gd name="adj" fmla="val 7028"/>
          </a:avLst>
        </a:prstGeom>
        <a:solidFill>
          <a:srgbClr val="007CA8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CONSEGUI</a:t>
          </a:r>
          <a:br>
            <a:rPr lang="en-GB" sz="1000" b="1"/>
          </a:br>
          <a:r>
            <a:rPr lang="en-GB" sz="1000" b="1"/>
            <a:t>GUARDAR E</a:t>
          </a:r>
          <a:br>
            <a:rPr lang="en-GB" sz="1000" b="1"/>
          </a:br>
          <a:r>
            <a:rPr lang="en-GB" sz="1000" b="1"/>
            <a:t>INVESTIR?</a:t>
          </a:r>
        </a:p>
      </xdr:txBody>
    </xdr:sp>
    <xdr:clientData/>
  </xdr:twoCellAnchor>
  <xdr:oneCellAnchor>
    <xdr:from>
      <xdr:col>2</xdr:col>
      <xdr:colOff>282383</xdr:colOff>
      <xdr:row>20</xdr:row>
      <xdr:rowOff>118215</xdr:rowOff>
    </xdr:from>
    <xdr:ext cx="399499" cy="396000"/>
    <xdr:pic>
      <xdr:nvPicPr>
        <xdr:cNvPr id="5" name="Gráfico 4" descr="Cofrinho">
          <a:extLst>
            <a:ext uri="{FF2B5EF4-FFF2-40B4-BE49-F238E27FC236}">
              <a16:creationId xmlns:a16="http://schemas.microsoft.com/office/drawing/2014/main" id="{F7C15BCC-58F1-4E07-BADF-714E950A83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530033" y="3928215"/>
          <a:ext cx="399499" cy="396000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2</xdr:col>
      <xdr:colOff>283926</xdr:colOff>
      <xdr:row>9</xdr:row>
      <xdr:rowOff>151343</xdr:rowOff>
    </xdr:from>
    <xdr:ext cx="396412" cy="396001"/>
    <xdr:pic>
      <xdr:nvPicPr>
        <xdr:cNvPr id="6" name="Gráfico 5" descr="Carteira">
          <a:extLst>
            <a:ext uri="{FF2B5EF4-FFF2-40B4-BE49-F238E27FC236}">
              <a16:creationId xmlns:a16="http://schemas.microsoft.com/office/drawing/2014/main" id="{D07782F9-AA9A-48AA-9E83-AC9057E1F8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531576" y="1865843"/>
          <a:ext cx="396412" cy="396001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0</xdr:col>
      <xdr:colOff>145864</xdr:colOff>
      <xdr:row>31</xdr:row>
      <xdr:rowOff>89647</xdr:rowOff>
    </xdr:from>
    <xdr:to>
      <xdr:col>3</xdr:col>
      <xdr:colOff>91702</xdr:colOff>
      <xdr:row>34</xdr:row>
      <xdr:rowOff>79002</xdr:rowOff>
    </xdr:to>
    <xdr:sp macro="" textlink="">
      <xdr:nvSpPr>
        <xdr:cNvPr id="7" name="Retângulo: Cantos Arredondados 6">
          <a:extLst>
            <a:ext uri="{FF2B5EF4-FFF2-40B4-BE49-F238E27FC236}">
              <a16:creationId xmlns:a16="http://schemas.microsoft.com/office/drawing/2014/main" id="{4A5C5C55-EEDC-43BD-9589-82E048699B18}"/>
            </a:ext>
          </a:extLst>
        </xdr:cNvPr>
        <xdr:cNvSpPr/>
      </xdr:nvSpPr>
      <xdr:spPr>
        <a:xfrm>
          <a:off x="145864" y="5995147"/>
          <a:ext cx="2146113" cy="560855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REDUZI</a:t>
          </a:r>
          <a:br>
            <a:rPr lang="en-GB" sz="1000" b="1"/>
          </a:br>
          <a:r>
            <a:rPr lang="en-GB" sz="1000" b="1"/>
            <a:t>DESPESAS</a:t>
          </a:r>
          <a:br>
            <a:rPr lang="en-GB" sz="1000" b="1"/>
          </a:br>
          <a:r>
            <a:rPr lang="en-GB" sz="1000" b="1"/>
            <a:t>F</a:t>
          </a:r>
          <a:r>
            <a:rPr lang="en-GB" sz="1000" b="1" baseline="0"/>
            <a:t>IXAS?</a:t>
          </a:r>
          <a:endParaRPr lang="en-GB" sz="1000" b="1"/>
        </a:p>
      </xdr:txBody>
    </xdr:sp>
    <xdr:clientData/>
  </xdr:twoCellAnchor>
  <xdr:oneCellAnchor>
    <xdr:from>
      <xdr:col>2</xdr:col>
      <xdr:colOff>315419</xdr:colOff>
      <xdr:row>32</xdr:row>
      <xdr:rowOff>144489</xdr:rowOff>
    </xdr:from>
    <xdr:ext cx="394594" cy="395999"/>
    <xdr:pic>
      <xdr:nvPicPr>
        <xdr:cNvPr id="8" name="Gráfico 7" descr="Eletricista">
          <a:extLst>
            <a:ext uri="{FF2B5EF4-FFF2-40B4-BE49-F238E27FC236}">
              <a16:creationId xmlns:a16="http://schemas.microsoft.com/office/drawing/2014/main" id="{6E1628FF-1DBC-4561-A0F2-4112CE537F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6"/>
            </a:ext>
          </a:extLst>
        </a:blip>
        <a:stretch>
          <a:fillRect/>
        </a:stretch>
      </xdr:blipFill>
      <xdr:spPr>
        <a:xfrm>
          <a:off x="563069" y="6240489"/>
          <a:ext cx="394594" cy="395999"/>
        </a:xfrm>
        <a:prstGeom prst="rect">
          <a:avLst/>
        </a:prstGeom>
        <a:effectLst/>
      </xdr:spPr>
    </xdr:pic>
    <xdr:clientData/>
  </xdr:oneCellAnchor>
  <xdr:oneCellAnchor>
    <xdr:from>
      <xdr:col>2</xdr:col>
      <xdr:colOff>311917</xdr:colOff>
      <xdr:row>55</xdr:row>
      <xdr:rowOff>132264</xdr:rowOff>
    </xdr:from>
    <xdr:ext cx="401599" cy="395999"/>
    <xdr:pic>
      <xdr:nvPicPr>
        <xdr:cNvPr id="9" name="Gráfico 8" descr="Artista">
          <a:extLst>
            <a:ext uri="{FF2B5EF4-FFF2-40B4-BE49-F238E27FC236}">
              <a16:creationId xmlns:a16="http://schemas.microsoft.com/office/drawing/2014/main" id="{EB344284-ACCF-4DC4-9EC1-1FC58BC68B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8"/>
            </a:ext>
          </a:extLst>
        </a:blip>
        <a:stretch>
          <a:fillRect/>
        </a:stretch>
      </xdr:blipFill>
      <xdr:spPr>
        <a:xfrm>
          <a:off x="559567" y="10609764"/>
          <a:ext cx="401599" cy="395999"/>
        </a:xfrm>
        <a:prstGeom prst="rect">
          <a:avLst/>
        </a:prstGeom>
        <a:effectLst/>
      </xdr:spPr>
    </xdr:pic>
    <xdr:clientData/>
  </xdr:oneCellAnchor>
  <xdr:twoCellAnchor>
    <xdr:from>
      <xdr:col>1</xdr:col>
      <xdr:colOff>0</xdr:colOff>
      <xdr:row>76</xdr:row>
      <xdr:rowOff>104775</xdr:rowOff>
    </xdr:from>
    <xdr:to>
      <xdr:col>3</xdr:col>
      <xdr:colOff>95250</xdr:colOff>
      <xdr:row>79</xdr:row>
      <xdr:rowOff>76201</xdr:rowOff>
    </xdr:to>
    <xdr:sp macro="" textlink="">
      <xdr:nvSpPr>
        <xdr:cNvPr id="10" name="Retângulo: Cantos Arredondados 9">
          <a:extLst>
            <a:ext uri="{FF2B5EF4-FFF2-40B4-BE49-F238E27FC236}">
              <a16:creationId xmlns:a16="http://schemas.microsoft.com/office/drawing/2014/main" id="{99489A66-37F6-4526-95D7-A32B958EAA3A}"/>
            </a:ext>
          </a:extLst>
        </xdr:cNvPr>
        <xdr:cNvSpPr/>
      </xdr:nvSpPr>
      <xdr:spPr>
        <a:xfrm>
          <a:off x="142875" y="145827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AUMENTEI</a:t>
          </a:r>
          <a:br>
            <a:rPr lang="en-GB" sz="1000" b="1"/>
          </a:br>
          <a:r>
            <a:rPr lang="en-GB" sz="1000" b="1"/>
            <a:t>GANHOS</a:t>
          </a:r>
          <a:br>
            <a:rPr lang="en-GB" sz="1000" b="1"/>
          </a:br>
          <a:r>
            <a:rPr lang="en-GB" sz="1000" b="1"/>
            <a:t>FIXOS?</a:t>
          </a:r>
        </a:p>
      </xdr:txBody>
    </xdr:sp>
    <xdr:clientData/>
  </xdr:twoCellAnchor>
  <xdr:oneCellAnchor>
    <xdr:from>
      <xdr:col>28</xdr:col>
      <xdr:colOff>211792</xdr:colOff>
      <xdr:row>1</xdr:row>
      <xdr:rowOff>166407</xdr:rowOff>
    </xdr:from>
    <xdr:ext cx="310402" cy="310039"/>
    <xdr:pic>
      <xdr:nvPicPr>
        <xdr:cNvPr id="11" name="Gráfico 10" descr="Impressão digital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8E925EC4-AACA-4648-BBA1-30D82BF248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1"/>
            </a:ext>
          </a:extLst>
        </a:blip>
        <a:stretch>
          <a:fillRect/>
        </a:stretch>
      </xdr:blipFill>
      <xdr:spPr>
        <a:xfrm>
          <a:off x="11641792" y="356907"/>
          <a:ext cx="310402" cy="310039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25</xdr:col>
      <xdr:colOff>188660</xdr:colOff>
      <xdr:row>1</xdr:row>
      <xdr:rowOff>129989</xdr:rowOff>
    </xdr:from>
    <xdr:ext cx="369173" cy="364524"/>
    <xdr:pic>
      <xdr:nvPicPr>
        <xdr:cNvPr id="12" name="Gráfico 11" descr="Trancar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id="{12405B78-329C-4030-9C6E-3C292957D2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4"/>
            </a:ext>
          </a:extLst>
        </a:blip>
        <a:stretch>
          <a:fillRect/>
        </a:stretch>
      </xdr:blipFill>
      <xdr:spPr>
        <a:xfrm>
          <a:off x="10504235" y="320489"/>
          <a:ext cx="369173" cy="364524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1</xdr:col>
      <xdr:colOff>1017</xdr:colOff>
      <xdr:row>19</xdr:row>
      <xdr:rowOff>126254</xdr:rowOff>
    </xdr:from>
    <xdr:ext cx="250264" cy="246528"/>
    <xdr:pic>
      <xdr:nvPicPr>
        <xdr:cNvPr id="13" name="Gráfico 12" descr="Ajudar">
          <a:hlinkClick xmlns:r="http://schemas.openxmlformats.org/officeDocument/2006/relationships" r:id="rId15"/>
          <a:extLst>
            <a:ext uri="{FF2B5EF4-FFF2-40B4-BE49-F238E27FC236}">
              <a16:creationId xmlns:a16="http://schemas.microsoft.com/office/drawing/2014/main" id="{E5EADD63-BCE0-434A-9DBC-9711192D35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3892" y="3745754"/>
          <a:ext cx="250264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1</xdr:col>
      <xdr:colOff>15211</xdr:colOff>
      <xdr:row>31</xdr:row>
      <xdr:rowOff>114300</xdr:rowOff>
    </xdr:from>
    <xdr:ext cx="246528" cy="246528"/>
    <xdr:pic>
      <xdr:nvPicPr>
        <xdr:cNvPr id="14" name="Gráfico 13" descr="Ajudar">
          <a:hlinkClick xmlns:r="http://schemas.openxmlformats.org/officeDocument/2006/relationships" r:id="rId18"/>
          <a:extLst>
            <a:ext uri="{FF2B5EF4-FFF2-40B4-BE49-F238E27FC236}">
              <a16:creationId xmlns:a16="http://schemas.microsoft.com/office/drawing/2014/main" id="{6D06EB63-6464-4B2A-A5A3-0F1A0CC1A9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58086" y="6019800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1</xdr:col>
      <xdr:colOff>10727</xdr:colOff>
      <xdr:row>54</xdr:row>
      <xdr:rowOff>98613</xdr:rowOff>
    </xdr:from>
    <xdr:ext cx="246528" cy="246529"/>
    <xdr:pic>
      <xdr:nvPicPr>
        <xdr:cNvPr id="15" name="Gráfico 14" descr="Ajudar">
          <a:hlinkClick xmlns:r="http://schemas.openxmlformats.org/officeDocument/2006/relationships" r:id="rId19"/>
          <a:extLst>
            <a:ext uri="{FF2B5EF4-FFF2-40B4-BE49-F238E27FC236}">
              <a16:creationId xmlns:a16="http://schemas.microsoft.com/office/drawing/2014/main" id="{E24F8EA7-CBA4-4C39-A6B4-678B637207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53602" y="10385613"/>
          <a:ext cx="246528" cy="246529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1</xdr:col>
      <xdr:colOff>6244</xdr:colOff>
      <xdr:row>76</xdr:row>
      <xdr:rowOff>127748</xdr:rowOff>
    </xdr:from>
    <xdr:ext cx="246528" cy="246528"/>
    <xdr:pic>
      <xdr:nvPicPr>
        <xdr:cNvPr id="16" name="Gráfico 15" descr="Ajudar">
          <a:hlinkClick xmlns:r="http://schemas.openxmlformats.org/officeDocument/2006/relationships" r:id="rId20"/>
          <a:extLst>
            <a:ext uri="{FF2B5EF4-FFF2-40B4-BE49-F238E27FC236}">
              <a16:creationId xmlns:a16="http://schemas.microsoft.com/office/drawing/2014/main" id="{B1D33C1B-8EB2-4B88-9216-4468B71955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146057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90</xdr:row>
      <xdr:rowOff>104775</xdr:rowOff>
    </xdr:from>
    <xdr:to>
      <xdr:col>3</xdr:col>
      <xdr:colOff>95250</xdr:colOff>
      <xdr:row>93</xdr:row>
      <xdr:rowOff>76201</xdr:rowOff>
    </xdr:to>
    <xdr:sp macro="" textlink="">
      <xdr:nvSpPr>
        <xdr:cNvPr id="17" name="Retângulo: Cantos Arredondados 16">
          <a:extLst>
            <a:ext uri="{FF2B5EF4-FFF2-40B4-BE49-F238E27FC236}">
              <a16:creationId xmlns:a16="http://schemas.microsoft.com/office/drawing/2014/main" id="{D1F2B68A-CA14-43DD-AC02-F9C4E0DFC45A}"/>
            </a:ext>
          </a:extLst>
        </xdr:cNvPr>
        <xdr:cNvSpPr/>
      </xdr:nvSpPr>
      <xdr:spPr>
        <a:xfrm>
          <a:off x="142875" y="172497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AUMENTEI</a:t>
          </a:r>
          <a:br>
            <a:rPr lang="en-GB" sz="1000" b="1"/>
          </a:br>
          <a:r>
            <a:rPr lang="en-GB" sz="1000" b="1"/>
            <a:t>GANHOS</a:t>
          </a:r>
          <a:br>
            <a:rPr lang="en-GB" sz="1000" b="1"/>
          </a:br>
          <a:r>
            <a:rPr lang="en-GB" sz="1000" b="1"/>
            <a:t>VARIÁVEIS?</a:t>
          </a:r>
        </a:p>
      </xdr:txBody>
    </xdr:sp>
    <xdr:clientData/>
  </xdr:twoCellAnchor>
  <xdr:oneCellAnchor>
    <xdr:from>
      <xdr:col>1</xdr:col>
      <xdr:colOff>6244</xdr:colOff>
      <xdr:row>90</xdr:row>
      <xdr:rowOff>127748</xdr:rowOff>
    </xdr:from>
    <xdr:ext cx="246528" cy="246528"/>
    <xdr:pic>
      <xdr:nvPicPr>
        <xdr:cNvPr id="18" name="Gráfico 17" descr="Ajudar">
          <a:hlinkClick xmlns:r="http://schemas.openxmlformats.org/officeDocument/2006/relationships" r:id="rId21"/>
          <a:extLst>
            <a:ext uri="{FF2B5EF4-FFF2-40B4-BE49-F238E27FC236}">
              <a16:creationId xmlns:a16="http://schemas.microsoft.com/office/drawing/2014/main" id="{D56066FF-A5D7-4A38-A2E4-59C83C0238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172727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107</xdr:row>
      <xdr:rowOff>104775</xdr:rowOff>
    </xdr:from>
    <xdr:to>
      <xdr:col>3</xdr:col>
      <xdr:colOff>95250</xdr:colOff>
      <xdr:row>110</xdr:row>
      <xdr:rowOff>76201</xdr:rowOff>
    </xdr:to>
    <xdr:sp macro="" textlink="">
      <xdr:nvSpPr>
        <xdr:cNvPr id="19" name="Retângulo: Cantos Arredondados 18">
          <a:extLst>
            <a:ext uri="{FF2B5EF4-FFF2-40B4-BE49-F238E27FC236}">
              <a16:creationId xmlns:a16="http://schemas.microsoft.com/office/drawing/2014/main" id="{E8897D27-1822-4BBA-8F7E-E95C5B0B22E9}"/>
            </a:ext>
          </a:extLst>
        </xdr:cNvPr>
        <xdr:cNvSpPr/>
      </xdr:nvSpPr>
      <xdr:spPr>
        <a:xfrm>
          <a:off x="142875" y="204882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INVESTI</a:t>
          </a:r>
          <a:r>
            <a:rPr lang="en-GB" sz="1000" b="1" baseline="0"/>
            <a:t> EM</a:t>
          </a:r>
          <a:br>
            <a:rPr lang="en-GB" sz="1000" b="1"/>
          </a:br>
          <a:r>
            <a:rPr lang="en-GB" sz="1000" b="1"/>
            <a:t>RENDA</a:t>
          </a:r>
          <a:br>
            <a:rPr lang="en-GB" sz="1000" b="1"/>
          </a:br>
          <a:r>
            <a:rPr lang="en-GB" sz="1000" b="1" baseline="0"/>
            <a:t>FIXA?</a:t>
          </a:r>
          <a:endParaRPr lang="en-GB" sz="1000" b="1"/>
        </a:p>
      </xdr:txBody>
    </xdr:sp>
    <xdr:clientData/>
  </xdr:twoCellAnchor>
  <xdr:oneCellAnchor>
    <xdr:from>
      <xdr:col>1</xdr:col>
      <xdr:colOff>6244</xdr:colOff>
      <xdr:row>107</xdr:row>
      <xdr:rowOff>127748</xdr:rowOff>
    </xdr:from>
    <xdr:ext cx="246528" cy="246528"/>
    <xdr:pic>
      <xdr:nvPicPr>
        <xdr:cNvPr id="20" name="Gráfico 19" descr="Ajudar">
          <a:hlinkClick xmlns:r="http://schemas.openxmlformats.org/officeDocument/2006/relationships" r:id="rId22"/>
          <a:extLst>
            <a:ext uri="{FF2B5EF4-FFF2-40B4-BE49-F238E27FC236}">
              <a16:creationId xmlns:a16="http://schemas.microsoft.com/office/drawing/2014/main" id="{5131E784-FE26-49EB-A220-612C2B0F2F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205112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126</xdr:row>
      <xdr:rowOff>104775</xdr:rowOff>
    </xdr:from>
    <xdr:to>
      <xdr:col>3</xdr:col>
      <xdr:colOff>95250</xdr:colOff>
      <xdr:row>129</xdr:row>
      <xdr:rowOff>76201</xdr:rowOff>
    </xdr:to>
    <xdr:sp macro="" textlink="">
      <xdr:nvSpPr>
        <xdr:cNvPr id="21" name="Retângulo: Cantos Arredondados 20">
          <a:extLst>
            <a:ext uri="{FF2B5EF4-FFF2-40B4-BE49-F238E27FC236}">
              <a16:creationId xmlns:a16="http://schemas.microsoft.com/office/drawing/2014/main" id="{A2EDF921-13B1-4B2A-8913-6F6CFB607B31}"/>
            </a:ext>
          </a:extLst>
        </xdr:cNvPr>
        <xdr:cNvSpPr/>
      </xdr:nvSpPr>
      <xdr:spPr>
        <a:xfrm>
          <a:off x="142875" y="241077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INVESTI EM</a:t>
          </a:r>
          <a:br>
            <a:rPr lang="en-GB" sz="1000" b="1"/>
          </a:br>
          <a:r>
            <a:rPr lang="en-GB" sz="1000" b="1"/>
            <a:t>RENDA </a:t>
          </a:r>
          <a:r>
            <a:rPr lang="en-GB" sz="1000" b="1" baseline="0"/>
            <a:t>VARIÁVEL?</a:t>
          </a:r>
          <a:endParaRPr lang="en-GB" sz="1000" b="1"/>
        </a:p>
      </xdr:txBody>
    </xdr:sp>
    <xdr:clientData/>
  </xdr:twoCellAnchor>
  <xdr:oneCellAnchor>
    <xdr:from>
      <xdr:col>1</xdr:col>
      <xdr:colOff>6244</xdr:colOff>
      <xdr:row>126</xdr:row>
      <xdr:rowOff>127748</xdr:rowOff>
    </xdr:from>
    <xdr:ext cx="246528" cy="246528"/>
    <xdr:pic>
      <xdr:nvPicPr>
        <xdr:cNvPr id="22" name="Gráfico 21" descr="Ajudar">
          <a:hlinkClick xmlns:r="http://schemas.openxmlformats.org/officeDocument/2006/relationships" r:id="rId23"/>
          <a:extLst>
            <a:ext uri="{FF2B5EF4-FFF2-40B4-BE49-F238E27FC236}">
              <a16:creationId xmlns:a16="http://schemas.microsoft.com/office/drawing/2014/main" id="{686ABD4D-A18E-4C30-9028-1795F7D1ED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241307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145</xdr:row>
      <xdr:rowOff>104775</xdr:rowOff>
    </xdr:from>
    <xdr:to>
      <xdr:col>3</xdr:col>
      <xdr:colOff>95250</xdr:colOff>
      <xdr:row>148</xdr:row>
      <xdr:rowOff>76201</xdr:rowOff>
    </xdr:to>
    <xdr:sp macro="" textlink="">
      <xdr:nvSpPr>
        <xdr:cNvPr id="23" name="Retângulo: Cantos Arredondados 22">
          <a:extLst>
            <a:ext uri="{FF2B5EF4-FFF2-40B4-BE49-F238E27FC236}">
              <a16:creationId xmlns:a16="http://schemas.microsoft.com/office/drawing/2014/main" id="{86CFC17D-663D-47C7-9142-39692C7FD99A}"/>
            </a:ext>
          </a:extLst>
        </xdr:cNvPr>
        <xdr:cNvSpPr/>
      </xdr:nvSpPr>
      <xdr:spPr>
        <a:xfrm>
          <a:off x="142875" y="277272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INVESTI</a:t>
          </a:r>
          <a:r>
            <a:rPr lang="en-GB" sz="1000" b="1" baseline="0"/>
            <a:t> EM</a:t>
          </a:r>
          <a:br>
            <a:rPr lang="en-GB" sz="1000" b="1"/>
          </a:br>
          <a:r>
            <a:rPr lang="en-GB" sz="1000" b="1"/>
            <a:t>OUTROS</a:t>
          </a:r>
          <a:br>
            <a:rPr lang="en-GB" sz="1000" b="1"/>
          </a:br>
          <a:r>
            <a:rPr lang="en-GB" sz="1000" b="1"/>
            <a:t>ATIVOS?</a:t>
          </a:r>
        </a:p>
      </xdr:txBody>
    </xdr:sp>
    <xdr:clientData/>
  </xdr:twoCellAnchor>
  <xdr:oneCellAnchor>
    <xdr:from>
      <xdr:col>1</xdr:col>
      <xdr:colOff>6244</xdr:colOff>
      <xdr:row>145</xdr:row>
      <xdr:rowOff>127748</xdr:rowOff>
    </xdr:from>
    <xdr:ext cx="246528" cy="246528"/>
    <xdr:pic>
      <xdr:nvPicPr>
        <xdr:cNvPr id="24" name="Gráfico 23" descr="Ajudar">
          <a:hlinkClick xmlns:r="http://schemas.openxmlformats.org/officeDocument/2006/relationships" r:id="rId24"/>
          <a:extLst>
            <a:ext uri="{FF2B5EF4-FFF2-40B4-BE49-F238E27FC236}">
              <a16:creationId xmlns:a16="http://schemas.microsoft.com/office/drawing/2014/main" id="{A99129E1-6A29-44DE-BB0E-CCE8241C7D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277502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162</xdr:row>
      <xdr:rowOff>104775</xdr:rowOff>
    </xdr:from>
    <xdr:to>
      <xdr:col>3</xdr:col>
      <xdr:colOff>95250</xdr:colOff>
      <xdr:row>165</xdr:row>
      <xdr:rowOff>76201</xdr:rowOff>
    </xdr:to>
    <xdr:sp macro="" textlink="">
      <xdr:nvSpPr>
        <xdr:cNvPr id="25" name="Retângulo: Cantos Arredondados 24">
          <a:extLst>
            <a:ext uri="{FF2B5EF4-FFF2-40B4-BE49-F238E27FC236}">
              <a16:creationId xmlns:a16="http://schemas.microsoft.com/office/drawing/2014/main" id="{45E78DD0-DC31-4835-B3E5-F04EEBBDF861}"/>
            </a:ext>
          </a:extLst>
        </xdr:cNvPr>
        <xdr:cNvSpPr/>
      </xdr:nvSpPr>
      <xdr:spPr>
        <a:xfrm>
          <a:off x="142875" y="309657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GUARDEI</a:t>
          </a:r>
          <a:br>
            <a:rPr lang="en-GB" sz="1000" b="1"/>
          </a:br>
          <a:r>
            <a:rPr lang="en-GB" sz="1000" b="1"/>
            <a:t>RESERVA EM</a:t>
          </a:r>
          <a:br>
            <a:rPr lang="en-GB" sz="1000" b="1"/>
          </a:br>
          <a:r>
            <a:rPr lang="en-GB" sz="1000" b="1"/>
            <a:t>RENDA</a:t>
          </a:r>
          <a:r>
            <a:rPr lang="en-GB" sz="1000" b="1" baseline="0"/>
            <a:t> </a:t>
          </a:r>
          <a:r>
            <a:rPr lang="en-GB" sz="1000" b="1"/>
            <a:t>FIXA?</a:t>
          </a:r>
        </a:p>
      </xdr:txBody>
    </xdr:sp>
    <xdr:clientData/>
  </xdr:twoCellAnchor>
  <xdr:oneCellAnchor>
    <xdr:from>
      <xdr:col>1</xdr:col>
      <xdr:colOff>6244</xdr:colOff>
      <xdr:row>162</xdr:row>
      <xdr:rowOff>127748</xdr:rowOff>
    </xdr:from>
    <xdr:ext cx="246528" cy="246528"/>
    <xdr:pic>
      <xdr:nvPicPr>
        <xdr:cNvPr id="26" name="Gráfico 25" descr="Ajudar">
          <a:hlinkClick xmlns:r="http://schemas.openxmlformats.org/officeDocument/2006/relationships" r:id="rId25"/>
          <a:extLst>
            <a:ext uri="{FF2B5EF4-FFF2-40B4-BE49-F238E27FC236}">
              <a16:creationId xmlns:a16="http://schemas.microsoft.com/office/drawing/2014/main" id="{02A72EF7-9C82-4900-9997-B6F63D89C5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309887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181</xdr:row>
      <xdr:rowOff>104775</xdr:rowOff>
    </xdr:from>
    <xdr:to>
      <xdr:col>3</xdr:col>
      <xdr:colOff>95250</xdr:colOff>
      <xdr:row>184</xdr:row>
      <xdr:rowOff>76201</xdr:rowOff>
    </xdr:to>
    <xdr:sp macro="" textlink="">
      <xdr:nvSpPr>
        <xdr:cNvPr id="27" name="Retângulo: Cantos Arredondados 26">
          <a:extLst>
            <a:ext uri="{FF2B5EF4-FFF2-40B4-BE49-F238E27FC236}">
              <a16:creationId xmlns:a16="http://schemas.microsoft.com/office/drawing/2014/main" id="{E8B42515-5A62-44C7-B3F3-6F30D52E7853}"/>
            </a:ext>
          </a:extLst>
        </xdr:cNvPr>
        <xdr:cNvSpPr/>
      </xdr:nvSpPr>
      <xdr:spPr>
        <a:xfrm>
          <a:off x="142875" y="345852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/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GUARDEI</a:t>
          </a:r>
          <a:b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RESERVA EM</a:t>
          </a:r>
          <a:b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RENDA</a:t>
          </a:r>
          <a:r>
            <a:rPr lang="en-GB" sz="10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VARIÁVEL?</a:t>
          </a:r>
          <a:endParaRPr lang="en-GB" sz="1000">
            <a:effectLst/>
          </a:endParaRPr>
        </a:p>
      </xdr:txBody>
    </xdr:sp>
    <xdr:clientData/>
  </xdr:twoCellAnchor>
  <xdr:oneCellAnchor>
    <xdr:from>
      <xdr:col>1</xdr:col>
      <xdr:colOff>6244</xdr:colOff>
      <xdr:row>181</xdr:row>
      <xdr:rowOff>127748</xdr:rowOff>
    </xdr:from>
    <xdr:ext cx="246528" cy="246528"/>
    <xdr:pic>
      <xdr:nvPicPr>
        <xdr:cNvPr id="28" name="Gráfico 27" descr="Ajudar">
          <a:hlinkClick xmlns:r="http://schemas.openxmlformats.org/officeDocument/2006/relationships" r:id="rId26"/>
          <a:extLst>
            <a:ext uri="{FF2B5EF4-FFF2-40B4-BE49-F238E27FC236}">
              <a16:creationId xmlns:a16="http://schemas.microsoft.com/office/drawing/2014/main" id="{991876D4-664C-46C0-AE26-92BB471F6F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346082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200</xdr:row>
      <xdr:rowOff>104775</xdr:rowOff>
    </xdr:from>
    <xdr:to>
      <xdr:col>3</xdr:col>
      <xdr:colOff>95250</xdr:colOff>
      <xdr:row>203</xdr:row>
      <xdr:rowOff>76201</xdr:rowOff>
    </xdr:to>
    <xdr:sp macro="" textlink="">
      <xdr:nvSpPr>
        <xdr:cNvPr id="29" name="Retângulo: Cantos Arredondados 28">
          <a:extLst>
            <a:ext uri="{FF2B5EF4-FFF2-40B4-BE49-F238E27FC236}">
              <a16:creationId xmlns:a16="http://schemas.microsoft.com/office/drawing/2014/main" id="{697381E4-6144-4E47-836F-AD562145C0BE}"/>
            </a:ext>
          </a:extLst>
        </xdr:cNvPr>
        <xdr:cNvSpPr/>
      </xdr:nvSpPr>
      <xdr:spPr>
        <a:xfrm>
          <a:off x="142875" y="382047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/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GUARDEI</a:t>
          </a:r>
          <a:b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RESERVA EM</a:t>
          </a:r>
          <a:b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OUTROS ATIVOS?</a:t>
          </a:r>
          <a:endParaRPr lang="en-GB" sz="1000">
            <a:effectLst/>
          </a:endParaRPr>
        </a:p>
      </xdr:txBody>
    </xdr:sp>
    <xdr:clientData/>
  </xdr:twoCellAnchor>
  <xdr:oneCellAnchor>
    <xdr:from>
      <xdr:col>1</xdr:col>
      <xdr:colOff>6244</xdr:colOff>
      <xdr:row>200</xdr:row>
      <xdr:rowOff>127748</xdr:rowOff>
    </xdr:from>
    <xdr:ext cx="246528" cy="246528"/>
    <xdr:pic>
      <xdr:nvPicPr>
        <xdr:cNvPr id="30" name="Gráfico 29" descr="Ajudar">
          <a:hlinkClick xmlns:r="http://schemas.openxmlformats.org/officeDocument/2006/relationships" r:id="rId27"/>
          <a:extLst>
            <a:ext uri="{FF2B5EF4-FFF2-40B4-BE49-F238E27FC236}">
              <a16:creationId xmlns:a16="http://schemas.microsoft.com/office/drawing/2014/main" id="{6543009A-2B7F-40C4-ABC4-08ECB5D8A9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382277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2</xdr:col>
      <xdr:colOff>319257</xdr:colOff>
      <xdr:row>77</xdr:row>
      <xdr:rowOff>126685</xdr:rowOff>
    </xdr:from>
    <xdr:ext cx="392036" cy="395999"/>
    <xdr:pic>
      <xdr:nvPicPr>
        <xdr:cNvPr id="31" name="Gráfico 30" descr="Dinheiro">
          <a:extLst>
            <a:ext uri="{FF2B5EF4-FFF2-40B4-BE49-F238E27FC236}">
              <a16:creationId xmlns:a16="http://schemas.microsoft.com/office/drawing/2014/main" id="{650C2525-47D6-47BF-AE36-CA41DAB66F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9"/>
            </a:ext>
          </a:extLst>
        </a:blip>
        <a:stretch>
          <a:fillRect/>
        </a:stretch>
      </xdr:blipFill>
      <xdr:spPr>
        <a:xfrm flipH="1">
          <a:off x="566907" y="14795185"/>
          <a:ext cx="392036" cy="395999"/>
        </a:xfrm>
        <a:prstGeom prst="rect">
          <a:avLst/>
        </a:prstGeom>
      </xdr:spPr>
    </xdr:pic>
    <xdr:clientData/>
  </xdr:oneCellAnchor>
  <xdr:oneCellAnchor>
    <xdr:from>
      <xdr:col>2</xdr:col>
      <xdr:colOff>319257</xdr:colOff>
      <xdr:row>91</xdr:row>
      <xdr:rowOff>115798</xdr:rowOff>
    </xdr:from>
    <xdr:ext cx="400936" cy="396000"/>
    <xdr:pic>
      <xdr:nvPicPr>
        <xdr:cNvPr id="32" name="Gráfico 31" descr="Dinheiro">
          <a:extLst>
            <a:ext uri="{FF2B5EF4-FFF2-40B4-BE49-F238E27FC236}">
              <a16:creationId xmlns:a16="http://schemas.microsoft.com/office/drawing/2014/main" id="{F0172212-3E1F-440D-AD86-81C61BCF73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9"/>
            </a:ext>
          </a:extLst>
        </a:blip>
        <a:stretch>
          <a:fillRect/>
        </a:stretch>
      </xdr:blipFill>
      <xdr:spPr>
        <a:xfrm flipH="1">
          <a:off x="566907" y="17451298"/>
          <a:ext cx="400936" cy="396000"/>
        </a:xfrm>
        <a:prstGeom prst="rect">
          <a:avLst/>
        </a:prstGeom>
      </xdr:spPr>
    </xdr:pic>
    <xdr:clientData/>
  </xdr:oneCellAnchor>
  <xdr:oneCellAnchor>
    <xdr:from>
      <xdr:col>2</xdr:col>
      <xdr:colOff>330528</xdr:colOff>
      <xdr:row>108</xdr:row>
      <xdr:rowOff>134224</xdr:rowOff>
    </xdr:from>
    <xdr:ext cx="392250" cy="406702"/>
    <xdr:pic>
      <xdr:nvPicPr>
        <xdr:cNvPr id="33" name="Gráfico 32" descr="Moedas">
          <a:extLst>
            <a:ext uri="{FF2B5EF4-FFF2-40B4-BE49-F238E27FC236}">
              <a16:creationId xmlns:a16="http://schemas.microsoft.com/office/drawing/2014/main" id="{D92BD826-5793-4EA4-BCFA-451B414DC2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1"/>
            </a:ext>
          </a:extLst>
        </a:blip>
        <a:stretch>
          <a:fillRect/>
        </a:stretch>
      </xdr:blipFill>
      <xdr:spPr>
        <a:xfrm flipH="1">
          <a:off x="578178" y="20708224"/>
          <a:ext cx="392250" cy="406702"/>
        </a:xfrm>
        <a:prstGeom prst="rect">
          <a:avLst/>
        </a:prstGeom>
      </xdr:spPr>
    </xdr:pic>
    <xdr:clientData/>
  </xdr:oneCellAnchor>
  <xdr:oneCellAnchor>
    <xdr:from>
      <xdr:col>2</xdr:col>
      <xdr:colOff>285751</xdr:colOff>
      <xdr:row>127</xdr:row>
      <xdr:rowOff>149678</xdr:rowOff>
    </xdr:from>
    <xdr:ext cx="392250" cy="406704"/>
    <xdr:pic>
      <xdr:nvPicPr>
        <xdr:cNvPr id="34" name="Gráfico 33" descr="Moedas">
          <a:extLst>
            <a:ext uri="{FF2B5EF4-FFF2-40B4-BE49-F238E27FC236}">
              <a16:creationId xmlns:a16="http://schemas.microsoft.com/office/drawing/2014/main" id="{3AABF6DF-BEEC-4B03-A341-4B2D84F49A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1"/>
            </a:ext>
          </a:extLst>
        </a:blip>
        <a:stretch>
          <a:fillRect/>
        </a:stretch>
      </xdr:blipFill>
      <xdr:spPr>
        <a:xfrm flipH="1">
          <a:off x="533401" y="24343178"/>
          <a:ext cx="392250" cy="406704"/>
        </a:xfrm>
        <a:prstGeom prst="rect">
          <a:avLst/>
        </a:prstGeom>
      </xdr:spPr>
    </xdr:pic>
    <xdr:clientData/>
  </xdr:oneCellAnchor>
  <xdr:oneCellAnchor>
    <xdr:from>
      <xdr:col>2</xdr:col>
      <xdr:colOff>288474</xdr:colOff>
      <xdr:row>146</xdr:row>
      <xdr:rowOff>152399</xdr:rowOff>
    </xdr:from>
    <xdr:ext cx="392250" cy="406702"/>
    <xdr:pic>
      <xdr:nvPicPr>
        <xdr:cNvPr id="35" name="Gráfico 34" descr="Moedas">
          <a:extLst>
            <a:ext uri="{FF2B5EF4-FFF2-40B4-BE49-F238E27FC236}">
              <a16:creationId xmlns:a16="http://schemas.microsoft.com/office/drawing/2014/main" id="{A187231E-E773-4DDD-94CF-800292F5E1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1"/>
            </a:ext>
          </a:extLst>
        </a:blip>
        <a:stretch>
          <a:fillRect/>
        </a:stretch>
      </xdr:blipFill>
      <xdr:spPr>
        <a:xfrm flipH="1">
          <a:off x="536124" y="27965399"/>
          <a:ext cx="392250" cy="406702"/>
        </a:xfrm>
        <a:prstGeom prst="rect">
          <a:avLst/>
        </a:prstGeom>
      </xdr:spPr>
    </xdr:pic>
    <xdr:clientData/>
  </xdr:oneCellAnchor>
  <xdr:oneCellAnchor>
    <xdr:from>
      <xdr:col>2</xdr:col>
      <xdr:colOff>300483</xdr:colOff>
      <xdr:row>163</xdr:row>
      <xdr:rowOff>123265</xdr:rowOff>
    </xdr:from>
    <xdr:ext cx="405011" cy="396000"/>
    <xdr:pic>
      <xdr:nvPicPr>
        <xdr:cNvPr id="36" name="Gráfico 35" descr="Sirene">
          <a:extLst>
            <a:ext uri="{FF2B5EF4-FFF2-40B4-BE49-F238E27FC236}">
              <a16:creationId xmlns:a16="http://schemas.microsoft.com/office/drawing/2014/main" id="{C7A5E11E-E0F8-4299-9AB2-9E47CC442A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3"/>
            </a:ext>
          </a:extLst>
        </a:blip>
        <a:stretch>
          <a:fillRect/>
        </a:stretch>
      </xdr:blipFill>
      <xdr:spPr>
        <a:xfrm>
          <a:off x="548133" y="31174765"/>
          <a:ext cx="405011" cy="396000"/>
        </a:xfrm>
        <a:prstGeom prst="rect">
          <a:avLst/>
        </a:prstGeom>
        <a:effectLst/>
      </xdr:spPr>
    </xdr:pic>
    <xdr:clientData/>
  </xdr:oneCellAnchor>
  <xdr:oneCellAnchor>
    <xdr:from>
      <xdr:col>2</xdr:col>
      <xdr:colOff>300483</xdr:colOff>
      <xdr:row>182</xdr:row>
      <xdr:rowOff>107576</xdr:rowOff>
    </xdr:from>
    <xdr:ext cx="405011" cy="400203"/>
    <xdr:pic>
      <xdr:nvPicPr>
        <xdr:cNvPr id="37" name="Gráfico 36" descr="Sirene">
          <a:extLst>
            <a:ext uri="{FF2B5EF4-FFF2-40B4-BE49-F238E27FC236}">
              <a16:creationId xmlns:a16="http://schemas.microsoft.com/office/drawing/2014/main" id="{1543246C-9326-4A18-9611-A66A5A65DA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3"/>
            </a:ext>
          </a:extLst>
        </a:blip>
        <a:stretch>
          <a:fillRect/>
        </a:stretch>
      </xdr:blipFill>
      <xdr:spPr>
        <a:xfrm>
          <a:off x="548133" y="34778576"/>
          <a:ext cx="405011" cy="400203"/>
        </a:xfrm>
        <a:prstGeom prst="rect">
          <a:avLst/>
        </a:prstGeom>
        <a:effectLst/>
      </xdr:spPr>
    </xdr:pic>
    <xdr:clientData/>
  </xdr:oneCellAnchor>
  <xdr:oneCellAnchor>
    <xdr:from>
      <xdr:col>2</xdr:col>
      <xdr:colOff>300483</xdr:colOff>
      <xdr:row>201</xdr:row>
      <xdr:rowOff>125505</xdr:rowOff>
    </xdr:from>
    <xdr:ext cx="405011" cy="396000"/>
    <xdr:pic>
      <xdr:nvPicPr>
        <xdr:cNvPr id="38" name="Gráfico 37" descr="Sirene">
          <a:extLst>
            <a:ext uri="{FF2B5EF4-FFF2-40B4-BE49-F238E27FC236}">
              <a16:creationId xmlns:a16="http://schemas.microsoft.com/office/drawing/2014/main" id="{344B403E-F147-4CE2-A805-C334890882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3"/>
            </a:ext>
          </a:extLst>
        </a:blip>
        <a:stretch>
          <a:fillRect/>
        </a:stretch>
      </xdr:blipFill>
      <xdr:spPr>
        <a:xfrm>
          <a:off x="548133" y="38416005"/>
          <a:ext cx="405011" cy="396000"/>
        </a:xfrm>
        <a:prstGeom prst="rect">
          <a:avLst/>
        </a:prstGeom>
        <a:effectLst/>
      </xdr:spPr>
    </xdr:pic>
    <xdr:clientData/>
  </xdr:oneCellAnchor>
  <xdr:oneCellAnchor>
    <xdr:from>
      <xdr:col>31</xdr:col>
      <xdr:colOff>190500</xdr:colOff>
      <xdr:row>1</xdr:row>
      <xdr:rowOff>141194</xdr:rowOff>
    </xdr:from>
    <xdr:ext cx="342000" cy="341999"/>
    <xdr:pic>
      <xdr:nvPicPr>
        <xdr:cNvPr id="39" name="Gráfico 38" descr="Virar calendário">
          <a:hlinkClick xmlns:r="http://schemas.openxmlformats.org/officeDocument/2006/relationships" r:id="rId34"/>
          <a:extLst>
            <a:ext uri="{FF2B5EF4-FFF2-40B4-BE49-F238E27FC236}">
              <a16:creationId xmlns:a16="http://schemas.microsoft.com/office/drawing/2014/main" id="{1C1598F0-9CA5-47A4-BA7C-FF54E1CF0A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6"/>
            </a:ext>
          </a:extLst>
        </a:blip>
        <a:stretch>
          <a:fillRect/>
        </a:stretch>
      </xdr:blipFill>
      <xdr:spPr>
        <a:xfrm>
          <a:off x="12734925" y="331694"/>
          <a:ext cx="342000" cy="341999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26</xdr:col>
      <xdr:colOff>324971</xdr:colOff>
      <xdr:row>2</xdr:row>
      <xdr:rowOff>174812</xdr:rowOff>
    </xdr:from>
    <xdr:to>
      <xdr:col>28</xdr:col>
      <xdr:colOff>22412</xdr:colOff>
      <xdr:row>2</xdr:row>
      <xdr:rowOff>174812</xdr:rowOff>
    </xdr:to>
    <xdr:cxnSp macro="">
      <xdr:nvCxnSpPr>
        <xdr:cNvPr id="40" name="Conector reto 39">
          <a:extLst>
            <a:ext uri="{FF2B5EF4-FFF2-40B4-BE49-F238E27FC236}">
              <a16:creationId xmlns:a16="http://schemas.microsoft.com/office/drawing/2014/main" id="{C8EC910D-B232-40FF-BA22-4B9FE62A6387}"/>
            </a:ext>
          </a:extLst>
        </xdr:cNvPr>
        <xdr:cNvCxnSpPr/>
      </xdr:nvCxnSpPr>
      <xdr:spPr>
        <a:xfrm>
          <a:off x="11012021" y="555812"/>
          <a:ext cx="440391" cy="0"/>
        </a:xfrm>
        <a:prstGeom prst="line">
          <a:avLst/>
        </a:prstGeom>
        <a:ln>
          <a:solidFill>
            <a:srgbClr val="FFEBAB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331694</xdr:colOff>
      <xdr:row>2</xdr:row>
      <xdr:rowOff>174812</xdr:rowOff>
    </xdr:from>
    <xdr:to>
      <xdr:col>31</xdr:col>
      <xdr:colOff>29135</xdr:colOff>
      <xdr:row>2</xdr:row>
      <xdr:rowOff>174812</xdr:rowOff>
    </xdr:to>
    <xdr:cxnSp macro="">
      <xdr:nvCxnSpPr>
        <xdr:cNvPr id="41" name="Conector reto 40">
          <a:extLst>
            <a:ext uri="{FF2B5EF4-FFF2-40B4-BE49-F238E27FC236}">
              <a16:creationId xmlns:a16="http://schemas.microsoft.com/office/drawing/2014/main" id="{47F24A1A-053B-45B2-AFDD-8EC1670CE180}"/>
            </a:ext>
          </a:extLst>
        </xdr:cNvPr>
        <xdr:cNvCxnSpPr/>
      </xdr:nvCxnSpPr>
      <xdr:spPr>
        <a:xfrm>
          <a:off x="12133169" y="555812"/>
          <a:ext cx="440391" cy="0"/>
        </a:xfrm>
        <a:prstGeom prst="line">
          <a:avLst/>
        </a:prstGeom>
        <a:ln>
          <a:solidFill>
            <a:srgbClr val="FFEBAB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0</xdr:col>
      <xdr:colOff>142210</xdr:colOff>
      <xdr:row>8</xdr:row>
      <xdr:rowOff>121771</xdr:rowOff>
    </xdr:from>
    <xdr:ext cx="250264" cy="246528"/>
    <xdr:pic>
      <xdr:nvPicPr>
        <xdr:cNvPr id="43" name="Gráfico 42" descr="Ajudar">
          <a:hlinkClick xmlns:r="http://schemas.openxmlformats.org/officeDocument/2006/relationships" r:id="rId37"/>
          <a:extLst>
            <a:ext uri="{FF2B5EF4-FFF2-40B4-BE49-F238E27FC236}">
              <a16:creationId xmlns:a16="http://schemas.microsoft.com/office/drawing/2014/main" id="{D0E5B06F-601D-4B0A-8135-6B7124C65C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2210" y="1645771"/>
          <a:ext cx="250264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35</xdr:col>
      <xdr:colOff>185459</xdr:colOff>
      <xdr:row>2</xdr:row>
      <xdr:rowOff>145676</xdr:rowOff>
    </xdr:from>
    <xdr:ext cx="429353" cy="424356"/>
    <xdr:pic>
      <xdr:nvPicPr>
        <xdr:cNvPr id="44" name="Gráfico 43" descr="Seta Reta">
          <a:hlinkClick xmlns:r="http://schemas.openxmlformats.org/officeDocument/2006/relationships" r:id="rId38" tooltip="PRÓXIMO MÊS"/>
          <a:extLst>
            <a:ext uri="{FF2B5EF4-FFF2-40B4-BE49-F238E27FC236}">
              <a16:creationId xmlns:a16="http://schemas.microsoft.com/office/drawing/2014/main" id="{9B8A7073-CC93-4EA1-98A7-2BBB4513B4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0"/>
            </a:ext>
          </a:extLst>
        </a:blip>
        <a:stretch>
          <a:fillRect/>
        </a:stretch>
      </xdr:blipFill>
      <xdr:spPr>
        <a:xfrm rot="10800000">
          <a:off x="13844309" y="526676"/>
          <a:ext cx="429353" cy="424356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35</xdr:col>
      <xdr:colOff>156882</xdr:colOff>
      <xdr:row>1</xdr:row>
      <xdr:rowOff>67235</xdr:rowOff>
    </xdr:from>
    <xdr:ext cx="426552" cy="424356"/>
    <xdr:pic>
      <xdr:nvPicPr>
        <xdr:cNvPr id="45" name="Gráfico 44" descr="Seta Reta">
          <a:hlinkClick xmlns:r="http://schemas.openxmlformats.org/officeDocument/2006/relationships" r:id="rId41" tooltip="MÊS ANTERIOR"/>
          <a:extLst>
            <a:ext uri="{FF2B5EF4-FFF2-40B4-BE49-F238E27FC236}">
              <a16:creationId xmlns:a16="http://schemas.microsoft.com/office/drawing/2014/main" id="{19299146-7986-4A64-B38D-CF653F58C2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0"/>
            </a:ext>
          </a:extLst>
        </a:blip>
        <a:stretch>
          <a:fillRect/>
        </a:stretch>
      </xdr:blipFill>
      <xdr:spPr>
        <a:xfrm>
          <a:off x="13815732" y="257735"/>
          <a:ext cx="426552" cy="424356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34</xdr:col>
      <xdr:colOff>0</xdr:colOff>
      <xdr:row>5</xdr:row>
      <xdr:rowOff>0</xdr:rowOff>
    </xdr:from>
    <xdr:to>
      <xdr:col>35</xdr:col>
      <xdr:colOff>549089</xdr:colOff>
      <xdr:row>6</xdr:row>
      <xdr:rowOff>11207</xdr:rowOff>
    </xdr:to>
    <xdr:sp macro="" textlink="">
      <xdr:nvSpPr>
        <xdr:cNvPr id="46" name="Balão de Fala: Retângulo com Cantos Arredondados 45">
          <a:extLst>
            <a:ext uri="{FF2B5EF4-FFF2-40B4-BE49-F238E27FC236}">
              <a16:creationId xmlns:a16="http://schemas.microsoft.com/office/drawing/2014/main" id="{ADDDCA61-BD85-4B55-97A7-9366854EBC69}"/>
            </a:ext>
          </a:extLst>
        </xdr:cNvPr>
        <xdr:cNvSpPr/>
      </xdr:nvSpPr>
      <xdr:spPr>
        <a:xfrm>
          <a:off x="13603941" y="795618"/>
          <a:ext cx="549089" cy="179295"/>
        </a:xfrm>
        <a:prstGeom prst="wedgeRoundRectCallout">
          <a:avLst>
            <a:gd name="adj1" fmla="val -18889"/>
            <a:gd name="adj2" fmla="val 13747"/>
            <a:gd name="adj3" fmla="val 16667"/>
          </a:avLst>
        </a:prstGeom>
        <a:solidFill>
          <a:srgbClr val="7030A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tIns="28800" bIns="36000" rtlCol="0" anchor="ctr"/>
        <a:lstStyle/>
        <a:p>
          <a:pPr algn="ctr"/>
          <a:r>
            <a:rPr lang="en-GB" sz="900"/>
            <a:t>DIAS</a:t>
          </a: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153895</xdr:colOff>
      <xdr:row>54</xdr:row>
      <xdr:rowOff>78440</xdr:rowOff>
    </xdr:from>
    <xdr:to>
      <xdr:col>3</xdr:col>
      <xdr:colOff>99733</xdr:colOff>
      <xdr:row>57</xdr:row>
      <xdr:rowOff>64621</xdr:rowOff>
    </xdr:to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CE0EC866-636D-47DD-B5EB-A1167A96B838}"/>
            </a:ext>
          </a:extLst>
        </xdr:cNvPr>
        <xdr:cNvSpPr/>
      </xdr:nvSpPr>
      <xdr:spPr>
        <a:xfrm>
          <a:off x="144370" y="10365440"/>
          <a:ext cx="2155638" cy="557681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REDUZI</a:t>
          </a:r>
          <a:br>
            <a:rPr lang="en-GB" sz="1000" b="1"/>
          </a:br>
          <a:r>
            <a:rPr lang="en-GB" sz="1000" b="1"/>
            <a:t>DESPESAS</a:t>
          </a:r>
          <a:br>
            <a:rPr lang="en-GB" sz="1000" b="1"/>
          </a:br>
          <a:r>
            <a:rPr lang="en-GB" sz="1000" b="1"/>
            <a:t>VARIÁVEIS?</a:t>
          </a:r>
        </a:p>
      </xdr:txBody>
    </xdr:sp>
    <xdr:clientData/>
  </xdr:twoCellAnchor>
  <xdr:twoCellAnchor>
    <xdr:from>
      <xdr:col>0</xdr:col>
      <xdr:colOff>132337</xdr:colOff>
      <xdr:row>8</xdr:row>
      <xdr:rowOff>104775</xdr:rowOff>
    </xdr:from>
    <xdr:to>
      <xdr:col>3</xdr:col>
      <xdr:colOff>77908</xdr:colOff>
      <xdr:row>11</xdr:row>
      <xdr:rowOff>76201</xdr:rowOff>
    </xdr:to>
    <xdr:sp macro="" textlink="">
      <xdr:nvSpPr>
        <xdr:cNvPr id="3" name="Retângulo: Cantos Arredondados 2">
          <a:extLst>
            <a:ext uri="{FF2B5EF4-FFF2-40B4-BE49-F238E27FC236}">
              <a16:creationId xmlns:a16="http://schemas.microsoft.com/office/drawing/2014/main" id="{D8A2055D-3141-475D-B282-2AC03C555BDA}"/>
            </a:ext>
          </a:extLst>
        </xdr:cNvPr>
        <xdr:cNvSpPr/>
      </xdr:nvSpPr>
      <xdr:spPr>
        <a:xfrm>
          <a:off x="132337" y="1628775"/>
          <a:ext cx="2145846" cy="542926"/>
        </a:xfrm>
        <a:prstGeom prst="roundRect">
          <a:avLst>
            <a:gd name="adj" fmla="val 7028"/>
          </a:avLst>
        </a:prstGeom>
        <a:solidFill>
          <a:srgbClr val="007CA8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CONSEGUI</a:t>
          </a:r>
          <a:br>
            <a:rPr lang="en-GB" sz="1000" b="1"/>
          </a:br>
          <a:r>
            <a:rPr lang="en-GB" sz="1000" b="1"/>
            <a:t>JUNTAR</a:t>
          </a:r>
          <a:br>
            <a:rPr lang="en-GB" sz="1000" b="1"/>
          </a:br>
          <a:r>
            <a:rPr lang="en-GB" sz="1000" b="1"/>
            <a:t>DINHEIRO?</a:t>
          </a:r>
        </a:p>
      </xdr:txBody>
    </xdr:sp>
    <xdr:clientData/>
  </xdr:twoCellAnchor>
  <xdr:twoCellAnchor>
    <xdr:from>
      <xdr:col>0</xdr:col>
      <xdr:colOff>132337</xdr:colOff>
      <xdr:row>19</xdr:row>
      <xdr:rowOff>104775</xdr:rowOff>
    </xdr:from>
    <xdr:to>
      <xdr:col>3</xdr:col>
      <xdr:colOff>77908</xdr:colOff>
      <xdr:row>22</xdr:row>
      <xdr:rowOff>57151</xdr:rowOff>
    </xdr:to>
    <xdr:sp macro="" textlink="">
      <xdr:nvSpPr>
        <xdr:cNvPr id="4" name="Retângulo: Cantos Arredondados 3">
          <a:extLst>
            <a:ext uri="{FF2B5EF4-FFF2-40B4-BE49-F238E27FC236}">
              <a16:creationId xmlns:a16="http://schemas.microsoft.com/office/drawing/2014/main" id="{79201843-548B-4C81-9671-AE22C7D2CEC4}"/>
            </a:ext>
          </a:extLst>
        </xdr:cNvPr>
        <xdr:cNvSpPr/>
      </xdr:nvSpPr>
      <xdr:spPr>
        <a:xfrm>
          <a:off x="132337" y="3724275"/>
          <a:ext cx="2145846" cy="523876"/>
        </a:xfrm>
        <a:prstGeom prst="roundRect">
          <a:avLst>
            <a:gd name="adj" fmla="val 7028"/>
          </a:avLst>
        </a:prstGeom>
        <a:solidFill>
          <a:srgbClr val="007CA8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CONSEGUI</a:t>
          </a:r>
          <a:br>
            <a:rPr lang="en-GB" sz="1000" b="1"/>
          </a:br>
          <a:r>
            <a:rPr lang="en-GB" sz="1000" b="1"/>
            <a:t>GUARDAR E</a:t>
          </a:r>
          <a:br>
            <a:rPr lang="en-GB" sz="1000" b="1"/>
          </a:br>
          <a:r>
            <a:rPr lang="en-GB" sz="1000" b="1"/>
            <a:t>INVESTIR?</a:t>
          </a:r>
        </a:p>
      </xdr:txBody>
    </xdr:sp>
    <xdr:clientData/>
  </xdr:twoCellAnchor>
  <xdr:oneCellAnchor>
    <xdr:from>
      <xdr:col>2</xdr:col>
      <xdr:colOff>282383</xdr:colOff>
      <xdr:row>20</xdr:row>
      <xdr:rowOff>118215</xdr:rowOff>
    </xdr:from>
    <xdr:ext cx="399499" cy="396000"/>
    <xdr:pic>
      <xdr:nvPicPr>
        <xdr:cNvPr id="5" name="Gráfico 4" descr="Cofrinho">
          <a:extLst>
            <a:ext uri="{FF2B5EF4-FFF2-40B4-BE49-F238E27FC236}">
              <a16:creationId xmlns:a16="http://schemas.microsoft.com/office/drawing/2014/main" id="{6F4A6753-B69B-4296-9382-D1CABD44E1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530033" y="3928215"/>
          <a:ext cx="399499" cy="396000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2</xdr:col>
      <xdr:colOff>283926</xdr:colOff>
      <xdr:row>9</xdr:row>
      <xdr:rowOff>151343</xdr:rowOff>
    </xdr:from>
    <xdr:ext cx="396412" cy="396001"/>
    <xdr:pic>
      <xdr:nvPicPr>
        <xdr:cNvPr id="6" name="Gráfico 5" descr="Carteira">
          <a:extLst>
            <a:ext uri="{FF2B5EF4-FFF2-40B4-BE49-F238E27FC236}">
              <a16:creationId xmlns:a16="http://schemas.microsoft.com/office/drawing/2014/main" id="{14392AB1-7E5D-468E-A045-38AC3602F2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531576" y="1865843"/>
          <a:ext cx="396412" cy="396001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0</xdr:col>
      <xdr:colOff>145864</xdr:colOff>
      <xdr:row>31</xdr:row>
      <xdr:rowOff>89647</xdr:rowOff>
    </xdr:from>
    <xdr:to>
      <xdr:col>3</xdr:col>
      <xdr:colOff>91702</xdr:colOff>
      <xdr:row>34</xdr:row>
      <xdr:rowOff>79002</xdr:rowOff>
    </xdr:to>
    <xdr:sp macro="" textlink="">
      <xdr:nvSpPr>
        <xdr:cNvPr id="7" name="Retângulo: Cantos Arredondados 6">
          <a:extLst>
            <a:ext uri="{FF2B5EF4-FFF2-40B4-BE49-F238E27FC236}">
              <a16:creationId xmlns:a16="http://schemas.microsoft.com/office/drawing/2014/main" id="{CEAE4102-31AC-4A36-B509-893DC84A4B3B}"/>
            </a:ext>
          </a:extLst>
        </xdr:cNvPr>
        <xdr:cNvSpPr/>
      </xdr:nvSpPr>
      <xdr:spPr>
        <a:xfrm>
          <a:off x="145864" y="5995147"/>
          <a:ext cx="2146113" cy="560855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REDUZI</a:t>
          </a:r>
          <a:br>
            <a:rPr lang="en-GB" sz="1000" b="1"/>
          </a:br>
          <a:r>
            <a:rPr lang="en-GB" sz="1000" b="1"/>
            <a:t>DESPESAS</a:t>
          </a:r>
          <a:br>
            <a:rPr lang="en-GB" sz="1000" b="1"/>
          </a:br>
          <a:r>
            <a:rPr lang="en-GB" sz="1000" b="1"/>
            <a:t>F</a:t>
          </a:r>
          <a:r>
            <a:rPr lang="en-GB" sz="1000" b="1" baseline="0"/>
            <a:t>IXAS?</a:t>
          </a:r>
          <a:endParaRPr lang="en-GB" sz="1000" b="1"/>
        </a:p>
      </xdr:txBody>
    </xdr:sp>
    <xdr:clientData/>
  </xdr:twoCellAnchor>
  <xdr:oneCellAnchor>
    <xdr:from>
      <xdr:col>2</xdr:col>
      <xdr:colOff>315419</xdr:colOff>
      <xdr:row>32</xdr:row>
      <xdr:rowOff>144489</xdr:rowOff>
    </xdr:from>
    <xdr:ext cx="394594" cy="395999"/>
    <xdr:pic>
      <xdr:nvPicPr>
        <xdr:cNvPr id="8" name="Gráfico 7" descr="Eletricista">
          <a:extLst>
            <a:ext uri="{FF2B5EF4-FFF2-40B4-BE49-F238E27FC236}">
              <a16:creationId xmlns:a16="http://schemas.microsoft.com/office/drawing/2014/main" id="{C697123E-1754-4B5C-869F-DF39C3C31C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6"/>
            </a:ext>
          </a:extLst>
        </a:blip>
        <a:stretch>
          <a:fillRect/>
        </a:stretch>
      </xdr:blipFill>
      <xdr:spPr>
        <a:xfrm>
          <a:off x="563069" y="6240489"/>
          <a:ext cx="394594" cy="395999"/>
        </a:xfrm>
        <a:prstGeom prst="rect">
          <a:avLst/>
        </a:prstGeom>
        <a:effectLst/>
      </xdr:spPr>
    </xdr:pic>
    <xdr:clientData/>
  </xdr:oneCellAnchor>
  <xdr:oneCellAnchor>
    <xdr:from>
      <xdr:col>2</xdr:col>
      <xdr:colOff>311917</xdr:colOff>
      <xdr:row>55</xdr:row>
      <xdr:rowOff>132264</xdr:rowOff>
    </xdr:from>
    <xdr:ext cx="401599" cy="395999"/>
    <xdr:pic>
      <xdr:nvPicPr>
        <xdr:cNvPr id="9" name="Gráfico 8" descr="Artista">
          <a:extLst>
            <a:ext uri="{FF2B5EF4-FFF2-40B4-BE49-F238E27FC236}">
              <a16:creationId xmlns:a16="http://schemas.microsoft.com/office/drawing/2014/main" id="{B1C3AE5C-773A-4DD3-B22C-56352B1105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8"/>
            </a:ext>
          </a:extLst>
        </a:blip>
        <a:stretch>
          <a:fillRect/>
        </a:stretch>
      </xdr:blipFill>
      <xdr:spPr>
        <a:xfrm>
          <a:off x="559567" y="10609764"/>
          <a:ext cx="401599" cy="395999"/>
        </a:xfrm>
        <a:prstGeom prst="rect">
          <a:avLst/>
        </a:prstGeom>
        <a:effectLst/>
      </xdr:spPr>
    </xdr:pic>
    <xdr:clientData/>
  </xdr:oneCellAnchor>
  <xdr:twoCellAnchor>
    <xdr:from>
      <xdr:col>1</xdr:col>
      <xdr:colOff>0</xdr:colOff>
      <xdr:row>76</xdr:row>
      <xdr:rowOff>104775</xdr:rowOff>
    </xdr:from>
    <xdr:to>
      <xdr:col>3</xdr:col>
      <xdr:colOff>95250</xdr:colOff>
      <xdr:row>79</xdr:row>
      <xdr:rowOff>76201</xdr:rowOff>
    </xdr:to>
    <xdr:sp macro="" textlink="">
      <xdr:nvSpPr>
        <xdr:cNvPr id="10" name="Retângulo: Cantos Arredondados 9">
          <a:extLst>
            <a:ext uri="{FF2B5EF4-FFF2-40B4-BE49-F238E27FC236}">
              <a16:creationId xmlns:a16="http://schemas.microsoft.com/office/drawing/2014/main" id="{DC20CD79-5A05-4B5B-AA1B-392A95A7F35D}"/>
            </a:ext>
          </a:extLst>
        </xdr:cNvPr>
        <xdr:cNvSpPr/>
      </xdr:nvSpPr>
      <xdr:spPr>
        <a:xfrm>
          <a:off x="142875" y="145827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AUMENTEI</a:t>
          </a:r>
          <a:br>
            <a:rPr lang="en-GB" sz="1000" b="1"/>
          </a:br>
          <a:r>
            <a:rPr lang="en-GB" sz="1000" b="1"/>
            <a:t>GANHOS</a:t>
          </a:r>
          <a:br>
            <a:rPr lang="en-GB" sz="1000" b="1"/>
          </a:br>
          <a:r>
            <a:rPr lang="en-GB" sz="1000" b="1"/>
            <a:t>FIXOS?</a:t>
          </a:r>
        </a:p>
      </xdr:txBody>
    </xdr:sp>
    <xdr:clientData/>
  </xdr:twoCellAnchor>
  <xdr:oneCellAnchor>
    <xdr:from>
      <xdr:col>28</xdr:col>
      <xdr:colOff>211792</xdr:colOff>
      <xdr:row>1</xdr:row>
      <xdr:rowOff>166407</xdr:rowOff>
    </xdr:from>
    <xdr:ext cx="310402" cy="310039"/>
    <xdr:pic>
      <xdr:nvPicPr>
        <xdr:cNvPr id="11" name="Gráfico 10" descr="Impressão digital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36E7B6D4-2224-42B1-9905-FC4C353228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1"/>
            </a:ext>
          </a:extLst>
        </a:blip>
        <a:stretch>
          <a:fillRect/>
        </a:stretch>
      </xdr:blipFill>
      <xdr:spPr>
        <a:xfrm>
          <a:off x="11641792" y="356907"/>
          <a:ext cx="310402" cy="310039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25</xdr:col>
      <xdr:colOff>188660</xdr:colOff>
      <xdr:row>1</xdr:row>
      <xdr:rowOff>129989</xdr:rowOff>
    </xdr:from>
    <xdr:ext cx="369173" cy="364524"/>
    <xdr:pic>
      <xdr:nvPicPr>
        <xdr:cNvPr id="12" name="Gráfico 11" descr="Trancar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id="{C8795D85-3F18-41AB-8C9C-4B3E0E5045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4"/>
            </a:ext>
          </a:extLst>
        </a:blip>
        <a:stretch>
          <a:fillRect/>
        </a:stretch>
      </xdr:blipFill>
      <xdr:spPr>
        <a:xfrm>
          <a:off x="10504235" y="320489"/>
          <a:ext cx="369173" cy="364524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1</xdr:col>
      <xdr:colOff>1017</xdr:colOff>
      <xdr:row>19</xdr:row>
      <xdr:rowOff>126254</xdr:rowOff>
    </xdr:from>
    <xdr:ext cx="250264" cy="246528"/>
    <xdr:pic>
      <xdr:nvPicPr>
        <xdr:cNvPr id="13" name="Gráfico 12" descr="Ajudar">
          <a:hlinkClick xmlns:r="http://schemas.openxmlformats.org/officeDocument/2006/relationships" r:id="rId15"/>
          <a:extLst>
            <a:ext uri="{FF2B5EF4-FFF2-40B4-BE49-F238E27FC236}">
              <a16:creationId xmlns:a16="http://schemas.microsoft.com/office/drawing/2014/main" id="{DADDF9C8-75CA-4ED4-8FA0-53E31DAC65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3892" y="3745754"/>
          <a:ext cx="250264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1</xdr:col>
      <xdr:colOff>15211</xdr:colOff>
      <xdr:row>31</xdr:row>
      <xdr:rowOff>114300</xdr:rowOff>
    </xdr:from>
    <xdr:ext cx="246528" cy="246528"/>
    <xdr:pic>
      <xdr:nvPicPr>
        <xdr:cNvPr id="14" name="Gráfico 13" descr="Ajudar">
          <a:hlinkClick xmlns:r="http://schemas.openxmlformats.org/officeDocument/2006/relationships" r:id="rId18"/>
          <a:extLst>
            <a:ext uri="{FF2B5EF4-FFF2-40B4-BE49-F238E27FC236}">
              <a16:creationId xmlns:a16="http://schemas.microsoft.com/office/drawing/2014/main" id="{975C97B0-8E78-4E2B-B042-D53804C5CE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58086" y="6019800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1</xdr:col>
      <xdr:colOff>10727</xdr:colOff>
      <xdr:row>54</xdr:row>
      <xdr:rowOff>98613</xdr:rowOff>
    </xdr:from>
    <xdr:ext cx="246528" cy="246529"/>
    <xdr:pic>
      <xdr:nvPicPr>
        <xdr:cNvPr id="15" name="Gráfico 14" descr="Ajudar">
          <a:hlinkClick xmlns:r="http://schemas.openxmlformats.org/officeDocument/2006/relationships" r:id="rId19"/>
          <a:extLst>
            <a:ext uri="{FF2B5EF4-FFF2-40B4-BE49-F238E27FC236}">
              <a16:creationId xmlns:a16="http://schemas.microsoft.com/office/drawing/2014/main" id="{485D4AFB-5362-4E9E-B442-AB40A4A806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53602" y="10385613"/>
          <a:ext cx="246528" cy="246529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1</xdr:col>
      <xdr:colOff>6244</xdr:colOff>
      <xdr:row>76</xdr:row>
      <xdr:rowOff>127748</xdr:rowOff>
    </xdr:from>
    <xdr:ext cx="246528" cy="246528"/>
    <xdr:pic>
      <xdr:nvPicPr>
        <xdr:cNvPr id="16" name="Gráfico 15" descr="Ajudar">
          <a:hlinkClick xmlns:r="http://schemas.openxmlformats.org/officeDocument/2006/relationships" r:id="rId20"/>
          <a:extLst>
            <a:ext uri="{FF2B5EF4-FFF2-40B4-BE49-F238E27FC236}">
              <a16:creationId xmlns:a16="http://schemas.microsoft.com/office/drawing/2014/main" id="{A28D7F03-798C-4DD6-953F-B116A610E3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146057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90</xdr:row>
      <xdr:rowOff>104775</xdr:rowOff>
    </xdr:from>
    <xdr:to>
      <xdr:col>3</xdr:col>
      <xdr:colOff>95250</xdr:colOff>
      <xdr:row>93</xdr:row>
      <xdr:rowOff>76201</xdr:rowOff>
    </xdr:to>
    <xdr:sp macro="" textlink="">
      <xdr:nvSpPr>
        <xdr:cNvPr id="17" name="Retângulo: Cantos Arredondados 16">
          <a:extLst>
            <a:ext uri="{FF2B5EF4-FFF2-40B4-BE49-F238E27FC236}">
              <a16:creationId xmlns:a16="http://schemas.microsoft.com/office/drawing/2014/main" id="{209F7434-33D6-4DE4-8F01-81C0EE898E63}"/>
            </a:ext>
          </a:extLst>
        </xdr:cNvPr>
        <xdr:cNvSpPr/>
      </xdr:nvSpPr>
      <xdr:spPr>
        <a:xfrm>
          <a:off x="142875" y="172497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AUMENTEI</a:t>
          </a:r>
          <a:br>
            <a:rPr lang="en-GB" sz="1000" b="1"/>
          </a:br>
          <a:r>
            <a:rPr lang="en-GB" sz="1000" b="1"/>
            <a:t>GANHOS</a:t>
          </a:r>
          <a:br>
            <a:rPr lang="en-GB" sz="1000" b="1"/>
          </a:br>
          <a:r>
            <a:rPr lang="en-GB" sz="1000" b="1"/>
            <a:t>VARIÁVEIS?</a:t>
          </a:r>
        </a:p>
      </xdr:txBody>
    </xdr:sp>
    <xdr:clientData/>
  </xdr:twoCellAnchor>
  <xdr:oneCellAnchor>
    <xdr:from>
      <xdr:col>1</xdr:col>
      <xdr:colOff>6244</xdr:colOff>
      <xdr:row>90</xdr:row>
      <xdr:rowOff>127748</xdr:rowOff>
    </xdr:from>
    <xdr:ext cx="246528" cy="246528"/>
    <xdr:pic>
      <xdr:nvPicPr>
        <xdr:cNvPr id="18" name="Gráfico 17" descr="Ajudar">
          <a:hlinkClick xmlns:r="http://schemas.openxmlformats.org/officeDocument/2006/relationships" r:id="rId21"/>
          <a:extLst>
            <a:ext uri="{FF2B5EF4-FFF2-40B4-BE49-F238E27FC236}">
              <a16:creationId xmlns:a16="http://schemas.microsoft.com/office/drawing/2014/main" id="{2D78F34E-1FB8-435A-90AF-CA902B1015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172727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107</xdr:row>
      <xdr:rowOff>104775</xdr:rowOff>
    </xdr:from>
    <xdr:to>
      <xdr:col>3</xdr:col>
      <xdr:colOff>95250</xdr:colOff>
      <xdr:row>110</xdr:row>
      <xdr:rowOff>76201</xdr:rowOff>
    </xdr:to>
    <xdr:sp macro="" textlink="">
      <xdr:nvSpPr>
        <xdr:cNvPr id="19" name="Retângulo: Cantos Arredondados 18">
          <a:extLst>
            <a:ext uri="{FF2B5EF4-FFF2-40B4-BE49-F238E27FC236}">
              <a16:creationId xmlns:a16="http://schemas.microsoft.com/office/drawing/2014/main" id="{50D0D68B-25AE-4056-9DC4-985F368FE7DA}"/>
            </a:ext>
          </a:extLst>
        </xdr:cNvPr>
        <xdr:cNvSpPr/>
      </xdr:nvSpPr>
      <xdr:spPr>
        <a:xfrm>
          <a:off x="142875" y="204882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INVESTI</a:t>
          </a:r>
          <a:r>
            <a:rPr lang="en-GB" sz="1000" b="1" baseline="0"/>
            <a:t> EM</a:t>
          </a:r>
          <a:br>
            <a:rPr lang="en-GB" sz="1000" b="1"/>
          </a:br>
          <a:r>
            <a:rPr lang="en-GB" sz="1000" b="1"/>
            <a:t>RENDA</a:t>
          </a:r>
          <a:br>
            <a:rPr lang="en-GB" sz="1000" b="1"/>
          </a:br>
          <a:r>
            <a:rPr lang="en-GB" sz="1000" b="1" baseline="0"/>
            <a:t>FIXA?</a:t>
          </a:r>
          <a:endParaRPr lang="en-GB" sz="1000" b="1"/>
        </a:p>
      </xdr:txBody>
    </xdr:sp>
    <xdr:clientData/>
  </xdr:twoCellAnchor>
  <xdr:oneCellAnchor>
    <xdr:from>
      <xdr:col>1</xdr:col>
      <xdr:colOff>6244</xdr:colOff>
      <xdr:row>107</xdr:row>
      <xdr:rowOff>127748</xdr:rowOff>
    </xdr:from>
    <xdr:ext cx="246528" cy="246528"/>
    <xdr:pic>
      <xdr:nvPicPr>
        <xdr:cNvPr id="20" name="Gráfico 19" descr="Ajudar">
          <a:hlinkClick xmlns:r="http://schemas.openxmlformats.org/officeDocument/2006/relationships" r:id="rId22"/>
          <a:extLst>
            <a:ext uri="{FF2B5EF4-FFF2-40B4-BE49-F238E27FC236}">
              <a16:creationId xmlns:a16="http://schemas.microsoft.com/office/drawing/2014/main" id="{3ADC6290-33C6-42A3-8114-CB4251F10E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205112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126</xdr:row>
      <xdr:rowOff>104775</xdr:rowOff>
    </xdr:from>
    <xdr:to>
      <xdr:col>3</xdr:col>
      <xdr:colOff>95250</xdr:colOff>
      <xdr:row>129</xdr:row>
      <xdr:rowOff>76201</xdr:rowOff>
    </xdr:to>
    <xdr:sp macro="" textlink="">
      <xdr:nvSpPr>
        <xdr:cNvPr id="21" name="Retângulo: Cantos Arredondados 20">
          <a:extLst>
            <a:ext uri="{FF2B5EF4-FFF2-40B4-BE49-F238E27FC236}">
              <a16:creationId xmlns:a16="http://schemas.microsoft.com/office/drawing/2014/main" id="{ADCD776C-8A9D-4DCE-A2B4-1A509421C3D1}"/>
            </a:ext>
          </a:extLst>
        </xdr:cNvPr>
        <xdr:cNvSpPr/>
      </xdr:nvSpPr>
      <xdr:spPr>
        <a:xfrm>
          <a:off x="142875" y="241077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INVESTI EM</a:t>
          </a:r>
          <a:br>
            <a:rPr lang="en-GB" sz="1000" b="1"/>
          </a:br>
          <a:r>
            <a:rPr lang="en-GB" sz="1000" b="1"/>
            <a:t>RENDA </a:t>
          </a:r>
          <a:r>
            <a:rPr lang="en-GB" sz="1000" b="1" baseline="0"/>
            <a:t>VARIÁVEL?</a:t>
          </a:r>
          <a:endParaRPr lang="en-GB" sz="1000" b="1"/>
        </a:p>
      </xdr:txBody>
    </xdr:sp>
    <xdr:clientData/>
  </xdr:twoCellAnchor>
  <xdr:oneCellAnchor>
    <xdr:from>
      <xdr:col>1</xdr:col>
      <xdr:colOff>6244</xdr:colOff>
      <xdr:row>126</xdr:row>
      <xdr:rowOff>127748</xdr:rowOff>
    </xdr:from>
    <xdr:ext cx="246528" cy="246528"/>
    <xdr:pic>
      <xdr:nvPicPr>
        <xdr:cNvPr id="22" name="Gráfico 21" descr="Ajudar">
          <a:hlinkClick xmlns:r="http://schemas.openxmlformats.org/officeDocument/2006/relationships" r:id="rId23"/>
          <a:extLst>
            <a:ext uri="{FF2B5EF4-FFF2-40B4-BE49-F238E27FC236}">
              <a16:creationId xmlns:a16="http://schemas.microsoft.com/office/drawing/2014/main" id="{C8547359-FD63-4847-8197-449DB36D84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241307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145</xdr:row>
      <xdr:rowOff>104775</xdr:rowOff>
    </xdr:from>
    <xdr:to>
      <xdr:col>3</xdr:col>
      <xdr:colOff>95250</xdr:colOff>
      <xdr:row>148</xdr:row>
      <xdr:rowOff>76201</xdr:rowOff>
    </xdr:to>
    <xdr:sp macro="" textlink="">
      <xdr:nvSpPr>
        <xdr:cNvPr id="23" name="Retângulo: Cantos Arredondados 22">
          <a:extLst>
            <a:ext uri="{FF2B5EF4-FFF2-40B4-BE49-F238E27FC236}">
              <a16:creationId xmlns:a16="http://schemas.microsoft.com/office/drawing/2014/main" id="{329EDDCC-1267-4084-A0DD-45B3C4FCAC94}"/>
            </a:ext>
          </a:extLst>
        </xdr:cNvPr>
        <xdr:cNvSpPr/>
      </xdr:nvSpPr>
      <xdr:spPr>
        <a:xfrm>
          <a:off x="142875" y="277272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INVESTI</a:t>
          </a:r>
          <a:r>
            <a:rPr lang="en-GB" sz="1000" b="1" baseline="0"/>
            <a:t> EM</a:t>
          </a:r>
          <a:br>
            <a:rPr lang="en-GB" sz="1000" b="1"/>
          </a:br>
          <a:r>
            <a:rPr lang="en-GB" sz="1000" b="1"/>
            <a:t>OUTROS</a:t>
          </a:r>
          <a:br>
            <a:rPr lang="en-GB" sz="1000" b="1"/>
          </a:br>
          <a:r>
            <a:rPr lang="en-GB" sz="1000" b="1"/>
            <a:t>ATIVOS?</a:t>
          </a:r>
        </a:p>
      </xdr:txBody>
    </xdr:sp>
    <xdr:clientData/>
  </xdr:twoCellAnchor>
  <xdr:oneCellAnchor>
    <xdr:from>
      <xdr:col>1</xdr:col>
      <xdr:colOff>6244</xdr:colOff>
      <xdr:row>145</xdr:row>
      <xdr:rowOff>127748</xdr:rowOff>
    </xdr:from>
    <xdr:ext cx="246528" cy="246528"/>
    <xdr:pic>
      <xdr:nvPicPr>
        <xdr:cNvPr id="24" name="Gráfico 23" descr="Ajudar">
          <a:hlinkClick xmlns:r="http://schemas.openxmlformats.org/officeDocument/2006/relationships" r:id="rId24"/>
          <a:extLst>
            <a:ext uri="{FF2B5EF4-FFF2-40B4-BE49-F238E27FC236}">
              <a16:creationId xmlns:a16="http://schemas.microsoft.com/office/drawing/2014/main" id="{81B81783-A0EA-4F14-92AF-05654A6DF7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277502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162</xdr:row>
      <xdr:rowOff>104775</xdr:rowOff>
    </xdr:from>
    <xdr:to>
      <xdr:col>3</xdr:col>
      <xdr:colOff>95250</xdr:colOff>
      <xdr:row>165</xdr:row>
      <xdr:rowOff>76201</xdr:rowOff>
    </xdr:to>
    <xdr:sp macro="" textlink="">
      <xdr:nvSpPr>
        <xdr:cNvPr id="25" name="Retângulo: Cantos Arredondados 24">
          <a:extLst>
            <a:ext uri="{FF2B5EF4-FFF2-40B4-BE49-F238E27FC236}">
              <a16:creationId xmlns:a16="http://schemas.microsoft.com/office/drawing/2014/main" id="{D2442E94-2901-472B-BD2D-8CA6DD62DC79}"/>
            </a:ext>
          </a:extLst>
        </xdr:cNvPr>
        <xdr:cNvSpPr/>
      </xdr:nvSpPr>
      <xdr:spPr>
        <a:xfrm>
          <a:off x="142875" y="309657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GUARDEI</a:t>
          </a:r>
          <a:br>
            <a:rPr lang="en-GB" sz="1000" b="1"/>
          </a:br>
          <a:r>
            <a:rPr lang="en-GB" sz="1000" b="1"/>
            <a:t>RESERVA EM</a:t>
          </a:r>
          <a:br>
            <a:rPr lang="en-GB" sz="1000" b="1"/>
          </a:br>
          <a:r>
            <a:rPr lang="en-GB" sz="1000" b="1"/>
            <a:t>RENDA</a:t>
          </a:r>
          <a:r>
            <a:rPr lang="en-GB" sz="1000" b="1" baseline="0"/>
            <a:t> </a:t>
          </a:r>
          <a:r>
            <a:rPr lang="en-GB" sz="1000" b="1"/>
            <a:t>FIXA?</a:t>
          </a:r>
        </a:p>
      </xdr:txBody>
    </xdr:sp>
    <xdr:clientData/>
  </xdr:twoCellAnchor>
  <xdr:oneCellAnchor>
    <xdr:from>
      <xdr:col>1</xdr:col>
      <xdr:colOff>6244</xdr:colOff>
      <xdr:row>162</xdr:row>
      <xdr:rowOff>127748</xdr:rowOff>
    </xdr:from>
    <xdr:ext cx="246528" cy="246528"/>
    <xdr:pic>
      <xdr:nvPicPr>
        <xdr:cNvPr id="26" name="Gráfico 25" descr="Ajudar">
          <a:hlinkClick xmlns:r="http://schemas.openxmlformats.org/officeDocument/2006/relationships" r:id="rId25"/>
          <a:extLst>
            <a:ext uri="{FF2B5EF4-FFF2-40B4-BE49-F238E27FC236}">
              <a16:creationId xmlns:a16="http://schemas.microsoft.com/office/drawing/2014/main" id="{95FB4C7F-C0B4-440F-B8DD-C6910BCB7B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309887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181</xdr:row>
      <xdr:rowOff>104775</xdr:rowOff>
    </xdr:from>
    <xdr:to>
      <xdr:col>3</xdr:col>
      <xdr:colOff>95250</xdr:colOff>
      <xdr:row>184</xdr:row>
      <xdr:rowOff>76201</xdr:rowOff>
    </xdr:to>
    <xdr:sp macro="" textlink="">
      <xdr:nvSpPr>
        <xdr:cNvPr id="27" name="Retângulo: Cantos Arredondados 26">
          <a:extLst>
            <a:ext uri="{FF2B5EF4-FFF2-40B4-BE49-F238E27FC236}">
              <a16:creationId xmlns:a16="http://schemas.microsoft.com/office/drawing/2014/main" id="{6FAD6908-A76C-45BE-BD20-2114D7536477}"/>
            </a:ext>
          </a:extLst>
        </xdr:cNvPr>
        <xdr:cNvSpPr/>
      </xdr:nvSpPr>
      <xdr:spPr>
        <a:xfrm>
          <a:off x="142875" y="345852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/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GUARDEI</a:t>
          </a:r>
          <a:b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RESERVA EM</a:t>
          </a:r>
          <a:b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RENDA</a:t>
          </a:r>
          <a:r>
            <a:rPr lang="en-GB" sz="10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VARIÁVEL?</a:t>
          </a:r>
          <a:endParaRPr lang="en-GB" sz="1000">
            <a:effectLst/>
          </a:endParaRPr>
        </a:p>
      </xdr:txBody>
    </xdr:sp>
    <xdr:clientData/>
  </xdr:twoCellAnchor>
  <xdr:oneCellAnchor>
    <xdr:from>
      <xdr:col>1</xdr:col>
      <xdr:colOff>6244</xdr:colOff>
      <xdr:row>181</xdr:row>
      <xdr:rowOff>127748</xdr:rowOff>
    </xdr:from>
    <xdr:ext cx="246528" cy="246528"/>
    <xdr:pic>
      <xdr:nvPicPr>
        <xdr:cNvPr id="28" name="Gráfico 27" descr="Ajudar">
          <a:hlinkClick xmlns:r="http://schemas.openxmlformats.org/officeDocument/2006/relationships" r:id="rId26"/>
          <a:extLst>
            <a:ext uri="{FF2B5EF4-FFF2-40B4-BE49-F238E27FC236}">
              <a16:creationId xmlns:a16="http://schemas.microsoft.com/office/drawing/2014/main" id="{F12D3345-E769-4338-B6F0-F6AB11CC0E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346082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200</xdr:row>
      <xdr:rowOff>104775</xdr:rowOff>
    </xdr:from>
    <xdr:to>
      <xdr:col>3</xdr:col>
      <xdr:colOff>95250</xdr:colOff>
      <xdr:row>203</xdr:row>
      <xdr:rowOff>76201</xdr:rowOff>
    </xdr:to>
    <xdr:sp macro="" textlink="">
      <xdr:nvSpPr>
        <xdr:cNvPr id="29" name="Retângulo: Cantos Arredondados 28">
          <a:extLst>
            <a:ext uri="{FF2B5EF4-FFF2-40B4-BE49-F238E27FC236}">
              <a16:creationId xmlns:a16="http://schemas.microsoft.com/office/drawing/2014/main" id="{99174EC1-382B-440D-A242-259AA85C0160}"/>
            </a:ext>
          </a:extLst>
        </xdr:cNvPr>
        <xdr:cNvSpPr/>
      </xdr:nvSpPr>
      <xdr:spPr>
        <a:xfrm>
          <a:off x="142875" y="382047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/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GUARDEI</a:t>
          </a:r>
          <a:b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RESERVA EM</a:t>
          </a:r>
          <a:b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OUTROS ATIVOS?</a:t>
          </a:r>
          <a:endParaRPr lang="en-GB" sz="1000">
            <a:effectLst/>
          </a:endParaRPr>
        </a:p>
      </xdr:txBody>
    </xdr:sp>
    <xdr:clientData/>
  </xdr:twoCellAnchor>
  <xdr:oneCellAnchor>
    <xdr:from>
      <xdr:col>1</xdr:col>
      <xdr:colOff>6244</xdr:colOff>
      <xdr:row>200</xdr:row>
      <xdr:rowOff>127748</xdr:rowOff>
    </xdr:from>
    <xdr:ext cx="246528" cy="246528"/>
    <xdr:pic>
      <xdr:nvPicPr>
        <xdr:cNvPr id="30" name="Gráfico 29" descr="Ajudar">
          <a:hlinkClick xmlns:r="http://schemas.openxmlformats.org/officeDocument/2006/relationships" r:id="rId27"/>
          <a:extLst>
            <a:ext uri="{FF2B5EF4-FFF2-40B4-BE49-F238E27FC236}">
              <a16:creationId xmlns:a16="http://schemas.microsoft.com/office/drawing/2014/main" id="{7F459A8F-F2A5-467D-BDF6-B8A002A91C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382277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2</xdr:col>
      <xdr:colOff>319257</xdr:colOff>
      <xdr:row>77</xdr:row>
      <xdr:rowOff>126685</xdr:rowOff>
    </xdr:from>
    <xdr:ext cx="392036" cy="395999"/>
    <xdr:pic>
      <xdr:nvPicPr>
        <xdr:cNvPr id="31" name="Gráfico 30" descr="Dinheiro">
          <a:extLst>
            <a:ext uri="{FF2B5EF4-FFF2-40B4-BE49-F238E27FC236}">
              <a16:creationId xmlns:a16="http://schemas.microsoft.com/office/drawing/2014/main" id="{B779177B-FC1F-4A18-8399-39D18BB29E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9"/>
            </a:ext>
          </a:extLst>
        </a:blip>
        <a:stretch>
          <a:fillRect/>
        </a:stretch>
      </xdr:blipFill>
      <xdr:spPr>
        <a:xfrm flipH="1">
          <a:off x="566907" y="14795185"/>
          <a:ext cx="392036" cy="395999"/>
        </a:xfrm>
        <a:prstGeom prst="rect">
          <a:avLst/>
        </a:prstGeom>
      </xdr:spPr>
    </xdr:pic>
    <xdr:clientData/>
  </xdr:oneCellAnchor>
  <xdr:oneCellAnchor>
    <xdr:from>
      <xdr:col>2</xdr:col>
      <xdr:colOff>319257</xdr:colOff>
      <xdr:row>91</xdr:row>
      <xdr:rowOff>115798</xdr:rowOff>
    </xdr:from>
    <xdr:ext cx="400936" cy="396000"/>
    <xdr:pic>
      <xdr:nvPicPr>
        <xdr:cNvPr id="32" name="Gráfico 31" descr="Dinheiro">
          <a:extLst>
            <a:ext uri="{FF2B5EF4-FFF2-40B4-BE49-F238E27FC236}">
              <a16:creationId xmlns:a16="http://schemas.microsoft.com/office/drawing/2014/main" id="{12E626BD-840A-4176-AA54-A6AA71BA8A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9"/>
            </a:ext>
          </a:extLst>
        </a:blip>
        <a:stretch>
          <a:fillRect/>
        </a:stretch>
      </xdr:blipFill>
      <xdr:spPr>
        <a:xfrm flipH="1">
          <a:off x="566907" y="17451298"/>
          <a:ext cx="400936" cy="396000"/>
        </a:xfrm>
        <a:prstGeom prst="rect">
          <a:avLst/>
        </a:prstGeom>
      </xdr:spPr>
    </xdr:pic>
    <xdr:clientData/>
  </xdr:oneCellAnchor>
  <xdr:oneCellAnchor>
    <xdr:from>
      <xdr:col>2</xdr:col>
      <xdr:colOff>330528</xdr:colOff>
      <xdr:row>108</xdr:row>
      <xdr:rowOff>134224</xdr:rowOff>
    </xdr:from>
    <xdr:ext cx="392250" cy="406702"/>
    <xdr:pic>
      <xdr:nvPicPr>
        <xdr:cNvPr id="33" name="Gráfico 32" descr="Moedas">
          <a:extLst>
            <a:ext uri="{FF2B5EF4-FFF2-40B4-BE49-F238E27FC236}">
              <a16:creationId xmlns:a16="http://schemas.microsoft.com/office/drawing/2014/main" id="{DEA1FED1-00FA-484B-8BFC-F5D4C4859E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1"/>
            </a:ext>
          </a:extLst>
        </a:blip>
        <a:stretch>
          <a:fillRect/>
        </a:stretch>
      </xdr:blipFill>
      <xdr:spPr>
        <a:xfrm flipH="1">
          <a:off x="578178" y="20708224"/>
          <a:ext cx="392250" cy="406702"/>
        </a:xfrm>
        <a:prstGeom prst="rect">
          <a:avLst/>
        </a:prstGeom>
      </xdr:spPr>
    </xdr:pic>
    <xdr:clientData/>
  </xdr:oneCellAnchor>
  <xdr:oneCellAnchor>
    <xdr:from>
      <xdr:col>2</xdr:col>
      <xdr:colOff>285751</xdr:colOff>
      <xdr:row>127</xdr:row>
      <xdr:rowOff>149678</xdr:rowOff>
    </xdr:from>
    <xdr:ext cx="392250" cy="406704"/>
    <xdr:pic>
      <xdr:nvPicPr>
        <xdr:cNvPr id="34" name="Gráfico 33" descr="Moedas">
          <a:extLst>
            <a:ext uri="{FF2B5EF4-FFF2-40B4-BE49-F238E27FC236}">
              <a16:creationId xmlns:a16="http://schemas.microsoft.com/office/drawing/2014/main" id="{34FF354E-3F81-4F42-95CC-C34D5834D6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1"/>
            </a:ext>
          </a:extLst>
        </a:blip>
        <a:stretch>
          <a:fillRect/>
        </a:stretch>
      </xdr:blipFill>
      <xdr:spPr>
        <a:xfrm flipH="1">
          <a:off x="533401" y="24343178"/>
          <a:ext cx="392250" cy="406704"/>
        </a:xfrm>
        <a:prstGeom prst="rect">
          <a:avLst/>
        </a:prstGeom>
      </xdr:spPr>
    </xdr:pic>
    <xdr:clientData/>
  </xdr:oneCellAnchor>
  <xdr:oneCellAnchor>
    <xdr:from>
      <xdr:col>2</xdr:col>
      <xdr:colOff>288474</xdr:colOff>
      <xdr:row>146</xdr:row>
      <xdr:rowOff>152399</xdr:rowOff>
    </xdr:from>
    <xdr:ext cx="392250" cy="406702"/>
    <xdr:pic>
      <xdr:nvPicPr>
        <xdr:cNvPr id="35" name="Gráfico 34" descr="Moedas">
          <a:extLst>
            <a:ext uri="{FF2B5EF4-FFF2-40B4-BE49-F238E27FC236}">
              <a16:creationId xmlns:a16="http://schemas.microsoft.com/office/drawing/2014/main" id="{0C8A135B-55DE-4458-A0C1-E01BCC47E1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1"/>
            </a:ext>
          </a:extLst>
        </a:blip>
        <a:stretch>
          <a:fillRect/>
        </a:stretch>
      </xdr:blipFill>
      <xdr:spPr>
        <a:xfrm flipH="1">
          <a:off x="536124" y="27965399"/>
          <a:ext cx="392250" cy="406702"/>
        </a:xfrm>
        <a:prstGeom prst="rect">
          <a:avLst/>
        </a:prstGeom>
      </xdr:spPr>
    </xdr:pic>
    <xdr:clientData/>
  </xdr:oneCellAnchor>
  <xdr:oneCellAnchor>
    <xdr:from>
      <xdr:col>2</xdr:col>
      <xdr:colOff>300483</xdr:colOff>
      <xdr:row>163</xdr:row>
      <xdr:rowOff>123265</xdr:rowOff>
    </xdr:from>
    <xdr:ext cx="405011" cy="396000"/>
    <xdr:pic>
      <xdr:nvPicPr>
        <xdr:cNvPr id="36" name="Gráfico 35" descr="Sirene">
          <a:extLst>
            <a:ext uri="{FF2B5EF4-FFF2-40B4-BE49-F238E27FC236}">
              <a16:creationId xmlns:a16="http://schemas.microsoft.com/office/drawing/2014/main" id="{79563D73-FF82-4817-8FAF-603D53E541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3"/>
            </a:ext>
          </a:extLst>
        </a:blip>
        <a:stretch>
          <a:fillRect/>
        </a:stretch>
      </xdr:blipFill>
      <xdr:spPr>
        <a:xfrm>
          <a:off x="548133" y="31174765"/>
          <a:ext cx="405011" cy="396000"/>
        </a:xfrm>
        <a:prstGeom prst="rect">
          <a:avLst/>
        </a:prstGeom>
        <a:effectLst/>
      </xdr:spPr>
    </xdr:pic>
    <xdr:clientData/>
  </xdr:oneCellAnchor>
  <xdr:oneCellAnchor>
    <xdr:from>
      <xdr:col>2</xdr:col>
      <xdr:colOff>300483</xdr:colOff>
      <xdr:row>182</xdr:row>
      <xdr:rowOff>107576</xdr:rowOff>
    </xdr:from>
    <xdr:ext cx="405011" cy="400203"/>
    <xdr:pic>
      <xdr:nvPicPr>
        <xdr:cNvPr id="37" name="Gráfico 36" descr="Sirene">
          <a:extLst>
            <a:ext uri="{FF2B5EF4-FFF2-40B4-BE49-F238E27FC236}">
              <a16:creationId xmlns:a16="http://schemas.microsoft.com/office/drawing/2014/main" id="{80D933E9-8D64-4DAB-A6C1-D33855AEC8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3"/>
            </a:ext>
          </a:extLst>
        </a:blip>
        <a:stretch>
          <a:fillRect/>
        </a:stretch>
      </xdr:blipFill>
      <xdr:spPr>
        <a:xfrm>
          <a:off x="548133" y="34778576"/>
          <a:ext cx="405011" cy="400203"/>
        </a:xfrm>
        <a:prstGeom prst="rect">
          <a:avLst/>
        </a:prstGeom>
        <a:effectLst/>
      </xdr:spPr>
    </xdr:pic>
    <xdr:clientData/>
  </xdr:oneCellAnchor>
  <xdr:oneCellAnchor>
    <xdr:from>
      <xdr:col>2</xdr:col>
      <xdr:colOff>300483</xdr:colOff>
      <xdr:row>201</xdr:row>
      <xdr:rowOff>125505</xdr:rowOff>
    </xdr:from>
    <xdr:ext cx="405011" cy="396000"/>
    <xdr:pic>
      <xdr:nvPicPr>
        <xdr:cNvPr id="38" name="Gráfico 37" descr="Sirene">
          <a:extLst>
            <a:ext uri="{FF2B5EF4-FFF2-40B4-BE49-F238E27FC236}">
              <a16:creationId xmlns:a16="http://schemas.microsoft.com/office/drawing/2014/main" id="{F8691E27-A00E-41A7-8A29-D3F289537F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3"/>
            </a:ext>
          </a:extLst>
        </a:blip>
        <a:stretch>
          <a:fillRect/>
        </a:stretch>
      </xdr:blipFill>
      <xdr:spPr>
        <a:xfrm>
          <a:off x="548133" y="38416005"/>
          <a:ext cx="405011" cy="396000"/>
        </a:xfrm>
        <a:prstGeom prst="rect">
          <a:avLst/>
        </a:prstGeom>
        <a:effectLst/>
      </xdr:spPr>
    </xdr:pic>
    <xdr:clientData/>
  </xdr:oneCellAnchor>
  <xdr:oneCellAnchor>
    <xdr:from>
      <xdr:col>31</xdr:col>
      <xdr:colOff>190500</xdr:colOff>
      <xdr:row>1</xdr:row>
      <xdr:rowOff>141194</xdr:rowOff>
    </xdr:from>
    <xdr:ext cx="342000" cy="341999"/>
    <xdr:pic>
      <xdr:nvPicPr>
        <xdr:cNvPr id="39" name="Gráfico 38" descr="Virar calendário">
          <a:hlinkClick xmlns:r="http://schemas.openxmlformats.org/officeDocument/2006/relationships" r:id="rId34"/>
          <a:extLst>
            <a:ext uri="{FF2B5EF4-FFF2-40B4-BE49-F238E27FC236}">
              <a16:creationId xmlns:a16="http://schemas.microsoft.com/office/drawing/2014/main" id="{8C58376F-F6A1-4549-BB52-9095A411C0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6"/>
            </a:ext>
          </a:extLst>
        </a:blip>
        <a:stretch>
          <a:fillRect/>
        </a:stretch>
      </xdr:blipFill>
      <xdr:spPr>
        <a:xfrm>
          <a:off x="12734925" y="331694"/>
          <a:ext cx="342000" cy="341999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26</xdr:col>
      <xdr:colOff>324971</xdr:colOff>
      <xdr:row>2</xdr:row>
      <xdr:rowOff>174812</xdr:rowOff>
    </xdr:from>
    <xdr:to>
      <xdr:col>28</xdr:col>
      <xdr:colOff>22412</xdr:colOff>
      <xdr:row>2</xdr:row>
      <xdr:rowOff>174812</xdr:rowOff>
    </xdr:to>
    <xdr:cxnSp macro="">
      <xdr:nvCxnSpPr>
        <xdr:cNvPr id="40" name="Conector reto 39">
          <a:extLst>
            <a:ext uri="{FF2B5EF4-FFF2-40B4-BE49-F238E27FC236}">
              <a16:creationId xmlns:a16="http://schemas.microsoft.com/office/drawing/2014/main" id="{E6424B29-8959-4439-B794-0AC22BD0C5F3}"/>
            </a:ext>
          </a:extLst>
        </xdr:cNvPr>
        <xdr:cNvCxnSpPr/>
      </xdr:nvCxnSpPr>
      <xdr:spPr>
        <a:xfrm>
          <a:off x="11012021" y="555812"/>
          <a:ext cx="440391" cy="0"/>
        </a:xfrm>
        <a:prstGeom prst="line">
          <a:avLst/>
        </a:prstGeom>
        <a:ln>
          <a:solidFill>
            <a:srgbClr val="FFEBAB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331694</xdr:colOff>
      <xdr:row>2</xdr:row>
      <xdr:rowOff>174812</xdr:rowOff>
    </xdr:from>
    <xdr:to>
      <xdr:col>31</xdr:col>
      <xdr:colOff>29135</xdr:colOff>
      <xdr:row>2</xdr:row>
      <xdr:rowOff>174812</xdr:rowOff>
    </xdr:to>
    <xdr:cxnSp macro="">
      <xdr:nvCxnSpPr>
        <xdr:cNvPr id="41" name="Conector reto 40">
          <a:extLst>
            <a:ext uri="{FF2B5EF4-FFF2-40B4-BE49-F238E27FC236}">
              <a16:creationId xmlns:a16="http://schemas.microsoft.com/office/drawing/2014/main" id="{F799C41E-2F50-4DD8-B025-496EECD3A493}"/>
            </a:ext>
          </a:extLst>
        </xdr:cNvPr>
        <xdr:cNvCxnSpPr/>
      </xdr:nvCxnSpPr>
      <xdr:spPr>
        <a:xfrm>
          <a:off x="12133169" y="555812"/>
          <a:ext cx="440391" cy="0"/>
        </a:xfrm>
        <a:prstGeom prst="line">
          <a:avLst/>
        </a:prstGeom>
        <a:ln>
          <a:solidFill>
            <a:srgbClr val="FFEBAB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0</xdr:col>
      <xdr:colOff>142210</xdr:colOff>
      <xdr:row>8</xdr:row>
      <xdr:rowOff>121771</xdr:rowOff>
    </xdr:from>
    <xdr:ext cx="250264" cy="246528"/>
    <xdr:pic>
      <xdr:nvPicPr>
        <xdr:cNvPr id="43" name="Gráfico 42" descr="Ajudar">
          <a:hlinkClick xmlns:r="http://schemas.openxmlformats.org/officeDocument/2006/relationships" r:id="rId37"/>
          <a:extLst>
            <a:ext uri="{FF2B5EF4-FFF2-40B4-BE49-F238E27FC236}">
              <a16:creationId xmlns:a16="http://schemas.microsoft.com/office/drawing/2014/main" id="{147D3248-E840-40EA-96A0-C636DBE3EA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2210" y="1645771"/>
          <a:ext cx="250264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35</xdr:col>
      <xdr:colOff>185459</xdr:colOff>
      <xdr:row>2</xdr:row>
      <xdr:rowOff>145676</xdr:rowOff>
    </xdr:from>
    <xdr:ext cx="429353" cy="424356"/>
    <xdr:pic>
      <xdr:nvPicPr>
        <xdr:cNvPr id="44" name="Gráfico 43" descr="Seta Reta">
          <a:hlinkClick xmlns:r="http://schemas.openxmlformats.org/officeDocument/2006/relationships" r:id="rId38" tooltip="PRÓXIMO MÊS"/>
          <a:extLst>
            <a:ext uri="{FF2B5EF4-FFF2-40B4-BE49-F238E27FC236}">
              <a16:creationId xmlns:a16="http://schemas.microsoft.com/office/drawing/2014/main" id="{7E737B04-DE61-42A6-AB56-4EAF31C43C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0"/>
            </a:ext>
          </a:extLst>
        </a:blip>
        <a:stretch>
          <a:fillRect/>
        </a:stretch>
      </xdr:blipFill>
      <xdr:spPr>
        <a:xfrm rot="10800000">
          <a:off x="14215784" y="526676"/>
          <a:ext cx="429353" cy="424356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35</xdr:col>
      <xdr:colOff>156882</xdr:colOff>
      <xdr:row>1</xdr:row>
      <xdr:rowOff>67235</xdr:rowOff>
    </xdr:from>
    <xdr:ext cx="426552" cy="424356"/>
    <xdr:pic>
      <xdr:nvPicPr>
        <xdr:cNvPr id="45" name="Gráfico 44" descr="Seta Reta">
          <a:hlinkClick xmlns:r="http://schemas.openxmlformats.org/officeDocument/2006/relationships" r:id="rId41" tooltip="MÊS ANTERIOR"/>
          <a:extLst>
            <a:ext uri="{FF2B5EF4-FFF2-40B4-BE49-F238E27FC236}">
              <a16:creationId xmlns:a16="http://schemas.microsoft.com/office/drawing/2014/main" id="{937050B5-04C1-45DA-9E51-7E306C75A8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0"/>
            </a:ext>
          </a:extLst>
        </a:blip>
        <a:stretch>
          <a:fillRect/>
        </a:stretch>
      </xdr:blipFill>
      <xdr:spPr>
        <a:xfrm>
          <a:off x="14187207" y="257735"/>
          <a:ext cx="426552" cy="424356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35</xdr:col>
      <xdr:colOff>0</xdr:colOff>
      <xdr:row>5</xdr:row>
      <xdr:rowOff>0</xdr:rowOff>
    </xdr:from>
    <xdr:to>
      <xdr:col>35</xdr:col>
      <xdr:colOff>549089</xdr:colOff>
      <xdr:row>6</xdr:row>
      <xdr:rowOff>11207</xdr:rowOff>
    </xdr:to>
    <xdr:sp macro="" textlink="">
      <xdr:nvSpPr>
        <xdr:cNvPr id="46" name="Balão de Fala: Retângulo com Cantos Arredondados 45">
          <a:extLst>
            <a:ext uri="{FF2B5EF4-FFF2-40B4-BE49-F238E27FC236}">
              <a16:creationId xmlns:a16="http://schemas.microsoft.com/office/drawing/2014/main" id="{1A1DCD91-1411-46BB-87A9-DBAF7E31CFD7}"/>
            </a:ext>
          </a:extLst>
        </xdr:cNvPr>
        <xdr:cNvSpPr/>
      </xdr:nvSpPr>
      <xdr:spPr>
        <a:xfrm>
          <a:off x="13973735" y="795618"/>
          <a:ext cx="549089" cy="179295"/>
        </a:xfrm>
        <a:prstGeom prst="wedgeRoundRectCallout">
          <a:avLst>
            <a:gd name="adj1" fmla="val -18889"/>
            <a:gd name="adj2" fmla="val 13747"/>
            <a:gd name="adj3" fmla="val 16667"/>
          </a:avLst>
        </a:prstGeom>
        <a:solidFill>
          <a:srgbClr val="7030A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tIns="28800" bIns="36000" rtlCol="0" anchor="ctr"/>
        <a:lstStyle/>
        <a:p>
          <a:pPr algn="ctr"/>
          <a:r>
            <a:rPr lang="en-GB" sz="900"/>
            <a:t>DIAS</a:t>
          </a: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153895</xdr:colOff>
      <xdr:row>54</xdr:row>
      <xdr:rowOff>78440</xdr:rowOff>
    </xdr:from>
    <xdr:to>
      <xdr:col>3</xdr:col>
      <xdr:colOff>99733</xdr:colOff>
      <xdr:row>57</xdr:row>
      <xdr:rowOff>64621</xdr:rowOff>
    </xdr:to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04005ABD-EDCA-4897-834E-4C618E0C016D}"/>
            </a:ext>
          </a:extLst>
        </xdr:cNvPr>
        <xdr:cNvSpPr/>
      </xdr:nvSpPr>
      <xdr:spPr>
        <a:xfrm>
          <a:off x="144370" y="10365440"/>
          <a:ext cx="2155638" cy="557681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REDUZI</a:t>
          </a:r>
          <a:br>
            <a:rPr lang="en-GB" sz="1000" b="1"/>
          </a:br>
          <a:r>
            <a:rPr lang="en-GB" sz="1000" b="1"/>
            <a:t>DESPESAS</a:t>
          </a:r>
          <a:br>
            <a:rPr lang="en-GB" sz="1000" b="1"/>
          </a:br>
          <a:r>
            <a:rPr lang="en-GB" sz="1000" b="1"/>
            <a:t>VARIÁVEIS?</a:t>
          </a:r>
        </a:p>
      </xdr:txBody>
    </xdr:sp>
    <xdr:clientData/>
  </xdr:twoCellAnchor>
  <xdr:twoCellAnchor>
    <xdr:from>
      <xdr:col>0</xdr:col>
      <xdr:colOff>132337</xdr:colOff>
      <xdr:row>8</xdr:row>
      <xdr:rowOff>104775</xdr:rowOff>
    </xdr:from>
    <xdr:to>
      <xdr:col>3</xdr:col>
      <xdr:colOff>77908</xdr:colOff>
      <xdr:row>11</xdr:row>
      <xdr:rowOff>76201</xdr:rowOff>
    </xdr:to>
    <xdr:sp macro="" textlink="">
      <xdr:nvSpPr>
        <xdr:cNvPr id="3" name="Retângulo: Cantos Arredondados 2">
          <a:extLst>
            <a:ext uri="{FF2B5EF4-FFF2-40B4-BE49-F238E27FC236}">
              <a16:creationId xmlns:a16="http://schemas.microsoft.com/office/drawing/2014/main" id="{0CE3950D-D93D-4FF8-AB12-33AD9FB7ECA4}"/>
            </a:ext>
          </a:extLst>
        </xdr:cNvPr>
        <xdr:cNvSpPr/>
      </xdr:nvSpPr>
      <xdr:spPr>
        <a:xfrm>
          <a:off x="132337" y="1628775"/>
          <a:ext cx="2145846" cy="542926"/>
        </a:xfrm>
        <a:prstGeom prst="roundRect">
          <a:avLst>
            <a:gd name="adj" fmla="val 7028"/>
          </a:avLst>
        </a:prstGeom>
        <a:solidFill>
          <a:srgbClr val="007CA8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CONSEGUI</a:t>
          </a:r>
          <a:br>
            <a:rPr lang="en-GB" sz="1000" b="1"/>
          </a:br>
          <a:r>
            <a:rPr lang="en-GB" sz="1000" b="1"/>
            <a:t>JUNTAR</a:t>
          </a:r>
          <a:br>
            <a:rPr lang="en-GB" sz="1000" b="1"/>
          </a:br>
          <a:r>
            <a:rPr lang="en-GB" sz="1000" b="1"/>
            <a:t>DINHEIRO?</a:t>
          </a:r>
        </a:p>
      </xdr:txBody>
    </xdr:sp>
    <xdr:clientData/>
  </xdr:twoCellAnchor>
  <xdr:twoCellAnchor>
    <xdr:from>
      <xdr:col>0</xdr:col>
      <xdr:colOff>132337</xdr:colOff>
      <xdr:row>19</xdr:row>
      <xdr:rowOff>104775</xdr:rowOff>
    </xdr:from>
    <xdr:to>
      <xdr:col>3</xdr:col>
      <xdr:colOff>77908</xdr:colOff>
      <xdr:row>22</xdr:row>
      <xdr:rowOff>57151</xdr:rowOff>
    </xdr:to>
    <xdr:sp macro="" textlink="">
      <xdr:nvSpPr>
        <xdr:cNvPr id="4" name="Retângulo: Cantos Arredondados 3">
          <a:extLst>
            <a:ext uri="{FF2B5EF4-FFF2-40B4-BE49-F238E27FC236}">
              <a16:creationId xmlns:a16="http://schemas.microsoft.com/office/drawing/2014/main" id="{BFFD58CC-F7D1-47E5-B744-80CA329F8A4B}"/>
            </a:ext>
          </a:extLst>
        </xdr:cNvPr>
        <xdr:cNvSpPr/>
      </xdr:nvSpPr>
      <xdr:spPr>
        <a:xfrm>
          <a:off x="132337" y="3724275"/>
          <a:ext cx="2145846" cy="523876"/>
        </a:xfrm>
        <a:prstGeom prst="roundRect">
          <a:avLst>
            <a:gd name="adj" fmla="val 7028"/>
          </a:avLst>
        </a:prstGeom>
        <a:solidFill>
          <a:srgbClr val="007CA8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CONSEGUI</a:t>
          </a:r>
          <a:br>
            <a:rPr lang="en-GB" sz="1000" b="1"/>
          </a:br>
          <a:r>
            <a:rPr lang="en-GB" sz="1000" b="1"/>
            <a:t>GUARDAR E</a:t>
          </a:r>
          <a:br>
            <a:rPr lang="en-GB" sz="1000" b="1"/>
          </a:br>
          <a:r>
            <a:rPr lang="en-GB" sz="1000" b="1"/>
            <a:t>INVESTIR?</a:t>
          </a:r>
        </a:p>
      </xdr:txBody>
    </xdr:sp>
    <xdr:clientData/>
  </xdr:twoCellAnchor>
  <xdr:oneCellAnchor>
    <xdr:from>
      <xdr:col>2</xdr:col>
      <xdr:colOff>282383</xdr:colOff>
      <xdr:row>20</xdr:row>
      <xdr:rowOff>118215</xdr:rowOff>
    </xdr:from>
    <xdr:ext cx="399499" cy="396000"/>
    <xdr:pic>
      <xdr:nvPicPr>
        <xdr:cNvPr id="5" name="Gráfico 4" descr="Cofrinho">
          <a:extLst>
            <a:ext uri="{FF2B5EF4-FFF2-40B4-BE49-F238E27FC236}">
              <a16:creationId xmlns:a16="http://schemas.microsoft.com/office/drawing/2014/main" id="{64420A97-C3E4-471A-80A3-6BE158C524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530033" y="3928215"/>
          <a:ext cx="399499" cy="396000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2</xdr:col>
      <xdr:colOff>283926</xdr:colOff>
      <xdr:row>9</xdr:row>
      <xdr:rowOff>151343</xdr:rowOff>
    </xdr:from>
    <xdr:ext cx="396412" cy="396001"/>
    <xdr:pic>
      <xdr:nvPicPr>
        <xdr:cNvPr id="6" name="Gráfico 5" descr="Carteira">
          <a:extLst>
            <a:ext uri="{FF2B5EF4-FFF2-40B4-BE49-F238E27FC236}">
              <a16:creationId xmlns:a16="http://schemas.microsoft.com/office/drawing/2014/main" id="{EEBD14C1-F7B7-4792-8250-2D132C43B2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531576" y="1865843"/>
          <a:ext cx="396412" cy="396001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0</xdr:col>
      <xdr:colOff>145864</xdr:colOff>
      <xdr:row>31</xdr:row>
      <xdr:rowOff>89647</xdr:rowOff>
    </xdr:from>
    <xdr:to>
      <xdr:col>3</xdr:col>
      <xdr:colOff>91702</xdr:colOff>
      <xdr:row>34</xdr:row>
      <xdr:rowOff>79002</xdr:rowOff>
    </xdr:to>
    <xdr:sp macro="" textlink="">
      <xdr:nvSpPr>
        <xdr:cNvPr id="7" name="Retângulo: Cantos Arredondados 6">
          <a:extLst>
            <a:ext uri="{FF2B5EF4-FFF2-40B4-BE49-F238E27FC236}">
              <a16:creationId xmlns:a16="http://schemas.microsoft.com/office/drawing/2014/main" id="{7EE473E6-71B9-4F90-99E7-BEA17AA04DFA}"/>
            </a:ext>
          </a:extLst>
        </xdr:cNvPr>
        <xdr:cNvSpPr/>
      </xdr:nvSpPr>
      <xdr:spPr>
        <a:xfrm>
          <a:off x="145864" y="5995147"/>
          <a:ext cx="2146113" cy="560855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REDUZI</a:t>
          </a:r>
          <a:br>
            <a:rPr lang="en-GB" sz="1000" b="1"/>
          </a:br>
          <a:r>
            <a:rPr lang="en-GB" sz="1000" b="1"/>
            <a:t>DESPESAS</a:t>
          </a:r>
          <a:br>
            <a:rPr lang="en-GB" sz="1000" b="1"/>
          </a:br>
          <a:r>
            <a:rPr lang="en-GB" sz="1000" b="1"/>
            <a:t>F</a:t>
          </a:r>
          <a:r>
            <a:rPr lang="en-GB" sz="1000" b="1" baseline="0"/>
            <a:t>IXAS?</a:t>
          </a:r>
          <a:endParaRPr lang="en-GB" sz="1000" b="1"/>
        </a:p>
      </xdr:txBody>
    </xdr:sp>
    <xdr:clientData/>
  </xdr:twoCellAnchor>
  <xdr:oneCellAnchor>
    <xdr:from>
      <xdr:col>2</xdr:col>
      <xdr:colOff>315419</xdr:colOff>
      <xdr:row>32</xdr:row>
      <xdr:rowOff>144489</xdr:rowOff>
    </xdr:from>
    <xdr:ext cx="394594" cy="395999"/>
    <xdr:pic>
      <xdr:nvPicPr>
        <xdr:cNvPr id="8" name="Gráfico 7" descr="Eletricista">
          <a:extLst>
            <a:ext uri="{FF2B5EF4-FFF2-40B4-BE49-F238E27FC236}">
              <a16:creationId xmlns:a16="http://schemas.microsoft.com/office/drawing/2014/main" id="{5E454AC0-46D3-43F3-93BD-B5F94337AA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6"/>
            </a:ext>
          </a:extLst>
        </a:blip>
        <a:stretch>
          <a:fillRect/>
        </a:stretch>
      </xdr:blipFill>
      <xdr:spPr>
        <a:xfrm>
          <a:off x="563069" y="6240489"/>
          <a:ext cx="394594" cy="395999"/>
        </a:xfrm>
        <a:prstGeom prst="rect">
          <a:avLst/>
        </a:prstGeom>
        <a:effectLst/>
      </xdr:spPr>
    </xdr:pic>
    <xdr:clientData/>
  </xdr:oneCellAnchor>
  <xdr:oneCellAnchor>
    <xdr:from>
      <xdr:col>2</xdr:col>
      <xdr:colOff>311917</xdr:colOff>
      <xdr:row>55</xdr:row>
      <xdr:rowOff>132264</xdr:rowOff>
    </xdr:from>
    <xdr:ext cx="401599" cy="395999"/>
    <xdr:pic>
      <xdr:nvPicPr>
        <xdr:cNvPr id="9" name="Gráfico 8" descr="Artista">
          <a:extLst>
            <a:ext uri="{FF2B5EF4-FFF2-40B4-BE49-F238E27FC236}">
              <a16:creationId xmlns:a16="http://schemas.microsoft.com/office/drawing/2014/main" id="{38E6795A-312C-4B6E-9F2C-19F6AA64F2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8"/>
            </a:ext>
          </a:extLst>
        </a:blip>
        <a:stretch>
          <a:fillRect/>
        </a:stretch>
      </xdr:blipFill>
      <xdr:spPr>
        <a:xfrm>
          <a:off x="559567" y="10609764"/>
          <a:ext cx="401599" cy="395999"/>
        </a:xfrm>
        <a:prstGeom prst="rect">
          <a:avLst/>
        </a:prstGeom>
        <a:effectLst/>
      </xdr:spPr>
    </xdr:pic>
    <xdr:clientData/>
  </xdr:oneCellAnchor>
  <xdr:twoCellAnchor>
    <xdr:from>
      <xdr:col>1</xdr:col>
      <xdr:colOff>0</xdr:colOff>
      <xdr:row>76</xdr:row>
      <xdr:rowOff>104775</xdr:rowOff>
    </xdr:from>
    <xdr:to>
      <xdr:col>3</xdr:col>
      <xdr:colOff>95250</xdr:colOff>
      <xdr:row>79</xdr:row>
      <xdr:rowOff>76201</xdr:rowOff>
    </xdr:to>
    <xdr:sp macro="" textlink="">
      <xdr:nvSpPr>
        <xdr:cNvPr id="10" name="Retângulo: Cantos Arredondados 9">
          <a:extLst>
            <a:ext uri="{FF2B5EF4-FFF2-40B4-BE49-F238E27FC236}">
              <a16:creationId xmlns:a16="http://schemas.microsoft.com/office/drawing/2014/main" id="{CAD80554-ED2D-4DA6-945A-1066B1FE1877}"/>
            </a:ext>
          </a:extLst>
        </xdr:cNvPr>
        <xdr:cNvSpPr/>
      </xdr:nvSpPr>
      <xdr:spPr>
        <a:xfrm>
          <a:off x="142875" y="145827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AUMENTEI</a:t>
          </a:r>
          <a:br>
            <a:rPr lang="en-GB" sz="1000" b="1"/>
          </a:br>
          <a:r>
            <a:rPr lang="en-GB" sz="1000" b="1"/>
            <a:t>GANHOS</a:t>
          </a:r>
          <a:br>
            <a:rPr lang="en-GB" sz="1000" b="1"/>
          </a:br>
          <a:r>
            <a:rPr lang="en-GB" sz="1000" b="1"/>
            <a:t>FIXOS?</a:t>
          </a:r>
        </a:p>
      </xdr:txBody>
    </xdr:sp>
    <xdr:clientData/>
  </xdr:twoCellAnchor>
  <xdr:oneCellAnchor>
    <xdr:from>
      <xdr:col>28</xdr:col>
      <xdr:colOff>211792</xdr:colOff>
      <xdr:row>1</xdr:row>
      <xdr:rowOff>166407</xdr:rowOff>
    </xdr:from>
    <xdr:ext cx="310402" cy="310039"/>
    <xdr:pic>
      <xdr:nvPicPr>
        <xdr:cNvPr id="11" name="Gráfico 10" descr="Impressão digital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20AA8ABC-69EB-47AE-93DD-D422FC05C3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1"/>
            </a:ext>
          </a:extLst>
        </a:blip>
        <a:stretch>
          <a:fillRect/>
        </a:stretch>
      </xdr:blipFill>
      <xdr:spPr>
        <a:xfrm>
          <a:off x="11641792" y="356907"/>
          <a:ext cx="310402" cy="310039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25</xdr:col>
      <xdr:colOff>188660</xdr:colOff>
      <xdr:row>1</xdr:row>
      <xdr:rowOff>129989</xdr:rowOff>
    </xdr:from>
    <xdr:ext cx="369173" cy="364524"/>
    <xdr:pic>
      <xdr:nvPicPr>
        <xdr:cNvPr id="12" name="Gráfico 11" descr="Trancar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id="{6CBB51EF-3553-47E1-BE13-402DB6B624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4"/>
            </a:ext>
          </a:extLst>
        </a:blip>
        <a:stretch>
          <a:fillRect/>
        </a:stretch>
      </xdr:blipFill>
      <xdr:spPr>
        <a:xfrm>
          <a:off x="10504235" y="320489"/>
          <a:ext cx="369173" cy="364524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1</xdr:col>
      <xdr:colOff>1017</xdr:colOff>
      <xdr:row>19</xdr:row>
      <xdr:rowOff>126254</xdr:rowOff>
    </xdr:from>
    <xdr:ext cx="250264" cy="246528"/>
    <xdr:pic>
      <xdr:nvPicPr>
        <xdr:cNvPr id="13" name="Gráfico 12" descr="Ajudar">
          <a:hlinkClick xmlns:r="http://schemas.openxmlformats.org/officeDocument/2006/relationships" r:id="rId15"/>
          <a:extLst>
            <a:ext uri="{FF2B5EF4-FFF2-40B4-BE49-F238E27FC236}">
              <a16:creationId xmlns:a16="http://schemas.microsoft.com/office/drawing/2014/main" id="{30297D3F-FCBC-4869-AACD-C6AC640CAE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3892" y="3745754"/>
          <a:ext cx="250264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1</xdr:col>
      <xdr:colOff>15211</xdr:colOff>
      <xdr:row>31</xdr:row>
      <xdr:rowOff>114300</xdr:rowOff>
    </xdr:from>
    <xdr:ext cx="246528" cy="246528"/>
    <xdr:pic>
      <xdr:nvPicPr>
        <xdr:cNvPr id="14" name="Gráfico 13" descr="Ajudar">
          <a:hlinkClick xmlns:r="http://schemas.openxmlformats.org/officeDocument/2006/relationships" r:id="rId18"/>
          <a:extLst>
            <a:ext uri="{FF2B5EF4-FFF2-40B4-BE49-F238E27FC236}">
              <a16:creationId xmlns:a16="http://schemas.microsoft.com/office/drawing/2014/main" id="{8936D988-BD47-4962-9C3B-66267B8252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58086" y="6019800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1</xdr:col>
      <xdr:colOff>10727</xdr:colOff>
      <xdr:row>54</xdr:row>
      <xdr:rowOff>98613</xdr:rowOff>
    </xdr:from>
    <xdr:ext cx="246528" cy="246529"/>
    <xdr:pic>
      <xdr:nvPicPr>
        <xdr:cNvPr id="15" name="Gráfico 14" descr="Ajudar">
          <a:hlinkClick xmlns:r="http://schemas.openxmlformats.org/officeDocument/2006/relationships" r:id="rId19"/>
          <a:extLst>
            <a:ext uri="{FF2B5EF4-FFF2-40B4-BE49-F238E27FC236}">
              <a16:creationId xmlns:a16="http://schemas.microsoft.com/office/drawing/2014/main" id="{7699DBDF-7F31-4A3E-A25E-6B2E265A0C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53602" y="10385613"/>
          <a:ext cx="246528" cy="246529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1</xdr:col>
      <xdr:colOff>6244</xdr:colOff>
      <xdr:row>76</xdr:row>
      <xdr:rowOff>127748</xdr:rowOff>
    </xdr:from>
    <xdr:ext cx="246528" cy="246528"/>
    <xdr:pic>
      <xdr:nvPicPr>
        <xdr:cNvPr id="16" name="Gráfico 15" descr="Ajudar">
          <a:hlinkClick xmlns:r="http://schemas.openxmlformats.org/officeDocument/2006/relationships" r:id="rId20"/>
          <a:extLst>
            <a:ext uri="{FF2B5EF4-FFF2-40B4-BE49-F238E27FC236}">
              <a16:creationId xmlns:a16="http://schemas.microsoft.com/office/drawing/2014/main" id="{FB7F32BE-5891-4E39-90C8-A172F73929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146057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90</xdr:row>
      <xdr:rowOff>104775</xdr:rowOff>
    </xdr:from>
    <xdr:to>
      <xdr:col>3</xdr:col>
      <xdr:colOff>95250</xdr:colOff>
      <xdr:row>93</xdr:row>
      <xdr:rowOff>76201</xdr:rowOff>
    </xdr:to>
    <xdr:sp macro="" textlink="">
      <xdr:nvSpPr>
        <xdr:cNvPr id="17" name="Retângulo: Cantos Arredondados 16">
          <a:extLst>
            <a:ext uri="{FF2B5EF4-FFF2-40B4-BE49-F238E27FC236}">
              <a16:creationId xmlns:a16="http://schemas.microsoft.com/office/drawing/2014/main" id="{10AF29CA-DC75-4BE2-ADA2-BEEAAAA14755}"/>
            </a:ext>
          </a:extLst>
        </xdr:cNvPr>
        <xdr:cNvSpPr/>
      </xdr:nvSpPr>
      <xdr:spPr>
        <a:xfrm>
          <a:off x="142875" y="172497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AUMENTEI</a:t>
          </a:r>
          <a:br>
            <a:rPr lang="en-GB" sz="1000" b="1"/>
          </a:br>
          <a:r>
            <a:rPr lang="en-GB" sz="1000" b="1"/>
            <a:t>GANHOS</a:t>
          </a:r>
          <a:br>
            <a:rPr lang="en-GB" sz="1000" b="1"/>
          </a:br>
          <a:r>
            <a:rPr lang="en-GB" sz="1000" b="1"/>
            <a:t>VARIÁVEIS?</a:t>
          </a:r>
        </a:p>
      </xdr:txBody>
    </xdr:sp>
    <xdr:clientData/>
  </xdr:twoCellAnchor>
  <xdr:oneCellAnchor>
    <xdr:from>
      <xdr:col>1</xdr:col>
      <xdr:colOff>6244</xdr:colOff>
      <xdr:row>90</xdr:row>
      <xdr:rowOff>127748</xdr:rowOff>
    </xdr:from>
    <xdr:ext cx="246528" cy="246528"/>
    <xdr:pic>
      <xdr:nvPicPr>
        <xdr:cNvPr id="18" name="Gráfico 17" descr="Ajudar">
          <a:hlinkClick xmlns:r="http://schemas.openxmlformats.org/officeDocument/2006/relationships" r:id="rId21"/>
          <a:extLst>
            <a:ext uri="{FF2B5EF4-FFF2-40B4-BE49-F238E27FC236}">
              <a16:creationId xmlns:a16="http://schemas.microsoft.com/office/drawing/2014/main" id="{1D99AFBA-FCAD-4188-BC9A-42932371DC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172727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107</xdr:row>
      <xdr:rowOff>104775</xdr:rowOff>
    </xdr:from>
    <xdr:to>
      <xdr:col>3</xdr:col>
      <xdr:colOff>95250</xdr:colOff>
      <xdr:row>110</xdr:row>
      <xdr:rowOff>76201</xdr:rowOff>
    </xdr:to>
    <xdr:sp macro="" textlink="">
      <xdr:nvSpPr>
        <xdr:cNvPr id="19" name="Retângulo: Cantos Arredondados 18">
          <a:extLst>
            <a:ext uri="{FF2B5EF4-FFF2-40B4-BE49-F238E27FC236}">
              <a16:creationId xmlns:a16="http://schemas.microsoft.com/office/drawing/2014/main" id="{D8C5610B-66E7-4BE5-8377-3268D03D09A4}"/>
            </a:ext>
          </a:extLst>
        </xdr:cNvPr>
        <xdr:cNvSpPr/>
      </xdr:nvSpPr>
      <xdr:spPr>
        <a:xfrm>
          <a:off x="142875" y="204882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INVESTI</a:t>
          </a:r>
          <a:r>
            <a:rPr lang="en-GB" sz="1000" b="1" baseline="0"/>
            <a:t> EM</a:t>
          </a:r>
          <a:br>
            <a:rPr lang="en-GB" sz="1000" b="1"/>
          </a:br>
          <a:r>
            <a:rPr lang="en-GB" sz="1000" b="1"/>
            <a:t>RENDA</a:t>
          </a:r>
          <a:br>
            <a:rPr lang="en-GB" sz="1000" b="1"/>
          </a:br>
          <a:r>
            <a:rPr lang="en-GB" sz="1000" b="1" baseline="0"/>
            <a:t>FIXA?</a:t>
          </a:r>
          <a:endParaRPr lang="en-GB" sz="1000" b="1"/>
        </a:p>
      </xdr:txBody>
    </xdr:sp>
    <xdr:clientData/>
  </xdr:twoCellAnchor>
  <xdr:oneCellAnchor>
    <xdr:from>
      <xdr:col>1</xdr:col>
      <xdr:colOff>6244</xdr:colOff>
      <xdr:row>107</xdr:row>
      <xdr:rowOff>127748</xdr:rowOff>
    </xdr:from>
    <xdr:ext cx="246528" cy="246528"/>
    <xdr:pic>
      <xdr:nvPicPr>
        <xdr:cNvPr id="20" name="Gráfico 19" descr="Ajudar">
          <a:hlinkClick xmlns:r="http://schemas.openxmlformats.org/officeDocument/2006/relationships" r:id="rId22"/>
          <a:extLst>
            <a:ext uri="{FF2B5EF4-FFF2-40B4-BE49-F238E27FC236}">
              <a16:creationId xmlns:a16="http://schemas.microsoft.com/office/drawing/2014/main" id="{32EECD83-852D-4FF7-B237-090A2312E7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205112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126</xdr:row>
      <xdr:rowOff>104775</xdr:rowOff>
    </xdr:from>
    <xdr:to>
      <xdr:col>3</xdr:col>
      <xdr:colOff>95250</xdr:colOff>
      <xdr:row>129</xdr:row>
      <xdr:rowOff>76201</xdr:rowOff>
    </xdr:to>
    <xdr:sp macro="" textlink="">
      <xdr:nvSpPr>
        <xdr:cNvPr id="21" name="Retângulo: Cantos Arredondados 20">
          <a:extLst>
            <a:ext uri="{FF2B5EF4-FFF2-40B4-BE49-F238E27FC236}">
              <a16:creationId xmlns:a16="http://schemas.microsoft.com/office/drawing/2014/main" id="{939C7EF2-C3C5-4092-89E6-087AE484187F}"/>
            </a:ext>
          </a:extLst>
        </xdr:cNvPr>
        <xdr:cNvSpPr/>
      </xdr:nvSpPr>
      <xdr:spPr>
        <a:xfrm>
          <a:off x="142875" y="241077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INVESTI EM</a:t>
          </a:r>
          <a:br>
            <a:rPr lang="en-GB" sz="1000" b="1"/>
          </a:br>
          <a:r>
            <a:rPr lang="en-GB" sz="1000" b="1"/>
            <a:t>RENDA </a:t>
          </a:r>
          <a:r>
            <a:rPr lang="en-GB" sz="1000" b="1" baseline="0"/>
            <a:t>VARIÁVEL?</a:t>
          </a:r>
          <a:endParaRPr lang="en-GB" sz="1000" b="1"/>
        </a:p>
      </xdr:txBody>
    </xdr:sp>
    <xdr:clientData/>
  </xdr:twoCellAnchor>
  <xdr:oneCellAnchor>
    <xdr:from>
      <xdr:col>1</xdr:col>
      <xdr:colOff>6244</xdr:colOff>
      <xdr:row>126</xdr:row>
      <xdr:rowOff>127748</xdr:rowOff>
    </xdr:from>
    <xdr:ext cx="246528" cy="246528"/>
    <xdr:pic>
      <xdr:nvPicPr>
        <xdr:cNvPr id="22" name="Gráfico 21" descr="Ajudar">
          <a:hlinkClick xmlns:r="http://schemas.openxmlformats.org/officeDocument/2006/relationships" r:id="rId23"/>
          <a:extLst>
            <a:ext uri="{FF2B5EF4-FFF2-40B4-BE49-F238E27FC236}">
              <a16:creationId xmlns:a16="http://schemas.microsoft.com/office/drawing/2014/main" id="{ADE8C506-7764-45C8-9109-9A49A9CC9D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241307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145</xdr:row>
      <xdr:rowOff>104775</xdr:rowOff>
    </xdr:from>
    <xdr:to>
      <xdr:col>3</xdr:col>
      <xdr:colOff>95250</xdr:colOff>
      <xdr:row>148</xdr:row>
      <xdr:rowOff>76201</xdr:rowOff>
    </xdr:to>
    <xdr:sp macro="" textlink="">
      <xdr:nvSpPr>
        <xdr:cNvPr id="23" name="Retângulo: Cantos Arredondados 22">
          <a:extLst>
            <a:ext uri="{FF2B5EF4-FFF2-40B4-BE49-F238E27FC236}">
              <a16:creationId xmlns:a16="http://schemas.microsoft.com/office/drawing/2014/main" id="{784722ED-B45C-49F0-B015-69B1262E72C9}"/>
            </a:ext>
          </a:extLst>
        </xdr:cNvPr>
        <xdr:cNvSpPr/>
      </xdr:nvSpPr>
      <xdr:spPr>
        <a:xfrm>
          <a:off x="142875" y="277272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INVESTI</a:t>
          </a:r>
          <a:r>
            <a:rPr lang="en-GB" sz="1000" b="1" baseline="0"/>
            <a:t> EM</a:t>
          </a:r>
          <a:br>
            <a:rPr lang="en-GB" sz="1000" b="1"/>
          </a:br>
          <a:r>
            <a:rPr lang="en-GB" sz="1000" b="1"/>
            <a:t>OUTROS</a:t>
          </a:r>
          <a:br>
            <a:rPr lang="en-GB" sz="1000" b="1"/>
          </a:br>
          <a:r>
            <a:rPr lang="en-GB" sz="1000" b="1"/>
            <a:t>ATIVOS?</a:t>
          </a:r>
        </a:p>
      </xdr:txBody>
    </xdr:sp>
    <xdr:clientData/>
  </xdr:twoCellAnchor>
  <xdr:oneCellAnchor>
    <xdr:from>
      <xdr:col>1</xdr:col>
      <xdr:colOff>6244</xdr:colOff>
      <xdr:row>145</xdr:row>
      <xdr:rowOff>127748</xdr:rowOff>
    </xdr:from>
    <xdr:ext cx="246528" cy="246528"/>
    <xdr:pic>
      <xdr:nvPicPr>
        <xdr:cNvPr id="24" name="Gráfico 23" descr="Ajudar">
          <a:hlinkClick xmlns:r="http://schemas.openxmlformats.org/officeDocument/2006/relationships" r:id="rId24"/>
          <a:extLst>
            <a:ext uri="{FF2B5EF4-FFF2-40B4-BE49-F238E27FC236}">
              <a16:creationId xmlns:a16="http://schemas.microsoft.com/office/drawing/2014/main" id="{1CEB2F7F-08C1-4B30-8033-761D7FDBB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277502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162</xdr:row>
      <xdr:rowOff>104775</xdr:rowOff>
    </xdr:from>
    <xdr:to>
      <xdr:col>3</xdr:col>
      <xdr:colOff>95250</xdr:colOff>
      <xdr:row>165</xdr:row>
      <xdr:rowOff>76201</xdr:rowOff>
    </xdr:to>
    <xdr:sp macro="" textlink="">
      <xdr:nvSpPr>
        <xdr:cNvPr id="25" name="Retângulo: Cantos Arredondados 24">
          <a:extLst>
            <a:ext uri="{FF2B5EF4-FFF2-40B4-BE49-F238E27FC236}">
              <a16:creationId xmlns:a16="http://schemas.microsoft.com/office/drawing/2014/main" id="{00A66F72-CD61-4988-8493-CE983237B254}"/>
            </a:ext>
          </a:extLst>
        </xdr:cNvPr>
        <xdr:cNvSpPr/>
      </xdr:nvSpPr>
      <xdr:spPr>
        <a:xfrm>
          <a:off x="142875" y="309657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GUARDEI</a:t>
          </a:r>
          <a:br>
            <a:rPr lang="en-GB" sz="1000" b="1"/>
          </a:br>
          <a:r>
            <a:rPr lang="en-GB" sz="1000" b="1"/>
            <a:t>RESERVA EM</a:t>
          </a:r>
          <a:br>
            <a:rPr lang="en-GB" sz="1000" b="1"/>
          </a:br>
          <a:r>
            <a:rPr lang="en-GB" sz="1000" b="1"/>
            <a:t>RENDA</a:t>
          </a:r>
          <a:r>
            <a:rPr lang="en-GB" sz="1000" b="1" baseline="0"/>
            <a:t> </a:t>
          </a:r>
          <a:r>
            <a:rPr lang="en-GB" sz="1000" b="1"/>
            <a:t>FIXA?</a:t>
          </a:r>
        </a:p>
      </xdr:txBody>
    </xdr:sp>
    <xdr:clientData/>
  </xdr:twoCellAnchor>
  <xdr:oneCellAnchor>
    <xdr:from>
      <xdr:col>1</xdr:col>
      <xdr:colOff>6244</xdr:colOff>
      <xdr:row>162</xdr:row>
      <xdr:rowOff>127748</xdr:rowOff>
    </xdr:from>
    <xdr:ext cx="246528" cy="246528"/>
    <xdr:pic>
      <xdr:nvPicPr>
        <xdr:cNvPr id="26" name="Gráfico 25" descr="Ajudar">
          <a:hlinkClick xmlns:r="http://schemas.openxmlformats.org/officeDocument/2006/relationships" r:id="rId25"/>
          <a:extLst>
            <a:ext uri="{FF2B5EF4-FFF2-40B4-BE49-F238E27FC236}">
              <a16:creationId xmlns:a16="http://schemas.microsoft.com/office/drawing/2014/main" id="{CC98B02E-3C86-49AB-BC0F-F1FBB1DAA4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309887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181</xdr:row>
      <xdr:rowOff>104775</xdr:rowOff>
    </xdr:from>
    <xdr:to>
      <xdr:col>3</xdr:col>
      <xdr:colOff>95250</xdr:colOff>
      <xdr:row>184</xdr:row>
      <xdr:rowOff>76201</xdr:rowOff>
    </xdr:to>
    <xdr:sp macro="" textlink="">
      <xdr:nvSpPr>
        <xdr:cNvPr id="27" name="Retângulo: Cantos Arredondados 26">
          <a:extLst>
            <a:ext uri="{FF2B5EF4-FFF2-40B4-BE49-F238E27FC236}">
              <a16:creationId xmlns:a16="http://schemas.microsoft.com/office/drawing/2014/main" id="{C39ADECF-7999-491D-BA62-4D5CDC13C3AE}"/>
            </a:ext>
          </a:extLst>
        </xdr:cNvPr>
        <xdr:cNvSpPr/>
      </xdr:nvSpPr>
      <xdr:spPr>
        <a:xfrm>
          <a:off x="142875" y="345852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/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GUARDEI</a:t>
          </a:r>
          <a:b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RESERVA EM</a:t>
          </a:r>
          <a:b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RENDA</a:t>
          </a:r>
          <a:r>
            <a:rPr lang="en-GB" sz="10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VARIÁVEL?</a:t>
          </a:r>
          <a:endParaRPr lang="en-GB" sz="1000">
            <a:effectLst/>
          </a:endParaRPr>
        </a:p>
      </xdr:txBody>
    </xdr:sp>
    <xdr:clientData/>
  </xdr:twoCellAnchor>
  <xdr:oneCellAnchor>
    <xdr:from>
      <xdr:col>1</xdr:col>
      <xdr:colOff>6244</xdr:colOff>
      <xdr:row>181</xdr:row>
      <xdr:rowOff>127748</xdr:rowOff>
    </xdr:from>
    <xdr:ext cx="246528" cy="246528"/>
    <xdr:pic>
      <xdr:nvPicPr>
        <xdr:cNvPr id="28" name="Gráfico 27" descr="Ajudar">
          <a:hlinkClick xmlns:r="http://schemas.openxmlformats.org/officeDocument/2006/relationships" r:id="rId26"/>
          <a:extLst>
            <a:ext uri="{FF2B5EF4-FFF2-40B4-BE49-F238E27FC236}">
              <a16:creationId xmlns:a16="http://schemas.microsoft.com/office/drawing/2014/main" id="{5ABEFBE4-425A-4B5D-9B5B-347BF72167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346082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200</xdr:row>
      <xdr:rowOff>104775</xdr:rowOff>
    </xdr:from>
    <xdr:to>
      <xdr:col>3</xdr:col>
      <xdr:colOff>95250</xdr:colOff>
      <xdr:row>203</xdr:row>
      <xdr:rowOff>76201</xdr:rowOff>
    </xdr:to>
    <xdr:sp macro="" textlink="">
      <xdr:nvSpPr>
        <xdr:cNvPr id="29" name="Retângulo: Cantos Arredondados 28">
          <a:extLst>
            <a:ext uri="{FF2B5EF4-FFF2-40B4-BE49-F238E27FC236}">
              <a16:creationId xmlns:a16="http://schemas.microsoft.com/office/drawing/2014/main" id="{83524E7B-F5E0-4FA1-9DBA-4DA96F3058DB}"/>
            </a:ext>
          </a:extLst>
        </xdr:cNvPr>
        <xdr:cNvSpPr/>
      </xdr:nvSpPr>
      <xdr:spPr>
        <a:xfrm>
          <a:off x="142875" y="382047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/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GUARDEI</a:t>
          </a:r>
          <a:b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RESERVA EM</a:t>
          </a:r>
          <a:b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OUTROS ATIVOS?</a:t>
          </a:r>
          <a:endParaRPr lang="en-GB" sz="1000">
            <a:effectLst/>
          </a:endParaRPr>
        </a:p>
      </xdr:txBody>
    </xdr:sp>
    <xdr:clientData/>
  </xdr:twoCellAnchor>
  <xdr:oneCellAnchor>
    <xdr:from>
      <xdr:col>1</xdr:col>
      <xdr:colOff>6244</xdr:colOff>
      <xdr:row>200</xdr:row>
      <xdr:rowOff>127748</xdr:rowOff>
    </xdr:from>
    <xdr:ext cx="246528" cy="246528"/>
    <xdr:pic>
      <xdr:nvPicPr>
        <xdr:cNvPr id="30" name="Gráfico 29" descr="Ajudar">
          <a:hlinkClick xmlns:r="http://schemas.openxmlformats.org/officeDocument/2006/relationships" r:id="rId27"/>
          <a:extLst>
            <a:ext uri="{FF2B5EF4-FFF2-40B4-BE49-F238E27FC236}">
              <a16:creationId xmlns:a16="http://schemas.microsoft.com/office/drawing/2014/main" id="{90EA21C6-5DEB-43FE-B52F-E861213F26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382277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2</xdr:col>
      <xdr:colOff>319257</xdr:colOff>
      <xdr:row>77</xdr:row>
      <xdr:rowOff>126685</xdr:rowOff>
    </xdr:from>
    <xdr:ext cx="392036" cy="395999"/>
    <xdr:pic>
      <xdr:nvPicPr>
        <xdr:cNvPr id="31" name="Gráfico 30" descr="Dinheiro">
          <a:extLst>
            <a:ext uri="{FF2B5EF4-FFF2-40B4-BE49-F238E27FC236}">
              <a16:creationId xmlns:a16="http://schemas.microsoft.com/office/drawing/2014/main" id="{3D8DB894-A7D5-424C-BA62-581D5BA8C3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9"/>
            </a:ext>
          </a:extLst>
        </a:blip>
        <a:stretch>
          <a:fillRect/>
        </a:stretch>
      </xdr:blipFill>
      <xdr:spPr>
        <a:xfrm flipH="1">
          <a:off x="566907" y="14795185"/>
          <a:ext cx="392036" cy="395999"/>
        </a:xfrm>
        <a:prstGeom prst="rect">
          <a:avLst/>
        </a:prstGeom>
      </xdr:spPr>
    </xdr:pic>
    <xdr:clientData/>
  </xdr:oneCellAnchor>
  <xdr:oneCellAnchor>
    <xdr:from>
      <xdr:col>2</xdr:col>
      <xdr:colOff>319257</xdr:colOff>
      <xdr:row>91</xdr:row>
      <xdr:rowOff>115798</xdr:rowOff>
    </xdr:from>
    <xdr:ext cx="400936" cy="396000"/>
    <xdr:pic>
      <xdr:nvPicPr>
        <xdr:cNvPr id="32" name="Gráfico 31" descr="Dinheiro">
          <a:extLst>
            <a:ext uri="{FF2B5EF4-FFF2-40B4-BE49-F238E27FC236}">
              <a16:creationId xmlns:a16="http://schemas.microsoft.com/office/drawing/2014/main" id="{B4261CF6-EE06-42E4-8BB9-E9503D598F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9"/>
            </a:ext>
          </a:extLst>
        </a:blip>
        <a:stretch>
          <a:fillRect/>
        </a:stretch>
      </xdr:blipFill>
      <xdr:spPr>
        <a:xfrm flipH="1">
          <a:off x="566907" y="17451298"/>
          <a:ext cx="400936" cy="396000"/>
        </a:xfrm>
        <a:prstGeom prst="rect">
          <a:avLst/>
        </a:prstGeom>
      </xdr:spPr>
    </xdr:pic>
    <xdr:clientData/>
  </xdr:oneCellAnchor>
  <xdr:oneCellAnchor>
    <xdr:from>
      <xdr:col>2</xdr:col>
      <xdr:colOff>330528</xdr:colOff>
      <xdr:row>108</xdr:row>
      <xdr:rowOff>134224</xdr:rowOff>
    </xdr:from>
    <xdr:ext cx="392250" cy="406702"/>
    <xdr:pic>
      <xdr:nvPicPr>
        <xdr:cNvPr id="33" name="Gráfico 32" descr="Moedas">
          <a:extLst>
            <a:ext uri="{FF2B5EF4-FFF2-40B4-BE49-F238E27FC236}">
              <a16:creationId xmlns:a16="http://schemas.microsoft.com/office/drawing/2014/main" id="{57A02BAC-1763-4B7C-AFE7-43E115D4A2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1"/>
            </a:ext>
          </a:extLst>
        </a:blip>
        <a:stretch>
          <a:fillRect/>
        </a:stretch>
      </xdr:blipFill>
      <xdr:spPr>
        <a:xfrm flipH="1">
          <a:off x="578178" y="20708224"/>
          <a:ext cx="392250" cy="406702"/>
        </a:xfrm>
        <a:prstGeom prst="rect">
          <a:avLst/>
        </a:prstGeom>
      </xdr:spPr>
    </xdr:pic>
    <xdr:clientData/>
  </xdr:oneCellAnchor>
  <xdr:oneCellAnchor>
    <xdr:from>
      <xdr:col>2</xdr:col>
      <xdr:colOff>285751</xdr:colOff>
      <xdr:row>127</xdr:row>
      <xdr:rowOff>149678</xdr:rowOff>
    </xdr:from>
    <xdr:ext cx="392250" cy="406704"/>
    <xdr:pic>
      <xdr:nvPicPr>
        <xdr:cNvPr id="34" name="Gráfico 33" descr="Moedas">
          <a:extLst>
            <a:ext uri="{FF2B5EF4-FFF2-40B4-BE49-F238E27FC236}">
              <a16:creationId xmlns:a16="http://schemas.microsoft.com/office/drawing/2014/main" id="{04195CBC-DF90-4471-92BB-F813F1AE3A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1"/>
            </a:ext>
          </a:extLst>
        </a:blip>
        <a:stretch>
          <a:fillRect/>
        </a:stretch>
      </xdr:blipFill>
      <xdr:spPr>
        <a:xfrm flipH="1">
          <a:off x="533401" y="24343178"/>
          <a:ext cx="392250" cy="406704"/>
        </a:xfrm>
        <a:prstGeom prst="rect">
          <a:avLst/>
        </a:prstGeom>
      </xdr:spPr>
    </xdr:pic>
    <xdr:clientData/>
  </xdr:oneCellAnchor>
  <xdr:oneCellAnchor>
    <xdr:from>
      <xdr:col>2</xdr:col>
      <xdr:colOff>288474</xdr:colOff>
      <xdr:row>146</xdr:row>
      <xdr:rowOff>152399</xdr:rowOff>
    </xdr:from>
    <xdr:ext cx="392250" cy="406702"/>
    <xdr:pic>
      <xdr:nvPicPr>
        <xdr:cNvPr id="35" name="Gráfico 34" descr="Moedas">
          <a:extLst>
            <a:ext uri="{FF2B5EF4-FFF2-40B4-BE49-F238E27FC236}">
              <a16:creationId xmlns:a16="http://schemas.microsoft.com/office/drawing/2014/main" id="{ABD2F3D8-2E28-4D0C-B298-77A6763DC6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1"/>
            </a:ext>
          </a:extLst>
        </a:blip>
        <a:stretch>
          <a:fillRect/>
        </a:stretch>
      </xdr:blipFill>
      <xdr:spPr>
        <a:xfrm flipH="1">
          <a:off x="536124" y="27965399"/>
          <a:ext cx="392250" cy="406702"/>
        </a:xfrm>
        <a:prstGeom prst="rect">
          <a:avLst/>
        </a:prstGeom>
      </xdr:spPr>
    </xdr:pic>
    <xdr:clientData/>
  </xdr:oneCellAnchor>
  <xdr:oneCellAnchor>
    <xdr:from>
      <xdr:col>2</xdr:col>
      <xdr:colOff>300483</xdr:colOff>
      <xdr:row>163</xdr:row>
      <xdr:rowOff>123265</xdr:rowOff>
    </xdr:from>
    <xdr:ext cx="405011" cy="396000"/>
    <xdr:pic>
      <xdr:nvPicPr>
        <xdr:cNvPr id="36" name="Gráfico 35" descr="Sirene">
          <a:extLst>
            <a:ext uri="{FF2B5EF4-FFF2-40B4-BE49-F238E27FC236}">
              <a16:creationId xmlns:a16="http://schemas.microsoft.com/office/drawing/2014/main" id="{160297C1-695B-4220-903D-BAE38F2ADA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3"/>
            </a:ext>
          </a:extLst>
        </a:blip>
        <a:stretch>
          <a:fillRect/>
        </a:stretch>
      </xdr:blipFill>
      <xdr:spPr>
        <a:xfrm>
          <a:off x="548133" y="31174765"/>
          <a:ext cx="405011" cy="396000"/>
        </a:xfrm>
        <a:prstGeom prst="rect">
          <a:avLst/>
        </a:prstGeom>
        <a:effectLst/>
      </xdr:spPr>
    </xdr:pic>
    <xdr:clientData/>
  </xdr:oneCellAnchor>
  <xdr:oneCellAnchor>
    <xdr:from>
      <xdr:col>2</xdr:col>
      <xdr:colOff>300483</xdr:colOff>
      <xdr:row>182</xdr:row>
      <xdr:rowOff>107576</xdr:rowOff>
    </xdr:from>
    <xdr:ext cx="405011" cy="400203"/>
    <xdr:pic>
      <xdr:nvPicPr>
        <xdr:cNvPr id="37" name="Gráfico 36" descr="Sirene">
          <a:extLst>
            <a:ext uri="{FF2B5EF4-FFF2-40B4-BE49-F238E27FC236}">
              <a16:creationId xmlns:a16="http://schemas.microsoft.com/office/drawing/2014/main" id="{6E661781-BF99-4496-8D59-6014D910B0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3"/>
            </a:ext>
          </a:extLst>
        </a:blip>
        <a:stretch>
          <a:fillRect/>
        </a:stretch>
      </xdr:blipFill>
      <xdr:spPr>
        <a:xfrm>
          <a:off x="548133" y="34778576"/>
          <a:ext cx="405011" cy="400203"/>
        </a:xfrm>
        <a:prstGeom prst="rect">
          <a:avLst/>
        </a:prstGeom>
        <a:effectLst/>
      </xdr:spPr>
    </xdr:pic>
    <xdr:clientData/>
  </xdr:oneCellAnchor>
  <xdr:oneCellAnchor>
    <xdr:from>
      <xdr:col>2</xdr:col>
      <xdr:colOff>300483</xdr:colOff>
      <xdr:row>201</xdr:row>
      <xdr:rowOff>125505</xdr:rowOff>
    </xdr:from>
    <xdr:ext cx="405011" cy="396000"/>
    <xdr:pic>
      <xdr:nvPicPr>
        <xdr:cNvPr id="38" name="Gráfico 37" descr="Sirene">
          <a:extLst>
            <a:ext uri="{FF2B5EF4-FFF2-40B4-BE49-F238E27FC236}">
              <a16:creationId xmlns:a16="http://schemas.microsoft.com/office/drawing/2014/main" id="{4EE7EF4F-4CE9-4EBB-A80E-0472BDC99A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3"/>
            </a:ext>
          </a:extLst>
        </a:blip>
        <a:stretch>
          <a:fillRect/>
        </a:stretch>
      </xdr:blipFill>
      <xdr:spPr>
        <a:xfrm>
          <a:off x="548133" y="38416005"/>
          <a:ext cx="405011" cy="396000"/>
        </a:xfrm>
        <a:prstGeom prst="rect">
          <a:avLst/>
        </a:prstGeom>
        <a:effectLst/>
      </xdr:spPr>
    </xdr:pic>
    <xdr:clientData/>
  </xdr:oneCellAnchor>
  <xdr:oneCellAnchor>
    <xdr:from>
      <xdr:col>31</xdr:col>
      <xdr:colOff>190500</xdr:colOff>
      <xdr:row>1</xdr:row>
      <xdr:rowOff>141194</xdr:rowOff>
    </xdr:from>
    <xdr:ext cx="342000" cy="341999"/>
    <xdr:pic>
      <xdr:nvPicPr>
        <xdr:cNvPr id="39" name="Gráfico 38" descr="Virar calendário">
          <a:hlinkClick xmlns:r="http://schemas.openxmlformats.org/officeDocument/2006/relationships" r:id="rId34"/>
          <a:extLst>
            <a:ext uri="{FF2B5EF4-FFF2-40B4-BE49-F238E27FC236}">
              <a16:creationId xmlns:a16="http://schemas.microsoft.com/office/drawing/2014/main" id="{DFB9F295-BF9E-4B6C-BABD-33AA681523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6"/>
            </a:ext>
          </a:extLst>
        </a:blip>
        <a:stretch>
          <a:fillRect/>
        </a:stretch>
      </xdr:blipFill>
      <xdr:spPr>
        <a:xfrm>
          <a:off x="12734925" y="331694"/>
          <a:ext cx="342000" cy="341999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26</xdr:col>
      <xdr:colOff>324971</xdr:colOff>
      <xdr:row>2</xdr:row>
      <xdr:rowOff>174812</xdr:rowOff>
    </xdr:from>
    <xdr:to>
      <xdr:col>28</xdr:col>
      <xdr:colOff>22412</xdr:colOff>
      <xdr:row>2</xdr:row>
      <xdr:rowOff>174812</xdr:rowOff>
    </xdr:to>
    <xdr:cxnSp macro="">
      <xdr:nvCxnSpPr>
        <xdr:cNvPr id="40" name="Conector reto 39">
          <a:extLst>
            <a:ext uri="{FF2B5EF4-FFF2-40B4-BE49-F238E27FC236}">
              <a16:creationId xmlns:a16="http://schemas.microsoft.com/office/drawing/2014/main" id="{459D0758-D16D-4CBD-B064-A24F007EDFEE}"/>
            </a:ext>
          </a:extLst>
        </xdr:cNvPr>
        <xdr:cNvCxnSpPr/>
      </xdr:nvCxnSpPr>
      <xdr:spPr>
        <a:xfrm>
          <a:off x="11012021" y="555812"/>
          <a:ext cx="440391" cy="0"/>
        </a:xfrm>
        <a:prstGeom prst="line">
          <a:avLst/>
        </a:prstGeom>
        <a:ln>
          <a:solidFill>
            <a:srgbClr val="FFEBAB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331694</xdr:colOff>
      <xdr:row>2</xdr:row>
      <xdr:rowOff>174812</xdr:rowOff>
    </xdr:from>
    <xdr:to>
      <xdr:col>31</xdr:col>
      <xdr:colOff>29135</xdr:colOff>
      <xdr:row>2</xdr:row>
      <xdr:rowOff>174812</xdr:rowOff>
    </xdr:to>
    <xdr:cxnSp macro="">
      <xdr:nvCxnSpPr>
        <xdr:cNvPr id="41" name="Conector reto 40">
          <a:extLst>
            <a:ext uri="{FF2B5EF4-FFF2-40B4-BE49-F238E27FC236}">
              <a16:creationId xmlns:a16="http://schemas.microsoft.com/office/drawing/2014/main" id="{07B3B5C9-301F-40BC-B235-1D0245A00638}"/>
            </a:ext>
          </a:extLst>
        </xdr:cNvPr>
        <xdr:cNvCxnSpPr/>
      </xdr:nvCxnSpPr>
      <xdr:spPr>
        <a:xfrm>
          <a:off x="12133169" y="555812"/>
          <a:ext cx="440391" cy="0"/>
        </a:xfrm>
        <a:prstGeom prst="line">
          <a:avLst/>
        </a:prstGeom>
        <a:ln>
          <a:solidFill>
            <a:srgbClr val="FFEBAB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0</xdr:col>
      <xdr:colOff>142210</xdr:colOff>
      <xdr:row>8</xdr:row>
      <xdr:rowOff>121771</xdr:rowOff>
    </xdr:from>
    <xdr:ext cx="250264" cy="246528"/>
    <xdr:pic>
      <xdr:nvPicPr>
        <xdr:cNvPr id="43" name="Gráfico 42" descr="Ajudar">
          <a:hlinkClick xmlns:r="http://schemas.openxmlformats.org/officeDocument/2006/relationships" r:id="rId37"/>
          <a:extLst>
            <a:ext uri="{FF2B5EF4-FFF2-40B4-BE49-F238E27FC236}">
              <a16:creationId xmlns:a16="http://schemas.microsoft.com/office/drawing/2014/main" id="{81DCF699-1ED7-4D79-9CD5-140C7C151F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2210" y="1645771"/>
          <a:ext cx="250264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35</xdr:col>
      <xdr:colOff>185459</xdr:colOff>
      <xdr:row>2</xdr:row>
      <xdr:rowOff>145676</xdr:rowOff>
    </xdr:from>
    <xdr:ext cx="429353" cy="424356"/>
    <xdr:pic>
      <xdr:nvPicPr>
        <xdr:cNvPr id="44" name="Gráfico 43" descr="Seta Reta">
          <a:hlinkClick xmlns:r="http://schemas.openxmlformats.org/officeDocument/2006/relationships" r:id="rId38" tooltip="PRÓXIMO MÊS"/>
          <a:extLst>
            <a:ext uri="{FF2B5EF4-FFF2-40B4-BE49-F238E27FC236}">
              <a16:creationId xmlns:a16="http://schemas.microsoft.com/office/drawing/2014/main" id="{05D0047C-D0D5-40DE-9D10-3461F304FF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0"/>
            </a:ext>
          </a:extLst>
        </a:blip>
        <a:stretch>
          <a:fillRect/>
        </a:stretch>
      </xdr:blipFill>
      <xdr:spPr>
        <a:xfrm rot="10800000">
          <a:off x="14215784" y="526676"/>
          <a:ext cx="429353" cy="424356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35</xdr:col>
      <xdr:colOff>156882</xdr:colOff>
      <xdr:row>1</xdr:row>
      <xdr:rowOff>67235</xdr:rowOff>
    </xdr:from>
    <xdr:ext cx="426552" cy="424356"/>
    <xdr:pic>
      <xdr:nvPicPr>
        <xdr:cNvPr id="45" name="Gráfico 44" descr="Seta Reta">
          <a:hlinkClick xmlns:r="http://schemas.openxmlformats.org/officeDocument/2006/relationships" r:id="rId41" tooltip="MÊS ANTERIOR"/>
          <a:extLst>
            <a:ext uri="{FF2B5EF4-FFF2-40B4-BE49-F238E27FC236}">
              <a16:creationId xmlns:a16="http://schemas.microsoft.com/office/drawing/2014/main" id="{1EB5B6CF-C6AB-4EBD-A550-B835568283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0"/>
            </a:ext>
          </a:extLst>
        </a:blip>
        <a:stretch>
          <a:fillRect/>
        </a:stretch>
      </xdr:blipFill>
      <xdr:spPr>
        <a:xfrm>
          <a:off x="14187207" y="257735"/>
          <a:ext cx="426552" cy="424356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35</xdr:col>
      <xdr:colOff>0</xdr:colOff>
      <xdr:row>5</xdr:row>
      <xdr:rowOff>0</xdr:rowOff>
    </xdr:from>
    <xdr:to>
      <xdr:col>35</xdr:col>
      <xdr:colOff>549089</xdr:colOff>
      <xdr:row>6</xdr:row>
      <xdr:rowOff>11207</xdr:rowOff>
    </xdr:to>
    <xdr:sp macro="" textlink="">
      <xdr:nvSpPr>
        <xdr:cNvPr id="46" name="Balão de Fala: Retângulo com Cantos Arredondados 45">
          <a:extLst>
            <a:ext uri="{FF2B5EF4-FFF2-40B4-BE49-F238E27FC236}">
              <a16:creationId xmlns:a16="http://schemas.microsoft.com/office/drawing/2014/main" id="{7F0991FB-3B7C-414C-8754-6481AD566FCD}"/>
            </a:ext>
          </a:extLst>
        </xdr:cNvPr>
        <xdr:cNvSpPr/>
      </xdr:nvSpPr>
      <xdr:spPr>
        <a:xfrm>
          <a:off x="13973735" y="795618"/>
          <a:ext cx="549089" cy="179295"/>
        </a:xfrm>
        <a:prstGeom prst="wedgeRoundRectCallout">
          <a:avLst>
            <a:gd name="adj1" fmla="val -18889"/>
            <a:gd name="adj2" fmla="val 13747"/>
            <a:gd name="adj3" fmla="val 16667"/>
          </a:avLst>
        </a:prstGeom>
        <a:solidFill>
          <a:srgbClr val="7030A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tIns="28800" bIns="36000" rtlCol="0" anchor="ctr"/>
        <a:lstStyle/>
        <a:p>
          <a:pPr algn="ctr"/>
          <a:r>
            <a:rPr lang="en-GB" sz="900"/>
            <a:t>DIAS</a:t>
          </a:r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153895</xdr:colOff>
      <xdr:row>54</xdr:row>
      <xdr:rowOff>78440</xdr:rowOff>
    </xdr:from>
    <xdr:to>
      <xdr:col>3</xdr:col>
      <xdr:colOff>99733</xdr:colOff>
      <xdr:row>57</xdr:row>
      <xdr:rowOff>64621</xdr:rowOff>
    </xdr:to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B00DD9F4-30D7-453D-BA0C-A4D3AE04BD66}"/>
            </a:ext>
          </a:extLst>
        </xdr:cNvPr>
        <xdr:cNvSpPr/>
      </xdr:nvSpPr>
      <xdr:spPr>
        <a:xfrm>
          <a:off x="144370" y="10365440"/>
          <a:ext cx="2155638" cy="557681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REDUZI</a:t>
          </a:r>
          <a:br>
            <a:rPr lang="en-GB" sz="1000" b="1"/>
          </a:br>
          <a:r>
            <a:rPr lang="en-GB" sz="1000" b="1"/>
            <a:t>DESPESAS</a:t>
          </a:r>
          <a:br>
            <a:rPr lang="en-GB" sz="1000" b="1"/>
          </a:br>
          <a:r>
            <a:rPr lang="en-GB" sz="1000" b="1"/>
            <a:t>VARIÁVEIS?</a:t>
          </a:r>
        </a:p>
      </xdr:txBody>
    </xdr:sp>
    <xdr:clientData/>
  </xdr:twoCellAnchor>
  <xdr:twoCellAnchor>
    <xdr:from>
      <xdr:col>0</xdr:col>
      <xdr:colOff>132337</xdr:colOff>
      <xdr:row>8</xdr:row>
      <xdr:rowOff>104775</xdr:rowOff>
    </xdr:from>
    <xdr:to>
      <xdr:col>3</xdr:col>
      <xdr:colOff>77908</xdr:colOff>
      <xdr:row>11</xdr:row>
      <xdr:rowOff>76201</xdr:rowOff>
    </xdr:to>
    <xdr:sp macro="" textlink="">
      <xdr:nvSpPr>
        <xdr:cNvPr id="3" name="Retângulo: Cantos Arredondados 2">
          <a:extLst>
            <a:ext uri="{FF2B5EF4-FFF2-40B4-BE49-F238E27FC236}">
              <a16:creationId xmlns:a16="http://schemas.microsoft.com/office/drawing/2014/main" id="{81ACCA3A-889F-42E5-890A-6AED9DAB73F5}"/>
            </a:ext>
          </a:extLst>
        </xdr:cNvPr>
        <xdr:cNvSpPr/>
      </xdr:nvSpPr>
      <xdr:spPr>
        <a:xfrm>
          <a:off x="132337" y="1628775"/>
          <a:ext cx="2145846" cy="542926"/>
        </a:xfrm>
        <a:prstGeom prst="roundRect">
          <a:avLst>
            <a:gd name="adj" fmla="val 7028"/>
          </a:avLst>
        </a:prstGeom>
        <a:solidFill>
          <a:srgbClr val="007CA8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CONSEGUI</a:t>
          </a:r>
          <a:br>
            <a:rPr lang="en-GB" sz="1000" b="1"/>
          </a:br>
          <a:r>
            <a:rPr lang="en-GB" sz="1000" b="1"/>
            <a:t>JUNTAR</a:t>
          </a:r>
          <a:br>
            <a:rPr lang="en-GB" sz="1000" b="1"/>
          </a:br>
          <a:r>
            <a:rPr lang="en-GB" sz="1000" b="1"/>
            <a:t>DINHEIRO?</a:t>
          </a:r>
        </a:p>
      </xdr:txBody>
    </xdr:sp>
    <xdr:clientData/>
  </xdr:twoCellAnchor>
  <xdr:twoCellAnchor>
    <xdr:from>
      <xdr:col>0</xdr:col>
      <xdr:colOff>132337</xdr:colOff>
      <xdr:row>19</xdr:row>
      <xdr:rowOff>104775</xdr:rowOff>
    </xdr:from>
    <xdr:to>
      <xdr:col>3</xdr:col>
      <xdr:colOff>77908</xdr:colOff>
      <xdr:row>22</xdr:row>
      <xdr:rowOff>57151</xdr:rowOff>
    </xdr:to>
    <xdr:sp macro="" textlink="">
      <xdr:nvSpPr>
        <xdr:cNvPr id="4" name="Retângulo: Cantos Arredondados 3">
          <a:extLst>
            <a:ext uri="{FF2B5EF4-FFF2-40B4-BE49-F238E27FC236}">
              <a16:creationId xmlns:a16="http://schemas.microsoft.com/office/drawing/2014/main" id="{01085F27-AB7A-4A8F-961F-43354C15521F}"/>
            </a:ext>
          </a:extLst>
        </xdr:cNvPr>
        <xdr:cNvSpPr/>
      </xdr:nvSpPr>
      <xdr:spPr>
        <a:xfrm>
          <a:off x="132337" y="3724275"/>
          <a:ext cx="2145846" cy="523876"/>
        </a:xfrm>
        <a:prstGeom prst="roundRect">
          <a:avLst>
            <a:gd name="adj" fmla="val 7028"/>
          </a:avLst>
        </a:prstGeom>
        <a:solidFill>
          <a:srgbClr val="007CA8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CONSEGUI</a:t>
          </a:r>
          <a:br>
            <a:rPr lang="en-GB" sz="1000" b="1"/>
          </a:br>
          <a:r>
            <a:rPr lang="en-GB" sz="1000" b="1"/>
            <a:t>GUARDAR E</a:t>
          </a:r>
          <a:br>
            <a:rPr lang="en-GB" sz="1000" b="1"/>
          </a:br>
          <a:r>
            <a:rPr lang="en-GB" sz="1000" b="1"/>
            <a:t>INVESTIR?</a:t>
          </a:r>
        </a:p>
      </xdr:txBody>
    </xdr:sp>
    <xdr:clientData/>
  </xdr:twoCellAnchor>
  <xdr:oneCellAnchor>
    <xdr:from>
      <xdr:col>2</xdr:col>
      <xdr:colOff>282383</xdr:colOff>
      <xdr:row>20</xdr:row>
      <xdr:rowOff>118215</xdr:rowOff>
    </xdr:from>
    <xdr:ext cx="399499" cy="396000"/>
    <xdr:pic>
      <xdr:nvPicPr>
        <xdr:cNvPr id="5" name="Gráfico 4" descr="Cofrinho">
          <a:extLst>
            <a:ext uri="{FF2B5EF4-FFF2-40B4-BE49-F238E27FC236}">
              <a16:creationId xmlns:a16="http://schemas.microsoft.com/office/drawing/2014/main" id="{902EA723-EECF-4E25-BB71-F38F67DC35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530033" y="3928215"/>
          <a:ext cx="399499" cy="396000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2</xdr:col>
      <xdr:colOff>283926</xdr:colOff>
      <xdr:row>9</xdr:row>
      <xdr:rowOff>151343</xdr:rowOff>
    </xdr:from>
    <xdr:ext cx="396412" cy="396001"/>
    <xdr:pic>
      <xdr:nvPicPr>
        <xdr:cNvPr id="6" name="Gráfico 5" descr="Carteira">
          <a:extLst>
            <a:ext uri="{FF2B5EF4-FFF2-40B4-BE49-F238E27FC236}">
              <a16:creationId xmlns:a16="http://schemas.microsoft.com/office/drawing/2014/main" id="{29CD3779-D4D7-4B5A-8CCB-3E8694316D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531576" y="1865843"/>
          <a:ext cx="396412" cy="396001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0</xdr:col>
      <xdr:colOff>145864</xdr:colOff>
      <xdr:row>31</xdr:row>
      <xdr:rowOff>89647</xdr:rowOff>
    </xdr:from>
    <xdr:to>
      <xdr:col>3</xdr:col>
      <xdr:colOff>91702</xdr:colOff>
      <xdr:row>34</xdr:row>
      <xdr:rowOff>79002</xdr:rowOff>
    </xdr:to>
    <xdr:sp macro="" textlink="">
      <xdr:nvSpPr>
        <xdr:cNvPr id="7" name="Retângulo: Cantos Arredondados 6">
          <a:extLst>
            <a:ext uri="{FF2B5EF4-FFF2-40B4-BE49-F238E27FC236}">
              <a16:creationId xmlns:a16="http://schemas.microsoft.com/office/drawing/2014/main" id="{AA35348E-0E9C-4DE9-82AD-A92E1B9A5F97}"/>
            </a:ext>
          </a:extLst>
        </xdr:cNvPr>
        <xdr:cNvSpPr/>
      </xdr:nvSpPr>
      <xdr:spPr>
        <a:xfrm>
          <a:off x="145864" y="5995147"/>
          <a:ext cx="2146113" cy="560855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REDUZI</a:t>
          </a:r>
          <a:br>
            <a:rPr lang="en-GB" sz="1000" b="1"/>
          </a:br>
          <a:r>
            <a:rPr lang="en-GB" sz="1000" b="1"/>
            <a:t>DESPESAS</a:t>
          </a:r>
          <a:br>
            <a:rPr lang="en-GB" sz="1000" b="1"/>
          </a:br>
          <a:r>
            <a:rPr lang="en-GB" sz="1000" b="1"/>
            <a:t>F</a:t>
          </a:r>
          <a:r>
            <a:rPr lang="en-GB" sz="1000" b="1" baseline="0"/>
            <a:t>IXAS?</a:t>
          </a:r>
          <a:endParaRPr lang="en-GB" sz="1000" b="1"/>
        </a:p>
      </xdr:txBody>
    </xdr:sp>
    <xdr:clientData/>
  </xdr:twoCellAnchor>
  <xdr:oneCellAnchor>
    <xdr:from>
      <xdr:col>2</xdr:col>
      <xdr:colOff>315419</xdr:colOff>
      <xdr:row>32</xdr:row>
      <xdr:rowOff>144489</xdr:rowOff>
    </xdr:from>
    <xdr:ext cx="394594" cy="395999"/>
    <xdr:pic>
      <xdr:nvPicPr>
        <xdr:cNvPr id="8" name="Gráfico 7" descr="Eletricista">
          <a:extLst>
            <a:ext uri="{FF2B5EF4-FFF2-40B4-BE49-F238E27FC236}">
              <a16:creationId xmlns:a16="http://schemas.microsoft.com/office/drawing/2014/main" id="{60861E7B-2A04-4248-B0D2-60FF0908EE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6"/>
            </a:ext>
          </a:extLst>
        </a:blip>
        <a:stretch>
          <a:fillRect/>
        </a:stretch>
      </xdr:blipFill>
      <xdr:spPr>
        <a:xfrm>
          <a:off x="563069" y="6240489"/>
          <a:ext cx="394594" cy="395999"/>
        </a:xfrm>
        <a:prstGeom prst="rect">
          <a:avLst/>
        </a:prstGeom>
        <a:effectLst/>
      </xdr:spPr>
    </xdr:pic>
    <xdr:clientData/>
  </xdr:oneCellAnchor>
  <xdr:oneCellAnchor>
    <xdr:from>
      <xdr:col>2</xdr:col>
      <xdr:colOff>311917</xdr:colOff>
      <xdr:row>55</xdr:row>
      <xdr:rowOff>132264</xdr:rowOff>
    </xdr:from>
    <xdr:ext cx="401599" cy="395999"/>
    <xdr:pic>
      <xdr:nvPicPr>
        <xdr:cNvPr id="9" name="Gráfico 8" descr="Artista">
          <a:extLst>
            <a:ext uri="{FF2B5EF4-FFF2-40B4-BE49-F238E27FC236}">
              <a16:creationId xmlns:a16="http://schemas.microsoft.com/office/drawing/2014/main" id="{78E3E8F7-1CDE-432A-8222-DDAF689B72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8"/>
            </a:ext>
          </a:extLst>
        </a:blip>
        <a:stretch>
          <a:fillRect/>
        </a:stretch>
      </xdr:blipFill>
      <xdr:spPr>
        <a:xfrm>
          <a:off x="559567" y="10609764"/>
          <a:ext cx="401599" cy="395999"/>
        </a:xfrm>
        <a:prstGeom prst="rect">
          <a:avLst/>
        </a:prstGeom>
        <a:effectLst/>
      </xdr:spPr>
    </xdr:pic>
    <xdr:clientData/>
  </xdr:oneCellAnchor>
  <xdr:twoCellAnchor>
    <xdr:from>
      <xdr:col>1</xdr:col>
      <xdr:colOff>0</xdr:colOff>
      <xdr:row>76</xdr:row>
      <xdr:rowOff>104775</xdr:rowOff>
    </xdr:from>
    <xdr:to>
      <xdr:col>3</xdr:col>
      <xdr:colOff>95250</xdr:colOff>
      <xdr:row>79</xdr:row>
      <xdr:rowOff>76201</xdr:rowOff>
    </xdr:to>
    <xdr:sp macro="" textlink="">
      <xdr:nvSpPr>
        <xdr:cNvPr id="10" name="Retângulo: Cantos Arredondados 9">
          <a:extLst>
            <a:ext uri="{FF2B5EF4-FFF2-40B4-BE49-F238E27FC236}">
              <a16:creationId xmlns:a16="http://schemas.microsoft.com/office/drawing/2014/main" id="{5EFCD98C-D184-4431-BD45-3B040E35C7D9}"/>
            </a:ext>
          </a:extLst>
        </xdr:cNvPr>
        <xdr:cNvSpPr/>
      </xdr:nvSpPr>
      <xdr:spPr>
        <a:xfrm>
          <a:off x="142875" y="145827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AUMENTEI</a:t>
          </a:r>
          <a:br>
            <a:rPr lang="en-GB" sz="1000" b="1"/>
          </a:br>
          <a:r>
            <a:rPr lang="en-GB" sz="1000" b="1"/>
            <a:t>GANHOS</a:t>
          </a:r>
          <a:br>
            <a:rPr lang="en-GB" sz="1000" b="1"/>
          </a:br>
          <a:r>
            <a:rPr lang="en-GB" sz="1000" b="1"/>
            <a:t>FIXOS?</a:t>
          </a:r>
        </a:p>
      </xdr:txBody>
    </xdr:sp>
    <xdr:clientData/>
  </xdr:twoCellAnchor>
  <xdr:oneCellAnchor>
    <xdr:from>
      <xdr:col>28</xdr:col>
      <xdr:colOff>211792</xdr:colOff>
      <xdr:row>1</xdr:row>
      <xdr:rowOff>166407</xdr:rowOff>
    </xdr:from>
    <xdr:ext cx="310402" cy="310039"/>
    <xdr:pic>
      <xdr:nvPicPr>
        <xdr:cNvPr id="11" name="Gráfico 10" descr="Impressão digital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315C3B52-B64F-499F-B9DB-A2D8944FF2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1"/>
            </a:ext>
          </a:extLst>
        </a:blip>
        <a:stretch>
          <a:fillRect/>
        </a:stretch>
      </xdr:blipFill>
      <xdr:spPr>
        <a:xfrm>
          <a:off x="11641792" y="356907"/>
          <a:ext cx="310402" cy="310039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25</xdr:col>
      <xdr:colOff>188660</xdr:colOff>
      <xdr:row>1</xdr:row>
      <xdr:rowOff>129989</xdr:rowOff>
    </xdr:from>
    <xdr:ext cx="369173" cy="364524"/>
    <xdr:pic>
      <xdr:nvPicPr>
        <xdr:cNvPr id="12" name="Gráfico 11" descr="Trancar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id="{7964BFF5-1C6B-4B77-8620-6CAAFC102E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4"/>
            </a:ext>
          </a:extLst>
        </a:blip>
        <a:stretch>
          <a:fillRect/>
        </a:stretch>
      </xdr:blipFill>
      <xdr:spPr>
        <a:xfrm>
          <a:off x="10504235" y="320489"/>
          <a:ext cx="369173" cy="364524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1</xdr:col>
      <xdr:colOff>1017</xdr:colOff>
      <xdr:row>19</xdr:row>
      <xdr:rowOff>126254</xdr:rowOff>
    </xdr:from>
    <xdr:ext cx="250264" cy="246528"/>
    <xdr:pic>
      <xdr:nvPicPr>
        <xdr:cNvPr id="13" name="Gráfico 12" descr="Ajudar">
          <a:hlinkClick xmlns:r="http://schemas.openxmlformats.org/officeDocument/2006/relationships" r:id="rId15"/>
          <a:extLst>
            <a:ext uri="{FF2B5EF4-FFF2-40B4-BE49-F238E27FC236}">
              <a16:creationId xmlns:a16="http://schemas.microsoft.com/office/drawing/2014/main" id="{2920BA21-7EF5-412C-9285-09FE7504A3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3892" y="3745754"/>
          <a:ext cx="250264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1</xdr:col>
      <xdr:colOff>15211</xdr:colOff>
      <xdr:row>31</xdr:row>
      <xdr:rowOff>114300</xdr:rowOff>
    </xdr:from>
    <xdr:ext cx="246528" cy="246528"/>
    <xdr:pic>
      <xdr:nvPicPr>
        <xdr:cNvPr id="14" name="Gráfico 13" descr="Ajudar">
          <a:hlinkClick xmlns:r="http://schemas.openxmlformats.org/officeDocument/2006/relationships" r:id="rId18"/>
          <a:extLst>
            <a:ext uri="{FF2B5EF4-FFF2-40B4-BE49-F238E27FC236}">
              <a16:creationId xmlns:a16="http://schemas.microsoft.com/office/drawing/2014/main" id="{FB56919D-18DD-4B5A-8D79-14BED1BD6B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58086" y="6019800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1</xdr:col>
      <xdr:colOff>10727</xdr:colOff>
      <xdr:row>54</xdr:row>
      <xdr:rowOff>98613</xdr:rowOff>
    </xdr:from>
    <xdr:ext cx="246528" cy="246529"/>
    <xdr:pic>
      <xdr:nvPicPr>
        <xdr:cNvPr id="15" name="Gráfico 14" descr="Ajudar">
          <a:hlinkClick xmlns:r="http://schemas.openxmlformats.org/officeDocument/2006/relationships" r:id="rId19"/>
          <a:extLst>
            <a:ext uri="{FF2B5EF4-FFF2-40B4-BE49-F238E27FC236}">
              <a16:creationId xmlns:a16="http://schemas.microsoft.com/office/drawing/2014/main" id="{C70B0D17-5B48-4ED3-8336-2EDD384920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53602" y="10385613"/>
          <a:ext cx="246528" cy="246529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1</xdr:col>
      <xdr:colOff>6244</xdr:colOff>
      <xdr:row>76</xdr:row>
      <xdr:rowOff>127748</xdr:rowOff>
    </xdr:from>
    <xdr:ext cx="246528" cy="246528"/>
    <xdr:pic>
      <xdr:nvPicPr>
        <xdr:cNvPr id="16" name="Gráfico 15" descr="Ajudar">
          <a:hlinkClick xmlns:r="http://schemas.openxmlformats.org/officeDocument/2006/relationships" r:id="rId20"/>
          <a:extLst>
            <a:ext uri="{FF2B5EF4-FFF2-40B4-BE49-F238E27FC236}">
              <a16:creationId xmlns:a16="http://schemas.microsoft.com/office/drawing/2014/main" id="{4B7A0D2D-E4DE-4FE3-A2BC-8B2AA745E0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146057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90</xdr:row>
      <xdr:rowOff>104775</xdr:rowOff>
    </xdr:from>
    <xdr:to>
      <xdr:col>3</xdr:col>
      <xdr:colOff>95250</xdr:colOff>
      <xdr:row>93</xdr:row>
      <xdr:rowOff>76201</xdr:rowOff>
    </xdr:to>
    <xdr:sp macro="" textlink="">
      <xdr:nvSpPr>
        <xdr:cNvPr id="17" name="Retângulo: Cantos Arredondados 16">
          <a:extLst>
            <a:ext uri="{FF2B5EF4-FFF2-40B4-BE49-F238E27FC236}">
              <a16:creationId xmlns:a16="http://schemas.microsoft.com/office/drawing/2014/main" id="{9038E9F2-CFB6-4224-8645-FB947C75E689}"/>
            </a:ext>
          </a:extLst>
        </xdr:cNvPr>
        <xdr:cNvSpPr/>
      </xdr:nvSpPr>
      <xdr:spPr>
        <a:xfrm>
          <a:off x="142875" y="172497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AUMENTEI</a:t>
          </a:r>
          <a:br>
            <a:rPr lang="en-GB" sz="1000" b="1"/>
          </a:br>
          <a:r>
            <a:rPr lang="en-GB" sz="1000" b="1"/>
            <a:t>GANHOS</a:t>
          </a:r>
          <a:br>
            <a:rPr lang="en-GB" sz="1000" b="1"/>
          </a:br>
          <a:r>
            <a:rPr lang="en-GB" sz="1000" b="1"/>
            <a:t>VARIÁVEIS?</a:t>
          </a:r>
        </a:p>
      </xdr:txBody>
    </xdr:sp>
    <xdr:clientData/>
  </xdr:twoCellAnchor>
  <xdr:oneCellAnchor>
    <xdr:from>
      <xdr:col>1</xdr:col>
      <xdr:colOff>6244</xdr:colOff>
      <xdr:row>90</xdr:row>
      <xdr:rowOff>127748</xdr:rowOff>
    </xdr:from>
    <xdr:ext cx="246528" cy="246528"/>
    <xdr:pic>
      <xdr:nvPicPr>
        <xdr:cNvPr id="18" name="Gráfico 17" descr="Ajudar">
          <a:hlinkClick xmlns:r="http://schemas.openxmlformats.org/officeDocument/2006/relationships" r:id="rId21"/>
          <a:extLst>
            <a:ext uri="{FF2B5EF4-FFF2-40B4-BE49-F238E27FC236}">
              <a16:creationId xmlns:a16="http://schemas.microsoft.com/office/drawing/2014/main" id="{AE951E90-FE64-4A9B-BA23-7E777F396B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172727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107</xdr:row>
      <xdr:rowOff>104775</xdr:rowOff>
    </xdr:from>
    <xdr:to>
      <xdr:col>3</xdr:col>
      <xdr:colOff>95250</xdr:colOff>
      <xdr:row>110</xdr:row>
      <xdr:rowOff>76201</xdr:rowOff>
    </xdr:to>
    <xdr:sp macro="" textlink="">
      <xdr:nvSpPr>
        <xdr:cNvPr id="19" name="Retângulo: Cantos Arredondados 18">
          <a:extLst>
            <a:ext uri="{FF2B5EF4-FFF2-40B4-BE49-F238E27FC236}">
              <a16:creationId xmlns:a16="http://schemas.microsoft.com/office/drawing/2014/main" id="{495C1ADA-6A04-4AE9-A286-91FF49EFE983}"/>
            </a:ext>
          </a:extLst>
        </xdr:cNvPr>
        <xdr:cNvSpPr/>
      </xdr:nvSpPr>
      <xdr:spPr>
        <a:xfrm>
          <a:off x="142875" y="204882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INVESTI</a:t>
          </a:r>
          <a:r>
            <a:rPr lang="en-GB" sz="1000" b="1" baseline="0"/>
            <a:t> EM</a:t>
          </a:r>
          <a:br>
            <a:rPr lang="en-GB" sz="1000" b="1"/>
          </a:br>
          <a:r>
            <a:rPr lang="en-GB" sz="1000" b="1"/>
            <a:t>RENDA</a:t>
          </a:r>
          <a:br>
            <a:rPr lang="en-GB" sz="1000" b="1"/>
          </a:br>
          <a:r>
            <a:rPr lang="en-GB" sz="1000" b="1" baseline="0"/>
            <a:t>FIXA?</a:t>
          </a:r>
          <a:endParaRPr lang="en-GB" sz="1000" b="1"/>
        </a:p>
      </xdr:txBody>
    </xdr:sp>
    <xdr:clientData/>
  </xdr:twoCellAnchor>
  <xdr:oneCellAnchor>
    <xdr:from>
      <xdr:col>1</xdr:col>
      <xdr:colOff>6244</xdr:colOff>
      <xdr:row>107</xdr:row>
      <xdr:rowOff>127748</xdr:rowOff>
    </xdr:from>
    <xdr:ext cx="246528" cy="246528"/>
    <xdr:pic>
      <xdr:nvPicPr>
        <xdr:cNvPr id="20" name="Gráfico 19" descr="Ajudar">
          <a:hlinkClick xmlns:r="http://schemas.openxmlformats.org/officeDocument/2006/relationships" r:id="rId22"/>
          <a:extLst>
            <a:ext uri="{FF2B5EF4-FFF2-40B4-BE49-F238E27FC236}">
              <a16:creationId xmlns:a16="http://schemas.microsoft.com/office/drawing/2014/main" id="{087698A3-01AB-4629-A6CB-7E880CD79C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205112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126</xdr:row>
      <xdr:rowOff>104775</xdr:rowOff>
    </xdr:from>
    <xdr:to>
      <xdr:col>3</xdr:col>
      <xdr:colOff>95250</xdr:colOff>
      <xdr:row>129</xdr:row>
      <xdr:rowOff>76201</xdr:rowOff>
    </xdr:to>
    <xdr:sp macro="" textlink="">
      <xdr:nvSpPr>
        <xdr:cNvPr id="21" name="Retângulo: Cantos Arredondados 20">
          <a:extLst>
            <a:ext uri="{FF2B5EF4-FFF2-40B4-BE49-F238E27FC236}">
              <a16:creationId xmlns:a16="http://schemas.microsoft.com/office/drawing/2014/main" id="{5F5AB9C3-EDF2-4875-9A4B-07444DF41EB7}"/>
            </a:ext>
          </a:extLst>
        </xdr:cNvPr>
        <xdr:cNvSpPr/>
      </xdr:nvSpPr>
      <xdr:spPr>
        <a:xfrm>
          <a:off x="142875" y="241077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INVESTI EM</a:t>
          </a:r>
          <a:br>
            <a:rPr lang="en-GB" sz="1000" b="1"/>
          </a:br>
          <a:r>
            <a:rPr lang="en-GB" sz="1000" b="1"/>
            <a:t>RENDA </a:t>
          </a:r>
          <a:r>
            <a:rPr lang="en-GB" sz="1000" b="1" baseline="0"/>
            <a:t>VARIÁVEL?</a:t>
          </a:r>
          <a:endParaRPr lang="en-GB" sz="1000" b="1"/>
        </a:p>
      </xdr:txBody>
    </xdr:sp>
    <xdr:clientData/>
  </xdr:twoCellAnchor>
  <xdr:oneCellAnchor>
    <xdr:from>
      <xdr:col>1</xdr:col>
      <xdr:colOff>6244</xdr:colOff>
      <xdr:row>126</xdr:row>
      <xdr:rowOff>127748</xdr:rowOff>
    </xdr:from>
    <xdr:ext cx="246528" cy="246528"/>
    <xdr:pic>
      <xdr:nvPicPr>
        <xdr:cNvPr id="22" name="Gráfico 21" descr="Ajudar">
          <a:hlinkClick xmlns:r="http://schemas.openxmlformats.org/officeDocument/2006/relationships" r:id="rId23"/>
          <a:extLst>
            <a:ext uri="{FF2B5EF4-FFF2-40B4-BE49-F238E27FC236}">
              <a16:creationId xmlns:a16="http://schemas.microsoft.com/office/drawing/2014/main" id="{8BBFF26E-57C5-4E83-ADF0-F52802F67D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241307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145</xdr:row>
      <xdr:rowOff>104775</xdr:rowOff>
    </xdr:from>
    <xdr:to>
      <xdr:col>3</xdr:col>
      <xdr:colOff>95250</xdr:colOff>
      <xdr:row>148</xdr:row>
      <xdr:rowOff>76201</xdr:rowOff>
    </xdr:to>
    <xdr:sp macro="" textlink="">
      <xdr:nvSpPr>
        <xdr:cNvPr id="23" name="Retângulo: Cantos Arredondados 22">
          <a:extLst>
            <a:ext uri="{FF2B5EF4-FFF2-40B4-BE49-F238E27FC236}">
              <a16:creationId xmlns:a16="http://schemas.microsoft.com/office/drawing/2014/main" id="{A4189DE3-F45D-49C4-9E4E-0F746BAB34E8}"/>
            </a:ext>
          </a:extLst>
        </xdr:cNvPr>
        <xdr:cNvSpPr/>
      </xdr:nvSpPr>
      <xdr:spPr>
        <a:xfrm>
          <a:off x="142875" y="277272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INVESTI</a:t>
          </a:r>
          <a:r>
            <a:rPr lang="en-GB" sz="1000" b="1" baseline="0"/>
            <a:t> EM</a:t>
          </a:r>
          <a:br>
            <a:rPr lang="en-GB" sz="1000" b="1"/>
          </a:br>
          <a:r>
            <a:rPr lang="en-GB" sz="1000" b="1"/>
            <a:t>OUTROS</a:t>
          </a:r>
          <a:br>
            <a:rPr lang="en-GB" sz="1000" b="1"/>
          </a:br>
          <a:r>
            <a:rPr lang="en-GB" sz="1000" b="1"/>
            <a:t>ATIVOS?</a:t>
          </a:r>
        </a:p>
      </xdr:txBody>
    </xdr:sp>
    <xdr:clientData/>
  </xdr:twoCellAnchor>
  <xdr:oneCellAnchor>
    <xdr:from>
      <xdr:col>1</xdr:col>
      <xdr:colOff>6244</xdr:colOff>
      <xdr:row>145</xdr:row>
      <xdr:rowOff>127748</xdr:rowOff>
    </xdr:from>
    <xdr:ext cx="246528" cy="246528"/>
    <xdr:pic>
      <xdr:nvPicPr>
        <xdr:cNvPr id="24" name="Gráfico 23" descr="Ajudar">
          <a:hlinkClick xmlns:r="http://schemas.openxmlformats.org/officeDocument/2006/relationships" r:id="rId24"/>
          <a:extLst>
            <a:ext uri="{FF2B5EF4-FFF2-40B4-BE49-F238E27FC236}">
              <a16:creationId xmlns:a16="http://schemas.microsoft.com/office/drawing/2014/main" id="{B1A02CEB-2CBF-4FD3-BEEB-6F6868A59E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277502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162</xdr:row>
      <xdr:rowOff>104775</xdr:rowOff>
    </xdr:from>
    <xdr:to>
      <xdr:col>3</xdr:col>
      <xdr:colOff>95250</xdr:colOff>
      <xdr:row>165</xdr:row>
      <xdr:rowOff>76201</xdr:rowOff>
    </xdr:to>
    <xdr:sp macro="" textlink="">
      <xdr:nvSpPr>
        <xdr:cNvPr id="25" name="Retângulo: Cantos Arredondados 24">
          <a:extLst>
            <a:ext uri="{FF2B5EF4-FFF2-40B4-BE49-F238E27FC236}">
              <a16:creationId xmlns:a16="http://schemas.microsoft.com/office/drawing/2014/main" id="{91393171-647E-4363-8507-5A76976B8F46}"/>
            </a:ext>
          </a:extLst>
        </xdr:cNvPr>
        <xdr:cNvSpPr/>
      </xdr:nvSpPr>
      <xdr:spPr>
        <a:xfrm>
          <a:off x="142875" y="309657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GUARDEI</a:t>
          </a:r>
          <a:br>
            <a:rPr lang="en-GB" sz="1000" b="1"/>
          </a:br>
          <a:r>
            <a:rPr lang="en-GB" sz="1000" b="1"/>
            <a:t>RESERVA EM</a:t>
          </a:r>
          <a:br>
            <a:rPr lang="en-GB" sz="1000" b="1"/>
          </a:br>
          <a:r>
            <a:rPr lang="en-GB" sz="1000" b="1"/>
            <a:t>RENDA</a:t>
          </a:r>
          <a:r>
            <a:rPr lang="en-GB" sz="1000" b="1" baseline="0"/>
            <a:t> </a:t>
          </a:r>
          <a:r>
            <a:rPr lang="en-GB" sz="1000" b="1"/>
            <a:t>FIXA?</a:t>
          </a:r>
        </a:p>
      </xdr:txBody>
    </xdr:sp>
    <xdr:clientData/>
  </xdr:twoCellAnchor>
  <xdr:oneCellAnchor>
    <xdr:from>
      <xdr:col>1</xdr:col>
      <xdr:colOff>6244</xdr:colOff>
      <xdr:row>162</xdr:row>
      <xdr:rowOff>127748</xdr:rowOff>
    </xdr:from>
    <xdr:ext cx="246528" cy="246528"/>
    <xdr:pic>
      <xdr:nvPicPr>
        <xdr:cNvPr id="26" name="Gráfico 25" descr="Ajudar">
          <a:hlinkClick xmlns:r="http://schemas.openxmlformats.org/officeDocument/2006/relationships" r:id="rId25"/>
          <a:extLst>
            <a:ext uri="{FF2B5EF4-FFF2-40B4-BE49-F238E27FC236}">
              <a16:creationId xmlns:a16="http://schemas.microsoft.com/office/drawing/2014/main" id="{4B5CD692-58FB-4C95-B15B-14800D6872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309887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181</xdr:row>
      <xdr:rowOff>104775</xdr:rowOff>
    </xdr:from>
    <xdr:to>
      <xdr:col>3</xdr:col>
      <xdr:colOff>95250</xdr:colOff>
      <xdr:row>184</xdr:row>
      <xdr:rowOff>76201</xdr:rowOff>
    </xdr:to>
    <xdr:sp macro="" textlink="">
      <xdr:nvSpPr>
        <xdr:cNvPr id="27" name="Retângulo: Cantos Arredondados 26">
          <a:extLst>
            <a:ext uri="{FF2B5EF4-FFF2-40B4-BE49-F238E27FC236}">
              <a16:creationId xmlns:a16="http://schemas.microsoft.com/office/drawing/2014/main" id="{D54B1150-1BDF-480F-86B8-1F0B4AEA064E}"/>
            </a:ext>
          </a:extLst>
        </xdr:cNvPr>
        <xdr:cNvSpPr/>
      </xdr:nvSpPr>
      <xdr:spPr>
        <a:xfrm>
          <a:off x="142875" y="345852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/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GUARDEI</a:t>
          </a:r>
          <a:b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RESERVA EM</a:t>
          </a:r>
          <a:b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RENDA</a:t>
          </a:r>
          <a:r>
            <a:rPr lang="en-GB" sz="10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VARIÁVEL?</a:t>
          </a:r>
          <a:endParaRPr lang="en-GB" sz="1000">
            <a:effectLst/>
          </a:endParaRPr>
        </a:p>
      </xdr:txBody>
    </xdr:sp>
    <xdr:clientData/>
  </xdr:twoCellAnchor>
  <xdr:oneCellAnchor>
    <xdr:from>
      <xdr:col>1</xdr:col>
      <xdr:colOff>6244</xdr:colOff>
      <xdr:row>181</xdr:row>
      <xdr:rowOff>127748</xdr:rowOff>
    </xdr:from>
    <xdr:ext cx="246528" cy="246528"/>
    <xdr:pic>
      <xdr:nvPicPr>
        <xdr:cNvPr id="28" name="Gráfico 27" descr="Ajudar">
          <a:hlinkClick xmlns:r="http://schemas.openxmlformats.org/officeDocument/2006/relationships" r:id="rId26"/>
          <a:extLst>
            <a:ext uri="{FF2B5EF4-FFF2-40B4-BE49-F238E27FC236}">
              <a16:creationId xmlns:a16="http://schemas.microsoft.com/office/drawing/2014/main" id="{D0DBA0D3-3BA7-4731-84E4-243F709CF3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346082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200</xdr:row>
      <xdr:rowOff>104775</xdr:rowOff>
    </xdr:from>
    <xdr:to>
      <xdr:col>3</xdr:col>
      <xdr:colOff>95250</xdr:colOff>
      <xdr:row>203</xdr:row>
      <xdr:rowOff>76201</xdr:rowOff>
    </xdr:to>
    <xdr:sp macro="" textlink="">
      <xdr:nvSpPr>
        <xdr:cNvPr id="29" name="Retângulo: Cantos Arredondados 28">
          <a:extLst>
            <a:ext uri="{FF2B5EF4-FFF2-40B4-BE49-F238E27FC236}">
              <a16:creationId xmlns:a16="http://schemas.microsoft.com/office/drawing/2014/main" id="{A3F585E1-43F4-46A4-BBD2-C7348A2F5554}"/>
            </a:ext>
          </a:extLst>
        </xdr:cNvPr>
        <xdr:cNvSpPr/>
      </xdr:nvSpPr>
      <xdr:spPr>
        <a:xfrm>
          <a:off x="142875" y="382047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/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GUARDEI</a:t>
          </a:r>
          <a:b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RESERVA EM</a:t>
          </a:r>
          <a:b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OUTROS ATIVOS?</a:t>
          </a:r>
          <a:endParaRPr lang="en-GB" sz="1000">
            <a:effectLst/>
          </a:endParaRPr>
        </a:p>
      </xdr:txBody>
    </xdr:sp>
    <xdr:clientData/>
  </xdr:twoCellAnchor>
  <xdr:oneCellAnchor>
    <xdr:from>
      <xdr:col>1</xdr:col>
      <xdr:colOff>6244</xdr:colOff>
      <xdr:row>200</xdr:row>
      <xdr:rowOff>127748</xdr:rowOff>
    </xdr:from>
    <xdr:ext cx="246528" cy="246528"/>
    <xdr:pic>
      <xdr:nvPicPr>
        <xdr:cNvPr id="30" name="Gráfico 29" descr="Ajudar">
          <a:hlinkClick xmlns:r="http://schemas.openxmlformats.org/officeDocument/2006/relationships" r:id="rId27"/>
          <a:extLst>
            <a:ext uri="{FF2B5EF4-FFF2-40B4-BE49-F238E27FC236}">
              <a16:creationId xmlns:a16="http://schemas.microsoft.com/office/drawing/2014/main" id="{947E5311-E30E-4705-9A66-8805D345CE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382277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2</xdr:col>
      <xdr:colOff>319257</xdr:colOff>
      <xdr:row>77</xdr:row>
      <xdr:rowOff>126685</xdr:rowOff>
    </xdr:from>
    <xdr:ext cx="392036" cy="395999"/>
    <xdr:pic>
      <xdr:nvPicPr>
        <xdr:cNvPr id="31" name="Gráfico 30" descr="Dinheiro">
          <a:extLst>
            <a:ext uri="{FF2B5EF4-FFF2-40B4-BE49-F238E27FC236}">
              <a16:creationId xmlns:a16="http://schemas.microsoft.com/office/drawing/2014/main" id="{6663C952-CFFF-4F38-AEFC-FC50FA5620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9"/>
            </a:ext>
          </a:extLst>
        </a:blip>
        <a:stretch>
          <a:fillRect/>
        </a:stretch>
      </xdr:blipFill>
      <xdr:spPr>
        <a:xfrm flipH="1">
          <a:off x="566907" y="14795185"/>
          <a:ext cx="392036" cy="395999"/>
        </a:xfrm>
        <a:prstGeom prst="rect">
          <a:avLst/>
        </a:prstGeom>
      </xdr:spPr>
    </xdr:pic>
    <xdr:clientData/>
  </xdr:oneCellAnchor>
  <xdr:oneCellAnchor>
    <xdr:from>
      <xdr:col>2</xdr:col>
      <xdr:colOff>319257</xdr:colOff>
      <xdr:row>91</xdr:row>
      <xdr:rowOff>115798</xdr:rowOff>
    </xdr:from>
    <xdr:ext cx="400936" cy="396000"/>
    <xdr:pic>
      <xdr:nvPicPr>
        <xdr:cNvPr id="32" name="Gráfico 31" descr="Dinheiro">
          <a:extLst>
            <a:ext uri="{FF2B5EF4-FFF2-40B4-BE49-F238E27FC236}">
              <a16:creationId xmlns:a16="http://schemas.microsoft.com/office/drawing/2014/main" id="{2A170787-A755-44FE-8AE0-A7FFC0186B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9"/>
            </a:ext>
          </a:extLst>
        </a:blip>
        <a:stretch>
          <a:fillRect/>
        </a:stretch>
      </xdr:blipFill>
      <xdr:spPr>
        <a:xfrm flipH="1">
          <a:off x="566907" y="17451298"/>
          <a:ext cx="400936" cy="396000"/>
        </a:xfrm>
        <a:prstGeom prst="rect">
          <a:avLst/>
        </a:prstGeom>
      </xdr:spPr>
    </xdr:pic>
    <xdr:clientData/>
  </xdr:oneCellAnchor>
  <xdr:oneCellAnchor>
    <xdr:from>
      <xdr:col>2</xdr:col>
      <xdr:colOff>330528</xdr:colOff>
      <xdr:row>108</xdr:row>
      <xdr:rowOff>134224</xdr:rowOff>
    </xdr:from>
    <xdr:ext cx="392250" cy="406702"/>
    <xdr:pic>
      <xdr:nvPicPr>
        <xdr:cNvPr id="33" name="Gráfico 32" descr="Moedas">
          <a:extLst>
            <a:ext uri="{FF2B5EF4-FFF2-40B4-BE49-F238E27FC236}">
              <a16:creationId xmlns:a16="http://schemas.microsoft.com/office/drawing/2014/main" id="{DF4F5B71-0986-4D33-B9DB-88D5862F5C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1"/>
            </a:ext>
          </a:extLst>
        </a:blip>
        <a:stretch>
          <a:fillRect/>
        </a:stretch>
      </xdr:blipFill>
      <xdr:spPr>
        <a:xfrm flipH="1">
          <a:off x="578178" y="20708224"/>
          <a:ext cx="392250" cy="406702"/>
        </a:xfrm>
        <a:prstGeom prst="rect">
          <a:avLst/>
        </a:prstGeom>
      </xdr:spPr>
    </xdr:pic>
    <xdr:clientData/>
  </xdr:oneCellAnchor>
  <xdr:oneCellAnchor>
    <xdr:from>
      <xdr:col>2</xdr:col>
      <xdr:colOff>285751</xdr:colOff>
      <xdr:row>127</xdr:row>
      <xdr:rowOff>149678</xdr:rowOff>
    </xdr:from>
    <xdr:ext cx="392250" cy="406704"/>
    <xdr:pic>
      <xdr:nvPicPr>
        <xdr:cNvPr id="34" name="Gráfico 33" descr="Moedas">
          <a:extLst>
            <a:ext uri="{FF2B5EF4-FFF2-40B4-BE49-F238E27FC236}">
              <a16:creationId xmlns:a16="http://schemas.microsoft.com/office/drawing/2014/main" id="{BE32D9F6-5A3C-4191-B48A-37CF4D9526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1"/>
            </a:ext>
          </a:extLst>
        </a:blip>
        <a:stretch>
          <a:fillRect/>
        </a:stretch>
      </xdr:blipFill>
      <xdr:spPr>
        <a:xfrm flipH="1">
          <a:off x="533401" y="24343178"/>
          <a:ext cx="392250" cy="406704"/>
        </a:xfrm>
        <a:prstGeom prst="rect">
          <a:avLst/>
        </a:prstGeom>
      </xdr:spPr>
    </xdr:pic>
    <xdr:clientData/>
  </xdr:oneCellAnchor>
  <xdr:oneCellAnchor>
    <xdr:from>
      <xdr:col>2</xdr:col>
      <xdr:colOff>288474</xdr:colOff>
      <xdr:row>146</xdr:row>
      <xdr:rowOff>152399</xdr:rowOff>
    </xdr:from>
    <xdr:ext cx="392250" cy="406702"/>
    <xdr:pic>
      <xdr:nvPicPr>
        <xdr:cNvPr id="35" name="Gráfico 34" descr="Moedas">
          <a:extLst>
            <a:ext uri="{FF2B5EF4-FFF2-40B4-BE49-F238E27FC236}">
              <a16:creationId xmlns:a16="http://schemas.microsoft.com/office/drawing/2014/main" id="{6A8DA3D6-C81A-4623-88A5-ECA4614FDB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1"/>
            </a:ext>
          </a:extLst>
        </a:blip>
        <a:stretch>
          <a:fillRect/>
        </a:stretch>
      </xdr:blipFill>
      <xdr:spPr>
        <a:xfrm flipH="1">
          <a:off x="536124" y="27965399"/>
          <a:ext cx="392250" cy="406702"/>
        </a:xfrm>
        <a:prstGeom prst="rect">
          <a:avLst/>
        </a:prstGeom>
      </xdr:spPr>
    </xdr:pic>
    <xdr:clientData/>
  </xdr:oneCellAnchor>
  <xdr:oneCellAnchor>
    <xdr:from>
      <xdr:col>2</xdr:col>
      <xdr:colOff>300483</xdr:colOff>
      <xdr:row>163</xdr:row>
      <xdr:rowOff>123265</xdr:rowOff>
    </xdr:from>
    <xdr:ext cx="405011" cy="396000"/>
    <xdr:pic>
      <xdr:nvPicPr>
        <xdr:cNvPr id="36" name="Gráfico 35" descr="Sirene">
          <a:extLst>
            <a:ext uri="{FF2B5EF4-FFF2-40B4-BE49-F238E27FC236}">
              <a16:creationId xmlns:a16="http://schemas.microsoft.com/office/drawing/2014/main" id="{5459D7A9-E11C-44CC-9698-3AB1598EED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3"/>
            </a:ext>
          </a:extLst>
        </a:blip>
        <a:stretch>
          <a:fillRect/>
        </a:stretch>
      </xdr:blipFill>
      <xdr:spPr>
        <a:xfrm>
          <a:off x="548133" y="31174765"/>
          <a:ext cx="405011" cy="396000"/>
        </a:xfrm>
        <a:prstGeom prst="rect">
          <a:avLst/>
        </a:prstGeom>
        <a:effectLst/>
      </xdr:spPr>
    </xdr:pic>
    <xdr:clientData/>
  </xdr:oneCellAnchor>
  <xdr:oneCellAnchor>
    <xdr:from>
      <xdr:col>2</xdr:col>
      <xdr:colOff>300483</xdr:colOff>
      <xdr:row>182</xdr:row>
      <xdr:rowOff>107576</xdr:rowOff>
    </xdr:from>
    <xdr:ext cx="405011" cy="400203"/>
    <xdr:pic>
      <xdr:nvPicPr>
        <xdr:cNvPr id="37" name="Gráfico 36" descr="Sirene">
          <a:extLst>
            <a:ext uri="{FF2B5EF4-FFF2-40B4-BE49-F238E27FC236}">
              <a16:creationId xmlns:a16="http://schemas.microsoft.com/office/drawing/2014/main" id="{DF6701A7-86E9-42B7-A26A-EFE5880636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3"/>
            </a:ext>
          </a:extLst>
        </a:blip>
        <a:stretch>
          <a:fillRect/>
        </a:stretch>
      </xdr:blipFill>
      <xdr:spPr>
        <a:xfrm>
          <a:off x="548133" y="34778576"/>
          <a:ext cx="405011" cy="400203"/>
        </a:xfrm>
        <a:prstGeom prst="rect">
          <a:avLst/>
        </a:prstGeom>
        <a:effectLst/>
      </xdr:spPr>
    </xdr:pic>
    <xdr:clientData/>
  </xdr:oneCellAnchor>
  <xdr:oneCellAnchor>
    <xdr:from>
      <xdr:col>2</xdr:col>
      <xdr:colOff>300483</xdr:colOff>
      <xdr:row>201</xdr:row>
      <xdr:rowOff>125505</xdr:rowOff>
    </xdr:from>
    <xdr:ext cx="405011" cy="396000"/>
    <xdr:pic>
      <xdr:nvPicPr>
        <xdr:cNvPr id="38" name="Gráfico 37" descr="Sirene">
          <a:extLst>
            <a:ext uri="{FF2B5EF4-FFF2-40B4-BE49-F238E27FC236}">
              <a16:creationId xmlns:a16="http://schemas.microsoft.com/office/drawing/2014/main" id="{10893BE9-1072-41BD-82A7-23D5103000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3"/>
            </a:ext>
          </a:extLst>
        </a:blip>
        <a:stretch>
          <a:fillRect/>
        </a:stretch>
      </xdr:blipFill>
      <xdr:spPr>
        <a:xfrm>
          <a:off x="548133" y="38416005"/>
          <a:ext cx="405011" cy="396000"/>
        </a:xfrm>
        <a:prstGeom prst="rect">
          <a:avLst/>
        </a:prstGeom>
        <a:effectLst/>
      </xdr:spPr>
    </xdr:pic>
    <xdr:clientData/>
  </xdr:oneCellAnchor>
  <xdr:oneCellAnchor>
    <xdr:from>
      <xdr:col>31</xdr:col>
      <xdr:colOff>190500</xdr:colOff>
      <xdr:row>1</xdr:row>
      <xdr:rowOff>141194</xdr:rowOff>
    </xdr:from>
    <xdr:ext cx="342000" cy="341999"/>
    <xdr:pic>
      <xdr:nvPicPr>
        <xdr:cNvPr id="39" name="Gráfico 38" descr="Virar calendário">
          <a:hlinkClick xmlns:r="http://schemas.openxmlformats.org/officeDocument/2006/relationships" r:id="rId34"/>
          <a:extLst>
            <a:ext uri="{FF2B5EF4-FFF2-40B4-BE49-F238E27FC236}">
              <a16:creationId xmlns:a16="http://schemas.microsoft.com/office/drawing/2014/main" id="{67D8CB65-415D-46E5-8CAD-43537CDE12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6"/>
            </a:ext>
          </a:extLst>
        </a:blip>
        <a:stretch>
          <a:fillRect/>
        </a:stretch>
      </xdr:blipFill>
      <xdr:spPr>
        <a:xfrm>
          <a:off x="12734925" y="331694"/>
          <a:ext cx="342000" cy="341999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26</xdr:col>
      <xdr:colOff>324971</xdr:colOff>
      <xdr:row>2</xdr:row>
      <xdr:rowOff>174812</xdr:rowOff>
    </xdr:from>
    <xdr:to>
      <xdr:col>28</xdr:col>
      <xdr:colOff>22412</xdr:colOff>
      <xdr:row>2</xdr:row>
      <xdr:rowOff>174812</xdr:rowOff>
    </xdr:to>
    <xdr:cxnSp macro="">
      <xdr:nvCxnSpPr>
        <xdr:cNvPr id="40" name="Conector reto 39">
          <a:extLst>
            <a:ext uri="{FF2B5EF4-FFF2-40B4-BE49-F238E27FC236}">
              <a16:creationId xmlns:a16="http://schemas.microsoft.com/office/drawing/2014/main" id="{58EC7B04-0265-47EF-8D3D-CFC73C20E805}"/>
            </a:ext>
          </a:extLst>
        </xdr:cNvPr>
        <xdr:cNvCxnSpPr/>
      </xdr:nvCxnSpPr>
      <xdr:spPr>
        <a:xfrm>
          <a:off x="11012021" y="555812"/>
          <a:ext cx="440391" cy="0"/>
        </a:xfrm>
        <a:prstGeom prst="line">
          <a:avLst/>
        </a:prstGeom>
        <a:ln>
          <a:solidFill>
            <a:srgbClr val="FFEBAB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331694</xdr:colOff>
      <xdr:row>2</xdr:row>
      <xdr:rowOff>174812</xdr:rowOff>
    </xdr:from>
    <xdr:to>
      <xdr:col>31</xdr:col>
      <xdr:colOff>29135</xdr:colOff>
      <xdr:row>2</xdr:row>
      <xdr:rowOff>174812</xdr:rowOff>
    </xdr:to>
    <xdr:cxnSp macro="">
      <xdr:nvCxnSpPr>
        <xdr:cNvPr id="41" name="Conector reto 40">
          <a:extLst>
            <a:ext uri="{FF2B5EF4-FFF2-40B4-BE49-F238E27FC236}">
              <a16:creationId xmlns:a16="http://schemas.microsoft.com/office/drawing/2014/main" id="{EBDEF136-B198-4D86-9B8B-CD593EBFCE61}"/>
            </a:ext>
          </a:extLst>
        </xdr:cNvPr>
        <xdr:cNvCxnSpPr/>
      </xdr:nvCxnSpPr>
      <xdr:spPr>
        <a:xfrm>
          <a:off x="12133169" y="555812"/>
          <a:ext cx="440391" cy="0"/>
        </a:xfrm>
        <a:prstGeom prst="line">
          <a:avLst/>
        </a:prstGeom>
        <a:ln>
          <a:solidFill>
            <a:srgbClr val="FFEBAB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0</xdr:col>
      <xdr:colOff>142210</xdr:colOff>
      <xdr:row>8</xdr:row>
      <xdr:rowOff>121771</xdr:rowOff>
    </xdr:from>
    <xdr:ext cx="250264" cy="246528"/>
    <xdr:pic>
      <xdr:nvPicPr>
        <xdr:cNvPr id="43" name="Gráfico 42" descr="Ajudar">
          <a:hlinkClick xmlns:r="http://schemas.openxmlformats.org/officeDocument/2006/relationships" r:id="rId37"/>
          <a:extLst>
            <a:ext uri="{FF2B5EF4-FFF2-40B4-BE49-F238E27FC236}">
              <a16:creationId xmlns:a16="http://schemas.microsoft.com/office/drawing/2014/main" id="{06BAE49F-9A3C-4F0B-BC18-DFF61F033B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2210" y="1645771"/>
          <a:ext cx="250264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35</xdr:col>
      <xdr:colOff>185459</xdr:colOff>
      <xdr:row>2</xdr:row>
      <xdr:rowOff>145676</xdr:rowOff>
    </xdr:from>
    <xdr:ext cx="429353" cy="424356"/>
    <xdr:pic>
      <xdr:nvPicPr>
        <xdr:cNvPr id="44" name="Gráfico 43" descr="Seta Reta">
          <a:hlinkClick xmlns:r="http://schemas.openxmlformats.org/officeDocument/2006/relationships" r:id="rId38" tooltip="PRÓXIMO MÊS"/>
          <a:extLst>
            <a:ext uri="{FF2B5EF4-FFF2-40B4-BE49-F238E27FC236}">
              <a16:creationId xmlns:a16="http://schemas.microsoft.com/office/drawing/2014/main" id="{3AC80A3D-F0F6-453D-B31E-35B52DB07C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0"/>
            </a:ext>
          </a:extLst>
        </a:blip>
        <a:stretch>
          <a:fillRect/>
        </a:stretch>
      </xdr:blipFill>
      <xdr:spPr>
        <a:xfrm rot="10800000">
          <a:off x="13844309" y="526676"/>
          <a:ext cx="429353" cy="424356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35</xdr:col>
      <xdr:colOff>156882</xdr:colOff>
      <xdr:row>1</xdr:row>
      <xdr:rowOff>67235</xdr:rowOff>
    </xdr:from>
    <xdr:ext cx="426552" cy="424356"/>
    <xdr:pic>
      <xdr:nvPicPr>
        <xdr:cNvPr id="45" name="Gráfico 44" descr="Seta Reta">
          <a:hlinkClick xmlns:r="http://schemas.openxmlformats.org/officeDocument/2006/relationships" r:id="rId41" tooltip="MÊS ANTERIOR"/>
          <a:extLst>
            <a:ext uri="{FF2B5EF4-FFF2-40B4-BE49-F238E27FC236}">
              <a16:creationId xmlns:a16="http://schemas.microsoft.com/office/drawing/2014/main" id="{DB482A3C-8483-43BB-90C8-C58C05ABC3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0"/>
            </a:ext>
          </a:extLst>
        </a:blip>
        <a:stretch>
          <a:fillRect/>
        </a:stretch>
      </xdr:blipFill>
      <xdr:spPr>
        <a:xfrm>
          <a:off x="13815732" y="257735"/>
          <a:ext cx="426552" cy="424356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34</xdr:col>
      <xdr:colOff>0</xdr:colOff>
      <xdr:row>5</xdr:row>
      <xdr:rowOff>0</xdr:rowOff>
    </xdr:from>
    <xdr:to>
      <xdr:col>35</xdr:col>
      <xdr:colOff>549089</xdr:colOff>
      <xdr:row>6</xdr:row>
      <xdr:rowOff>11207</xdr:rowOff>
    </xdr:to>
    <xdr:sp macro="" textlink="">
      <xdr:nvSpPr>
        <xdr:cNvPr id="46" name="Balão de Fala: Retângulo com Cantos Arredondados 45">
          <a:extLst>
            <a:ext uri="{FF2B5EF4-FFF2-40B4-BE49-F238E27FC236}">
              <a16:creationId xmlns:a16="http://schemas.microsoft.com/office/drawing/2014/main" id="{8FD71C57-489F-4E87-A495-34331557ECED}"/>
            </a:ext>
          </a:extLst>
        </xdr:cNvPr>
        <xdr:cNvSpPr/>
      </xdr:nvSpPr>
      <xdr:spPr>
        <a:xfrm>
          <a:off x="13603941" y="795618"/>
          <a:ext cx="549089" cy="179295"/>
        </a:xfrm>
        <a:prstGeom prst="wedgeRoundRectCallout">
          <a:avLst>
            <a:gd name="adj1" fmla="val -18889"/>
            <a:gd name="adj2" fmla="val 13747"/>
            <a:gd name="adj3" fmla="val 16667"/>
          </a:avLst>
        </a:prstGeom>
        <a:solidFill>
          <a:srgbClr val="7030A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tIns="28800" bIns="36000" rtlCol="0" anchor="ctr"/>
        <a:lstStyle/>
        <a:p>
          <a:pPr algn="ctr"/>
          <a:r>
            <a:rPr lang="en-GB" sz="900"/>
            <a:t>DIAS</a:t>
          </a:r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153895</xdr:colOff>
      <xdr:row>54</xdr:row>
      <xdr:rowOff>78440</xdr:rowOff>
    </xdr:from>
    <xdr:to>
      <xdr:col>3</xdr:col>
      <xdr:colOff>99733</xdr:colOff>
      <xdr:row>57</xdr:row>
      <xdr:rowOff>64621</xdr:rowOff>
    </xdr:to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74B6E6DF-5D6C-4932-97CE-BF20CB81F553}"/>
            </a:ext>
          </a:extLst>
        </xdr:cNvPr>
        <xdr:cNvSpPr/>
      </xdr:nvSpPr>
      <xdr:spPr>
        <a:xfrm>
          <a:off x="144370" y="10365440"/>
          <a:ext cx="2155638" cy="557681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REDUZI</a:t>
          </a:r>
          <a:br>
            <a:rPr lang="en-GB" sz="1000" b="1"/>
          </a:br>
          <a:r>
            <a:rPr lang="en-GB" sz="1000" b="1"/>
            <a:t>DESPESAS</a:t>
          </a:r>
          <a:br>
            <a:rPr lang="en-GB" sz="1000" b="1"/>
          </a:br>
          <a:r>
            <a:rPr lang="en-GB" sz="1000" b="1"/>
            <a:t>VARIÁVEIS?</a:t>
          </a:r>
        </a:p>
      </xdr:txBody>
    </xdr:sp>
    <xdr:clientData/>
  </xdr:twoCellAnchor>
  <xdr:twoCellAnchor>
    <xdr:from>
      <xdr:col>0</xdr:col>
      <xdr:colOff>132337</xdr:colOff>
      <xdr:row>8</xdr:row>
      <xdr:rowOff>104775</xdr:rowOff>
    </xdr:from>
    <xdr:to>
      <xdr:col>3</xdr:col>
      <xdr:colOff>77908</xdr:colOff>
      <xdr:row>11</xdr:row>
      <xdr:rowOff>76201</xdr:rowOff>
    </xdr:to>
    <xdr:sp macro="" textlink="">
      <xdr:nvSpPr>
        <xdr:cNvPr id="3" name="Retângulo: Cantos Arredondados 2">
          <a:extLst>
            <a:ext uri="{FF2B5EF4-FFF2-40B4-BE49-F238E27FC236}">
              <a16:creationId xmlns:a16="http://schemas.microsoft.com/office/drawing/2014/main" id="{71D35F19-778D-49BA-8922-B5EB5DA5A35B}"/>
            </a:ext>
          </a:extLst>
        </xdr:cNvPr>
        <xdr:cNvSpPr/>
      </xdr:nvSpPr>
      <xdr:spPr>
        <a:xfrm>
          <a:off x="132337" y="1628775"/>
          <a:ext cx="2145846" cy="542926"/>
        </a:xfrm>
        <a:prstGeom prst="roundRect">
          <a:avLst>
            <a:gd name="adj" fmla="val 7028"/>
          </a:avLst>
        </a:prstGeom>
        <a:solidFill>
          <a:srgbClr val="007CA8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CONSEGUI</a:t>
          </a:r>
          <a:br>
            <a:rPr lang="en-GB" sz="1000" b="1"/>
          </a:br>
          <a:r>
            <a:rPr lang="en-GB" sz="1000" b="1"/>
            <a:t>JUNTAR</a:t>
          </a:r>
          <a:br>
            <a:rPr lang="en-GB" sz="1000" b="1"/>
          </a:br>
          <a:r>
            <a:rPr lang="en-GB" sz="1000" b="1"/>
            <a:t>DINHEIRO?</a:t>
          </a:r>
        </a:p>
      </xdr:txBody>
    </xdr:sp>
    <xdr:clientData/>
  </xdr:twoCellAnchor>
  <xdr:twoCellAnchor>
    <xdr:from>
      <xdr:col>0</xdr:col>
      <xdr:colOff>132337</xdr:colOff>
      <xdr:row>19</xdr:row>
      <xdr:rowOff>104775</xdr:rowOff>
    </xdr:from>
    <xdr:to>
      <xdr:col>3</xdr:col>
      <xdr:colOff>77908</xdr:colOff>
      <xdr:row>22</xdr:row>
      <xdr:rowOff>57151</xdr:rowOff>
    </xdr:to>
    <xdr:sp macro="" textlink="">
      <xdr:nvSpPr>
        <xdr:cNvPr id="4" name="Retângulo: Cantos Arredondados 3">
          <a:extLst>
            <a:ext uri="{FF2B5EF4-FFF2-40B4-BE49-F238E27FC236}">
              <a16:creationId xmlns:a16="http://schemas.microsoft.com/office/drawing/2014/main" id="{6D81C003-2925-4C31-8E4C-BCE9D9804CFD}"/>
            </a:ext>
          </a:extLst>
        </xdr:cNvPr>
        <xdr:cNvSpPr/>
      </xdr:nvSpPr>
      <xdr:spPr>
        <a:xfrm>
          <a:off x="132337" y="3724275"/>
          <a:ext cx="2145846" cy="523876"/>
        </a:xfrm>
        <a:prstGeom prst="roundRect">
          <a:avLst>
            <a:gd name="adj" fmla="val 7028"/>
          </a:avLst>
        </a:prstGeom>
        <a:solidFill>
          <a:srgbClr val="007CA8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CONSEGUI</a:t>
          </a:r>
          <a:br>
            <a:rPr lang="en-GB" sz="1000" b="1"/>
          </a:br>
          <a:r>
            <a:rPr lang="en-GB" sz="1000" b="1"/>
            <a:t>GUARDAR E</a:t>
          </a:r>
          <a:br>
            <a:rPr lang="en-GB" sz="1000" b="1"/>
          </a:br>
          <a:r>
            <a:rPr lang="en-GB" sz="1000" b="1"/>
            <a:t>INVESTIR?</a:t>
          </a:r>
        </a:p>
      </xdr:txBody>
    </xdr:sp>
    <xdr:clientData/>
  </xdr:twoCellAnchor>
  <xdr:oneCellAnchor>
    <xdr:from>
      <xdr:col>2</xdr:col>
      <xdr:colOff>282383</xdr:colOff>
      <xdr:row>20</xdr:row>
      <xdr:rowOff>118215</xdr:rowOff>
    </xdr:from>
    <xdr:ext cx="399499" cy="396000"/>
    <xdr:pic>
      <xdr:nvPicPr>
        <xdr:cNvPr id="5" name="Gráfico 4" descr="Cofrinho">
          <a:extLst>
            <a:ext uri="{FF2B5EF4-FFF2-40B4-BE49-F238E27FC236}">
              <a16:creationId xmlns:a16="http://schemas.microsoft.com/office/drawing/2014/main" id="{59A82658-435A-4043-878A-130E13234B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530033" y="3928215"/>
          <a:ext cx="399499" cy="396000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2</xdr:col>
      <xdr:colOff>283926</xdr:colOff>
      <xdr:row>9</xdr:row>
      <xdr:rowOff>151343</xdr:rowOff>
    </xdr:from>
    <xdr:ext cx="396412" cy="396001"/>
    <xdr:pic>
      <xdr:nvPicPr>
        <xdr:cNvPr id="6" name="Gráfico 5" descr="Carteira">
          <a:extLst>
            <a:ext uri="{FF2B5EF4-FFF2-40B4-BE49-F238E27FC236}">
              <a16:creationId xmlns:a16="http://schemas.microsoft.com/office/drawing/2014/main" id="{AB8D1A98-9DFF-4C9F-A5A9-551FF75FAA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531576" y="1865843"/>
          <a:ext cx="396412" cy="396001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0</xdr:col>
      <xdr:colOff>145864</xdr:colOff>
      <xdr:row>31</xdr:row>
      <xdr:rowOff>89647</xdr:rowOff>
    </xdr:from>
    <xdr:to>
      <xdr:col>3</xdr:col>
      <xdr:colOff>91702</xdr:colOff>
      <xdr:row>34</xdr:row>
      <xdr:rowOff>79002</xdr:rowOff>
    </xdr:to>
    <xdr:sp macro="" textlink="">
      <xdr:nvSpPr>
        <xdr:cNvPr id="7" name="Retângulo: Cantos Arredondados 6">
          <a:extLst>
            <a:ext uri="{FF2B5EF4-FFF2-40B4-BE49-F238E27FC236}">
              <a16:creationId xmlns:a16="http://schemas.microsoft.com/office/drawing/2014/main" id="{10485CF7-0F90-4AB8-9E90-D5F1439AC456}"/>
            </a:ext>
          </a:extLst>
        </xdr:cNvPr>
        <xdr:cNvSpPr/>
      </xdr:nvSpPr>
      <xdr:spPr>
        <a:xfrm>
          <a:off x="145864" y="5995147"/>
          <a:ext cx="2146113" cy="560855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REDUZI</a:t>
          </a:r>
          <a:br>
            <a:rPr lang="en-GB" sz="1000" b="1"/>
          </a:br>
          <a:r>
            <a:rPr lang="en-GB" sz="1000" b="1"/>
            <a:t>DESPESAS</a:t>
          </a:r>
          <a:br>
            <a:rPr lang="en-GB" sz="1000" b="1"/>
          </a:br>
          <a:r>
            <a:rPr lang="en-GB" sz="1000" b="1"/>
            <a:t>F</a:t>
          </a:r>
          <a:r>
            <a:rPr lang="en-GB" sz="1000" b="1" baseline="0"/>
            <a:t>IXAS?</a:t>
          </a:r>
          <a:endParaRPr lang="en-GB" sz="1000" b="1"/>
        </a:p>
      </xdr:txBody>
    </xdr:sp>
    <xdr:clientData/>
  </xdr:twoCellAnchor>
  <xdr:oneCellAnchor>
    <xdr:from>
      <xdr:col>2</xdr:col>
      <xdr:colOff>315419</xdr:colOff>
      <xdr:row>32</xdr:row>
      <xdr:rowOff>144489</xdr:rowOff>
    </xdr:from>
    <xdr:ext cx="394594" cy="395999"/>
    <xdr:pic>
      <xdr:nvPicPr>
        <xdr:cNvPr id="8" name="Gráfico 7" descr="Eletricista">
          <a:extLst>
            <a:ext uri="{FF2B5EF4-FFF2-40B4-BE49-F238E27FC236}">
              <a16:creationId xmlns:a16="http://schemas.microsoft.com/office/drawing/2014/main" id="{A3FEF751-E93B-42F1-9BBD-E9B0045F8B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6"/>
            </a:ext>
          </a:extLst>
        </a:blip>
        <a:stretch>
          <a:fillRect/>
        </a:stretch>
      </xdr:blipFill>
      <xdr:spPr>
        <a:xfrm>
          <a:off x="563069" y="6240489"/>
          <a:ext cx="394594" cy="395999"/>
        </a:xfrm>
        <a:prstGeom prst="rect">
          <a:avLst/>
        </a:prstGeom>
        <a:effectLst/>
      </xdr:spPr>
    </xdr:pic>
    <xdr:clientData/>
  </xdr:oneCellAnchor>
  <xdr:oneCellAnchor>
    <xdr:from>
      <xdr:col>2</xdr:col>
      <xdr:colOff>311917</xdr:colOff>
      <xdr:row>55</xdr:row>
      <xdr:rowOff>132264</xdr:rowOff>
    </xdr:from>
    <xdr:ext cx="401599" cy="395999"/>
    <xdr:pic>
      <xdr:nvPicPr>
        <xdr:cNvPr id="9" name="Gráfico 8" descr="Artista">
          <a:extLst>
            <a:ext uri="{FF2B5EF4-FFF2-40B4-BE49-F238E27FC236}">
              <a16:creationId xmlns:a16="http://schemas.microsoft.com/office/drawing/2014/main" id="{DF9D3D61-11BB-4873-8BFC-55429D2292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8"/>
            </a:ext>
          </a:extLst>
        </a:blip>
        <a:stretch>
          <a:fillRect/>
        </a:stretch>
      </xdr:blipFill>
      <xdr:spPr>
        <a:xfrm>
          <a:off x="559567" y="10609764"/>
          <a:ext cx="401599" cy="395999"/>
        </a:xfrm>
        <a:prstGeom prst="rect">
          <a:avLst/>
        </a:prstGeom>
        <a:effectLst/>
      </xdr:spPr>
    </xdr:pic>
    <xdr:clientData/>
  </xdr:oneCellAnchor>
  <xdr:twoCellAnchor>
    <xdr:from>
      <xdr:col>1</xdr:col>
      <xdr:colOff>0</xdr:colOff>
      <xdr:row>76</xdr:row>
      <xdr:rowOff>104775</xdr:rowOff>
    </xdr:from>
    <xdr:to>
      <xdr:col>3</xdr:col>
      <xdr:colOff>95250</xdr:colOff>
      <xdr:row>79</xdr:row>
      <xdr:rowOff>76201</xdr:rowOff>
    </xdr:to>
    <xdr:sp macro="" textlink="">
      <xdr:nvSpPr>
        <xdr:cNvPr id="10" name="Retângulo: Cantos Arredondados 9">
          <a:extLst>
            <a:ext uri="{FF2B5EF4-FFF2-40B4-BE49-F238E27FC236}">
              <a16:creationId xmlns:a16="http://schemas.microsoft.com/office/drawing/2014/main" id="{F0ADCDC6-02F9-4A9F-ABBB-4E7696770745}"/>
            </a:ext>
          </a:extLst>
        </xdr:cNvPr>
        <xdr:cNvSpPr/>
      </xdr:nvSpPr>
      <xdr:spPr>
        <a:xfrm>
          <a:off x="142875" y="145827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AUMENTEI</a:t>
          </a:r>
          <a:br>
            <a:rPr lang="en-GB" sz="1000" b="1"/>
          </a:br>
          <a:r>
            <a:rPr lang="en-GB" sz="1000" b="1"/>
            <a:t>GANHOS</a:t>
          </a:r>
          <a:br>
            <a:rPr lang="en-GB" sz="1000" b="1"/>
          </a:br>
          <a:r>
            <a:rPr lang="en-GB" sz="1000" b="1"/>
            <a:t>FIXOS?</a:t>
          </a:r>
        </a:p>
      </xdr:txBody>
    </xdr:sp>
    <xdr:clientData/>
  </xdr:twoCellAnchor>
  <xdr:oneCellAnchor>
    <xdr:from>
      <xdr:col>28</xdr:col>
      <xdr:colOff>211792</xdr:colOff>
      <xdr:row>1</xdr:row>
      <xdr:rowOff>166407</xdr:rowOff>
    </xdr:from>
    <xdr:ext cx="310402" cy="310039"/>
    <xdr:pic>
      <xdr:nvPicPr>
        <xdr:cNvPr id="11" name="Gráfico 10" descr="Impressão digital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B8304849-27CF-4D26-A649-4AE108E2A3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1"/>
            </a:ext>
          </a:extLst>
        </a:blip>
        <a:stretch>
          <a:fillRect/>
        </a:stretch>
      </xdr:blipFill>
      <xdr:spPr>
        <a:xfrm>
          <a:off x="11641792" y="356907"/>
          <a:ext cx="310402" cy="310039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25</xdr:col>
      <xdr:colOff>188660</xdr:colOff>
      <xdr:row>1</xdr:row>
      <xdr:rowOff>129989</xdr:rowOff>
    </xdr:from>
    <xdr:ext cx="369173" cy="364524"/>
    <xdr:pic>
      <xdr:nvPicPr>
        <xdr:cNvPr id="12" name="Gráfico 11" descr="Trancar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id="{AC44D3EC-61D8-43AA-945A-995DFCA5FC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4"/>
            </a:ext>
          </a:extLst>
        </a:blip>
        <a:stretch>
          <a:fillRect/>
        </a:stretch>
      </xdr:blipFill>
      <xdr:spPr>
        <a:xfrm>
          <a:off x="10504235" y="320489"/>
          <a:ext cx="369173" cy="364524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1</xdr:col>
      <xdr:colOff>1017</xdr:colOff>
      <xdr:row>19</xdr:row>
      <xdr:rowOff>126254</xdr:rowOff>
    </xdr:from>
    <xdr:ext cx="250264" cy="246528"/>
    <xdr:pic>
      <xdr:nvPicPr>
        <xdr:cNvPr id="13" name="Gráfico 12" descr="Ajudar">
          <a:hlinkClick xmlns:r="http://schemas.openxmlformats.org/officeDocument/2006/relationships" r:id="rId15"/>
          <a:extLst>
            <a:ext uri="{FF2B5EF4-FFF2-40B4-BE49-F238E27FC236}">
              <a16:creationId xmlns:a16="http://schemas.microsoft.com/office/drawing/2014/main" id="{7D23559B-8862-492D-A5CB-40A71D4056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3892" y="3745754"/>
          <a:ext cx="250264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1</xdr:col>
      <xdr:colOff>15211</xdr:colOff>
      <xdr:row>31</xdr:row>
      <xdr:rowOff>114300</xdr:rowOff>
    </xdr:from>
    <xdr:ext cx="246528" cy="246528"/>
    <xdr:pic>
      <xdr:nvPicPr>
        <xdr:cNvPr id="14" name="Gráfico 13" descr="Ajudar">
          <a:hlinkClick xmlns:r="http://schemas.openxmlformats.org/officeDocument/2006/relationships" r:id="rId18"/>
          <a:extLst>
            <a:ext uri="{FF2B5EF4-FFF2-40B4-BE49-F238E27FC236}">
              <a16:creationId xmlns:a16="http://schemas.microsoft.com/office/drawing/2014/main" id="{6BE62BAF-FABF-42BE-99E6-CE72ADBD94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58086" y="6019800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1</xdr:col>
      <xdr:colOff>10727</xdr:colOff>
      <xdr:row>54</xdr:row>
      <xdr:rowOff>98613</xdr:rowOff>
    </xdr:from>
    <xdr:ext cx="246528" cy="246529"/>
    <xdr:pic>
      <xdr:nvPicPr>
        <xdr:cNvPr id="15" name="Gráfico 14" descr="Ajudar">
          <a:hlinkClick xmlns:r="http://schemas.openxmlformats.org/officeDocument/2006/relationships" r:id="rId19"/>
          <a:extLst>
            <a:ext uri="{FF2B5EF4-FFF2-40B4-BE49-F238E27FC236}">
              <a16:creationId xmlns:a16="http://schemas.microsoft.com/office/drawing/2014/main" id="{9C97F630-A68A-4981-A001-8F7E302E4D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53602" y="10385613"/>
          <a:ext cx="246528" cy="246529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1</xdr:col>
      <xdr:colOff>6244</xdr:colOff>
      <xdr:row>76</xdr:row>
      <xdr:rowOff>127748</xdr:rowOff>
    </xdr:from>
    <xdr:ext cx="246528" cy="246528"/>
    <xdr:pic>
      <xdr:nvPicPr>
        <xdr:cNvPr id="16" name="Gráfico 15" descr="Ajudar">
          <a:hlinkClick xmlns:r="http://schemas.openxmlformats.org/officeDocument/2006/relationships" r:id="rId20"/>
          <a:extLst>
            <a:ext uri="{FF2B5EF4-FFF2-40B4-BE49-F238E27FC236}">
              <a16:creationId xmlns:a16="http://schemas.microsoft.com/office/drawing/2014/main" id="{D4F86FF4-5050-4B59-AA04-05F9206C79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146057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90</xdr:row>
      <xdr:rowOff>104775</xdr:rowOff>
    </xdr:from>
    <xdr:to>
      <xdr:col>3</xdr:col>
      <xdr:colOff>95250</xdr:colOff>
      <xdr:row>93</xdr:row>
      <xdr:rowOff>76201</xdr:rowOff>
    </xdr:to>
    <xdr:sp macro="" textlink="">
      <xdr:nvSpPr>
        <xdr:cNvPr id="17" name="Retângulo: Cantos Arredondados 16">
          <a:extLst>
            <a:ext uri="{FF2B5EF4-FFF2-40B4-BE49-F238E27FC236}">
              <a16:creationId xmlns:a16="http://schemas.microsoft.com/office/drawing/2014/main" id="{01502E53-B71E-4657-BAC7-2C8B39D2A953}"/>
            </a:ext>
          </a:extLst>
        </xdr:cNvPr>
        <xdr:cNvSpPr/>
      </xdr:nvSpPr>
      <xdr:spPr>
        <a:xfrm>
          <a:off x="142875" y="172497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AUMENTEI</a:t>
          </a:r>
          <a:br>
            <a:rPr lang="en-GB" sz="1000" b="1"/>
          </a:br>
          <a:r>
            <a:rPr lang="en-GB" sz="1000" b="1"/>
            <a:t>GANHOS</a:t>
          </a:r>
          <a:br>
            <a:rPr lang="en-GB" sz="1000" b="1"/>
          </a:br>
          <a:r>
            <a:rPr lang="en-GB" sz="1000" b="1"/>
            <a:t>VARIÁVEIS?</a:t>
          </a:r>
        </a:p>
      </xdr:txBody>
    </xdr:sp>
    <xdr:clientData/>
  </xdr:twoCellAnchor>
  <xdr:oneCellAnchor>
    <xdr:from>
      <xdr:col>1</xdr:col>
      <xdr:colOff>6244</xdr:colOff>
      <xdr:row>90</xdr:row>
      <xdr:rowOff>127748</xdr:rowOff>
    </xdr:from>
    <xdr:ext cx="246528" cy="246528"/>
    <xdr:pic>
      <xdr:nvPicPr>
        <xdr:cNvPr id="18" name="Gráfico 17" descr="Ajudar">
          <a:hlinkClick xmlns:r="http://schemas.openxmlformats.org/officeDocument/2006/relationships" r:id="rId21"/>
          <a:extLst>
            <a:ext uri="{FF2B5EF4-FFF2-40B4-BE49-F238E27FC236}">
              <a16:creationId xmlns:a16="http://schemas.microsoft.com/office/drawing/2014/main" id="{9304FD52-C294-4686-A3B0-C26709885D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172727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107</xdr:row>
      <xdr:rowOff>104775</xdr:rowOff>
    </xdr:from>
    <xdr:to>
      <xdr:col>3</xdr:col>
      <xdr:colOff>95250</xdr:colOff>
      <xdr:row>110</xdr:row>
      <xdr:rowOff>76201</xdr:rowOff>
    </xdr:to>
    <xdr:sp macro="" textlink="">
      <xdr:nvSpPr>
        <xdr:cNvPr id="19" name="Retângulo: Cantos Arredondados 18">
          <a:extLst>
            <a:ext uri="{FF2B5EF4-FFF2-40B4-BE49-F238E27FC236}">
              <a16:creationId xmlns:a16="http://schemas.microsoft.com/office/drawing/2014/main" id="{A9A0F79C-34FF-495F-935D-FE3F50F24A72}"/>
            </a:ext>
          </a:extLst>
        </xdr:cNvPr>
        <xdr:cNvSpPr/>
      </xdr:nvSpPr>
      <xdr:spPr>
        <a:xfrm>
          <a:off x="142875" y="204882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INVESTI</a:t>
          </a:r>
          <a:r>
            <a:rPr lang="en-GB" sz="1000" b="1" baseline="0"/>
            <a:t> EM</a:t>
          </a:r>
          <a:br>
            <a:rPr lang="en-GB" sz="1000" b="1"/>
          </a:br>
          <a:r>
            <a:rPr lang="en-GB" sz="1000" b="1"/>
            <a:t>RENDA</a:t>
          </a:r>
          <a:br>
            <a:rPr lang="en-GB" sz="1000" b="1"/>
          </a:br>
          <a:r>
            <a:rPr lang="en-GB" sz="1000" b="1" baseline="0"/>
            <a:t>FIXA?</a:t>
          </a:r>
          <a:endParaRPr lang="en-GB" sz="1000" b="1"/>
        </a:p>
      </xdr:txBody>
    </xdr:sp>
    <xdr:clientData/>
  </xdr:twoCellAnchor>
  <xdr:oneCellAnchor>
    <xdr:from>
      <xdr:col>1</xdr:col>
      <xdr:colOff>6244</xdr:colOff>
      <xdr:row>107</xdr:row>
      <xdr:rowOff>127748</xdr:rowOff>
    </xdr:from>
    <xdr:ext cx="246528" cy="246528"/>
    <xdr:pic>
      <xdr:nvPicPr>
        <xdr:cNvPr id="20" name="Gráfico 19" descr="Ajudar">
          <a:hlinkClick xmlns:r="http://schemas.openxmlformats.org/officeDocument/2006/relationships" r:id="rId22"/>
          <a:extLst>
            <a:ext uri="{FF2B5EF4-FFF2-40B4-BE49-F238E27FC236}">
              <a16:creationId xmlns:a16="http://schemas.microsoft.com/office/drawing/2014/main" id="{95F817CF-729D-4F49-86CF-8A256D8A18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205112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126</xdr:row>
      <xdr:rowOff>104775</xdr:rowOff>
    </xdr:from>
    <xdr:to>
      <xdr:col>3</xdr:col>
      <xdr:colOff>95250</xdr:colOff>
      <xdr:row>129</xdr:row>
      <xdr:rowOff>76201</xdr:rowOff>
    </xdr:to>
    <xdr:sp macro="" textlink="">
      <xdr:nvSpPr>
        <xdr:cNvPr id="21" name="Retângulo: Cantos Arredondados 20">
          <a:extLst>
            <a:ext uri="{FF2B5EF4-FFF2-40B4-BE49-F238E27FC236}">
              <a16:creationId xmlns:a16="http://schemas.microsoft.com/office/drawing/2014/main" id="{AE50C337-37AC-4EDE-A46E-A7EDB66A897E}"/>
            </a:ext>
          </a:extLst>
        </xdr:cNvPr>
        <xdr:cNvSpPr/>
      </xdr:nvSpPr>
      <xdr:spPr>
        <a:xfrm>
          <a:off x="142875" y="241077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INVESTI EM</a:t>
          </a:r>
          <a:br>
            <a:rPr lang="en-GB" sz="1000" b="1"/>
          </a:br>
          <a:r>
            <a:rPr lang="en-GB" sz="1000" b="1"/>
            <a:t>RENDA </a:t>
          </a:r>
          <a:r>
            <a:rPr lang="en-GB" sz="1000" b="1" baseline="0"/>
            <a:t>VARIÁVEL?</a:t>
          </a:r>
          <a:endParaRPr lang="en-GB" sz="1000" b="1"/>
        </a:p>
      </xdr:txBody>
    </xdr:sp>
    <xdr:clientData/>
  </xdr:twoCellAnchor>
  <xdr:oneCellAnchor>
    <xdr:from>
      <xdr:col>1</xdr:col>
      <xdr:colOff>6244</xdr:colOff>
      <xdr:row>126</xdr:row>
      <xdr:rowOff>127748</xdr:rowOff>
    </xdr:from>
    <xdr:ext cx="246528" cy="246528"/>
    <xdr:pic>
      <xdr:nvPicPr>
        <xdr:cNvPr id="22" name="Gráfico 21" descr="Ajudar">
          <a:hlinkClick xmlns:r="http://schemas.openxmlformats.org/officeDocument/2006/relationships" r:id="rId23"/>
          <a:extLst>
            <a:ext uri="{FF2B5EF4-FFF2-40B4-BE49-F238E27FC236}">
              <a16:creationId xmlns:a16="http://schemas.microsoft.com/office/drawing/2014/main" id="{E8EE8651-10B2-4A33-9CFD-F8A68977AB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241307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145</xdr:row>
      <xdr:rowOff>104775</xdr:rowOff>
    </xdr:from>
    <xdr:to>
      <xdr:col>3</xdr:col>
      <xdr:colOff>95250</xdr:colOff>
      <xdr:row>148</xdr:row>
      <xdr:rowOff>76201</xdr:rowOff>
    </xdr:to>
    <xdr:sp macro="" textlink="">
      <xdr:nvSpPr>
        <xdr:cNvPr id="23" name="Retângulo: Cantos Arredondados 22">
          <a:extLst>
            <a:ext uri="{FF2B5EF4-FFF2-40B4-BE49-F238E27FC236}">
              <a16:creationId xmlns:a16="http://schemas.microsoft.com/office/drawing/2014/main" id="{596011A3-D02D-4746-82D7-D9DFBA1E1233}"/>
            </a:ext>
          </a:extLst>
        </xdr:cNvPr>
        <xdr:cNvSpPr/>
      </xdr:nvSpPr>
      <xdr:spPr>
        <a:xfrm>
          <a:off x="142875" y="277272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INVESTI</a:t>
          </a:r>
          <a:r>
            <a:rPr lang="en-GB" sz="1000" b="1" baseline="0"/>
            <a:t> EM</a:t>
          </a:r>
          <a:br>
            <a:rPr lang="en-GB" sz="1000" b="1"/>
          </a:br>
          <a:r>
            <a:rPr lang="en-GB" sz="1000" b="1"/>
            <a:t>OUTROS</a:t>
          </a:r>
          <a:br>
            <a:rPr lang="en-GB" sz="1000" b="1"/>
          </a:br>
          <a:r>
            <a:rPr lang="en-GB" sz="1000" b="1"/>
            <a:t>ATIVOS?</a:t>
          </a:r>
        </a:p>
      </xdr:txBody>
    </xdr:sp>
    <xdr:clientData/>
  </xdr:twoCellAnchor>
  <xdr:oneCellAnchor>
    <xdr:from>
      <xdr:col>1</xdr:col>
      <xdr:colOff>6244</xdr:colOff>
      <xdr:row>145</xdr:row>
      <xdr:rowOff>127748</xdr:rowOff>
    </xdr:from>
    <xdr:ext cx="246528" cy="246528"/>
    <xdr:pic>
      <xdr:nvPicPr>
        <xdr:cNvPr id="24" name="Gráfico 23" descr="Ajudar">
          <a:hlinkClick xmlns:r="http://schemas.openxmlformats.org/officeDocument/2006/relationships" r:id="rId24"/>
          <a:extLst>
            <a:ext uri="{FF2B5EF4-FFF2-40B4-BE49-F238E27FC236}">
              <a16:creationId xmlns:a16="http://schemas.microsoft.com/office/drawing/2014/main" id="{5C4DB32B-085B-4C00-ABA3-CEC0187014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277502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162</xdr:row>
      <xdr:rowOff>104775</xdr:rowOff>
    </xdr:from>
    <xdr:to>
      <xdr:col>3</xdr:col>
      <xdr:colOff>95250</xdr:colOff>
      <xdr:row>165</xdr:row>
      <xdr:rowOff>76201</xdr:rowOff>
    </xdr:to>
    <xdr:sp macro="" textlink="">
      <xdr:nvSpPr>
        <xdr:cNvPr id="25" name="Retângulo: Cantos Arredondados 24">
          <a:extLst>
            <a:ext uri="{FF2B5EF4-FFF2-40B4-BE49-F238E27FC236}">
              <a16:creationId xmlns:a16="http://schemas.microsoft.com/office/drawing/2014/main" id="{2B45326E-EA6B-48B0-A714-6DF76B0DC937}"/>
            </a:ext>
          </a:extLst>
        </xdr:cNvPr>
        <xdr:cNvSpPr/>
      </xdr:nvSpPr>
      <xdr:spPr>
        <a:xfrm>
          <a:off x="142875" y="309657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GUARDEI</a:t>
          </a:r>
          <a:br>
            <a:rPr lang="en-GB" sz="1000" b="1"/>
          </a:br>
          <a:r>
            <a:rPr lang="en-GB" sz="1000" b="1"/>
            <a:t>RESERVA EM</a:t>
          </a:r>
          <a:br>
            <a:rPr lang="en-GB" sz="1000" b="1"/>
          </a:br>
          <a:r>
            <a:rPr lang="en-GB" sz="1000" b="1"/>
            <a:t>RENDA</a:t>
          </a:r>
          <a:r>
            <a:rPr lang="en-GB" sz="1000" b="1" baseline="0"/>
            <a:t> </a:t>
          </a:r>
          <a:r>
            <a:rPr lang="en-GB" sz="1000" b="1"/>
            <a:t>FIXA?</a:t>
          </a:r>
        </a:p>
      </xdr:txBody>
    </xdr:sp>
    <xdr:clientData/>
  </xdr:twoCellAnchor>
  <xdr:oneCellAnchor>
    <xdr:from>
      <xdr:col>1</xdr:col>
      <xdr:colOff>6244</xdr:colOff>
      <xdr:row>162</xdr:row>
      <xdr:rowOff>127748</xdr:rowOff>
    </xdr:from>
    <xdr:ext cx="246528" cy="246528"/>
    <xdr:pic>
      <xdr:nvPicPr>
        <xdr:cNvPr id="26" name="Gráfico 25" descr="Ajudar">
          <a:hlinkClick xmlns:r="http://schemas.openxmlformats.org/officeDocument/2006/relationships" r:id="rId25"/>
          <a:extLst>
            <a:ext uri="{FF2B5EF4-FFF2-40B4-BE49-F238E27FC236}">
              <a16:creationId xmlns:a16="http://schemas.microsoft.com/office/drawing/2014/main" id="{92FB6A82-CB5F-41C2-88E4-6238958F70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309887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181</xdr:row>
      <xdr:rowOff>104775</xdr:rowOff>
    </xdr:from>
    <xdr:to>
      <xdr:col>3</xdr:col>
      <xdr:colOff>95250</xdr:colOff>
      <xdr:row>184</xdr:row>
      <xdr:rowOff>76201</xdr:rowOff>
    </xdr:to>
    <xdr:sp macro="" textlink="">
      <xdr:nvSpPr>
        <xdr:cNvPr id="27" name="Retângulo: Cantos Arredondados 26">
          <a:extLst>
            <a:ext uri="{FF2B5EF4-FFF2-40B4-BE49-F238E27FC236}">
              <a16:creationId xmlns:a16="http://schemas.microsoft.com/office/drawing/2014/main" id="{0816E2D1-18C7-48C6-B967-736A39CF843E}"/>
            </a:ext>
          </a:extLst>
        </xdr:cNvPr>
        <xdr:cNvSpPr/>
      </xdr:nvSpPr>
      <xdr:spPr>
        <a:xfrm>
          <a:off x="142875" y="345852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/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GUARDEI</a:t>
          </a:r>
          <a:b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RESERVA EM</a:t>
          </a:r>
          <a:b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RENDA</a:t>
          </a:r>
          <a:r>
            <a:rPr lang="en-GB" sz="10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VARIÁVEL?</a:t>
          </a:r>
          <a:endParaRPr lang="en-GB" sz="1000">
            <a:effectLst/>
          </a:endParaRPr>
        </a:p>
      </xdr:txBody>
    </xdr:sp>
    <xdr:clientData/>
  </xdr:twoCellAnchor>
  <xdr:oneCellAnchor>
    <xdr:from>
      <xdr:col>1</xdr:col>
      <xdr:colOff>6244</xdr:colOff>
      <xdr:row>181</xdr:row>
      <xdr:rowOff>127748</xdr:rowOff>
    </xdr:from>
    <xdr:ext cx="246528" cy="246528"/>
    <xdr:pic>
      <xdr:nvPicPr>
        <xdr:cNvPr id="28" name="Gráfico 27" descr="Ajudar">
          <a:hlinkClick xmlns:r="http://schemas.openxmlformats.org/officeDocument/2006/relationships" r:id="rId26"/>
          <a:extLst>
            <a:ext uri="{FF2B5EF4-FFF2-40B4-BE49-F238E27FC236}">
              <a16:creationId xmlns:a16="http://schemas.microsoft.com/office/drawing/2014/main" id="{3D599BAD-4282-40CD-81D9-C4156D3832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346082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200</xdr:row>
      <xdr:rowOff>104775</xdr:rowOff>
    </xdr:from>
    <xdr:to>
      <xdr:col>3</xdr:col>
      <xdr:colOff>95250</xdr:colOff>
      <xdr:row>203</xdr:row>
      <xdr:rowOff>76201</xdr:rowOff>
    </xdr:to>
    <xdr:sp macro="" textlink="">
      <xdr:nvSpPr>
        <xdr:cNvPr id="29" name="Retângulo: Cantos Arredondados 28">
          <a:extLst>
            <a:ext uri="{FF2B5EF4-FFF2-40B4-BE49-F238E27FC236}">
              <a16:creationId xmlns:a16="http://schemas.microsoft.com/office/drawing/2014/main" id="{D3391D0B-846A-4691-961A-B02E81B43759}"/>
            </a:ext>
          </a:extLst>
        </xdr:cNvPr>
        <xdr:cNvSpPr/>
      </xdr:nvSpPr>
      <xdr:spPr>
        <a:xfrm>
          <a:off x="142875" y="382047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/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GUARDEI</a:t>
          </a:r>
          <a:b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RESERVA EM</a:t>
          </a:r>
          <a:b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OUTROS ATIVOS?</a:t>
          </a:r>
          <a:endParaRPr lang="en-GB" sz="1000">
            <a:effectLst/>
          </a:endParaRPr>
        </a:p>
      </xdr:txBody>
    </xdr:sp>
    <xdr:clientData/>
  </xdr:twoCellAnchor>
  <xdr:oneCellAnchor>
    <xdr:from>
      <xdr:col>1</xdr:col>
      <xdr:colOff>6244</xdr:colOff>
      <xdr:row>200</xdr:row>
      <xdr:rowOff>127748</xdr:rowOff>
    </xdr:from>
    <xdr:ext cx="246528" cy="246528"/>
    <xdr:pic>
      <xdr:nvPicPr>
        <xdr:cNvPr id="30" name="Gráfico 29" descr="Ajudar">
          <a:hlinkClick xmlns:r="http://schemas.openxmlformats.org/officeDocument/2006/relationships" r:id="rId27"/>
          <a:extLst>
            <a:ext uri="{FF2B5EF4-FFF2-40B4-BE49-F238E27FC236}">
              <a16:creationId xmlns:a16="http://schemas.microsoft.com/office/drawing/2014/main" id="{63F1D71E-B7C0-4D73-8635-22A6CA522B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382277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2</xdr:col>
      <xdr:colOff>319257</xdr:colOff>
      <xdr:row>77</xdr:row>
      <xdr:rowOff>126685</xdr:rowOff>
    </xdr:from>
    <xdr:ext cx="392036" cy="395999"/>
    <xdr:pic>
      <xdr:nvPicPr>
        <xdr:cNvPr id="31" name="Gráfico 30" descr="Dinheiro">
          <a:extLst>
            <a:ext uri="{FF2B5EF4-FFF2-40B4-BE49-F238E27FC236}">
              <a16:creationId xmlns:a16="http://schemas.microsoft.com/office/drawing/2014/main" id="{653399E1-86CB-4960-A557-EDA81C8C20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9"/>
            </a:ext>
          </a:extLst>
        </a:blip>
        <a:stretch>
          <a:fillRect/>
        </a:stretch>
      </xdr:blipFill>
      <xdr:spPr>
        <a:xfrm flipH="1">
          <a:off x="566907" y="14795185"/>
          <a:ext cx="392036" cy="395999"/>
        </a:xfrm>
        <a:prstGeom prst="rect">
          <a:avLst/>
        </a:prstGeom>
      </xdr:spPr>
    </xdr:pic>
    <xdr:clientData/>
  </xdr:oneCellAnchor>
  <xdr:oneCellAnchor>
    <xdr:from>
      <xdr:col>2</xdr:col>
      <xdr:colOff>319257</xdr:colOff>
      <xdr:row>91</xdr:row>
      <xdr:rowOff>115798</xdr:rowOff>
    </xdr:from>
    <xdr:ext cx="400936" cy="396000"/>
    <xdr:pic>
      <xdr:nvPicPr>
        <xdr:cNvPr id="32" name="Gráfico 31" descr="Dinheiro">
          <a:extLst>
            <a:ext uri="{FF2B5EF4-FFF2-40B4-BE49-F238E27FC236}">
              <a16:creationId xmlns:a16="http://schemas.microsoft.com/office/drawing/2014/main" id="{19901908-D2D1-48A5-9C6E-CCFFA80B69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9"/>
            </a:ext>
          </a:extLst>
        </a:blip>
        <a:stretch>
          <a:fillRect/>
        </a:stretch>
      </xdr:blipFill>
      <xdr:spPr>
        <a:xfrm flipH="1">
          <a:off x="566907" y="17451298"/>
          <a:ext cx="400936" cy="396000"/>
        </a:xfrm>
        <a:prstGeom prst="rect">
          <a:avLst/>
        </a:prstGeom>
      </xdr:spPr>
    </xdr:pic>
    <xdr:clientData/>
  </xdr:oneCellAnchor>
  <xdr:oneCellAnchor>
    <xdr:from>
      <xdr:col>2</xdr:col>
      <xdr:colOff>330528</xdr:colOff>
      <xdr:row>108</xdr:row>
      <xdr:rowOff>134224</xdr:rowOff>
    </xdr:from>
    <xdr:ext cx="392250" cy="406702"/>
    <xdr:pic>
      <xdr:nvPicPr>
        <xdr:cNvPr id="33" name="Gráfico 32" descr="Moedas">
          <a:extLst>
            <a:ext uri="{FF2B5EF4-FFF2-40B4-BE49-F238E27FC236}">
              <a16:creationId xmlns:a16="http://schemas.microsoft.com/office/drawing/2014/main" id="{0FC92146-04B4-48D2-9DF9-CD4CC43ADF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1"/>
            </a:ext>
          </a:extLst>
        </a:blip>
        <a:stretch>
          <a:fillRect/>
        </a:stretch>
      </xdr:blipFill>
      <xdr:spPr>
        <a:xfrm flipH="1">
          <a:off x="578178" y="20708224"/>
          <a:ext cx="392250" cy="406702"/>
        </a:xfrm>
        <a:prstGeom prst="rect">
          <a:avLst/>
        </a:prstGeom>
      </xdr:spPr>
    </xdr:pic>
    <xdr:clientData/>
  </xdr:oneCellAnchor>
  <xdr:oneCellAnchor>
    <xdr:from>
      <xdr:col>2</xdr:col>
      <xdr:colOff>285751</xdr:colOff>
      <xdr:row>127</xdr:row>
      <xdr:rowOff>149678</xdr:rowOff>
    </xdr:from>
    <xdr:ext cx="392250" cy="406704"/>
    <xdr:pic>
      <xdr:nvPicPr>
        <xdr:cNvPr id="34" name="Gráfico 33" descr="Moedas">
          <a:extLst>
            <a:ext uri="{FF2B5EF4-FFF2-40B4-BE49-F238E27FC236}">
              <a16:creationId xmlns:a16="http://schemas.microsoft.com/office/drawing/2014/main" id="{C2CBA7D9-7905-43B0-A61D-D15C137ED5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1"/>
            </a:ext>
          </a:extLst>
        </a:blip>
        <a:stretch>
          <a:fillRect/>
        </a:stretch>
      </xdr:blipFill>
      <xdr:spPr>
        <a:xfrm flipH="1">
          <a:off x="533401" y="24343178"/>
          <a:ext cx="392250" cy="406704"/>
        </a:xfrm>
        <a:prstGeom prst="rect">
          <a:avLst/>
        </a:prstGeom>
      </xdr:spPr>
    </xdr:pic>
    <xdr:clientData/>
  </xdr:oneCellAnchor>
  <xdr:oneCellAnchor>
    <xdr:from>
      <xdr:col>2</xdr:col>
      <xdr:colOff>288474</xdr:colOff>
      <xdr:row>146</xdr:row>
      <xdr:rowOff>152399</xdr:rowOff>
    </xdr:from>
    <xdr:ext cx="392250" cy="406702"/>
    <xdr:pic>
      <xdr:nvPicPr>
        <xdr:cNvPr id="35" name="Gráfico 34" descr="Moedas">
          <a:extLst>
            <a:ext uri="{FF2B5EF4-FFF2-40B4-BE49-F238E27FC236}">
              <a16:creationId xmlns:a16="http://schemas.microsoft.com/office/drawing/2014/main" id="{4B699F9E-B914-44FE-8476-892EA27C78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1"/>
            </a:ext>
          </a:extLst>
        </a:blip>
        <a:stretch>
          <a:fillRect/>
        </a:stretch>
      </xdr:blipFill>
      <xdr:spPr>
        <a:xfrm flipH="1">
          <a:off x="536124" y="27965399"/>
          <a:ext cx="392250" cy="406702"/>
        </a:xfrm>
        <a:prstGeom prst="rect">
          <a:avLst/>
        </a:prstGeom>
      </xdr:spPr>
    </xdr:pic>
    <xdr:clientData/>
  </xdr:oneCellAnchor>
  <xdr:oneCellAnchor>
    <xdr:from>
      <xdr:col>2</xdr:col>
      <xdr:colOff>300483</xdr:colOff>
      <xdr:row>163</xdr:row>
      <xdr:rowOff>123265</xdr:rowOff>
    </xdr:from>
    <xdr:ext cx="405011" cy="396000"/>
    <xdr:pic>
      <xdr:nvPicPr>
        <xdr:cNvPr id="36" name="Gráfico 35" descr="Sirene">
          <a:extLst>
            <a:ext uri="{FF2B5EF4-FFF2-40B4-BE49-F238E27FC236}">
              <a16:creationId xmlns:a16="http://schemas.microsoft.com/office/drawing/2014/main" id="{44C1584B-F8E9-47CD-8DF0-E8722DFA11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3"/>
            </a:ext>
          </a:extLst>
        </a:blip>
        <a:stretch>
          <a:fillRect/>
        </a:stretch>
      </xdr:blipFill>
      <xdr:spPr>
        <a:xfrm>
          <a:off x="548133" y="31174765"/>
          <a:ext cx="405011" cy="396000"/>
        </a:xfrm>
        <a:prstGeom prst="rect">
          <a:avLst/>
        </a:prstGeom>
        <a:effectLst/>
      </xdr:spPr>
    </xdr:pic>
    <xdr:clientData/>
  </xdr:oneCellAnchor>
  <xdr:oneCellAnchor>
    <xdr:from>
      <xdr:col>2</xdr:col>
      <xdr:colOff>300483</xdr:colOff>
      <xdr:row>182</xdr:row>
      <xdr:rowOff>107576</xdr:rowOff>
    </xdr:from>
    <xdr:ext cx="405011" cy="400203"/>
    <xdr:pic>
      <xdr:nvPicPr>
        <xdr:cNvPr id="37" name="Gráfico 36" descr="Sirene">
          <a:extLst>
            <a:ext uri="{FF2B5EF4-FFF2-40B4-BE49-F238E27FC236}">
              <a16:creationId xmlns:a16="http://schemas.microsoft.com/office/drawing/2014/main" id="{9EB9CB26-92FF-4AA7-9F48-DD711A45B7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3"/>
            </a:ext>
          </a:extLst>
        </a:blip>
        <a:stretch>
          <a:fillRect/>
        </a:stretch>
      </xdr:blipFill>
      <xdr:spPr>
        <a:xfrm>
          <a:off x="548133" y="34778576"/>
          <a:ext cx="405011" cy="400203"/>
        </a:xfrm>
        <a:prstGeom prst="rect">
          <a:avLst/>
        </a:prstGeom>
        <a:effectLst/>
      </xdr:spPr>
    </xdr:pic>
    <xdr:clientData/>
  </xdr:oneCellAnchor>
  <xdr:oneCellAnchor>
    <xdr:from>
      <xdr:col>2</xdr:col>
      <xdr:colOff>300483</xdr:colOff>
      <xdr:row>201</xdr:row>
      <xdr:rowOff>125505</xdr:rowOff>
    </xdr:from>
    <xdr:ext cx="405011" cy="396000"/>
    <xdr:pic>
      <xdr:nvPicPr>
        <xdr:cNvPr id="38" name="Gráfico 37" descr="Sirene">
          <a:extLst>
            <a:ext uri="{FF2B5EF4-FFF2-40B4-BE49-F238E27FC236}">
              <a16:creationId xmlns:a16="http://schemas.microsoft.com/office/drawing/2014/main" id="{197C4088-20C8-4F10-8F86-042E58E188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3"/>
            </a:ext>
          </a:extLst>
        </a:blip>
        <a:stretch>
          <a:fillRect/>
        </a:stretch>
      </xdr:blipFill>
      <xdr:spPr>
        <a:xfrm>
          <a:off x="548133" y="38416005"/>
          <a:ext cx="405011" cy="396000"/>
        </a:xfrm>
        <a:prstGeom prst="rect">
          <a:avLst/>
        </a:prstGeom>
        <a:effectLst/>
      </xdr:spPr>
    </xdr:pic>
    <xdr:clientData/>
  </xdr:oneCellAnchor>
  <xdr:oneCellAnchor>
    <xdr:from>
      <xdr:col>31</xdr:col>
      <xdr:colOff>190500</xdr:colOff>
      <xdr:row>1</xdr:row>
      <xdr:rowOff>141194</xdr:rowOff>
    </xdr:from>
    <xdr:ext cx="342000" cy="341999"/>
    <xdr:pic>
      <xdr:nvPicPr>
        <xdr:cNvPr id="39" name="Gráfico 38" descr="Virar calendário">
          <a:hlinkClick xmlns:r="http://schemas.openxmlformats.org/officeDocument/2006/relationships" r:id="rId34"/>
          <a:extLst>
            <a:ext uri="{FF2B5EF4-FFF2-40B4-BE49-F238E27FC236}">
              <a16:creationId xmlns:a16="http://schemas.microsoft.com/office/drawing/2014/main" id="{0D4405A2-9BD1-4386-BA18-C123C83BB8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6"/>
            </a:ext>
          </a:extLst>
        </a:blip>
        <a:stretch>
          <a:fillRect/>
        </a:stretch>
      </xdr:blipFill>
      <xdr:spPr>
        <a:xfrm>
          <a:off x="12734925" y="331694"/>
          <a:ext cx="342000" cy="341999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26</xdr:col>
      <xdr:colOff>324971</xdr:colOff>
      <xdr:row>2</xdr:row>
      <xdr:rowOff>174812</xdr:rowOff>
    </xdr:from>
    <xdr:to>
      <xdr:col>28</xdr:col>
      <xdr:colOff>22412</xdr:colOff>
      <xdr:row>2</xdr:row>
      <xdr:rowOff>174812</xdr:rowOff>
    </xdr:to>
    <xdr:cxnSp macro="">
      <xdr:nvCxnSpPr>
        <xdr:cNvPr id="40" name="Conector reto 39">
          <a:extLst>
            <a:ext uri="{FF2B5EF4-FFF2-40B4-BE49-F238E27FC236}">
              <a16:creationId xmlns:a16="http://schemas.microsoft.com/office/drawing/2014/main" id="{9EA48BEC-2546-4430-9915-299726998B34}"/>
            </a:ext>
          </a:extLst>
        </xdr:cNvPr>
        <xdr:cNvCxnSpPr/>
      </xdr:nvCxnSpPr>
      <xdr:spPr>
        <a:xfrm>
          <a:off x="11012021" y="555812"/>
          <a:ext cx="440391" cy="0"/>
        </a:xfrm>
        <a:prstGeom prst="line">
          <a:avLst/>
        </a:prstGeom>
        <a:ln>
          <a:solidFill>
            <a:srgbClr val="FFEBAB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331694</xdr:colOff>
      <xdr:row>2</xdr:row>
      <xdr:rowOff>174812</xdr:rowOff>
    </xdr:from>
    <xdr:to>
      <xdr:col>31</xdr:col>
      <xdr:colOff>29135</xdr:colOff>
      <xdr:row>2</xdr:row>
      <xdr:rowOff>174812</xdr:rowOff>
    </xdr:to>
    <xdr:cxnSp macro="">
      <xdr:nvCxnSpPr>
        <xdr:cNvPr id="41" name="Conector reto 40">
          <a:extLst>
            <a:ext uri="{FF2B5EF4-FFF2-40B4-BE49-F238E27FC236}">
              <a16:creationId xmlns:a16="http://schemas.microsoft.com/office/drawing/2014/main" id="{5911FFA5-2E80-40EF-8B03-8F71532159E4}"/>
            </a:ext>
          </a:extLst>
        </xdr:cNvPr>
        <xdr:cNvCxnSpPr/>
      </xdr:nvCxnSpPr>
      <xdr:spPr>
        <a:xfrm>
          <a:off x="12133169" y="555812"/>
          <a:ext cx="440391" cy="0"/>
        </a:xfrm>
        <a:prstGeom prst="line">
          <a:avLst/>
        </a:prstGeom>
        <a:ln>
          <a:solidFill>
            <a:srgbClr val="FFEBAB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0</xdr:col>
      <xdr:colOff>142210</xdr:colOff>
      <xdr:row>8</xdr:row>
      <xdr:rowOff>121771</xdr:rowOff>
    </xdr:from>
    <xdr:ext cx="250264" cy="246528"/>
    <xdr:pic>
      <xdr:nvPicPr>
        <xdr:cNvPr id="43" name="Gráfico 42" descr="Ajudar">
          <a:hlinkClick xmlns:r="http://schemas.openxmlformats.org/officeDocument/2006/relationships" r:id="rId37"/>
          <a:extLst>
            <a:ext uri="{FF2B5EF4-FFF2-40B4-BE49-F238E27FC236}">
              <a16:creationId xmlns:a16="http://schemas.microsoft.com/office/drawing/2014/main" id="{F9BFEE34-7B3E-483C-BA07-2BFB118CB5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2210" y="1645771"/>
          <a:ext cx="250264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35</xdr:col>
      <xdr:colOff>185459</xdr:colOff>
      <xdr:row>2</xdr:row>
      <xdr:rowOff>145676</xdr:rowOff>
    </xdr:from>
    <xdr:ext cx="429353" cy="424356"/>
    <xdr:pic>
      <xdr:nvPicPr>
        <xdr:cNvPr id="44" name="Gráfico 43" descr="Seta Reta">
          <a:hlinkClick xmlns:r="http://schemas.openxmlformats.org/officeDocument/2006/relationships" r:id="rId38" tooltip="PRÓXIMO MÊS"/>
          <a:extLst>
            <a:ext uri="{FF2B5EF4-FFF2-40B4-BE49-F238E27FC236}">
              <a16:creationId xmlns:a16="http://schemas.microsoft.com/office/drawing/2014/main" id="{8E113ED1-C49D-4D7D-9D6D-1ED6049463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0"/>
            </a:ext>
          </a:extLst>
        </a:blip>
        <a:stretch>
          <a:fillRect/>
        </a:stretch>
      </xdr:blipFill>
      <xdr:spPr>
        <a:xfrm rot="10800000">
          <a:off x="14215784" y="526676"/>
          <a:ext cx="429353" cy="424356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35</xdr:col>
      <xdr:colOff>156882</xdr:colOff>
      <xdr:row>1</xdr:row>
      <xdr:rowOff>67235</xdr:rowOff>
    </xdr:from>
    <xdr:ext cx="426552" cy="424356"/>
    <xdr:pic>
      <xdr:nvPicPr>
        <xdr:cNvPr id="45" name="Gráfico 44" descr="Seta Reta">
          <a:hlinkClick xmlns:r="http://schemas.openxmlformats.org/officeDocument/2006/relationships" r:id="rId41" tooltip="MÊS ANTERIOR"/>
          <a:extLst>
            <a:ext uri="{FF2B5EF4-FFF2-40B4-BE49-F238E27FC236}">
              <a16:creationId xmlns:a16="http://schemas.microsoft.com/office/drawing/2014/main" id="{175A2E8D-889D-487E-97F2-ED1C598158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0"/>
            </a:ext>
          </a:extLst>
        </a:blip>
        <a:stretch>
          <a:fillRect/>
        </a:stretch>
      </xdr:blipFill>
      <xdr:spPr>
        <a:xfrm>
          <a:off x="14187207" y="257735"/>
          <a:ext cx="426552" cy="424356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35</xdr:col>
      <xdr:colOff>0</xdr:colOff>
      <xdr:row>5</xdr:row>
      <xdr:rowOff>0</xdr:rowOff>
    </xdr:from>
    <xdr:to>
      <xdr:col>35</xdr:col>
      <xdr:colOff>549089</xdr:colOff>
      <xdr:row>6</xdr:row>
      <xdr:rowOff>11207</xdr:rowOff>
    </xdr:to>
    <xdr:sp macro="" textlink="">
      <xdr:nvSpPr>
        <xdr:cNvPr id="46" name="Balão de Fala: Retângulo com Cantos Arredondados 45">
          <a:extLst>
            <a:ext uri="{FF2B5EF4-FFF2-40B4-BE49-F238E27FC236}">
              <a16:creationId xmlns:a16="http://schemas.microsoft.com/office/drawing/2014/main" id="{C9E7A59C-C07D-4CEC-AAD0-2215E928B332}"/>
            </a:ext>
          </a:extLst>
        </xdr:cNvPr>
        <xdr:cNvSpPr/>
      </xdr:nvSpPr>
      <xdr:spPr>
        <a:xfrm>
          <a:off x="13973735" y="795618"/>
          <a:ext cx="549089" cy="179295"/>
        </a:xfrm>
        <a:prstGeom prst="wedgeRoundRectCallout">
          <a:avLst>
            <a:gd name="adj1" fmla="val -18889"/>
            <a:gd name="adj2" fmla="val 13747"/>
            <a:gd name="adj3" fmla="val 16667"/>
          </a:avLst>
        </a:prstGeom>
        <a:solidFill>
          <a:srgbClr val="7030A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tIns="28800" bIns="36000" rtlCol="0" anchor="ctr"/>
        <a:lstStyle/>
        <a:p>
          <a:pPr algn="ctr"/>
          <a:r>
            <a:rPr lang="en-GB" sz="900"/>
            <a:t>DIAS</a:t>
          </a:r>
        </a:p>
      </xdr:txBody>
    </xdr: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153895</xdr:colOff>
      <xdr:row>54</xdr:row>
      <xdr:rowOff>78440</xdr:rowOff>
    </xdr:from>
    <xdr:to>
      <xdr:col>3</xdr:col>
      <xdr:colOff>99733</xdr:colOff>
      <xdr:row>57</xdr:row>
      <xdr:rowOff>64621</xdr:rowOff>
    </xdr:to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C0062E6E-EA88-48EC-ABEF-21437D2E7C04}"/>
            </a:ext>
          </a:extLst>
        </xdr:cNvPr>
        <xdr:cNvSpPr/>
      </xdr:nvSpPr>
      <xdr:spPr>
        <a:xfrm>
          <a:off x="144370" y="10365440"/>
          <a:ext cx="2155638" cy="557681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REDUZI</a:t>
          </a:r>
          <a:br>
            <a:rPr lang="en-GB" sz="1000" b="1"/>
          </a:br>
          <a:r>
            <a:rPr lang="en-GB" sz="1000" b="1"/>
            <a:t>DESPESAS</a:t>
          </a:r>
          <a:br>
            <a:rPr lang="en-GB" sz="1000" b="1"/>
          </a:br>
          <a:r>
            <a:rPr lang="en-GB" sz="1000" b="1"/>
            <a:t>VARIÁVEIS?</a:t>
          </a:r>
        </a:p>
      </xdr:txBody>
    </xdr:sp>
    <xdr:clientData/>
  </xdr:twoCellAnchor>
  <xdr:twoCellAnchor>
    <xdr:from>
      <xdr:col>0</xdr:col>
      <xdr:colOff>132337</xdr:colOff>
      <xdr:row>8</xdr:row>
      <xdr:rowOff>104775</xdr:rowOff>
    </xdr:from>
    <xdr:to>
      <xdr:col>3</xdr:col>
      <xdr:colOff>77908</xdr:colOff>
      <xdr:row>11</xdr:row>
      <xdr:rowOff>76201</xdr:rowOff>
    </xdr:to>
    <xdr:sp macro="" textlink="">
      <xdr:nvSpPr>
        <xdr:cNvPr id="3" name="Retângulo: Cantos Arredondados 2">
          <a:extLst>
            <a:ext uri="{FF2B5EF4-FFF2-40B4-BE49-F238E27FC236}">
              <a16:creationId xmlns:a16="http://schemas.microsoft.com/office/drawing/2014/main" id="{BBD01AF2-A017-4B30-8019-59C4D6A241C1}"/>
            </a:ext>
          </a:extLst>
        </xdr:cNvPr>
        <xdr:cNvSpPr/>
      </xdr:nvSpPr>
      <xdr:spPr>
        <a:xfrm>
          <a:off x="132337" y="1628775"/>
          <a:ext cx="2145846" cy="542926"/>
        </a:xfrm>
        <a:prstGeom prst="roundRect">
          <a:avLst>
            <a:gd name="adj" fmla="val 7028"/>
          </a:avLst>
        </a:prstGeom>
        <a:solidFill>
          <a:srgbClr val="007CA8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CONSEGUI</a:t>
          </a:r>
          <a:br>
            <a:rPr lang="en-GB" sz="1000" b="1"/>
          </a:br>
          <a:r>
            <a:rPr lang="en-GB" sz="1000" b="1"/>
            <a:t>JUNTAR</a:t>
          </a:r>
          <a:br>
            <a:rPr lang="en-GB" sz="1000" b="1"/>
          </a:br>
          <a:r>
            <a:rPr lang="en-GB" sz="1000" b="1"/>
            <a:t>DINHEIRO?</a:t>
          </a:r>
        </a:p>
      </xdr:txBody>
    </xdr:sp>
    <xdr:clientData/>
  </xdr:twoCellAnchor>
  <xdr:twoCellAnchor>
    <xdr:from>
      <xdr:col>0</xdr:col>
      <xdr:colOff>132337</xdr:colOff>
      <xdr:row>19</xdr:row>
      <xdr:rowOff>104775</xdr:rowOff>
    </xdr:from>
    <xdr:to>
      <xdr:col>3</xdr:col>
      <xdr:colOff>77908</xdr:colOff>
      <xdr:row>22</xdr:row>
      <xdr:rowOff>57151</xdr:rowOff>
    </xdr:to>
    <xdr:sp macro="" textlink="">
      <xdr:nvSpPr>
        <xdr:cNvPr id="4" name="Retângulo: Cantos Arredondados 3">
          <a:extLst>
            <a:ext uri="{FF2B5EF4-FFF2-40B4-BE49-F238E27FC236}">
              <a16:creationId xmlns:a16="http://schemas.microsoft.com/office/drawing/2014/main" id="{0282C799-FF74-493F-9FBD-AB7C4C9B829F}"/>
            </a:ext>
          </a:extLst>
        </xdr:cNvPr>
        <xdr:cNvSpPr/>
      </xdr:nvSpPr>
      <xdr:spPr>
        <a:xfrm>
          <a:off x="132337" y="3724275"/>
          <a:ext cx="2145846" cy="523876"/>
        </a:xfrm>
        <a:prstGeom prst="roundRect">
          <a:avLst>
            <a:gd name="adj" fmla="val 7028"/>
          </a:avLst>
        </a:prstGeom>
        <a:solidFill>
          <a:srgbClr val="007CA8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CONSEGUI</a:t>
          </a:r>
          <a:br>
            <a:rPr lang="en-GB" sz="1000" b="1"/>
          </a:br>
          <a:r>
            <a:rPr lang="en-GB" sz="1000" b="1"/>
            <a:t>GUARDAR E</a:t>
          </a:r>
          <a:br>
            <a:rPr lang="en-GB" sz="1000" b="1"/>
          </a:br>
          <a:r>
            <a:rPr lang="en-GB" sz="1000" b="1"/>
            <a:t>INVESTIR?</a:t>
          </a:r>
        </a:p>
      </xdr:txBody>
    </xdr:sp>
    <xdr:clientData/>
  </xdr:twoCellAnchor>
  <xdr:oneCellAnchor>
    <xdr:from>
      <xdr:col>2</xdr:col>
      <xdr:colOff>282383</xdr:colOff>
      <xdr:row>20</xdr:row>
      <xdr:rowOff>118215</xdr:rowOff>
    </xdr:from>
    <xdr:ext cx="399499" cy="396000"/>
    <xdr:pic>
      <xdr:nvPicPr>
        <xdr:cNvPr id="5" name="Gráfico 4" descr="Cofrinho">
          <a:extLst>
            <a:ext uri="{FF2B5EF4-FFF2-40B4-BE49-F238E27FC236}">
              <a16:creationId xmlns:a16="http://schemas.microsoft.com/office/drawing/2014/main" id="{671E375F-AA64-40FF-9556-A188A3194D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530033" y="3928215"/>
          <a:ext cx="399499" cy="396000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2</xdr:col>
      <xdr:colOff>283926</xdr:colOff>
      <xdr:row>9</xdr:row>
      <xdr:rowOff>151343</xdr:rowOff>
    </xdr:from>
    <xdr:ext cx="396412" cy="396001"/>
    <xdr:pic>
      <xdr:nvPicPr>
        <xdr:cNvPr id="6" name="Gráfico 5" descr="Carteira">
          <a:extLst>
            <a:ext uri="{FF2B5EF4-FFF2-40B4-BE49-F238E27FC236}">
              <a16:creationId xmlns:a16="http://schemas.microsoft.com/office/drawing/2014/main" id="{DF7AE4B9-06A7-4B5D-8B54-6B3F8953D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531576" y="1865843"/>
          <a:ext cx="396412" cy="396001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0</xdr:col>
      <xdr:colOff>145864</xdr:colOff>
      <xdr:row>31</xdr:row>
      <xdr:rowOff>89647</xdr:rowOff>
    </xdr:from>
    <xdr:to>
      <xdr:col>3</xdr:col>
      <xdr:colOff>91702</xdr:colOff>
      <xdr:row>34</xdr:row>
      <xdr:rowOff>79002</xdr:rowOff>
    </xdr:to>
    <xdr:sp macro="" textlink="">
      <xdr:nvSpPr>
        <xdr:cNvPr id="7" name="Retângulo: Cantos Arredondados 6">
          <a:extLst>
            <a:ext uri="{FF2B5EF4-FFF2-40B4-BE49-F238E27FC236}">
              <a16:creationId xmlns:a16="http://schemas.microsoft.com/office/drawing/2014/main" id="{C60303F8-D933-40C1-82C5-98A1AD5CAEA8}"/>
            </a:ext>
          </a:extLst>
        </xdr:cNvPr>
        <xdr:cNvSpPr/>
      </xdr:nvSpPr>
      <xdr:spPr>
        <a:xfrm>
          <a:off x="145864" y="5995147"/>
          <a:ext cx="2146113" cy="560855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REDUZI</a:t>
          </a:r>
          <a:br>
            <a:rPr lang="en-GB" sz="1000" b="1"/>
          </a:br>
          <a:r>
            <a:rPr lang="en-GB" sz="1000" b="1"/>
            <a:t>DESPESAS</a:t>
          </a:r>
          <a:br>
            <a:rPr lang="en-GB" sz="1000" b="1"/>
          </a:br>
          <a:r>
            <a:rPr lang="en-GB" sz="1000" b="1"/>
            <a:t>F</a:t>
          </a:r>
          <a:r>
            <a:rPr lang="en-GB" sz="1000" b="1" baseline="0"/>
            <a:t>IXAS?</a:t>
          </a:r>
          <a:endParaRPr lang="en-GB" sz="1000" b="1"/>
        </a:p>
      </xdr:txBody>
    </xdr:sp>
    <xdr:clientData/>
  </xdr:twoCellAnchor>
  <xdr:oneCellAnchor>
    <xdr:from>
      <xdr:col>2</xdr:col>
      <xdr:colOff>315419</xdr:colOff>
      <xdr:row>32</xdr:row>
      <xdr:rowOff>144489</xdr:rowOff>
    </xdr:from>
    <xdr:ext cx="394594" cy="395999"/>
    <xdr:pic>
      <xdr:nvPicPr>
        <xdr:cNvPr id="8" name="Gráfico 7" descr="Eletricista">
          <a:extLst>
            <a:ext uri="{FF2B5EF4-FFF2-40B4-BE49-F238E27FC236}">
              <a16:creationId xmlns:a16="http://schemas.microsoft.com/office/drawing/2014/main" id="{2272C948-00D1-4F5D-A8EB-B0589D0A50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6"/>
            </a:ext>
          </a:extLst>
        </a:blip>
        <a:stretch>
          <a:fillRect/>
        </a:stretch>
      </xdr:blipFill>
      <xdr:spPr>
        <a:xfrm>
          <a:off x="563069" y="6240489"/>
          <a:ext cx="394594" cy="395999"/>
        </a:xfrm>
        <a:prstGeom prst="rect">
          <a:avLst/>
        </a:prstGeom>
        <a:effectLst/>
      </xdr:spPr>
    </xdr:pic>
    <xdr:clientData/>
  </xdr:oneCellAnchor>
  <xdr:oneCellAnchor>
    <xdr:from>
      <xdr:col>2</xdr:col>
      <xdr:colOff>311917</xdr:colOff>
      <xdr:row>55</xdr:row>
      <xdr:rowOff>132264</xdr:rowOff>
    </xdr:from>
    <xdr:ext cx="401599" cy="395999"/>
    <xdr:pic>
      <xdr:nvPicPr>
        <xdr:cNvPr id="9" name="Gráfico 8" descr="Artista">
          <a:extLst>
            <a:ext uri="{FF2B5EF4-FFF2-40B4-BE49-F238E27FC236}">
              <a16:creationId xmlns:a16="http://schemas.microsoft.com/office/drawing/2014/main" id="{AA7562F8-7377-4C58-9B8E-722378596B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8"/>
            </a:ext>
          </a:extLst>
        </a:blip>
        <a:stretch>
          <a:fillRect/>
        </a:stretch>
      </xdr:blipFill>
      <xdr:spPr>
        <a:xfrm>
          <a:off x="559567" y="10609764"/>
          <a:ext cx="401599" cy="395999"/>
        </a:xfrm>
        <a:prstGeom prst="rect">
          <a:avLst/>
        </a:prstGeom>
        <a:effectLst/>
      </xdr:spPr>
    </xdr:pic>
    <xdr:clientData/>
  </xdr:oneCellAnchor>
  <xdr:twoCellAnchor>
    <xdr:from>
      <xdr:col>1</xdr:col>
      <xdr:colOff>0</xdr:colOff>
      <xdr:row>76</xdr:row>
      <xdr:rowOff>104775</xdr:rowOff>
    </xdr:from>
    <xdr:to>
      <xdr:col>3</xdr:col>
      <xdr:colOff>95250</xdr:colOff>
      <xdr:row>79</xdr:row>
      <xdr:rowOff>76201</xdr:rowOff>
    </xdr:to>
    <xdr:sp macro="" textlink="">
      <xdr:nvSpPr>
        <xdr:cNvPr id="10" name="Retângulo: Cantos Arredondados 9">
          <a:extLst>
            <a:ext uri="{FF2B5EF4-FFF2-40B4-BE49-F238E27FC236}">
              <a16:creationId xmlns:a16="http://schemas.microsoft.com/office/drawing/2014/main" id="{882E0D8B-0D15-4B9E-B750-946E1E77AA80}"/>
            </a:ext>
          </a:extLst>
        </xdr:cNvPr>
        <xdr:cNvSpPr/>
      </xdr:nvSpPr>
      <xdr:spPr>
        <a:xfrm>
          <a:off x="142875" y="145827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AUMENTEI</a:t>
          </a:r>
          <a:br>
            <a:rPr lang="en-GB" sz="1000" b="1"/>
          </a:br>
          <a:r>
            <a:rPr lang="en-GB" sz="1000" b="1"/>
            <a:t>GANHOS</a:t>
          </a:r>
          <a:br>
            <a:rPr lang="en-GB" sz="1000" b="1"/>
          </a:br>
          <a:r>
            <a:rPr lang="en-GB" sz="1000" b="1"/>
            <a:t>FIXOS?</a:t>
          </a:r>
        </a:p>
      </xdr:txBody>
    </xdr:sp>
    <xdr:clientData/>
  </xdr:twoCellAnchor>
  <xdr:oneCellAnchor>
    <xdr:from>
      <xdr:col>28</xdr:col>
      <xdr:colOff>211792</xdr:colOff>
      <xdr:row>1</xdr:row>
      <xdr:rowOff>166407</xdr:rowOff>
    </xdr:from>
    <xdr:ext cx="310402" cy="310039"/>
    <xdr:pic>
      <xdr:nvPicPr>
        <xdr:cNvPr id="11" name="Gráfico 10" descr="Impressão digital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E3296953-9873-4A4C-A667-6D9CDF4510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1"/>
            </a:ext>
          </a:extLst>
        </a:blip>
        <a:stretch>
          <a:fillRect/>
        </a:stretch>
      </xdr:blipFill>
      <xdr:spPr>
        <a:xfrm>
          <a:off x="11641792" y="356907"/>
          <a:ext cx="310402" cy="310039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25</xdr:col>
      <xdr:colOff>188660</xdr:colOff>
      <xdr:row>1</xdr:row>
      <xdr:rowOff>129989</xdr:rowOff>
    </xdr:from>
    <xdr:ext cx="369173" cy="364524"/>
    <xdr:pic>
      <xdr:nvPicPr>
        <xdr:cNvPr id="12" name="Gráfico 11" descr="Trancar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id="{51245EE2-8553-4EEA-92A1-79189EDDD8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4"/>
            </a:ext>
          </a:extLst>
        </a:blip>
        <a:stretch>
          <a:fillRect/>
        </a:stretch>
      </xdr:blipFill>
      <xdr:spPr>
        <a:xfrm>
          <a:off x="10504235" y="320489"/>
          <a:ext cx="369173" cy="364524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1</xdr:col>
      <xdr:colOff>1017</xdr:colOff>
      <xdr:row>19</xdr:row>
      <xdr:rowOff>126254</xdr:rowOff>
    </xdr:from>
    <xdr:ext cx="250264" cy="246528"/>
    <xdr:pic>
      <xdr:nvPicPr>
        <xdr:cNvPr id="13" name="Gráfico 12" descr="Ajudar">
          <a:hlinkClick xmlns:r="http://schemas.openxmlformats.org/officeDocument/2006/relationships" r:id="rId15"/>
          <a:extLst>
            <a:ext uri="{FF2B5EF4-FFF2-40B4-BE49-F238E27FC236}">
              <a16:creationId xmlns:a16="http://schemas.microsoft.com/office/drawing/2014/main" id="{E4CBC27F-A762-4780-B492-95AE5A41BE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3892" y="3745754"/>
          <a:ext cx="250264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1</xdr:col>
      <xdr:colOff>15211</xdr:colOff>
      <xdr:row>31</xdr:row>
      <xdr:rowOff>114300</xdr:rowOff>
    </xdr:from>
    <xdr:ext cx="246528" cy="246528"/>
    <xdr:pic>
      <xdr:nvPicPr>
        <xdr:cNvPr id="14" name="Gráfico 13" descr="Ajudar">
          <a:hlinkClick xmlns:r="http://schemas.openxmlformats.org/officeDocument/2006/relationships" r:id="rId18"/>
          <a:extLst>
            <a:ext uri="{FF2B5EF4-FFF2-40B4-BE49-F238E27FC236}">
              <a16:creationId xmlns:a16="http://schemas.microsoft.com/office/drawing/2014/main" id="{E7399082-7413-466B-B9C7-4B190B26F8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58086" y="6019800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1</xdr:col>
      <xdr:colOff>10727</xdr:colOff>
      <xdr:row>54</xdr:row>
      <xdr:rowOff>98613</xdr:rowOff>
    </xdr:from>
    <xdr:ext cx="246528" cy="246529"/>
    <xdr:pic>
      <xdr:nvPicPr>
        <xdr:cNvPr id="15" name="Gráfico 14" descr="Ajudar">
          <a:hlinkClick xmlns:r="http://schemas.openxmlformats.org/officeDocument/2006/relationships" r:id="rId19"/>
          <a:extLst>
            <a:ext uri="{FF2B5EF4-FFF2-40B4-BE49-F238E27FC236}">
              <a16:creationId xmlns:a16="http://schemas.microsoft.com/office/drawing/2014/main" id="{07CF76C5-9620-4243-A812-F4C313F3D2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53602" y="10385613"/>
          <a:ext cx="246528" cy="246529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1</xdr:col>
      <xdr:colOff>6244</xdr:colOff>
      <xdr:row>76</xdr:row>
      <xdr:rowOff>127748</xdr:rowOff>
    </xdr:from>
    <xdr:ext cx="246528" cy="246528"/>
    <xdr:pic>
      <xdr:nvPicPr>
        <xdr:cNvPr id="16" name="Gráfico 15" descr="Ajudar">
          <a:hlinkClick xmlns:r="http://schemas.openxmlformats.org/officeDocument/2006/relationships" r:id="rId20"/>
          <a:extLst>
            <a:ext uri="{FF2B5EF4-FFF2-40B4-BE49-F238E27FC236}">
              <a16:creationId xmlns:a16="http://schemas.microsoft.com/office/drawing/2014/main" id="{13451C29-10A5-4479-A241-A032E8B498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146057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90</xdr:row>
      <xdr:rowOff>104775</xdr:rowOff>
    </xdr:from>
    <xdr:to>
      <xdr:col>3</xdr:col>
      <xdr:colOff>95250</xdr:colOff>
      <xdr:row>93</xdr:row>
      <xdr:rowOff>76201</xdr:rowOff>
    </xdr:to>
    <xdr:sp macro="" textlink="">
      <xdr:nvSpPr>
        <xdr:cNvPr id="17" name="Retângulo: Cantos Arredondados 16">
          <a:extLst>
            <a:ext uri="{FF2B5EF4-FFF2-40B4-BE49-F238E27FC236}">
              <a16:creationId xmlns:a16="http://schemas.microsoft.com/office/drawing/2014/main" id="{CA0DD080-B894-41A0-9BC1-2E6582B269E1}"/>
            </a:ext>
          </a:extLst>
        </xdr:cNvPr>
        <xdr:cNvSpPr/>
      </xdr:nvSpPr>
      <xdr:spPr>
        <a:xfrm>
          <a:off x="142875" y="172497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AUMENTEI</a:t>
          </a:r>
          <a:br>
            <a:rPr lang="en-GB" sz="1000" b="1"/>
          </a:br>
          <a:r>
            <a:rPr lang="en-GB" sz="1000" b="1"/>
            <a:t>GANHOS</a:t>
          </a:r>
          <a:br>
            <a:rPr lang="en-GB" sz="1000" b="1"/>
          </a:br>
          <a:r>
            <a:rPr lang="en-GB" sz="1000" b="1"/>
            <a:t>VARIÁVEIS?</a:t>
          </a:r>
        </a:p>
      </xdr:txBody>
    </xdr:sp>
    <xdr:clientData/>
  </xdr:twoCellAnchor>
  <xdr:oneCellAnchor>
    <xdr:from>
      <xdr:col>1</xdr:col>
      <xdr:colOff>6244</xdr:colOff>
      <xdr:row>90</xdr:row>
      <xdr:rowOff>127748</xdr:rowOff>
    </xdr:from>
    <xdr:ext cx="246528" cy="246528"/>
    <xdr:pic>
      <xdr:nvPicPr>
        <xdr:cNvPr id="18" name="Gráfico 17" descr="Ajudar">
          <a:hlinkClick xmlns:r="http://schemas.openxmlformats.org/officeDocument/2006/relationships" r:id="rId21"/>
          <a:extLst>
            <a:ext uri="{FF2B5EF4-FFF2-40B4-BE49-F238E27FC236}">
              <a16:creationId xmlns:a16="http://schemas.microsoft.com/office/drawing/2014/main" id="{420122F4-EA08-4E82-A77F-4F57C77A52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172727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107</xdr:row>
      <xdr:rowOff>104775</xdr:rowOff>
    </xdr:from>
    <xdr:to>
      <xdr:col>3</xdr:col>
      <xdr:colOff>95250</xdr:colOff>
      <xdr:row>110</xdr:row>
      <xdr:rowOff>76201</xdr:rowOff>
    </xdr:to>
    <xdr:sp macro="" textlink="">
      <xdr:nvSpPr>
        <xdr:cNvPr id="19" name="Retângulo: Cantos Arredondados 18">
          <a:extLst>
            <a:ext uri="{FF2B5EF4-FFF2-40B4-BE49-F238E27FC236}">
              <a16:creationId xmlns:a16="http://schemas.microsoft.com/office/drawing/2014/main" id="{9DEAADF6-564A-4840-9BDB-6B2630EEBAA7}"/>
            </a:ext>
          </a:extLst>
        </xdr:cNvPr>
        <xdr:cNvSpPr/>
      </xdr:nvSpPr>
      <xdr:spPr>
        <a:xfrm>
          <a:off x="142875" y="204882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INVESTI</a:t>
          </a:r>
          <a:r>
            <a:rPr lang="en-GB" sz="1000" b="1" baseline="0"/>
            <a:t> EM</a:t>
          </a:r>
          <a:br>
            <a:rPr lang="en-GB" sz="1000" b="1"/>
          </a:br>
          <a:r>
            <a:rPr lang="en-GB" sz="1000" b="1"/>
            <a:t>RENDA</a:t>
          </a:r>
          <a:br>
            <a:rPr lang="en-GB" sz="1000" b="1"/>
          </a:br>
          <a:r>
            <a:rPr lang="en-GB" sz="1000" b="1" baseline="0"/>
            <a:t>FIXA?</a:t>
          </a:r>
          <a:endParaRPr lang="en-GB" sz="1000" b="1"/>
        </a:p>
      </xdr:txBody>
    </xdr:sp>
    <xdr:clientData/>
  </xdr:twoCellAnchor>
  <xdr:oneCellAnchor>
    <xdr:from>
      <xdr:col>1</xdr:col>
      <xdr:colOff>6244</xdr:colOff>
      <xdr:row>107</xdr:row>
      <xdr:rowOff>127748</xdr:rowOff>
    </xdr:from>
    <xdr:ext cx="246528" cy="246528"/>
    <xdr:pic>
      <xdr:nvPicPr>
        <xdr:cNvPr id="20" name="Gráfico 19" descr="Ajudar">
          <a:hlinkClick xmlns:r="http://schemas.openxmlformats.org/officeDocument/2006/relationships" r:id="rId22"/>
          <a:extLst>
            <a:ext uri="{FF2B5EF4-FFF2-40B4-BE49-F238E27FC236}">
              <a16:creationId xmlns:a16="http://schemas.microsoft.com/office/drawing/2014/main" id="{12CE147B-57B7-47C8-BB21-95A7FE354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205112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126</xdr:row>
      <xdr:rowOff>104775</xdr:rowOff>
    </xdr:from>
    <xdr:to>
      <xdr:col>3</xdr:col>
      <xdr:colOff>95250</xdr:colOff>
      <xdr:row>129</xdr:row>
      <xdr:rowOff>76201</xdr:rowOff>
    </xdr:to>
    <xdr:sp macro="" textlink="">
      <xdr:nvSpPr>
        <xdr:cNvPr id="21" name="Retângulo: Cantos Arredondados 20">
          <a:extLst>
            <a:ext uri="{FF2B5EF4-FFF2-40B4-BE49-F238E27FC236}">
              <a16:creationId xmlns:a16="http://schemas.microsoft.com/office/drawing/2014/main" id="{72E83B86-57CA-4520-975B-708D760DB119}"/>
            </a:ext>
          </a:extLst>
        </xdr:cNvPr>
        <xdr:cNvSpPr/>
      </xdr:nvSpPr>
      <xdr:spPr>
        <a:xfrm>
          <a:off x="142875" y="241077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INVESTI EM</a:t>
          </a:r>
          <a:br>
            <a:rPr lang="en-GB" sz="1000" b="1"/>
          </a:br>
          <a:r>
            <a:rPr lang="en-GB" sz="1000" b="1"/>
            <a:t>RENDA </a:t>
          </a:r>
          <a:r>
            <a:rPr lang="en-GB" sz="1000" b="1" baseline="0"/>
            <a:t>VARIÁVEL?</a:t>
          </a:r>
          <a:endParaRPr lang="en-GB" sz="1000" b="1"/>
        </a:p>
      </xdr:txBody>
    </xdr:sp>
    <xdr:clientData/>
  </xdr:twoCellAnchor>
  <xdr:oneCellAnchor>
    <xdr:from>
      <xdr:col>1</xdr:col>
      <xdr:colOff>6244</xdr:colOff>
      <xdr:row>126</xdr:row>
      <xdr:rowOff>127748</xdr:rowOff>
    </xdr:from>
    <xdr:ext cx="246528" cy="246528"/>
    <xdr:pic>
      <xdr:nvPicPr>
        <xdr:cNvPr id="22" name="Gráfico 21" descr="Ajudar">
          <a:hlinkClick xmlns:r="http://schemas.openxmlformats.org/officeDocument/2006/relationships" r:id="rId23"/>
          <a:extLst>
            <a:ext uri="{FF2B5EF4-FFF2-40B4-BE49-F238E27FC236}">
              <a16:creationId xmlns:a16="http://schemas.microsoft.com/office/drawing/2014/main" id="{1182105F-166D-44C4-B6C8-A568156F7C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241307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145</xdr:row>
      <xdr:rowOff>104775</xdr:rowOff>
    </xdr:from>
    <xdr:to>
      <xdr:col>3</xdr:col>
      <xdr:colOff>95250</xdr:colOff>
      <xdr:row>148</xdr:row>
      <xdr:rowOff>76201</xdr:rowOff>
    </xdr:to>
    <xdr:sp macro="" textlink="">
      <xdr:nvSpPr>
        <xdr:cNvPr id="23" name="Retângulo: Cantos Arredondados 22">
          <a:extLst>
            <a:ext uri="{FF2B5EF4-FFF2-40B4-BE49-F238E27FC236}">
              <a16:creationId xmlns:a16="http://schemas.microsoft.com/office/drawing/2014/main" id="{7712566D-DE3E-4896-9B7E-AE32AFA524FF}"/>
            </a:ext>
          </a:extLst>
        </xdr:cNvPr>
        <xdr:cNvSpPr/>
      </xdr:nvSpPr>
      <xdr:spPr>
        <a:xfrm>
          <a:off x="142875" y="277272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INVESTI</a:t>
          </a:r>
          <a:r>
            <a:rPr lang="en-GB" sz="1000" b="1" baseline="0"/>
            <a:t> EM</a:t>
          </a:r>
          <a:br>
            <a:rPr lang="en-GB" sz="1000" b="1"/>
          </a:br>
          <a:r>
            <a:rPr lang="en-GB" sz="1000" b="1"/>
            <a:t>OUTROS</a:t>
          </a:r>
          <a:br>
            <a:rPr lang="en-GB" sz="1000" b="1"/>
          </a:br>
          <a:r>
            <a:rPr lang="en-GB" sz="1000" b="1"/>
            <a:t>ATIVOS?</a:t>
          </a:r>
        </a:p>
      </xdr:txBody>
    </xdr:sp>
    <xdr:clientData/>
  </xdr:twoCellAnchor>
  <xdr:oneCellAnchor>
    <xdr:from>
      <xdr:col>1</xdr:col>
      <xdr:colOff>6244</xdr:colOff>
      <xdr:row>145</xdr:row>
      <xdr:rowOff>127748</xdr:rowOff>
    </xdr:from>
    <xdr:ext cx="246528" cy="246528"/>
    <xdr:pic>
      <xdr:nvPicPr>
        <xdr:cNvPr id="24" name="Gráfico 23" descr="Ajudar">
          <a:hlinkClick xmlns:r="http://schemas.openxmlformats.org/officeDocument/2006/relationships" r:id="rId24"/>
          <a:extLst>
            <a:ext uri="{FF2B5EF4-FFF2-40B4-BE49-F238E27FC236}">
              <a16:creationId xmlns:a16="http://schemas.microsoft.com/office/drawing/2014/main" id="{AC61EFCE-A47D-463E-86FC-FABB81BE8D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277502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162</xdr:row>
      <xdr:rowOff>104775</xdr:rowOff>
    </xdr:from>
    <xdr:to>
      <xdr:col>3</xdr:col>
      <xdr:colOff>95250</xdr:colOff>
      <xdr:row>165</xdr:row>
      <xdr:rowOff>76201</xdr:rowOff>
    </xdr:to>
    <xdr:sp macro="" textlink="">
      <xdr:nvSpPr>
        <xdr:cNvPr id="25" name="Retângulo: Cantos Arredondados 24">
          <a:extLst>
            <a:ext uri="{FF2B5EF4-FFF2-40B4-BE49-F238E27FC236}">
              <a16:creationId xmlns:a16="http://schemas.microsoft.com/office/drawing/2014/main" id="{AFB93251-AC86-414B-9C15-6524C8902B81}"/>
            </a:ext>
          </a:extLst>
        </xdr:cNvPr>
        <xdr:cNvSpPr/>
      </xdr:nvSpPr>
      <xdr:spPr>
        <a:xfrm>
          <a:off x="142875" y="309657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GUARDEI</a:t>
          </a:r>
          <a:br>
            <a:rPr lang="en-GB" sz="1000" b="1"/>
          </a:br>
          <a:r>
            <a:rPr lang="en-GB" sz="1000" b="1"/>
            <a:t>RESERVA EM</a:t>
          </a:r>
          <a:br>
            <a:rPr lang="en-GB" sz="1000" b="1"/>
          </a:br>
          <a:r>
            <a:rPr lang="en-GB" sz="1000" b="1"/>
            <a:t>RENDA</a:t>
          </a:r>
          <a:r>
            <a:rPr lang="en-GB" sz="1000" b="1" baseline="0"/>
            <a:t> </a:t>
          </a:r>
          <a:r>
            <a:rPr lang="en-GB" sz="1000" b="1"/>
            <a:t>FIXA?</a:t>
          </a:r>
        </a:p>
      </xdr:txBody>
    </xdr:sp>
    <xdr:clientData/>
  </xdr:twoCellAnchor>
  <xdr:oneCellAnchor>
    <xdr:from>
      <xdr:col>1</xdr:col>
      <xdr:colOff>6244</xdr:colOff>
      <xdr:row>162</xdr:row>
      <xdr:rowOff>127748</xdr:rowOff>
    </xdr:from>
    <xdr:ext cx="246528" cy="246528"/>
    <xdr:pic>
      <xdr:nvPicPr>
        <xdr:cNvPr id="26" name="Gráfico 25" descr="Ajudar">
          <a:hlinkClick xmlns:r="http://schemas.openxmlformats.org/officeDocument/2006/relationships" r:id="rId25"/>
          <a:extLst>
            <a:ext uri="{FF2B5EF4-FFF2-40B4-BE49-F238E27FC236}">
              <a16:creationId xmlns:a16="http://schemas.microsoft.com/office/drawing/2014/main" id="{54D5725B-FBCB-4135-A4CF-8D00D68772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309887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181</xdr:row>
      <xdr:rowOff>104775</xdr:rowOff>
    </xdr:from>
    <xdr:to>
      <xdr:col>3</xdr:col>
      <xdr:colOff>95250</xdr:colOff>
      <xdr:row>184</xdr:row>
      <xdr:rowOff>76201</xdr:rowOff>
    </xdr:to>
    <xdr:sp macro="" textlink="">
      <xdr:nvSpPr>
        <xdr:cNvPr id="27" name="Retângulo: Cantos Arredondados 26">
          <a:extLst>
            <a:ext uri="{FF2B5EF4-FFF2-40B4-BE49-F238E27FC236}">
              <a16:creationId xmlns:a16="http://schemas.microsoft.com/office/drawing/2014/main" id="{217D9CB4-B4BA-4458-9C79-3CD5C535BAA3}"/>
            </a:ext>
          </a:extLst>
        </xdr:cNvPr>
        <xdr:cNvSpPr/>
      </xdr:nvSpPr>
      <xdr:spPr>
        <a:xfrm>
          <a:off x="142875" y="345852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/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GUARDEI</a:t>
          </a:r>
          <a:b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RESERVA EM</a:t>
          </a:r>
          <a:b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RENDA</a:t>
          </a:r>
          <a:r>
            <a:rPr lang="en-GB" sz="10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VARIÁVEL?</a:t>
          </a:r>
          <a:endParaRPr lang="en-GB" sz="1000">
            <a:effectLst/>
          </a:endParaRPr>
        </a:p>
      </xdr:txBody>
    </xdr:sp>
    <xdr:clientData/>
  </xdr:twoCellAnchor>
  <xdr:oneCellAnchor>
    <xdr:from>
      <xdr:col>1</xdr:col>
      <xdr:colOff>6244</xdr:colOff>
      <xdr:row>181</xdr:row>
      <xdr:rowOff>127748</xdr:rowOff>
    </xdr:from>
    <xdr:ext cx="246528" cy="246528"/>
    <xdr:pic>
      <xdr:nvPicPr>
        <xdr:cNvPr id="28" name="Gráfico 27" descr="Ajudar">
          <a:hlinkClick xmlns:r="http://schemas.openxmlformats.org/officeDocument/2006/relationships" r:id="rId26"/>
          <a:extLst>
            <a:ext uri="{FF2B5EF4-FFF2-40B4-BE49-F238E27FC236}">
              <a16:creationId xmlns:a16="http://schemas.microsoft.com/office/drawing/2014/main" id="{A569D9F1-53B0-4FF7-AF62-EAC5B05098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346082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200</xdr:row>
      <xdr:rowOff>104775</xdr:rowOff>
    </xdr:from>
    <xdr:to>
      <xdr:col>3</xdr:col>
      <xdr:colOff>95250</xdr:colOff>
      <xdr:row>203</xdr:row>
      <xdr:rowOff>76201</xdr:rowOff>
    </xdr:to>
    <xdr:sp macro="" textlink="">
      <xdr:nvSpPr>
        <xdr:cNvPr id="29" name="Retângulo: Cantos Arredondados 28">
          <a:extLst>
            <a:ext uri="{FF2B5EF4-FFF2-40B4-BE49-F238E27FC236}">
              <a16:creationId xmlns:a16="http://schemas.microsoft.com/office/drawing/2014/main" id="{DA04FAF7-82F9-457B-BC01-37E86BCBA6B9}"/>
            </a:ext>
          </a:extLst>
        </xdr:cNvPr>
        <xdr:cNvSpPr/>
      </xdr:nvSpPr>
      <xdr:spPr>
        <a:xfrm>
          <a:off x="142875" y="382047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/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GUARDEI</a:t>
          </a:r>
          <a:b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RESERVA EM</a:t>
          </a:r>
          <a:b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OUTROS ATIVOS?</a:t>
          </a:r>
          <a:endParaRPr lang="en-GB" sz="1000">
            <a:effectLst/>
          </a:endParaRPr>
        </a:p>
      </xdr:txBody>
    </xdr:sp>
    <xdr:clientData/>
  </xdr:twoCellAnchor>
  <xdr:oneCellAnchor>
    <xdr:from>
      <xdr:col>1</xdr:col>
      <xdr:colOff>6244</xdr:colOff>
      <xdr:row>200</xdr:row>
      <xdr:rowOff>127748</xdr:rowOff>
    </xdr:from>
    <xdr:ext cx="246528" cy="246528"/>
    <xdr:pic>
      <xdr:nvPicPr>
        <xdr:cNvPr id="30" name="Gráfico 29" descr="Ajudar">
          <a:hlinkClick xmlns:r="http://schemas.openxmlformats.org/officeDocument/2006/relationships" r:id="rId27"/>
          <a:extLst>
            <a:ext uri="{FF2B5EF4-FFF2-40B4-BE49-F238E27FC236}">
              <a16:creationId xmlns:a16="http://schemas.microsoft.com/office/drawing/2014/main" id="{C80C77C6-A3E2-4A9A-A428-C1B32F4911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382277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2</xdr:col>
      <xdr:colOff>319257</xdr:colOff>
      <xdr:row>77</xdr:row>
      <xdr:rowOff>126685</xdr:rowOff>
    </xdr:from>
    <xdr:ext cx="392036" cy="395999"/>
    <xdr:pic>
      <xdr:nvPicPr>
        <xdr:cNvPr id="31" name="Gráfico 30" descr="Dinheiro">
          <a:extLst>
            <a:ext uri="{FF2B5EF4-FFF2-40B4-BE49-F238E27FC236}">
              <a16:creationId xmlns:a16="http://schemas.microsoft.com/office/drawing/2014/main" id="{99D7A59F-ECFF-4A57-B76C-9E4908833F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9"/>
            </a:ext>
          </a:extLst>
        </a:blip>
        <a:stretch>
          <a:fillRect/>
        </a:stretch>
      </xdr:blipFill>
      <xdr:spPr>
        <a:xfrm flipH="1">
          <a:off x="566907" y="14795185"/>
          <a:ext cx="392036" cy="395999"/>
        </a:xfrm>
        <a:prstGeom prst="rect">
          <a:avLst/>
        </a:prstGeom>
      </xdr:spPr>
    </xdr:pic>
    <xdr:clientData/>
  </xdr:oneCellAnchor>
  <xdr:oneCellAnchor>
    <xdr:from>
      <xdr:col>2</xdr:col>
      <xdr:colOff>319257</xdr:colOff>
      <xdr:row>91</xdr:row>
      <xdr:rowOff>115798</xdr:rowOff>
    </xdr:from>
    <xdr:ext cx="400936" cy="396000"/>
    <xdr:pic>
      <xdr:nvPicPr>
        <xdr:cNvPr id="32" name="Gráfico 31" descr="Dinheiro">
          <a:extLst>
            <a:ext uri="{FF2B5EF4-FFF2-40B4-BE49-F238E27FC236}">
              <a16:creationId xmlns:a16="http://schemas.microsoft.com/office/drawing/2014/main" id="{39CE3B55-70C4-46B3-A4F8-E6C5749240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9"/>
            </a:ext>
          </a:extLst>
        </a:blip>
        <a:stretch>
          <a:fillRect/>
        </a:stretch>
      </xdr:blipFill>
      <xdr:spPr>
        <a:xfrm flipH="1">
          <a:off x="566907" y="17451298"/>
          <a:ext cx="400936" cy="396000"/>
        </a:xfrm>
        <a:prstGeom prst="rect">
          <a:avLst/>
        </a:prstGeom>
      </xdr:spPr>
    </xdr:pic>
    <xdr:clientData/>
  </xdr:oneCellAnchor>
  <xdr:oneCellAnchor>
    <xdr:from>
      <xdr:col>2</xdr:col>
      <xdr:colOff>330528</xdr:colOff>
      <xdr:row>108</xdr:row>
      <xdr:rowOff>134224</xdr:rowOff>
    </xdr:from>
    <xdr:ext cx="392250" cy="406702"/>
    <xdr:pic>
      <xdr:nvPicPr>
        <xdr:cNvPr id="33" name="Gráfico 32" descr="Moedas">
          <a:extLst>
            <a:ext uri="{FF2B5EF4-FFF2-40B4-BE49-F238E27FC236}">
              <a16:creationId xmlns:a16="http://schemas.microsoft.com/office/drawing/2014/main" id="{E99B8CED-DFE7-4A6E-9554-ABC0E00207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1"/>
            </a:ext>
          </a:extLst>
        </a:blip>
        <a:stretch>
          <a:fillRect/>
        </a:stretch>
      </xdr:blipFill>
      <xdr:spPr>
        <a:xfrm flipH="1">
          <a:off x="578178" y="20708224"/>
          <a:ext cx="392250" cy="406702"/>
        </a:xfrm>
        <a:prstGeom prst="rect">
          <a:avLst/>
        </a:prstGeom>
      </xdr:spPr>
    </xdr:pic>
    <xdr:clientData/>
  </xdr:oneCellAnchor>
  <xdr:oneCellAnchor>
    <xdr:from>
      <xdr:col>2</xdr:col>
      <xdr:colOff>285751</xdr:colOff>
      <xdr:row>127</xdr:row>
      <xdr:rowOff>149678</xdr:rowOff>
    </xdr:from>
    <xdr:ext cx="392250" cy="406704"/>
    <xdr:pic>
      <xdr:nvPicPr>
        <xdr:cNvPr id="34" name="Gráfico 33" descr="Moedas">
          <a:extLst>
            <a:ext uri="{FF2B5EF4-FFF2-40B4-BE49-F238E27FC236}">
              <a16:creationId xmlns:a16="http://schemas.microsoft.com/office/drawing/2014/main" id="{4A139D59-77CE-43FF-B1B6-986F9B9806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1"/>
            </a:ext>
          </a:extLst>
        </a:blip>
        <a:stretch>
          <a:fillRect/>
        </a:stretch>
      </xdr:blipFill>
      <xdr:spPr>
        <a:xfrm flipH="1">
          <a:off x="533401" y="24343178"/>
          <a:ext cx="392250" cy="406704"/>
        </a:xfrm>
        <a:prstGeom prst="rect">
          <a:avLst/>
        </a:prstGeom>
      </xdr:spPr>
    </xdr:pic>
    <xdr:clientData/>
  </xdr:oneCellAnchor>
  <xdr:oneCellAnchor>
    <xdr:from>
      <xdr:col>2</xdr:col>
      <xdr:colOff>288474</xdr:colOff>
      <xdr:row>146</xdr:row>
      <xdr:rowOff>152399</xdr:rowOff>
    </xdr:from>
    <xdr:ext cx="392250" cy="406702"/>
    <xdr:pic>
      <xdr:nvPicPr>
        <xdr:cNvPr id="35" name="Gráfico 34" descr="Moedas">
          <a:extLst>
            <a:ext uri="{FF2B5EF4-FFF2-40B4-BE49-F238E27FC236}">
              <a16:creationId xmlns:a16="http://schemas.microsoft.com/office/drawing/2014/main" id="{239ACC9E-B33D-42D9-98B1-E86138CC54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1"/>
            </a:ext>
          </a:extLst>
        </a:blip>
        <a:stretch>
          <a:fillRect/>
        </a:stretch>
      </xdr:blipFill>
      <xdr:spPr>
        <a:xfrm flipH="1">
          <a:off x="536124" y="27965399"/>
          <a:ext cx="392250" cy="406702"/>
        </a:xfrm>
        <a:prstGeom prst="rect">
          <a:avLst/>
        </a:prstGeom>
      </xdr:spPr>
    </xdr:pic>
    <xdr:clientData/>
  </xdr:oneCellAnchor>
  <xdr:oneCellAnchor>
    <xdr:from>
      <xdr:col>2</xdr:col>
      <xdr:colOff>300483</xdr:colOff>
      <xdr:row>163</xdr:row>
      <xdr:rowOff>123265</xdr:rowOff>
    </xdr:from>
    <xdr:ext cx="405011" cy="396000"/>
    <xdr:pic>
      <xdr:nvPicPr>
        <xdr:cNvPr id="36" name="Gráfico 35" descr="Sirene">
          <a:extLst>
            <a:ext uri="{FF2B5EF4-FFF2-40B4-BE49-F238E27FC236}">
              <a16:creationId xmlns:a16="http://schemas.microsoft.com/office/drawing/2014/main" id="{4195BABD-CD21-45F8-90AA-3A01A8D6E5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3"/>
            </a:ext>
          </a:extLst>
        </a:blip>
        <a:stretch>
          <a:fillRect/>
        </a:stretch>
      </xdr:blipFill>
      <xdr:spPr>
        <a:xfrm>
          <a:off x="548133" y="31174765"/>
          <a:ext cx="405011" cy="396000"/>
        </a:xfrm>
        <a:prstGeom prst="rect">
          <a:avLst/>
        </a:prstGeom>
        <a:effectLst/>
      </xdr:spPr>
    </xdr:pic>
    <xdr:clientData/>
  </xdr:oneCellAnchor>
  <xdr:oneCellAnchor>
    <xdr:from>
      <xdr:col>2</xdr:col>
      <xdr:colOff>300483</xdr:colOff>
      <xdr:row>182</xdr:row>
      <xdr:rowOff>107576</xdr:rowOff>
    </xdr:from>
    <xdr:ext cx="405011" cy="400203"/>
    <xdr:pic>
      <xdr:nvPicPr>
        <xdr:cNvPr id="37" name="Gráfico 36" descr="Sirene">
          <a:extLst>
            <a:ext uri="{FF2B5EF4-FFF2-40B4-BE49-F238E27FC236}">
              <a16:creationId xmlns:a16="http://schemas.microsoft.com/office/drawing/2014/main" id="{CB751B84-DCA0-4726-B277-9DB59B3897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3"/>
            </a:ext>
          </a:extLst>
        </a:blip>
        <a:stretch>
          <a:fillRect/>
        </a:stretch>
      </xdr:blipFill>
      <xdr:spPr>
        <a:xfrm>
          <a:off x="548133" y="34778576"/>
          <a:ext cx="405011" cy="400203"/>
        </a:xfrm>
        <a:prstGeom prst="rect">
          <a:avLst/>
        </a:prstGeom>
        <a:effectLst/>
      </xdr:spPr>
    </xdr:pic>
    <xdr:clientData/>
  </xdr:oneCellAnchor>
  <xdr:oneCellAnchor>
    <xdr:from>
      <xdr:col>2</xdr:col>
      <xdr:colOff>300483</xdr:colOff>
      <xdr:row>201</xdr:row>
      <xdr:rowOff>125505</xdr:rowOff>
    </xdr:from>
    <xdr:ext cx="405011" cy="396000"/>
    <xdr:pic>
      <xdr:nvPicPr>
        <xdr:cNvPr id="38" name="Gráfico 37" descr="Sirene">
          <a:extLst>
            <a:ext uri="{FF2B5EF4-FFF2-40B4-BE49-F238E27FC236}">
              <a16:creationId xmlns:a16="http://schemas.microsoft.com/office/drawing/2014/main" id="{E955F43A-0D64-4BE2-A800-B3285E690A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3"/>
            </a:ext>
          </a:extLst>
        </a:blip>
        <a:stretch>
          <a:fillRect/>
        </a:stretch>
      </xdr:blipFill>
      <xdr:spPr>
        <a:xfrm>
          <a:off x="548133" y="38416005"/>
          <a:ext cx="405011" cy="396000"/>
        </a:xfrm>
        <a:prstGeom prst="rect">
          <a:avLst/>
        </a:prstGeom>
        <a:effectLst/>
      </xdr:spPr>
    </xdr:pic>
    <xdr:clientData/>
  </xdr:oneCellAnchor>
  <xdr:oneCellAnchor>
    <xdr:from>
      <xdr:col>31</xdr:col>
      <xdr:colOff>190500</xdr:colOff>
      <xdr:row>1</xdr:row>
      <xdr:rowOff>141194</xdr:rowOff>
    </xdr:from>
    <xdr:ext cx="342000" cy="341999"/>
    <xdr:pic>
      <xdr:nvPicPr>
        <xdr:cNvPr id="39" name="Gráfico 38" descr="Virar calendário">
          <a:hlinkClick xmlns:r="http://schemas.openxmlformats.org/officeDocument/2006/relationships" r:id="rId34"/>
          <a:extLst>
            <a:ext uri="{FF2B5EF4-FFF2-40B4-BE49-F238E27FC236}">
              <a16:creationId xmlns:a16="http://schemas.microsoft.com/office/drawing/2014/main" id="{B1F63F66-39BA-46D9-B61D-5DED16DEEF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6"/>
            </a:ext>
          </a:extLst>
        </a:blip>
        <a:stretch>
          <a:fillRect/>
        </a:stretch>
      </xdr:blipFill>
      <xdr:spPr>
        <a:xfrm>
          <a:off x="12734925" y="331694"/>
          <a:ext cx="342000" cy="341999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26</xdr:col>
      <xdr:colOff>324971</xdr:colOff>
      <xdr:row>2</xdr:row>
      <xdr:rowOff>174812</xdr:rowOff>
    </xdr:from>
    <xdr:to>
      <xdr:col>28</xdr:col>
      <xdr:colOff>22412</xdr:colOff>
      <xdr:row>2</xdr:row>
      <xdr:rowOff>174812</xdr:rowOff>
    </xdr:to>
    <xdr:cxnSp macro="">
      <xdr:nvCxnSpPr>
        <xdr:cNvPr id="40" name="Conector reto 39">
          <a:extLst>
            <a:ext uri="{FF2B5EF4-FFF2-40B4-BE49-F238E27FC236}">
              <a16:creationId xmlns:a16="http://schemas.microsoft.com/office/drawing/2014/main" id="{DF41BE15-1592-49C0-897D-6098FD86B062}"/>
            </a:ext>
          </a:extLst>
        </xdr:cNvPr>
        <xdr:cNvCxnSpPr/>
      </xdr:nvCxnSpPr>
      <xdr:spPr>
        <a:xfrm>
          <a:off x="11012021" y="555812"/>
          <a:ext cx="440391" cy="0"/>
        </a:xfrm>
        <a:prstGeom prst="line">
          <a:avLst/>
        </a:prstGeom>
        <a:ln>
          <a:solidFill>
            <a:srgbClr val="FFEBAB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331694</xdr:colOff>
      <xdr:row>2</xdr:row>
      <xdr:rowOff>174812</xdr:rowOff>
    </xdr:from>
    <xdr:to>
      <xdr:col>31</xdr:col>
      <xdr:colOff>29135</xdr:colOff>
      <xdr:row>2</xdr:row>
      <xdr:rowOff>174812</xdr:rowOff>
    </xdr:to>
    <xdr:cxnSp macro="">
      <xdr:nvCxnSpPr>
        <xdr:cNvPr id="41" name="Conector reto 40">
          <a:extLst>
            <a:ext uri="{FF2B5EF4-FFF2-40B4-BE49-F238E27FC236}">
              <a16:creationId xmlns:a16="http://schemas.microsoft.com/office/drawing/2014/main" id="{3338898E-4B1E-4BD8-A16E-48E3546609F4}"/>
            </a:ext>
          </a:extLst>
        </xdr:cNvPr>
        <xdr:cNvCxnSpPr/>
      </xdr:nvCxnSpPr>
      <xdr:spPr>
        <a:xfrm>
          <a:off x="12133169" y="555812"/>
          <a:ext cx="440391" cy="0"/>
        </a:xfrm>
        <a:prstGeom prst="line">
          <a:avLst/>
        </a:prstGeom>
        <a:ln>
          <a:solidFill>
            <a:srgbClr val="FFEBAB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0</xdr:col>
      <xdr:colOff>142210</xdr:colOff>
      <xdr:row>8</xdr:row>
      <xdr:rowOff>121771</xdr:rowOff>
    </xdr:from>
    <xdr:ext cx="250264" cy="246528"/>
    <xdr:pic>
      <xdr:nvPicPr>
        <xdr:cNvPr id="43" name="Gráfico 42" descr="Ajudar">
          <a:hlinkClick xmlns:r="http://schemas.openxmlformats.org/officeDocument/2006/relationships" r:id="rId37"/>
          <a:extLst>
            <a:ext uri="{FF2B5EF4-FFF2-40B4-BE49-F238E27FC236}">
              <a16:creationId xmlns:a16="http://schemas.microsoft.com/office/drawing/2014/main" id="{398AD831-2E1D-4075-8327-A6F7453CC8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2210" y="1645771"/>
          <a:ext cx="250264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35</xdr:col>
      <xdr:colOff>185459</xdr:colOff>
      <xdr:row>2</xdr:row>
      <xdr:rowOff>145676</xdr:rowOff>
    </xdr:from>
    <xdr:ext cx="429353" cy="424356"/>
    <xdr:pic>
      <xdr:nvPicPr>
        <xdr:cNvPr id="44" name="Gráfico 43" descr="Seta Reta">
          <a:hlinkClick xmlns:r="http://schemas.openxmlformats.org/officeDocument/2006/relationships" r:id="rId38" tooltip="PRÓXIMO MÊS"/>
          <a:extLst>
            <a:ext uri="{FF2B5EF4-FFF2-40B4-BE49-F238E27FC236}">
              <a16:creationId xmlns:a16="http://schemas.microsoft.com/office/drawing/2014/main" id="{6DB0C847-02E7-40C4-BC6C-AE027530DD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0"/>
            </a:ext>
          </a:extLst>
        </a:blip>
        <a:stretch>
          <a:fillRect/>
        </a:stretch>
      </xdr:blipFill>
      <xdr:spPr>
        <a:xfrm rot="10800000">
          <a:off x="13844309" y="526676"/>
          <a:ext cx="429353" cy="424356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35</xdr:col>
      <xdr:colOff>156882</xdr:colOff>
      <xdr:row>1</xdr:row>
      <xdr:rowOff>67235</xdr:rowOff>
    </xdr:from>
    <xdr:ext cx="426552" cy="424356"/>
    <xdr:pic>
      <xdr:nvPicPr>
        <xdr:cNvPr id="45" name="Gráfico 44" descr="Seta Reta">
          <a:hlinkClick xmlns:r="http://schemas.openxmlformats.org/officeDocument/2006/relationships" r:id="rId41" tooltip="MÊS ANTERIOR"/>
          <a:extLst>
            <a:ext uri="{FF2B5EF4-FFF2-40B4-BE49-F238E27FC236}">
              <a16:creationId xmlns:a16="http://schemas.microsoft.com/office/drawing/2014/main" id="{3DB6018E-8A05-4C00-8C44-9E8267ACF4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0"/>
            </a:ext>
          </a:extLst>
        </a:blip>
        <a:stretch>
          <a:fillRect/>
        </a:stretch>
      </xdr:blipFill>
      <xdr:spPr>
        <a:xfrm>
          <a:off x="13815732" y="257735"/>
          <a:ext cx="426552" cy="424356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34</xdr:col>
      <xdr:colOff>0</xdr:colOff>
      <xdr:row>5</xdr:row>
      <xdr:rowOff>0</xdr:rowOff>
    </xdr:from>
    <xdr:to>
      <xdr:col>35</xdr:col>
      <xdr:colOff>549089</xdr:colOff>
      <xdr:row>6</xdr:row>
      <xdr:rowOff>11207</xdr:rowOff>
    </xdr:to>
    <xdr:sp macro="" textlink="">
      <xdr:nvSpPr>
        <xdr:cNvPr id="46" name="Balão de Fala: Retângulo com Cantos Arredondados 45">
          <a:extLst>
            <a:ext uri="{FF2B5EF4-FFF2-40B4-BE49-F238E27FC236}">
              <a16:creationId xmlns:a16="http://schemas.microsoft.com/office/drawing/2014/main" id="{FFCE5F5B-A375-484A-ACA9-80C603557307}"/>
            </a:ext>
          </a:extLst>
        </xdr:cNvPr>
        <xdr:cNvSpPr/>
      </xdr:nvSpPr>
      <xdr:spPr>
        <a:xfrm>
          <a:off x="13603941" y="795618"/>
          <a:ext cx="549089" cy="179295"/>
        </a:xfrm>
        <a:prstGeom prst="wedgeRoundRectCallout">
          <a:avLst>
            <a:gd name="adj1" fmla="val -18889"/>
            <a:gd name="adj2" fmla="val 13747"/>
            <a:gd name="adj3" fmla="val 16667"/>
          </a:avLst>
        </a:prstGeom>
        <a:solidFill>
          <a:srgbClr val="7030A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tIns="28800" bIns="36000" rtlCol="0" anchor="ctr"/>
        <a:lstStyle/>
        <a:p>
          <a:pPr algn="ctr"/>
          <a:r>
            <a:rPr lang="en-GB" sz="900"/>
            <a:t>DIAS</a:t>
          </a:r>
        </a:p>
      </xdr:txBody>
    </xdr: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153895</xdr:colOff>
      <xdr:row>54</xdr:row>
      <xdr:rowOff>78440</xdr:rowOff>
    </xdr:from>
    <xdr:to>
      <xdr:col>3</xdr:col>
      <xdr:colOff>99733</xdr:colOff>
      <xdr:row>57</xdr:row>
      <xdr:rowOff>64621</xdr:rowOff>
    </xdr:to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D67FA4FB-FC3B-4F18-9082-512C8D045552}"/>
            </a:ext>
          </a:extLst>
        </xdr:cNvPr>
        <xdr:cNvSpPr/>
      </xdr:nvSpPr>
      <xdr:spPr>
        <a:xfrm>
          <a:off x="144370" y="10365440"/>
          <a:ext cx="2155638" cy="557681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REDUZI</a:t>
          </a:r>
          <a:br>
            <a:rPr lang="en-GB" sz="1000" b="1"/>
          </a:br>
          <a:r>
            <a:rPr lang="en-GB" sz="1000" b="1"/>
            <a:t>DESPESAS</a:t>
          </a:r>
          <a:br>
            <a:rPr lang="en-GB" sz="1000" b="1"/>
          </a:br>
          <a:r>
            <a:rPr lang="en-GB" sz="1000" b="1"/>
            <a:t>VARIÁVEIS?</a:t>
          </a:r>
        </a:p>
      </xdr:txBody>
    </xdr:sp>
    <xdr:clientData/>
  </xdr:twoCellAnchor>
  <xdr:twoCellAnchor>
    <xdr:from>
      <xdr:col>0</xdr:col>
      <xdr:colOff>132337</xdr:colOff>
      <xdr:row>8</xdr:row>
      <xdr:rowOff>104775</xdr:rowOff>
    </xdr:from>
    <xdr:to>
      <xdr:col>3</xdr:col>
      <xdr:colOff>77908</xdr:colOff>
      <xdr:row>11</xdr:row>
      <xdr:rowOff>76201</xdr:rowOff>
    </xdr:to>
    <xdr:sp macro="" textlink="">
      <xdr:nvSpPr>
        <xdr:cNvPr id="3" name="Retângulo: Cantos Arredondados 2">
          <a:extLst>
            <a:ext uri="{FF2B5EF4-FFF2-40B4-BE49-F238E27FC236}">
              <a16:creationId xmlns:a16="http://schemas.microsoft.com/office/drawing/2014/main" id="{BDBBDF08-7A16-47DC-A5B6-66EA4872D099}"/>
            </a:ext>
          </a:extLst>
        </xdr:cNvPr>
        <xdr:cNvSpPr/>
      </xdr:nvSpPr>
      <xdr:spPr>
        <a:xfrm>
          <a:off x="132337" y="1628775"/>
          <a:ext cx="2145846" cy="542926"/>
        </a:xfrm>
        <a:prstGeom prst="roundRect">
          <a:avLst>
            <a:gd name="adj" fmla="val 7028"/>
          </a:avLst>
        </a:prstGeom>
        <a:solidFill>
          <a:srgbClr val="007CA8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CONSEGUI</a:t>
          </a:r>
          <a:br>
            <a:rPr lang="en-GB" sz="1000" b="1"/>
          </a:br>
          <a:r>
            <a:rPr lang="en-GB" sz="1000" b="1"/>
            <a:t>JUNTAR</a:t>
          </a:r>
          <a:br>
            <a:rPr lang="en-GB" sz="1000" b="1"/>
          </a:br>
          <a:r>
            <a:rPr lang="en-GB" sz="1000" b="1"/>
            <a:t>DINHEIRO?</a:t>
          </a:r>
        </a:p>
      </xdr:txBody>
    </xdr:sp>
    <xdr:clientData/>
  </xdr:twoCellAnchor>
  <xdr:twoCellAnchor>
    <xdr:from>
      <xdr:col>0</xdr:col>
      <xdr:colOff>132337</xdr:colOff>
      <xdr:row>19</xdr:row>
      <xdr:rowOff>104775</xdr:rowOff>
    </xdr:from>
    <xdr:to>
      <xdr:col>3</xdr:col>
      <xdr:colOff>77908</xdr:colOff>
      <xdr:row>22</xdr:row>
      <xdr:rowOff>57151</xdr:rowOff>
    </xdr:to>
    <xdr:sp macro="" textlink="">
      <xdr:nvSpPr>
        <xdr:cNvPr id="4" name="Retângulo: Cantos Arredondados 3">
          <a:extLst>
            <a:ext uri="{FF2B5EF4-FFF2-40B4-BE49-F238E27FC236}">
              <a16:creationId xmlns:a16="http://schemas.microsoft.com/office/drawing/2014/main" id="{8EBDF7E6-5719-4DCA-A894-6E6F641E7C69}"/>
            </a:ext>
          </a:extLst>
        </xdr:cNvPr>
        <xdr:cNvSpPr/>
      </xdr:nvSpPr>
      <xdr:spPr>
        <a:xfrm>
          <a:off x="132337" y="3724275"/>
          <a:ext cx="2145846" cy="523876"/>
        </a:xfrm>
        <a:prstGeom prst="roundRect">
          <a:avLst>
            <a:gd name="adj" fmla="val 7028"/>
          </a:avLst>
        </a:prstGeom>
        <a:solidFill>
          <a:srgbClr val="007CA8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CONSEGUI</a:t>
          </a:r>
          <a:br>
            <a:rPr lang="en-GB" sz="1000" b="1"/>
          </a:br>
          <a:r>
            <a:rPr lang="en-GB" sz="1000" b="1"/>
            <a:t>GUARDAR E</a:t>
          </a:r>
          <a:br>
            <a:rPr lang="en-GB" sz="1000" b="1"/>
          </a:br>
          <a:r>
            <a:rPr lang="en-GB" sz="1000" b="1"/>
            <a:t>INVESTIR?</a:t>
          </a:r>
        </a:p>
      </xdr:txBody>
    </xdr:sp>
    <xdr:clientData/>
  </xdr:twoCellAnchor>
  <xdr:oneCellAnchor>
    <xdr:from>
      <xdr:col>2</xdr:col>
      <xdr:colOff>282383</xdr:colOff>
      <xdr:row>20</xdr:row>
      <xdr:rowOff>118215</xdr:rowOff>
    </xdr:from>
    <xdr:ext cx="399499" cy="396000"/>
    <xdr:pic>
      <xdr:nvPicPr>
        <xdr:cNvPr id="5" name="Gráfico 4" descr="Cofrinho">
          <a:extLst>
            <a:ext uri="{FF2B5EF4-FFF2-40B4-BE49-F238E27FC236}">
              <a16:creationId xmlns:a16="http://schemas.microsoft.com/office/drawing/2014/main" id="{E8584E7B-A31A-48C1-B450-89A143F4A8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530033" y="3928215"/>
          <a:ext cx="399499" cy="396000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2</xdr:col>
      <xdr:colOff>283926</xdr:colOff>
      <xdr:row>9</xdr:row>
      <xdr:rowOff>151343</xdr:rowOff>
    </xdr:from>
    <xdr:ext cx="396412" cy="396001"/>
    <xdr:pic>
      <xdr:nvPicPr>
        <xdr:cNvPr id="6" name="Gráfico 5" descr="Carteira">
          <a:extLst>
            <a:ext uri="{FF2B5EF4-FFF2-40B4-BE49-F238E27FC236}">
              <a16:creationId xmlns:a16="http://schemas.microsoft.com/office/drawing/2014/main" id="{E28F4A5F-7210-415C-9CB9-479DB6FD6B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531576" y="1865843"/>
          <a:ext cx="396412" cy="396001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0</xdr:col>
      <xdr:colOff>145864</xdr:colOff>
      <xdr:row>31</xdr:row>
      <xdr:rowOff>89647</xdr:rowOff>
    </xdr:from>
    <xdr:to>
      <xdr:col>3</xdr:col>
      <xdr:colOff>91702</xdr:colOff>
      <xdr:row>34</xdr:row>
      <xdr:rowOff>79002</xdr:rowOff>
    </xdr:to>
    <xdr:sp macro="" textlink="">
      <xdr:nvSpPr>
        <xdr:cNvPr id="7" name="Retângulo: Cantos Arredondados 6">
          <a:extLst>
            <a:ext uri="{FF2B5EF4-FFF2-40B4-BE49-F238E27FC236}">
              <a16:creationId xmlns:a16="http://schemas.microsoft.com/office/drawing/2014/main" id="{5F92B444-0BBE-468E-8577-F006F68C0F18}"/>
            </a:ext>
          </a:extLst>
        </xdr:cNvPr>
        <xdr:cNvSpPr/>
      </xdr:nvSpPr>
      <xdr:spPr>
        <a:xfrm>
          <a:off x="145864" y="5995147"/>
          <a:ext cx="2146113" cy="560855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REDUZI</a:t>
          </a:r>
          <a:br>
            <a:rPr lang="en-GB" sz="1000" b="1"/>
          </a:br>
          <a:r>
            <a:rPr lang="en-GB" sz="1000" b="1"/>
            <a:t>DESPESAS</a:t>
          </a:r>
          <a:br>
            <a:rPr lang="en-GB" sz="1000" b="1"/>
          </a:br>
          <a:r>
            <a:rPr lang="en-GB" sz="1000" b="1"/>
            <a:t>F</a:t>
          </a:r>
          <a:r>
            <a:rPr lang="en-GB" sz="1000" b="1" baseline="0"/>
            <a:t>IXAS?</a:t>
          </a:r>
          <a:endParaRPr lang="en-GB" sz="1000" b="1"/>
        </a:p>
      </xdr:txBody>
    </xdr:sp>
    <xdr:clientData/>
  </xdr:twoCellAnchor>
  <xdr:oneCellAnchor>
    <xdr:from>
      <xdr:col>2</xdr:col>
      <xdr:colOff>315419</xdr:colOff>
      <xdr:row>32</xdr:row>
      <xdr:rowOff>144489</xdr:rowOff>
    </xdr:from>
    <xdr:ext cx="394594" cy="395999"/>
    <xdr:pic>
      <xdr:nvPicPr>
        <xdr:cNvPr id="8" name="Gráfico 7" descr="Eletricista">
          <a:extLst>
            <a:ext uri="{FF2B5EF4-FFF2-40B4-BE49-F238E27FC236}">
              <a16:creationId xmlns:a16="http://schemas.microsoft.com/office/drawing/2014/main" id="{493AFA7A-5D07-4B7D-9E8E-E1C15F6E51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6"/>
            </a:ext>
          </a:extLst>
        </a:blip>
        <a:stretch>
          <a:fillRect/>
        </a:stretch>
      </xdr:blipFill>
      <xdr:spPr>
        <a:xfrm>
          <a:off x="563069" y="6240489"/>
          <a:ext cx="394594" cy="395999"/>
        </a:xfrm>
        <a:prstGeom prst="rect">
          <a:avLst/>
        </a:prstGeom>
        <a:effectLst/>
      </xdr:spPr>
    </xdr:pic>
    <xdr:clientData/>
  </xdr:oneCellAnchor>
  <xdr:oneCellAnchor>
    <xdr:from>
      <xdr:col>2</xdr:col>
      <xdr:colOff>311917</xdr:colOff>
      <xdr:row>55</xdr:row>
      <xdr:rowOff>132264</xdr:rowOff>
    </xdr:from>
    <xdr:ext cx="401599" cy="395999"/>
    <xdr:pic>
      <xdr:nvPicPr>
        <xdr:cNvPr id="9" name="Gráfico 8" descr="Artista">
          <a:extLst>
            <a:ext uri="{FF2B5EF4-FFF2-40B4-BE49-F238E27FC236}">
              <a16:creationId xmlns:a16="http://schemas.microsoft.com/office/drawing/2014/main" id="{C1C95956-8FFE-4A4E-BF44-85E77AB388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8"/>
            </a:ext>
          </a:extLst>
        </a:blip>
        <a:stretch>
          <a:fillRect/>
        </a:stretch>
      </xdr:blipFill>
      <xdr:spPr>
        <a:xfrm>
          <a:off x="559567" y="10609764"/>
          <a:ext cx="401599" cy="395999"/>
        </a:xfrm>
        <a:prstGeom prst="rect">
          <a:avLst/>
        </a:prstGeom>
        <a:effectLst/>
      </xdr:spPr>
    </xdr:pic>
    <xdr:clientData/>
  </xdr:oneCellAnchor>
  <xdr:twoCellAnchor>
    <xdr:from>
      <xdr:col>1</xdr:col>
      <xdr:colOff>0</xdr:colOff>
      <xdr:row>76</xdr:row>
      <xdr:rowOff>104775</xdr:rowOff>
    </xdr:from>
    <xdr:to>
      <xdr:col>3</xdr:col>
      <xdr:colOff>95250</xdr:colOff>
      <xdr:row>79</xdr:row>
      <xdr:rowOff>76201</xdr:rowOff>
    </xdr:to>
    <xdr:sp macro="" textlink="">
      <xdr:nvSpPr>
        <xdr:cNvPr id="10" name="Retângulo: Cantos Arredondados 9">
          <a:extLst>
            <a:ext uri="{FF2B5EF4-FFF2-40B4-BE49-F238E27FC236}">
              <a16:creationId xmlns:a16="http://schemas.microsoft.com/office/drawing/2014/main" id="{21D135C8-8979-4A91-83E9-D2CF9C7CAE9C}"/>
            </a:ext>
          </a:extLst>
        </xdr:cNvPr>
        <xdr:cNvSpPr/>
      </xdr:nvSpPr>
      <xdr:spPr>
        <a:xfrm>
          <a:off x="142875" y="145827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AUMENTEI</a:t>
          </a:r>
          <a:br>
            <a:rPr lang="en-GB" sz="1000" b="1"/>
          </a:br>
          <a:r>
            <a:rPr lang="en-GB" sz="1000" b="1"/>
            <a:t>GANHOS</a:t>
          </a:r>
          <a:br>
            <a:rPr lang="en-GB" sz="1000" b="1"/>
          </a:br>
          <a:r>
            <a:rPr lang="en-GB" sz="1000" b="1"/>
            <a:t>FIXOS?</a:t>
          </a:r>
        </a:p>
      </xdr:txBody>
    </xdr:sp>
    <xdr:clientData/>
  </xdr:twoCellAnchor>
  <xdr:oneCellAnchor>
    <xdr:from>
      <xdr:col>28</xdr:col>
      <xdr:colOff>211792</xdr:colOff>
      <xdr:row>1</xdr:row>
      <xdr:rowOff>166407</xdr:rowOff>
    </xdr:from>
    <xdr:ext cx="310402" cy="310039"/>
    <xdr:pic>
      <xdr:nvPicPr>
        <xdr:cNvPr id="11" name="Gráfico 10" descr="Impressão digital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8654652D-A742-48B7-ACA9-3D13393CD0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1"/>
            </a:ext>
          </a:extLst>
        </a:blip>
        <a:stretch>
          <a:fillRect/>
        </a:stretch>
      </xdr:blipFill>
      <xdr:spPr>
        <a:xfrm>
          <a:off x="11641792" y="356907"/>
          <a:ext cx="310402" cy="310039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25</xdr:col>
      <xdr:colOff>188660</xdr:colOff>
      <xdr:row>1</xdr:row>
      <xdr:rowOff>129989</xdr:rowOff>
    </xdr:from>
    <xdr:ext cx="369173" cy="364524"/>
    <xdr:pic>
      <xdr:nvPicPr>
        <xdr:cNvPr id="12" name="Gráfico 11" descr="Trancar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id="{949CB6F6-33DE-4706-B104-06378FEF14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4"/>
            </a:ext>
          </a:extLst>
        </a:blip>
        <a:stretch>
          <a:fillRect/>
        </a:stretch>
      </xdr:blipFill>
      <xdr:spPr>
        <a:xfrm>
          <a:off x="10504235" y="320489"/>
          <a:ext cx="369173" cy="364524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1</xdr:col>
      <xdr:colOff>1017</xdr:colOff>
      <xdr:row>19</xdr:row>
      <xdr:rowOff>126254</xdr:rowOff>
    </xdr:from>
    <xdr:ext cx="250264" cy="246528"/>
    <xdr:pic>
      <xdr:nvPicPr>
        <xdr:cNvPr id="13" name="Gráfico 12" descr="Ajudar">
          <a:hlinkClick xmlns:r="http://schemas.openxmlformats.org/officeDocument/2006/relationships" r:id="rId15"/>
          <a:extLst>
            <a:ext uri="{FF2B5EF4-FFF2-40B4-BE49-F238E27FC236}">
              <a16:creationId xmlns:a16="http://schemas.microsoft.com/office/drawing/2014/main" id="{92E761C5-524F-4B2A-838C-21F919D140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3892" y="3745754"/>
          <a:ext cx="250264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1</xdr:col>
      <xdr:colOff>15211</xdr:colOff>
      <xdr:row>31</xdr:row>
      <xdr:rowOff>114300</xdr:rowOff>
    </xdr:from>
    <xdr:ext cx="246528" cy="246528"/>
    <xdr:pic>
      <xdr:nvPicPr>
        <xdr:cNvPr id="14" name="Gráfico 13" descr="Ajudar">
          <a:hlinkClick xmlns:r="http://schemas.openxmlformats.org/officeDocument/2006/relationships" r:id="rId18"/>
          <a:extLst>
            <a:ext uri="{FF2B5EF4-FFF2-40B4-BE49-F238E27FC236}">
              <a16:creationId xmlns:a16="http://schemas.microsoft.com/office/drawing/2014/main" id="{2582867E-3C3C-4A53-8BF6-4A0F69E3D8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58086" y="6019800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1</xdr:col>
      <xdr:colOff>10727</xdr:colOff>
      <xdr:row>54</xdr:row>
      <xdr:rowOff>98613</xdr:rowOff>
    </xdr:from>
    <xdr:ext cx="246528" cy="246529"/>
    <xdr:pic>
      <xdr:nvPicPr>
        <xdr:cNvPr id="15" name="Gráfico 14" descr="Ajudar">
          <a:hlinkClick xmlns:r="http://schemas.openxmlformats.org/officeDocument/2006/relationships" r:id="rId19"/>
          <a:extLst>
            <a:ext uri="{FF2B5EF4-FFF2-40B4-BE49-F238E27FC236}">
              <a16:creationId xmlns:a16="http://schemas.microsoft.com/office/drawing/2014/main" id="{05F1A5A0-ECE6-42EC-801F-93459E6DE9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53602" y="10385613"/>
          <a:ext cx="246528" cy="246529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1</xdr:col>
      <xdr:colOff>6244</xdr:colOff>
      <xdr:row>76</xdr:row>
      <xdr:rowOff>127748</xdr:rowOff>
    </xdr:from>
    <xdr:ext cx="246528" cy="246528"/>
    <xdr:pic>
      <xdr:nvPicPr>
        <xdr:cNvPr id="16" name="Gráfico 15" descr="Ajudar">
          <a:hlinkClick xmlns:r="http://schemas.openxmlformats.org/officeDocument/2006/relationships" r:id="rId20"/>
          <a:extLst>
            <a:ext uri="{FF2B5EF4-FFF2-40B4-BE49-F238E27FC236}">
              <a16:creationId xmlns:a16="http://schemas.microsoft.com/office/drawing/2014/main" id="{01CED70B-E46E-4BDE-80F4-EDD7056015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146057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90</xdr:row>
      <xdr:rowOff>104775</xdr:rowOff>
    </xdr:from>
    <xdr:to>
      <xdr:col>3</xdr:col>
      <xdr:colOff>95250</xdr:colOff>
      <xdr:row>93</xdr:row>
      <xdr:rowOff>76201</xdr:rowOff>
    </xdr:to>
    <xdr:sp macro="" textlink="">
      <xdr:nvSpPr>
        <xdr:cNvPr id="17" name="Retângulo: Cantos Arredondados 16">
          <a:extLst>
            <a:ext uri="{FF2B5EF4-FFF2-40B4-BE49-F238E27FC236}">
              <a16:creationId xmlns:a16="http://schemas.microsoft.com/office/drawing/2014/main" id="{A411B715-CAA4-4D97-9906-821F769F2E91}"/>
            </a:ext>
          </a:extLst>
        </xdr:cNvPr>
        <xdr:cNvSpPr/>
      </xdr:nvSpPr>
      <xdr:spPr>
        <a:xfrm>
          <a:off x="142875" y="172497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AUMENTEI</a:t>
          </a:r>
          <a:br>
            <a:rPr lang="en-GB" sz="1000" b="1"/>
          </a:br>
          <a:r>
            <a:rPr lang="en-GB" sz="1000" b="1"/>
            <a:t>GANHOS</a:t>
          </a:r>
          <a:br>
            <a:rPr lang="en-GB" sz="1000" b="1"/>
          </a:br>
          <a:r>
            <a:rPr lang="en-GB" sz="1000" b="1"/>
            <a:t>VARIÁVEIS?</a:t>
          </a:r>
        </a:p>
      </xdr:txBody>
    </xdr:sp>
    <xdr:clientData/>
  </xdr:twoCellAnchor>
  <xdr:oneCellAnchor>
    <xdr:from>
      <xdr:col>1</xdr:col>
      <xdr:colOff>6244</xdr:colOff>
      <xdr:row>90</xdr:row>
      <xdr:rowOff>127748</xdr:rowOff>
    </xdr:from>
    <xdr:ext cx="246528" cy="246528"/>
    <xdr:pic>
      <xdr:nvPicPr>
        <xdr:cNvPr id="18" name="Gráfico 17" descr="Ajudar">
          <a:hlinkClick xmlns:r="http://schemas.openxmlformats.org/officeDocument/2006/relationships" r:id="rId21"/>
          <a:extLst>
            <a:ext uri="{FF2B5EF4-FFF2-40B4-BE49-F238E27FC236}">
              <a16:creationId xmlns:a16="http://schemas.microsoft.com/office/drawing/2014/main" id="{26A19551-EE43-4F00-83A5-4427B3AFB8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172727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107</xdr:row>
      <xdr:rowOff>104775</xdr:rowOff>
    </xdr:from>
    <xdr:to>
      <xdr:col>3</xdr:col>
      <xdr:colOff>95250</xdr:colOff>
      <xdr:row>110</xdr:row>
      <xdr:rowOff>76201</xdr:rowOff>
    </xdr:to>
    <xdr:sp macro="" textlink="">
      <xdr:nvSpPr>
        <xdr:cNvPr id="19" name="Retângulo: Cantos Arredondados 18">
          <a:extLst>
            <a:ext uri="{FF2B5EF4-FFF2-40B4-BE49-F238E27FC236}">
              <a16:creationId xmlns:a16="http://schemas.microsoft.com/office/drawing/2014/main" id="{DDF87FE3-DE6B-4866-A0D1-0A3818143F96}"/>
            </a:ext>
          </a:extLst>
        </xdr:cNvPr>
        <xdr:cNvSpPr/>
      </xdr:nvSpPr>
      <xdr:spPr>
        <a:xfrm>
          <a:off x="142875" y="204882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INVESTI</a:t>
          </a:r>
          <a:r>
            <a:rPr lang="en-GB" sz="1000" b="1" baseline="0"/>
            <a:t> EM</a:t>
          </a:r>
          <a:br>
            <a:rPr lang="en-GB" sz="1000" b="1"/>
          </a:br>
          <a:r>
            <a:rPr lang="en-GB" sz="1000" b="1"/>
            <a:t>RENDA</a:t>
          </a:r>
          <a:br>
            <a:rPr lang="en-GB" sz="1000" b="1"/>
          </a:br>
          <a:r>
            <a:rPr lang="en-GB" sz="1000" b="1" baseline="0"/>
            <a:t>FIXA?</a:t>
          </a:r>
          <a:endParaRPr lang="en-GB" sz="1000" b="1"/>
        </a:p>
      </xdr:txBody>
    </xdr:sp>
    <xdr:clientData/>
  </xdr:twoCellAnchor>
  <xdr:oneCellAnchor>
    <xdr:from>
      <xdr:col>1</xdr:col>
      <xdr:colOff>6244</xdr:colOff>
      <xdr:row>107</xdr:row>
      <xdr:rowOff>127748</xdr:rowOff>
    </xdr:from>
    <xdr:ext cx="246528" cy="246528"/>
    <xdr:pic>
      <xdr:nvPicPr>
        <xdr:cNvPr id="20" name="Gráfico 19" descr="Ajudar">
          <a:hlinkClick xmlns:r="http://schemas.openxmlformats.org/officeDocument/2006/relationships" r:id="rId22"/>
          <a:extLst>
            <a:ext uri="{FF2B5EF4-FFF2-40B4-BE49-F238E27FC236}">
              <a16:creationId xmlns:a16="http://schemas.microsoft.com/office/drawing/2014/main" id="{A1AFF8F7-203E-4ED7-8445-95AF339A2F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205112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126</xdr:row>
      <xdr:rowOff>104775</xdr:rowOff>
    </xdr:from>
    <xdr:to>
      <xdr:col>3</xdr:col>
      <xdr:colOff>95250</xdr:colOff>
      <xdr:row>129</xdr:row>
      <xdr:rowOff>76201</xdr:rowOff>
    </xdr:to>
    <xdr:sp macro="" textlink="">
      <xdr:nvSpPr>
        <xdr:cNvPr id="21" name="Retângulo: Cantos Arredondados 20">
          <a:extLst>
            <a:ext uri="{FF2B5EF4-FFF2-40B4-BE49-F238E27FC236}">
              <a16:creationId xmlns:a16="http://schemas.microsoft.com/office/drawing/2014/main" id="{2FFFAADE-74A1-42D3-B37F-B0AA4A567E8E}"/>
            </a:ext>
          </a:extLst>
        </xdr:cNvPr>
        <xdr:cNvSpPr/>
      </xdr:nvSpPr>
      <xdr:spPr>
        <a:xfrm>
          <a:off x="142875" y="241077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INVESTI EM</a:t>
          </a:r>
          <a:br>
            <a:rPr lang="en-GB" sz="1000" b="1"/>
          </a:br>
          <a:r>
            <a:rPr lang="en-GB" sz="1000" b="1"/>
            <a:t>RENDA </a:t>
          </a:r>
          <a:r>
            <a:rPr lang="en-GB" sz="1000" b="1" baseline="0"/>
            <a:t>VARIÁVEL?</a:t>
          </a:r>
          <a:endParaRPr lang="en-GB" sz="1000" b="1"/>
        </a:p>
      </xdr:txBody>
    </xdr:sp>
    <xdr:clientData/>
  </xdr:twoCellAnchor>
  <xdr:oneCellAnchor>
    <xdr:from>
      <xdr:col>1</xdr:col>
      <xdr:colOff>6244</xdr:colOff>
      <xdr:row>126</xdr:row>
      <xdr:rowOff>127748</xdr:rowOff>
    </xdr:from>
    <xdr:ext cx="246528" cy="246528"/>
    <xdr:pic>
      <xdr:nvPicPr>
        <xdr:cNvPr id="22" name="Gráfico 21" descr="Ajudar">
          <a:hlinkClick xmlns:r="http://schemas.openxmlformats.org/officeDocument/2006/relationships" r:id="rId23"/>
          <a:extLst>
            <a:ext uri="{FF2B5EF4-FFF2-40B4-BE49-F238E27FC236}">
              <a16:creationId xmlns:a16="http://schemas.microsoft.com/office/drawing/2014/main" id="{E7276A96-E9B2-4E99-8089-77A26ED1DD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241307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145</xdr:row>
      <xdr:rowOff>104775</xdr:rowOff>
    </xdr:from>
    <xdr:to>
      <xdr:col>3</xdr:col>
      <xdr:colOff>95250</xdr:colOff>
      <xdr:row>148</xdr:row>
      <xdr:rowOff>76201</xdr:rowOff>
    </xdr:to>
    <xdr:sp macro="" textlink="">
      <xdr:nvSpPr>
        <xdr:cNvPr id="23" name="Retângulo: Cantos Arredondados 22">
          <a:extLst>
            <a:ext uri="{FF2B5EF4-FFF2-40B4-BE49-F238E27FC236}">
              <a16:creationId xmlns:a16="http://schemas.microsoft.com/office/drawing/2014/main" id="{70893685-A754-4C15-8DE0-5D7D2B0AE7EE}"/>
            </a:ext>
          </a:extLst>
        </xdr:cNvPr>
        <xdr:cNvSpPr/>
      </xdr:nvSpPr>
      <xdr:spPr>
        <a:xfrm>
          <a:off x="142875" y="277272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INVESTI</a:t>
          </a:r>
          <a:r>
            <a:rPr lang="en-GB" sz="1000" b="1" baseline="0"/>
            <a:t> EM</a:t>
          </a:r>
          <a:br>
            <a:rPr lang="en-GB" sz="1000" b="1"/>
          </a:br>
          <a:r>
            <a:rPr lang="en-GB" sz="1000" b="1"/>
            <a:t>OUTROS</a:t>
          </a:r>
          <a:br>
            <a:rPr lang="en-GB" sz="1000" b="1"/>
          </a:br>
          <a:r>
            <a:rPr lang="en-GB" sz="1000" b="1"/>
            <a:t>ATIVOS?</a:t>
          </a:r>
        </a:p>
      </xdr:txBody>
    </xdr:sp>
    <xdr:clientData/>
  </xdr:twoCellAnchor>
  <xdr:oneCellAnchor>
    <xdr:from>
      <xdr:col>1</xdr:col>
      <xdr:colOff>6244</xdr:colOff>
      <xdr:row>145</xdr:row>
      <xdr:rowOff>127748</xdr:rowOff>
    </xdr:from>
    <xdr:ext cx="246528" cy="246528"/>
    <xdr:pic>
      <xdr:nvPicPr>
        <xdr:cNvPr id="24" name="Gráfico 23" descr="Ajudar">
          <a:hlinkClick xmlns:r="http://schemas.openxmlformats.org/officeDocument/2006/relationships" r:id="rId24"/>
          <a:extLst>
            <a:ext uri="{FF2B5EF4-FFF2-40B4-BE49-F238E27FC236}">
              <a16:creationId xmlns:a16="http://schemas.microsoft.com/office/drawing/2014/main" id="{B7E3170A-FC25-4268-951B-F5778E106F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277502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162</xdr:row>
      <xdr:rowOff>104775</xdr:rowOff>
    </xdr:from>
    <xdr:to>
      <xdr:col>3</xdr:col>
      <xdr:colOff>95250</xdr:colOff>
      <xdr:row>165</xdr:row>
      <xdr:rowOff>76201</xdr:rowOff>
    </xdr:to>
    <xdr:sp macro="" textlink="">
      <xdr:nvSpPr>
        <xdr:cNvPr id="25" name="Retângulo: Cantos Arredondados 24">
          <a:extLst>
            <a:ext uri="{FF2B5EF4-FFF2-40B4-BE49-F238E27FC236}">
              <a16:creationId xmlns:a16="http://schemas.microsoft.com/office/drawing/2014/main" id="{8AED8D00-DB44-4F28-AC79-E43B1EC02EBA}"/>
            </a:ext>
          </a:extLst>
        </xdr:cNvPr>
        <xdr:cNvSpPr/>
      </xdr:nvSpPr>
      <xdr:spPr>
        <a:xfrm>
          <a:off x="142875" y="309657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 algn="l"/>
          <a:r>
            <a:rPr lang="en-GB" sz="1000" b="1"/>
            <a:t>GUARDEI</a:t>
          </a:r>
          <a:br>
            <a:rPr lang="en-GB" sz="1000" b="1"/>
          </a:br>
          <a:r>
            <a:rPr lang="en-GB" sz="1000" b="1"/>
            <a:t>RESERVA EM</a:t>
          </a:r>
          <a:br>
            <a:rPr lang="en-GB" sz="1000" b="1"/>
          </a:br>
          <a:r>
            <a:rPr lang="en-GB" sz="1000" b="1"/>
            <a:t>RENDA</a:t>
          </a:r>
          <a:r>
            <a:rPr lang="en-GB" sz="1000" b="1" baseline="0"/>
            <a:t> </a:t>
          </a:r>
          <a:r>
            <a:rPr lang="en-GB" sz="1000" b="1"/>
            <a:t>FIXA?</a:t>
          </a:r>
        </a:p>
      </xdr:txBody>
    </xdr:sp>
    <xdr:clientData/>
  </xdr:twoCellAnchor>
  <xdr:oneCellAnchor>
    <xdr:from>
      <xdr:col>1</xdr:col>
      <xdr:colOff>6244</xdr:colOff>
      <xdr:row>162</xdr:row>
      <xdr:rowOff>127748</xdr:rowOff>
    </xdr:from>
    <xdr:ext cx="246528" cy="246528"/>
    <xdr:pic>
      <xdr:nvPicPr>
        <xdr:cNvPr id="26" name="Gráfico 25" descr="Ajudar">
          <a:hlinkClick xmlns:r="http://schemas.openxmlformats.org/officeDocument/2006/relationships" r:id="rId25"/>
          <a:extLst>
            <a:ext uri="{FF2B5EF4-FFF2-40B4-BE49-F238E27FC236}">
              <a16:creationId xmlns:a16="http://schemas.microsoft.com/office/drawing/2014/main" id="{0F54F769-94B2-44D5-9732-86EA415C3E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309887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181</xdr:row>
      <xdr:rowOff>104775</xdr:rowOff>
    </xdr:from>
    <xdr:to>
      <xdr:col>3</xdr:col>
      <xdr:colOff>95250</xdr:colOff>
      <xdr:row>184</xdr:row>
      <xdr:rowOff>76201</xdr:rowOff>
    </xdr:to>
    <xdr:sp macro="" textlink="">
      <xdr:nvSpPr>
        <xdr:cNvPr id="27" name="Retângulo: Cantos Arredondados 26">
          <a:extLst>
            <a:ext uri="{FF2B5EF4-FFF2-40B4-BE49-F238E27FC236}">
              <a16:creationId xmlns:a16="http://schemas.microsoft.com/office/drawing/2014/main" id="{B17A58EE-3E02-4112-A6F7-292F488CFD72}"/>
            </a:ext>
          </a:extLst>
        </xdr:cNvPr>
        <xdr:cNvSpPr/>
      </xdr:nvSpPr>
      <xdr:spPr>
        <a:xfrm>
          <a:off x="142875" y="345852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/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GUARDEI</a:t>
          </a:r>
          <a:b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RESERVA EM</a:t>
          </a:r>
          <a:b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RENDA</a:t>
          </a:r>
          <a:r>
            <a:rPr lang="en-GB" sz="10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VARIÁVEL?</a:t>
          </a:r>
          <a:endParaRPr lang="en-GB" sz="1000">
            <a:effectLst/>
          </a:endParaRPr>
        </a:p>
      </xdr:txBody>
    </xdr:sp>
    <xdr:clientData/>
  </xdr:twoCellAnchor>
  <xdr:oneCellAnchor>
    <xdr:from>
      <xdr:col>1</xdr:col>
      <xdr:colOff>6244</xdr:colOff>
      <xdr:row>181</xdr:row>
      <xdr:rowOff>127748</xdr:rowOff>
    </xdr:from>
    <xdr:ext cx="246528" cy="246528"/>
    <xdr:pic>
      <xdr:nvPicPr>
        <xdr:cNvPr id="28" name="Gráfico 27" descr="Ajudar">
          <a:hlinkClick xmlns:r="http://schemas.openxmlformats.org/officeDocument/2006/relationships" r:id="rId26"/>
          <a:extLst>
            <a:ext uri="{FF2B5EF4-FFF2-40B4-BE49-F238E27FC236}">
              <a16:creationId xmlns:a16="http://schemas.microsoft.com/office/drawing/2014/main" id="{13EE99DC-9F7C-46E4-91AC-AD7F55AC27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346082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0</xdr:colOff>
      <xdr:row>200</xdr:row>
      <xdr:rowOff>104775</xdr:rowOff>
    </xdr:from>
    <xdr:to>
      <xdr:col>3</xdr:col>
      <xdr:colOff>95250</xdr:colOff>
      <xdr:row>203</xdr:row>
      <xdr:rowOff>76201</xdr:rowOff>
    </xdr:to>
    <xdr:sp macro="" textlink="">
      <xdr:nvSpPr>
        <xdr:cNvPr id="29" name="Retângulo: Cantos Arredondados 28">
          <a:extLst>
            <a:ext uri="{FF2B5EF4-FFF2-40B4-BE49-F238E27FC236}">
              <a16:creationId xmlns:a16="http://schemas.microsoft.com/office/drawing/2014/main" id="{7926DF90-7F97-425A-A8C0-BB6AEC34AE83}"/>
            </a:ext>
          </a:extLst>
        </xdr:cNvPr>
        <xdr:cNvSpPr/>
      </xdr:nvSpPr>
      <xdr:spPr>
        <a:xfrm>
          <a:off x="142875" y="38204775"/>
          <a:ext cx="2152650" cy="542926"/>
        </a:xfrm>
        <a:prstGeom prst="roundRect">
          <a:avLst>
            <a:gd name="adj" fmla="val 7028"/>
          </a:avLst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lvl="2"/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GUARDEI</a:t>
          </a:r>
          <a:b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RESERVA EM</a:t>
          </a:r>
          <a:b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GB" sz="1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OUTROS ATIVOS?</a:t>
          </a:r>
          <a:endParaRPr lang="en-GB" sz="1000">
            <a:effectLst/>
          </a:endParaRPr>
        </a:p>
      </xdr:txBody>
    </xdr:sp>
    <xdr:clientData/>
  </xdr:twoCellAnchor>
  <xdr:oneCellAnchor>
    <xdr:from>
      <xdr:col>1</xdr:col>
      <xdr:colOff>6244</xdr:colOff>
      <xdr:row>200</xdr:row>
      <xdr:rowOff>127748</xdr:rowOff>
    </xdr:from>
    <xdr:ext cx="246528" cy="246528"/>
    <xdr:pic>
      <xdr:nvPicPr>
        <xdr:cNvPr id="30" name="Gráfico 29" descr="Ajudar">
          <a:hlinkClick xmlns:r="http://schemas.openxmlformats.org/officeDocument/2006/relationships" r:id="rId27"/>
          <a:extLst>
            <a:ext uri="{FF2B5EF4-FFF2-40B4-BE49-F238E27FC236}">
              <a16:creationId xmlns:a16="http://schemas.microsoft.com/office/drawing/2014/main" id="{209C7545-BCA1-466B-9287-4B98CBFDB3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9119" y="38227748"/>
          <a:ext cx="246528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2</xdr:col>
      <xdr:colOff>319257</xdr:colOff>
      <xdr:row>77</xdr:row>
      <xdr:rowOff>126685</xdr:rowOff>
    </xdr:from>
    <xdr:ext cx="392036" cy="395999"/>
    <xdr:pic>
      <xdr:nvPicPr>
        <xdr:cNvPr id="31" name="Gráfico 30" descr="Dinheiro">
          <a:extLst>
            <a:ext uri="{FF2B5EF4-FFF2-40B4-BE49-F238E27FC236}">
              <a16:creationId xmlns:a16="http://schemas.microsoft.com/office/drawing/2014/main" id="{5F4A2004-4A37-4D2F-886F-91041F6B4E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9"/>
            </a:ext>
          </a:extLst>
        </a:blip>
        <a:stretch>
          <a:fillRect/>
        </a:stretch>
      </xdr:blipFill>
      <xdr:spPr>
        <a:xfrm flipH="1">
          <a:off x="566907" y="14795185"/>
          <a:ext cx="392036" cy="395999"/>
        </a:xfrm>
        <a:prstGeom prst="rect">
          <a:avLst/>
        </a:prstGeom>
      </xdr:spPr>
    </xdr:pic>
    <xdr:clientData/>
  </xdr:oneCellAnchor>
  <xdr:oneCellAnchor>
    <xdr:from>
      <xdr:col>2</xdr:col>
      <xdr:colOff>319257</xdr:colOff>
      <xdr:row>91</xdr:row>
      <xdr:rowOff>115798</xdr:rowOff>
    </xdr:from>
    <xdr:ext cx="400936" cy="396000"/>
    <xdr:pic>
      <xdr:nvPicPr>
        <xdr:cNvPr id="32" name="Gráfico 31" descr="Dinheiro">
          <a:extLst>
            <a:ext uri="{FF2B5EF4-FFF2-40B4-BE49-F238E27FC236}">
              <a16:creationId xmlns:a16="http://schemas.microsoft.com/office/drawing/2014/main" id="{81ABB6D1-57A4-4D0D-9559-C6D8D1BF4B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9"/>
            </a:ext>
          </a:extLst>
        </a:blip>
        <a:stretch>
          <a:fillRect/>
        </a:stretch>
      </xdr:blipFill>
      <xdr:spPr>
        <a:xfrm flipH="1">
          <a:off x="566907" y="17451298"/>
          <a:ext cx="400936" cy="396000"/>
        </a:xfrm>
        <a:prstGeom prst="rect">
          <a:avLst/>
        </a:prstGeom>
      </xdr:spPr>
    </xdr:pic>
    <xdr:clientData/>
  </xdr:oneCellAnchor>
  <xdr:oneCellAnchor>
    <xdr:from>
      <xdr:col>2</xdr:col>
      <xdr:colOff>330528</xdr:colOff>
      <xdr:row>108</xdr:row>
      <xdr:rowOff>134224</xdr:rowOff>
    </xdr:from>
    <xdr:ext cx="392250" cy="406702"/>
    <xdr:pic>
      <xdr:nvPicPr>
        <xdr:cNvPr id="33" name="Gráfico 32" descr="Moedas">
          <a:extLst>
            <a:ext uri="{FF2B5EF4-FFF2-40B4-BE49-F238E27FC236}">
              <a16:creationId xmlns:a16="http://schemas.microsoft.com/office/drawing/2014/main" id="{FB15FC28-25A2-45D3-B533-5E7D7EC203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1"/>
            </a:ext>
          </a:extLst>
        </a:blip>
        <a:stretch>
          <a:fillRect/>
        </a:stretch>
      </xdr:blipFill>
      <xdr:spPr>
        <a:xfrm flipH="1">
          <a:off x="578178" y="20708224"/>
          <a:ext cx="392250" cy="406702"/>
        </a:xfrm>
        <a:prstGeom prst="rect">
          <a:avLst/>
        </a:prstGeom>
      </xdr:spPr>
    </xdr:pic>
    <xdr:clientData/>
  </xdr:oneCellAnchor>
  <xdr:oneCellAnchor>
    <xdr:from>
      <xdr:col>2</xdr:col>
      <xdr:colOff>285751</xdr:colOff>
      <xdr:row>127</xdr:row>
      <xdr:rowOff>149678</xdr:rowOff>
    </xdr:from>
    <xdr:ext cx="392250" cy="406704"/>
    <xdr:pic>
      <xdr:nvPicPr>
        <xdr:cNvPr id="34" name="Gráfico 33" descr="Moedas">
          <a:extLst>
            <a:ext uri="{FF2B5EF4-FFF2-40B4-BE49-F238E27FC236}">
              <a16:creationId xmlns:a16="http://schemas.microsoft.com/office/drawing/2014/main" id="{73B9E866-85C9-40EB-B151-D325E29C86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1"/>
            </a:ext>
          </a:extLst>
        </a:blip>
        <a:stretch>
          <a:fillRect/>
        </a:stretch>
      </xdr:blipFill>
      <xdr:spPr>
        <a:xfrm flipH="1">
          <a:off x="533401" y="24343178"/>
          <a:ext cx="392250" cy="406704"/>
        </a:xfrm>
        <a:prstGeom prst="rect">
          <a:avLst/>
        </a:prstGeom>
      </xdr:spPr>
    </xdr:pic>
    <xdr:clientData/>
  </xdr:oneCellAnchor>
  <xdr:oneCellAnchor>
    <xdr:from>
      <xdr:col>2</xdr:col>
      <xdr:colOff>288474</xdr:colOff>
      <xdr:row>146</xdr:row>
      <xdr:rowOff>152399</xdr:rowOff>
    </xdr:from>
    <xdr:ext cx="392250" cy="406702"/>
    <xdr:pic>
      <xdr:nvPicPr>
        <xdr:cNvPr id="35" name="Gráfico 34" descr="Moedas">
          <a:extLst>
            <a:ext uri="{FF2B5EF4-FFF2-40B4-BE49-F238E27FC236}">
              <a16:creationId xmlns:a16="http://schemas.microsoft.com/office/drawing/2014/main" id="{CFE3AA14-CD4E-41A5-8CA0-F3DBF607A2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1"/>
            </a:ext>
          </a:extLst>
        </a:blip>
        <a:stretch>
          <a:fillRect/>
        </a:stretch>
      </xdr:blipFill>
      <xdr:spPr>
        <a:xfrm flipH="1">
          <a:off x="536124" y="27965399"/>
          <a:ext cx="392250" cy="406702"/>
        </a:xfrm>
        <a:prstGeom prst="rect">
          <a:avLst/>
        </a:prstGeom>
      </xdr:spPr>
    </xdr:pic>
    <xdr:clientData/>
  </xdr:oneCellAnchor>
  <xdr:oneCellAnchor>
    <xdr:from>
      <xdr:col>2</xdr:col>
      <xdr:colOff>300483</xdr:colOff>
      <xdr:row>163</xdr:row>
      <xdr:rowOff>123265</xdr:rowOff>
    </xdr:from>
    <xdr:ext cx="405011" cy="396000"/>
    <xdr:pic>
      <xdr:nvPicPr>
        <xdr:cNvPr id="36" name="Gráfico 35" descr="Sirene">
          <a:extLst>
            <a:ext uri="{FF2B5EF4-FFF2-40B4-BE49-F238E27FC236}">
              <a16:creationId xmlns:a16="http://schemas.microsoft.com/office/drawing/2014/main" id="{1C66CDF4-8395-4586-B377-4DACB1399F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3"/>
            </a:ext>
          </a:extLst>
        </a:blip>
        <a:stretch>
          <a:fillRect/>
        </a:stretch>
      </xdr:blipFill>
      <xdr:spPr>
        <a:xfrm>
          <a:off x="548133" y="31174765"/>
          <a:ext cx="405011" cy="396000"/>
        </a:xfrm>
        <a:prstGeom prst="rect">
          <a:avLst/>
        </a:prstGeom>
        <a:effectLst/>
      </xdr:spPr>
    </xdr:pic>
    <xdr:clientData/>
  </xdr:oneCellAnchor>
  <xdr:oneCellAnchor>
    <xdr:from>
      <xdr:col>2</xdr:col>
      <xdr:colOff>300483</xdr:colOff>
      <xdr:row>182</xdr:row>
      <xdr:rowOff>107576</xdr:rowOff>
    </xdr:from>
    <xdr:ext cx="405011" cy="400203"/>
    <xdr:pic>
      <xdr:nvPicPr>
        <xdr:cNvPr id="37" name="Gráfico 36" descr="Sirene">
          <a:extLst>
            <a:ext uri="{FF2B5EF4-FFF2-40B4-BE49-F238E27FC236}">
              <a16:creationId xmlns:a16="http://schemas.microsoft.com/office/drawing/2014/main" id="{46196B3B-BC4D-45DF-ADED-906A120187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3"/>
            </a:ext>
          </a:extLst>
        </a:blip>
        <a:stretch>
          <a:fillRect/>
        </a:stretch>
      </xdr:blipFill>
      <xdr:spPr>
        <a:xfrm>
          <a:off x="548133" y="34778576"/>
          <a:ext cx="405011" cy="400203"/>
        </a:xfrm>
        <a:prstGeom prst="rect">
          <a:avLst/>
        </a:prstGeom>
        <a:effectLst/>
      </xdr:spPr>
    </xdr:pic>
    <xdr:clientData/>
  </xdr:oneCellAnchor>
  <xdr:oneCellAnchor>
    <xdr:from>
      <xdr:col>2</xdr:col>
      <xdr:colOff>300483</xdr:colOff>
      <xdr:row>201</xdr:row>
      <xdr:rowOff>125505</xdr:rowOff>
    </xdr:from>
    <xdr:ext cx="405011" cy="396000"/>
    <xdr:pic>
      <xdr:nvPicPr>
        <xdr:cNvPr id="38" name="Gráfico 37" descr="Sirene">
          <a:extLst>
            <a:ext uri="{FF2B5EF4-FFF2-40B4-BE49-F238E27FC236}">
              <a16:creationId xmlns:a16="http://schemas.microsoft.com/office/drawing/2014/main" id="{3F3B49ED-44CA-4798-89F8-5D22D736ED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3"/>
            </a:ext>
          </a:extLst>
        </a:blip>
        <a:stretch>
          <a:fillRect/>
        </a:stretch>
      </xdr:blipFill>
      <xdr:spPr>
        <a:xfrm>
          <a:off x="548133" y="38416005"/>
          <a:ext cx="405011" cy="396000"/>
        </a:xfrm>
        <a:prstGeom prst="rect">
          <a:avLst/>
        </a:prstGeom>
        <a:effectLst/>
      </xdr:spPr>
    </xdr:pic>
    <xdr:clientData/>
  </xdr:oneCellAnchor>
  <xdr:oneCellAnchor>
    <xdr:from>
      <xdr:col>31</xdr:col>
      <xdr:colOff>190500</xdr:colOff>
      <xdr:row>1</xdr:row>
      <xdr:rowOff>141194</xdr:rowOff>
    </xdr:from>
    <xdr:ext cx="342000" cy="341999"/>
    <xdr:pic>
      <xdr:nvPicPr>
        <xdr:cNvPr id="39" name="Gráfico 38" descr="Virar calendário">
          <a:hlinkClick xmlns:r="http://schemas.openxmlformats.org/officeDocument/2006/relationships" r:id="rId34"/>
          <a:extLst>
            <a:ext uri="{FF2B5EF4-FFF2-40B4-BE49-F238E27FC236}">
              <a16:creationId xmlns:a16="http://schemas.microsoft.com/office/drawing/2014/main" id="{7D2BBE8A-118A-4272-B4F2-563EC5468F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6"/>
            </a:ext>
          </a:extLst>
        </a:blip>
        <a:stretch>
          <a:fillRect/>
        </a:stretch>
      </xdr:blipFill>
      <xdr:spPr>
        <a:xfrm>
          <a:off x="12734925" y="331694"/>
          <a:ext cx="342000" cy="341999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26</xdr:col>
      <xdr:colOff>324971</xdr:colOff>
      <xdr:row>2</xdr:row>
      <xdr:rowOff>174812</xdr:rowOff>
    </xdr:from>
    <xdr:to>
      <xdr:col>28</xdr:col>
      <xdr:colOff>22412</xdr:colOff>
      <xdr:row>2</xdr:row>
      <xdr:rowOff>174812</xdr:rowOff>
    </xdr:to>
    <xdr:cxnSp macro="">
      <xdr:nvCxnSpPr>
        <xdr:cNvPr id="40" name="Conector reto 39">
          <a:extLst>
            <a:ext uri="{FF2B5EF4-FFF2-40B4-BE49-F238E27FC236}">
              <a16:creationId xmlns:a16="http://schemas.microsoft.com/office/drawing/2014/main" id="{9BB69E8A-695C-4D8C-9C18-9A4CF6ED59A4}"/>
            </a:ext>
          </a:extLst>
        </xdr:cNvPr>
        <xdr:cNvCxnSpPr/>
      </xdr:nvCxnSpPr>
      <xdr:spPr>
        <a:xfrm>
          <a:off x="11012021" y="555812"/>
          <a:ext cx="440391" cy="0"/>
        </a:xfrm>
        <a:prstGeom prst="line">
          <a:avLst/>
        </a:prstGeom>
        <a:ln>
          <a:solidFill>
            <a:srgbClr val="FFEBAB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331694</xdr:colOff>
      <xdr:row>2</xdr:row>
      <xdr:rowOff>174812</xdr:rowOff>
    </xdr:from>
    <xdr:to>
      <xdr:col>31</xdr:col>
      <xdr:colOff>29135</xdr:colOff>
      <xdr:row>2</xdr:row>
      <xdr:rowOff>174812</xdr:rowOff>
    </xdr:to>
    <xdr:cxnSp macro="">
      <xdr:nvCxnSpPr>
        <xdr:cNvPr id="41" name="Conector reto 40">
          <a:extLst>
            <a:ext uri="{FF2B5EF4-FFF2-40B4-BE49-F238E27FC236}">
              <a16:creationId xmlns:a16="http://schemas.microsoft.com/office/drawing/2014/main" id="{FB5719E5-9BA1-4E66-AA1F-EE21E283CF31}"/>
            </a:ext>
          </a:extLst>
        </xdr:cNvPr>
        <xdr:cNvCxnSpPr/>
      </xdr:nvCxnSpPr>
      <xdr:spPr>
        <a:xfrm>
          <a:off x="12133169" y="555812"/>
          <a:ext cx="440391" cy="0"/>
        </a:xfrm>
        <a:prstGeom prst="line">
          <a:avLst/>
        </a:prstGeom>
        <a:ln>
          <a:solidFill>
            <a:srgbClr val="FFEBAB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0</xdr:col>
      <xdr:colOff>142210</xdr:colOff>
      <xdr:row>8</xdr:row>
      <xdr:rowOff>121771</xdr:rowOff>
    </xdr:from>
    <xdr:ext cx="250264" cy="246528"/>
    <xdr:pic>
      <xdr:nvPicPr>
        <xdr:cNvPr id="43" name="Gráfico 42" descr="Ajudar">
          <a:hlinkClick xmlns:r="http://schemas.openxmlformats.org/officeDocument/2006/relationships" r:id="rId37"/>
          <a:extLst>
            <a:ext uri="{FF2B5EF4-FFF2-40B4-BE49-F238E27FC236}">
              <a16:creationId xmlns:a16="http://schemas.microsoft.com/office/drawing/2014/main" id="{5108B2D5-A82B-4975-9D35-C2478D78E5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42210" y="1645771"/>
          <a:ext cx="250264" cy="24652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35</xdr:col>
      <xdr:colOff>185459</xdr:colOff>
      <xdr:row>2</xdr:row>
      <xdr:rowOff>145676</xdr:rowOff>
    </xdr:from>
    <xdr:ext cx="429353" cy="424356"/>
    <xdr:pic>
      <xdr:nvPicPr>
        <xdr:cNvPr id="44" name="Gráfico 43" descr="Seta Reta">
          <a:hlinkClick xmlns:r="http://schemas.openxmlformats.org/officeDocument/2006/relationships" r:id="rId38" tooltip="PRÓXIMO MÊS"/>
          <a:extLst>
            <a:ext uri="{FF2B5EF4-FFF2-40B4-BE49-F238E27FC236}">
              <a16:creationId xmlns:a16="http://schemas.microsoft.com/office/drawing/2014/main" id="{D80C4876-7554-49B5-BEF6-F4B3F58EB9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0"/>
            </a:ext>
          </a:extLst>
        </a:blip>
        <a:stretch>
          <a:fillRect/>
        </a:stretch>
      </xdr:blipFill>
      <xdr:spPr>
        <a:xfrm rot="10800000">
          <a:off x="14215784" y="526676"/>
          <a:ext cx="429353" cy="424356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oneCellAnchor>
    <xdr:from>
      <xdr:col>35</xdr:col>
      <xdr:colOff>156882</xdr:colOff>
      <xdr:row>1</xdr:row>
      <xdr:rowOff>67235</xdr:rowOff>
    </xdr:from>
    <xdr:ext cx="426552" cy="424356"/>
    <xdr:pic>
      <xdr:nvPicPr>
        <xdr:cNvPr id="45" name="Gráfico 44" descr="Seta Reta">
          <a:hlinkClick xmlns:r="http://schemas.openxmlformats.org/officeDocument/2006/relationships" r:id="rId41" tooltip="MÊS ANTERIOR"/>
          <a:extLst>
            <a:ext uri="{FF2B5EF4-FFF2-40B4-BE49-F238E27FC236}">
              <a16:creationId xmlns:a16="http://schemas.microsoft.com/office/drawing/2014/main" id="{3A7D928F-924F-40F0-8965-070DA0EF99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0"/>
            </a:ext>
          </a:extLst>
        </a:blip>
        <a:stretch>
          <a:fillRect/>
        </a:stretch>
      </xdr:blipFill>
      <xdr:spPr>
        <a:xfrm>
          <a:off x="14187207" y="257735"/>
          <a:ext cx="426552" cy="424356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35</xdr:col>
      <xdr:colOff>0</xdr:colOff>
      <xdr:row>5</xdr:row>
      <xdr:rowOff>0</xdr:rowOff>
    </xdr:from>
    <xdr:to>
      <xdr:col>35</xdr:col>
      <xdr:colOff>549089</xdr:colOff>
      <xdr:row>6</xdr:row>
      <xdr:rowOff>11207</xdr:rowOff>
    </xdr:to>
    <xdr:sp macro="" textlink="">
      <xdr:nvSpPr>
        <xdr:cNvPr id="46" name="Balão de Fala: Retângulo com Cantos Arredondados 45">
          <a:extLst>
            <a:ext uri="{FF2B5EF4-FFF2-40B4-BE49-F238E27FC236}">
              <a16:creationId xmlns:a16="http://schemas.microsoft.com/office/drawing/2014/main" id="{6A94AADB-648B-476D-AF03-22049ACE405F}"/>
            </a:ext>
          </a:extLst>
        </xdr:cNvPr>
        <xdr:cNvSpPr/>
      </xdr:nvSpPr>
      <xdr:spPr>
        <a:xfrm>
          <a:off x="13973735" y="795618"/>
          <a:ext cx="549089" cy="179295"/>
        </a:xfrm>
        <a:prstGeom prst="wedgeRoundRectCallout">
          <a:avLst>
            <a:gd name="adj1" fmla="val -18889"/>
            <a:gd name="adj2" fmla="val 13747"/>
            <a:gd name="adj3" fmla="val 16667"/>
          </a:avLst>
        </a:prstGeom>
        <a:solidFill>
          <a:srgbClr val="7030A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tIns="28800" bIns="36000" rtlCol="0" anchor="ctr"/>
        <a:lstStyle/>
        <a:p>
          <a:pPr algn="ctr"/>
          <a:r>
            <a:rPr lang="en-GB" sz="900"/>
            <a:t>DIAS</a:t>
          </a:r>
        </a:p>
      </xdr:txBody>
    </xdr: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527730</xdr:colOff>
      <xdr:row>124</xdr:row>
      <xdr:rowOff>71437</xdr:rowOff>
    </xdr:from>
    <xdr:to>
      <xdr:col>22</xdr:col>
      <xdr:colOff>225780</xdr:colOff>
      <xdr:row>181</xdr:row>
      <xdr:rowOff>20968</xdr:rowOff>
    </xdr:to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D072C323-6CBE-4B0D-A391-7581384BC6C0}"/>
            </a:ext>
          </a:extLst>
        </xdr:cNvPr>
        <xdr:cNvSpPr/>
      </xdr:nvSpPr>
      <xdr:spPr>
        <a:xfrm>
          <a:off x="1137330" y="23693437"/>
          <a:ext cx="12499650" cy="10808031"/>
        </a:xfrm>
        <a:prstGeom prst="roundRect">
          <a:avLst>
            <a:gd name="adj" fmla="val 6026"/>
          </a:avLst>
        </a:prstGeom>
        <a:solidFill>
          <a:srgbClr val="0070C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pt-BR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0</xdr:colOff>
      <xdr:row>10</xdr:row>
      <xdr:rowOff>190499</xdr:rowOff>
    </xdr:from>
    <xdr:to>
      <xdr:col>22</xdr:col>
      <xdr:colOff>71323</xdr:colOff>
      <xdr:row>121</xdr:row>
      <xdr:rowOff>272143</xdr:rowOff>
    </xdr:to>
    <xdr:grpSp>
      <xdr:nvGrpSpPr>
        <xdr:cNvPr id="3" name="Agrupar 2">
          <a:extLst>
            <a:ext uri="{FF2B5EF4-FFF2-40B4-BE49-F238E27FC236}">
              <a16:creationId xmlns:a16="http://schemas.microsoft.com/office/drawing/2014/main" id="{01A70561-8735-4957-85C0-943A327ECB2F}"/>
            </a:ext>
          </a:extLst>
        </xdr:cNvPr>
        <xdr:cNvGrpSpPr/>
      </xdr:nvGrpSpPr>
      <xdr:grpSpPr>
        <a:xfrm>
          <a:off x="1004047" y="2450950"/>
          <a:ext cx="12621911" cy="19990911"/>
          <a:chOff x="492805" y="13475565"/>
          <a:chExt cx="13640934" cy="4114946"/>
        </a:xfrm>
        <a:solidFill>
          <a:srgbClr val="92D050"/>
        </a:solidFill>
      </xdr:grpSpPr>
      <xdr:grpSp>
        <xdr:nvGrpSpPr>
          <xdr:cNvPr id="4" name="Agrupar 3">
            <a:extLst>
              <a:ext uri="{FF2B5EF4-FFF2-40B4-BE49-F238E27FC236}">
                <a16:creationId xmlns:a16="http://schemas.microsoft.com/office/drawing/2014/main" id="{19B15A6F-CA8C-4FC0-9CD6-B1E8CD841116}"/>
              </a:ext>
            </a:extLst>
          </xdr:cNvPr>
          <xdr:cNvGrpSpPr/>
        </xdr:nvGrpSpPr>
        <xdr:grpSpPr>
          <a:xfrm>
            <a:off x="1064305" y="13475565"/>
            <a:ext cx="13069434" cy="4114946"/>
            <a:chOff x="925512" y="6512573"/>
            <a:chExt cx="13706361" cy="3833958"/>
          </a:xfrm>
          <a:grpFill/>
        </xdr:grpSpPr>
        <xdr:sp macro="" textlink="">
          <xdr:nvSpPr>
            <xdr:cNvPr id="6" name="Retângulo 5">
              <a:extLst>
                <a:ext uri="{FF2B5EF4-FFF2-40B4-BE49-F238E27FC236}">
                  <a16:creationId xmlns:a16="http://schemas.microsoft.com/office/drawing/2014/main" id="{294DDB8E-3E80-4424-AAF3-5E62066A3803}"/>
                </a:ext>
              </a:extLst>
            </xdr:cNvPr>
            <xdr:cNvSpPr/>
          </xdr:nvSpPr>
          <xdr:spPr>
            <a:xfrm>
              <a:off x="925512" y="6512573"/>
              <a:ext cx="11671301" cy="3833958"/>
            </a:xfrm>
            <a:prstGeom prst="rect">
              <a:avLst/>
            </a:prstGeom>
            <a:solidFill>
              <a:srgbClr val="0070C0"/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marL="0" indent="0" algn="l"/>
              <a:endParaRPr lang="pt-BR" sz="1000">
                <a:solidFill>
                  <a:schemeClr val="lt1"/>
                </a:solidFill>
                <a:latin typeface="+mn-lt"/>
                <a:ea typeface="+mn-ea"/>
                <a:cs typeface="+mn-cs"/>
              </a:endParaRPr>
            </a:p>
          </xdr:txBody>
        </xdr:sp>
        <xdr:sp macro="" textlink="">
          <xdr:nvSpPr>
            <xdr:cNvPr id="7" name="Retângulo: Cantos Arredondados 6">
              <a:extLst>
                <a:ext uri="{FF2B5EF4-FFF2-40B4-BE49-F238E27FC236}">
                  <a16:creationId xmlns:a16="http://schemas.microsoft.com/office/drawing/2014/main" id="{3993034B-D0DB-4356-92B8-844BC105F2C6}"/>
                </a:ext>
              </a:extLst>
            </xdr:cNvPr>
            <xdr:cNvSpPr/>
          </xdr:nvSpPr>
          <xdr:spPr>
            <a:xfrm>
              <a:off x="11202875" y="6512573"/>
              <a:ext cx="3428998" cy="3833958"/>
            </a:xfrm>
            <a:prstGeom prst="roundRect">
              <a:avLst/>
            </a:prstGeom>
            <a:solidFill>
              <a:srgbClr val="0070C0"/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marL="0" indent="0" algn="l"/>
              <a:endParaRPr lang="pt-BR" sz="1000">
                <a:solidFill>
                  <a:schemeClr val="lt1"/>
                </a:solidFill>
                <a:latin typeface="+mn-lt"/>
                <a:ea typeface="+mn-ea"/>
                <a:cs typeface="+mn-cs"/>
              </a:endParaRPr>
            </a:p>
          </xdr:txBody>
        </xdr:sp>
      </xdr:grpSp>
      <xdr:sp macro="" textlink="">
        <xdr:nvSpPr>
          <xdr:cNvPr id="5" name="Retângulo: Cantos Arredondados 4">
            <a:extLst>
              <a:ext uri="{FF2B5EF4-FFF2-40B4-BE49-F238E27FC236}">
                <a16:creationId xmlns:a16="http://schemas.microsoft.com/office/drawing/2014/main" id="{40419F18-6E1D-48D1-A7D8-84CF8DE71E10}"/>
              </a:ext>
            </a:extLst>
          </xdr:cNvPr>
          <xdr:cNvSpPr/>
        </xdr:nvSpPr>
        <xdr:spPr>
          <a:xfrm>
            <a:off x="492805" y="13475565"/>
            <a:ext cx="3269654" cy="4114946"/>
          </a:xfrm>
          <a:prstGeom prst="roundRect">
            <a:avLst/>
          </a:prstGeom>
          <a:solidFill>
            <a:srgbClr val="0070C0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pt-BR" sz="10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</xdr:grpSp>
    <xdr:clientData/>
  </xdr:twoCellAnchor>
  <xdr:twoCellAnchor>
    <xdr:from>
      <xdr:col>4</xdr:col>
      <xdr:colOff>144513</xdr:colOff>
      <xdr:row>66</xdr:row>
      <xdr:rowOff>1</xdr:rowOff>
    </xdr:from>
    <xdr:to>
      <xdr:col>15</xdr:col>
      <xdr:colOff>447970</xdr:colOff>
      <xdr:row>77</xdr:row>
      <xdr:rowOff>174567</xdr:rowOff>
    </xdr:to>
    <xdr:grpSp>
      <xdr:nvGrpSpPr>
        <xdr:cNvPr id="8" name="Agrupar 7">
          <a:extLst>
            <a:ext uri="{FF2B5EF4-FFF2-40B4-BE49-F238E27FC236}">
              <a16:creationId xmlns:a16="http://schemas.microsoft.com/office/drawing/2014/main" id="{E2A1F1CE-760A-4EA1-A961-CBF5D3B8F4D7}"/>
            </a:ext>
          </a:extLst>
        </xdr:cNvPr>
        <xdr:cNvGrpSpPr/>
      </xdr:nvGrpSpPr>
      <xdr:grpSpPr>
        <a:xfrm rot="5400000">
          <a:off x="4933358" y="9778803"/>
          <a:ext cx="2146801" cy="7206280"/>
          <a:chOff x="492805" y="13475565"/>
          <a:chExt cx="13640934" cy="4114946"/>
        </a:xfrm>
        <a:solidFill>
          <a:srgbClr val="FF8989"/>
        </a:solidFill>
      </xdr:grpSpPr>
      <xdr:grpSp>
        <xdr:nvGrpSpPr>
          <xdr:cNvPr id="9" name="Agrupar 8">
            <a:extLst>
              <a:ext uri="{FF2B5EF4-FFF2-40B4-BE49-F238E27FC236}">
                <a16:creationId xmlns:a16="http://schemas.microsoft.com/office/drawing/2014/main" id="{0894A196-BA01-445F-9BD5-4E7D723162C3}"/>
              </a:ext>
            </a:extLst>
          </xdr:cNvPr>
          <xdr:cNvGrpSpPr/>
        </xdr:nvGrpSpPr>
        <xdr:grpSpPr>
          <a:xfrm>
            <a:off x="1064305" y="13475565"/>
            <a:ext cx="13069434" cy="4114946"/>
            <a:chOff x="925512" y="6512573"/>
            <a:chExt cx="13706361" cy="3833958"/>
          </a:xfrm>
          <a:grpFill/>
        </xdr:grpSpPr>
        <xdr:sp macro="" textlink="">
          <xdr:nvSpPr>
            <xdr:cNvPr id="11" name="Retângulo 10">
              <a:extLst>
                <a:ext uri="{FF2B5EF4-FFF2-40B4-BE49-F238E27FC236}">
                  <a16:creationId xmlns:a16="http://schemas.microsoft.com/office/drawing/2014/main" id="{E093B9C0-73EF-46A9-BDD3-E126ED6CF333}"/>
                </a:ext>
              </a:extLst>
            </xdr:cNvPr>
            <xdr:cNvSpPr/>
          </xdr:nvSpPr>
          <xdr:spPr>
            <a:xfrm>
              <a:off x="925512" y="6512573"/>
              <a:ext cx="11671301" cy="3833958"/>
            </a:xfrm>
            <a:prstGeom prst="rect">
              <a:avLst/>
            </a:prstGeom>
            <a:grpFill/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pt-BR" sz="1100"/>
            </a:p>
          </xdr:txBody>
        </xdr:sp>
        <xdr:sp macro="" textlink="">
          <xdr:nvSpPr>
            <xdr:cNvPr id="12" name="Retângulo: Cantos Arredondados 11">
              <a:extLst>
                <a:ext uri="{FF2B5EF4-FFF2-40B4-BE49-F238E27FC236}">
                  <a16:creationId xmlns:a16="http://schemas.microsoft.com/office/drawing/2014/main" id="{8BCE6D4F-D7D3-4650-93E7-1D689F213529}"/>
                </a:ext>
              </a:extLst>
            </xdr:cNvPr>
            <xdr:cNvSpPr/>
          </xdr:nvSpPr>
          <xdr:spPr>
            <a:xfrm>
              <a:off x="11202875" y="6512573"/>
              <a:ext cx="3428998" cy="3833958"/>
            </a:xfrm>
            <a:prstGeom prst="roundRect">
              <a:avLst/>
            </a:prstGeom>
            <a:grpFill/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marL="0" indent="0" algn="l"/>
              <a:endParaRPr lang="pt-BR" sz="1100">
                <a:solidFill>
                  <a:schemeClr val="lt1"/>
                </a:solidFill>
                <a:latin typeface="+mn-lt"/>
                <a:ea typeface="+mn-ea"/>
                <a:cs typeface="+mn-cs"/>
              </a:endParaRPr>
            </a:p>
          </xdr:txBody>
        </xdr:sp>
      </xdr:grpSp>
      <xdr:sp macro="" textlink="">
        <xdr:nvSpPr>
          <xdr:cNvPr id="10" name="Retângulo: Cantos Arredondados 9">
            <a:extLst>
              <a:ext uri="{FF2B5EF4-FFF2-40B4-BE49-F238E27FC236}">
                <a16:creationId xmlns:a16="http://schemas.microsoft.com/office/drawing/2014/main" id="{19FBDE54-CE19-47DF-951A-064D0F7ED826}"/>
              </a:ext>
            </a:extLst>
          </xdr:cNvPr>
          <xdr:cNvSpPr/>
        </xdr:nvSpPr>
        <xdr:spPr>
          <a:xfrm>
            <a:off x="492805" y="13475565"/>
            <a:ext cx="3269654" cy="4114946"/>
          </a:xfrm>
          <a:prstGeom prst="roundRect">
            <a:avLst/>
          </a:prstGeom>
          <a:grp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pt-BR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</xdr:grpSp>
    <xdr:clientData/>
  </xdr:twoCellAnchor>
  <xdr:twoCellAnchor>
    <xdr:from>
      <xdr:col>4</xdr:col>
      <xdr:colOff>144513</xdr:colOff>
      <xdr:row>46</xdr:row>
      <xdr:rowOff>113914</xdr:rowOff>
    </xdr:from>
    <xdr:to>
      <xdr:col>15</xdr:col>
      <xdr:colOff>447970</xdr:colOff>
      <xdr:row>58</xdr:row>
      <xdr:rowOff>97980</xdr:rowOff>
    </xdr:to>
    <xdr:grpSp>
      <xdr:nvGrpSpPr>
        <xdr:cNvPr id="13" name="Agrupar 12">
          <a:extLst>
            <a:ext uri="{FF2B5EF4-FFF2-40B4-BE49-F238E27FC236}">
              <a16:creationId xmlns:a16="http://schemas.microsoft.com/office/drawing/2014/main" id="{C67DE0BC-32A9-4C02-9F36-0363E5510DF9}"/>
            </a:ext>
          </a:extLst>
        </xdr:cNvPr>
        <xdr:cNvGrpSpPr/>
      </xdr:nvGrpSpPr>
      <xdr:grpSpPr>
        <a:xfrm rot="5400000">
          <a:off x="4938961" y="6301231"/>
          <a:ext cx="2135595" cy="7206280"/>
          <a:chOff x="492805" y="13475565"/>
          <a:chExt cx="13640934" cy="4114946"/>
        </a:xfrm>
        <a:solidFill>
          <a:srgbClr val="92D050"/>
        </a:solidFill>
      </xdr:grpSpPr>
      <xdr:grpSp>
        <xdr:nvGrpSpPr>
          <xdr:cNvPr id="14" name="Agrupar 13">
            <a:extLst>
              <a:ext uri="{FF2B5EF4-FFF2-40B4-BE49-F238E27FC236}">
                <a16:creationId xmlns:a16="http://schemas.microsoft.com/office/drawing/2014/main" id="{9277F6CF-E388-4208-ACD2-7BEC817EF559}"/>
              </a:ext>
            </a:extLst>
          </xdr:cNvPr>
          <xdr:cNvGrpSpPr/>
        </xdr:nvGrpSpPr>
        <xdr:grpSpPr>
          <a:xfrm>
            <a:off x="1064305" y="13475565"/>
            <a:ext cx="13069434" cy="4114946"/>
            <a:chOff x="925512" y="6512573"/>
            <a:chExt cx="13706361" cy="3833958"/>
          </a:xfrm>
          <a:grpFill/>
        </xdr:grpSpPr>
        <xdr:sp macro="" textlink="">
          <xdr:nvSpPr>
            <xdr:cNvPr id="16" name="Retângulo 15">
              <a:extLst>
                <a:ext uri="{FF2B5EF4-FFF2-40B4-BE49-F238E27FC236}">
                  <a16:creationId xmlns:a16="http://schemas.microsoft.com/office/drawing/2014/main" id="{B8296A22-3F3E-4E19-B6C2-ED840E54E4D7}"/>
                </a:ext>
              </a:extLst>
            </xdr:cNvPr>
            <xdr:cNvSpPr/>
          </xdr:nvSpPr>
          <xdr:spPr>
            <a:xfrm>
              <a:off x="925512" y="6512573"/>
              <a:ext cx="11671301" cy="3833958"/>
            </a:xfrm>
            <a:prstGeom prst="rect">
              <a:avLst/>
            </a:prstGeom>
            <a:grpFill/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pt-BR" sz="1100"/>
            </a:p>
          </xdr:txBody>
        </xdr:sp>
        <xdr:sp macro="" textlink="">
          <xdr:nvSpPr>
            <xdr:cNvPr id="17" name="Retângulo: Cantos Arredondados 16">
              <a:extLst>
                <a:ext uri="{FF2B5EF4-FFF2-40B4-BE49-F238E27FC236}">
                  <a16:creationId xmlns:a16="http://schemas.microsoft.com/office/drawing/2014/main" id="{93A1969D-CD78-468E-992A-C618FF5CDBD9}"/>
                </a:ext>
              </a:extLst>
            </xdr:cNvPr>
            <xdr:cNvSpPr/>
          </xdr:nvSpPr>
          <xdr:spPr>
            <a:xfrm>
              <a:off x="11202875" y="6512573"/>
              <a:ext cx="3428998" cy="3833958"/>
            </a:xfrm>
            <a:prstGeom prst="roundRect">
              <a:avLst/>
            </a:prstGeom>
            <a:grpFill/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marL="0" indent="0" algn="l"/>
              <a:endParaRPr lang="pt-BR" sz="1100">
                <a:solidFill>
                  <a:schemeClr val="lt1"/>
                </a:solidFill>
                <a:latin typeface="+mn-lt"/>
                <a:ea typeface="+mn-ea"/>
                <a:cs typeface="+mn-cs"/>
              </a:endParaRPr>
            </a:p>
          </xdr:txBody>
        </xdr:sp>
      </xdr:grpSp>
      <xdr:sp macro="" textlink="">
        <xdr:nvSpPr>
          <xdr:cNvPr id="15" name="Retângulo: Cantos Arredondados 14">
            <a:extLst>
              <a:ext uri="{FF2B5EF4-FFF2-40B4-BE49-F238E27FC236}">
                <a16:creationId xmlns:a16="http://schemas.microsoft.com/office/drawing/2014/main" id="{0A8943C2-97B6-4637-BDF7-66BD71F7D4E7}"/>
              </a:ext>
            </a:extLst>
          </xdr:cNvPr>
          <xdr:cNvSpPr/>
        </xdr:nvSpPr>
        <xdr:spPr>
          <a:xfrm>
            <a:off x="492805" y="13475565"/>
            <a:ext cx="3269654" cy="4114946"/>
          </a:xfrm>
          <a:prstGeom prst="roundRect">
            <a:avLst/>
          </a:prstGeom>
          <a:grp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pt-BR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</xdr:grpSp>
    <xdr:clientData/>
  </xdr:twoCellAnchor>
  <xdr:twoCellAnchor>
    <xdr:from>
      <xdr:col>18</xdr:col>
      <xdr:colOff>111172</xdr:colOff>
      <xdr:row>18</xdr:row>
      <xdr:rowOff>89647</xdr:rowOff>
    </xdr:from>
    <xdr:to>
      <xdr:col>23</xdr:col>
      <xdr:colOff>746</xdr:colOff>
      <xdr:row>41</xdr:row>
      <xdr:rowOff>0</xdr:rowOff>
    </xdr:to>
    <xdr:sp macro="" textlink="">
      <xdr:nvSpPr>
        <xdr:cNvPr id="18" name="Retângulo: Cantos Arredondados 17">
          <a:extLst>
            <a:ext uri="{FF2B5EF4-FFF2-40B4-BE49-F238E27FC236}">
              <a16:creationId xmlns:a16="http://schemas.microsoft.com/office/drawing/2014/main" id="{8210AC97-12F8-44F2-91DD-81ED760BD2A9}"/>
            </a:ext>
          </a:extLst>
        </xdr:cNvPr>
        <xdr:cNvSpPr/>
      </xdr:nvSpPr>
      <xdr:spPr>
        <a:xfrm>
          <a:off x="11083972" y="3518647"/>
          <a:ext cx="2937574" cy="4291853"/>
        </a:xfrm>
        <a:prstGeom prst="roundRect">
          <a:avLst/>
        </a:prstGeom>
        <a:solidFill>
          <a:schemeClr val="bg1"/>
        </a:solidFill>
        <a:ln>
          <a:solidFill>
            <a:schemeClr val="bg2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endParaRPr lang="pt-BR" sz="2000" b="1" baseline="0">
            <a:solidFill>
              <a:srgbClr val="0070C0"/>
            </a:solidFill>
            <a:latin typeface="+mn-lt"/>
            <a:ea typeface="+mn-ea"/>
            <a:cs typeface="+mn-cs"/>
          </a:endParaRPr>
        </a:p>
        <a:p>
          <a:pPr algn="ctr"/>
          <a:endParaRPr lang="pt-BR" sz="2000" b="1" baseline="0">
            <a:solidFill>
              <a:srgbClr val="0070C0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12</xdr:col>
      <xdr:colOff>346066</xdr:colOff>
      <xdr:row>18</xdr:row>
      <xdr:rowOff>89647</xdr:rowOff>
    </xdr:from>
    <xdr:to>
      <xdr:col>17</xdr:col>
      <xdr:colOff>235640</xdr:colOff>
      <xdr:row>41</xdr:row>
      <xdr:rowOff>0</xdr:rowOff>
    </xdr:to>
    <xdr:sp macro="" textlink="">
      <xdr:nvSpPr>
        <xdr:cNvPr id="19" name="Retângulo: Cantos Arredondados 18">
          <a:extLst>
            <a:ext uri="{FF2B5EF4-FFF2-40B4-BE49-F238E27FC236}">
              <a16:creationId xmlns:a16="http://schemas.microsoft.com/office/drawing/2014/main" id="{16C51A9C-CE64-45B5-ACBF-630921529FF3}"/>
            </a:ext>
          </a:extLst>
        </xdr:cNvPr>
        <xdr:cNvSpPr/>
      </xdr:nvSpPr>
      <xdr:spPr>
        <a:xfrm>
          <a:off x="7661266" y="3518647"/>
          <a:ext cx="2937574" cy="4291853"/>
        </a:xfrm>
        <a:prstGeom prst="roundRect">
          <a:avLst/>
        </a:prstGeom>
        <a:solidFill>
          <a:schemeClr val="bg1"/>
        </a:solidFill>
        <a:ln>
          <a:solidFill>
            <a:schemeClr val="bg2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endParaRPr lang="pt-BR" sz="2000" b="1" baseline="0">
            <a:solidFill>
              <a:srgbClr val="0070C0"/>
            </a:solidFill>
            <a:latin typeface="+mn-lt"/>
            <a:ea typeface="+mn-ea"/>
            <a:cs typeface="+mn-cs"/>
          </a:endParaRPr>
        </a:p>
        <a:p>
          <a:pPr algn="ctr"/>
          <a:endParaRPr lang="pt-BR" sz="2000" b="1" baseline="0">
            <a:solidFill>
              <a:srgbClr val="0070C0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209718</xdr:colOff>
      <xdr:row>18</xdr:row>
      <xdr:rowOff>89647</xdr:rowOff>
    </xdr:from>
    <xdr:to>
      <xdr:col>6</xdr:col>
      <xdr:colOff>98636</xdr:colOff>
      <xdr:row>41</xdr:row>
      <xdr:rowOff>0</xdr:rowOff>
    </xdr:to>
    <xdr:sp macro="" textlink="">
      <xdr:nvSpPr>
        <xdr:cNvPr id="20" name="Retângulo: Cantos Arredondados 19">
          <a:extLst>
            <a:ext uri="{FF2B5EF4-FFF2-40B4-BE49-F238E27FC236}">
              <a16:creationId xmlns:a16="http://schemas.microsoft.com/office/drawing/2014/main" id="{B3D5D9DD-5B9F-4C58-8388-209CEA17EC3A}"/>
            </a:ext>
          </a:extLst>
        </xdr:cNvPr>
        <xdr:cNvSpPr/>
      </xdr:nvSpPr>
      <xdr:spPr>
        <a:xfrm>
          <a:off x="819318" y="3518647"/>
          <a:ext cx="2936918" cy="4291853"/>
        </a:xfrm>
        <a:prstGeom prst="roundRect">
          <a:avLst/>
        </a:prstGeom>
        <a:solidFill>
          <a:schemeClr val="bg1"/>
        </a:solidFill>
        <a:ln>
          <a:solidFill>
            <a:schemeClr val="bg2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endParaRPr lang="pt-BR" sz="2000" b="1" baseline="0">
            <a:solidFill>
              <a:srgbClr val="0070C0"/>
            </a:solidFill>
            <a:latin typeface="+mn-lt"/>
            <a:ea typeface="+mn-ea"/>
            <a:cs typeface="+mn-cs"/>
          </a:endParaRPr>
        </a:p>
        <a:p>
          <a:pPr algn="ctr"/>
          <a:endParaRPr lang="pt-BR" sz="2000" b="1" baseline="0">
            <a:solidFill>
              <a:srgbClr val="0070C0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107392</xdr:colOff>
      <xdr:row>150</xdr:row>
      <xdr:rowOff>29587</xdr:rowOff>
    </xdr:from>
    <xdr:to>
      <xdr:col>6</xdr:col>
      <xdr:colOff>139936</xdr:colOff>
      <xdr:row>178</xdr:row>
      <xdr:rowOff>353786</xdr:rowOff>
    </xdr:to>
    <xdr:sp macro="" textlink="">
      <xdr:nvSpPr>
        <xdr:cNvPr id="21" name="Retângulo: Cantos Arredondados 20">
          <a:extLst>
            <a:ext uri="{FF2B5EF4-FFF2-40B4-BE49-F238E27FC236}">
              <a16:creationId xmlns:a16="http://schemas.microsoft.com/office/drawing/2014/main" id="{0E7A109B-4717-4677-9C99-BDF8B71D5936}"/>
            </a:ext>
          </a:extLst>
        </xdr:cNvPr>
        <xdr:cNvSpPr/>
      </xdr:nvSpPr>
      <xdr:spPr>
        <a:xfrm>
          <a:off x="716992" y="28604587"/>
          <a:ext cx="3080544" cy="5496274"/>
        </a:xfrm>
        <a:prstGeom prst="roundRect">
          <a:avLst/>
        </a:prstGeom>
        <a:solidFill>
          <a:schemeClr val="bg1"/>
        </a:solidFill>
        <a:ln>
          <a:solidFill>
            <a:schemeClr val="bg2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endParaRPr lang="pt-BR" sz="2000" b="1" baseline="0">
            <a:solidFill>
              <a:srgbClr val="0070C0"/>
            </a:solidFill>
            <a:latin typeface="+mn-lt"/>
            <a:ea typeface="+mn-ea"/>
            <a:cs typeface="+mn-cs"/>
          </a:endParaRPr>
        </a:p>
        <a:p>
          <a:pPr algn="ctr"/>
          <a:r>
            <a:rPr lang="pt-BR" sz="2000" b="1" baseline="0">
              <a:solidFill>
                <a:schemeClr val="accent3"/>
              </a:solidFill>
              <a:latin typeface="+mn-lt"/>
              <a:ea typeface="+mn-ea"/>
              <a:cs typeface="+mn-cs"/>
            </a:rPr>
            <a:t>INDICADORES</a:t>
          </a:r>
        </a:p>
        <a:p>
          <a:pPr algn="ctr"/>
          <a:endParaRPr lang="pt-BR" sz="1200" b="0" baseline="0">
            <a:solidFill>
              <a:schemeClr val="bg1">
                <a:lumMod val="50000"/>
              </a:schemeClr>
            </a:solidFill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200" b="0" baseline="0">
              <a:solidFill>
                <a:schemeClr val="bg1">
                  <a:lumMod val="50000"/>
                </a:schemeClr>
              </a:solidFill>
              <a:latin typeface="+mn-lt"/>
              <a:ea typeface="+mn-ea"/>
              <a:cs typeface="+mn-cs"/>
            </a:rPr>
            <a:t>Comparar os números ao lado com os números de corte escolhidos na configuração e indicados no </a:t>
          </a:r>
          <a:r>
            <a:rPr lang="pt-BR" sz="1200" b="1" baseline="0">
              <a:solidFill>
                <a:schemeClr val="bg1">
                  <a:lumMod val="50000"/>
                </a:schemeClr>
              </a:solidFill>
              <a:latin typeface="+mn-lt"/>
              <a:ea typeface="+mn-ea"/>
              <a:cs typeface="+mn-cs"/>
            </a:rPr>
            <a:t>POTE IDEAL</a:t>
          </a:r>
          <a:r>
            <a:rPr lang="pt-BR" sz="1200" b="0" baseline="0">
              <a:solidFill>
                <a:schemeClr val="bg1">
                  <a:lumMod val="50000"/>
                </a:schemeClr>
              </a:solidFill>
              <a:latin typeface="+mn-lt"/>
              <a:ea typeface="+mn-ea"/>
              <a:cs typeface="+mn-cs"/>
            </a:rPr>
            <a:t>.</a:t>
          </a:r>
          <a:br>
            <a:rPr lang="pt-BR" sz="1200" b="0" baseline="0">
              <a:solidFill>
                <a:schemeClr val="bg1">
                  <a:lumMod val="50000"/>
                </a:schemeClr>
              </a:solidFill>
              <a:latin typeface="+mn-lt"/>
              <a:ea typeface="+mn-ea"/>
              <a:cs typeface="+mn-cs"/>
            </a:rPr>
          </a:br>
          <a:br>
            <a:rPr lang="pt-BR" sz="1200" b="0" baseline="0">
              <a:solidFill>
                <a:schemeClr val="bg1">
                  <a:lumMod val="50000"/>
                </a:schemeClr>
              </a:solidFill>
              <a:latin typeface="+mn-lt"/>
              <a:ea typeface="+mn-ea"/>
              <a:cs typeface="+mn-cs"/>
            </a:rPr>
          </a:br>
          <a:r>
            <a:rPr lang="pt-BR" sz="1200" b="0" baseline="0">
              <a:solidFill>
                <a:schemeClr val="bg1">
                  <a:lumMod val="50000"/>
                </a:schemeClr>
              </a:solidFill>
              <a:latin typeface="+mn-lt"/>
              <a:ea typeface="+mn-ea"/>
              <a:cs typeface="+mn-cs"/>
            </a:rPr>
            <a:t>Acompanhe os indicadores para </a:t>
          </a:r>
          <a:r>
            <a:rPr lang="pt-BR" sz="1200" b="1" baseline="0">
              <a:solidFill>
                <a:schemeClr val="bg1">
                  <a:lumMod val="50000"/>
                </a:schemeClr>
              </a:solidFill>
              <a:latin typeface="+mn-lt"/>
              <a:ea typeface="+mn-ea"/>
              <a:cs typeface="+mn-cs"/>
            </a:rPr>
            <a:t>reduzir gastos</a:t>
          </a:r>
          <a:r>
            <a:rPr lang="pt-BR" sz="1200" b="0" baseline="0">
              <a:solidFill>
                <a:schemeClr val="bg1">
                  <a:lumMod val="50000"/>
                </a:schemeClr>
              </a:solidFill>
              <a:latin typeface="+mn-lt"/>
              <a:ea typeface="+mn-ea"/>
              <a:cs typeface="+mn-cs"/>
            </a:rPr>
            <a:t> excessivos e ter dinheiro disponível para </a:t>
          </a:r>
          <a:r>
            <a:rPr lang="pt-BR" sz="1200" b="1" baseline="0">
              <a:solidFill>
                <a:schemeClr val="bg1">
                  <a:lumMod val="50000"/>
                </a:schemeClr>
              </a:solidFill>
              <a:latin typeface="+mn-lt"/>
              <a:ea typeface="+mn-ea"/>
              <a:cs typeface="+mn-cs"/>
            </a:rPr>
            <a:t>reservas</a:t>
          </a:r>
          <a:r>
            <a:rPr lang="pt-BR" sz="1200" b="0" baseline="0">
              <a:solidFill>
                <a:schemeClr val="bg1">
                  <a:lumMod val="50000"/>
                </a:schemeClr>
              </a:solidFill>
              <a:latin typeface="+mn-lt"/>
              <a:ea typeface="+mn-ea"/>
              <a:cs typeface="+mn-cs"/>
            </a:rPr>
            <a:t> e </a:t>
          </a:r>
          <a:r>
            <a:rPr lang="pt-BR" sz="1200" b="1" baseline="0">
              <a:solidFill>
                <a:schemeClr val="bg1">
                  <a:lumMod val="50000"/>
                </a:schemeClr>
              </a:solidFill>
              <a:latin typeface="+mn-lt"/>
              <a:ea typeface="+mn-ea"/>
              <a:cs typeface="+mn-cs"/>
            </a:rPr>
            <a:t>investimentos</a:t>
          </a:r>
          <a:r>
            <a:rPr lang="pt-BR" sz="1200" b="0" baseline="0">
              <a:solidFill>
                <a:schemeClr val="bg1">
                  <a:lumMod val="50000"/>
                </a:schemeClr>
              </a:solidFill>
              <a:latin typeface="+mn-lt"/>
              <a:ea typeface="+mn-ea"/>
              <a:cs typeface="+mn-cs"/>
            </a:rPr>
            <a:t>.</a:t>
          </a:r>
          <a:endParaRPr lang="pt-BR" sz="2000" b="1" baseline="0">
            <a:solidFill>
              <a:srgbClr val="0070C0"/>
            </a:solidFill>
            <a:latin typeface="+mn-lt"/>
            <a:ea typeface="+mn-ea"/>
            <a:cs typeface="+mn-cs"/>
          </a:endParaRPr>
        </a:p>
      </xdr:txBody>
    </xdr:sp>
    <xdr:clientData/>
  </xdr:twoCellAnchor>
  <xdr:oneCellAnchor>
    <xdr:from>
      <xdr:col>43</xdr:col>
      <xdr:colOff>235857</xdr:colOff>
      <xdr:row>35</xdr:row>
      <xdr:rowOff>72572</xdr:rowOff>
    </xdr:from>
    <xdr:ext cx="184731" cy="264560"/>
    <xdr:sp macro="" textlink="">
      <xdr:nvSpPr>
        <xdr:cNvPr id="22" name="CaixaDeTexto 21">
          <a:extLst>
            <a:ext uri="{FF2B5EF4-FFF2-40B4-BE49-F238E27FC236}">
              <a16:creationId xmlns:a16="http://schemas.microsoft.com/office/drawing/2014/main" id="{1F810FA5-F3A4-484F-B065-8E7C972AF213}"/>
            </a:ext>
          </a:extLst>
        </xdr:cNvPr>
        <xdr:cNvSpPr txBox="1"/>
      </xdr:nvSpPr>
      <xdr:spPr>
        <a:xfrm>
          <a:off x="26448657" y="674007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twoCellAnchor>
    <xdr:from>
      <xdr:col>12</xdr:col>
      <xdr:colOff>84490</xdr:colOff>
      <xdr:row>122</xdr:row>
      <xdr:rowOff>64292</xdr:rowOff>
    </xdr:from>
    <xdr:to>
      <xdr:col>17</xdr:col>
      <xdr:colOff>95839</xdr:colOff>
      <xdr:row>147</xdr:row>
      <xdr:rowOff>12479</xdr:rowOff>
    </xdr:to>
    <xdr:sp macro="" textlink="">
      <xdr:nvSpPr>
        <xdr:cNvPr id="23" name="Retângulo: Cantos Arredondados 22">
          <a:extLst>
            <a:ext uri="{FF2B5EF4-FFF2-40B4-BE49-F238E27FC236}">
              <a16:creationId xmlns:a16="http://schemas.microsoft.com/office/drawing/2014/main" id="{8B373E52-33DF-4254-8640-FAF0AFD833E6}"/>
            </a:ext>
          </a:extLst>
        </xdr:cNvPr>
        <xdr:cNvSpPr/>
      </xdr:nvSpPr>
      <xdr:spPr>
        <a:xfrm>
          <a:off x="7399690" y="23305292"/>
          <a:ext cx="3059349" cy="4710687"/>
        </a:xfrm>
        <a:prstGeom prst="roundRect">
          <a:avLst/>
        </a:prstGeom>
        <a:solidFill>
          <a:schemeClr val="bg1"/>
        </a:solidFill>
        <a:ln>
          <a:solidFill>
            <a:schemeClr val="bg2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endParaRPr lang="pt-BR" sz="2000" b="1">
            <a:solidFill>
              <a:srgbClr val="0070C0"/>
            </a:solidFill>
            <a:latin typeface="+mn-lt"/>
            <a:ea typeface="+mn-ea"/>
            <a:cs typeface="+mn-cs"/>
          </a:endParaRPr>
        </a:p>
        <a:p>
          <a:pPr algn="ctr"/>
          <a:r>
            <a:rPr lang="pt-BR" sz="2000" b="1" baseline="0">
              <a:solidFill>
                <a:schemeClr val="accent3"/>
              </a:solidFill>
              <a:latin typeface="+mn-lt"/>
              <a:ea typeface="+mn-ea"/>
              <a:cs typeface="+mn-cs"/>
            </a:rPr>
            <a:t>IDEAL</a:t>
          </a:r>
        </a:p>
      </xdr:txBody>
    </xdr:sp>
    <xdr:clientData/>
  </xdr:twoCellAnchor>
  <xdr:twoCellAnchor>
    <xdr:from>
      <xdr:col>11</xdr:col>
      <xdr:colOff>153198</xdr:colOff>
      <xdr:row>128</xdr:row>
      <xdr:rowOff>95647</xdr:rowOff>
    </xdr:from>
    <xdr:to>
      <xdr:col>18</xdr:col>
      <xdr:colOff>48479</xdr:colOff>
      <xdr:row>144</xdr:row>
      <xdr:rowOff>113885</xdr:rowOff>
    </xdr:to>
    <xdr:grpSp>
      <xdr:nvGrpSpPr>
        <xdr:cNvPr id="24" name="Agrupar 23">
          <a:extLst>
            <a:ext uri="{FF2B5EF4-FFF2-40B4-BE49-F238E27FC236}">
              <a16:creationId xmlns:a16="http://schemas.microsoft.com/office/drawing/2014/main" id="{5A1A930A-4D11-41AE-923E-43896F75EAD3}"/>
            </a:ext>
          </a:extLst>
        </xdr:cNvPr>
        <xdr:cNvGrpSpPr/>
      </xdr:nvGrpSpPr>
      <xdr:grpSpPr>
        <a:xfrm>
          <a:off x="6805010" y="24641012"/>
          <a:ext cx="4287987" cy="2886944"/>
          <a:chOff x="908175" y="838584"/>
          <a:chExt cx="4377032" cy="2808985"/>
        </a:xfrm>
      </xdr:grpSpPr>
      <xdr:grpSp>
        <xdr:nvGrpSpPr>
          <xdr:cNvPr id="25" name="Agrupar 24">
            <a:extLst>
              <a:ext uri="{FF2B5EF4-FFF2-40B4-BE49-F238E27FC236}">
                <a16:creationId xmlns:a16="http://schemas.microsoft.com/office/drawing/2014/main" id="{81341ED3-48CB-4825-9278-D31F47940C86}"/>
              </a:ext>
            </a:extLst>
          </xdr:cNvPr>
          <xdr:cNvGrpSpPr/>
        </xdr:nvGrpSpPr>
        <xdr:grpSpPr>
          <a:xfrm>
            <a:off x="908175" y="838584"/>
            <a:ext cx="4377032" cy="2808985"/>
            <a:chOff x="23612702" y="4679780"/>
            <a:chExt cx="4406308" cy="4326313"/>
          </a:xfrm>
        </xdr:grpSpPr>
        <xdr:graphicFrame macro="">
          <xdr:nvGraphicFramePr>
            <xdr:cNvPr id="27" name="Gráfico 26">
              <a:extLst>
                <a:ext uri="{FF2B5EF4-FFF2-40B4-BE49-F238E27FC236}">
                  <a16:creationId xmlns:a16="http://schemas.microsoft.com/office/drawing/2014/main" id="{BC94A95D-88E0-4F8E-913D-CA9D854C41A2}"/>
                </a:ext>
              </a:extLst>
            </xdr:cNvPr>
            <xdr:cNvGraphicFramePr/>
          </xdr:nvGraphicFramePr>
          <xdr:xfrm>
            <a:off x="23612702" y="4679780"/>
            <a:ext cx="4406308" cy="4326313"/>
          </xdr:xfrm>
          <a:graphic>
            <a:graphicData uri="http://schemas.openxmlformats.org/drawingml/2006/chart">
              <c:chart xmlns:c="http://schemas.openxmlformats.org/drawingml/2006/chart" xmlns:r="http://schemas.openxmlformats.org/officeDocument/2006/relationships" r:id="rId1"/>
            </a:graphicData>
          </a:graphic>
        </xdr:graphicFrame>
        <xdr:cxnSp macro="">
          <xdr:nvCxnSpPr>
            <xdr:cNvPr id="28" name="Conector reto 27">
              <a:extLst>
                <a:ext uri="{FF2B5EF4-FFF2-40B4-BE49-F238E27FC236}">
                  <a16:creationId xmlns:a16="http://schemas.microsoft.com/office/drawing/2014/main" id="{052B84D7-D134-4266-A0F1-8EFC9E67BDAA}"/>
                </a:ext>
              </a:extLst>
            </xdr:cNvPr>
            <xdr:cNvCxnSpPr/>
          </xdr:nvCxnSpPr>
          <xdr:spPr>
            <a:xfrm>
              <a:off x="24693053" y="8790779"/>
              <a:ext cx="2225869" cy="0"/>
            </a:xfrm>
            <a:prstGeom prst="line">
              <a:avLst/>
            </a:prstGeom>
            <a:ln w="19050">
              <a:solidFill>
                <a:schemeClr val="tx1">
                  <a:lumMod val="50000"/>
                  <a:lumOff val="50000"/>
                </a:schemeClr>
              </a:solidFill>
              <a:prstDash val="solid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  <xdr:sp macro="" textlink="">
        <xdr:nvSpPr>
          <xdr:cNvPr id="26" name="Elipse 25">
            <a:extLst>
              <a:ext uri="{FF2B5EF4-FFF2-40B4-BE49-F238E27FC236}">
                <a16:creationId xmlns:a16="http://schemas.microsoft.com/office/drawing/2014/main" id="{6FBB52C2-6099-4FA1-A3F6-D32988E3618C}"/>
              </a:ext>
            </a:extLst>
          </xdr:cNvPr>
          <xdr:cNvSpPr/>
        </xdr:nvSpPr>
        <xdr:spPr>
          <a:xfrm>
            <a:off x="2067308" y="947617"/>
            <a:ext cx="2062973" cy="98349"/>
          </a:xfrm>
          <a:prstGeom prst="ellipse">
            <a:avLst/>
          </a:prstGeom>
          <a:solidFill>
            <a:schemeClr val="bg1">
              <a:lumMod val="8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pt-BR" sz="1100">
              <a:solidFill>
                <a:srgbClr val="0070C0"/>
              </a:solidFill>
            </a:endParaRPr>
          </a:p>
        </xdr:txBody>
      </xdr:sp>
    </xdr:grpSp>
    <xdr:clientData/>
  </xdr:twoCellAnchor>
  <xdr:twoCellAnchor>
    <xdr:from>
      <xdr:col>18</xdr:col>
      <xdr:colOff>54019</xdr:colOff>
      <xdr:row>122</xdr:row>
      <xdr:rowOff>64292</xdr:rowOff>
    </xdr:from>
    <xdr:to>
      <xdr:col>23</xdr:col>
      <xdr:colOff>106248</xdr:colOff>
      <xdr:row>147</xdr:row>
      <xdr:rowOff>12479</xdr:rowOff>
    </xdr:to>
    <xdr:sp macro="" textlink="">
      <xdr:nvSpPr>
        <xdr:cNvPr id="29" name="Retângulo: Cantos Arredondados 28">
          <a:extLst>
            <a:ext uri="{FF2B5EF4-FFF2-40B4-BE49-F238E27FC236}">
              <a16:creationId xmlns:a16="http://schemas.microsoft.com/office/drawing/2014/main" id="{4C1B92F1-21A5-4D80-80A2-A9FCFF5B939B}"/>
            </a:ext>
          </a:extLst>
        </xdr:cNvPr>
        <xdr:cNvSpPr/>
      </xdr:nvSpPr>
      <xdr:spPr>
        <a:xfrm>
          <a:off x="11026819" y="23305292"/>
          <a:ext cx="3100229" cy="4710687"/>
        </a:xfrm>
        <a:prstGeom prst="roundRect">
          <a:avLst/>
        </a:prstGeom>
        <a:solidFill>
          <a:schemeClr val="bg1"/>
        </a:solidFill>
        <a:ln>
          <a:solidFill>
            <a:schemeClr val="bg2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endParaRPr lang="pt-BR" sz="2000" b="1">
            <a:solidFill>
              <a:srgbClr val="0070C0"/>
            </a:solidFill>
          </a:endParaRPr>
        </a:p>
        <a:p>
          <a:pPr marL="0" indent="0" algn="ctr"/>
          <a:r>
            <a:rPr lang="pt-BR" sz="2000" b="1" baseline="0">
              <a:solidFill>
                <a:schemeClr val="accent3"/>
              </a:solidFill>
              <a:latin typeface="+mn-lt"/>
              <a:ea typeface="+mn-ea"/>
              <a:cs typeface="+mn-cs"/>
            </a:rPr>
            <a:t>ATUAL</a:t>
          </a:r>
        </a:p>
      </xdr:txBody>
    </xdr:sp>
    <xdr:clientData/>
  </xdr:twoCellAnchor>
  <xdr:twoCellAnchor>
    <xdr:from>
      <xdr:col>17</xdr:col>
      <xdr:colOff>153525</xdr:colOff>
      <xdr:row>128</xdr:row>
      <xdr:rowOff>95627</xdr:rowOff>
    </xdr:from>
    <xdr:to>
      <xdr:col>24</xdr:col>
      <xdr:colOff>57145</xdr:colOff>
      <xdr:row>144</xdr:row>
      <xdr:rowOff>110778</xdr:rowOff>
    </xdr:to>
    <xdr:grpSp>
      <xdr:nvGrpSpPr>
        <xdr:cNvPr id="30" name="Agrupar 29">
          <a:extLst>
            <a:ext uri="{FF2B5EF4-FFF2-40B4-BE49-F238E27FC236}">
              <a16:creationId xmlns:a16="http://schemas.microsoft.com/office/drawing/2014/main" id="{F6677DFC-554F-4418-ACAE-3832A31FA80D}"/>
            </a:ext>
          </a:extLst>
        </xdr:cNvPr>
        <xdr:cNvGrpSpPr/>
      </xdr:nvGrpSpPr>
      <xdr:grpSpPr>
        <a:xfrm>
          <a:off x="10570513" y="24640992"/>
          <a:ext cx="4296326" cy="2883857"/>
          <a:chOff x="908173" y="833652"/>
          <a:chExt cx="4358217" cy="2810361"/>
        </a:xfrm>
      </xdr:grpSpPr>
      <xdr:grpSp>
        <xdr:nvGrpSpPr>
          <xdr:cNvPr id="31" name="Agrupar 30">
            <a:extLst>
              <a:ext uri="{FF2B5EF4-FFF2-40B4-BE49-F238E27FC236}">
                <a16:creationId xmlns:a16="http://schemas.microsoft.com/office/drawing/2014/main" id="{A24E2600-C6C8-4A56-A6D7-B174659E350C}"/>
              </a:ext>
            </a:extLst>
          </xdr:cNvPr>
          <xdr:cNvGrpSpPr/>
        </xdr:nvGrpSpPr>
        <xdr:grpSpPr>
          <a:xfrm>
            <a:off x="908173" y="833652"/>
            <a:ext cx="4358217" cy="2810361"/>
            <a:chOff x="23612705" y="4672189"/>
            <a:chExt cx="4387368" cy="4328436"/>
          </a:xfrm>
        </xdr:grpSpPr>
        <xdr:graphicFrame macro="">
          <xdr:nvGraphicFramePr>
            <xdr:cNvPr id="33" name="Gráfico 32">
              <a:extLst>
                <a:ext uri="{FF2B5EF4-FFF2-40B4-BE49-F238E27FC236}">
                  <a16:creationId xmlns:a16="http://schemas.microsoft.com/office/drawing/2014/main" id="{0432AD65-9707-46CB-89BA-A8124F73D6A6}"/>
                </a:ext>
              </a:extLst>
            </xdr:cNvPr>
            <xdr:cNvGraphicFramePr/>
          </xdr:nvGraphicFramePr>
          <xdr:xfrm>
            <a:off x="23612705" y="4672189"/>
            <a:ext cx="4387368" cy="4328436"/>
          </xdr:xfrm>
          <a:graphic>
            <a:graphicData uri="http://schemas.openxmlformats.org/drawingml/2006/chart">
              <c:chart xmlns:c="http://schemas.openxmlformats.org/drawingml/2006/chart" xmlns:r="http://schemas.openxmlformats.org/officeDocument/2006/relationships" r:id="rId2"/>
            </a:graphicData>
          </a:graphic>
        </xdr:graphicFrame>
        <xdr:cxnSp macro="">
          <xdr:nvCxnSpPr>
            <xdr:cNvPr id="34" name="Conector reto 33">
              <a:extLst>
                <a:ext uri="{FF2B5EF4-FFF2-40B4-BE49-F238E27FC236}">
                  <a16:creationId xmlns:a16="http://schemas.microsoft.com/office/drawing/2014/main" id="{9B204092-C9EE-44A1-A86B-218E9DA0E22E}"/>
                </a:ext>
              </a:extLst>
            </xdr:cNvPr>
            <xdr:cNvCxnSpPr/>
          </xdr:nvCxnSpPr>
          <xdr:spPr>
            <a:xfrm>
              <a:off x="24692963" y="8777132"/>
              <a:ext cx="2225869" cy="0"/>
            </a:xfrm>
            <a:prstGeom prst="line">
              <a:avLst/>
            </a:prstGeom>
            <a:ln w="19050">
              <a:solidFill>
                <a:schemeClr val="tx1">
                  <a:lumMod val="50000"/>
                  <a:lumOff val="50000"/>
                </a:schemeClr>
              </a:solidFill>
              <a:prstDash val="solid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  <xdr:sp macro="" textlink="">
        <xdr:nvSpPr>
          <xdr:cNvPr id="32" name="Elipse 31">
            <a:extLst>
              <a:ext uri="{FF2B5EF4-FFF2-40B4-BE49-F238E27FC236}">
                <a16:creationId xmlns:a16="http://schemas.microsoft.com/office/drawing/2014/main" id="{89EF090B-BCDA-4C64-AF2D-F2A8C89847BC}"/>
              </a:ext>
            </a:extLst>
          </xdr:cNvPr>
          <xdr:cNvSpPr/>
        </xdr:nvSpPr>
        <xdr:spPr>
          <a:xfrm>
            <a:off x="2066471" y="945244"/>
            <a:ext cx="2061483" cy="98424"/>
          </a:xfrm>
          <a:prstGeom prst="ellipse">
            <a:avLst/>
          </a:prstGeom>
          <a:solidFill>
            <a:schemeClr val="bg1">
              <a:lumMod val="8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pt-BR" sz="1100">
              <a:solidFill>
                <a:srgbClr val="00B0F0"/>
              </a:solidFill>
            </a:endParaRPr>
          </a:p>
        </xdr:txBody>
      </xdr:sp>
    </xdr:grpSp>
    <xdr:clientData/>
  </xdr:twoCellAnchor>
  <xdr:oneCellAnchor>
    <xdr:from>
      <xdr:col>1</xdr:col>
      <xdr:colOff>219075</xdr:colOff>
      <xdr:row>144</xdr:row>
      <xdr:rowOff>28575</xdr:rowOff>
    </xdr:from>
    <xdr:ext cx="3511550" cy="264560"/>
    <xdr:sp macro="" textlink="">
      <xdr:nvSpPr>
        <xdr:cNvPr id="35" name="CaixaDeTexto 34">
          <a:extLst>
            <a:ext uri="{FF2B5EF4-FFF2-40B4-BE49-F238E27FC236}">
              <a16:creationId xmlns:a16="http://schemas.microsoft.com/office/drawing/2014/main" id="{19100079-C41F-488D-8779-1F61126FBA2A}"/>
            </a:ext>
          </a:extLst>
        </xdr:cNvPr>
        <xdr:cNvSpPr txBox="1"/>
      </xdr:nvSpPr>
      <xdr:spPr>
        <a:xfrm>
          <a:off x="828675" y="27460575"/>
          <a:ext cx="351155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pt-BR" sz="1100">
            <a:solidFill>
              <a:srgbClr val="FFEBAB"/>
            </a:solidFill>
          </a:endParaRPr>
        </a:p>
      </xdr:txBody>
    </xdr:sp>
    <xdr:clientData/>
  </xdr:oneCellAnchor>
  <xdr:twoCellAnchor>
    <xdr:from>
      <xdr:col>1</xdr:col>
      <xdr:colOff>104217</xdr:colOff>
      <xdr:row>122</xdr:row>
      <xdr:rowOff>67469</xdr:rowOff>
    </xdr:from>
    <xdr:to>
      <xdr:col>6</xdr:col>
      <xdr:colOff>155496</xdr:colOff>
      <xdr:row>147</xdr:row>
      <xdr:rowOff>8731</xdr:rowOff>
    </xdr:to>
    <xdr:sp macro="" textlink="">
      <xdr:nvSpPr>
        <xdr:cNvPr id="36" name="Retângulo: Cantos Arredondados 35">
          <a:extLst>
            <a:ext uri="{FF2B5EF4-FFF2-40B4-BE49-F238E27FC236}">
              <a16:creationId xmlns:a16="http://schemas.microsoft.com/office/drawing/2014/main" id="{D398287D-11AD-4402-AE72-5E0B5615AD2F}"/>
            </a:ext>
          </a:extLst>
        </xdr:cNvPr>
        <xdr:cNvSpPr/>
      </xdr:nvSpPr>
      <xdr:spPr>
        <a:xfrm>
          <a:off x="713817" y="23308469"/>
          <a:ext cx="3099279" cy="4703762"/>
        </a:xfrm>
        <a:prstGeom prst="roundRect">
          <a:avLst/>
        </a:prstGeom>
        <a:solidFill>
          <a:schemeClr val="bg1"/>
        </a:solidFill>
        <a:ln>
          <a:solidFill>
            <a:schemeClr val="bg2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endParaRPr lang="pt-BR" sz="2000" b="1">
            <a:solidFill>
              <a:srgbClr val="0070C0"/>
            </a:solidFill>
            <a:latin typeface="+mn-lt"/>
            <a:ea typeface="+mn-ea"/>
            <a:cs typeface="+mn-cs"/>
          </a:endParaRPr>
        </a:p>
        <a:p>
          <a:pPr algn="ctr"/>
          <a:r>
            <a:rPr lang="pt-BR" sz="2000" b="1" baseline="0">
              <a:solidFill>
                <a:schemeClr val="accent3"/>
              </a:solidFill>
              <a:latin typeface="+mn-lt"/>
              <a:ea typeface="+mn-ea"/>
              <a:cs typeface="+mn-cs"/>
            </a:rPr>
            <a:t>DESAFIO</a:t>
          </a:r>
        </a:p>
        <a:p>
          <a:pPr algn="ctr"/>
          <a:r>
            <a:rPr lang="pt-BR" sz="2000" b="1" baseline="0">
              <a:solidFill>
                <a:schemeClr val="accent3"/>
              </a:solidFill>
              <a:latin typeface="+mn-lt"/>
              <a:ea typeface="+mn-ea"/>
              <a:cs typeface="+mn-cs"/>
            </a:rPr>
            <a:t>DO POTE</a:t>
          </a:r>
        </a:p>
        <a:p>
          <a:pPr algn="ctr"/>
          <a:endParaRPr lang="pt-BR" sz="2000" b="1" baseline="0">
            <a:solidFill>
              <a:srgbClr val="0070C0"/>
            </a:solidFill>
            <a:latin typeface="+mn-lt"/>
            <a:ea typeface="+mn-ea"/>
            <a:cs typeface="+mn-cs"/>
          </a:endParaRPr>
        </a:p>
        <a:p>
          <a:pPr algn="ctr"/>
          <a:endParaRPr lang="pt-BR" sz="1000" b="1" baseline="0">
            <a:solidFill>
              <a:srgbClr val="0070C0"/>
            </a:solidFill>
            <a:latin typeface="+mn-lt"/>
            <a:ea typeface="+mn-ea"/>
            <a:cs typeface="+mn-cs"/>
          </a:endParaRPr>
        </a:p>
        <a:p>
          <a:pPr algn="ctr"/>
          <a:r>
            <a:rPr lang="pt-BR" sz="1200" b="0" baseline="0">
              <a:solidFill>
                <a:schemeClr val="bg1">
                  <a:lumMod val="50000"/>
                </a:schemeClr>
              </a:solidFill>
              <a:latin typeface="+mn-lt"/>
              <a:ea typeface="+mn-ea"/>
              <a:cs typeface="+mn-cs"/>
            </a:rPr>
            <a:t>A ideia é simular uma </a:t>
          </a:r>
          <a:r>
            <a:rPr lang="pt-BR" sz="1200" b="1" baseline="0">
              <a:solidFill>
                <a:schemeClr val="bg1">
                  <a:lumMod val="50000"/>
                </a:schemeClr>
              </a:solidFill>
              <a:latin typeface="+mn-lt"/>
              <a:ea typeface="+mn-ea"/>
              <a:cs typeface="+mn-cs"/>
            </a:rPr>
            <a:t>carteira ideal </a:t>
          </a:r>
          <a:r>
            <a:rPr lang="pt-BR" sz="1200" b="0" baseline="0">
              <a:solidFill>
                <a:schemeClr val="bg1">
                  <a:lumMod val="50000"/>
                </a:schemeClr>
              </a:solidFill>
              <a:latin typeface="+mn-lt"/>
              <a:ea typeface="+mn-ea"/>
              <a:cs typeface="+mn-cs"/>
            </a:rPr>
            <a:t>que deve ser cumprida como </a:t>
          </a:r>
          <a:r>
            <a:rPr lang="pt-BR" sz="1200" b="1" baseline="0">
              <a:solidFill>
                <a:schemeClr val="bg1">
                  <a:lumMod val="50000"/>
                </a:schemeClr>
              </a:solidFill>
              <a:latin typeface="+mn-lt"/>
              <a:ea typeface="+mn-ea"/>
              <a:cs typeface="+mn-cs"/>
            </a:rPr>
            <a:t>meta</a:t>
          </a:r>
          <a:r>
            <a:rPr lang="pt-BR" sz="1200" b="0" baseline="0">
              <a:solidFill>
                <a:schemeClr val="bg1">
                  <a:lumMod val="50000"/>
                </a:schemeClr>
              </a:solidFill>
              <a:latin typeface="+mn-lt"/>
              <a:ea typeface="+mn-ea"/>
              <a:cs typeface="+mn-cs"/>
            </a:rPr>
            <a:t> e balanceada sempre que possível.</a:t>
          </a:r>
        </a:p>
        <a:p>
          <a:pPr algn="ctr"/>
          <a:endParaRPr lang="pt-BR" sz="1200" b="0" baseline="0">
            <a:solidFill>
              <a:schemeClr val="bg1">
                <a:lumMod val="50000"/>
              </a:schemeClr>
            </a:solidFill>
            <a:latin typeface="+mn-lt"/>
            <a:ea typeface="+mn-ea"/>
            <a:cs typeface="+mn-cs"/>
          </a:endParaRPr>
        </a:p>
        <a:p>
          <a:pPr algn="ctr"/>
          <a:r>
            <a:rPr lang="pt-BR" sz="1200" b="1" baseline="0">
              <a:solidFill>
                <a:schemeClr val="bg1">
                  <a:lumMod val="50000"/>
                </a:schemeClr>
              </a:solidFill>
              <a:latin typeface="+mn-lt"/>
              <a:ea typeface="+mn-ea"/>
              <a:cs typeface="+mn-cs"/>
            </a:rPr>
            <a:t>Antes de usar, configure seu pote ideal </a:t>
          </a:r>
          <a:r>
            <a:rPr lang="pt-BR" sz="1200" b="0" baseline="0">
              <a:solidFill>
                <a:schemeClr val="bg1">
                  <a:lumMod val="50000"/>
                </a:schemeClr>
              </a:solidFill>
              <a:latin typeface="+mn-lt"/>
              <a:ea typeface="+mn-ea"/>
              <a:cs typeface="+mn-cs"/>
            </a:rPr>
            <a:t>na aba de configuração, seguindo o modelo automático ou manual.</a:t>
          </a:r>
        </a:p>
      </xdr:txBody>
    </xdr:sp>
    <xdr:clientData/>
  </xdr:twoCellAnchor>
  <xdr:twoCellAnchor>
    <xdr:from>
      <xdr:col>0</xdr:col>
      <xdr:colOff>292893</xdr:colOff>
      <xdr:row>123</xdr:row>
      <xdr:rowOff>160426</xdr:rowOff>
    </xdr:from>
    <xdr:to>
      <xdr:col>2</xdr:col>
      <xdr:colOff>184044</xdr:colOff>
      <xdr:row>128</xdr:row>
      <xdr:rowOff>167246</xdr:rowOff>
    </xdr:to>
    <xdr:pic>
      <xdr:nvPicPr>
        <xdr:cNvPr id="37" name="Gráfico 36" descr="Torneira com vazamento">
          <a:extLst>
            <a:ext uri="{FF2B5EF4-FFF2-40B4-BE49-F238E27FC236}">
              <a16:creationId xmlns:a16="http://schemas.microsoft.com/office/drawing/2014/main" id="{21D7B7B7-7C15-4DB6-BBD0-924ABC2D49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292893" y="23591926"/>
          <a:ext cx="1110351" cy="959320"/>
        </a:xfrm>
        <a:prstGeom prst="rect">
          <a:avLst/>
        </a:prstGeom>
      </xdr:spPr>
    </xdr:pic>
    <xdr:clientData/>
  </xdr:twoCellAnchor>
  <xdr:twoCellAnchor>
    <xdr:from>
      <xdr:col>1</xdr:col>
      <xdr:colOff>344851</xdr:colOff>
      <xdr:row>139</xdr:row>
      <xdr:rowOff>176892</xdr:rowOff>
    </xdr:from>
    <xdr:to>
      <xdr:col>5</xdr:col>
      <xdr:colOff>557741</xdr:colOff>
      <xdr:row>145</xdr:row>
      <xdr:rowOff>154204</xdr:rowOff>
    </xdr:to>
    <xdr:sp macro="" textlink="">
      <xdr:nvSpPr>
        <xdr:cNvPr id="38" name="Retângulo: Cantos Arredondados 37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C60F4EB9-FFE5-4697-8175-DB6C10022097}"/>
            </a:ext>
          </a:extLst>
        </xdr:cNvPr>
        <xdr:cNvSpPr/>
      </xdr:nvSpPr>
      <xdr:spPr>
        <a:xfrm>
          <a:off x="706144" y="27624220"/>
          <a:ext cx="2665304" cy="1094036"/>
        </a:xfrm>
        <a:prstGeom prst="roundRect">
          <a:avLst>
            <a:gd name="adj" fmla="val 45606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96000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100" b="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Este desafio usa o mesmo princípio do </a:t>
          </a:r>
          <a:r>
            <a:rPr lang="pt-BR" sz="11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Método do Pote</a:t>
          </a:r>
          <a:r>
            <a:rPr lang="pt-BR" sz="1100" b="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descrito no Blog da Neon. </a:t>
          </a:r>
          <a:br>
            <a:rPr lang="pt-BR" sz="1100" b="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pt-BR" sz="1100" b="1" u="sng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Leia aqui</a:t>
          </a:r>
          <a:r>
            <a:rPr lang="pt-BR" sz="1100" b="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.</a:t>
          </a:r>
          <a:endParaRPr lang="pt-BR">
            <a:effectLst/>
          </a:endParaRPr>
        </a:p>
        <a:p>
          <a:pPr algn="l"/>
          <a:endParaRPr lang="pt-BR" sz="1100"/>
        </a:p>
      </xdr:txBody>
    </xdr:sp>
    <xdr:clientData/>
  </xdr:twoCellAnchor>
  <xdr:twoCellAnchor>
    <xdr:from>
      <xdr:col>1</xdr:col>
      <xdr:colOff>485609</xdr:colOff>
      <xdr:row>142</xdr:row>
      <xdr:rowOff>6405</xdr:rowOff>
    </xdr:from>
    <xdr:to>
      <xdr:col>2</xdr:col>
      <xdr:colOff>153683</xdr:colOff>
      <xdr:row>143</xdr:row>
      <xdr:rowOff>95251</xdr:rowOff>
    </xdr:to>
    <xdr:pic>
      <xdr:nvPicPr>
        <xdr:cNvPr id="39" name="Gráfico 38" descr="Ajudar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5898D7D1-AB4E-4624-8AD6-BC8D14ED44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7"/>
            </a:ext>
          </a:extLst>
        </a:blip>
        <a:stretch>
          <a:fillRect/>
        </a:stretch>
      </xdr:blipFill>
      <xdr:spPr>
        <a:xfrm>
          <a:off x="1095209" y="27057405"/>
          <a:ext cx="277674" cy="279346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  <xdr:twoCellAnchor>
    <xdr:from>
      <xdr:col>7</xdr:col>
      <xdr:colOff>52748</xdr:colOff>
      <xdr:row>122</xdr:row>
      <xdr:rowOff>73817</xdr:rowOff>
    </xdr:from>
    <xdr:to>
      <xdr:col>11</xdr:col>
      <xdr:colOff>180974</xdr:colOff>
      <xdr:row>147</xdr:row>
      <xdr:rowOff>20422</xdr:rowOff>
    </xdr:to>
    <xdr:sp macro="" textlink="">
      <xdr:nvSpPr>
        <xdr:cNvPr id="40" name="Retângulo: Cantos Arredondados 39">
          <a:extLst>
            <a:ext uri="{FF2B5EF4-FFF2-40B4-BE49-F238E27FC236}">
              <a16:creationId xmlns:a16="http://schemas.microsoft.com/office/drawing/2014/main" id="{D145505D-A7FF-4A35-92FE-8BC01D9C672D}"/>
            </a:ext>
          </a:extLst>
        </xdr:cNvPr>
        <xdr:cNvSpPr/>
      </xdr:nvSpPr>
      <xdr:spPr>
        <a:xfrm>
          <a:off x="4319948" y="23314817"/>
          <a:ext cx="2566626" cy="4709105"/>
        </a:xfrm>
        <a:prstGeom prst="roundRect">
          <a:avLst/>
        </a:prstGeom>
        <a:solidFill>
          <a:schemeClr val="bg1"/>
        </a:solidFill>
        <a:ln>
          <a:solidFill>
            <a:schemeClr val="bg2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endParaRPr lang="pt-BR" sz="2000" b="1" baseline="0">
            <a:solidFill>
              <a:srgbClr val="0070C0"/>
            </a:solidFill>
            <a:latin typeface="+mn-lt"/>
            <a:ea typeface="+mn-ea"/>
            <a:cs typeface="+mn-cs"/>
          </a:endParaRPr>
        </a:p>
        <a:p>
          <a:pPr algn="ctr"/>
          <a:r>
            <a:rPr lang="pt-BR" sz="2000" b="1" baseline="0">
              <a:solidFill>
                <a:schemeClr val="accent3"/>
              </a:solidFill>
              <a:latin typeface="+mn-lt"/>
              <a:ea typeface="+mn-ea"/>
              <a:cs typeface="+mn-cs"/>
            </a:rPr>
            <a:t>LEGENDA</a:t>
          </a:r>
        </a:p>
        <a:p>
          <a:pPr algn="ctr"/>
          <a:endParaRPr lang="pt-BR" sz="2000" b="1" baseline="0">
            <a:solidFill>
              <a:srgbClr val="0070C0"/>
            </a:solidFill>
            <a:latin typeface="+mn-lt"/>
            <a:ea typeface="+mn-ea"/>
            <a:cs typeface="+mn-cs"/>
          </a:endParaRPr>
        </a:p>
        <a:p>
          <a:pPr marL="457200" lvl="1" indent="0" algn="l">
            <a:buFont typeface="Arial" panose="020B0604020202020204" pitchFamily="34" charset="0"/>
            <a:buNone/>
          </a:pPr>
          <a:endParaRPr lang="pt-BR" sz="1200" b="0" baseline="0">
            <a:solidFill>
              <a:schemeClr val="bg1">
                <a:lumMod val="50000"/>
              </a:schemeClr>
            </a:solidFill>
            <a:latin typeface="+mn-lt"/>
            <a:ea typeface="+mn-ea"/>
            <a:cs typeface="+mn-cs"/>
          </a:endParaRPr>
        </a:p>
        <a:p>
          <a:pPr marL="457200" lvl="1" indent="0" algn="l">
            <a:buFont typeface="Arial" panose="020B0604020202020204" pitchFamily="34" charset="0"/>
            <a:buNone/>
          </a:pPr>
          <a:r>
            <a:rPr lang="pt-BR" sz="1200" b="0" baseline="0">
              <a:solidFill>
                <a:schemeClr val="bg1">
                  <a:lumMod val="50000"/>
                </a:schemeClr>
              </a:solidFill>
              <a:latin typeface="+mn-lt"/>
              <a:ea typeface="+mn-ea"/>
              <a:cs typeface="+mn-cs"/>
            </a:rPr>
            <a:t>INVESTIMENTOS</a:t>
          </a:r>
        </a:p>
        <a:p>
          <a:pPr marL="457200" lvl="1" indent="0" algn="l">
            <a:buFont typeface="Arial" panose="020B0604020202020204" pitchFamily="34" charset="0"/>
            <a:buNone/>
          </a:pPr>
          <a:endParaRPr lang="pt-BR" sz="1200" b="0" baseline="0">
            <a:solidFill>
              <a:schemeClr val="bg1">
                <a:lumMod val="50000"/>
              </a:schemeClr>
            </a:solidFill>
            <a:latin typeface="+mn-lt"/>
            <a:ea typeface="+mn-ea"/>
            <a:cs typeface="+mn-cs"/>
          </a:endParaRPr>
        </a:p>
        <a:p>
          <a:pPr marL="457200" lvl="1" indent="0" algn="l">
            <a:buFont typeface="Arial" panose="020B0604020202020204" pitchFamily="34" charset="0"/>
            <a:buNone/>
          </a:pPr>
          <a:r>
            <a:rPr lang="pt-BR" sz="1200" b="0" baseline="0">
              <a:solidFill>
                <a:schemeClr val="bg1">
                  <a:lumMod val="50000"/>
                </a:schemeClr>
              </a:solidFill>
              <a:latin typeface="+mn-lt"/>
              <a:ea typeface="+mn-ea"/>
              <a:cs typeface="+mn-cs"/>
            </a:rPr>
            <a:t>RESERVA EMERGÊNCIA</a:t>
          </a:r>
        </a:p>
        <a:p>
          <a:pPr marL="457200" lvl="1" indent="0" algn="l">
            <a:buFont typeface="Arial" panose="020B0604020202020204" pitchFamily="34" charset="0"/>
            <a:buNone/>
          </a:pPr>
          <a:endParaRPr lang="pt-BR" sz="1200" b="0" baseline="0">
            <a:solidFill>
              <a:schemeClr val="bg1">
                <a:lumMod val="50000"/>
              </a:schemeClr>
            </a:solidFill>
            <a:latin typeface="+mn-lt"/>
            <a:ea typeface="+mn-ea"/>
            <a:cs typeface="+mn-cs"/>
          </a:endParaRPr>
        </a:p>
        <a:p>
          <a:pPr marL="457200" lvl="1" indent="0" algn="l">
            <a:buFont typeface="Arial" panose="020B0604020202020204" pitchFamily="34" charset="0"/>
            <a:buNone/>
          </a:pPr>
          <a:r>
            <a:rPr lang="pt-BR" sz="1200" b="0" baseline="0">
              <a:solidFill>
                <a:schemeClr val="bg1">
                  <a:lumMod val="50000"/>
                </a:schemeClr>
              </a:solidFill>
              <a:latin typeface="+mn-lt"/>
              <a:ea typeface="+mn-ea"/>
              <a:cs typeface="+mn-cs"/>
            </a:rPr>
            <a:t>DESPESA DOAÇÕES E PRESENTES</a:t>
          </a:r>
        </a:p>
        <a:p>
          <a:pPr marL="457200" lvl="1" indent="0" algn="l">
            <a:buFont typeface="Arial" panose="020B0604020202020204" pitchFamily="34" charset="0"/>
            <a:buNone/>
          </a:pPr>
          <a:endParaRPr lang="pt-BR" sz="1200" b="0" baseline="0">
            <a:solidFill>
              <a:schemeClr val="bg1">
                <a:lumMod val="50000"/>
              </a:schemeClr>
            </a:solidFill>
            <a:latin typeface="+mn-lt"/>
            <a:ea typeface="+mn-ea"/>
            <a:cs typeface="+mn-cs"/>
          </a:endParaRPr>
        </a:p>
        <a:p>
          <a:pPr marL="457200" lvl="1" indent="0" algn="l">
            <a:buFont typeface="Arial" panose="020B0604020202020204" pitchFamily="34" charset="0"/>
            <a:buNone/>
          </a:pPr>
          <a:r>
            <a:rPr lang="pt-BR" sz="1200" b="0" baseline="0">
              <a:solidFill>
                <a:schemeClr val="bg1">
                  <a:lumMod val="50000"/>
                </a:schemeClr>
              </a:solidFill>
              <a:latin typeface="+mn-lt"/>
              <a:ea typeface="+mn-ea"/>
              <a:cs typeface="+mn-cs"/>
            </a:rPr>
            <a:t>DESPESAS EDUCAÇÃO</a:t>
          </a:r>
        </a:p>
        <a:p>
          <a:pPr marL="457200" lvl="1" indent="0" algn="l">
            <a:buFont typeface="Arial" panose="020B0604020202020204" pitchFamily="34" charset="0"/>
            <a:buNone/>
          </a:pPr>
          <a:endParaRPr lang="pt-BR" sz="1200" b="0" baseline="0">
            <a:solidFill>
              <a:schemeClr val="bg1">
                <a:lumMod val="50000"/>
              </a:schemeClr>
            </a:solidFill>
            <a:latin typeface="+mn-lt"/>
            <a:ea typeface="+mn-ea"/>
            <a:cs typeface="+mn-cs"/>
          </a:endParaRPr>
        </a:p>
        <a:p>
          <a:pPr marL="457200" lvl="1" indent="0" algn="l">
            <a:buFont typeface="Arial" panose="020B0604020202020204" pitchFamily="34" charset="0"/>
            <a:buNone/>
          </a:pPr>
          <a:r>
            <a:rPr lang="pt-BR" sz="1200" b="0" baseline="0">
              <a:solidFill>
                <a:schemeClr val="bg1">
                  <a:lumMod val="50000"/>
                </a:schemeClr>
              </a:solidFill>
              <a:latin typeface="+mn-lt"/>
              <a:ea typeface="+mn-ea"/>
              <a:cs typeface="+mn-cs"/>
            </a:rPr>
            <a:t>DESPESAS LAZER</a:t>
          </a:r>
        </a:p>
        <a:p>
          <a:pPr marL="457200" lvl="1" indent="0" algn="l">
            <a:buFont typeface="Arial" panose="020B0604020202020204" pitchFamily="34" charset="0"/>
            <a:buNone/>
          </a:pPr>
          <a:endParaRPr lang="pt-BR" sz="1200" b="0" baseline="0">
            <a:solidFill>
              <a:schemeClr val="bg1">
                <a:lumMod val="50000"/>
              </a:schemeClr>
            </a:solidFill>
            <a:latin typeface="+mn-lt"/>
            <a:ea typeface="+mn-ea"/>
            <a:cs typeface="+mn-cs"/>
          </a:endParaRPr>
        </a:p>
        <a:p>
          <a:pPr marL="457200" lvl="1" indent="0" algn="l">
            <a:buFont typeface="Arial" panose="020B0604020202020204" pitchFamily="34" charset="0"/>
            <a:buNone/>
          </a:pPr>
          <a:r>
            <a:rPr lang="pt-BR" sz="1200" b="0" baseline="0">
              <a:solidFill>
                <a:schemeClr val="bg1">
                  <a:lumMod val="50000"/>
                </a:schemeClr>
              </a:solidFill>
              <a:latin typeface="+mn-lt"/>
              <a:ea typeface="+mn-ea"/>
              <a:cs typeface="+mn-cs"/>
            </a:rPr>
            <a:t>DESPESAS FIXAS</a:t>
          </a:r>
        </a:p>
      </xdr:txBody>
    </xdr:sp>
    <xdr:clientData/>
  </xdr:twoCellAnchor>
  <xdr:oneCellAnchor>
    <xdr:from>
      <xdr:col>9</xdr:col>
      <xdr:colOff>399374</xdr:colOff>
      <xdr:row>1</xdr:row>
      <xdr:rowOff>237164</xdr:rowOff>
    </xdr:from>
    <xdr:ext cx="790522" cy="798172"/>
    <xdr:pic>
      <xdr:nvPicPr>
        <xdr:cNvPr id="41" name="Gráfico 40" descr="Impressão digital">
          <a:extLst>
            <a:ext uri="{FF2B5EF4-FFF2-40B4-BE49-F238E27FC236}">
              <a16:creationId xmlns:a16="http://schemas.microsoft.com/office/drawing/2014/main" id="{FF563396-A52B-4D7B-96CD-37EE731526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9"/>
            </a:ext>
          </a:extLst>
        </a:blip>
        <a:stretch>
          <a:fillRect/>
        </a:stretch>
      </xdr:blipFill>
      <xdr:spPr>
        <a:xfrm>
          <a:off x="5885774" y="380039"/>
          <a:ext cx="790522" cy="798172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7</xdr:col>
      <xdr:colOff>453995</xdr:colOff>
      <xdr:row>150</xdr:row>
      <xdr:rowOff>29586</xdr:rowOff>
    </xdr:from>
    <xdr:to>
      <xdr:col>11</xdr:col>
      <xdr:colOff>262163</xdr:colOff>
      <xdr:row>166</xdr:row>
      <xdr:rowOff>7030</xdr:rowOff>
    </xdr:to>
    <xdr:grpSp>
      <xdr:nvGrpSpPr>
        <xdr:cNvPr id="42" name="Agrupar 41">
          <a:extLst>
            <a:ext uri="{FF2B5EF4-FFF2-40B4-BE49-F238E27FC236}">
              <a16:creationId xmlns:a16="http://schemas.microsoft.com/office/drawing/2014/main" id="{09A243F3-8999-41F1-80FB-A136A88A02BA}"/>
            </a:ext>
          </a:extLst>
        </xdr:cNvPr>
        <xdr:cNvGrpSpPr/>
      </xdr:nvGrpSpPr>
      <xdr:grpSpPr>
        <a:xfrm>
          <a:off x="4595689" y="28519421"/>
          <a:ext cx="2318286" cy="2846150"/>
          <a:chOff x="5115795" y="6145352"/>
          <a:chExt cx="2358155" cy="2597788"/>
        </a:xfrm>
      </xdr:grpSpPr>
      <xdr:sp macro="" textlink="">
        <xdr:nvSpPr>
          <xdr:cNvPr id="43" name="Retângulo: Cantos Arredondados 42">
            <a:extLst>
              <a:ext uri="{FF2B5EF4-FFF2-40B4-BE49-F238E27FC236}">
                <a16:creationId xmlns:a16="http://schemas.microsoft.com/office/drawing/2014/main" id="{86DE7BBB-4816-49CD-8AA6-FF7B282C09A9}"/>
              </a:ext>
            </a:extLst>
          </xdr:cNvPr>
          <xdr:cNvSpPr/>
        </xdr:nvSpPr>
        <xdr:spPr>
          <a:xfrm>
            <a:off x="5115795" y="6145352"/>
            <a:ext cx="2358155" cy="2115343"/>
          </a:xfrm>
          <a:prstGeom prst="roundRect">
            <a:avLst/>
          </a:prstGeom>
          <a:solidFill>
            <a:schemeClr val="bg1"/>
          </a:solidFill>
          <a:ln>
            <a:solidFill>
              <a:schemeClr val="bg2"/>
            </a:solidFill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square" rtlCol="0" anchor="t">
            <a:noAutofit/>
          </a:bodyPr>
          <a:lstStyle/>
          <a:p>
            <a:pPr algn="ctr"/>
            <a:endParaRPr lang="pt-BR" sz="2000" b="1" baseline="0">
              <a:solidFill>
                <a:srgbClr val="0070C0"/>
              </a:solidFill>
              <a:latin typeface="+mn-lt"/>
              <a:ea typeface="+mn-ea"/>
              <a:cs typeface="+mn-cs"/>
            </a:endParaRPr>
          </a:p>
          <a:p>
            <a:pPr algn="ctr"/>
            <a:endParaRPr lang="pt-BR" sz="2000" b="1" baseline="0">
              <a:solidFill>
                <a:srgbClr val="0070C0"/>
              </a:solidFill>
              <a:latin typeface="+mn-lt"/>
              <a:ea typeface="+mn-ea"/>
              <a:cs typeface="+mn-cs"/>
            </a:endParaRPr>
          </a:p>
        </xdr:txBody>
      </xdr:sp>
      <xdr:grpSp>
        <xdr:nvGrpSpPr>
          <xdr:cNvPr id="44" name="Agrupar 43">
            <a:extLst>
              <a:ext uri="{FF2B5EF4-FFF2-40B4-BE49-F238E27FC236}">
                <a16:creationId xmlns:a16="http://schemas.microsoft.com/office/drawing/2014/main" id="{3E024B57-B2AA-47AB-85C1-9DE6CA63502F}"/>
              </a:ext>
            </a:extLst>
          </xdr:cNvPr>
          <xdr:cNvGrpSpPr/>
        </xdr:nvGrpSpPr>
        <xdr:grpSpPr>
          <a:xfrm>
            <a:off x="5218070" y="6339200"/>
            <a:ext cx="2152595" cy="2403940"/>
            <a:chOff x="13580617" y="4597257"/>
            <a:chExt cx="2164722" cy="2451869"/>
          </a:xfrm>
        </xdr:grpSpPr>
        <xdr:graphicFrame macro="">
          <xdr:nvGraphicFramePr>
            <xdr:cNvPr id="45" name="Gráfico 44">
              <a:extLst>
                <a:ext uri="{FF2B5EF4-FFF2-40B4-BE49-F238E27FC236}">
                  <a16:creationId xmlns:a16="http://schemas.microsoft.com/office/drawing/2014/main" id="{5B9FD10F-13C1-4CE2-BB71-3AB95FBBED29}"/>
                </a:ext>
              </a:extLst>
            </xdr:cNvPr>
            <xdr:cNvGraphicFramePr>
              <a:graphicFrameLocks/>
            </xdr:cNvGraphicFramePr>
          </xdr:nvGraphicFramePr>
          <xdr:xfrm>
            <a:off x="13580617" y="4597257"/>
            <a:ext cx="2164722" cy="2451869"/>
          </xdr:xfrm>
          <a:graphic>
            <a:graphicData uri="http://schemas.openxmlformats.org/drawingml/2006/chart">
              <c:chart xmlns:c="http://schemas.openxmlformats.org/drawingml/2006/chart" xmlns:r="http://schemas.openxmlformats.org/officeDocument/2006/relationships" r:id="rId10"/>
            </a:graphicData>
          </a:graphic>
        </xdr:graphicFrame>
        <xdr:sp macro="" textlink="$AM$34">
          <xdr:nvSpPr>
            <xdr:cNvPr id="46" name="CaixaDeTexto 45">
              <a:extLst>
                <a:ext uri="{FF2B5EF4-FFF2-40B4-BE49-F238E27FC236}">
                  <a16:creationId xmlns:a16="http://schemas.microsoft.com/office/drawing/2014/main" id="{B58FD2D0-58B9-41B2-9EE1-5D35692807BC}"/>
                </a:ext>
              </a:extLst>
            </xdr:cNvPr>
            <xdr:cNvSpPr txBox="1"/>
          </xdr:nvSpPr>
          <xdr:spPr>
            <a:xfrm>
              <a:off x="14058587" y="5899758"/>
              <a:ext cx="1217039" cy="237186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ctr">
              <a:spAutoFit/>
            </a:bodyPr>
            <a:lstStyle/>
            <a:p>
              <a:pPr algn="ctr"/>
              <a:fld id="{D24559FC-257B-4A4B-8783-80BA3EBC1356}" type="TxLink">
                <a:rPr lang="en-US" sz="1100" b="0" i="0" u="none" strike="noStrike">
                  <a:solidFill>
                    <a:srgbClr val="000000"/>
                  </a:solidFill>
                  <a:latin typeface="Calibri"/>
                  <a:cs typeface="Calibri"/>
                </a:rPr>
                <a:pPr algn="ctr"/>
                <a:t>RISCO BAIXO</a:t>
              </a:fld>
              <a:endParaRPr lang="pt-BR" sz="1100" b="0"/>
            </a:p>
          </xdr:txBody>
        </xdr:sp>
      </xdr:grpSp>
    </xdr:grpSp>
    <xdr:clientData/>
  </xdr:twoCellAnchor>
  <xdr:oneCellAnchor>
    <xdr:from>
      <xdr:col>19</xdr:col>
      <xdr:colOff>465155</xdr:colOff>
      <xdr:row>2</xdr:row>
      <xdr:rowOff>75216</xdr:rowOff>
    </xdr:from>
    <xdr:ext cx="323417" cy="364390"/>
    <xdr:pic>
      <xdr:nvPicPr>
        <xdr:cNvPr id="48" name="Gráfico 47" descr="Virar calendário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FB0F4849-35C8-44F9-8399-42AB0BBF95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3"/>
            </a:ext>
          </a:extLst>
        </a:blip>
        <a:stretch>
          <a:fillRect/>
        </a:stretch>
      </xdr:blipFill>
      <xdr:spPr>
        <a:xfrm>
          <a:off x="12047555" y="456216"/>
          <a:ext cx="323417" cy="364390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18</xdr:col>
      <xdr:colOff>430887</xdr:colOff>
      <xdr:row>2</xdr:row>
      <xdr:rowOff>241453</xdr:rowOff>
    </xdr:from>
    <xdr:to>
      <xdr:col>19</xdr:col>
      <xdr:colOff>279327</xdr:colOff>
      <xdr:row>2</xdr:row>
      <xdr:rowOff>241453</xdr:rowOff>
    </xdr:to>
    <xdr:cxnSp macro="">
      <xdr:nvCxnSpPr>
        <xdr:cNvPr id="49" name="Conector reto 48">
          <a:extLst>
            <a:ext uri="{FF2B5EF4-FFF2-40B4-BE49-F238E27FC236}">
              <a16:creationId xmlns:a16="http://schemas.microsoft.com/office/drawing/2014/main" id="{94420B43-8B43-4D99-846C-CDB8BFE5862D}"/>
            </a:ext>
          </a:extLst>
        </xdr:cNvPr>
        <xdr:cNvCxnSpPr/>
      </xdr:nvCxnSpPr>
      <xdr:spPr>
        <a:xfrm>
          <a:off x="11403687" y="574828"/>
          <a:ext cx="458040" cy="0"/>
        </a:xfrm>
        <a:prstGeom prst="line">
          <a:avLst/>
        </a:prstGeom>
        <a:ln>
          <a:solidFill>
            <a:srgbClr val="FFEBAB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17</xdr:col>
      <xdr:colOff>438691</xdr:colOff>
      <xdr:row>2</xdr:row>
      <xdr:rowOff>46678</xdr:rowOff>
    </xdr:from>
    <xdr:ext cx="355258" cy="391078"/>
    <xdr:pic>
      <xdr:nvPicPr>
        <xdr:cNvPr id="50" name="Gráfico 49" descr="Trancar">
          <a:hlinkClick xmlns:r="http://schemas.openxmlformats.org/officeDocument/2006/relationships" r:id="rId14"/>
          <a:extLst>
            <a:ext uri="{FF2B5EF4-FFF2-40B4-BE49-F238E27FC236}">
              <a16:creationId xmlns:a16="http://schemas.microsoft.com/office/drawing/2014/main" id="{13E92FA1-F590-4E5C-9CEB-6EDDDD8EAD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6"/>
            </a:ext>
          </a:extLst>
        </a:blip>
        <a:stretch>
          <a:fillRect/>
        </a:stretch>
      </xdr:blipFill>
      <xdr:spPr>
        <a:xfrm>
          <a:off x="10801891" y="427678"/>
          <a:ext cx="355258" cy="39107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  <xdr:twoCellAnchor>
    <xdr:from>
      <xdr:col>1</xdr:col>
      <xdr:colOff>321831</xdr:colOff>
      <xdr:row>171</xdr:row>
      <xdr:rowOff>145379</xdr:rowOff>
    </xdr:from>
    <xdr:to>
      <xdr:col>5</xdr:col>
      <xdr:colOff>525196</xdr:colOff>
      <xdr:row>176</xdr:row>
      <xdr:rowOff>169285</xdr:rowOff>
    </xdr:to>
    <xdr:grpSp>
      <xdr:nvGrpSpPr>
        <xdr:cNvPr id="52" name="Agrupar 51">
          <a:extLst>
            <a:ext uri="{FF2B5EF4-FFF2-40B4-BE49-F238E27FC236}">
              <a16:creationId xmlns:a16="http://schemas.microsoft.com/office/drawing/2014/main" id="{C23D2241-9ADF-48FE-BFC2-525AF43C00C8}"/>
            </a:ext>
          </a:extLst>
        </xdr:cNvPr>
        <xdr:cNvGrpSpPr/>
      </xdr:nvGrpSpPr>
      <xdr:grpSpPr>
        <a:xfrm>
          <a:off x="698349" y="32400391"/>
          <a:ext cx="2713482" cy="920376"/>
          <a:chOff x="454026" y="4119520"/>
          <a:chExt cx="2762250" cy="917491"/>
        </a:xfrm>
      </xdr:grpSpPr>
      <xdr:sp macro="" textlink="">
        <xdr:nvSpPr>
          <xdr:cNvPr id="53" name="Retângulo: Cantos Arredondados 52">
            <a:hlinkClick xmlns:r="http://schemas.openxmlformats.org/officeDocument/2006/relationships" r:id="rId17"/>
            <a:extLst>
              <a:ext uri="{FF2B5EF4-FFF2-40B4-BE49-F238E27FC236}">
                <a16:creationId xmlns:a16="http://schemas.microsoft.com/office/drawing/2014/main" id="{35063BFE-1102-4F87-837D-FA6710139421}"/>
              </a:ext>
            </a:extLst>
          </xdr:cNvPr>
          <xdr:cNvSpPr/>
        </xdr:nvSpPr>
        <xdr:spPr>
          <a:xfrm>
            <a:off x="454026" y="4119520"/>
            <a:ext cx="2762250" cy="917491"/>
          </a:xfrm>
          <a:prstGeom prst="roundRect">
            <a:avLst>
              <a:gd name="adj" fmla="val 45606"/>
            </a:avLst>
          </a:prstGeom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396000" rtlCol="0" anchor="ctr"/>
          <a:lstStyle/>
          <a:p>
            <a:pPr marL="0" marR="0" lvl="0" indent="0" algn="l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pt-BR" sz="1100" b="1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Mantenha os riscos controlados e baixos</a:t>
            </a:r>
            <a:r>
              <a:rPr lang="pt-BR" sz="1100" b="0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, sempre que possível. Está com dificuldades? </a:t>
            </a:r>
            <a:r>
              <a:rPr lang="pt-BR" sz="1100" b="1" u="sng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Clique aqui!</a:t>
            </a:r>
            <a:r>
              <a:rPr lang="pt-BR" sz="1100" b="0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 </a:t>
            </a:r>
            <a:endParaRPr lang="pt-BR">
              <a:effectLst/>
            </a:endParaRPr>
          </a:p>
          <a:p>
            <a:pPr algn="l"/>
            <a:endParaRPr lang="pt-BR" sz="1100"/>
          </a:p>
        </xdr:txBody>
      </xdr:sp>
      <xdr:pic>
        <xdr:nvPicPr>
          <xdr:cNvPr id="54" name="Gráfico 53" descr="Ajudar">
            <a:hlinkClick xmlns:r="http://schemas.openxmlformats.org/officeDocument/2006/relationships" r:id="rId17"/>
            <a:extLst>
              <a:ext uri="{FF2B5EF4-FFF2-40B4-BE49-F238E27FC236}">
                <a16:creationId xmlns:a16="http://schemas.microsoft.com/office/drawing/2014/main" id="{2E6EEFFF-ED83-4C17-8A1D-17A208C95E8D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7"/>
              </a:ext>
            </a:extLst>
          </a:blip>
          <a:stretch>
            <a:fillRect/>
          </a:stretch>
        </xdr:blipFill>
        <xdr:spPr>
          <a:xfrm>
            <a:off x="600075" y="4455002"/>
            <a:ext cx="249703" cy="246529"/>
          </a:xfrm>
          <a:prstGeom prst="rect">
            <a:avLst/>
          </a:prstGeom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</xdr:pic>
    </xdr:grpSp>
    <xdr:clientData/>
  </xdr:twoCellAnchor>
  <xdr:oneCellAnchor>
    <xdr:from>
      <xdr:col>1</xdr:col>
      <xdr:colOff>340087</xdr:colOff>
      <xdr:row>164</xdr:row>
      <xdr:rowOff>0</xdr:rowOff>
    </xdr:from>
    <xdr:ext cx="2784865" cy="577659"/>
    <xdr:sp macro="" textlink="">
      <xdr:nvSpPr>
        <xdr:cNvPr id="55" name="CaixaDeTexto 54">
          <a:extLst>
            <a:ext uri="{FF2B5EF4-FFF2-40B4-BE49-F238E27FC236}">
              <a16:creationId xmlns:a16="http://schemas.microsoft.com/office/drawing/2014/main" id="{BFA063DD-0E63-4BBA-8B02-66D2D4A0D38B}"/>
            </a:ext>
          </a:extLst>
        </xdr:cNvPr>
        <xdr:cNvSpPr txBox="1"/>
      </xdr:nvSpPr>
      <xdr:spPr>
        <a:xfrm>
          <a:off x="949687" y="31242000"/>
          <a:ext cx="2784865" cy="57765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pt-BR" sz="2000" b="1" baseline="0">
              <a:solidFill>
                <a:schemeClr val="accent3"/>
              </a:solidFill>
              <a:latin typeface="+mn-lt"/>
              <a:ea typeface="+mn-ea"/>
              <a:cs typeface="+mn-cs"/>
            </a:rPr>
            <a:t>RISCOS </a:t>
          </a:r>
        </a:p>
        <a:p>
          <a:r>
            <a:rPr lang="pt-BR" sz="1100">
              <a:solidFill>
                <a:schemeClr val="bg2"/>
              </a:solidFill>
            </a:rPr>
            <a:t>_____________________________________</a:t>
          </a:r>
        </a:p>
      </xdr:txBody>
    </xdr:sp>
    <xdr:clientData/>
  </xdr:oneCellAnchor>
  <xdr:twoCellAnchor>
    <xdr:from>
      <xdr:col>1</xdr:col>
      <xdr:colOff>593489</xdr:colOff>
      <xdr:row>167</xdr:row>
      <xdr:rowOff>103981</xdr:rowOff>
    </xdr:from>
    <xdr:to>
      <xdr:col>5</xdr:col>
      <xdr:colOff>293449</xdr:colOff>
      <xdr:row>170</xdr:row>
      <xdr:rowOff>68036</xdr:rowOff>
    </xdr:to>
    <xdr:grpSp>
      <xdr:nvGrpSpPr>
        <xdr:cNvPr id="56" name="Agrupar 55">
          <a:extLst>
            <a:ext uri="{FF2B5EF4-FFF2-40B4-BE49-F238E27FC236}">
              <a16:creationId xmlns:a16="http://schemas.microsoft.com/office/drawing/2014/main" id="{5C9B516E-ECAB-4EB5-9583-D184F6034A56}"/>
            </a:ext>
          </a:extLst>
        </xdr:cNvPr>
        <xdr:cNvGrpSpPr/>
      </xdr:nvGrpSpPr>
      <xdr:grpSpPr>
        <a:xfrm>
          <a:off x="970007" y="31641816"/>
          <a:ext cx="2210077" cy="501938"/>
          <a:chOff x="1009419" y="9590088"/>
          <a:chExt cx="2274885" cy="554037"/>
        </a:xfrm>
      </xdr:grpSpPr>
      <xdr:grpSp>
        <xdr:nvGrpSpPr>
          <xdr:cNvPr id="57" name="Agrupar 56">
            <a:extLst>
              <a:ext uri="{FF2B5EF4-FFF2-40B4-BE49-F238E27FC236}">
                <a16:creationId xmlns:a16="http://schemas.microsoft.com/office/drawing/2014/main" id="{E7BF575F-4E94-4690-A442-9039F9BF9C2D}"/>
              </a:ext>
            </a:extLst>
          </xdr:cNvPr>
          <xdr:cNvGrpSpPr/>
        </xdr:nvGrpSpPr>
        <xdr:grpSpPr>
          <a:xfrm>
            <a:off x="1009419" y="9590088"/>
            <a:ext cx="487762" cy="554037"/>
            <a:chOff x="1009419" y="9590088"/>
            <a:chExt cx="487762" cy="554037"/>
          </a:xfrm>
        </xdr:grpSpPr>
        <xdr:sp macro="" textlink="">
          <xdr:nvSpPr>
            <xdr:cNvPr id="64" name="Elipse 63">
              <a:extLst>
                <a:ext uri="{FF2B5EF4-FFF2-40B4-BE49-F238E27FC236}">
                  <a16:creationId xmlns:a16="http://schemas.microsoft.com/office/drawing/2014/main" id="{78FBDF31-F480-4861-B650-A50D0A2D243D}"/>
                </a:ext>
              </a:extLst>
            </xdr:cNvPr>
            <xdr:cNvSpPr/>
          </xdr:nvSpPr>
          <xdr:spPr>
            <a:xfrm>
              <a:off x="1145747" y="9590088"/>
              <a:ext cx="218281" cy="208756"/>
            </a:xfrm>
            <a:prstGeom prst="ellipse">
              <a:avLst/>
            </a:prstGeom>
            <a:solidFill>
              <a:srgbClr val="FF8989"/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pt-BR" sz="1100"/>
            </a:p>
          </xdr:txBody>
        </xdr:sp>
        <xdr:sp macro="" textlink="">
          <xdr:nvSpPr>
            <xdr:cNvPr id="65" name="CaixaDeTexto 64">
              <a:extLst>
                <a:ext uri="{FF2B5EF4-FFF2-40B4-BE49-F238E27FC236}">
                  <a16:creationId xmlns:a16="http://schemas.microsoft.com/office/drawing/2014/main" id="{EF6F73FD-3464-4DA2-B18E-3EDD261D55CB}"/>
                </a:ext>
              </a:extLst>
            </xdr:cNvPr>
            <xdr:cNvSpPr txBox="1"/>
          </xdr:nvSpPr>
          <xdr:spPr>
            <a:xfrm>
              <a:off x="1009419" y="9879565"/>
              <a:ext cx="487762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rtlCol="0" anchor="t">
              <a:spAutoFit/>
            </a:bodyPr>
            <a:lstStyle/>
            <a:p>
              <a:r>
                <a:rPr lang="pt-BR" sz="1100"/>
                <a:t>ALTO</a:t>
              </a:r>
            </a:p>
          </xdr:txBody>
        </xdr:sp>
      </xdr:grpSp>
      <xdr:grpSp>
        <xdr:nvGrpSpPr>
          <xdr:cNvPr id="58" name="Agrupar 57">
            <a:extLst>
              <a:ext uri="{FF2B5EF4-FFF2-40B4-BE49-F238E27FC236}">
                <a16:creationId xmlns:a16="http://schemas.microsoft.com/office/drawing/2014/main" id="{C36C1480-7496-4ABD-8899-22C605A8896C}"/>
              </a:ext>
            </a:extLst>
          </xdr:cNvPr>
          <xdr:cNvGrpSpPr/>
        </xdr:nvGrpSpPr>
        <xdr:grpSpPr>
          <a:xfrm>
            <a:off x="1821595" y="9593263"/>
            <a:ext cx="593080" cy="550862"/>
            <a:chOff x="1822051" y="9590088"/>
            <a:chExt cx="589905" cy="554037"/>
          </a:xfrm>
        </xdr:grpSpPr>
        <xdr:sp macro="" textlink="">
          <xdr:nvSpPr>
            <xdr:cNvPr id="62" name="Elipse 61">
              <a:extLst>
                <a:ext uri="{FF2B5EF4-FFF2-40B4-BE49-F238E27FC236}">
                  <a16:creationId xmlns:a16="http://schemas.microsoft.com/office/drawing/2014/main" id="{6EB25236-B6FA-4B41-AB51-E3770BC417EA}"/>
                </a:ext>
              </a:extLst>
            </xdr:cNvPr>
            <xdr:cNvSpPr/>
          </xdr:nvSpPr>
          <xdr:spPr>
            <a:xfrm>
              <a:off x="2020563" y="9590088"/>
              <a:ext cx="196056" cy="205581"/>
            </a:xfrm>
            <a:prstGeom prst="ellipse">
              <a:avLst/>
            </a:prstGeom>
            <a:solidFill>
              <a:srgbClr val="FFEBAB"/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marL="0" indent="0" algn="l"/>
              <a:endParaRPr lang="pt-BR" sz="1100">
                <a:solidFill>
                  <a:schemeClr val="lt1"/>
                </a:solidFill>
                <a:latin typeface="+mn-lt"/>
                <a:ea typeface="+mn-ea"/>
                <a:cs typeface="+mn-cs"/>
              </a:endParaRPr>
            </a:p>
          </xdr:txBody>
        </xdr:sp>
        <xdr:sp macro="" textlink="">
          <xdr:nvSpPr>
            <xdr:cNvPr id="63" name="CaixaDeTexto 62">
              <a:extLst>
                <a:ext uri="{FF2B5EF4-FFF2-40B4-BE49-F238E27FC236}">
                  <a16:creationId xmlns:a16="http://schemas.microsoft.com/office/drawing/2014/main" id="{F698010D-84B4-407E-ACDB-D9BDA276835C}"/>
                </a:ext>
              </a:extLst>
            </xdr:cNvPr>
            <xdr:cNvSpPr txBox="1"/>
          </xdr:nvSpPr>
          <xdr:spPr>
            <a:xfrm>
              <a:off x="1822051" y="9879565"/>
              <a:ext cx="589905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rtlCol="0" anchor="t">
              <a:spAutoFit/>
            </a:bodyPr>
            <a:lstStyle/>
            <a:p>
              <a:r>
                <a:rPr lang="pt-BR" sz="1100"/>
                <a:t>MÉDIO</a:t>
              </a:r>
            </a:p>
          </xdr:txBody>
        </xdr:sp>
      </xdr:grpSp>
      <xdr:grpSp>
        <xdr:nvGrpSpPr>
          <xdr:cNvPr id="59" name="Agrupar 58">
            <a:extLst>
              <a:ext uri="{FF2B5EF4-FFF2-40B4-BE49-F238E27FC236}">
                <a16:creationId xmlns:a16="http://schemas.microsoft.com/office/drawing/2014/main" id="{A419D109-05CC-4728-B684-974B1593D6FE}"/>
              </a:ext>
            </a:extLst>
          </xdr:cNvPr>
          <xdr:cNvGrpSpPr/>
        </xdr:nvGrpSpPr>
        <xdr:grpSpPr>
          <a:xfrm>
            <a:off x="2735915" y="9593263"/>
            <a:ext cx="551564" cy="550862"/>
            <a:chOff x="2564511" y="9590088"/>
            <a:chExt cx="545214" cy="554037"/>
          </a:xfrm>
        </xdr:grpSpPr>
        <xdr:sp macro="" textlink="">
          <xdr:nvSpPr>
            <xdr:cNvPr id="60" name="Elipse 59">
              <a:extLst>
                <a:ext uri="{FF2B5EF4-FFF2-40B4-BE49-F238E27FC236}">
                  <a16:creationId xmlns:a16="http://schemas.microsoft.com/office/drawing/2014/main" id="{78C53183-5511-4914-A2DC-FAC619BC3196}"/>
                </a:ext>
              </a:extLst>
            </xdr:cNvPr>
            <xdr:cNvSpPr/>
          </xdr:nvSpPr>
          <xdr:spPr>
            <a:xfrm>
              <a:off x="2739090" y="9590088"/>
              <a:ext cx="208756" cy="205581"/>
            </a:xfrm>
            <a:prstGeom prst="ellipse">
              <a:avLst/>
            </a:prstGeom>
            <a:solidFill>
              <a:srgbClr val="92D050"/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marL="0" indent="0" algn="l"/>
              <a:endParaRPr lang="pt-BR" sz="1100">
                <a:solidFill>
                  <a:schemeClr val="lt1"/>
                </a:solidFill>
                <a:latin typeface="+mn-lt"/>
                <a:ea typeface="+mn-ea"/>
                <a:cs typeface="+mn-cs"/>
              </a:endParaRPr>
            </a:p>
          </xdr:txBody>
        </xdr:sp>
        <xdr:sp macro="" textlink="">
          <xdr:nvSpPr>
            <xdr:cNvPr id="61" name="CaixaDeTexto 60">
              <a:extLst>
                <a:ext uri="{FF2B5EF4-FFF2-40B4-BE49-F238E27FC236}">
                  <a16:creationId xmlns:a16="http://schemas.microsoft.com/office/drawing/2014/main" id="{B534109C-D107-4CDA-86BA-DA6D7BD7C429}"/>
                </a:ext>
              </a:extLst>
            </xdr:cNvPr>
            <xdr:cNvSpPr txBox="1"/>
          </xdr:nvSpPr>
          <xdr:spPr>
            <a:xfrm>
              <a:off x="2564511" y="9879565"/>
              <a:ext cx="545214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rtlCol="0" anchor="t">
              <a:spAutoFit/>
            </a:bodyPr>
            <a:lstStyle/>
            <a:p>
              <a:r>
                <a:rPr lang="pt-BR" sz="1100"/>
                <a:t>BAIXO</a:t>
              </a:r>
            </a:p>
          </xdr:txBody>
        </xdr:sp>
      </xdr:grpSp>
    </xdr:grpSp>
    <xdr:clientData/>
  </xdr:twoCellAnchor>
  <xdr:twoCellAnchor>
    <xdr:from>
      <xdr:col>7</xdr:col>
      <xdr:colOff>445624</xdr:colOff>
      <xdr:row>129</xdr:row>
      <xdr:rowOff>49099</xdr:rowOff>
    </xdr:from>
    <xdr:to>
      <xdr:col>7</xdr:col>
      <xdr:colOff>590607</xdr:colOff>
      <xdr:row>129</xdr:row>
      <xdr:rowOff>190204</xdr:rowOff>
    </xdr:to>
    <xdr:sp macro="" textlink="">
      <xdr:nvSpPr>
        <xdr:cNvPr id="66" name="Elipse 65">
          <a:extLst>
            <a:ext uri="{FF2B5EF4-FFF2-40B4-BE49-F238E27FC236}">
              <a16:creationId xmlns:a16="http://schemas.microsoft.com/office/drawing/2014/main" id="{48C296EE-D259-453A-A24D-C225B63EC762}"/>
            </a:ext>
          </a:extLst>
        </xdr:cNvPr>
        <xdr:cNvSpPr/>
      </xdr:nvSpPr>
      <xdr:spPr>
        <a:xfrm>
          <a:off x="4712824" y="24623599"/>
          <a:ext cx="144983" cy="141105"/>
        </a:xfrm>
        <a:prstGeom prst="ellipse">
          <a:avLst/>
        </a:prstGeom>
        <a:solidFill>
          <a:srgbClr val="00B0F0">
            <a:alpha val="40000"/>
          </a:srgb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7</xdr:col>
      <xdr:colOff>451974</xdr:colOff>
      <xdr:row>131</xdr:row>
      <xdr:rowOff>16656</xdr:rowOff>
    </xdr:from>
    <xdr:to>
      <xdr:col>7</xdr:col>
      <xdr:colOff>592137</xdr:colOff>
      <xdr:row>131</xdr:row>
      <xdr:rowOff>157761</xdr:rowOff>
    </xdr:to>
    <xdr:sp macro="" textlink="">
      <xdr:nvSpPr>
        <xdr:cNvPr id="67" name="Elipse 66">
          <a:extLst>
            <a:ext uri="{FF2B5EF4-FFF2-40B4-BE49-F238E27FC236}">
              <a16:creationId xmlns:a16="http://schemas.microsoft.com/office/drawing/2014/main" id="{0B57A7FD-3C6A-40A0-BE6C-16A2C58607FA}"/>
            </a:ext>
          </a:extLst>
        </xdr:cNvPr>
        <xdr:cNvSpPr/>
      </xdr:nvSpPr>
      <xdr:spPr>
        <a:xfrm>
          <a:off x="4719174" y="24972156"/>
          <a:ext cx="140163" cy="141105"/>
        </a:xfrm>
        <a:prstGeom prst="ellipse">
          <a:avLst/>
        </a:prstGeom>
        <a:solidFill>
          <a:srgbClr val="7030A0">
            <a:alpha val="70000"/>
          </a:srgb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7</xdr:col>
      <xdr:colOff>451974</xdr:colOff>
      <xdr:row>133</xdr:row>
      <xdr:rowOff>98513</xdr:rowOff>
    </xdr:from>
    <xdr:to>
      <xdr:col>7</xdr:col>
      <xdr:colOff>592137</xdr:colOff>
      <xdr:row>134</xdr:row>
      <xdr:rowOff>49119</xdr:rowOff>
    </xdr:to>
    <xdr:sp macro="" textlink="">
      <xdr:nvSpPr>
        <xdr:cNvPr id="68" name="Elipse 67">
          <a:extLst>
            <a:ext uri="{FF2B5EF4-FFF2-40B4-BE49-F238E27FC236}">
              <a16:creationId xmlns:a16="http://schemas.microsoft.com/office/drawing/2014/main" id="{77D2FB57-9EBF-4863-AB49-12F0D4EA937C}"/>
            </a:ext>
          </a:extLst>
        </xdr:cNvPr>
        <xdr:cNvSpPr/>
      </xdr:nvSpPr>
      <xdr:spPr>
        <a:xfrm>
          <a:off x="4719174" y="25435013"/>
          <a:ext cx="140163" cy="141106"/>
        </a:xfrm>
        <a:prstGeom prst="ellipse">
          <a:avLst/>
        </a:prstGeom>
        <a:solidFill>
          <a:srgbClr val="FF5757">
            <a:alpha val="40000"/>
          </a:srgb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7</xdr:col>
      <xdr:colOff>451974</xdr:colOff>
      <xdr:row>135</xdr:row>
      <xdr:rowOff>180371</xdr:rowOff>
    </xdr:from>
    <xdr:to>
      <xdr:col>7</xdr:col>
      <xdr:colOff>592137</xdr:colOff>
      <xdr:row>136</xdr:row>
      <xdr:rowOff>137408</xdr:rowOff>
    </xdr:to>
    <xdr:sp macro="" textlink="">
      <xdr:nvSpPr>
        <xdr:cNvPr id="69" name="Elipse 68">
          <a:extLst>
            <a:ext uri="{FF2B5EF4-FFF2-40B4-BE49-F238E27FC236}">
              <a16:creationId xmlns:a16="http://schemas.microsoft.com/office/drawing/2014/main" id="{F0C6D0D6-F6A6-4FB5-830F-05213DFE77E5}"/>
            </a:ext>
          </a:extLst>
        </xdr:cNvPr>
        <xdr:cNvSpPr/>
      </xdr:nvSpPr>
      <xdr:spPr>
        <a:xfrm>
          <a:off x="4719174" y="25897871"/>
          <a:ext cx="140163" cy="147537"/>
        </a:xfrm>
        <a:prstGeom prst="ellipse">
          <a:avLst/>
        </a:prstGeom>
        <a:solidFill>
          <a:srgbClr val="FF5757">
            <a:alpha val="60000"/>
          </a:srgb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7</xdr:col>
      <xdr:colOff>451974</xdr:colOff>
      <xdr:row>137</xdr:row>
      <xdr:rowOff>182935</xdr:rowOff>
    </xdr:from>
    <xdr:to>
      <xdr:col>7</xdr:col>
      <xdr:colOff>592137</xdr:colOff>
      <xdr:row>138</xdr:row>
      <xdr:rowOff>137828</xdr:rowOff>
    </xdr:to>
    <xdr:sp macro="" textlink="">
      <xdr:nvSpPr>
        <xdr:cNvPr id="70" name="Elipse 69">
          <a:extLst>
            <a:ext uri="{FF2B5EF4-FFF2-40B4-BE49-F238E27FC236}">
              <a16:creationId xmlns:a16="http://schemas.microsoft.com/office/drawing/2014/main" id="{34775CF0-7EC7-4C3B-9D60-BFC0DB14EB9C}"/>
            </a:ext>
          </a:extLst>
        </xdr:cNvPr>
        <xdr:cNvSpPr/>
      </xdr:nvSpPr>
      <xdr:spPr>
        <a:xfrm>
          <a:off x="4719174" y="26281435"/>
          <a:ext cx="140163" cy="145393"/>
        </a:xfrm>
        <a:prstGeom prst="ellipse">
          <a:avLst/>
        </a:prstGeom>
        <a:solidFill>
          <a:srgbClr val="FF5757">
            <a:alpha val="80000"/>
          </a:srgb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7</xdr:col>
      <xdr:colOff>450387</xdr:colOff>
      <xdr:row>139</xdr:row>
      <xdr:rowOff>183357</xdr:rowOff>
    </xdr:from>
    <xdr:to>
      <xdr:col>7</xdr:col>
      <xdr:colOff>590550</xdr:colOff>
      <xdr:row>140</xdr:row>
      <xdr:rowOff>133350</xdr:rowOff>
    </xdr:to>
    <xdr:sp macro="" textlink="">
      <xdr:nvSpPr>
        <xdr:cNvPr id="71" name="Elipse 70">
          <a:extLst>
            <a:ext uri="{FF2B5EF4-FFF2-40B4-BE49-F238E27FC236}">
              <a16:creationId xmlns:a16="http://schemas.microsoft.com/office/drawing/2014/main" id="{99BE5D54-9FFA-45D6-A583-E0EFB854F031}"/>
            </a:ext>
          </a:extLst>
        </xdr:cNvPr>
        <xdr:cNvSpPr/>
      </xdr:nvSpPr>
      <xdr:spPr>
        <a:xfrm>
          <a:off x="4717587" y="26662857"/>
          <a:ext cx="140163" cy="140493"/>
        </a:xfrm>
        <a:prstGeom prst="ellipse">
          <a:avLst/>
        </a:prstGeom>
        <a:solidFill>
          <a:srgbClr val="FF5757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7</xdr:col>
      <xdr:colOff>2499</xdr:colOff>
      <xdr:row>44</xdr:row>
      <xdr:rowOff>124707</xdr:rowOff>
    </xdr:from>
    <xdr:to>
      <xdr:col>11</xdr:col>
      <xdr:colOff>503739</xdr:colOff>
      <xdr:row>60</xdr:row>
      <xdr:rowOff>87188</xdr:rowOff>
    </xdr:to>
    <xdr:grpSp>
      <xdr:nvGrpSpPr>
        <xdr:cNvPr id="72" name="Agrupar 71">
          <a:extLst>
            <a:ext uri="{FF2B5EF4-FFF2-40B4-BE49-F238E27FC236}">
              <a16:creationId xmlns:a16="http://schemas.microsoft.com/office/drawing/2014/main" id="{B87CF844-56FB-4EE3-A5C7-AF4CD92DC2C4}"/>
            </a:ext>
          </a:extLst>
        </xdr:cNvPr>
        <xdr:cNvGrpSpPr/>
      </xdr:nvGrpSpPr>
      <xdr:grpSpPr>
        <a:xfrm>
          <a:off x="4144193" y="8488778"/>
          <a:ext cx="3011358" cy="2831186"/>
          <a:chOff x="7678940" y="18106159"/>
          <a:chExt cx="2919600" cy="3010481"/>
        </a:xfrm>
      </xdr:grpSpPr>
      <xdr:sp macro="" textlink="">
        <xdr:nvSpPr>
          <xdr:cNvPr id="73" name="Retângulo: Cantos Arredondados 72">
            <a:extLst>
              <a:ext uri="{FF2B5EF4-FFF2-40B4-BE49-F238E27FC236}">
                <a16:creationId xmlns:a16="http://schemas.microsoft.com/office/drawing/2014/main" id="{AF336208-F399-4DDD-88D3-A3C69BF5E125}"/>
              </a:ext>
            </a:extLst>
          </xdr:cNvPr>
          <xdr:cNvSpPr/>
        </xdr:nvSpPr>
        <xdr:spPr>
          <a:xfrm>
            <a:off x="7678940" y="18106159"/>
            <a:ext cx="2919600" cy="3010481"/>
          </a:xfrm>
          <a:prstGeom prst="roundRect">
            <a:avLst/>
          </a:prstGeom>
          <a:solidFill>
            <a:schemeClr val="bg1"/>
          </a:solidFill>
          <a:ln>
            <a:solidFill>
              <a:schemeClr val="bg2"/>
            </a:solidFill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square" rtlCol="0" anchor="t">
            <a:noAutofit/>
          </a:bodyPr>
          <a:lstStyle/>
          <a:p>
            <a:pPr algn="ctr"/>
            <a:endParaRPr lang="pt-BR" sz="2000" b="1" baseline="0">
              <a:solidFill>
                <a:srgbClr val="0070C0"/>
              </a:solidFill>
              <a:latin typeface="+mn-lt"/>
              <a:ea typeface="+mn-ea"/>
              <a:cs typeface="+mn-cs"/>
            </a:endParaRPr>
          </a:p>
          <a:p>
            <a:pPr algn="ctr"/>
            <a:endParaRPr lang="pt-BR" sz="2000" b="1" baseline="0">
              <a:solidFill>
                <a:srgbClr val="0070C0"/>
              </a:solidFill>
              <a:latin typeface="+mn-lt"/>
              <a:ea typeface="+mn-ea"/>
              <a:cs typeface="+mn-cs"/>
            </a:endParaRPr>
          </a:p>
        </xdr:txBody>
      </xdr:sp>
      <mc:AlternateContent xmlns:mc="http://schemas.openxmlformats.org/markup-compatibility/2006">
        <mc:Choice xmlns:cx1="http://schemas.microsoft.com/office/drawing/2015/9/8/chartex" Requires="cx1">
          <xdr:graphicFrame macro="">
            <xdr:nvGraphicFramePr>
              <xdr:cNvPr id="74" name="Gráfico 73">
                <a:extLst>
                  <a:ext uri="{FF2B5EF4-FFF2-40B4-BE49-F238E27FC236}">
                    <a16:creationId xmlns:a16="http://schemas.microsoft.com/office/drawing/2014/main" id="{CB516018-699C-4347-883A-98D432A5A097}"/>
                  </a:ext>
                </a:extLst>
              </xdr:cNvPr>
              <xdr:cNvGraphicFramePr/>
            </xdr:nvGraphicFramePr>
            <xdr:xfrm>
              <a:off x="7880832" y="18260664"/>
              <a:ext cx="2516471" cy="2701471"/>
            </xdr:xfrm>
            <a:graphic>
              <a:graphicData uri="http://schemas.microsoft.com/office/drawing/2014/chartex">
                <cx:chart xmlns:cx="http://schemas.microsoft.com/office/drawing/2014/chartex" xmlns:r="http://schemas.openxmlformats.org/officeDocument/2006/relationships" r:id="rId18"/>
              </a:graphicData>
            </a:graphic>
          </xdr:graphicFrame>
        </mc:Choice>
        <mc:Fallback>
          <xdr:sp macro="" textlink="">
            <xdr:nvSpPr>
              <xdr:cNvPr id="0" name=""/>
              <xdr:cNvSpPr>
                <a:spLocks noTextEdit="1"/>
              </xdr:cNvSpPr>
            </xdr:nvSpPr>
            <xdr:spPr>
              <a:xfrm>
                <a:off x="7880832" y="18260664"/>
                <a:ext cx="2516471" cy="2701471"/>
              </a:xfrm>
              <a:prstGeom prst="rect">
                <a:avLst/>
              </a:prstGeom>
              <a:solidFill>
                <a:prstClr val="white"/>
              </a:solidFill>
              <a:ln w="1">
                <a:solidFill>
                  <a:prstClr val="green"/>
                </a:solidFill>
              </a:ln>
            </xdr:spPr>
            <xdr:txBody>
              <a:bodyPr vertOverflow="clip" horzOverflow="clip"/>
              <a:lstStyle/>
              <a:p>
                <a:r>
                  <a:rPr lang="pt-BR" sz="1100"/>
                  <a:t>Este gráfico não está disponível na sua versão de Excel.
Editar esta forma ou salvar esta pasta de trabalho em um formato de arquivo diferente quebrará o gráfico permanentemente.</a:t>
                </a:r>
              </a:p>
            </xdr:txBody>
          </xdr:sp>
        </mc:Fallback>
      </mc:AlternateContent>
    </xdr:grpSp>
    <xdr:clientData/>
  </xdr:twoCellAnchor>
  <xdr:twoCellAnchor>
    <xdr:from>
      <xdr:col>12</xdr:col>
      <xdr:colOff>379926</xdr:colOff>
      <xdr:row>44</xdr:row>
      <xdr:rowOff>87188</xdr:rowOff>
    </xdr:from>
    <xdr:to>
      <xdr:col>17</xdr:col>
      <xdr:colOff>268843</xdr:colOff>
      <xdr:row>60</xdr:row>
      <xdr:rowOff>49669</xdr:rowOff>
    </xdr:to>
    <xdr:grpSp>
      <xdr:nvGrpSpPr>
        <xdr:cNvPr id="75" name="Agrupar 74">
          <a:extLst>
            <a:ext uri="{FF2B5EF4-FFF2-40B4-BE49-F238E27FC236}">
              <a16:creationId xmlns:a16="http://schemas.microsoft.com/office/drawing/2014/main" id="{B87B149B-0029-46D4-A28C-C28941D64F5E}"/>
            </a:ext>
          </a:extLst>
        </xdr:cNvPr>
        <xdr:cNvGrpSpPr/>
      </xdr:nvGrpSpPr>
      <xdr:grpSpPr>
        <a:xfrm>
          <a:off x="7659267" y="8451259"/>
          <a:ext cx="3026564" cy="2831186"/>
          <a:chOff x="10886515" y="18092552"/>
          <a:chExt cx="2919600" cy="3010481"/>
        </a:xfrm>
      </xdr:grpSpPr>
      <xdr:sp macro="" textlink="">
        <xdr:nvSpPr>
          <xdr:cNvPr id="76" name="Retângulo: Cantos Arredondados 75">
            <a:extLst>
              <a:ext uri="{FF2B5EF4-FFF2-40B4-BE49-F238E27FC236}">
                <a16:creationId xmlns:a16="http://schemas.microsoft.com/office/drawing/2014/main" id="{B5A563E5-0A42-40E5-BF15-361506261C0A}"/>
              </a:ext>
            </a:extLst>
          </xdr:cNvPr>
          <xdr:cNvSpPr/>
        </xdr:nvSpPr>
        <xdr:spPr>
          <a:xfrm>
            <a:off x="10886515" y="18092552"/>
            <a:ext cx="2919600" cy="3010481"/>
          </a:xfrm>
          <a:prstGeom prst="roundRect">
            <a:avLst/>
          </a:prstGeom>
          <a:solidFill>
            <a:schemeClr val="bg1"/>
          </a:solidFill>
          <a:ln>
            <a:solidFill>
              <a:schemeClr val="bg2"/>
            </a:solidFill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square" rtlCol="0" anchor="t">
            <a:noAutofit/>
          </a:bodyPr>
          <a:lstStyle/>
          <a:p>
            <a:pPr algn="ctr"/>
            <a:endParaRPr lang="pt-BR" sz="2000" b="1" baseline="0">
              <a:solidFill>
                <a:srgbClr val="0070C0"/>
              </a:solidFill>
              <a:latin typeface="+mn-lt"/>
              <a:ea typeface="+mn-ea"/>
              <a:cs typeface="+mn-cs"/>
            </a:endParaRPr>
          </a:p>
          <a:p>
            <a:pPr algn="ctr"/>
            <a:endParaRPr lang="pt-BR" sz="2000" b="1" baseline="0">
              <a:solidFill>
                <a:srgbClr val="0070C0"/>
              </a:solidFill>
              <a:latin typeface="+mn-lt"/>
              <a:ea typeface="+mn-ea"/>
              <a:cs typeface="+mn-cs"/>
            </a:endParaRPr>
          </a:p>
        </xdr:txBody>
      </xdr:sp>
      <mc:AlternateContent xmlns:mc="http://schemas.openxmlformats.org/markup-compatibility/2006">
        <mc:Choice xmlns:cx1="http://schemas.microsoft.com/office/drawing/2015/9/8/chartex" Requires="cx1">
          <xdr:graphicFrame macro="">
            <xdr:nvGraphicFramePr>
              <xdr:cNvPr id="77" name="Gráfico 76">
                <a:extLst>
                  <a:ext uri="{FF2B5EF4-FFF2-40B4-BE49-F238E27FC236}">
                    <a16:creationId xmlns:a16="http://schemas.microsoft.com/office/drawing/2014/main" id="{C58A7169-720D-444B-9CA7-57122CC1F1B9}"/>
                  </a:ext>
                </a:extLst>
              </xdr:cNvPr>
              <xdr:cNvGraphicFramePr/>
            </xdr:nvGraphicFramePr>
            <xdr:xfrm>
              <a:off x="11081203" y="18247057"/>
              <a:ext cx="2516470" cy="2701471"/>
            </xdr:xfrm>
            <a:graphic>
              <a:graphicData uri="http://schemas.microsoft.com/office/drawing/2014/chartex">
                <cx:chart xmlns:cx="http://schemas.microsoft.com/office/drawing/2014/chartex" xmlns:r="http://schemas.openxmlformats.org/officeDocument/2006/relationships" r:id="rId19"/>
              </a:graphicData>
            </a:graphic>
          </xdr:graphicFrame>
        </mc:Choice>
        <mc:Fallback>
          <xdr:sp macro="" textlink="">
            <xdr:nvSpPr>
              <xdr:cNvPr id="0" name=""/>
              <xdr:cNvSpPr>
                <a:spLocks noTextEdit="1"/>
              </xdr:cNvSpPr>
            </xdr:nvSpPr>
            <xdr:spPr>
              <a:xfrm>
                <a:off x="11081203" y="18247057"/>
                <a:ext cx="2516470" cy="2701471"/>
              </a:xfrm>
              <a:prstGeom prst="rect">
                <a:avLst/>
              </a:prstGeom>
              <a:solidFill>
                <a:prstClr val="white"/>
              </a:solidFill>
              <a:ln w="1">
                <a:solidFill>
                  <a:prstClr val="green"/>
                </a:solidFill>
              </a:ln>
            </xdr:spPr>
            <xdr:txBody>
              <a:bodyPr vertOverflow="clip" horzOverflow="clip"/>
              <a:lstStyle/>
              <a:p>
                <a:r>
                  <a:rPr lang="pt-BR" sz="1100"/>
                  <a:t>Este gráfico não está disponível na sua versão de Excel.
Editar esta forma ou salvar esta pasta de trabalho em um formato de arquivo diferente quebrará o gráfico permanentemente.</a:t>
                </a:r>
              </a:p>
            </xdr:txBody>
          </xdr:sp>
        </mc:Fallback>
      </mc:AlternateContent>
    </xdr:grpSp>
    <xdr:clientData/>
  </xdr:twoCellAnchor>
  <xdr:twoCellAnchor>
    <xdr:from>
      <xdr:col>7</xdr:col>
      <xdr:colOff>2499</xdr:colOff>
      <xdr:row>64</xdr:row>
      <xdr:rowOff>10793</xdr:rowOff>
    </xdr:from>
    <xdr:to>
      <xdr:col>11</xdr:col>
      <xdr:colOff>504393</xdr:colOff>
      <xdr:row>79</xdr:row>
      <xdr:rowOff>163774</xdr:rowOff>
    </xdr:to>
    <xdr:grpSp>
      <xdr:nvGrpSpPr>
        <xdr:cNvPr id="78" name="Agrupar 77">
          <a:extLst>
            <a:ext uri="{FF2B5EF4-FFF2-40B4-BE49-F238E27FC236}">
              <a16:creationId xmlns:a16="http://schemas.microsoft.com/office/drawing/2014/main" id="{6852DC1E-C11C-4F07-81B6-C5454D50B5A9}"/>
            </a:ext>
          </a:extLst>
        </xdr:cNvPr>
        <xdr:cNvGrpSpPr/>
      </xdr:nvGrpSpPr>
      <xdr:grpSpPr>
        <a:xfrm>
          <a:off x="4144193" y="11960746"/>
          <a:ext cx="3012012" cy="2842393"/>
          <a:chOff x="7664532" y="14051230"/>
          <a:chExt cx="2920255" cy="3010481"/>
        </a:xfrm>
      </xdr:grpSpPr>
      <xdr:sp macro="" textlink="">
        <xdr:nvSpPr>
          <xdr:cNvPr id="79" name="Retângulo: Cantos Arredondados 78">
            <a:extLst>
              <a:ext uri="{FF2B5EF4-FFF2-40B4-BE49-F238E27FC236}">
                <a16:creationId xmlns:a16="http://schemas.microsoft.com/office/drawing/2014/main" id="{DA30F9DC-D338-421F-8A94-8D48B601D95A}"/>
              </a:ext>
            </a:extLst>
          </xdr:cNvPr>
          <xdr:cNvSpPr/>
        </xdr:nvSpPr>
        <xdr:spPr>
          <a:xfrm>
            <a:off x="7664532" y="14051230"/>
            <a:ext cx="2920255" cy="3010481"/>
          </a:xfrm>
          <a:prstGeom prst="roundRect">
            <a:avLst/>
          </a:prstGeom>
          <a:solidFill>
            <a:schemeClr val="bg1"/>
          </a:solidFill>
          <a:ln>
            <a:solidFill>
              <a:schemeClr val="bg2"/>
            </a:solidFill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square" rtlCol="0" anchor="t">
            <a:noAutofit/>
          </a:bodyPr>
          <a:lstStyle/>
          <a:p>
            <a:pPr algn="ctr"/>
            <a:endParaRPr lang="pt-BR" sz="2000" b="1" baseline="0">
              <a:solidFill>
                <a:srgbClr val="0070C0"/>
              </a:solidFill>
              <a:latin typeface="+mn-lt"/>
              <a:ea typeface="+mn-ea"/>
              <a:cs typeface="+mn-cs"/>
            </a:endParaRPr>
          </a:p>
          <a:p>
            <a:pPr algn="ctr"/>
            <a:endParaRPr lang="pt-BR" sz="2000" b="1" baseline="0">
              <a:solidFill>
                <a:srgbClr val="0070C0"/>
              </a:solidFill>
              <a:latin typeface="+mn-lt"/>
              <a:ea typeface="+mn-ea"/>
              <a:cs typeface="+mn-cs"/>
            </a:endParaRPr>
          </a:p>
        </xdr:txBody>
      </xdr:sp>
      <mc:AlternateContent xmlns:mc="http://schemas.openxmlformats.org/markup-compatibility/2006">
        <mc:Choice xmlns:cx1="http://schemas.microsoft.com/office/drawing/2015/9/8/chartex" Requires="cx1">
          <xdr:graphicFrame macro="">
            <xdr:nvGraphicFramePr>
              <xdr:cNvPr id="80" name="Gráfico 79">
                <a:extLst>
                  <a:ext uri="{FF2B5EF4-FFF2-40B4-BE49-F238E27FC236}">
                    <a16:creationId xmlns:a16="http://schemas.microsoft.com/office/drawing/2014/main" id="{D27AA6B0-4D8F-4E38-BB9D-DCDD241B404C}"/>
                  </a:ext>
                </a:extLst>
              </xdr:cNvPr>
              <xdr:cNvGraphicFramePr/>
            </xdr:nvGraphicFramePr>
            <xdr:xfrm>
              <a:off x="7866423" y="14205735"/>
              <a:ext cx="2516472" cy="2701471"/>
            </xdr:xfrm>
            <a:graphic>
              <a:graphicData uri="http://schemas.microsoft.com/office/drawing/2014/chartex">
                <cx:chart xmlns:cx="http://schemas.microsoft.com/office/drawing/2014/chartex" xmlns:r="http://schemas.openxmlformats.org/officeDocument/2006/relationships" r:id="rId20"/>
              </a:graphicData>
            </a:graphic>
          </xdr:graphicFrame>
        </mc:Choice>
        <mc:Fallback>
          <xdr:sp macro="" textlink="">
            <xdr:nvSpPr>
              <xdr:cNvPr id="0" name=""/>
              <xdr:cNvSpPr>
                <a:spLocks noTextEdit="1"/>
              </xdr:cNvSpPr>
            </xdr:nvSpPr>
            <xdr:spPr>
              <a:xfrm>
                <a:off x="7866423" y="14205735"/>
                <a:ext cx="2516472" cy="2701471"/>
              </a:xfrm>
              <a:prstGeom prst="rect">
                <a:avLst/>
              </a:prstGeom>
              <a:solidFill>
                <a:prstClr val="white"/>
              </a:solidFill>
              <a:ln w="1">
                <a:solidFill>
                  <a:prstClr val="green"/>
                </a:solidFill>
              </a:ln>
            </xdr:spPr>
            <xdr:txBody>
              <a:bodyPr vertOverflow="clip" horzOverflow="clip"/>
              <a:lstStyle/>
              <a:p>
                <a:r>
                  <a:rPr lang="pt-BR" sz="1100"/>
                  <a:t>Este gráfico não está disponível na sua versão de Excel.
Editar esta forma ou salvar esta pasta de trabalho em um formato de arquivo diferente quebrará o gráfico permanentemente.</a:t>
                </a:r>
              </a:p>
            </xdr:txBody>
          </xdr:sp>
        </mc:Fallback>
      </mc:AlternateContent>
    </xdr:grpSp>
    <xdr:clientData/>
  </xdr:twoCellAnchor>
  <xdr:twoCellAnchor>
    <xdr:from>
      <xdr:col>12</xdr:col>
      <xdr:colOff>379926</xdr:colOff>
      <xdr:row>64</xdr:row>
      <xdr:rowOff>10793</xdr:rowOff>
    </xdr:from>
    <xdr:to>
      <xdr:col>17</xdr:col>
      <xdr:colOff>263314</xdr:colOff>
      <xdr:row>79</xdr:row>
      <xdr:rowOff>163774</xdr:rowOff>
    </xdr:to>
    <xdr:grpSp>
      <xdr:nvGrpSpPr>
        <xdr:cNvPr id="81" name="Agrupar 80">
          <a:extLst>
            <a:ext uri="{FF2B5EF4-FFF2-40B4-BE49-F238E27FC236}">
              <a16:creationId xmlns:a16="http://schemas.microsoft.com/office/drawing/2014/main" id="{005496A0-7EE4-4B4F-81D9-8297D08813EB}"/>
            </a:ext>
          </a:extLst>
        </xdr:cNvPr>
        <xdr:cNvGrpSpPr/>
      </xdr:nvGrpSpPr>
      <xdr:grpSpPr>
        <a:xfrm>
          <a:off x="7659267" y="11960746"/>
          <a:ext cx="3021035" cy="2842393"/>
          <a:chOff x="10804071" y="14024016"/>
          <a:chExt cx="2914070" cy="3010481"/>
        </a:xfrm>
      </xdr:grpSpPr>
      <xdr:sp macro="" textlink="">
        <xdr:nvSpPr>
          <xdr:cNvPr id="82" name="Retângulo: Cantos Arredondados 81">
            <a:extLst>
              <a:ext uri="{FF2B5EF4-FFF2-40B4-BE49-F238E27FC236}">
                <a16:creationId xmlns:a16="http://schemas.microsoft.com/office/drawing/2014/main" id="{0AB4D369-CD12-4805-AE58-875C6EEED7C2}"/>
              </a:ext>
            </a:extLst>
          </xdr:cNvPr>
          <xdr:cNvSpPr/>
        </xdr:nvSpPr>
        <xdr:spPr>
          <a:xfrm>
            <a:off x="10804071" y="14024016"/>
            <a:ext cx="2914070" cy="3010481"/>
          </a:xfrm>
          <a:prstGeom prst="roundRect">
            <a:avLst/>
          </a:prstGeom>
          <a:solidFill>
            <a:schemeClr val="bg1"/>
          </a:solidFill>
          <a:ln>
            <a:solidFill>
              <a:schemeClr val="bg2"/>
            </a:solidFill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square" rtlCol="0" anchor="t">
            <a:noAutofit/>
          </a:bodyPr>
          <a:lstStyle/>
          <a:p>
            <a:pPr algn="ctr"/>
            <a:endParaRPr lang="pt-BR" sz="2000" b="1" baseline="0">
              <a:solidFill>
                <a:srgbClr val="0070C0"/>
              </a:solidFill>
              <a:latin typeface="+mn-lt"/>
              <a:ea typeface="+mn-ea"/>
              <a:cs typeface="+mn-cs"/>
            </a:endParaRPr>
          </a:p>
          <a:p>
            <a:pPr algn="ctr"/>
            <a:endParaRPr lang="pt-BR" sz="2000" b="1" baseline="0">
              <a:solidFill>
                <a:srgbClr val="0070C0"/>
              </a:solidFill>
              <a:latin typeface="+mn-lt"/>
              <a:ea typeface="+mn-ea"/>
              <a:cs typeface="+mn-cs"/>
            </a:endParaRPr>
          </a:p>
        </xdr:txBody>
      </xdr:sp>
      <mc:AlternateContent xmlns:mc="http://schemas.openxmlformats.org/markup-compatibility/2006">
        <mc:Choice xmlns:cx1="http://schemas.microsoft.com/office/drawing/2015/9/8/chartex" Requires="cx1">
          <xdr:graphicFrame macro="">
            <xdr:nvGraphicFramePr>
              <xdr:cNvPr id="83" name="Gráfico 82">
                <a:extLst>
                  <a:ext uri="{FF2B5EF4-FFF2-40B4-BE49-F238E27FC236}">
                    <a16:creationId xmlns:a16="http://schemas.microsoft.com/office/drawing/2014/main" id="{72C064F3-1AE2-45A7-BC4B-A2F7254369B4}"/>
                  </a:ext>
                </a:extLst>
              </xdr:cNvPr>
              <xdr:cNvGraphicFramePr/>
            </xdr:nvGraphicFramePr>
            <xdr:xfrm>
              <a:off x="11005962" y="14178521"/>
              <a:ext cx="2516471" cy="2701471"/>
            </xdr:xfrm>
            <a:graphic>
              <a:graphicData uri="http://schemas.microsoft.com/office/drawing/2014/chartex">
                <cx:chart xmlns:cx="http://schemas.microsoft.com/office/drawing/2014/chartex" xmlns:r="http://schemas.openxmlformats.org/officeDocument/2006/relationships" r:id="rId21"/>
              </a:graphicData>
            </a:graphic>
          </xdr:graphicFrame>
        </mc:Choice>
        <mc:Fallback>
          <xdr:sp macro="" textlink="">
            <xdr:nvSpPr>
              <xdr:cNvPr id="0" name=""/>
              <xdr:cNvSpPr>
                <a:spLocks noTextEdit="1"/>
              </xdr:cNvSpPr>
            </xdr:nvSpPr>
            <xdr:spPr>
              <a:xfrm>
                <a:off x="11005962" y="14178521"/>
                <a:ext cx="2516471" cy="2701471"/>
              </a:xfrm>
              <a:prstGeom prst="rect">
                <a:avLst/>
              </a:prstGeom>
              <a:solidFill>
                <a:prstClr val="white"/>
              </a:solidFill>
              <a:ln w="1">
                <a:solidFill>
                  <a:prstClr val="green"/>
                </a:solidFill>
              </a:ln>
            </xdr:spPr>
            <xdr:txBody>
              <a:bodyPr vertOverflow="clip" horzOverflow="clip"/>
              <a:lstStyle/>
              <a:p>
                <a:r>
                  <a:rPr lang="pt-BR" sz="1100"/>
                  <a:t>Este gráfico não está disponível na sua versão de Excel.
Editar esta forma ou salvar esta pasta de trabalho em um formato de arquivo diferente quebrará o gráfico permanentemente.</a:t>
                </a:r>
              </a:p>
            </xdr:txBody>
          </xdr:sp>
        </mc:Fallback>
      </mc:AlternateContent>
    </xdr:grpSp>
    <xdr:clientData/>
  </xdr:twoCellAnchor>
  <xdr:twoCellAnchor>
    <xdr:from>
      <xdr:col>1</xdr:col>
      <xdr:colOff>411609</xdr:colOff>
      <xdr:row>19</xdr:row>
      <xdr:rowOff>156029</xdr:rowOff>
    </xdr:from>
    <xdr:to>
      <xdr:col>5</xdr:col>
      <xdr:colOff>503537</xdr:colOff>
      <xdr:row>34</xdr:row>
      <xdr:rowOff>0</xdr:rowOff>
    </xdr:to>
    <xdr:graphicFrame macro="">
      <xdr:nvGraphicFramePr>
        <xdr:cNvPr id="84" name="Gráfico 83">
          <a:extLst>
            <a:ext uri="{FF2B5EF4-FFF2-40B4-BE49-F238E27FC236}">
              <a16:creationId xmlns:a16="http://schemas.microsoft.com/office/drawing/2014/main" id="{E7B5836E-3163-4F1D-9E1C-5F4E6DF54DE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12</xdr:col>
      <xdr:colOff>546939</xdr:colOff>
      <xdr:row>19</xdr:row>
      <xdr:rowOff>156029</xdr:rowOff>
    </xdr:from>
    <xdr:to>
      <xdr:col>17</xdr:col>
      <xdr:colOff>33748</xdr:colOff>
      <xdr:row>34</xdr:row>
      <xdr:rowOff>0</xdr:rowOff>
    </xdr:to>
    <xdr:graphicFrame macro="">
      <xdr:nvGraphicFramePr>
        <xdr:cNvPr id="85" name="Gráfico 84">
          <a:extLst>
            <a:ext uri="{FF2B5EF4-FFF2-40B4-BE49-F238E27FC236}">
              <a16:creationId xmlns:a16="http://schemas.microsoft.com/office/drawing/2014/main" id="{7B09ECFB-EA0F-40BC-9FB3-210EA84850A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  <xdr:twoCellAnchor>
    <xdr:from>
      <xdr:col>18</xdr:col>
      <xdr:colOff>313065</xdr:colOff>
      <xdr:row>19</xdr:row>
      <xdr:rowOff>156029</xdr:rowOff>
    </xdr:from>
    <xdr:to>
      <xdr:col>22</xdr:col>
      <xdr:colOff>404991</xdr:colOff>
      <xdr:row>34</xdr:row>
      <xdr:rowOff>0</xdr:rowOff>
    </xdr:to>
    <xdr:graphicFrame macro="">
      <xdr:nvGraphicFramePr>
        <xdr:cNvPr id="86" name="Gráfico 85">
          <a:extLst>
            <a:ext uri="{FF2B5EF4-FFF2-40B4-BE49-F238E27FC236}">
              <a16:creationId xmlns:a16="http://schemas.microsoft.com/office/drawing/2014/main" id="{4B94F0D7-061E-47F4-B834-1DDC0877683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  <xdr:twoCellAnchor>
    <xdr:from>
      <xdr:col>1</xdr:col>
      <xdr:colOff>104217</xdr:colOff>
      <xdr:row>7</xdr:row>
      <xdr:rowOff>0</xdr:rowOff>
    </xdr:from>
    <xdr:to>
      <xdr:col>23</xdr:col>
      <xdr:colOff>106248</xdr:colOff>
      <xdr:row>15</xdr:row>
      <xdr:rowOff>33557</xdr:rowOff>
    </xdr:to>
    <xdr:grpSp>
      <xdr:nvGrpSpPr>
        <xdr:cNvPr id="87" name="Agrupar 86">
          <a:extLst>
            <a:ext uri="{FF2B5EF4-FFF2-40B4-BE49-F238E27FC236}">
              <a16:creationId xmlns:a16="http://schemas.microsoft.com/office/drawing/2014/main" id="{D37AB85D-C154-480B-A2A6-59F8172F90EC}"/>
            </a:ext>
          </a:extLst>
        </xdr:cNvPr>
        <xdr:cNvGrpSpPr/>
      </xdr:nvGrpSpPr>
      <xdr:grpSpPr>
        <a:xfrm>
          <a:off x="480735" y="1730188"/>
          <a:ext cx="13807678" cy="1467910"/>
          <a:chOff x="422767" y="6082644"/>
          <a:chExt cx="12365691" cy="1557557"/>
        </a:xfrm>
      </xdr:grpSpPr>
      <xdr:sp macro="" textlink="">
        <xdr:nvSpPr>
          <xdr:cNvPr id="88" name="Retângulo: Cantos Arredondados 87">
            <a:extLst>
              <a:ext uri="{FF2B5EF4-FFF2-40B4-BE49-F238E27FC236}">
                <a16:creationId xmlns:a16="http://schemas.microsoft.com/office/drawing/2014/main" id="{31DBE6B5-6E06-49C7-BCF7-DC16AE3F658E}"/>
              </a:ext>
            </a:extLst>
          </xdr:cNvPr>
          <xdr:cNvSpPr/>
        </xdr:nvSpPr>
        <xdr:spPr>
          <a:xfrm>
            <a:off x="422767" y="6082644"/>
            <a:ext cx="12365691" cy="1557557"/>
          </a:xfrm>
          <a:prstGeom prst="roundRect">
            <a:avLst/>
          </a:prstGeom>
          <a:solidFill>
            <a:schemeClr val="bg1"/>
          </a:solidFill>
          <a:ln>
            <a:solidFill>
              <a:schemeClr val="bg2"/>
            </a:solidFill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square" rtlCol="0" anchor="t">
            <a:noAutofit/>
          </a:bodyPr>
          <a:lstStyle/>
          <a:p>
            <a:pPr algn="ctr"/>
            <a:endParaRPr lang="pt-BR" sz="2000" b="1" baseline="0">
              <a:solidFill>
                <a:srgbClr val="0070C0"/>
              </a:solidFill>
              <a:latin typeface="+mn-lt"/>
              <a:ea typeface="+mn-ea"/>
              <a:cs typeface="+mn-cs"/>
            </a:endParaRPr>
          </a:p>
          <a:p>
            <a:pPr algn="ctr"/>
            <a:endParaRPr lang="pt-BR" sz="2000" b="1" baseline="0">
              <a:solidFill>
                <a:srgbClr val="0070C0"/>
              </a:solidFill>
              <a:latin typeface="+mn-lt"/>
              <a:ea typeface="+mn-ea"/>
              <a:cs typeface="+mn-cs"/>
            </a:endParaRPr>
          </a:p>
        </xdr:txBody>
      </xdr:sp>
      <xdr:graphicFrame macro="">
        <xdr:nvGraphicFramePr>
          <xdr:cNvPr id="89" name="Gráfico 88">
            <a:extLst>
              <a:ext uri="{FF2B5EF4-FFF2-40B4-BE49-F238E27FC236}">
                <a16:creationId xmlns:a16="http://schemas.microsoft.com/office/drawing/2014/main" id="{3AB01E0A-6593-48BA-B9E3-A19ABECC53C6}"/>
              </a:ext>
            </a:extLst>
          </xdr:cNvPr>
          <xdr:cNvGraphicFramePr>
            <a:graphicFrameLocks/>
          </xdr:cNvGraphicFramePr>
        </xdr:nvGraphicFramePr>
        <xdr:xfrm>
          <a:off x="870918" y="6206530"/>
          <a:ext cx="11476068" cy="133174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5"/>
          </a:graphicData>
        </a:graphic>
      </xdr:graphicFrame>
    </xdr:grpSp>
    <xdr:clientData/>
  </xdr:twoCellAnchor>
  <xdr:twoCellAnchor>
    <xdr:from>
      <xdr:col>1</xdr:col>
      <xdr:colOff>355891</xdr:colOff>
      <xdr:row>35</xdr:row>
      <xdr:rowOff>63364</xdr:rowOff>
    </xdr:from>
    <xdr:to>
      <xdr:col>5</xdr:col>
      <xdr:colOff>559256</xdr:colOff>
      <xdr:row>40</xdr:row>
      <xdr:rowOff>87270</xdr:rowOff>
    </xdr:to>
    <xdr:sp macro="" textlink="">
      <xdr:nvSpPr>
        <xdr:cNvPr id="90" name="Retângulo: Cantos Arredondados 89">
          <a:hlinkClick xmlns:r="http://schemas.openxmlformats.org/officeDocument/2006/relationships" r:id="rId26"/>
          <a:extLst>
            <a:ext uri="{FF2B5EF4-FFF2-40B4-BE49-F238E27FC236}">
              <a16:creationId xmlns:a16="http://schemas.microsoft.com/office/drawing/2014/main" id="{2253FEF5-9D24-49B6-A8D8-14C21A0FBD23}"/>
            </a:ext>
          </a:extLst>
        </xdr:cNvPr>
        <xdr:cNvSpPr/>
      </xdr:nvSpPr>
      <xdr:spPr>
        <a:xfrm>
          <a:off x="965491" y="6730864"/>
          <a:ext cx="2641765" cy="976406"/>
        </a:xfrm>
        <a:prstGeom prst="roundRect">
          <a:avLst>
            <a:gd name="adj" fmla="val 45606"/>
          </a:avLst>
        </a:prstGeom>
        <a:solidFill>
          <a:schemeClr val="bg1">
            <a:lumMod val="8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96000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100" b="1" u="sng" baseline="0">
              <a:solidFill>
                <a:schemeClr val="bg1">
                  <a:lumMod val="50000"/>
                </a:schemeClr>
              </a:solidFill>
              <a:effectLst/>
              <a:latin typeface="+mn-lt"/>
              <a:ea typeface="+mn-ea"/>
              <a:cs typeface="+mn-cs"/>
            </a:rPr>
            <a:t>Confira dicas fáceis que vão te ajudar a juntar dinheiro rápido</a:t>
          </a:r>
        </a:p>
      </xdr:txBody>
    </xdr:sp>
    <xdr:clientData/>
  </xdr:twoCellAnchor>
  <xdr:twoCellAnchor>
    <xdr:from>
      <xdr:col>1</xdr:col>
      <xdr:colOff>497584</xdr:colOff>
      <xdr:row>37</xdr:row>
      <xdr:rowOff>39388</xdr:rowOff>
    </xdr:from>
    <xdr:to>
      <xdr:col>2</xdr:col>
      <xdr:colOff>120715</xdr:colOff>
      <xdr:row>38</xdr:row>
      <xdr:rowOff>111247</xdr:rowOff>
    </xdr:to>
    <xdr:pic>
      <xdr:nvPicPr>
        <xdr:cNvPr id="91" name="Gráfico 90" descr="Ajudar">
          <a:hlinkClick xmlns:r="http://schemas.openxmlformats.org/officeDocument/2006/relationships" r:id="rId26"/>
          <a:extLst>
            <a:ext uri="{FF2B5EF4-FFF2-40B4-BE49-F238E27FC236}">
              <a16:creationId xmlns:a16="http://schemas.microsoft.com/office/drawing/2014/main" id="{8FFC7AE2-56B0-4E9E-AAFD-CCDE5A8FAB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7"/>
            </a:ext>
          </a:extLst>
        </a:blip>
        <a:stretch>
          <a:fillRect/>
        </a:stretch>
      </xdr:blipFill>
      <xdr:spPr>
        <a:xfrm>
          <a:off x="1107184" y="7087888"/>
          <a:ext cx="232731" cy="262359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  <xdr:twoCellAnchor>
    <xdr:from>
      <xdr:col>6</xdr:col>
      <xdr:colOff>580960</xdr:colOff>
      <xdr:row>18</xdr:row>
      <xdr:rowOff>89647</xdr:rowOff>
    </xdr:from>
    <xdr:to>
      <xdr:col>11</xdr:col>
      <xdr:colOff>470535</xdr:colOff>
      <xdr:row>41</xdr:row>
      <xdr:rowOff>0</xdr:rowOff>
    </xdr:to>
    <xdr:sp macro="" textlink="">
      <xdr:nvSpPr>
        <xdr:cNvPr id="92" name="Retângulo: Cantos Arredondados 91">
          <a:extLst>
            <a:ext uri="{FF2B5EF4-FFF2-40B4-BE49-F238E27FC236}">
              <a16:creationId xmlns:a16="http://schemas.microsoft.com/office/drawing/2014/main" id="{DE5C4942-C2A0-4357-8F06-4761F196F1E3}"/>
            </a:ext>
          </a:extLst>
        </xdr:cNvPr>
        <xdr:cNvSpPr/>
      </xdr:nvSpPr>
      <xdr:spPr>
        <a:xfrm>
          <a:off x="4238560" y="3518647"/>
          <a:ext cx="2937575" cy="4291853"/>
        </a:xfrm>
        <a:prstGeom prst="roundRect">
          <a:avLst/>
        </a:prstGeom>
        <a:solidFill>
          <a:schemeClr val="bg1"/>
        </a:solidFill>
        <a:ln>
          <a:solidFill>
            <a:schemeClr val="bg2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endParaRPr lang="pt-BR" sz="2000" b="1" baseline="0">
            <a:solidFill>
              <a:srgbClr val="0070C0"/>
            </a:solidFill>
            <a:latin typeface="+mn-lt"/>
            <a:ea typeface="+mn-ea"/>
            <a:cs typeface="+mn-cs"/>
          </a:endParaRPr>
        </a:p>
        <a:p>
          <a:pPr algn="ctr"/>
          <a:endParaRPr lang="pt-BR" sz="2000" b="1" baseline="0">
            <a:solidFill>
              <a:srgbClr val="0070C0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176715</xdr:colOff>
      <xdr:row>19</xdr:row>
      <xdr:rowOff>156029</xdr:rowOff>
    </xdr:from>
    <xdr:to>
      <xdr:col>11</xdr:col>
      <xdr:colOff>268643</xdr:colOff>
      <xdr:row>34</xdr:row>
      <xdr:rowOff>0</xdr:rowOff>
    </xdr:to>
    <xdr:graphicFrame macro="">
      <xdr:nvGraphicFramePr>
        <xdr:cNvPr id="93" name="Gráfico 92">
          <a:extLst>
            <a:ext uri="{FF2B5EF4-FFF2-40B4-BE49-F238E27FC236}">
              <a16:creationId xmlns:a16="http://schemas.microsoft.com/office/drawing/2014/main" id="{1AB934D4-4643-41CC-8134-7E7AF4E8A97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7"/>
        </a:graphicData>
      </a:graphic>
    </xdr:graphicFrame>
    <xdr:clientData/>
  </xdr:twoCellAnchor>
  <xdr:twoCellAnchor>
    <xdr:from>
      <xdr:col>7</xdr:col>
      <xdr:colOff>120997</xdr:colOff>
      <xdr:row>35</xdr:row>
      <xdr:rowOff>63364</xdr:rowOff>
    </xdr:from>
    <xdr:to>
      <xdr:col>11</xdr:col>
      <xdr:colOff>324362</xdr:colOff>
      <xdr:row>40</xdr:row>
      <xdr:rowOff>87270</xdr:rowOff>
    </xdr:to>
    <xdr:sp macro="" textlink="">
      <xdr:nvSpPr>
        <xdr:cNvPr id="94" name="Retângulo: Cantos Arredondados 93">
          <a:hlinkClick xmlns:r="http://schemas.openxmlformats.org/officeDocument/2006/relationships" r:id="rId28"/>
          <a:extLst>
            <a:ext uri="{FF2B5EF4-FFF2-40B4-BE49-F238E27FC236}">
              <a16:creationId xmlns:a16="http://schemas.microsoft.com/office/drawing/2014/main" id="{E8B9FDAF-7326-4E20-AF7A-581BA5FA4730}"/>
            </a:ext>
          </a:extLst>
        </xdr:cNvPr>
        <xdr:cNvSpPr/>
      </xdr:nvSpPr>
      <xdr:spPr>
        <a:xfrm>
          <a:off x="4388197" y="6730864"/>
          <a:ext cx="2641765" cy="976406"/>
        </a:xfrm>
        <a:prstGeom prst="roundRect">
          <a:avLst>
            <a:gd name="adj" fmla="val 45606"/>
          </a:avLst>
        </a:prstGeom>
        <a:solidFill>
          <a:schemeClr val="bg1">
            <a:lumMod val="8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96000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100" b="1" u="sng" baseline="0">
              <a:solidFill>
                <a:schemeClr val="bg1">
                  <a:lumMod val="50000"/>
                </a:schemeClr>
              </a:solidFill>
              <a:effectLst/>
              <a:latin typeface="+mn-lt"/>
              <a:ea typeface="+mn-ea"/>
              <a:cs typeface="+mn-cs"/>
            </a:rPr>
            <a:t>Dinheiro acabou antes do fim do mês? Veja como priorizar as contas</a:t>
          </a:r>
        </a:p>
      </xdr:txBody>
    </xdr:sp>
    <xdr:clientData/>
  </xdr:twoCellAnchor>
  <xdr:twoCellAnchor>
    <xdr:from>
      <xdr:col>7</xdr:col>
      <xdr:colOff>262690</xdr:colOff>
      <xdr:row>37</xdr:row>
      <xdr:rowOff>39388</xdr:rowOff>
    </xdr:from>
    <xdr:to>
      <xdr:col>7</xdr:col>
      <xdr:colOff>504946</xdr:colOff>
      <xdr:row>38</xdr:row>
      <xdr:rowOff>111247</xdr:rowOff>
    </xdr:to>
    <xdr:pic>
      <xdr:nvPicPr>
        <xdr:cNvPr id="95" name="Gráfico 94" descr="Ajudar">
          <a:hlinkClick xmlns:r="http://schemas.openxmlformats.org/officeDocument/2006/relationships" r:id="rId28"/>
          <a:extLst>
            <a:ext uri="{FF2B5EF4-FFF2-40B4-BE49-F238E27FC236}">
              <a16:creationId xmlns:a16="http://schemas.microsoft.com/office/drawing/2014/main" id="{7CCB1462-5DCF-4296-8F19-0350A8518B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7"/>
            </a:ext>
          </a:extLst>
        </a:blip>
        <a:stretch>
          <a:fillRect/>
        </a:stretch>
      </xdr:blipFill>
      <xdr:spPr>
        <a:xfrm>
          <a:off x="4529890" y="7087888"/>
          <a:ext cx="242256" cy="262359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  <xdr:twoCellAnchor>
    <xdr:from>
      <xdr:col>12</xdr:col>
      <xdr:colOff>492239</xdr:colOff>
      <xdr:row>35</xdr:row>
      <xdr:rowOff>63364</xdr:rowOff>
    </xdr:from>
    <xdr:to>
      <xdr:col>17</xdr:col>
      <xdr:colOff>89467</xdr:colOff>
      <xdr:row>40</xdr:row>
      <xdr:rowOff>87270</xdr:rowOff>
    </xdr:to>
    <xdr:sp macro="" textlink="">
      <xdr:nvSpPr>
        <xdr:cNvPr id="96" name="Retângulo: Cantos Arredondados 95">
          <a:hlinkClick xmlns:r="http://schemas.openxmlformats.org/officeDocument/2006/relationships" r:id="rId29"/>
          <a:extLst>
            <a:ext uri="{FF2B5EF4-FFF2-40B4-BE49-F238E27FC236}">
              <a16:creationId xmlns:a16="http://schemas.microsoft.com/office/drawing/2014/main" id="{2689BBFD-4EB2-4545-89D6-E9F4F7302231}"/>
            </a:ext>
          </a:extLst>
        </xdr:cNvPr>
        <xdr:cNvSpPr/>
      </xdr:nvSpPr>
      <xdr:spPr>
        <a:xfrm>
          <a:off x="7807439" y="6730864"/>
          <a:ext cx="2645228" cy="976406"/>
        </a:xfrm>
        <a:prstGeom prst="roundRect">
          <a:avLst>
            <a:gd name="adj" fmla="val 45606"/>
          </a:avLst>
        </a:prstGeom>
        <a:solidFill>
          <a:schemeClr val="bg1">
            <a:lumMod val="8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96000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100" b="1" u="sng" baseline="0">
              <a:solidFill>
                <a:schemeClr val="bg1">
                  <a:lumMod val="50000"/>
                </a:schemeClr>
              </a:solidFill>
              <a:effectLst/>
              <a:latin typeface="+mn-lt"/>
              <a:ea typeface="+mn-ea"/>
              <a:cs typeface="+mn-cs"/>
            </a:rPr>
            <a:t>Melhores investimentos para aplicar seu dinheiro</a:t>
          </a:r>
        </a:p>
      </xdr:txBody>
    </xdr:sp>
    <xdr:clientData/>
  </xdr:twoCellAnchor>
  <xdr:twoCellAnchor>
    <xdr:from>
      <xdr:col>13</xdr:col>
      <xdr:colOff>15494</xdr:colOff>
      <xdr:row>37</xdr:row>
      <xdr:rowOff>39388</xdr:rowOff>
    </xdr:from>
    <xdr:to>
      <xdr:col>13</xdr:col>
      <xdr:colOff>258924</xdr:colOff>
      <xdr:row>38</xdr:row>
      <xdr:rowOff>111247</xdr:rowOff>
    </xdr:to>
    <xdr:pic>
      <xdr:nvPicPr>
        <xdr:cNvPr id="97" name="Gráfico 96" descr="Ajudar">
          <a:hlinkClick xmlns:r="http://schemas.openxmlformats.org/officeDocument/2006/relationships" r:id="rId29"/>
          <a:extLst>
            <a:ext uri="{FF2B5EF4-FFF2-40B4-BE49-F238E27FC236}">
              <a16:creationId xmlns:a16="http://schemas.microsoft.com/office/drawing/2014/main" id="{30D439E3-06EE-42B0-B3EA-893C7AC5A9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7"/>
            </a:ext>
          </a:extLst>
        </a:blip>
        <a:stretch>
          <a:fillRect/>
        </a:stretch>
      </xdr:blipFill>
      <xdr:spPr>
        <a:xfrm>
          <a:off x="7940294" y="7087888"/>
          <a:ext cx="243430" cy="262359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  <xdr:twoCellAnchor>
    <xdr:from>
      <xdr:col>18</xdr:col>
      <xdr:colOff>257345</xdr:colOff>
      <xdr:row>35</xdr:row>
      <xdr:rowOff>63364</xdr:rowOff>
    </xdr:from>
    <xdr:to>
      <xdr:col>22</xdr:col>
      <xdr:colOff>460710</xdr:colOff>
      <xdr:row>40</xdr:row>
      <xdr:rowOff>87270</xdr:rowOff>
    </xdr:to>
    <xdr:sp macro="" textlink="">
      <xdr:nvSpPr>
        <xdr:cNvPr id="98" name="Retângulo: Cantos Arredondados 97">
          <a:hlinkClick xmlns:r="http://schemas.openxmlformats.org/officeDocument/2006/relationships" r:id="rId30"/>
          <a:extLst>
            <a:ext uri="{FF2B5EF4-FFF2-40B4-BE49-F238E27FC236}">
              <a16:creationId xmlns:a16="http://schemas.microsoft.com/office/drawing/2014/main" id="{58A81B91-A8A1-4F4C-B062-DC195472A66B}"/>
            </a:ext>
          </a:extLst>
        </xdr:cNvPr>
        <xdr:cNvSpPr/>
      </xdr:nvSpPr>
      <xdr:spPr>
        <a:xfrm>
          <a:off x="11230145" y="6730864"/>
          <a:ext cx="2641765" cy="976406"/>
        </a:xfrm>
        <a:prstGeom prst="roundRect">
          <a:avLst>
            <a:gd name="adj" fmla="val 45606"/>
          </a:avLst>
        </a:prstGeom>
        <a:solidFill>
          <a:schemeClr val="bg1">
            <a:lumMod val="8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96000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100" b="1" u="sng" baseline="0">
              <a:solidFill>
                <a:schemeClr val="bg1">
                  <a:lumMod val="50000"/>
                </a:schemeClr>
              </a:solidFill>
              <a:effectLst/>
              <a:latin typeface="+mn-lt"/>
              <a:ea typeface="+mn-ea"/>
              <a:cs typeface="+mn-cs"/>
            </a:rPr>
            <a:t>Você sabe o que é reserva de emergência? Aprenda a montar uma</a:t>
          </a:r>
        </a:p>
      </xdr:txBody>
    </xdr:sp>
    <xdr:clientData/>
  </xdr:twoCellAnchor>
  <xdr:twoCellAnchor>
    <xdr:from>
      <xdr:col>18</xdr:col>
      <xdr:colOff>399038</xdr:colOff>
      <xdr:row>37</xdr:row>
      <xdr:rowOff>39388</xdr:rowOff>
    </xdr:from>
    <xdr:to>
      <xdr:col>19</xdr:col>
      <xdr:colOff>22169</xdr:colOff>
      <xdr:row>38</xdr:row>
      <xdr:rowOff>111247</xdr:rowOff>
    </xdr:to>
    <xdr:pic>
      <xdr:nvPicPr>
        <xdr:cNvPr id="99" name="Gráfico 98" descr="Ajudar">
          <a:hlinkClick xmlns:r="http://schemas.openxmlformats.org/officeDocument/2006/relationships" r:id="rId30"/>
          <a:extLst>
            <a:ext uri="{FF2B5EF4-FFF2-40B4-BE49-F238E27FC236}">
              <a16:creationId xmlns:a16="http://schemas.microsoft.com/office/drawing/2014/main" id="{0824C96D-6E96-40AD-9D97-23F6F39107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7"/>
            </a:ext>
          </a:extLst>
        </a:blip>
        <a:stretch>
          <a:fillRect/>
        </a:stretch>
      </xdr:blipFill>
      <xdr:spPr>
        <a:xfrm>
          <a:off x="11371838" y="7087888"/>
          <a:ext cx="232731" cy="262359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  <xdr:twoCellAnchor>
    <xdr:from>
      <xdr:col>1</xdr:col>
      <xdr:colOff>216922</xdr:colOff>
      <xdr:row>44</xdr:row>
      <xdr:rowOff>124707</xdr:rowOff>
    </xdr:from>
    <xdr:to>
      <xdr:col>6</xdr:col>
      <xdr:colOff>105840</xdr:colOff>
      <xdr:row>60</xdr:row>
      <xdr:rowOff>87188</xdr:rowOff>
    </xdr:to>
    <xdr:sp macro="" textlink="">
      <xdr:nvSpPr>
        <xdr:cNvPr id="101" name="Retângulo: Cantos Arredondados 100">
          <a:extLst>
            <a:ext uri="{FF2B5EF4-FFF2-40B4-BE49-F238E27FC236}">
              <a16:creationId xmlns:a16="http://schemas.microsoft.com/office/drawing/2014/main" id="{5444EA90-7C6F-4AEF-8FDD-090642C73457}"/>
            </a:ext>
          </a:extLst>
        </xdr:cNvPr>
        <xdr:cNvSpPr/>
      </xdr:nvSpPr>
      <xdr:spPr>
        <a:xfrm>
          <a:off x="578215" y="8773845"/>
          <a:ext cx="2954435" cy="2940412"/>
        </a:xfrm>
        <a:prstGeom prst="roundRect">
          <a:avLst/>
        </a:prstGeom>
        <a:solidFill>
          <a:schemeClr val="bg1"/>
        </a:solidFill>
        <a:ln>
          <a:solidFill>
            <a:schemeClr val="bg2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endParaRPr lang="pt-BR" sz="2000" b="1" baseline="0">
            <a:solidFill>
              <a:srgbClr val="0070C0"/>
            </a:solidFill>
            <a:latin typeface="+mn-lt"/>
            <a:ea typeface="+mn-ea"/>
            <a:cs typeface="+mn-cs"/>
          </a:endParaRPr>
        </a:p>
        <a:p>
          <a:pPr algn="ctr"/>
          <a:endParaRPr lang="pt-BR" sz="2000" b="1" baseline="0">
            <a:solidFill>
              <a:srgbClr val="0070C0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366056</xdr:colOff>
      <xdr:row>50</xdr:row>
      <xdr:rowOff>180768</xdr:rowOff>
    </xdr:from>
    <xdr:to>
      <xdr:col>5</xdr:col>
      <xdr:colOff>569808</xdr:colOff>
      <xdr:row>54</xdr:row>
      <xdr:rowOff>22396</xdr:rowOff>
    </xdr:to>
    <xdr:grpSp>
      <xdr:nvGrpSpPr>
        <xdr:cNvPr id="102" name="Agrupar 101">
          <a:extLst>
            <a:ext uri="{FF2B5EF4-FFF2-40B4-BE49-F238E27FC236}">
              <a16:creationId xmlns:a16="http://schemas.microsoft.com/office/drawing/2014/main" id="{44E099C7-E51A-495D-B04B-A5E0A34C45EE}"/>
            </a:ext>
          </a:extLst>
        </xdr:cNvPr>
        <xdr:cNvGrpSpPr/>
      </xdr:nvGrpSpPr>
      <xdr:grpSpPr>
        <a:xfrm>
          <a:off x="742574" y="9620603"/>
          <a:ext cx="2713869" cy="558805"/>
          <a:chOff x="736551" y="21198565"/>
          <a:chExt cx="2652651" cy="600078"/>
        </a:xfrm>
      </xdr:grpSpPr>
      <xdr:sp macro="" textlink="">
        <xdr:nvSpPr>
          <xdr:cNvPr id="107" name="Retângulo: Cantos Arredondados 106">
            <a:hlinkClick xmlns:r="http://schemas.openxmlformats.org/officeDocument/2006/relationships" r:id="rId31"/>
            <a:extLst>
              <a:ext uri="{FF2B5EF4-FFF2-40B4-BE49-F238E27FC236}">
                <a16:creationId xmlns:a16="http://schemas.microsoft.com/office/drawing/2014/main" id="{72887044-7E79-4F36-901D-DE42B4CAF276}"/>
              </a:ext>
            </a:extLst>
          </xdr:cNvPr>
          <xdr:cNvSpPr/>
        </xdr:nvSpPr>
        <xdr:spPr>
          <a:xfrm>
            <a:off x="736551" y="21198565"/>
            <a:ext cx="2652651" cy="600078"/>
          </a:xfrm>
          <a:prstGeom prst="roundRect">
            <a:avLst>
              <a:gd name="adj" fmla="val 45606"/>
            </a:avLst>
          </a:prstGeom>
          <a:solidFill>
            <a:srgbClr val="00B050"/>
          </a:solidFill>
          <a:ln>
            <a:solidFill>
              <a:schemeClr val="bg1">
                <a:lumMod val="85000"/>
              </a:scheme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396000" rtlCol="0" anchor="ctr"/>
          <a:lstStyle/>
          <a:p>
            <a:pPr marL="0" marR="0" lvl="0" indent="0" algn="l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pt-BR" sz="1000" b="1" u="sng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Quais são os desafios para você começar a juntar dinheiro?</a:t>
            </a:r>
          </a:p>
        </xdr:txBody>
      </xdr:sp>
      <xdr:pic>
        <xdr:nvPicPr>
          <xdr:cNvPr id="108" name="Gráfico 107" descr="Alvo">
            <a:hlinkClick xmlns:r="http://schemas.openxmlformats.org/officeDocument/2006/relationships" r:id="rId31"/>
            <a:extLst>
              <a:ext uri="{FF2B5EF4-FFF2-40B4-BE49-F238E27FC236}">
                <a16:creationId xmlns:a16="http://schemas.microsoft.com/office/drawing/2014/main" id="{8D2D5A17-4A0D-4545-B7A7-41D67D31B7A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3"/>
              </a:ext>
            </a:extLst>
          </a:blip>
          <a:stretch>
            <a:fillRect/>
          </a:stretch>
        </xdr:blipFill>
        <xdr:spPr>
          <a:xfrm>
            <a:off x="871083" y="21363215"/>
            <a:ext cx="264205" cy="264205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384488</xdr:colOff>
      <xdr:row>55</xdr:row>
      <xdr:rowOff>22341</xdr:rowOff>
    </xdr:from>
    <xdr:to>
      <xdr:col>5</xdr:col>
      <xdr:colOff>588240</xdr:colOff>
      <xdr:row>58</xdr:row>
      <xdr:rowOff>50090</xdr:rowOff>
    </xdr:to>
    <xdr:grpSp>
      <xdr:nvGrpSpPr>
        <xdr:cNvPr id="103" name="Agrupar 102">
          <a:hlinkClick xmlns:r="http://schemas.openxmlformats.org/officeDocument/2006/relationships" r:id="rId34"/>
          <a:extLst>
            <a:ext uri="{FF2B5EF4-FFF2-40B4-BE49-F238E27FC236}">
              <a16:creationId xmlns:a16="http://schemas.microsoft.com/office/drawing/2014/main" id="{2B7DF0AF-6C4D-4372-ACF3-CD643926D471}"/>
            </a:ext>
          </a:extLst>
        </xdr:cNvPr>
        <xdr:cNvGrpSpPr/>
      </xdr:nvGrpSpPr>
      <xdr:grpSpPr>
        <a:xfrm>
          <a:off x="761006" y="10358647"/>
          <a:ext cx="2713869" cy="565631"/>
          <a:chOff x="736551" y="21198565"/>
          <a:chExt cx="2652651" cy="600078"/>
        </a:xfrm>
      </xdr:grpSpPr>
      <xdr:sp macro="" textlink="">
        <xdr:nvSpPr>
          <xdr:cNvPr id="105" name="Retângulo: Cantos Arredondados 104">
            <a:hlinkClick xmlns:r="http://schemas.openxmlformats.org/officeDocument/2006/relationships" r:id="rId35"/>
            <a:extLst>
              <a:ext uri="{FF2B5EF4-FFF2-40B4-BE49-F238E27FC236}">
                <a16:creationId xmlns:a16="http://schemas.microsoft.com/office/drawing/2014/main" id="{B311EAE7-8CA4-4748-A8B1-36764A47D059}"/>
              </a:ext>
            </a:extLst>
          </xdr:cNvPr>
          <xdr:cNvSpPr/>
        </xdr:nvSpPr>
        <xdr:spPr>
          <a:xfrm>
            <a:off x="736551" y="21198565"/>
            <a:ext cx="2652651" cy="600078"/>
          </a:xfrm>
          <a:prstGeom prst="roundRect">
            <a:avLst>
              <a:gd name="adj" fmla="val 45606"/>
            </a:avLst>
          </a:prstGeom>
          <a:solidFill>
            <a:srgbClr val="00B050"/>
          </a:solidFill>
          <a:ln>
            <a:solidFill>
              <a:schemeClr val="bg1">
                <a:lumMod val="85000"/>
              </a:scheme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396000" rtlCol="0" anchor="ctr"/>
          <a:lstStyle/>
          <a:p>
            <a:pPr marL="0" marR="0" lvl="0" indent="0" algn="l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pt-BR" sz="1000" b="1" u="sng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Conheça ideias de como ganhar dinheiro extra</a:t>
            </a:r>
          </a:p>
        </xdr:txBody>
      </xdr:sp>
      <xdr:pic>
        <xdr:nvPicPr>
          <xdr:cNvPr id="106" name="Gráfico 105" descr="Alvo">
            <a:hlinkClick xmlns:r="http://schemas.openxmlformats.org/officeDocument/2006/relationships" r:id="rId35"/>
            <a:extLst>
              <a:ext uri="{FF2B5EF4-FFF2-40B4-BE49-F238E27FC236}">
                <a16:creationId xmlns:a16="http://schemas.microsoft.com/office/drawing/2014/main" id="{9B54786B-192F-4552-B3CC-C63DE7467C2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3"/>
              </a:ext>
            </a:extLst>
          </a:blip>
          <a:stretch>
            <a:fillRect/>
          </a:stretch>
        </xdr:blipFill>
        <xdr:spPr>
          <a:xfrm>
            <a:off x="871083" y="21363215"/>
            <a:ext cx="264205" cy="264205"/>
          </a:xfrm>
          <a:prstGeom prst="rect">
            <a:avLst/>
          </a:prstGeom>
        </xdr:spPr>
      </xdr:pic>
    </xdr:grpSp>
    <xdr:clientData/>
  </xdr:twoCellAnchor>
  <xdr:twoCellAnchor>
    <xdr:from>
      <xdr:col>2</xdr:col>
      <xdr:colOff>109263</xdr:colOff>
      <xdr:row>46</xdr:row>
      <xdr:rowOff>83422</xdr:rowOff>
    </xdr:from>
    <xdr:to>
      <xdr:col>5</xdr:col>
      <xdr:colOff>134178</xdr:colOff>
      <xdr:row>50</xdr:row>
      <xdr:rowOff>58939</xdr:rowOff>
    </xdr:to>
    <xdr:sp macro="" textlink="">
      <xdr:nvSpPr>
        <xdr:cNvPr id="104" name="CaixaDeTexto 103">
          <a:extLst>
            <a:ext uri="{FF2B5EF4-FFF2-40B4-BE49-F238E27FC236}">
              <a16:creationId xmlns:a16="http://schemas.microsoft.com/office/drawing/2014/main" id="{A9AD008F-6D99-4AB9-83CD-03134EE100A3}"/>
            </a:ext>
          </a:extLst>
        </xdr:cNvPr>
        <xdr:cNvSpPr txBox="1"/>
      </xdr:nvSpPr>
      <xdr:spPr>
        <a:xfrm>
          <a:off x="1083660" y="9104801"/>
          <a:ext cx="1864225" cy="7200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pPr algn="ctr"/>
          <a:r>
            <a:rPr kumimoji="0" lang="en-GB" sz="1600" b="0" i="0" u="none" strike="noStrike" kern="0" cap="all" spc="0" normalizeH="0" baseline="0" dirty="0">
              <a:ln>
                <a:noFill/>
              </a:ln>
              <a:solidFill>
                <a:sysClr val="windowText" lastClr="000000">
                  <a:lumMod val="65000"/>
                  <a:lumOff val="35000"/>
                </a:sysClr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VAMOS MELHORAR</a:t>
          </a:r>
        </a:p>
        <a:p>
          <a:pPr algn="ctr"/>
          <a:r>
            <a:rPr kumimoji="0" lang="en-GB" sz="1600" b="0" i="0" u="none" strike="noStrike" kern="0" cap="all" spc="0" normalizeH="0" baseline="0" dirty="0">
              <a:ln>
                <a:noFill/>
              </a:ln>
              <a:solidFill>
                <a:sysClr val="windowText" lastClr="000000">
                  <a:lumMod val="65000"/>
                  <a:lumOff val="35000"/>
                </a:sysClr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AS </a:t>
          </a:r>
          <a:r>
            <a:rPr kumimoji="0" lang="en-GB" sz="1600" b="1" i="0" u="none" strike="noStrike" kern="0" cap="all" spc="0" normalizeH="0" baseline="0" dirty="0">
              <a:ln>
                <a:noFill/>
              </a:ln>
              <a:solidFill>
                <a:sysClr val="windowText" lastClr="000000">
                  <a:lumMod val="65000"/>
                  <a:lumOff val="35000"/>
                </a:sysClr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RECEITAS</a:t>
          </a:r>
          <a:r>
            <a:rPr kumimoji="0" lang="en-GB" sz="1600" b="0" i="0" u="none" strike="noStrike" kern="0" cap="all" spc="0" normalizeH="0" baseline="0" dirty="0">
              <a:ln>
                <a:noFill/>
              </a:ln>
              <a:solidFill>
                <a:sysClr val="windowText" lastClr="000000">
                  <a:lumMod val="65000"/>
                  <a:lumOff val="35000"/>
                </a:sysClr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?</a:t>
          </a:r>
        </a:p>
      </xdr:txBody>
    </xdr:sp>
    <xdr:clientData/>
  </xdr:twoCellAnchor>
  <xdr:twoCellAnchor>
    <xdr:from>
      <xdr:col>1</xdr:col>
      <xdr:colOff>216922</xdr:colOff>
      <xdr:row>64</xdr:row>
      <xdr:rowOff>10793</xdr:rowOff>
    </xdr:from>
    <xdr:to>
      <xdr:col>6</xdr:col>
      <xdr:colOff>105840</xdr:colOff>
      <xdr:row>79</xdr:row>
      <xdr:rowOff>163774</xdr:rowOff>
    </xdr:to>
    <xdr:sp macro="" textlink="">
      <xdr:nvSpPr>
        <xdr:cNvPr id="109" name="Retângulo: Cantos Arredondados 108">
          <a:extLst>
            <a:ext uri="{FF2B5EF4-FFF2-40B4-BE49-F238E27FC236}">
              <a16:creationId xmlns:a16="http://schemas.microsoft.com/office/drawing/2014/main" id="{62841CAF-85ED-4C00-9528-155A5FCC52ED}"/>
            </a:ext>
          </a:extLst>
        </xdr:cNvPr>
        <xdr:cNvSpPr/>
      </xdr:nvSpPr>
      <xdr:spPr>
        <a:xfrm>
          <a:off x="826522" y="12202793"/>
          <a:ext cx="2936918" cy="3010481"/>
        </a:xfrm>
        <a:prstGeom prst="roundRect">
          <a:avLst/>
        </a:prstGeom>
        <a:solidFill>
          <a:schemeClr val="bg1"/>
        </a:solidFill>
        <a:ln>
          <a:solidFill>
            <a:schemeClr val="bg2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endParaRPr lang="pt-BR" sz="2000" b="1" baseline="0">
            <a:solidFill>
              <a:srgbClr val="0070C0"/>
            </a:solidFill>
            <a:latin typeface="+mn-lt"/>
            <a:ea typeface="+mn-ea"/>
            <a:cs typeface="+mn-cs"/>
          </a:endParaRPr>
        </a:p>
        <a:p>
          <a:pPr algn="ctr"/>
          <a:endParaRPr lang="pt-BR" sz="2000" b="1" baseline="0">
            <a:solidFill>
              <a:srgbClr val="0070C0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365859</xdr:colOff>
      <xdr:row>70</xdr:row>
      <xdr:rowOff>68525</xdr:rowOff>
    </xdr:from>
    <xdr:to>
      <xdr:col>5</xdr:col>
      <xdr:colOff>569224</xdr:colOff>
      <xdr:row>73</xdr:row>
      <xdr:rowOff>97103</xdr:rowOff>
    </xdr:to>
    <xdr:sp macro="" textlink="">
      <xdr:nvSpPr>
        <xdr:cNvPr id="110" name="Retângulo: Cantos Arredondados 109">
          <a:hlinkClick xmlns:r="http://schemas.openxmlformats.org/officeDocument/2006/relationships" r:id="rId36"/>
          <a:extLst>
            <a:ext uri="{FF2B5EF4-FFF2-40B4-BE49-F238E27FC236}">
              <a16:creationId xmlns:a16="http://schemas.microsoft.com/office/drawing/2014/main" id="{74E9D4FC-AD86-41BB-ABC9-20DB96BB768B}"/>
            </a:ext>
          </a:extLst>
        </xdr:cNvPr>
        <xdr:cNvSpPr/>
      </xdr:nvSpPr>
      <xdr:spPr>
        <a:xfrm>
          <a:off x="975459" y="13403525"/>
          <a:ext cx="2641765" cy="600078"/>
        </a:xfrm>
        <a:prstGeom prst="roundRect">
          <a:avLst>
            <a:gd name="adj" fmla="val 45606"/>
          </a:avLst>
        </a:prstGeom>
        <a:solidFill>
          <a:srgbClr val="FF5757"/>
        </a:solidFill>
        <a:ln>
          <a:solidFill>
            <a:schemeClr val="bg1">
              <a:lumMod val="8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96000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000" b="1" u="sng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Aprenda maneiras fáceis de economizar dinheiro no dia a dia</a:t>
          </a:r>
        </a:p>
      </xdr:txBody>
    </xdr:sp>
    <xdr:clientData/>
  </xdr:twoCellAnchor>
  <xdr:twoCellAnchor>
    <xdr:from>
      <xdr:col>1</xdr:col>
      <xdr:colOff>500391</xdr:colOff>
      <xdr:row>71</xdr:row>
      <xdr:rowOff>42675</xdr:rowOff>
    </xdr:from>
    <xdr:to>
      <xdr:col>2</xdr:col>
      <xdr:colOff>152275</xdr:colOff>
      <xdr:row>72</xdr:row>
      <xdr:rowOff>116380</xdr:rowOff>
    </xdr:to>
    <xdr:pic>
      <xdr:nvPicPr>
        <xdr:cNvPr id="111" name="Gráfico 110" descr="Alvo">
          <a:hlinkClick xmlns:r="http://schemas.openxmlformats.org/officeDocument/2006/relationships" r:id="rId36"/>
          <a:extLst>
            <a:ext uri="{FF2B5EF4-FFF2-40B4-BE49-F238E27FC236}">
              <a16:creationId xmlns:a16="http://schemas.microsoft.com/office/drawing/2014/main" id="{97579876-5CA3-4CF5-AA15-892F1C9A3B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3"/>
            </a:ext>
          </a:extLst>
        </a:blip>
        <a:stretch>
          <a:fillRect/>
        </a:stretch>
      </xdr:blipFill>
      <xdr:spPr>
        <a:xfrm>
          <a:off x="1109991" y="13568175"/>
          <a:ext cx="261484" cy="264205"/>
        </a:xfrm>
        <a:prstGeom prst="rect">
          <a:avLst/>
        </a:prstGeom>
      </xdr:spPr>
    </xdr:pic>
    <xdr:clientData/>
  </xdr:twoCellAnchor>
  <xdr:twoCellAnchor>
    <xdr:from>
      <xdr:col>1</xdr:col>
      <xdr:colOff>384266</xdr:colOff>
      <xdr:row>74</xdr:row>
      <xdr:rowOff>97103</xdr:rowOff>
    </xdr:from>
    <xdr:to>
      <xdr:col>5</xdr:col>
      <xdr:colOff>587631</xdr:colOff>
      <xdr:row>77</xdr:row>
      <xdr:rowOff>125681</xdr:rowOff>
    </xdr:to>
    <xdr:sp macro="" textlink="">
      <xdr:nvSpPr>
        <xdr:cNvPr id="112" name="Retângulo: Cantos Arredondados 111">
          <a:hlinkClick xmlns:r="http://schemas.openxmlformats.org/officeDocument/2006/relationships" r:id="rId37"/>
          <a:extLst>
            <a:ext uri="{FF2B5EF4-FFF2-40B4-BE49-F238E27FC236}">
              <a16:creationId xmlns:a16="http://schemas.microsoft.com/office/drawing/2014/main" id="{519DC7DE-6530-41E4-A222-03A459EB9A2B}"/>
            </a:ext>
          </a:extLst>
        </xdr:cNvPr>
        <xdr:cNvSpPr/>
      </xdr:nvSpPr>
      <xdr:spPr>
        <a:xfrm>
          <a:off x="993866" y="14194103"/>
          <a:ext cx="2641765" cy="600078"/>
        </a:xfrm>
        <a:prstGeom prst="roundRect">
          <a:avLst>
            <a:gd name="adj" fmla="val 45606"/>
          </a:avLst>
        </a:prstGeom>
        <a:solidFill>
          <a:srgbClr val="FF5757"/>
        </a:solidFill>
        <a:ln>
          <a:solidFill>
            <a:schemeClr val="bg1">
              <a:lumMod val="8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96000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000" b="1" u="sng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Como sair das dívidas e começar a poupar dinheiro</a:t>
          </a:r>
        </a:p>
      </xdr:txBody>
    </xdr:sp>
    <xdr:clientData/>
  </xdr:twoCellAnchor>
  <xdr:twoCellAnchor>
    <xdr:from>
      <xdr:col>1</xdr:col>
      <xdr:colOff>518798</xdr:colOff>
      <xdr:row>75</xdr:row>
      <xdr:rowOff>71253</xdr:rowOff>
    </xdr:from>
    <xdr:to>
      <xdr:col>2</xdr:col>
      <xdr:colOff>170682</xdr:colOff>
      <xdr:row>76</xdr:row>
      <xdr:rowOff>144958</xdr:rowOff>
    </xdr:to>
    <xdr:pic>
      <xdr:nvPicPr>
        <xdr:cNvPr id="113" name="Gráfico 112" descr="Alvo">
          <a:hlinkClick xmlns:r="http://schemas.openxmlformats.org/officeDocument/2006/relationships" r:id="rId37"/>
          <a:extLst>
            <a:ext uri="{FF2B5EF4-FFF2-40B4-BE49-F238E27FC236}">
              <a16:creationId xmlns:a16="http://schemas.microsoft.com/office/drawing/2014/main" id="{7D351F40-3B6C-4171-BA06-0A3AF73788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3"/>
            </a:ext>
          </a:extLst>
        </a:blip>
        <a:stretch>
          <a:fillRect/>
        </a:stretch>
      </xdr:blipFill>
      <xdr:spPr>
        <a:xfrm>
          <a:off x="1128398" y="14358753"/>
          <a:ext cx="261484" cy="264205"/>
        </a:xfrm>
        <a:prstGeom prst="rect">
          <a:avLst/>
        </a:prstGeom>
      </xdr:spPr>
    </xdr:pic>
    <xdr:clientData/>
  </xdr:twoCellAnchor>
  <xdr:twoCellAnchor>
    <xdr:from>
      <xdr:col>2</xdr:col>
      <xdr:colOff>230707</xdr:colOff>
      <xdr:row>65</xdr:row>
      <xdr:rowOff>159136</xdr:rowOff>
    </xdr:from>
    <xdr:to>
      <xdr:col>5</xdr:col>
      <xdr:colOff>12840</xdr:colOff>
      <xdr:row>69</xdr:row>
      <xdr:rowOff>134653</xdr:rowOff>
    </xdr:to>
    <xdr:sp macro="" textlink="">
      <xdr:nvSpPr>
        <xdr:cNvPr id="114" name="CaixaDeTexto 113">
          <a:extLst>
            <a:ext uri="{FF2B5EF4-FFF2-40B4-BE49-F238E27FC236}">
              <a16:creationId xmlns:a16="http://schemas.microsoft.com/office/drawing/2014/main" id="{BE59BF4C-ECB4-4F4A-AD23-08C8487328CE}"/>
            </a:ext>
          </a:extLst>
        </xdr:cNvPr>
        <xdr:cNvSpPr txBox="1"/>
      </xdr:nvSpPr>
      <xdr:spPr>
        <a:xfrm>
          <a:off x="1205104" y="12716808"/>
          <a:ext cx="1621443" cy="7200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pPr algn="ctr"/>
          <a:r>
            <a:rPr kumimoji="0" lang="en-GB" sz="1600" b="0" i="0" u="none" strike="noStrike" kern="0" cap="all" spc="0" normalizeH="0" baseline="0" dirty="0">
              <a:ln>
                <a:noFill/>
              </a:ln>
              <a:solidFill>
                <a:sysClr val="windowText" lastClr="000000">
                  <a:lumMod val="65000"/>
                  <a:lumOff val="35000"/>
                </a:sysClr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VAMOS reduzir</a:t>
          </a:r>
        </a:p>
        <a:p>
          <a:pPr algn="ctr"/>
          <a:r>
            <a:rPr kumimoji="0" lang="en-GB" sz="1600" b="0" i="0" u="none" strike="noStrike" kern="0" cap="all" spc="0" normalizeH="0" baseline="0" dirty="0">
              <a:ln>
                <a:noFill/>
              </a:ln>
              <a:solidFill>
                <a:sysClr val="windowText" lastClr="000000">
                  <a:lumMod val="65000"/>
                  <a:lumOff val="35000"/>
                </a:sysClr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AS </a:t>
          </a:r>
          <a:r>
            <a:rPr kumimoji="0" lang="en-GB" sz="1600" b="1" i="0" u="none" strike="noStrike" kern="0" cap="all" spc="0" normalizeH="0" baseline="0" dirty="0">
              <a:ln>
                <a:noFill/>
              </a:ln>
              <a:solidFill>
                <a:sysClr val="windowText" lastClr="000000">
                  <a:lumMod val="65000"/>
                  <a:lumOff val="35000"/>
                </a:sysClr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despesas</a:t>
          </a:r>
          <a:r>
            <a:rPr kumimoji="0" lang="en-GB" sz="1600" b="0" i="0" u="none" strike="noStrike" kern="0" cap="all" spc="0" normalizeH="0" baseline="0" dirty="0">
              <a:ln>
                <a:noFill/>
              </a:ln>
              <a:solidFill>
                <a:sysClr val="windowText" lastClr="000000">
                  <a:lumMod val="65000"/>
                  <a:lumOff val="35000"/>
                </a:sysClr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?</a:t>
          </a:r>
        </a:p>
      </xdr:txBody>
    </xdr:sp>
    <xdr:clientData/>
  </xdr:twoCellAnchor>
  <xdr:twoCellAnchor>
    <xdr:from>
      <xdr:col>4</xdr:col>
      <xdr:colOff>169190</xdr:colOff>
      <xdr:row>85</xdr:row>
      <xdr:rowOff>80323</xdr:rowOff>
    </xdr:from>
    <xdr:to>
      <xdr:col>19</xdr:col>
      <xdr:colOff>465154</xdr:colOff>
      <xdr:row>97</xdr:row>
      <xdr:rowOff>64389</xdr:rowOff>
    </xdr:to>
    <xdr:grpSp>
      <xdr:nvGrpSpPr>
        <xdr:cNvPr id="115" name="Agrupar 114">
          <a:extLst>
            <a:ext uri="{FF2B5EF4-FFF2-40B4-BE49-F238E27FC236}">
              <a16:creationId xmlns:a16="http://schemas.microsoft.com/office/drawing/2014/main" id="{4D8EA4A8-7DA3-427B-9072-15C9BA75B24F}"/>
            </a:ext>
          </a:extLst>
        </xdr:cNvPr>
        <xdr:cNvGrpSpPr/>
      </xdr:nvGrpSpPr>
      <xdr:grpSpPr>
        <a:xfrm rot="5400000">
          <a:off x="6214951" y="12008797"/>
          <a:ext cx="2135596" cy="9708905"/>
          <a:chOff x="492805" y="13475565"/>
          <a:chExt cx="13640934" cy="4114946"/>
        </a:xfrm>
        <a:solidFill>
          <a:srgbClr val="85BDFB"/>
        </a:solidFill>
      </xdr:grpSpPr>
      <xdr:grpSp>
        <xdr:nvGrpSpPr>
          <xdr:cNvPr id="116" name="Agrupar 115">
            <a:extLst>
              <a:ext uri="{FF2B5EF4-FFF2-40B4-BE49-F238E27FC236}">
                <a16:creationId xmlns:a16="http://schemas.microsoft.com/office/drawing/2014/main" id="{890E48CE-5A03-4A4D-9D87-2274344FABB3}"/>
              </a:ext>
            </a:extLst>
          </xdr:cNvPr>
          <xdr:cNvGrpSpPr/>
        </xdr:nvGrpSpPr>
        <xdr:grpSpPr>
          <a:xfrm>
            <a:off x="1064305" y="13475565"/>
            <a:ext cx="13069434" cy="4114946"/>
            <a:chOff x="925512" y="6512573"/>
            <a:chExt cx="13706361" cy="3833958"/>
          </a:xfrm>
          <a:grpFill/>
        </xdr:grpSpPr>
        <xdr:sp macro="" textlink="">
          <xdr:nvSpPr>
            <xdr:cNvPr id="118" name="Retângulo 117">
              <a:extLst>
                <a:ext uri="{FF2B5EF4-FFF2-40B4-BE49-F238E27FC236}">
                  <a16:creationId xmlns:a16="http://schemas.microsoft.com/office/drawing/2014/main" id="{EBB83E52-4315-4A36-927E-074F5ED094D7}"/>
                </a:ext>
              </a:extLst>
            </xdr:cNvPr>
            <xdr:cNvSpPr/>
          </xdr:nvSpPr>
          <xdr:spPr>
            <a:xfrm>
              <a:off x="925512" y="6512573"/>
              <a:ext cx="11671301" cy="3833958"/>
            </a:xfrm>
            <a:prstGeom prst="rect">
              <a:avLst/>
            </a:prstGeom>
            <a:grpFill/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pt-BR" sz="1100"/>
            </a:p>
          </xdr:txBody>
        </xdr:sp>
        <xdr:sp macro="" textlink="">
          <xdr:nvSpPr>
            <xdr:cNvPr id="119" name="Retângulo: Cantos Arredondados 118">
              <a:extLst>
                <a:ext uri="{FF2B5EF4-FFF2-40B4-BE49-F238E27FC236}">
                  <a16:creationId xmlns:a16="http://schemas.microsoft.com/office/drawing/2014/main" id="{C6D741F3-B31B-4447-8B96-A317FD8E4E6B}"/>
                </a:ext>
              </a:extLst>
            </xdr:cNvPr>
            <xdr:cNvSpPr/>
          </xdr:nvSpPr>
          <xdr:spPr>
            <a:xfrm>
              <a:off x="11202875" y="6512573"/>
              <a:ext cx="3428998" cy="3833958"/>
            </a:xfrm>
            <a:prstGeom prst="roundRect">
              <a:avLst/>
            </a:prstGeom>
            <a:grpFill/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marL="0" indent="0" algn="l"/>
              <a:endParaRPr lang="pt-BR" sz="1100">
                <a:solidFill>
                  <a:schemeClr val="lt1"/>
                </a:solidFill>
                <a:latin typeface="+mn-lt"/>
                <a:ea typeface="+mn-ea"/>
                <a:cs typeface="+mn-cs"/>
              </a:endParaRPr>
            </a:p>
          </xdr:txBody>
        </xdr:sp>
      </xdr:grpSp>
      <xdr:sp macro="" textlink="">
        <xdr:nvSpPr>
          <xdr:cNvPr id="117" name="Retângulo: Cantos Arredondados 116">
            <a:extLst>
              <a:ext uri="{FF2B5EF4-FFF2-40B4-BE49-F238E27FC236}">
                <a16:creationId xmlns:a16="http://schemas.microsoft.com/office/drawing/2014/main" id="{304C80AB-542C-40E6-9F7E-46AE0BB42793}"/>
              </a:ext>
            </a:extLst>
          </xdr:cNvPr>
          <xdr:cNvSpPr/>
        </xdr:nvSpPr>
        <xdr:spPr>
          <a:xfrm>
            <a:off x="492805" y="13475565"/>
            <a:ext cx="3269654" cy="4114946"/>
          </a:xfrm>
          <a:prstGeom prst="roundRect">
            <a:avLst/>
          </a:prstGeom>
          <a:grp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pt-BR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</xdr:grpSp>
    <xdr:clientData/>
  </xdr:twoCellAnchor>
  <xdr:twoCellAnchor>
    <xdr:from>
      <xdr:col>1</xdr:col>
      <xdr:colOff>241599</xdr:colOff>
      <xdr:row>83</xdr:row>
      <xdr:rowOff>91115</xdr:rowOff>
    </xdr:from>
    <xdr:to>
      <xdr:col>6</xdr:col>
      <xdr:colOff>130517</xdr:colOff>
      <xdr:row>99</xdr:row>
      <xdr:rowOff>53596</xdr:rowOff>
    </xdr:to>
    <xdr:sp macro="" textlink="">
      <xdr:nvSpPr>
        <xdr:cNvPr id="120" name="Retângulo: Cantos Arredondados 119">
          <a:extLst>
            <a:ext uri="{FF2B5EF4-FFF2-40B4-BE49-F238E27FC236}">
              <a16:creationId xmlns:a16="http://schemas.microsoft.com/office/drawing/2014/main" id="{F1EAB23C-170C-47D0-8E01-424B3479C2DB}"/>
            </a:ext>
          </a:extLst>
        </xdr:cNvPr>
        <xdr:cNvSpPr/>
      </xdr:nvSpPr>
      <xdr:spPr>
        <a:xfrm>
          <a:off x="851199" y="15902615"/>
          <a:ext cx="2936918" cy="3010481"/>
        </a:xfrm>
        <a:prstGeom prst="roundRect">
          <a:avLst/>
        </a:prstGeom>
        <a:solidFill>
          <a:schemeClr val="bg1"/>
        </a:solidFill>
        <a:ln>
          <a:solidFill>
            <a:schemeClr val="bg2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endParaRPr lang="pt-BR" sz="2000" b="1" baseline="0">
            <a:solidFill>
              <a:srgbClr val="0070C0"/>
            </a:solidFill>
            <a:latin typeface="+mn-lt"/>
            <a:ea typeface="+mn-ea"/>
            <a:cs typeface="+mn-cs"/>
          </a:endParaRPr>
        </a:p>
        <a:p>
          <a:pPr algn="ctr"/>
          <a:endParaRPr lang="pt-BR" sz="2000" b="1" baseline="0">
            <a:solidFill>
              <a:srgbClr val="0070C0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390536</xdr:colOff>
      <xdr:row>89</xdr:row>
      <xdr:rowOff>148847</xdr:rowOff>
    </xdr:from>
    <xdr:to>
      <xdr:col>5</xdr:col>
      <xdr:colOff>593901</xdr:colOff>
      <xdr:row>92</xdr:row>
      <xdr:rowOff>177425</xdr:rowOff>
    </xdr:to>
    <xdr:sp macro="" textlink="">
      <xdr:nvSpPr>
        <xdr:cNvPr id="121" name="Retângulo: Cantos Arredondados 120">
          <a:hlinkClick xmlns:r="http://schemas.openxmlformats.org/officeDocument/2006/relationships" r:id="rId38"/>
          <a:extLst>
            <a:ext uri="{FF2B5EF4-FFF2-40B4-BE49-F238E27FC236}">
              <a16:creationId xmlns:a16="http://schemas.microsoft.com/office/drawing/2014/main" id="{942657EF-F752-4127-A9C7-B57D2D5F9E0A}"/>
            </a:ext>
          </a:extLst>
        </xdr:cNvPr>
        <xdr:cNvSpPr/>
      </xdr:nvSpPr>
      <xdr:spPr>
        <a:xfrm>
          <a:off x="1000136" y="17103347"/>
          <a:ext cx="2641765" cy="600078"/>
        </a:xfrm>
        <a:prstGeom prst="roundRect">
          <a:avLst>
            <a:gd name="adj" fmla="val 45606"/>
          </a:avLst>
        </a:prstGeom>
        <a:solidFill>
          <a:srgbClr val="1583F7"/>
        </a:solidFill>
        <a:ln>
          <a:solidFill>
            <a:schemeClr val="bg1">
              <a:lumMod val="8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96000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050" b="1" u="sng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Dicas de aplicações financeiras mais </a:t>
          </a:r>
          <a:r>
            <a:rPr lang="pt-BR" sz="1000" b="1" u="sng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rentáveis</a:t>
          </a:r>
          <a:endParaRPr lang="pt-BR" sz="1050" b="1" u="sng" baseline="0">
            <a:solidFill>
              <a:schemeClr val="lt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525068</xdr:colOff>
      <xdr:row>90</xdr:row>
      <xdr:rowOff>122997</xdr:rowOff>
    </xdr:from>
    <xdr:to>
      <xdr:col>2</xdr:col>
      <xdr:colOff>176952</xdr:colOff>
      <xdr:row>92</xdr:row>
      <xdr:rowOff>6202</xdr:rowOff>
    </xdr:to>
    <xdr:pic>
      <xdr:nvPicPr>
        <xdr:cNvPr id="122" name="Gráfico 121" descr="Alvo">
          <a:hlinkClick xmlns:r="http://schemas.openxmlformats.org/officeDocument/2006/relationships" r:id="rId38"/>
          <a:extLst>
            <a:ext uri="{FF2B5EF4-FFF2-40B4-BE49-F238E27FC236}">
              <a16:creationId xmlns:a16="http://schemas.microsoft.com/office/drawing/2014/main" id="{7AC4EFE5-A194-41D9-BEC2-772825BB9A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3"/>
            </a:ext>
          </a:extLst>
        </a:blip>
        <a:stretch>
          <a:fillRect/>
        </a:stretch>
      </xdr:blipFill>
      <xdr:spPr>
        <a:xfrm>
          <a:off x="1134668" y="17267997"/>
          <a:ext cx="261484" cy="264205"/>
        </a:xfrm>
        <a:prstGeom prst="rect">
          <a:avLst/>
        </a:prstGeom>
      </xdr:spPr>
    </xdr:pic>
    <xdr:clientData/>
  </xdr:twoCellAnchor>
  <xdr:twoCellAnchor>
    <xdr:from>
      <xdr:col>1</xdr:col>
      <xdr:colOff>408943</xdr:colOff>
      <xdr:row>93</xdr:row>
      <xdr:rowOff>177425</xdr:rowOff>
    </xdr:from>
    <xdr:to>
      <xdr:col>5</xdr:col>
      <xdr:colOff>612308</xdr:colOff>
      <xdr:row>97</xdr:row>
      <xdr:rowOff>15503</xdr:rowOff>
    </xdr:to>
    <xdr:sp macro="" textlink="">
      <xdr:nvSpPr>
        <xdr:cNvPr id="123" name="Retângulo: Cantos Arredondados 122">
          <a:hlinkClick xmlns:r="http://schemas.openxmlformats.org/officeDocument/2006/relationships" r:id="rId39"/>
          <a:extLst>
            <a:ext uri="{FF2B5EF4-FFF2-40B4-BE49-F238E27FC236}">
              <a16:creationId xmlns:a16="http://schemas.microsoft.com/office/drawing/2014/main" id="{9974894A-FFCD-4EDA-A092-4523C64F1A82}"/>
            </a:ext>
          </a:extLst>
        </xdr:cNvPr>
        <xdr:cNvSpPr/>
      </xdr:nvSpPr>
      <xdr:spPr>
        <a:xfrm>
          <a:off x="1018543" y="17893925"/>
          <a:ext cx="2641765" cy="600078"/>
        </a:xfrm>
        <a:prstGeom prst="roundRect">
          <a:avLst>
            <a:gd name="adj" fmla="val 45606"/>
          </a:avLst>
        </a:prstGeom>
        <a:solidFill>
          <a:srgbClr val="1583F7"/>
        </a:solidFill>
        <a:ln>
          <a:solidFill>
            <a:schemeClr val="bg1">
              <a:lumMod val="8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96000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000" b="1" u="sng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Aplicação em CDB da Neon: como funciona e como investir</a:t>
          </a:r>
        </a:p>
      </xdr:txBody>
    </xdr:sp>
    <xdr:clientData/>
  </xdr:twoCellAnchor>
  <xdr:twoCellAnchor>
    <xdr:from>
      <xdr:col>1</xdr:col>
      <xdr:colOff>543475</xdr:colOff>
      <xdr:row>94</xdr:row>
      <xdr:rowOff>151575</xdr:rowOff>
    </xdr:from>
    <xdr:to>
      <xdr:col>2</xdr:col>
      <xdr:colOff>195359</xdr:colOff>
      <xdr:row>96</xdr:row>
      <xdr:rowOff>34780</xdr:rowOff>
    </xdr:to>
    <xdr:pic>
      <xdr:nvPicPr>
        <xdr:cNvPr id="124" name="Gráfico 123" descr="Alvo">
          <a:hlinkClick xmlns:r="http://schemas.openxmlformats.org/officeDocument/2006/relationships" r:id="rId39"/>
          <a:extLst>
            <a:ext uri="{FF2B5EF4-FFF2-40B4-BE49-F238E27FC236}">
              <a16:creationId xmlns:a16="http://schemas.microsoft.com/office/drawing/2014/main" id="{F89B5250-A383-4194-BEF5-60757CEB87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3"/>
            </a:ext>
          </a:extLst>
        </a:blip>
        <a:stretch>
          <a:fillRect/>
        </a:stretch>
      </xdr:blipFill>
      <xdr:spPr>
        <a:xfrm>
          <a:off x="1153075" y="18058575"/>
          <a:ext cx="261484" cy="264205"/>
        </a:xfrm>
        <a:prstGeom prst="rect">
          <a:avLst/>
        </a:prstGeom>
      </xdr:spPr>
    </xdr:pic>
    <xdr:clientData/>
  </xdr:twoCellAnchor>
  <xdr:twoCellAnchor>
    <xdr:from>
      <xdr:col>2</xdr:col>
      <xdr:colOff>61981</xdr:colOff>
      <xdr:row>85</xdr:row>
      <xdr:rowOff>48958</xdr:rowOff>
    </xdr:from>
    <xdr:to>
      <xdr:col>5</xdr:col>
      <xdr:colOff>310134</xdr:colOff>
      <xdr:row>89</xdr:row>
      <xdr:rowOff>24475</xdr:rowOff>
    </xdr:to>
    <xdr:sp macro="" textlink="">
      <xdr:nvSpPr>
        <xdr:cNvPr id="125" name="CaixaDeTexto 124">
          <a:extLst>
            <a:ext uri="{FF2B5EF4-FFF2-40B4-BE49-F238E27FC236}">
              <a16:creationId xmlns:a16="http://schemas.microsoft.com/office/drawing/2014/main" id="{CF411307-562D-4F81-BD3D-5B170A8CD81E}"/>
            </a:ext>
          </a:extLst>
        </xdr:cNvPr>
        <xdr:cNvSpPr txBox="1"/>
      </xdr:nvSpPr>
      <xdr:spPr>
        <a:xfrm>
          <a:off x="1036378" y="16329044"/>
          <a:ext cx="2087463" cy="7200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pPr algn="ctr"/>
          <a:r>
            <a:rPr kumimoji="0" lang="en-GB" sz="1600" b="0" i="0" u="none" strike="noStrike" kern="0" cap="all" spc="0" normalizeH="0" baseline="0" dirty="0">
              <a:ln>
                <a:noFill/>
              </a:ln>
              <a:solidFill>
                <a:sysClr val="windowText" lastClr="000000">
                  <a:lumMod val="65000"/>
                  <a:lumOff val="35000"/>
                </a:sysClr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VAMOS melhorar</a:t>
          </a:r>
        </a:p>
        <a:p>
          <a:pPr algn="ctr"/>
          <a:r>
            <a:rPr kumimoji="0" lang="en-GB" sz="1600" b="0" i="0" u="none" strike="noStrike" kern="0" cap="all" spc="0" normalizeH="0" baseline="0" dirty="0">
              <a:ln>
                <a:noFill/>
              </a:ln>
              <a:solidFill>
                <a:sysClr val="windowText" lastClr="000000">
                  <a:lumMod val="65000"/>
                  <a:lumOff val="35000"/>
                </a:sysClr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OS </a:t>
          </a:r>
          <a:r>
            <a:rPr kumimoji="0" lang="en-GB" sz="1600" b="1" i="0" u="none" strike="noStrike" kern="0" cap="all" spc="0" normalizeH="0" baseline="0" dirty="0">
              <a:ln>
                <a:noFill/>
              </a:ln>
              <a:solidFill>
                <a:sysClr val="windowText" lastClr="000000">
                  <a:lumMod val="65000"/>
                  <a:lumOff val="35000"/>
                </a:sysClr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investimentos</a:t>
          </a:r>
          <a:r>
            <a:rPr kumimoji="0" lang="en-GB" sz="1600" b="0" i="0" u="none" strike="noStrike" kern="0" cap="all" spc="0" normalizeH="0" baseline="0" dirty="0">
              <a:ln>
                <a:noFill/>
              </a:ln>
              <a:solidFill>
                <a:sysClr val="windowText" lastClr="000000">
                  <a:lumMod val="65000"/>
                  <a:lumOff val="35000"/>
                </a:sysClr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?</a:t>
          </a:r>
        </a:p>
      </xdr:txBody>
    </xdr:sp>
    <xdr:clientData/>
  </xdr:twoCellAnchor>
  <xdr:twoCellAnchor>
    <xdr:from>
      <xdr:col>4</xdr:col>
      <xdr:colOff>177858</xdr:colOff>
      <xdr:row>104</xdr:row>
      <xdr:rowOff>172573</xdr:rowOff>
    </xdr:from>
    <xdr:to>
      <xdr:col>20</xdr:col>
      <xdr:colOff>359449</xdr:colOff>
      <xdr:row>116</xdr:row>
      <xdr:rowOff>156639</xdr:rowOff>
    </xdr:to>
    <xdr:grpSp>
      <xdr:nvGrpSpPr>
        <xdr:cNvPr id="126" name="Agrupar 125">
          <a:extLst>
            <a:ext uri="{FF2B5EF4-FFF2-40B4-BE49-F238E27FC236}">
              <a16:creationId xmlns:a16="http://schemas.microsoft.com/office/drawing/2014/main" id="{7B1BE6B5-1CDE-4F57-9BFB-E8CB44E8CCC1}"/>
            </a:ext>
          </a:extLst>
        </xdr:cNvPr>
        <xdr:cNvGrpSpPr/>
      </xdr:nvGrpSpPr>
      <xdr:grpSpPr>
        <a:xfrm rot="5400000">
          <a:off x="6480197" y="15251058"/>
          <a:ext cx="2135595" cy="10222061"/>
          <a:chOff x="492805" y="13475565"/>
          <a:chExt cx="13640934" cy="4114946"/>
        </a:xfrm>
        <a:solidFill>
          <a:srgbClr val="AC75D5"/>
        </a:solidFill>
      </xdr:grpSpPr>
      <xdr:grpSp>
        <xdr:nvGrpSpPr>
          <xdr:cNvPr id="127" name="Agrupar 126">
            <a:extLst>
              <a:ext uri="{FF2B5EF4-FFF2-40B4-BE49-F238E27FC236}">
                <a16:creationId xmlns:a16="http://schemas.microsoft.com/office/drawing/2014/main" id="{539B587C-C368-415B-A668-FB92F4350C44}"/>
              </a:ext>
            </a:extLst>
          </xdr:cNvPr>
          <xdr:cNvGrpSpPr/>
        </xdr:nvGrpSpPr>
        <xdr:grpSpPr>
          <a:xfrm>
            <a:off x="1064305" y="13475565"/>
            <a:ext cx="13069434" cy="4114946"/>
            <a:chOff x="925512" y="6512573"/>
            <a:chExt cx="13706361" cy="3833958"/>
          </a:xfrm>
          <a:grpFill/>
        </xdr:grpSpPr>
        <xdr:sp macro="" textlink="">
          <xdr:nvSpPr>
            <xdr:cNvPr id="129" name="Retângulo 128">
              <a:extLst>
                <a:ext uri="{FF2B5EF4-FFF2-40B4-BE49-F238E27FC236}">
                  <a16:creationId xmlns:a16="http://schemas.microsoft.com/office/drawing/2014/main" id="{5CFEF881-F11B-4605-A285-8A7DCA8314AE}"/>
                </a:ext>
              </a:extLst>
            </xdr:cNvPr>
            <xdr:cNvSpPr/>
          </xdr:nvSpPr>
          <xdr:spPr>
            <a:xfrm>
              <a:off x="925512" y="6512573"/>
              <a:ext cx="11671301" cy="3833958"/>
            </a:xfrm>
            <a:prstGeom prst="rect">
              <a:avLst/>
            </a:prstGeom>
            <a:grpFill/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pt-BR" sz="1100"/>
            </a:p>
          </xdr:txBody>
        </xdr:sp>
        <xdr:sp macro="" textlink="">
          <xdr:nvSpPr>
            <xdr:cNvPr id="130" name="Retângulo: Cantos Arredondados 129">
              <a:extLst>
                <a:ext uri="{FF2B5EF4-FFF2-40B4-BE49-F238E27FC236}">
                  <a16:creationId xmlns:a16="http://schemas.microsoft.com/office/drawing/2014/main" id="{4F92A2A0-BA1F-43BC-BF3B-989C521FB12C}"/>
                </a:ext>
              </a:extLst>
            </xdr:cNvPr>
            <xdr:cNvSpPr/>
          </xdr:nvSpPr>
          <xdr:spPr>
            <a:xfrm>
              <a:off x="11202875" y="6512573"/>
              <a:ext cx="3428998" cy="3833958"/>
            </a:xfrm>
            <a:prstGeom prst="roundRect">
              <a:avLst/>
            </a:prstGeom>
            <a:grpFill/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marL="0" indent="0" algn="l"/>
              <a:endParaRPr lang="pt-BR" sz="1100">
                <a:solidFill>
                  <a:schemeClr val="lt1"/>
                </a:solidFill>
                <a:latin typeface="+mn-lt"/>
                <a:ea typeface="+mn-ea"/>
                <a:cs typeface="+mn-cs"/>
              </a:endParaRPr>
            </a:p>
          </xdr:txBody>
        </xdr:sp>
      </xdr:grpSp>
      <xdr:sp macro="" textlink="">
        <xdr:nvSpPr>
          <xdr:cNvPr id="128" name="Retângulo: Cantos Arredondados 127">
            <a:extLst>
              <a:ext uri="{FF2B5EF4-FFF2-40B4-BE49-F238E27FC236}">
                <a16:creationId xmlns:a16="http://schemas.microsoft.com/office/drawing/2014/main" id="{5D74DBC5-AA44-4F5C-A4DC-2CB645AFE1A4}"/>
              </a:ext>
            </a:extLst>
          </xdr:cNvPr>
          <xdr:cNvSpPr/>
        </xdr:nvSpPr>
        <xdr:spPr>
          <a:xfrm>
            <a:off x="492805" y="13475565"/>
            <a:ext cx="3269654" cy="4114946"/>
          </a:xfrm>
          <a:prstGeom prst="roundRect">
            <a:avLst/>
          </a:prstGeom>
          <a:grp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pt-BR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</xdr:grpSp>
    <xdr:clientData/>
  </xdr:twoCellAnchor>
  <xdr:twoCellAnchor>
    <xdr:from>
      <xdr:col>1</xdr:col>
      <xdr:colOff>250267</xdr:colOff>
      <xdr:row>102</xdr:row>
      <xdr:rowOff>183365</xdr:rowOff>
    </xdr:from>
    <xdr:to>
      <xdr:col>6</xdr:col>
      <xdr:colOff>139185</xdr:colOff>
      <xdr:row>118</xdr:row>
      <xdr:rowOff>145846</xdr:rowOff>
    </xdr:to>
    <xdr:sp macro="" textlink="">
      <xdr:nvSpPr>
        <xdr:cNvPr id="131" name="Retângulo: Cantos Arredondados 130">
          <a:extLst>
            <a:ext uri="{FF2B5EF4-FFF2-40B4-BE49-F238E27FC236}">
              <a16:creationId xmlns:a16="http://schemas.microsoft.com/office/drawing/2014/main" id="{8BD5CC8E-212E-443A-A7E3-E729C975D147}"/>
            </a:ext>
          </a:extLst>
        </xdr:cNvPr>
        <xdr:cNvSpPr/>
      </xdr:nvSpPr>
      <xdr:spPr>
        <a:xfrm>
          <a:off x="859867" y="19614365"/>
          <a:ext cx="2936918" cy="3010481"/>
        </a:xfrm>
        <a:prstGeom prst="roundRect">
          <a:avLst/>
        </a:prstGeom>
        <a:solidFill>
          <a:schemeClr val="bg1"/>
        </a:solidFill>
        <a:ln>
          <a:solidFill>
            <a:schemeClr val="bg2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endParaRPr lang="pt-BR" sz="2000" b="1" baseline="0">
            <a:solidFill>
              <a:srgbClr val="0070C0"/>
            </a:solidFill>
            <a:latin typeface="+mn-lt"/>
            <a:ea typeface="+mn-ea"/>
            <a:cs typeface="+mn-cs"/>
          </a:endParaRPr>
        </a:p>
        <a:p>
          <a:pPr algn="ctr"/>
          <a:endParaRPr lang="pt-BR" sz="2000" b="1" baseline="0">
            <a:solidFill>
              <a:srgbClr val="0070C0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399204</xdr:colOff>
      <xdr:row>109</xdr:row>
      <xdr:rowOff>50597</xdr:rowOff>
    </xdr:from>
    <xdr:to>
      <xdr:col>5</xdr:col>
      <xdr:colOff>602569</xdr:colOff>
      <xdr:row>112</xdr:row>
      <xdr:rowOff>79175</xdr:rowOff>
    </xdr:to>
    <xdr:sp macro="" textlink="">
      <xdr:nvSpPr>
        <xdr:cNvPr id="132" name="Retângulo: Cantos Arredondados 131">
          <a:hlinkClick xmlns:r="http://schemas.openxmlformats.org/officeDocument/2006/relationships" r:id="rId40"/>
          <a:extLst>
            <a:ext uri="{FF2B5EF4-FFF2-40B4-BE49-F238E27FC236}">
              <a16:creationId xmlns:a16="http://schemas.microsoft.com/office/drawing/2014/main" id="{9CF66002-30CE-4C9A-87D8-E9DB7ED4A5CC}"/>
            </a:ext>
          </a:extLst>
        </xdr:cNvPr>
        <xdr:cNvSpPr/>
      </xdr:nvSpPr>
      <xdr:spPr>
        <a:xfrm>
          <a:off x="1008804" y="20815097"/>
          <a:ext cx="2641765" cy="600078"/>
        </a:xfrm>
        <a:prstGeom prst="roundRect">
          <a:avLst>
            <a:gd name="adj" fmla="val 45606"/>
          </a:avLst>
        </a:prstGeom>
        <a:solidFill>
          <a:srgbClr val="7030A0"/>
        </a:solidFill>
        <a:ln>
          <a:solidFill>
            <a:schemeClr val="bg1">
              <a:lumMod val="8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96000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000" b="1" u="sng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Reserva de emergência: quando e como eu posso gastar?</a:t>
          </a:r>
        </a:p>
      </xdr:txBody>
    </xdr:sp>
    <xdr:clientData/>
  </xdr:twoCellAnchor>
  <xdr:twoCellAnchor>
    <xdr:from>
      <xdr:col>1</xdr:col>
      <xdr:colOff>533736</xdr:colOff>
      <xdr:row>110</xdr:row>
      <xdr:rowOff>24747</xdr:rowOff>
    </xdr:from>
    <xdr:to>
      <xdr:col>2</xdr:col>
      <xdr:colOff>185620</xdr:colOff>
      <xdr:row>111</xdr:row>
      <xdr:rowOff>98452</xdr:rowOff>
    </xdr:to>
    <xdr:pic>
      <xdr:nvPicPr>
        <xdr:cNvPr id="133" name="Gráfico 132" descr="Alvo">
          <a:hlinkClick xmlns:r="http://schemas.openxmlformats.org/officeDocument/2006/relationships" r:id="rId40"/>
          <a:extLst>
            <a:ext uri="{FF2B5EF4-FFF2-40B4-BE49-F238E27FC236}">
              <a16:creationId xmlns:a16="http://schemas.microsoft.com/office/drawing/2014/main" id="{ED7D6B80-4D91-4581-B32F-FC7DB9F0FC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3"/>
            </a:ext>
          </a:extLst>
        </a:blip>
        <a:stretch>
          <a:fillRect/>
        </a:stretch>
      </xdr:blipFill>
      <xdr:spPr>
        <a:xfrm>
          <a:off x="1143336" y="20979747"/>
          <a:ext cx="261484" cy="264205"/>
        </a:xfrm>
        <a:prstGeom prst="rect">
          <a:avLst/>
        </a:prstGeom>
      </xdr:spPr>
    </xdr:pic>
    <xdr:clientData/>
  </xdr:twoCellAnchor>
  <xdr:twoCellAnchor>
    <xdr:from>
      <xdr:col>1</xdr:col>
      <xdr:colOff>417611</xdr:colOff>
      <xdr:row>113</xdr:row>
      <xdr:rowOff>79175</xdr:rowOff>
    </xdr:from>
    <xdr:to>
      <xdr:col>6</xdr:col>
      <xdr:colOff>8655</xdr:colOff>
      <xdr:row>116</xdr:row>
      <xdr:rowOff>107753</xdr:rowOff>
    </xdr:to>
    <xdr:sp macro="" textlink="">
      <xdr:nvSpPr>
        <xdr:cNvPr id="134" name="Retângulo: Cantos Arredondados 133">
          <a:hlinkClick xmlns:r="http://schemas.openxmlformats.org/officeDocument/2006/relationships" r:id="rId41"/>
          <a:extLst>
            <a:ext uri="{FF2B5EF4-FFF2-40B4-BE49-F238E27FC236}">
              <a16:creationId xmlns:a16="http://schemas.microsoft.com/office/drawing/2014/main" id="{76C03538-5B0E-4A00-938C-3390977C4E79}"/>
            </a:ext>
          </a:extLst>
        </xdr:cNvPr>
        <xdr:cNvSpPr/>
      </xdr:nvSpPr>
      <xdr:spPr>
        <a:xfrm>
          <a:off x="1027211" y="21605675"/>
          <a:ext cx="2639044" cy="600078"/>
        </a:xfrm>
        <a:prstGeom prst="roundRect">
          <a:avLst>
            <a:gd name="adj" fmla="val 45606"/>
          </a:avLst>
        </a:prstGeom>
        <a:solidFill>
          <a:srgbClr val="7030A0"/>
        </a:solidFill>
        <a:ln>
          <a:solidFill>
            <a:schemeClr val="bg1">
              <a:lumMod val="8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96000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000" b="1" u="sng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Conheça as melhores opções para investir com segurança</a:t>
          </a:r>
        </a:p>
      </xdr:txBody>
    </xdr:sp>
    <xdr:clientData/>
  </xdr:twoCellAnchor>
  <xdr:twoCellAnchor>
    <xdr:from>
      <xdr:col>1</xdr:col>
      <xdr:colOff>552143</xdr:colOff>
      <xdr:row>114</xdr:row>
      <xdr:rowOff>53325</xdr:rowOff>
    </xdr:from>
    <xdr:to>
      <xdr:col>2</xdr:col>
      <xdr:colOff>204027</xdr:colOff>
      <xdr:row>115</xdr:row>
      <xdr:rowOff>127030</xdr:rowOff>
    </xdr:to>
    <xdr:pic>
      <xdr:nvPicPr>
        <xdr:cNvPr id="135" name="Gráfico 134" descr="Alvo">
          <a:hlinkClick xmlns:r="http://schemas.openxmlformats.org/officeDocument/2006/relationships" r:id="rId41"/>
          <a:extLst>
            <a:ext uri="{FF2B5EF4-FFF2-40B4-BE49-F238E27FC236}">
              <a16:creationId xmlns:a16="http://schemas.microsoft.com/office/drawing/2014/main" id="{7EB5F10B-EBF5-4000-BA27-6743328724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3"/>
            </a:ext>
          </a:extLst>
        </a:blip>
        <a:stretch>
          <a:fillRect/>
        </a:stretch>
      </xdr:blipFill>
      <xdr:spPr>
        <a:xfrm>
          <a:off x="1161743" y="21770325"/>
          <a:ext cx="261484" cy="264205"/>
        </a:xfrm>
        <a:prstGeom prst="rect">
          <a:avLst/>
        </a:prstGeom>
      </xdr:spPr>
    </xdr:pic>
    <xdr:clientData/>
  </xdr:twoCellAnchor>
  <xdr:twoCellAnchor>
    <xdr:from>
      <xdr:col>2</xdr:col>
      <xdr:colOff>226062</xdr:colOff>
      <xdr:row>104</xdr:row>
      <xdr:rowOff>141208</xdr:rowOff>
    </xdr:from>
    <xdr:to>
      <xdr:col>5</xdr:col>
      <xdr:colOff>163390</xdr:colOff>
      <xdr:row>108</xdr:row>
      <xdr:rowOff>116725</xdr:rowOff>
    </xdr:to>
    <xdr:sp macro="" textlink="">
      <xdr:nvSpPr>
        <xdr:cNvPr id="136" name="CaixaDeTexto 135">
          <a:extLst>
            <a:ext uri="{FF2B5EF4-FFF2-40B4-BE49-F238E27FC236}">
              <a16:creationId xmlns:a16="http://schemas.microsoft.com/office/drawing/2014/main" id="{4081B301-8CAA-4831-8848-0D5B9663892C}"/>
            </a:ext>
          </a:extLst>
        </xdr:cNvPr>
        <xdr:cNvSpPr txBox="1"/>
      </xdr:nvSpPr>
      <xdr:spPr>
        <a:xfrm>
          <a:off x="1200459" y="19957587"/>
          <a:ext cx="1776638" cy="7200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pPr algn="ctr"/>
          <a:r>
            <a:rPr kumimoji="0" lang="en-GB" sz="1600" b="0" i="0" u="none" strike="noStrike" kern="0" cap="all" spc="0" normalizeH="0" baseline="0" dirty="0">
              <a:ln>
                <a:noFill/>
              </a:ln>
              <a:solidFill>
                <a:sysClr val="windowText" lastClr="000000">
                  <a:lumMod val="65000"/>
                  <a:lumOff val="35000"/>
                </a:sysClr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VAMOS aumentar</a:t>
          </a:r>
        </a:p>
        <a:p>
          <a:pPr algn="ctr"/>
          <a:r>
            <a:rPr kumimoji="0" lang="en-GB" sz="1600" b="0" i="0" u="none" strike="noStrike" kern="0" cap="all" spc="0" normalizeH="0" baseline="0" dirty="0">
              <a:ln>
                <a:noFill/>
              </a:ln>
              <a:solidFill>
                <a:sysClr val="windowText" lastClr="000000">
                  <a:lumMod val="65000"/>
                  <a:lumOff val="35000"/>
                </a:sysClr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AS </a:t>
          </a:r>
          <a:r>
            <a:rPr kumimoji="0" lang="en-GB" sz="1600" b="1" i="0" u="none" strike="noStrike" kern="0" cap="all" spc="0" normalizeH="0" baseline="0" dirty="0">
              <a:ln>
                <a:noFill/>
              </a:ln>
              <a:solidFill>
                <a:sysClr val="windowText" lastClr="000000">
                  <a:lumMod val="65000"/>
                  <a:lumOff val="35000"/>
                </a:sysClr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reservas</a:t>
          </a:r>
          <a:r>
            <a:rPr kumimoji="0" lang="en-GB" sz="1600" b="0" i="0" u="none" strike="noStrike" kern="0" cap="all" spc="0" normalizeH="0" baseline="0" dirty="0">
              <a:ln>
                <a:noFill/>
              </a:ln>
              <a:solidFill>
                <a:sysClr val="windowText" lastClr="000000">
                  <a:lumMod val="65000"/>
                  <a:lumOff val="35000"/>
                </a:sysClr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?</a:t>
          </a:r>
        </a:p>
      </xdr:txBody>
    </xdr:sp>
    <xdr:clientData/>
  </xdr:twoCellAnchor>
  <xdr:twoCellAnchor>
    <xdr:from>
      <xdr:col>7</xdr:col>
      <xdr:colOff>2499</xdr:colOff>
      <xdr:row>83</xdr:row>
      <xdr:rowOff>91115</xdr:rowOff>
    </xdr:from>
    <xdr:to>
      <xdr:col>11</xdr:col>
      <xdr:colOff>491005</xdr:colOff>
      <xdr:row>99</xdr:row>
      <xdr:rowOff>53596</xdr:rowOff>
    </xdr:to>
    <xdr:grpSp>
      <xdr:nvGrpSpPr>
        <xdr:cNvPr id="137" name="Agrupar 136">
          <a:extLst>
            <a:ext uri="{FF2B5EF4-FFF2-40B4-BE49-F238E27FC236}">
              <a16:creationId xmlns:a16="http://schemas.microsoft.com/office/drawing/2014/main" id="{E8441802-9838-44DB-8D61-6A83B3460B85}"/>
            </a:ext>
          </a:extLst>
        </xdr:cNvPr>
        <xdr:cNvGrpSpPr/>
      </xdr:nvGrpSpPr>
      <xdr:grpSpPr>
        <a:xfrm>
          <a:off x="4144193" y="15447656"/>
          <a:ext cx="2998624" cy="2831187"/>
          <a:chOff x="7730488" y="21754794"/>
          <a:chExt cx="2913051" cy="3010481"/>
        </a:xfrm>
      </xdr:grpSpPr>
      <xdr:sp macro="" textlink="">
        <xdr:nvSpPr>
          <xdr:cNvPr id="138" name="Retângulo: Cantos Arredondados 137">
            <a:extLst>
              <a:ext uri="{FF2B5EF4-FFF2-40B4-BE49-F238E27FC236}">
                <a16:creationId xmlns:a16="http://schemas.microsoft.com/office/drawing/2014/main" id="{19589206-2E2E-43FF-BB85-10DCA5C88BA3}"/>
              </a:ext>
            </a:extLst>
          </xdr:cNvPr>
          <xdr:cNvSpPr/>
        </xdr:nvSpPr>
        <xdr:spPr>
          <a:xfrm>
            <a:off x="7730488" y="21754794"/>
            <a:ext cx="2913051" cy="3010481"/>
          </a:xfrm>
          <a:prstGeom prst="roundRect">
            <a:avLst/>
          </a:prstGeom>
          <a:solidFill>
            <a:schemeClr val="bg1"/>
          </a:solidFill>
          <a:ln>
            <a:solidFill>
              <a:schemeClr val="bg2"/>
            </a:solidFill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square" rtlCol="0" anchor="t">
            <a:noAutofit/>
          </a:bodyPr>
          <a:lstStyle/>
          <a:p>
            <a:pPr algn="ctr"/>
            <a:endParaRPr lang="pt-BR" sz="2000" b="1" baseline="0">
              <a:solidFill>
                <a:srgbClr val="0070C0"/>
              </a:solidFill>
              <a:latin typeface="+mn-lt"/>
              <a:ea typeface="+mn-ea"/>
              <a:cs typeface="+mn-cs"/>
            </a:endParaRPr>
          </a:p>
          <a:p>
            <a:pPr algn="ctr"/>
            <a:endParaRPr lang="pt-BR" sz="2000" b="1" baseline="0">
              <a:solidFill>
                <a:srgbClr val="0070C0"/>
              </a:solidFill>
              <a:latin typeface="+mn-lt"/>
              <a:ea typeface="+mn-ea"/>
              <a:cs typeface="+mn-cs"/>
            </a:endParaRPr>
          </a:p>
        </xdr:txBody>
      </xdr:sp>
      <mc:AlternateContent xmlns:mc="http://schemas.openxmlformats.org/markup-compatibility/2006">
        <mc:Choice xmlns:cx1="http://schemas.microsoft.com/office/drawing/2015/9/8/chartex" Requires="cx1">
          <xdr:graphicFrame macro="">
            <xdr:nvGraphicFramePr>
              <xdr:cNvPr id="139" name="Gráfico 138">
                <a:extLst>
                  <a:ext uri="{FF2B5EF4-FFF2-40B4-BE49-F238E27FC236}">
                    <a16:creationId xmlns:a16="http://schemas.microsoft.com/office/drawing/2014/main" id="{00933AB1-D78D-4EB6-855B-637E1B100242}"/>
                  </a:ext>
                </a:extLst>
              </xdr:cNvPr>
              <xdr:cNvGraphicFramePr/>
            </xdr:nvGraphicFramePr>
            <xdr:xfrm>
              <a:off x="7932379" y="21909299"/>
              <a:ext cx="2516471" cy="2701471"/>
            </xdr:xfrm>
            <a:graphic>
              <a:graphicData uri="http://schemas.microsoft.com/office/drawing/2014/chartex">
                <cx:chart xmlns:cx="http://schemas.microsoft.com/office/drawing/2014/chartex" xmlns:r="http://schemas.openxmlformats.org/officeDocument/2006/relationships" r:id="rId42"/>
              </a:graphicData>
            </a:graphic>
          </xdr:graphicFrame>
        </mc:Choice>
        <mc:Fallback>
          <xdr:sp macro="" textlink="">
            <xdr:nvSpPr>
              <xdr:cNvPr id="0" name=""/>
              <xdr:cNvSpPr>
                <a:spLocks noTextEdit="1"/>
              </xdr:cNvSpPr>
            </xdr:nvSpPr>
            <xdr:spPr>
              <a:xfrm>
                <a:off x="7932379" y="21909299"/>
                <a:ext cx="2516471" cy="2701471"/>
              </a:xfrm>
              <a:prstGeom prst="rect">
                <a:avLst/>
              </a:prstGeom>
              <a:solidFill>
                <a:prstClr val="white"/>
              </a:solidFill>
              <a:ln w="1">
                <a:solidFill>
                  <a:prstClr val="green"/>
                </a:solidFill>
              </a:ln>
            </xdr:spPr>
            <xdr:txBody>
              <a:bodyPr vertOverflow="clip" horzOverflow="clip"/>
              <a:lstStyle/>
              <a:p>
                <a:r>
                  <a:rPr lang="pt-BR" sz="1100"/>
                  <a:t>Este gráfico não está disponível na sua versão de Excel.
Editar esta forma ou salvar esta pasta de trabalho em um formato de arquivo diferente quebrará o gráfico permanentemente.</a:t>
                </a:r>
              </a:p>
            </xdr:txBody>
          </xdr:sp>
        </mc:Fallback>
      </mc:AlternateContent>
    </xdr:grpSp>
    <xdr:clientData/>
  </xdr:twoCellAnchor>
  <xdr:twoCellAnchor>
    <xdr:from>
      <xdr:col>12</xdr:col>
      <xdr:colOff>379926</xdr:colOff>
      <xdr:row>83</xdr:row>
      <xdr:rowOff>91115</xdr:rowOff>
    </xdr:from>
    <xdr:to>
      <xdr:col>17</xdr:col>
      <xdr:colOff>257129</xdr:colOff>
      <xdr:row>99</xdr:row>
      <xdr:rowOff>53596</xdr:rowOff>
    </xdr:to>
    <xdr:grpSp>
      <xdr:nvGrpSpPr>
        <xdr:cNvPr id="140" name="Agrupar 139">
          <a:extLst>
            <a:ext uri="{FF2B5EF4-FFF2-40B4-BE49-F238E27FC236}">
              <a16:creationId xmlns:a16="http://schemas.microsoft.com/office/drawing/2014/main" id="{B31A78D9-A671-408F-81B9-1E7CEFF90760}"/>
            </a:ext>
          </a:extLst>
        </xdr:cNvPr>
        <xdr:cNvGrpSpPr/>
      </xdr:nvGrpSpPr>
      <xdr:grpSpPr>
        <a:xfrm>
          <a:off x="7659267" y="15447656"/>
          <a:ext cx="3014850" cy="2831187"/>
          <a:chOff x="10938063" y="21741187"/>
          <a:chExt cx="2914069" cy="3010481"/>
        </a:xfrm>
      </xdr:grpSpPr>
      <xdr:sp macro="" textlink="">
        <xdr:nvSpPr>
          <xdr:cNvPr id="141" name="Retângulo: Cantos Arredondados 140">
            <a:extLst>
              <a:ext uri="{FF2B5EF4-FFF2-40B4-BE49-F238E27FC236}">
                <a16:creationId xmlns:a16="http://schemas.microsoft.com/office/drawing/2014/main" id="{619028FF-829A-4481-9F11-FBF4B382D859}"/>
              </a:ext>
            </a:extLst>
          </xdr:cNvPr>
          <xdr:cNvSpPr/>
        </xdr:nvSpPr>
        <xdr:spPr>
          <a:xfrm>
            <a:off x="10938063" y="21741187"/>
            <a:ext cx="2914069" cy="3010481"/>
          </a:xfrm>
          <a:prstGeom prst="roundRect">
            <a:avLst/>
          </a:prstGeom>
          <a:solidFill>
            <a:schemeClr val="bg1"/>
          </a:solidFill>
          <a:ln>
            <a:solidFill>
              <a:schemeClr val="bg2"/>
            </a:solidFill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square" rtlCol="0" anchor="t">
            <a:noAutofit/>
          </a:bodyPr>
          <a:lstStyle/>
          <a:p>
            <a:pPr algn="ctr"/>
            <a:endParaRPr lang="pt-BR" sz="2000" b="1" baseline="0">
              <a:solidFill>
                <a:srgbClr val="0070C0"/>
              </a:solidFill>
              <a:latin typeface="+mn-lt"/>
              <a:ea typeface="+mn-ea"/>
              <a:cs typeface="+mn-cs"/>
            </a:endParaRPr>
          </a:p>
          <a:p>
            <a:pPr algn="ctr"/>
            <a:endParaRPr lang="pt-BR" sz="2000" b="1" baseline="0">
              <a:solidFill>
                <a:srgbClr val="0070C0"/>
              </a:solidFill>
              <a:latin typeface="+mn-lt"/>
              <a:ea typeface="+mn-ea"/>
              <a:cs typeface="+mn-cs"/>
            </a:endParaRPr>
          </a:p>
        </xdr:txBody>
      </xdr:sp>
      <mc:AlternateContent xmlns:mc="http://schemas.openxmlformats.org/markup-compatibility/2006">
        <mc:Choice xmlns:cx1="http://schemas.microsoft.com/office/drawing/2015/9/8/chartex" Requires="cx1">
          <xdr:graphicFrame macro="">
            <xdr:nvGraphicFramePr>
              <xdr:cNvPr id="142" name="Gráfico 141">
                <a:extLst>
                  <a:ext uri="{FF2B5EF4-FFF2-40B4-BE49-F238E27FC236}">
                    <a16:creationId xmlns:a16="http://schemas.microsoft.com/office/drawing/2014/main" id="{959DC812-9EBC-498C-B372-5777B3731E2E}"/>
                  </a:ext>
                </a:extLst>
              </xdr:cNvPr>
              <xdr:cNvGraphicFramePr/>
            </xdr:nvGraphicFramePr>
            <xdr:xfrm>
              <a:off x="11132750" y="21895692"/>
              <a:ext cx="2516470" cy="2701471"/>
            </xdr:xfrm>
            <a:graphic>
              <a:graphicData uri="http://schemas.microsoft.com/office/drawing/2014/chartex">
                <cx:chart xmlns:cx="http://schemas.microsoft.com/office/drawing/2014/chartex" xmlns:r="http://schemas.openxmlformats.org/officeDocument/2006/relationships" r:id="rId43"/>
              </a:graphicData>
            </a:graphic>
          </xdr:graphicFrame>
        </mc:Choice>
        <mc:Fallback>
          <xdr:sp macro="" textlink="">
            <xdr:nvSpPr>
              <xdr:cNvPr id="0" name=""/>
              <xdr:cNvSpPr>
                <a:spLocks noTextEdit="1"/>
              </xdr:cNvSpPr>
            </xdr:nvSpPr>
            <xdr:spPr>
              <a:xfrm>
                <a:off x="11132750" y="21895692"/>
                <a:ext cx="2516470" cy="2701471"/>
              </a:xfrm>
              <a:prstGeom prst="rect">
                <a:avLst/>
              </a:prstGeom>
              <a:solidFill>
                <a:prstClr val="white"/>
              </a:solidFill>
              <a:ln w="1">
                <a:solidFill>
                  <a:prstClr val="green"/>
                </a:solidFill>
              </a:ln>
            </xdr:spPr>
            <xdr:txBody>
              <a:bodyPr vertOverflow="clip" horzOverflow="clip"/>
              <a:lstStyle/>
              <a:p>
                <a:r>
                  <a:rPr lang="pt-BR" sz="1100"/>
                  <a:t>Este gráfico não está disponível na sua versão de Excel.
Editar esta forma ou salvar esta pasta de trabalho em um formato de arquivo diferente quebrará o gráfico permanentemente.</a:t>
                </a:r>
              </a:p>
            </xdr:txBody>
          </xdr:sp>
        </mc:Fallback>
      </mc:AlternateContent>
    </xdr:grpSp>
    <xdr:clientData/>
  </xdr:twoCellAnchor>
  <xdr:twoCellAnchor>
    <xdr:from>
      <xdr:col>18</xdr:col>
      <xdr:colOff>128911</xdr:colOff>
      <xdr:row>83</xdr:row>
      <xdr:rowOff>91115</xdr:rowOff>
    </xdr:from>
    <xdr:to>
      <xdr:col>23</xdr:col>
      <xdr:colOff>0</xdr:colOff>
      <xdr:row>99</xdr:row>
      <xdr:rowOff>53596</xdr:rowOff>
    </xdr:to>
    <xdr:grpSp>
      <xdr:nvGrpSpPr>
        <xdr:cNvPr id="143" name="Agrupar 142">
          <a:extLst>
            <a:ext uri="{FF2B5EF4-FFF2-40B4-BE49-F238E27FC236}">
              <a16:creationId xmlns:a16="http://schemas.microsoft.com/office/drawing/2014/main" id="{FFA87514-8AF0-4CE2-9488-14A227FBD83B}"/>
            </a:ext>
          </a:extLst>
        </xdr:cNvPr>
        <xdr:cNvGrpSpPr/>
      </xdr:nvGrpSpPr>
      <xdr:grpSpPr>
        <a:xfrm>
          <a:off x="11173429" y="15447656"/>
          <a:ext cx="3008736" cy="2831187"/>
          <a:chOff x="14113300" y="21776086"/>
          <a:chExt cx="2907955" cy="3010481"/>
        </a:xfrm>
      </xdr:grpSpPr>
      <xdr:sp macro="" textlink="">
        <xdr:nvSpPr>
          <xdr:cNvPr id="144" name="Retângulo: Cantos Arredondados 143">
            <a:extLst>
              <a:ext uri="{FF2B5EF4-FFF2-40B4-BE49-F238E27FC236}">
                <a16:creationId xmlns:a16="http://schemas.microsoft.com/office/drawing/2014/main" id="{2A4A062E-FFAB-4003-A3A7-0FA8D4939328}"/>
              </a:ext>
            </a:extLst>
          </xdr:cNvPr>
          <xdr:cNvSpPr/>
        </xdr:nvSpPr>
        <xdr:spPr>
          <a:xfrm>
            <a:off x="14113300" y="21776086"/>
            <a:ext cx="2907955" cy="3010481"/>
          </a:xfrm>
          <a:prstGeom prst="roundRect">
            <a:avLst/>
          </a:prstGeom>
          <a:solidFill>
            <a:schemeClr val="bg1"/>
          </a:solidFill>
          <a:ln>
            <a:solidFill>
              <a:schemeClr val="bg2"/>
            </a:solidFill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square" rtlCol="0" anchor="t">
            <a:noAutofit/>
          </a:bodyPr>
          <a:lstStyle/>
          <a:p>
            <a:pPr algn="ctr"/>
            <a:endParaRPr lang="pt-BR" sz="2000" b="1" baseline="0">
              <a:solidFill>
                <a:srgbClr val="0070C0"/>
              </a:solidFill>
              <a:latin typeface="+mn-lt"/>
              <a:ea typeface="+mn-ea"/>
              <a:cs typeface="+mn-cs"/>
            </a:endParaRPr>
          </a:p>
          <a:p>
            <a:pPr algn="ctr"/>
            <a:endParaRPr lang="pt-BR" sz="2000" b="1" baseline="0">
              <a:solidFill>
                <a:srgbClr val="0070C0"/>
              </a:solidFill>
              <a:latin typeface="+mn-lt"/>
              <a:ea typeface="+mn-ea"/>
              <a:cs typeface="+mn-cs"/>
            </a:endParaRPr>
          </a:p>
        </xdr:txBody>
      </xdr:sp>
      <mc:AlternateContent xmlns:mc="http://schemas.openxmlformats.org/markup-compatibility/2006">
        <mc:Choice xmlns:cx1="http://schemas.microsoft.com/office/drawing/2015/9/8/chartex" Requires="cx1">
          <xdr:graphicFrame macro="">
            <xdr:nvGraphicFramePr>
              <xdr:cNvPr id="145" name="Gráfico 144">
                <a:extLst>
                  <a:ext uri="{FF2B5EF4-FFF2-40B4-BE49-F238E27FC236}">
                    <a16:creationId xmlns:a16="http://schemas.microsoft.com/office/drawing/2014/main" id="{2275B957-5507-4F16-B3E1-1D27220DF72D}"/>
                  </a:ext>
                </a:extLst>
              </xdr:cNvPr>
              <xdr:cNvGraphicFramePr/>
            </xdr:nvGraphicFramePr>
            <xdr:xfrm>
              <a:off x="14309005" y="21930591"/>
              <a:ext cx="2510358" cy="2701471"/>
            </xdr:xfrm>
            <a:graphic>
              <a:graphicData uri="http://schemas.microsoft.com/office/drawing/2014/chartex">
                <cx:chart xmlns:cx="http://schemas.microsoft.com/office/drawing/2014/chartex" xmlns:r="http://schemas.openxmlformats.org/officeDocument/2006/relationships" r:id="rId44"/>
              </a:graphicData>
            </a:graphic>
          </xdr:graphicFrame>
        </mc:Choice>
        <mc:Fallback>
          <xdr:sp macro="" textlink="">
            <xdr:nvSpPr>
              <xdr:cNvPr id="0" name=""/>
              <xdr:cNvSpPr>
                <a:spLocks noTextEdit="1"/>
              </xdr:cNvSpPr>
            </xdr:nvSpPr>
            <xdr:spPr>
              <a:xfrm>
                <a:off x="14309005" y="21930591"/>
                <a:ext cx="2510358" cy="2701471"/>
              </a:xfrm>
              <a:prstGeom prst="rect">
                <a:avLst/>
              </a:prstGeom>
              <a:solidFill>
                <a:prstClr val="white"/>
              </a:solidFill>
              <a:ln w="1">
                <a:solidFill>
                  <a:prstClr val="green"/>
                </a:solidFill>
              </a:ln>
            </xdr:spPr>
            <xdr:txBody>
              <a:bodyPr vertOverflow="clip" horzOverflow="clip"/>
              <a:lstStyle/>
              <a:p>
                <a:r>
                  <a:rPr lang="pt-BR" sz="1100"/>
                  <a:t>Este gráfico não está disponível na sua versão de Excel.
Editar esta forma ou salvar esta pasta de trabalho em um formato de arquivo diferente quebrará o gráfico permanentemente.</a:t>
                </a:r>
              </a:p>
            </xdr:txBody>
          </xdr:sp>
        </mc:Fallback>
      </mc:AlternateContent>
    </xdr:grpSp>
    <xdr:clientData/>
  </xdr:twoCellAnchor>
  <xdr:twoCellAnchor>
    <xdr:from>
      <xdr:col>7</xdr:col>
      <xdr:colOff>2499</xdr:colOff>
      <xdr:row>102</xdr:row>
      <xdr:rowOff>183365</xdr:rowOff>
    </xdr:from>
    <xdr:to>
      <xdr:col>11</xdr:col>
      <xdr:colOff>498207</xdr:colOff>
      <xdr:row>118</xdr:row>
      <xdr:rowOff>145846</xdr:rowOff>
    </xdr:to>
    <xdr:grpSp>
      <xdr:nvGrpSpPr>
        <xdr:cNvPr id="146" name="Agrupar 145">
          <a:extLst>
            <a:ext uri="{FF2B5EF4-FFF2-40B4-BE49-F238E27FC236}">
              <a16:creationId xmlns:a16="http://schemas.microsoft.com/office/drawing/2014/main" id="{0B2FD5AA-A8CD-48BB-8DD8-D6D17D65EBD9}"/>
            </a:ext>
          </a:extLst>
        </xdr:cNvPr>
        <xdr:cNvGrpSpPr/>
      </xdr:nvGrpSpPr>
      <xdr:grpSpPr>
        <a:xfrm>
          <a:off x="4144193" y="18946494"/>
          <a:ext cx="3005826" cy="2831187"/>
          <a:chOff x="7535448" y="25476428"/>
          <a:chExt cx="2914069" cy="3010481"/>
        </a:xfrm>
      </xdr:grpSpPr>
      <xdr:sp macro="" textlink="">
        <xdr:nvSpPr>
          <xdr:cNvPr id="147" name="Retângulo: Cantos Arredondados 146">
            <a:extLst>
              <a:ext uri="{FF2B5EF4-FFF2-40B4-BE49-F238E27FC236}">
                <a16:creationId xmlns:a16="http://schemas.microsoft.com/office/drawing/2014/main" id="{6CFBCD20-1B40-4160-B8D7-78BF6BFACD55}"/>
              </a:ext>
            </a:extLst>
          </xdr:cNvPr>
          <xdr:cNvSpPr/>
        </xdr:nvSpPr>
        <xdr:spPr>
          <a:xfrm>
            <a:off x="7535448" y="25476428"/>
            <a:ext cx="2914069" cy="3010481"/>
          </a:xfrm>
          <a:prstGeom prst="roundRect">
            <a:avLst/>
          </a:prstGeom>
          <a:solidFill>
            <a:schemeClr val="bg1"/>
          </a:solidFill>
          <a:ln>
            <a:solidFill>
              <a:schemeClr val="bg2"/>
            </a:solidFill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square" rtlCol="0" anchor="t">
            <a:noAutofit/>
          </a:bodyPr>
          <a:lstStyle/>
          <a:p>
            <a:pPr algn="ctr"/>
            <a:endParaRPr lang="pt-BR" sz="2000" b="1" baseline="0">
              <a:solidFill>
                <a:srgbClr val="0070C0"/>
              </a:solidFill>
              <a:latin typeface="+mn-lt"/>
              <a:ea typeface="+mn-ea"/>
              <a:cs typeface="+mn-cs"/>
            </a:endParaRPr>
          </a:p>
          <a:p>
            <a:pPr algn="ctr"/>
            <a:endParaRPr lang="pt-BR" sz="2000" b="1" baseline="0">
              <a:solidFill>
                <a:srgbClr val="0070C0"/>
              </a:solidFill>
              <a:latin typeface="+mn-lt"/>
              <a:ea typeface="+mn-ea"/>
              <a:cs typeface="+mn-cs"/>
            </a:endParaRPr>
          </a:p>
        </xdr:txBody>
      </xdr:sp>
      <mc:AlternateContent xmlns:mc="http://schemas.openxmlformats.org/markup-compatibility/2006">
        <mc:Choice xmlns:cx1="http://schemas.microsoft.com/office/drawing/2015/9/8/chartex" Requires="cx1">
          <xdr:graphicFrame macro="">
            <xdr:nvGraphicFramePr>
              <xdr:cNvPr id="148" name="Gráfico 147">
                <a:extLst>
                  <a:ext uri="{FF2B5EF4-FFF2-40B4-BE49-F238E27FC236}">
                    <a16:creationId xmlns:a16="http://schemas.microsoft.com/office/drawing/2014/main" id="{D7E878AA-C858-42D2-B744-851AA8FC9397}"/>
                  </a:ext>
                </a:extLst>
              </xdr:cNvPr>
              <xdr:cNvGraphicFramePr/>
            </xdr:nvGraphicFramePr>
            <xdr:xfrm>
              <a:off x="7738357" y="25630933"/>
              <a:ext cx="2516472" cy="2701471"/>
            </xdr:xfrm>
            <a:graphic>
              <a:graphicData uri="http://schemas.microsoft.com/office/drawing/2014/chartex">
                <cx:chart xmlns:cx="http://schemas.microsoft.com/office/drawing/2014/chartex" xmlns:r="http://schemas.openxmlformats.org/officeDocument/2006/relationships" r:id="rId45"/>
              </a:graphicData>
            </a:graphic>
          </xdr:graphicFrame>
        </mc:Choice>
        <mc:Fallback>
          <xdr:sp macro="" textlink="">
            <xdr:nvSpPr>
              <xdr:cNvPr id="0" name=""/>
              <xdr:cNvSpPr>
                <a:spLocks noTextEdit="1"/>
              </xdr:cNvSpPr>
            </xdr:nvSpPr>
            <xdr:spPr>
              <a:xfrm>
                <a:off x="7738357" y="25630933"/>
                <a:ext cx="2516472" cy="2701471"/>
              </a:xfrm>
              <a:prstGeom prst="rect">
                <a:avLst/>
              </a:prstGeom>
              <a:solidFill>
                <a:prstClr val="white"/>
              </a:solidFill>
              <a:ln w="1">
                <a:solidFill>
                  <a:prstClr val="green"/>
                </a:solidFill>
              </a:ln>
            </xdr:spPr>
            <xdr:txBody>
              <a:bodyPr vertOverflow="clip" horzOverflow="clip"/>
              <a:lstStyle/>
              <a:p>
                <a:r>
                  <a:rPr lang="pt-BR" sz="1100"/>
                  <a:t>Este gráfico não está disponível na sua versão de Excel.
Editar esta forma ou salvar esta pasta de trabalho em um formato de arquivo diferente quebrará o gráfico permanentemente.</a:t>
                </a:r>
              </a:p>
            </xdr:txBody>
          </xdr:sp>
        </mc:Fallback>
      </mc:AlternateContent>
    </xdr:grpSp>
    <xdr:clientData/>
  </xdr:twoCellAnchor>
  <xdr:twoCellAnchor>
    <xdr:from>
      <xdr:col>12</xdr:col>
      <xdr:colOff>379926</xdr:colOff>
      <xdr:row>102</xdr:row>
      <xdr:rowOff>183365</xdr:rowOff>
    </xdr:from>
    <xdr:to>
      <xdr:col>17</xdr:col>
      <xdr:colOff>262293</xdr:colOff>
      <xdr:row>118</xdr:row>
      <xdr:rowOff>145846</xdr:rowOff>
    </xdr:to>
    <xdr:grpSp>
      <xdr:nvGrpSpPr>
        <xdr:cNvPr id="149" name="Agrupar 148">
          <a:extLst>
            <a:ext uri="{FF2B5EF4-FFF2-40B4-BE49-F238E27FC236}">
              <a16:creationId xmlns:a16="http://schemas.microsoft.com/office/drawing/2014/main" id="{667D3DEE-1125-439B-9505-16686F64848C}"/>
            </a:ext>
          </a:extLst>
        </xdr:cNvPr>
        <xdr:cNvGrpSpPr/>
      </xdr:nvGrpSpPr>
      <xdr:grpSpPr>
        <a:xfrm>
          <a:off x="7659267" y="18946494"/>
          <a:ext cx="3020014" cy="2831187"/>
          <a:chOff x="10744040" y="25462821"/>
          <a:chExt cx="2913049" cy="3010481"/>
        </a:xfrm>
      </xdr:grpSpPr>
      <xdr:sp macro="" textlink="">
        <xdr:nvSpPr>
          <xdr:cNvPr id="150" name="Retângulo: Cantos Arredondados 149">
            <a:extLst>
              <a:ext uri="{FF2B5EF4-FFF2-40B4-BE49-F238E27FC236}">
                <a16:creationId xmlns:a16="http://schemas.microsoft.com/office/drawing/2014/main" id="{A7492F1B-922C-40C3-892E-D5735E417BEC}"/>
              </a:ext>
            </a:extLst>
          </xdr:cNvPr>
          <xdr:cNvSpPr/>
        </xdr:nvSpPr>
        <xdr:spPr>
          <a:xfrm>
            <a:off x="10744040" y="25462821"/>
            <a:ext cx="2913049" cy="3010481"/>
          </a:xfrm>
          <a:prstGeom prst="roundRect">
            <a:avLst/>
          </a:prstGeom>
          <a:solidFill>
            <a:schemeClr val="bg1"/>
          </a:solidFill>
          <a:ln>
            <a:solidFill>
              <a:schemeClr val="bg2"/>
            </a:solidFill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square" rtlCol="0" anchor="t">
            <a:noAutofit/>
          </a:bodyPr>
          <a:lstStyle/>
          <a:p>
            <a:pPr algn="ctr"/>
            <a:endParaRPr lang="pt-BR" sz="2000" b="1" baseline="0">
              <a:solidFill>
                <a:srgbClr val="0070C0"/>
              </a:solidFill>
              <a:latin typeface="+mn-lt"/>
              <a:ea typeface="+mn-ea"/>
              <a:cs typeface="+mn-cs"/>
            </a:endParaRPr>
          </a:p>
          <a:p>
            <a:pPr algn="ctr"/>
            <a:endParaRPr lang="pt-BR" sz="2000" b="1" baseline="0">
              <a:solidFill>
                <a:srgbClr val="0070C0"/>
              </a:solidFill>
              <a:latin typeface="+mn-lt"/>
              <a:ea typeface="+mn-ea"/>
              <a:cs typeface="+mn-cs"/>
            </a:endParaRPr>
          </a:p>
        </xdr:txBody>
      </xdr:sp>
      <mc:AlternateContent xmlns:mc="http://schemas.openxmlformats.org/markup-compatibility/2006">
        <mc:Choice xmlns:cx1="http://schemas.microsoft.com/office/drawing/2015/9/8/chartex" Requires="cx1">
          <xdr:graphicFrame macro="">
            <xdr:nvGraphicFramePr>
              <xdr:cNvPr id="151" name="Gráfico 150">
                <a:extLst>
                  <a:ext uri="{FF2B5EF4-FFF2-40B4-BE49-F238E27FC236}">
                    <a16:creationId xmlns:a16="http://schemas.microsoft.com/office/drawing/2014/main" id="{78E26348-A316-4726-BCAE-1B1C83BB9FC1}"/>
                  </a:ext>
                </a:extLst>
              </xdr:cNvPr>
              <xdr:cNvGraphicFramePr/>
            </xdr:nvGraphicFramePr>
            <xdr:xfrm>
              <a:off x="10938727" y="25617326"/>
              <a:ext cx="2516470" cy="2701471"/>
            </xdr:xfrm>
            <a:graphic>
              <a:graphicData uri="http://schemas.microsoft.com/office/drawing/2014/chartex">
                <cx:chart xmlns:cx="http://schemas.microsoft.com/office/drawing/2014/chartex" xmlns:r="http://schemas.openxmlformats.org/officeDocument/2006/relationships" r:id="rId46"/>
              </a:graphicData>
            </a:graphic>
          </xdr:graphicFrame>
        </mc:Choice>
        <mc:Fallback>
          <xdr:sp macro="" textlink="">
            <xdr:nvSpPr>
              <xdr:cNvPr id="0" name=""/>
              <xdr:cNvSpPr>
                <a:spLocks noTextEdit="1"/>
              </xdr:cNvSpPr>
            </xdr:nvSpPr>
            <xdr:spPr>
              <a:xfrm>
                <a:off x="10938727" y="25617326"/>
                <a:ext cx="2516470" cy="2701471"/>
              </a:xfrm>
              <a:prstGeom prst="rect">
                <a:avLst/>
              </a:prstGeom>
              <a:solidFill>
                <a:prstClr val="white"/>
              </a:solidFill>
              <a:ln w="1">
                <a:solidFill>
                  <a:prstClr val="green"/>
                </a:solidFill>
              </a:ln>
            </xdr:spPr>
            <xdr:txBody>
              <a:bodyPr vertOverflow="clip" horzOverflow="clip"/>
              <a:lstStyle/>
              <a:p>
                <a:r>
                  <a:rPr lang="pt-BR" sz="1100"/>
                  <a:t>Este gráfico não está disponível na sua versão de Excel.
Editar esta forma ou salvar esta pasta de trabalho em um formato de arquivo diferente quebrará o gráfico permanentemente.</a:t>
                </a:r>
              </a:p>
            </xdr:txBody>
          </xdr:sp>
        </mc:Fallback>
      </mc:AlternateContent>
    </xdr:grpSp>
    <xdr:clientData/>
  </xdr:twoCellAnchor>
  <xdr:twoCellAnchor>
    <xdr:from>
      <xdr:col>18</xdr:col>
      <xdr:colOff>122727</xdr:colOff>
      <xdr:row>102</xdr:row>
      <xdr:rowOff>183365</xdr:rowOff>
    </xdr:from>
    <xdr:to>
      <xdr:col>23</xdr:col>
      <xdr:colOff>0</xdr:colOff>
      <xdr:row>118</xdr:row>
      <xdr:rowOff>145846</xdr:rowOff>
    </xdr:to>
    <xdr:grpSp>
      <xdr:nvGrpSpPr>
        <xdr:cNvPr id="152" name="Agrupar 151">
          <a:extLst>
            <a:ext uri="{FF2B5EF4-FFF2-40B4-BE49-F238E27FC236}">
              <a16:creationId xmlns:a16="http://schemas.microsoft.com/office/drawing/2014/main" id="{E91AC30E-5EEA-4F52-ABB1-4D45BD5387B2}"/>
            </a:ext>
          </a:extLst>
        </xdr:cNvPr>
        <xdr:cNvGrpSpPr/>
      </xdr:nvGrpSpPr>
      <xdr:grpSpPr>
        <a:xfrm>
          <a:off x="11167245" y="18946494"/>
          <a:ext cx="3014920" cy="2831187"/>
          <a:chOff x="13919277" y="25497720"/>
          <a:chExt cx="2907955" cy="3010481"/>
        </a:xfrm>
      </xdr:grpSpPr>
      <xdr:sp macro="" textlink="">
        <xdr:nvSpPr>
          <xdr:cNvPr id="153" name="Retângulo: Cantos Arredondados 152">
            <a:extLst>
              <a:ext uri="{FF2B5EF4-FFF2-40B4-BE49-F238E27FC236}">
                <a16:creationId xmlns:a16="http://schemas.microsoft.com/office/drawing/2014/main" id="{691B617E-1536-41E8-AEC2-D61A57A9AE89}"/>
              </a:ext>
            </a:extLst>
          </xdr:cNvPr>
          <xdr:cNvSpPr/>
        </xdr:nvSpPr>
        <xdr:spPr>
          <a:xfrm>
            <a:off x="13919277" y="25497720"/>
            <a:ext cx="2907955" cy="3010481"/>
          </a:xfrm>
          <a:prstGeom prst="roundRect">
            <a:avLst/>
          </a:prstGeom>
          <a:solidFill>
            <a:schemeClr val="bg1"/>
          </a:solidFill>
          <a:ln>
            <a:solidFill>
              <a:schemeClr val="bg2"/>
            </a:solidFill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square" rtlCol="0" anchor="t">
            <a:noAutofit/>
          </a:bodyPr>
          <a:lstStyle/>
          <a:p>
            <a:pPr algn="ctr"/>
            <a:endParaRPr lang="pt-BR" sz="2000" b="1" baseline="0">
              <a:solidFill>
                <a:srgbClr val="0070C0"/>
              </a:solidFill>
              <a:latin typeface="+mn-lt"/>
              <a:ea typeface="+mn-ea"/>
              <a:cs typeface="+mn-cs"/>
            </a:endParaRPr>
          </a:p>
          <a:p>
            <a:pPr algn="ctr"/>
            <a:endParaRPr lang="pt-BR" sz="2000" b="1" baseline="0">
              <a:solidFill>
                <a:srgbClr val="0070C0"/>
              </a:solidFill>
              <a:latin typeface="+mn-lt"/>
              <a:ea typeface="+mn-ea"/>
              <a:cs typeface="+mn-cs"/>
            </a:endParaRPr>
          </a:p>
        </xdr:txBody>
      </xdr:sp>
      <mc:AlternateContent xmlns:mc="http://schemas.openxmlformats.org/markup-compatibility/2006">
        <mc:Choice xmlns:cx1="http://schemas.microsoft.com/office/drawing/2015/9/8/chartex" Requires="cx1">
          <xdr:graphicFrame macro="">
            <xdr:nvGraphicFramePr>
              <xdr:cNvPr id="154" name="Gráfico 153">
                <a:extLst>
                  <a:ext uri="{FF2B5EF4-FFF2-40B4-BE49-F238E27FC236}">
                    <a16:creationId xmlns:a16="http://schemas.microsoft.com/office/drawing/2014/main" id="{7F973D96-B107-4F70-B86F-D3E33DC8C13F}"/>
                  </a:ext>
                </a:extLst>
              </xdr:cNvPr>
              <xdr:cNvGraphicFramePr/>
            </xdr:nvGraphicFramePr>
            <xdr:xfrm>
              <a:off x="14113964" y="25652225"/>
              <a:ext cx="2513414" cy="2701471"/>
            </xdr:xfrm>
            <a:graphic>
              <a:graphicData uri="http://schemas.microsoft.com/office/drawing/2014/chartex">
                <cx:chart xmlns:cx="http://schemas.microsoft.com/office/drawing/2014/chartex" xmlns:r="http://schemas.openxmlformats.org/officeDocument/2006/relationships" r:id="rId47"/>
              </a:graphicData>
            </a:graphic>
          </xdr:graphicFrame>
        </mc:Choice>
        <mc:Fallback>
          <xdr:sp macro="" textlink="">
            <xdr:nvSpPr>
              <xdr:cNvPr id="0" name=""/>
              <xdr:cNvSpPr>
                <a:spLocks noTextEdit="1"/>
              </xdr:cNvSpPr>
            </xdr:nvSpPr>
            <xdr:spPr>
              <a:xfrm>
                <a:off x="14113964" y="25652225"/>
                <a:ext cx="2513414" cy="2701471"/>
              </a:xfrm>
              <a:prstGeom prst="rect">
                <a:avLst/>
              </a:prstGeom>
              <a:solidFill>
                <a:prstClr val="white"/>
              </a:solidFill>
              <a:ln w="1">
                <a:solidFill>
                  <a:prstClr val="green"/>
                </a:solidFill>
              </a:ln>
            </xdr:spPr>
            <xdr:txBody>
              <a:bodyPr vertOverflow="clip" horzOverflow="clip"/>
              <a:lstStyle/>
              <a:p>
                <a:r>
                  <a:rPr lang="pt-BR" sz="1100"/>
                  <a:t>Este gráfico não está disponível na sua versão de Excel.
Editar esta forma ou salvar esta pasta de trabalho em um formato de arquivo diferente quebrará o gráfico permanentemente.</a:t>
                </a:r>
              </a:p>
            </xdr:txBody>
          </xdr:sp>
        </mc:Fallback>
      </mc:AlternateContent>
    </xdr:grpSp>
    <xdr:clientData/>
  </xdr:twoCellAnchor>
  <xdr:twoCellAnchor>
    <xdr:from>
      <xdr:col>0</xdr:col>
      <xdr:colOff>237166</xdr:colOff>
      <xdr:row>43</xdr:row>
      <xdr:rowOff>180508</xdr:rowOff>
    </xdr:from>
    <xdr:to>
      <xdr:col>2</xdr:col>
      <xdr:colOff>27679</xdr:colOff>
      <xdr:row>47</xdr:row>
      <xdr:rowOff>188735</xdr:rowOff>
    </xdr:to>
    <xdr:grpSp>
      <xdr:nvGrpSpPr>
        <xdr:cNvPr id="155" name="Agrupar 154">
          <a:extLst>
            <a:ext uri="{FF2B5EF4-FFF2-40B4-BE49-F238E27FC236}">
              <a16:creationId xmlns:a16="http://schemas.microsoft.com/office/drawing/2014/main" id="{6A3E0477-8E17-4815-B804-A484B9D05A81}"/>
            </a:ext>
          </a:extLst>
        </xdr:cNvPr>
        <xdr:cNvGrpSpPr/>
      </xdr:nvGrpSpPr>
      <xdr:grpSpPr>
        <a:xfrm>
          <a:off x="237166" y="8365284"/>
          <a:ext cx="794560" cy="717784"/>
          <a:chOff x="14809951" y="21705649"/>
          <a:chExt cx="537052" cy="537052"/>
        </a:xfrm>
      </xdr:grpSpPr>
      <xdr:sp macro="" textlink="">
        <xdr:nvSpPr>
          <xdr:cNvPr id="156" name="Elipse 155">
            <a:extLst>
              <a:ext uri="{FF2B5EF4-FFF2-40B4-BE49-F238E27FC236}">
                <a16:creationId xmlns:a16="http://schemas.microsoft.com/office/drawing/2014/main" id="{3399A527-AF14-4493-86A3-E0D3563B1B8E}"/>
              </a:ext>
            </a:extLst>
          </xdr:cNvPr>
          <xdr:cNvSpPr/>
        </xdr:nvSpPr>
        <xdr:spPr>
          <a:xfrm>
            <a:off x="14809951" y="21705649"/>
            <a:ext cx="537052" cy="537052"/>
          </a:xfrm>
          <a:prstGeom prst="ellipse">
            <a:avLst/>
          </a:prstGeom>
          <a:solidFill>
            <a:srgbClr val="92D050"/>
          </a:solidFill>
          <a:ln>
            <a:noFill/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GB" sz="1100"/>
          </a:p>
        </xdr:txBody>
      </xdr:sp>
      <xdr:pic>
        <xdr:nvPicPr>
          <xdr:cNvPr id="157" name="Gráfico 156" descr="Dinheiro">
            <a:extLst>
              <a:ext uri="{FF2B5EF4-FFF2-40B4-BE49-F238E27FC236}">
                <a16:creationId xmlns:a16="http://schemas.microsoft.com/office/drawing/2014/main" id="{4AC9B590-B041-4815-A748-B66C2582F69D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8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49"/>
              </a:ext>
            </a:extLst>
          </a:blip>
          <a:stretch>
            <a:fillRect/>
          </a:stretch>
        </xdr:blipFill>
        <xdr:spPr>
          <a:xfrm flipH="1">
            <a:off x="14934890" y="21829137"/>
            <a:ext cx="287174" cy="290077"/>
          </a:xfrm>
          <a:prstGeom prst="rect">
            <a:avLst/>
          </a:prstGeom>
        </xdr:spPr>
      </xdr:pic>
    </xdr:grpSp>
    <xdr:clientData/>
  </xdr:twoCellAnchor>
  <xdr:twoCellAnchor>
    <xdr:from>
      <xdr:col>3</xdr:col>
      <xdr:colOff>161833</xdr:colOff>
      <xdr:row>26</xdr:row>
      <xdr:rowOff>13607</xdr:rowOff>
    </xdr:from>
    <xdr:to>
      <xdr:col>4</xdr:col>
      <xdr:colOff>86564</xdr:colOff>
      <xdr:row>28</xdr:row>
      <xdr:rowOff>169659</xdr:rowOff>
    </xdr:to>
    <xdr:grpSp>
      <xdr:nvGrpSpPr>
        <xdr:cNvPr id="158" name="Agrupar 157">
          <a:extLst>
            <a:ext uri="{FF2B5EF4-FFF2-40B4-BE49-F238E27FC236}">
              <a16:creationId xmlns:a16="http://schemas.microsoft.com/office/drawing/2014/main" id="{57AA0CA6-67A6-42F5-8823-8D8BDFC9CC85}"/>
            </a:ext>
          </a:extLst>
        </xdr:cNvPr>
        <xdr:cNvGrpSpPr/>
      </xdr:nvGrpSpPr>
      <xdr:grpSpPr>
        <a:xfrm>
          <a:off x="1793409" y="5150383"/>
          <a:ext cx="552261" cy="514641"/>
          <a:chOff x="14809951" y="21705649"/>
          <a:chExt cx="537052" cy="537052"/>
        </a:xfrm>
      </xdr:grpSpPr>
      <xdr:sp macro="" textlink="">
        <xdr:nvSpPr>
          <xdr:cNvPr id="159" name="Elipse 158">
            <a:extLst>
              <a:ext uri="{FF2B5EF4-FFF2-40B4-BE49-F238E27FC236}">
                <a16:creationId xmlns:a16="http://schemas.microsoft.com/office/drawing/2014/main" id="{2976CC58-0D59-4519-8D06-3CE79305C40E}"/>
              </a:ext>
            </a:extLst>
          </xdr:cNvPr>
          <xdr:cNvSpPr/>
        </xdr:nvSpPr>
        <xdr:spPr>
          <a:xfrm>
            <a:off x="14809951" y="21705649"/>
            <a:ext cx="537052" cy="537052"/>
          </a:xfrm>
          <a:prstGeom prst="ellipse">
            <a:avLst/>
          </a:prstGeom>
          <a:solidFill>
            <a:srgbClr val="00B050"/>
          </a:solidFill>
          <a:ln>
            <a:noFill/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GB" sz="1100"/>
          </a:p>
        </xdr:txBody>
      </xdr:sp>
      <xdr:pic>
        <xdr:nvPicPr>
          <xdr:cNvPr id="160" name="Gráfico 159" descr="Dinheiro">
            <a:extLst>
              <a:ext uri="{FF2B5EF4-FFF2-40B4-BE49-F238E27FC236}">
                <a16:creationId xmlns:a16="http://schemas.microsoft.com/office/drawing/2014/main" id="{CDF1CB30-21CF-4660-9B46-5FB21B2100F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8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49"/>
              </a:ext>
            </a:extLst>
          </a:blip>
          <a:stretch>
            <a:fillRect/>
          </a:stretch>
        </xdr:blipFill>
        <xdr:spPr>
          <a:xfrm flipH="1">
            <a:off x="14934890" y="21829137"/>
            <a:ext cx="287174" cy="290077"/>
          </a:xfrm>
          <a:prstGeom prst="rect">
            <a:avLst/>
          </a:prstGeom>
        </xdr:spPr>
      </xdr:pic>
    </xdr:grpSp>
    <xdr:clientData/>
  </xdr:twoCellAnchor>
  <xdr:twoCellAnchor>
    <xdr:from>
      <xdr:col>8</xdr:col>
      <xdr:colOff>552439</xdr:colOff>
      <xdr:row>26</xdr:row>
      <xdr:rowOff>27215</xdr:rowOff>
    </xdr:from>
    <xdr:to>
      <xdr:col>9</xdr:col>
      <xdr:colOff>477170</xdr:colOff>
      <xdr:row>28</xdr:row>
      <xdr:rowOff>183267</xdr:rowOff>
    </xdr:to>
    <xdr:grpSp>
      <xdr:nvGrpSpPr>
        <xdr:cNvPr id="161" name="Agrupar 160">
          <a:extLst>
            <a:ext uri="{FF2B5EF4-FFF2-40B4-BE49-F238E27FC236}">
              <a16:creationId xmlns:a16="http://schemas.microsoft.com/office/drawing/2014/main" id="{CBA7FEB6-294A-4563-ADAE-60D7BA322C05}"/>
            </a:ext>
          </a:extLst>
        </xdr:cNvPr>
        <xdr:cNvGrpSpPr/>
      </xdr:nvGrpSpPr>
      <xdr:grpSpPr>
        <a:xfrm>
          <a:off x="5321663" y="5163991"/>
          <a:ext cx="552260" cy="514641"/>
          <a:chOff x="11492582" y="19703143"/>
          <a:chExt cx="537052" cy="537052"/>
        </a:xfrm>
      </xdr:grpSpPr>
      <xdr:sp macro="" textlink="">
        <xdr:nvSpPr>
          <xdr:cNvPr id="162" name="Elipse 161">
            <a:extLst>
              <a:ext uri="{FF2B5EF4-FFF2-40B4-BE49-F238E27FC236}">
                <a16:creationId xmlns:a16="http://schemas.microsoft.com/office/drawing/2014/main" id="{503B69BC-CBED-49F5-81C0-F0CD9C5C340C}"/>
              </a:ext>
            </a:extLst>
          </xdr:cNvPr>
          <xdr:cNvSpPr/>
        </xdr:nvSpPr>
        <xdr:spPr>
          <a:xfrm>
            <a:off x="11492582" y="19703143"/>
            <a:ext cx="537052" cy="537052"/>
          </a:xfrm>
          <a:prstGeom prst="ellipse">
            <a:avLst/>
          </a:prstGeom>
          <a:solidFill>
            <a:srgbClr val="FF5757"/>
          </a:solidFill>
          <a:ln>
            <a:noFill/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GB" sz="1100"/>
          </a:p>
        </xdr:txBody>
      </xdr:sp>
      <xdr:pic>
        <xdr:nvPicPr>
          <xdr:cNvPr id="163" name="Gráfico 162" descr="Eletricista">
            <a:extLst>
              <a:ext uri="{FF2B5EF4-FFF2-40B4-BE49-F238E27FC236}">
                <a16:creationId xmlns:a16="http://schemas.microsoft.com/office/drawing/2014/main" id="{E0E5631F-359E-4134-AD5F-E7C89051629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0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51"/>
              </a:ext>
            </a:extLst>
          </a:blip>
          <a:stretch>
            <a:fillRect/>
          </a:stretch>
        </xdr:blipFill>
        <xdr:spPr>
          <a:xfrm>
            <a:off x="11581814" y="19786645"/>
            <a:ext cx="358589" cy="370048"/>
          </a:xfrm>
          <a:prstGeom prst="rect">
            <a:avLst/>
          </a:prstGeom>
          <a:effectLst/>
        </xdr:spPr>
      </xdr:pic>
    </xdr:grpSp>
    <xdr:clientData/>
  </xdr:twoCellAnchor>
  <xdr:twoCellAnchor>
    <xdr:from>
      <xdr:col>0</xdr:col>
      <xdr:colOff>237166</xdr:colOff>
      <xdr:row>62</xdr:row>
      <xdr:rowOff>169303</xdr:rowOff>
    </xdr:from>
    <xdr:to>
      <xdr:col>2</xdr:col>
      <xdr:colOff>27679</xdr:colOff>
      <xdr:row>66</xdr:row>
      <xdr:rowOff>177530</xdr:rowOff>
    </xdr:to>
    <xdr:grpSp>
      <xdr:nvGrpSpPr>
        <xdr:cNvPr id="164" name="Agrupar 163">
          <a:extLst>
            <a:ext uri="{FF2B5EF4-FFF2-40B4-BE49-F238E27FC236}">
              <a16:creationId xmlns:a16="http://schemas.microsoft.com/office/drawing/2014/main" id="{CDF376BC-E3AD-4618-9514-6F449C9691D9}"/>
            </a:ext>
          </a:extLst>
        </xdr:cNvPr>
        <xdr:cNvGrpSpPr/>
      </xdr:nvGrpSpPr>
      <xdr:grpSpPr>
        <a:xfrm>
          <a:off x="237166" y="11760668"/>
          <a:ext cx="794560" cy="725403"/>
          <a:chOff x="11544236" y="21886302"/>
          <a:chExt cx="770227" cy="770227"/>
        </a:xfrm>
      </xdr:grpSpPr>
      <xdr:sp macro="" textlink="">
        <xdr:nvSpPr>
          <xdr:cNvPr id="165" name="Elipse 164">
            <a:extLst>
              <a:ext uri="{FF2B5EF4-FFF2-40B4-BE49-F238E27FC236}">
                <a16:creationId xmlns:a16="http://schemas.microsoft.com/office/drawing/2014/main" id="{20ABD3D0-4EDB-4665-9DF6-1C559E9AA473}"/>
              </a:ext>
            </a:extLst>
          </xdr:cNvPr>
          <xdr:cNvSpPr/>
        </xdr:nvSpPr>
        <xdr:spPr>
          <a:xfrm>
            <a:off x="11544236" y="21886302"/>
            <a:ext cx="770227" cy="770227"/>
          </a:xfrm>
          <a:prstGeom prst="ellipse">
            <a:avLst/>
          </a:prstGeom>
          <a:solidFill>
            <a:srgbClr val="FF8989"/>
          </a:solidFill>
          <a:ln>
            <a:noFill/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GB" sz="1100"/>
          </a:p>
        </xdr:txBody>
      </xdr:sp>
      <xdr:pic>
        <xdr:nvPicPr>
          <xdr:cNvPr id="166" name="Gráfico 165" descr="Eletricista">
            <a:extLst>
              <a:ext uri="{FF2B5EF4-FFF2-40B4-BE49-F238E27FC236}">
                <a16:creationId xmlns:a16="http://schemas.microsoft.com/office/drawing/2014/main" id="{9B620B58-D448-45E9-8FBB-AEAC8BB9441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0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51"/>
              </a:ext>
            </a:extLst>
          </a:blip>
          <a:stretch>
            <a:fillRect/>
          </a:stretch>
        </xdr:blipFill>
        <xdr:spPr>
          <a:xfrm>
            <a:off x="11694026" y="22035254"/>
            <a:ext cx="470647" cy="472323"/>
          </a:xfrm>
          <a:prstGeom prst="rect">
            <a:avLst/>
          </a:prstGeom>
          <a:effectLst/>
        </xdr:spPr>
      </xdr:pic>
    </xdr:grpSp>
    <xdr:clientData/>
  </xdr:twoCellAnchor>
  <xdr:twoCellAnchor>
    <xdr:from>
      <xdr:col>14</xdr:col>
      <xdr:colOff>311916</xdr:colOff>
      <xdr:row>26</xdr:row>
      <xdr:rowOff>17829</xdr:rowOff>
    </xdr:from>
    <xdr:to>
      <xdr:col>15</xdr:col>
      <xdr:colOff>236646</xdr:colOff>
      <xdr:row>28</xdr:row>
      <xdr:rowOff>173881</xdr:rowOff>
    </xdr:to>
    <xdr:sp macro="" textlink="">
      <xdr:nvSpPr>
        <xdr:cNvPr id="167" name="Elipse 166">
          <a:extLst>
            <a:ext uri="{FF2B5EF4-FFF2-40B4-BE49-F238E27FC236}">
              <a16:creationId xmlns:a16="http://schemas.microsoft.com/office/drawing/2014/main" id="{33921212-4484-44CE-A026-5DF629ED5EB3}"/>
            </a:ext>
          </a:extLst>
        </xdr:cNvPr>
        <xdr:cNvSpPr/>
      </xdr:nvSpPr>
      <xdr:spPr>
        <a:xfrm>
          <a:off x="8846316" y="4970829"/>
          <a:ext cx="534330" cy="537052"/>
        </a:xfrm>
        <a:prstGeom prst="ellipse">
          <a:avLst/>
        </a:prstGeom>
        <a:solidFill>
          <a:srgbClr val="1583F7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20</xdr:col>
      <xdr:colOff>81632</xdr:colOff>
      <xdr:row>26</xdr:row>
      <xdr:rowOff>32657</xdr:rowOff>
    </xdr:from>
    <xdr:to>
      <xdr:col>21</xdr:col>
      <xdr:colOff>6363</xdr:colOff>
      <xdr:row>28</xdr:row>
      <xdr:rowOff>188709</xdr:rowOff>
    </xdr:to>
    <xdr:sp macro="" textlink="">
      <xdr:nvSpPr>
        <xdr:cNvPr id="168" name="Elipse 167">
          <a:extLst>
            <a:ext uri="{FF2B5EF4-FFF2-40B4-BE49-F238E27FC236}">
              <a16:creationId xmlns:a16="http://schemas.microsoft.com/office/drawing/2014/main" id="{FF177430-2D3B-4EEE-AC96-6D44D49C4163}"/>
            </a:ext>
          </a:extLst>
        </xdr:cNvPr>
        <xdr:cNvSpPr/>
      </xdr:nvSpPr>
      <xdr:spPr>
        <a:xfrm>
          <a:off x="12273632" y="4985657"/>
          <a:ext cx="534331" cy="537052"/>
        </a:xfrm>
        <a:prstGeom prst="ellipse">
          <a:avLst/>
        </a:prstGeom>
        <a:solidFill>
          <a:srgbClr val="7030A0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oneCellAnchor>
    <xdr:from>
      <xdr:col>14</xdr:col>
      <xdr:colOff>413652</xdr:colOff>
      <xdr:row>26</xdr:row>
      <xdr:rowOff>113420</xdr:rowOff>
    </xdr:from>
    <xdr:ext cx="326375" cy="343469"/>
    <xdr:pic>
      <xdr:nvPicPr>
        <xdr:cNvPr id="169" name="Gráfico 168" descr="Moedas">
          <a:extLst>
            <a:ext uri="{FF2B5EF4-FFF2-40B4-BE49-F238E27FC236}">
              <a16:creationId xmlns:a16="http://schemas.microsoft.com/office/drawing/2014/main" id="{CF153A3F-C6D7-4CDE-ADF2-EF07F7CABE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53"/>
            </a:ext>
          </a:extLst>
        </a:blip>
        <a:stretch>
          <a:fillRect/>
        </a:stretch>
      </xdr:blipFill>
      <xdr:spPr>
        <a:xfrm flipH="1">
          <a:off x="8948052" y="5066420"/>
          <a:ext cx="326375" cy="343469"/>
        </a:xfrm>
        <a:prstGeom prst="rect">
          <a:avLst/>
        </a:prstGeom>
      </xdr:spPr>
    </xdr:pic>
    <xdr:clientData/>
  </xdr:oneCellAnchor>
  <xdr:oneCellAnchor>
    <xdr:from>
      <xdr:col>20</xdr:col>
      <xdr:colOff>170864</xdr:colOff>
      <xdr:row>26</xdr:row>
      <xdr:rowOff>116159</xdr:rowOff>
    </xdr:from>
    <xdr:ext cx="344432" cy="334368"/>
    <xdr:pic>
      <xdr:nvPicPr>
        <xdr:cNvPr id="170" name="Gráfico 169" descr="Sirene">
          <a:extLst>
            <a:ext uri="{FF2B5EF4-FFF2-40B4-BE49-F238E27FC236}">
              <a16:creationId xmlns:a16="http://schemas.microsoft.com/office/drawing/2014/main" id="{81BF13D9-0FC0-4806-A530-A88B288470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55"/>
            </a:ext>
          </a:extLst>
        </a:blip>
        <a:stretch>
          <a:fillRect/>
        </a:stretch>
      </xdr:blipFill>
      <xdr:spPr>
        <a:xfrm>
          <a:off x="12362864" y="5069159"/>
          <a:ext cx="344432" cy="334368"/>
        </a:xfrm>
        <a:prstGeom prst="rect">
          <a:avLst/>
        </a:prstGeom>
        <a:effectLst/>
      </xdr:spPr>
    </xdr:pic>
    <xdr:clientData/>
  </xdr:oneCellAnchor>
  <xdr:twoCellAnchor>
    <xdr:from>
      <xdr:col>0</xdr:col>
      <xdr:colOff>237166</xdr:colOff>
      <xdr:row>82</xdr:row>
      <xdr:rowOff>99780</xdr:rowOff>
    </xdr:from>
    <xdr:to>
      <xdr:col>2</xdr:col>
      <xdr:colOff>27679</xdr:colOff>
      <xdr:row>86</xdr:row>
      <xdr:rowOff>108007</xdr:rowOff>
    </xdr:to>
    <xdr:grpSp>
      <xdr:nvGrpSpPr>
        <xdr:cNvPr id="171" name="Agrupar 170">
          <a:extLst>
            <a:ext uri="{FF2B5EF4-FFF2-40B4-BE49-F238E27FC236}">
              <a16:creationId xmlns:a16="http://schemas.microsoft.com/office/drawing/2014/main" id="{37BDB424-D996-4E08-BA01-B4E1259CD1CE}"/>
            </a:ext>
          </a:extLst>
        </xdr:cNvPr>
        <xdr:cNvGrpSpPr/>
      </xdr:nvGrpSpPr>
      <xdr:grpSpPr>
        <a:xfrm>
          <a:off x="237166" y="15277027"/>
          <a:ext cx="794560" cy="725404"/>
          <a:chOff x="12548177" y="19530780"/>
          <a:chExt cx="770227" cy="770227"/>
        </a:xfrm>
      </xdr:grpSpPr>
      <xdr:sp macro="" textlink="">
        <xdr:nvSpPr>
          <xdr:cNvPr id="172" name="Elipse 171">
            <a:extLst>
              <a:ext uri="{FF2B5EF4-FFF2-40B4-BE49-F238E27FC236}">
                <a16:creationId xmlns:a16="http://schemas.microsoft.com/office/drawing/2014/main" id="{D97FCBA1-EAE5-416A-A818-263D8F2F3825}"/>
              </a:ext>
            </a:extLst>
          </xdr:cNvPr>
          <xdr:cNvSpPr/>
        </xdr:nvSpPr>
        <xdr:spPr>
          <a:xfrm>
            <a:off x="12548177" y="19530780"/>
            <a:ext cx="770227" cy="770227"/>
          </a:xfrm>
          <a:prstGeom prst="ellipse">
            <a:avLst/>
          </a:prstGeom>
          <a:solidFill>
            <a:srgbClr val="1583F7"/>
          </a:solidFill>
          <a:ln>
            <a:noFill/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n-GB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173" name="Gráfico 172" descr="Moedas">
            <a:extLst>
              <a:ext uri="{FF2B5EF4-FFF2-40B4-BE49-F238E27FC236}">
                <a16:creationId xmlns:a16="http://schemas.microsoft.com/office/drawing/2014/main" id="{1D45E649-3A20-417A-A55E-95898081870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53"/>
              </a:ext>
            </a:extLst>
          </a:blip>
          <a:stretch>
            <a:fillRect/>
          </a:stretch>
        </xdr:blipFill>
        <xdr:spPr>
          <a:xfrm flipH="1">
            <a:off x="12728090" y="19703133"/>
            <a:ext cx="410400" cy="425521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237166</xdr:colOff>
      <xdr:row>102</xdr:row>
      <xdr:rowOff>3488</xdr:rowOff>
    </xdr:from>
    <xdr:to>
      <xdr:col>2</xdr:col>
      <xdr:colOff>27679</xdr:colOff>
      <xdr:row>106</xdr:row>
      <xdr:rowOff>11715</xdr:rowOff>
    </xdr:to>
    <xdr:grpSp>
      <xdr:nvGrpSpPr>
        <xdr:cNvPr id="174" name="Agrupar 173">
          <a:extLst>
            <a:ext uri="{FF2B5EF4-FFF2-40B4-BE49-F238E27FC236}">
              <a16:creationId xmlns:a16="http://schemas.microsoft.com/office/drawing/2014/main" id="{C3534112-D4D7-4B47-AE5A-7D36953884CB}"/>
            </a:ext>
          </a:extLst>
        </xdr:cNvPr>
        <xdr:cNvGrpSpPr/>
      </xdr:nvGrpSpPr>
      <xdr:grpSpPr>
        <a:xfrm>
          <a:off x="237166" y="18766617"/>
          <a:ext cx="794560" cy="725404"/>
          <a:chOff x="10787011" y="19094310"/>
          <a:chExt cx="770227" cy="770227"/>
        </a:xfrm>
      </xdr:grpSpPr>
      <xdr:sp macro="" textlink="">
        <xdr:nvSpPr>
          <xdr:cNvPr id="175" name="Elipse 174">
            <a:extLst>
              <a:ext uri="{FF2B5EF4-FFF2-40B4-BE49-F238E27FC236}">
                <a16:creationId xmlns:a16="http://schemas.microsoft.com/office/drawing/2014/main" id="{8A877BE5-BD3B-42D6-BFDB-47FF29B31475}"/>
              </a:ext>
            </a:extLst>
          </xdr:cNvPr>
          <xdr:cNvSpPr/>
        </xdr:nvSpPr>
        <xdr:spPr>
          <a:xfrm>
            <a:off x="10787011" y="19094310"/>
            <a:ext cx="770227" cy="770227"/>
          </a:xfrm>
          <a:prstGeom prst="ellipse">
            <a:avLst/>
          </a:prstGeom>
          <a:solidFill>
            <a:srgbClr val="AC75D5"/>
          </a:solidFill>
          <a:ln>
            <a:noFill/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GB" sz="1100"/>
          </a:p>
        </xdr:txBody>
      </xdr:sp>
      <xdr:pic>
        <xdr:nvPicPr>
          <xdr:cNvPr id="176" name="Gráfico 175" descr="Sirene">
            <a:extLst>
              <a:ext uri="{FF2B5EF4-FFF2-40B4-BE49-F238E27FC236}">
                <a16:creationId xmlns:a16="http://schemas.microsoft.com/office/drawing/2014/main" id="{9966D548-329B-4869-AC08-D6D5F713484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4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55"/>
              </a:ext>
            </a:extLst>
          </a:blip>
          <a:stretch>
            <a:fillRect/>
          </a:stretch>
        </xdr:blipFill>
        <xdr:spPr>
          <a:xfrm>
            <a:off x="10966924" y="19278789"/>
            <a:ext cx="410400" cy="401269"/>
          </a:xfrm>
          <a:prstGeom prst="rect">
            <a:avLst/>
          </a:prstGeom>
          <a:effectLst/>
        </xdr:spPr>
      </xdr:pic>
    </xdr:grpSp>
    <xdr:clientData/>
  </xdr:twoCellAnchor>
  <xdr:oneCellAnchor>
    <xdr:from>
      <xdr:col>43</xdr:col>
      <xdr:colOff>235857</xdr:colOff>
      <xdr:row>35</xdr:row>
      <xdr:rowOff>72572</xdr:rowOff>
    </xdr:from>
    <xdr:ext cx="184731" cy="264560"/>
    <xdr:sp macro="" textlink="">
      <xdr:nvSpPr>
        <xdr:cNvPr id="177" name="CaixaDeTexto 176">
          <a:extLst>
            <a:ext uri="{FF2B5EF4-FFF2-40B4-BE49-F238E27FC236}">
              <a16:creationId xmlns:a16="http://schemas.microsoft.com/office/drawing/2014/main" id="{09F70BB0-6260-45CA-A6E0-FA04CF7AA795}"/>
            </a:ext>
          </a:extLst>
        </xdr:cNvPr>
        <xdr:cNvSpPr txBox="1"/>
      </xdr:nvSpPr>
      <xdr:spPr>
        <a:xfrm>
          <a:off x="26448657" y="674007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twoCellAnchor>
    <xdr:from>
      <xdr:col>12</xdr:col>
      <xdr:colOff>497537</xdr:colOff>
      <xdr:row>150</xdr:row>
      <xdr:rowOff>32306</xdr:rowOff>
    </xdr:from>
    <xdr:to>
      <xdr:col>16</xdr:col>
      <xdr:colOff>305706</xdr:colOff>
      <xdr:row>166</xdr:row>
      <xdr:rowOff>9751</xdr:rowOff>
    </xdr:to>
    <xdr:grpSp>
      <xdr:nvGrpSpPr>
        <xdr:cNvPr id="178" name="Agrupar 177">
          <a:extLst>
            <a:ext uri="{FF2B5EF4-FFF2-40B4-BE49-F238E27FC236}">
              <a16:creationId xmlns:a16="http://schemas.microsoft.com/office/drawing/2014/main" id="{DD5A2721-1AD8-4FDB-A5F4-D5DB5A386821}"/>
            </a:ext>
          </a:extLst>
        </xdr:cNvPr>
        <xdr:cNvGrpSpPr/>
      </xdr:nvGrpSpPr>
      <xdr:grpSpPr>
        <a:xfrm>
          <a:off x="7776878" y="28522141"/>
          <a:ext cx="2318287" cy="2846151"/>
          <a:chOff x="5115795" y="6145352"/>
          <a:chExt cx="2358155" cy="2597789"/>
        </a:xfrm>
      </xdr:grpSpPr>
      <xdr:sp macro="" textlink="">
        <xdr:nvSpPr>
          <xdr:cNvPr id="179" name="Retângulo: Cantos Arredondados 178">
            <a:extLst>
              <a:ext uri="{FF2B5EF4-FFF2-40B4-BE49-F238E27FC236}">
                <a16:creationId xmlns:a16="http://schemas.microsoft.com/office/drawing/2014/main" id="{7DA8818B-0357-4DEB-93FC-A48056710ED3}"/>
              </a:ext>
            </a:extLst>
          </xdr:cNvPr>
          <xdr:cNvSpPr/>
        </xdr:nvSpPr>
        <xdr:spPr>
          <a:xfrm>
            <a:off x="5115795" y="6145352"/>
            <a:ext cx="2358155" cy="2115343"/>
          </a:xfrm>
          <a:prstGeom prst="roundRect">
            <a:avLst/>
          </a:prstGeom>
          <a:solidFill>
            <a:schemeClr val="bg1"/>
          </a:solidFill>
          <a:ln>
            <a:solidFill>
              <a:schemeClr val="bg2"/>
            </a:solidFill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square" rtlCol="0" anchor="t">
            <a:noAutofit/>
          </a:bodyPr>
          <a:lstStyle/>
          <a:p>
            <a:pPr algn="ctr"/>
            <a:endParaRPr lang="pt-BR" sz="2000" b="1" baseline="0">
              <a:solidFill>
                <a:srgbClr val="0070C0"/>
              </a:solidFill>
              <a:latin typeface="+mn-lt"/>
              <a:ea typeface="+mn-ea"/>
              <a:cs typeface="+mn-cs"/>
            </a:endParaRPr>
          </a:p>
          <a:p>
            <a:pPr algn="ctr"/>
            <a:endParaRPr lang="pt-BR" sz="2000" b="1" baseline="0">
              <a:solidFill>
                <a:srgbClr val="0070C0"/>
              </a:solidFill>
              <a:latin typeface="+mn-lt"/>
              <a:ea typeface="+mn-ea"/>
              <a:cs typeface="+mn-cs"/>
            </a:endParaRPr>
          </a:p>
        </xdr:txBody>
      </xdr:sp>
      <xdr:grpSp>
        <xdr:nvGrpSpPr>
          <xdr:cNvPr id="180" name="Agrupar 179">
            <a:extLst>
              <a:ext uri="{FF2B5EF4-FFF2-40B4-BE49-F238E27FC236}">
                <a16:creationId xmlns:a16="http://schemas.microsoft.com/office/drawing/2014/main" id="{3C295B96-2E8E-463C-9CD0-E12B289E620C}"/>
              </a:ext>
            </a:extLst>
          </xdr:cNvPr>
          <xdr:cNvGrpSpPr/>
        </xdr:nvGrpSpPr>
        <xdr:grpSpPr>
          <a:xfrm>
            <a:off x="5218068" y="6339201"/>
            <a:ext cx="2152595" cy="2403940"/>
            <a:chOff x="13580615" y="4597258"/>
            <a:chExt cx="2164722" cy="2451869"/>
          </a:xfrm>
        </xdr:grpSpPr>
        <xdr:graphicFrame macro="">
          <xdr:nvGraphicFramePr>
            <xdr:cNvPr id="181" name="Gráfico 180">
              <a:extLst>
                <a:ext uri="{FF2B5EF4-FFF2-40B4-BE49-F238E27FC236}">
                  <a16:creationId xmlns:a16="http://schemas.microsoft.com/office/drawing/2014/main" id="{CEAAAEE9-9231-4E2B-9B56-02D4C4821CE5}"/>
                </a:ext>
              </a:extLst>
            </xdr:cNvPr>
            <xdr:cNvGraphicFramePr>
              <a:graphicFrameLocks/>
            </xdr:cNvGraphicFramePr>
          </xdr:nvGraphicFramePr>
          <xdr:xfrm>
            <a:off x="13580615" y="4597258"/>
            <a:ext cx="2164722" cy="2451869"/>
          </xdr:xfrm>
          <a:graphic>
            <a:graphicData uri="http://schemas.openxmlformats.org/drawingml/2006/chart">
              <c:chart xmlns:c="http://schemas.openxmlformats.org/drawingml/2006/chart" xmlns:r="http://schemas.openxmlformats.org/officeDocument/2006/relationships" r:id="rId56"/>
            </a:graphicData>
          </a:graphic>
        </xdr:graphicFrame>
        <xdr:sp macro="" textlink="$AM$34">
          <xdr:nvSpPr>
            <xdr:cNvPr id="182" name="CaixaDeTexto 181">
              <a:extLst>
                <a:ext uri="{FF2B5EF4-FFF2-40B4-BE49-F238E27FC236}">
                  <a16:creationId xmlns:a16="http://schemas.microsoft.com/office/drawing/2014/main" id="{9D8CACC3-9160-4884-B2D3-D2186073855E}"/>
                </a:ext>
              </a:extLst>
            </xdr:cNvPr>
            <xdr:cNvSpPr txBox="1"/>
          </xdr:nvSpPr>
          <xdr:spPr>
            <a:xfrm>
              <a:off x="14058587" y="5899758"/>
              <a:ext cx="1217039" cy="237186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ctr">
              <a:spAutoFit/>
            </a:bodyPr>
            <a:lstStyle/>
            <a:p>
              <a:pPr algn="ctr"/>
              <a:fld id="{D24559FC-257B-4A4B-8783-80BA3EBC1356}" type="TxLink">
                <a:rPr lang="en-US" sz="1100" b="0" i="0" u="none" strike="noStrike">
                  <a:solidFill>
                    <a:srgbClr val="000000"/>
                  </a:solidFill>
                  <a:latin typeface="Calibri"/>
                  <a:cs typeface="Calibri"/>
                </a:rPr>
                <a:pPr algn="ctr"/>
                <a:t>RISCO BAIXO</a:t>
              </a:fld>
              <a:endParaRPr lang="pt-BR" sz="1100" b="0"/>
            </a:p>
          </xdr:txBody>
        </xdr:sp>
      </xdr:grpSp>
    </xdr:grpSp>
    <xdr:clientData/>
  </xdr:twoCellAnchor>
  <xdr:twoCellAnchor>
    <xdr:from>
      <xdr:col>17</xdr:col>
      <xdr:colOff>554687</xdr:colOff>
      <xdr:row>150</xdr:row>
      <xdr:rowOff>35029</xdr:rowOff>
    </xdr:from>
    <xdr:to>
      <xdr:col>21</xdr:col>
      <xdr:colOff>362856</xdr:colOff>
      <xdr:row>166</xdr:row>
      <xdr:rowOff>12473</xdr:rowOff>
    </xdr:to>
    <xdr:grpSp>
      <xdr:nvGrpSpPr>
        <xdr:cNvPr id="183" name="Agrupar 182">
          <a:extLst>
            <a:ext uri="{FF2B5EF4-FFF2-40B4-BE49-F238E27FC236}">
              <a16:creationId xmlns:a16="http://schemas.microsoft.com/office/drawing/2014/main" id="{A0341A53-841A-4E38-8167-1467558C96CA}"/>
            </a:ext>
          </a:extLst>
        </xdr:cNvPr>
        <xdr:cNvGrpSpPr/>
      </xdr:nvGrpSpPr>
      <xdr:grpSpPr>
        <a:xfrm>
          <a:off x="10971675" y="28524864"/>
          <a:ext cx="2318287" cy="2846150"/>
          <a:chOff x="5115795" y="6145352"/>
          <a:chExt cx="2358155" cy="2597788"/>
        </a:xfrm>
      </xdr:grpSpPr>
      <xdr:sp macro="" textlink="">
        <xdr:nvSpPr>
          <xdr:cNvPr id="184" name="Retângulo: Cantos Arredondados 183">
            <a:extLst>
              <a:ext uri="{FF2B5EF4-FFF2-40B4-BE49-F238E27FC236}">
                <a16:creationId xmlns:a16="http://schemas.microsoft.com/office/drawing/2014/main" id="{1AF113BF-CBCF-40DE-BF1D-E8D347CEDB30}"/>
              </a:ext>
            </a:extLst>
          </xdr:cNvPr>
          <xdr:cNvSpPr/>
        </xdr:nvSpPr>
        <xdr:spPr>
          <a:xfrm>
            <a:off x="5115795" y="6145352"/>
            <a:ext cx="2358155" cy="2115343"/>
          </a:xfrm>
          <a:prstGeom prst="roundRect">
            <a:avLst/>
          </a:prstGeom>
          <a:solidFill>
            <a:schemeClr val="bg1"/>
          </a:solidFill>
          <a:ln>
            <a:solidFill>
              <a:schemeClr val="bg2"/>
            </a:solidFill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square" rtlCol="0" anchor="t">
            <a:noAutofit/>
          </a:bodyPr>
          <a:lstStyle/>
          <a:p>
            <a:pPr algn="ctr"/>
            <a:endParaRPr lang="pt-BR" sz="2000" b="1" baseline="0">
              <a:solidFill>
                <a:srgbClr val="0070C0"/>
              </a:solidFill>
              <a:latin typeface="+mn-lt"/>
              <a:ea typeface="+mn-ea"/>
              <a:cs typeface="+mn-cs"/>
            </a:endParaRPr>
          </a:p>
          <a:p>
            <a:pPr algn="ctr"/>
            <a:endParaRPr lang="pt-BR" sz="2000" b="1" baseline="0">
              <a:solidFill>
                <a:srgbClr val="0070C0"/>
              </a:solidFill>
              <a:latin typeface="+mn-lt"/>
              <a:ea typeface="+mn-ea"/>
              <a:cs typeface="+mn-cs"/>
            </a:endParaRPr>
          </a:p>
        </xdr:txBody>
      </xdr:sp>
      <xdr:grpSp>
        <xdr:nvGrpSpPr>
          <xdr:cNvPr id="185" name="Agrupar 184">
            <a:extLst>
              <a:ext uri="{FF2B5EF4-FFF2-40B4-BE49-F238E27FC236}">
                <a16:creationId xmlns:a16="http://schemas.microsoft.com/office/drawing/2014/main" id="{C1A32271-3FF2-4238-8FF6-E3A03F4ABB55}"/>
              </a:ext>
            </a:extLst>
          </xdr:cNvPr>
          <xdr:cNvGrpSpPr/>
        </xdr:nvGrpSpPr>
        <xdr:grpSpPr>
          <a:xfrm>
            <a:off x="5218070" y="6339200"/>
            <a:ext cx="2152595" cy="2403940"/>
            <a:chOff x="13580617" y="4597257"/>
            <a:chExt cx="2164722" cy="2451869"/>
          </a:xfrm>
        </xdr:grpSpPr>
        <xdr:graphicFrame macro="">
          <xdr:nvGraphicFramePr>
            <xdr:cNvPr id="186" name="Gráfico 185">
              <a:extLst>
                <a:ext uri="{FF2B5EF4-FFF2-40B4-BE49-F238E27FC236}">
                  <a16:creationId xmlns:a16="http://schemas.microsoft.com/office/drawing/2014/main" id="{6E2CC274-5EDB-42FF-8834-F84B63DB5D10}"/>
                </a:ext>
              </a:extLst>
            </xdr:cNvPr>
            <xdr:cNvGraphicFramePr>
              <a:graphicFrameLocks/>
            </xdr:cNvGraphicFramePr>
          </xdr:nvGraphicFramePr>
          <xdr:xfrm>
            <a:off x="13580617" y="4597257"/>
            <a:ext cx="2164722" cy="2451869"/>
          </xdr:xfrm>
          <a:graphic>
            <a:graphicData uri="http://schemas.openxmlformats.org/drawingml/2006/chart">
              <c:chart xmlns:c="http://schemas.openxmlformats.org/drawingml/2006/chart" xmlns:r="http://schemas.openxmlformats.org/officeDocument/2006/relationships" r:id="rId57"/>
            </a:graphicData>
          </a:graphic>
        </xdr:graphicFrame>
        <xdr:sp macro="" textlink="$AM$34">
          <xdr:nvSpPr>
            <xdr:cNvPr id="187" name="CaixaDeTexto 186">
              <a:extLst>
                <a:ext uri="{FF2B5EF4-FFF2-40B4-BE49-F238E27FC236}">
                  <a16:creationId xmlns:a16="http://schemas.microsoft.com/office/drawing/2014/main" id="{B685A003-6BFA-454D-8E3E-4D742760D3EC}"/>
                </a:ext>
              </a:extLst>
            </xdr:cNvPr>
            <xdr:cNvSpPr txBox="1"/>
          </xdr:nvSpPr>
          <xdr:spPr>
            <a:xfrm>
              <a:off x="14058587" y="5899758"/>
              <a:ext cx="1217039" cy="237186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ctr">
              <a:spAutoFit/>
            </a:bodyPr>
            <a:lstStyle/>
            <a:p>
              <a:pPr algn="ctr"/>
              <a:fld id="{D24559FC-257B-4A4B-8783-80BA3EBC1356}" type="TxLink">
                <a:rPr lang="en-US" sz="1100" b="0" i="0" u="none" strike="noStrike">
                  <a:solidFill>
                    <a:srgbClr val="000000"/>
                  </a:solidFill>
                  <a:latin typeface="Calibri"/>
                  <a:cs typeface="Calibri"/>
                </a:rPr>
                <a:pPr algn="ctr"/>
                <a:t>RISCO BAIXO</a:t>
              </a:fld>
              <a:endParaRPr lang="pt-BR" sz="1100" b="0"/>
            </a:p>
          </xdr:txBody>
        </xdr:sp>
      </xdr:grpSp>
    </xdr:grpSp>
    <xdr:clientData/>
  </xdr:twoCellAnchor>
  <xdr:twoCellAnchor>
    <xdr:from>
      <xdr:col>7</xdr:col>
      <xdr:colOff>443109</xdr:colOff>
      <xdr:row>166</xdr:row>
      <xdr:rowOff>86736</xdr:rowOff>
    </xdr:from>
    <xdr:to>
      <xdr:col>11</xdr:col>
      <xdr:colOff>251277</xdr:colOff>
      <xdr:row>180</xdr:row>
      <xdr:rowOff>77787</xdr:rowOff>
    </xdr:to>
    <xdr:grpSp>
      <xdr:nvGrpSpPr>
        <xdr:cNvPr id="188" name="Agrupar 187">
          <a:extLst>
            <a:ext uri="{FF2B5EF4-FFF2-40B4-BE49-F238E27FC236}">
              <a16:creationId xmlns:a16="http://schemas.microsoft.com/office/drawing/2014/main" id="{AE0D75CF-D013-4750-839B-70ECDA0776A0}"/>
            </a:ext>
          </a:extLst>
        </xdr:cNvPr>
        <xdr:cNvGrpSpPr/>
      </xdr:nvGrpSpPr>
      <xdr:grpSpPr>
        <a:xfrm>
          <a:off x="4584803" y="31445277"/>
          <a:ext cx="2318286" cy="2877686"/>
          <a:chOff x="5115795" y="6145352"/>
          <a:chExt cx="2358155" cy="2597788"/>
        </a:xfrm>
      </xdr:grpSpPr>
      <xdr:sp macro="" textlink="">
        <xdr:nvSpPr>
          <xdr:cNvPr id="189" name="Retângulo: Cantos Arredondados 188">
            <a:extLst>
              <a:ext uri="{FF2B5EF4-FFF2-40B4-BE49-F238E27FC236}">
                <a16:creationId xmlns:a16="http://schemas.microsoft.com/office/drawing/2014/main" id="{DF422C78-E0F1-4662-A3AE-76F37BE5DE08}"/>
              </a:ext>
            </a:extLst>
          </xdr:cNvPr>
          <xdr:cNvSpPr/>
        </xdr:nvSpPr>
        <xdr:spPr>
          <a:xfrm>
            <a:off x="5115795" y="6145352"/>
            <a:ext cx="2358155" cy="2115343"/>
          </a:xfrm>
          <a:prstGeom prst="roundRect">
            <a:avLst/>
          </a:prstGeom>
          <a:solidFill>
            <a:schemeClr val="bg1"/>
          </a:solidFill>
          <a:ln>
            <a:solidFill>
              <a:schemeClr val="bg2"/>
            </a:solidFill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square" rtlCol="0" anchor="t">
            <a:noAutofit/>
          </a:bodyPr>
          <a:lstStyle/>
          <a:p>
            <a:pPr algn="ctr"/>
            <a:endParaRPr lang="pt-BR" sz="2000" b="1" baseline="0">
              <a:solidFill>
                <a:srgbClr val="0070C0"/>
              </a:solidFill>
              <a:latin typeface="+mn-lt"/>
              <a:ea typeface="+mn-ea"/>
              <a:cs typeface="+mn-cs"/>
            </a:endParaRPr>
          </a:p>
          <a:p>
            <a:pPr algn="ctr"/>
            <a:endParaRPr lang="pt-BR" sz="2000" b="1" baseline="0">
              <a:solidFill>
                <a:srgbClr val="0070C0"/>
              </a:solidFill>
              <a:latin typeface="+mn-lt"/>
              <a:ea typeface="+mn-ea"/>
              <a:cs typeface="+mn-cs"/>
            </a:endParaRPr>
          </a:p>
        </xdr:txBody>
      </xdr:sp>
      <xdr:grpSp>
        <xdr:nvGrpSpPr>
          <xdr:cNvPr id="190" name="Agrupar 189">
            <a:extLst>
              <a:ext uri="{FF2B5EF4-FFF2-40B4-BE49-F238E27FC236}">
                <a16:creationId xmlns:a16="http://schemas.microsoft.com/office/drawing/2014/main" id="{315F0179-5DE3-41AF-B7F9-478944FB0EDD}"/>
              </a:ext>
            </a:extLst>
          </xdr:cNvPr>
          <xdr:cNvGrpSpPr/>
        </xdr:nvGrpSpPr>
        <xdr:grpSpPr>
          <a:xfrm>
            <a:off x="5218070" y="6339200"/>
            <a:ext cx="2152595" cy="2403940"/>
            <a:chOff x="13580617" y="4597257"/>
            <a:chExt cx="2164722" cy="2451869"/>
          </a:xfrm>
        </xdr:grpSpPr>
        <xdr:graphicFrame macro="">
          <xdr:nvGraphicFramePr>
            <xdr:cNvPr id="191" name="Gráfico 190">
              <a:extLst>
                <a:ext uri="{FF2B5EF4-FFF2-40B4-BE49-F238E27FC236}">
                  <a16:creationId xmlns:a16="http://schemas.microsoft.com/office/drawing/2014/main" id="{ABC79496-5410-4B28-9469-43F8C284897F}"/>
                </a:ext>
              </a:extLst>
            </xdr:cNvPr>
            <xdr:cNvGraphicFramePr>
              <a:graphicFrameLocks/>
            </xdr:cNvGraphicFramePr>
          </xdr:nvGraphicFramePr>
          <xdr:xfrm>
            <a:off x="13580617" y="4597257"/>
            <a:ext cx="2164722" cy="2451869"/>
          </xdr:xfrm>
          <a:graphic>
            <a:graphicData uri="http://schemas.openxmlformats.org/drawingml/2006/chart">
              <c:chart xmlns:c="http://schemas.openxmlformats.org/drawingml/2006/chart" xmlns:r="http://schemas.openxmlformats.org/officeDocument/2006/relationships" r:id="rId58"/>
            </a:graphicData>
          </a:graphic>
        </xdr:graphicFrame>
        <xdr:sp macro="" textlink="$AM$34">
          <xdr:nvSpPr>
            <xdr:cNvPr id="192" name="CaixaDeTexto 191">
              <a:extLst>
                <a:ext uri="{FF2B5EF4-FFF2-40B4-BE49-F238E27FC236}">
                  <a16:creationId xmlns:a16="http://schemas.microsoft.com/office/drawing/2014/main" id="{EA0CE631-7987-4B48-A57C-CB8E66A97258}"/>
                </a:ext>
              </a:extLst>
            </xdr:cNvPr>
            <xdr:cNvSpPr txBox="1"/>
          </xdr:nvSpPr>
          <xdr:spPr>
            <a:xfrm>
              <a:off x="14058587" y="5900302"/>
              <a:ext cx="1217039" cy="236099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ctr">
              <a:spAutoFit/>
            </a:bodyPr>
            <a:lstStyle/>
            <a:p>
              <a:pPr algn="ctr"/>
              <a:fld id="{D24559FC-257B-4A4B-8783-80BA3EBC1356}" type="TxLink">
                <a:rPr lang="en-US" sz="1100" b="0" i="0" u="none" strike="noStrike">
                  <a:solidFill>
                    <a:srgbClr val="000000"/>
                  </a:solidFill>
                  <a:latin typeface="Calibri"/>
                  <a:cs typeface="Calibri"/>
                </a:rPr>
                <a:pPr algn="ctr"/>
                <a:t>RISCO BAIXO</a:t>
              </a:fld>
              <a:endParaRPr lang="pt-BR" sz="1100" b="0"/>
            </a:p>
          </xdr:txBody>
        </xdr:sp>
      </xdr:grpSp>
    </xdr:grpSp>
    <xdr:clientData/>
  </xdr:twoCellAnchor>
  <xdr:twoCellAnchor>
    <xdr:from>
      <xdr:col>12</xdr:col>
      <xdr:colOff>486651</xdr:colOff>
      <xdr:row>166</xdr:row>
      <xdr:rowOff>89457</xdr:rowOff>
    </xdr:from>
    <xdr:to>
      <xdr:col>16</xdr:col>
      <xdr:colOff>294820</xdr:colOff>
      <xdr:row>180</xdr:row>
      <xdr:rowOff>80508</xdr:rowOff>
    </xdr:to>
    <xdr:grpSp>
      <xdr:nvGrpSpPr>
        <xdr:cNvPr id="193" name="Agrupar 192">
          <a:extLst>
            <a:ext uri="{FF2B5EF4-FFF2-40B4-BE49-F238E27FC236}">
              <a16:creationId xmlns:a16="http://schemas.microsoft.com/office/drawing/2014/main" id="{4A5BF2A9-93E4-490C-993A-4FF37D2EFD0B}"/>
            </a:ext>
          </a:extLst>
        </xdr:cNvPr>
        <xdr:cNvGrpSpPr/>
      </xdr:nvGrpSpPr>
      <xdr:grpSpPr>
        <a:xfrm>
          <a:off x="7765992" y="31447998"/>
          <a:ext cx="2318287" cy="2877686"/>
          <a:chOff x="5115795" y="6145352"/>
          <a:chExt cx="2358155" cy="2597788"/>
        </a:xfrm>
      </xdr:grpSpPr>
      <xdr:sp macro="" textlink="">
        <xdr:nvSpPr>
          <xdr:cNvPr id="194" name="Retângulo: Cantos Arredondados 193">
            <a:extLst>
              <a:ext uri="{FF2B5EF4-FFF2-40B4-BE49-F238E27FC236}">
                <a16:creationId xmlns:a16="http://schemas.microsoft.com/office/drawing/2014/main" id="{07A83D97-4AD3-4CFC-945A-6840000AF5CA}"/>
              </a:ext>
            </a:extLst>
          </xdr:cNvPr>
          <xdr:cNvSpPr/>
        </xdr:nvSpPr>
        <xdr:spPr>
          <a:xfrm>
            <a:off x="5115795" y="6145352"/>
            <a:ext cx="2358155" cy="2115343"/>
          </a:xfrm>
          <a:prstGeom prst="roundRect">
            <a:avLst/>
          </a:prstGeom>
          <a:solidFill>
            <a:schemeClr val="bg1"/>
          </a:solidFill>
          <a:ln>
            <a:solidFill>
              <a:schemeClr val="bg2"/>
            </a:solidFill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square" rtlCol="0" anchor="t">
            <a:noAutofit/>
          </a:bodyPr>
          <a:lstStyle/>
          <a:p>
            <a:pPr algn="ctr"/>
            <a:endParaRPr lang="pt-BR" sz="2000" b="1" baseline="0">
              <a:solidFill>
                <a:srgbClr val="0070C0"/>
              </a:solidFill>
              <a:latin typeface="+mn-lt"/>
              <a:ea typeface="+mn-ea"/>
              <a:cs typeface="+mn-cs"/>
            </a:endParaRPr>
          </a:p>
          <a:p>
            <a:pPr algn="ctr"/>
            <a:endParaRPr lang="pt-BR" sz="2000" b="1" baseline="0">
              <a:solidFill>
                <a:srgbClr val="0070C0"/>
              </a:solidFill>
              <a:latin typeface="+mn-lt"/>
              <a:ea typeface="+mn-ea"/>
              <a:cs typeface="+mn-cs"/>
            </a:endParaRPr>
          </a:p>
        </xdr:txBody>
      </xdr:sp>
      <xdr:grpSp>
        <xdr:nvGrpSpPr>
          <xdr:cNvPr id="195" name="Agrupar 194">
            <a:extLst>
              <a:ext uri="{FF2B5EF4-FFF2-40B4-BE49-F238E27FC236}">
                <a16:creationId xmlns:a16="http://schemas.microsoft.com/office/drawing/2014/main" id="{AE15801D-1223-4005-9CA0-2B1224031DDD}"/>
              </a:ext>
            </a:extLst>
          </xdr:cNvPr>
          <xdr:cNvGrpSpPr/>
        </xdr:nvGrpSpPr>
        <xdr:grpSpPr>
          <a:xfrm>
            <a:off x="5218070" y="6339200"/>
            <a:ext cx="2152595" cy="2403940"/>
            <a:chOff x="13580617" y="4597257"/>
            <a:chExt cx="2164722" cy="2451869"/>
          </a:xfrm>
        </xdr:grpSpPr>
        <xdr:graphicFrame macro="">
          <xdr:nvGraphicFramePr>
            <xdr:cNvPr id="196" name="Gráfico 195">
              <a:extLst>
                <a:ext uri="{FF2B5EF4-FFF2-40B4-BE49-F238E27FC236}">
                  <a16:creationId xmlns:a16="http://schemas.microsoft.com/office/drawing/2014/main" id="{00FC830E-712C-48EA-A305-0ABFC40CD24E}"/>
                </a:ext>
              </a:extLst>
            </xdr:cNvPr>
            <xdr:cNvGraphicFramePr>
              <a:graphicFrameLocks/>
            </xdr:cNvGraphicFramePr>
          </xdr:nvGraphicFramePr>
          <xdr:xfrm>
            <a:off x="13580617" y="4597257"/>
            <a:ext cx="2164722" cy="2451869"/>
          </xdr:xfrm>
          <a:graphic>
            <a:graphicData uri="http://schemas.openxmlformats.org/drawingml/2006/chart">
              <c:chart xmlns:c="http://schemas.openxmlformats.org/drawingml/2006/chart" xmlns:r="http://schemas.openxmlformats.org/officeDocument/2006/relationships" r:id="rId59"/>
            </a:graphicData>
          </a:graphic>
        </xdr:graphicFrame>
        <xdr:sp macro="" textlink="$AM$34">
          <xdr:nvSpPr>
            <xdr:cNvPr id="197" name="CaixaDeTexto 196">
              <a:extLst>
                <a:ext uri="{FF2B5EF4-FFF2-40B4-BE49-F238E27FC236}">
                  <a16:creationId xmlns:a16="http://schemas.microsoft.com/office/drawing/2014/main" id="{CCE227F8-57CD-49EA-A47B-06D66B0B34E6}"/>
                </a:ext>
              </a:extLst>
            </xdr:cNvPr>
            <xdr:cNvSpPr txBox="1"/>
          </xdr:nvSpPr>
          <xdr:spPr>
            <a:xfrm>
              <a:off x="14058587" y="5900302"/>
              <a:ext cx="1217039" cy="236099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ctr">
              <a:spAutoFit/>
            </a:bodyPr>
            <a:lstStyle/>
            <a:p>
              <a:pPr algn="ctr"/>
              <a:fld id="{D24559FC-257B-4A4B-8783-80BA3EBC1356}" type="TxLink">
                <a:rPr lang="en-US" sz="1100" b="0" i="0" u="none" strike="noStrike">
                  <a:solidFill>
                    <a:srgbClr val="000000"/>
                  </a:solidFill>
                  <a:latin typeface="Calibri"/>
                  <a:cs typeface="Calibri"/>
                </a:rPr>
                <a:pPr algn="ctr"/>
                <a:t>RISCO BAIXO</a:t>
              </a:fld>
              <a:endParaRPr lang="pt-BR" sz="1100" b="0"/>
            </a:p>
          </xdr:txBody>
        </xdr:sp>
      </xdr:grpSp>
    </xdr:grpSp>
    <xdr:clientData/>
  </xdr:twoCellAnchor>
  <xdr:twoCellAnchor>
    <xdr:from>
      <xdr:col>17</xdr:col>
      <xdr:colOff>543801</xdr:colOff>
      <xdr:row>166</xdr:row>
      <xdr:rowOff>92179</xdr:rowOff>
    </xdr:from>
    <xdr:to>
      <xdr:col>21</xdr:col>
      <xdr:colOff>351970</xdr:colOff>
      <xdr:row>180</xdr:row>
      <xdr:rowOff>83230</xdr:rowOff>
    </xdr:to>
    <xdr:grpSp>
      <xdr:nvGrpSpPr>
        <xdr:cNvPr id="198" name="Agrupar 197">
          <a:extLst>
            <a:ext uri="{FF2B5EF4-FFF2-40B4-BE49-F238E27FC236}">
              <a16:creationId xmlns:a16="http://schemas.microsoft.com/office/drawing/2014/main" id="{87E45B41-AE32-4CE6-A304-BBA4CAC33F20}"/>
            </a:ext>
          </a:extLst>
        </xdr:cNvPr>
        <xdr:cNvGrpSpPr/>
      </xdr:nvGrpSpPr>
      <xdr:grpSpPr>
        <a:xfrm>
          <a:off x="10960789" y="31450720"/>
          <a:ext cx="2318287" cy="2877686"/>
          <a:chOff x="5115795" y="6145352"/>
          <a:chExt cx="2358155" cy="2597788"/>
        </a:xfrm>
      </xdr:grpSpPr>
      <xdr:sp macro="" textlink="">
        <xdr:nvSpPr>
          <xdr:cNvPr id="199" name="Retângulo: Cantos Arredondados 198">
            <a:extLst>
              <a:ext uri="{FF2B5EF4-FFF2-40B4-BE49-F238E27FC236}">
                <a16:creationId xmlns:a16="http://schemas.microsoft.com/office/drawing/2014/main" id="{2E859924-B153-4039-8AA2-1459E60F0F83}"/>
              </a:ext>
            </a:extLst>
          </xdr:cNvPr>
          <xdr:cNvSpPr/>
        </xdr:nvSpPr>
        <xdr:spPr>
          <a:xfrm>
            <a:off x="5115795" y="6145352"/>
            <a:ext cx="2358155" cy="2115343"/>
          </a:xfrm>
          <a:prstGeom prst="roundRect">
            <a:avLst/>
          </a:prstGeom>
          <a:solidFill>
            <a:schemeClr val="bg1"/>
          </a:solidFill>
          <a:ln>
            <a:solidFill>
              <a:schemeClr val="bg2"/>
            </a:solidFill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square" rtlCol="0" anchor="t">
            <a:noAutofit/>
          </a:bodyPr>
          <a:lstStyle/>
          <a:p>
            <a:pPr algn="ctr"/>
            <a:endParaRPr lang="pt-BR" sz="2000" b="1" baseline="0">
              <a:solidFill>
                <a:srgbClr val="0070C0"/>
              </a:solidFill>
              <a:latin typeface="+mn-lt"/>
              <a:ea typeface="+mn-ea"/>
              <a:cs typeface="+mn-cs"/>
            </a:endParaRPr>
          </a:p>
          <a:p>
            <a:pPr algn="ctr"/>
            <a:endParaRPr lang="pt-BR" sz="2000" b="1" baseline="0">
              <a:solidFill>
                <a:srgbClr val="0070C0"/>
              </a:solidFill>
              <a:latin typeface="+mn-lt"/>
              <a:ea typeface="+mn-ea"/>
              <a:cs typeface="+mn-cs"/>
            </a:endParaRPr>
          </a:p>
        </xdr:txBody>
      </xdr:sp>
      <xdr:grpSp>
        <xdr:nvGrpSpPr>
          <xdr:cNvPr id="200" name="Agrupar 199">
            <a:extLst>
              <a:ext uri="{FF2B5EF4-FFF2-40B4-BE49-F238E27FC236}">
                <a16:creationId xmlns:a16="http://schemas.microsoft.com/office/drawing/2014/main" id="{FD53CEE1-98AA-4984-9CB0-78C59A55EE52}"/>
              </a:ext>
            </a:extLst>
          </xdr:cNvPr>
          <xdr:cNvGrpSpPr/>
        </xdr:nvGrpSpPr>
        <xdr:grpSpPr>
          <a:xfrm>
            <a:off x="5218070" y="6339200"/>
            <a:ext cx="2152595" cy="2403940"/>
            <a:chOff x="13580617" y="4597257"/>
            <a:chExt cx="2164722" cy="2451869"/>
          </a:xfrm>
        </xdr:grpSpPr>
        <xdr:graphicFrame macro="">
          <xdr:nvGraphicFramePr>
            <xdr:cNvPr id="201" name="Gráfico 200">
              <a:extLst>
                <a:ext uri="{FF2B5EF4-FFF2-40B4-BE49-F238E27FC236}">
                  <a16:creationId xmlns:a16="http://schemas.microsoft.com/office/drawing/2014/main" id="{DBBCAE26-0FC7-499A-9F81-801146C0A23B}"/>
                </a:ext>
              </a:extLst>
            </xdr:cNvPr>
            <xdr:cNvGraphicFramePr>
              <a:graphicFrameLocks/>
            </xdr:cNvGraphicFramePr>
          </xdr:nvGraphicFramePr>
          <xdr:xfrm>
            <a:off x="13580617" y="4597257"/>
            <a:ext cx="2164722" cy="2451869"/>
          </xdr:xfrm>
          <a:graphic>
            <a:graphicData uri="http://schemas.openxmlformats.org/drawingml/2006/chart">
              <c:chart xmlns:c="http://schemas.openxmlformats.org/drawingml/2006/chart" xmlns:r="http://schemas.openxmlformats.org/officeDocument/2006/relationships" r:id="rId60"/>
            </a:graphicData>
          </a:graphic>
        </xdr:graphicFrame>
        <xdr:sp macro="" textlink="$AM$34">
          <xdr:nvSpPr>
            <xdr:cNvPr id="202" name="CaixaDeTexto 201">
              <a:extLst>
                <a:ext uri="{FF2B5EF4-FFF2-40B4-BE49-F238E27FC236}">
                  <a16:creationId xmlns:a16="http://schemas.microsoft.com/office/drawing/2014/main" id="{FC4460C6-14EC-4D58-A1C9-C3128B036DE9}"/>
                </a:ext>
              </a:extLst>
            </xdr:cNvPr>
            <xdr:cNvSpPr txBox="1"/>
          </xdr:nvSpPr>
          <xdr:spPr>
            <a:xfrm>
              <a:off x="14058587" y="5900302"/>
              <a:ext cx="1217039" cy="236099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ctr">
              <a:spAutoFit/>
            </a:bodyPr>
            <a:lstStyle/>
            <a:p>
              <a:pPr algn="ctr"/>
              <a:fld id="{D24559FC-257B-4A4B-8783-80BA3EBC1356}" type="TxLink">
                <a:rPr lang="en-US" sz="1100" b="0" i="0" u="none" strike="noStrike">
                  <a:solidFill>
                    <a:srgbClr val="000000"/>
                  </a:solidFill>
                  <a:latin typeface="Calibri"/>
                  <a:cs typeface="Calibri"/>
                </a:rPr>
                <a:pPr algn="ctr"/>
                <a:t>RISCO BAIXO</a:t>
              </a:fld>
              <a:endParaRPr lang="pt-BR" sz="1100" b="0"/>
            </a:p>
          </xdr:txBody>
        </xdr:sp>
      </xdr:grpSp>
    </xdr:grpSp>
    <xdr:clientData/>
  </xdr:twoCellAnchor>
  <xdr:twoCellAnchor editAs="oneCell">
    <xdr:from>
      <xdr:col>1</xdr:col>
      <xdr:colOff>504265</xdr:colOff>
      <xdr:row>2</xdr:row>
      <xdr:rowOff>201706</xdr:rowOff>
    </xdr:from>
    <xdr:to>
      <xdr:col>4</xdr:col>
      <xdr:colOff>156882</xdr:colOff>
      <xdr:row>4</xdr:row>
      <xdr:rowOff>40955</xdr:rowOff>
    </xdr:to>
    <xdr:pic>
      <xdr:nvPicPr>
        <xdr:cNvPr id="204" name="Imagem 203">
          <a:hlinkClick xmlns:r="http://schemas.openxmlformats.org/officeDocument/2006/relationships" r:id="rId61"/>
          <a:extLst>
            <a:ext uri="{FF2B5EF4-FFF2-40B4-BE49-F238E27FC236}">
              <a16:creationId xmlns:a16="http://schemas.microsoft.com/office/drawing/2014/main" id="{C1CBE91C-73EC-45EE-B6C8-8AE8F5F2A9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2853" y="627530"/>
          <a:ext cx="1467970" cy="545219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495300</xdr:colOff>
      <xdr:row>9</xdr:row>
      <xdr:rowOff>123826</xdr:rowOff>
    </xdr:from>
    <xdr:to>
      <xdr:col>15</xdr:col>
      <xdr:colOff>819150</xdr:colOff>
      <xdr:row>12</xdr:row>
      <xdr:rowOff>142876</xdr:rowOff>
    </xdr:to>
    <xdr:sp macro="" textlink="">
      <xdr:nvSpPr>
        <xdr:cNvPr id="2" name="Retângulo 1">
          <a:extLst>
            <a:ext uri="{FF2B5EF4-FFF2-40B4-BE49-F238E27FC236}">
              <a16:creationId xmlns:a16="http://schemas.microsoft.com/office/drawing/2014/main" id="{2D3B976A-D530-4D11-8D36-AD7DB4EC3BFE}"/>
            </a:ext>
          </a:extLst>
        </xdr:cNvPr>
        <xdr:cNvSpPr/>
      </xdr:nvSpPr>
      <xdr:spPr>
        <a:xfrm>
          <a:off x="7810500" y="1838326"/>
          <a:ext cx="1943100" cy="5905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GB" sz="1100"/>
            <a:t>NÃO</a:t>
          </a:r>
          <a:r>
            <a:rPr lang="en-GB" sz="1100" baseline="0"/>
            <a:t> DEIXAR ESPAÇOS VAZIOS NAS LISTAS</a:t>
          </a:r>
        </a:p>
        <a:p>
          <a:pPr algn="l"/>
          <a:endParaRPr lang="en-GB" sz="1100"/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4" xr:uid="{462C6525-BA39-477C-BAA4-B84F16952959}" name="tabela_registros" displayName="tabela_registros" ref="B6:L76" headerRowDxfId="9590" dataDxfId="9589" totalsRowDxfId="9588">
  <autoFilter ref="B6:L76" xr:uid="{9AC9D7BC-8670-4813-936A-89AD7DE2E930}"/>
  <sortState xmlns:xlrd2="http://schemas.microsoft.com/office/spreadsheetml/2017/richdata2" ref="D7:L62">
    <sortCondition ref="D6:D62"/>
  </sortState>
  <tableColumns count="11">
    <tableColumn id="11" xr3:uid="{B27F5E62-8FB0-4DEC-A7BF-BA179093F7D8}" name="DIA" dataDxfId="9587">
      <calculatedColumnFormula>DAY(tabela_registros[[#This Row],[DATA 
REGISTRO]])</calculatedColumnFormula>
    </tableColumn>
    <tableColumn id="10" xr3:uid="{208681C4-0094-4901-B4FC-AFCCC34BE504}" name="MÊS" dataDxfId="9586">
      <calculatedColumnFormula>MONTH(tabela_registros[[#This Row],[DATA 
REGISTRO]])</calculatedColumnFormula>
    </tableColumn>
    <tableColumn id="3" xr3:uid="{CDDDE15A-68FD-4C08-89E5-8DCA4E76DF78}" name="DATA _x000a_REGISTRO" totalsRowLabel="Total" dataDxfId="9585" totalsRowDxfId="9584"/>
    <tableColumn id="4" xr3:uid="{9FF1A2AA-338F-4D85-826B-5F3B9917BAA6}" name="REGISTRO" totalsRowFunction="count" dataDxfId="9583"/>
    <tableColumn id="1" xr3:uid="{1ED8EA59-2984-48A3-980C-6A8679B5521B}" name="TIPO" dataDxfId="9582" totalsRowDxfId="9581"/>
    <tableColumn id="2" xr3:uid="{9E7BFE0C-7D48-43C0-85D9-7BBECEDF7608}" name="CATEGORIA" dataDxfId="9580"/>
    <tableColumn id="6" xr3:uid="{16A5EE56-4BBD-4A45-88F1-583805F50654}" name="DESCRIÇÃO" dataDxfId="9579" totalsRowDxfId="9578"/>
    <tableColumn id="5" xr3:uid="{0E192C28-7CD7-434D-9CC3-01594A7CBC85}" name="VALOR" totalsRowFunction="sum" dataDxfId="9577" dataCellStyle="Moeda"/>
    <tableColumn id="7" xr3:uid="{CED46A95-A603-4CC5-A8E8-C442FF92DD45}" name="FORMATO" dataDxfId="9576" totalsRowDxfId="9575"/>
    <tableColumn id="12" xr3:uid="{E2C3A61E-0BB7-4C33-9569-B54CE1296989}" name="SITUAÇÃO" dataDxfId="9574" totalsRowDxfId="9573"/>
    <tableColumn id="8" xr3:uid="{3C6B5930-9926-479C-96FF-B76A7E0FE816}" name="DATA_x000a_MOVIMENTAÇÃO" dataDxfId="9572"/>
  </tableColumns>
  <tableStyleInfo name="Estilo de Tabela 1" showFirstColumn="1" showLastColumn="1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2" xr:uid="{FE080E2C-AD61-432D-994D-658D86EC2B37}" name="despesafixaconsolidadoanual" displayName="despesafixaconsolidadoanual" ref="C36:Q51" headerRowDxfId="9571" dataDxfId="9570" totalsRowDxfId="9569">
  <autoFilter ref="C36:Q51" xr:uid="{5ADEFF0A-DF5A-4FC5-A9EC-68EEC14B5F43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</autoFilter>
  <tableColumns count="15">
    <tableColumn id="1" xr3:uid="{5194D39B-67EB-4054-A1DA-17714E2F031F}" name="DESPESA FIXA" totalsRowLabel="Total" dataDxfId="9568"/>
    <tableColumn id="42" xr3:uid="{3EC7DE4D-CD69-42E0-9B8D-45CEA4CA1A0A}" name="Coluna1" dataDxfId="9567">
      <calculatedColumnFormula>IF(despesafixaconsolidadoanual[[#This Row],[TOTAL]]=0,"",IF(OR(despesafixaconsolidadoanual[[#This Row],[TOTAL]]=SMALL($Q$37:$Q$50,1),despesafixaconsolidadoanual[[#This Row],[TOTAL]]=SMALL($Q$37:$Q$50,2),despesafixaconsolidadoanual[[#This Row],[TOTAL]]=SMALL($Q$37:$Q$50,3),despesafixaconsolidadoanual[[#This Row],[TOTAL]]=SMALL($Q$37:$Q$50,4),despesafixaconsolidadoanual[[#This Row],[TOTAL]]=SMALL($Q$37:$Q$50,5)),DADOS!$I$8,""))</calculatedColumnFormula>
    </tableColumn>
    <tableColumn id="18" xr3:uid="{59205E65-B012-4173-9E5B-E125B70E2D36}" name="1" totalsRowFunction="sum" dataDxfId="9566" dataCellStyle="Moeda">
      <calculatedColumnFormula>despesafixaconsolidado[[#This Row],[TOTAL]]</calculatedColumnFormula>
    </tableColumn>
    <tableColumn id="19" xr3:uid="{EF8BBEA4-FD25-4763-AC45-72F0B6A002A7}" name="2" totalsRowFunction="sum" dataDxfId="9565" dataCellStyle="Moeda">
      <calculatedColumnFormula>despesafixaconsolidadofev[[#This Row],[TOTAL]]</calculatedColumnFormula>
    </tableColumn>
    <tableColumn id="20" xr3:uid="{968EA103-DDE9-4B73-95B3-AFFB34B8A387}" name="3" totalsRowFunction="sum" dataDxfId="9564" dataCellStyle="Moeda">
      <calculatedColumnFormula>despesafixaconsolidadomar[[#This Row],[TOTAL]]</calculatedColumnFormula>
    </tableColumn>
    <tableColumn id="21" xr3:uid="{FF821950-B4B1-4E5B-B7FE-58EDC2BA13EC}" name="4" totalsRowFunction="sum" dataDxfId="9563" dataCellStyle="Moeda">
      <calculatedColumnFormula>despesafixaconsolidadoabr[[#This Row],[TOTAL]]</calculatedColumnFormula>
    </tableColumn>
    <tableColumn id="22" xr3:uid="{3F986BF6-D6F5-45F4-8292-8CDC8138DA15}" name="5" totalsRowFunction="sum" dataDxfId="9562" dataCellStyle="Moeda">
      <calculatedColumnFormula>despesafixaconsolidadomai[[#This Row],[TOTAL]]</calculatedColumnFormula>
    </tableColumn>
    <tableColumn id="23" xr3:uid="{9D8C85EC-358C-4576-90A3-CC33C08A576E}" name="6" totalsRowFunction="sum" dataDxfId="9561" dataCellStyle="Moeda">
      <calculatedColumnFormula>despesafixaconsolidadojun[[#This Row],[TOTAL]]</calculatedColumnFormula>
    </tableColumn>
    <tableColumn id="24" xr3:uid="{C62F2BB1-1BED-4D3D-A050-50C4B71E5140}" name="7" totalsRowFunction="sum" dataDxfId="9560" dataCellStyle="Moeda">
      <calculatedColumnFormula>despesafixaconsolidadojul[[#This Row],[TOTAL]]</calculatedColumnFormula>
    </tableColumn>
    <tableColumn id="25" xr3:uid="{A376BCD4-A15E-432B-A22F-4A0EF232C456}" name="8" totalsRowFunction="sum" dataDxfId="9559" dataCellStyle="Moeda">
      <calculatedColumnFormula>despesafixaconsolidadoago[[#This Row],[TOTAL]]</calculatedColumnFormula>
    </tableColumn>
    <tableColumn id="26" xr3:uid="{CFAF2610-D9CF-42A2-BC9D-9D5C5B1C14E1}" name="9" totalsRowFunction="sum" dataDxfId="9558" dataCellStyle="Moeda">
      <calculatedColumnFormula>despesafixaconsolidadoset[[#This Row],[TOTAL]]</calculatedColumnFormula>
    </tableColumn>
    <tableColumn id="27" xr3:uid="{5C2983FD-7B5F-452B-AE58-C89CDA1CBC26}" name="10" totalsRowFunction="sum" dataDxfId="9557" dataCellStyle="Moeda">
      <calculatedColumnFormula>despesafixaconsolidadoout[[#This Row],[TOTAL]]</calculatedColumnFormula>
    </tableColumn>
    <tableColumn id="28" xr3:uid="{6651DA89-2D61-45BE-B264-6C10066D7BF7}" name="11" totalsRowFunction="sum" dataDxfId="9556" dataCellStyle="Moeda">
      <calculatedColumnFormula>despesafixaconsolidadonov[[#This Row],[TOTAL]]</calculatedColumnFormula>
    </tableColumn>
    <tableColumn id="29" xr3:uid="{A20F2639-1830-4BCF-B497-B9A5FC92A592}" name="12" totalsRowFunction="sum" dataDxfId="9555" dataCellStyle="Moeda">
      <calculatedColumnFormula>despesafixaconsolidadodez[[#This Row],[TOTAL]]</calculatedColumnFormula>
    </tableColumn>
    <tableColumn id="5" xr3:uid="{B1BF8363-353F-4DD9-B4D6-059F530DA5B1}" name="TOTAL" totalsRowFunction="sum" dataDxfId="9554" dataCellStyle="Moeda"/>
  </tableColumns>
  <tableStyleInfo name="TABELAS RESULTADOS" showFirstColumn="0" showLastColumn="1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3" xr:uid="{5235C3A4-435C-4C33-A2D4-165FBD23A0B0}" name="despesavariávelconsolidadoanual" displayName="despesavariávelconsolidadoanual" ref="C59:Q73" headerRowDxfId="9553" dataDxfId="9552" totalsRowDxfId="9551" dataCellStyle="Moeda">
  <autoFilter ref="C59:Q73" xr:uid="{07DB3A1D-DBCD-42BC-96FE-46512EDE2C70}"/>
  <tableColumns count="15">
    <tableColumn id="1" xr3:uid="{FE405250-D46C-4838-8794-9D9E904D626F}" name="DESPESA VARIÁVEL" totalsRowLabel="Total" dataDxfId="9550" totalsRowDxfId="9549">
      <calculatedColumnFormula>DADOS!T3</calculatedColumnFormula>
    </tableColumn>
    <tableColumn id="54" xr3:uid="{BE7F7D4E-DDA0-4AEA-BEE1-1AE918AB6D6D}" name="Coluna1" dataDxfId="9548" totalsRowDxfId="9547">
      <calculatedColumnFormula>IF(despesavariávelconsolidadoanual[[#This Row],[TOTAL]]=0,"",IF(OR(despesavariávelconsolidadoanual[[#This Row],[TOTAL]]=SMALL(despesavariávelconsolidadoanual[TOTAL],1),despesavariávelconsolidadoanual[[#This Row],[TOTAL]]=SMALL(despesavariávelconsolidadoanual[TOTAL],2),despesavariávelconsolidadoanual[[#This Row],[TOTAL]]=SMALL(despesavariávelconsolidadoanual[TOTAL],3),despesavariávelconsolidadoanual[[#This Row],[TOTAL]]=SMALL(despesavariávelconsolidadoanual[TOTAL],4),despesavariávelconsolidadoanual[[#This Row],[TOTAL]]=SMALL(despesavariávelconsolidadoanual[TOTAL],5)),DADOS!$I$8,""))</calculatedColumnFormula>
    </tableColumn>
    <tableColumn id="30" xr3:uid="{1A81F691-18EE-44B1-B74A-8E4E8B534D0F}" name="1" totalsRowFunction="sum" dataDxfId="9546">
      <calculatedColumnFormula>despesavariávelconsolidado[[#This Row],[TOTAL]]</calculatedColumnFormula>
    </tableColumn>
    <tableColumn id="31" xr3:uid="{B63A4BF9-C747-4E6F-B78A-CDC24457E6F4}" name="2" totalsRowFunction="sum" dataDxfId="9545">
      <calculatedColumnFormula>despesavariávelconsolidadofev[[#This Row],[TOTAL]]</calculatedColumnFormula>
    </tableColumn>
    <tableColumn id="32" xr3:uid="{3078704A-FB36-4657-88C0-F9AD9CE5D16C}" name="3" totalsRowFunction="sum" dataDxfId="9544">
      <calculatedColumnFormula>despesavariávelconsolidadomar[[#This Row],[TOTAL]]</calculatedColumnFormula>
    </tableColumn>
    <tableColumn id="33" xr3:uid="{1F24F27B-0522-4C22-8B17-F4F071A16F10}" name="4" totalsRowFunction="sum" dataDxfId="9543">
      <calculatedColumnFormula>despesavariávelconsolidadoabr[[#This Row],[TOTAL]]</calculatedColumnFormula>
    </tableColumn>
    <tableColumn id="34" xr3:uid="{16BB085C-69FE-425B-BF16-E78E94B88764}" name="5" totalsRowFunction="sum" dataDxfId="9542">
      <calculatedColumnFormula>despesavariávelconsolidadomai[[#This Row],[TOTAL]]</calculatedColumnFormula>
    </tableColumn>
    <tableColumn id="35" xr3:uid="{27F7F068-1CFE-4A36-94E4-B1B87E4E2EB0}" name="6" totalsRowFunction="sum" dataDxfId="9541">
      <calculatedColumnFormula>despesavariávelconsolidadojun[[#This Row],[TOTAL]]</calculatedColumnFormula>
    </tableColumn>
    <tableColumn id="36" xr3:uid="{7ED326C4-D692-47DA-8BBF-84126EBA1195}" name="7" totalsRowFunction="sum" dataDxfId="9540">
      <calculatedColumnFormula>despesavariávelconsolidadojul[[#This Row],[TOTAL]]</calculatedColumnFormula>
    </tableColumn>
    <tableColumn id="37" xr3:uid="{795D3339-A0D8-4AE2-B849-B1513172275C}" name="8" totalsRowFunction="sum" dataDxfId="9539">
      <calculatedColumnFormula>despesavariávelconsolidadoago[[#This Row],[TOTAL]]</calculatedColumnFormula>
    </tableColumn>
    <tableColumn id="38" xr3:uid="{5D37BEF4-840C-4976-8459-548544645E20}" name="9" totalsRowFunction="sum" dataDxfId="9538">
      <calculatedColumnFormula>despesavariávelconsolidadoset[[#This Row],[TOTAL]]</calculatedColumnFormula>
    </tableColumn>
    <tableColumn id="39" xr3:uid="{095B0B53-6180-46BA-979F-BD607B9F8352}" name="10" totalsRowFunction="sum" dataDxfId="9537">
      <calculatedColumnFormula>despesavariávelconsolidadoout[[#This Row],[TOTAL]]</calculatedColumnFormula>
    </tableColumn>
    <tableColumn id="40" xr3:uid="{A7F0AFBF-27F0-4F18-8E0B-A6C250AFF0FA}" name="11" totalsRowFunction="sum" dataDxfId="9536">
      <calculatedColumnFormula>despesavariávelconsolidadonov[[#This Row],[TOTAL]]</calculatedColumnFormula>
    </tableColumn>
    <tableColumn id="41" xr3:uid="{1EC01005-269F-46AB-952C-8D8D851362A6}" name="12" totalsRowFunction="sum" dataDxfId="9535">
      <calculatedColumnFormula>despesavariávelconsolidadodez[[#This Row],[TOTAL]]</calculatedColumnFormula>
    </tableColumn>
    <tableColumn id="3" xr3:uid="{DEF85329-DE08-47B9-8644-399A490F03A4}" name="TOTAL" totalsRowFunction="sum" dataDxfId="9534" dataCellStyle="Moeda"/>
  </tableColumns>
  <tableStyleInfo name="TABELAS RESULTADOS" showFirstColumn="0" showLastColumn="1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4" xr:uid="{4D7115DB-2EA1-4AB3-9DB6-DB2F6D51DD54}" name="anualinvestir38" displayName="anualinvestir38" ref="C24:Q28" totalsRowCount="1" headerRowDxfId="9533" dataDxfId="9532" totalsRowDxfId="9530" tableBorderDxfId="9531" dataCellStyle="Moeda">
  <autoFilter ref="C24:Q27" xr:uid="{6A49DC70-6E60-45C7-9126-6CFF5D88342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</autoFilter>
  <tableColumns count="15">
    <tableColumn id="1" xr3:uid="{E1A587B4-B5E6-4F0C-83E6-1A7372341C9D}" name="ATUAL" totalsRowLabel="SALDO" dataDxfId="9529"/>
    <tableColumn id="34" xr3:uid="{C11EF5EC-5642-4FA4-BA90-8F46D82C5CF6}" name="Coluna1" dataDxfId="9528"/>
    <tableColumn id="2" xr3:uid="{308CE8E4-957C-42BE-BF88-93BB34AEBED9}" name="1" totalsRowFunction="sum" dataDxfId="9527" totalsRowDxfId="9526" dataCellStyle="Moeda">
      <calculatedColumnFormula>janinvestir[[#This Row],[TOTAL (R$)]]</calculatedColumnFormula>
    </tableColumn>
    <tableColumn id="3" xr3:uid="{D4990D28-C8CF-415F-AC6E-6E2A86166877}" name="2" totalsRowFunction="sum" dataDxfId="9525" totalsRowDxfId="9524" dataCellStyle="Moeda">
      <calculatedColumnFormula>fevinvestir21[[#This Row],[TOTAL (R$)]]</calculatedColumnFormula>
    </tableColumn>
    <tableColumn id="4" xr3:uid="{66A1B203-9A88-4FDC-8EAF-AC8712C51874}" name="3" totalsRowFunction="sum" dataDxfId="9523" totalsRowDxfId="9522" dataCellStyle="Moeda">
      <calculatedColumnFormula>marinvestir2158[[#This Row],[TOTAL (R$)]]</calculatedColumnFormula>
    </tableColumn>
    <tableColumn id="5" xr3:uid="{124725FA-B9D1-4CF8-BCDD-53FDB9B1FA12}" name="4" totalsRowFunction="sum" dataDxfId="9521" totalsRowDxfId="9520" dataCellStyle="Moeda">
      <calculatedColumnFormula>abrinvestir215870[[#This Row],[TOTAL (R$)]]</calculatedColumnFormula>
    </tableColumn>
    <tableColumn id="6" xr3:uid="{3A029251-F249-4BCA-A347-DA6671EDCDDB}" name="5" totalsRowFunction="sum" dataDxfId="9519" totalsRowDxfId="9518" dataCellStyle="Moeda">
      <calculatedColumnFormula>maiinvestir21587082[[#This Row],[TOTAL (R$)]]</calculatedColumnFormula>
    </tableColumn>
    <tableColumn id="7" xr3:uid="{E7BD02BD-B6E1-40B8-9297-E01903502C1A}" name="6" totalsRowFunction="sum" dataDxfId="9517" totalsRowDxfId="9516" dataCellStyle="Moeda">
      <calculatedColumnFormula>juninvestir2158708294[[#This Row],[TOTAL (R$)]]</calculatedColumnFormula>
    </tableColumn>
    <tableColumn id="8" xr3:uid="{5A29FBCE-35D6-491B-A18D-DC83F9BB5A59}" name="7" totalsRowFunction="sum" dataDxfId="9515" totalsRowDxfId="9514" dataCellStyle="Moeda">
      <calculatedColumnFormula>julinvestir2158708294106[[#This Row],[TOTAL (R$)]]</calculatedColumnFormula>
    </tableColumn>
    <tableColumn id="9" xr3:uid="{69A16B95-01DA-4580-A977-306692088591}" name="8" totalsRowFunction="sum" dataDxfId="9513" totalsRowDxfId="9512" dataCellStyle="Moeda">
      <calculatedColumnFormula>agoinvestir2158708294106118[[#This Row],[TOTAL (R$)]]</calculatedColumnFormula>
    </tableColumn>
    <tableColumn id="10" xr3:uid="{02FF6E7F-ECE1-4E1A-B7E4-9734124FAD8F}" name="9" totalsRowFunction="sum" dataDxfId="9511" totalsRowDxfId="9510" dataCellStyle="Moeda">
      <calculatedColumnFormula>setinvestir2158708294106118130[[#This Row],[TOTAL (R$)]]</calculatedColumnFormula>
    </tableColumn>
    <tableColumn id="11" xr3:uid="{22466713-CBDE-4079-94A2-3DCE7141DF6A}" name="10" totalsRowFunction="sum" dataDxfId="9509" totalsRowDxfId="9508" dataCellStyle="Moeda">
      <calculatedColumnFormula>outinvestir2158708294106118130142[[#This Row],[TOTAL (R$)]]</calculatedColumnFormula>
    </tableColumn>
    <tableColumn id="12" xr3:uid="{4108C796-9D86-48B7-9F97-7EA6955646C4}" name="11" totalsRowFunction="sum" dataDxfId="9507" totalsRowDxfId="9506" dataCellStyle="Moeda">
      <calculatedColumnFormula>novinvestir2158708294106118130142154[[#This Row],[TOTAL (R$)]]</calculatedColumnFormula>
    </tableColumn>
    <tableColumn id="13" xr3:uid="{F2C2A61B-B18D-477C-9C74-526DE6D994CC}" name="12" totalsRowFunction="sum" dataDxfId="9505" dataCellStyle="Moeda">
      <calculatedColumnFormula>dezinvestir2158708294106118130142154166[[#This Row],[TOTAL (R$)]]</calculatedColumnFormula>
    </tableColumn>
    <tableColumn id="33" xr3:uid="{33AD8F32-473C-44BE-9C94-CE402AB1CE80}" name="TOTAL (R$)" totalsRowFunction="sum" dataDxfId="9504" totalsRowDxfId="9503" dataCellStyle="Moeda">
      <calculatedColumnFormula>SUM(E25:P25)</calculatedColumnFormula>
    </tableColumn>
  </tableColumns>
  <tableStyleInfo name="TABELAS RESULTADOS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5" xr:uid="{14305FF7-68A4-43D1-A92F-6084C49B79E6}" name="anualtotal39" displayName="anualtotal39" ref="C13:Q16" headerRowDxfId="9502" dataDxfId="9501" totalsRowDxfId="9500">
  <autoFilter ref="C13:Q16" xr:uid="{8F80C188-90EF-4EEA-8266-E1F416435B21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</autoFilter>
  <tableColumns count="15">
    <tableColumn id="1" xr3:uid="{2F7AC1AF-E63E-4D64-A180-B616D88EE665}" name="ATUAL" totalsRowLabel="SALDO" dataDxfId="9499"/>
    <tableColumn id="34" xr3:uid="{2B08AC36-52EE-4075-817E-D1B12F78890F}" name="Coluna1" dataDxfId="9498"/>
    <tableColumn id="2" xr3:uid="{25D1EEA9-DDA2-4451-9B2D-A28F2085B3CD}" name="1" totalsRowFunction="sum" dataDxfId="9497" dataCellStyle="Moeda">
      <calculatedColumnFormula>jantotal[[#This Row],[TOTAL (R$)]]</calculatedColumnFormula>
    </tableColumn>
    <tableColumn id="3" xr3:uid="{1A7EB3A3-CF45-4859-A95B-126C628CE4AD}" name="2" totalsRowFunction="sum" dataDxfId="9496" dataCellStyle="Moeda">
      <calculatedColumnFormula>fevtotal30[[#This Row],[TOTAL (R$)]]</calculatedColumnFormula>
    </tableColumn>
    <tableColumn id="4" xr3:uid="{35DE7848-F017-4A07-B0C2-86FEF3191B45}" name="3" totalsRowFunction="sum" dataDxfId="9495" dataCellStyle="Moeda">
      <calculatedColumnFormula>martotal3059[[#This Row],[TOTAL (R$)]]</calculatedColumnFormula>
    </tableColumn>
    <tableColumn id="5" xr3:uid="{3DBDE246-0A25-4FF0-B6D4-AE7F286159E5}" name="4" totalsRowFunction="sum" dataDxfId="9494" dataCellStyle="Moeda">
      <calculatedColumnFormula>abrtotal305971[[#This Row],[TOTAL (R$)]]</calculatedColumnFormula>
    </tableColumn>
    <tableColumn id="6" xr3:uid="{444A9CF7-018A-4F81-81B1-1D5B7B4DA974}" name="5" totalsRowFunction="sum" dataDxfId="9493" dataCellStyle="Moeda">
      <calculatedColumnFormula>maitotal30597183[[#This Row],[TOTAL (R$)]]</calculatedColumnFormula>
    </tableColumn>
    <tableColumn id="7" xr3:uid="{6258B881-213C-41C9-9562-83DADC0167B4}" name="6" totalsRowFunction="sum" dataDxfId="9492" dataCellStyle="Moeda">
      <calculatedColumnFormula>juntotal3059718395[[#This Row],[TOTAL (R$)]]</calculatedColumnFormula>
    </tableColumn>
    <tableColumn id="8" xr3:uid="{3ED40674-E28A-4A63-8C47-2745B79D457A}" name="7" totalsRowFunction="sum" dataDxfId="9491" dataCellStyle="Moeda">
      <calculatedColumnFormula>jultotal3059718395107[[#This Row],[TOTAL (R$)]]</calculatedColumnFormula>
    </tableColumn>
    <tableColumn id="9" xr3:uid="{574158D8-9016-43A6-8A32-84F77436FD12}" name="8" totalsRowFunction="sum" dataDxfId="9490" dataCellStyle="Moeda">
      <calculatedColumnFormula>agototal3059718395107119[[#This Row],[TOTAL (R$)]]</calculatedColumnFormula>
    </tableColumn>
    <tableColumn id="10" xr3:uid="{79ED8B8C-E608-4CD6-AA19-48656B687A87}" name="9" totalsRowFunction="sum" dataDxfId="9489" dataCellStyle="Moeda">
      <calculatedColumnFormula>settotal3059718395107119131[[#This Row],[TOTAL (R$)]]</calculatedColumnFormula>
    </tableColumn>
    <tableColumn id="11" xr3:uid="{ECFE1C15-A2FD-4B3C-8429-5D8894245D99}" name="10" totalsRowFunction="sum" dataDxfId="9488" dataCellStyle="Moeda">
      <calculatedColumnFormula>outtotal3059718395107119131143[[#This Row],[TOTAL (R$)]]</calculatedColumnFormula>
    </tableColumn>
    <tableColumn id="12" xr3:uid="{8590545C-782E-4995-AB18-855E50E31126}" name="11" totalsRowFunction="sum" dataDxfId="9487" dataCellStyle="Moeda">
      <calculatedColumnFormula>novtotal3059718395107119131143155[[#This Row],[TOTAL (R$)]]</calculatedColumnFormula>
    </tableColumn>
    <tableColumn id="13" xr3:uid="{0A7FD69E-88E8-476F-9DD4-1328A24A6946}" name="12" totalsRowFunction="sum" dataDxfId="9486" dataCellStyle="Moeda">
      <calculatedColumnFormula>deztotal3059718395107119131143155167[[#This Row],[TOTAL (R$)]]</calculatedColumnFormula>
    </tableColumn>
    <tableColumn id="33" xr3:uid="{16E62743-C779-43C5-94F2-E8595057D8AF}" name="TOTAL (R$)" totalsRowFunction="sum" dataDxfId="9485" dataCellStyle="Moeda">
      <calculatedColumnFormula>SUM(#REF!)</calculatedColumnFormula>
    </tableColumn>
  </tableColumns>
  <tableStyleInfo name="TABELAS RESULTADOS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6" xr:uid="{D1FA90AE-145E-46C9-919F-EB49D63C601A}" name="receitasfixasconsolidadoanual" displayName="receitasfixasconsolidadoanual" ref="C81:Q87" headerRowDxfId="9484" dataDxfId="9483" totalsRowDxfId="9482">
  <autoFilter ref="C81:Q87" xr:uid="{2EA8B7CB-D602-44E1-B8DB-B71750A487C5}"/>
  <tableColumns count="15">
    <tableColumn id="1" xr3:uid="{8F6916C1-325D-46AF-9FBA-BE608CE7AD6D}" name="ATUAL" totalsRowLabel="SALDO" dataDxfId="9481"/>
    <tableColumn id="34" xr3:uid="{D75A7A83-B5D5-4091-989E-B93EE385E0DE}" name="Coluna1" dataDxfId="9480">
      <calculatedColumnFormula>IF(receitasfixasconsolidadoanual[[#This Row],[TOTAL (R$)]]=0,"",IF(OR(receitasfixasconsolidadoanual[[#This Row],[TOTAL (R$)]]=LARGE($Q$82:$Q$86,1),receitasfixasconsolidadoanual[[#This Row],[TOTAL (R$)]]=LARGE($Q$82:$Q$86,2)),DADOS!$I$9,""))</calculatedColumnFormula>
    </tableColumn>
    <tableColumn id="2" xr3:uid="{B8E02F06-2595-46B0-9F41-C0C78C446CA6}" name="1" totalsRowFunction="sum" dataDxfId="9479" dataCellStyle="Moeda">
      <calculatedColumnFormula>receitasfixasconsolidado[[#This Row],[TOTAL (R$)]]</calculatedColumnFormula>
    </tableColumn>
    <tableColumn id="3" xr3:uid="{911F9022-95E6-4076-B021-323D64FDBB43}" name="2" totalsRowFunction="sum" dataDxfId="9478" dataCellStyle="Moeda">
      <calculatedColumnFormula>receitasfixasconsolidadofev[[#This Row],[TOTAL (R$)]]</calculatedColumnFormula>
    </tableColumn>
    <tableColumn id="4" xr3:uid="{B913348B-9332-44F5-B980-4BA5C2478AC4}" name="3" totalsRowFunction="sum" dataDxfId="9477" dataCellStyle="Moeda">
      <calculatedColumnFormula>receitasfixasconsolidadomar[[#This Row],[TOTAL (R$)]]</calculatedColumnFormula>
    </tableColumn>
    <tableColumn id="5" xr3:uid="{E6A97D01-7046-4018-A9E1-57A996241E73}" name="4" totalsRowFunction="sum" dataDxfId="9476" dataCellStyle="Moeda">
      <calculatedColumnFormula>receitasfixasconsolidadoabr[[#This Row],[TOTAL (R$)]]</calculatedColumnFormula>
    </tableColumn>
    <tableColumn id="6" xr3:uid="{E16BB2AD-71D8-4F1F-AD60-10DDA3074B1A}" name="5" totalsRowFunction="sum" dataDxfId="9475" dataCellStyle="Moeda">
      <calculatedColumnFormula>receitasfixasconsolidadomai[[#This Row],[TOTAL (R$)]]</calculatedColumnFormula>
    </tableColumn>
    <tableColumn id="7" xr3:uid="{6BB4F1C0-6A05-4DBE-AE4E-04C9FA31066A}" name="6" totalsRowFunction="sum" dataDxfId="9474" dataCellStyle="Moeda">
      <calculatedColumnFormula>receitasfixasconsolidadojun[[#This Row],[TOTAL (R$)]]</calculatedColumnFormula>
    </tableColumn>
    <tableColumn id="8" xr3:uid="{4FCE5B12-ECE9-4BC2-942A-FC9BEF46AB75}" name="7" totalsRowFunction="sum" dataDxfId="9473" dataCellStyle="Moeda">
      <calculatedColumnFormula>receitasfixasconsolidadojul[[#This Row],[TOTAL (R$)]]</calculatedColumnFormula>
    </tableColumn>
    <tableColumn id="9" xr3:uid="{25615F18-7034-4ABE-9223-07CC72528A67}" name="8" totalsRowFunction="sum" dataDxfId="9472" dataCellStyle="Moeda">
      <calculatedColumnFormula>receitasfixasconsolidadoago[[#This Row],[TOTAL (R$)]]</calculatedColumnFormula>
    </tableColumn>
    <tableColumn id="10" xr3:uid="{959507E7-0956-4F24-A091-28567CC5B01B}" name="9" totalsRowFunction="sum" dataDxfId="9471" dataCellStyle="Moeda">
      <calculatedColumnFormula>receitasfixasconsolidadoset[[#This Row],[TOTAL (R$)]]</calculatedColumnFormula>
    </tableColumn>
    <tableColumn id="11" xr3:uid="{04067401-527F-4C11-8AC5-B097A5746985}" name="10" totalsRowFunction="sum" dataDxfId="9470" dataCellStyle="Moeda">
      <calculatedColumnFormula>receitasfixasconsolidadoout[[#This Row],[TOTAL (R$)]]</calculatedColumnFormula>
    </tableColumn>
    <tableColumn id="12" xr3:uid="{7550409C-D2D7-4C0D-AE50-4567058B6A83}" name="11" totalsRowFunction="sum" dataDxfId="9469" dataCellStyle="Moeda">
      <calculatedColumnFormula>receitasfixasconsolidadonov[[#This Row],[TOTAL (R$)]]</calculatedColumnFormula>
    </tableColumn>
    <tableColumn id="13" xr3:uid="{74ED2847-9F38-4E25-BBB3-E49856B5FC20}" name="12" totalsRowFunction="sum" dataDxfId="9468" dataCellStyle="Moeda">
      <calculatedColumnFormula>receitasfixasconsolidadodez[[#This Row],[TOTAL (R$)]]</calculatedColumnFormula>
    </tableColumn>
    <tableColumn id="33" xr3:uid="{519A04B1-6B57-4F99-84A8-29D396A012E3}" name="TOTAL (R$)" totalsRowFunction="sum" dataDxfId="9467" dataCellStyle="Moeda"/>
  </tableColumns>
  <tableStyleInfo name="TABELAS RESULTADOS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7" xr:uid="{68ED9F61-B650-43EC-BCAC-6C2792242D23}" name="receitasvariáveisconsolidadoanual" displayName="receitasvariáveisconsolidadoanual" ref="C95:Q104" headerRowDxfId="9466" dataDxfId="9465" totalsRowDxfId="9464">
  <autoFilter ref="C95:Q104" xr:uid="{DEFDE68B-A97D-4ED5-9460-1E58A13A7942}"/>
  <tableColumns count="15">
    <tableColumn id="1" xr3:uid="{352D5A63-71C6-4DDC-9263-8AC2F22E0430}" name="ATUAL" totalsRowLabel="SALDO" dataDxfId="9463"/>
    <tableColumn id="34" xr3:uid="{3FD266DA-BC71-4225-9779-CE11D20D62BE}" name="Coluna1" dataDxfId="9462" totalsRowDxfId="9461">
      <calculatedColumnFormula>IF(receitasvariáveisconsolidadoanual[[#This Row],[TOTAL (R$)]]=0,"",IF(OR(receitasvariáveisconsolidadoanual[[#This Row],[TOTAL (R$)]]=LARGE($Q$96:$Q$103,1),receitasvariáveisconsolidadoanual[[#This Row],[TOTAL (R$)]]=LARGE($Q$96:$Q$103,2)),DADOS!$I$9,""))</calculatedColumnFormula>
    </tableColumn>
    <tableColumn id="2" xr3:uid="{9166EA07-36B4-4688-9290-D4ECB67D96A3}" name="1" totalsRowFunction="sum" dataDxfId="9460" dataCellStyle="Moeda">
      <calculatedColumnFormula>receitasvariáveisconsolidado28[[#This Row],[TOTAL (R$)]]</calculatedColumnFormula>
    </tableColumn>
    <tableColumn id="3" xr3:uid="{E06986BC-68F5-43C3-8CE8-993B7FD99F04}" name="2" totalsRowFunction="sum" dataDxfId="9459" dataCellStyle="Moeda">
      <calculatedColumnFormula>receitasvariáveisconsolidadofev[[#This Row],[TOTAL (R$)]]</calculatedColumnFormula>
    </tableColumn>
    <tableColumn id="4" xr3:uid="{4D8A688E-3211-42E4-B163-A3904C138D09}" name="3" totalsRowFunction="sum" dataDxfId="9458" dataCellStyle="Moeda">
      <calculatedColumnFormula>receitasvariáveisconsolidadomar[[#This Row],[TOTAL (R$)]]</calculatedColumnFormula>
    </tableColumn>
    <tableColumn id="5" xr3:uid="{0FF96728-22D9-4F2C-A101-236CC6C8C021}" name="4" totalsRowFunction="sum" dataDxfId="9457" dataCellStyle="Moeda">
      <calculatedColumnFormula>receitasvariáveisconsolidadoabr[[#This Row],[TOTAL (R$)]]</calculatedColumnFormula>
    </tableColumn>
    <tableColumn id="6" xr3:uid="{9598ADED-47D3-45A8-9C08-4B647C37990D}" name="5" totalsRowFunction="sum" dataDxfId="9456" dataCellStyle="Moeda">
      <calculatedColumnFormula>receitasvariáveisconsolidadomai[[#This Row],[TOTAL (R$)]]</calculatedColumnFormula>
    </tableColumn>
    <tableColumn id="7" xr3:uid="{86948BC8-9E65-41BB-B92D-344A5C890AA2}" name="6" totalsRowFunction="sum" dataDxfId="9455" dataCellStyle="Moeda">
      <calculatedColumnFormula>receitasvariáveisconsolidadojun[[#This Row],[TOTAL (R$)]]</calculatedColumnFormula>
    </tableColumn>
    <tableColumn id="8" xr3:uid="{84F93110-1627-458A-9B95-3C5492FA649A}" name="7" totalsRowFunction="sum" dataDxfId="9454" dataCellStyle="Moeda">
      <calculatedColumnFormula>receitasvariáveisconsolidadojul[[#This Row],[TOTAL (R$)]]</calculatedColumnFormula>
    </tableColumn>
    <tableColumn id="9" xr3:uid="{15452D25-7112-4D95-A1D7-24D52E34B8B6}" name="8" totalsRowFunction="sum" dataDxfId="9453" dataCellStyle="Moeda">
      <calculatedColumnFormula>receitasvariáveisconsolidadoago[[#This Row],[TOTAL (R$)]]</calculatedColumnFormula>
    </tableColumn>
    <tableColumn id="10" xr3:uid="{00A580D1-C55D-43B8-9D6E-CAF1035C6BC0}" name="9" totalsRowFunction="sum" dataDxfId="9452" dataCellStyle="Moeda">
      <calculatedColumnFormula>receitasvariáveisconsolidadoset[[#This Row],[TOTAL (R$)]]</calculatedColumnFormula>
    </tableColumn>
    <tableColumn id="11" xr3:uid="{87E4659B-2695-442F-B71C-09AF4D62F9CE}" name="10" totalsRowFunction="sum" dataDxfId="9451" dataCellStyle="Moeda">
      <calculatedColumnFormula>receitasvariáveisconsolidadoout[[#This Row],[TOTAL (R$)]]</calculatedColumnFormula>
    </tableColumn>
    <tableColumn id="12" xr3:uid="{3EB5B94E-EAB6-4183-BBA7-F32C2E17069E}" name="11" totalsRowFunction="sum" dataDxfId="9450" dataCellStyle="Moeda">
      <calculatedColumnFormula>receitasvariáveisconsolidadonov[[#This Row],[TOTAL (R$)]]</calculatedColumnFormula>
    </tableColumn>
    <tableColumn id="13" xr3:uid="{A87C7C30-F28A-4281-97F5-C41228F7C770}" name="12" totalsRowFunction="sum" dataDxfId="9449" dataCellStyle="Moeda">
      <calculatedColumnFormula>receitasvariáveisconsolidadodez[[#This Row],[TOTAL (R$)]]</calculatedColumnFormula>
    </tableColumn>
    <tableColumn id="33" xr3:uid="{2D3582C4-F4B6-4E68-B28C-8AEF16D72B66}" name="TOTAL (R$)" totalsRowFunction="sum" dataDxfId="9448" dataCellStyle="Moeda"/>
  </tableColumns>
  <tableStyleInfo name="TABELAS RESULTADOS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8" xr:uid="{CB793C20-04B0-4F3A-B5B8-DAAB18B1B18A}" name="investirrendafixaconsolidadoanual" displayName="investirrendafixaconsolidadoanual" ref="C112:Q123" headerRowDxfId="9447" dataDxfId="9446" totalsRowDxfId="9445">
  <autoFilter ref="C112:Q123" xr:uid="{3BCF8FD2-4C10-4776-87A3-7B16A33417A4}"/>
  <tableColumns count="15">
    <tableColumn id="1" xr3:uid="{508A9722-092B-454C-B034-9DB4E7D28723}" name="ATUAL" totalsRowLabel="SALDO" dataDxfId="9444"/>
    <tableColumn id="34" xr3:uid="{115A70FE-0239-4774-A065-C9674C05AE61}" name="Coluna1" dataDxfId="9443" totalsRowDxfId="9442">
      <calculatedColumnFormula>IF(investirrendafixaconsolidadoanual[[#This Row],[TOTAL (R$)]]=0,"",IF(OR(investirrendafixaconsolidadoanual[[#This Row],[TOTAL (R$)]]=LARGE($Q$113:$Q$122,1),investirrendafixaconsolidadoanual[[#This Row],[TOTAL (R$)]]=LARGE($Q$113:$Q$122,2)),DADOS!$I$10,""))</calculatedColumnFormula>
    </tableColumn>
    <tableColumn id="2" xr3:uid="{7ED0DFC4-CB14-490D-A1B3-A383A34D2039}" name="1" totalsRowFunction="sum" dataDxfId="9441" dataCellStyle="Moeda">
      <calculatedColumnFormula>investirrendafixaconsolidado2829[[#This Row],[TOTAL (R$)]]</calculatedColumnFormula>
    </tableColumn>
    <tableColumn id="3" xr3:uid="{B7AC3BDD-B7E6-4779-A10E-C5DFD63B3DAC}" name="2" totalsRowFunction="sum" dataDxfId="9440" dataCellStyle="Moeda">
      <calculatedColumnFormula>investirrendafixaconsolidadofev[[#This Row],[TOTAL (R$)]]</calculatedColumnFormula>
    </tableColumn>
    <tableColumn id="4" xr3:uid="{9E5F9466-B6C3-41F2-800D-7D5B0478172F}" name="3" totalsRowFunction="sum" dataDxfId="9439" dataCellStyle="Moeda">
      <calculatedColumnFormula>investirrendafixaconsolidadomar[[#This Row],[TOTAL (R$)]]</calculatedColumnFormula>
    </tableColumn>
    <tableColumn id="5" xr3:uid="{6B7694A2-B0B8-465C-8A1F-55EF93FC06CB}" name="4" totalsRowFunction="sum" dataDxfId="9438" dataCellStyle="Moeda">
      <calculatedColumnFormula>investirrendafixaconsolidadoabr[[#This Row],[TOTAL (R$)]]</calculatedColumnFormula>
    </tableColumn>
    <tableColumn id="6" xr3:uid="{CB7D7906-0220-4D3C-BD87-D5CFD50939EC}" name="5" totalsRowFunction="sum" dataDxfId="9437" dataCellStyle="Moeda">
      <calculatedColumnFormula>investirrendafixaconsolidadomai[[#This Row],[TOTAL (R$)]]</calculatedColumnFormula>
    </tableColumn>
    <tableColumn id="7" xr3:uid="{A6C539C1-BAAE-4990-851B-F147851EF270}" name="6" totalsRowFunction="sum" dataDxfId="9436" dataCellStyle="Moeda">
      <calculatedColumnFormula>investirrendafixaconsolidadojun[[#This Row],[TOTAL (R$)]]</calculatedColumnFormula>
    </tableColumn>
    <tableColumn id="8" xr3:uid="{C3CC519C-3E5A-408D-900A-C0A0FEBE7868}" name="7" totalsRowFunction="sum" dataDxfId="9435" dataCellStyle="Moeda">
      <calculatedColumnFormula>investirrendafixaconsolidadojul[[#This Row],[TOTAL (R$)]]</calculatedColumnFormula>
    </tableColumn>
    <tableColumn id="9" xr3:uid="{2348752B-7C2E-4E08-B3F3-E7D1792940DF}" name="8" totalsRowFunction="sum" dataDxfId="9434" dataCellStyle="Moeda">
      <calculatedColumnFormula>investirrendafixaconsolidadoago[[#This Row],[TOTAL (R$)]]</calculatedColumnFormula>
    </tableColumn>
    <tableColumn id="10" xr3:uid="{C32B713E-A412-4FA9-90BE-E7CD1380F96C}" name="9" totalsRowFunction="sum" dataDxfId="9433" dataCellStyle="Moeda">
      <calculatedColumnFormula>investirrendafixaconsolidadoset[[#This Row],[TOTAL (R$)]]</calculatedColumnFormula>
    </tableColumn>
    <tableColumn id="11" xr3:uid="{7D4EF377-B1E3-40EA-9EED-14CAA84FCBF9}" name="10" totalsRowFunction="sum" dataDxfId="9432" dataCellStyle="Moeda">
      <calculatedColumnFormula>investirrendafixaconsolidadoout[[#This Row],[TOTAL (R$)]]</calculatedColumnFormula>
    </tableColumn>
    <tableColumn id="12" xr3:uid="{A60E215B-1797-434D-97AD-B2EE58B9E550}" name="11" totalsRowFunction="sum" dataDxfId="9431" dataCellStyle="Moeda">
      <calculatedColumnFormula>investirrendafixaconsolidadonov[[#This Row],[TOTAL (R$)]]</calculatedColumnFormula>
    </tableColumn>
    <tableColumn id="13" xr3:uid="{AE5D7B2F-65CF-49E6-8855-A25435C241C8}" name="12" totalsRowFunction="sum" dataDxfId="9430" dataCellStyle="Moeda">
      <calculatedColumnFormula>investirrendafixaconsolidadodez[[#This Row],[TOTAL (R$)]]</calculatedColumnFormula>
    </tableColumn>
    <tableColumn id="33" xr3:uid="{E81DF7E6-407B-47D5-932D-3CC85192D7F1}" name="TOTAL (R$)" totalsRowFunction="sum" dataDxfId="9429" dataCellStyle="Moeda"/>
  </tableColumns>
  <tableStyleInfo name="TABELAS RESULTADOS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9" xr:uid="{BA00BEAB-4370-4118-8962-A01D77294412}" name="investirrendavariávelconsolidadoanual" displayName="investirrendavariávelconsolidadoanual" ref="C131:Q142" headerRowDxfId="9428" dataDxfId="9427" totalsRowDxfId="9426">
  <autoFilter ref="C131:Q142" xr:uid="{08F8225F-86FE-4857-B00A-7406490FE1C1}"/>
  <tableColumns count="15">
    <tableColumn id="1" xr3:uid="{3C48DD5A-8AA6-4461-82B6-981483DDA540}" name="ATUAL" totalsRowLabel="SALDO" dataDxfId="9425"/>
    <tableColumn id="34" xr3:uid="{EEDBC4F0-BB0C-4E66-B339-2E781FE883D6}" name="Coluna1" dataDxfId="9424" totalsRowDxfId="9423">
      <calculatedColumnFormula>IF(investirrendavariávelconsolidadoanual[[#This Row],[TOTAL (R$)]]=0,"",IF(OR(investirrendavariávelconsolidadoanual[[#This Row],[TOTAL (R$)]]=LARGE($Q$132:$Q$141,1),investirrendavariávelconsolidadoanual[[#This Row],[TOTAL (R$)]]=LARGE($Q$132:$Q$141,2)),DADOS!$I$10,""))</calculatedColumnFormula>
    </tableColumn>
    <tableColumn id="2" xr3:uid="{42EBAC19-1800-4B18-9276-F848B11AC372}" name="1" totalsRowFunction="sum" dataDxfId="9422" dataCellStyle="Moeda">
      <calculatedColumnFormula>investirrendavariávelconsolidado282931[[#This Row],[TOTAL (R$)]]</calculatedColumnFormula>
    </tableColumn>
    <tableColumn id="3" xr3:uid="{A83738DD-9869-4BF5-A3B5-4C61E863501B}" name="2" totalsRowFunction="sum" dataDxfId="9421" dataCellStyle="Moeda">
      <calculatedColumnFormula>investirrendavariávelconsolidadofev[[#This Row],[TOTAL (R$)]]</calculatedColumnFormula>
    </tableColumn>
    <tableColumn id="4" xr3:uid="{D52AD5DB-D30E-48B2-B2DE-A9789B044E42}" name="3" totalsRowFunction="sum" dataDxfId="9420" dataCellStyle="Moeda">
      <calculatedColumnFormula>investirrendavariávelconsolidadomar[[#This Row],[TOTAL (R$)]]</calculatedColumnFormula>
    </tableColumn>
    <tableColumn id="5" xr3:uid="{A5616E59-035D-4268-9898-C048E9D61F1E}" name="4" totalsRowFunction="sum" dataDxfId="9419" dataCellStyle="Moeda">
      <calculatedColumnFormula>investirrendavariávelconsolidadoabr[[#This Row],[TOTAL (R$)]]</calculatedColumnFormula>
    </tableColumn>
    <tableColumn id="6" xr3:uid="{13CC0B2E-44C5-4B0D-8BBA-652FECEA77BC}" name="5" totalsRowFunction="sum" dataDxfId="9418" dataCellStyle="Moeda">
      <calculatedColumnFormula>investirrendavariávelconsolidadomai[[#This Row],[TOTAL (R$)]]</calculatedColumnFormula>
    </tableColumn>
    <tableColumn id="7" xr3:uid="{FC744064-05BD-401F-8A69-F6A0A7DDF253}" name="6" totalsRowFunction="sum" dataDxfId="9417" dataCellStyle="Moeda">
      <calculatedColumnFormula>investirrendavariávelconsolidadojun[[#This Row],[TOTAL (R$)]]</calculatedColumnFormula>
    </tableColumn>
    <tableColumn id="8" xr3:uid="{0D03EF3B-A360-4F67-B7CB-9DE6FFF74F55}" name="7" totalsRowFunction="sum" dataDxfId="9416" dataCellStyle="Moeda">
      <calculatedColumnFormula>investirrendavariávelconsolidadojul[[#This Row],[TOTAL (R$)]]</calculatedColumnFormula>
    </tableColumn>
    <tableColumn id="9" xr3:uid="{CCA02E4D-BA1F-4A68-9BED-6745C3710D65}" name="8" totalsRowFunction="sum" dataDxfId="9415" dataCellStyle="Moeda">
      <calculatedColumnFormula>investirrendavariávelconsolidadoago[[#This Row],[TOTAL (R$)]]</calculatedColumnFormula>
    </tableColumn>
    <tableColumn id="10" xr3:uid="{231FE30D-0939-42B7-8949-29E586F637F9}" name="9" totalsRowFunction="sum" dataDxfId="9414" dataCellStyle="Moeda">
      <calculatedColumnFormula>investirrendavariávelconsolidadoset[[#This Row],[TOTAL (R$)]]</calculatedColumnFormula>
    </tableColumn>
    <tableColumn id="11" xr3:uid="{5E698969-611E-4A8F-A9BE-B837341D263E}" name="10" totalsRowFunction="sum" dataDxfId="9413" dataCellStyle="Moeda">
      <calculatedColumnFormula>investirrendavariávelconsolidadoout[[#This Row],[TOTAL (R$)]]</calculatedColumnFormula>
    </tableColumn>
    <tableColumn id="12" xr3:uid="{B6C38297-F7E2-401E-ADAF-4C80B20AB246}" name="11" totalsRowFunction="sum" dataDxfId="9412" dataCellStyle="Moeda">
      <calculatedColumnFormula>investirrendavariávelconsolidadonov[[#This Row],[TOTAL (R$)]]</calculatedColumnFormula>
    </tableColumn>
    <tableColumn id="13" xr3:uid="{D5F0CE6E-15AA-4958-B580-5B29375BEBA5}" name="12" totalsRowFunction="sum" dataDxfId="9411" dataCellStyle="Moeda">
      <calculatedColumnFormula>investirrendavariávelconsolidadodez[[#This Row],[TOTAL (R$)]]</calculatedColumnFormula>
    </tableColumn>
    <tableColumn id="33" xr3:uid="{795497BC-D9E7-4B95-8803-367C72B106E6}" name="TOTAL (R$)" totalsRowFunction="sum" dataDxfId="9410" dataCellStyle="Moeda"/>
  </tableColumns>
  <tableStyleInfo name="TABELAS RESULTADOS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0" xr:uid="{9FF39F26-4CCE-48DB-A4BE-95151EB94982}" name="investiroutrosconsolidadoanual" displayName="investiroutrosconsolidadoanual" ref="C150:Q159" headerRowDxfId="9409" dataDxfId="9408" totalsRowDxfId="9407">
  <autoFilter ref="C150:Q159" xr:uid="{6183CEF1-477D-4448-9404-9007701FBB5F}"/>
  <tableColumns count="15">
    <tableColumn id="1" xr3:uid="{83EEB3E4-BA9F-4433-B17A-BC80552CA550}" name="ATUAL" totalsRowLabel="SALDO" dataDxfId="9406"/>
    <tableColumn id="34" xr3:uid="{6ECEABD5-55DC-41D2-AB16-85F2EDD96849}" name="Coluna1" dataDxfId="9405" totalsRowDxfId="9404">
      <calculatedColumnFormula>IF(investiroutrosconsolidadoanual[[#This Row],[TOTAL (R$)]]=0,"",IF(OR(investiroutrosconsolidadoanual[[#This Row],[TOTAL (R$)]]=LARGE($Q$151:$Q$158,1),investiroutrosconsolidadoanual[[#This Row],[TOTAL (R$)]]=LARGE($Q$151:$Q$158,2)),DADOS!$I$10,""))</calculatedColumnFormula>
    </tableColumn>
    <tableColumn id="2" xr3:uid="{3637C07A-073C-4AC6-A0C9-2B9C2821DD92}" name="1" totalsRowFunction="sum" dataDxfId="9403" dataCellStyle="Moeda">
      <calculatedColumnFormula>investiroutrosconsolidado282932[[#This Row],[TOTAL (R$)]]</calculatedColumnFormula>
    </tableColumn>
    <tableColumn id="3" xr3:uid="{2682DA58-3595-4E35-8868-166BC1947BE8}" name="2" totalsRowFunction="sum" dataDxfId="9402" dataCellStyle="Moeda">
      <calculatedColumnFormula>investiroutrosconsolidadofev[[#This Row],[TOTAL (R$)]]</calculatedColumnFormula>
    </tableColumn>
    <tableColumn id="4" xr3:uid="{3E10DC3F-2EB6-4A6E-83B6-89606285B109}" name="3" totalsRowFunction="sum" dataDxfId="9401" dataCellStyle="Moeda">
      <calculatedColumnFormula>investiroutrosconsolidadomar[[#This Row],[TOTAL (R$)]]</calculatedColumnFormula>
    </tableColumn>
    <tableColumn id="5" xr3:uid="{C20E83FF-FB0F-416D-86A6-1CE081B4D522}" name="4" totalsRowFunction="sum" dataDxfId="9400" dataCellStyle="Moeda">
      <calculatedColumnFormula>investiroutrosconsolidadoabr[[#This Row],[TOTAL (R$)]]</calculatedColumnFormula>
    </tableColumn>
    <tableColumn id="6" xr3:uid="{4AE7CE30-EECF-470A-AD6D-5B7D1A5D0809}" name="5" totalsRowFunction="sum" dataDxfId="9399" dataCellStyle="Moeda">
      <calculatedColumnFormula>investiroutrosconsolidadomai[[#This Row],[TOTAL (R$)]]</calculatedColumnFormula>
    </tableColumn>
    <tableColumn id="7" xr3:uid="{759162E6-1B02-4E64-8415-31CB7E97D783}" name="6" totalsRowFunction="sum" dataDxfId="9398" dataCellStyle="Moeda">
      <calculatedColumnFormula>investiroutrosconsolidadojun[[#This Row],[TOTAL (R$)]]</calculatedColumnFormula>
    </tableColumn>
    <tableColumn id="8" xr3:uid="{855BA266-02C1-478A-B5F0-C2758B7C5582}" name="7" totalsRowFunction="sum" dataDxfId="9397" dataCellStyle="Moeda">
      <calculatedColumnFormula>investiroutrosconsolidadojul[[#This Row],[TOTAL (R$)]]</calculatedColumnFormula>
    </tableColumn>
    <tableColumn id="9" xr3:uid="{AC37E428-32D6-4492-BC7A-F10110DC6FF3}" name="8" totalsRowFunction="sum" dataDxfId="9396" dataCellStyle="Moeda">
      <calculatedColumnFormula>investiroutrosconsolidadoago[[#This Row],[TOTAL (R$)]]</calculatedColumnFormula>
    </tableColumn>
    <tableColumn id="10" xr3:uid="{A0A1E0D2-B640-4C5D-96B2-F99627ACD71D}" name="9" totalsRowFunction="sum" dataDxfId="9395" dataCellStyle="Moeda">
      <calculatedColumnFormula>investiroutrosconsolidadoset[[#This Row],[TOTAL (R$)]]</calculatedColumnFormula>
    </tableColumn>
    <tableColumn id="11" xr3:uid="{ECA6FC57-1D6D-40F8-AEDD-7DD89BAD2018}" name="10" totalsRowFunction="sum" dataDxfId="9394" dataCellStyle="Moeda">
      <calculatedColumnFormula>investiroutrosconsolidadoout[[#This Row],[TOTAL (R$)]]</calculatedColumnFormula>
    </tableColumn>
    <tableColumn id="12" xr3:uid="{77352A88-70AC-49E2-9667-1155A8BAE337}" name="11" totalsRowFunction="sum" dataDxfId="9393" dataCellStyle="Moeda">
      <calculatedColumnFormula>investiroutrosconsolidadonov[[#This Row],[TOTAL (R$)]]</calculatedColumnFormula>
    </tableColumn>
    <tableColumn id="13" xr3:uid="{EC701C26-EB5A-45A5-B1E0-3AFE026D993A}" name="12" totalsRowFunction="sum" dataDxfId="9392" dataCellStyle="Moeda">
      <calculatedColumnFormula>investiroutrosconsolidadodez[[#This Row],[TOTAL (R$)]]</calculatedColumnFormula>
    </tableColumn>
    <tableColumn id="33" xr3:uid="{C75A1208-67A9-4845-8FA4-3D5B5EA79BBF}" name="TOTAL (R$)" totalsRowFunction="sum" dataDxfId="9391" dataCellStyle="Moeda"/>
  </tableColumns>
  <tableStyleInfo name="TABELAS RESULTADOS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1" xr:uid="{6C5B403B-5CE0-487E-AAE2-D5281537BDA5}" name="reservafixaconsolidadoanual" displayName="reservafixaconsolidadoanual" ref="C167:Q178" headerRowDxfId="9390" dataDxfId="9389" totalsRowDxfId="9388">
  <autoFilter ref="C167:Q178" xr:uid="{CDBD73CF-1633-4509-BA0C-4B73FF7E50BA}"/>
  <tableColumns count="15">
    <tableColumn id="1" xr3:uid="{1805626C-1E0D-4678-918E-FFA5C74E0006}" name="ATUAL" totalsRowLabel="SALDO" dataDxfId="9387"/>
    <tableColumn id="34" xr3:uid="{DEC729F1-CA5D-4B77-950C-4464CB342C0E}" name="Coluna1" dataDxfId="9386" totalsRowDxfId="9385">
      <calculatedColumnFormula>IF(reservafixaconsolidadoanual[[#This Row],[TOTAL (R$)]]=0,"",IF(OR(reservafixaconsolidadoanual[[#This Row],[TOTAL (R$)]]=LARGE($Q$168:$Q$177,1),reservafixaconsolidadoanual[[#This Row],[TOTAL (R$)]]=LARGE($Q$168:$Q$177,2)),DADOS!$I$11,""))</calculatedColumnFormula>
    </tableColumn>
    <tableColumn id="2" xr3:uid="{AB2BBB4D-E4B6-43F1-9CF3-198B48DAB8E3}" name="1" totalsRowFunction="sum" dataDxfId="9384" dataCellStyle="Moeda">
      <calculatedColumnFormula>reservafixaconsolidado282933[[#This Row],[TOTAL (R$)]]</calculatedColumnFormula>
    </tableColumn>
    <tableColumn id="3" xr3:uid="{ABBA56A3-15EC-402E-8981-2A5D9AEE20DB}" name="2" totalsRowFunction="sum" dataDxfId="9383" dataCellStyle="Moeda">
      <calculatedColumnFormula>reservafixaconsolidadofev[[#This Row],[TOTAL (R$)]]</calculatedColumnFormula>
    </tableColumn>
    <tableColumn id="4" xr3:uid="{CCA1DA12-E262-4FE9-89B2-F40ACAFE7C65}" name="3" totalsRowFunction="sum" dataDxfId="9382" dataCellStyle="Moeda">
      <calculatedColumnFormula>reservafixaconsolidadomar[[#This Row],[TOTAL (R$)]]</calculatedColumnFormula>
    </tableColumn>
    <tableColumn id="5" xr3:uid="{EFBC3EDA-D42A-4653-9391-2CA5006B7C4A}" name="4" totalsRowFunction="sum" dataDxfId="9381" dataCellStyle="Moeda">
      <calculatedColumnFormula>reservafixaconsolidadoabr[[#This Row],[TOTAL (R$)]]</calculatedColumnFormula>
    </tableColumn>
    <tableColumn id="6" xr3:uid="{65F89805-AD83-4B8A-BEDD-1D47155BEC12}" name="5" totalsRowFunction="sum" dataDxfId="9380" dataCellStyle="Moeda">
      <calculatedColumnFormula>reservafixaconsolidadomai[[#This Row],[TOTAL (R$)]]</calculatedColumnFormula>
    </tableColumn>
    <tableColumn id="7" xr3:uid="{81E92C55-123E-424B-B9AC-7FD107E20909}" name="6" totalsRowFunction="sum" dataDxfId="9379" dataCellStyle="Moeda">
      <calculatedColumnFormula>reservafixaconsolidadojun[[#This Row],[TOTAL (R$)]]</calculatedColumnFormula>
    </tableColumn>
    <tableColumn id="8" xr3:uid="{A4622CD5-6A0C-424E-BB65-5E3917BF9A82}" name="7" totalsRowFunction="sum" dataDxfId="9378" dataCellStyle="Moeda">
      <calculatedColumnFormula>reservafixaconsolidadojul[[#This Row],[TOTAL (R$)]]</calculatedColumnFormula>
    </tableColumn>
    <tableColumn id="9" xr3:uid="{BA305CFC-6720-4F8F-9700-D29A85E3E850}" name="8" totalsRowFunction="sum" dataDxfId="9377" dataCellStyle="Moeda">
      <calculatedColumnFormula>reservafixaconsolidadoago[[#This Row],[TOTAL (R$)]]</calculatedColumnFormula>
    </tableColumn>
    <tableColumn id="10" xr3:uid="{1710403B-2B02-489F-8881-8049F92CC4B1}" name="9" totalsRowFunction="sum" dataDxfId="9376" dataCellStyle="Moeda">
      <calculatedColumnFormula>reservafixaconsolidadoset[[#This Row],[TOTAL (R$)]]</calculatedColumnFormula>
    </tableColumn>
    <tableColumn id="11" xr3:uid="{ACC34348-2AA0-4FD5-BB8F-0979AA30993D}" name="10" totalsRowFunction="sum" dataDxfId="9375" dataCellStyle="Moeda">
      <calculatedColumnFormula>reservafixaconsolidadoout[[#This Row],[TOTAL (R$)]]</calculatedColumnFormula>
    </tableColumn>
    <tableColumn id="12" xr3:uid="{532C3F0C-0F06-4DC6-BF1D-C5A428529995}" name="11" totalsRowFunction="sum" dataDxfId="9374" dataCellStyle="Moeda">
      <calculatedColumnFormula>reservafixaconsolidadonov[[#This Row],[TOTAL (R$)]]</calculatedColumnFormula>
    </tableColumn>
    <tableColumn id="13" xr3:uid="{AD69E237-73D6-4FF9-906B-F964CBCB9BED}" name="12" totalsRowFunction="sum" dataDxfId="9373" dataCellStyle="Moeda">
      <calculatedColumnFormula>reservafixaconsolidadodez[[#This Row],[TOTAL (R$)]]</calculatedColumnFormula>
    </tableColumn>
    <tableColumn id="33" xr3:uid="{570B2EED-BBBF-4568-B870-E80CD5C32F37}" name="TOTAL (R$)" totalsRowFunction="sum" dataDxfId="9372" dataCellStyle="Moeda"/>
  </tableColumns>
  <tableStyleInfo name="TABELAS RESULTADOS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2" xr:uid="{193D8C48-184C-4311-AEBC-0DA23DD624E8}" name="reservavariáveisconsolidadoanual" displayName="reservavariáveisconsolidadoanual" ref="C186:Q197" headerRowDxfId="9371" dataDxfId="9370" totalsRowDxfId="9369">
  <autoFilter ref="C186:Q197" xr:uid="{D1B0BC4A-55A7-40F2-94A1-407E95E214F4}"/>
  <tableColumns count="15">
    <tableColumn id="1" xr3:uid="{37363C79-E313-43D0-85A0-BAC6DDB73322}" name="ATUAL" totalsRowLabel="SALDO" dataDxfId="9368"/>
    <tableColumn id="34" xr3:uid="{AABEF96F-B26B-4013-BF40-AC7963CD192B}" name="Coluna1" dataDxfId="9367" totalsRowDxfId="9366">
      <calculatedColumnFormula>IF(reservavariáveisconsolidadoanual[[#This Row],[TOTAL (R$)]]=0,"",IF(OR(reservavariáveisconsolidadoanual[[#This Row],[TOTAL (R$)]]=LARGE($Q$187:$Q$196,1),reservavariáveisconsolidadoanual[[#This Row],[TOTAL (R$)]]=LARGE($Q$187:$Q$196,2)),DADOS!$I$11,""))</calculatedColumnFormula>
    </tableColumn>
    <tableColumn id="2" xr3:uid="{88A71D9D-B1AC-480E-B66B-9B9CD1964A3C}" name="1" totalsRowFunction="sum" dataDxfId="9365" dataCellStyle="Moeda">
      <calculatedColumnFormula>reservavariáveisconsolidado282934[[#This Row],[TOTAL (R$)]]</calculatedColumnFormula>
    </tableColumn>
    <tableColumn id="3" xr3:uid="{0B044E70-2447-4BAE-8781-F0363EC7D7B2}" name="2" totalsRowFunction="sum" dataDxfId="9364" dataCellStyle="Moeda">
      <calculatedColumnFormula>reservavariáveisconsolidadofev[[#This Row],[TOTAL (R$)]]</calculatedColumnFormula>
    </tableColumn>
    <tableColumn id="4" xr3:uid="{3C8A65CF-B3B0-4C51-8831-00A79EADACDE}" name="3" totalsRowFunction="sum" dataDxfId="9363" dataCellStyle="Moeda">
      <calculatedColumnFormula>reservavariáveisconsolidadomar[[#This Row],[TOTAL (R$)]]</calculatedColumnFormula>
    </tableColumn>
    <tableColumn id="5" xr3:uid="{4EAF9B95-B3AA-45E7-8D34-2F377ADB9646}" name="4" totalsRowFunction="sum" dataDxfId="9362" dataCellStyle="Moeda">
      <calculatedColumnFormula>reservavariáveisconsolidadoabr[[#This Row],[TOTAL (R$)]]</calculatedColumnFormula>
    </tableColumn>
    <tableColumn id="6" xr3:uid="{624CBD01-606F-4FF2-AAE6-6858303E1099}" name="5" totalsRowFunction="sum" dataDxfId="9361" dataCellStyle="Moeda">
      <calculatedColumnFormula>reservavariáveisconsolidadomai[[#This Row],[TOTAL (R$)]]</calculatedColumnFormula>
    </tableColumn>
    <tableColumn id="7" xr3:uid="{E49A165A-0B6C-4A9D-BF18-2248721BFBB7}" name="6" totalsRowFunction="sum" dataDxfId="9360" dataCellStyle="Moeda">
      <calculatedColumnFormula>reservavariáveisconsolidadojun[[#This Row],[TOTAL (R$)]]</calculatedColumnFormula>
    </tableColumn>
    <tableColumn id="8" xr3:uid="{22506A85-E0F6-4E98-973F-9142050AE8E7}" name="7" totalsRowFunction="sum" dataDxfId="9359" dataCellStyle="Moeda">
      <calculatedColumnFormula>reservavariáveisconsolidadojul[[#This Row],[TOTAL (R$)]]</calculatedColumnFormula>
    </tableColumn>
    <tableColumn id="9" xr3:uid="{FF64EACE-CE67-47CC-AA84-EAF77C5E7077}" name="8" totalsRowFunction="sum" dataDxfId="9358" dataCellStyle="Moeda">
      <calculatedColumnFormula>reservavariáveisconsolidadoago[[#This Row],[TOTAL (R$)]]</calculatedColumnFormula>
    </tableColumn>
    <tableColumn id="10" xr3:uid="{E5DF2113-6A6B-4AF9-B38B-8295201C98B3}" name="9" totalsRowFunction="sum" dataDxfId="9357" dataCellStyle="Moeda">
      <calculatedColumnFormula>reservavariáveisconsolidadoset[[#This Row],[TOTAL (R$)]]</calculatedColumnFormula>
    </tableColumn>
    <tableColumn id="11" xr3:uid="{90E0C2F6-15EA-45B3-B8BF-8C299404C225}" name="10" totalsRowFunction="sum" dataDxfId="9356" dataCellStyle="Moeda">
      <calculatedColumnFormula>reservavariáveisconsolidadoout[[#This Row],[TOTAL (R$)]]</calculatedColumnFormula>
    </tableColumn>
    <tableColumn id="12" xr3:uid="{FDA97FBC-5959-47DF-B06A-AFA51DF47341}" name="11" totalsRowFunction="sum" dataDxfId="9355" dataCellStyle="Moeda">
      <calculatedColumnFormula>reservavariáveisconsolidadonov[[#This Row],[TOTAL (R$)]]</calculatedColumnFormula>
    </tableColumn>
    <tableColumn id="13" xr3:uid="{9D5FCDB0-97AE-494B-BB67-EF442D6C7F6F}" name="12" totalsRowFunction="sum" dataDxfId="9354" dataCellStyle="Moeda">
      <calculatedColumnFormula>reservavariáveisconsolidadodez[[#This Row],[TOTAL (R$)]]</calculatedColumnFormula>
    </tableColumn>
    <tableColumn id="33" xr3:uid="{1AD72847-8BAB-459A-B40B-8E8BA4EF0A6B}" name="TOTAL (R$)" totalsRowFunction="sum" dataDxfId="9353" dataCellStyle="Moeda">
      <calculatedColumnFormula>SUM(#REF!)</calculatedColumnFormula>
    </tableColumn>
  </tableColumns>
  <tableStyleInfo name="TABELAS RESULTADOS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3" xr:uid="{AC3B45A5-6563-4BDA-BDFD-A9CE0F0834AB}" name="reservaoutrosconsolidadoanual" displayName="reservaoutrosconsolidadoanual" ref="C205:Q214" headerRowDxfId="9352" dataDxfId="9351" totalsRowDxfId="9350">
  <autoFilter ref="C205:Q214" xr:uid="{9335CBAF-4490-44EE-A508-E6F2F3B6C6F1}"/>
  <tableColumns count="15">
    <tableColumn id="1" xr3:uid="{DCF42514-CDAD-4EAC-8A83-248ACA94B21B}" name="ATUAL" totalsRowLabel="SALDO" dataDxfId="9349"/>
    <tableColumn id="34" xr3:uid="{7B96B7D9-D29B-4CEB-AEB9-C9BCD4E8EA32}" name="Coluna1" dataDxfId="9348" totalsRowDxfId="9347">
      <calculatedColumnFormula>IF(reservaoutrosconsolidadoanual[[#This Row],[TOTAL (R$)]]=0,"",IF(OR(reservaoutrosconsolidadoanual[[#This Row],[TOTAL (R$)]]=LARGE($Q$206:$Q$213,1),reservaoutrosconsolidadoanual[[#This Row],[TOTAL (R$)]]=LARGE($Q$206:$Q$213,2)),DADOS!$I$11,""))</calculatedColumnFormula>
    </tableColumn>
    <tableColumn id="2" xr3:uid="{F6367998-F2AC-4699-8E6D-4428944ED064}" name="1" totalsRowFunction="sum" dataDxfId="9346" dataCellStyle="Moeda">
      <calculatedColumnFormula>reservaoutrosconsolidado282935[[#This Row],[TOTAL (R$)]]</calculatedColumnFormula>
    </tableColumn>
    <tableColumn id="3" xr3:uid="{7C775B29-466A-42D9-ABAD-320D4B2B37F3}" name="2" totalsRowFunction="sum" dataDxfId="9345" dataCellStyle="Moeda">
      <calculatedColumnFormula>reservaoutrosconsolidadofev[[#This Row],[TOTAL (R$)]]</calculatedColumnFormula>
    </tableColumn>
    <tableColumn id="4" xr3:uid="{8882181A-6672-43AE-9773-BD0D3EFD0153}" name="3" totalsRowFunction="sum" dataDxfId="9344" dataCellStyle="Moeda">
      <calculatedColumnFormula>reservaoutrosconsolidadomar[[#This Row],[TOTAL (R$)]]</calculatedColumnFormula>
    </tableColumn>
    <tableColumn id="5" xr3:uid="{F4494D91-F113-4B5E-AE59-378B5CB6ED2B}" name="4" totalsRowFunction="sum" dataDxfId="9343" dataCellStyle="Moeda">
      <calculatedColumnFormula>reservaoutrosconsolidadoabr[[#This Row],[TOTAL (R$)]]</calculatedColumnFormula>
    </tableColumn>
    <tableColumn id="6" xr3:uid="{D8C0D305-649A-49CC-8D54-DD8A1ADC8FC8}" name="5" totalsRowFunction="sum" dataDxfId="9342" dataCellStyle="Moeda">
      <calculatedColumnFormula>reservaoutrosconsolidadomai[[#This Row],[TOTAL (R$)]]</calculatedColumnFormula>
    </tableColumn>
    <tableColumn id="7" xr3:uid="{D6AF2646-DF9F-40CD-98EF-DD70ED7772C9}" name="6" totalsRowFunction="sum" dataDxfId="9341" dataCellStyle="Moeda">
      <calculatedColumnFormula>reservaoutrosconsolidadojun[[#This Row],[TOTAL (R$)]]</calculatedColumnFormula>
    </tableColumn>
    <tableColumn id="8" xr3:uid="{02C9C5C3-30BD-40FE-AF26-5F401CAC56BD}" name="7" totalsRowFunction="sum" dataDxfId="9340" dataCellStyle="Moeda">
      <calculatedColumnFormula>reservaoutrosconsolidadojul[[#This Row],[TOTAL (R$)]]</calculatedColumnFormula>
    </tableColumn>
    <tableColumn id="9" xr3:uid="{600372D3-122E-438C-B6C7-F5912635D514}" name="8" totalsRowFunction="sum" dataDxfId="9339" dataCellStyle="Moeda">
      <calculatedColumnFormula>reservaoutrosconsolidadoago[[#This Row],[TOTAL (R$)]]</calculatedColumnFormula>
    </tableColumn>
    <tableColumn id="10" xr3:uid="{1F9BB16A-51D7-4676-9E09-3C4556F97DD4}" name="9" totalsRowFunction="sum" dataDxfId="9338" dataCellStyle="Moeda">
      <calculatedColumnFormula>reservaoutrosconsolidadoset[[#This Row],[TOTAL (R$)]]</calculatedColumnFormula>
    </tableColumn>
    <tableColumn id="11" xr3:uid="{105CC008-7D63-4A11-A133-FD76C46FEF7C}" name="10" totalsRowFunction="sum" dataDxfId="9337" dataCellStyle="Moeda">
      <calculatedColumnFormula>reservaoutrosconsolidadoout[[#This Row],[TOTAL (R$)]]</calculatedColumnFormula>
    </tableColumn>
    <tableColumn id="12" xr3:uid="{EBE40356-B0A5-47C2-9B2E-C0874D2DFFC5}" name="11" totalsRowFunction="sum" dataDxfId="9336" dataCellStyle="Moeda">
      <calculatedColumnFormula>reservaoutrosconsolidadonov[[#This Row],[TOTAL (R$)]]</calculatedColumnFormula>
    </tableColumn>
    <tableColumn id="13" xr3:uid="{B5BC75CE-28A6-4122-AB12-830B8F81841C}" name="12" totalsRowFunction="sum" dataDxfId="9335" dataCellStyle="Moeda">
      <calculatedColumnFormula>reservaoutrosconsolidadodez[[#This Row],[TOTAL (R$)]]</calculatedColumnFormula>
    </tableColumn>
    <tableColumn id="33" xr3:uid="{6FE86559-03A1-4E9E-B0D3-69A130F8CA81}" name="TOTAL (R$)" totalsRowFunction="sum" dataDxfId="9334" dataCellStyle="Moeda"/>
  </tableColumns>
  <tableStyleInfo name="TABELAS RESULTADOS"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0" xr:uid="{A7398076-F8D9-4CCC-AB5F-0451EB5ADDE3}" name="despesafixaconsolidado" displayName="despesafixaconsolidado" ref="C36:AJ51" headerRowDxfId="9333" dataDxfId="9332" totalsRowDxfId="9331">
  <autoFilter ref="C36:AJ51" xr:uid="{5ADEFF0A-DF5A-4FC5-A9EC-68EEC14B5F43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  <filterColumn colId="25" hiddenButton="1"/>
    <filterColumn colId="26" hiddenButton="1"/>
    <filterColumn colId="27" hiddenButton="1"/>
    <filterColumn colId="28" hiddenButton="1"/>
    <filterColumn colId="29" hiddenButton="1"/>
    <filterColumn colId="30" hiddenButton="1"/>
    <filterColumn colId="31" hiddenButton="1"/>
    <filterColumn colId="32" hiddenButton="1"/>
    <filterColumn colId="33" hiddenButton="1"/>
  </autoFilter>
  <tableColumns count="34">
    <tableColumn id="1" xr3:uid="{76823590-4B36-4244-A3C0-7A27769DFEF7}" name="DESPESA FIXA" totalsRowLabel="Total" dataDxfId="9330"/>
    <tableColumn id="42" xr3:uid="{C3AB650D-3A85-4F4D-9750-74FFA1DB5CBE}" name="Coluna1" dataDxfId="9329">
      <calculatedColumnFormula>IF(despesafixaconsolidado[[#This Row],[TOTAL]]=0,"",IF(OR(despesafixaconsolidado[[#This Row],[TOTAL]]=SMALL($AJ$37:$AJ$50,1),despesafixaconsolidado[[#This Row],[TOTAL]]=SMALL($AJ$37:$AJ$50,2),despesafixaconsolidado[[#This Row],[TOTAL]]=SMALL($AJ$37:$AJ$50,3),despesafixaconsolidado[[#This Row],[TOTAL]]=SMALL($AJ$37:$AJ$50,4),despesafixaconsolidado[[#This Row],[TOTAL]]=SMALL($AJ$37:$AJ$50,5)),DADOS!$I$8,""))</calculatedColumnFormula>
    </tableColumn>
    <tableColumn id="18" xr3:uid="{2C9652D6-34AE-4776-B882-990E1A6EB552}" name="1" totalsRowFunction="sum" dataDxfId="9328" dataCellStyle="Moeda">
      <calculatedColumnFormula>SUMIFS(tabela_registros[VALOR],tabela_registros[MÊS],$AE$1,tabela_registros[DIA],jantotal[[#Headers],[1]],tabela_registros[REGISTRO],DADOS!$N$4,tabela_registros[TIPO],DADOS!$P$3,tabela_registros[CATEGORIA],despesafixaconsolidado[[#This Row],[DESPESA FIXA]])</calculatedColumnFormula>
    </tableColumn>
    <tableColumn id="19" xr3:uid="{F5153A2C-CD08-4724-824B-AFD7C8477AF5}" name="2" totalsRowFunction="sum" dataDxfId="9327" dataCellStyle="Moeda">
      <calculatedColumnFormula>SUMIFS(tabela_registros[VALOR],tabela_registros[MÊS],$AE$1,tabela_registros[DIA],jantotal[[#Headers],[2]],tabela_registros[REGISTRO],DADOS!$N$4,tabela_registros[TIPO],DADOS!$P$3,tabela_registros[CATEGORIA],despesafixaconsolidado[[#This Row],[DESPESA FIXA]])</calculatedColumnFormula>
    </tableColumn>
    <tableColumn id="20" xr3:uid="{796B92E9-FC81-468D-95A1-DEDC8F1F05D8}" name="3" totalsRowFunction="sum" dataDxfId="9326" totalsRowDxfId="9325" dataCellStyle="Moeda">
      <calculatedColumnFormula>SUMIFS(tabela_registros[VALOR],tabela_registros[MÊS],$AE$1,tabela_registros[DIA],jantotal[[#Headers],[3]],tabela_registros[REGISTRO],DADOS!$N$4,tabela_registros[TIPO],DADOS!$P$3,tabela_registros[CATEGORIA],despesafixaconsolidado[[#This Row],[DESPESA FIXA]])</calculatedColumnFormula>
    </tableColumn>
    <tableColumn id="21" xr3:uid="{F5F8058E-EC76-4577-B94E-FD59A423D8D9}" name="4" totalsRowFunction="sum" dataDxfId="9324" totalsRowDxfId="9323" dataCellStyle="Moeda">
      <calculatedColumnFormula>SUMIFS(tabela_registros[VALOR],tabela_registros[MÊS],$AE$1,tabela_registros[DIA],jantotal[[#Headers],[4]],tabela_registros[REGISTRO],DADOS!$N$4,tabela_registros[TIPO],DADOS!$P$3,tabela_registros[CATEGORIA],despesafixaconsolidado[[#This Row],[DESPESA FIXA]])</calculatedColumnFormula>
    </tableColumn>
    <tableColumn id="22" xr3:uid="{8FCB61BA-63B9-4AC0-9DAD-611A626C1B24}" name="5" totalsRowFunction="sum" dataDxfId="9322" totalsRowDxfId="9321" dataCellStyle="Moeda">
      <calculatedColumnFormula>SUMIFS(tabela_registros[VALOR],tabela_registros[MÊS],$AE$1,tabela_registros[DIA],jantotal[[#Headers],[5]],tabela_registros[REGISTRO],DADOS!$N$4,tabela_registros[TIPO],DADOS!$P$3,tabela_registros[CATEGORIA],despesafixaconsolidado[[#This Row],[DESPESA FIXA]])</calculatedColumnFormula>
    </tableColumn>
    <tableColumn id="23" xr3:uid="{CBA3BBCE-2197-41E0-BC1E-E79D9AFEAEA1}" name="6" totalsRowFunction="sum" dataDxfId="9320" totalsRowDxfId="9319" dataCellStyle="Moeda">
      <calculatedColumnFormula>SUMIFS(tabela_registros[VALOR],tabela_registros[MÊS],$AE$1,tabela_registros[DIA],jantotal[[#Headers],[6]],tabela_registros[REGISTRO],DADOS!$N$4,tabela_registros[TIPO],DADOS!$P$3,tabela_registros[CATEGORIA],despesafixaconsolidado[[#This Row],[DESPESA FIXA]])</calculatedColumnFormula>
    </tableColumn>
    <tableColumn id="24" xr3:uid="{E74E3F72-E147-4A77-8491-C3692401D313}" name="7" totalsRowFunction="sum" dataDxfId="9318" totalsRowDxfId="9317" dataCellStyle="Moeda">
      <calculatedColumnFormula>SUMIFS(tabela_registros[VALOR],tabela_registros[MÊS],$AE$1,tabela_registros[DIA],jantotal[[#Headers],[7]],tabela_registros[REGISTRO],DADOS!$N$4,tabela_registros[TIPO],DADOS!$P$3,tabela_registros[CATEGORIA],despesafixaconsolidado[[#This Row],[DESPESA FIXA]])</calculatedColumnFormula>
    </tableColumn>
    <tableColumn id="25" xr3:uid="{34CD6258-8F25-4280-BB54-A27FB1120DC3}" name="8" totalsRowFunction="sum" dataDxfId="9316" totalsRowDxfId="9315" dataCellStyle="Moeda">
      <calculatedColumnFormula>SUMIFS(tabela_registros[VALOR],tabela_registros[MÊS],$AE$1,tabela_registros[DIA],jantotal[[#Headers],[8]],tabela_registros[REGISTRO],DADOS!$N$4,tabela_registros[TIPO],DADOS!$P$3,tabela_registros[CATEGORIA],despesafixaconsolidado[[#This Row],[DESPESA FIXA]])</calculatedColumnFormula>
    </tableColumn>
    <tableColumn id="26" xr3:uid="{61363868-D9C5-490D-9EC6-873447F6EFB3}" name="9" totalsRowFunction="sum" dataDxfId="9314" totalsRowDxfId="9313" dataCellStyle="Moeda">
      <calculatedColumnFormula>SUMIFS(tabela_registros[VALOR],tabela_registros[MÊS],$AE$1,tabela_registros[DIA],jantotal[[#Headers],[9]],tabela_registros[REGISTRO],DADOS!$N$4,tabela_registros[TIPO],DADOS!$P$3,tabela_registros[CATEGORIA],despesafixaconsolidado[[#This Row],[DESPESA FIXA]])</calculatedColumnFormula>
    </tableColumn>
    <tableColumn id="27" xr3:uid="{4D5DFB8C-345B-446D-B749-C3F8D5EC52CD}" name="10" totalsRowFunction="sum" dataDxfId="9312" totalsRowDxfId="9311" dataCellStyle="Moeda">
      <calculatedColumnFormula>SUMIFS(tabela_registros[VALOR],tabela_registros[MÊS],$AE$1,tabela_registros[DIA],jantotal[[#Headers],[10]],tabela_registros[REGISTRO],DADOS!$N$4,tabela_registros[TIPO],DADOS!$P$3,tabela_registros[CATEGORIA],despesafixaconsolidado[[#This Row],[DESPESA FIXA]])</calculatedColumnFormula>
    </tableColumn>
    <tableColumn id="28" xr3:uid="{F4A0A65C-2705-4C6C-9E6F-A240145D7550}" name="11" totalsRowFunction="sum" dataDxfId="9310" totalsRowDxfId="9309" dataCellStyle="Moeda">
      <calculatedColumnFormula>SUMIFS(tabela_registros[VALOR],tabela_registros[MÊS],$AE$1,tabela_registros[DIA],jantotal[[#Headers],[11]],tabela_registros[REGISTRO],DADOS!$N$4,tabela_registros[TIPO],DADOS!$P$3,tabela_registros[CATEGORIA],despesafixaconsolidado[[#This Row],[DESPESA FIXA]])</calculatedColumnFormula>
    </tableColumn>
    <tableColumn id="29" xr3:uid="{DC220203-2DE0-45BE-B535-9137F6F11391}" name="12" totalsRowFunction="sum" dataDxfId="9308" totalsRowDxfId="9307" dataCellStyle="Moeda">
      <calculatedColumnFormula>SUMIFS(tabela_registros[VALOR],tabela_registros[MÊS],$AE$1,tabela_registros[DIA],jantotal[[#Headers],[12]],tabela_registros[REGISTRO],DADOS!$N$4,tabela_registros[TIPO],DADOS!$P$3,tabela_registros[CATEGORIA],despesafixaconsolidado[[#This Row],[DESPESA FIXA]])</calculatedColumnFormula>
    </tableColumn>
    <tableColumn id="30" xr3:uid="{F65AD8F5-50B9-4025-BC54-061A19788163}" name="13" totalsRowFunction="sum" dataDxfId="9306" totalsRowDxfId="9305" dataCellStyle="Moeda">
      <calculatedColumnFormula>SUMIFS(tabela_registros[VALOR],tabela_registros[MÊS],$AE$1,tabela_registros[DIA],jantotal[[#Headers],[13]],tabela_registros[REGISTRO],DADOS!$N$4,tabela_registros[TIPO],DADOS!$P$3,tabela_registros[CATEGORIA],despesafixaconsolidado[[#This Row],[DESPESA FIXA]])</calculatedColumnFormula>
    </tableColumn>
    <tableColumn id="31" xr3:uid="{F9EC848F-42ED-42DD-9BAE-C3E175A88300}" name="14" totalsRowFunction="sum" dataDxfId="9304" totalsRowDxfId="9303" dataCellStyle="Moeda">
      <calculatedColumnFormula>SUMIFS(tabela_registros[VALOR],tabela_registros[MÊS],$AE$1,tabela_registros[DIA],jantotal[[#Headers],[14]],tabela_registros[REGISTRO],DADOS!$N$4,tabela_registros[TIPO],DADOS!$P$3,tabela_registros[CATEGORIA],despesafixaconsolidado[[#This Row],[DESPESA FIXA]])</calculatedColumnFormula>
    </tableColumn>
    <tableColumn id="32" xr3:uid="{D1AF1205-2AFE-422B-BB21-BA6DBBA65309}" name="15" totalsRowFunction="sum" dataDxfId="9302" totalsRowDxfId="9301" dataCellStyle="Moeda">
      <calculatedColumnFormula>SUMIFS(tabela_registros[VALOR],tabela_registros[MÊS],$AE$1,tabela_registros[DIA],jantotal[[#Headers],[15]],tabela_registros[REGISTRO],DADOS!$N$4,tabela_registros[TIPO],DADOS!$P$3,tabela_registros[CATEGORIA],despesafixaconsolidado[[#This Row],[DESPESA FIXA]])</calculatedColumnFormula>
    </tableColumn>
    <tableColumn id="33" xr3:uid="{0A5B377C-0FB2-4902-BCAC-C0441483A091}" name="16" totalsRowFunction="sum" dataDxfId="9300" totalsRowDxfId="9299" dataCellStyle="Moeda">
      <calculatedColumnFormula>SUMIFS(tabela_registros[VALOR],tabela_registros[MÊS],$AE$1,tabela_registros[DIA],jantotal[[#Headers],[16]],tabela_registros[REGISTRO],DADOS!$N$4,tabela_registros[TIPO],DADOS!$P$3,tabela_registros[CATEGORIA],despesafixaconsolidado[[#This Row],[DESPESA FIXA]])</calculatedColumnFormula>
    </tableColumn>
    <tableColumn id="34" xr3:uid="{AD216B30-3D97-437F-93A3-6C2056330693}" name="17" totalsRowFunction="sum" dataDxfId="9298" totalsRowDxfId="9297" dataCellStyle="Moeda">
      <calculatedColumnFormula>SUMIFS(tabela_registros[VALOR],tabela_registros[MÊS],$AE$1,tabela_registros[DIA],jantotal[[#Headers],[17]],tabela_registros[REGISTRO],DADOS!$N$4,tabela_registros[TIPO],DADOS!$P$3,tabela_registros[CATEGORIA],despesafixaconsolidado[[#This Row],[DESPESA FIXA]])</calculatedColumnFormula>
    </tableColumn>
    <tableColumn id="35" xr3:uid="{93B15958-C3C1-42F7-9CAC-710F78CAEFA2}" name="18" totalsRowFunction="sum" dataDxfId="9296" totalsRowDxfId="9295" dataCellStyle="Moeda">
      <calculatedColumnFormula>SUMIFS(tabela_registros[VALOR],tabela_registros[MÊS],$AE$1,tabela_registros[DIA],jantotal[[#Headers],[18]],tabela_registros[REGISTRO],DADOS!$N$4,tabela_registros[TIPO],DADOS!$P$3,tabela_registros[CATEGORIA],despesafixaconsolidado[[#This Row],[DESPESA FIXA]])</calculatedColumnFormula>
    </tableColumn>
    <tableColumn id="36" xr3:uid="{4EFF4882-8420-4736-8375-0AF1C4568F32}" name="19" totalsRowFunction="sum" dataDxfId="9294" totalsRowDxfId="9293" dataCellStyle="Moeda">
      <calculatedColumnFormula>SUMIFS(tabela_registros[VALOR],tabela_registros[MÊS],$AE$1,tabela_registros[DIA],jantotal[[#Headers],[19]],tabela_registros[REGISTRO],DADOS!$N$4,tabela_registros[TIPO],DADOS!$P$3,tabela_registros[CATEGORIA],despesafixaconsolidado[[#This Row],[DESPESA FIXA]])</calculatedColumnFormula>
    </tableColumn>
    <tableColumn id="37" xr3:uid="{DC68E8C0-DF99-4F5B-91DC-213BE57E89BE}" name="20" totalsRowFunction="sum" dataDxfId="9292" totalsRowDxfId="9291" dataCellStyle="Moeda">
      <calculatedColumnFormula>SUMIFS(tabela_registros[VALOR],tabela_registros[MÊS],$AE$1,tabela_registros[DIA],jantotal[[#Headers],[20]],tabela_registros[REGISTRO],DADOS!$N$4,tabela_registros[TIPO],DADOS!$P$3,tabela_registros[CATEGORIA],despesafixaconsolidado[[#This Row],[DESPESA FIXA]])</calculatedColumnFormula>
    </tableColumn>
    <tableColumn id="38" xr3:uid="{3BA389AE-DE97-4E39-BF73-F7E67170CAEA}" name="21" totalsRowFunction="sum" dataDxfId="9290" totalsRowDxfId="9289" dataCellStyle="Moeda">
      <calculatedColumnFormula>SUMIFS(tabela_registros[VALOR],tabela_registros[MÊS],$AE$1,tabela_registros[DIA],jantotal[[#Headers],[21]],tabela_registros[REGISTRO],DADOS!$N$4,tabela_registros[TIPO],DADOS!$P$3,tabela_registros[CATEGORIA],despesafixaconsolidado[[#This Row],[DESPESA FIXA]])</calculatedColumnFormula>
    </tableColumn>
    <tableColumn id="39" xr3:uid="{8F668A67-3A36-4A30-8A71-20DCBCE0AB15}" name="22" totalsRowFunction="sum" dataDxfId="9288" totalsRowDxfId="9287" dataCellStyle="Moeda">
      <calculatedColumnFormula>SUMIFS(tabela_registros[VALOR],tabela_registros[MÊS],$AE$1,tabela_registros[DIA],jantotal[[#Headers],[22]],tabela_registros[REGISTRO],DADOS!$N$4,tabela_registros[TIPO],DADOS!$P$3,tabela_registros[CATEGORIA],despesafixaconsolidado[[#This Row],[DESPESA FIXA]])</calculatedColumnFormula>
    </tableColumn>
    <tableColumn id="40" xr3:uid="{BFD42516-44E9-4D89-8086-B3BCBDD21A2F}" name="23" totalsRowFunction="sum" dataDxfId="9286" totalsRowDxfId="9285" dataCellStyle="Moeda">
      <calculatedColumnFormula>SUMIFS(tabela_registros[VALOR],tabela_registros[MÊS],$AE$1,tabela_registros[DIA],jantotal[[#Headers],[23]],tabela_registros[REGISTRO],DADOS!$N$4,tabela_registros[TIPO],DADOS!$P$3,tabela_registros[CATEGORIA],despesafixaconsolidado[[#This Row],[DESPESA FIXA]])</calculatedColumnFormula>
    </tableColumn>
    <tableColumn id="41" xr3:uid="{B5FCA374-9894-4C92-A5B1-E85F1641F414}" name="24" totalsRowFunction="sum" dataDxfId="9284" totalsRowDxfId="9283" dataCellStyle="Moeda">
      <calculatedColumnFormula>SUMIFS(tabela_registros[VALOR],tabela_registros[MÊS],$AE$1,tabela_registros[DIA],jantotal[[#Headers],[24]],tabela_registros[REGISTRO],DADOS!$N$4,tabela_registros[TIPO],DADOS!$P$3,tabela_registros[CATEGORIA],despesafixaconsolidado[[#This Row],[DESPESA FIXA]])</calculatedColumnFormula>
    </tableColumn>
    <tableColumn id="12" xr3:uid="{A55CC833-0614-4D39-9EB5-FF7C190E74D7}" name="25" totalsRowFunction="sum" dataDxfId="9282" totalsRowDxfId="9281" dataCellStyle="Moeda">
      <calculatedColumnFormula>SUMIFS(tabela_registros[VALOR],tabela_registros[MÊS],$AE$1,tabela_registros[DIA],jantotal[[#Headers],[25]],tabela_registros[REGISTRO],DADOS!$N$4,tabela_registros[TIPO],DADOS!$P$3,tabela_registros[CATEGORIA],despesafixaconsolidado[[#This Row],[DESPESA FIXA]])</calculatedColumnFormula>
    </tableColumn>
    <tableColumn id="13" xr3:uid="{00B5D49B-948A-40DF-96CF-09392F3B9D5C}" name="26" totalsRowFunction="sum" dataDxfId="9280" totalsRowDxfId="9279" dataCellStyle="Moeda">
      <calculatedColumnFormula>SUMIFS(tabela_registros[VALOR],tabela_registros[MÊS],$AE$1,tabela_registros[DIA],jantotal[[#Headers],[26]],tabela_registros[REGISTRO],DADOS!$N$4,tabela_registros[TIPO],DADOS!$P$3,tabela_registros[CATEGORIA],despesafixaconsolidado[[#This Row],[DESPESA FIXA]])</calculatedColumnFormula>
    </tableColumn>
    <tableColumn id="14" xr3:uid="{F28D4C64-B0AB-4619-8ED8-B11641447122}" name="27" totalsRowFunction="sum" dataDxfId="9278" totalsRowDxfId="9277" dataCellStyle="Moeda">
      <calculatedColumnFormula>SUMIFS(tabela_registros[VALOR],tabela_registros[MÊS],$AE$1,tabela_registros[DIA],jantotal[[#Headers],[27]],tabela_registros[REGISTRO],DADOS!$N$4,tabela_registros[TIPO],DADOS!$P$3,tabela_registros[CATEGORIA],despesafixaconsolidado[[#This Row],[DESPESA FIXA]])</calculatedColumnFormula>
    </tableColumn>
    <tableColumn id="15" xr3:uid="{6F9CFBE2-1398-4F91-8690-28D70445CF02}" name="28" totalsRowFunction="sum" dataDxfId="9276" totalsRowDxfId="9275" dataCellStyle="Moeda">
      <calculatedColumnFormula>SUMIFS(tabela_registros[VALOR],tabela_registros[MÊS],$AE$1,tabela_registros[DIA],jantotal[[#Headers],[28]],tabela_registros[REGISTRO],DADOS!$N$4,tabela_registros[TIPO],DADOS!$P$3,tabela_registros[CATEGORIA],despesafixaconsolidado[[#This Row],[DESPESA FIXA]])</calculatedColumnFormula>
    </tableColumn>
    <tableColumn id="16" xr3:uid="{A975247C-92E5-4036-B598-DCFE302B8528}" name="29" totalsRowFunction="sum" dataDxfId="9274" totalsRowDxfId="9273" dataCellStyle="Moeda">
      <calculatedColumnFormula>SUMIFS(tabela_registros[VALOR],tabela_registros[MÊS],$AE$1,tabela_registros[DIA],jantotal[[#Headers],[29]],tabela_registros[REGISTRO],DADOS!$N$4,tabela_registros[TIPO],DADOS!$P$3,tabela_registros[CATEGORIA],despesafixaconsolidado[[#This Row],[DESPESA FIXA]])</calculatedColumnFormula>
    </tableColumn>
    <tableColumn id="17" xr3:uid="{E4CFE07C-095D-43C2-97E9-973A2AABD276}" name="30" totalsRowFunction="sum" dataDxfId="9272" totalsRowDxfId="9271" dataCellStyle="Moeda">
      <calculatedColumnFormula>SUMIFS(tabela_registros[VALOR],tabela_registros[MÊS],$AE$1,tabela_registros[DIA],jantotal[[#Headers],[30]],tabela_registros[REGISTRO],DADOS!$N$4,tabela_registros[TIPO],DADOS!$P$3,tabela_registros[CATEGORIA],despesafixaconsolidado[[#This Row],[DESPESA FIXA]])</calculatedColumnFormula>
    </tableColumn>
    <tableColumn id="9" xr3:uid="{C055106E-498C-483B-BF4E-49BCA1FE0DB4}" name="31" totalsRowFunction="sum" dataDxfId="9270" totalsRowDxfId="9269" dataCellStyle="Moeda">
      <calculatedColumnFormula>SUMIFS(tabela_registros[VALOR],tabela_registros[MÊS],$AE$1,tabela_registros[DIA],jantotal[[#Headers],[31]],tabela_registros[REGISTRO],DADOS!$N$4,tabela_registros[TIPO],DADOS!$P$3,tabela_registros[CATEGORIA],despesafixaconsolidado[[#This Row],[DESPESA FIXA]])</calculatedColumnFormula>
    </tableColumn>
    <tableColumn id="5" xr3:uid="{2152B718-5CFE-4238-AAA4-1C5067A66366}" name="TOTAL" totalsRowFunction="sum" dataDxfId="9268" dataCellStyle="Moeda">
      <calculatedColumnFormula>SUM(despesafixaconsolidado[[#This Row],[1]:[31]])</calculatedColumnFormula>
    </tableColumn>
  </tableColumns>
  <tableStyleInfo name="TABELAS RESULTADOS" showFirstColumn="0" showLastColumn="1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1" xr:uid="{422BB680-4415-4DF9-B2D9-361D6D3A9E5D}" name="despesavariávelconsolidado" displayName="despesavariávelconsolidado" ref="C59:AJ73" headerRowDxfId="9267" dataDxfId="9266" totalsRowDxfId="9265" dataCellStyle="Moeda">
  <autoFilter ref="C59:AJ73" xr:uid="{07DB3A1D-DBCD-42BC-96FE-46512EDE2C70}"/>
  <tableColumns count="34">
    <tableColumn id="1" xr3:uid="{C81A5C12-6514-42AB-9763-F42AF1958940}" name="DESPESA VARIÁVEL" totalsRowLabel="Total" dataDxfId="9264" totalsRowDxfId="9263">
      <calculatedColumnFormula>DADOS!T3</calculatedColumnFormula>
    </tableColumn>
    <tableColumn id="54" xr3:uid="{9346DEE4-3D66-4503-BF59-28EAD3AC97BF}" name="Coluna1" dataDxfId="9262" totalsRowDxfId="9261">
      <calculatedColumnFormula>IF(despesavariávelconsolidado[[#This Row],[TOTAL]]=0,"",IF(OR(despesavariávelconsolidado[[#This Row],[TOTAL]]=SMALL(despesavariávelconsolidado[TOTAL],1),despesavariávelconsolidado[[#This Row],[TOTAL]]=SMALL(despesavariávelconsolidado[TOTAL],2),despesavariávelconsolidado[[#This Row],[TOTAL]]=SMALL(despesavariávelconsolidado[TOTAL],3),despesavariávelconsolidado[[#This Row],[TOTAL]]=SMALL(despesavariávelconsolidado[TOTAL],4),despesavariávelconsolidado[[#This Row],[TOTAL]]=SMALL(despesavariávelconsolidado[TOTAL],5)),DADOS!$I$8,""))</calculatedColumnFormula>
    </tableColumn>
    <tableColumn id="30" xr3:uid="{40367193-1DEA-4CF9-85B8-1B66731D6CCD}" name="1" totalsRowFunction="sum" dataDxfId="9260">
      <calculatedColumnFormula>SUMIFS(tabela_registros[VALOR],tabela_registros[MÊS],$AE$1,tabela_registros[DIA],jantotal[[#Headers],[1]],tabela_registros[REGISTRO],DADOS!$N$4,tabela_registros[TIPO],DADOS!$P$4,tabela_registros[CATEGORIA],despesavariávelconsolidado[[#This Row],[DESPESA VARIÁVEL]])</calculatedColumnFormula>
    </tableColumn>
    <tableColumn id="31" xr3:uid="{60E1A036-8843-4D36-9A13-9652E0ECE429}" name="2" totalsRowFunction="sum" dataDxfId="9259">
      <calculatedColumnFormula>SUMIFS(tabela_registros[VALOR],tabela_registros[MÊS],$AE$1,tabela_registros[DIA],jantotal[[#Headers],[2]],tabela_registros[REGISTRO],DADOS!$N$4,tabela_registros[TIPO],DADOS!$P$4,tabela_registros[CATEGORIA],despesavariávelconsolidado[[#This Row],[DESPESA VARIÁVEL]])</calculatedColumnFormula>
    </tableColumn>
    <tableColumn id="32" xr3:uid="{8FB61C0F-E0A1-486B-822B-8E890774F606}" name="3" totalsRowFunction="sum" dataDxfId="9258">
      <calculatedColumnFormula>SUMIFS(tabela_registros[VALOR],tabela_registros[MÊS],$AE$1,tabela_registros[DIA],jantotal[[#Headers],[3]],tabela_registros[REGISTRO],DADOS!$N$4,tabela_registros[TIPO],DADOS!$P$4,tabela_registros[CATEGORIA],despesavariávelconsolidado[[#This Row],[DESPESA VARIÁVEL]])</calculatedColumnFormula>
    </tableColumn>
    <tableColumn id="33" xr3:uid="{07F4E4E0-181B-4972-8306-E62069D1AE33}" name="4" totalsRowFunction="sum" dataDxfId="9257">
      <calculatedColumnFormula>SUMIFS(tabela_registros[VALOR],tabela_registros[MÊS],$AE$1,tabela_registros[DIA],jantotal[[#Headers],[4]],tabela_registros[REGISTRO],DADOS!$N$4,tabela_registros[TIPO],DADOS!$P$4,tabela_registros[CATEGORIA],despesavariávelconsolidado[[#This Row],[DESPESA VARIÁVEL]])</calculatedColumnFormula>
    </tableColumn>
    <tableColumn id="34" xr3:uid="{66422EC9-59E9-4B96-B448-D889D7A55BCB}" name="5" totalsRowFunction="sum" dataDxfId="9256">
      <calculatedColumnFormula>SUMIFS(tabela_registros[VALOR],tabela_registros[MÊS],$AE$1,tabela_registros[DIA],jantotal[[#Headers],[5]],tabela_registros[REGISTRO],DADOS!$N$4,tabela_registros[TIPO],DADOS!$P$4,tabela_registros[CATEGORIA],despesavariávelconsolidado[[#This Row],[DESPESA VARIÁVEL]])</calculatedColumnFormula>
    </tableColumn>
    <tableColumn id="35" xr3:uid="{E32DAC63-606D-4FBE-B351-00D27240B57A}" name="6" totalsRowFunction="sum" dataDxfId="9255">
      <calculatedColumnFormula>SUMIFS(tabela_registros[VALOR],tabela_registros[MÊS],$AE$1,tabela_registros[DIA],jantotal[[#Headers],[6]],tabela_registros[REGISTRO],DADOS!$N$4,tabela_registros[TIPO],DADOS!$P$4,tabela_registros[CATEGORIA],despesavariávelconsolidado[[#This Row],[DESPESA VARIÁVEL]])</calculatedColumnFormula>
    </tableColumn>
    <tableColumn id="36" xr3:uid="{285052D7-F4B1-447E-A8E6-ACAAF1D62E44}" name="7" totalsRowFunction="sum" dataDxfId="9254">
      <calculatedColumnFormula>SUMIFS(tabela_registros[VALOR],tabela_registros[MÊS],$AE$1,tabela_registros[DIA],jantotal[[#Headers],[7]],tabela_registros[REGISTRO],DADOS!$N$4,tabela_registros[TIPO],DADOS!$P$4,tabela_registros[CATEGORIA],despesavariávelconsolidado[[#This Row],[DESPESA VARIÁVEL]])</calculatedColumnFormula>
    </tableColumn>
    <tableColumn id="37" xr3:uid="{F94C1A9E-E90E-4E88-B8AE-5FBF4234A99F}" name="8" totalsRowFunction="sum" dataDxfId="9253">
      <calculatedColumnFormula>SUMIFS(tabela_registros[VALOR],tabela_registros[MÊS],$AE$1,tabela_registros[DIA],jantotal[[#Headers],[8]],tabela_registros[REGISTRO],DADOS!$N$4,tabela_registros[TIPO],DADOS!$P$4,tabela_registros[CATEGORIA],despesavariávelconsolidado[[#This Row],[DESPESA VARIÁVEL]])</calculatedColumnFormula>
    </tableColumn>
    <tableColumn id="38" xr3:uid="{6F5EF77E-FCE1-49FE-9AAC-408C793455C1}" name="9" totalsRowFunction="sum" dataDxfId="9252">
      <calculatedColumnFormula>SUMIFS(tabela_registros[VALOR],tabela_registros[MÊS],$AE$1,tabela_registros[DIA],jantotal[[#Headers],[9]],tabela_registros[REGISTRO],DADOS!$N$4,tabela_registros[TIPO],DADOS!$P$4,tabela_registros[CATEGORIA],despesavariávelconsolidado[[#This Row],[DESPESA VARIÁVEL]])</calculatedColumnFormula>
    </tableColumn>
    <tableColumn id="39" xr3:uid="{752086B6-614A-4C68-8E5D-CC513084DD6C}" name="10" totalsRowFunction="sum" dataDxfId="9251">
      <calculatedColumnFormula>SUMIFS(tabela_registros[VALOR],tabela_registros[MÊS],$AE$1,tabela_registros[DIA],jantotal[[#Headers],[10]],tabela_registros[REGISTRO],DADOS!$N$4,tabela_registros[TIPO],DADOS!$P$4,tabela_registros[CATEGORIA],despesavariávelconsolidado[[#This Row],[DESPESA VARIÁVEL]])</calculatedColumnFormula>
    </tableColumn>
    <tableColumn id="40" xr3:uid="{9A582F96-A8B7-4DDB-8B56-6DE552366E6B}" name="11" totalsRowFunction="sum" dataDxfId="9250">
      <calculatedColumnFormula>SUMIFS(tabela_registros[VALOR],tabela_registros[MÊS],$AE$1,tabela_registros[DIA],jantotal[[#Headers],[11]],tabela_registros[REGISTRO],DADOS!$N$4,tabela_registros[TIPO],DADOS!$P$4,tabela_registros[CATEGORIA],despesavariávelconsolidado[[#This Row],[DESPESA VARIÁVEL]])</calculatedColumnFormula>
    </tableColumn>
    <tableColumn id="41" xr3:uid="{0E48D834-F412-4410-A834-7C64C989C442}" name="12" totalsRowFunction="sum" dataDxfId="9249">
      <calculatedColumnFormula>SUMIFS(tabela_registros[VALOR],tabela_registros[MÊS],$AE$1,tabela_registros[DIA],jantotal[[#Headers],[12]],tabela_registros[REGISTRO],DADOS!$N$4,tabela_registros[TIPO],DADOS!$P$4,tabela_registros[CATEGORIA],despesavariávelconsolidado[[#This Row],[DESPESA VARIÁVEL]])</calculatedColumnFormula>
    </tableColumn>
    <tableColumn id="42" xr3:uid="{1A8AADE8-CA51-408B-B2CC-D452FE7C5BDE}" name="13" totalsRowFunction="sum" dataDxfId="9248">
      <calculatedColumnFormula>SUMIFS(tabela_registros[VALOR],tabela_registros[MÊS],$AE$1,tabela_registros[DIA],jantotal[[#Headers],[13]],tabela_registros[REGISTRO],DADOS!$N$4,tabela_registros[TIPO],DADOS!$P$4,tabela_registros[CATEGORIA],despesavariávelconsolidado[[#This Row],[DESPESA VARIÁVEL]])</calculatedColumnFormula>
    </tableColumn>
    <tableColumn id="43" xr3:uid="{6C004625-1189-4DB2-BAE1-B48FC25B7A2F}" name="14" totalsRowFunction="sum" dataDxfId="9247">
      <calculatedColumnFormula>SUMIFS(tabela_registros[VALOR],tabela_registros[MÊS],$AE$1,tabela_registros[DIA],jantotal[[#Headers],[14]],tabela_registros[REGISTRO],DADOS!$N$4,tabela_registros[TIPO],DADOS!$P$4,tabela_registros[CATEGORIA],despesavariávelconsolidado[[#This Row],[DESPESA VARIÁVEL]])</calculatedColumnFormula>
    </tableColumn>
    <tableColumn id="44" xr3:uid="{9C1F6C76-3521-46C0-B603-3CFA54FC4215}" name="15" totalsRowFunction="sum" dataDxfId="9246">
      <calculatedColumnFormula>SUMIFS(tabela_registros[VALOR],tabela_registros[MÊS],$AE$1,tabela_registros[DIA],jantotal[[#Headers],[15]],tabela_registros[REGISTRO],DADOS!$N$4,tabela_registros[TIPO],DADOS!$P$4,tabela_registros[CATEGORIA],despesavariávelconsolidado[[#This Row],[DESPESA VARIÁVEL]])</calculatedColumnFormula>
    </tableColumn>
    <tableColumn id="45" xr3:uid="{F0F0398E-A581-4023-AB08-BF1972EADA2C}" name="16" totalsRowFunction="sum" dataDxfId="9245">
      <calculatedColumnFormula>SUMIFS(tabela_registros[VALOR],tabela_registros[MÊS],$AE$1,tabela_registros[DIA],jantotal[[#Headers],[16]],tabela_registros[REGISTRO],DADOS!$N$4,tabela_registros[TIPO],DADOS!$P$4,tabela_registros[CATEGORIA],despesavariávelconsolidado[[#This Row],[DESPESA VARIÁVEL]])</calculatedColumnFormula>
    </tableColumn>
    <tableColumn id="46" xr3:uid="{7FDC3167-BF60-48EA-B283-41DFFC3CE747}" name="17" totalsRowFunction="sum" dataDxfId="9244">
      <calculatedColumnFormula>SUMIFS(tabela_registros[VALOR],tabela_registros[MÊS],$AE$1,tabela_registros[DIA],jantotal[[#Headers],[17]],tabela_registros[REGISTRO],DADOS!$N$4,tabela_registros[TIPO],DADOS!$P$4,tabela_registros[CATEGORIA],despesavariávelconsolidado[[#This Row],[DESPESA VARIÁVEL]])</calculatedColumnFormula>
    </tableColumn>
    <tableColumn id="47" xr3:uid="{D9D8E393-AD4F-48E2-8A47-EDC442AD8CB6}" name="18" totalsRowFunction="sum" dataDxfId="9243">
      <calculatedColumnFormula>SUMIFS(tabela_registros[VALOR],tabela_registros[MÊS],$AE$1,tabela_registros[DIA],jantotal[[#Headers],[18]],tabela_registros[REGISTRO],DADOS!$N$4,tabela_registros[TIPO],DADOS!$P$4,tabela_registros[CATEGORIA],despesavariávelconsolidado[[#This Row],[DESPESA VARIÁVEL]])</calculatedColumnFormula>
    </tableColumn>
    <tableColumn id="48" xr3:uid="{AF68685C-7E05-4446-BBAE-3F646012B407}" name="19" totalsRowFunction="sum" dataDxfId="9242">
      <calculatedColumnFormula>SUMIFS(tabela_registros[VALOR],tabela_registros[MÊS],$AE$1,tabela_registros[DIA],jantotal[[#Headers],[19]],tabela_registros[REGISTRO],DADOS!$N$4,tabela_registros[TIPO],DADOS!$P$4,tabela_registros[CATEGORIA],despesavariávelconsolidado[[#This Row],[DESPESA VARIÁVEL]])</calculatedColumnFormula>
    </tableColumn>
    <tableColumn id="49" xr3:uid="{ED29E492-77BD-4C6D-B65C-37B75A4E951B}" name="20" totalsRowFunction="sum" dataDxfId="9241">
      <calculatedColumnFormula>SUMIFS(tabela_registros[VALOR],tabela_registros[MÊS],$AE$1,tabela_registros[DIA],jantotal[[#Headers],[20]],tabela_registros[REGISTRO],DADOS!$N$4,tabela_registros[TIPO],DADOS!$P$4,tabela_registros[CATEGORIA],despesavariávelconsolidado[[#This Row],[DESPESA VARIÁVEL]])</calculatedColumnFormula>
    </tableColumn>
    <tableColumn id="50" xr3:uid="{C85AA77F-6389-4B84-909F-77CED44195FC}" name="21" totalsRowFunction="sum" dataDxfId="9240">
      <calculatedColumnFormula>SUMIFS(tabela_registros[VALOR],tabela_registros[MÊS],$AE$1,tabela_registros[DIA],jantotal[[#Headers],[21]],tabela_registros[REGISTRO],DADOS!$N$4,tabela_registros[TIPO],DADOS!$P$4,tabela_registros[CATEGORIA],despesavariávelconsolidado[[#This Row],[DESPESA VARIÁVEL]])</calculatedColumnFormula>
    </tableColumn>
    <tableColumn id="51" xr3:uid="{A293B573-564A-4AE6-8C6C-B7E2CFDE9113}" name="22" totalsRowFunction="sum" dataDxfId="9239">
      <calculatedColumnFormula>SUMIFS(tabela_registros[VALOR],tabela_registros[MÊS],$AE$1,tabela_registros[DIA],jantotal[[#Headers],[22]],tabela_registros[REGISTRO],DADOS!$N$4,tabela_registros[TIPO],DADOS!$P$4,tabela_registros[CATEGORIA],despesavariávelconsolidado[[#This Row],[DESPESA VARIÁVEL]])</calculatedColumnFormula>
    </tableColumn>
    <tableColumn id="52" xr3:uid="{0E83E9B4-CAFD-4E7A-8115-D096AB1270BA}" name="23" totalsRowFunction="sum" dataDxfId="9238">
      <calculatedColumnFormula>SUMIFS(tabela_registros[VALOR],tabela_registros[MÊS],$AE$1,tabela_registros[DIA],jantotal[[#Headers],[23]],tabela_registros[REGISTRO],DADOS!$N$4,tabela_registros[TIPO],DADOS!$P$4,tabela_registros[CATEGORIA],despesavariávelconsolidado[[#This Row],[DESPESA VARIÁVEL]])</calculatedColumnFormula>
    </tableColumn>
    <tableColumn id="53" xr3:uid="{14598E7F-A1ED-4D2D-9334-45C35BB767E7}" name="24" totalsRowFunction="sum" dataDxfId="9237">
      <calculatedColumnFormula>SUMIFS(tabela_registros[VALOR],tabela_registros[MÊS],$AE$1,tabela_registros[DIA],jantotal[[#Headers],[24]],tabela_registros[REGISTRO],DADOS!$N$4,tabela_registros[TIPO],DADOS!$P$4,tabela_registros[CATEGORIA],despesavariávelconsolidado[[#This Row],[DESPESA VARIÁVEL]])</calculatedColumnFormula>
    </tableColumn>
    <tableColumn id="18" xr3:uid="{55B9641C-11AB-41D8-BE51-16808FE4DA57}" name="25" totalsRowFunction="sum" dataDxfId="9236">
      <calculatedColumnFormula>SUMIFS(tabela_registros[VALOR],tabela_registros[MÊS],$AE$1,tabela_registros[DIA],jantotal[[#Headers],[25]],tabela_registros[REGISTRO],DADOS!$N$4,tabela_registros[TIPO],DADOS!$P$4,tabela_registros[CATEGORIA],despesavariávelconsolidado[[#This Row],[DESPESA VARIÁVEL]])</calculatedColumnFormula>
    </tableColumn>
    <tableColumn id="19" xr3:uid="{86FD6745-6225-4210-AE20-AA126DD1EAC3}" name="26" totalsRowFunction="sum" dataDxfId="9235">
      <calculatedColumnFormula>SUMIFS(tabela_registros[VALOR],tabela_registros[MÊS],$AE$1,tabela_registros[DIA],jantotal[[#Headers],[26]],tabela_registros[REGISTRO],DADOS!$N$4,tabela_registros[TIPO],DADOS!$P$4,tabela_registros[CATEGORIA],despesavariávelconsolidado[[#This Row],[DESPESA VARIÁVEL]])</calculatedColumnFormula>
    </tableColumn>
    <tableColumn id="20" xr3:uid="{C0BE107E-FCD5-4B37-B6D6-E318D59088D3}" name="27" totalsRowFunction="sum" dataDxfId="9234">
      <calculatedColumnFormula>SUMIFS(tabela_registros[VALOR],tabela_registros[MÊS],$AE$1,tabela_registros[DIA],jantotal[[#Headers],[27]],tabela_registros[REGISTRO],DADOS!$N$4,tabela_registros[TIPO],DADOS!$P$4,tabela_registros[CATEGORIA],despesavariávelconsolidado[[#This Row],[DESPESA VARIÁVEL]])</calculatedColumnFormula>
    </tableColumn>
    <tableColumn id="21" xr3:uid="{641101C6-7DF1-47DC-9BD7-C0D1655641D0}" name="28" totalsRowFunction="sum" dataDxfId="9233">
      <calculatedColumnFormula>SUMIFS(tabela_registros[VALOR],tabela_registros[MÊS],$AE$1,tabela_registros[DIA],jantotal[[#Headers],[28]],tabela_registros[REGISTRO],DADOS!$N$4,tabela_registros[TIPO],DADOS!$P$4,tabela_registros[CATEGORIA],despesavariávelconsolidado[[#This Row],[DESPESA VARIÁVEL]])</calculatedColumnFormula>
    </tableColumn>
    <tableColumn id="22" xr3:uid="{96C5E2F2-B747-44C9-866E-51052805C662}" name="29" totalsRowFunction="sum" dataDxfId="9232">
      <calculatedColumnFormula>SUMIFS(tabela_registros[VALOR],tabela_registros[MÊS],$AE$1,tabela_registros[DIA],jantotal[[#Headers],[29]],tabela_registros[REGISTRO],DADOS!$N$4,tabela_registros[TIPO],DADOS!$P$4,tabela_registros[CATEGORIA],despesavariávelconsolidado[[#This Row],[DESPESA VARIÁVEL]])</calculatedColumnFormula>
    </tableColumn>
    <tableColumn id="23" xr3:uid="{244C047E-14C5-43ED-ABB8-9387253F9311}" name="30" totalsRowFunction="sum" dataDxfId="9231">
      <calculatedColumnFormula>SUMIFS(tabela_registros[VALOR],tabela_registros[MÊS],$AE$1,tabela_registros[DIA],jantotal[[#Headers],[30]],tabela_registros[REGISTRO],DADOS!$N$4,tabela_registros[TIPO],DADOS!$P$4,tabela_registros[CATEGORIA],despesavariávelconsolidado[[#This Row],[DESPESA VARIÁVEL]])</calculatedColumnFormula>
    </tableColumn>
    <tableColumn id="24" xr3:uid="{2F898A29-20E8-470E-9067-C1E155203706}" name="31" totalsRowFunction="sum" dataDxfId="9230">
      <calculatedColumnFormula>SUMIFS(tabela_registros[VALOR],tabela_registros[MÊS],$AE$1,tabela_registros[DIA],jantotal[[#Headers],[31]],tabela_registros[REGISTRO],DADOS!$N$4,tabela_registros[TIPO],DADOS!$P$4,tabela_registros[CATEGORIA],despesavariávelconsolidado[[#This Row],[DESPESA VARIÁVEL]])</calculatedColumnFormula>
    </tableColumn>
    <tableColumn id="3" xr3:uid="{CF31E675-9774-40DD-9457-8216C8B9611D}" name="TOTAL" totalsRowFunction="sum" dataDxfId="9229" dataCellStyle="Moeda">
      <calculatedColumnFormula>-SUMIFS(tabela_registros[VALOR],tabela_registros[REGISTRO],DADOS!$N$4,tabela_registros[TIPO],despesavariável[[#Headers],[DESPESA VARIÁVEL]],tabela_registros[CATEGORIA],despesavariávelconsolidado[[#This Row],[DESPESA VARIÁVEL]])</calculatedColumnFormula>
    </tableColumn>
  </tableColumns>
  <tableStyleInfo name="TABELAS RESULTADOS" showFirstColumn="0" showLastColumn="1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2" xr:uid="{4B1CFE60-531B-4524-920D-D79DF11F5723}" name="janinvestir" displayName="janinvestir" ref="C24:AJ28" totalsRowCount="1" headerRowDxfId="9228" dataDxfId="9227" totalsRowDxfId="9225" tableBorderDxfId="9226" dataCellStyle="Moeda">
  <autoFilter ref="C24:AJ27" xr:uid="{6A49DC70-6E60-45C7-9126-6CFF5D88342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  <filterColumn colId="25" hiddenButton="1"/>
    <filterColumn colId="26" hiddenButton="1"/>
    <filterColumn colId="27" hiddenButton="1"/>
    <filterColumn colId="28" hiddenButton="1"/>
    <filterColumn colId="29" hiddenButton="1"/>
    <filterColumn colId="30" hiddenButton="1"/>
    <filterColumn colId="31" hiddenButton="1"/>
    <filterColumn colId="32" hiddenButton="1"/>
    <filterColumn colId="33" hiddenButton="1"/>
  </autoFilter>
  <tableColumns count="34">
    <tableColumn id="1" xr3:uid="{EB10299D-AE75-4441-A239-5C5E388135DC}" name="ATUAL" totalsRowLabel="SALDO" dataDxfId="9224" totalsRowDxfId="9223"/>
    <tableColumn id="34" xr3:uid="{BD1DFA60-EF99-4131-814C-B605146AED4F}" name="Coluna1" dataDxfId="9222" totalsRowDxfId="9221"/>
    <tableColumn id="2" xr3:uid="{938ABEBB-25BA-4F7C-BF71-80BB82810BE5}" name="1" totalsRowFunction="sum" dataDxfId="9220" totalsRowDxfId="9219" dataCellStyle="Moeda"/>
    <tableColumn id="3" xr3:uid="{446DC20E-5DB8-42C0-BA79-46F8C6BA20D6}" name="2" totalsRowFunction="sum" dataDxfId="9218" totalsRowDxfId="9217" dataCellStyle="Moeda"/>
    <tableColumn id="4" xr3:uid="{2A04F7EA-B6E6-467D-B141-B9082746ABB8}" name="3" totalsRowFunction="sum" dataDxfId="9216" totalsRowDxfId="9215" dataCellStyle="Moeda"/>
    <tableColumn id="5" xr3:uid="{49C58182-5AD9-45BE-B6AE-8076297486E5}" name="4" totalsRowFunction="sum" dataDxfId="9214" totalsRowDxfId="9213" dataCellStyle="Moeda"/>
    <tableColumn id="6" xr3:uid="{25F0814C-7E06-4D51-9C27-38AABE026D22}" name="5" totalsRowFunction="sum" dataDxfId="9212" totalsRowDxfId="9211" dataCellStyle="Moeda"/>
    <tableColumn id="7" xr3:uid="{1AB444C1-59F9-44A7-898C-832BC95B5BCC}" name="6" totalsRowFunction="sum" dataDxfId="9210" totalsRowDxfId="9209" dataCellStyle="Moeda"/>
    <tableColumn id="8" xr3:uid="{842EBC2C-BBFC-43A2-917E-3AD114B81066}" name="7" totalsRowFunction="sum" dataDxfId="9208" totalsRowDxfId="9207" dataCellStyle="Moeda"/>
    <tableColumn id="9" xr3:uid="{0C0FD2FB-3CFE-4F82-9E73-2B35BA990749}" name="8" totalsRowFunction="sum" dataDxfId="9206" totalsRowDxfId="9205" dataCellStyle="Moeda"/>
    <tableColumn id="10" xr3:uid="{A35C3C29-403F-4CCD-9CE0-9D57AB87065B}" name="9" totalsRowFunction="sum" dataDxfId="9204" totalsRowDxfId="9203" dataCellStyle="Moeda"/>
    <tableColumn id="11" xr3:uid="{DF1C61F9-3C87-444A-A819-1FE4CF5491AC}" name="10" totalsRowFunction="sum" dataDxfId="9202" totalsRowDxfId="9201" dataCellStyle="Moeda"/>
    <tableColumn id="12" xr3:uid="{2B100FD8-CB60-4963-B10D-B6C0EBE11E72}" name="11" totalsRowFunction="sum" dataDxfId="9200" totalsRowDxfId="9199" dataCellStyle="Moeda"/>
    <tableColumn id="13" xr3:uid="{6334966D-1D19-41D2-BA2E-FE42A9ECE2F5}" name="12" totalsRowFunction="sum" dataDxfId="9198" totalsRowDxfId="9197" dataCellStyle="Moeda"/>
    <tableColumn id="14" xr3:uid="{0D522FE2-3F1E-43FC-B21B-C765DECC05F8}" name="13" totalsRowFunction="sum" dataDxfId="9196" totalsRowDxfId="9195" dataCellStyle="Moeda"/>
    <tableColumn id="15" xr3:uid="{5E9EE9D4-3BE0-45D3-8527-1EA0D264F67C}" name="14" totalsRowFunction="sum" dataDxfId="9194" totalsRowDxfId="9193" dataCellStyle="Moeda"/>
    <tableColumn id="16" xr3:uid="{D25A828F-2F06-4592-9099-987320C70E25}" name="15" totalsRowFunction="sum" dataDxfId="9192" totalsRowDxfId="9191" dataCellStyle="Moeda"/>
    <tableColumn id="17" xr3:uid="{1F6BEA73-60A6-4BD8-B8E1-7E50D778ED16}" name="16" totalsRowFunction="sum" dataDxfId="9190" totalsRowDxfId="9189" dataCellStyle="Moeda"/>
    <tableColumn id="18" xr3:uid="{FB0C27C7-7521-43FB-B68C-24EACAABF261}" name="17" totalsRowFunction="sum" dataDxfId="9188" totalsRowDxfId="9187" dataCellStyle="Moeda"/>
    <tableColumn id="19" xr3:uid="{93D62C84-F7BD-4F4F-BB94-6D7089C80BEA}" name="18" totalsRowFunction="sum" dataDxfId="9186" totalsRowDxfId="9185" dataCellStyle="Moeda"/>
    <tableColumn id="20" xr3:uid="{BB88A466-0295-4290-BA1E-75623E27136E}" name="19" totalsRowFunction="sum" dataDxfId="9184" totalsRowDxfId="9183" dataCellStyle="Moeda"/>
    <tableColumn id="21" xr3:uid="{9534084F-33C7-4F86-AA43-495C0B3054BE}" name="20" totalsRowFunction="sum" dataDxfId="9182" totalsRowDxfId="9181" dataCellStyle="Moeda"/>
    <tableColumn id="22" xr3:uid="{B960C1B1-B4BF-4605-A23C-58C935317D3A}" name="21" totalsRowFunction="sum" dataDxfId="9180" totalsRowDxfId="9179" dataCellStyle="Moeda"/>
    <tableColumn id="23" xr3:uid="{34C1F32C-8784-49A3-8C38-C35899430E50}" name="22" totalsRowFunction="sum" dataDxfId="9178" totalsRowDxfId="9177" dataCellStyle="Moeda"/>
    <tableColumn id="24" xr3:uid="{8B9C82DE-5206-4AC9-A394-50D001078A4C}" name="23" totalsRowFunction="sum" dataDxfId="9176" totalsRowDxfId="9175" dataCellStyle="Moeda"/>
    <tableColumn id="25" xr3:uid="{73F23D6E-ED15-4026-BD12-C53722F47A8A}" name="24" totalsRowFunction="sum" dataDxfId="9174" totalsRowDxfId="9173" dataCellStyle="Moeda"/>
    <tableColumn id="26" xr3:uid="{84905770-8528-495C-B1D4-04B19FB7725F}" name="25" totalsRowFunction="sum" dataDxfId="9172" totalsRowDxfId="9171" dataCellStyle="Moeda"/>
    <tableColumn id="27" xr3:uid="{DEE2575D-D3CC-4707-9EEE-989A3A0B649E}" name="26" totalsRowFunction="sum" dataDxfId="9170" totalsRowDxfId="9169" dataCellStyle="Moeda"/>
    <tableColumn id="28" xr3:uid="{015789A3-BC3E-4282-8441-B5CF61AB089D}" name="27" totalsRowFunction="sum" dataDxfId="9168" totalsRowDxfId="9167" dataCellStyle="Moeda"/>
    <tableColumn id="29" xr3:uid="{6C850EBA-7F57-4C21-A499-ACFF38E9AB79}" name="28" totalsRowFunction="sum" dataDxfId="9166" totalsRowDxfId="9165" dataCellStyle="Moeda"/>
    <tableColumn id="30" xr3:uid="{0240D9B4-3C88-400E-AFD9-D2902762E355}" name="29" totalsRowFunction="sum" dataDxfId="9164" totalsRowDxfId="9163" dataCellStyle="Moeda"/>
    <tableColumn id="31" xr3:uid="{5D956245-F807-499B-941B-93563E84D47A}" name="30" totalsRowFunction="sum" dataDxfId="9162" totalsRowDxfId="9161" dataCellStyle="Moeda"/>
    <tableColumn id="32" xr3:uid="{CA4FB529-386A-4E68-A2AA-B570D5F35663}" name="31" totalsRowFunction="sum" dataDxfId="9160" totalsRowDxfId="9159" dataCellStyle="Moeda"/>
    <tableColumn id="33" xr3:uid="{5331BFB4-C7E2-40AE-86B7-78D99E4F7E08}" name="TOTAL (R$)" totalsRowFunction="sum" dataDxfId="9158" totalsRowDxfId="9157" dataCellStyle="Moeda">
      <calculatedColumnFormula>SUM(E25:AI25)</calculatedColumnFormula>
    </tableColumn>
  </tableColumns>
  <tableStyleInfo name="TABELAS RESULTADOS" showFirstColumn="0" showLastColumn="0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3" xr:uid="{ABB2EE2E-4BF0-475E-90D4-CED52CB5B5FC}" name="jantotal" displayName="jantotal" ref="C13:AJ16" headerRowDxfId="9156" dataDxfId="9155" totalsRowDxfId="9154">
  <autoFilter ref="C13:AJ16" xr:uid="{8F80C188-90EF-4EEA-8266-E1F416435B21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  <filterColumn colId="25" hiddenButton="1"/>
    <filterColumn colId="26" hiddenButton="1"/>
    <filterColumn colId="27" hiddenButton="1"/>
    <filterColumn colId="28" hiddenButton="1"/>
    <filterColumn colId="29" hiddenButton="1"/>
    <filterColumn colId="30" hiddenButton="1"/>
    <filterColumn colId="31" hiddenButton="1"/>
    <filterColumn colId="32" hiddenButton="1"/>
    <filterColumn colId="33" hiddenButton="1"/>
  </autoFilter>
  <tableColumns count="34">
    <tableColumn id="1" xr3:uid="{B0B14A3F-84AA-4F6B-B271-A7C042ACCD87}" name="ATUAL" totalsRowLabel="SALDO" dataDxfId="9153"/>
    <tableColumn id="34" xr3:uid="{B9468ED8-FE7A-40C1-9BAA-365493CDF7EF}" name="Coluna1" dataDxfId="9152"/>
    <tableColumn id="2" xr3:uid="{B51D3AD5-F217-4DD6-B488-5745D8C8730A}" name="1" totalsRowFunction="sum" dataDxfId="9151" dataCellStyle="Moeda"/>
    <tableColumn id="3" xr3:uid="{A577A10F-C296-475D-A1EB-C7108B2EB690}" name="2" totalsRowFunction="sum" dataDxfId="9150" totalsRowDxfId="9149" dataCellStyle="Moeda"/>
    <tableColumn id="4" xr3:uid="{10D2DF14-DD9C-42F9-94A8-083797B3BF6E}" name="3" totalsRowFunction="sum" dataDxfId="9148" totalsRowDxfId="9147" dataCellStyle="Moeda"/>
    <tableColumn id="5" xr3:uid="{0F3D8875-0833-46E1-AC22-0F80E5782884}" name="4" totalsRowFunction="sum" dataDxfId="9146" totalsRowDxfId="9145" dataCellStyle="Moeda"/>
    <tableColumn id="6" xr3:uid="{D82A0454-80D9-47E7-B023-59B7922E1657}" name="5" totalsRowFunction="sum" dataDxfId="9144" totalsRowDxfId="9143" dataCellStyle="Moeda"/>
    <tableColumn id="7" xr3:uid="{39E1F5F9-59F7-4375-9750-54DE4213E230}" name="6" totalsRowFunction="sum" dataDxfId="9142" totalsRowDxfId="9141" dataCellStyle="Moeda"/>
    <tableColumn id="8" xr3:uid="{B29ECC9D-7B7C-41E0-AE90-FD165FEFE0B5}" name="7" totalsRowFunction="sum" dataDxfId="9140" totalsRowDxfId="9139" dataCellStyle="Moeda"/>
    <tableColumn id="9" xr3:uid="{CFD6D6A0-43AD-48B5-8559-3A6E32D92F41}" name="8" totalsRowFunction="sum" dataDxfId="9138" totalsRowDxfId="9137" dataCellStyle="Moeda"/>
    <tableColumn id="10" xr3:uid="{F1921A42-21B7-41F9-A957-E00FC8B8EBB0}" name="9" totalsRowFunction="sum" dataDxfId="9136" totalsRowDxfId="9135" dataCellStyle="Moeda"/>
    <tableColumn id="11" xr3:uid="{3F7D13E5-1256-42CE-B055-A85ADE51B1A4}" name="10" totalsRowFunction="sum" dataDxfId="9134" totalsRowDxfId="9133" dataCellStyle="Moeda"/>
    <tableColumn id="12" xr3:uid="{4E46F37B-91B7-46B6-9945-123D777BD9BF}" name="11" totalsRowFunction="sum" dataDxfId="9132" totalsRowDxfId="9131" dataCellStyle="Moeda"/>
    <tableColumn id="13" xr3:uid="{97634E71-E07E-4A43-B094-CE680E8645FC}" name="12" totalsRowFunction="sum" dataDxfId="9130" totalsRowDxfId="9129" dataCellStyle="Moeda"/>
    <tableColumn id="14" xr3:uid="{6F0D90CF-29DF-45EB-B201-6DAFDBAB1745}" name="13" totalsRowFunction="sum" dataDxfId="9128" totalsRowDxfId="9127" dataCellStyle="Moeda"/>
    <tableColumn id="15" xr3:uid="{F3868664-7391-49A6-AC9F-A026B0A99C14}" name="14" totalsRowFunction="sum" dataDxfId="9126" totalsRowDxfId="9125" dataCellStyle="Moeda"/>
    <tableColumn id="16" xr3:uid="{7E4E4434-8CE0-41A8-AF97-08D1B040EA91}" name="15" totalsRowFunction="sum" dataDxfId="9124" totalsRowDxfId="9123" dataCellStyle="Moeda"/>
    <tableColumn id="17" xr3:uid="{25DCF27D-7EB1-4409-911B-7F7CD8F3DA60}" name="16" totalsRowFunction="sum" dataDxfId="9122" totalsRowDxfId="9121" dataCellStyle="Moeda"/>
    <tableColumn id="18" xr3:uid="{3DC14DA6-D2A1-435E-A713-AA1800FC3E11}" name="17" totalsRowFunction="sum" dataDxfId="9120" totalsRowDxfId="9119" dataCellStyle="Moeda"/>
    <tableColumn id="19" xr3:uid="{4C252464-7F6B-477C-ACB1-06ACC86EE3AF}" name="18" totalsRowFunction="sum" dataDxfId="9118" totalsRowDxfId="9117" dataCellStyle="Moeda"/>
    <tableColumn id="20" xr3:uid="{5512C1F1-D802-4B84-96FA-26AE9A560646}" name="19" totalsRowFunction="sum" dataDxfId="9116" totalsRowDxfId="9115" dataCellStyle="Moeda"/>
    <tableColumn id="21" xr3:uid="{D4DC7CA3-43D2-493A-B9E8-B95A48C2FA6D}" name="20" totalsRowFunction="sum" dataDxfId="9114" totalsRowDxfId="9113" dataCellStyle="Moeda"/>
    <tableColumn id="22" xr3:uid="{AD97C116-7AE1-40E3-97B8-383B7279086A}" name="21" totalsRowFunction="sum" dataDxfId="9112" totalsRowDxfId="9111" dataCellStyle="Moeda"/>
    <tableColumn id="23" xr3:uid="{60A0E4B0-57F2-4BAD-892C-34BA54D534B3}" name="22" totalsRowFunction="sum" dataDxfId="9110" totalsRowDxfId="9109" dataCellStyle="Moeda"/>
    <tableColumn id="24" xr3:uid="{FAAA70F1-B6BE-4F60-B815-E817859961AB}" name="23" totalsRowFunction="sum" dataDxfId="9108" totalsRowDxfId="9107" dataCellStyle="Moeda"/>
    <tableColumn id="25" xr3:uid="{ADFC948C-A061-40BE-A193-E053ED9FB5DA}" name="24" totalsRowFunction="sum" dataDxfId="9106" totalsRowDxfId="9105" dataCellStyle="Moeda"/>
    <tableColumn id="26" xr3:uid="{C8F9027F-5BEB-47D5-9B46-0AC27E558F2A}" name="25" totalsRowFunction="sum" dataDxfId="9104" totalsRowDxfId="9103" dataCellStyle="Moeda"/>
    <tableColumn id="27" xr3:uid="{3C4BC03B-7E8C-4D84-A536-787E05E54455}" name="26" totalsRowFunction="sum" dataDxfId="9102" totalsRowDxfId="9101" dataCellStyle="Moeda"/>
    <tableColumn id="28" xr3:uid="{D89B5EF4-DA35-405A-9B25-A05C71E55F62}" name="27" totalsRowFunction="sum" dataDxfId="9100" totalsRowDxfId="9099" dataCellStyle="Moeda"/>
    <tableColumn id="29" xr3:uid="{6FE47190-A38A-443A-853E-6A081286080C}" name="28" totalsRowFunction="sum" dataDxfId="9098" totalsRowDxfId="9097" dataCellStyle="Moeda"/>
    <tableColumn id="30" xr3:uid="{BF097FAD-9D75-4F01-A0B0-25036F787DA1}" name="29" totalsRowFunction="sum" dataDxfId="9096" totalsRowDxfId="9095" dataCellStyle="Moeda"/>
    <tableColumn id="31" xr3:uid="{58349762-C8E4-4C1E-AFD5-3D1720496287}" name="30" totalsRowFunction="sum" dataDxfId="9094" totalsRowDxfId="9093" dataCellStyle="Moeda"/>
    <tableColumn id="32" xr3:uid="{2FFD9424-EF49-42FE-BFDB-46986F828721}" name="31" totalsRowFunction="sum" dataDxfId="9092" totalsRowDxfId="9091" dataCellStyle="Moeda"/>
    <tableColumn id="33" xr3:uid="{96F65FDA-B596-4CB7-8798-5B149FCEFFA6}" name="TOTAL (R$)" totalsRowFunction="sum" dataDxfId="9090" dataCellStyle="Moeda">
      <calculatedColumnFormula>SUM(jantotal[[#This Row],[1]:[31]])</calculatedColumnFormula>
    </tableColumn>
  </tableColumns>
  <tableStyleInfo name="TABELAS RESULTADOS" showFirstColumn="0" showLastColumn="0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4" xr:uid="{599F9380-8A16-4D1B-9DF1-267B0CD969FA}" name="receitasfixasconsolidado" displayName="receitasfixasconsolidado" ref="C81:AJ87" headerRowDxfId="9089" dataDxfId="9088" totalsRowDxfId="9087">
  <autoFilter ref="C81:AJ87" xr:uid="{2EA8B7CB-D602-44E1-B8DB-B71750A487C5}"/>
  <tableColumns count="34">
    <tableColumn id="1" xr3:uid="{746AF8D0-54A2-4E30-87EF-9F12BC9F88F8}" name="ATUAL" totalsRowLabel="SALDO" dataDxfId="9086"/>
    <tableColumn id="34" xr3:uid="{5065959A-E105-4661-8015-2CBC0534B2D5}" name="Coluna1" dataDxfId="9085">
      <calculatedColumnFormula>IF(receitasfixasconsolidado[[#This Row],[TOTAL (R$)]]=0,"",IF(OR(receitasfixasconsolidado[[#This Row],[TOTAL (R$)]]=LARGE($AJ$82:$AJ$86,1),receitasfixasconsolidado[[#This Row],[TOTAL (R$)]]=LARGE($AJ$82:$AJ$86,2)),DADOS!$I$9,""))</calculatedColumnFormula>
    </tableColumn>
    <tableColumn id="2" xr3:uid="{BCCD4A97-162C-4FB5-88D2-ACF96270AECF}" name="1" totalsRowFunction="sum" dataDxfId="9084" dataCellStyle="Moeda"/>
    <tableColumn id="3" xr3:uid="{A05295CA-9C7C-41DD-B3FC-EDC492D524E0}" name="2" totalsRowFunction="sum" dataDxfId="9083" dataCellStyle="Moeda">
      <calculatedColumnFormula>SUMIFS(tabela_registros[VALOR],tabela_registros[MÊS],$AE$1,tabela_registros[DIA],receitasfixasconsolidado[[#Headers],[2]],tabela_registros[REGISTRO],DADOS!$N$3,tabela_registros[TIPO],DADOS!$V$3,tabela_registros[CATEGORIA],receitasfixasconsolidado[[#This Row],[ATUAL]])</calculatedColumnFormula>
    </tableColumn>
    <tableColumn id="4" xr3:uid="{B4F0E4CE-22CF-467C-841C-B8B3ED483AFE}" name="3" totalsRowFunction="sum" dataDxfId="9082" totalsRowDxfId="9081" dataCellStyle="Moeda">
      <calculatedColumnFormula>SUMIFS(tabela_registros[VALOR],tabela_registros[MÊS],$AE$1,tabela_registros[DIA],receitasfixasconsolidado[[#Headers],[3]],tabela_registros[REGISTRO],DADOS!$N$3,tabela_registros[TIPO],DADOS!$V$3,tabela_registros[CATEGORIA],receitasfixasconsolidado[[#This Row],[ATUAL]])</calculatedColumnFormula>
    </tableColumn>
    <tableColumn id="5" xr3:uid="{C4D94E80-55E6-4771-B96B-591CD4F330FD}" name="4" totalsRowFunction="sum" dataDxfId="9080" totalsRowDxfId="9079" dataCellStyle="Moeda">
      <calculatedColumnFormula>SUMIFS(tabela_registros[VALOR],tabela_registros[MÊS],$AE$1,tabela_registros[DIA],receitasfixasconsolidado[[#Headers],[4]],tabela_registros[REGISTRO],DADOS!$N$3,tabela_registros[TIPO],DADOS!$V$3,tabela_registros[CATEGORIA],receitasfixasconsolidado[[#This Row],[ATUAL]])</calculatedColumnFormula>
    </tableColumn>
    <tableColumn id="6" xr3:uid="{039E6B00-DA25-46A6-BE4B-116D646EF99E}" name="5" totalsRowFunction="sum" dataDxfId="9078" totalsRowDxfId="9077" dataCellStyle="Moeda">
      <calculatedColumnFormula>SUMIFS(tabela_registros[VALOR],tabela_registros[MÊS],$AE$1,tabela_registros[DIA],receitasfixasconsolidado[[#Headers],[5]],tabela_registros[REGISTRO],DADOS!$N$3,tabela_registros[TIPO],DADOS!$V$3,tabela_registros[CATEGORIA],receitasfixasconsolidado[[#This Row],[ATUAL]])</calculatedColumnFormula>
    </tableColumn>
    <tableColumn id="7" xr3:uid="{15B38B08-D945-4C78-B5A2-2DD0C3CFB870}" name="6" totalsRowFunction="sum" dataDxfId="9076" totalsRowDxfId="9075" dataCellStyle="Moeda">
      <calculatedColumnFormula>SUMIFS(tabela_registros[VALOR],tabela_registros[MÊS],$AE$1,tabela_registros[DIA],receitasfixasconsolidado[[#Headers],[6]],tabela_registros[REGISTRO],DADOS!$N$3,tabela_registros[TIPO],DADOS!$V$3,tabela_registros[CATEGORIA],receitasfixasconsolidado[[#This Row],[ATUAL]])</calculatedColumnFormula>
    </tableColumn>
    <tableColumn id="8" xr3:uid="{43A9457E-1A91-40CB-8BB5-D2FFEA5A19B5}" name="7" totalsRowFunction="sum" dataDxfId="9074" totalsRowDxfId="9073" dataCellStyle="Moeda">
      <calculatedColumnFormula>SUMIFS(tabela_registros[VALOR],tabela_registros[MÊS],$AE$1,tabela_registros[DIA],receitasfixasconsolidado[[#Headers],[7]],tabela_registros[REGISTRO],DADOS!$N$3,tabela_registros[TIPO],DADOS!$V$3,tabela_registros[CATEGORIA],receitasfixasconsolidado[[#This Row],[ATUAL]])</calculatedColumnFormula>
    </tableColumn>
    <tableColumn id="9" xr3:uid="{FF723A45-1678-406C-9540-AB0BD88B5F2E}" name="8" totalsRowFunction="sum" dataDxfId="9072" totalsRowDxfId="9071" dataCellStyle="Moeda">
      <calculatedColumnFormula>SUMIFS(tabela_registros[VALOR],tabela_registros[MÊS],$AE$1,tabela_registros[DIA],receitasfixasconsolidado[[#Headers],[8]],tabela_registros[REGISTRO],DADOS!$N$3,tabela_registros[TIPO],DADOS!$V$3,tabela_registros[CATEGORIA],receitasfixasconsolidado[[#This Row],[ATUAL]])</calculatedColumnFormula>
    </tableColumn>
    <tableColumn id="10" xr3:uid="{BC262104-27D9-4188-B675-E9781CEEC48C}" name="9" totalsRowFunction="sum" dataDxfId="9070" totalsRowDxfId="9069" dataCellStyle="Moeda">
      <calculatedColumnFormula>SUMIFS(tabela_registros[VALOR],tabela_registros[MÊS],$AE$1,tabela_registros[DIA],receitasfixasconsolidado[[#Headers],[9]],tabela_registros[REGISTRO],DADOS!$N$3,tabela_registros[TIPO],DADOS!$V$3,tabela_registros[CATEGORIA],receitasfixasconsolidado[[#This Row],[ATUAL]])</calculatedColumnFormula>
    </tableColumn>
    <tableColumn id="11" xr3:uid="{DDB1E9C4-7C2B-4260-B630-3AD84CF9D5CC}" name="10" totalsRowFunction="sum" dataDxfId="9068" totalsRowDxfId="9067" dataCellStyle="Moeda">
      <calculatedColumnFormula>SUMIFS(tabela_registros[VALOR],tabela_registros[MÊS],$AE$1,tabela_registros[DIA],receitasfixasconsolidado[[#Headers],[10]],tabela_registros[REGISTRO],DADOS!$N$3,tabela_registros[TIPO],DADOS!$V$3,tabela_registros[CATEGORIA],receitasfixasconsolidado[[#This Row],[ATUAL]])</calculatedColumnFormula>
    </tableColumn>
    <tableColumn id="12" xr3:uid="{1F756C10-36C7-4B0C-9C69-A0726049AE03}" name="11" totalsRowFunction="sum" dataDxfId="9066" totalsRowDxfId="9065" dataCellStyle="Moeda">
      <calculatedColumnFormula>SUMIFS(tabela_registros[VALOR],tabela_registros[MÊS],$AE$1,tabela_registros[DIA],receitasfixasconsolidado[[#Headers],[11]],tabela_registros[REGISTRO],DADOS!$N$3,tabela_registros[TIPO],DADOS!$V$3,tabela_registros[CATEGORIA],receitasfixasconsolidado[[#This Row],[ATUAL]])</calculatedColumnFormula>
    </tableColumn>
    <tableColumn id="13" xr3:uid="{B5C2A993-76F0-4512-9F45-C79FC49CE7F6}" name="12" totalsRowFunction="sum" dataDxfId="9064" totalsRowDxfId="9063" dataCellStyle="Moeda">
      <calculatedColumnFormula>SUMIFS(tabela_registros[VALOR],tabela_registros[MÊS],$AE$1,tabela_registros[DIA],receitasfixasconsolidado[[#Headers],[12]],tabela_registros[REGISTRO],DADOS!$N$3,tabela_registros[TIPO],DADOS!$V$3,tabela_registros[CATEGORIA],receitasfixasconsolidado[[#This Row],[ATUAL]])</calculatedColumnFormula>
    </tableColumn>
    <tableColumn id="14" xr3:uid="{A60560DA-07EA-4DF3-85D5-8CDE0BE34DB0}" name="13" totalsRowFunction="sum" dataDxfId="9062" totalsRowDxfId="9061" dataCellStyle="Moeda">
      <calculatedColumnFormula>SUMIFS(tabela_registros[VALOR],tabela_registros[MÊS],$AE$1,tabela_registros[DIA],receitasfixasconsolidado[[#Headers],[13]],tabela_registros[REGISTRO],DADOS!$N$3,tabela_registros[TIPO],DADOS!$V$3,tabela_registros[CATEGORIA],receitasfixasconsolidado[[#This Row],[ATUAL]])</calculatedColumnFormula>
    </tableColumn>
    <tableColumn id="15" xr3:uid="{9C5CE3B2-1F16-4980-BFB9-21A576582EDD}" name="14" totalsRowFunction="sum" dataDxfId="9060" totalsRowDxfId="9059" dataCellStyle="Moeda">
      <calculatedColumnFormula>SUMIFS(tabela_registros[VALOR],tabela_registros[MÊS],$AE$1,tabela_registros[DIA],receitasfixasconsolidado[[#Headers],[14]],tabela_registros[REGISTRO],DADOS!$N$3,tabela_registros[TIPO],DADOS!$V$3,tabela_registros[CATEGORIA],receitasfixasconsolidado[[#This Row],[ATUAL]])</calculatedColumnFormula>
    </tableColumn>
    <tableColumn id="16" xr3:uid="{86DE5E77-7E2B-4860-9780-389614021EC2}" name="15" totalsRowFunction="sum" dataDxfId="9058" totalsRowDxfId="9057" dataCellStyle="Moeda">
      <calculatedColumnFormula>SUMIFS(tabela_registros[VALOR],tabela_registros[MÊS],$AE$1,tabela_registros[DIA],receitasfixasconsolidado[[#Headers],[15]],tabela_registros[REGISTRO],DADOS!$N$3,tabela_registros[TIPO],DADOS!$V$3,tabela_registros[CATEGORIA],receitasfixasconsolidado[[#This Row],[ATUAL]])</calculatedColumnFormula>
    </tableColumn>
    <tableColumn id="17" xr3:uid="{081944DC-5873-4A3C-8401-0D07D24CB69E}" name="16" totalsRowFunction="sum" dataDxfId="9056" totalsRowDxfId="9055" dataCellStyle="Moeda">
      <calculatedColumnFormula>SUMIFS(tabela_registros[VALOR],tabela_registros[MÊS],$AE$1,tabela_registros[DIA],receitasfixasconsolidado[[#Headers],[16]],tabela_registros[REGISTRO],DADOS!$N$3,tabela_registros[TIPO],DADOS!$V$3,tabela_registros[CATEGORIA],receitasfixasconsolidado[[#This Row],[ATUAL]])</calculatedColumnFormula>
    </tableColumn>
    <tableColumn id="18" xr3:uid="{7BB11C7A-030C-4C13-9137-A7B3AED76BAC}" name="17" totalsRowFunction="sum" dataDxfId="9054" totalsRowDxfId="9053" dataCellStyle="Moeda">
      <calculatedColumnFormula>SUMIFS(tabela_registros[VALOR],tabela_registros[MÊS],$AE$1,tabela_registros[DIA],receitasfixasconsolidado[[#Headers],[17]],tabela_registros[REGISTRO],DADOS!$N$3,tabela_registros[TIPO],DADOS!$V$3,tabela_registros[CATEGORIA],receitasfixasconsolidado[[#This Row],[ATUAL]])</calculatedColumnFormula>
    </tableColumn>
    <tableColumn id="19" xr3:uid="{3FB6A36B-FCB1-4C08-B0F5-E3B6204828FA}" name="18" totalsRowFunction="sum" dataDxfId="9052" totalsRowDxfId="9051" dataCellStyle="Moeda">
      <calculatedColumnFormula>SUMIFS(tabela_registros[VALOR],tabela_registros[MÊS],$AE$1,tabela_registros[DIA],receitasfixasconsolidado[[#Headers],[18]],tabela_registros[REGISTRO],DADOS!$N$3,tabela_registros[TIPO],DADOS!$V$3,tabela_registros[CATEGORIA],receitasfixasconsolidado[[#This Row],[ATUAL]])</calculatedColumnFormula>
    </tableColumn>
    <tableColumn id="20" xr3:uid="{9F47D6DE-AF06-440F-AAFB-3D177C8E1400}" name="19" totalsRowFunction="sum" dataDxfId="9050" totalsRowDxfId="9049" dataCellStyle="Moeda">
      <calculatedColumnFormula>SUMIFS(tabela_registros[VALOR],tabela_registros[MÊS],$AE$1,tabela_registros[DIA],receitasfixasconsolidado[[#Headers],[19]],tabela_registros[REGISTRO],DADOS!$N$3,tabela_registros[TIPO],DADOS!$V$3,tabela_registros[CATEGORIA],receitasfixasconsolidado[[#This Row],[ATUAL]])</calculatedColumnFormula>
    </tableColumn>
    <tableColumn id="21" xr3:uid="{C65E8DBC-5713-4DB2-A6FA-30E41353CB7A}" name="20" totalsRowFunction="sum" dataDxfId="9048" totalsRowDxfId="9047" dataCellStyle="Moeda">
      <calculatedColumnFormula>SUMIFS(tabela_registros[VALOR],tabela_registros[MÊS],$AE$1,tabela_registros[DIA],receitasfixasconsolidado[[#Headers],[20]],tabela_registros[REGISTRO],DADOS!$N$3,tabela_registros[TIPO],DADOS!$V$3,tabela_registros[CATEGORIA],receitasfixasconsolidado[[#This Row],[ATUAL]])</calculatedColumnFormula>
    </tableColumn>
    <tableColumn id="22" xr3:uid="{35C16FA8-7A5E-430C-ADD8-394F442C3030}" name="21" totalsRowFunction="sum" dataDxfId="9046" totalsRowDxfId="9045" dataCellStyle="Moeda">
      <calculatedColumnFormula>SUMIFS(tabela_registros[VALOR],tabela_registros[MÊS],$AE$1,tabela_registros[DIA],receitasfixasconsolidado[[#Headers],[21]],tabela_registros[REGISTRO],DADOS!$N$3,tabela_registros[TIPO],DADOS!$V$3,tabela_registros[CATEGORIA],receitasfixasconsolidado[[#This Row],[ATUAL]])</calculatedColumnFormula>
    </tableColumn>
    <tableColumn id="23" xr3:uid="{C61130C6-E517-48F5-AC2A-BD11FEA74393}" name="22" totalsRowFunction="sum" dataDxfId="9044" totalsRowDxfId="9043" dataCellStyle="Moeda">
      <calculatedColumnFormula>SUMIFS(tabela_registros[VALOR],tabela_registros[MÊS],$AE$1,tabela_registros[DIA],receitasfixasconsolidado[[#Headers],[22]],tabela_registros[REGISTRO],DADOS!$N$3,tabela_registros[TIPO],DADOS!$V$3,tabela_registros[CATEGORIA],receitasfixasconsolidado[[#This Row],[ATUAL]])</calculatedColumnFormula>
    </tableColumn>
    <tableColumn id="24" xr3:uid="{BBA83A9D-9317-4756-A273-C00418E56543}" name="23" totalsRowFunction="sum" dataDxfId="9042" totalsRowDxfId="9041" dataCellStyle="Moeda">
      <calculatedColumnFormula>SUMIFS(tabela_registros[VALOR],tabela_registros[MÊS],$AE$1,tabela_registros[DIA],receitasfixasconsolidado[[#Headers],[23]],tabela_registros[REGISTRO],DADOS!$N$3,tabela_registros[TIPO],DADOS!$V$3,tabela_registros[CATEGORIA],receitasfixasconsolidado[[#This Row],[ATUAL]])</calculatedColumnFormula>
    </tableColumn>
    <tableColumn id="25" xr3:uid="{8E401BD6-FC05-4CE7-8B83-81102432B8E2}" name="24" totalsRowFunction="sum" dataDxfId="9040" totalsRowDxfId="9039" dataCellStyle="Moeda">
      <calculatedColumnFormula>SUMIFS(tabela_registros[VALOR],tabela_registros[MÊS],$AE$1,tabela_registros[DIA],receitasfixasconsolidado[[#Headers],[24]],tabela_registros[REGISTRO],DADOS!$N$3,tabela_registros[TIPO],DADOS!$V$3,tabela_registros[CATEGORIA],receitasfixasconsolidado[[#This Row],[ATUAL]])</calculatedColumnFormula>
    </tableColumn>
    <tableColumn id="26" xr3:uid="{02803905-B7E1-43F3-8A2F-09B9634E3BA6}" name="25" totalsRowFunction="sum" dataDxfId="9038" totalsRowDxfId="9037" dataCellStyle="Moeda">
      <calculatedColumnFormula>SUMIFS(tabela_registros[VALOR],tabela_registros[MÊS],$AE$1,tabela_registros[DIA],receitasfixasconsolidado[[#Headers],[25]],tabela_registros[REGISTRO],DADOS!$N$3,tabela_registros[TIPO],DADOS!$V$3,tabela_registros[CATEGORIA],receitasfixasconsolidado[[#This Row],[ATUAL]])</calculatedColumnFormula>
    </tableColumn>
    <tableColumn id="27" xr3:uid="{B63D57DD-556F-4C11-8060-8846AED15B62}" name="26" totalsRowFunction="sum" dataDxfId="9036" totalsRowDxfId="9035" dataCellStyle="Moeda">
      <calculatedColumnFormula>SUMIFS(tabela_registros[VALOR],tabela_registros[MÊS],$AE$1,tabela_registros[DIA],receitasfixasconsolidado[[#Headers],[26]],tabela_registros[REGISTRO],DADOS!$N$3,tabela_registros[TIPO],DADOS!$V$3,tabela_registros[CATEGORIA],receitasfixasconsolidado[[#This Row],[ATUAL]])</calculatedColumnFormula>
    </tableColumn>
    <tableColumn id="28" xr3:uid="{BDA29BC2-D551-439E-B509-8F777125CA4C}" name="27" totalsRowFunction="sum" dataDxfId="9034" totalsRowDxfId="9033" dataCellStyle="Moeda">
      <calculatedColumnFormula>SUMIFS(tabela_registros[VALOR],tabela_registros[MÊS],$AE$1,tabela_registros[DIA],receitasfixasconsolidado[[#Headers],[27]],tabela_registros[REGISTRO],DADOS!$N$3,tabela_registros[TIPO],DADOS!$V$3,tabela_registros[CATEGORIA],receitasfixasconsolidado[[#This Row],[ATUAL]])</calculatedColumnFormula>
    </tableColumn>
    <tableColumn id="29" xr3:uid="{495096EC-29AC-4822-8B8A-52CCBED007C9}" name="28" totalsRowFunction="sum" dataDxfId="9032" totalsRowDxfId="9031" dataCellStyle="Moeda">
      <calculatedColumnFormula>SUMIFS(tabela_registros[VALOR],tabela_registros[MÊS],$AE$1,tabela_registros[DIA],receitasfixasconsolidado[[#Headers],[28]],tabela_registros[REGISTRO],DADOS!$N$3,tabela_registros[TIPO],DADOS!$V$3,tabela_registros[CATEGORIA],receitasfixasconsolidado[[#This Row],[ATUAL]])</calculatedColumnFormula>
    </tableColumn>
    <tableColumn id="30" xr3:uid="{FBD89989-4651-4944-BBC6-7D0FF5E35824}" name="29" totalsRowFunction="sum" dataDxfId="9030" totalsRowDxfId="9029" dataCellStyle="Moeda">
      <calculatedColumnFormula>SUMIFS(tabela_registros[VALOR],tabela_registros[MÊS],$AE$1,tabela_registros[DIA],receitasfixasconsolidado[[#Headers],[29]],tabela_registros[REGISTRO],DADOS!$N$3,tabela_registros[TIPO],DADOS!$V$3,tabela_registros[CATEGORIA],receitasfixasconsolidado[[#This Row],[ATUAL]])</calculatedColumnFormula>
    </tableColumn>
    <tableColumn id="31" xr3:uid="{B720CBA5-4D31-4827-8626-04351AEE28C5}" name="30" totalsRowFunction="sum" dataDxfId="9028" totalsRowDxfId="9027" dataCellStyle="Moeda">
      <calculatedColumnFormula>SUMIFS(tabela_registros[VALOR],tabela_registros[MÊS],$AE$1,tabela_registros[DIA],receitasfixasconsolidado[[#Headers],[30]],tabela_registros[REGISTRO],DADOS!$N$3,tabela_registros[TIPO],DADOS!$V$3,tabela_registros[CATEGORIA],receitasfixasconsolidado[[#This Row],[ATUAL]])</calculatedColumnFormula>
    </tableColumn>
    <tableColumn id="32" xr3:uid="{DADAE35F-86D7-4992-ABD6-0B9C3BCD4459}" name="31" totalsRowFunction="sum" dataDxfId="9026" totalsRowDxfId="9025" dataCellStyle="Moeda">
      <calculatedColumnFormula>SUMIFS(tabela_registros[VALOR],tabela_registros[MÊS],$AE$1,tabela_registros[DIA],receitasfixasconsolidado[[#Headers],[31]],tabela_registros[REGISTRO],DADOS!$N$3,tabela_registros[TIPO],DADOS!$V$3,tabela_registros[CATEGORIA],receitasfixasconsolidado[[#This Row],[ATUAL]])</calculatedColumnFormula>
    </tableColumn>
    <tableColumn id="33" xr3:uid="{5375F086-AC55-4CA8-ADDC-2A7E3F01BCE7}" name="TOTAL (R$)" totalsRowFunction="sum" dataDxfId="9024" dataCellStyle="Moeda">
      <calculatedColumnFormula>SUM(receitasfixasconsolidado[[#This Row],[1]:[31]])</calculatedColumnFormula>
    </tableColumn>
  </tableColumns>
  <tableStyleInfo name="TABELAS RESULTADOS" showFirstColumn="0" showLastColumn="0" showRowStripes="1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5" xr:uid="{D9391B83-35D0-4EBE-881C-A2A84E425DA0}" name="receitasvariáveisconsolidado28" displayName="receitasvariáveisconsolidado28" ref="C95:AJ104" headerRowDxfId="9023" dataDxfId="9022" totalsRowDxfId="9021">
  <autoFilter ref="C95:AJ104" xr:uid="{DEFDE68B-A97D-4ED5-9460-1E58A13A7942}"/>
  <tableColumns count="34">
    <tableColumn id="1" xr3:uid="{D80ACBF4-4DA6-4EA0-ADE1-B04B2CF06A97}" name="ATUAL" totalsRowLabel="SALDO" dataDxfId="9020"/>
    <tableColumn id="34" xr3:uid="{4831C602-7D3C-469D-9FE2-1D04761316AC}" name="Coluna1" dataDxfId="9019" totalsRowDxfId="9018">
      <calculatedColumnFormula>IF(receitasvariáveisconsolidado28[[#This Row],[TOTAL (R$)]]=0,"",IF(OR(receitasvariáveisconsolidado28[[#This Row],[TOTAL (R$)]]=LARGE($AJ$96:$AJ$103,1),receitasvariáveisconsolidado28[[#This Row],[TOTAL (R$)]]=LARGE($AJ$96:$AJ$103,2)),DADOS!$I$9,""))</calculatedColumnFormula>
    </tableColumn>
    <tableColumn id="2" xr3:uid="{599D9221-DC3C-44D3-A453-9824D40E8F73}" name="1" totalsRowFunction="sum" dataDxfId="9017" dataCellStyle="Moeda"/>
    <tableColumn id="3" xr3:uid="{3F91E8BF-B661-4423-A75E-276804B06F4E}" name="2" totalsRowFunction="sum" dataDxfId="9016" dataCellStyle="Moeda">
      <calculatedColumnFormula>SUMIFS(tabela_registros[VALOR],tabela_registros[MÊS],$AE$1,tabela_registros[DIA],receitasvariáveisconsolidado28[[#Headers],[2]],tabela_registros[REGISTRO],DADOS!$N$3,tabela_registros[TIPO],DADOS!$V$3,tabela_registros[CATEGORIA],receitasvariáveisconsolidado28[[#This Row],[ATUAL]])</calculatedColumnFormula>
    </tableColumn>
    <tableColumn id="4" xr3:uid="{75BAE44E-A12C-4D9A-B234-06DEF8E49B57}" name="3" totalsRowFunction="sum" dataDxfId="9015" totalsRowDxfId="9014" dataCellStyle="Moeda">
      <calculatedColumnFormula>SUMIFS(tabela_registros[VALOR],tabela_registros[MÊS],$AE$1,tabela_registros[DIA],receitasvariáveisconsolidado28[[#Headers],[3]],tabela_registros[REGISTRO],DADOS!$N$3,tabela_registros[TIPO],DADOS!$V$3,tabela_registros[CATEGORIA],receitasvariáveisconsolidado28[[#This Row],[ATUAL]])</calculatedColumnFormula>
    </tableColumn>
    <tableColumn id="5" xr3:uid="{2BE6E662-3248-4131-BCCB-129800C02541}" name="4" totalsRowFunction="sum" dataDxfId="9013" totalsRowDxfId="9012" dataCellStyle="Moeda">
      <calculatedColumnFormula>SUMIFS(tabela_registros[VALOR],tabela_registros[MÊS],$AE$1,tabela_registros[DIA],receitasvariáveisconsolidado28[[#Headers],[4]],tabela_registros[REGISTRO],DADOS!$N$3,tabela_registros[TIPO],DADOS!$V$3,tabela_registros[CATEGORIA],receitasvariáveisconsolidado28[[#This Row],[ATUAL]])</calculatedColumnFormula>
    </tableColumn>
    <tableColumn id="6" xr3:uid="{24AB2833-C6DB-455E-86EC-F16F97850782}" name="5" totalsRowFunction="sum" dataDxfId="9011" totalsRowDxfId="9010" dataCellStyle="Moeda">
      <calculatedColumnFormula>SUMIFS(tabela_registros[VALOR],tabela_registros[MÊS],$AE$1,tabela_registros[DIA],receitasvariáveisconsolidado28[[#Headers],[5]],tabela_registros[REGISTRO],DADOS!$N$3,tabela_registros[TIPO],DADOS!$V$3,tabela_registros[CATEGORIA],receitasvariáveisconsolidado28[[#This Row],[ATUAL]])</calculatedColumnFormula>
    </tableColumn>
    <tableColumn id="7" xr3:uid="{86B8570A-6C2E-4B1F-8E0D-A968D3501212}" name="6" totalsRowFunction="sum" dataDxfId="9009" totalsRowDxfId="9008" dataCellStyle="Moeda">
      <calculatedColumnFormula>SUMIFS(tabela_registros[VALOR],tabela_registros[MÊS],$AE$1,tabela_registros[DIA],receitasvariáveisconsolidado28[[#Headers],[6]],tabela_registros[REGISTRO],DADOS!$N$3,tabela_registros[TIPO],DADOS!$V$3,tabela_registros[CATEGORIA],receitasvariáveisconsolidado28[[#This Row],[ATUAL]])</calculatedColumnFormula>
    </tableColumn>
    <tableColumn id="8" xr3:uid="{E126A307-7040-4CB4-98A8-94D98061CC67}" name="7" totalsRowFunction="sum" dataDxfId="9007" totalsRowDxfId="9006" dataCellStyle="Moeda">
      <calculatedColumnFormula>SUMIFS(tabela_registros[VALOR],tabela_registros[MÊS],$AE$1,tabela_registros[DIA],receitasvariáveisconsolidado28[[#Headers],[7]],tabela_registros[REGISTRO],DADOS!$N$3,tabela_registros[TIPO],DADOS!$V$3,tabela_registros[CATEGORIA],receitasvariáveisconsolidado28[[#This Row],[ATUAL]])</calculatedColumnFormula>
    </tableColumn>
    <tableColumn id="9" xr3:uid="{DC381776-4C38-4535-8989-A4CCA159E6B4}" name="8" totalsRowFunction="sum" dataDxfId="9005" totalsRowDxfId="9004" dataCellStyle="Moeda">
      <calculatedColumnFormula>SUMIFS(tabela_registros[VALOR],tabela_registros[MÊS],$AE$1,tabela_registros[DIA],receitasvariáveisconsolidado28[[#Headers],[8]],tabela_registros[REGISTRO],DADOS!$N$3,tabela_registros[TIPO],DADOS!$V$3,tabela_registros[CATEGORIA],receitasvariáveisconsolidado28[[#This Row],[ATUAL]])</calculatedColumnFormula>
    </tableColumn>
    <tableColumn id="10" xr3:uid="{D58A2141-5751-44A3-9047-9D72EE093780}" name="9" totalsRowFunction="sum" dataDxfId="9003" totalsRowDxfId="9002" dataCellStyle="Moeda">
      <calculatedColumnFormula>SUMIFS(tabela_registros[VALOR],tabela_registros[MÊS],$AE$1,tabela_registros[DIA],receitasvariáveisconsolidado28[[#Headers],[9]],tabela_registros[REGISTRO],DADOS!$N$3,tabela_registros[TIPO],DADOS!$V$3,tabela_registros[CATEGORIA],receitasvariáveisconsolidado28[[#This Row],[ATUAL]])</calculatedColumnFormula>
    </tableColumn>
    <tableColumn id="11" xr3:uid="{EA49F08E-E081-42BC-8877-9134FB4425A5}" name="10" totalsRowFunction="sum" dataDxfId="9001" totalsRowDxfId="9000" dataCellStyle="Moeda">
      <calculatedColumnFormula>SUMIFS(tabela_registros[VALOR],tabela_registros[MÊS],$AE$1,tabela_registros[DIA],receitasvariáveisconsolidado28[[#Headers],[10]],tabela_registros[REGISTRO],DADOS!$N$3,tabela_registros[TIPO],DADOS!$V$3,tabela_registros[CATEGORIA],receitasvariáveisconsolidado28[[#This Row],[ATUAL]])</calculatedColumnFormula>
    </tableColumn>
    <tableColumn id="12" xr3:uid="{42799CB4-113D-46E9-B07E-AF5F91A9F794}" name="11" totalsRowFunction="sum" dataDxfId="8999" totalsRowDxfId="8998" dataCellStyle="Moeda">
      <calculatedColumnFormula>SUMIFS(tabela_registros[VALOR],tabela_registros[MÊS],$AE$1,tabela_registros[DIA],receitasvariáveisconsolidado28[[#Headers],[11]],tabela_registros[REGISTRO],DADOS!$N$3,tabela_registros[TIPO],DADOS!$V$3,tabela_registros[CATEGORIA],receitasvariáveisconsolidado28[[#This Row],[ATUAL]])</calculatedColumnFormula>
    </tableColumn>
    <tableColumn id="13" xr3:uid="{C2720D9E-1915-4416-8CD2-97CAAF6F8543}" name="12" totalsRowFunction="sum" dataDxfId="8997" totalsRowDxfId="8996" dataCellStyle="Moeda">
      <calculatedColumnFormula>SUMIFS(tabela_registros[VALOR],tabela_registros[MÊS],$AE$1,tabela_registros[DIA],receitasvariáveisconsolidado28[[#Headers],[12]],tabela_registros[REGISTRO],DADOS!$N$3,tabela_registros[TIPO],DADOS!$V$3,tabela_registros[CATEGORIA],receitasvariáveisconsolidado28[[#This Row],[ATUAL]])</calculatedColumnFormula>
    </tableColumn>
    <tableColumn id="14" xr3:uid="{1A296DA0-3E6E-45A7-AC77-EC9B33C4A2AA}" name="13" totalsRowFunction="sum" dataDxfId="8995" totalsRowDxfId="8994" dataCellStyle="Moeda">
      <calculatedColumnFormula>SUMIFS(tabela_registros[VALOR],tabela_registros[MÊS],$AE$1,tabela_registros[DIA],receitasvariáveisconsolidado28[[#Headers],[13]],tabela_registros[REGISTRO],DADOS!$N$3,tabela_registros[TIPO],DADOS!$V$3,tabela_registros[CATEGORIA],receitasvariáveisconsolidado28[[#This Row],[ATUAL]])</calculatedColumnFormula>
    </tableColumn>
    <tableColumn id="15" xr3:uid="{2C7301B5-201F-4903-8232-2883F57AD02D}" name="14" totalsRowFunction="sum" dataDxfId="8993" totalsRowDxfId="8992" dataCellStyle="Moeda">
      <calculatedColumnFormula>SUMIFS(tabela_registros[VALOR],tabela_registros[MÊS],$AE$1,tabela_registros[DIA],receitasvariáveisconsolidado28[[#Headers],[14]],tabela_registros[REGISTRO],DADOS!$N$3,tabela_registros[TIPO],DADOS!$V$3,tabela_registros[CATEGORIA],receitasvariáveisconsolidado28[[#This Row],[ATUAL]])</calculatedColumnFormula>
    </tableColumn>
    <tableColumn id="16" xr3:uid="{A33A3A06-00E2-4387-A474-D34B92ED47D7}" name="15" totalsRowFunction="sum" dataDxfId="8991" totalsRowDxfId="8990" dataCellStyle="Moeda">
      <calculatedColumnFormula>SUMIFS(tabela_registros[VALOR],tabela_registros[MÊS],$AE$1,tabela_registros[DIA],receitasvariáveisconsolidado28[[#Headers],[15]],tabela_registros[REGISTRO],DADOS!$N$3,tabela_registros[TIPO],DADOS!$V$3,tabela_registros[CATEGORIA],receitasvariáveisconsolidado28[[#This Row],[ATUAL]])</calculatedColumnFormula>
    </tableColumn>
    <tableColumn id="17" xr3:uid="{F04B4CA0-39E8-48FE-AE52-BCA30591D6F5}" name="16" totalsRowFunction="sum" dataDxfId="8989" totalsRowDxfId="8988" dataCellStyle="Moeda">
      <calculatedColumnFormula>SUMIFS(tabela_registros[VALOR],tabela_registros[MÊS],$AE$1,tabela_registros[DIA],receitasvariáveisconsolidado28[[#Headers],[16]],tabela_registros[REGISTRO],DADOS!$N$3,tabela_registros[TIPO],DADOS!$V$3,tabela_registros[CATEGORIA],receitasvariáveisconsolidado28[[#This Row],[ATUAL]])</calculatedColumnFormula>
    </tableColumn>
    <tableColumn id="18" xr3:uid="{C25A6650-924A-48C4-9C09-79F6FA5E8CD5}" name="17" totalsRowFunction="sum" dataDxfId="8987" totalsRowDxfId="8986" dataCellStyle="Moeda">
      <calculatedColumnFormula>SUMIFS(tabela_registros[VALOR],tabela_registros[MÊS],$AE$1,tabela_registros[DIA],receitasvariáveisconsolidado28[[#Headers],[17]],tabela_registros[REGISTRO],DADOS!$N$3,tabela_registros[TIPO],DADOS!$V$3,tabela_registros[CATEGORIA],receitasvariáveisconsolidado28[[#This Row],[ATUAL]])</calculatedColumnFormula>
    </tableColumn>
    <tableColumn id="19" xr3:uid="{8324D79F-6741-47D1-8B8B-140B0F68C0A5}" name="18" totalsRowFunction="sum" dataDxfId="8985" totalsRowDxfId="8984" dataCellStyle="Moeda">
      <calculatedColumnFormula>SUMIFS(tabela_registros[VALOR],tabela_registros[MÊS],$AE$1,tabela_registros[DIA],receitasvariáveisconsolidado28[[#Headers],[18]],tabela_registros[REGISTRO],DADOS!$N$3,tabela_registros[TIPO],DADOS!$V$3,tabela_registros[CATEGORIA],receitasvariáveisconsolidado28[[#This Row],[ATUAL]])</calculatedColumnFormula>
    </tableColumn>
    <tableColumn id="20" xr3:uid="{D7FA6378-A333-4839-BD23-5513FDC2589D}" name="19" totalsRowFunction="sum" dataDxfId="8983" totalsRowDxfId="8982" dataCellStyle="Moeda">
      <calculatedColumnFormula>SUMIFS(tabela_registros[VALOR],tabela_registros[MÊS],$AE$1,tabela_registros[DIA],receitasvariáveisconsolidado28[[#Headers],[19]],tabela_registros[REGISTRO],DADOS!$N$3,tabela_registros[TIPO],DADOS!$V$3,tabela_registros[CATEGORIA],receitasvariáveisconsolidado28[[#This Row],[ATUAL]])</calculatedColumnFormula>
    </tableColumn>
    <tableColumn id="21" xr3:uid="{AD717ABE-DB08-45E1-8196-8AB7289CC512}" name="20" totalsRowFunction="sum" dataDxfId="8981" totalsRowDxfId="8980" dataCellStyle="Moeda">
      <calculatedColumnFormula>SUMIFS(tabela_registros[VALOR],tabela_registros[MÊS],$AE$1,tabela_registros[DIA],receitasvariáveisconsolidado28[[#Headers],[20]],tabela_registros[REGISTRO],DADOS!$N$3,tabela_registros[TIPO],DADOS!$V$3,tabela_registros[CATEGORIA],receitasvariáveisconsolidado28[[#This Row],[ATUAL]])</calculatedColumnFormula>
    </tableColumn>
    <tableColumn id="22" xr3:uid="{7C9ED4F6-B740-4269-9B1B-779AF4D08043}" name="21" totalsRowFunction="sum" dataDxfId="8979" totalsRowDxfId="8978" dataCellStyle="Moeda">
      <calculatedColumnFormula>SUMIFS(tabela_registros[VALOR],tabela_registros[MÊS],$AE$1,tabela_registros[DIA],receitasvariáveisconsolidado28[[#Headers],[21]],tabela_registros[REGISTRO],DADOS!$N$3,tabela_registros[TIPO],DADOS!$V$3,tabela_registros[CATEGORIA],receitasvariáveisconsolidado28[[#This Row],[ATUAL]])</calculatedColumnFormula>
    </tableColumn>
    <tableColumn id="23" xr3:uid="{5BDEA420-9C40-458A-8346-080578932715}" name="22" totalsRowFunction="sum" dataDxfId="8977" totalsRowDxfId="8976" dataCellStyle="Moeda">
      <calculatedColumnFormula>SUMIFS(tabela_registros[VALOR],tabela_registros[MÊS],$AE$1,tabela_registros[DIA],receitasvariáveisconsolidado28[[#Headers],[22]],tabela_registros[REGISTRO],DADOS!$N$3,tabela_registros[TIPO],DADOS!$V$3,tabela_registros[CATEGORIA],receitasvariáveisconsolidado28[[#This Row],[ATUAL]])</calculatedColumnFormula>
    </tableColumn>
    <tableColumn id="24" xr3:uid="{A37A503B-E66A-4536-B9CD-30466F043DBC}" name="23" totalsRowFunction="sum" dataDxfId="8975" totalsRowDxfId="8974" dataCellStyle="Moeda">
      <calculatedColumnFormula>SUMIFS(tabela_registros[VALOR],tabela_registros[MÊS],$AE$1,tabela_registros[DIA],receitasvariáveisconsolidado28[[#Headers],[23]],tabela_registros[REGISTRO],DADOS!$N$3,tabela_registros[TIPO],DADOS!$V$3,tabela_registros[CATEGORIA],receitasvariáveisconsolidado28[[#This Row],[ATUAL]])</calculatedColumnFormula>
    </tableColumn>
    <tableColumn id="25" xr3:uid="{8D3AC2D0-536A-4512-92B8-37435E2746AB}" name="24" totalsRowFunction="sum" dataDxfId="8973" totalsRowDxfId="8972" dataCellStyle="Moeda">
      <calculatedColumnFormula>SUMIFS(tabela_registros[VALOR],tabela_registros[MÊS],$AE$1,tabela_registros[DIA],receitasvariáveisconsolidado28[[#Headers],[24]],tabela_registros[REGISTRO],DADOS!$N$3,tabela_registros[TIPO],DADOS!$V$3,tabela_registros[CATEGORIA],receitasvariáveisconsolidado28[[#This Row],[ATUAL]])</calculatedColumnFormula>
    </tableColumn>
    <tableColumn id="26" xr3:uid="{B1D5F911-B6C0-4856-B7B6-BD3796245C51}" name="25" totalsRowFunction="sum" dataDxfId="8971" totalsRowDxfId="8970" dataCellStyle="Moeda">
      <calculatedColumnFormula>SUMIFS(tabela_registros[VALOR],tabela_registros[MÊS],$AE$1,tabela_registros[DIA],receitasvariáveisconsolidado28[[#Headers],[25]],tabela_registros[REGISTRO],DADOS!$N$3,tabela_registros[TIPO],DADOS!$V$3,tabela_registros[CATEGORIA],receitasvariáveisconsolidado28[[#This Row],[ATUAL]])</calculatedColumnFormula>
    </tableColumn>
    <tableColumn id="27" xr3:uid="{5050FAE5-F112-4EA7-9C94-36941850F344}" name="26" totalsRowFunction="sum" dataDxfId="8969" totalsRowDxfId="8968" dataCellStyle="Moeda">
      <calculatedColumnFormula>SUMIFS(tabela_registros[VALOR],tabela_registros[MÊS],$AE$1,tabela_registros[DIA],receitasvariáveisconsolidado28[[#Headers],[26]],tabela_registros[REGISTRO],DADOS!$N$3,tabela_registros[TIPO],DADOS!$V$3,tabela_registros[CATEGORIA],receitasvariáveisconsolidado28[[#This Row],[ATUAL]])</calculatedColumnFormula>
    </tableColumn>
    <tableColumn id="28" xr3:uid="{ECD387FA-BB61-4915-80B5-A01DC4A67203}" name="27" totalsRowFunction="sum" dataDxfId="8967" totalsRowDxfId="8966" dataCellStyle="Moeda">
      <calculatedColumnFormula>SUMIFS(tabela_registros[VALOR],tabela_registros[MÊS],$AE$1,tabela_registros[DIA],receitasvariáveisconsolidado28[[#Headers],[27]],tabela_registros[REGISTRO],DADOS!$N$3,tabela_registros[TIPO],DADOS!$V$3,tabela_registros[CATEGORIA],receitasvariáveisconsolidado28[[#This Row],[ATUAL]])</calculatedColumnFormula>
    </tableColumn>
    <tableColumn id="29" xr3:uid="{17249E3C-4E33-41A0-B7E5-FF2B361729F7}" name="28" totalsRowFunction="sum" dataDxfId="8965" totalsRowDxfId="8964" dataCellStyle="Moeda">
      <calculatedColumnFormula>SUMIFS(tabela_registros[VALOR],tabela_registros[MÊS],$AE$1,tabela_registros[DIA],receitasvariáveisconsolidado28[[#Headers],[28]],tabela_registros[REGISTRO],DADOS!$N$3,tabela_registros[TIPO],DADOS!$V$3,tabela_registros[CATEGORIA],receitasvariáveisconsolidado28[[#This Row],[ATUAL]])</calculatedColumnFormula>
    </tableColumn>
    <tableColumn id="30" xr3:uid="{E94B8935-3197-4CE2-9924-D2E53DA4A4B0}" name="29" totalsRowFunction="sum" dataDxfId="8963" totalsRowDxfId="8962" dataCellStyle="Moeda">
      <calculatedColumnFormula>SUMIFS(tabela_registros[VALOR],tabela_registros[MÊS],$AE$1,tabela_registros[DIA],receitasvariáveisconsolidado28[[#Headers],[29]],tabela_registros[REGISTRO],DADOS!$N$3,tabela_registros[TIPO],DADOS!$V$3,tabela_registros[CATEGORIA],receitasvariáveisconsolidado28[[#This Row],[ATUAL]])</calculatedColumnFormula>
    </tableColumn>
    <tableColumn id="31" xr3:uid="{C8FF1BCD-5CDF-4C74-A00E-EA5831717357}" name="30" totalsRowFunction="sum" dataDxfId="8961" totalsRowDxfId="8960" dataCellStyle="Moeda">
      <calculatedColumnFormula>SUMIFS(tabela_registros[VALOR],tabela_registros[MÊS],$AE$1,tabela_registros[DIA],receitasvariáveisconsolidado28[[#Headers],[30]],tabela_registros[REGISTRO],DADOS!$N$3,tabela_registros[TIPO],DADOS!$V$3,tabela_registros[CATEGORIA],receitasvariáveisconsolidado28[[#This Row],[ATUAL]])</calculatedColumnFormula>
    </tableColumn>
    <tableColumn id="32" xr3:uid="{43900DD9-D4A8-4EC1-9ADE-AEB12333F6FB}" name="31" totalsRowFunction="sum" dataDxfId="8959" totalsRowDxfId="8958" dataCellStyle="Moeda">
      <calculatedColumnFormula>SUMIFS(tabela_registros[VALOR],tabela_registros[MÊS],$AE$1,tabela_registros[DIA],receitasvariáveisconsolidado28[[#Headers],[31]],tabela_registros[REGISTRO],DADOS!$N$3,tabela_registros[TIPO],DADOS!$V$3,tabela_registros[CATEGORIA],receitasvariáveisconsolidado28[[#This Row],[ATUAL]])</calculatedColumnFormula>
    </tableColumn>
    <tableColumn id="33" xr3:uid="{D8983865-F7D5-4284-902B-B314377A27A0}" name="TOTAL (R$)" totalsRowFunction="sum" dataDxfId="8957" dataCellStyle="Moeda">
      <calculatedColumnFormula>SUM(receitasvariáveisconsolidado28[[#This Row],[1]:[31]])</calculatedColumnFormula>
    </tableColumn>
  </tableColumns>
  <tableStyleInfo name="TABELAS RESULTADOS" showFirstColumn="0" showLastColumn="0" showRowStripes="1" showColumnStripes="0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6" xr:uid="{7A0D72ED-701C-47A5-96C7-66240F99B0E8}" name="investirrendafixaconsolidado2829" displayName="investirrendafixaconsolidado2829" ref="C112:AJ123" headerRowDxfId="8956" dataDxfId="8955" totalsRowDxfId="8954">
  <autoFilter ref="C112:AJ123" xr:uid="{3BCF8FD2-4C10-4776-87A3-7B16A33417A4}"/>
  <tableColumns count="34">
    <tableColumn id="1" xr3:uid="{29BCE849-C1AC-408E-A06A-F7FA69FB7AB1}" name="ATUAL" totalsRowLabel="SALDO" dataDxfId="8953"/>
    <tableColumn id="34" xr3:uid="{BC380A7D-432F-4C97-A222-D508431E0CF5}" name="Coluna1" dataDxfId="8952" totalsRowDxfId="8951">
      <calculatedColumnFormula>IF(investirrendafixaconsolidado2829[[#This Row],[TOTAL (R$)]]=0,"",IF(OR(investirrendafixaconsolidado2829[[#This Row],[TOTAL (R$)]]=LARGE($AJ$113:$AJ$122,1),investirrendafixaconsolidado2829[[#This Row],[TOTAL (R$)]]=LARGE($AJ$113:$AJ$122,2)),DADOS!$I$10,""))</calculatedColumnFormula>
    </tableColumn>
    <tableColumn id="2" xr3:uid="{EECD8151-77EF-47AA-95D1-D8BA95FB3BA0}" name="1" totalsRowFunction="sum" dataDxfId="8950" dataCellStyle="Moeda"/>
    <tableColumn id="3" xr3:uid="{54444C83-8BDD-4F91-AAEC-2D3889F279B1}" name="2" totalsRowFunction="sum" dataDxfId="8949" dataCellStyle="Moeda">
      <calculatedColumnFormula>SUMIFS(tabela_registros[VALOR],tabela_registros[MÊS],$AE$1,tabela_registros[DIA],investirrendafixaconsolidado2829[[#Headers],[2]],tabela_registros[REGISTRO],DADOS!$N$3,tabela_registros[TIPO],DADOS!$V$3,tabela_registros[CATEGORIA],investirrendafixaconsolidado2829[[#This Row],[ATUAL]])</calculatedColumnFormula>
    </tableColumn>
    <tableColumn id="4" xr3:uid="{6A06323C-39EC-4D81-B511-1E253623165F}" name="3" totalsRowFunction="sum" dataDxfId="8948" totalsRowDxfId="8947" dataCellStyle="Moeda">
      <calculatedColumnFormula>SUMIFS(tabela_registros[VALOR],tabela_registros[MÊS],$AE$1,tabela_registros[DIA],investirrendafixaconsolidado2829[[#Headers],[3]],tabela_registros[REGISTRO],DADOS!$N$3,tabela_registros[TIPO],DADOS!$V$3,tabela_registros[CATEGORIA],investirrendafixaconsolidado2829[[#This Row],[ATUAL]])</calculatedColumnFormula>
    </tableColumn>
    <tableColumn id="5" xr3:uid="{A97246CE-C5FF-4A9A-BE4A-B7CFBACFE4EE}" name="4" totalsRowFunction="sum" dataDxfId="8946" totalsRowDxfId="8945" dataCellStyle="Moeda">
      <calculatedColumnFormula>SUMIFS(tabela_registros[VALOR],tabela_registros[MÊS],$AE$1,tabela_registros[DIA],investirrendafixaconsolidado2829[[#Headers],[4]],tabela_registros[REGISTRO],DADOS!$N$3,tabela_registros[TIPO],DADOS!$V$3,tabela_registros[CATEGORIA],investirrendafixaconsolidado2829[[#This Row],[ATUAL]])</calculatedColumnFormula>
    </tableColumn>
    <tableColumn id="6" xr3:uid="{EB46BACB-DC6B-42ED-B931-264EFADBBFCA}" name="5" totalsRowFunction="sum" dataDxfId="8944" totalsRowDxfId="8943" dataCellStyle="Moeda">
      <calculatedColumnFormula>SUMIFS(tabela_registros[VALOR],tabela_registros[MÊS],$AE$1,tabela_registros[DIA],investirrendafixaconsolidado2829[[#Headers],[5]],tabela_registros[REGISTRO],DADOS!$N$3,tabela_registros[TIPO],DADOS!$V$3,tabela_registros[CATEGORIA],investirrendafixaconsolidado2829[[#This Row],[ATUAL]])</calculatedColumnFormula>
    </tableColumn>
    <tableColumn id="7" xr3:uid="{D2CEEDFA-97BB-45CF-9A45-7818346602D4}" name="6" totalsRowFunction="sum" dataDxfId="8942" totalsRowDxfId="8941" dataCellStyle="Moeda">
      <calculatedColumnFormula>SUMIFS(tabela_registros[VALOR],tabela_registros[MÊS],$AE$1,tabela_registros[DIA],investirrendafixaconsolidado2829[[#Headers],[6]],tabela_registros[REGISTRO],DADOS!$N$3,tabela_registros[TIPO],DADOS!$V$3,tabela_registros[CATEGORIA],investirrendafixaconsolidado2829[[#This Row],[ATUAL]])</calculatedColumnFormula>
    </tableColumn>
    <tableColumn id="8" xr3:uid="{0E9A50EB-A894-42CB-A8F3-5ACB95085052}" name="7" totalsRowFunction="sum" dataDxfId="8940" totalsRowDxfId="8939" dataCellStyle="Moeda">
      <calculatedColumnFormula>SUMIFS(tabela_registros[VALOR],tabela_registros[MÊS],$AE$1,tabela_registros[DIA],investirrendafixaconsolidado2829[[#Headers],[7]],tabela_registros[REGISTRO],DADOS!$N$3,tabela_registros[TIPO],DADOS!$V$3,tabela_registros[CATEGORIA],investirrendafixaconsolidado2829[[#This Row],[ATUAL]])</calculatedColumnFormula>
    </tableColumn>
    <tableColumn id="9" xr3:uid="{BE694816-B1DB-492C-A513-031698A6847D}" name="8" totalsRowFunction="sum" dataDxfId="8938" totalsRowDxfId="8937" dataCellStyle="Moeda">
      <calculatedColumnFormula>SUMIFS(tabela_registros[VALOR],tabela_registros[MÊS],$AE$1,tabela_registros[DIA],investirrendafixaconsolidado2829[[#Headers],[8]],tabela_registros[REGISTRO],DADOS!$N$3,tabela_registros[TIPO],DADOS!$V$3,tabela_registros[CATEGORIA],investirrendafixaconsolidado2829[[#This Row],[ATUAL]])</calculatedColumnFormula>
    </tableColumn>
    <tableColumn id="10" xr3:uid="{44AE8B46-68A7-4464-8898-3BFFCBF89E15}" name="9" totalsRowFunction="sum" dataDxfId="8936" totalsRowDxfId="8935" dataCellStyle="Moeda">
      <calculatedColumnFormula>SUMIFS(tabela_registros[VALOR],tabela_registros[MÊS],$AE$1,tabela_registros[DIA],investirrendafixaconsolidado2829[[#Headers],[9]],tabela_registros[REGISTRO],DADOS!$N$3,tabela_registros[TIPO],DADOS!$V$3,tabela_registros[CATEGORIA],investirrendafixaconsolidado2829[[#This Row],[ATUAL]])</calculatedColumnFormula>
    </tableColumn>
    <tableColumn id="11" xr3:uid="{F566DDC4-D7CD-4825-941D-2D5D3F8903DC}" name="10" totalsRowFunction="sum" dataDxfId="8934" totalsRowDxfId="8933" dataCellStyle="Moeda">
      <calculatedColumnFormula>SUMIFS(tabela_registros[VALOR],tabela_registros[MÊS],$AE$1,tabela_registros[DIA],investirrendafixaconsolidado2829[[#Headers],[10]],tabela_registros[REGISTRO],DADOS!$N$3,tabela_registros[TIPO],DADOS!$V$3,tabela_registros[CATEGORIA],investirrendafixaconsolidado2829[[#This Row],[ATUAL]])</calculatedColumnFormula>
    </tableColumn>
    <tableColumn id="12" xr3:uid="{05F5B646-58BF-42C2-AFD9-E42FA9801EFF}" name="11" totalsRowFunction="sum" dataDxfId="8932" totalsRowDxfId="8931" dataCellStyle="Moeda">
      <calculatedColumnFormula>SUMIFS(tabela_registros[VALOR],tabela_registros[MÊS],$AE$1,tabela_registros[DIA],investirrendafixaconsolidado2829[[#Headers],[11]],tabela_registros[REGISTRO],DADOS!$N$3,tabela_registros[TIPO],DADOS!$V$3,tabela_registros[CATEGORIA],investirrendafixaconsolidado2829[[#This Row],[ATUAL]])</calculatedColumnFormula>
    </tableColumn>
    <tableColumn id="13" xr3:uid="{88FA03AB-1C23-4989-B1BF-35C17C270936}" name="12" totalsRowFunction="sum" dataDxfId="8930" totalsRowDxfId="8929" dataCellStyle="Moeda">
      <calculatedColumnFormula>SUMIFS(tabela_registros[VALOR],tabela_registros[MÊS],$AE$1,tabela_registros[DIA],investirrendafixaconsolidado2829[[#Headers],[12]],tabela_registros[REGISTRO],DADOS!$N$3,tabela_registros[TIPO],DADOS!$V$3,tabela_registros[CATEGORIA],investirrendafixaconsolidado2829[[#This Row],[ATUAL]])</calculatedColumnFormula>
    </tableColumn>
    <tableColumn id="14" xr3:uid="{8097EB88-C0C5-4601-959F-722B9E034738}" name="13" totalsRowFunction="sum" dataDxfId="8928" totalsRowDxfId="8927" dataCellStyle="Moeda">
      <calculatedColumnFormula>SUMIFS(tabela_registros[VALOR],tabela_registros[MÊS],$AE$1,tabela_registros[DIA],investirrendafixaconsolidado2829[[#Headers],[13]],tabela_registros[REGISTRO],DADOS!$N$3,tabela_registros[TIPO],DADOS!$V$3,tabela_registros[CATEGORIA],investirrendafixaconsolidado2829[[#This Row],[ATUAL]])</calculatedColumnFormula>
    </tableColumn>
    <tableColumn id="15" xr3:uid="{7E3D5F57-8E5E-46F9-993B-F272DB51AE6E}" name="14" totalsRowFunction="sum" dataDxfId="8926" totalsRowDxfId="8925" dataCellStyle="Moeda">
      <calculatedColumnFormula>SUMIFS(tabela_registros[VALOR],tabela_registros[MÊS],$AE$1,tabela_registros[DIA],investirrendafixaconsolidado2829[[#Headers],[14]],tabela_registros[REGISTRO],DADOS!$N$3,tabela_registros[TIPO],DADOS!$V$3,tabela_registros[CATEGORIA],investirrendafixaconsolidado2829[[#This Row],[ATUAL]])</calculatedColumnFormula>
    </tableColumn>
    <tableColumn id="16" xr3:uid="{D9C79195-E21C-45C5-B019-9DD211158860}" name="15" totalsRowFunction="sum" dataDxfId="8924" totalsRowDxfId="8923" dataCellStyle="Moeda">
      <calculatedColumnFormula>SUMIFS(tabela_registros[VALOR],tabela_registros[MÊS],$AE$1,tabela_registros[DIA],investirrendafixaconsolidado2829[[#Headers],[15]],tabela_registros[REGISTRO],DADOS!$N$3,tabela_registros[TIPO],DADOS!$V$3,tabela_registros[CATEGORIA],investirrendafixaconsolidado2829[[#This Row],[ATUAL]])</calculatedColumnFormula>
    </tableColumn>
    <tableColumn id="17" xr3:uid="{D69B8F75-5695-4ECB-917D-C93B2AF5B665}" name="16" totalsRowFunction="sum" dataDxfId="8922" totalsRowDxfId="8921" dataCellStyle="Moeda">
      <calculatedColumnFormula>SUMIFS(tabela_registros[VALOR],tabela_registros[MÊS],$AE$1,tabela_registros[DIA],investirrendafixaconsolidado2829[[#Headers],[16]],tabela_registros[REGISTRO],DADOS!$N$3,tabela_registros[TIPO],DADOS!$V$3,tabela_registros[CATEGORIA],investirrendafixaconsolidado2829[[#This Row],[ATUAL]])</calculatedColumnFormula>
    </tableColumn>
    <tableColumn id="18" xr3:uid="{E899AF28-CF11-4CA8-B0A8-05B6EF324410}" name="17" totalsRowFunction="sum" dataDxfId="8920" totalsRowDxfId="8919" dataCellStyle="Moeda">
      <calculatedColumnFormula>SUMIFS(tabela_registros[VALOR],tabela_registros[MÊS],$AE$1,tabela_registros[DIA],investirrendafixaconsolidado2829[[#Headers],[17]],tabela_registros[REGISTRO],DADOS!$N$3,tabela_registros[TIPO],DADOS!$V$3,tabela_registros[CATEGORIA],investirrendafixaconsolidado2829[[#This Row],[ATUAL]])</calculatedColumnFormula>
    </tableColumn>
    <tableColumn id="19" xr3:uid="{10683083-8B89-4C40-BDC1-AB1C83C31D70}" name="18" totalsRowFunction="sum" dataDxfId="8918" totalsRowDxfId="8917" dataCellStyle="Moeda">
      <calculatedColumnFormula>SUMIFS(tabela_registros[VALOR],tabela_registros[MÊS],$AE$1,tabela_registros[DIA],investirrendafixaconsolidado2829[[#Headers],[18]],tabela_registros[REGISTRO],DADOS!$N$3,tabela_registros[TIPO],DADOS!$V$3,tabela_registros[CATEGORIA],investirrendafixaconsolidado2829[[#This Row],[ATUAL]])</calculatedColumnFormula>
    </tableColumn>
    <tableColumn id="20" xr3:uid="{AF8C4809-7DFD-49AA-8457-C86C3882EDCD}" name="19" totalsRowFunction="sum" dataDxfId="8916" totalsRowDxfId="8915" dataCellStyle="Moeda">
      <calculatedColumnFormula>SUMIFS(tabela_registros[VALOR],tabela_registros[MÊS],$AE$1,tabela_registros[DIA],investirrendafixaconsolidado2829[[#Headers],[19]],tabela_registros[REGISTRO],DADOS!$N$3,tabela_registros[TIPO],DADOS!$V$3,tabela_registros[CATEGORIA],investirrendafixaconsolidado2829[[#This Row],[ATUAL]])</calculatedColumnFormula>
    </tableColumn>
    <tableColumn id="21" xr3:uid="{223F4AE0-BB14-4393-B27E-72562B3D1120}" name="20" totalsRowFunction="sum" dataDxfId="8914" totalsRowDxfId="8913" dataCellStyle="Moeda">
      <calculatedColumnFormula>SUMIFS(tabela_registros[VALOR],tabela_registros[MÊS],$AE$1,tabela_registros[DIA],investirrendafixaconsolidado2829[[#Headers],[20]],tabela_registros[REGISTRO],DADOS!$N$3,tabela_registros[TIPO],DADOS!$V$3,tabela_registros[CATEGORIA],investirrendafixaconsolidado2829[[#This Row],[ATUAL]])</calculatedColumnFormula>
    </tableColumn>
    <tableColumn id="22" xr3:uid="{6D8D4C64-1BF1-4250-B0BF-4B4BA44EB59F}" name="21" totalsRowFunction="sum" dataDxfId="8912" totalsRowDxfId="8911" dataCellStyle="Moeda">
      <calculatedColumnFormula>SUMIFS(tabela_registros[VALOR],tabela_registros[MÊS],$AE$1,tabela_registros[DIA],investirrendafixaconsolidado2829[[#Headers],[21]],tabela_registros[REGISTRO],DADOS!$N$3,tabela_registros[TIPO],DADOS!$V$3,tabela_registros[CATEGORIA],investirrendafixaconsolidado2829[[#This Row],[ATUAL]])</calculatedColumnFormula>
    </tableColumn>
    <tableColumn id="23" xr3:uid="{39EEFF89-3E86-4ADB-8776-2FC02C491675}" name="22" totalsRowFunction="sum" dataDxfId="8910" totalsRowDxfId="8909" dataCellStyle="Moeda">
      <calculatedColumnFormula>SUMIFS(tabela_registros[VALOR],tabela_registros[MÊS],$AE$1,tabela_registros[DIA],investirrendafixaconsolidado2829[[#Headers],[22]],tabela_registros[REGISTRO],DADOS!$N$3,tabela_registros[TIPO],DADOS!$V$3,tabela_registros[CATEGORIA],investirrendafixaconsolidado2829[[#This Row],[ATUAL]])</calculatedColumnFormula>
    </tableColumn>
    <tableColumn id="24" xr3:uid="{3A940770-9A51-4BB5-8A53-99A32622911E}" name="23" totalsRowFunction="sum" dataDxfId="8908" totalsRowDxfId="8907" dataCellStyle="Moeda">
      <calculatedColumnFormula>SUMIFS(tabela_registros[VALOR],tabela_registros[MÊS],$AE$1,tabela_registros[DIA],investirrendafixaconsolidado2829[[#Headers],[23]],tabela_registros[REGISTRO],DADOS!$N$3,tabela_registros[TIPO],DADOS!$V$3,tabela_registros[CATEGORIA],investirrendafixaconsolidado2829[[#This Row],[ATUAL]])</calculatedColumnFormula>
    </tableColumn>
    <tableColumn id="25" xr3:uid="{51BD2BD0-A5E5-451D-BA3D-9947F5893B74}" name="24" totalsRowFunction="sum" dataDxfId="8906" totalsRowDxfId="8905" dataCellStyle="Moeda">
      <calculatedColumnFormula>SUMIFS(tabela_registros[VALOR],tabela_registros[MÊS],$AE$1,tabela_registros[DIA],investirrendafixaconsolidado2829[[#Headers],[24]],tabela_registros[REGISTRO],DADOS!$N$3,tabela_registros[TIPO],DADOS!$V$3,tabela_registros[CATEGORIA],investirrendafixaconsolidado2829[[#This Row],[ATUAL]])</calculatedColumnFormula>
    </tableColumn>
    <tableColumn id="26" xr3:uid="{B9B2557D-FD4B-446E-A58F-3BC0AA7BDBB9}" name="25" totalsRowFunction="sum" dataDxfId="8904" totalsRowDxfId="8903" dataCellStyle="Moeda">
      <calculatedColumnFormula>SUMIFS(tabela_registros[VALOR],tabela_registros[MÊS],$AE$1,tabela_registros[DIA],investirrendafixaconsolidado2829[[#Headers],[25]],tabela_registros[REGISTRO],DADOS!$N$3,tabela_registros[TIPO],DADOS!$V$3,tabela_registros[CATEGORIA],investirrendafixaconsolidado2829[[#This Row],[ATUAL]])</calculatedColumnFormula>
    </tableColumn>
    <tableColumn id="27" xr3:uid="{60DF90D3-6495-40DD-91DC-2B6E6F43550F}" name="26" totalsRowFunction="sum" dataDxfId="8902" totalsRowDxfId="8901" dataCellStyle="Moeda">
      <calculatedColumnFormula>SUMIFS(tabela_registros[VALOR],tabela_registros[MÊS],$AE$1,tabela_registros[DIA],investirrendafixaconsolidado2829[[#Headers],[26]],tabela_registros[REGISTRO],DADOS!$N$3,tabela_registros[TIPO],DADOS!$V$3,tabela_registros[CATEGORIA],investirrendafixaconsolidado2829[[#This Row],[ATUAL]])</calculatedColumnFormula>
    </tableColumn>
    <tableColumn id="28" xr3:uid="{626F45D0-9EEA-411C-BFAF-2C576A302F3B}" name="27" totalsRowFunction="sum" dataDxfId="8900" totalsRowDxfId="8899" dataCellStyle="Moeda">
      <calculatedColumnFormula>SUMIFS(tabela_registros[VALOR],tabela_registros[MÊS],$AE$1,tabela_registros[DIA],investirrendafixaconsolidado2829[[#Headers],[27]],tabela_registros[REGISTRO],DADOS!$N$3,tabela_registros[TIPO],DADOS!$V$3,tabela_registros[CATEGORIA],investirrendafixaconsolidado2829[[#This Row],[ATUAL]])</calculatedColumnFormula>
    </tableColumn>
    <tableColumn id="29" xr3:uid="{95A656F8-6893-410F-B7FE-93437A03EC6E}" name="28" totalsRowFunction="sum" dataDxfId="8898" totalsRowDxfId="8897" dataCellStyle="Moeda">
      <calculatedColumnFormula>SUMIFS(tabela_registros[VALOR],tabela_registros[MÊS],$AE$1,tabela_registros[DIA],investirrendafixaconsolidado2829[[#Headers],[28]],tabela_registros[REGISTRO],DADOS!$N$3,tabela_registros[TIPO],DADOS!$V$3,tabela_registros[CATEGORIA],investirrendafixaconsolidado2829[[#This Row],[ATUAL]])</calculatedColumnFormula>
    </tableColumn>
    <tableColumn id="30" xr3:uid="{6086B38D-0E66-4541-A400-D33518CBF530}" name="29" totalsRowFunction="sum" dataDxfId="8896" totalsRowDxfId="8895" dataCellStyle="Moeda">
      <calculatedColumnFormula>SUMIFS(tabela_registros[VALOR],tabela_registros[MÊS],$AE$1,tabela_registros[DIA],investirrendafixaconsolidado2829[[#Headers],[29]],tabela_registros[REGISTRO],DADOS!$N$3,tabela_registros[TIPO],DADOS!$V$3,tabela_registros[CATEGORIA],investirrendafixaconsolidado2829[[#This Row],[ATUAL]])</calculatedColumnFormula>
    </tableColumn>
    <tableColumn id="31" xr3:uid="{53F2BE24-D4F5-4D43-8535-6061EB976F4F}" name="30" totalsRowFunction="sum" dataDxfId="8894" totalsRowDxfId="8893" dataCellStyle="Moeda">
      <calculatedColumnFormula>SUMIFS(tabela_registros[VALOR],tabela_registros[MÊS],$AE$1,tabela_registros[DIA],investirrendafixaconsolidado2829[[#Headers],[30]],tabela_registros[REGISTRO],DADOS!$N$3,tabela_registros[TIPO],DADOS!$V$3,tabela_registros[CATEGORIA],investirrendafixaconsolidado2829[[#This Row],[ATUAL]])</calculatedColumnFormula>
    </tableColumn>
    <tableColumn id="32" xr3:uid="{B9E21EEE-3111-4074-9B07-FB4EFFB69FA2}" name="31" totalsRowFunction="sum" dataDxfId="8892" totalsRowDxfId="8891" dataCellStyle="Moeda">
      <calculatedColumnFormula>SUMIFS(tabela_registros[VALOR],tabela_registros[MÊS],$AE$1,tabela_registros[DIA],investirrendafixaconsolidado2829[[#Headers],[31]],tabela_registros[REGISTRO],DADOS!$N$3,tabela_registros[TIPO],DADOS!$V$3,tabela_registros[CATEGORIA],investirrendafixaconsolidado2829[[#This Row],[ATUAL]])</calculatedColumnFormula>
    </tableColumn>
    <tableColumn id="33" xr3:uid="{2D831F9E-02E5-4C12-8602-9B3C24D3D03E}" name="TOTAL (R$)" totalsRowFunction="sum" dataDxfId="8890" dataCellStyle="Moeda">
      <calculatedColumnFormula>SUM(investirrendafixaconsolidado2829[[#This Row],[1]:[31]])</calculatedColumnFormula>
    </tableColumn>
  </tableColumns>
  <tableStyleInfo name="TABELAS RESULTADOS" showFirstColumn="0" showLastColumn="0" showRowStripes="1" showColumnStripes="0"/>
</table>
</file>

<file path=xl/tables/table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7" xr:uid="{3F7B07D6-1950-4164-88F3-5D513632E1F8}" name="investirrendavariávelconsolidado282931" displayName="investirrendavariávelconsolidado282931" ref="C131:AJ142" headerRowDxfId="8889" dataDxfId="8888" totalsRowDxfId="8887">
  <autoFilter ref="C131:AJ142" xr:uid="{08F8225F-86FE-4857-B00A-7406490FE1C1}"/>
  <tableColumns count="34">
    <tableColumn id="1" xr3:uid="{6B6DF2EA-87CA-4359-B98B-6257F0814236}" name="ATUAL" totalsRowLabel="SALDO" dataDxfId="8886"/>
    <tableColumn id="34" xr3:uid="{1035D684-DBDE-42A9-A492-5B3CCBBEE15B}" name="Coluna1" dataDxfId="8885" totalsRowDxfId="8884">
      <calculatedColumnFormula>IF(investirrendavariávelconsolidado282931[[#This Row],[TOTAL (R$)]]=0,"",IF(OR(investirrendavariávelconsolidado282931[[#This Row],[TOTAL (R$)]]=LARGE($AJ$132:$AJ$141,1),investirrendavariávelconsolidado282931[[#This Row],[TOTAL (R$)]]=LARGE($AJ$132:$AJ$141,2)),DADOS!$I$10,""))</calculatedColumnFormula>
    </tableColumn>
    <tableColumn id="2" xr3:uid="{E5B42B92-1DC6-4410-8CD7-7B335FB65EAA}" name="1" totalsRowFunction="sum" dataDxfId="8883" dataCellStyle="Moeda"/>
    <tableColumn id="3" xr3:uid="{D5BC6925-330A-4A60-ADC8-039F6A808A60}" name="2" totalsRowFunction="sum" dataDxfId="8882" dataCellStyle="Moeda">
      <calculatedColumnFormula>SUMIFS(tabela_registros[VALOR],tabela_registros[MÊS],$AE$1,tabela_registros[DIA],investirrendavariávelconsolidado282931[[#Headers],[2]],tabela_registros[REGISTRO],DADOS!$N$3,tabela_registros[TIPO],DADOS!$V$3,tabela_registros[CATEGORIA],investirrendavariávelconsolidado282931[[#This Row],[ATUAL]])</calculatedColumnFormula>
    </tableColumn>
    <tableColumn id="4" xr3:uid="{413C59CB-7799-447F-BE96-B8DC47491387}" name="3" totalsRowFunction="sum" dataDxfId="8881" totalsRowDxfId="8880" dataCellStyle="Moeda">
      <calculatedColumnFormula>SUMIFS(tabela_registros[VALOR],tabela_registros[MÊS],$AE$1,tabela_registros[DIA],investirrendavariávelconsolidado282931[[#Headers],[3]],tabela_registros[REGISTRO],DADOS!$N$3,tabela_registros[TIPO],DADOS!$V$3,tabela_registros[CATEGORIA],investirrendavariávelconsolidado282931[[#This Row],[ATUAL]])</calculatedColumnFormula>
    </tableColumn>
    <tableColumn id="5" xr3:uid="{278B2E4E-1A09-4B19-B813-7171E61FA97B}" name="4" totalsRowFunction="sum" dataDxfId="8879" totalsRowDxfId="8878" dataCellStyle="Moeda">
      <calculatedColumnFormula>SUMIFS(tabela_registros[VALOR],tabela_registros[MÊS],$AE$1,tabela_registros[DIA],investirrendavariávelconsolidado282931[[#Headers],[4]],tabela_registros[REGISTRO],DADOS!$N$3,tabela_registros[TIPO],DADOS!$V$3,tabela_registros[CATEGORIA],investirrendavariávelconsolidado282931[[#This Row],[ATUAL]])</calculatedColumnFormula>
    </tableColumn>
    <tableColumn id="6" xr3:uid="{7DD6F06C-1795-4EB1-BA8D-7656C1B1D0C4}" name="5" totalsRowFunction="sum" dataDxfId="8877" totalsRowDxfId="8876" dataCellStyle="Moeda">
      <calculatedColumnFormula>SUMIFS(tabela_registros[VALOR],tabela_registros[MÊS],$AE$1,tabela_registros[DIA],investirrendavariávelconsolidado282931[[#Headers],[5]],tabela_registros[REGISTRO],DADOS!$N$3,tabela_registros[TIPO],DADOS!$V$3,tabela_registros[CATEGORIA],investirrendavariávelconsolidado282931[[#This Row],[ATUAL]])</calculatedColumnFormula>
    </tableColumn>
    <tableColumn id="7" xr3:uid="{DFF53512-7EB8-47E0-A673-4F0E6810FD73}" name="6" totalsRowFunction="sum" dataDxfId="8875" totalsRowDxfId="8874" dataCellStyle="Moeda">
      <calculatedColumnFormula>SUMIFS(tabela_registros[VALOR],tabela_registros[MÊS],$AE$1,tabela_registros[DIA],investirrendavariávelconsolidado282931[[#Headers],[6]],tabela_registros[REGISTRO],DADOS!$N$3,tabela_registros[TIPO],DADOS!$V$3,tabela_registros[CATEGORIA],investirrendavariávelconsolidado282931[[#This Row],[ATUAL]])</calculatedColumnFormula>
    </tableColumn>
    <tableColumn id="8" xr3:uid="{6F3F8803-B2CC-4D5E-A5C6-AD842A658C68}" name="7" totalsRowFunction="sum" dataDxfId="8873" totalsRowDxfId="8872" dataCellStyle="Moeda">
      <calculatedColumnFormula>SUMIFS(tabela_registros[VALOR],tabela_registros[MÊS],$AE$1,tabela_registros[DIA],investirrendavariávelconsolidado282931[[#Headers],[7]],tabela_registros[REGISTRO],DADOS!$N$3,tabela_registros[TIPO],DADOS!$V$3,tabela_registros[CATEGORIA],investirrendavariávelconsolidado282931[[#This Row],[ATUAL]])</calculatedColumnFormula>
    </tableColumn>
    <tableColumn id="9" xr3:uid="{60DB5089-C4DD-482A-A222-140D547CB0D4}" name="8" totalsRowFunction="sum" dataDxfId="8871" totalsRowDxfId="8870" dataCellStyle="Moeda">
      <calculatedColumnFormula>SUMIFS(tabela_registros[VALOR],tabela_registros[MÊS],$AE$1,tabela_registros[DIA],investirrendavariávelconsolidado282931[[#Headers],[8]],tabela_registros[REGISTRO],DADOS!$N$3,tabela_registros[TIPO],DADOS!$V$3,tabela_registros[CATEGORIA],investirrendavariávelconsolidado282931[[#This Row],[ATUAL]])</calculatedColumnFormula>
    </tableColumn>
    <tableColumn id="10" xr3:uid="{F532C39D-392A-471B-8EDA-91BBE4832652}" name="9" totalsRowFunction="sum" dataDxfId="8869" totalsRowDxfId="8868" dataCellStyle="Moeda">
      <calculatedColumnFormula>SUMIFS(tabela_registros[VALOR],tabela_registros[MÊS],$AE$1,tabela_registros[DIA],investirrendavariávelconsolidado282931[[#Headers],[9]],tabela_registros[REGISTRO],DADOS!$N$3,tabela_registros[TIPO],DADOS!$V$3,tabela_registros[CATEGORIA],investirrendavariávelconsolidado282931[[#This Row],[ATUAL]])</calculatedColumnFormula>
    </tableColumn>
    <tableColumn id="11" xr3:uid="{8A96D8BF-E926-47C5-8E9B-BE1E2A07F8C9}" name="10" totalsRowFunction="sum" dataDxfId="8867" totalsRowDxfId="8866" dataCellStyle="Moeda">
      <calculatedColumnFormula>SUMIFS(tabela_registros[VALOR],tabela_registros[MÊS],$AE$1,tabela_registros[DIA],investirrendavariávelconsolidado282931[[#Headers],[10]],tabela_registros[REGISTRO],DADOS!$N$3,tabela_registros[TIPO],DADOS!$V$3,tabela_registros[CATEGORIA],investirrendavariávelconsolidado282931[[#This Row],[ATUAL]])</calculatedColumnFormula>
    </tableColumn>
    <tableColumn id="12" xr3:uid="{090D48E3-124D-49EA-9007-CB757E2C8170}" name="11" totalsRowFunction="sum" dataDxfId="8865" totalsRowDxfId="8864" dataCellStyle="Moeda">
      <calculatedColumnFormula>SUMIFS(tabela_registros[VALOR],tabela_registros[MÊS],$AE$1,tabela_registros[DIA],investirrendavariávelconsolidado282931[[#Headers],[11]],tabela_registros[REGISTRO],DADOS!$N$3,tabela_registros[TIPO],DADOS!$V$3,tabela_registros[CATEGORIA],investirrendavariávelconsolidado282931[[#This Row],[ATUAL]])</calculatedColumnFormula>
    </tableColumn>
    <tableColumn id="13" xr3:uid="{D074A759-B080-4AF8-B19C-25E1150F7B9C}" name="12" totalsRowFunction="sum" dataDxfId="8863" totalsRowDxfId="8862" dataCellStyle="Moeda">
      <calculatedColumnFormula>SUMIFS(tabela_registros[VALOR],tabela_registros[MÊS],$AE$1,tabela_registros[DIA],investirrendavariávelconsolidado282931[[#Headers],[12]],tabela_registros[REGISTRO],DADOS!$N$3,tabela_registros[TIPO],DADOS!$V$3,tabela_registros[CATEGORIA],investirrendavariávelconsolidado282931[[#This Row],[ATUAL]])</calculatedColumnFormula>
    </tableColumn>
    <tableColumn id="14" xr3:uid="{78072CE7-CAE2-4F1D-BDC4-B6F3B1F5B931}" name="13" totalsRowFunction="sum" dataDxfId="8861" totalsRowDxfId="8860" dataCellStyle="Moeda">
      <calculatedColumnFormula>SUMIFS(tabela_registros[VALOR],tabela_registros[MÊS],$AE$1,tabela_registros[DIA],investirrendavariávelconsolidado282931[[#Headers],[13]],tabela_registros[REGISTRO],DADOS!$N$3,tabela_registros[TIPO],DADOS!$V$3,tabela_registros[CATEGORIA],investirrendavariávelconsolidado282931[[#This Row],[ATUAL]])</calculatedColumnFormula>
    </tableColumn>
    <tableColumn id="15" xr3:uid="{CE2009F0-CF41-4D29-B5B1-FFC071FC467B}" name="14" totalsRowFunction="sum" dataDxfId="8859" totalsRowDxfId="8858" dataCellStyle="Moeda">
      <calculatedColumnFormula>SUMIFS(tabela_registros[VALOR],tabela_registros[MÊS],$AE$1,tabela_registros[DIA],investirrendavariávelconsolidado282931[[#Headers],[14]],tabela_registros[REGISTRO],DADOS!$N$3,tabela_registros[TIPO],DADOS!$V$3,tabela_registros[CATEGORIA],investirrendavariávelconsolidado282931[[#This Row],[ATUAL]])</calculatedColumnFormula>
    </tableColumn>
    <tableColumn id="16" xr3:uid="{54231BA4-58C1-4C8E-980D-DB3BA04873C1}" name="15" totalsRowFunction="sum" dataDxfId="8857" totalsRowDxfId="8856" dataCellStyle="Moeda">
      <calculatedColumnFormula>SUMIFS(tabela_registros[VALOR],tabela_registros[MÊS],$AE$1,tabela_registros[DIA],investirrendavariávelconsolidado282931[[#Headers],[15]],tabela_registros[REGISTRO],DADOS!$N$3,tabela_registros[TIPO],DADOS!$V$3,tabela_registros[CATEGORIA],investirrendavariávelconsolidado282931[[#This Row],[ATUAL]])</calculatedColumnFormula>
    </tableColumn>
    <tableColumn id="17" xr3:uid="{B6DFB45E-7390-403F-B0D7-AF98D2599F90}" name="16" totalsRowFunction="sum" dataDxfId="8855" totalsRowDxfId="8854" dataCellStyle="Moeda">
      <calculatedColumnFormula>SUMIFS(tabela_registros[VALOR],tabela_registros[MÊS],$AE$1,tabela_registros[DIA],investirrendavariávelconsolidado282931[[#Headers],[16]],tabela_registros[REGISTRO],DADOS!$N$3,tabela_registros[TIPO],DADOS!$V$3,tabela_registros[CATEGORIA],investirrendavariávelconsolidado282931[[#This Row],[ATUAL]])</calculatedColumnFormula>
    </tableColumn>
    <tableColumn id="18" xr3:uid="{F4EACC45-4831-4FE7-A917-9DA535B86B27}" name="17" totalsRowFunction="sum" dataDxfId="8853" totalsRowDxfId="8852" dataCellStyle="Moeda">
      <calculatedColumnFormula>SUMIFS(tabela_registros[VALOR],tabela_registros[MÊS],$AE$1,tabela_registros[DIA],investirrendavariávelconsolidado282931[[#Headers],[17]],tabela_registros[REGISTRO],DADOS!$N$3,tabela_registros[TIPO],DADOS!$V$3,tabela_registros[CATEGORIA],investirrendavariávelconsolidado282931[[#This Row],[ATUAL]])</calculatedColumnFormula>
    </tableColumn>
    <tableColumn id="19" xr3:uid="{64B93719-4656-4426-B909-DCBDF686ACC6}" name="18" totalsRowFunction="sum" dataDxfId="8851" totalsRowDxfId="8850" dataCellStyle="Moeda">
      <calculatedColumnFormula>SUMIFS(tabela_registros[VALOR],tabela_registros[MÊS],$AE$1,tabela_registros[DIA],investirrendavariávelconsolidado282931[[#Headers],[18]],tabela_registros[REGISTRO],DADOS!$N$3,tabela_registros[TIPO],DADOS!$V$3,tabela_registros[CATEGORIA],investirrendavariávelconsolidado282931[[#This Row],[ATUAL]])</calculatedColumnFormula>
    </tableColumn>
    <tableColumn id="20" xr3:uid="{95ABE194-1ED0-4354-B60E-45BC70F78EBB}" name="19" totalsRowFunction="sum" dataDxfId="8849" totalsRowDxfId="8848" dataCellStyle="Moeda">
      <calculatedColumnFormula>SUMIFS(tabela_registros[VALOR],tabela_registros[MÊS],$AE$1,tabela_registros[DIA],investirrendavariávelconsolidado282931[[#Headers],[19]],tabela_registros[REGISTRO],DADOS!$N$3,tabela_registros[TIPO],DADOS!$V$3,tabela_registros[CATEGORIA],investirrendavariávelconsolidado282931[[#This Row],[ATUAL]])</calculatedColumnFormula>
    </tableColumn>
    <tableColumn id="21" xr3:uid="{BCFDB1E8-C83F-404C-8129-058E7879273E}" name="20" totalsRowFunction="sum" dataDxfId="8847" totalsRowDxfId="8846" dataCellStyle="Moeda">
      <calculatedColumnFormula>SUMIFS(tabela_registros[VALOR],tabela_registros[MÊS],$AE$1,tabela_registros[DIA],investirrendavariávelconsolidado282931[[#Headers],[20]],tabela_registros[REGISTRO],DADOS!$N$3,tabela_registros[TIPO],DADOS!$V$3,tabela_registros[CATEGORIA],investirrendavariávelconsolidado282931[[#This Row],[ATUAL]])</calculatedColumnFormula>
    </tableColumn>
    <tableColumn id="22" xr3:uid="{48204505-2D59-4916-8139-0A298127EE70}" name="21" totalsRowFunction="sum" dataDxfId="8845" totalsRowDxfId="8844" dataCellStyle="Moeda">
      <calculatedColumnFormula>SUMIFS(tabela_registros[VALOR],tabela_registros[MÊS],$AE$1,tabela_registros[DIA],investirrendavariávelconsolidado282931[[#Headers],[21]],tabela_registros[REGISTRO],DADOS!$N$3,tabela_registros[TIPO],DADOS!$V$3,tabela_registros[CATEGORIA],investirrendavariávelconsolidado282931[[#This Row],[ATUAL]])</calculatedColumnFormula>
    </tableColumn>
    <tableColumn id="23" xr3:uid="{D2F37EA0-6FAC-43C5-81B7-8231A541196A}" name="22" totalsRowFunction="sum" dataDxfId="8843" totalsRowDxfId="8842" dataCellStyle="Moeda">
      <calculatedColumnFormula>SUMIFS(tabela_registros[VALOR],tabela_registros[MÊS],$AE$1,tabela_registros[DIA],investirrendavariávelconsolidado282931[[#Headers],[22]],tabela_registros[REGISTRO],DADOS!$N$3,tabela_registros[TIPO],DADOS!$V$3,tabela_registros[CATEGORIA],investirrendavariávelconsolidado282931[[#This Row],[ATUAL]])</calculatedColumnFormula>
    </tableColumn>
    <tableColumn id="24" xr3:uid="{ED3AF2C5-92F4-4FDF-9720-112A329BB36E}" name="23" totalsRowFunction="sum" dataDxfId="8841" totalsRowDxfId="8840" dataCellStyle="Moeda">
      <calculatedColumnFormula>SUMIFS(tabela_registros[VALOR],tabela_registros[MÊS],$AE$1,tabela_registros[DIA],investirrendavariávelconsolidado282931[[#Headers],[23]],tabela_registros[REGISTRO],DADOS!$N$3,tabela_registros[TIPO],DADOS!$V$3,tabela_registros[CATEGORIA],investirrendavariávelconsolidado282931[[#This Row],[ATUAL]])</calculatedColumnFormula>
    </tableColumn>
    <tableColumn id="25" xr3:uid="{86E4EC16-D604-4609-88D2-366F8C78BDBF}" name="24" totalsRowFunction="sum" dataDxfId="8839" totalsRowDxfId="8838" dataCellStyle="Moeda">
      <calculatedColumnFormula>SUMIFS(tabela_registros[VALOR],tabela_registros[MÊS],$AE$1,tabela_registros[DIA],investirrendavariávelconsolidado282931[[#Headers],[24]],tabela_registros[REGISTRO],DADOS!$N$3,tabela_registros[TIPO],DADOS!$V$3,tabela_registros[CATEGORIA],investirrendavariávelconsolidado282931[[#This Row],[ATUAL]])</calculatedColumnFormula>
    </tableColumn>
    <tableColumn id="26" xr3:uid="{EBA99D7F-FD49-4C56-B12B-4EF9DD62C883}" name="25" totalsRowFunction="sum" dataDxfId="8837" totalsRowDxfId="8836" dataCellStyle="Moeda">
      <calculatedColumnFormula>SUMIFS(tabela_registros[VALOR],tabela_registros[MÊS],$AE$1,tabela_registros[DIA],investirrendavariávelconsolidado282931[[#Headers],[25]],tabela_registros[REGISTRO],DADOS!$N$3,tabela_registros[TIPO],DADOS!$V$3,tabela_registros[CATEGORIA],investirrendavariávelconsolidado282931[[#This Row],[ATUAL]])</calculatedColumnFormula>
    </tableColumn>
    <tableColumn id="27" xr3:uid="{6BA350F0-DC3F-4196-AC82-5BE8EA90F60A}" name="26" totalsRowFunction="sum" dataDxfId="8835" totalsRowDxfId="8834" dataCellStyle="Moeda">
      <calculatedColumnFormula>SUMIFS(tabela_registros[VALOR],tabela_registros[MÊS],$AE$1,tabela_registros[DIA],investirrendavariávelconsolidado282931[[#Headers],[26]],tabela_registros[REGISTRO],DADOS!$N$3,tabela_registros[TIPO],DADOS!$V$3,tabela_registros[CATEGORIA],investirrendavariávelconsolidado282931[[#This Row],[ATUAL]])</calculatedColumnFormula>
    </tableColumn>
    <tableColumn id="28" xr3:uid="{D539E14B-BC8B-4FCF-BF6B-EB2CF5DD4646}" name="27" totalsRowFunction="sum" dataDxfId="8833" totalsRowDxfId="8832" dataCellStyle="Moeda">
      <calculatedColumnFormula>SUMIFS(tabela_registros[VALOR],tabela_registros[MÊS],$AE$1,tabela_registros[DIA],investirrendavariávelconsolidado282931[[#Headers],[27]],tabela_registros[REGISTRO],DADOS!$N$3,tabela_registros[TIPO],DADOS!$V$3,tabela_registros[CATEGORIA],investirrendavariávelconsolidado282931[[#This Row],[ATUAL]])</calculatedColumnFormula>
    </tableColumn>
    <tableColumn id="29" xr3:uid="{20550255-235C-41BC-8252-3308DBB26899}" name="28" totalsRowFunction="sum" dataDxfId="8831" totalsRowDxfId="8830" dataCellStyle="Moeda">
      <calculatedColumnFormula>SUMIFS(tabela_registros[VALOR],tabela_registros[MÊS],$AE$1,tabela_registros[DIA],investirrendavariávelconsolidado282931[[#Headers],[28]],tabela_registros[REGISTRO],DADOS!$N$3,tabela_registros[TIPO],DADOS!$V$3,tabela_registros[CATEGORIA],investirrendavariávelconsolidado282931[[#This Row],[ATUAL]])</calculatedColumnFormula>
    </tableColumn>
    <tableColumn id="30" xr3:uid="{934C2F2D-EC83-46FE-86AC-A9F2B877A91C}" name="29" totalsRowFunction="sum" dataDxfId="8829" totalsRowDxfId="8828" dataCellStyle="Moeda">
      <calculatedColumnFormula>SUMIFS(tabela_registros[VALOR],tabela_registros[MÊS],$AE$1,tabela_registros[DIA],investirrendavariávelconsolidado282931[[#Headers],[29]],tabela_registros[REGISTRO],DADOS!$N$3,tabela_registros[TIPO],DADOS!$V$3,tabela_registros[CATEGORIA],investirrendavariávelconsolidado282931[[#This Row],[ATUAL]])</calculatedColumnFormula>
    </tableColumn>
    <tableColumn id="31" xr3:uid="{8E86E5C8-5D51-4217-9415-C2914B5458BB}" name="30" totalsRowFunction="sum" dataDxfId="8827" totalsRowDxfId="8826" dataCellStyle="Moeda">
      <calculatedColumnFormula>SUMIFS(tabela_registros[VALOR],tabela_registros[MÊS],$AE$1,tabela_registros[DIA],investirrendavariávelconsolidado282931[[#Headers],[30]],tabela_registros[REGISTRO],DADOS!$N$3,tabela_registros[TIPO],DADOS!$V$3,tabela_registros[CATEGORIA],investirrendavariávelconsolidado282931[[#This Row],[ATUAL]])</calculatedColumnFormula>
    </tableColumn>
    <tableColumn id="32" xr3:uid="{CA864DFC-ACB4-4B5D-84F4-4D58AA8E29CC}" name="31" totalsRowFunction="sum" dataDxfId="8825" totalsRowDxfId="8824" dataCellStyle="Moeda">
      <calculatedColumnFormula>SUMIFS(tabela_registros[VALOR],tabela_registros[MÊS],$AE$1,tabela_registros[DIA],investirrendavariávelconsolidado282931[[#Headers],[31]],tabela_registros[REGISTRO],DADOS!$N$3,tabela_registros[TIPO],DADOS!$V$3,tabela_registros[CATEGORIA],investirrendavariávelconsolidado282931[[#This Row],[ATUAL]])</calculatedColumnFormula>
    </tableColumn>
    <tableColumn id="33" xr3:uid="{230D7F4E-CDCF-454E-A8CB-D2DA22187F8E}" name="TOTAL (R$)" totalsRowFunction="sum" dataDxfId="8823" dataCellStyle="Moeda">
      <calculatedColumnFormula>SUM(investirrendavariávelconsolidado282931[[#This Row],[1]:[31]])</calculatedColumnFormula>
    </tableColumn>
  </tableColumns>
  <tableStyleInfo name="TABELAS RESULTADOS" showFirstColumn="0" showLastColumn="0" showRowStripes="1" showColumnStripes="0"/>
</table>
</file>

<file path=xl/tables/table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8" xr:uid="{2DCB8C40-A3E0-44F8-9E2A-41AFB6B5E01F}" name="investiroutrosconsolidado282932" displayName="investiroutrosconsolidado282932" ref="C150:AJ159" headerRowDxfId="8822" dataDxfId="8821" totalsRowDxfId="8820">
  <autoFilter ref="C150:AJ159" xr:uid="{6183CEF1-477D-4448-9404-9007701FBB5F}"/>
  <tableColumns count="34">
    <tableColumn id="1" xr3:uid="{C81CE935-9E05-43AE-BD7D-3065B2FB5CDA}" name="ATUAL" totalsRowLabel="SALDO" dataDxfId="8819"/>
    <tableColumn id="34" xr3:uid="{FE1C525E-2FAE-4682-93E7-C3FB4C2AF075}" name="Coluna1" dataDxfId="8818" totalsRowDxfId="8817">
      <calculatedColumnFormula>IF(investiroutrosconsolidado282932[[#This Row],[TOTAL (R$)]]=0,"",IF(OR(investiroutrosconsolidado282932[[#This Row],[TOTAL (R$)]]=LARGE($AJ$151:$AJ$158,1),investiroutrosconsolidado282932[[#This Row],[TOTAL (R$)]]=LARGE($AJ$151:$AJ$158,2)),DADOS!$I$10,""))</calculatedColumnFormula>
    </tableColumn>
    <tableColumn id="2" xr3:uid="{FB306ABE-278C-44BC-8353-B08F3FF909A2}" name="1" totalsRowFunction="sum" dataDxfId="8816" dataCellStyle="Moeda"/>
    <tableColumn id="3" xr3:uid="{A962C272-D3B4-438F-9663-CF7E6B0719D8}" name="2" totalsRowFunction="sum" dataDxfId="8815" dataCellStyle="Moeda">
      <calculatedColumnFormula>SUMIFS(tabela_registros[VALOR],tabela_registros[MÊS],$AE$1,tabela_registros[DIA],investiroutrosconsolidado282932[[#Headers],[2]],tabela_registros[REGISTRO],DADOS!$N$3,tabela_registros[TIPO],DADOS!$V$3,tabela_registros[CATEGORIA],investiroutrosconsolidado282932[[#This Row],[ATUAL]])</calculatedColumnFormula>
    </tableColumn>
    <tableColumn id="4" xr3:uid="{6661E047-A0B4-4223-9D37-85B90447B1F9}" name="3" totalsRowFunction="sum" dataDxfId="8814" totalsRowDxfId="8813" dataCellStyle="Moeda">
      <calculatedColumnFormula>SUMIFS(tabela_registros[VALOR],tabela_registros[MÊS],$AE$1,tabela_registros[DIA],investiroutrosconsolidado282932[[#Headers],[3]],tabela_registros[REGISTRO],DADOS!$N$3,tabela_registros[TIPO],DADOS!$V$3,tabela_registros[CATEGORIA],investiroutrosconsolidado282932[[#This Row],[ATUAL]])</calculatedColumnFormula>
    </tableColumn>
    <tableColumn id="5" xr3:uid="{B270DB34-E79D-48AC-89A0-2C973B70D9F5}" name="4" totalsRowFunction="sum" dataDxfId="8812" totalsRowDxfId="8811" dataCellStyle="Moeda">
      <calculatedColumnFormula>SUMIFS(tabela_registros[VALOR],tabela_registros[MÊS],$AE$1,tabela_registros[DIA],investiroutrosconsolidado282932[[#Headers],[4]],tabela_registros[REGISTRO],DADOS!$N$3,tabela_registros[TIPO],DADOS!$V$3,tabela_registros[CATEGORIA],investiroutrosconsolidado282932[[#This Row],[ATUAL]])</calculatedColumnFormula>
    </tableColumn>
    <tableColumn id="6" xr3:uid="{030AEA99-D088-420B-A901-ED82C226766D}" name="5" totalsRowFunction="sum" dataDxfId="8810" totalsRowDxfId="8809" dataCellStyle="Moeda">
      <calculatedColumnFormula>SUMIFS(tabela_registros[VALOR],tabela_registros[MÊS],$AE$1,tabela_registros[DIA],investiroutrosconsolidado282932[[#Headers],[5]],tabela_registros[REGISTRO],DADOS!$N$3,tabela_registros[TIPO],DADOS!$V$3,tabela_registros[CATEGORIA],investiroutrosconsolidado282932[[#This Row],[ATUAL]])</calculatedColumnFormula>
    </tableColumn>
    <tableColumn id="7" xr3:uid="{79E6661F-788B-4D10-87E0-E90D98C18202}" name="6" totalsRowFunction="sum" dataDxfId="8808" totalsRowDxfId="8807" dataCellStyle="Moeda">
      <calculatedColumnFormula>SUMIFS(tabela_registros[VALOR],tabela_registros[MÊS],$AE$1,tabela_registros[DIA],investiroutrosconsolidado282932[[#Headers],[6]],tabela_registros[REGISTRO],DADOS!$N$3,tabela_registros[TIPO],DADOS!$V$3,tabela_registros[CATEGORIA],investiroutrosconsolidado282932[[#This Row],[ATUAL]])</calculatedColumnFormula>
    </tableColumn>
    <tableColumn id="8" xr3:uid="{EB110B21-B156-46D4-A989-E59A9767F95B}" name="7" totalsRowFunction="sum" dataDxfId="8806" totalsRowDxfId="8805" dataCellStyle="Moeda">
      <calculatedColumnFormula>SUMIFS(tabela_registros[VALOR],tabela_registros[MÊS],$AE$1,tabela_registros[DIA],investiroutrosconsolidado282932[[#Headers],[7]],tabela_registros[REGISTRO],DADOS!$N$3,tabela_registros[TIPO],DADOS!$V$3,tabela_registros[CATEGORIA],investiroutrosconsolidado282932[[#This Row],[ATUAL]])</calculatedColumnFormula>
    </tableColumn>
    <tableColumn id="9" xr3:uid="{EA661AB1-1E54-4117-8086-636BEF20106B}" name="8" totalsRowFunction="sum" dataDxfId="8804" totalsRowDxfId="8803" dataCellStyle="Moeda">
      <calculatedColumnFormula>SUMIFS(tabela_registros[VALOR],tabela_registros[MÊS],$AE$1,tabela_registros[DIA],investiroutrosconsolidado282932[[#Headers],[8]],tabela_registros[REGISTRO],DADOS!$N$3,tabela_registros[TIPO],DADOS!$V$3,tabela_registros[CATEGORIA],investiroutrosconsolidado282932[[#This Row],[ATUAL]])</calculatedColumnFormula>
    </tableColumn>
    <tableColumn id="10" xr3:uid="{C018F54A-78F7-4AAF-AB0A-846131FC058D}" name="9" totalsRowFunction="sum" dataDxfId="8802" totalsRowDxfId="8801" dataCellStyle="Moeda">
      <calculatedColumnFormula>SUMIFS(tabela_registros[VALOR],tabela_registros[MÊS],$AE$1,tabela_registros[DIA],investiroutrosconsolidado282932[[#Headers],[9]],tabela_registros[REGISTRO],DADOS!$N$3,tabela_registros[TIPO],DADOS!$V$3,tabela_registros[CATEGORIA],investiroutrosconsolidado282932[[#This Row],[ATUAL]])</calculatedColumnFormula>
    </tableColumn>
    <tableColumn id="11" xr3:uid="{69A66ED1-8474-4972-AA79-4F4178E6C1E4}" name="10" totalsRowFunction="sum" dataDxfId="8800" totalsRowDxfId="8799" dataCellStyle="Moeda">
      <calculatedColumnFormula>SUMIFS(tabela_registros[VALOR],tabela_registros[MÊS],$AE$1,tabela_registros[DIA],investiroutrosconsolidado282932[[#Headers],[10]],tabela_registros[REGISTRO],DADOS!$N$3,tabela_registros[TIPO],DADOS!$V$3,tabela_registros[CATEGORIA],investiroutrosconsolidado282932[[#This Row],[ATUAL]])</calculatedColumnFormula>
    </tableColumn>
    <tableColumn id="12" xr3:uid="{BBC20524-19DC-494D-846A-A25F72A7CAB3}" name="11" totalsRowFunction="sum" dataDxfId="8798" totalsRowDxfId="8797" dataCellStyle="Moeda">
      <calculatedColumnFormula>SUMIFS(tabela_registros[VALOR],tabela_registros[MÊS],$AE$1,tabela_registros[DIA],investiroutrosconsolidado282932[[#Headers],[11]],tabela_registros[REGISTRO],DADOS!$N$3,tabela_registros[TIPO],DADOS!$V$3,tabela_registros[CATEGORIA],investiroutrosconsolidado282932[[#This Row],[ATUAL]])</calculatedColumnFormula>
    </tableColumn>
    <tableColumn id="13" xr3:uid="{120302F3-DB05-4519-BAC2-0AF082B5A6A5}" name="12" totalsRowFunction="sum" dataDxfId="8796" totalsRowDxfId="8795" dataCellStyle="Moeda">
      <calculatedColumnFormula>SUMIFS(tabela_registros[VALOR],tabela_registros[MÊS],$AE$1,tabela_registros[DIA],investiroutrosconsolidado282932[[#Headers],[12]],tabela_registros[REGISTRO],DADOS!$N$3,tabela_registros[TIPO],DADOS!$V$3,tabela_registros[CATEGORIA],investiroutrosconsolidado282932[[#This Row],[ATUAL]])</calculatedColumnFormula>
    </tableColumn>
    <tableColumn id="14" xr3:uid="{21FB16B7-4323-4CF4-9F9B-B980604A065D}" name="13" totalsRowFunction="sum" dataDxfId="8794" totalsRowDxfId="8793" dataCellStyle="Moeda">
      <calculatedColumnFormula>SUMIFS(tabela_registros[VALOR],tabela_registros[MÊS],$AE$1,tabela_registros[DIA],investiroutrosconsolidado282932[[#Headers],[13]],tabela_registros[REGISTRO],DADOS!$N$3,tabela_registros[TIPO],DADOS!$V$3,tabela_registros[CATEGORIA],investiroutrosconsolidado282932[[#This Row],[ATUAL]])</calculatedColumnFormula>
    </tableColumn>
    <tableColumn id="15" xr3:uid="{3F119C1E-0823-418B-80B7-582564068327}" name="14" totalsRowFunction="sum" dataDxfId="8792" totalsRowDxfId="8791" dataCellStyle="Moeda">
      <calculatedColumnFormula>SUMIFS(tabela_registros[VALOR],tabela_registros[MÊS],$AE$1,tabela_registros[DIA],investiroutrosconsolidado282932[[#Headers],[14]],tabela_registros[REGISTRO],DADOS!$N$3,tabela_registros[TIPO],DADOS!$V$3,tabela_registros[CATEGORIA],investiroutrosconsolidado282932[[#This Row],[ATUAL]])</calculatedColumnFormula>
    </tableColumn>
    <tableColumn id="16" xr3:uid="{05C3B351-CDC8-4AFC-A8AB-5367A339671C}" name="15" totalsRowFunction="sum" dataDxfId="8790" totalsRowDxfId="8789" dataCellStyle="Moeda">
      <calculatedColumnFormula>SUMIFS(tabela_registros[VALOR],tabela_registros[MÊS],$AE$1,tabela_registros[DIA],investiroutrosconsolidado282932[[#Headers],[15]],tabela_registros[REGISTRO],DADOS!$N$3,tabela_registros[TIPO],DADOS!$V$3,tabela_registros[CATEGORIA],investiroutrosconsolidado282932[[#This Row],[ATUAL]])</calculatedColumnFormula>
    </tableColumn>
    <tableColumn id="17" xr3:uid="{E85E3D92-0599-4DBB-BF0A-B3D8367BECA0}" name="16" totalsRowFunction="sum" dataDxfId="8788" totalsRowDxfId="8787" dataCellStyle="Moeda">
      <calculatedColumnFormula>SUMIFS(tabela_registros[VALOR],tabela_registros[MÊS],$AE$1,tabela_registros[DIA],investiroutrosconsolidado282932[[#Headers],[16]],tabela_registros[REGISTRO],DADOS!$N$3,tabela_registros[TIPO],DADOS!$V$3,tabela_registros[CATEGORIA],investiroutrosconsolidado282932[[#This Row],[ATUAL]])</calculatedColumnFormula>
    </tableColumn>
    <tableColumn id="18" xr3:uid="{DBDEEAFC-9DF3-496B-8185-22BC4812B815}" name="17" totalsRowFunction="sum" dataDxfId="8786" totalsRowDxfId="8785" dataCellStyle="Moeda">
      <calculatedColumnFormula>SUMIFS(tabela_registros[VALOR],tabela_registros[MÊS],$AE$1,tabela_registros[DIA],investiroutrosconsolidado282932[[#Headers],[17]],tabela_registros[REGISTRO],DADOS!$N$3,tabela_registros[TIPO],DADOS!$V$3,tabela_registros[CATEGORIA],investiroutrosconsolidado282932[[#This Row],[ATUAL]])</calculatedColumnFormula>
    </tableColumn>
    <tableColumn id="19" xr3:uid="{92509539-4BDD-4A69-AE75-897F86DA5051}" name="18" totalsRowFunction="sum" dataDxfId="8784" totalsRowDxfId="8783" dataCellStyle="Moeda">
      <calculatedColumnFormula>SUMIFS(tabela_registros[VALOR],tabela_registros[MÊS],$AE$1,tabela_registros[DIA],investiroutrosconsolidado282932[[#Headers],[18]],tabela_registros[REGISTRO],DADOS!$N$3,tabela_registros[TIPO],DADOS!$V$3,tabela_registros[CATEGORIA],investiroutrosconsolidado282932[[#This Row],[ATUAL]])</calculatedColumnFormula>
    </tableColumn>
    <tableColumn id="20" xr3:uid="{9C4AE260-461E-4E2A-A3D7-356DD32E8D0B}" name="19" totalsRowFunction="sum" dataDxfId="8782" totalsRowDxfId="8781" dataCellStyle="Moeda">
      <calculatedColumnFormula>SUMIFS(tabela_registros[VALOR],tabela_registros[MÊS],$AE$1,tabela_registros[DIA],investiroutrosconsolidado282932[[#Headers],[19]],tabela_registros[REGISTRO],DADOS!$N$3,tabela_registros[TIPO],DADOS!$V$3,tabela_registros[CATEGORIA],investiroutrosconsolidado282932[[#This Row],[ATUAL]])</calculatedColumnFormula>
    </tableColumn>
    <tableColumn id="21" xr3:uid="{4B6C0CFF-3DAA-4AE9-B96A-E9011895C64A}" name="20" totalsRowFunction="sum" dataDxfId="8780" totalsRowDxfId="8779" dataCellStyle="Moeda">
      <calculatedColumnFormula>SUMIFS(tabela_registros[VALOR],tabela_registros[MÊS],$AE$1,tabela_registros[DIA],investiroutrosconsolidado282932[[#Headers],[20]],tabela_registros[REGISTRO],DADOS!$N$3,tabela_registros[TIPO],DADOS!$V$3,tabela_registros[CATEGORIA],investiroutrosconsolidado282932[[#This Row],[ATUAL]])</calculatedColumnFormula>
    </tableColumn>
    <tableColumn id="22" xr3:uid="{9DC29CBF-9BA6-443E-8FC2-A58BD25C841D}" name="21" totalsRowFunction="sum" dataDxfId="8778" totalsRowDxfId="8777" dataCellStyle="Moeda">
      <calculatedColumnFormula>SUMIFS(tabela_registros[VALOR],tabela_registros[MÊS],$AE$1,tabela_registros[DIA],investiroutrosconsolidado282932[[#Headers],[21]],tabela_registros[REGISTRO],DADOS!$N$3,tabela_registros[TIPO],DADOS!$V$3,tabela_registros[CATEGORIA],investiroutrosconsolidado282932[[#This Row],[ATUAL]])</calculatedColumnFormula>
    </tableColumn>
    <tableColumn id="23" xr3:uid="{184F7B5E-0530-4C6A-9946-87B0C9F0BAEF}" name="22" totalsRowFunction="sum" dataDxfId="8776" totalsRowDxfId="8775" dataCellStyle="Moeda">
      <calculatedColumnFormula>SUMIFS(tabela_registros[VALOR],tabela_registros[MÊS],$AE$1,tabela_registros[DIA],investiroutrosconsolidado282932[[#Headers],[22]],tabela_registros[REGISTRO],DADOS!$N$3,tabela_registros[TIPO],DADOS!$V$3,tabela_registros[CATEGORIA],investiroutrosconsolidado282932[[#This Row],[ATUAL]])</calculatedColumnFormula>
    </tableColumn>
    <tableColumn id="24" xr3:uid="{D234B6BC-35CC-49C2-A03E-15B550339010}" name="23" totalsRowFunction="sum" dataDxfId="8774" totalsRowDxfId="8773" dataCellStyle="Moeda">
      <calculatedColumnFormula>SUMIFS(tabela_registros[VALOR],tabela_registros[MÊS],$AE$1,tabela_registros[DIA],investiroutrosconsolidado282932[[#Headers],[23]],tabela_registros[REGISTRO],DADOS!$N$3,tabela_registros[TIPO],DADOS!$V$3,tabela_registros[CATEGORIA],investiroutrosconsolidado282932[[#This Row],[ATUAL]])</calculatedColumnFormula>
    </tableColumn>
    <tableColumn id="25" xr3:uid="{AFC13935-CA3B-4541-AA1E-CA89B1E0453B}" name="24" totalsRowFunction="sum" dataDxfId="8772" totalsRowDxfId="8771" dataCellStyle="Moeda">
      <calculatedColumnFormula>SUMIFS(tabela_registros[VALOR],tabela_registros[MÊS],$AE$1,tabela_registros[DIA],investiroutrosconsolidado282932[[#Headers],[24]],tabela_registros[REGISTRO],DADOS!$N$3,tabela_registros[TIPO],DADOS!$V$3,tabela_registros[CATEGORIA],investiroutrosconsolidado282932[[#This Row],[ATUAL]])</calculatedColumnFormula>
    </tableColumn>
    <tableColumn id="26" xr3:uid="{47755C47-5203-4DCC-A735-55E6D3E0876C}" name="25" totalsRowFunction="sum" dataDxfId="8770" totalsRowDxfId="8769" dataCellStyle="Moeda">
      <calculatedColumnFormula>SUMIFS(tabela_registros[VALOR],tabela_registros[MÊS],$AE$1,tabela_registros[DIA],investiroutrosconsolidado282932[[#Headers],[25]],tabela_registros[REGISTRO],DADOS!$N$3,tabela_registros[TIPO],DADOS!$V$3,tabela_registros[CATEGORIA],investiroutrosconsolidado282932[[#This Row],[ATUAL]])</calculatedColumnFormula>
    </tableColumn>
    <tableColumn id="27" xr3:uid="{CB98C7A5-AC70-42CA-B379-B68439C5EE57}" name="26" totalsRowFunction="sum" dataDxfId="8768" totalsRowDxfId="8767" dataCellStyle="Moeda">
      <calculatedColumnFormula>SUMIFS(tabela_registros[VALOR],tabela_registros[MÊS],$AE$1,tabela_registros[DIA],investiroutrosconsolidado282932[[#Headers],[26]],tabela_registros[REGISTRO],DADOS!$N$3,tabela_registros[TIPO],DADOS!$V$3,tabela_registros[CATEGORIA],investiroutrosconsolidado282932[[#This Row],[ATUAL]])</calculatedColumnFormula>
    </tableColumn>
    <tableColumn id="28" xr3:uid="{4AF71EFF-8101-40D3-86B0-5A2195933666}" name="27" totalsRowFunction="sum" dataDxfId="8766" totalsRowDxfId="8765" dataCellStyle="Moeda">
      <calculatedColumnFormula>SUMIFS(tabela_registros[VALOR],tabela_registros[MÊS],$AE$1,tabela_registros[DIA],investiroutrosconsolidado282932[[#Headers],[27]],tabela_registros[REGISTRO],DADOS!$N$3,tabela_registros[TIPO],DADOS!$V$3,tabela_registros[CATEGORIA],investiroutrosconsolidado282932[[#This Row],[ATUAL]])</calculatedColumnFormula>
    </tableColumn>
    <tableColumn id="29" xr3:uid="{DC18BC6D-DA6A-4B6B-8C87-E2E980FA52F2}" name="28" totalsRowFunction="sum" dataDxfId="8764" totalsRowDxfId="8763" dataCellStyle="Moeda">
      <calculatedColumnFormula>SUMIFS(tabela_registros[VALOR],tabela_registros[MÊS],$AE$1,tabela_registros[DIA],investiroutrosconsolidado282932[[#Headers],[28]],tabela_registros[REGISTRO],DADOS!$N$3,tabela_registros[TIPO],DADOS!$V$3,tabela_registros[CATEGORIA],investiroutrosconsolidado282932[[#This Row],[ATUAL]])</calculatedColumnFormula>
    </tableColumn>
    <tableColumn id="30" xr3:uid="{3440BD6F-6181-4722-B60F-434142EB8BC5}" name="29" totalsRowFunction="sum" dataDxfId="8762" totalsRowDxfId="8761" dataCellStyle="Moeda">
      <calculatedColumnFormula>SUMIFS(tabela_registros[VALOR],tabela_registros[MÊS],$AE$1,tabela_registros[DIA],investiroutrosconsolidado282932[[#Headers],[29]],tabela_registros[REGISTRO],DADOS!$N$3,tabela_registros[TIPO],DADOS!$V$3,tabela_registros[CATEGORIA],investiroutrosconsolidado282932[[#This Row],[ATUAL]])</calculatedColumnFormula>
    </tableColumn>
    <tableColumn id="31" xr3:uid="{C5EEE032-1E3F-4DEC-BFE0-5A4CF603A10F}" name="30" totalsRowFunction="sum" dataDxfId="8760" totalsRowDxfId="8759" dataCellStyle="Moeda">
      <calculatedColumnFormula>SUMIFS(tabela_registros[VALOR],tabela_registros[MÊS],$AE$1,tabela_registros[DIA],investiroutrosconsolidado282932[[#Headers],[30]],tabela_registros[REGISTRO],DADOS!$N$3,tabela_registros[TIPO],DADOS!$V$3,tabela_registros[CATEGORIA],investiroutrosconsolidado282932[[#This Row],[ATUAL]])</calculatedColumnFormula>
    </tableColumn>
    <tableColumn id="32" xr3:uid="{EB60980D-5939-44DE-914A-CA537BCC3E85}" name="31" totalsRowFunction="sum" dataDxfId="8758" totalsRowDxfId="8757" dataCellStyle="Moeda">
      <calculatedColumnFormula>SUMIFS(tabela_registros[VALOR],tabela_registros[MÊS],$AE$1,tabela_registros[DIA],investiroutrosconsolidado282932[[#Headers],[31]],tabela_registros[REGISTRO],DADOS!$N$3,tabela_registros[TIPO],DADOS!$V$3,tabela_registros[CATEGORIA],investiroutrosconsolidado282932[[#This Row],[ATUAL]])</calculatedColumnFormula>
    </tableColumn>
    <tableColumn id="33" xr3:uid="{1C1E7F4E-405D-491B-8B34-4513562650B7}" name="TOTAL (R$)" totalsRowFunction="sum" dataDxfId="8756" dataCellStyle="Moeda">
      <calculatedColumnFormula>SUM(investiroutrosconsolidado282932[[#This Row],[1]:[31]])</calculatedColumnFormula>
    </tableColumn>
  </tableColumns>
  <tableStyleInfo name="TABELAS RESULTADOS" showFirstColumn="0" showLastColumn="0" showRowStripes="1" showColumnStripes="0"/>
</table>
</file>

<file path=xl/tables/table2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9" xr:uid="{0E376B18-CC23-437F-805E-72E3EDD98259}" name="reservafixaconsolidado282933" displayName="reservafixaconsolidado282933" ref="C167:AJ178" headerRowDxfId="8755" dataDxfId="8754" totalsRowDxfId="8753">
  <autoFilter ref="C167:AJ178" xr:uid="{CDBD73CF-1633-4509-BA0C-4B73FF7E50BA}"/>
  <tableColumns count="34">
    <tableColumn id="1" xr3:uid="{5D574DB0-0131-4CE3-AC85-8D42CE8BB860}" name="ATUAL" totalsRowLabel="SALDO" dataDxfId="8752"/>
    <tableColumn id="34" xr3:uid="{E9C276BC-F1B2-4198-8783-CD2796DEB040}" name="Coluna1" dataDxfId="8751" totalsRowDxfId="8750">
      <calculatedColumnFormula>IF(reservafixaconsolidado282933[[#This Row],[TOTAL (R$)]]=0,"",IF(OR(reservafixaconsolidado282933[[#This Row],[TOTAL (R$)]]=LARGE($AJ$168:$AJ$177,1),reservafixaconsolidado282933[[#This Row],[TOTAL (R$)]]=LARGE($AJ$168:$AJ$177,2)),DADOS!$I$11,""))</calculatedColumnFormula>
    </tableColumn>
    <tableColumn id="2" xr3:uid="{3B87AEA3-B150-4E92-A7F5-7837C254C6F9}" name="1" totalsRowFunction="sum" dataDxfId="8749" dataCellStyle="Moeda"/>
    <tableColumn id="3" xr3:uid="{58CB5840-E2A2-4EAF-AB6E-2077A294B980}" name="2" totalsRowFunction="sum" dataDxfId="8748" dataCellStyle="Moeda">
      <calculatedColumnFormula>SUMIFS(tabela_registros[VALOR],tabela_registros[MÊS],$AE$1,tabela_registros[DIA],reservafixaconsolidado282933[[#Headers],[2]],tabela_registros[REGISTRO],DADOS!$N$3,tabela_registros[TIPO],DADOS!$V$3,tabela_registros[CATEGORIA],reservafixaconsolidado282933[[#This Row],[ATUAL]])</calculatedColumnFormula>
    </tableColumn>
    <tableColumn id="4" xr3:uid="{AF0D1B25-18EE-44D2-AE5C-116DD0163ECE}" name="3" totalsRowFunction="sum" dataDxfId="8747" totalsRowDxfId="8746" dataCellStyle="Moeda">
      <calculatedColumnFormula>SUMIFS(tabela_registros[VALOR],tabela_registros[MÊS],$AE$1,tabela_registros[DIA],reservafixaconsolidado282933[[#Headers],[3]],tabela_registros[REGISTRO],DADOS!$N$3,tabela_registros[TIPO],DADOS!$V$3,tabela_registros[CATEGORIA],reservafixaconsolidado282933[[#This Row],[ATUAL]])</calculatedColumnFormula>
    </tableColumn>
    <tableColumn id="5" xr3:uid="{D2914713-AE52-42B9-8A5A-2B5BF3D3440F}" name="4" totalsRowFunction="sum" dataDxfId="8745" totalsRowDxfId="8744" dataCellStyle="Moeda">
      <calculatedColumnFormula>SUMIFS(tabela_registros[VALOR],tabela_registros[MÊS],$AE$1,tabela_registros[DIA],reservafixaconsolidado282933[[#Headers],[4]],tabela_registros[REGISTRO],DADOS!$N$3,tabela_registros[TIPO],DADOS!$V$3,tabela_registros[CATEGORIA],reservafixaconsolidado282933[[#This Row],[ATUAL]])</calculatedColumnFormula>
    </tableColumn>
    <tableColumn id="6" xr3:uid="{2D58C1E4-34BC-42DC-BE7C-BBDA3100D90B}" name="5" totalsRowFunction="sum" dataDxfId="8743" totalsRowDxfId="8742" dataCellStyle="Moeda">
      <calculatedColumnFormula>SUMIFS(tabela_registros[VALOR],tabela_registros[MÊS],$AE$1,tabela_registros[DIA],reservafixaconsolidado282933[[#Headers],[5]],tabela_registros[REGISTRO],DADOS!$N$3,tabela_registros[TIPO],DADOS!$V$3,tabela_registros[CATEGORIA],reservafixaconsolidado282933[[#This Row],[ATUAL]])</calculatedColumnFormula>
    </tableColumn>
    <tableColumn id="7" xr3:uid="{D56BEAE9-D638-4B2B-91CB-124B3B388CE1}" name="6" totalsRowFunction="sum" dataDxfId="8741" totalsRowDxfId="8740" dataCellStyle="Moeda">
      <calculatedColumnFormula>SUMIFS(tabela_registros[VALOR],tabela_registros[MÊS],$AE$1,tabela_registros[DIA],reservafixaconsolidado282933[[#Headers],[6]],tabela_registros[REGISTRO],DADOS!$N$3,tabela_registros[TIPO],DADOS!$V$3,tabela_registros[CATEGORIA],reservafixaconsolidado282933[[#This Row],[ATUAL]])</calculatedColumnFormula>
    </tableColumn>
    <tableColumn id="8" xr3:uid="{825801D9-7D68-4F9B-8DB1-11913675F40B}" name="7" totalsRowFunction="sum" dataDxfId="8739" totalsRowDxfId="8738" dataCellStyle="Moeda">
      <calculatedColumnFormula>SUMIFS(tabela_registros[VALOR],tabela_registros[MÊS],$AE$1,tabela_registros[DIA],reservafixaconsolidado282933[[#Headers],[7]],tabela_registros[REGISTRO],DADOS!$N$3,tabela_registros[TIPO],DADOS!$V$3,tabela_registros[CATEGORIA],reservafixaconsolidado282933[[#This Row],[ATUAL]])</calculatedColumnFormula>
    </tableColumn>
    <tableColumn id="9" xr3:uid="{1919DD23-C7DF-4C43-90DD-EF86E66AB3EA}" name="8" totalsRowFunction="sum" dataDxfId="8737" totalsRowDxfId="8736" dataCellStyle="Moeda">
      <calculatedColumnFormula>SUMIFS(tabela_registros[VALOR],tabela_registros[MÊS],$AE$1,tabela_registros[DIA],reservafixaconsolidado282933[[#Headers],[8]],tabela_registros[REGISTRO],DADOS!$N$3,tabela_registros[TIPO],DADOS!$V$3,tabela_registros[CATEGORIA],reservafixaconsolidado282933[[#This Row],[ATUAL]])</calculatedColumnFormula>
    </tableColumn>
    <tableColumn id="10" xr3:uid="{74DBE7FA-8EA0-46E2-A3CB-92F1E3CB5BE4}" name="9" totalsRowFunction="sum" dataDxfId="8735" totalsRowDxfId="8734" dataCellStyle="Moeda">
      <calculatedColumnFormula>SUMIFS(tabela_registros[VALOR],tabela_registros[MÊS],$AE$1,tabela_registros[DIA],reservafixaconsolidado282933[[#Headers],[9]],tabela_registros[REGISTRO],DADOS!$N$3,tabela_registros[TIPO],DADOS!$V$3,tabela_registros[CATEGORIA],reservafixaconsolidado282933[[#This Row],[ATUAL]])</calculatedColumnFormula>
    </tableColumn>
    <tableColumn id="11" xr3:uid="{30691C20-CD5A-461B-B7BB-09B03E9B61BD}" name="10" totalsRowFunction="sum" dataDxfId="8733" totalsRowDxfId="8732" dataCellStyle="Moeda">
      <calculatedColumnFormula>SUMIFS(tabela_registros[VALOR],tabela_registros[MÊS],$AE$1,tabela_registros[DIA],reservafixaconsolidado282933[[#Headers],[10]],tabela_registros[REGISTRO],DADOS!$N$3,tabela_registros[TIPO],DADOS!$V$3,tabela_registros[CATEGORIA],reservafixaconsolidado282933[[#This Row],[ATUAL]])</calculatedColumnFormula>
    </tableColumn>
    <tableColumn id="12" xr3:uid="{4886E662-8216-4828-ADC7-ECB5E1965419}" name="11" totalsRowFunction="sum" dataDxfId="8731" totalsRowDxfId="8730" dataCellStyle="Moeda">
      <calculatedColumnFormula>SUMIFS(tabela_registros[VALOR],tabela_registros[MÊS],$AE$1,tabela_registros[DIA],reservafixaconsolidado282933[[#Headers],[11]],tabela_registros[REGISTRO],DADOS!$N$3,tabela_registros[TIPO],DADOS!$V$3,tabela_registros[CATEGORIA],reservafixaconsolidado282933[[#This Row],[ATUAL]])</calculatedColumnFormula>
    </tableColumn>
    <tableColumn id="13" xr3:uid="{3C39A31D-C623-4ACB-8F62-D9EA1360F87D}" name="12" totalsRowFunction="sum" dataDxfId="8729" totalsRowDxfId="8728" dataCellStyle="Moeda">
      <calculatedColumnFormula>SUMIFS(tabela_registros[VALOR],tabela_registros[MÊS],$AE$1,tabela_registros[DIA],reservafixaconsolidado282933[[#Headers],[12]],tabela_registros[REGISTRO],DADOS!$N$3,tabela_registros[TIPO],DADOS!$V$3,tabela_registros[CATEGORIA],reservafixaconsolidado282933[[#This Row],[ATUAL]])</calculatedColumnFormula>
    </tableColumn>
    <tableColumn id="14" xr3:uid="{9E7ACE6B-C016-4E2D-AC59-57FD11F3EB65}" name="13" totalsRowFunction="sum" dataDxfId="8727" totalsRowDxfId="8726" dataCellStyle="Moeda">
      <calculatedColumnFormula>SUMIFS(tabela_registros[VALOR],tabela_registros[MÊS],$AE$1,tabela_registros[DIA],reservafixaconsolidado282933[[#Headers],[13]],tabela_registros[REGISTRO],DADOS!$N$3,tabela_registros[TIPO],DADOS!$V$3,tabela_registros[CATEGORIA],reservafixaconsolidado282933[[#This Row],[ATUAL]])</calculatedColumnFormula>
    </tableColumn>
    <tableColumn id="15" xr3:uid="{9E60B927-1AC1-4574-AC3B-2BC77A94CF2E}" name="14" totalsRowFunction="sum" dataDxfId="8725" totalsRowDxfId="8724" dataCellStyle="Moeda">
      <calculatedColumnFormula>SUMIFS(tabela_registros[VALOR],tabela_registros[MÊS],$AE$1,tabela_registros[DIA],reservafixaconsolidado282933[[#Headers],[14]],tabela_registros[REGISTRO],DADOS!$N$3,tabela_registros[TIPO],DADOS!$V$3,tabela_registros[CATEGORIA],reservafixaconsolidado282933[[#This Row],[ATUAL]])</calculatedColumnFormula>
    </tableColumn>
    <tableColumn id="16" xr3:uid="{7888E85C-7754-45A5-88AE-61B77C06C110}" name="15" totalsRowFunction="sum" dataDxfId="8723" totalsRowDxfId="8722" dataCellStyle="Moeda">
      <calculatedColumnFormula>SUMIFS(tabela_registros[VALOR],tabela_registros[MÊS],$AE$1,tabela_registros[DIA],reservafixaconsolidado282933[[#Headers],[15]],tabela_registros[REGISTRO],DADOS!$N$3,tabela_registros[TIPO],DADOS!$V$3,tabela_registros[CATEGORIA],reservafixaconsolidado282933[[#This Row],[ATUAL]])</calculatedColumnFormula>
    </tableColumn>
    <tableColumn id="17" xr3:uid="{74178FB9-1785-40DE-8204-80FFD30A4254}" name="16" totalsRowFunction="sum" dataDxfId="8721" totalsRowDxfId="8720" dataCellStyle="Moeda">
      <calculatedColumnFormula>SUMIFS(tabela_registros[VALOR],tabela_registros[MÊS],$AE$1,tabela_registros[DIA],reservafixaconsolidado282933[[#Headers],[16]],tabela_registros[REGISTRO],DADOS!$N$3,tabela_registros[TIPO],DADOS!$V$3,tabela_registros[CATEGORIA],reservafixaconsolidado282933[[#This Row],[ATUAL]])</calculatedColumnFormula>
    </tableColumn>
    <tableColumn id="18" xr3:uid="{E0A66810-BEE1-4A7C-A13E-6F02FA2B9863}" name="17" totalsRowFunction="sum" dataDxfId="8719" totalsRowDxfId="8718" dataCellStyle="Moeda">
      <calculatedColumnFormula>SUMIFS(tabela_registros[VALOR],tabela_registros[MÊS],$AE$1,tabela_registros[DIA],reservafixaconsolidado282933[[#Headers],[17]],tabela_registros[REGISTRO],DADOS!$N$3,tabela_registros[TIPO],DADOS!$V$3,tabela_registros[CATEGORIA],reservafixaconsolidado282933[[#This Row],[ATUAL]])</calculatedColumnFormula>
    </tableColumn>
    <tableColumn id="19" xr3:uid="{23F9BACC-EE9C-41E7-9BB4-6AFD4FC8329E}" name="18" totalsRowFunction="sum" dataDxfId="8717" totalsRowDxfId="8716" dataCellStyle="Moeda">
      <calculatedColumnFormula>SUMIFS(tabela_registros[VALOR],tabela_registros[MÊS],$AE$1,tabela_registros[DIA],reservafixaconsolidado282933[[#Headers],[18]],tabela_registros[REGISTRO],DADOS!$N$3,tabela_registros[TIPO],DADOS!$V$3,tabela_registros[CATEGORIA],reservafixaconsolidado282933[[#This Row],[ATUAL]])</calculatedColumnFormula>
    </tableColumn>
    <tableColumn id="20" xr3:uid="{B0763288-6190-46E5-996F-770D8BA15FE4}" name="19" totalsRowFunction="sum" dataDxfId="8715" totalsRowDxfId="8714" dataCellStyle="Moeda">
      <calculatedColumnFormula>SUMIFS(tabela_registros[VALOR],tabela_registros[MÊS],$AE$1,tabela_registros[DIA],reservafixaconsolidado282933[[#Headers],[19]],tabela_registros[REGISTRO],DADOS!$N$3,tabela_registros[TIPO],DADOS!$V$3,tabela_registros[CATEGORIA],reservafixaconsolidado282933[[#This Row],[ATUAL]])</calculatedColumnFormula>
    </tableColumn>
    <tableColumn id="21" xr3:uid="{30D0A7D5-7A1D-42E5-9773-9DB86EA394FB}" name="20" totalsRowFunction="sum" dataDxfId="8713" totalsRowDxfId="8712" dataCellStyle="Moeda">
      <calculatedColumnFormula>SUMIFS(tabela_registros[VALOR],tabela_registros[MÊS],$AE$1,tabela_registros[DIA],reservafixaconsolidado282933[[#Headers],[20]],tabela_registros[REGISTRO],DADOS!$N$3,tabela_registros[TIPO],DADOS!$V$3,tabela_registros[CATEGORIA],reservafixaconsolidado282933[[#This Row],[ATUAL]])</calculatedColumnFormula>
    </tableColumn>
    <tableColumn id="22" xr3:uid="{90A5FE15-F7A6-47E0-B623-A1AE773E0E5A}" name="21" totalsRowFunction="sum" dataDxfId="8711" totalsRowDxfId="8710" dataCellStyle="Moeda">
      <calculatedColumnFormula>SUMIFS(tabela_registros[VALOR],tabela_registros[MÊS],$AE$1,tabela_registros[DIA],reservafixaconsolidado282933[[#Headers],[21]],tabela_registros[REGISTRO],DADOS!$N$3,tabela_registros[TIPO],DADOS!$V$3,tabela_registros[CATEGORIA],reservafixaconsolidado282933[[#This Row],[ATUAL]])</calculatedColumnFormula>
    </tableColumn>
    <tableColumn id="23" xr3:uid="{E74DD7E7-B5BD-47CD-9280-0BB243F97091}" name="22" totalsRowFunction="sum" dataDxfId="8709" totalsRowDxfId="8708" dataCellStyle="Moeda">
      <calculatedColumnFormula>SUMIFS(tabela_registros[VALOR],tabela_registros[MÊS],$AE$1,tabela_registros[DIA],reservafixaconsolidado282933[[#Headers],[22]],tabela_registros[REGISTRO],DADOS!$N$3,tabela_registros[TIPO],DADOS!$V$3,tabela_registros[CATEGORIA],reservafixaconsolidado282933[[#This Row],[ATUAL]])</calculatedColumnFormula>
    </tableColumn>
    <tableColumn id="24" xr3:uid="{380AA8E1-4B33-47BB-BFD5-ACB198DF95B7}" name="23" totalsRowFunction="sum" dataDxfId="8707" totalsRowDxfId="8706" dataCellStyle="Moeda">
      <calculatedColumnFormula>SUMIFS(tabela_registros[VALOR],tabela_registros[MÊS],$AE$1,tabela_registros[DIA],reservafixaconsolidado282933[[#Headers],[23]],tabela_registros[REGISTRO],DADOS!$N$3,tabela_registros[TIPO],DADOS!$V$3,tabela_registros[CATEGORIA],reservafixaconsolidado282933[[#This Row],[ATUAL]])</calculatedColumnFormula>
    </tableColumn>
    <tableColumn id="25" xr3:uid="{81A207EE-1616-49CD-AE34-04F3474BED82}" name="24" totalsRowFunction="sum" dataDxfId="8705" totalsRowDxfId="8704" dataCellStyle="Moeda">
      <calculatedColumnFormula>SUMIFS(tabela_registros[VALOR],tabela_registros[MÊS],$AE$1,tabela_registros[DIA],reservafixaconsolidado282933[[#Headers],[24]],tabela_registros[REGISTRO],DADOS!$N$3,tabela_registros[TIPO],DADOS!$V$3,tabela_registros[CATEGORIA],reservafixaconsolidado282933[[#This Row],[ATUAL]])</calculatedColumnFormula>
    </tableColumn>
    <tableColumn id="26" xr3:uid="{52EDC6FB-0F99-48BD-BBA5-F84875CEA8C5}" name="25" totalsRowFunction="sum" dataDxfId="8703" totalsRowDxfId="8702" dataCellStyle="Moeda">
      <calculatedColumnFormula>SUMIFS(tabela_registros[VALOR],tabela_registros[MÊS],$AE$1,tabela_registros[DIA],reservafixaconsolidado282933[[#Headers],[25]],tabela_registros[REGISTRO],DADOS!$N$3,tabela_registros[TIPO],DADOS!$V$3,tabela_registros[CATEGORIA],reservafixaconsolidado282933[[#This Row],[ATUAL]])</calculatedColumnFormula>
    </tableColumn>
    <tableColumn id="27" xr3:uid="{BF663176-6D38-447D-A9B0-C9B64715DFA9}" name="26" totalsRowFunction="sum" dataDxfId="8701" totalsRowDxfId="8700" dataCellStyle="Moeda">
      <calculatedColumnFormula>SUMIFS(tabela_registros[VALOR],tabela_registros[MÊS],$AE$1,tabela_registros[DIA],reservafixaconsolidado282933[[#Headers],[26]],tabela_registros[REGISTRO],DADOS!$N$3,tabela_registros[TIPO],DADOS!$V$3,tabela_registros[CATEGORIA],reservafixaconsolidado282933[[#This Row],[ATUAL]])</calculatedColumnFormula>
    </tableColumn>
    <tableColumn id="28" xr3:uid="{F77D1694-4067-437A-AFEC-4BF641842A5B}" name="27" totalsRowFunction="sum" dataDxfId="8699" totalsRowDxfId="8698" dataCellStyle="Moeda">
      <calculatedColumnFormula>SUMIFS(tabela_registros[VALOR],tabela_registros[MÊS],$AE$1,tabela_registros[DIA],reservafixaconsolidado282933[[#Headers],[27]],tabela_registros[REGISTRO],DADOS!$N$3,tabela_registros[TIPO],DADOS!$V$3,tabela_registros[CATEGORIA],reservafixaconsolidado282933[[#This Row],[ATUAL]])</calculatedColumnFormula>
    </tableColumn>
    <tableColumn id="29" xr3:uid="{00CC0F80-F5EE-4233-8E74-66FB192FA477}" name="28" totalsRowFunction="sum" dataDxfId="8697" totalsRowDxfId="8696" dataCellStyle="Moeda">
      <calculatedColumnFormula>SUMIFS(tabela_registros[VALOR],tabela_registros[MÊS],$AE$1,tabela_registros[DIA],reservafixaconsolidado282933[[#Headers],[28]],tabela_registros[REGISTRO],DADOS!$N$3,tabela_registros[TIPO],DADOS!$V$3,tabela_registros[CATEGORIA],reservafixaconsolidado282933[[#This Row],[ATUAL]])</calculatedColumnFormula>
    </tableColumn>
    <tableColumn id="30" xr3:uid="{7E57D38E-A943-4A5F-B784-72761F593D8A}" name="29" totalsRowFunction="sum" dataDxfId="8695" totalsRowDxfId="8694" dataCellStyle="Moeda">
      <calculatedColumnFormula>SUMIFS(tabela_registros[VALOR],tabela_registros[MÊS],$AE$1,tabela_registros[DIA],reservafixaconsolidado282933[[#Headers],[29]],tabela_registros[REGISTRO],DADOS!$N$3,tabela_registros[TIPO],DADOS!$V$3,tabela_registros[CATEGORIA],reservafixaconsolidado282933[[#This Row],[ATUAL]])</calculatedColumnFormula>
    </tableColumn>
    <tableColumn id="31" xr3:uid="{26EF80EA-E956-48B3-9B50-02617344D040}" name="30" totalsRowFunction="sum" dataDxfId="8693" totalsRowDxfId="8692" dataCellStyle="Moeda">
      <calculatedColumnFormula>SUMIFS(tabela_registros[VALOR],tabela_registros[MÊS],$AE$1,tabela_registros[DIA],reservafixaconsolidado282933[[#Headers],[30]],tabela_registros[REGISTRO],DADOS!$N$3,tabela_registros[TIPO],DADOS!$V$3,tabela_registros[CATEGORIA],reservafixaconsolidado282933[[#This Row],[ATUAL]])</calculatedColumnFormula>
    </tableColumn>
    <tableColumn id="32" xr3:uid="{F62FD7C7-6994-4CCB-A1CF-D0554D6B2893}" name="31" totalsRowFunction="sum" dataDxfId="8691" totalsRowDxfId="8690" dataCellStyle="Moeda">
      <calculatedColumnFormula>SUMIFS(tabela_registros[VALOR],tabela_registros[MÊS],$AE$1,tabela_registros[DIA],reservafixaconsolidado282933[[#Headers],[31]],tabela_registros[REGISTRO],DADOS!$N$3,tabela_registros[TIPO],DADOS!$V$3,tabela_registros[CATEGORIA],reservafixaconsolidado282933[[#This Row],[ATUAL]])</calculatedColumnFormula>
    </tableColumn>
    <tableColumn id="33" xr3:uid="{B1D5F8CC-D601-4A91-BF41-62EC6EBB3F9B}" name="TOTAL (R$)" totalsRowFunction="sum" dataDxfId="8689" dataCellStyle="Moeda">
      <calculatedColumnFormula>SUM(reservafixaconsolidado282933[[#This Row],[1]:[31]])</calculatedColumnFormula>
    </tableColumn>
  </tableColumns>
  <tableStyleInfo name="TABELAS RESULTADOS" showFirstColumn="0" showLastColumn="0" showRowStripes="1" showColumnStripes="0"/>
</table>
</file>

<file path=xl/tables/table2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0" xr:uid="{BC2132AF-E46C-4E8E-9B68-A65659ACE383}" name="reservavariáveisconsolidado282934" displayName="reservavariáveisconsolidado282934" ref="C186:AJ197" headerRowDxfId="8688" dataDxfId="8687" totalsRowDxfId="8686">
  <autoFilter ref="C186:AJ197" xr:uid="{D1B0BC4A-55A7-40F2-94A1-407E95E214F4}"/>
  <tableColumns count="34">
    <tableColumn id="1" xr3:uid="{30BBA509-F8F3-4209-8AAE-9251559D46FA}" name="ATUAL" totalsRowLabel="SALDO" dataDxfId="8685"/>
    <tableColumn id="34" xr3:uid="{8F2AB64A-1D8C-4144-AFFB-A76EA9962A28}" name="Coluna1" dataDxfId="8684" totalsRowDxfId="8683">
      <calculatedColumnFormula>IF(reservavariáveisconsolidado282934[[#This Row],[TOTAL (R$)]]=0,"",IF(OR(reservavariáveisconsolidado282934[[#This Row],[TOTAL (R$)]]=LARGE($AJ$187:$AJ$196,1),reservavariáveisconsolidado282934[[#This Row],[TOTAL (R$)]]=LARGE($AJ$187:$AJ$196,2)),DADOS!$I$11,""))</calculatedColumnFormula>
    </tableColumn>
    <tableColumn id="2" xr3:uid="{F624D0B5-69C6-4596-A37E-76FBE6D53B37}" name="1" totalsRowFunction="sum" dataDxfId="8682" dataCellStyle="Moeda"/>
    <tableColumn id="3" xr3:uid="{E2FBA3AA-FC64-4D22-8EBA-F23C9360ECFB}" name="2" totalsRowFunction="sum" dataDxfId="8681" dataCellStyle="Moeda">
      <calculatedColumnFormula>SUMIFS(tabela_registros[VALOR],tabela_registros[MÊS],$AE$1,tabela_registros[DIA],reservavariáveisconsolidado282934[[#Headers],[2]],tabela_registros[REGISTRO],DADOS!$N$3,tabela_registros[TIPO],DADOS!$V$3,tabela_registros[CATEGORIA],reservavariáveisconsolidado282934[[#This Row],[ATUAL]])</calculatedColumnFormula>
    </tableColumn>
    <tableColumn id="4" xr3:uid="{947DCC0B-C5BC-45E4-97EE-61C277F783EA}" name="3" totalsRowFunction="sum" dataDxfId="8680" totalsRowDxfId="8679" dataCellStyle="Moeda">
      <calculatedColumnFormula>SUMIFS(tabela_registros[VALOR],tabela_registros[MÊS],$AE$1,tabela_registros[DIA],reservavariáveisconsolidado282934[[#Headers],[3]],tabela_registros[REGISTRO],DADOS!$N$3,tabela_registros[TIPO],DADOS!$V$3,tabela_registros[CATEGORIA],reservavariáveisconsolidado282934[[#This Row],[ATUAL]])</calculatedColumnFormula>
    </tableColumn>
    <tableColumn id="5" xr3:uid="{7E76B549-295C-4CA5-A3CF-404F2CF3603B}" name="4" totalsRowFunction="sum" dataDxfId="8678" totalsRowDxfId="8677" dataCellStyle="Moeda">
      <calculatedColumnFormula>SUMIFS(tabela_registros[VALOR],tabela_registros[MÊS],$AE$1,tabela_registros[DIA],reservavariáveisconsolidado282934[[#Headers],[4]],tabela_registros[REGISTRO],DADOS!$N$3,tabela_registros[TIPO],DADOS!$V$3,tabela_registros[CATEGORIA],reservavariáveisconsolidado282934[[#This Row],[ATUAL]])</calculatedColumnFormula>
    </tableColumn>
    <tableColumn id="6" xr3:uid="{01334684-6163-4387-AF1C-59B83BFA5A02}" name="5" totalsRowFunction="sum" dataDxfId="8676" totalsRowDxfId="8675" dataCellStyle="Moeda">
      <calculatedColumnFormula>SUMIFS(tabela_registros[VALOR],tabela_registros[MÊS],$AE$1,tabela_registros[DIA],reservavariáveisconsolidado282934[[#Headers],[5]],tabela_registros[REGISTRO],DADOS!$N$3,tabela_registros[TIPO],DADOS!$V$3,tabela_registros[CATEGORIA],reservavariáveisconsolidado282934[[#This Row],[ATUAL]])</calculatedColumnFormula>
    </tableColumn>
    <tableColumn id="7" xr3:uid="{77F1F5E5-AE7D-4D43-8677-03FC8C7BF284}" name="6" totalsRowFunction="sum" dataDxfId="8674" totalsRowDxfId="8673" dataCellStyle="Moeda">
      <calculatedColumnFormula>SUMIFS(tabela_registros[VALOR],tabela_registros[MÊS],$AE$1,tabela_registros[DIA],reservavariáveisconsolidado282934[[#Headers],[6]],tabela_registros[REGISTRO],DADOS!$N$3,tabela_registros[TIPO],DADOS!$V$3,tabela_registros[CATEGORIA],reservavariáveisconsolidado282934[[#This Row],[ATUAL]])</calculatedColumnFormula>
    </tableColumn>
    <tableColumn id="8" xr3:uid="{5108449E-FF45-41C3-B938-DB872ECEA413}" name="7" totalsRowFunction="sum" dataDxfId="8672" totalsRowDxfId="8671" dataCellStyle="Moeda">
      <calculatedColumnFormula>SUMIFS(tabela_registros[VALOR],tabela_registros[MÊS],$AE$1,tabela_registros[DIA],reservavariáveisconsolidado282934[[#Headers],[7]],tabela_registros[REGISTRO],DADOS!$N$3,tabela_registros[TIPO],DADOS!$V$3,tabela_registros[CATEGORIA],reservavariáveisconsolidado282934[[#This Row],[ATUAL]])</calculatedColumnFormula>
    </tableColumn>
    <tableColumn id="9" xr3:uid="{4494DB95-A30B-4444-AF2A-915FDE5E0242}" name="8" totalsRowFunction="sum" dataDxfId="8670" totalsRowDxfId="8669" dataCellStyle="Moeda">
      <calculatedColumnFormula>SUMIFS(tabela_registros[VALOR],tabela_registros[MÊS],$AE$1,tabela_registros[DIA],reservavariáveisconsolidado282934[[#Headers],[8]],tabela_registros[REGISTRO],DADOS!$N$3,tabela_registros[TIPO],DADOS!$V$3,tabela_registros[CATEGORIA],reservavariáveisconsolidado282934[[#This Row],[ATUAL]])</calculatedColumnFormula>
    </tableColumn>
    <tableColumn id="10" xr3:uid="{015B7A17-3B01-4C84-BB6F-12A74DC4A9EF}" name="9" totalsRowFunction="sum" dataDxfId="8668" totalsRowDxfId="8667" dataCellStyle="Moeda">
      <calculatedColumnFormula>SUMIFS(tabela_registros[VALOR],tabela_registros[MÊS],$AE$1,tabela_registros[DIA],reservavariáveisconsolidado282934[[#Headers],[9]],tabela_registros[REGISTRO],DADOS!$N$3,tabela_registros[TIPO],DADOS!$V$3,tabela_registros[CATEGORIA],reservavariáveisconsolidado282934[[#This Row],[ATUAL]])</calculatedColumnFormula>
    </tableColumn>
    <tableColumn id="11" xr3:uid="{0E86945D-B8DF-43BD-B407-CED91F8EEFEF}" name="10" totalsRowFunction="sum" dataDxfId="8666" totalsRowDxfId="8665" dataCellStyle="Moeda">
      <calculatedColumnFormula>SUMIFS(tabela_registros[VALOR],tabela_registros[MÊS],$AE$1,tabela_registros[DIA],reservavariáveisconsolidado282934[[#Headers],[10]],tabela_registros[REGISTRO],DADOS!$N$3,tabela_registros[TIPO],DADOS!$V$3,tabela_registros[CATEGORIA],reservavariáveisconsolidado282934[[#This Row],[ATUAL]])</calculatedColumnFormula>
    </tableColumn>
    <tableColumn id="12" xr3:uid="{F0DAE524-0672-4E88-9A74-CA08C7EA9C1E}" name="11" totalsRowFunction="sum" dataDxfId="8664" totalsRowDxfId="8663" dataCellStyle="Moeda">
      <calculatedColumnFormula>SUMIFS(tabela_registros[VALOR],tabela_registros[MÊS],$AE$1,tabela_registros[DIA],reservavariáveisconsolidado282934[[#Headers],[11]],tabela_registros[REGISTRO],DADOS!$N$3,tabela_registros[TIPO],DADOS!$V$3,tabela_registros[CATEGORIA],reservavariáveisconsolidado282934[[#This Row],[ATUAL]])</calculatedColumnFormula>
    </tableColumn>
    <tableColumn id="13" xr3:uid="{30E63C7C-FC74-4410-A7DE-655E18812425}" name="12" totalsRowFunction="sum" dataDxfId="8662" totalsRowDxfId="8661" dataCellStyle="Moeda">
      <calculatedColumnFormula>SUMIFS(tabela_registros[VALOR],tabela_registros[MÊS],$AE$1,tabela_registros[DIA],reservavariáveisconsolidado282934[[#Headers],[12]],tabela_registros[REGISTRO],DADOS!$N$3,tabela_registros[TIPO],DADOS!$V$3,tabela_registros[CATEGORIA],reservavariáveisconsolidado282934[[#This Row],[ATUAL]])</calculatedColumnFormula>
    </tableColumn>
    <tableColumn id="14" xr3:uid="{F3C19106-BA34-49A3-84F1-36D17939E25B}" name="13" totalsRowFunction="sum" dataDxfId="8660" totalsRowDxfId="8659" dataCellStyle="Moeda">
      <calculatedColumnFormula>SUMIFS(tabela_registros[VALOR],tabela_registros[MÊS],$AE$1,tabela_registros[DIA],reservavariáveisconsolidado282934[[#Headers],[13]],tabela_registros[REGISTRO],DADOS!$N$3,tabela_registros[TIPO],DADOS!$V$3,tabela_registros[CATEGORIA],reservavariáveisconsolidado282934[[#This Row],[ATUAL]])</calculatedColumnFormula>
    </tableColumn>
    <tableColumn id="15" xr3:uid="{2F00DD6A-E9D6-4F4A-8607-5E05FE027B1C}" name="14" totalsRowFunction="sum" dataDxfId="8658" totalsRowDxfId="8657" dataCellStyle="Moeda">
      <calculatedColumnFormula>SUMIFS(tabela_registros[VALOR],tabela_registros[MÊS],$AE$1,tabela_registros[DIA],reservavariáveisconsolidado282934[[#Headers],[14]],tabela_registros[REGISTRO],DADOS!$N$3,tabela_registros[TIPO],DADOS!$V$3,tabela_registros[CATEGORIA],reservavariáveisconsolidado282934[[#This Row],[ATUAL]])</calculatedColumnFormula>
    </tableColumn>
    <tableColumn id="16" xr3:uid="{CEECE04D-9C9F-491A-9DBB-B0AE59483A93}" name="15" totalsRowFunction="sum" dataDxfId="8656" totalsRowDxfId="8655" dataCellStyle="Moeda">
      <calculatedColumnFormula>SUMIFS(tabela_registros[VALOR],tabela_registros[MÊS],$AE$1,tabela_registros[DIA],reservavariáveisconsolidado282934[[#Headers],[15]],tabela_registros[REGISTRO],DADOS!$N$3,tabela_registros[TIPO],DADOS!$V$3,tabela_registros[CATEGORIA],reservavariáveisconsolidado282934[[#This Row],[ATUAL]])</calculatedColumnFormula>
    </tableColumn>
    <tableColumn id="17" xr3:uid="{BE6CAED2-557D-4EB3-9B8C-8D8CF8D62772}" name="16" totalsRowFunction="sum" dataDxfId="8654" totalsRowDxfId="8653" dataCellStyle="Moeda">
      <calculatedColumnFormula>SUMIFS(tabela_registros[VALOR],tabela_registros[MÊS],$AE$1,tabela_registros[DIA],reservavariáveisconsolidado282934[[#Headers],[16]],tabela_registros[REGISTRO],DADOS!$N$3,tabela_registros[TIPO],DADOS!$V$3,tabela_registros[CATEGORIA],reservavariáveisconsolidado282934[[#This Row],[ATUAL]])</calculatedColumnFormula>
    </tableColumn>
    <tableColumn id="18" xr3:uid="{2DB5678B-7411-4F62-91F9-6EC98B89918B}" name="17" totalsRowFunction="sum" dataDxfId="8652" totalsRowDxfId="8651" dataCellStyle="Moeda">
      <calculatedColumnFormula>SUMIFS(tabela_registros[VALOR],tabela_registros[MÊS],$AE$1,tabela_registros[DIA],reservavariáveisconsolidado282934[[#Headers],[17]],tabela_registros[REGISTRO],DADOS!$N$3,tabela_registros[TIPO],DADOS!$V$3,tabela_registros[CATEGORIA],reservavariáveisconsolidado282934[[#This Row],[ATUAL]])</calculatedColumnFormula>
    </tableColumn>
    <tableColumn id="19" xr3:uid="{26F8A965-8F6A-42C0-B85B-AB80177E305F}" name="18" totalsRowFunction="sum" dataDxfId="8650" totalsRowDxfId="8649" dataCellStyle="Moeda">
      <calculatedColumnFormula>SUMIFS(tabela_registros[VALOR],tabela_registros[MÊS],$AE$1,tabela_registros[DIA],reservavariáveisconsolidado282934[[#Headers],[18]],tabela_registros[REGISTRO],DADOS!$N$3,tabela_registros[TIPO],DADOS!$V$3,tabela_registros[CATEGORIA],reservavariáveisconsolidado282934[[#This Row],[ATUAL]])</calculatedColumnFormula>
    </tableColumn>
    <tableColumn id="20" xr3:uid="{E8096DBB-C550-47A2-8CCF-8D4ECF6B0A9F}" name="19" totalsRowFunction="sum" dataDxfId="8648" totalsRowDxfId="8647" dataCellStyle="Moeda">
      <calculatedColumnFormula>SUMIFS(tabela_registros[VALOR],tabela_registros[MÊS],$AE$1,tabela_registros[DIA],reservavariáveisconsolidado282934[[#Headers],[19]],tabela_registros[REGISTRO],DADOS!$N$3,tabela_registros[TIPO],DADOS!$V$3,tabela_registros[CATEGORIA],reservavariáveisconsolidado282934[[#This Row],[ATUAL]])</calculatedColumnFormula>
    </tableColumn>
    <tableColumn id="21" xr3:uid="{FAEB63F5-3DDE-453F-866F-0FB6130F73E5}" name="20" totalsRowFunction="sum" dataDxfId="8646" totalsRowDxfId="8645" dataCellStyle="Moeda">
      <calculatedColumnFormula>SUMIFS(tabela_registros[VALOR],tabela_registros[MÊS],$AE$1,tabela_registros[DIA],reservavariáveisconsolidado282934[[#Headers],[20]],tabela_registros[REGISTRO],DADOS!$N$3,tabela_registros[TIPO],DADOS!$V$3,tabela_registros[CATEGORIA],reservavariáveisconsolidado282934[[#This Row],[ATUAL]])</calculatedColumnFormula>
    </tableColumn>
    <tableColumn id="22" xr3:uid="{8FA77557-80DB-4554-B169-C79783EFF742}" name="21" totalsRowFunction="sum" dataDxfId="8644" totalsRowDxfId="8643" dataCellStyle="Moeda">
      <calculatedColumnFormula>SUMIFS(tabela_registros[VALOR],tabela_registros[MÊS],$AE$1,tabela_registros[DIA],reservavariáveisconsolidado282934[[#Headers],[21]],tabela_registros[REGISTRO],DADOS!$N$3,tabela_registros[TIPO],DADOS!$V$3,tabela_registros[CATEGORIA],reservavariáveisconsolidado282934[[#This Row],[ATUAL]])</calculatedColumnFormula>
    </tableColumn>
    <tableColumn id="23" xr3:uid="{AA64FC05-519E-4B52-BC2E-CE93E82651C5}" name="22" totalsRowFunction="sum" dataDxfId="8642" totalsRowDxfId="8641" dataCellStyle="Moeda">
      <calculatedColumnFormula>SUMIFS(tabela_registros[VALOR],tabela_registros[MÊS],$AE$1,tabela_registros[DIA],reservavariáveisconsolidado282934[[#Headers],[22]],tabela_registros[REGISTRO],DADOS!$N$3,tabela_registros[TIPO],DADOS!$V$3,tabela_registros[CATEGORIA],reservavariáveisconsolidado282934[[#This Row],[ATUAL]])</calculatedColumnFormula>
    </tableColumn>
    <tableColumn id="24" xr3:uid="{65198AB8-0BCC-4FD0-81C9-BA65206A34C4}" name="23" totalsRowFunction="sum" dataDxfId="8640" totalsRowDxfId="8639" dataCellStyle="Moeda">
      <calculatedColumnFormula>SUMIFS(tabela_registros[VALOR],tabela_registros[MÊS],$AE$1,tabela_registros[DIA],reservavariáveisconsolidado282934[[#Headers],[23]],tabela_registros[REGISTRO],DADOS!$N$3,tabela_registros[TIPO],DADOS!$V$3,tabela_registros[CATEGORIA],reservavariáveisconsolidado282934[[#This Row],[ATUAL]])</calculatedColumnFormula>
    </tableColumn>
    <tableColumn id="25" xr3:uid="{CCD159A7-94BC-44C4-96B3-0A0C7DBC93B0}" name="24" totalsRowFunction="sum" dataDxfId="8638" totalsRowDxfId="8637" dataCellStyle="Moeda">
      <calculatedColumnFormula>SUMIFS(tabela_registros[VALOR],tabela_registros[MÊS],$AE$1,tabela_registros[DIA],reservavariáveisconsolidado282934[[#Headers],[24]],tabela_registros[REGISTRO],DADOS!$N$3,tabela_registros[TIPO],DADOS!$V$3,tabela_registros[CATEGORIA],reservavariáveisconsolidado282934[[#This Row],[ATUAL]])</calculatedColumnFormula>
    </tableColumn>
    <tableColumn id="26" xr3:uid="{132DEB00-0018-445A-8AE5-AE78A2367A40}" name="25" totalsRowFunction="sum" dataDxfId="8636" totalsRowDxfId="8635" dataCellStyle="Moeda">
      <calculatedColumnFormula>SUMIFS(tabela_registros[VALOR],tabela_registros[MÊS],$AE$1,tabela_registros[DIA],reservavariáveisconsolidado282934[[#Headers],[25]],tabela_registros[REGISTRO],DADOS!$N$3,tabela_registros[TIPO],DADOS!$V$3,tabela_registros[CATEGORIA],reservavariáveisconsolidado282934[[#This Row],[ATUAL]])</calculatedColumnFormula>
    </tableColumn>
    <tableColumn id="27" xr3:uid="{027AAE58-AFCF-4E3E-A0F9-B77BB1B46803}" name="26" totalsRowFunction="sum" dataDxfId="8634" totalsRowDxfId="8633" dataCellStyle="Moeda">
      <calculatedColumnFormula>SUMIFS(tabela_registros[VALOR],tabela_registros[MÊS],$AE$1,tabela_registros[DIA],reservavariáveisconsolidado282934[[#Headers],[26]],tabela_registros[REGISTRO],DADOS!$N$3,tabela_registros[TIPO],DADOS!$V$3,tabela_registros[CATEGORIA],reservavariáveisconsolidado282934[[#This Row],[ATUAL]])</calculatedColumnFormula>
    </tableColumn>
    <tableColumn id="28" xr3:uid="{EF6B68F4-8034-4D13-BA2B-3164768464D3}" name="27" totalsRowFunction="sum" dataDxfId="8632" totalsRowDxfId="8631" dataCellStyle="Moeda">
      <calculatedColumnFormula>SUMIFS(tabela_registros[VALOR],tabela_registros[MÊS],$AE$1,tabela_registros[DIA],reservavariáveisconsolidado282934[[#Headers],[27]],tabela_registros[REGISTRO],DADOS!$N$3,tabela_registros[TIPO],DADOS!$V$3,tabela_registros[CATEGORIA],reservavariáveisconsolidado282934[[#This Row],[ATUAL]])</calculatedColumnFormula>
    </tableColumn>
    <tableColumn id="29" xr3:uid="{0B8559D3-515F-43A7-948A-4EA22ACF4421}" name="28" totalsRowFunction="sum" dataDxfId="8630" totalsRowDxfId="8629" dataCellStyle="Moeda">
      <calculatedColumnFormula>SUMIFS(tabela_registros[VALOR],tabela_registros[MÊS],$AE$1,tabela_registros[DIA],reservavariáveisconsolidado282934[[#Headers],[28]],tabela_registros[REGISTRO],DADOS!$N$3,tabela_registros[TIPO],DADOS!$V$3,tabela_registros[CATEGORIA],reservavariáveisconsolidado282934[[#This Row],[ATUAL]])</calculatedColumnFormula>
    </tableColumn>
    <tableColumn id="30" xr3:uid="{FAC5AAB8-4492-4A60-952A-3A68750DFAFA}" name="29" totalsRowFunction="sum" dataDxfId="8628" totalsRowDxfId="8627" dataCellStyle="Moeda">
      <calculatedColumnFormula>SUMIFS(tabela_registros[VALOR],tabela_registros[MÊS],$AE$1,tabela_registros[DIA],reservavariáveisconsolidado282934[[#Headers],[29]],tabela_registros[REGISTRO],DADOS!$N$3,tabela_registros[TIPO],DADOS!$V$3,tabela_registros[CATEGORIA],reservavariáveisconsolidado282934[[#This Row],[ATUAL]])</calculatedColumnFormula>
    </tableColumn>
    <tableColumn id="31" xr3:uid="{2CBB6A0D-B278-4DAE-B585-207064CE89F5}" name="30" totalsRowFunction="sum" dataDxfId="8626" totalsRowDxfId="8625" dataCellStyle="Moeda">
      <calculatedColumnFormula>SUMIFS(tabela_registros[VALOR],tabela_registros[MÊS],$AE$1,tabela_registros[DIA],reservavariáveisconsolidado282934[[#Headers],[30]],tabela_registros[REGISTRO],DADOS!$N$3,tabela_registros[TIPO],DADOS!$V$3,tabela_registros[CATEGORIA],reservavariáveisconsolidado282934[[#This Row],[ATUAL]])</calculatedColumnFormula>
    </tableColumn>
    <tableColumn id="32" xr3:uid="{DC9337B5-09B4-4254-91AF-02CA7F020A35}" name="31" totalsRowFunction="sum" dataDxfId="8624" totalsRowDxfId="8623" dataCellStyle="Moeda">
      <calculatedColumnFormula>SUMIFS(tabela_registros[VALOR],tabela_registros[MÊS],$AE$1,tabela_registros[DIA],reservavariáveisconsolidado282934[[#Headers],[31]],tabela_registros[REGISTRO],DADOS!$N$3,tabela_registros[TIPO],DADOS!$V$3,tabela_registros[CATEGORIA],reservavariáveisconsolidado282934[[#This Row],[ATUAL]])</calculatedColumnFormula>
    </tableColumn>
    <tableColumn id="33" xr3:uid="{2AFE5634-F56F-4304-AE0C-25B7E6089A20}" name="TOTAL (R$)" totalsRowFunction="sum" dataDxfId="8622" dataCellStyle="Moeda">
      <calculatedColumnFormula>SUM(reservavariáveisconsolidado282934[[#This Row],[1]:[31]])</calculatedColumnFormula>
    </tableColumn>
  </tableColumns>
  <tableStyleInfo name="TABELAS RESULTADOS" showFirstColumn="0" showLastColumn="0" showRowStripes="1" showColumnStripes="0"/>
</table>
</file>

<file path=xl/tables/table2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1" xr:uid="{AEFA84CA-CC8A-40CB-91D1-81005C46075F}" name="reservaoutrosconsolidado282935" displayName="reservaoutrosconsolidado282935" ref="C205:AJ214" headerRowDxfId="8621" dataDxfId="8620" totalsRowDxfId="8619">
  <autoFilter ref="C205:AJ214" xr:uid="{9335CBAF-4490-44EE-A508-E6F2F3B6C6F1}"/>
  <tableColumns count="34">
    <tableColumn id="1" xr3:uid="{F24D6697-E1D8-4B32-BB82-2F5BFAD8E8BC}" name="ATUAL" totalsRowLabel="SALDO" dataDxfId="8618"/>
    <tableColumn id="34" xr3:uid="{C561599D-42F6-4890-A6B8-DC49B2976809}" name="Coluna1" dataDxfId="8617" totalsRowDxfId="8616">
      <calculatedColumnFormula>IF(reservaoutrosconsolidado282935[[#This Row],[TOTAL (R$)]]=0,"",IF(OR(reservaoutrosconsolidado282935[[#This Row],[TOTAL (R$)]]=LARGE($AJ$206:$AJ$213,1),reservaoutrosconsolidado282935[[#This Row],[TOTAL (R$)]]=LARGE($AJ$206:$AJ$213,2)),DADOS!$I$11,""))</calculatedColumnFormula>
    </tableColumn>
    <tableColumn id="2" xr3:uid="{8A233546-843B-411F-8204-054E434EDE3D}" name="1" totalsRowFunction="sum" dataDxfId="8615" dataCellStyle="Moeda"/>
    <tableColumn id="3" xr3:uid="{4FEB93D7-0E1D-4731-82E1-71E242E60570}" name="2" totalsRowFunction="sum" dataDxfId="8614" dataCellStyle="Moeda">
      <calculatedColumnFormula>SUMIFS(tabela_registros[VALOR],tabela_registros[MÊS],$AE$1,tabela_registros[DIA],reservaoutrosconsolidado282935[[#Headers],[2]],tabela_registros[REGISTRO],DADOS!$N$3,tabela_registros[TIPO],DADOS!$V$3,tabela_registros[CATEGORIA],reservaoutrosconsolidado282935[[#This Row],[ATUAL]])</calculatedColumnFormula>
    </tableColumn>
    <tableColumn id="4" xr3:uid="{B5414D42-7CB8-4A83-A54E-2297986A2B44}" name="3" totalsRowFunction="sum" dataDxfId="8613" totalsRowDxfId="8612" dataCellStyle="Moeda">
      <calculatedColumnFormula>SUMIFS(tabela_registros[VALOR],tabela_registros[MÊS],$AE$1,tabela_registros[DIA],reservaoutrosconsolidado282935[[#Headers],[3]],tabela_registros[REGISTRO],DADOS!$N$3,tabela_registros[TIPO],DADOS!$V$3,tabela_registros[CATEGORIA],reservaoutrosconsolidado282935[[#This Row],[ATUAL]])</calculatedColumnFormula>
    </tableColumn>
    <tableColumn id="5" xr3:uid="{B0FF9234-5F34-4961-9A22-969C2DD9E26B}" name="4" totalsRowFunction="sum" dataDxfId="8611" totalsRowDxfId="8610" dataCellStyle="Moeda">
      <calculatedColumnFormula>SUMIFS(tabela_registros[VALOR],tabela_registros[MÊS],$AE$1,tabela_registros[DIA],reservaoutrosconsolidado282935[[#Headers],[4]],tabela_registros[REGISTRO],DADOS!$N$3,tabela_registros[TIPO],DADOS!$V$3,tabela_registros[CATEGORIA],reservaoutrosconsolidado282935[[#This Row],[ATUAL]])</calculatedColumnFormula>
    </tableColumn>
    <tableColumn id="6" xr3:uid="{5B83B7BB-B5E5-437B-8A2F-15418BA77AEA}" name="5" totalsRowFunction="sum" dataDxfId="8609" totalsRowDxfId="8608" dataCellStyle="Moeda">
      <calculatedColumnFormula>SUMIFS(tabela_registros[VALOR],tabela_registros[MÊS],$AE$1,tabela_registros[DIA],reservaoutrosconsolidado282935[[#Headers],[5]],tabela_registros[REGISTRO],DADOS!$N$3,tabela_registros[TIPO],DADOS!$V$3,tabela_registros[CATEGORIA],reservaoutrosconsolidado282935[[#This Row],[ATUAL]])</calculatedColumnFormula>
    </tableColumn>
    <tableColumn id="7" xr3:uid="{15ACDF5D-AAB3-4A90-AB3F-6E91DDEDA7E2}" name="6" totalsRowFunction="sum" dataDxfId="8607" totalsRowDxfId="8606" dataCellStyle="Moeda">
      <calculatedColumnFormula>SUMIFS(tabela_registros[VALOR],tabela_registros[MÊS],$AE$1,tabela_registros[DIA],reservaoutrosconsolidado282935[[#Headers],[6]],tabela_registros[REGISTRO],DADOS!$N$3,tabela_registros[TIPO],DADOS!$V$3,tabela_registros[CATEGORIA],reservaoutrosconsolidado282935[[#This Row],[ATUAL]])</calculatedColumnFormula>
    </tableColumn>
    <tableColumn id="8" xr3:uid="{FB8EAA10-3611-4788-B892-03DF131DEFB8}" name="7" totalsRowFunction="sum" dataDxfId="8605" totalsRowDxfId="8604" dataCellStyle="Moeda">
      <calculatedColumnFormula>SUMIFS(tabela_registros[VALOR],tabela_registros[MÊS],$AE$1,tabela_registros[DIA],reservaoutrosconsolidado282935[[#Headers],[7]],tabela_registros[REGISTRO],DADOS!$N$3,tabela_registros[TIPO],DADOS!$V$3,tabela_registros[CATEGORIA],reservaoutrosconsolidado282935[[#This Row],[ATUAL]])</calculatedColumnFormula>
    </tableColumn>
    <tableColumn id="9" xr3:uid="{AB55C4E6-352C-4E3A-A072-8A048357AA2C}" name="8" totalsRowFunction="sum" dataDxfId="8603" totalsRowDxfId="8602" dataCellStyle="Moeda">
      <calculatedColumnFormula>SUMIFS(tabela_registros[VALOR],tabela_registros[MÊS],$AE$1,tabela_registros[DIA],reservaoutrosconsolidado282935[[#Headers],[8]],tabela_registros[REGISTRO],DADOS!$N$3,tabela_registros[TIPO],DADOS!$V$3,tabela_registros[CATEGORIA],reservaoutrosconsolidado282935[[#This Row],[ATUAL]])</calculatedColumnFormula>
    </tableColumn>
    <tableColumn id="10" xr3:uid="{3E08E6E3-B16E-4CA7-9470-3DD1029FF97F}" name="9" totalsRowFunction="sum" dataDxfId="8601" totalsRowDxfId="8600" dataCellStyle="Moeda">
      <calculatedColumnFormula>SUMIFS(tabela_registros[VALOR],tabela_registros[MÊS],$AE$1,tabela_registros[DIA],reservaoutrosconsolidado282935[[#Headers],[9]],tabela_registros[REGISTRO],DADOS!$N$3,tabela_registros[TIPO],DADOS!$V$3,tabela_registros[CATEGORIA],reservaoutrosconsolidado282935[[#This Row],[ATUAL]])</calculatedColumnFormula>
    </tableColumn>
    <tableColumn id="11" xr3:uid="{32DF9592-564B-4F45-A3D9-EB9E3E5FD3E0}" name="10" totalsRowFunction="sum" dataDxfId="8599" totalsRowDxfId="8598" dataCellStyle="Moeda">
      <calculatedColumnFormula>SUMIFS(tabela_registros[VALOR],tabela_registros[MÊS],$AE$1,tabela_registros[DIA],reservaoutrosconsolidado282935[[#Headers],[10]],tabela_registros[REGISTRO],DADOS!$N$3,tabela_registros[TIPO],DADOS!$V$3,tabela_registros[CATEGORIA],reservaoutrosconsolidado282935[[#This Row],[ATUAL]])</calculatedColumnFormula>
    </tableColumn>
    <tableColumn id="12" xr3:uid="{36ED2D2D-01A3-4884-96C8-CBDE5E6DA2AA}" name="11" totalsRowFunction="sum" dataDxfId="8597" totalsRowDxfId="8596" dataCellStyle="Moeda">
      <calculatedColumnFormula>SUMIFS(tabela_registros[VALOR],tabela_registros[MÊS],$AE$1,tabela_registros[DIA],reservaoutrosconsolidado282935[[#Headers],[11]],tabela_registros[REGISTRO],DADOS!$N$3,tabela_registros[TIPO],DADOS!$V$3,tabela_registros[CATEGORIA],reservaoutrosconsolidado282935[[#This Row],[ATUAL]])</calculatedColumnFormula>
    </tableColumn>
    <tableColumn id="13" xr3:uid="{1F10DA06-A090-495F-BEA2-95B0B12570BE}" name="12" totalsRowFunction="sum" dataDxfId="8595" totalsRowDxfId="8594" dataCellStyle="Moeda">
      <calculatedColumnFormula>SUMIFS(tabela_registros[VALOR],tabela_registros[MÊS],$AE$1,tabela_registros[DIA],reservaoutrosconsolidado282935[[#Headers],[12]],tabela_registros[REGISTRO],DADOS!$N$3,tabela_registros[TIPO],DADOS!$V$3,tabela_registros[CATEGORIA],reservaoutrosconsolidado282935[[#This Row],[ATUAL]])</calculatedColumnFormula>
    </tableColumn>
    <tableColumn id="14" xr3:uid="{A823A789-8176-4DA9-8C20-E69F767DD4ED}" name="13" totalsRowFunction="sum" dataDxfId="8593" totalsRowDxfId="8592" dataCellStyle="Moeda">
      <calculatedColumnFormula>SUMIFS(tabela_registros[VALOR],tabela_registros[MÊS],$AE$1,tabela_registros[DIA],reservaoutrosconsolidado282935[[#Headers],[13]],tabela_registros[REGISTRO],DADOS!$N$3,tabela_registros[TIPO],DADOS!$V$3,tabela_registros[CATEGORIA],reservaoutrosconsolidado282935[[#This Row],[ATUAL]])</calculatedColumnFormula>
    </tableColumn>
    <tableColumn id="15" xr3:uid="{3C35208C-CE14-437B-B10F-33C1FF69BC77}" name="14" totalsRowFunction="sum" dataDxfId="8591" totalsRowDxfId="8590" dataCellStyle="Moeda">
      <calculatedColumnFormula>SUMIFS(tabela_registros[VALOR],tabela_registros[MÊS],$AE$1,tabela_registros[DIA],reservaoutrosconsolidado282935[[#Headers],[14]],tabela_registros[REGISTRO],DADOS!$N$3,tabela_registros[TIPO],DADOS!$V$3,tabela_registros[CATEGORIA],reservaoutrosconsolidado282935[[#This Row],[ATUAL]])</calculatedColumnFormula>
    </tableColumn>
    <tableColumn id="16" xr3:uid="{643938D1-CC57-4B21-869C-A11469AF9F23}" name="15" totalsRowFunction="sum" dataDxfId="8589" totalsRowDxfId="8588" dataCellStyle="Moeda">
      <calculatedColumnFormula>SUMIFS(tabela_registros[VALOR],tabela_registros[MÊS],$AE$1,tabela_registros[DIA],reservaoutrosconsolidado282935[[#Headers],[15]],tabela_registros[REGISTRO],DADOS!$N$3,tabela_registros[TIPO],DADOS!$V$3,tabela_registros[CATEGORIA],reservaoutrosconsolidado282935[[#This Row],[ATUAL]])</calculatedColumnFormula>
    </tableColumn>
    <tableColumn id="17" xr3:uid="{A06B9234-94F2-4602-BDA6-78E0E077C05F}" name="16" totalsRowFunction="sum" dataDxfId="8587" totalsRowDxfId="8586" dataCellStyle="Moeda">
      <calculatedColumnFormula>SUMIFS(tabela_registros[VALOR],tabela_registros[MÊS],$AE$1,tabela_registros[DIA],reservaoutrosconsolidado282935[[#Headers],[16]],tabela_registros[REGISTRO],DADOS!$N$3,tabela_registros[TIPO],DADOS!$V$3,tabela_registros[CATEGORIA],reservaoutrosconsolidado282935[[#This Row],[ATUAL]])</calculatedColumnFormula>
    </tableColumn>
    <tableColumn id="18" xr3:uid="{9C2B0930-94B7-4E63-9078-A63561AF4794}" name="17" totalsRowFunction="sum" dataDxfId="8585" totalsRowDxfId="8584" dataCellStyle="Moeda">
      <calculatedColumnFormula>SUMIFS(tabela_registros[VALOR],tabela_registros[MÊS],$AE$1,tabela_registros[DIA],reservaoutrosconsolidado282935[[#Headers],[17]],tabela_registros[REGISTRO],DADOS!$N$3,tabela_registros[TIPO],DADOS!$V$3,tabela_registros[CATEGORIA],reservaoutrosconsolidado282935[[#This Row],[ATUAL]])</calculatedColumnFormula>
    </tableColumn>
    <tableColumn id="19" xr3:uid="{E67AD85D-41CE-459E-B50D-1D4F7C94220D}" name="18" totalsRowFunction="sum" dataDxfId="8583" totalsRowDxfId="8582" dataCellStyle="Moeda">
      <calculatedColumnFormula>SUMIFS(tabela_registros[VALOR],tabela_registros[MÊS],$AE$1,tabela_registros[DIA],reservaoutrosconsolidado282935[[#Headers],[18]],tabela_registros[REGISTRO],DADOS!$N$3,tabela_registros[TIPO],DADOS!$V$3,tabela_registros[CATEGORIA],reservaoutrosconsolidado282935[[#This Row],[ATUAL]])</calculatedColumnFormula>
    </tableColumn>
    <tableColumn id="20" xr3:uid="{1748CB93-EF2B-4DCD-94C7-9996BB4BF9BB}" name="19" totalsRowFunction="sum" dataDxfId="8581" totalsRowDxfId="8580" dataCellStyle="Moeda">
      <calculatedColumnFormula>SUMIFS(tabela_registros[VALOR],tabela_registros[MÊS],$AE$1,tabela_registros[DIA],reservaoutrosconsolidado282935[[#Headers],[19]],tabela_registros[REGISTRO],DADOS!$N$3,tabela_registros[TIPO],DADOS!$V$3,tabela_registros[CATEGORIA],reservaoutrosconsolidado282935[[#This Row],[ATUAL]])</calculatedColumnFormula>
    </tableColumn>
    <tableColumn id="21" xr3:uid="{8C88E7D5-B1F4-4CBD-A980-AB1901BA4E1C}" name="20" totalsRowFunction="sum" dataDxfId="8579" totalsRowDxfId="8578" dataCellStyle="Moeda">
      <calculatedColumnFormula>SUMIFS(tabela_registros[VALOR],tabela_registros[MÊS],$AE$1,tabela_registros[DIA],reservaoutrosconsolidado282935[[#Headers],[20]],tabela_registros[REGISTRO],DADOS!$N$3,tabela_registros[TIPO],DADOS!$V$3,tabela_registros[CATEGORIA],reservaoutrosconsolidado282935[[#This Row],[ATUAL]])</calculatedColumnFormula>
    </tableColumn>
    <tableColumn id="22" xr3:uid="{665B388E-F600-4D8D-BBAF-52EC2531EB8A}" name="21" totalsRowFunction="sum" dataDxfId="8577" totalsRowDxfId="8576" dataCellStyle="Moeda">
      <calculatedColumnFormula>SUMIFS(tabela_registros[VALOR],tabela_registros[MÊS],$AE$1,tabela_registros[DIA],reservaoutrosconsolidado282935[[#Headers],[21]],tabela_registros[REGISTRO],DADOS!$N$3,tabela_registros[TIPO],DADOS!$V$3,tabela_registros[CATEGORIA],reservaoutrosconsolidado282935[[#This Row],[ATUAL]])</calculatedColumnFormula>
    </tableColumn>
    <tableColumn id="23" xr3:uid="{EF50439B-2ECC-4681-887C-0CFCC917442E}" name="22" totalsRowFunction="sum" dataDxfId="8575" totalsRowDxfId="8574" dataCellStyle="Moeda">
      <calculatedColumnFormula>SUMIFS(tabela_registros[VALOR],tabela_registros[MÊS],$AE$1,tabela_registros[DIA],reservaoutrosconsolidado282935[[#Headers],[22]],tabela_registros[REGISTRO],DADOS!$N$3,tabela_registros[TIPO],DADOS!$V$3,tabela_registros[CATEGORIA],reservaoutrosconsolidado282935[[#This Row],[ATUAL]])</calculatedColumnFormula>
    </tableColumn>
    <tableColumn id="24" xr3:uid="{A44E58D6-AAE4-400D-B26E-E9DD2541C8ED}" name="23" totalsRowFunction="sum" dataDxfId="8573" totalsRowDxfId="8572" dataCellStyle="Moeda">
      <calculatedColumnFormula>SUMIFS(tabela_registros[VALOR],tabela_registros[MÊS],$AE$1,tabela_registros[DIA],reservaoutrosconsolidado282935[[#Headers],[23]],tabela_registros[REGISTRO],DADOS!$N$3,tabela_registros[TIPO],DADOS!$V$3,tabela_registros[CATEGORIA],reservaoutrosconsolidado282935[[#This Row],[ATUAL]])</calculatedColumnFormula>
    </tableColumn>
    <tableColumn id="25" xr3:uid="{BBF1DED5-B291-4061-A95C-3E2861E9E0CB}" name="24" totalsRowFunction="sum" dataDxfId="8571" totalsRowDxfId="8570" dataCellStyle="Moeda">
      <calculatedColumnFormula>SUMIFS(tabela_registros[VALOR],tabela_registros[MÊS],$AE$1,tabela_registros[DIA],reservaoutrosconsolidado282935[[#Headers],[24]],tabela_registros[REGISTRO],DADOS!$N$3,tabela_registros[TIPO],DADOS!$V$3,tabela_registros[CATEGORIA],reservaoutrosconsolidado282935[[#This Row],[ATUAL]])</calculatedColumnFormula>
    </tableColumn>
    <tableColumn id="26" xr3:uid="{C43BF819-D68F-410D-9671-7FB1E9408322}" name="25" totalsRowFunction="sum" dataDxfId="8569" totalsRowDxfId="8568" dataCellStyle="Moeda">
      <calculatedColumnFormula>SUMIFS(tabela_registros[VALOR],tabela_registros[MÊS],$AE$1,tabela_registros[DIA],reservaoutrosconsolidado282935[[#Headers],[25]],tabela_registros[REGISTRO],DADOS!$N$3,tabela_registros[TIPO],DADOS!$V$3,tabela_registros[CATEGORIA],reservaoutrosconsolidado282935[[#This Row],[ATUAL]])</calculatedColumnFormula>
    </tableColumn>
    <tableColumn id="27" xr3:uid="{725D9AB4-4654-4842-90E6-3A7403FB9356}" name="26" totalsRowFunction="sum" dataDxfId="8567" totalsRowDxfId="8566" dataCellStyle="Moeda">
      <calculatedColumnFormula>SUMIFS(tabela_registros[VALOR],tabela_registros[MÊS],$AE$1,tabela_registros[DIA],reservaoutrosconsolidado282935[[#Headers],[26]],tabela_registros[REGISTRO],DADOS!$N$3,tabela_registros[TIPO],DADOS!$V$3,tabela_registros[CATEGORIA],reservaoutrosconsolidado282935[[#This Row],[ATUAL]])</calculatedColumnFormula>
    </tableColumn>
    <tableColumn id="28" xr3:uid="{32A31CCB-D0B4-4042-AB76-64A0D8EBC9F0}" name="27" totalsRowFunction="sum" dataDxfId="8565" totalsRowDxfId="8564" dataCellStyle="Moeda">
      <calculatedColumnFormula>SUMIFS(tabela_registros[VALOR],tabela_registros[MÊS],$AE$1,tabela_registros[DIA],reservaoutrosconsolidado282935[[#Headers],[27]],tabela_registros[REGISTRO],DADOS!$N$3,tabela_registros[TIPO],DADOS!$V$3,tabela_registros[CATEGORIA],reservaoutrosconsolidado282935[[#This Row],[ATUAL]])</calculatedColumnFormula>
    </tableColumn>
    <tableColumn id="29" xr3:uid="{69C81E7C-48B2-45E1-9ED7-4A28FB15218D}" name="28" totalsRowFunction="sum" dataDxfId="8563" totalsRowDxfId="8562" dataCellStyle="Moeda">
      <calculatedColumnFormula>SUMIFS(tabela_registros[VALOR],tabela_registros[MÊS],$AE$1,tabela_registros[DIA],reservaoutrosconsolidado282935[[#Headers],[28]],tabela_registros[REGISTRO],DADOS!$N$3,tabela_registros[TIPO],DADOS!$V$3,tabela_registros[CATEGORIA],reservaoutrosconsolidado282935[[#This Row],[ATUAL]])</calculatedColumnFormula>
    </tableColumn>
    <tableColumn id="30" xr3:uid="{5D37E454-5AEB-400F-BEA2-760FC81A6A78}" name="29" totalsRowFunction="sum" dataDxfId="8561" totalsRowDxfId="8560" dataCellStyle="Moeda">
      <calculatedColumnFormula>SUMIFS(tabela_registros[VALOR],tabela_registros[MÊS],$AE$1,tabela_registros[DIA],reservaoutrosconsolidado282935[[#Headers],[29]],tabela_registros[REGISTRO],DADOS!$N$3,tabela_registros[TIPO],DADOS!$V$3,tabela_registros[CATEGORIA],reservaoutrosconsolidado282935[[#This Row],[ATUAL]])</calculatedColumnFormula>
    </tableColumn>
    <tableColumn id="31" xr3:uid="{8894D3A3-2064-4535-A975-92EB815D374D}" name="30" totalsRowFunction="sum" dataDxfId="8559" totalsRowDxfId="8558" dataCellStyle="Moeda">
      <calculatedColumnFormula>SUMIFS(tabela_registros[VALOR],tabela_registros[MÊS],$AE$1,tabela_registros[DIA],reservaoutrosconsolidado282935[[#Headers],[30]],tabela_registros[REGISTRO],DADOS!$N$3,tabela_registros[TIPO],DADOS!$V$3,tabela_registros[CATEGORIA],reservaoutrosconsolidado282935[[#This Row],[ATUAL]])</calculatedColumnFormula>
    </tableColumn>
    <tableColumn id="32" xr3:uid="{EB1F2175-25A7-4CB2-BA44-365A13F5B118}" name="31" totalsRowFunction="sum" dataDxfId="8557" totalsRowDxfId="8556" dataCellStyle="Moeda">
      <calculatedColumnFormula>SUMIFS(tabela_registros[VALOR],tabela_registros[MÊS],$AE$1,tabela_registros[DIA],reservaoutrosconsolidado282935[[#Headers],[31]],tabela_registros[REGISTRO],DADOS!$N$3,tabela_registros[TIPO],DADOS!$V$3,tabela_registros[CATEGORIA],reservaoutrosconsolidado282935[[#This Row],[ATUAL]])</calculatedColumnFormula>
    </tableColumn>
    <tableColumn id="33" xr3:uid="{E834A915-F7CF-4E0F-93BC-B1F0AEFCAD2C}" name="TOTAL (R$)" totalsRowFunction="sum" dataDxfId="8555" dataCellStyle="Moeda">
      <calculatedColumnFormula>SUM(reservaoutrosconsolidado282935[[#This Row],[1]:[31]])</calculatedColumnFormula>
    </tableColumn>
  </tableColumns>
  <tableStyleInfo name="TABELAS RESULTADOS" showFirstColumn="0" showLastColumn="0" showRowStripes="1" showColumnStripes="0"/>
</table>
</file>

<file path=xl/tables/table2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8" xr:uid="{3B3EB41B-D8AB-4E86-B0A2-1DAA1D5EFF2B}" name="despesafixaconsolidadofev" displayName="despesafixaconsolidadofev" ref="C36:AJ51" headerRowDxfId="8554" dataDxfId="8553" totalsRowDxfId="8552">
  <autoFilter ref="C36:AJ51" xr:uid="{5ADEFF0A-DF5A-4FC5-A9EC-68EEC14B5F43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  <filterColumn colId="25" hiddenButton="1"/>
    <filterColumn colId="26" hiddenButton="1"/>
    <filterColumn colId="27" hiddenButton="1"/>
    <filterColumn colId="28" hiddenButton="1"/>
    <filterColumn colId="29" hiddenButton="1"/>
    <filterColumn colId="30" hiddenButton="1"/>
    <filterColumn colId="31" hiddenButton="1"/>
    <filterColumn colId="32" hiddenButton="1"/>
    <filterColumn colId="33" hiddenButton="1"/>
  </autoFilter>
  <tableColumns count="34">
    <tableColumn id="1" xr3:uid="{195CC94D-0550-4ABC-A7AF-FECED5C28B87}" name="DESPESA FIXA" totalsRowLabel="Total" dataDxfId="8551"/>
    <tableColumn id="42" xr3:uid="{EACD90A6-2B3D-4590-8DB1-22E4EB38F981}" name="Coluna1" dataDxfId="8550">
      <calculatedColumnFormula>IF(despesafixaconsolidadofev[[#This Row],[TOTAL]]=0,"",IF(OR(despesafixaconsolidadofev[[#This Row],[TOTAL]]=SMALL($AJ$37:$AJ$50,1),despesafixaconsolidadofev[[#This Row],[TOTAL]]=SMALL($AJ$37:$AJ$50,2),despesafixaconsolidadofev[[#This Row],[TOTAL]]=SMALL($AJ$37:$AJ$50,3),despesafixaconsolidadofev[[#This Row],[TOTAL]]=SMALL($AJ$37:$AJ$50,4),despesafixaconsolidadofev[[#This Row],[TOTAL]]=SMALL($AJ$37:$AJ$50,5)),DADOS!$I$8,""))</calculatedColumnFormula>
    </tableColumn>
    <tableColumn id="18" xr3:uid="{8D920A79-5B4B-4366-9F0D-CB9E7A43CB8D}" name="1" totalsRowFunction="sum" dataDxfId="8549" dataCellStyle="Moeda">
      <calculatedColumnFormula>SUMIFS(tabela_registros[VALOR],tabela_registros[MÊS],$AE$1,tabela_registros[DIA],jantotal[[#Headers],[1]],tabela_registros[REGISTRO],DADOS!$N$4,tabela_registros[TIPO],DADOS!$P$3,tabela_registros[CATEGORIA],despesafixaconsolidadofev[[#This Row],[DESPESA FIXA]])</calculatedColumnFormula>
    </tableColumn>
    <tableColumn id="19" xr3:uid="{D3123928-617B-4671-84F0-B06A981974C7}" name="2" totalsRowFunction="sum" dataDxfId="8548" dataCellStyle="Moeda">
      <calculatedColumnFormula>SUMIFS(tabela_registros[VALOR],tabela_registros[MÊS],$AE$1,tabela_registros[DIA],jantotal[[#Headers],[2]],tabela_registros[REGISTRO],DADOS!$N$4,tabela_registros[TIPO],DADOS!$P$3,tabela_registros[CATEGORIA],despesafixaconsolidadofev[[#This Row],[DESPESA FIXA]])</calculatedColumnFormula>
    </tableColumn>
    <tableColumn id="20" xr3:uid="{08C67DE2-78B4-4044-8107-DAB39E5E0ADD}" name="3" totalsRowFunction="sum" dataDxfId="8547" totalsRowDxfId="8546" dataCellStyle="Moeda">
      <calculatedColumnFormula>SUMIFS(tabela_registros[VALOR],tabela_registros[MÊS],$AE$1,tabela_registros[DIA],jantotal[[#Headers],[3]],tabela_registros[REGISTRO],DADOS!$N$4,tabela_registros[TIPO],DADOS!$P$3,tabela_registros[CATEGORIA],despesafixaconsolidadofev[[#This Row],[DESPESA FIXA]])</calculatedColumnFormula>
    </tableColumn>
    <tableColumn id="21" xr3:uid="{00715DDB-5EB3-4C6A-9BBA-BDC23DEE2E1E}" name="4" totalsRowFunction="sum" dataDxfId="8545" totalsRowDxfId="8544" dataCellStyle="Moeda">
      <calculatedColumnFormula>SUMIFS(tabela_registros[VALOR],tabela_registros[MÊS],$AE$1,tabela_registros[DIA],jantotal[[#Headers],[4]],tabela_registros[REGISTRO],DADOS!$N$4,tabela_registros[TIPO],DADOS!$P$3,tabela_registros[CATEGORIA],despesafixaconsolidadofev[[#This Row],[DESPESA FIXA]])</calculatedColumnFormula>
    </tableColumn>
    <tableColumn id="22" xr3:uid="{EF20DADF-DF1C-4892-B695-89D0622F6017}" name="5" totalsRowFunction="sum" dataDxfId="8543" totalsRowDxfId="8542" dataCellStyle="Moeda">
      <calculatedColumnFormula>SUMIFS(tabela_registros[VALOR],tabela_registros[MÊS],$AE$1,tabela_registros[DIA],jantotal[[#Headers],[5]],tabela_registros[REGISTRO],DADOS!$N$4,tabela_registros[TIPO],DADOS!$P$3,tabela_registros[CATEGORIA],despesafixaconsolidadofev[[#This Row],[DESPESA FIXA]])</calculatedColumnFormula>
    </tableColumn>
    <tableColumn id="23" xr3:uid="{CE91AF06-E0F3-4137-A91F-B9BA5116657D}" name="6" totalsRowFunction="sum" dataDxfId="8541" totalsRowDxfId="8540" dataCellStyle="Moeda">
      <calculatedColumnFormula>SUMIFS(tabela_registros[VALOR],tabela_registros[MÊS],$AE$1,tabela_registros[DIA],jantotal[[#Headers],[6]],tabela_registros[REGISTRO],DADOS!$N$4,tabela_registros[TIPO],DADOS!$P$3,tabela_registros[CATEGORIA],despesafixaconsolidadofev[[#This Row],[DESPESA FIXA]])</calculatedColumnFormula>
    </tableColumn>
    <tableColumn id="24" xr3:uid="{344A5174-FB6E-4735-B7E0-614BD8BEF966}" name="7" totalsRowFunction="sum" dataDxfId="8539" totalsRowDxfId="8538" dataCellStyle="Moeda">
      <calculatedColumnFormula>SUMIFS(tabela_registros[VALOR],tabela_registros[MÊS],$AE$1,tabela_registros[DIA],jantotal[[#Headers],[7]],tabela_registros[REGISTRO],DADOS!$N$4,tabela_registros[TIPO],DADOS!$P$3,tabela_registros[CATEGORIA],despesafixaconsolidadofev[[#This Row],[DESPESA FIXA]])</calculatedColumnFormula>
    </tableColumn>
    <tableColumn id="25" xr3:uid="{DAF4C262-80BD-4CA1-B71F-67B3E7F3F6F4}" name="8" totalsRowFunction="sum" dataDxfId="8537" totalsRowDxfId="8536" dataCellStyle="Moeda">
      <calculatedColumnFormula>SUMIFS(tabela_registros[VALOR],tabela_registros[MÊS],$AE$1,tabela_registros[DIA],jantotal[[#Headers],[8]],tabela_registros[REGISTRO],DADOS!$N$4,tabela_registros[TIPO],DADOS!$P$3,tabela_registros[CATEGORIA],despesafixaconsolidadofev[[#This Row],[DESPESA FIXA]])</calculatedColumnFormula>
    </tableColumn>
    <tableColumn id="26" xr3:uid="{07803B3F-F445-4725-981A-4F55A8C0E46D}" name="9" totalsRowFunction="sum" dataDxfId="8535" totalsRowDxfId="8534" dataCellStyle="Moeda">
      <calculatedColumnFormula>SUMIFS(tabela_registros[VALOR],tabela_registros[MÊS],$AE$1,tabela_registros[DIA],jantotal[[#Headers],[9]],tabela_registros[REGISTRO],DADOS!$N$4,tabela_registros[TIPO],DADOS!$P$3,tabela_registros[CATEGORIA],despesafixaconsolidadofev[[#This Row],[DESPESA FIXA]])</calculatedColumnFormula>
    </tableColumn>
    <tableColumn id="27" xr3:uid="{3CBCCFC0-D5A1-4356-887F-C16B31441D85}" name="10" totalsRowFunction="sum" dataDxfId="8533" totalsRowDxfId="8532" dataCellStyle="Moeda">
      <calculatedColumnFormula>SUMIFS(tabela_registros[VALOR],tabela_registros[MÊS],$AE$1,tabela_registros[DIA],jantotal[[#Headers],[10]],tabela_registros[REGISTRO],DADOS!$N$4,tabela_registros[TIPO],DADOS!$P$3,tabela_registros[CATEGORIA],despesafixaconsolidadofev[[#This Row],[DESPESA FIXA]])</calculatedColumnFormula>
    </tableColumn>
    <tableColumn id="28" xr3:uid="{FDD77150-4E0D-491A-9025-6029EA9ADB2D}" name="11" totalsRowFunction="sum" dataDxfId="8531" totalsRowDxfId="8530" dataCellStyle="Moeda">
      <calculatedColumnFormula>SUMIFS(tabela_registros[VALOR],tabela_registros[MÊS],$AE$1,tabela_registros[DIA],jantotal[[#Headers],[11]],tabela_registros[REGISTRO],DADOS!$N$4,tabela_registros[TIPO],DADOS!$P$3,tabela_registros[CATEGORIA],despesafixaconsolidadofev[[#This Row],[DESPESA FIXA]])</calculatedColumnFormula>
    </tableColumn>
    <tableColumn id="29" xr3:uid="{B6DAFDA0-8213-44DA-85A2-B2BF33F66F27}" name="12" totalsRowFunction="sum" dataDxfId="8529" totalsRowDxfId="8528" dataCellStyle="Moeda">
      <calculatedColumnFormula>SUMIFS(tabela_registros[VALOR],tabela_registros[MÊS],$AE$1,tabela_registros[DIA],jantotal[[#Headers],[12]],tabela_registros[REGISTRO],DADOS!$N$4,tabela_registros[TIPO],DADOS!$P$3,tabela_registros[CATEGORIA],despesafixaconsolidadofev[[#This Row],[DESPESA FIXA]])</calculatedColumnFormula>
    </tableColumn>
    <tableColumn id="30" xr3:uid="{F307763E-1EE9-4CEE-B6EA-2006BEF29563}" name="13" totalsRowFunction="sum" dataDxfId="8527" totalsRowDxfId="8526" dataCellStyle="Moeda">
      <calculatedColumnFormula>SUMIFS(tabela_registros[VALOR],tabela_registros[MÊS],$AE$1,tabela_registros[DIA],jantotal[[#Headers],[13]],tabela_registros[REGISTRO],DADOS!$N$4,tabela_registros[TIPO],DADOS!$P$3,tabela_registros[CATEGORIA],despesafixaconsolidadofev[[#This Row],[DESPESA FIXA]])</calculatedColumnFormula>
    </tableColumn>
    <tableColumn id="31" xr3:uid="{A84080E5-42C2-452C-B93D-E4FD47EED072}" name="14" totalsRowFunction="sum" dataDxfId="8525" totalsRowDxfId="8524" dataCellStyle="Moeda">
      <calculatedColumnFormula>SUMIFS(tabela_registros[VALOR],tabela_registros[MÊS],$AE$1,tabela_registros[DIA],jantotal[[#Headers],[14]],tabela_registros[REGISTRO],DADOS!$N$4,tabela_registros[TIPO],DADOS!$P$3,tabela_registros[CATEGORIA],despesafixaconsolidadofev[[#This Row],[DESPESA FIXA]])</calculatedColumnFormula>
    </tableColumn>
    <tableColumn id="32" xr3:uid="{7BE68193-434C-4CC8-AEB1-E4B3630CBECE}" name="15" totalsRowFunction="sum" dataDxfId="8523" totalsRowDxfId="8522" dataCellStyle="Moeda">
      <calculatedColumnFormula>SUMIFS(tabela_registros[VALOR],tabela_registros[MÊS],$AE$1,tabela_registros[DIA],jantotal[[#Headers],[15]],tabela_registros[REGISTRO],DADOS!$N$4,tabela_registros[TIPO],DADOS!$P$3,tabela_registros[CATEGORIA],despesafixaconsolidadofev[[#This Row],[DESPESA FIXA]])</calculatedColumnFormula>
    </tableColumn>
    <tableColumn id="33" xr3:uid="{4E7D5FE5-F45B-4DD9-A4C1-D7B28FBDA105}" name="16" totalsRowFunction="sum" dataDxfId="8521" totalsRowDxfId="8520" dataCellStyle="Moeda">
      <calculatedColumnFormula>SUMIFS(tabela_registros[VALOR],tabela_registros[MÊS],$AE$1,tabela_registros[DIA],jantotal[[#Headers],[16]],tabela_registros[REGISTRO],DADOS!$N$4,tabela_registros[TIPO],DADOS!$P$3,tabela_registros[CATEGORIA],despesafixaconsolidadofev[[#This Row],[DESPESA FIXA]])</calculatedColumnFormula>
    </tableColumn>
    <tableColumn id="34" xr3:uid="{D8CC1A5B-AF12-4D99-A02F-F68B583526E6}" name="17" totalsRowFunction="sum" dataDxfId="8519" totalsRowDxfId="8518" dataCellStyle="Moeda">
      <calculatedColumnFormula>SUMIFS(tabela_registros[VALOR],tabela_registros[MÊS],$AE$1,tabela_registros[DIA],jantotal[[#Headers],[17]],tabela_registros[REGISTRO],DADOS!$N$4,tabela_registros[TIPO],DADOS!$P$3,tabela_registros[CATEGORIA],despesafixaconsolidadofev[[#This Row],[DESPESA FIXA]])</calculatedColumnFormula>
    </tableColumn>
    <tableColumn id="35" xr3:uid="{30F097CC-4242-493D-931A-E1735E1DDE34}" name="18" totalsRowFunction="sum" dataDxfId="8517" totalsRowDxfId="8516" dataCellStyle="Moeda">
      <calculatedColumnFormula>SUMIFS(tabela_registros[VALOR],tabela_registros[MÊS],$AE$1,tabela_registros[DIA],jantotal[[#Headers],[18]],tabela_registros[REGISTRO],DADOS!$N$4,tabela_registros[TIPO],DADOS!$P$3,tabela_registros[CATEGORIA],despesafixaconsolidadofev[[#This Row],[DESPESA FIXA]])</calculatedColumnFormula>
    </tableColumn>
    <tableColumn id="36" xr3:uid="{59B2203A-F8CB-4026-BD80-B9AD53C8566D}" name="19" totalsRowFunction="sum" dataDxfId="8515" totalsRowDxfId="8514" dataCellStyle="Moeda">
      <calculatedColumnFormula>SUMIFS(tabela_registros[VALOR],tabela_registros[MÊS],$AE$1,tabela_registros[DIA],jantotal[[#Headers],[19]],tabela_registros[REGISTRO],DADOS!$N$4,tabela_registros[TIPO],DADOS!$P$3,tabela_registros[CATEGORIA],despesafixaconsolidadofev[[#This Row],[DESPESA FIXA]])</calculatedColumnFormula>
    </tableColumn>
    <tableColumn id="37" xr3:uid="{B97B2849-B547-4470-B7A0-9F100573ADE1}" name="20" totalsRowFunction="sum" dataDxfId="8513" totalsRowDxfId="8512" dataCellStyle="Moeda">
      <calculatedColumnFormula>SUMIFS(tabela_registros[VALOR],tabela_registros[MÊS],$AE$1,tabela_registros[DIA],jantotal[[#Headers],[20]],tabela_registros[REGISTRO],DADOS!$N$4,tabela_registros[TIPO],DADOS!$P$3,tabela_registros[CATEGORIA],despesafixaconsolidadofev[[#This Row],[DESPESA FIXA]])</calculatedColumnFormula>
    </tableColumn>
    <tableColumn id="38" xr3:uid="{0D07965A-A256-4E8E-A51E-2295A0B8A14D}" name="21" totalsRowFunction="sum" dataDxfId="8511" totalsRowDxfId="8510" dataCellStyle="Moeda">
      <calculatedColumnFormula>SUMIFS(tabela_registros[VALOR],tabela_registros[MÊS],$AE$1,tabela_registros[DIA],jantotal[[#Headers],[21]],tabela_registros[REGISTRO],DADOS!$N$4,tabela_registros[TIPO],DADOS!$P$3,tabela_registros[CATEGORIA],despesafixaconsolidadofev[[#This Row],[DESPESA FIXA]])</calculatedColumnFormula>
    </tableColumn>
    <tableColumn id="39" xr3:uid="{D30DFD0F-E2D9-4BAA-AD0D-F455A0671CF0}" name="22" totalsRowFunction="sum" dataDxfId="8509" totalsRowDxfId="8508" dataCellStyle="Moeda">
      <calculatedColumnFormula>SUMIFS(tabela_registros[VALOR],tabela_registros[MÊS],$AE$1,tabela_registros[DIA],jantotal[[#Headers],[22]],tabela_registros[REGISTRO],DADOS!$N$4,tabela_registros[TIPO],DADOS!$P$3,tabela_registros[CATEGORIA],despesafixaconsolidadofev[[#This Row],[DESPESA FIXA]])</calculatedColumnFormula>
    </tableColumn>
    <tableColumn id="40" xr3:uid="{A3A3C26C-C36B-4241-893A-06A9E1A297B8}" name="23" totalsRowFunction="sum" dataDxfId="8507" totalsRowDxfId="8506" dataCellStyle="Moeda">
      <calculatedColumnFormula>SUMIFS(tabela_registros[VALOR],tabela_registros[MÊS],$AE$1,tabela_registros[DIA],jantotal[[#Headers],[23]],tabela_registros[REGISTRO],DADOS!$N$4,tabela_registros[TIPO],DADOS!$P$3,tabela_registros[CATEGORIA],despesafixaconsolidadofev[[#This Row],[DESPESA FIXA]])</calculatedColumnFormula>
    </tableColumn>
    <tableColumn id="41" xr3:uid="{839228E4-678D-4F96-A4BF-DBA97F9CFAE9}" name="24" totalsRowFunction="sum" dataDxfId="8505" totalsRowDxfId="8504" dataCellStyle="Moeda">
      <calculatedColumnFormula>SUMIFS(tabela_registros[VALOR],tabela_registros[MÊS],$AE$1,tabela_registros[DIA],jantotal[[#Headers],[24]],tabela_registros[REGISTRO],DADOS!$N$4,tabela_registros[TIPO],DADOS!$P$3,tabela_registros[CATEGORIA],despesafixaconsolidadofev[[#This Row],[DESPESA FIXA]])</calculatedColumnFormula>
    </tableColumn>
    <tableColumn id="12" xr3:uid="{3BE74B29-0599-4C85-9823-AD2C17A2B7B9}" name="25" totalsRowFunction="sum" dataDxfId="8503" totalsRowDxfId="8502" dataCellStyle="Moeda">
      <calculatedColumnFormula>SUMIFS(tabela_registros[VALOR],tabela_registros[MÊS],$AE$1,tabela_registros[DIA],jantotal[[#Headers],[25]],tabela_registros[REGISTRO],DADOS!$N$4,tabela_registros[TIPO],DADOS!$P$3,tabela_registros[CATEGORIA],despesafixaconsolidadofev[[#This Row],[DESPESA FIXA]])</calculatedColumnFormula>
    </tableColumn>
    <tableColumn id="13" xr3:uid="{87E5463A-AE71-42EE-9BAF-2A5549E28CCC}" name="26" totalsRowFunction="sum" dataDxfId="8501" totalsRowDxfId="8500" dataCellStyle="Moeda">
      <calculatedColumnFormula>SUMIFS(tabela_registros[VALOR],tabela_registros[MÊS],$AE$1,tabela_registros[DIA],jantotal[[#Headers],[26]],tabela_registros[REGISTRO],DADOS!$N$4,tabela_registros[TIPO],DADOS!$P$3,tabela_registros[CATEGORIA],despesafixaconsolidadofev[[#This Row],[DESPESA FIXA]])</calculatedColumnFormula>
    </tableColumn>
    <tableColumn id="14" xr3:uid="{99EE35D7-5ACA-4E2B-AC0C-FAA84DD3B6EA}" name="27" totalsRowFunction="sum" dataDxfId="8499" totalsRowDxfId="8498" dataCellStyle="Moeda">
      <calculatedColumnFormula>SUMIFS(tabela_registros[VALOR],tabela_registros[MÊS],$AE$1,tabela_registros[DIA],jantotal[[#Headers],[27]],tabela_registros[REGISTRO],DADOS!$N$4,tabela_registros[TIPO],DADOS!$P$3,tabela_registros[CATEGORIA],despesafixaconsolidadofev[[#This Row],[DESPESA FIXA]])</calculatedColumnFormula>
    </tableColumn>
    <tableColumn id="15" xr3:uid="{EF781A61-DEA2-43FA-A59D-9A63432ECC82}" name="28" totalsRowFunction="sum" dataDxfId="8497" totalsRowDxfId="8496" dataCellStyle="Moeda">
      <calculatedColumnFormula>SUMIFS(tabela_registros[VALOR],tabela_registros[MÊS],$AE$1,tabela_registros[DIA],jantotal[[#Headers],[28]],tabela_registros[REGISTRO],DADOS!$N$4,tabela_registros[TIPO],DADOS!$P$3,tabela_registros[CATEGORIA],despesafixaconsolidadofev[[#This Row],[DESPESA FIXA]])</calculatedColumnFormula>
    </tableColumn>
    <tableColumn id="16" xr3:uid="{51082D6D-D099-4EF8-AF59-082FAB685BDC}" name="29" totalsRowFunction="sum" dataDxfId="8495" totalsRowDxfId="8494" dataCellStyle="Moeda">
      <calculatedColumnFormula>SUMIFS(tabela_registros[VALOR],tabela_registros[MÊS],$AE$1,tabela_registros[DIA],jantotal[[#Headers],[29]],tabela_registros[REGISTRO],DADOS!$N$4,tabela_registros[TIPO],DADOS!$P$3,tabela_registros[CATEGORIA],despesafixaconsolidadofev[[#This Row],[DESPESA FIXA]])</calculatedColumnFormula>
    </tableColumn>
    <tableColumn id="17" xr3:uid="{4BE6D26C-B6B3-40F4-A35C-ED19A6B8E823}" name="30" totalsRowFunction="sum" dataDxfId="8493" totalsRowDxfId="8492" dataCellStyle="Moeda">
      <calculatedColumnFormula>SUMIFS(tabela_registros[VALOR],tabela_registros[MÊS],$AE$1,tabela_registros[DIA],jantotal[[#Headers],[30]],tabela_registros[REGISTRO],DADOS!$N$4,tabela_registros[TIPO],DADOS!$P$3,tabela_registros[CATEGORIA],despesafixaconsolidadofev[[#This Row],[DESPESA FIXA]])</calculatedColumnFormula>
    </tableColumn>
    <tableColumn id="9" xr3:uid="{09D135A9-C9EA-4524-8B86-EDFE0D8E57CE}" name="31" totalsRowFunction="sum" dataDxfId="8491" totalsRowDxfId="8490" dataCellStyle="Moeda">
      <calculatedColumnFormula>SUMIFS(tabela_registros[VALOR],tabela_registros[MÊS],$AE$1,tabela_registros[DIA],jantotal[[#Headers],[31]],tabela_registros[REGISTRO],DADOS!$N$4,tabela_registros[TIPO],DADOS!$P$3,tabela_registros[CATEGORIA],despesafixaconsolidadofev[[#This Row],[DESPESA FIXA]])</calculatedColumnFormula>
    </tableColumn>
    <tableColumn id="5" xr3:uid="{F69CD140-B6B3-4DE9-9825-75A7D5427B20}" name="TOTAL" totalsRowFunction="sum" dataDxfId="8489" dataCellStyle="Moeda">
      <calculatedColumnFormula>SUM(despesafixaconsolidadofev[[#This Row],[1]:[31]])</calculatedColumnFormula>
    </tableColumn>
  </tableColumns>
  <tableStyleInfo name="TABELAS RESULTADOS" showFirstColumn="0" showLastColumn="1" showRowStripes="1" showColumnStripes="0"/>
</table>
</file>

<file path=xl/tables/table2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9" xr:uid="{D29F1768-3332-4BA2-89DC-9595324F447D}" name="despesavariávelconsolidadofev" displayName="despesavariávelconsolidadofev" ref="C59:AJ73" headerRowDxfId="8488" dataDxfId="8487" totalsRowDxfId="8486" dataCellStyle="Moeda">
  <autoFilter ref="C59:AJ73" xr:uid="{07DB3A1D-DBCD-42BC-96FE-46512EDE2C70}"/>
  <tableColumns count="34">
    <tableColumn id="1" xr3:uid="{44696729-C20A-4FF9-A221-BEDA5EF167C2}" name="DESPESA VARIÁVEL" totalsRowLabel="Total" dataDxfId="8485" totalsRowDxfId="8484">
      <calculatedColumnFormula>DADOS!T3</calculatedColumnFormula>
    </tableColumn>
    <tableColumn id="54" xr3:uid="{4D0227D6-42E9-4324-90A8-9D314229CC6C}" name="Coluna1" dataDxfId="8483" totalsRowDxfId="8482">
      <calculatedColumnFormula>IF(despesavariávelconsolidadofev[[#This Row],[TOTAL]]=0,"",IF(OR(despesavariávelconsolidadofev[[#This Row],[TOTAL]]=SMALL(despesavariávelconsolidadofev[TOTAL],1),despesavariávelconsolidadofev[[#This Row],[TOTAL]]=SMALL(despesavariávelconsolidadofev[TOTAL],2),despesavariávelconsolidadofev[[#This Row],[TOTAL]]=SMALL(despesavariávelconsolidadofev[TOTAL],3),despesavariávelconsolidadofev[[#This Row],[TOTAL]]=SMALL(despesavariávelconsolidadofev[TOTAL],4),despesavariávelconsolidadofev[[#This Row],[TOTAL]]=SMALL(despesavariávelconsolidadofev[TOTAL],5)),DADOS!$I$8,""))</calculatedColumnFormula>
    </tableColumn>
    <tableColumn id="30" xr3:uid="{B8BA19E5-5C4C-4CF2-9534-92417E2483A0}" name="1" totalsRowFunction="sum" dataDxfId="8481">
      <calculatedColumnFormula>SUMIFS(tabela_registros[VALOR],tabela_registros[MÊS],$AE$1,tabela_registros[DIA],jantotal[[#Headers],[1]],tabela_registros[REGISTRO],DADOS!$N$4,tabela_registros[TIPO],DADOS!$P$4,tabela_registros[CATEGORIA],despesavariávelconsolidadofev[[#This Row],[DESPESA VARIÁVEL]])</calculatedColumnFormula>
    </tableColumn>
    <tableColumn id="31" xr3:uid="{790A7240-6FC4-40DE-82F9-694B4E5620EB}" name="2" totalsRowFunction="sum" dataDxfId="8480">
      <calculatedColumnFormula>SUMIFS(tabela_registros[VALOR],tabela_registros[MÊS],$AE$1,tabela_registros[DIA],jantotal[[#Headers],[2]],tabela_registros[REGISTRO],DADOS!$N$4,tabela_registros[TIPO],DADOS!$P$4,tabela_registros[CATEGORIA],despesavariávelconsolidadofev[[#This Row],[DESPESA VARIÁVEL]])</calculatedColumnFormula>
    </tableColumn>
    <tableColumn id="32" xr3:uid="{A8A73E0B-9CA5-49D9-AEDB-0EF4FED2CFB3}" name="3" totalsRowFunction="sum" dataDxfId="8479">
      <calculatedColumnFormula>SUMIFS(tabela_registros[VALOR],tabela_registros[MÊS],$AE$1,tabela_registros[DIA],jantotal[[#Headers],[3]],tabela_registros[REGISTRO],DADOS!$N$4,tabela_registros[TIPO],DADOS!$P$4,tabela_registros[CATEGORIA],despesavariávelconsolidadofev[[#This Row],[DESPESA VARIÁVEL]])</calculatedColumnFormula>
    </tableColumn>
    <tableColumn id="33" xr3:uid="{45C54C9C-5D32-48CB-9738-6CFA8C7159CC}" name="4" totalsRowFunction="sum" dataDxfId="8478">
      <calculatedColumnFormula>SUMIFS(tabela_registros[VALOR],tabela_registros[MÊS],$AE$1,tabela_registros[DIA],jantotal[[#Headers],[4]],tabela_registros[REGISTRO],DADOS!$N$4,tabela_registros[TIPO],DADOS!$P$4,tabela_registros[CATEGORIA],despesavariávelconsolidadofev[[#This Row],[DESPESA VARIÁVEL]])</calculatedColumnFormula>
    </tableColumn>
    <tableColumn id="34" xr3:uid="{D7651BF4-34DA-4009-ACCE-17118027BC1F}" name="5" totalsRowFunction="sum" dataDxfId="8477">
      <calculatedColumnFormula>SUMIFS(tabela_registros[VALOR],tabela_registros[MÊS],$AE$1,tabela_registros[DIA],jantotal[[#Headers],[5]],tabela_registros[REGISTRO],DADOS!$N$4,tabela_registros[TIPO],DADOS!$P$4,tabela_registros[CATEGORIA],despesavariávelconsolidadofev[[#This Row],[DESPESA VARIÁVEL]])</calculatedColumnFormula>
    </tableColumn>
    <tableColumn id="35" xr3:uid="{D695652D-FAB5-4C36-A43A-4D241C2E7977}" name="6" totalsRowFunction="sum" dataDxfId="8476">
      <calculatedColumnFormula>SUMIFS(tabela_registros[VALOR],tabela_registros[MÊS],$AE$1,tabela_registros[DIA],jantotal[[#Headers],[6]],tabela_registros[REGISTRO],DADOS!$N$4,tabela_registros[TIPO],DADOS!$P$4,tabela_registros[CATEGORIA],despesavariávelconsolidadofev[[#This Row],[DESPESA VARIÁVEL]])</calculatedColumnFormula>
    </tableColumn>
    <tableColumn id="36" xr3:uid="{454DC8AC-0A01-413B-B999-3E80B4F07728}" name="7" totalsRowFunction="sum" dataDxfId="8475">
      <calculatedColumnFormula>SUMIFS(tabela_registros[VALOR],tabela_registros[MÊS],$AE$1,tabela_registros[DIA],jantotal[[#Headers],[7]],tabela_registros[REGISTRO],DADOS!$N$4,tabela_registros[TIPO],DADOS!$P$4,tabela_registros[CATEGORIA],despesavariávelconsolidadofev[[#This Row],[DESPESA VARIÁVEL]])</calculatedColumnFormula>
    </tableColumn>
    <tableColumn id="37" xr3:uid="{13F6C3CC-CEA1-47C4-936F-786183BC5F05}" name="8" totalsRowFunction="sum" dataDxfId="8474">
      <calculatedColumnFormula>SUMIFS(tabela_registros[VALOR],tabela_registros[MÊS],$AE$1,tabela_registros[DIA],jantotal[[#Headers],[8]],tabela_registros[REGISTRO],DADOS!$N$4,tabela_registros[TIPO],DADOS!$P$4,tabela_registros[CATEGORIA],despesavariávelconsolidadofev[[#This Row],[DESPESA VARIÁVEL]])</calculatedColumnFormula>
    </tableColumn>
    <tableColumn id="38" xr3:uid="{3F857225-B545-497F-8284-C83F812C4DEF}" name="9" totalsRowFunction="sum" dataDxfId="8473">
      <calculatedColumnFormula>SUMIFS(tabela_registros[VALOR],tabela_registros[MÊS],$AE$1,tabela_registros[DIA],jantotal[[#Headers],[9]],tabela_registros[REGISTRO],DADOS!$N$4,tabela_registros[TIPO],DADOS!$P$4,tabela_registros[CATEGORIA],despesavariávelconsolidadofev[[#This Row],[DESPESA VARIÁVEL]])</calculatedColumnFormula>
    </tableColumn>
    <tableColumn id="39" xr3:uid="{F61E9380-10E4-443E-95C9-65A59E40D8DC}" name="10" totalsRowFunction="sum" dataDxfId="8472">
      <calculatedColumnFormula>SUMIFS(tabela_registros[VALOR],tabela_registros[MÊS],$AE$1,tabela_registros[DIA],jantotal[[#Headers],[10]],tabela_registros[REGISTRO],DADOS!$N$4,tabela_registros[TIPO],DADOS!$P$4,tabela_registros[CATEGORIA],despesavariávelconsolidadofev[[#This Row],[DESPESA VARIÁVEL]])</calculatedColumnFormula>
    </tableColumn>
    <tableColumn id="40" xr3:uid="{5B1A38C8-E170-4F49-8686-EBB5DDF75F37}" name="11" totalsRowFunction="sum" dataDxfId="8471">
      <calculatedColumnFormula>SUMIFS(tabela_registros[VALOR],tabela_registros[MÊS],$AE$1,tabela_registros[DIA],jantotal[[#Headers],[11]],tabela_registros[REGISTRO],DADOS!$N$4,tabela_registros[TIPO],DADOS!$P$4,tabela_registros[CATEGORIA],despesavariávelconsolidadofev[[#This Row],[DESPESA VARIÁVEL]])</calculatedColumnFormula>
    </tableColumn>
    <tableColumn id="41" xr3:uid="{FAD711CD-56CF-487B-B692-52223D445372}" name="12" totalsRowFunction="sum" dataDxfId="8470">
      <calculatedColumnFormula>SUMIFS(tabela_registros[VALOR],tabela_registros[MÊS],$AE$1,tabela_registros[DIA],jantotal[[#Headers],[12]],tabela_registros[REGISTRO],DADOS!$N$4,tabela_registros[TIPO],DADOS!$P$4,tabela_registros[CATEGORIA],despesavariávelconsolidadofev[[#This Row],[DESPESA VARIÁVEL]])</calculatedColumnFormula>
    </tableColumn>
    <tableColumn id="42" xr3:uid="{68D9C5AD-CEFD-44ED-9E3C-873A4B02E1A2}" name="13" totalsRowFunction="sum" dataDxfId="8469">
      <calculatedColumnFormula>SUMIFS(tabela_registros[VALOR],tabela_registros[MÊS],$AE$1,tabela_registros[DIA],jantotal[[#Headers],[13]],tabela_registros[REGISTRO],DADOS!$N$4,tabela_registros[TIPO],DADOS!$P$4,tabela_registros[CATEGORIA],despesavariávelconsolidadofev[[#This Row],[DESPESA VARIÁVEL]])</calculatedColumnFormula>
    </tableColumn>
    <tableColumn id="43" xr3:uid="{4DFBC0BA-E58E-4D59-8403-CBBFF6C8EF7B}" name="14" totalsRowFunction="sum" dataDxfId="8468">
      <calculatedColumnFormula>SUMIFS(tabela_registros[VALOR],tabela_registros[MÊS],$AE$1,tabela_registros[DIA],jantotal[[#Headers],[14]],tabela_registros[REGISTRO],DADOS!$N$4,tabela_registros[TIPO],DADOS!$P$4,tabela_registros[CATEGORIA],despesavariávelconsolidadofev[[#This Row],[DESPESA VARIÁVEL]])</calculatedColumnFormula>
    </tableColumn>
    <tableColumn id="44" xr3:uid="{4567A72F-5266-46DB-BD80-B4500D5E71D0}" name="15" totalsRowFunction="sum" dataDxfId="8467">
      <calculatedColumnFormula>SUMIFS(tabela_registros[VALOR],tabela_registros[MÊS],$AE$1,tabela_registros[DIA],jantotal[[#Headers],[15]],tabela_registros[REGISTRO],DADOS!$N$4,tabela_registros[TIPO],DADOS!$P$4,tabela_registros[CATEGORIA],despesavariávelconsolidadofev[[#This Row],[DESPESA VARIÁVEL]])</calculatedColumnFormula>
    </tableColumn>
    <tableColumn id="45" xr3:uid="{3CCFF1FF-76C0-4E69-9510-8ED2B456F497}" name="16" totalsRowFunction="sum" dataDxfId="8466">
      <calculatedColumnFormula>SUMIFS(tabela_registros[VALOR],tabela_registros[MÊS],$AE$1,tabela_registros[DIA],jantotal[[#Headers],[16]],tabela_registros[REGISTRO],DADOS!$N$4,tabela_registros[TIPO],DADOS!$P$4,tabela_registros[CATEGORIA],despesavariávelconsolidadofev[[#This Row],[DESPESA VARIÁVEL]])</calculatedColumnFormula>
    </tableColumn>
    <tableColumn id="46" xr3:uid="{C4DE9729-72EB-45D8-9E6E-04477F4E21D6}" name="17" totalsRowFunction="sum" dataDxfId="8465">
      <calculatedColumnFormula>SUMIFS(tabela_registros[VALOR],tabela_registros[MÊS],$AE$1,tabela_registros[DIA],jantotal[[#Headers],[17]],tabela_registros[REGISTRO],DADOS!$N$4,tabela_registros[TIPO],DADOS!$P$4,tabela_registros[CATEGORIA],despesavariávelconsolidadofev[[#This Row],[DESPESA VARIÁVEL]])</calculatedColumnFormula>
    </tableColumn>
    <tableColumn id="47" xr3:uid="{2178D6E3-2ED9-434E-82A7-D199701FF4FF}" name="18" totalsRowFunction="sum" dataDxfId="8464">
      <calculatedColumnFormula>SUMIFS(tabela_registros[VALOR],tabela_registros[MÊS],$AE$1,tabela_registros[DIA],jantotal[[#Headers],[18]],tabela_registros[REGISTRO],DADOS!$N$4,tabela_registros[TIPO],DADOS!$P$4,tabela_registros[CATEGORIA],despesavariávelconsolidadofev[[#This Row],[DESPESA VARIÁVEL]])</calculatedColumnFormula>
    </tableColumn>
    <tableColumn id="48" xr3:uid="{25AD7EF0-1C7A-404E-B9AF-5675CDCCB247}" name="19" totalsRowFunction="sum" dataDxfId="8463">
      <calculatedColumnFormula>SUMIFS(tabela_registros[VALOR],tabela_registros[MÊS],$AE$1,tabela_registros[DIA],jantotal[[#Headers],[19]],tabela_registros[REGISTRO],DADOS!$N$4,tabela_registros[TIPO],DADOS!$P$4,tabela_registros[CATEGORIA],despesavariávelconsolidadofev[[#This Row],[DESPESA VARIÁVEL]])</calculatedColumnFormula>
    </tableColumn>
    <tableColumn id="49" xr3:uid="{A66883E3-5354-4817-A7BC-5D260AC4B818}" name="20" totalsRowFunction="sum" dataDxfId="8462">
      <calculatedColumnFormula>SUMIFS(tabela_registros[VALOR],tabela_registros[MÊS],$AE$1,tabela_registros[DIA],jantotal[[#Headers],[20]],tabela_registros[REGISTRO],DADOS!$N$4,tabela_registros[TIPO],DADOS!$P$4,tabela_registros[CATEGORIA],despesavariávelconsolidadofev[[#This Row],[DESPESA VARIÁVEL]])</calculatedColumnFormula>
    </tableColumn>
    <tableColumn id="50" xr3:uid="{D5CE9A95-10B2-4CFC-806B-913F5AC686D9}" name="21" totalsRowFunction="sum" dataDxfId="8461">
      <calculatedColumnFormula>SUMIFS(tabela_registros[VALOR],tabela_registros[MÊS],$AE$1,tabela_registros[DIA],jantotal[[#Headers],[21]],tabela_registros[REGISTRO],DADOS!$N$4,tabela_registros[TIPO],DADOS!$P$4,tabela_registros[CATEGORIA],despesavariávelconsolidadofev[[#This Row],[DESPESA VARIÁVEL]])</calculatedColumnFormula>
    </tableColumn>
    <tableColumn id="51" xr3:uid="{5F099F95-6EE1-45FA-83EB-6011FCAF19E4}" name="22" totalsRowFunction="sum" dataDxfId="8460">
      <calculatedColumnFormula>SUMIFS(tabela_registros[VALOR],tabela_registros[MÊS],$AE$1,tabela_registros[DIA],jantotal[[#Headers],[22]],tabela_registros[REGISTRO],DADOS!$N$4,tabela_registros[TIPO],DADOS!$P$4,tabela_registros[CATEGORIA],despesavariávelconsolidadofev[[#This Row],[DESPESA VARIÁVEL]])</calculatedColumnFormula>
    </tableColumn>
    <tableColumn id="52" xr3:uid="{8A8D0DFA-8977-4912-991E-531C1BAAB72C}" name="23" totalsRowFunction="sum" dataDxfId="8459">
      <calculatedColumnFormula>SUMIFS(tabela_registros[VALOR],tabela_registros[MÊS],$AE$1,tabela_registros[DIA],jantotal[[#Headers],[23]],tabela_registros[REGISTRO],DADOS!$N$4,tabela_registros[TIPO],DADOS!$P$4,tabela_registros[CATEGORIA],despesavariávelconsolidadofev[[#This Row],[DESPESA VARIÁVEL]])</calculatedColumnFormula>
    </tableColumn>
    <tableColumn id="53" xr3:uid="{46912B1D-B4DB-472A-BC88-67A48DCC5FD4}" name="24" totalsRowFunction="sum" dataDxfId="8458">
      <calculatedColumnFormula>SUMIFS(tabela_registros[VALOR],tabela_registros[MÊS],$AE$1,tabela_registros[DIA],jantotal[[#Headers],[24]],tabela_registros[REGISTRO],DADOS!$N$4,tabela_registros[TIPO],DADOS!$P$4,tabela_registros[CATEGORIA],despesavariávelconsolidadofev[[#This Row],[DESPESA VARIÁVEL]])</calculatedColumnFormula>
    </tableColumn>
    <tableColumn id="18" xr3:uid="{866847F6-CCAD-4D81-BBAA-C46AFD396830}" name="25" totalsRowFunction="sum" dataDxfId="8457">
      <calculatedColumnFormula>SUMIFS(tabela_registros[VALOR],tabela_registros[MÊS],$AE$1,tabela_registros[DIA],jantotal[[#Headers],[25]],tabela_registros[REGISTRO],DADOS!$N$4,tabela_registros[TIPO],DADOS!$P$4,tabela_registros[CATEGORIA],despesavariávelconsolidadofev[[#This Row],[DESPESA VARIÁVEL]])</calculatedColumnFormula>
    </tableColumn>
    <tableColumn id="19" xr3:uid="{7493746B-03BB-4095-A514-7F65C58A66E6}" name="26" totalsRowFunction="sum" dataDxfId="8456">
      <calculatedColumnFormula>SUMIFS(tabela_registros[VALOR],tabela_registros[MÊS],$AE$1,tabela_registros[DIA],jantotal[[#Headers],[26]],tabela_registros[REGISTRO],DADOS!$N$4,tabela_registros[TIPO],DADOS!$P$4,tabela_registros[CATEGORIA],despesavariávelconsolidadofev[[#This Row],[DESPESA VARIÁVEL]])</calculatedColumnFormula>
    </tableColumn>
    <tableColumn id="20" xr3:uid="{6D8348BA-1EF0-4B1A-88A0-E22BA395251C}" name="27" totalsRowFunction="sum" dataDxfId="8455">
      <calculatedColumnFormula>SUMIFS(tabela_registros[VALOR],tabela_registros[MÊS],$AE$1,tabela_registros[DIA],jantotal[[#Headers],[27]],tabela_registros[REGISTRO],DADOS!$N$4,tabela_registros[TIPO],DADOS!$P$4,tabela_registros[CATEGORIA],despesavariávelconsolidadofev[[#This Row],[DESPESA VARIÁVEL]])</calculatedColumnFormula>
    </tableColumn>
    <tableColumn id="21" xr3:uid="{9BE96EDC-95A0-46FE-8E1D-CF0DA3093057}" name="28" totalsRowFunction="sum" dataDxfId="8454">
      <calculatedColumnFormula>SUMIFS(tabela_registros[VALOR],tabela_registros[MÊS],$AE$1,tabela_registros[DIA],jantotal[[#Headers],[28]],tabela_registros[REGISTRO],DADOS!$N$4,tabela_registros[TIPO],DADOS!$P$4,tabela_registros[CATEGORIA],despesavariávelconsolidadofev[[#This Row],[DESPESA VARIÁVEL]])</calculatedColumnFormula>
    </tableColumn>
    <tableColumn id="22" xr3:uid="{1372A34D-980C-41FC-836E-759AF5ED0539}" name="29" totalsRowFunction="sum" dataDxfId="8453">
      <calculatedColumnFormula>SUMIFS(tabela_registros[VALOR],tabela_registros[MÊS],$AE$1,tabela_registros[DIA],jantotal[[#Headers],[29]],tabela_registros[REGISTRO],DADOS!$N$4,tabela_registros[TIPO],DADOS!$P$4,tabela_registros[CATEGORIA],despesavariávelconsolidadofev[[#This Row],[DESPESA VARIÁVEL]])</calculatedColumnFormula>
    </tableColumn>
    <tableColumn id="23" xr3:uid="{371ABA57-F9AA-404D-9D74-AD202F98EFEF}" name="30" totalsRowFunction="sum" dataDxfId="8452">
      <calculatedColumnFormula>SUMIFS(tabela_registros[VALOR],tabela_registros[MÊS],$AE$1,tabela_registros[DIA],jantotal[[#Headers],[30]],tabela_registros[REGISTRO],DADOS!$N$4,tabela_registros[TIPO],DADOS!$P$4,tabela_registros[CATEGORIA],despesavariávelconsolidadofev[[#This Row],[DESPESA VARIÁVEL]])</calculatedColumnFormula>
    </tableColumn>
    <tableColumn id="24" xr3:uid="{C5ECAE23-8C51-4D0E-BFB3-F33101DC900F}" name="31" totalsRowFunction="sum" dataDxfId="8451">
      <calculatedColumnFormula>SUMIFS(tabela_registros[VALOR],tabela_registros[MÊS],$AE$1,tabela_registros[DIA],jantotal[[#Headers],[31]],tabela_registros[REGISTRO],DADOS!$N$4,tabela_registros[TIPO],DADOS!$P$4,tabela_registros[CATEGORIA],despesavariávelconsolidadofev[[#This Row],[DESPESA VARIÁVEL]])</calculatedColumnFormula>
    </tableColumn>
    <tableColumn id="3" xr3:uid="{FB46B52F-C536-40EC-B7CA-CBA3D4D3BBEB}" name="TOTAL" totalsRowFunction="sum" dataDxfId="8450" dataCellStyle="Moeda">
      <calculatedColumnFormula>-SUMIFS(tabela_registros[VALOR],tabela_registros[REGISTRO],DADOS!$N$4,tabela_registros[TIPO],despesavariável[[#Headers],[DESPESA VARIÁVEL]],tabela_registros[CATEGORIA],despesavariávelconsolidadofev[[#This Row],[DESPESA VARIÁVEL]])</calculatedColumnFormula>
    </tableColumn>
  </tableColumns>
  <tableStyleInfo name="TABELAS RESULTADOS" showFirstColumn="0" showLastColumn="1" showRowStripes="1" showColumnStripes="0"/>
</table>
</file>

<file path=xl/tables/table2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0" xr:uid="{5FA203B0-79C4-4CF2-9099-532B47663FFC}" name="fevinvestir21" displayName="fevinvestir21" ref="C24:AJ28" totalsRowCount="1" headerRowDxfId="8449" dataDxfId="8448" totalsRowDxfId="8446" tableBorderDxfId="8447" dataCellStyle="Moeda">
  <autoFilter ref="C24:AJ27" xr:uid="{6A49DC70-6E60-45C7-9126-6CFF5D88342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  <filterColumn colId="25" hiddenButton="1"/>
    <filterColumn colId="26" hiddenButton="1"/>
    <filterColumn colId="27" hiddenButton="1"/>
    <filterColumn colId="28" hiddenButton="1"/>
    <filterColumn colId="29" hiddenButton="1"/>
    <filterColumn colId="30" hiddenButton="1"/>
    <filterColumn colId="31" hiddenButton="1"/>
    <filterColumn colId="32" hiddenButton="1"/>
    <filterColumn colId="33" hiddenButton="1"/>
  </autoFilter>
  <tableColumns count="34">
    <tableColumn id="1" xr3:uid="{91DBA1F5-69DA-41B7-9621-6341EFBEC6B7}" name="ATUAL" totalsRowLabel="SALDO" dataDxfId="8445"/>
    <tableColumn id="34" xr3:uid="{7996CAF6-C980-4784-9C7F-C88C2BFEEBAB}" name="Coluna1" dataDxfId="8444"/>
    <tableColumn id="2" xr3:uid="{50E358AF-03B9-48F6-95CD-E0C3ECB8E30A}" name="1" totalsRowFunction="sum" dataDxfId="8443" totalsRowDxfId="8442" dataCellStyle="Moeda"/>
    <tableColumn id="3" xr3:uid="{3D8A37BC-586B-480D-9FA0-15FBACA568B7}" name="2" totalsRowFunction="sum" dataDxfId="8441" totalsRowDxfId="8440" dataCellStyle="Moeda"/>
    <tableColumn id="4" xr3:uid="{45176752-8EF0-49CE-AA60-1DB0B98202F0}" name="3" totalsRowFunction="sum" dataDxfId="8439" totalsRowDxfId="8438" dataCellStyle="Moeda"/>
    <tableColumn id="5" xr3:uid="{21DA4506-4EB8-4B54-9820-543678C12A40}" name="4" totalsRowFunction="sum" dataDxfId="8437" totalsRowDxfId="8436" dataCellStyle="Moeda"/>
    <tableColumn id="6" xr3:uid="{92C66A81-49C3-42BE-A987-0EE4B38162D1}" name="5" totalsRowFunction="sum" dataDxfId="8435" totalsRowDxfId="8434" dataCellStyle="Moeda"/>
    <tableColumn id="7" xr3:uid="{C97BE50F-A4F7-40AE-8401-3AFFA30CF52F}" name="6" totalsRowFunction="sum" dataDxfId="8433" totalsRowDxfId="8432" dataCellStyle="Moeda"/>
    <tableColumn id="8" xr3:uid="{9DA683DC-6F7E-44EC-8E73-5F384536354A}" name="7" totalsRowFunction="sum" dataDxfId="8431" totalsRowDxfId="8430" dataCellStyle="Moeda"/>
    <tableColumn id="9" xr3:uid="{911E90FC-3C05-4FDA-A589-B861CC504F67}" name="8" totalsRowFunction="sum" dataDxfId="8429" totalsRowDxfId="8428" dataCellStyle="Moeda"/>
    <tableColumn id="10" xr3:uid="{CAFDC998-74AC-411F-B112-3B5C8F92FD16}" name="9" totalsRowFunction="sum" dataDxfId="8427" totalsRowDxfId="8426" dataCellStyle="Moeda"/>
    <tableColumn id="11" xr3:uid="{C2B9F15C-7927-4A98-842C-4294E8AF1FAC}" name="10" totalsRowFunction="sum" dataDxfId="8425" totalsRowDxfId="8424" dataCellStyle="Moeda"/>
    <tableColumn id="12" xr3:uid="{F2F3E909-1083-41F5-BAB7-F7A4EA89741A}" name="11" totalsRowFunction="sum" dataDxfId="8423" totalsRowDxfId="8422" dataCellStyle="Moeda"/>
    <tableColumn id="13" xr3:uid="{3B5CE482-10C3-4164-BC8D-7B29CC537ECA}" name="12" totalsRowFunction="sum" dataDxfId="8421" totalsRowDxfId="8420" dataCellStyle="Moeda"/>
    <tableColumn id="14" xr3:uid="{87F999B3-B098-43C1-80F0-088A49D1A84C}" name="13" totalsRowFunction="sum" dataDxfId="8419" totalsRowDxfId="8418" dataCellStyle="Moeda"/>
    <tableColumn id="15" xr3:uid="{ADA72B16-6B26-4C19-A6E4-215AC69147D2}" name="14" totalsRowFunction="sum" dataDxfId="8417" totalsRowDxfId="8416" dataCellStyle="Moeda"/>
    <tableColumn id="16" xr3:uid="{F05D844B-496F-4971-BAF9-79A2293EEDE1}" name="15" totalsRowFunction="sum" dataDxfId="8415" totalsRowDxfId="8414" dataCellStyle="Moeda"/>
    <tableColumn id="17" xr3:uid="{96CAD60F-B96D-4605-9707-346C369A70EE}" name="16" totalsRowFunction="sum" dataDxfId="8413" totalsRowDxfId="8412" dataCellStyle="Moeda"/>
    <tableColumn id="18" xr3:uid="{D9A6B784-DAAF-4694-BC7B-E28210BC6F06}" name="17" totalsRowFunction="sum" dataDxfId="8411" totalsRowDxfId="8410" dataCellStyle="Moeda"/>
    <tableColumn id="19" xr3:uid="{5FDB590B-2FF6-42FB-911C-CC238E732C26}" name="18" totalsRowFunction="sum" dataDxfId="8409" totalsRowDxfId="8408" dataCellStyle="Moeda"/>
    <tableColumn id="20" xr3:uid="{CDB57D47-2216-46C0-8B5B-5D795EB80CB5}" name="19" totalsRowFunction="sum" dataDxfId="8407" totalsRowDxfId="8406" dataCellStyle="Moeda"/>
    <tableColumn id="21" xr3:uid="{737485F1-44A0-498B-AC7C-1668ADDB1DCF}" name="20" totalsRowFunction="sum" dataDxfId="8405" totalsRowDxfId="8404" dataCellStyle="Moeda"/>
    <tableColumn id="22" xr3:uid="{A6F5C20C-C85C-4E8F-BCE6-56F00094AE70}" name="21" totalsRowFunction="sum" dataDxfId="8403" totalsRowDxfId="8402" dataCellStyle="Moeda"/>
    <tableColumn id="23" xr3:uid="{F607C18D-89D5-4063-8991-4C559D0E207A}" name="22" totalsRowFunction="sum" dataDxfId="8401" totalsRowDxfId="8400" dataCellStyle="Moeda"/>
    <tableColumn id="24" xr3:uid="{16FA811E-529B-47B6-9725-85473BDBAB6D}" name="23" totalsRowFunction="sum" dataDxfId="8399" totalsRowDxfId="8398" dataCellStyle="Moeda"/>
    <tableColumn id="25" xr3:uid="{AB44EDDB-75FF-4BB7-9A9A-105EEA73C8B3}" name="24" totalsRowFunction="sum" dataDxfId="8397" totalsRowDxfId="8396" dataCellStyle="Moeda"/>
    <tableColumn id="26" xr3:uid="{4C20A21F-07DC-40AE-9D42-0F71E058412B}" name="25" totalsRowFunction="sum" dataDxfId="8395" totalsRowDxfId="8394" dataCellStyle="Moeda"/>
    <tableColumn id="27" xr3:uid="{44DA1B47-6427-485C-8E4F-5EDDF3DFF2AD}" name="26" totalsRowFunction="sum" dataDxfId="8393" totalsRowDxfId="8392" dataCellStyle="Moeda"/>
    <tableColumn id="28" xr3:uid="{52292170-4FA0-4AA8-BA71-BDF3A6ADFC57}" name="27" totalsRowFunction="sum" dataDxfId="8391" totalsRowDxfId="8390" dataCellStyle="Moeda"/>
    <tableColumn id="29" xr3:uid="{89EA5D52-6506-47FF-ADA7-EF88ED014491}" name="28" totalsRowFunction="sum" dataDxfId="8389" totalsRowDxfId="8388" dataCellStyle="Moeda"/>
    <tableColumn id="30" xr3:uid="{42BE210D-44C0-432B-8A2D-292B34C7B744}" name="29" totalsRowFunction="sum" dataDxfId="8387" totalsRowDxfId="8386" dataCellStyle="Moeda"/>
    <tableColumn id="31" xr3:uid="{B368E448-3EF3-4511-AF62-EC3001DAD6AF}" name="30" totalsRowFunction="sum" dataDxfId="8385" totalsRowDxfId="8384" dataCellStyle="Moeda"/>
    <tableColumn id="32" xr3:uid="{9445B698-3B1A-4820-A957-06D22ACF3CF4}" name="31" totalsRowFunction="sum" dataDxfId="8383" totalsRowDxfId="8382" dataCellStyle="Moeda"/>
    <tableColumn id="33" xr3:uid="{CD2B6FAF-0596-4310-AEFE-7FDB4A35BA02}" name="TOTAL (R$)" totalsRowFunction="sum" dataDxfId="8381" totalsRowDxfId="8380" dataCellStyle="Moeda">
      <calculatedColumnFormula>SUM(E25:AI25)</calculatedColumnFormula>
    </tableColumn>
  </tableColumns>
  <tableStyleInfo name="TABELAS RESULTADOS" showFirstColumn="0" showLastColumn="0" showRowStripes="1" showColumnStripes="0"/>
</table>
</file>

<file path=xl/tables/table2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1" xr:uid="{D1F49C66-CBDE-4711-BC0D-31C69B225B20}" name="fevtotal30" displayName="fevtotal30" ref="C13:AJ16" headerRowDxfId="8379" dataDxfId="8378" totalsRowDxfId="8377">
  <autoFilter ref="C13:AJ16" xr:uid="{8F80C188-90EF-4EEA-8266-E1F416435B21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  <filterColumn colId="25" hiddenButton="1"/>
    <filterColumn colId="26" hiddenButton="1"/>
    <filterColumn colId="27" hiddenButton="1"/>
    <filterColumn colId="28" hiddenButton="1"/>
    <filterColumn colId="29" hiddenButton="1"/>
    <filterColumn colId="30" hiddenButton="1"/>
    <filterColumn colId="31" hiddenButton="1"/>
    <filterColumn colId="32" hiddenButton="1"/>
    <filterColumn colId="33" hiddenButton="1"/>
  </autoFilter>
  <tableColumns count="34">
    <tableColumn id="1" xr3:uid="{DF0C71EB-F014-42D1-8128-5E9840CCFFD1}" name="ATUAL" totalsRowLabel="SALDO" dataDxfId="8376"/>
    <tableColumn id="34" xr3:uid="{2DBCACC8-6812-48FD-8243-3A27BC6C9764}" name="Coluna1" dataDxfId="8375"/>
    <tableColumn id="2" xr3:uid="{86E7E4F8-F0B4-49A9-8F7A-7B08A4E792EC}" name="1" totalsRowFunction="sum" dataDxfId="8374" dataCellStyle="Moeda"/>
    <tableColumn id="3" xr3:uid="{A118B4E7-3EA0-44E3-BFB6-DDC3029DC50A}" name="2" totalsRowFunction="sum" dataDxfId="8373" totalsRowDxfId="8372" dataCellStyle="Moeda"/>
    <tableColumn id="4" xr3:uid="{E2269CB8-DD94-4660-ACCF-C73D49A2D050}" name="3" totalsRowFunction="sum" dataDxfId="8371" totalsRowDxfId="8370" dataCellStyle="Moeda"/>
    <tableColumn id="5" xr3:uid="{DB80D0B1-DC84-42ED-ABAA-D6A1D51B8EFD}" name="4" totalsRowFunction="sum" dataDxfId="8369" totalsRowDxfId="8368" dataCellStyle="Moeda"/>
    <tableColumn id="6" xr3:uid="{2AA7BD3C-D4D5-453A-89BB-D276FC8E395C}" name="5" totalsRowFunction="sum" dataDxfId="8367" totalsRowDxfId="8366" dataCellStyle="Moeda"/>
    <tableColumn id="7" xr3:uid="{48BBFCBA-9425-4DA7-BBC9-A893CC3C9F78}" name="6" totalsRowFunction="sum" dataDxfId="8365" totalsRowDxfId="8364" dataCellStyle="Moeda"/>
    <tableColumn id="8" xr3:uid="{2D66A1F6-80CC-4B37-83FC-B7E734486DD8}" name="7" totalsRowFunction="sum" dataDxfId="8363" totalsRowDxfId="8362" dataCellStyle="Moeda"/>
    <tableColumn id="9" xr3:uid="{738F845C-626B-4E02-A346-27958CC05A2D}" name="8" totalsRowFunction="sum" dataDxfId="8361" totalsRowDxfId="8360" dataCellStyle="Moeda"/>
    <tableColumn id="10" xr3:uid="{FD20B3C5-B902-4138-B891-618B26ACB839}" name="9" totalsRowFunction="sum" dataDxfId="8359" totalsRowDxfId="8358" dataCellStyle="Moeda"/>
    <tableColumn id="11" xr3:uid="{E208781D-CC39-4F00-B8BE-30AA265FB060}" name="10" totalsRowFunction="sum" dataDxfId="8357" totalsRowDxfId="8356" dataCellStyle="Moeda"/>
    <tableColumn id="12" xr3:uid="{6120BFB7-C99E-4111-82A4-37FF531FEA05}" name="11" totalsRowFunction="sum" dataDxfId="8355" totalsRowDxfId="8354" dataCellStyle="Moeda"/>
    <tableColumn id="13" xr3:uid="{291F2BD3-6403-49E5-81DE-703E0E42E971}" name="12" totalsRowFunction="sum" dataDxfId="8353" totalsRowDxfId="8352" dataCellStyle="Moeda"/>
    <tableColumn id="14" xr3:uid="{006B1809-0C17-4CFF-91A2-B74A914DE78C}" name="13" totalsRowFunction="sum" dataDxfId="8351" totalsRowDxfId="8350" dataCellStyle="Moeda"/>
    <tableColumn id="15" xr3:uid="{BE5DC25B-3968-47EB-8CA6-43122CADF4C0}" name="14" totalsRowFunction="sum" dataDxfId="8349" totalsRowDxfId="8348" dataCellStyle="Moeda"/>
    <tableColumn id="16" xr3:uid="{E901B084-D840-49FA-B28F-2B8D8F9DFB33}" name="15" totalsRowFunction="sum" dataDxfId="8347" totalsRowDxfId="8346" dataCellStyle="Moeda"/>
    <tableColumn id="17" xr3:uid="{D7CEB45F-D7BE-4165-AE8E-A122466B96B9}" name="16" totalsRowFunction="sum" dataDxfId="8345" totalsRowDxfId="8344" dataCellStyle="Moeda"/>
    <tableColumn id="18" xr3:uid="{91689B7A-B5F7-400B-B67D-85EFCF28DAA8}" name="17" totalsRowFunction="sum" dataDxfId="8343" totalsRowDxfId="8342" dataCellStyle="Moeda"/>
    <tableColumn id="19" xr3:uid="{C41BBF5E-C9D0-4FFE-882A-D3B8B9815E01}" name="18" totalsRowFunction="sum" dataDxfId="8341" totalsRowDxfId="8340" dataCellStyle="Moeda"/>
    <tableColumn id="20" xr3:uid="{95C979C0-44EF-4D55-B26B-2EBBB9E4DD9C}" name="19" totalsRowFunction="sum" dataDxfId="8339" totalsRowDxfId="8338" dataCellStyle="Moeda"/>
    <tableColumn id="21" xr3:uid="{5E63C7A5-DC5B-4421-81DC-4BE7FB9CA8FF}" name="20" totalsRowFunction="sum" dataDxfId="8337" totalsRowDxfId="8336" dataCellStyle="Moeda"/>
    <tableColumn id="22" xr3:uid="{593A9CB1-DAAC-4E20-ABEC-8AFEABDB0A4C}" name="21" totalsRowFunction="sum" dataDxfId="8335" totalsRowDxfId="8334" dataCellStyle="Moeda"/>
    <tableColumn id="23" xr3:uid="{AE4FA956-B50B-46EA-89D3-1ADE4B26FE28}" name="22" totalsRowFunction="sum" dataDxfId="8333" totalsRowDxfId="8332" dataCellStyle="Moeda"/>
    <tableColumn id="24" xr3:uid="{42DFFB55-57D8-4B26-A3E4-5FE8674AA87A}" name="23" totalsRowFunction="sum" dataDxfId="8331" totalsRowDxfId="8330" dataCellStyle="Moeda"/>
    <tableColumn id="25" xr3:uid="{FB1353A4-0860-4E9C-8800-63FC3687DE00}" name="24" totalsRowFunction="sum" dataDxfId="8329" totalsRowDxfId="8328" dataCellStyle="Moeda"/>
    <tableColumn id="26" xr3:uid="{AC1AC4E7-DE5D-4520-BA64-CF6646FCD19F}" name="25" totalsRowFunction="sum" dataDxfId="8327" totalsRowDxfId="8326" dataCellStyle="Moeda"/>
    <tableColumn id="27" xr3:uid="{06919483-B2DB-43BE-8177-2D7BC0AB3832}" name="26" totalsRowFunction="sum" dataDxfId="8325" totalsRowDxfId="8324" dataCellStyle="Moeda"/>
    <tableColumn id="28" xr3:uid="{579B301D-76F4-45E8-A844-DACF544B07EC}" name="27" totalsRowFunction="sum" dataDxfId="8323" totalsRowDxfId="8322" dataCellStyle="Moeda"/>
    <tableColumn id="29" xr3:uid="{BA3F8AEE-7D4F-427B-86F7-C083525E1EA7}" name="28" totalsRowFunction="sum" dataDxfId="8321" totalsRowDxfId="8320" dataCellStyle="Moeda"/>
    <tableColumn id="30" xr3:uid="{5B567AFA-7F2D-4ABC-8C45-8E28511ACAE1}" name="29" totalsRowFunction="sum" dataDxfId="8319" totalsRowDxfId="8318" dataCellStyle="Moeda"/>
    <tableColumn id="31" xr3:uid="{888A3A60-84F3-45DC-A80E-DE1B71530C32}" name="30" totalsRowFunction="sum" dataDxfId="8317" totalsRowDxfId="8316" dataCellStyle="Moeda"/>
    <tableColumn id="32" xr3:uid="{1FCA0006-A869-4F80-8DEA-23F79DA1FB89}" name="31" totalsRowFunction="sum" dataDxfId="8315" totalsRowDxfId="8314" dataCellStyle="Moeda"/>
    <tableColumn id="33" xr3:uid="{4AD92D7B-2E48-44C5-8ABC-6C55C1F9CD1E}" name="TOTAL (R$)" totalsRowFunction="sum" dataDxfId="8313" dataCellStyle="Moeda">
      <calculatedColumnFormula>SUM(fevtotal30[[#This Row],[1]:[31]])</calculatedColumnFormula>
    </tableColumn>
  </tableColumns>
  <tableStyleInfo name="TABELAS RESULTADOS" showFirstColumn="0" showLastColumn="0" showRowStripes="1" showColumnStripes="0"/>
</table>
</file>

<file path=xl/tables/table3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2" xr:uid="{1B0C22F1-B1AF-4EE3-82BB-3CC5A2B00BC8}" name="receitasfixasconsolidadofev" displayName="receitasfixasconsolidadofev" ref="C81:AJ87" headerRowDxfId="8312" dataDxfId="8311" totalsRowDxfId="8310">
  <autoFilter ref="C81:AJ87" xr:uid="{2EA8B7CB-D602-44E1-B8DB-B71750A487C5}"/>
  <tableColumns count="34">
    <tableColumn id="1" xr3:uid="{14FD31B1-9133-480A-8649-DEBFC4BE44FF}" name="ATUAL" totalsRowLabel="SALDO" dataDxfId="8309"/>
    <tableColumn id="34" xr3:uid="{83632A8B-2327-4FA5-8346-2E42862E91F9}" name="Coluna1" dataDxfId="8308">
      <calculatedColumnFormula>IF(receitasfixasconsolidadofev[[#This Row],[TOTAL (R$)]]=0,"",IF(OR(receitasfixasconsolidadofev[[#This Row],[TOTAL (R$)]]=LARGE($AJ$82:$AJ$86,1),receitasfixasconsolidadofev[[#This Row],[TOTAL (R$)]]=LARGE($AJ$82:$AJ$86,2)),DADOS!$I$9,""))</calculatedColumnFormula>
    </tableColumn>
    <tableColumn id="2" xr3:uid="{575BED31-1DEB-4957-B95E-7260B4D610E2}" name="1" totalsRowFunction="sum" dataDxfId="8307" dataCellStyle="Moeda"/>
    <tableColumn id="3" xr3:uid="{8E0BADE4-7EBE-44A3-AFB5-79D93F1DCCA8}" name="2" totalsRowFunction="sum" dataDxfId="8306" dataCellStyle="Moeda">
      <calculatedColumnFormula>SUMIFS(tabela_registros[VALOR],tabela_registros[MÊS],$AE$1,tabela_registros[DIA],receitasfixasconsolidadofev[[#Headers],[2]],tabela_registros[REGISTRO],DADOS!$N$3,tabela_registros[TIPO],DADOS!$V$3,tabela_registros[CATEGORIA],receitasfixasconsolidadofev[[#This Row],[ATUAL]])</calculatedColumnFormula>
    </tableColumn>
    <tableColumn id="4" xr3:uid="{7F589763-3C23-40BE-8E6E-DBED43F6E539}" name="3" totalsRowFunction="sum" dataDxfId="8305" totalsRowDxfId="8304" dataCellStyle="Moeda">
      <calculatedColumnFormula>SUMIFS(tabela_registros[VALOR],tabela_registros[MÊS],$AE$1,tabela_registros[DIA],receitasfixasconsolidadofev[[#Headers],[3]],tabela_registros[REGISTRO],DADOS!$N$3,tabela_registros[TIPO],DADOS!$V$3,tabela_registros[CATEGORIA],receitasfixasconsolidadofev[[#This Row],[ATUAL]])</calculatedColumnFormula>
    </tableColumn>
    <tableColumn id="5" xr3:uid="{AAF9F5B0-6373-434D-990C-DF35703FF1E5}" name="4" totalsRowFunction="sum" dataDxfId="8303" totalsRowDxfId="8302" dataCellStyle="Moeda">
      <calculatedColumnFormula>SUMIFS(tabela_registros[VALOR],tabela_registros[MÊS],$AE$1,tabela_registros[DIA],receitasfixasconsolidadofev[[#Headers],[4]],tabela_registros[REGISTRO],DADOS!$N$3,tabela_registros[TIPO],DADOS!$V$3,tabela_registros[CATEGORIA],receitasfixasconsolidadofev[[#This Row],[ATUAL]])</calculatedColumnFormula>
    </tableColumn>
    <tableColumn id="6" xr3:uid="{E969CD6D-5501-440D-80D3-C8D24F453EE6}" name="5" totalsRowFunction="sum" dataDxfId="8301" totalsRowDxfId="8300" dataCellStyle="Moeda">
      <calculatedColumnFormula>SUMIFS(tabela_registros[VALOR],tabela_registros[MÊS],$AE$1,tabela_registros[DIA],receitasfixasconsolidadofev[[#Headers],[5]],tabela_registros[REGISTRO],DADOS!$N$3,tabela_registros[TIPO],DADOS!$V$3,tabela_registros[CATEGORIA],receitasfixasconsolidadofev[[#This Row],[ATUAL]])</calculatedColumnFormula>
    </tableColumn>
    <tableColumn id="7" xr3:uid="{C2111577-76B1-4598-BAA9-88506B56ABED}" name="6" totalsRowFunction="sum" dataDxfId="8299" totalsRowDxfId="8298" dataCellStyle="Moeda">
      <calculatedColumnFormula>SUMIFS(tabela_registros[VALOR],tabela_registros[MÊS],$AE$1,tabela_registros[DIA],receitasfixasconsolidadofev[[#Headers],[6]],tabela_registros[REGISTRO],DADOS!$N$3,tabela_registros[TIPO],DADOS!$V$3,tabela_registros[CATEGORIA],receitasfixasconsolidadofev[[#This Row],[ATUAL]])</calculatedColumnFormula>
    </tableColumn>
    <tableColumn id="8" xr3:uid="{853341DE-221F-42D8-A7C1-BBFBC8B86E27}" name="7" totalsRowFunction="sum" dataDxfId="8297" totalsRowDxfId="8296" dataCellStyle="Moeda">
      <calculatedColumnFormula>SUMIFS(tabela_registros[VALOR],tabela_registros[MÊS],$AE$1,tabela_registros[DIA],receitasfixasconsolidadofev[[#Headers],[7]],tabela_registros[REGISTRO],DADOS!$N$3,tabela_registros[TIPO],DADOS!$V$3,tabela_registros[CATEGORIA],receitasfixasconsolidadofev[[#This Row],[ATUAL]])</calculatedColumnFormula>
    </tableColumn>
    <tableColumn id="9" xr3:uid="{BB290A5C-2ABE-4F03-B877-347BAD86619D}" name="8" totalsRowFunction="sum" dataDxfId="8295" totalsRowDxfId="8294" dataCellStyle="Moeda">
      <calculatedColumnFormula>SUMIFS(tabela_registros[VALOR],tabela_registros[MÊS],$AE$1,tabela_registros[DIA],receitasfixasconsolidadofev[[#Headers],[8]],tabela_registros[REGISTRO],DADOS!$N$3,tabela_registros[TIPO],DADOS!$V$3,tabela_registros[CATEGORIA],receitasfixasconsolidadofev[[#This Row],[ATUAL]])</calculatedColumnFormula>
    </tableColumn>
    <tableColumn id="10" xr3:uid="{DBA1C3ED-9DEE-4014-AF6B-6E906592E1E5}" name="9" totalsRowFunction="sum" dataDxfId="8293" totalsRowDxfId="8292" dataCellStyle="Moeda">
      <calculatedColumnFormula>SUMIFS(tabela_registros[VALOR],tabela_registros[MÊS],$AE$1,tabela_registros[DIA],receitasfixasconsolidadofev[[#Headers],[9]],tabela_registros[REGISTRO],DADOS!$N$3,tabela_registros[TIPO],DADOS!$V$3,tabela_registros[CATEGORIA],receitasfixasconsolidadofev[[#This Row],[ATUAL]])</calculatedColumnFormula>
    </tableColumn>
    <tableColumn id="11" xr3:uid="{461BE253-610B-430D-8C0E-95DB8C5B00A0}" name="10" totalsRowFunction="sum" dataDxfId="8291" totalsRowDxfId="8290" dataCellStyle="Moeda">
      <calculatedColumnFormula>SUMIFS(tabela_registros[VALOR],tabela_registros[MÊS],$AE$1,tabela_registros[DIA],receitasfixasconsolidadofev[[#Headers],[10]],tabela_registros[REGISTRO],DADOS!$N$3,tabela_registros[TIPO],DADOS!$V$3,tabela_registros[CATEGORIA],receitasfixasconsolidadofev[[#This Row],[ATUAL]])</calculatedColumnFormula>
    </tableColumn>
    <tableColumn id="12" xr3:uid="{1803878C-0288-44E5-9EB0-4E8AAA768257}" name="11" totalsRowFunction="sum" dataDxfId="8289" totalsRowDxfId="8288" dataCellStyle="Moeda">
      <calculatedColumnFormula>SUMIFS(tabela_registros[VALOR],tabela_registros[MÊS],$AE$1,tabela_registros[DIA],receitasfixasconsolidadofev[[#Headers],[11]],tabela_registros[REGISTRO],DADOS!$N$3,tabela_registros[TIPO],DADOS!$V$3,tabela_registros[CATEGORIA],receitasfixasconsolidadofev[[#This Row],[ATUAL]])</calculatedColumnFormula>
    </tableColumn>
    <tableColumn id="13" xr3:uid="{0E9F377A-D1BE-4610-824E-6FECA5516CAF}" name="12" totalsRowFunction="sum" dataDxfId="8287" totalsRowDxfId="8286" dataCellStyle="Moeda">
      <calculatedColumnFormula>SUMIFS(tabela_registros[VALOR],tabela_registros[MÊS],$AE$1,tabela_registros[DIA],receitasfixasconsolidadofev[[#Headers],[12]],tabela_registros[REGISTRO],DADOS!$N$3,tabela_registros[TIPO],DADOS!$V$3,tabela_registros[CATEGORIA],receitasfixasconsolidadofev[[#This Row],[ATUAL]])</calculatedColumnFormula>
    </tableColumn>
    <tableColumn id="14" xr3:uid="{BABA6ED8-1A99-4878-BA81-2D393FCABC1A}" name="13" totalsRowFunction="sum" dataDxfId="8285" totalsRowDxfId="8284" dataCellStyle="Moeda">
      <calculatedColumnFormula>SUMIFS(tabela_registros[VALOR],tabela_registros[MÊS],$AE$1,tabela_registros[DIA],receitasfixasconsolidadofev[[#Headers],[13]],tabela_registros[REGISTRO],DADOS!$N$3,tabela_registros[TIPO],DADOS!$V$3,tabela_registros[CATEGORIA],receitasfixasconsolidadofev[[#This Row],[ATUAL]])</calculatedColumnFormula>
    </tableColumn>
    <tableColumn id="15" xr3:uid="{11353402-203C-46AC-9C60-1ED087479087}" name="14" totalsRowFunction="sum" dataDxfId="8283" totalsRowDxfId="8282" dataCellStyle="Moeda">
      <calculatedColumnFormula>SUMIFS(tabela_registros[VALOR],tabela_registros[MÊS],$AE$1,tabela_registros[DIA],receitasfixasconsolidadofev[[#Headers],[14]],tabela_registros[REGISTRO],DADOS!$N$3,tabela_registros[TIPO],DADOS!$V$3,tabela_registros[CATEGORIA],receitasfixasconsolidadofev[[#This Row],[ATUAL]])</calculatedColumnFormula>
    </tableColumn>
    <tableColumn id="16" xr3:uid="{6D9CF49F-A5B8-44C6-AAB5-F16AD510ED87}" name="15" totalsRowFunction="sum" dataDxfId="8281" totalsRowDxfId="8280" dataCellStyle="Moeda">
      <calculatedColumnFormula>SUMIFS(tabela_registros[VALOR],tabela_registros[MÊS],$AE$1,tabela_registros[DIA],receitasfixasconsolidadofev[[#Headers],[15]],tabela_registros[REGISTRO],DADOS!$N$3,tabela_registros[TIPO],DADOS!$V$3,tabela_registros[CATEGORIA],receitasfixasconsolidadofev[[#This Row],[ATUAL]])</calculatedColumnFormula>
    </tableColumn>
    <tableColumn id="17" xr3:uid="{7209CEC8-DED9-4B29-8058-4D3761CAFB95}" name="16" totalsRowFunction="sum" dataDxfId="8279" totalsRowDxfId="8278" dataCellStyle="Moeda">
      <calculatedColumnFormula>SUMIFS(tabela_registros[VALOR],tabela_registros[MÊS],$AE$1,tabela_registros[DIA],receitasfixasconsolidadofev[[#Headers],[16]],tabela_registros[REGISTRO],DADOS!$N$3,tabela_registros[TIPO],DADOS!$V$3,tabela_registros[CATEGORIA],receitasfixasconsolidadofev[[#This Row],[ATUAL]])</calculatedColumnFormula>
    </tableColumn>
    <tableColumn id="18" xr3:uid="{153D7572-0696-403B-A2E9-2A9A7AC4860E}" name="17" totalsRowFunction="sum" dataDxfId="8277" totalsRowDxfId="8276" dataCellStyle="Moeda">
      <calculatedColumnFormula>SUMIFS(tabela_registros[VALOR],tabela_registros[MÊS],$AE$1,tabela_registros[DIA],receitasfixasconsolidadofev[[#Headers],[17]],tabela_registros[REGISTRO],DADOS!$N$3,tabela_registros[TIPO],DADOS!$V$3,tabela_registros[CATEGORIA],receitasfixasconsolidadofev[[#This Row],[ATUAL]])</calculatedColumnFormula>
    </tableColumn>
    <tableColumn id="19" xr3:uid="{B833BB8C-7B94-417D-99A7-33D2AA0D6A07}" name="18" totalsRowFunction="sum" dataDxfId="8275" totalsRowDxfId="8274" dataCellStyle="Moeda">
      <calculatedColumnFormula>SUMIFS(tabela_registros[VALOR],tabela_registros[MÊS],$AE$1,tabela_registros[DIA],receitasfixasconsolidadofev[[#Headers],[18]],tabela_registros[REGISTRO],DADOS!$N$3,tabela_registros[TIPO],DADOS!$V$3,tabela_registros[CATEGORIA],receitasfixasconsolidadofev[[#This Row],[ATUAL]])</calculatedColumnFormula>
    </tableColumn>
    <tableColumn id="20" xr3:uid="{7EBBBB92-C0FA-4F19-A92E-C6C99809AB49}" name="19" totalsRowFunction="sum" dataDxfId="8273" totalsRowDxfId="8272" dataCellStyle="Moeda">
      <calculatedColumnFormula>SUMIFS(tabela_registros[VALOR],tabela_registros[MÊS],$AE$1,tabela_registros[DIA],receitasfixasconsolidadofev[[#Headers],[19]],tabela_registros[REGISTRO],DADOS!$N$3,tabela_registros[TIPO],DADOS!$V$3,tabela_registros[CATEGORIA],receitasfixasconsolidadofev[[#This Row],[ATUAL]])</calculatedColumnFormula>
    </tableColumn>
    <tableColumn id="21" xr3:uid="{D3D9967A-9073-4A3B-BB25-B872BBADE5B5}" name="20" totalsRowFunction="sum" dataDxfId="8271" totalsRowDxfId="8270" dataCellStyle="Moeda">
      <calculatedColumnFormula>SUMIFS(tabela_registros[VALOR],tabela_registros[MÊS],$AE$1,tabela_registros[DIA],receitasfixasconsolidadofev[[#Headers],[20]],tabela_registros[REGISTRO],DADOS!$N$3,tabela_registros[TIPO],DADOS!$V$3,tabela_registros[CATEGORIA],receitasfixasconsolidadofev[[#This Row],[ATUAL]])</calculatedColumnFormula>
    </tableColumn>
    <tableColumn id="22" xr3:uid="{4347DDDE-74F4-4586-AE70-9535E28A0703}" name="21" totalsRowFunction="sum" dataDxfId="8269" totalsRowDxfId="8268" dataCellStyle="Moeda">
      <calculatedColumnFormula>SUMIFS(tabela_registros[VALOR],tabela_registros[MÊS],$AE$1,tabela_registros[DIA],receitasfixasconsolidadofev[[#Headers],[21]],tabela_registros[REGISTRO],DADOS!$N$3,tabela_registros[TIPO],DADOS!$V$3,tabela_registros[CATEGORIA],receitasfixasconsolidadofev[[#This Row],[ATUAL]])</calculatedColumnFormula>
    </tableColumn>
    <tableColumn id="23" xr3:uid="{22E2ADA0-FD1F-4DF2-B10F-EC0A1F782013}" name="22" totalsRowFunction="sum" dataDxfId="8267" totalsRowDxfId="8266" dataCellStyle="Moeda">
      <calculatedColumnFormula>SUMIFS(tabela_registros[VALOR],tabela_registros[MÊS],$AE$1,tabela_registros[DIA],receitasfixasconsolidadofev[[#Headers],[22]],tabela_registros[REGISTRO],DADOS!$N$3,tabela_registros[TIPO],DADOS!$V$3,tabela_registros[CATEGORIA],receitasfixasconsolidadofev[[#This Row],[ATUAL]])</calculatedColumnFormula>
    </tableColumn>
    <tableColumn id="24" xr3:uid="{01035235-3F04-48AB-86ED-43EBBF5499B2}" name="23" totalsRowFunction="sum" dataDxfId="8265" totalsRowDxfId="8264" dataCellStyle="Moeda">
      <calculatedColumnFormula>SUMIFS(tabela_registros[VALOR],tabela_registros[MÊS],$AE$1,tabela_registros[DIA],receitasfixasconsolidadofev[[#Headers],[23]],tabela_registros[REGISTRO],DADOS!$N$3,tabela_registros[TIPO],DADOS!$V$3,tabela_registros[CATEGORIA],receitasfixasconsolidadofev[[#This Row],[ATUAL]])</calculatedColumnFormula>
    </tableColumn>
    <tableColumn id="25" xr3:uid="{5F19DD5D-2262-43B9-A45C-AECE7711B786}" name="24" totalsRowFunction="sum" dataDxfId="8263" totalsRowDxfId="8262" dataCellStyle="Moeda">
      <calculatedColumnFormula>SUMIFS(tabela_registros[VALOR],tabela_registros[MÊS],$AE$1,tabela_registros[DIA],receitasfixasconsolidadofev[[#Headers],[24]],tabela_registros[REGISTRO],DADOS!$N$3,tabela_registros[TIPO],DADOS!$V$3,tabela_registros[CATEGORIA],receitasfixasconsolidadofev[[#This Row],[ATUAL]])</calculatedColumnFormula>
    </tableColumn>
    <tableColumn id="26" xr3:uid="{F135FE7F-056A-42E9-812D-2D945E90FA7B}" name="25" totalsRowFunction="sum" dataDxfId="8261" totalsRowDxfId="8260" dataCellStyle="Moeda">
      <calculatedColumnFormula>SUMIFS(tabela_registros[VALOR],tabela_registros[MÊS],$AE$1,tabela_registros[DIA],receitasfixasconsolidadofev[[#Headers],[25]],tabela_registros[REGISTRO],DADOS!$N$3,tabela_registros[TIPO],DADOS!$V$3,tabela_registros[CATEGORIA],receitasfixasconsolidadofev[[#This Row],[ATUAL]])</calculatedColumnFormula>
    </tableColumn>
    <tableColumn id="27" xr3:uid="{159742CB-8954-4820-B837-DA061712C742}" name="26" totalsRowFunction="sum" dataDxfId="8259" totalsRowDxfId="8258" dataCellStyle="Moeda">
      <calculatedColumnFormula>SUMIFS(tabela_registros[VALOR],tabela_registros[MÊS],$AE$1,tabela_registros[DIA],receitasfixasconsolidadofev[[#Headers],[26]],tabela_registros[REGISTRO],DADOS!$N$3,tabela_registros[TIPO],DADOS!$V$3,tabela_registros[CATEGORIA],receitasfixasconsolidadofev[[#This Row],[ATUAL]])</calculatedColumnFormula>
    </tableColumn>
    <tableColumn id="28" xr3:uid="{DF13D250-2B6C-464C-9CFD-1A8F0149C07A}" name="27" totalsRowFunction="sum" dataDxfId="8257" totalsRowDxfId="8256" dataCellStyle="Moeda">
      <calculatedColumnFormula>SUMIFS(tabela_registros[VALOR],tabela_registros[MÊS],$AE$1,tabela_registros[DIA],receitasfixasconsolidadofev[[#Headers],[27]],tabela_registros[REGISTRO],DADOS!$N$3,tabela_registros[TIPO],DADOS!$V$3,tabela_registros[CATEGORIA],receitasfixasconsolidadofev[[#This Row],[ATUAL]])</calculatedColumnFormula>
    </tableColumn>
    <tableColumn id="29" xr3:uid="{E3D169F8-B430-43E3-9560-F24A5B3CD74F}" name="28" totalsRowFunction="sum" dataDxfId="8255" totalsRowDxfId="8254" dataCellStyle="Moeda">
      <calculatedColumnFormula>SUMIFS(tabela_registros[VALOR],tabela_registros[MÊS],$AE$1,tabela_registros[DIA],receitasfixasconsolidadofev[[#Headers],[28]],tabela_registros[REGISTRO],DADOS!$N$3,tabela_registros[TIPO],DADOS!$V$3,tabela_registros[CATEGORIA],receitasfixasconsolidadofev[[#This Row],[ATUAL]])</calculatedColumnFormula>
    </tableColumn>
    <tableColumn id="30" xr3:uid="{AF582239-81E3-4D9C-9B18-36DB42C2715F}" name="29" totalsRowFunction="sum" dataDxfId="8253" totalsRowDxfId="8252" dataCellStyle="Moeda">
      <calculatedColumnFormula>SUMIFS(tabela_registros[VALOR],tabela_registros[MÊS],$AE$1,tabela_registros[DIA],receitasfixasconsolidadofev[[#Headers],[29]],tabela_registros[REGISTRO],DADOS!$N$3,tabela_registros[TIPO],DADOS!$V$3,tabela_registros[CATEGORIA],receitasfixasconsolidadofev[[#This Row],[ATUAL]])</calculatedColumnFormula>
    </tableColumn>
    <tableColumn id="31" xr3:uid="{B26D569F-074E-41F2-8D05-8504E255581C}" name="30" totalsRowFunction="sum" dataDxfId="8251" totalsRowDxfId="8250" dataCellStyle="Moeda">
      <calculatedColumnFormula>SUMIFS(tabela_registros[VALOR],tabela_registros[MÊS],$AE$1,tabela_registros[DIA],receitasfixasconsolidadofev[[#Headers],[30]],tabela_registros[REGISTRO],DADOS!$N$3,tabela_registros[TIPO],DADOS!$V$3,tabela_registros[CATEGORIA],receitasfixasconsolidadofev[[#This Row],[ATUAL]])</calculatedColumnFormula>
    </tableColumn>
    <tableColumn id="32" xr3:uid="{92548C8E-DE95-49A3-83A1-AA2E0A630AFA}" name="31" totalsRowFunction="sum" dataDxfId="8249" totalsRowDxfId="8248" dataCellStyle="Moeda">
      <calculatedColumnFormula>SUMIFS(tabela_registros[VALOR],tabela_registros[MÊS],$AE$1,tabela_registros[DIA],receitasfixasconsolidadofev[[#Headers],[31]],tabela_registros[REGISTRO],DADOS!$N$3,tabela_registros[TIPO],DADOS!$V$3,tabela_registros[CATEGORIA],receitasfixasconsolidadofev[[#This Row],[ATUAL]])</calculatedColumnFormula>
    </tableColumn>
    <tableColumn id="33" xr3:uid="{6EE5505E-5383-4ACF-B2F7-03FC57197A43}" name="TOTAL (R$)" totalsRowFunction="sum" dataDxfId="8247" dataCellStyle="Moeda">
      <calculatedColumnFormula>SUM(receitasfixasconsolidadofev[[#This Row],[1]:[31]])</calculatedColumnFormula>
    </tableColumn>
  </tableColumns>
  <tableStyleInfo name="TABELAS RESULTADOS" showFirstColumn="0" showLastColumn="0" showRowStripes="1" showColumnStripes="0"/>
</table>
</file>

<file path=xl/tables/table3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3" xr:uid="{F3749E3A-8C99-420D-81F9-3F41FBCB359B}" name="receitasvariáveisconsolidadofev" displayName="receitasvariáveisconsolidadofev" ref="C95:AJ104" headerRowDxfId="8246" dataDxfId="8245" totalsRowDxfId="8244">
  <autoFilter ref="C95:AJ104" xr:uid="{DEFDE68B-A97D-4ED5-9460-1E58A13A7942}"/>
  <tableColumns count="34">
    <tableColumn id="1" xr3:uid="{AD5915F7-90A0-40CA-86FE-6BB3756D36FC}" name="ATUAL" totalsRowLabel="SALDO" dataDxfId="8243"/>
    <tableColumn id="34" xr3:uid="{303D4146-2D2E-4FA9-92B0-1D5EDA2A21C6}" name="Coluna1" dataDxfId="8242" totalsRowDxfId="8241">
      <calculatedColumnFormula>IF(receitasvariáveisconsolidadofev[[#This Row],[TOTAL (R$)]]=0,"",IF(OR(receitasvariáveisconsolidadofev[[#This Row],[TOTAL (R$)]]=LARGE($AJ$96:$AJ$103,1),receitasvariáveisconsolidadofev[[#This Row],[TOTAL (R$)]]=LARGE($AJ$96:$AJ$103,2)),DADOS!$I$9,""))</calculatedColumnFormula>
    </tableColumn>
    <tableColumn id="2" xr3:uid="{7ECB6031-1183-46AF-AFF6-1497127ECCF0}" name="1" totalsRowFunction="sum" dataDxfId="8240" dataCellStyle="Moeda"/>
    <tableColumn id="3" xr3:uid="{FB9D70AB-E6DD-402D-9338-5711068AB7D1}" name="2" totalsRowFunction="sum" dataDxfId="8239" dataCellStyle="Moeda">
      <calculatedColumnFormula>SUMIFS(tabela_registros[VALOR],tabela_registros[MÊS],$AE$1,tabela_registros[DIA],receitasvariáveisconsolidadofev[[#Headers],[2]],tabela_registros[REGISTRO],DADOS!$N$3,tabela_registros[TIPO],DADOS!$V$3,tabela_registros[CATEGORIA],receitasvariáveisconsolidadofev[[#This Row],[ATUAL]])</calculatedColumnFormula>
    </tableColumn>
    <tableColumn id="4" xr3:uid="{DE62279B-F7EE-4875-A4D1-C6E0251CDA87}" name="3" totalsRowFunction="sum" dataDxfId="8238" totalsRowDxfId="8237" dataCellStyle="Moeda">
      <calculatedColumnFormula>SUMIFS(tabela_registros[VALOR],tabela_registros[MÊS],$AE$1,tabela_registros[DIA],receitasvariáveisconsolidadofev[[#Headers],[3]],tabela_registros[REGISTRO],DADOS!$N$3,tabela_registros[TIPO],DADOS!$V$3,tabela_registros[CATEGORIA],receitasvariáveisconsolidadofev[[#This Row],[ATUAL]])</calculatedColumnFormula>
    </tableColumn>
    <tableColumn id="5" xr3:uid="{FDF78789-B930-4CBB-862B-47AFBAEBD3D6}" name="4" totalsRowFunction="sum" dataDxfId="8236" totalsRowDxfId="8235" dataCellStyle="Moeda">
      <calculatedColumnFormula>SUMIFS(tabela_registros[VALOR],tabela_registros[MÊS],$AE$1,tabela_registros[DIA],receitasvariáveisconsolidadofev[[#Headers],[4]],tabela_registros[REGISTRO],DADOS!$N$3,tabela_registros[TIPO],DADOS!$V$3,tabela_registros[CATEGORIA],receitasvariáveisconsolidadofev[[#This Row],[ATUAL]])</calculatedColumnFormula>
    </tableColumn>
    <tableColumn id="6" xr3:uid="{20FFA742-274C-4A9F-9DC6-BC01DC018D0D}" name="5" totalsRowFunction="sum" dataDxfId="8234" totalsRowDxfId="8233" dataCellStyle="Moeda">
      <calculatedColumnFormula>SUMIFS(tabela_registros[VALOR],tabela_registros[MÊS],$AE$1,tabela_registros[DIA],receitasvariáveisconsolidadofev[[#Headers],[5]],tabela_registros[REGISTRO],DADOS!$N$3,tabela_registros[TIPO],DADOS!$V$3,tabela_registros[CATEGORIA],receitasvariáveisconsolidadofev[[#This Row],[ATUAL]])</calculatedColumnFormula>
    </tableColumn>
    <tableColumn id="7" xr3:uid="{18213696-3CC4-4D48-AEF2-2B2110DC9152}" name="6" totalsRowFunction="sum" dataDxfId="8232" totalsRowDxfId="8231" dataCellStyle="Moeda">
      <calculatedColumnFormula>SUMIFS(tabela_registros[VALOR],tabela_registros[MÊS],$AE$1,tabela_registros[DIA],receitasvariáveisconsolidadofev[[#Headers],[6]],tabela_registros[REGISTRO],DADOS!$N$3,tabela_registros[TIPO],DADOS!$V$3,tabela_registros[CATEGORIA],receitasvariáveisconsolidadofev[[#This Row],[ATUAL]])</calculatedColumnFormula>
    </tableColumn>
    <tableColumn id="8" xr3:uid="{CBFBC933-12C5-4C6D-AC2A-FCA4B49E67A9}" name="7" totalsRowFunction="sum" dataDxfId="8230" totalsRowDxfId="8229" dataCellStyle="Moeda">
      <calculatedColumnFormula>SUMIFS(tabela_registros[VALOR],tabela_registros[MÊS],$AE$1,tabela_registros[DIA],receitasvariáveisconsolidadofev[[#Headers],[7]],tabela_registros[REGISTRO],DADOS!$N$3,tabela_registros[TIPO],DADOS!$V$3,tabela_registros[CATEGORIA],receitasvariáveisconsolidadofev[[#This Row],[ATUAL]])</calculatedColumnFormula>
    </tableColumn>
    <tableColumn id="9" xr3:uid="{A6453B89-AF5C-44A2-8A4F-36578AC5A3B2}" name="8" totalsRowFunction="sum" dataDxfId="8228" totalsRowDxfId="8227" dataCellStyle="Moeda">
      <calculatedColumnFormula>SUMIFS(tabela_registros[VALOR],tabela_registros[MÊS],$AE$1,tabela_registros[DIA],receitasvariáveisconsolidadofev[[#Headers],[8]],tabela_registros[REGISTRO],DADOS!$N$3,tabela_registros[TIPO],DADOS!$V$3,tabela_registros[CATEGORIA],receitasvariáveisconsolidadofev[[#This Row],[ATUAL]])</calculatedColumnFormula>
    </tableColumn>
    <tableColumn id="10" xr3:uid="{156BC6D1-3066-461A-A051-0773B79CAF99}" name="9" totalsRowFunction="sum" dataDxfId="8226" totalsRowDxfId="8225" dataCellStyle="Moeda">
      <calculatedColumnFormula>SUMIFS(tabela_registros[VALOR],tabela_registros[MÊS],$AE$1,tabela_registros[DIA],receitasvariáveisconsolidadofev[[#Headers],[9]],tabela_registros[REGISTRO],DADOS!$N$3,tabela_registros[TIPO],DADOS!$V$3,tabela_registros[CATEGORIA],receitasvariáveisconsolidadofev[[#This Row],[ATUAL]])</calculatedColumnFormula>
    </tableColumn>
    <tableColumn id="11" xr3:uid="{8597146E-9E3D-4070-9BD6-F64CA4F6EEB5}" name="10" totalsRowFunction="sum" dataDxfId="8224" totalsRowDxfId="8223" dataCellStyle="Moeda">
      <calculatedColumnFormula>SUMIFS(tabela_registros[VALOR],tabela_registros[MÊS],$AE$1,tabela_registros[DIA],receitasvariáveisconsolidadofev[[#Headers],[10]],tabela_registros[REGISTRO],DADOS!$N$3,tabela_registros[TIPO],DADOS!$V$3,tabela_registros[CATEGORIA],receitasvariáveisconsolidadofev[[#This Row],[ATUAL]])</calculatedColumnFormula>
    </tableColumn>
    <tableColumn id="12" xr3:uid="{52512BE9-2FF2-4A61-BF8B-2B7784742C64}" name="11" totalsRowFunction="sum" dataDxfId="8222" totalsRowDxfId="8221" dataCellStyle="Moeda">
      <calculatedColumnFormula>SUMIFS(tabela_registros[VALOR],tabela_registros[MÊS],$AE$1,tabela_registros[DIA],receitasvariáveisconsolidadofev[[#Headers],[11]],tabela_registros[REGISTRO],DADOS!$N$3,tabela_registros[TIPO],DADOS!$V$3,tabela_registros[CATEGORIA],receitasvariáveisconsolidadofev[[#This Row],[ATUAL]])</calculatedColumnFormula>
    </tableColumn>
    <tableColumn id="13" xr3:uid="{6908572D-C981-4CD3-9A90-42DE5E95D879}" name="12" totalsRowFunction="sum" dataDxfId="8220" totalsRowDxfId="8219" dataCellStyle="Moeda">
      <calculatedColumnFormula>SUMIFS(tabela_registros[VALOR],tabela_registros[MÊS],$AE$1,tabela_registros[DIA],receitasvariáveisconsolidadofev[[#Headers],[12]],tabela_registros[REGISTRO],DADOS!$N$3,tabela_registros[TIPO],DADOS!$V$3,tabela_registros[CATEGORIA],receitasvariáveisconsolidadofev[[#This Row],[ATUAL]])</calculatedColumnFormula>
    </tableColumn>
    <tableColumn id="14" xr3:uid="{711F5A26-5CA6-4FE2-84C0-CEE02AA515A5}" name="13" totalsRowFunction="sum" dataDxfId="8218" totalsRowDxfId="8217" dataCellStyle="Moeda">
      <calculatedColumnFormula>SUMIFS(tabela_registros[VALOR],tabela_registros[MÊS],$AE$1,tabela_registros[DIA],receitasvariáveisconsolidadofev[[#Headers],[13]],tabela_registros[REGISTRO],DADOS!$N$3,tabela_registros[TIPO],DADOS!$V$3,tabela_registros[CATEGORIA],receitasvariáveisconsolidadofev[[#This Row],[ATUAL]])</calculatedColumnFormula>
    </tableColumn>
    <tableColumn id="15" xr3:uid="{6B0A341D-AFF3-47BB-B213-02EAE2029AC1}" name="14" totalsRowFunction="sum" dataDxfId="8216" totalsRowDxfId="8215" dataCellStyle="Moeda">
      <calculatedColumnFormula>SUMIFS(tabela_registros[VALOR],tabela_registros[MÊS],$AE$1,tabela_registros[DIA],receitasvariáveisconsolidadofev[[#Headers],[14]],tabela_registros[REGISTRO],DADOS!$N$3,tabela_registros[TIPO],DADOS!$V$3,tabela_registros[CATEGORIA],receitasvariáveisconsolidadofev[[#This Row],[ATUAL]])</calculatedColumnFormula>
    </tableColumn>
    <tableColumn id="16" xr3:uid="{2F3AA1C4-C993-4228-8567-7CF92A064F32}" name="15" totalsRowFunction="sum" dataDxfId="8214" totalsRowDxfId="8213" dataCellStyle="Moeda">
      <calculatedColumnFormula>SUMIFS(tabela_registros[VALOR],tabela_registros[MÊS],$AE$1,tabela_registros[DIA],receitasvariáveisconsolidadofev[[#Headers],[15]],tabela_registros[REGISTRO],DADOS!$N$3,tabela_registros[TIPO],DADOS!$V$3,tabela_registros[CATEGORIA],receitasvariáveisconsolidadofev[[#This Row],[ATUAL]])</calculatedColumnFormula>
    </tableColumn>
    <tableColumn id="17" xr3:uid="{72440758-2516-4DE2-8892-943AD4BEB532}" name="16" totalsRowFunction="sum" dataDxfId="8212" totalsRowDxfId="8211" dataCellStyle="Moeda">
      <calculatedColumnFormula>SUMIFS(tabela_registros[VALOR],tabela_registros[MÊS],$AE$1,tabela_registros[DIA],receitasvariáveisconsolidadofev[[#Headers],[16]],tabela_registros[REGISTRO],DADOS!$N$3,tabela_registros[TIPO],DADOS!$V$3,tabela_registros[CATEGORIA],receitasvariáveisconsolidadofev[[#This Row],[ATUAL]])</calculatedColumnFormula>
    </tableColumn>
    <tableColumn id="18" xr3:uid="{7D83E14B-5077-4590-A63A-2FA98A206652}" name="17" totalsRowFunction="sum" dataDxfId="8210" totalsRowDxfId="8209" dataCellStyle="Moeda">
      <calculatedColumnFormula>SUMIFS(tabela_registros[VALOR],tabela_registros[MÊS],$AE$1,tabela_registros[DIA],receitasvariáveisconsolidadofev[[#Headers],[17]],tabela_registros[REGISTRO],DADOS!$N$3,tabela_registros[TIPO],DADOS!$V$3,tabela_registros[CATEGORIA],receitasvariáveisconsolidadofev[[#This Row],[ATUAL]])</calculatedColumnFormula>
    </tableColumn>
    <tableColumn id="19" xr3:uid="{40263040-9307-49E1-8FEB-9F513F87C8CF}" name="18" totalsRowFunction="sum" dataDxfId="8208" totalsRowDxfId="8207" dataCellStyle="Moeda">
      <calculatedColumnFormula>SUMIFS(tabela_registros[VALOR],tabela_registros[MÊS],$AE$1,tabela_registros[DIA],receitasvariáveisconsolidadofev[[#Headers],[18]],tabela_registros[REGISTRO],DADOS!$N$3,tabela_registros[TIPO],DADOS!$V$3,tabela_registros[CATEGORIA],receitasvariáveisconsolidadofev[[#This Row],[ATUAL]])</calculatedColumnFormula>
    </tableColumn>
    <tableColumn id="20" xr3:uid="{35719EC9-2A8F-428F-BFCA-9ECDF00DAB33}" name="19" totalsRowFunction="sum" dataDxfId="8206" totalsRowDxfId="8205" dataCellStyle="Moeda">
      <calculatedColumnFormula>SUMIFS(tabela_registros[VALOR],tabela_registros[MÊS],$AE$1,tabela_registros[DIA],receitasvariáveisconsolidadofev[[#Headers],[19]],tabela_registros[REGISTRO],DADOS!$N$3,tabela_registros[TIPO],DADOS!$V$3,tabela_registros[CATEGORIA],receitasvariáveisconsolidadofev[[#This Row],[ATUAL]])</calculatedColumnFormula>
    </tableColumn>
    <tableColumn id="21" xr3:uid="{AC965185-D01C-45A0-8B09-3F294A90D080}" name="20" totalsRowFunction="sum" dataDxfId="8204" totalsRowDxfId="8203" dataCellStyle="Moeda">
      <calculatedColumnFormula>SUMIFS(tabela_registros[VALOR],tabela_registros[MÊS],$AE$1,tabela_registros[DIA],receitasvariáveisconsolidadofev[[#Headers],[20]],tabela_registros[REGISTRO],DADOS!$N$3,tabela_registros[TIPO],DADOS!$V$3,tabela_registros[CATEGORIA],receitasvariáveisconsolidadofev[[#This Row],[ATUAL]])</calculatedColumnFormula>
    </tableColumn>
    <tableColumn id="22" xr3:uid="{32924C45-214C-44C8-9584-29441A885CF5}" name="21" totalsRowFunction="sum" dataDxfId="8202" totalsRowDxfId="8201" dataCellStyle="Moeda">
      <calculatedColumnFormula>SUMIFS(tabela_registros[VALOR],tabela_registros[MÊS],$AE$1,tabela_registros[DIA],receitasvariáveisconsolidadofev[[#Headers],[21]],tabela_registros[REGISTRO],DADOS!$N$3,tabela_registros[TIPO],DADOS!$V$3,tabela_registros[CATEGORIA],receitasvariáveisconsolidadofev[[#This Row],[ATUAL]])</calculatedColumnFormula>
    </tableColumn>
    <tableColumn id="23" xr3:uid="{FC15059F-8E87-4902-B17F-09214EA1BA12}" name="22" totalsRowFunction="sum" dataDxfId="8200" totalsRowDxfId="8199" dataCellStyle="Moeda">
      <calculatedColumnFormula>SUMIFS(tabela_registros[VALOR],tabela_registros[MÊS],$AE$1,tabela_registros[DIA],receitasvariáveisconsolidadofev[[#Headers],[22]],tabela_registros[REGISTRO],DADOS!$N$3,tabela_registros[TIPO],DADOS!$V$3,tabela_registros[CATEGORIA],receitasvariáveisconsolidadofev[[#This Row],[ATUAL]])</calculatedColumnFormula>
    </tableColumn>
    <tableColumn id="24" xr3:uid="{5C65B231-A1C6-4FA5-A5D3-87A6F7DAF0F3}" name="23" totalsRowFunction="sum" dataDxfId="8198" totalsRowDxfId="8197" dataCellStyle="Moeda">
      <calculatedColumnFormula>SUMIFS(tabela_registros[VALOR],tabela_registros[MÊS],$AE$1,tabela_registros[DIA],receitasvariáveisconsolidadofev[[#Headers],[23]],tabela_registros[REGISTRO],DADOS!$N$3,tabela_registros[TIPO],DADOS!$V$3,tabela_registros[CATEGORIA],receitasvariáveisconsolidadofev[[#This Row],[ATUAL]])</calculatedColumnFormula>
    </tableColumn>
    <tableColumn id="25" xr3:uid="{240A1BC8-CED9-4255-A480-938F8BFADE23}" name="24" totalsRowFunction="sum" dataDxfId="8196" totalsRowDxfId="8195" dataCellStyle="Moeda">
      <calculatedColumnFormula>SUMIFS(tabela_registros[VALOR],tabela_registros[MÊS],$AE$1,tabela_registros[DIA],receitasvariáveisconsolidadofev[[#Headers],[24]],tabela_registros[REGISTRO],DADOS!$N$3,tabela_registros[TIPO],DADOS!$V$3,tabela_registros[CATEGORIA],receitasvariáveisconsolidadofev[[#This Row],[ATUAL]])</calculatedColumnFormula>
    </tableColumn>
    <tableColumn id="26" xr3:uid="{E7DE4F8A-927D-4256-AF24-3B485ECD8272}" name="25" totalsRowFunction="sum" dataDxfId="8194" totalsRowDxfId="8193" dataCellStyle="Moeda">
      <calculatedColumnFormula>SUMIFS(tabela_registros[VALOR],tabela_registros[MÊS],$AE$1,tabela_registros[DIA],receitasvariáveisconsolidadofev[[#Headers],[25]],tabela_registros[REGISTRO],DADOS!$N$3,tabela_registros[TIPO],DADOS!$V$3,tabela_registros[CATEGORIA],receitasvariáveisconsolidadofev[[#This Row],[ATUAL]])</calculatedColumnFormula>
    </tableColumn>
    <tableColumn id="27" xr3:uid="{D82D3101-9347-4769-A85F-8DB5BE04B01B}" name="26" totalsRowFunction="sum" dataDxfId="8192" totalsRowDxfId="8191" dataCellStyle="Moeda">
      <calculatedColumnFormula>SUMIFS(tabela_registros[VALOR],tabela_registros[MÊS],$AE$1,tabela_registros[DIA],receitasvariáveisconsolidadofev[[#Headers],[26]],tabela_registros[REGISTRO],DADOS!$N$3,tabela_registros[TIPO],DADOS!$V$3,tabela_registros[CATEGORIA],receitasvariáveisconsolidadofev[[#This Row],[ATUAL]])</calculatedColumnFormula>
    </tableColumn>
    <tableColumn id="28" xr3:uid="{66C1413A-16A7-4D6B-A282-3F47D275553A}" name="27" totalsRowFunction="sum" dataDxfId="8190" totalsRowDxfId="8189" dataCellStyle="Moeda">
      <calculatedColumnFormula>SUMIFS(tabela_registros[VALOR],tabela_registros[MÊS],$AE$1,tabela_registros[DIA],receitasvariáveisconsolidadofev[[#Headers],[27]],tabela_registros[REGISTRO],DADOS!$N$3,tabela_registros[TIPO],DADOS!$V$3,tabela_registros[CATEGORIA],receitasvariáveisconsolidadofev[[#This Row],[ATUAL]])</calculatedColumnFormula>
    </tableColumn>
    <tableColumn id="29" xr3:uid="{DCDF2719-79C3-4D9D-A39B-B886E2134677}" name="28" totalsRowFunction="sum" dataDxfId="8188" totalsRowDxfId="8187" dataCellStyle="Moeda">
      <calculatedColumnFormula>SUMIFS(tabela_registros[VALOR],tabela_registros[MÊS],$AE$1,tabela_registros[DIA],receitasvariáveisconsolidadofev[[#Headers],[28]],tabela_registros[REGISTRO],DADOS!$N$3,tabela_registros[TIPO],DADOS!$V$3,tabela_registros[CATEGORIA],receitasvariáveisconsolidadofev[[#This Row],[ATUAL]])</calculatedColumnFormula>
    </tableColumn>
    <tableColumn id="30" xr3:uid="{549CBF3B-59C4-4B0F-8C5B-D37EDF09F23C}" name="29" totalsRowFunction="sum" dataDxfId="8186" totalsRowDxfId="8185" dataCellStyle="Moeda">
      <calculatedColumnFormula>SUMIFS(tabela_registros[VALOR],tabela_registros[MÊS],$AE$1,tabela_registros[DIA],receitasvariáveisconsolidadofev[[#Headers],[29]],tabela_registros[REGISTRO],DADOS!$N$3,tabela_registros[TIPO],DADOS!$V$3,tabela_registros[CATEGORIA],receitasvariáveisconsolidadofev[[#This Row],[ATUAL]])</calculatedColumnFormula>
    </tableColumn>
    <tableColumn id="31" xr3:uid="{4D48D73B-9E54-4596-948C-751C14B989BE}" name="30" totalsRowFunction="sum" dataDxfId="8184" totalsRowDxfId="8183" dataCellStyle="Moeda">
      <calculatedColumnFormula>SUMIFS(tabela_registros[VALOR],tabela_registros[MÊS],$AE$1,tabela_registros[DIA],receitasvariáveisconsolidadofev[[#Headers],[30]],tabela_registros[REGISTRO],DADOS!$N$3,tabela_registros[TIPO],DADOS!$V$3,tabela_registros[CATEGORIA],receitasvariáveisconsolidadofev[[#This Row],[ATUAL]])</calculatedColumnFormula>
    </tableColumn>
    <tableColumn id="32" xr3:uid="{B12EDFD7-97D3-44D4-918D-1581D299AEE2}" name="31" totalsRowFunction="sum" dataDxfId="8182" totalsRowDxfId="8181" dataCellStyle="Moeda">
      <calculatedColumnFormula>SUMIFS(tabela_registros[VALOR],tabela_registros[MÊS],$AE$1,tabela_registros[DIA],receitasvariáveisconsolidadofev[[#Headers],[31]],tabela_registros[REGISTRO],DADOS!$N$3,tabela_registros[TIPO],DADOS!$V$3,tabela_registros[CATEGORIA],receitasvariáveisconsolidadofev[[#This Row],[ATUAL]])</calculatedColumnFormula>
    </tableColumn>
    <tableColumn id="33" xr3:uid="{73F9A5F7-6CC9-45D4-B660-B0E796BA0A58}" name="TOTAL (R$)" totalsRowFunction="sum" dataDxfId="8180" dataCellStyle="Moeda">
      <calculatedColumnFormula>SUM(receitasvariáveisconsolidadofev[[#This Row],[1]:[31]])</calculatedColumnFormula>
    </tableColumn>
  </tableColumns>
  <tableStyleInfo name="TABELAS RESULTADOS" showFirstColumn="0" showLastColumn="0" showRowStripes="1" showColumnStripes="0"/>
</table>
</file>

<file path=xl/tables/table3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4" xr:uid="{FFCB6E61-5946-44D1-B73D-946B6E810B51}" name="investirrendafixaconsolidadofev" displayName="investirrendafixaconsolidadofev" ref="C112:AJ123" headerRowDxfId="8179" dataDxfId="8178" totalsRowDxfId="8177">
  <autoFilter ref="C112:AJ123" xr:uid="{3BCF8FD2-4C10-4776-87A3-7B16A33417A4}"/>
  <tableColumns count="34">
    <tableColumn id="1" xr3:uid="{A91FE2B1-1384-4EB0-A266-C83D897A7B0F}" name="ATUAL" totalsRowLabel="SALDO" dataDxfId="8176"/>
    <tableColumn id="34" xr3:uid="{2A4FDDEF-4914-4455-A237-200E27F2A408}" name="Coluna1" dataDxfId="8175" totalsRowDxfId="8174">
      <calculatedColumnFormula>IF(investirrendafixaconsolidadofev[[#This Row],[TOTAL (R$)]]=0,"",IF(OR(investirrendafixaconsolidadofev[[#This Row],[TOTAL (R$)]]=LARGE($AJ$113:$AJ$122,1),investirrendafixaconsolidadofev[[#This Row],[TOTAL (R$)]]=LARGE($AJ$113:$AJ$122,2)),DADOS!$I$10,""))</calculatedColumnFormula>
    </tableColumn>
    <tableColumn id="2" xr3:uid="{E1B3DDFE-6837-4F7E-A8E0-4A838BF6A2A6}" name="1" totalsRowFunction="sum" dataDxfId="8173" dataCellStyle="Moeda"/>
    <tableColumn id="3" xr3:uid="{05476594-7E1A-42C3-82DC-E7B9653CA522}" name="2" totalsRowFunction="sum" dataDxfId="8172" dataCellStyle="Moeda">
      <calculatedColumnFormula>SUMIFS(tabela_registros[VALOR],tabela_registros[MÊS],$AE$1,tabela_registros[DIA],investirrendafixaconsolidadofev[[#Headers],[2]],tabela_registros[REGISTRO],DADOS!$N$3,tabela_registros[TIPO],DADOS!$V$3,tabela_registros[CATEGORIA],investirrendafixaconsolidadofev[[#This Row],[ATUAL]])</calculatedColumnFormula>
    </tableColumn>
    <tableColumn id="4" xr3:uid="{BF873E4B-A3FB-4805-92B4-1447C61547ED}" name="3" totalsRowFunction="sum" dataDxfId="8171" totalsRowDxfId="8170" dataCellStyle="Moeda">
      <calculatedColumnFormula>SUMIFS(tabela_registros[VALOR],tabela_registros[MÊS],$AE$1,tabela_registros[DIA],investirrendafixaconsolidadofev[[#Headers],[3]],tabela_registros[REGISTRO],DADOS!$N$3,tabela_registros[TIPO],DADOS!$V$3,tabela_registros[CATEGORIA],investirrendafixaconsolidadofev[[#This Row],[ATUAL]])</calculatedColumnFormula>
    </tableColumn>
    <tableColumn id="5" xr3:uid="{8E9B850B-252F-4C00-AE4A-B4D57D9ED91A}" name="4" totalsRowFunction="sum" dataDxfId="8169" totalsRowDxfId="8168" dataCellStyle="Moeda">
      <calculatedColumnFormula>SUMIFS(tabela_registros[VALOR],tabela_registros[MÊS],$AE$1,tabela_registros[DIA],investirrendafixaconsolidadofev[[#Headers],[4]],tabela_registros[REGISTRO],DADOS!$N$3,tabela_registros[TIPO],DADOS!$V$3,tabela_registros[CATEGORIA],investirrendafixaconsolidadofev[[#This Row],[ATUAL]])</calculatedColumnFormula>
    </tableColumn>
    <tableColumn id="6" xr3:uid="{B8F33E07-6549-4579-8AAB-F4D858FD4884}" name="5" totalsRowFunction="sum" dataDxfId="8167" totalsRowDxfId="8166" dataCellStyle="Moeda">
      <calculatedColumnFormula>SUMIFS(tabela_registros[VALOR],tabela_registros[MÊS],$AE$1,tabela_registros[DIA],investirrendafixaconsolidadofev[[#Headers],[5]],tabela_registros[REGISTRO],DADOS!$N$3,tabela_registros[TIPO],DADOS!$V$3,tabela_registros[CATEGORIA],investirrendafixaconsolidadofev[[#This Row],[ATUAL]])</calculatedColumnFormula>
    </tableColumn>
    <tableColumn id="7" xr3:uid="{7377E712-6D7D-4333-AAC7-1F06AB4301D1}" name="6" totalsRowFunction="sum" dataDxfId="8165" totalsRowDxfId="8164" dataCellStyle="Moeda">
      <calculatedColumnFormula>SUMIFS(tabela_registros[VALOR],tabela_registros[MÊS],$AE$1,tabela_registros[DIA],investirrendafixaconsolidadofev[[#Headers],[6]],tabela_registros[REGISTRO],DADOS!$N$3,tabela_registros[TIPO],DADOS!$V$3,tabela_registros[CATEGORIA],investirrendafixaconsolidadofev[[#This Row],[ATUAL]])</calculatedColumnFormula>
    </tableColumn>
    <tableColumn id="8" xr3:uid="{4EAA5E9F-35BA-48E4-B6FE-B895B53617B8}" name="7" totalsRowFunction="sum" dataDxfId="8163" totalsRowDxfId="8162" dataCellStyle="Moeda">
      <calculatedColumnFormula>SUMIFS(tabela_registros[VALOR],tabela_registros[MÊS],$AE$1,tabela_registros[DIA],investirrendafixaconsolidadofev[[#Headers],[7]],tabela_registros[REGISTRO],DADOS!$N$3,tabela_registros[TIPO],DADOS!$V$3,tabela_registros[CATEGORIA],investirrendafixaconsolidadofev[[#This Row],[ATUAL]])</calculatedColumnFormula>
    </tableColumn>
    <tableColumn id="9" xr3:uid="{9620C68B-5868-4B09-95F2-77A659A677FE}" name="8" totalsRowFunction="sum" dataDxfId="8161" totalsRowDxfId="8160" dataCellStyle="Moeda">
      <calculatedColumnFormula>SUMIFS(tabela_registros[VALOR],tabela_registros[MÊS],$AE$1,tabela_registros[DIA],investirrendafixaconsolidadofev[[#Headers],[8]],tabela_registros[REGISTRO],DADOS!$N$3,tabela_registros[TIPO],DADOS!$V$3,tabela_registros[CATEGORIA],investirrendafixaconsolidadofev[[#This Row],[ATUAL]])</calculatedColumnFormula>
    </tableColumn>
    <tableColumn id="10" xr3:uid="{AB016EFC-32E3-4728-89A7-4245A1B4AC4A}" name="9" totalsRowFunction="sum" dataDxfId="8159" totalsRowDxfId="8158" dataCellStyle="Moeda">
      <calculatedColumnFormula>SUMIFS(tabela_registros[VALOR],tabela_registros[MÊS],$AE$1,tabela_registros[DIA],investirrendafixaconsolidadofev[[#Headers],[9]],tabela_registros[REGISTRO],DADOS!$N$3,tabela_registros[TIPO],DADOS!$V$3,tabela_registros[CATEGORIA],investirrendafixaconsolidadofev[[#This Row],[ATUAL]])</calculatedColumnFormula>
    </tableColumn>
    <tableColumn id="11" xr3:uid="{383D5E53-BC19-41D7-8CC2-D18442476518}" name="10" totalsRowFunction="sum" dataDxfId="8157" totalsRowDxfId="8156" dataCellStyle="Moeda">
      <calculatedColumnFormula>SUMIFS(tabela_registros[VALOR],tabela_registros[MÊS],$AE$1,tabela_registros[DIA],investirrendafixaconsolidadofev[[#Headers],[10]],tabela_registros[REGISTRO],DADOS!$N$3,tabela_registros[TIPO],DADOS!$V$3,tabela_registros[CATEGORIA],investirrendafixaconsolidadofev[[#This Row],[ATUAL]])</calculatedColumnFormula>
    </tableColumn>
    <tableColumn id="12" xr3:uid="{8B30D149-9066-4ABB-AAA1-18801DB8C8C0}" name="11" totalsRowFunction="sum" dataDxfId="8155" totalsRowDxfId="8154" dataCellStyle="Moeda">
      <calculatedColumnFormula>SUMIFS(tabela_registros[VALOR],tabela_registros[MÊS],$AE$1,tabela_registros[DIA],investirrendafixaconsolidadofev[[#Headers],[11]],tabela_registros[REGISTRO],DADOS!$N$3,tabela_registros[TIPO],DADOS!$V$3,tabela_registros[CATEGORIA],investirrendafixaconsolidadofev[[#This Row],[ATUAL]])</calculatedColumnFormula>
    </tableColumn>
    <tableColumn id="13" xr3:uid="{D3E26D2C-207F-4436-9593-241AC2C6F232}" name="12" totalsRowFunction="sum" dataDxfId="8153" totalsRowDxfId="8152" dataCellStyle="Moeda">
      <calculatedColumnFormula>SUMIFS(tabela_registros[VALOR],tabela_registros[MÊS],$AE$1,tabela_registros[DIA],investirrendafixaconsolidadofev[[#Headers],[12]],tabela_registros[REGISTRO],DADOS!$N$3,tabela_registros[TIPO],DADOS!$V$3,tabela_registros[CATEGORIA],investirrendafixaconsolidadofev[[#This Row],[ATUAL]])</calculatedColumnFormula>
    </tableColumn>
    <tableColumn id="14" xr3:uid="{4D509314-2CE5-42EB-A4D2-337E041EE339}" name="13" totalsRowFunction="sum" dataDxfId="8151" totalsRowDxfId="8150" dataCellStyle="Moeda">
      <calculatedColumnFormula>SUMIFS(tabela_registros[VALOR],tabela_registros[MÊS],$AE$1,tabela_registros[DIA],investirrendafixaconsolidadofev[[#Headers],[13]],tabela_registros[REGISTRO],DADOS!$N$3,tabela_registros[TIPO],DADOS!$V$3,tabela_registros[CATEGORIA],investirrendafixaconsolidadofev[[#This Row],[ATUAL]])</calculatedColumnFormula>
    </tableColumn>
    <tableColumn id="15" xr3:uid="{CE64E395-C8D7-4CE0-8DC5-79937D1DF8BF}" name="14" totalsRowFunction="sum" dataDxfId="8149" totalsRowDxfId="8148" dataCellStyle="Moeda">
      <calculatedColumnFormula>SUMIFS(tabela_registros[VALOR],tabela_registros[MÊS],$AE$1,tabela_registros[DIA],investirrendafixaconsolidadofev[[#Headers],[14]],tabela_registros[REGISTRO],DADOS!$N$3,tabela_registros[TIPO],DADOS!$V$3,tabela_registros[CATEGORIA],investirrendafixaconsolidadofev[[#This Row],[ATUAL]])</calculatedColumnFormula>
    </tableColumn>
    <tableColumn id="16" xr3:uid="{9D9A7017-33FA-4E37-AA90-59327060348E}" name="15" totalsRowFunction="sum" dataDxfId="8147" totalsRowDxfId="8146" dataCellStyle="Moeda">
      <calculatedColumnFormula>SUMIFS(tabela_registros[VALOR],tabela_registros[MÊS],$AE$1,tabela_registros[DIA],investirrendafixaconsolidadofev[[#Headers],[15]],tabela_registros[REGISTRO],DADOS!$N$3,tabela_registros[TIPO],DADOS!$V$3,tabela_registros[CATEGORIA],investirrendafixaconsolidadofev[[#This Row],[ATUAL]])</calculatedColumnFormula>
    </tableColumn>
    <tableColumn id="17" xr3:uid="{ECC035E6-2008-4D3C-83D1-0CCDA5E54192}" name="16" totalsRowFunction="sum" dataDxfId="8145" totalsRowDxfId="8144" dataCellStyle="Moeda">
      <calculatedColumnFormula>SUMIFS(tabela_registros[VALOR],tabela_registros[MÊS],$AE$1,tabela_registros[DIA],investirrendafixaconsolidadofev[[#Headers],[16]],tabela_registros[REGISTRO],DADOS!$N$3,tabela_registros[TIPO],DADOS!$V$3,tabela_registros[CATEGORIA],investirrendafixaconsolidadofev[[#This Row],[ATUAL]])</calculatedColumnFormula>
    </tableColumn>
    <tableColumn id="18" xr3:uid="{4A7B9CE3-67B6-4668-A292-7965EC38C054}" name="17" totalsRowFunction="sum" dataDxfId="8143" totalsRowDxfId="8142" dataCellStyle="Moeda">
      <calculatedColumnFormula>SUMIFS(tabela_registros[VALOR],tabela_registros[MÊS],$AE$1,tabela_registros[DIA],investirrendafixaconsolidadofev[[#Headers],[17]],tabela_registros[REGISTRO],DADOS!$N$3,tabela_registros[TIPO],DADOS!$V$3,tabela_registros[CATEGORIA],investirrendafixaconsolidadofev[[#This Row],[ATUAL]])</calculatedColumnFormula>
    </tableColumn>
    <tableColumn id="19" xr3:uid="{D2614858-9CBE-441C-99CD-ABE45506F80C}" name="18" totalsRowFunction="sum" dataDxfId="8141" totalsRowDxfId="8140" dataCellStyle="Moeda">
      <calculatedColumnFormula>SUMIFS(tabela_registros[VALOR],tabela_registros[MÊS],$AE$1,tabela_registros[DIA],investirrendafixaconsolidadofev[[#Headers],[18]],tabela_registros[REGISTRO],DADOS!$N$3,tabela_registros[TIPO],DADOS!$V$3,tabela_registros[CATEGORIA],investirrendafixaconsolidadofev[[#This Row],[ATUAL]])</calculatedColumnFormula>
    </tableColumn>
    <tableColumn id="20" xr3:uid="{1D7D6E23-58AC-48E9-97AF-1367E313FA73}" name="19" totalsRowFunction="sum" dataDxfId="8139" totalsRowDxfId="8138" dataCellStyle="Moeda">
      <calculatedColumnFormula>SUMIFS(tabela_registros[VALOR],tabela_registros[MÊS],$AE$1,tabela_registros[DIA],investirrendafixaconsolidadofev[[#Headers],[19]],tabela_registros[REGISTRO],DADOS!$N$3,tabela_registros[TIPO],DADOS!$V$3,tabela_registros[CATEGORIA],investirrendafixaconsolidadofev[[#This Row],[ATUAL]])</calculatedColumnFormula>
    </tableColumn>
    <tableColumn id="21" xr3:uid="{7B1D4A0F-F11E-481E-9988-287039182ACB}" name="20" totalsRowFunction="sum" dataDxfId="8137" totalsRowDxfId="8136" dataCellStyle="Moeda">
      <calculatedColumnFormula>SUMIFS(tabela_registros[VALOR],tabela_registros[MÊS],$AE$1,tabela_registros[DIA],investirrendafixaconsolidadofev[[#Headers],[20]],tabela_registros[REGISTRO],DADOS!$N$3,tabela_registros[TIPO],DADOS!$V$3,tabela_registros[CATEGORIA],investirrendafixaconsolidadofev[[#This Row],[ATUAL]])</calculatedColumnFormula>
    </tableColumn>
    <tableColumn id="22" xr3:uid="{0963690F-82CE-40B7-BEFE-7135D976CA27}" name="21" totalsRowFunction="sum" dataDxfId="8135" totalsRowDxfId="8134" dataCellStyle="Moeda">
      <calculatedColumnFormula>SUMIFS(tabela_registros[VALOR],tabela_registros[MÊS],$AE$1,tabela_registros[DIA],investirrendafixaconsolidadofev[[#Headers],[21]],tabela_registros[REGISTRO],DADOS!$N$3,tabela_registros[TIPO],DADOS!$V$3,tabela_registros[CATEGORIA],investirrendafixaconsolidadofev[[#This Row],[ATUAL]])</calculatedColumnFormula>
    </tableColumn>
    <tableColumn id="23" xr3:uid="{67A8DF22-05F6-458D-9C43-F34570B2D3E1}" name="22" totalsRowFunction="sum" dataDxfId="8133" totalsRowDxfId="8132" dataCellStyle="Moeda">
      <calculatedColumnFormula>SUMIFS(tabela_registros[VALOR],tabela_registros[MÊS],$AE$1,tabela_registros[DIA],investirrendafixaconsolidadofev[[#Headers],[22]],tabela_registros[REGISTRO],DADOS!$N$3,tabela_registros[TIPO],DADOS!$V$3,tabela_registros[CATEGORIA],investirrendafixaconsolidadofev[[#This Row],[ATUAL]])</calculatedColumnFormula>
    </tableColumn>
    <tableColumn id="24" xr3:uid="{86B78A64-6018-4025-975C-D31A44B6CB70}" name="23" totalsRowFunction="sum" dataDxfId="8131" totalsRowDxfId="8130" dataCellStyle="Moeda">
      <calculatedColumnFormula>SUMIFS(tabela_registros[VALOR],tabela_registros[MÊS],$AE$1,tabela_registros[DIA],investirrendafixaconsolidadofev[[#Headers],[23]],tabela_registros[REGISTRO],DADOS!$N$3,tabela_registros[TIPO],DADOS!$V$3,tabela_registros[CATEGORIA],investirrendafixaconsolidadofev[[#This Row],[ATUAL]])</calculatedColumnFormula>
    </tableColumn>
    <tableColumn id="25" xr3:uid="{F23BFBAC-2616-4FB8-83C1-16C9A9BC3401}" name="24" totalsRowFunction="sum" dataDxfId="8129" totalsRowDxfId="8128" dataCellStyle="Moeda">
      <calculatedColumnFormula>SUMIFS(tabela_registros[VALOR],tabela_registros[MÊS],$AE$1,tabela_registros[DIA],investirrendafixaconsolidadofev[[#Headers],[24]],tabela_registros[REGISTRO],DADOS!$N$3,tabela_registros[TIPO],DADOS!$V$3,tabela_registros[CATEGORIA],investirrendafixaconsolidadofev[[#This Row],[ATUAL]])</calculatedColumnFormula>
    </tableColumn>
    <tableColumn id="26" xr3:uid="{DE34EE28-34EC-4862-BD1C-46F7438DA73D}" name="25" totalsRowFunction="sum" dataDxfId="8127" totalsRowDxfId="8126" dataCellStyle="Moeda">
      <calculatedColumnFormula>SUMIFS(tabela_registros[VALOR],tabela_registros[MÊS],$AE$1,tabela_registros[DIA],investirrendafixaconsolidadofev[[#Headers],[25]],tabela_registros[REGISTRO],DADOS!$N$3,tabela_registros[TIPO],DADOS!$V$3,tabela_registros[CATEGORIA],investirrendafixaconsolidadofev[[#This Row],[ATUAL]])</calculatedColumnFormula>
    </tableColumn>
    <tableColumn id="27" xr3:uid="{770CC766-D361-4287-879D-7E3F8EF08BE6}" name="26" totalsRowFunction="sum" dataDxfId="8125" totalsRowDxfId="8124" dataCellStyle="Moeda">
      <calculatedColumnFormula>SUMIFS(tabela_registros[VALOR],tabela_registros[MÊS],$AE$1,tabela_registros[DIA],investirrendafixaconsolidadofev[[#Headers],[26]],tabela_registros[REGISTRO],DADOS!$N$3,tabela_registros[TIPO],DADOS!$V$3,tabela_registros[CATEGORIA],investirrendafixaconsolidadofev[[#This Row],[ATUAL]])</calculatedColumnFormula>
    </tableColumn>
    <tableColumn id="28" xr3:uid="{720EC817-6749-4A95-B45A-F82946110FDC}" name="27" totalsRowFunction="sum" dataDxfId="8123" totalsRowDxfId="8122" dataCellStyle="Moeda">
      <calculatedColumnFormula>SUMIFS(tabela_registros[VALOR],tabela_registros[MÊS],$AE$1,tabela_registros[DIA],investirrendafixaconsolidadofev[[#Headers],[27]],tabela_registros[REGISTRO],DADOS!$N$3,tabela_registros[TIPO],DADOS!$V$3,tabela_registros[CATEGORIA],investirrendafixaconsolidadofev[[#This Row],[ATUAL]])</calculatedColumnFormula>
    </tableColumn>
    <tableColumn id="29" xr3:uid="{04340646-7368-4DE9-A92E-2D543AB6A880}" name="28" totalsRowFunction="sum" dataDxfId="8121" totalsRowDxfId="8120" dataCellStyle="Moeda">
      <calculatedColumnFormula>SUMIFS(tabela_registros[VALOR],tabela_registros[MÊS],$AE$1,tabela_registros[DIA],investirrendafixaconsolidadofev[[#Headers],[28]],tabela_registros[REGISTRO],DADOS!$N$3,tabela_registros[TIPO],DADOS!$V$3,tabela_registros[CATEGORIA],investirrendafixaconsolidadofev[[#This Row],[ATUAL]])</calculatedColumnFormula>
    </tableColumn>
    <tableColumn id="30" xr3:uid="{B1866E8A-CFBE-4DCF-89F2-F28E2966A79A}" name="29" totalsRowFunction="sum" dataDxfId="8119" totalsRowDxfId="8118" dataCellStyle="Moeda">
      <calculatedColumnFormula>SUMIFS(tabela_registros[VALOR],tabela_registros[MÊS],$AE$1,tabela_registros[DIA],investirrendafixaconsolidadofev[[#Headers],[29]],tabela_registros[REGISTRO],DADOS!$N$3,tabela_registros[TIPO],DADOS!$V$3,tabela_registros[CATEGORIA],investirrendafixaconsolidadofev[[#This Row],[ATUAL]])</calculatedColumnFormula>
    </tableColumn>
    <tableColumn id="31" xr3:uid="{B3AB2913-316B-46F9-9750-ADF963E04DFC}" name="30" totalsRowFunction="sum" dataDxfId="8117" totalsRowDxfId="8116" dataCellStyle="Moeda">
      <calculatedColumnFormula>SUMIFS(tabela_registros[VALOR],tabela_registros[MÊS],$AE$1,tabela_registros[DIA],investirrendafixaconsolidadofev[[#Headers],[30]],tabela_registros[REGISTRO],DADOS!$N$3,tabela_registros[TIPO],DADOS!$V$3,tabela_registros[CATEGORIA],investirrendafixaconsolidadofev[[#This Row],[ATUAL]])</calculatedColumnFormula>
    </tableColumn>
    <tableColumn id="32" xr3:uid="{77123107-609D-4666-9497-C9BEDE4938E3}" name="31" totalsRowFunction="sum" dataDxfId="8115" totalsRowDxfId="8114" dataCellStyle="Moeda">
      <calculatedColumnFormula>SUMIFS(tabela_registros[VALOR],tabela_registros[MÊS],$AE$1,tabela_registros[DIA],investirrendafixaconsolidadofev[[#Headers],[31]],tabela_registros[REGISTRO],DADOS!$N$3,tabela_registros[TIPO],DADOS!$V$3,tabela_registros[CATEGORIA],investirrendafixaconsolidadofev[[#This Row],[ATUAL]])</calculatedColumnFormula>
    </tableColumn>
    <tableColumn id="33" xr3:uid="{906F3889-AFEB-41D8-99C6-279687B0DD9C}" name="TOTAL (R$)" totalsRowFunction="sum" dataDxfId="8113" dataCellStyle="Moeda">
      <calculatedColumnFormula>SUM(investirrendafixaconsolidadofev[[#This Row],[1]:[31]])</calculatedColumnFormula>
    </tableColumn>
  </tableColumns>
  <tableStyleInfo name="TABELAS RESULTADOS" showFirstColumn="0" showLastColumn="0" showRowStripes="1" showColumnStripes="0"/>
</table>
</file>

<file path=xl/tables/table3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5" xr:uid="{3F214096-6A83-40EE-B645-8A0157B897E8}" name="investirrendavariávelconsolidadofev" displayName="investirrendavariávelconsolidadofev" ref="C131:AJ142" headerRowDxfId="8112" dataDxfId="8111" totalsRowDxfId="8110">
  <autoFilter ref="C131:AJ142" xr:uid="{08F8225F-86FE-4857-B00A-7406490FE1C1}"/>
  <tableColumns count="34">
    <tableColumn id="1" xr3:uid="{9A6E41D7-831C-4A04-83C9-68A5161E22EC}" name="ATUAL" totalsRowLabel="SALDO" dataDxfId="8109"/>
    <tableColumn id="34" xr3:uid="{6473196C-EBB1-4A21-80FC-1D2948F8F7BB}" name="Coluna1" dataDxfId="8108" totalsRowDxfId="8107">
      <calculatedColumnFormula>IF(investirrendavariávelconsolidadofev[[#This Row],[TOTAL (R$)]]=0,"",IF(OR(investirrendavariávelconsolidadofev[[#This Row],[TOTAL (R$)]]=LARGE($AJ$132:$AJ$141,1),investirrendavariávelconsolidadofev[[#This Row],[TOTAL (R$)]]=LARGE($AJ$132:$AJ$141,2)),DADOS!$I$10,""))</calculatedColumnFormula>
    </tableColumn>
    <tableColumn id="2" xr3:uid="{EA82540C-DE68-4D1D-AC15-DCF042602162}" name="1" totalsRowFunction="sum" dataDxfId="8106" dataCellStyle="Moeda"/>
    <tableColumn id="3" xr3:uid="{324BF0AF-07DB-4ECB-8B67-4EEA9026C4FA}" name="2" totalsRowFunction="sum" dataDxfId="8105" dataCellStyle="Moeda">
      <calculatedColumnFormula>SUMIFS(tabela_registros[VALOR],tabela_registros[MÊS],$AE$1,tabela_registros[DIA],investirrendavariávelconsolidadofev[[#Headers],[2]],tabela_registros[REGISTRO],DADOS!$N$3,tabela_registros[TIPO],DADOS!$V$3,tabela_registros[CATEGORIA],investirrendavariávelconsolidadofev[[#This Row],[ATUAL]])</calculatedColumnFormula>
    </tableColumn>
    <tableColumn id="4" xr3:uid="{153BEA76-6346-4997-AA74-04E1DE1EE641}" name="3" totalsRowFunction="sum" dataDxfId="8104" totalsRowDxfId="8103" dataCellStyle="Moeda">
      <calculatedColumnFormula>SUMIFS(tabela_registros[VALOR],tabela_registros[MÊS],$AE$1,tabela_registros[DIA],investirrendavariávelconsolidadofev[[#Headers],[3]],tabela_registros[REGISTRO],DADOS!$N$3,tabela_registros[TIPO],DADOS!$V$3,tabela_registros[CATEGORIA],investirrendavariávelconsolidadofev[[#This Row],[ATUAL]])</calculatedColumnFormula>
    </tableColumn>
    <tableColumn id="5" xr3:uid="{327DF6F6-3265-4F88-A1D1-2735A476A18C}" name="4" totalsRowFunction="sum" dataDxfId="8102" totalsRowDxfId="8101" dataCellStyle="Moeda">
      <calculatedColumnFormula>SUMIFS(tabela_registros[VALOR],tabela_registros[MÊS],$AE$1,tabela_registros[DIA],investirrendavariávelconsolidadofev[[#Headers],[4]],tabela_registros[REGISTRO],DADOS!$N$3,tabela_registros[TIPO],DADOS!$V$3,tabela_registros[CATEGORIA],investirrendavariávelconsolidadofev[[#This Row],[ATUAL]])</calculatedColumnFormula>
    </tableColumn>
    <tableColumn id="6" xr3:uid="{84650291-2225-4262-8399-B17D36CDE75F}" name="5" totalsRowFunction="sum" dataDxfId="8100" totalsRowDxfId="8099" dataCellStyle="Moeda">
      <calculatedColumnFormula>SUMIFS(tabela_registros[VALOR],tabela_registros[MÊS],$AE$1,tabela_registros[DIA],investirrendavariávelconsolidadofev[[#Headers],[5]],tabela_registros[REGISTRO],DADOS!$N$3,tabela_registros[TIPO],DADOS!$V$3,tabela_registros[CATEGORIA],investirrendavariávelconsolidadofev[[#This Row],[ATUAL]])</calculatedColumnFormula>
    </tableColumn>
    <tableColumn id="7" xr3:uid="{4CB8CC7A-57CE-4F10-B401-62269C89995A}" name="6" totalsRowFunction="sum" dataDxfId="8098" totalsRowDxfId="8097" dataCellStyle="Moeda">
      <calculatedColumnFormula>SUMIFS(tabela_registros[VALOR],tabela_registros[MÊS],$AE$1,tabela_registros[DIA],investirrendavariávelconsolidadofev[[#Headers],[6]],tabela_registros[REGISTRO],DADOS!$N$3,tabela_registros[TIPO],DADOS!$V$3,tabela_registros[CATEGORIA],investirrendavariávelconsolidadofev[[#This Row],[ATUAL]])</calculatedColumnFormula>
    </tableColumn>
    <tableColumn id="8" xr3:uid="{9587D188-4FB6-45FF-9911-2650EA10CAE3}" name="7" totalsRowFunction="sum" dataDxfId="8096" totalsRowDxfId="8095" dataCellStyle="Moeda">
      <calculatedColumnFormula>SUMIFS(tabela_registros[VALOR],tabela_registros[MÊS],$AE$1,tabela_registros[DIA],investirrendavariávelconsolidadofev[[#Headers],[7]],tabela_registros[REGISTRO],DADOS!$N$3,tabela_registros[TIPO],DADOS!$V$3,tabela_registros[CATEGORIA],investirrendavariávelconsolidadofev[[#This Row],[ATUAL]])</calculatedColumnFormula>
    </tableColumn>
    <tableColumn id="9" xr3:uid="{93E8583F-FCC0-48A3-8838-36CFA5E88EC4}" name="8" totalsRowFunction="sum" dataDxfId="8094" totalsRowDxfId="8093" dataCellStyle="Moeda">
      <calculatedColumnFormula>SUMIFS(tabela_registros[VALOR],tabela_registros[MÊS],$AE$1,tabela_registros[DIA],investirrendavariávelconsolidadofev[[#Headers],[8]],tabela_registros[REGISTRO],DADOS!$N$3,tabela_registros[TIPO],DADOS!$V$3,tabela_registros[CATEGORIA],investirrendavariávelconsolidadofev[[#This Row],[ATUAL]])</calculatedColumnFormula>
    </tableColumn>
    <tableColumn id="10" xr3:uid="{9373279C-37CE-47F6-9B6A-D48838E3DB7B}" name="9" totalsRowFunction="sum" dataDxfId="8092" totalsRowDxfId="8091" dataCellStyle="Moeda">
      <calculatedColumnFormula>SUMIFS(tabela_registros[VALOR],tabela_registros[MÊS],$AE$1,tabela_registros[DIA],investirrendavariávelconsolidadofev[[#Headers],[9]],tabela_registros[REGISTRO],DADOS!$N$3,tabela_registros[TIPO],DADOS!$V$3,tabela_registros[CATEGORIA],investirrendavariávelconsolidadofev[[#This Row],[ATUAL]])</calculatedColumnFormula>
    </tableColumn>
    <tableColumn id="11" xr3:uid="{8AE6DFCA-4233-4CED-833F-8C43E0A412BD}" name="10" totalsRowFunction="sum" dataDxfId="8090" totalsRowDxfId="8089" dataCellStyle="Moeda">
      <calculatedColumnFormula>SUMIFS(tabela_registros[VALOR],tabela_registros[MÊS],$AE$1,tabela_registros[DIA],investirrendavariávelconsolidadofev[[#Headers],[10]],tabela_registros[REGISTRO],DADOS!$N$3,tabela_registros[TIPO],DADOS!$V$3,tabela_registros[CATEGORIA],investirrendavariávelconsolidadofev[[#This Row],[ATUAL]])</calculatedColumnFormula>
    </tableColumn>
    <tableColumn id="12" xr3:uid="{07875E2D-6151-462F-8276-559BEFCFC90D}" name="11" totalsRowFunction="sum" dataDxfId="8088" totalsRowDxfId="8087" dataCellStyle="Moeda">
      <calculatedColumnFormula>SUMIFS(tabela_registros[VALOR],tabela_registros[MÊS],$AE$1,tabela_registros[DIA],investirrendavariávelconsolidadofev[[#Headers],[11]],tabela_registros[REGISTRO],DADOS!$N$3,tabela_registros[TIPO],DADOS!$V$3,tabela_registros[CATEGORIA],investirrendavariávelconsolidadofev[[#This Row],[ATUAL]])</calculatedColumnFormula>
    </tableColumn>
    <tableColumn id="13" xr3:uid="{673F288A-1846-4728-BC34-44339F1A063E}" name="12" totalsRowFunction="sum" dataDxfId="8086" totalsRowDxfId="8085" dataCellStyle="Moeda">
      <calculatedColumnFormula>SUMIFS(tabela_registros[VALOR],tabela_registros[MÊS],$AE$1,tabela_registros[DIA],investirrendavariávelconsolidadofev[[#Headers],[12]],tabela_registros[REGISTRO],DADOS!$N$3,tabela_registros[TIPO],DADOS!$V$3,tabela_registros[CATEGORIA],investirrendavariávelconsolidadofev[[#This Row],[ATUAL]])</calculatedColumnFormula>
    </tableColumn>
    <tableColumn id="14" xr3:uid="{0A2282A4-BCB5-49D3-BB4B-64B41CECA3DE}" name="13" totalsRowFunction="sum" dataDxfId="8084" totalsRowDxfId="8083" dataCellStyle="Moeda">
      <calculatedColumnFormula>SUMIFS(tabela_registros[VALOR],tabela_registros[MÊS],$AE$1,tabela_registros[DIA],investirrendavariávelconsolidadofev[[#Headers],[13]],tabela_registros[REGISTRO],DADOS!$N$3,tabela_registros[TIPO],DADOS!$V$3,tabela_registros[CATEGORIA],investirrendavariávelconsolidadofev[[#This Row],[ATUAL]])</calculatedColumnFormula>
    </tableColumn>
    <tableColumn id="15" xr3:uid="{CC2EC509-E8CF-4FE7-BC76-D81A131FF532}" name="14" totalsRowFunction="sum" dataDxfId="8082" totalsRowDxfId="8081" dataCellStyle="Moeda">
      <calculatedColumnFormula>SUMIFS(tabela_registros[VALOR],tabela_registros[MÊS],$AE$1,tabela_registros[DIA],investirrendavariávelconsolidadofev[[#Headers],[14]],tabela_registros[REGISTRO],DADOS!$N$3,tabela_registros[TIPO],DADOS!$V$3,tabela_registros[CATEGORIA],investirrendavariávelconsolidadofev[[#This Row],[ATUAL]])</calculatedColumnFormula>
    </tableColumn>
    <tableColumn id="16" xr3:uid="{44AAB95F-09F0-47F7-B46B-C31EFB83C9DD}" name="15" totalsRowFunction="sum" dataDxfId="8080" totalsRowDxfId="8079" dataCellStyle="Moeda">
      <calculatedColumnFormula>SUMIFS(tabela_registros[VALOR],tabela_registros[MÊS],$AE$1,tabela_registros[DIA],investirrendavariávelconsolidadofev[[#Headers],[15]],tabela_registros[REGISTRO],DADOS!$N$3,tabela_registros[TIPO],DADOS!$V$3,tabela_registros[CATEGORIA],investirrendavariávelconsolidadofev[[#This Row],[ATUAL]])</calculatedColumnFormula>
    </tableColumn>
    <tableColumn id="17" xr3:uid="{3C9DFA73-499F-4810-93BD-716D43817522}" name="16" totalsRowFunction="sum" dataDxfId="8078" totalsRowDxfId="8077" dataCellStyle="Moeda">
      <calculatedColumnFormula>SUMIFS(tabela_registros[VALOR],tabela_registros[MÊS],$AE$1,tabela_registros[DIA],investirrendavariávelconsolidadofev[[#Headers],[16]],tabela_registros[REGISTRO],DADOS!$N$3,tabela_registros[TIPO],DADOS!$V$3,tabela_registros[CATEGORIA],investirrendavariávelconsolidadofev[[#This Row],[ATUAL]])</calculatedColumnFormula>
    </tableColumn>
    <tableColumn id="18" xr3:uid="{D8DAF20B-64A3-4846-A031-99F49FE897ED}" name="17" totalsRowFunction="sum" dataDxfId="8076" totalsRowDxfId="8075" dataCellStyle="Moeda">
      <calculatedColumnFormula>SUMIFS(tabela_registros[VALOR],tabela_registros[MÊS],$AE$1,tabela_registros[DIA],investirrendavariávelconsolidadofev[[#Headers],[17]],tabela_registros[REGISTRO],DADOS!$N$3,tabela_registros[TIPO],DADOS!$V$3,tabela_registros[CATEGORIA],investirrendavariávelconsolidadofev[[#This Row],[ATUAL]])</calculatedColumnFormula>
    </tableColumn>
    <tableColumn id="19" xr3:uid="{E18093E7-0195-436B-9243-CF1997316A97}" name="18" totalsRowFunction="sum" dataDxfId="8074" totalsRowDxfId="8073" dataCellStyle="Moeda">
      <calculatedColumnFormula>SUMIFS(tabela_registros[VALOR],tabela_registros[MÊS],$AE$1,tabela_registros[DIA],investirrendavariávelconsolidadofev[[#Headers],[18]],tabela_registros[REGISTRO],DADOS!$N$3,tabela_registros[TIPO],DADOS!$V$3,tabela_registros[CATEGORIA],investirrendavariávelconsolidadofev[[#This Row],[ATUAL]])</calculatedColumnFormula>
    </tableColumn>
    <tableColumn id="20" xr3:uid="{3A5A08A2-67BF-4324-8B7D-6F0D95A21BF7}" name="19" totalsRowFunction="sum" dataDxfId="8072" totalsRowDxfId="8071" dataCellStyle="Moeda">
      <calculatedColumnFormula>SUMIFS(tabela_registros[VALOR],tabela_registros[MÊS],$AE$1,tabela_registros[DIA],investirrendavariávelconsolidadofev[[#Headers],[19]],tabela_registros[REGISTRO],DADOS!$N$3,tabela_registros[TIPO],DADOS!$V$3,tabela_registros[CATEGORIA],investirrendavariávelconsolidadofev[[#This Row],[ATUAL]])</calculatedColumnFormula>
    </tableColumn>
    <tableColumn id="21" xr3:uid="{195B1E8E-0EB1-4B92-9CD9-E665253EF86A}" name="20" totalsRowFunction="sum" dataDxfId="8070" totalsRowDxfId="8069" dataCellStyle="Moeda">
      <calculatedColumnFormula>SUMIFS(tabela_registros[VALOR],tabela_registros[MÊS],$AE$1,tabela_registros[DIA],investirrendavariávelconsolidadofev[[#Headers],[20]],tabela_registros[REGISTRO],DADOS!$N$3,tabela_registros[TIPO],DADOS!$V$3,tabela_registros[CATEGORIA],investirrendavariávelconsolidadofev[[#This Row],[ATUAL]])</calculatedColumnFormula>
    </tableColumn>
    <tableColumn id="22" xr3:uid="{41B3F482-1460-4F9B-AF08-BF78C46C1D4B}" name="21" totalsRowFunction="sum" dataDxfId="8068" totalsRowDxfId="8067" dataCellStyle="Moeda">
      <calculatedColumnFormula>SUMIFS(tabela_registros[VALOR],tabela_registros[MÊS],$AE$1,tabela_registros[DIA],investirrendavariávelconsolidadofev[[#Headers],[21]],tabela_registros[REGISTRO],DADOS!$N$3,tabela_registros[TIPO],DADOS!$V$3,tabela_registros[CATEGORIA],investirrendavariávelconsolidadofev[[#This Row],[ATUAL]])</calculatedColumnFormula>
    </tableColumn>
    <tableColumn id="23" xr3:uid="{1878B36E-9C64-4837-BCEC-12724E059E8B}" name="22" totalsRowFunction="sum" dataDxfId="8066" totalsRowDxfId="8065" dataCellStyle="Moeda">
      <calculatedColumnFormula>SUMIFS(tabela_registros[VALOR],tabela_registros[MÊS],$AE$1,tabela_registros[DIA],investirrendavariávelconsolidadofev[[#Headers],[22]],tabela_registros[REGISTRO],DADOS!$N$3,tabela_registros[TIPO],DADOS!$V$3,tabela_registros[CATEGORIA],investirrendavariávelconsolidadofev[[#This Row],[ATUAL]])</calculatedColumnFormula>
    </tableColumn>
    <tableColumn id="24" xr3:uid="{A2F618B0-D5C6-4E0A-8A88-2F57773BBE01}" name="23" totalsRowFunction="sum" dataDxfId="8064" totalsRowDxfId="8063" dataCellStyle="Moeda">
      <calculatedColumnFormula>SUMIFS(tabela_registros[VALOR],tabela_registros[MÊS],$AE$1,tabela_registros[DIA],investirrendavariávelconsolidadofev[[#Headers],[23]],tabela_registros[REGISTRO],DADOS!$N$3,tabela_registros[TIPO],DADOS!$V$3,tabela_registros[CATEGORIA],investirrendavariávelconsolidadofev[[#This Row],[ATUAL]])</calculatedColumnFormula>
    </tableColumn>
    <tableColumn id="25" xr3:uid="{ACB16064-0948-4BE3-A54F-C0674A39B3AD}" name="24" totalsRowFunction="sum" dataDxfId="8062" totalsRowDxfId="8061" dataCellStyle="Moeda">
      <calculatedColumnFormula>SUMIFS(tabela_registros[VALOR],tabela_registros[MÊS],$AE$1,tabela_registros[DIA],investirrendavariávelconsolidadofev[[#Headers],[24]],tabela_registros[REGISTRO],DADOS!$N$3,tabela_registros[TIPO],DADOS!$V$3,tabela_registros[CATEGORIA],investirrendavariávelconsolidadofev[[#This Row],[ATUAL]])</calculatedColumnFormula>
    </tableColumn>
    <tableColumn id="26" xr3:uid="{AF106A56-70BF-4E85-8784-00E93DC452F5}" name="25" totalsRowFunction="sum" dataDxfId="8060" totalsRowDxfId="8059" dataCellStyle="Moeda">
      <calculatedColumnFormula>SUMIFS(tabela_registros[VALOR],tabela_registros[MÊS],$AE$1,tabela_registros[DIA],investirrendavariávelconsolidadofev[[#Headers],[25]],tabela_registros[REGISTRO],DADOS!$N$3,tabela_registros[TIPO],DADOS!$V$3,tabela_registros[CATEGORIA],investirrendavariávelconsolidadofev[[#This Row],[ATUAL]])</calculatedColumnFormula>
    </tableColumn>
    <tableColumn id="27" xr3:uid="{0A6A0172-A2DC-4B6D-B9CF-487D5786EB62}" name="26" totalsRowFunction="sum" dataDxfId="8058" totalsRowDxfId="8057" dataCellStyle="Moeda">
      <calculatedColumnFormula>SUMIFS(tabela_registros[VALOR],tabela_registros[MÊS],$AE$1,tabela_registros[DIA],investirrendavariávelconsolidadofev[[#Headers],[26]],tabela_registros[REGISTRO],DADOS!$N$3,tabela_registros[TIPO],DADOS!$V$3,tabela_registros[CATEGORIA],investirrendavariávelconsolidadofev[[#This Row],[ATUAL]])</calculatedColumnFormula>
    </tableColumn>
    <tableColumn id="28" xr3:uid="{9CEF82E1-BEF7-4902-B54B-F355CBC72280}" name="27" totalsRowFunction="sum" dataDxfId="8056" totalsRowDxfId="8055" dataCellStyle="Moeda">
      <calculatedColumnFormula>SUMIFS(tabela_registros[VALOR],tabela_registros[MÊS],$AE$1,tabela_registros[DIA],investirrendavariávelconsolidadofev[[#Headers],[27]],tabela_registros[REGISTRO],DADOS!$N$3,tabela_registros[TIPO],DADOS!$V$3,tabela_registros[CATEGORIA],investirrendavariávelconsolidadofev[[#This Row],[ATUAL]])</calculatedColumnFormula>
    </tableColumn>
    <tableColumn id="29" xr3:uid="{C31BC7FC-90F2-4311-B079-C1B76A293678}" name="28" totalsRowFunction="sum" dataDxfId="8054" totalsRowDxfId="8053" dataCellStyle="Moeda">
      <calculatedColumnFormula>SUMIFS(tabela_registros[VALOR],tabela_registros[MÊS],$AE$1,tabela_registros[DIA],investirrendavariávelconsolidadofev[[#Headers],[28]],tabela_registros[REGISTRO],DADOS!$N$3,tabela_registros[TIPO],DADOS!$V$3,tabela_registros[CATEGORIA],investirrendavariávelconsolidadofev[[#This Row],[ATUAL]])</calculatedColumnFormula>
    </tableColumn>
    <tableColumn id="30" xr3:uid="{5F1EEDC6-AF60-40AA-A5A8-3350CD54E444}" name="29" totalsRowFunction="sum" dataDxfId="8052" totalsRowDxfId="8051" dataCellStyle="Moeda">
      <calculatedColumnFormula>SUMIFS(tabela_registros[VALOR],tabela_registros[MÊS],$AE$1,tabela_registros[DIA],investirrendavariávelconsolidadofev[[#Headers],[29]],tabela_registros[REGISTRO],DADOS!$N$3,tabela_registros[TIPO],DADOS!$V$3,tabela_registros[CATEGORIA],investirrendavariávelconsolidadofev[[#This Row],[ATUAL]])</calculatedColumnFormula>
    </tableColumn>
    <tableColumn id="31" xr3:uid="{23E90CE8-DC13-463F-AFCA-C1C57182A59E}" name="30" totalsRowFunction="sum" dataDxfId="8050" totalsRowDxfId="8049" dataCellStyle="Moeda">
      <calculatedColumnFormula>SUMIFS(tabela_registros[VALOR],tabela_registros[MÊS],$AE$1,tabela_registros[DIA],investirrendavariávelconsolidadofev[[#Headers],[30]],tabela_registros[REGISTRO],DADOS!$N$3,tabela_registros[TIPO],DADOS!$V$3,tabela_registros[CATEGORIA],investirrendavariávelconsolidadofev[[#This Row],[ATUAL]])</calculatedColumnFormula>
    </tableColumn>
    <tableColumn id="32" xr3:uid="{411BEAA5-E46F-4BC3-BF6E-EE6FAD21711E}" name="31" totalsRowFunction="sum" dataDxfId="8048" totalsRowDxfId="8047" dataCellStyle="Moeda">
      <calculatedColumnFormula>SUMIFS(tabela_registros[VALOR],tabela_registros[MÊS],$AE$1,tabela_registros[DIA],investirrendavariávelconsolidadofev[[#Headers],[31]],tabela_registros[REGISTRO],DADOS!$N$3,tabela_registros[TIPO],DADOS!$V$3,tabela_registros[CATEGORIA],investirrendavariávelconsolidadofev[[#This Row],[ATUAL]])</calculatedColumnFormula>
    </tableColumn>
    <tableColumn id="33" xr3:uid="{27CA8A0F-C422-4EE6-A4F1-98F672596AA6}" name="TOTAL (R$)" totalsRowFunction="sum" dataDxfId="8046" dataCellStyle="Moeda">
      <calculatedColumnFormula>SUM(investirrendavariávelconsolidadofev[[#This Row],[1]:[31]])</calculatedColumnFormula>
    </tableColumn>
  </tableColumns>
  <tableStyleInfo name="TABELAS RESULTADOS" showFirstColumn="0" showLastColumn="0" showRowStripes="1" showColumnStripes="0"/>
</table>
</file>

<file path=xl/tables/table3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6" xr:uid="{655210CC-D495-42C4-9050-F8A4C622B7DC}" name="investiroutrosconsolidadofev" displayName="investiroutrosconsolidadofev" ref="C150:AJ159" headerRowDxfId="8045" dataDxfId="8044" totalsRowDxfId="8043">
  <autoFilter ref="C150:AJ159" xr:uid="{6183CEF1-477D-4448-9404-9007701FBB5F}"/>
  <tableColumns count="34">
    <tableColumn id="1" xr3:uid="{AA2A099A-8CC5-4A49-A322-3BE80617E7F7}" name="ATUAL" totalsRowLabel="SALDO" dataDxfId="8042"/>
    <tableColumn id="34" xr3:uid="{C4C23B9A-6F11-4C4C-AECE-6ECB5B8CC409}" name="Coluna1" dataDxfId="8041" totalsRowDxfId="8040">
      <calculatedColumnFormula>IF(investiroutrosconsolidadofev[[#This Row],[TOTAL (R$)]]=0,"",IF(OR(investiroutrosconsolidadofev[[#This Row],[TOTAL (R$)]]=LARGE($AJ$151:$AJ$158,1),investiroutrosconsolidadofev[[#This Row],[TOTAL (R$)]]=LARGE($AJ$151:$AJ$158,2)),DADOS!$I$10,""))</calculatedColumnFormula>
    </tableColumn>
    <tableColumn id="2" xr3:uid="{1EA03FEE-B406-4214-B29F-5A28D5F739F3}" name="1" totalsRowFunction="sum" dataDxfId="8039" dataCellStyle="Moeda"/>
    <tableColumn id="3" xr3:uid="{3D580D96-0631-4D5E-8B3E-92DA275051D7}" name="2" totalsRowFunction="sum" dataDxfId="8038" dataCellStyle="Moeda">
      <calculatedColumnFormula>SUMIFS(tabela_registros[VALOR],tabela_registros[MÊS],$AE$1,tabela_registros[DIA],investiroutrosconsolidadofev[[#Headers],[2]],tabela_registros[REGISTRO],DADOS!$N$3,tabela_registros[TIPO],DADOS!$V$3,tabela_registros[CATEGORIA],investiroutrosconsolidadofev[[#This Row],[ATUAL]])</calculatedColumnFormula>
    </tableColumn>
    <tableColumn id="4" xr3:uid="{4D0A91CD-0212-4A2F-84F1-3C7BA8FE7A2D}" name="3" totalsRowFunction="sum" dataDxfId="8037" totalsRowDxfId="8036" dataCellStyle="Moeda">
      <calculatedColumnFormula>SUMIFS(tabela_registros[VALOR],tabela_registros[MÊS],$AE$1,tabela_registros[DIA],investiroutrosconsolidadofev[[#Headers],[3]],tabela_registros[REGISTRO],DADOS!$N$3,tabela_registros[TIPO],DADOS!$V$3,tabela_registros[CATEGORIA],investiroutrosconsolidadofev[[#This Row],[ATUAL]])</calculatedColumnFormula>
    </tableColumn>
    <tableColumn id="5" xr3:uid="{C0E254F4-5A82-4B05-B3E2-5E8DE8C3519A}" name="4" totalsRowFunction="sum" dataDxfId="8035" totalsRowDxfId="8034" dataCellStyle="Moeda">
      <calculatedColumnFormula>SUMIFS(tabela_registros[VALOR],tabela_registros[MÊS],$AE$1,tabela_registros[DIA],investiroutrosconsolidadofev[[#Headers],[4]],tabela_registros[REGISTRO],DADOS!$N$3,tabela_registros[TIPO],DADOS!$V$3,tabela_registros[CATEGORIA],investiroutrosconsolidadofev[[#This Row],[ATUAL]])</calculatedColumnFormula>
    </tableColumn>
    <tableColumn id="6" xr3:uid="{E0E5A467-21E4-49D2-8D5A-587F5CEACCB5}" name="5" totalsRowFunction="sum" dataDxfId="8033" totalsRowDxfId="8032" dataCellStyle="Moeda">
      <calculatedColumnFormula>SUMIFS(tabela_registros[VALOR],tabela_registros[MÊS],$AE$1,tabela_registros[DIA],investiroutrosconsolidadofev[[#Headers],[5]],tabela_registros[REGISTRO],DADOS!$N$3,tabela_registros[TIPO],DADOS!$V$3,tabela_registros[CATEGORIA],investiroutrosconsolidadofev[[#This Row],[ATUAL]])</calculatedColumnFormula>
    </tableColumn>
    <tableColumn id="7" xr3:uid="{999BFBCF-C6C1-44C6-9536-389BF2CC2848}" name="6" totalsRowFunction="sum" dataDxfId="8031" totalsRowDxfId="8030" dataCellStyle="Moeda">
      <calculatedColumnFormula>SUMIFS(tabela_registros[VALOR],tabela_registros[MÊS],$AE$1,tabela_registros[DIA],investiroutrosconsolidadofev[[#Headers],[6]],tabela_registros[REGISTRO],DADOS!$N$3,tabela_registros[TIPO],DADOS!$V$3,tabela_registros[CATEGORIA],investiroutrosconsolidadofev[[#This Row],[ATUAL]])</calculatedColumnFormula>
    </tableColumn>
    <tableColumn id="8" xr3:uid="{111C41AD-5AB1-4713-91F4-E591FA631B6C}" name="7" totalsRowFunction="sum" dataDxfId="8029" totalsRowDxfId="8028" dataCellStyle="Moeda">
      <calculatedColumnFormula>SUMIFS(tabela_registros[VALOR],tabela_registros[MÊS],$AE$1,tabela_registros[DIA],investiroutrosconsolidadofev[[#Headers],[7]],tabela_registros[REGISTRO],DADOS!$N$3,tabela_registros[TIPO],DADOS!$V$3,tabela_registros[CATEGORIA],investiroutrosconsolidadofev[[#This Row],[ATUAL]])</calculatedColumnFormula>
    </tableColumn>
    <tableColumn id="9" xr3:uid="{302DC97F-1241-444C-BC95-567059F8A030}" name="8" totalsRowFunction="sum" dataDxfId="8027" totalsRowDxfId="8026" dataCellStyle="Moeda">
      <calculatedColumnFormula>SUMIFS(tabela_registros[VALOR],tabela_registros[MÊS],$AE$1,tabela_registros[DIA],investiroutrosconsolidadofev[[#Headers],[8]],tabela_registros[REGISTRO],DADOS!$N$3,tabela_registros[TIPO],DADOS!$V$3,tabela_registros[CATEGORIA],investiroutrosconsolidadofev[[#This Row],[ATUAL]])</calculatedColumnFormula>
    </tableColumn>
    <tableColumn id="10" xr3:uid="{1A25602D-9728-45A7-B89B-3C00DC09DA93}" name="9" totalsRowFunction="sum" dataDxfId="8025" totalsRowDxfId="8024" dataCellStyle="Moeda">
      <calculatedColumnFormula>SUMIFS(tabela_registros[VALOR],tabela_registros[MÊS],$AE$1,tabela_registros[DIA],investiroutrosconsolidadofev[[#Headers],[9]],tabela_registros[REGISTRO],DADOS!$N$3,tabela_registros[TIPO],DADOS!$V$3,tabela_registros[CATEGORIA],investiroutrosconsolidadofev[[#This Row],[ATUAL]])</calculatedColumnFormula>
    </tableColumn>
    <tableColumn id="11" xr3:uid="{A7A4EEE6-DE8E-4BC9-8082-8276B083353D}" name="10" totalsRowFunction="sum" dataDxfId="8023" totalsRowDxfId="8022" dataCellStyle="Moeda">
      <calculatedColumnFormula>SUMIFS(tabela_registros[VALOR],tabela_registros[MÊS],$AE$1,tabela_registros[DIA],investiroutrosconsolidadofev[[#Headers],[10]],tabela_registros[REGISTRO],DADOS!$N$3,tabela_registros[TIPO],DADOS!$V$3,tabela_registros[CATEGORIA],investiroutrosconsolidadofev[[#This Row],[ATUAL]])</calculatedColumnFormula>
    </tableColumn>
    <tableColumn id="12" xr3:uid="{504B4C83-D5B8-4680-97C6-D978118D0188}" name="11" totalsRowFunction="sum" dataDxfId="8021" totalsRowDxfId="8020" dataCellStyle="Moeda">
      <calculatedColumnFormula>SUMIFS(tabela_registros[VALOR],tabela_registros[MÊS],$AE$1,tabela_registros[DIA],investiroutrosconsolidadofev[[#Headers],[11]],tabela_registros[REGISTRO],DADOS!$N$3,tabela_registros[TIPO],DADOS!$V$3,tabela_registros[CATEGORIA],investiroutrosconsolidadofev[[#This Row],[ATUAL]])</calculatedColumnFormula>
    </tableColumn>
    <tableColumn id="13" xr3:uid="{74445C0F-32A6-492A-A11D-0D1E2C3754AB}" name="12" totalsRowFunction="sum" dataDxfId="8019" totalsRowDxfId="8018" dataCellStyle="Moeda">
      <calculatedColumnFormula>SUMIFS(tabela_registros[VALOR],tabela_registros[MÊS],$AE$1,tabela_registros[DIA],investiroutrosconsolidadofev[[#Headers],[12]],tabela_registros[REGISTRO],DADOS!$N$3,tabela_registros[TIPO],DADOS!$V$3,tabela_registros[CATEGORIA],investiroutrosconsolidadofev[[#This Row],[ATUAL]])</calculatedColumnFormula>
    </tableColumn>
    <tableColumn id="14" xr3:uid="{834B1DE5-0E11-4A57-B1E8-A9965F8F05FE}" name="13" totalsRowFunction="sum" dataDxfId="8017" totalsRowDxfId="8016" dataCellStyle="Moeda">
      <calculatedColumnFormula>SUMIFS(tabela_registros[VALOR],tabela_registros[MÊS],$AE$1,tabela_registros[DIA],investiroutrosconsolidadofev[[#Headers],[13]],tabela_registros[REGISTRO],DADOS!$N$3,tabela_registros[TIPO],DADOS!$V$3,tabela_registros[CATEGORIA],investiroutrosconsolidadofev[[#This Row],[ATUAL]])</calculatedColumnFormula>
    </tableColumn>
    <tableColumn id="15" xr3:uid="{04054611-A332-4E88-A383-6518BEA6EF24}" name="14" totalsRowFunction="sum" dataDxfId="8015" totalsRowDxfId="8014" dataCellStyle="Moeda">
      <calculatedColumnFormula>SUMIFS(tabela_registros[VALOR],tabela_registros[MÊS],$AE$1,tabela_registros[DIA],investiroutrosconsolidadofev[[#Headers],[14]],tabela_registros[REGISTRO],DADOS!$N$3,tabela_registros[TIPO],DADOS!$V$3,tabela_registros[CATEGORIA],investiroutrosconsolidadofev[[#This Row],[ATUAL]])</calculatedColumnFormula>
    </tableColumn>
    <tableColumn id="16" xr3:uid="{71738579-FC53-4714-A3F0-9F22A183C5D3}" name="15" totalsRowFunction="sum" dataDxfId="8013" totalsRowDxfId="8012" dataCellStyle="Moeda">
      <calculatedColumnFormula>SUMIFS(tabela_registros[VALOR],tabela_registros[MÊS],$AE$1,tabela_registros[DIA],investiroutrosconsolidadofev[[#Headers],[15]],tabela_registros[REGISTRO],DADOS!$N$3,tabela_registros[TIPO],DADOS!$V$3,tabela_registros[CATEGORIA],investiroutrosconsolidadofev[[#This Row],[ATUAL]])</calculatedColumnFormula>
    </tableColumn>
    <tableColumn id="17" xr3:uid="{0BA7D5AC-4570-43F6-A787-01CEFD0084A9}" name="16" totalsRowFunction="sum" dataDxfId="8011" totalsRowDxfId="8010" dataCellStyle="Moeda">
      <calculatedColumnFormula>SUMIFS(tabela_registros[VALOR],tabela_registros[MÊS],$AE$1,tabela_registros[DIA],investiroutrosconsolidadofev[[#Headers],[16]],tabela_registros[REGISTRO],DADOS!$N$3,tabela_registros[TIPO],DADOS!$V$3,tabela_registros[CATEGORIA],investiroutrosconsolidadofev[[#This Row],[ATUAL]])</calculatedColumnFormula>
    </tableColumn>
    <tableColumn id="18" xr3:uid="{E69AE7F4-C891-49DD-A354-573525B31AE5}" name="17" totalsRowFunction="sum" dataDxfId="8009" totalsRowDxfId="8008" dataCellStyle="Moeda">
      <calculatedColumnFormula>SUMIFS(tabela_registros[VALOR],tabela_registros[MÊS],$AE$1,tabela_registros[DIA],investiroutrosconsolidadofev[[#Headers],[17]],tabela_registros[REGISTRO],DADOS!$N$3,tabela_registros[TIPO],DADOS!$V$3,tabela_registros[CATEGORIA],investiroutrosconsolidadofev[[#This Row],[ATUAL]])</calculatedColumnFormula>
    </tableColumn>
    <tableColumn id="19" xr3:uid="{33BA4BC1-221A-4353-A67C-40ED46FBBED3}" name="18" totalsRowFunction="sum" dataDxfId="8007" totalsRowDxfId="8006" dataCellStyle="Moeda">
      <calculatedColumnFormula>SUMIFS(tabela_registros[VALOR],tabela_registros[MÊS],$AE$1,tabela_registros[DIA],investiroutrosconsolidadofev[[#Headers],[18]],tabela_registros[REGISTRO],DADOS!$N$3,tabela_registros[TIPO],DADOS!$V$3,tabela_registros[CATEGORIA],investiroutrosconsolidadofev[[#This Row],[ATUAL]])</calculatedColumnFormula>
    </tableColumn>
    <tableColumn id="20" xr3:uid="{285AA602-9F4F-4040-A400-B2BCD5EE10B8}" name="19" totalsRowFunction="sum" dataDxfId="8005" totalsRowDxfId="8004" dataCellStyle="Moeda">
      <calculatedColumnFormula>SUMIFS(tabela_registros[VALOR],tabela_registros[MÊS],$AE$1,tabela_registros[DIA],investiroutrosconsolidadofev[[#Headers],[19]],tabela_registros[REGISTRO],DADOS!$N$3,tabela_registros[TIPO],DADOS!$V$3,tabela_registros[CATEGORIA],investiroutrosconsolidadofev[[#This Row],[ATUAL]])</calculatedColumnFormula>
    </tableColumn>
    <tableColumn id="21" xr3:uid="{A8EF3904-4FC7-4765-8A8B-1214B32A1239}" name="20" totalsRowFunction="sum" dataDxfId="8003" totalsRowDxfId="8002" dataCellStyle="Moeda">
      <calculatedColumnFormula>SUMIFS(tabela_registros[VALOR],tabela_registros[MÊS],$AE$1,tabela_registros[DIA],investiroutrosconsolidadofev[[#Headers],[20]],tabela_registros[REGISTRO],DADOS!$N$3,tabela_registros[TIPO],DADOS!$V$3,tabela_registros[CATEGORIA],investiroutrosconsolidadofev[[#This Row],[ATUAL]])</calculatedColumnFormula>
    </tableColumn>
    <tableColumn id="22" xr3:uid="{B05FA8DB-612C-431D-9073-7E89020F1FDE}" name="21" totalsRowFunction="sum" dataDxfId="8001" totalsRowDxfId="8000" dataCellStyle="Moeda">
      <calculatedColumnFormula>SUMIFS(tabela_registros[VALOR],tabela_registros[MÊS],$AE$1,tabela_registros[DIA],investiroutrosconsolidadofev[[#Headers],[21]],tabela_registros[REGISTRO],DADOS!$N$3,tabela_registros[TIPO],DADOS!$V$3,tabela_registros[CATEGORIA],investiroutrosconsolidadofev[[#This Row],[ATUAL]])</calculatedColumnFormula>
    </tableColumn>
    <tableColumn id="23" xr3:uid="{5C299509-065F-4EDA-94D0-28931E004044}" name="22" totalsRowFunction="sum" dataDxfId="7999" totalsRowDxfId="7998" dataCellStyle="Moeda">
      <calculatedColumnFormula>SUMIFS(tabela_registros[VALOR],tabela_registros[MÊS],$AE$1,tabela_registros[DIA],investiroutrosconsolidadofev[[#Headers],[22]],tabela_registros[REGISTRO],DADOS!$N$3,tabela_registros[TIPO],DADOS!$V$3,tabela_registros[CATEGORIA],investiroutrosconsolidadofev[[#This Row],[ATUAL]])</calculatedColumnFormula>
    </tableColumn>
    <tableColumn id="24" xr3:uid="{DC27D9AC-4EAA-4134-B5D7-62184ED2058A}" name="23" totalsRowFunction="sum" dataDxfId="7997" totalsRowDxfId="7996" dataCellStyle="Moeda">
      <calculatedColumnFormula>SUMIFS(tabela_registros[VALOR],tabela_registros[MÊS],$AE$1,tabela_registros[DIA],investiroutrosconsolidadofev[[#Headers],[23]],tabela_registros[REGISTRO],DADOS!$N$3,tabela_registros[TIPO],DADOS!$V$3,tabela_registros[CATEGORIA],investiroutrosconsolidadofev[[#This Row],[ATUAL]])</calculatedColumnFormula>
    </tableColumn>
    <tableColumn id="25" xr3:uid="{986435DC-1E3A-4993-8E58-6359CFAD8221}" name="24" totalsRowFunction="sum" dataDxfId="7995" totalsRowDxfId="7994" dataCellStyle="Moeda">
      <calculatedColumnFormula>SUMIFS(tabela_registros[VALOR],tabela_registros[MÊS],$AE$1,tabela_registros[DIA],investiroutrosconsolidadofev[[#Headers],[24]],tabela_registros[REGISTRO],DADOS!$N$3,tabela_registros[TIPO],DADOS!$V$3,tabela_registros[CATEGORIA],investiroutrosconsolidadofev[[#This Row],[ATUAL]])</calculatedColumnFormula>
    </tableColumn>
    <tableColumn id="26" xr3:uid="{827DE91A-D92B-43D6-884B-1059B2F5E4D5}" name="25" totalsRowFunction="sum" dataDxfId="7993" totalsRowDxfId="7992" dataCellStyle="Moeda">
      <calculatedColumnFormula>SUMIFS(tabela_registros[VALOR],tabela_registros[MÊS],$AE$1,tabela_registros[DIA],investiroutrosconsolidadofev[[#Headers],[25]],tabela_registros[REGISTRO],DADOS!$N$3,tabela_registros[TIPO],DADOS!$V$3,tabela_registros[CATEGORIA],investiroutrosconsolidadofev[[#This Row],[ATUAL]])</calculatedColumnFormula>
    </tableColumn>
    <tableColumn id="27" xr3:uid="{B718E993-6426-460E-9BDD-40D15535A0B1}" name="26" totalsRowFunction="sum" dataDxfId="7991" totalsRowDxfId="7990" dataCellStyle="Moeda">
      <calculatedColumnFormula>SUMIFS(tabela_registros[VALOR],tabela_registros[MÊS],$AE$1,tabela_registros[DIA],investiroutrosconsolidadofev[[#Headers],[26]],tabela_registros[REGISTRO],DADOS!$N$3,tabela_registros[TIPO],DADOS!$V$3,tabela_registros[CATEGORIA],investiroutrosconsolidadofev[[#This Row],[ATUAL]])</calculatedColumnFormula>
    </tableColumn>
    <tableColumn id="28" xr3:uid="{16C62E1D-21CE-40B3-98FB-7063937BBAEF}" name="27" totalsRowFunction="sum" dataDxfId="7989" totalsRowDxfId="7988" dataCellStyle="Moeda">
      <calculatedColumnFormula>SUMIFS(tabela_registros[VALOR],tabela_registros[MÊS],$AE$1,tabela_registros[DIA],investiroutrosconsolidadofev[[#Headers],[27]],tabela_registros[REGISTRO],DADOS!$N$3,tabela_registros[TIPO],DADOS!$V$3,tabela_registros[CATEGORIA],investiroutrosconsolidadofev[[#This Row],[ATUAL]])</calculatedColumnFormula>
    </tableColumn>
    <tableColumn id="29" xr3:uid="{D05702FD-EF26-4A57-A3BA-1D00BC3EC511}" name="28" totalsRowFunction="sum" dataDxfId="7987" totalsRowDxfId="7986" dataCellStyle="Moeda">
      <calculatedColumnFormula>SUMIFS(tabela_registros[VALOR],tabela_registros[MÊS],$AE$1,tabela_registros[DIA],investiroutrosconsolidadofev[[#Headers],[28]],tabela_registros[REGISTRO],DADOS!$N$3,tabela_registros[TIPO],DADOS!$V$3,tabela_registros[CATEGORIA],investiroutrosconsolidadofev[[#This Row],[ATUAL]])</calculatedColumnFormula>
    </tableColumn>
    <tableColumn id="30" xr3:uid="{4314CD80-19BF-4242-A3F2-3361F968D3B9}" name="29" totalsRowFunction="sum" dataDxfId="7985" totalsRowDxfId="7984" dataCellStyle="Moeda">
      <calculatedColumnFormula>SUMIFS(tabela_registros[VALOR],tabela_registros[MÊS],$AE$1,tabela_registros[DIA],investiroutrosconsolidadofev[[#Headers],[29]],tabela_registros[REGISTRO],DADOS!$N$3,tabela_registros[TIPO],DADOS!$V$3,tabela_registros[CATEGORIA],investiroutrosconsolidadofev[[#This Row],[ATUAL]])</calculatedColumnFormula>
    </tableColumn>
    <tableColumn id="31" xr3:uid="{8C7B4E82-D16B-4C37-97CB-0C33C1B71180}" name="30" totalsRowFunction="sum" dataDxfId="7983" totalsRowDxfId="7982" dataCellStyle="Moeda">
      <calculatedColumnFormula>SUMIFS(tabela_registros[VALOR],tabela_registros[MÊS],$AE$1,tabela_registros[DIA],investiroutrosconsolidadofev[[#Headers],[30]],tabela_registros[REGISTRO],DADOS!$N$3,tabela_registros[TIPO],DADOS!$V$3,tabela_registros[CATEGORIA],investiroutrosconsolidadofev[[#This Row],[ATUAL]])</calculatedColumnFormula>
    </tableColumn>
    <tableColumn id="32" xr3:uid="{BD9E4521-7DD1-4DAC-9A9D-58D08FA2B7CB}" name="31" totalsRowFunction="sum" dataDxfId="7981" totalsRowDxfId="7980" dataCellStyle="Moeda">
      <calculatedColumnFormula>SUMIFS(tabela_registros[VALOR],tabela_registros[MÊS],$AE$1,tabela_registros[DIA],investiroutrosconsolidadofev[[#Headers],[31]],tabela_registros[REGISTRO],DADOS!$N$3,tabela_registros[TIPO],DADOS!$V$3,tabela_registros[CATEGORIA],investiroutrosconsolidadofev[[#This Row],[ATUAL]])</calculatedColumnFormula>
    </tableColumn>
    <tableColumn id="33" xr3:uid="{B1800BEC-36B9-436A-B31A-7AE90C8BF7AF}" name="TOTAL (R$)" totalsRowFunction="sum" dataDxfId="7979" dataCellStyle="Moeda">
      <calculatedColumnFormula>SUM(investiroutrosconsolidadofev[[#This Row],[1]:[31]])</calculatedColumnFormula>
    </tableColumn>
  </tableColumns>
  <tableStyleInfo name="TABELAS RESULTADOS" showFirstColumn="0" showLastColumn="0" showRowStripes="1" showColumnStripes="0"/>
</table>
</file>

<file path=xl/tables/table3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7" xr:uid="{78E21191-C6A5-4B52-9B29-E4C917A44763}" name="reservafixaconsolidadofev" displayName="reservafixaconsolidadofev" ref="C167:AJ178" headerRowDxfId="7978" dataDxfId="7977" totalsRowDxfId="7976">
  <autoFilter ref="C167:AJ178" xr:uid="{CDBD73CF-1633-4509-BA0C-4B73FF7E50BA}"/>
  <tableColumns count="34">
    <tableColumn id="1" xr3:uid="{00FE1D99-EA31-484E-9C61-A9EDE38D195C}" name="ATUAL" totalsRowLabel="SALDO" dataDxfId="7975"/>
    <tableColumn id="34" xr3:uid="{BB70428E-E28E-42D5-A32E-844A82735831}" name="Coluna1" dataDxfId="7974" totalsRowDxfId="7973">
      <calculatedColumnFormula>IF(reservafixaconsolidadofev[[#This Row],[TOTAL (R$)]]=0,"",IF(OR(reservafixaconsolidadofev[[#This Row],[TOTAL (R$)]]=LARGE($AJ$168:$AJ$177,1),reservafixaconsolidadofev[[#This Row],[TOTAL (R$)]]=LARGE($AJ$168:$AJ$177,2)),DADOS!$I$11,""))</calculatedColumnFormula>
    </tableColumn>
    <tableColumn id="2" xr3:uid="{9E367579-53DE-4BE4-8024-334A01DAF1B3}" name="1" totalsRowFunction="sum" dataDxfId="7972" dataCellStyle="Moeda"/>
    <tableColumn id="3" xr3:uid="{6F1B2580-B02A-4C65-8D21-BC86948EC3BC}" name="2" totalsRowFunction="sum" dataDxfId="7971" dataCellStyle="Moeda">
      <calculatedColumnFormula>SUMIFS(tabela_registros[VALOR],tabela_registros[MÊS],$AE$1,tabela_registros[DIA],reservafixaconsolidadofev[[#Headers],[2]],tabela_registros[REGISTRO],DADOS!$N$3,tabela_registros[TIPO],DADOS!$V$3,tabela_registros[CATEGORIA],reservafixaconsolidadofev[[#This Row],[ATUAL]])</calculatedColumnFormula>
    </tableColumn>
    <tableColumn id="4" xr3:uid="{F7B5ED52-56CF-4992-A903-C00EBC367484}" name="3" totalsRowFunction="sum" dataDxfId="7970" totalsRowDxfId="7969" dataCellStyle="Moeda">
      <calculatedColumnFormula>SUMIFS(tabela_registros[VALOR],tabela_registros[MÊS],$AE$1,tabela_registros[DIA],reservafixaconsolidadofev[[#Headers],[3]],tabela_registros[REGISTRO],DADOS!$N$3,tabela_registros[TIPO],DADOS!$V$3,tabela_registros[CATEGORIA],reservafixaconsolidadofev[[#This Row],[ATUAL]])</calculatedColumnFormula>
    </tableColumn>
    <tableColumn id="5" xr3:uid="{7973D107-574B-470F-BE2E-29E2F9A0AF21}" name="4" totalsRowFunction="sum" dataDxfId="7968" totalsRowDxfId="7967" dataCellStyle="Moeda">
      <calculatedColumnFormula>SUMIFS(tabela_registros[VALOR],tabela_registros[MÊS],$AE$1,tabela_registros[DIA],reservafixaconsolidadofev[[#Headers],[4]],tabela_registros[REGISTRO],DADOS!$N$3,tabela_registros[TIPO],DADOS!$V$3,tabela_registros[CATEGORIA],reservafixaconsolidadofev[[#This Row],[ATUAL]])</calculatedColumnFormula>
    </tableColumn>
    <tableColumn id="6" xr3:uid="{B6C109AD-CEC9-4355-8EA6-FA53B71E70FD}" name="5" totalsRowFunction="sum" dataDxfId="7966" totalsRowDxfId="7965" dataCellStyle="Moeda">
      <calculatedColumnFormula>SUMIFS(tabela_registros[VALOR],tabela_registros[MÊS],$AE$1,tabela_registros[DIA],reservafixaconsolidadofev[[#Headers],[5]],tabela_registros[REGISTRO],DADOS!$N$3,tabela_registros[TIPO],DADOS!$V$3,tabela_registros[CATEGORIA],reservafixaconsolidadofev[[#This Row],[ATUAL]])</calculatedColumnFormula>
    </tableColumn>
    <tableColumn id="7" xr3:uid="{19FB1F77-2402-4734-8F08-061B65345330}" name="6" totalsRowFunction="sum" dataDxfId="7964" totalsRowDxfId="7963" dataCellStyle="Moeda">
      <calculatedColumnFormula>SUMIFS(tabela_registros[VALOR],tabela_registros[MÊS],$AE$1,tabela_registros[DIA],reservafixaconsolidadofev[[#Headers],[6]],tabela_registros[REGISTRO],DADOS!$N$3,tabela_registros[TIPO],DADOS!$V$3,tabela_registros[CATEGORIA],reservafixaconsolidadofev[[#This Row],[ATUAL]])</calculatedColumnFormula>
    </tableColumn>
    <tableColumn id="8" xr3:uid="{03BBFE18-1CE7-48FE-B89A-4EBFF515DB36}" name="7" totalsRowFunction="sum" dataDxfId="7962" totalsRowDxfId="7961" dataCellStyle="Moeda">
      <calculatedColumnFormula>SUMIFS(tabela_registros[VALOR],tabela_registros[MÊS],$AE$1,tabela_registros[DIA],reservafixaconsolidadofev[[#Headers],[7]],tabela_registros[REGISTRO],DADOS!$N$3,tabela_registros[TIPO],DADOS!$V$3,tabela_registros[CATEGORIA],reservafixaconsolidadofev[[#This Row],[ATUAL]])</calculatedColumnFormula>
    </tableColumn>
    <tableColumn id="9" xr3:uid="{E248B404-CF4C-4AB4-8A6A-D13A4B2BE409}" name="8" totalsRowFunction="sum" dataDxfId="7960" totalsRowDxfId="7959" dataCellStyle="Moeda">
      <calculatedColumnFormula>SUMIFS(tabela_registros[VALOR],tabela_registros[MÊS],$AE$1,tabela_registros[DIA],reservafixaconsolidadofev[[#Headers],[8]],tabela_registros[REGISTRO],DADOS!$N$3,tabela_registros[TIPO],DADOS!$V$3,tabela_registros[CATEGORIA],reservafixaconsolidadofev[[#This Row],[ATUAL]])</calculatedColumnFormula>
    </tableColumn>
    <tableColumn id="10" xr3:uid="{FA8D3FA5-AC39-41ED-A7BB-B41F69BFE308}" name="9" totalsRowFunction="sum" dataDxfId="7958" totalsRowDxfId="7957" dataCellStyle="Moeda">
      <calculatedColumnFormula>SUMIFS(tabela_registros[VALOR],tabela_registros[MÊS],$AE$1,tabela_registros[DIA],reservafixaconsolidadofev[[#Headers],[9]],tabela_registros[REGISTRO],DADOS!$N$3,tabela_registros[TIPO],DADOS!$V$3,tabela_registros[CATEGORIA],reservafixaconsolidadofev[[#This Row],[ATUAL]])</calculatedColumnFormula>
    </tableColumn>
    <tableColumn id="11" xr3:uid="{4EAA4A49-516D-4787-8621-B0E7092059F1}" name="10" totalsRowFunction="sum" dataDxfId="7956" totalsRowDxfId="7955" dataCellStyle="Moeda">
      <calculatedColumnFormula>SUMIFS(tabela_registros[VALOR],tabela_registros[MÊS],$AE$1,tabela_registros[DIA],reservafixaconsolidadofev[[#Headers],[10]],tabela_registros[REGISTRO],DADOS!$N$3,tabela_registros[TIPO],DADOS!$V$3,tabela_registros[CATEGORIA],reservafixaconsolidadofev[[#This Row],[ATUAL]])</calculatedColumnFormula>
    </tableColumn>
    <tableColumn id="12" xr3:uid="{75DB5F76-0DD5-4C36-BA6C-3506BD9CF838}" name="11" totalsRowFunction="sum" dataDxfId="7954" totalsRowDxfId="7953" dataCellStyle="Moeda">
      <calculatedColumnFormula>SUMIFS(tabela_registros[VALOR],tabela_registros[MÊS],$AE$1,tabela_registros[DIA],reservafixaconsolidadofev[[#Headers],[11]],tabela_registros[REGISTRO],DADOS!$N$3,tabela_registros[TIPO],DADOS!$V$3,tabela_registros[CATEGORIA],reservafixaconsolidadofev[[#This Row],[ATUAL]])</calculatedColumnFormula>
    </tableColumn>
    <tableColumn id="13" xr3:uid="{811E90F5-16A2-4D4C-A929-DB738B9AF590}" name="12" totalsRowFunction="sum" dataDxfId="7952" totalsRowDxfId="7951" dataCellStyle="Moeda">
      <calculatedColumnFormula>SUMIFS(tabela_registros[VALOR],tabela_registros[MÊS],$AE$1,tabela_registros[DIA],reservafixaconsolidadofev[[#Headers],[12]],tabela_registros[REGISTRO],DADOS!$N$3,tabela_registros[TIPO],DADOS!$V$3,tabela_registros[CATEGORIA],reservafixaconsolidadofev[[#This Row],[ATUAL]])</calculatedColumnFormula>
    </tableColumn>
    <tableColumn id="14" xr3:uid="{B8DC0731-B7C4-4ABB-81DB-8974E1AE9B77}" name="13" totalsRowFunction="sum" dataDxfId="7950" totalsRowDxfId="7949" dataCellStyle="Moeda">
      <calculatedColumnFormula>SUMIFS(tabela_registros[VALOR],tabela_registros[MÊS],$AE$1,tabela_registros[DIA],reservafixaconsolidadofev[[#Headers],[13]],tabela_registros[REGISTRO],DADOS!$N$3,tabela_registros[TIPO],DADOS!$V$3,tabela_registros[CATEGORIA],reservafixaconsolidadofev[[#This Row],[ATUAL]])</calculatedColumnFormula>
    </tableColumn>
    <tableColumn id="15" xr3:uid="{F31AA328-A6A9-4804-BC09-7C935DF3BA4D}" name="14" totalsRowFunction="sum" dataDxfId="7948" totalsRowDxfId="7947" dataCellStyle="Moeda">
      <calculatedColumnFormula>SUMIFS(tabela_registros[VALOR],tabela_registros[MÊS],$AE$1,tabela_registros[DIA],reservafixaconsolidadofev[[#Headers],[14]],tabela_registros[REGISTRO],DADOS!$N$3,tabela_registros[TIPO],DADOS!$V$3,tabela_registros[CATEGORIA],reservafixaconsolidadofev[[#This Row],[ATUAL]])</calculatedColumnFormula>
    </tableColumn>
    <tableColumn id="16" xr3:uid="{E0007641-F4CD-4871-A5A6-0BF930249844}" name="15" totalsRowFunction="sum" dataDxfId="7946" totalsRowDxfId="7945" dataCellStyle="Moeda">
      <calculatedColumnFormula>SUMIFS(tabela_registros[VALOR],tabela_registros[MÊS],$AE$1,tabela_registros[DIA],reservafixaconsolidadofev[[#Headers],[15]],tabela_registros[REGISTRO],DADOS!$N$3,tabela_registros[TIPO],DADOS!$V$3,tabela_registros[CATEGORIA],reservafixaconsolidadofev[[#This Row],[ATUAL]])</calculatedColumnFormula>
    </tableColumn>
    <tableColumn id="17" xr3:uid="{2CD1645E-DE74-4B92-A651-D424EE89D2F0}" name="16" totalsRowFunction="sum" dataDxfId="7944" totalsRowDxfId="7943" dataCellStyle="Moeda">
      <calculatedColumnFormula>SUMIFS(tabela_registros[VALOR],tabela_registros[MÊS],$AE$1,tabela_registros[DIA],reservafixaconsolidadofev[[#Headers],[16]],tabela_registros[REGISTRO],DADOS!$N$3,tabela_registros[TIPO],DADOS!$V$3,tabela_registros[CATEGORIA],reservafixaconsolidadofev[[#This Row],[ATUAL]])</calculatedColumnFormula>
    </tableColumn>
    <tableColumn id="18" xr3:uid="{6A61C2C6-F73E-4533-A61F-9D81C0D2BFB4}" name="17" totalsRowFunction="sum" dataDxfId="7942" totalsRowDxfId="7941" dataCellStyle="Moeda">
      <calculatedColumnFormula>SUMIFS(tabela_registros[VALOR],tabela_registros[MÊS],$AE$1,tabela_registros[DIA],reservafixaconsolidadofev[[#Headers],[17]],tabela_registros[REGISTRO],DADOS!$N$3,tabela_registros[TIPO],DADOS!$V$3,tabela_registros[CATEGORIA],reservafixaconsolidadofev[[#This Row],[ATUAL]])</calculatedColumnFormula>
    </tableColumn>
    <tableColumn id="19" xr3:uid="{D1E28B54-3533-43F7-8BA7-08CCC8FA3F32}" name="18" totalsRowFunction="sum" dataDxfId="7940" totalsRowDxfId="7939" dataCellStyle="Moeda">
      <calculatedColumnFormula>SUMIFS(tabela_registros[VALOR],tabela_registros[MÊS],$AE$1,tabela_registros[DIA],reservafixaconsolidadofev[[#Headers],[18]],tabela_registros[REGISTRO],DADOS!$N$3,tabela_registros[TIPO],DADOS!$V$3,tabela_registros[CATEGORIA],reservafixaconsolidadofev[[#This Row],[ATUAL]])</calculatedColumnFormula>
    </tableColumn>
    <tableColumn id="20" xr3:uid="{25F5B2DD-A60E-45FD-B34B-9321F38F7275}" name="19" totalsRowFunction="sum" dataDxfId="7938" totalsRowDxfId="7937" dataCellStyle="Moeda">
      <calculatedColumnFormula>SUMIFS(tabela_registros[VALOR],tabela_registros[MÊS],$AE$1,tabela_registros[DIA],reservafixaconsolidadofev[[#Headers],[19]],tabela_registros[REGISTRO],DADOS!$N$3,tabela_registros[TIPO],DADOS!$V$3,tabela_registros[CATEGORIA],reservafixaconsolidadofev[[#This Row],[ATUAL]])</calculatedColumnFormula>
    </tableColumn>
    <tableColumn id="21" xr3:uid="{A07E220F-0B95-4615-8635-8AC3BBB9F81C}" name="20" totalsRowFunction="sum" dataDxfId="7936" totalsRowDxfId="7935" dataCellStyle="Moeda">
      <calculatedColumnFormula>SUMIFS(tabela_registros[VALOR],tabela_registros[MÊS],$AE$1,tabela_registros[DIA],reservafixaconsolidadofev[[#Headers],[20]],tabela_registros[REGISTRO],DADOS!$N$3,tabela_registros[TIPO],DADOS!$V$3,tabela_registros[CATEGORIA],reservafixaconsolidadofev[[#This Row],[ATUAL]])</calculatedColumnFormula>
    </tableColumn>
    <tableColumn id="22" xr3:uid="{8CE688F2-AF56-4279-A225-10900EE48A08}" name="21" totalsRowFunction="sum" dataDxfId="7934" totalsRowDxfId="7933" dataCellStyle="Moeda">
      <calculatedColumnFormula>SUMIFS(tabela_registros[VALOR],tabela_registros[MÊS],$AE$1,tabela_registros[DIA],reservafixaconsolidadofev[[#Headers],[21]],tabela_registros[REGISTRO],DADOS!$N$3,tabela_registros[TIPO],DADOS!$V$3,tabela_registros[CATEGORIA],reservafixaconsolidadofev[[#This Row],[ATUAL]])</calculatedColumnFormula>
    </tableColumn>
    <tableColumn id="23" xr3:uid="{9E3876AB-CEF0-4D2A-A58F-6034E4243CC3}" name="22" totalsRowFunction="sum" dataDxfId="7932" totalsRowDxfId="7931" dataCellStyle="Moeda">
      <calculatedColumnFormula>SUMIFS(tabela_registros[VALOR],tabela_registros[MÊS],$AE$1,tabela_registros[DIA],reservafixaconsolidadofev[[#Headers],[22]],tabela_registros[REGISTRO],DADOS!$N$3,tabela_registros[TIPO],DADOS!$V$3,tabela_registros[CATEGORIA],reservafixaconsolidadofev[[#This Row],[ATUAL]])</calculatedColumnFormula>
    </tableColumn>
    <tableColumn id="24" xr3:uid="{B682E533-C6BE-4AA3-9475-B3CEC0CB1B82}" name="23" totalsRowFunction="sum" dataDxfId="7930" totalsRowDxfId="7929" dataCellStyle="Moeda">
      <calculatedColumnFormula>SUMIFS(tabela_registros[VALOR],tabela_registros[MÊS],$AE$1,tabela_registros[DIA],reservafixaconsolidadofev[[#Headers],[23]],tabela_registros[REGISTRO],DADOS!$N$3,tabela_registros[TIPO],DADOS!$V$3,tabela_registros[CATEGORIA],reservafixaconsolidadofev[[#This Row],[ATUAL]])</calculatedColumnFormula>
    </tableColumn>
    <tableColumn id="25" xr3:uid="{299BDA8C-99C0-40CC-9425-DB266B2C25E6}" name="24" totalsRowFunction="sum" dataDxfId="7928" totalsRowDxfId="7927" dataCellStyle="Moeda">
      <calculatedColumnFormula>SUMIFS(tabela_registros[VALOR],tabela_registros[MÊS],$AE$1,tabela_registros[DIA],reservafixaconsolidadofev[[#Headers],[24]],tabela_registros[REGISTRO],DADOS!$N$3,tabela_registros[TIPO],DADOS!$V$3,tabela_registros[CATEGORIA],reservafixaconsolidadofev[[#This Row],[ATUAL]])</calculatedColumnFormula>
    </tableColumn>
    <tableColumn id="26" xr3:uid="{90F19360-6DEC-4D2A-B9E5-87C6E788CB3A}" name="25" totalsRowFunction="sum" dataDxfId="7926" totalsRowDxfId="7925" dataCellStyle="Moeda">
      <calculatedColumnFormula>SUMIFS(tabela_registros[VALOR],tabela_registros[MÊS],$AE$1,tabela_registros[DIA],reservafixaconsolidadofev[[#Headers],[25]],tabela_registros[REGISTRO],DADOS!$N$3,tabela_registros[TIPO],DADOS!$V$3,tabela_registros[CATEGORIA],reservafixaconsolidadofev[[#This Row],[ATUAL]])</calculatedColumnFormula>
    </tableColumn>
    <tableColumn id="27" xr3:uid="{1D5D8697-625A-469A-BD72-584C9E94D758}" name="26" totalsRowFunction="sum" dataDxfId="7924" totalsRowDxfId="7923" dataCellStyle="Moeda">
      <calculatedColumnFormula>SUMIFS(tabela_registros[VALOR],tabela_registros[MÊS],$AE$1,tabela_registros[DIA],reservafixaconsolidadofev[[#Headers],[26]],tabela_registros[REGISTRO],DADOS!$N$3,tabela_registros[TIPO],DADOS!$V$3,tabela_registros[CATEGORIA],reservafixaconsolidadofev[[#This Row],[ATUAL]])</calculatedColumnFormula>
    </tableColumn>
    <tableColumn id="28" xr3:uid="{90A6321F-A0B9-41E6-BF82-3301FDF47F88}" name="27" totalsRowFunction="sum" dataDxfId="7922" totalsRowDxfId="7921" dataCellStyle="Moeda">
      <calculatedColumnFormula>SUMIFS(tabela_registros[VALOR],tabela_registros[MÊS],$AE$1,tabela_registros[DIA],reservafixaconsolidadofev[[#Headers],[27]],tabela_registros[REGISTRO],DADOS!$N$3,tabela_registros[TIPO],DADOS!$V$3,tabela_registros[CATEGORIA],reservafixaconsolidadofev[[#This Row],[ATUAL]])</calculatedColumnFormula>
    </tableColumn>
    <tableColumn id="29" xr3:uid="{50990E8B-E869-4CCD-AB2E-2DBA13F72664}" name="28" totalsRowFunction="sum" dataDxfId="7920" totalsRowDxfId="7919" dataCellStyle="Moeda">
      <calculatedColumnFormula>SUMIFS(tabela_registros[VALOR],tabela_registros[MÊS],$AE$1,tabela_registros[DIA],reservafixaconsolidadofev[[#Headers],[28]],tabela_registros[REGISTRO],DADOS!$N$3,tabela_registros[TIPO],DADOS!$V$3,tabela_registros[CATEGORIA],reservafixaconsolidadofev[[#This Row],[ATUAL]])</calculatedColumnFormula>
    </tableColumn>
    <tableColumn id="30" xr3:uid="{687AA848-1E9A-4240-AB12-0D064E25F00A}" name="29" totalsRowFunction="sum" dataDxfId="7918" totalsRowDxfId="7917" dataCellStyle="Moeda">
      <calculatedColumnFormula>SUMIFS(tabela_registros[VALOR],tabela_registros[MÊS],$AE$1,tabela_registros[DIA],reservafixaconsolidadofev[[#Headers],[29]],tabela_registros[REGISTRO],DADOS!$N$3,tabela_registros[TIPO],DADOS!$V$3,tabela_registros[CATEGORIA],reservafixaconsolidadofev[[#This Row],[ATUAL]])</calculatedColumnFormula>
    </tableColumn>
    <tableColumn id="31" xr3:uid="{3A9CE7CB-E8C6-4BB4-A001-E7B210CA1756}" name="30" totalsRowFunction="sum" dataDxfId="7916" totalsRowDxfId="7915" dataCellStyle="Moeda">
      <calculatedColumnFormula>SUMIFS(tabela_registros[VALOR],tabela_registros[MÊS],$AE$1,tabela_registros[DIA],reservafixaconsolidadofev[[#Headers],[30]],tabela_registros[REGISTRO],DADOS!$N$3,tabela_registros[TIPO],DADOS!$V$3,tabela_registros[CATEGORIA],reservafixaconsolidadofev[[#This Row],[ATUAL]])</calculatedColumnFormula>
    </tableColumn>
    <tableColumn id="32" xr3:uid="{E0CF2748-1B4B-479D-9946-F80EFB156D76}" name="31" totalsRowFunction="sum" dataDxfId="7914" totalsRowDxfId="7913" dataCellStyle="Moeda">
      <calculatedColumnFormula>SUMIFS(tabela_registros[VALOR],tabela_registros[MÊS],$AE$1,tabela_registros[DIA],reservafixaconsolidadofev[[#Headers],[31]],tabela_registros[REGISTRO],DADOS!$N$3,tabela_registros[TIPO],DADOS!$V$3,tabela_registros[CATEGORIA],reservafixaconsolidadofev[[#This Row],[ATUAL]])</calculatedColumnFormula>
    </tableColumn>
    <tableColumn id="33" xr3:uid="{06CF72D6-9F12-43F0-9F78-3EFAFF56E50B}" name="TOTAL (R$)" totalsRowFunction="sum" dataDxfId="7912" dataCellStyle="Moeda">
      <calculatedColumnFormula>SUM(reservafixaconsolidadofev[[#This Row],[1]:[31]])</calculatedColumnFormula>
    </tableColumn>
  </tableColumns>
  <tableStyleInfo name="TABELAS RESULTADOS" showFirstColumn="0" showLastColumn="0" showRowStripes="1" showColumnStripes="0"/>
</table>
</file>

<file path=xl/tables/table3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8" xr:uid="{6EAA2518-43E3-4156-9A16-865100C88D4B}" name="reservavariáveisconsolidadofev" displayName="reservavariáveisconsolidadofev" ref="C186:AJ197" headerRowDxfId="7911" dataDxfId="7910" totalsRowDxfId="7909">
  <autoFilter ref="C186:AJ197" xr:uid="{D1B0BC4A-55A7-40F2-94A1-407E95E214F4}"/>
  <tableColumns count="34">
    <tableColumn id="1" xr3:uid="{7BEC4EF8-55F8-4985-9E09-D3E8FB0B4AA9}" name="ATUAL" totalsRowLabel="SALDO" dataDxfId="7908"/>
    <tableColumn id="34" xr3:uid="{EDEE6388-05CD-4465-9578-7099DAEA22B7}" name="Coluna1" dataDxfId="7907" totalsRowDxfId="7906">
      <calculatedColumnFormula>IF(reservavariáveisconsolidadofev[[#This Row],[TOTAL (R$)]]=0,"",IF(OR(reservavariáveisconsolidadofev[[#This Row],[TOTAL (R$)]]=LARGE($AJ$187:$AJ$196,1),reservavariáveisconsolidadofev[[#This Row],[TOTAL (R$)]]=LARGE($AJ$187:$AJ$196,2)),DADOS!$I$11,""))</calculatedColumnFormula>
    </tableColumn>
    <tableColumn id="2" xr3:uid="{3670FEC0-AA6A-41DA-A578-23AB57FB8139}" name="1" totalsRowFunction="sum" dataDxfId="7905" dataCellStyle="Moeda"/>
    <tableColumn id="3" xr3:uid="{2B912930-ECB9-4709-AE5C-BA6C3B24D8E9}" name="2" totalsRowFunction="sum" dataDxfId="7904" dataCellStyle="Moeda">
      <calculatedColumnFormula>SUMIFS(tabela_registros[VALOR],tabela_registros[MÊS],$AE$1,tabela_registros[DIA],reservavariáveisconsolidadofev[[#Headers],[2]],tabela_registros[REGISTRO],DADOS!$N$3,tabela_registros[TIPO],DADOS!$V$3,tabela_registros[CATEGORIA],reservavariáveisconsolidadofev[[#This Row],[ATUAL]])</calculatedColumnFormula>
    </tableColumn>
    <tableColumn id="4" xr3:uid="{F6D5A235-0114-49D5-A73E-A7C83A03F2DC}" name="3" totalsRowFunction="sum" dataDxfId="7903" totalsRowDxfId="7902" dataCellStyle="Moeda">
      <calculatedColumnFormula>SUMIFS(tabela_registros[VALOR],tabela_registros[MÊS],$AE$1,tabela_registros[DIA],reservavariáveisconsolidadofev[[#Headers],[3]],tabela_registros[REGISTRO],DADOS!$N$3,tabela_registros[TIPO],DADOS!$V$3,tabela_registros[CATEGORIA],reservavariáveisconsolidadofev[[#This Row],[ATUAL]])</calculatedColumnFormula>
    </tableColumn>
    <tableColumn id="5" xr3:uid="{4DEA85B0-FA51-441F-A8A0-008DC9B53088}" name="4" totalsRowFunction="sum" dataDxfId="7901" totalsRowDxfId="7900" dataCellStyle="Moeda">
      <calculatedColumnFormula>SUMIFS(tabela_registros[VALOR],tabela_registros[MÊS],$AE$1,tabela_registros[DIA],reservavariáveisconsolidadofev[[#Headers],[4]],tabela_registros[REGISTRO],DADOS!$N$3,tabela_registros[TIPO],DADOS!$V$3,tabela_registros[CATEGORIA],reservavariáveisconsolidadofev[[#This Row],[ATUAL]])</calculatedColumnFormula>
    </tableColumn>
    <tableColumn id="6" xr3:uid="{D7A68073-7BEF-463F-9D4E-28824F0A245E}" name="5" totalsRowFunction="sum" dataDxfId="7899" totalsRowDxfId="7898" dataCellStyle="Moeda">
      <calculatedColumnFormula>SUMIFS(tabela_registros[VALOR],tabela_registros[MÊS],$AE$1,tabela_registros[DIA],reservavariáveisconsolidadofev[[#Headers],[5]],tabela_registros[REGISTRO],DADOS!$N$3,tabela_registros[TIPO],DADOS!$V$3,tabela_registros[CATEGORIA],reservavariáveisconsolidadofev[[#This Row],[ATUAL]])</calculatedColumnFormula>
    </tableColumn>
    <tableColumn id="7" xr3:uid="{839B4113-56B4-4733-A701-6B002C5848E7}" name="6" totalsRowFunction="sum" dataDxfId="7897" totalsRowDxfId="7896" dataCellStyle="Moeda">
      <calculatedColumnFormula>SUMIFS(tabela_registros[VALOR],tabela_registros[MÊS],$AE$1,tabela_registros[DIA],reservavariáveisconsolidadofev[[#Headers],[6]],tabela_registros[REGISTRO],DADOS!$N$3,tabela_registros[TIPO],DADOS!$V$3,tabela_registros[CATEGORIA],reservavariáveisconsolidadofev[[#This Row],[ATUAL]])</calculatedColumnFormula>
    </tableColumn>
    <tableColumn id="8" xr3:uid="{5EC6CC02-71C2-4C89-9A87-84299D840A93}" name="7" totalsRowFunction="sum" dataDxfId="7895" totalsRowDxfId="7894" dataCellStyle="Moeda">
      <calculatedColumnFormula>SUMIFS(tabela_registros[VALOR],tabela_registros[MÊS],$AE$1,tabela_registros[DIA],reservavariáveisconsolidadofev[[#Headers],[7]],tabela_registros[REGISTRO],DADOS!$N$3,tabela_registros[TIPO],DADOS!$V$3,tabela_registros[CATEGORIA],reservavariáveisconsolidadofev[[#This Row],[ATUAL]])</calculatedColumnFormula>
    </tableColumn>
    <tableColumn id="9" xr3:uid="{4310BCC6-7801-41A6-A65B-1DDE1568F1F4}" name="8" totalsRowFunction="sum" dataDxfId="7893" totalsRowDxfId="7892" dataCellStyle="Moeda">
      <calculatedColumnFormula>SUMIFS(tabela_registros[VALOR],tabela_registros[MÊS],$AE$1,tabela_registros[DIA],reservavariáveisconsolidadofev[[#Headers],[8]],tabela_registros[REGISTRO],DADOS!$N$3,tabela_registros[TIPO],DADOS!$V$3,tabela_registros[CATEGORIA],reservavariáveisconsolidadofev[[#This Row],[ATUAL]])</calculatedColumnFormula>
    </tableColumn>
    <tableColumn id="10" xr3:uid="{346F4F3D-24FB-4A2F-A16C-8037481AC7E0}" name="9" totalsRowFunction="sum" dataDxfId="7891" totalsRowDxfId="7890" dataCellStyle="Moeda">
      <calculatedColumnFormula>SUMIFS(tabela_registros[VALOR],tabela_registros[MÊS],$AE$1,tabela_registros[DIA],reservavariáveisconsolidadofev[[#Headers],[9]],tabela_registros[REGISTRO],DADOS!$N$3,tabela_registros[TIPO],DADOS!$V$3,tabela_registros[CATEGORIA],reservavariáveisconsolidadofev[[#This Row],[ATUAL]])</calculatedColumnFormula>
    </tableColumn>
    <tableColumn id="11" xr3:uid="{CE571552-3581-4B12-8747-5F9D6CFE03F8}" name="10" totalsRowFunction="sum" dataDxfId="7889" totalsRowDxfId="7888" dataCellStyle="Moeda">
      <calculatedColumnFormula>SUMIFS(tabela_registros[VALOR],tabela_registros[MÊS],$AE$1,tabela_registros[DIA],reservavariáveisconsolidadofev[[#Headers],[10]],tabela_registros[REGISTRO],DADOS!$N$3,tabela_registros[TIPO],DADOS!$V$3,tabela_registros[CATEGORIA],reservavariáveisconsolidadofev[[#This Row],[ATUAL]])</calculatedColumnFormula>
    </tableColumn>
    <tableColumn id="12" xr3:uid="{D5A29F9C-34F9-47E0-9243-7F02A6268E8C}" name="11" totalsRowFunction="sum" dataDxfId="7887" totalsRowDxfId="7886" dataCellStyle="Moeda">
      <calculatedColumnFormula>SUMIFS(tabela_registros[VALOR],tabela_registros[MÊS],$AE$1,tabela_registros[DIA],reservavariáveisconsolidadofev[[#Headers],[11]],tabela_registros[REGISTRO],DADOS!$N$3,tabela_registros[TIPO],DADOS!$V$3,tabela_registros[CATEGORIA],reservavariáveisconsolidadofev[[#This Row],[ATUAL]])</calculatedColumnFormula>
    </tableColumn>
    <tableColumn id="13" xr3:uid="{4CE77716-418F-4BEA-A4C4-B1EAA8F4CBE4}" name="12" totalsRowFunction="sum" dataDxfId="7885" totalsRowDxfId="7884" dataCellStyle="Moeda">
      <calculatedColumnFormula>SUMIFS(tabela_registros[VALOR],tabela_registros[MÊS],$AE$1,tabela_registros[DIA],reservavariáveisconsolidadofev[[#Headers],[12]],tabela_registros[REGISTRO],DADOS!$N$3,tabela_registros[TIPO],DADOS!$V$3,tabela_registros[CATEGORIA],reservavariáveisconsolidadofev[[#This Row],[ATUAL]])</calculatedColumnFormula>
    </tableColumn>
    <tableColumn id="14" xr3:uid="{1DBF76FD-9B53-432D-BE89-B9F22B614FDA}" name="13" totalsRowFunction="sum" dataDxfId="7883" totalsRowDxfId="7882" dataCellStyle="Moeda">
      <calculatedColumnFormula>SUMIFS(tabela_registros[VALOR],tabela_registros[MÊS],$AE$1,tabela_registros[DIA],reservavariáveisconsolidadofev[[#Headers],[13]],tabela_registros[REGISTRO],DADOS!$N$3,tabela_registros[TIPO],DADOS!$V$3,tabela_registros[CATEGORIA],reservavariáveisconsolidadofev[[#This Row],[ATUAL]])</calculatedColumnFormula>
    </tableColumn>
    <tableColumn id="15" xr3:uid="{703EF3C2-9EBD-45AE-A6D6-AB099C865DC8}" name="14" totalsRowFunction="sum" dataDxfId="7881" totalsRowDxfId="7880" dataCellStyle="Moeda">
      <calculatedColumnFormula>SUMIFS(tabela_registros[VALOR],tabela_registros[MÊS],$AE$1,tabela_registros[DIA],reservavariáveisconsolidadofev[[#Headers],[14]],tabela_registros[REGISTRO],DADOS!$N$3,tabela_registros[TIPO],DADOS!$V$3,tabela_registros[CATEGORIA],reservavariáveisconsolidadofev[[#This Row],[ATUAL]])</calculatedColumnFormula>
    </tableColumn>
    <tableColumn id="16" xr3:uid="{F114FCF2-461A-4826-A28C-47CC2D4400A5}" name="15" totalsRowFunction="sum" dataDxfId="7879" totalsRowDxfId="7878" dataCellStyle="Moeda">
      <calculatedColumnFormula>SUMIFS(tabela_registros[VALOR],tabela_registros[MÊS],$AE$1,tabela_registros[DIA],reservavariáveisconsolidadofev[[#Headers],[15]],tabela_registros[REGISTRO],DADOS!$N$3,tabela_registros[TIPO],DADOS!$V$3,tabela_registros[CATEGORIA],reservavariáveisconsolidadofev[[#This Row],[ATUAL]])</calculatedColumnFormula>
    </tableColumn>
    <tableColumn id="17" xr3:uid="{364881A6-926E-4976-8446-C6953FFB7CDD}" name="16" totalsRowFunction="sum" dataDxfId="7877" totalsRowDxfId="7876" dataCellStyle="Moeda">
      <calculatedColumnFormula>SUMIFS(tabela_registros[VALOR],tabela_registros[MÊS],$AE$1,tabela_registros[DIA],reservavariáveisconsolidadofev[[#Headers],[16]],tabela_registros[REGISTRO],DADOS!$N$3,tabela_registros[TIPO],DADOS!$V$3,tabela_registros[CATEGORIA],reservavariáveisconsolidadofev[[#This Row],[ATUAL]])</calculatedColumnFormula>
    </tableColumn>
    <tableColumn id="18" xr3:uid="{0E80B2C1-D778-4F8D-A7C8-81417607FDEF}" name="17" totalsRowFunction="sum" dataDxfId="7875" totalsRowDxfId="7874" dataCellStyle="Moeda">
      <calculatedColumnFormula>SUMIFS(tabela_registros[VALOR],tabela_registros[MÊS],$AE$1,tabela_registros[DIA],reservavariáveisconsolidadofev[[#Headers],[17]],tabela_registros[REGISTRO],DADOS!$N$3,tabela_registros[TIPO],DADOS!$V$3,tabela_registros[CATEGORIA],reservavariáveisconsolidadofev[[#This Row],[ATUAL]])</calculatedColumnFormula>
    </tableColumn>
    <tableColumn id="19" xr3:uid="{561CA4BC-DFF3-4C8B-88C9-062DEAD63B72}" name="18" totalsRowFunction="sum" dataDxfId="7873" totalsRowDxfId="7872" dataCellStyle="Moeda">
      <calculatedColumnFormula>SUMIFS(tabela_registros[VALOR],tabela_registros[MÊS],$AE$1,tabela_registros[DIA],reservavariáveisconsolidadofev[[#Headers],[18]],tabela_registros[REGISTRO],DADOS!$N$3,tabela_registros[TIPO],DADOS!$V$3,tabela_registros[CATEGORIA],reservavariáveisconsolidadofev[[#This Row],[ATUAL]])</calculatedColumnFormula>
    </tableColumn>
    <tableColumn id="20" xr3:uid="{E258DB68-1531-4189-B274-29B44EC7B4FC}" name="19" totalsRowFunction="sum" dataDxfId="7871" totalsRowDxfId="7870" dataCellStyle="Moeda">
      <calculatedColumnFormula>SUMIFS(tabela_registros[VALOR],tabela_registros[MÊS],$AE$1,tabela_registros[DIA],reservavariáveisconsolidadofev[[#Headers],[19]],tabela_registros[REGISTRO],DADOS!$N$3,tabela_registros[TIPO],DADOS!$V$3,tabela_registros[CATEGORIA],reservavariáveisconsolidadofev[[#This Row],[ATUAL]])</calculatedColumnFormula>
    </tableColumn>
    <tableColumn id="21" xr3:uid="{ED8DACC1-B329-446C-9D37-98EAFFBCE332}" name="20" totalsRowFunction="sum" dataDxfId="7869" totalsRowDxfId="7868" dataCellStyle="Moeda">
      <calculatedColumnFormula>SUMIFS(tabela_registros[VALOR],tabela_registros[MÊS],$AE$1,tabela_registros[DIA],reservavariáveisconsolidadofev[[#Headers],[20]],tabela_registros[REGISTRO],DADOS!$N$3,tabela_registros[TIPO],DADOS!$V$3,tabela_registros[CATEGORIA],reservavariáveisconsolidadofev[[#This Row],[ATUAL]])</calculatedColumnFormula>
    </tableColumn>
    <tableColumn id="22" xr3:uid="{AA214BB8-5292-4DAC-A28F-624B51479C53}" name="21" totalsRowFunction="sum" dataDxfId="7867" totalsRowDxfId="7866" dataCellStyle="Moeda">
      <calculatedColumnFormula>SUMIFS(tabela_registros[VALOR],tabela_registros[MÊS],$AE$1,tabela_registros[DIA],reservavariáveisconsolidadofev[[#Headers],[21]],tabela_registros[REGISTRO],DADOS!$N$3,tabela_registros[TIPO],DADOS!$V$3,tabela_registros[CATEGORIA],reservavariáveisconsolidadofev[[#This Row],[ATUAL]])</calculatedColumnFormula>
    </tableColumn>
    <tableColumn id="23" xr3:uid="{97FF76AC-0C36-47F4-8426-EF8DE25FBD4E}" name="22" totalsRowFunction="sum" dataDxfId="7865" totalsRowDxfId="7864" dataCellStyle="Moeda">
      <calculatedColumnFormula>SUMIFS(tabela_registros[VALOR],tabela_registros[MÊS],$AE$1,tabela_registros[DIA],reservavariáveisconsolidadofev[[#Headers],[22]],tabela_registros[REGISTRO],DADOS!$N$3,tabela_registros[TIPO],DADOS!$V$3,tabela_registros[CATEGORIA],reservavariáveisconsolidadofev[[#This Row],[ATUAL]])</calculatedColumnFormula>
    </tableColumn>
    <tableColumn id="24" xr3:uid="{D95B51C5-FAB9-41BA-AB36-8E87191FD22A}" name="23" totalsRowFunction="sum" dataDxfId="7863" totalsRowDxfId="7862" dataCellStyle="Moeda">
      <calculatedColumnFormula>SUMIFS(tabela_registros[VALOR],tabela_registros[MÊS],$AE$1,tabela_registros[DIA],reservavariáveisconsolidadofev[[#Headers],[23]],tabela_registros[REGISTRO],DADOS!$N$3,tabela_registros[TIPO],DADOS!$V$3,tabela_registros[CATEGORIA],reservavariáveisconsolidadofev[[#This Row],[ATUAL]])</calculatedColumnFormula>
    </tableColumn>
    <tableColumn id="25" xr3:uid="{197BE734-1C50-4AA0-BF72-C4BC30B70F53}" name="24" totalsRowFunction="sum" dataDxfId="7861" totalsRowDxfId="7860" dataCellStyle="Moeda">
      <calculatedColumnFormula>SUMIFS(tabela_registros[VALOR],tabela_registros[MÊS],$AE$1,tabela_registros[DIA],reservavariáveisconsolidadofev[[#Headers],[24]],tabela_registros[REGISTRO],DADOS!$N$3,tabela_registros[TIPO],DADOS!$V$3,tabela_registros[CATEGORIA],reservavariáveisconsolidadofev[[#This Row],[ATUAL]])</calculatedColumnFormula>
    </tableColumn>
    <tableColumn id="26" xr3:uid="{7E63AEBC-700E-46AB-BF26-2C94A0A010A7}" name="25" totalsRowFunction="sum" dataDxfId="7859" totalsRowDxfId="7858" dataCellStyle="Moeda">
      <calculatedColumnFormula>SUMIFS(tabela_registros[VALOR],tabela_registros[MÊS],$AE$1,tabela_registros[DIA],reservavariáveisconsolidadofev[[#Headers],[25]],tabela_registros[REGISTRO],DADOS!$N$3,tabela_registros[TIPO],DADOS!$V$3,tabela_registros[CATEGORIA],reservavariáveisconsolidadofev[[#This Row],[ATUAL]])</calculatedColumnFormula>
    </tableColumn>
    <tableColumn id="27" xr3:uid="{97502456-FD12-4A12-A4C5-EDC7647F750B}" name="26" totalsRowFunction="sum" dataDxfId="7857" totalsRowDxfId="7856" dataCellStyle="Moeda">
      <calculatedColumnFormula>SUMIFS(tabela_registros[VALOR],tabela_registros[MÊS],$AE$1,tabela_registros[DIA],reservavariáveisconsolidadofev[[#Headers],[26]],tabela_registros[REGISTRO],DADOS!$N$3,tabela_registros[TIPO],DADOS!$V$3,tabela_registros[CATEGORIA],reservavariáveisconsolidadofev[[#This Row],[ATUAL]])</calculatedColumnFormula>
    </tableColumn>
    <tableColumn id="28" xr3:uid="{F40F6D56-125F-4F55-93BF-7BFAB84F4EC7}" name="27" totalsRowFunction="sum" dataDxfId="7855" totalsRowDxfId="7854" dataCellStyle="Moeda">
      <calculatedColumnFormula>SUMIFS(tabela_registros[VALOR],tabela_registros[MÊS],$AE$1,tabela_registros[DIA],reservavariáveisconsolidadofev[[#Headers],[27]],tabela_registros[REGISTRO],DADOS!$N$3,tabela_registros[TIPO],DADOS!$V$3,tabela_registros[CATEGORIA],reservavariáveisconsolidadofev[[#This Row],[ATUAL]])</calculatedColumnFormula>
    </tableColumn>
    <tableColumn id="29" xr3:uid="{4BFB9C56-3706-4031-8343-5172D08BBF5B}" name="28" totalsRowFunction="sum" dataDxfId="7853" totalsRowDxfId="7852" dataCellStyle="Moeda">
      <calculatedColumnFormula>SUMIFS(tabela_registros[VALOR],tabela_registros[MÊS],$AE$1,tabela_registros[DIA],reservavariáveisconsolidadofev[[#Headers],[28]],tabela_registros[REGISTRO],DADOS!$N$3,tabela_registros[TIPO],DADOS!$V$3,tabela_registros[CATEGORIA],reservavariáveisconsolidadofev[[#This Row],[ATUAL]])</calculatedColumnFormula>
    </tableColumn>
    <tableColumn id="30" xr3:uid="{EC871CCE-3867-44D0-98CE-DB63BAF16F43}" name="29" totalsRowFunction="sum" dataDxfId="7851" totalsRowDxfId="7850" dataCellStyle="Moeda">
      <calculatedColumnFormula>SUMIFS(tabela_registros[VALOR],tabela_registros[MÊS],$AE$1,tabela_registros[DIA],reservavariáveisconsolidadofev[[#Headers],[29]],tabela_registros[REGISTRO],DADOS!$N$3,tabela_registros[TIPO],DADOS!$V$3,tabela_registros[CATEGORIA],reservavariáveisconsolidadofev[[#This Row],[ATUAL]])</calculatedColumnFormula>
    </tableColumn>
    <tableColumn id="31" xr3:uid="{0D157CF7-6BE4-42EB-978F-F166A837647C}" name="30" totalsRowFunction="sum" dataDxfId="7849" totalsRowDxfId="7848" dataCellStyle="Moeda">
      <calculatedColumnFormula>SUMIFS(tabela_registros[VALOR],tabela_registros[MÊS],$AE$1,tabela_registros[DIA],reservavariáveisconsolidadofev[[#Headers],[30]],tabela_registros[REGISTRO],DADOS!$N$3,tabela_registros[TIPO],DADOS!$V$3,tabela_registros[CATEGORIA],reservavariáveisconsolidadofev[[#This Row],[ATUAL]])</calculatedColumnFormula>
    </tableColumn>
    <tableColumn id="32" xr3:uid="{7371847F-D09F-419E-B5F1-F7EC1E46C2E2}" name="31" totalsRowFunction="sum" dataDxfId="7847" totalsRowDxfId="7846" dataCellStyle="Moeda">
      <calculatedColumnFormula>SUMIFS(tabela_registros[VALOR],tabela_registros[MÊS],$AE$1,tabela_registros[DIA],reservavariáveisconsolidadofev[[#Headers],[31]],tabela_registros[REGISTRO],DADOS!$N$3,tabela_registros[TIPO],DADOS!$V$3,tabela_registros[CATEGORIA],reservavariáveisconsolidadofev[[#This Row],[ATUAL]])</calculatedColumnFormula>
    </tableColumn>
    <tableColumn id="33" xr3:uid="{974A448F-0D0B-4488-8686-0DF2A48195A7}" name="TOTAL (R$)" totalsRowFunction="sum" dataDxfId="7845" dataCellStyle="Moeda">
      <calculatedColumnFormula>SUM(reservavariáveisconsolidadofev[[#This Row],[1]:[31]])</calculatedColumnFormula>
    </tableColumn>
  </tableColumns>
  <tableStyleInfo name="TABELAS RESULTADOS" showFirstColumn="0" showLastColumn="0" showRowStripes="1" showColumnStripes="0"/>
</table>
</file>

<file path=xl/tables/table3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9" xr:uid="{928CD022-CC04-4B5C-B4FA-4820C5CE5359}" name="reservaoutrosconsolidadofev" displayName="reservaoutrosconsolidadofev" ref="C205:AJ214" headerRowDxfId="7844" dataDxfId="7843" totalsRowDxfId="7842">
  <autoFilter ref="C205:AJ214" xr:uid="{9335CBAF-4490-44EE-A508-E6F2F3B6C6F1}"/>
  <tableColumns count="34">
    <tableColumn id="1" xr3:uid="{DE8A76CE-30C1-4B0B-83A9-1D9C3A20599B}" name="ATUAL" totalsRowLabel="SALDO" dataDxfId="7841"/>
    <tableColumn id="34" xr3:uid="{7C2315AE-EAAD-490D-92E0-FD9EF2A7E505}" name="Coluna1" dataDxfId="7840" totalsRowDxfId="7839">
      <calculatedColumnFormula>IF(reservaoutrosconsolidadofev[[#This Row],[TOTAL (R$)]]=0,"",IF(OR(reservaoutrosconsolidadofev[[#This Row],[TOTAL (R$)]]=LARGE($AJ$206:$AJ$213,1),reservaoutrosconsolidadofev[[#This Row],[TOTAL (R$)]]=LARGE($AJ$206:$AJ$213,2)),DADOS!$I$11,""))</calculatedColumnFormula>
    </tableColumn>
    <tableColumn id="2" xr3:uid="{AF0CB8B2-4E36-4F3D-93ED-04D782B8FBDF}" name="1" totalsRowFunction="sum" dataDxfId="7838" dataCellStyle="Moeda"/>
    <tableColumn id="3" xr3:uid="{F3442FCB-801F-4C99-B3E3-CF16CE48C37D}" name="2" totalsRowFunction="sum" dataDxfId="7837" dataCellStyle="Moeda">
      <calculatedColumnFormula>SUMIFS(tabela_registros[VALOR],tabela_registros[MÊS],$AE$1,tabela_registros[DIA],reservaoutrosconsolidadofev[[#Headers],[2]],tabela_registros[REGISTRO],DADOS!$N$3,tabela_registros[TIPO],DADOS!$V$3,tabela_registros[CATEGORIA],reservaoutrosconsolidadofev[[#This Row],[ATUAL]])</calculatedColumnFormula>
    </tableColumn>
    <tableColumn id="4" xr3:uid="{0D38FA25-F03D-4BA9-9CE7-3E7258288A5C}" name="3" totalsRowFunction="sum" dataDxfId="7836" totalsRowDxfId="7835" dataCellStyle="Moeda">
      <calculatedColumnFormula>SUMIFS(tabela_registros[VALOR],tabela_registros[MÊS],$AE$1,tabela_registros[DIA],reservaoutrosconsolidadofev[[#Headers],[3]],tabela_registros[REGISTRO],DADOS!$N$3,tabela_registros[TIPO],DADOS!$V$3,tabela_registros[CATEGORIA],reservaoutrosconsolidadofev[[#This Row],[ATUAL]])</calculatedColumnFormula>
    </tableColumn>
    <tableColumn id="5" xr3:uid="{B5B3E0FD-9ABF-4192-A932-A0DDFCF22107}" name="4" totalsRowFunction="sum" dataDxfId="7834" totalsRowDxfId="7833" dataCellStyle="Moeda">
      <calculatedColumnFormula>SUMIFS(tabela_registros[VALOR],tabela_registros[MÊS],$AE$1,tabela_registros[DIA],reservaoutrosconsolidadofev[[#Headers],[4]],tabela_registros[REGISTRO],DADOS!$N$3,tabela_registros[TIPO],DADOS!$V$3,tabela_registros[CATEGORIA],reservaoutrosconsolidadofev[[#This Row],[ATUAL]])</calculatedColumnFormula>
    </tableColumn>
    <tableColumn id="6" xr3:uid="{4630FEB6-40B6-491D-94FB-8B8652522731}" name="5" totalsRowFunction="sum" dataDxfId="7832" totalsRowDxfId="7831" dataCellStyle="Moeda">
      <calculatedColumnFormula>SUMIFS(tabela_registros[VALOR],tabela_registros[MÊS],$AE$1,tabela_registros[DIA],reservaoutrosconsolidadofev[[#Headers],[5]],tabela_registros[REGISTRO],DADOS!$N$3,tabela_registros[TIPO],DADOS!$V$3,tabela_registros[CATEGORIA],reservaoutrosconsolidadofev[[#This Row],[ATUAL]])</calculatedColumnFormula>
    </tableColumn>
    <tableColumn id="7" xr3:uid="{B53F96A5-2231-4319-9551-8DBE737BEB55}" name="6" totalsRowFunction="sum" dataDxfId="7830" totalsRowDxfId="7829" dataCellStyle="Moeda">
      <calculatedColumnFormula>SUMIFS(tabela_registros[VALOR],tabela_registros[MÊS],$AE$1,tabela_registros[DIA],reservaoutrosconsolidadofev[[#Headers],[6]],tabela_registros[REGISTRO],DADOS!$N$3,tabela_registros[TIPO],DADOS!$V$3,tabela_registros[CATEGORIA],reservaoutrosconsolidadofev[[#This Row],[ATUAL]])</calculatedColumnFormula>
    </tableColumn>
    <tableColumn id="8" xr3:uid="{63D5294B-CC9D-4E35-9116-9E25FA34A402}" name="7" totalsRowFunction="sum" dataDxfId="7828" totalsRowDxfId="7827" dataCellStyle="Moeda">
      <calculatedColumnFormula>SUMIFS(tabela_registros[VALOR],tabela_registros[MÊS],$AE$1,tabela_registros[DIA],reservaoutrosconsolidadofev[[#Headers],[7]],tabela_registros[REGISTRO],DADOS!$N$3,tabela_registros[TIPO],DADOS!$V$3,tabela_registros[CATEGORIA],reservaoutrosconsolidadofev[[#This Row],[ATUAL]])</calculatedColumnFormula>
    </tableColumn>
    <tableColumn id="9" xr3:uid="{2431BCED-E21C-4AE2-AA71-13B009AB30B9}" name="8" totalsRowFunction="sum" dataDxfId="7826" totalsRowDxfId="7825" dataCellStyle="Moeda">
      <calculatedColumnFormula>SUMIFS(tabela_registros[VALOR],tabela_registros[MÊS],$AE$1,tabela_registros[DIA],reservaoutrosconsolidadofev[[#Headers],[8]],tabela_registros[REGISTRO],DADOS!$N$3,tabela_registros[TIPO],DADOS!$V$3,tabela_registros[CATEGORIA],reservaoutrosconsolidadofev[[#This Row],[ATUAL]])</calculatedColumnFormula>
    </tableColumn>
    <tableColumn id="10" xr3:uid="{61A76575-7D49-46CC-9448-DC48DC5D4D98}" name="9" totalsRowFunction="sum" dataDxfId="7824" totalsRowDxfId="7823" dataCellStyle="Moeda">
      <calculatedColumnFormula>SUMIFS(tabela_registros[VALOR],tabela_registros[MÊS],$AE$1,tabela_registros[DIA],reservaoutrosconsolidadofev[[#Headers],[9]],tabela_registros[REGISTRO],DADOS!$N$3,tabela_registros[TIPO],DADOS!$V$3,tabela_registros[CATEGORIA],reservaoutrosconsolidadofev[[#This Row],[ATUAL]])</calculatedColumnFormula>
    </tableColumn>
    <tableColumn id="11" xr3:uid="{4A096808-EC3E-4807-A901-5F4F96DA6A28}" name="10" totalsRowFunction="sum" dataDxfId="7822" totalsRowDxfId="7821" dataCellStyle="Moeda">
      <calculatedColumnFormula>SUMIFS(tabela_registros[VALOR],tabela_registros[MÊS],$AE$1,tabela_registros[DIA],reservaoutrosconsolidadofev[[#Headers],[10]],tabela_registros[REGISTRO],DADOS!$N$3,tabela_registros[TIPO],DADOS!$V$3,tabela_registros[CATEGORIA],reservaoutrosconsolidadofev[[#This Row],[ATUAL]])</calculatedColumnFormula>
    </tableColumn>
    <tableColumn id="12" xr3:uid="{7BC7DD4A-D0A3-4BBD-894F-DF80AB5E5C02}" name="11" totalsRowFunction="sum" dataDxfId="7820" totalsRowDxfId="7819" dataCellStyle="Moeda">
      <calculatedColumnFormula>SUMIFS(tabela_registros[VALOR],tabela_registros[MÊS],$AE$1,tabela_registros[DIA],reservaoutrosconsolidadofev[[#Headers],[11]],tabela_registros[REGISTRO],DADOS!$N$3,tabela_registros[TIPO],DADOS!$V$3,tabela_registros[CATEGORIA],reservaoutrosconsolidadofev[[#This Row],[ATUAL]])</calculatedColumnFormula>
    </tableColumn>
    <tableColumn id="13" xr3:uid="{B8CE4952-3E29-40B0-A4D5-7F563082B684}" name="12" totalsRowFunction="sum" dataDxfId="7818" totalsRowDxfId="7817" dataCellStyle="Moeda">
      <calculatedColumnFormula>SUMIFS(tabela_registros[VALOR],tabela_registros[MÊS],$AE$1,tabela_registros[DIA],reservaoutrosconsolidadofev[[#Headers],[12]],tabela_registros[REGISTRO],DADOS!$N$3,tabela_registros[TIPO],DADOS!$V$3,tabela_registros[CATEGORIA],reservaoutrosconsolidadofev[[#This Row],[ATUAL]])</calculatedColumnFormula>
    </tableColumn>
    <tableColumn id="14" xr3:uid="{EEFDDC74-057A-43C7-8DA0-1130410A5DE3}" name="13" totalsRowFunction="sum" dataDxfId="7816" totalsRowDxfId="7815" dataCellStyle="Moeda">
      <calculatedColumnFormula>SUMIFS(tabela_registros[VALOR],tabela_registros[MÊS],$AE$1,tabela_registros[DIA],reservaoutrosconsolidadofev[[#Headers],[13]],tabela_registros[REGISTRO],DADOS!$N$3,tabela_registros[TIPO],DADOS!$V$3,tabela_registros[CATEGORIA],reservaoutrosconsolidadofev[[#This Row],[ATUAL]])</calculatedColumnFormula>
    </tableColumn>
    <tableColumn id="15" xr3:uid="{188ADCA7-0272-47CF-B01B-F9A4B6B95BE5}" name="14" totalsRowFunction="sum" dataDxfId="7814" totalsRowDxfId="7813" dataCellStyle="Moeda">
      <calculatedColumnFormula>SUMIFS(tabela_registros[VALOR],tabela_registros[MÊS],$AE$1,tabela_registros[DIA],reservaoutrosconsolidadofev[[#Headers],[14]],tabela_registros[REGISTRO],DADOS!$N$3,tabela_registros[TIPO],DADOS!$V$3,tabela_registros[CATEGORIA],reservaoutrosconsolidadofev[[#This Row],[ATUAL]])</calculatedColumnFormula>
    </tableColumn>
    <tableColumn id="16" xr3:uid="{D0F1690F-B257-43E0-9FB3-5AF341611175}" name="15" totalsRowFunction="sum" dataDxfId="7812" totalsRowDxfId="7811" dataCellStyle="Moeda">
      <calculatedColumnFormula>SUMIFS(tabela_registros[VALOR],tabela_registros[MÊS],$AE$1,tabela_registros[DIA],reservaoutrosconsolidadofev[[#Headers],[15]],tabela_registros[REGISTRO],DADOS!$N$3,tabela_registros[TIPO],DADOS!$V$3,tabela_registros[CATEGORIA],reservaoutrosconsolidadofev[[#This Row],[ATUAL]])</calculatedColumnFormula>
    </tableColumn>
    <tableColumn id="17" xr3:uid="{0ADCFA34-A003-4D24-B3CC-11EF0C560546}" name="16" totalsRowFunction="sum" dataDxfId="7810" totalsRowDxfId="7809" dataCellStyle="Moeda">
      <calculatedColumnFormula>SUMIFS(tabela_registros[VALOR],tabela_registros[MÊS],$AE$1,tabela_registros[DIA],reservaoutrosconsolidadofev[[#Headers],[16]],tabela_registros[REGISTRO],DADOS!$N$3,tabela_registros[TIPO],DADOS!$V$3,tabela_registros[CATEGORIA],reservaoutrosconsolidadofev[[#This Row],[ATUAL]])</calculatedColumnFormula>
    </tableColumn>
    <tableColumn id="18" xr3:uid="{66B2E32E-1734-4250-812C-D4380D5757FC}" name="17" totalsRowFunction="sum" dataDxfId="7808" totalsRowDxfId="7807" dataCellStyle="Moeda">
      <calculatedColumnFormula>SUMIFS(tabela_registros[VALOR],tabela_registros[MÊS],$AE$1,tabela_registros[DIA],reservaoutrosconsolidadofev[[#Headers],[17]],tabela_registros[REGISTRO],DADOS!$N$3,tabela_registros[TIPO],DADOS!$V$3,tabela_registros[CATEGORIA],reservaoutrosconsolidadofev[[#This Row],[ATUAL]])</calculatedColumnFormula>
    </tableColumn>
    <tableColumn id="19" xr3:uid="{3D7D16A6-D5C0-4A83-AA10-0CBE6C37FF0E}" name="18" totalsRowFunction="sum" dataDxfId="7806" totalsRowDxfId="7805" dataCellStyle="Moeda">
      <calculatedColumnFormula>SUMIFS(tabela_registros[VALOR],tabela_registros[MÊS],$AE$1,tabela_registros[DIA],reservaoutrosconsolidadofev[[#Headers],[18]],tabela_registros[REGISTRO],DADOS!$N$3,tabela_registros[TIPO],DADOS!$V$3,tabela_registros[CATEGORIA],reservaoutrosconsolidadofev[[#This Row],[ATUAL]])</calculatedColumnFormula>
    </tableColumn>
    <tableColumn id="20" xr3:uid="{74DFA4EB-5C76-46A2-9649-40B5E0B86C0E}" name="19" totalsRowFunction="sum" dataDxfId="7804" totalsRowDxfId="7803" dataCellStyle="Moeda">
      <calculatedColumnFormula>SUMIFS(tabela_registros[VALOR],tabela_registros[MÊS],$AE$1,tabela_registros[DIA],reservaoutrosconsolidadofev[[#Headers],[19]],tabela_registros[REGISTRO],DADOS!$N$3,tabela_registros[TIPO],DADOS!$V$3,tabela_registros[CATEGORIA],reservaoutrosconsolidadofev[[#This Row],[ATUAL]])</calculatedColumnFormula>
    </tableColumn>
    <tableColumn id="21" xr3:uid="{3641B428-3FDE-4B44-971C-2B63F5B7A3D5}" name="20" totalsRowFunction="sum" dataDxfId="7802" totalsRowDxfId="7801" dataCellStyle="Moeda">
      <calculatedColumnFormula>SUMIFS(tabela_registros[VALOR],tabela_registros[MÊS],$AE$1,tabela_registros[DIA],reservaoutrosconsolidadofev[[#Headers],[20]],tabela_registros[REGISTRO],DADOS!$N$3,tabela_registros[TIPO],DADOS!$V$3,tabela_registros[CATEGORIA],reservaoutrosconsolidadofev[[#This Row],[ATUAL]])</calculatedColumnFormula>
    </tableColumn>
    <tableColumn id="22" xr3:uid="{0F561916-624B-4DF3-A9DE-46C70B09E707}" name="21" totalsRowFunction="sum" dataDxfId="7800" totalsRowDxfId="7799" dataCellStyle="Moeda">
      <calculatedColumnFormula>SUMIFS(tabela_registros[VALOR],tabela_registros[MÊS],$AE$1,tabela_registros[DIA],reservaoutrosconsolidadofev[[#Headers],[21]],tabela_registros[REGISTRO],DADOS!$N$3,tabela_registros[TIPO],DADOS!$V$3,tabela_registros[CATEGORIA],reservaoutrosconsolidadofev[[#This Row],[ATUAL]])</calculatedColumnFormula>
    </tableColumn>
    <tableColumn id="23" xr3:uid="{A5765330-0783-42CA-A289-CE73B220F75B}" name="22" totalsRowFunction="sum" dataDxfId="7798" totalsRowDxfId="7797" dataCellStyle="Moeda">
      <calculatedColumnFormula>SUMIFS(tabela_registros[VALOR],tabela_registros[MÊS],$AE$1,tabela_registros[DIA],reservaoutrosconsolidadofev[[#Headers],[22]],tabela_registros[REGISTRO],DADOS!$N$3,tabela_registros[TIPO],DADOS!$V$3,tabela_registros[CATEGORIA],reservaoutrosconsolidadofev[[#This Row],[ATUAL]])</calculatedColumnFormula>
    </tableColumn>
    <tableColumn id="24" xr3:uid="{720ACE21-EC0E-4F7A-A620-517BAFD3BB39}" name="23" totalsRowFunction="sum" dataDxfId="7796" totalsRowDxfId="7795" dataCellStyle="Moeda">
      <calculatedColumnFormula>SUMIFS(tabela_registros[VALOR],tabela_registros[MÊS],$AE$1,tabela_registros[DIA],reservaoutrosconsolidadofev[[#Headers],[23]],tabela_registros[REGISTRO],DADOS!$N$3,tabela_registros[TIPO],DADOS!$V$3,tabela_registros[CATEGORIA],reservaoutrosconsolidadofev[[#This Row],[ATUAL]])</calculatedColumnFormula>
    </tableColumn>
    <tableColumn id="25" xr3:uid="{E9585332-5CB0-458C-85F1-9AEBAA4D5B70}" name="24" totalsRowFunction="sum" dataDxfId="7794" totalsRowDxfId="7793" dataCellStyle="Moeda">
      <calculatedColumnFormula>SUMIFS(tabela_registros[VALOR],tabela_registros[MÊS],$AE$1,tabela_registros[DIA],reservaoutrosconsolidadofev[[#Headers],[24]],tabela_registros[REGISTRO],DADOS!$N$3,tabela_registros[TIPO],DADOS!$V$3,tabela_registros[CATEGORIA],reservaoutrosconsolidadofev[[#This Row],[ATUAL]])</calculatedColumnFormula>
    </tableColumn>
    <tableColumn id="26" xr3:uid="{7F0BADDF-A1AE-4A04-9EFB-6D7E74E42432}" name="25" totalsRowFunction="sum" dataDxfId="7792" totalsRowDxfId="7791" dataCellStyle="Moeda">
      <calculatedColumnFormula>SUMIFS(tabela_registros[VALOR],tabela_registros[MÊS],$AE$1,tabela_registros[DIA],reservaoutrosconsolidadofev[[#Headers],[25]],tabela_registros[REGISTRO],DADOS!$N$3,tabela_registros[TIPO],DADOS!$V$3,tabela_registros[CATEGORIA],reservaoutrosconsolidadofev[[#This Row],[ATUAL]])</calculatedColumnFormula>
    </tableColumn>
    <tableColumn id="27" xr3:uid="{6B2150E0-CCBB-4E7F-A0F1-FA203BD65E0C}" name="26" totalsRowFunction="sum" dataDxfId="7790" totalsRowDxfId="7789" dataCellStyle="Moeda">
      <calculatedColumnFormula>SUMIFS(tabela_registros[VALOR],tabela_registros[MÊS],$AE$1,tabela_registros[DIA],reservaoutrosconsolidadofev[[#Headers],[26]],tabela_registros[REGISTRO],DADOS!$N$3,tabela_registros[TIPO],DADOS!$V$3,tabela_registros[CATEGORIA],reservaoutrosconsolidadofev[[#This Row],[ATUAL]])</calculatedColumnFormula>
    </tableColumn>
    <tableColumn id="28" xr3:uid="{D9CCB9C4-FE03-4628-8E5C-08D937BBAB89}" name="27" totalsRowFunction="sum" dataDxfId="7788" totalsRowDxfId="7787" dataCellStyle="Moeda">
      <calculatedColumnFormula>SUMIFS(tabela_registros[VALOR],tabela_registros[MÊS],$AE$1,tabela_registros[DIA],reservaoutrosconsolidadofev[[#Headers],[27]],tabela_registros[REGISTRO],DADOS!$N$3,tabela_registros[TIPO],DADOS!$V$3,tabela_registros[CATEGORIA],reservaoutrosconsolidadofev[[#This Row],[ATUAL]])</calculatedColumnFormula>
    </tableColumn>
    <tableColumn id="29" xr3:uid="{B0177F40-4E0F-4960-9C50-8182A2798585}" name="28" totalsRowFunction="sum" dataDxfId="7786" totalsRowDxfId="7785" dataCellStyle="Moeda">
      <calculatedColumnFormula>SUMIFS(tabela_registros[VALOR],tabela_registros[MÊS],$AE$1,tabela_registros[DIA],reservaoutrosconsolidadofev[[#Headers],[28]],tabela_registros[REGISTRO],DADOS!$N$3,tabela_registros[TIPO],DADOS!$V$3,tabela_registros[CATEGORIA],reservaoutrosconsolidadofev[[#This Row],[ATUAL]])</calculatedColumnFormula>
    </tableColumn>
    <tableColumn id="30" xr3:uid="{0D66978B-C9BC-44AC-9085-CA786D6C7BB1}" name="29" totalsRowFunction="sum" dataDxfId="7784" totalsRowDxfId="7783" dataCellStyle="Moeda">
      <calculatedColumnFormula>SUMIFS(tabela_registros[VALOR],tabela_registros[MÊS],$AE$1,tabela_registros[DIA],reservaoutrosconsolidadofev[[#Headers],[29]],tabela_registros[REGISTRO],DADOS!$N$3,tabela_registros[TIPO],DADOS!$V$3,tabela_registros[CATEGORIA],reservaoutrosconsolidadofev[[#This Row],[ATUAL]])</calculatedColumnFormula>
    </tableColumn>
    <tableColumn id="31" xr3:uid="{F4B7335F-AA3C-4ACF-99E4-CC4B910A661F}" name="30" totalsRowFunction="sum" dataDxfId="7782" totalsRowDxfId="7781" dataCellStyle="Moeda">
      <calculatedColumnFormula>SUMIFS(tabela_registros[VALOR],tabela_registros[MÊS],$AE$1,tabela_registros[DIA],reservaoutrosconsolidadofev[[#Headers],[30]],tabela_registros[REGISTRO],DADOS!$N$3,tabela_registros[TIPO],DADOS!$V$3,tabela_registros[CATEGORIA],reservaoutrosconsolidadofev[[#This Row],[ATUAL]])</calculatedColumnFormula>
    </tableColumn>
    <tableColumn id="32" xr3:uid="{374CF00F-60F8-4665-B825-535282142681}" name="31" totalsRowFunction="sum" dataDxfId="7780" totalsRowDxfId="7779" dataCellStyle="Moeda">
      <calculatedColumnFormula>SUMIFS(tabela_registros[VALOR],tabela_registros[MÊS],$AE$1,tabela_registros[DIA],reservaoutrosconsolidadofev[[#Headers],[31]],tabela_registros[REGISTRO],DADOS!$N$3,tabela_registros[TIPO],DADOS!$V$3,tabela_registros[CATEGORIA],reservaoutrosconsolidadofev[[#This Row],[ATUAL]])</calculatedColumnFormula>
    </tableColumn>
    <tableColumn id="33" xr3:uid="{12FE0408-5014-4B49-AE05-6CDB61302FD3}" name="TOTAL (R$)" totalsRowFunction="sum" dataDxfId="7778" dataCellStyle="Moeda">
      <calculatedColumnFormula>SUM(reservaoutrosconsolidadofev[[#This Row],[1]:[31]])</calculatedColumnFormula>
    </tableColumn>
  </tableColumns>
  <tableStyleInfo name="TABELAS RESULTADOS" showFirstColumn="0" showLastColumn="0" showRowStripes="1" showColumnStripes="0"/>
</table>
</file>

<file path=xl/tables/table3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6" xr:uid="{AF7ACA1E-85AE-4F6A-9AF9-F7E28B87068F}" name="despesafixaconsolidadomar" displayName="despesafixaconsolidadomar" ref="C36:AJ51" headerRowDxfId="7777" dataDxfId="7776" totalsRowDxfId="7775">
  <autoFilter ref="C36:AJ51" xr:uid="{5ADEFF0A-DF5A-4FC5-A9EC-68EEC14B5F43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  <filterColumn colId="25" hiddenButton="1"/>
    <filterColumn colId="26" hiddenButton="1"/>
    <filterColumn colId="27" hiddenButton="1"/>
    <filterColumn colId="28" hiddenButton="1"/>
    <filterColumn colId="29" hiddenButton="1"/>
    <filterColumn colId="30" hiddenButton="1"/>
    <filterColumn colId="31" hiddenButton="1"/>
    <filterColumn colId="32" hiddenButton="1"/>
    <filterColumn colId="33" hiddenButton="1"/>
  </autoFilter>
  <tableColumns count="34">
    <tableColumn id="1" xr3:uid="{C4FD10CB-646A-4859-9326-92FFFE8C4C7B}" name="DESPESA FIXA" totalsRowLabel="Total" dataDxfId="7774"/>
    <tableColumn id="42" xr3:uid="{59F5301D-7168-4431-9F7E-87D040193D2D}" name="Coluna1" dataDxfId="7773">
      <calculatedColumnFormula>IF(despesafixaconsolidadomar[[#This Row],[TOTAL]]=0,"",IF(OR(despesafixaconsolidadomar[[#This Row],[TOTAL]]=SMALL($AJ$37:$AJ$50,1),despesafixaconsolidadomar[[#This Row],[TOTAL]]=SMALL($AJ$37:$AJ$50,2),despesafixaconsolidadomar[[#This Row],[TOTAL]]=SMALL($AJ$37:$AJ$50,3),despesafixaconsolidadomar[[#This Row],[TOTAL]]=SMALL($AJ$37:$AJ$50,4),despesafixaconsolidadomar[[#This Row],[TOTAL]]=SMALL($AJ$37:$AJ$50,5)),DADOS!$I$8,""))</calculatedColumnFormula>
    </tableColumn>
    <tableColumn id="18" xr3:uid="{65583EF3-B7E7-4E21-B662-6F59E34A45D8}" name="1" totalsRowFunction="sum" dataDxfId="7772" dataCellStyle="Moeda">
      <calculatedColumnFormula>SUMIFS(tabela_registros[VALOR],tabela_registros[MÊS],$AE$1,tabela_registros[DIA],jantotal[[#Headers],[1]],tabela_registros[REGISTRO],DADOS!$N$4,tabela_registros[TIPO],DADOS!$P$3,tabela_registros[CATEGORIA],despesafixaconsolidadomar[[#This Row],[DESPESA FIXA]])</calculatedColumnFormula>
    </tableColumn>
    <tableColumn id="19" xr3:uid="{CB9972CC-A4C9-4F97-B499-8BF3E955BF79}" name="2" totalsRowFunction="sum" dataDxfId="7771" dataCellStyle="Moeda">
      <calculatedColumnFormula>SUMIFS(tabela_registros[VALOR],tabela_registros[MÊS],$AE$1,tabela_registros[DIA],jantotal[[#Headers],[2]],tabela_registros[REGISTRO],DADOS!$N$4,tabela_registros[TIPO],DADOS!$P$3,tabela_registros[CATEGORIA],despesafixaconsolidadomar[[#This Row],[DESPESA FIXA]])</calculatedColumnFormula>
    </tableColumn>
    <tableColumn id="20" xr3:uid="{111ED783-3317-45CC-87C7-D5CC3E675B5A}" name="3" totalsRowFunction="sum" dataDxfId="7770" totalsRowDxfId="7769" dataCellStyle="Moeda">
      <calculatedColumnFormula>SUMIFS(tabela_registros[VALOR],tabela_registros[MÊS],$AE$1,tabela_registros[DIA],jantotal[[#Headers],[3]],tabela_registros[REGISTRO],DADOS!$N$4,tabela_registros[TIPO],DADOS!$P$3,tabela_registros[CATEGORIA],despesafixaconsolidadomar[[#This Row],[DESPESA FIXA]])</calculatedColumnFormula>
    </tableColumn>
    <tableColumn id="21" xr3:uid="{4C1CD985-8E49-46B4-9CC8-31C6B9F425E9}" name="4" totalsRowFunction="sum" dataDxfId="7768" totalsRowDxfId="7767" dataCellStyle="Moeda">
      <calculatedColumnFormula>SUMIFS(tabela_registros[VALOR],tabela_registros[MÊS],$AE$1,tabela_registros[DIA],jantotal[[#Headers],[4]],tabela_registros[REGISTRO],DADOS!$N$4,tabela_registros[TIPO],DADOS!$P$3,tabela_registros[CATEGORIA],despesafixaconsolidadomar[[#This Row],[DESPESA FIXA]])</calculatedColumnFormula>
    </tableColumn>
    <tableColumn id="22" xr3:uid="{6D6C389E-DE53-40B0-836D-3CE3C3B76DD1}" name="5" totalsRowFunction="sum" dataDxfId="7766" totalsRowDxfId="7765" dataCellStyle="Moeda">
      <calculatedColumnFormula>SUMIFS(tabela_registros[VALOR],tabela_registros[MÊS],$AE$1,tabela_registros[DIA],jantotal[[#Headers],[5]],tabela_registros[REGISTRO],DADOS!$N$4,tabela_registros[TIPO],DADOS!$P$3,tabela_registros[CATEGORIA],despesafixaconsolidadomar[[#This Row],[DESPESA FIXA]])</calculatedColumnFormula>
    </tableColumn>
    <tableColumn id="23" xr3:uid="{D770FFCE-6594-42D3-8223-47B47CF74144}" name="6" totalsRowFunction="sum" dataDxfId="7764" totalsRowDxfId="7763" dataCellStyle="Moeda">
      <calculatedColumnFormula>SUMIFS(tabela_registros[VALOR],tabela_registros[MÊS],$AE$1,tabela_registros[DIA],jantotal[[#Headers],[6]],tabela_registros[REGISTRO],DADOS!$N$4,tabela_registros[TIPO],DADOS!$P$3,tabela_registros[CATEGORIA],despesafixaconsolidadomar[[#This Row],[DESPESA FIXA]])</calculatedColumnFormula>
    </tableColumn>
    <tableColumn id="24" xr3:uid="{F9B4560D-C96D-41CC-BA22-203A30051574}" name="7" totalsRowFunction="sum" dataDxfId="7762" totalsRowDxfId="7761" dataCellStyle="Moeda">
      <calculatedColumnFormula>SUMIFS(tabela_registros[VALOR],tabela_registros[MÊS],$AE$1,tabela_registros[DIA],jantotal[[#Headers],[7]],tabela_registros[REGISTRO],DADOS!$N$4,tabela_registros[TIPO],DADOS!$P$3,tabela_registros[CATEGORIA],despesafixaconsolidadomar[[#This Row],[DESPESA FIXA]])</calculatedColumnFormula>
    </tableColumn>
    <tableColumn id="25" xr3:uid="{EC8D3C22-CC00-4D0E-A469-F9AF88B5DAD7}" name="8" totalsRowFunction="sum" dataDxfId="7760" totalsRowDxfId="7759" dataCellStyle="Moeda">
      <calculatedColumnFormula>SUMIFS(tabela_registros[VALOR],tabela_registros[MÊS],$AE$1,tabela_registros[DIA],jantotal[[#Headers],[8]],tabela_registros[REGISTRO],DADOS!$N$4,tabela_registros[TIPO],DADOS!$P$3,tabela_registros[CATEGORIA],despesafixaconsolidadomar[[#This Row],[DESPESA FIXA]])</calculatedColumnFormula>
    </tableColumn>
    <tableColumn id="26" xr3:uid="{8DC6F0B5-9C92-4D83-AA11-9C1D1043EDB1}" name="9" totalsRowFunction="sum" dataDxfId="7758" totalsRowDxfId="7757" dataCellStyle="Moeda">
      <calculatedColumnFormula>SUMIFS(tabela_registros[VALOR],tabela_registros[MÊS],$AE$1,tabela_registros[DIA],jantotal[[#Headers],[9]],tabela_registros[REGISTRO],DADOS!$N$4,tabela_registros[TIPO],DADOS!$P$3,tabela_registros[CATEGORIA],despesafixaconsolidadomar[[#This Row],[DESPESA FIXA]])</calculatedColumnFormula>
    </tableColumn>
    <tableColumn id="27" xr3:uid="{65735141-E11C-4A55-8C1F-A91A758CD240}" name="10" totalsRowFunction="sum" dataDxfId="7756" totalsRowDxfId="7755" dataCellStyle="Moeda">
      <calculatedColumnFormula>SUMIFS(tabela_registros[VALOR],tabela_registros[MÊS],$AE$1,tabela_registros[DIA],jantotal[[#Headers],[10]],tabela_registros[REGISTRO],DADOS!$N$4,tabela_registros[TIPO],DADOS!$P$3,tabela_registros[CATEGORIA],despesafixaconsolidadomar[[#This Row],[DESPESA FIXA]])</calculatedColumnFormula>
    </tableColumn>
    <tableColumn id="28" xr3:uid="{9F7C913C-FACB-4D1A-A5AF-C4093BB91159}" name="11" totalsRowFunction="sum" dataDxfId="7754" totalsRowDxfId="7753" dataCellStyle="Moeda">
      <calculatedColumnFormula>SUMIFS(tabela_registros[VALOR],tabela_registros[MÊS],$AE$1,tabela_registros[DIA],jantotal[[#Headers],[11]],tabela_registros[REGISTRO],DADOS!$N$4,tabela_registros[TIPO],DADOS!$P$3,tabela_registros[CATEGORIA],despesafixaconsolidadomar[[#This Row],[DESPESA FIXA]])</calculatedColumnFormula>
    </tableColumn>
    <tableColumn id="29" xr3:uid="{1AF906E2-6668-4815-88CF-4F1A0C02657A}" name="12" totalsRowFunction="sum" dataDxfId="7752" totalsRowDxfId="7751" dataCellStyle="Moeda">
      <calculatedColumnFormula>SUMIFS(tabela_registros[VALOR],tabela_registros[MÊS],$AE$1,tabela_registros[DIA],jantotal[[#Headers],[12]],tabela_registros[REGISTRO],DADOS!$N$4,tabela_registros[TIPO],DADOS!$P$3,tabela_registros[CATEGORIA],despesafixaconsolidadomar[[#This Row],[DESPESA FIXA]])</calculatedColumnFormula>
    </tableColumn>
    <tableColumn id="30" xr3:uid="{B926E71B-0742-4800-A800-A9265576EC57}" name="13" totalsRowFunction="sum" dataDxfId="7750" totalsRowDxfId="7749" dataCellStyle="Moeda">
      <calculatedColumnFormula>SUMIFS(tabela_registros[VALOR],tabela_registros[MÊS],$AE$1,tabela_registros[DIA],jantotal[[#Headers],[13]],tabela_registros[REGISTRO],DADOS!$N$4,tabela_registros[TIPO],DADOS!$P$3,tabela_registros[CATEGORIA],despesafixaconsolidadomar[[#This Row],[DESPESA FIXA]])</calculatedColumnFormula>
    </tableColumn>
    <tableColumn id="31" xr3:uid="{950F10B0-19A9-48F8-8708-4D453F8FD01E}" name="14" totalsRowFunction="sum" dataDxfId="7748" totalsRowDxfId="7747" dataCellStyle="Moeda">
      <calculatedColumnFormula>SUMIFS(tabela_registros[VALOR],tabela_registros[MÊS],$AE$1,tabela_registros[DIA],jantotal[[#Headers],[14]],tabela_registros[REGISTRO],DADOS!$N$4,tabela_registros[TIPO],DADOS!$P$3,tabela_registros[CATEGORIA],despesafixaconsolidadomar[[#This Row],[DESPESA FIXA]])</calculatedColumnFormula>
    </tableColumn>
    <tableColumn id="32" xr3:uid="{B5AB9E32-B34B-4163-8A58-5C698D927F4B}" name="15" totalsRowFunction="sum" dataDxfId="7746" totalsRowDxfId="7745" dataCellStyle="Moeda">
      <calculatedColumnFormula>SUMIFS(tabela_registros[VALOR],tabela_registros[MÊS],$AE$1,tabela_registros[DIA],jantotal[[#Headers],[15]],tabela_registros[REGISTRO],DADOS!$N$4,tabela_registros[TIPO],DADOS!$P$3,tabela_registros[CATEGORIA],despesafixaconsolidadomar[[#This Row],[DESPESA FIXA]])</calculatedColumnFormula>
    </tableColumn>
    <tableColumn id="33" xr3:uid="{C2921143-60A7-4622-996F-DF9F41A7556C}" name="16" totalsRowFunction="sum" dataDxfId="7744" totalsRowDxfId="7743" dataCellStyle="Moeda">
      <calculatedColumnFormula>SUMIFS(tabela_registros[VALOR],tabela_registros[MÊS],$AE$1,tabela_registros[DIA],jantotal[[#Headers],[16]],tabela_registros[REGISTRO],DADOS!$N$4,tabela_registros[TIPO],DADOS!$P$3,tabela_registros[CATEGORIA],despesafixaconsolidadomar[[#This Row],[DESPESA FIXA]])</calculatedColumnFormula>
    </tableColumn>
    <tableColumn id="34" xr3:uid="{B7B570A5-E7DA-4AC6-94B3-63B8755FA4AE}" name="17" totalsRowFunction="sum" dataDxfId="7742" totalsRowDxfId="7741" dataCellStyle="Moeda">
      <calculatedColumnFormula>SUMIFS(tabela_registros[VALOR],tabela_registros[MÊS],$AE$1,tabela_registros[DIA],jantotal[[#Headers],[17]],tabela_registros[REGISTRO],DADOS!$N$4,tabela_registros[TIPO],DADOS!$P$3,tabela_registros[CATEGORIA],despesafixaconsolidadomar[[#This Row],[DESPESA FIXA]])</calculatedColumnFormula>
    </tableColumn>
    <tableColumn id="35" xr3:uid="{F27F772A-AEBD-408C-8B73-CD48291530BA}" name="18" totalsRowFunction="sum" dataDxfId="7740" totalsRowDxfId="7739" dataCellStyle="Moeda">
      <calculatedColumnFormula>SUMIFS(tabela_registros[VALOR],tabela_registros[MÊS],$AE$1,tabela_registros[DIA],jantotal[[#Headers],[18]],tabela_registros[REGISTRO],DADOS!$N$4,tabela_registros[TIPO],DADOS!$P$3,tabela_registros[CATEGORIA],despesafixaconsolidadomar[[#This Row],[DESPESA FIXA]])</calculatedColumnFormula>
    </tableColumn>
    <tableColumn id="36" xr3:uid="{C1231F56-DAFF-49DB-89D4-779E095453FF}" name="19" totalsRowFunction="sum" dataDxfId="7738" totalsRowDxfId="7737" dataCellStyle="Moeda">
      <calculatedColumnFormula>SUMIFS(tabela_registros[VALOR],tabela_registros[MÊS],$AE$1,tabela_registros[DIA],jantotal[[#Headers],[19]],tabela_registros[REGISTRO],DADOS!$N$4,tabela_registros[TIPO],DADOS!$P$3,tabela_registros[CATEGORIA],despesafixaconsolidadomar[[#This Row],[DESPESA FIXA]])</calculatedColumnFormula>
    </tableColumn>
    <tableColumn id="37" xr3:uid="{FD457D4E-9A9F-4824-9063-358B7658341E}" name="20" totalsRowFunction="sum" dataDxfId="7736" totalsRowDxfId="7735" dataCellStyle="Moeda">
      <calculatedColumnFormula>SUMIFS(tabela_registros[VALOR],tabela_registros[MÊS],$AE$1,tabela_registros[DIA],jantotal[[#Headers],[20]],tabela_registros[REGISTRO],DADOS!$N$4,tabela_registros[TIPO],DADOS!$P$3,tabela_registros[CATEGORIA],despesafixaconsolidadomar[[#This Row],[DESPESA FIXA]])</calculatedColumnFormula>
    </tableColumn>
    <tableColumn id="38" xr3:uid="{70255E4F-4C66-4C04-8DEE-57B1E4172045}" name="21" totalsRowFunction="sum" dataDxfId="7734" totalsRowDxfId="7733" dataCellStyle="Moeda">
      <calculatedColumnFormula>SUMIFS(tabela_registros[VALOR],tabela_registros[MÊS],$AE$1,tabela_registros[DIA],jantotal[[#Headers],[21]],tabela_registros[REGISTRO],DADOS!$N$4,tabela_registros[TIPO],DADOS!$P$3,tabela_registros[CATEGORIA],despesafixaconsolidadomar[[#This Row],[DESPESA FIXA]])</calculatedColumnFormula>
    </tableColumn>
    <tableColumn id="39" xr3:uid="{CB827843-C34D-4A33-A71E-2DAB3D5C86EF}" name="22" totalsRowFunction="sum" dataDxfId="7732" totalsRowDxfId="7731" dataCellStyle="Moeda">
      <calculatedColumnFormula>SUMIFS(tabela_registros[VALOR],tabela_registros[MÊS],$AE$1,tabela_registros[DIA],jantotal[[#Headers],[22]],tabela_registros[REGISTRO],DADOS!$N$4,tabela_registros[TIPO],DADOS!$P$3,tabela_registros[CATEGORIA],despesafixaconsolidadomar[[#This Row],[DESPESA FIXA]])</calculatedColumnFormula>
    </tableColumn>
    <tableColumn id="40" xr3:uid="{3A413CF1-D93B-40A9-82E9-3A8E0D5D6389}" name="23" totalsRowFunction="sum" dataDxfId="7730" totalsRowDxfId="7729" dataCellStyle="Moeda">
      <calculatedColumnFormula>SUMIFS(tabela_registros[VALOR],tabela_registros[MÊS],$AE$1,tabela_registros[DIA],jantotal[[#Headers],[23]],tabela_registros[REGISTRO],DADOS!$N$4,tabela_registros[TIPO],DADOS!$P$3,tabela_registros[CATEGORIA],despesafixaconsolidadomar[[#This Row],[DESPESA FIXA]])</calculatedColumnFormula>
    </tableColumn>
    <tableColumn id="41" xr3:uid="{BDB144A6-50B7-42F2-86DA-04D90B8F638C}" name="24" totalsRowFunction="sum" dataDxfId="7728" totalsRowDxfId="7727" dataCellStyle="Moeda">
      <calculatedColumnFormula>SUMIFS(tabela_registros[VALOR],tabela_registros[MÊS],$AE$1,tabela_registros[DIA],jantotal[[#Headers],[24]],tabela_registros[REGISTRO],DADOS!$N$4,tabela_registros[TIPO],DADOS!$P$3,tabela_registros[CATEGORIA],despesafixaconsolidadomar[[#This Row],[DESPESA FIXA]])</calculatedColumnFormula>
    </tableColumn>
    <tableColumn id="12" xr3:uid="{FD5640EE-C340-49B2-9D65-9BFF66F4D2B5}" name="25" totalsRowFunction="sum" dataDxfId="7726" totalsRowDxfId="7725" dataCellStyle="Moeda">
      <calculatedColumnFormula>SUMIFS(tabela_registros[VALOR],tabela_registros[MÊS],$AE$1,tabela_registros[DIA],jantotal[[#Headers],[25]],tabela_registros[REGISTRO],DADOS!$N$4,tabela_registros[TIPO],DADOS!$P$3,tabela_registros[CATEGORIA],despesafixaconsolidadomar[[#This Row],[DESPESA FIXA]])</calculatedColumnFormula>
    </tableColumn>
    <tableColumn id="13" xr3:uid="{60334163-E010-4FB0-8AAE-342824D1C73E}" name="26" totalsRowFunction="sum" dataDxfId="7724" totalsRowDxfId="7723" dataCellStyle="Moeda">
      <calculatedColumnFormula>SUMIFS(tabela_registros[VALOR],tabela_registros[MÊS],$AE$1,tabela_registros[DIA],jantotal[[#Headers],[26]],tabela_registros[REGISTRO],DADOS!$N$4,tabela_registros[TIPO],DADOS!$P$3,tabela_registros[CATEGORIA],despesafixaconsolidadomar[[#This Row],[DESPESA FIXA]])</calculatedColumnFormula>
    </tableColumn>
    <tableColumn id="14" xr3:uid="{9C4CA776-CB25-4BB1-8AE7-3DE332130C14}" name="27" totalsRowFunction="sum" dataDxfId="7722" totalsRowDxfId="7721" dataCellStyle="Moeda">
      <calculatedColumnFormula>SUMIFS(tabela_registros[VALOR],tabela_registros[MÊS],$AE$1,tabela_registros[DIA],jantotal[[#Headers],[27]],tabela_registros[REGISTRO],DADOS!$N$4,tabela_registros[TIPO],DADOS!$P$3,tabela_registros[CATEGORIA],despesafixaconsolidadomar[[#This Row],[DESPESA FIXA]])</calculatedColumnFormula>
    </tableColumn>
    <tableColumn id="15" xr3:uid="{E81981F8-6652-4CF6-9F07-ECBDA0940F17}" name="28" totalsRowFunction="sum" dataDxfId="7720" totalsRowDxfId="7719" dataCellStyle="Moeda">
      <calculatedColumnFormula>SUMIFS(tabela_registros[VALOR],tabela_registros[MÊS],$AE$1,tabela_registros[DIA],jantotal[[#Headers],[28]],tabela_registros[REGISTRO],DADOS!$N$4,tabela_registros[TIPO],DADOS!$P$3,tabela_registros[CATEGORIA],despesafixaconsolidadomar[[#This Row],[DESPESA FIXA]])</calculatedColumnFormula>
    </tableColumn>
    <tableColumn id="16" xr3:uid="{91D36A5B-0D8F-4915-A634-CCB204B733F8}" name="29" totalsRowFunction="sum" dataDxfId="7718" totalsRowDxfId="7717" dataCellStyle="Moeda">
      <calculatedColumnFormula>SUMIFS(tabela_registros[VALOR],tabela_registros[MÊS],$AE$1,tabela_registros[DIA],jantotal[[#Headers],[29]],tabela_registros[REGISTRO],DADOS!$N$4,tabela_registros[TIPO],DADOS!$P$3,tabela_registros[CATEGORIA],despesafixaconsolidadomar[[#This Row],[DESPESA FIXA]])</calculatedColumnFormula>
    </tableColumn>
    <tableColumn id="17" xr3:uid="{A8937061-24E1-4730-86B1-B74BE86AD096}" name="30" totalsRowFunction="sum" dataDxfId="7716" totalsRowDxfId="7715" dataCellStyle="Moeda">
      <calculatedColumnFormula>SUMIFS(tabela_registros[VALOR],tabela_registros[MÊS],$AE$1,tabela_registros[DIA],jantotal[[#Headers],[30]],tabela_registros[REGISTRO],DADOS!$N$4,tabela_registros[TIPO],DADOS!$P$3,tabela_registros[CATEGORIA],despesafixaconsolidadomar[[#This Row],[DESPESA FIXA]])</calculatedColumnFormula>
    </tableColumn>
    <tableColumn id="9" xr3:uid="{9085E57B-9265-440A-9C5C-B969CEFE269E}" name="31" totalsRowFunction="sum" dataDxfId="7714" totalsRowDxfId="7713" dataCellStyle="Moeda">
      <calculatedColumnFormula>SUMIFS(tabela_registros[VALOR],tabela_registros[MÊS],$AE$1,tabela_registros[DIA],jantotal[[#Headers],[31]],tabela_registros[REGISTRO],DADOS!$N$4,tabela_registros[TIPO],DADOS!$P$3,tabela_registros[CATEGORIA],despesafixaconsolidadomar[[#This Row],[DESPESA FIXA]])</calculatedColumnFormula>
    </tableColumn>
    <tableColumn id="5" xr3:uid="{78B3BC12-6831-4860-8A1D-E76699066639}" name="TOTAL" totalsRowFunction="sum" dataDxfId="7712" dataCellStyle="Moeda">
      <calculatedColumnFormula>SUM(despesafixaconsolidadomar[[#This Row],[1]:[31]])</calculatedColumnFormula>
    </tableColumn>
  </tableColumns>
  <tableStyleInfo name="TABELAS RESULTADOS" showFirstColumn="0" showLastColumn="1" showRowStripes="1" showColumnStripes="0"/>
</table>
</file>

<file path=xl/tables/table3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7" xr:uid="{DC316E25-6282-4FED-8265-132AC3DF6C12}" name="despesavariávelconsolidadomar" displayName="despesavariávelconsolidadomar" ref="C59:AJ73" headerRowDxfId="7711" dataDxfId="7710" totalsRowDxfId="7709" dataCellStyle="Moeda">
  <autoFilter ref="C59:AJ73" xr:uid="{07DB3A1D-DBCD-42BC-96FE-46512EDE2C70}"/>
  <tableColumns count="34">
    <tableColumn id="1" xr3:uid="{02C08CB8-B2BA-4FF6-A0E9-2BC771EF5C08}" name="DESPESA VARIÁVEL" totalsRowLabel="Total" dataDxfId="7708" totalsRowDxfId="7707">
      <calculatedColumnFormula>DADOS!T3</calculatedColumnFormula>
    </tableColumn>
    <tableColumn id="54" xr3:uid="{FF596ADC-A142-4C20-B046-46F467A873AE}" name="Coluna1" dataDxfId="7706" totalsRowDxfId="7705">
      <calculatedColumnFormula>IF(despesavariávelconsolidadomar[[#This Row],[TOTAL]]=0,"",IF(OR(despesavariávelconsolidadomar[[#This Row],[TOTAL]]=SMALL(despesavariávelconsolidadomar[TOTAL],1),despesavariávelconsolidadomar[[#This Row],[TOTAL]]=SMALL(despesavariávelconsolidadomar[TOTAL],2),despesavariávelconsolidadomar[[#This Row],[TOTAL]]=SMALL(despesavariávelconsolidadomar[TOTAL],3),despesavariávelconsolidadomar[[#This Row],[TOTAL]]=SMALL(despesavariávelconsolidadomar[TOTAL],4),despesavariávelconsolidadomar[[#This Row],[TOTAL]]=SMALL(despesavariávelconsolidadomar[TOTAL],5)),DADOS!$I$8,""))</calculatedColumnFormula>
    </tableColumn>
    <tableColumn id="30" xr3:uid="{239004C4-4EF1-43E4-8E30-082229D3E2AB}" name="1" totalsRowFunction="sum" dataDxfId="7704">
      <calculatedColumnFormula>SUMIFS(tabela_registros[VALOR],tabela_registros[MÊS],$AE$1,tabela_registros[DIA],jantotal[[#Headers],[1]],tabela_registros[REGISTRO],DADOS!$N$4,tabela_registros[TIPO],DADOS!$P$4,tabela_registros[CATEGORIA],despesavariávelconsolidadomar[[#This Row],[DESPESA VARIÁVEL]])</calculatedColumnFormula>
    </tableColumn>
    <tableColumn id="31" xr3:uid="{44E7EF59-328A-459F-B1BE-55DADCBABA56}" name="2" totalsRowFunction="sum" dataDxfId="7703">
      <calculatedColumnFormula>SUMIFS(tabela_registros[VALOR],tabela_registros[MÊS],$AE$1,tabela_registros[DIA],jantotal[[#Headers],[2]],tabela_registros[REGISTRO],DADOS!$N$4,tabela_registros[TIPO],DADOS!$P$4,tabela_registros[CATEGORIA],despesavariávelconsolidadomar[[#This Row],[DESPESA VARIÁVEL]])</calculatedColumnFormula>
    </tableColumn>
    <tableColumn id="32" xr3:uid="{B7CD0C35-5A32-46D3-AC16-ED2AFC1BC611}" name="3" totalsRowFunction="sum" dataDxfId="7702">
      <calculatedColumnFormula>SUMIFS(tabela_registros[VALOR],tabela_registros[MÊS],$AE$1,tabela_registros[DIA],jantotal[[#Headers],[3]],tabela_registros[REGISTRO],DADOS!$N$4,tabela_registros[TIPO],DADOS!$P$4,tabela_registros[CATEGORIA],despesavariávelconsolidadomar[[#This Row],[DESPESA VARIÁVEL]])</calculatedColumnFormula>
    </tableColumn>
    <tableColumn id="33" xr3:uid="{199BA52A-12A5-45B8-B4DD-06CEA4B8F36B}" name="4" totalsRowFunction="sum" dataDxfId="7701">
      <calculatedColumnFormula>SUMIFS(tabela_registros[VALOR],tabela_registros[MÊS],$AE$1,tabela_registros[DIA],jantotal[[#Headers],[4]],tabela_registros[REGISTRO],DADOS!$N$4,tabela_registros[TIPO],DADOS!$P$4,tabela_registros[CATEGORIA],despesavariávelconsolidadomar[[#This Row],[DESPESA VARIÁVEL]])</calculatedColumnFormula>
    </tableColumn>
    <tableColumn id="34" xr3:uid="{EDC85114-6ACB-4512-B28A-8621073C7803}" name="5" totalsRowFunction="sum" dataDxfId="7700">
      <calculatedColumnFormula>SUMIFS(tabela_registros[VALOR],tabela_registros[MÊS],$AE$1,tabela_registros[DIA],jantotal[[#Headers],[5]],tabela_registros[REGISTRO],DADOS!$N$4,tabela_registros[TIPO],DADOS!$P$4,tabela_registros[CATEGORIA],despesavariávelconsolidadomar[[#This Row],[DESPESA VARIÁVEL]])</calculatedColumnFormula>
    </tableColumn>
    <tableColumn id="35" xr3:uid="{8F3DD4E2-6DF1-46C3-8004-069A12D3352E}" name="6" totalsRowFunction="sum" dataDxfId="7699">
      <calculatedColumnFormula>SUMIFS(tabela_registros[VALOR],tabela_registros[MÊS],$AE$1,tabela_registros[DIA],jantotal[[#Headers],[6]],tabela_registros[REGISTRO],DADOS!$N$4,tabela_registros[TIPO],DADOS!$P$4,tabela_registros[CATEGORIA],despesavariávelconsolidadomar[[#This Row],[DESPESA VARIÁVEL]])</calculatedColumnFormula>
    </tableColumn>
    <tableColumn id="36" xr3:uid="{F49EA0D5-18C3-4675-AC28-685B9AC19328}" name="7" totalsRowFunction="sum" dataDxfId="7698">
      <calculatedColumnFormula>SUMIFS(tabela_registros[VALOR],tabela_registros[MÊS],$AE$1,tabela_registros[DIA],jantotal[[#Headers],[7]],tabela_registros[REGISTRO],DADOS!$N$4,tabela_registros[TIPO],DADOS!$P$4,tabela_registros[CATEGORIA],despesavariávelconsolidadomar[[#This Row],[DESPESA VARIÁVEL]])</calculatedColumnFormula>
    </tableColumn>
    <tableColumn id="37" xr3:uid="{B4EF3783-0B2A-42AA-847B-B9BA6681FE10}" name="8" totalsRowFunction="sum" dataDxfId="7697">
      <calculatedColumnFormula>SUMIFS(tabela_registros[VALOR],tabela_registros[MÊS],$AE$1,tabela_registros[DIA],jantotal[[#Headers],[8]],tabela_registros[REGISTRO],DADOS!$N$4,tabela_registros[TIPO],DADOS!$P$4,tabela_registros[CATEGORIA],despesavariávelconsolidadomar[[#This Row],[DESPESA VARIÁVEL]])</calculatedColumnFormula>
    </tableColumn>
    <tableColumn id="38" xr3:uid="{4519353B-EF66-43EB-B629-B7F1BA05B551}" name="9" totalsRowFunction="sum" dataDxfId="7696">
      <calculatedColumnFormula>SUMIFS(tabela_registros[VALOR],tabela_registros[MÊS],$AE$1,tabela_registros[DIA],jantotal[[#Headers],[9]],tabela_registros[REGISTRO],DADOS!$N$4,tabela_registros[TIPO],DADOS!$P$4,tabela_registros[CATEGORIA],despesavariávelconsolidadomar[[#This Row],[DESPESA VARIÁVEL]])</calculatedColumnFormula>
    </tableColumn>
    <tableColumn id="39" xr3:uid="{00C9013A-3553-41F5-AA38-76D06702F129}" name="10" totalsRowFunction="sum" dataDxfId="7695">
      <calculatedColumnFormula>SUMIFS(tabela_registros[VALOR],tabela_registros[MÊS],$AE$1,tabela_registros[DIA],jantotal[[#Headers],[10]],tabela_registros[REGISTRO],DADOS!$N$4,tabela_registros[TIPO],DADOS!$P$4,tabela_registros[CATEGORIA],despesavariávelconsolidadomar[[#This Row],[DESPESA VARIÁVEL]])</calculatedColumnFormula>
    </tableColumn>
    <tableColumn id="40" xr3:uid="{DDBB8C05-B276-4FBF-9520-6A50C28071B3}" name="11" totalsRowFunction="sum" dataDxfId="7694">
      <calculatedColumnFormula>SUMIFS(tabela_registros[VALOR],tabela_registros[MÊS],$AE$1,tabela_registros[DIA],jantotal[[#Headers],[11]],tabela_registros[REGISTRO],DADOS!$N$4,tabela_registros[TIPO],DADOS!$P$4,tabela_registros[CATEGORIA],despesavariávelconsolidadomar[[#This Row],[DESPESA VARIÁVEL]])</calculatedColumnFormula>
    </tableColumn>
    <tableColumn id="41" xr3:uid="{FBB8B17F-1572-4DDD-9605-9136A775F736}" name="12" totalsRowFunction="sum" dataDxfId="7693">
      <calculatedColumnFormula>SUMIFS(tabela_registros[VALOR],tabela_registros[MÊS],$AE$1,tabela_registros[DIA],jantotal[[#Headers],[12]],tabela_registros[REGISTRO],DADOS!$N$4,tabela_registros[TIPO],DADOS!$P$4,tabela_registros[CATEGORIA],despesavariávelconsolidadomar[[#This Row],[DESPESA VARIÁVEL]])</calculatedColumnFormula>
    </tableColumn>
    <tableColumn id="42" xr3:uid="{5083CACA-2D0E-44D7-96AB-17A3DEECF52A}" name="13" totalsRowFunction="sum" dataDxfId="7692">
      <calculatedColumnFormula>SUMIFS(tabela_registros[VALOR],tabela_registros[MÊS],$AE$1,tabela_registros[DIA],jantotal[[#Headers],[13]],tabela_registros[REGISTRO],DADOS!$N$4,tabela_registros[TIPO],DADOS!$P$4,tabela_registros[CATEGORIA],despesavariávelconsolidadomar[[#This Row],[DESPESA VARIÁVEL]])</calculatedColumnFormula>
    </tableColumn>
    <tableColumn id="43" xr3:uid="{0572EF0A-93D3-4AB9-AD8A-5715B0EFCC19}" name="14" totalsRowFunction="sum" dataDxfId="7691">
      <calculatedColumnFormula>SUMIFS(tabela_registros[VALOR],tabela_registros[MÊS],$AE$1,tabela_registros[DIA],jantotal[[#Headers],[14]],tabela_registros[REGISTRO],DADOS!$N$4,tabela_registros[TIPO],DADOS!$P$4,tabela_registros[CATEGORIA],despesavariávelconsolidadomar[[#This Row],[DESPESA VARIÁVEL]])</calculatedColumnFormula>
    </tableColumn>
    <tableColumn id="44" xr3:uid="{D7DFCA3B-B1A7-47E6-9723-928D964F9D53}" name="15" totalsRowFunction="sum" dataDxfId="7690">
      <calculatedColumnFormula>SUMIFS(tabela_registros[VALOR],tabela_registros[MÊS],$AE$1,tabela_registros[DIA],jantotal[[#Headers],[15]],tabela_registros[REGISTRO],DADOS!$N$4,tabela_registros[TIPO],DADOS!$P$4,tabela_registros[CATEGORIA],despesavariávelconsolidadomar[[#This Row],[DESPESA VARIÁVEL]])</calculatedColumnFormula>
    </tableColumn>
    <tableColumn id="45" xr3:uid="{60B02658-32FD-4F31-A1C5-60DEB3505664}" name="16" totalsRowFunction="sum" dataDxfId="7689">
      <calculatedColumnFormula>SUMIFS(tabela_registros[VALOR],tabela_registros[MÊS],$AE$1,tabela_registros[DIA],jantotal[[#Headers],[16]],tabela_registros[REGISTRO],DADOS!$N$4,tabela_registros[TIPO],DADOS!$P$4,tabela_registros[CATEGORIA],despesavariávelconsolidadomar[[#This Row],[DESPESA VARIÁVEL]])</calculatedColumnFormula>
    </tableColumn>
    <tableColumn id="46" xr3:uid="{00E76182-981D-40A2-B835-F408FF6EEFEA}" name="17" totalsRowFunction="sum" dataDxfId="7688">
      <calculatedColumnFormula>SUMIFS(tabela_registros[VALOR],tabela_registros[MÊS],$AE$1,tabela_registros[DIA],jantotal[[#Headers],[17]],tabela_registros[REGISTRO],DADOS!$N$4,tabela_registros[TIPO],DADOS!$P$4,tabela_registros[CATEGORIA],despesavariávelconsolidadomar[[#This Row],[DESPESA VARIÁVEL]])</calculatedColumnFormula>
    </tableColumn>
    <tableColumn id="47" xr3:uid="{D55D1746-1D03-472B-950D-5707E8D858CE}" name="18" totalsRowFunction="sum" dataDxfId="7687">
      <calculatedColumnFormula>SUMIFS(tabela_registros[VALOR],tabela_registros[MÊS],$AE$1,tabela_registros[DIA],jantotal[[#Headers],[18]],tabela_registros[REGISTRO],DADOS!$N$4,tabela_registros[TIPO],DADOS!$P$4,tabela_registros[CATEGORIA],despesavariávelconsolidadomar[[#This Row],[DESPESA VARIÁVEL]])</calculatedColumnFormula>
    </tableColumn>
    <tableColumn id="48" xr3:uid="{F7465509-4D2A-427C-B534-0FA0A375A068}" name="19" totalsRowFunction="sum" dataDxfId="7686">
      <calculatedColumnFormula>SUMIFS(tabela_registros[VALOR],tabela_registros[MÊS],$AE$1,tabela_registros[DIA],jantotal[[#Headers],[19]],tabela_registros[REGISTRO],DADOS!$N$4,tabela_registros[TIPO],DADOS!$P$4,tabela_registros[CATEGORIA],despesavariávelconsolidadomar[[#This Row],[DESPESA VARIÁVEL]])</calculatedColumnFormula>
    </tableColumn>
    <tableColumn id="49" xr3:uid="{CB82AC9E-90C3-4AB5-8CB8-98C150661A3C}" name="20" totalsRowFunction="sum" dataDxfId="7685">
      <calculatedColumnFormula>SUMIFS(tabela_registros[VALOR],tabela_registros[MÊS],$AE$1,tabela_registros[DIA],jantotal[[#Headers],[20]],tabela_registros[REGISTRO],DADOS!$N$4,tabela_registros[TIPO],DADOS!$P$4,tabela_registros[CATEGORIA],despesavariávelconsolidadomar[[#This Row],[DESPESA VARIÁVEL]])</calculatedColumnFormula>
    </tableColumn>
    <tableColumn id="50" xr3:uid="{5E4D6C89-2DF0-4593-AFE3-3592C2CD382F}" name="21" totalsRowFunction="sum" dataDxfId="7684">
      <calculatedColumnFormula>SUMIFS(tabela_registros[VALOR],tabela_registros[MÊS],$AE$1,tabela_registros[DIA],jantotal[[#Headers],[21]],tabela_registros[REGISTRO],DADOS!$N$4,tabela_registros[TIPO],DADOS!$P$4,tabela_registros[CATEGORIA],despesavariávelconsolidadomar[[#This Row],[DESPESA VARIÁVEL]])</calculatedColumnFormula>
    </tableColumn>
    <tableColumn id="51" xr3:uid="{87D39440-8094-40A5-81C6-8C1237FF66C7}" name="22" totalsRowFunction="sum" dataDxfId="7683">
      <calculatedColumnFormula>SUMIFS(tabela_registros[VALOR],tabela_registros[MÊS],$AE$1,tabela_registros[DIA],jantotal[[#Headers],[22]],tabela_registros[REGISTRO],DADOS!$N$4,tabela_registros[TIPO],DADOS!$P$4,tabela_registros[CATEGORIA],despesavariávelconsolidadomar[[#This Row],[DESPESA VARIÁVEL]])</calculatedColumnFormula>
    </tableColumn>
    <tableColumn id="52" xr3:uid="{0C2BA9AD-AF80-4940-B588-F1EEDF5DA38D}" name="23" totalsRowFunction="sum" dataDxfId="7682">
      <calculatedColumnFormula>SUMIFS(tabela_registros[VALOR],tabela_registros[MÊS],$AE$1,tabela_registros[DIA],jantotal[[#Headers],[23]],tabela_registros[REGISTRO],DADOS!$N$4,tabela_registros[TIPO],DADOS!$P$4,tabela_registros[CATEGORIA],despesavariávelconsolidadomar[[#This Row],[DESPESA VARIÁVEL]])</calculatedColumnFormula>
    </tableColumn>
    <tableColumn id="53" xr3:uid="{8098327C-C9E4-4444-9635-3139DF68969B}" name="24" totalsRowFunction="sum" dataDxfId="7681">
      <calculatedColumnFormula>SUMIFS(tabela_registros[VALOR],tabela_registros[MÊS],$AE$1,tabela_registros[DIA],jantotal[[#Headers],[24]],tabela_registros[REGISTRO],DADOS!$N$4,tabela_registros[TIPO],DADOS!$P$4,tabela_registros[CATEGORIA],despesavariávelconsolidadomar[[#This Row],[DESPESA VARIÁVEL]])</calculatedColumnFormula>
    </tableColumn>
    <tableColumn id="18" xr3:uid="{3D8FC911-EC3E-418A-8D37-EE08F03AD727}" name="25" totalsRowFunction="sum" dataDxfId="7680">
      <calculatedColumnFormula>SUMIFS(tabela_registros[VALOR],tabela_registros[MÊS],$AE$1,tabela_registros[DIA],jantotal[[#Headers],[25]],tabela_registros[REGISTRO],DADOS!$N$4,tabela_registros[TIPO],DADOS!$P$4,tabela_registros[CATEGORIA],despesavariávelconsolidadomar[[#This Row],[DESPESA VARIÁVEL]])</calculatedColumnFormula>
    </tableColumn>
    <tableColumn id="19" xr3:uid="{3FF3A903-DF51-4A6C-9057-B9181FE7D6F3}" name="26" totalsRowFunction="sum" dataDxfId="7679">
      <calculatedColumnFormula>SUMIFS(tabela_registros[VALOR],tabela_registros[MÊS],$AE$1,tabela_registros[DIA],jantotal[[#Headers],[26]],tabela_registros[REGISTRO],DADOS!$N$4,tabela_registros[TIPO],DADOS!$P$4,tabela_registros[CATEGORIA],despesavariávelconsolidadomar[[#This Row],[DESPESA VARIÁVEL]])</calculatedColumnFormula>
    </tableColumn>
    <tableColumn id="20" xr3:uid="{E516ED19-35F1-44C5-B009-0DD5DBFCC257}" name="27" totalsRowFunction="sum" dataDxfId="7678">
      <calculatedColumnFormula>SUMIFS(tabela_registros[VALOR],tabela_registros[MÊS],$AE$1,tabela_registros[DIA],jantotal[[#Headers],[27]],tabela_registros[REGISTRO],DADOS!$N$4,tabela_registros[TIPO],DADOS!$P$4,tabela_registros[CATEGORIA],despesavariávelconsolidadomar[[#This Row],[DESPESA VARIÁVEL]])</calculatedColumnFormula>
    </tableColumn>
    <tableColumn id="21" xr3:uid="{364C6EE3-2DB7-4FD0-9231-19BC48439A69}" name="28" totalsRowFunction="sum" dataDxfId="7677">
      <calculatedColumnFormula>SUMIFS(tabela_registros[VALOR],tabela_registros[MÊS],$AE$1,tabela_registros[DIA],jantotal[[#Headers],[28]],tabela_registros[REGISTRO],DADOS!$N$4,tabela_registros[TIPO],DADOS!$P$4,tabela_registros[CATEGORIA],despesavariávelconsolidadomar[[#This Row],[DESPESA VARIÁVEL]])</calculatedColumnFormula>
    </tableColumn>
    <tableColumn id="22" xr3:uid="{CFAC13E7-007D-436C-BF52-9F55D2A899FA}" name="29" totalsRowFunction="sum" dataDxfId="7676">
      <calculatedColumnFormula>SUMIFS(tabela_registros[VALOR],tabela_registros[MÊS],$AE$1,tabela_registros[DIA],jantotal[[#Headers],[29]],tabela_registros[REGISTRO],DADOS!$N$4,tabela_registros[TIPO],DADOS!$P$4,tabela_registros[CATEGORIA],despesavariávelconsolidadomar[[#This Row],[DESPESA VARIÁVEL]])</calculatedColumnFormula>
    </tableColumn>
    <tableColumn id="23" xr3:uid="{6343A1DD-D93F-45DE-BF25-59863D8AD791}" name="30" totalsRowFunction="sum" dataDxfId="7675">
      <calculatedColumnFormula>SUMIFS(tabela_registros[VALOR],tabela_registros[MÊS],$AE$1,tabela_registros[DIA],jantotal[[#Headers],[30]],tabela_registros[REGISTRO],DADOS!$N$4,tabela_registros[TIPO],DADOS!$P$4,tabela_registros[CATEGORIA],despesavariávelconsolidadomar[[#This Row],[DESPESA VARIÁVEL]])</calculatedColumnFormula>
    </tableColumn>
    <tableColumn id="24" xr3:uid="{D25CD6E4-C44F-4612-86AF-59E74E4F1667}" name="31" totalsRowFunction="sum" dataDxfId="7674">
      <calculatedColumnFormula>SUMIFS(tabela_registros[VALOR],tabela_registros[MÊS],$AE$1,tabela_registros[DIA],jantotal[[#Headers],[31]],tabela_registros[REGISTRO],DADOS!$N$4,tabela_registros[TIPO],DADOS!$P$4,tabela_registros[CATEGORIA],despesavariávelconsolidadomar[[#This Row],[DESPESA VARIÁVEL]])</calculatedColumnFormula>
    </tableColumn>
    <tableColumn id="3" xr3:uid="{DEC117C9-16AE-432F-981F-CE75EC1E32D5}" name="TOTAL" totalsRowFunction="sum" dataDxfId="7673" dataCellStyle="Moeda">
      <calculatedColumnFormula>-SUMIFS(tabela_registros[VALOR],tabela_registros[REGISTRO],DADOS!$N$4,tabela_registros[TIPO],despesavariável[[#Headers],[DESPESA VARIÁVEL]],tabela_registros[CATEGORIA],despesavariávelconsolidadomar[[#This Row],[DESPESA VARIÁVEL]])</calculatedColumnFormula>
    </tableColumn>
  </tableColumns>
  <tableStyleInfo name="TABELAS RESULTADOS" showFirstColumn="0" showLastColumn="1" showRowStripes="1" showColumnStripes="0"/>
</table>
</file>

<file path=xl/tables/table4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8" xr:uid="{29E0498C-9823-4650-AE48-0AB3F117B5E8}" name="marinvestir2158" displayName="marinvestir2158" ref="C24:AJ28" totalsRowCount="1" headerRowDxfId="7672" dataDxfId="7671" totalsRowDxfId="7669" tableBorderDxfId="7670" dataCellStyle="Moeda">
  <autoFilter ref="C24:AJ27" xr:uid="{6A49DC70-6E60-45C7-9126-6CFF5D88342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  <filterColumn colId="25" hiddenButton="1"/>
    <filterColumn colId="26" hiddenButton="1"/>
    <filterColumn colId="27" hiddenButton="1"/>
    <filterColumn colId="28" hiddenButton="1"/>
    <filterColumn colId="29" hiddenButton="1"/>
    <filterColumn colId="30" hiddenButton="1"/>
    <filterColumn colId="31" hiddenButton="1"/>
    <filterColumn colId="32" hiddenButton="1"/>
    <filterColumn colId="33" hiddenButton="1"/>
  </autoFilter>
  <tableColumns count="34">
    <tableColumn id="1" xr3:uid="{725531A2-F5E4-44AA-AE99-885ACE383C6D}" name="ATUAL" totalsRowLabel="SALDO" dataDxfId="7668"/>
    <tableColumn id="34" xr3:uid="{42203E6A-C144-4CF1-BC73-BA5009DA372A}" name="Coluna1" dataDxfId="7667"/>
    <tableColumn id="2" xr3:uid="{A2D388C4-4332-4BB9-851C-6BE9E6434D2F}" name="1" totalsRowFunction="sum" dataDxfId="7666" totalsRowDxfId="7665" dataCellStyle="Moeda"/>
    <tableColumn id="3" xr3:uid="{1DB8163E-1A93-4D16-B2AF-BCD24400ED16}" name="2" totalsRowFunction="sum" dataDxfId="7664" totalsRowDxfId="7663" dataCellStyle="Moeda"/>
    <tableColumn id="4" xr3:uid="{8294AA23-9772-453F-873F-6440577CC914}" name="3" totalsRowFunction="sum" dataDxfId="7662" totalsRowDxfId="7661" dataCellStyle="Moeda"/>
    <tableColumn id="5" xr3:uid="{2C722346-FFD1-4A0D-BAD7-1BA33E5EEEBA}" name="4" totalsRowFunction="sum" dataDxfId="7660" totalsRowDxfId="7659" dataCellStyle="Moeda"/>
    <tableColumn id="6" xr3:uid="{BE5DAC9E-3B61-463D-A9AA-CBCD694F1A35}" name="5" totalsRowFunction="sum" dataDxfId="7658" totalsRowDxfId="7657" dataCellStyle="Moeda"/>
    <tableColumn id="7" xr3:uid="{18068246-EF55-4127-B9EE-6284198AF2BF}" name="6" totalsRowFunction="sum" dataDxfId="7656" totalsRowDxfId="7655" dataCellStyle="Moeda"/>
    <tableColumn id="8" xr3:uid="{03150523-C726-411D-B19C-AAA13AE5758D}" name="7" totalsRowFunction="sum" dataDxfId="7654" totalsRowDxfId="7653" dataCellStyle="Moeda"/>
    <tableColumn id="9" xr3:uid="{2CE62463-5884-419B-9FEF-FE096F491241}" name="8" totalsRowFunction="sum" dataDxfId="7652" totalsRowDxfId="7651" dataCellStyle="Moeda"/>
    <tableColumn id="10" xr3:uid="{8B929AE0-64D0-42CF-9E32-75F225CC2FCD}" name="9" totalsRowFunction="sum" dataDxfId="7650" totalsRowDxfId="7649" dataCellStyle="Moeda"/>
    <tableColumn id="11" xr3:uid="{35972FCB-0BF6-4974-A759-57A69174354A}" name="10" totalsRowFunction="sum" dataDxfId="7648" totalsRowDxfId="7647" dataCellStyle="Moeda"/>
    <tableColumn id="12" xr3:uid="{82AC3BE8-AB15-441D-923E-79A2E0668913}" name="11" totalsRowFunction="sum" dataDxfId="7646" totalsRowDxfId="7645" dataCellStyle="Moeda"/>
    <tableColumn id="13" xr3:uid="{1C89F14D-6CE3-4F30-9498-A385DAB82963}" name="12" totalsRowFunction="sum" dataDxfId="7644" totalsRowDxfId="7643" dataCellStyle="Moeda"/>
    <tableColumn id="14" xr3:uid="{A5AD6ACD-460F-4BAB-B362-6FA6A5144B3F}" name="13" totalsRowFunction="sum" dataDxfId="7642" totalsRowDxfId="7641" dataCellStyle="Moeda"/>
    <tableColumn id="15" xr3:uid="{8DB91B8C-9A37-4BF6-A0F7-E4FC20AF273C}" name="14" totalsRowFunction="sum" dataDxfId="7640" totalsRowDxfId="7639" dataCellStyle="Moeda"/>
    <tableColumn id="16" xr3:uid="{C1A378E5-3F90-4C71-A615-CE9BFE0196B8}" name="15" totalsRowFunction="sum" dataDxfId="7638" totalsRowDxfId="7637" dataCellStyle="Moeda"/>
    <tableColumn id="17" xr3:uid="{641E686D-014C-41EB-9BE8-76FACD15A4B5}" name="16" totalsRowFunction="sum" dataDxfId="7636" totalsRowDxfId="7635" dataCellStyle="Moeda"/>
    <tableColumn id="18" xr3:uid="{276C8557-702C-46C1-B7C1-17DDA1E17B1B}" name="17" totalsRowFunction="sum" dataDxfId="7634" totalsRowDxfId="7633" dataCellStyle="Moeda"/>
    <tableColumn id="19" xr3:uid="{1B99544C-AAF9-42CA-94F4-8EB48E186237}" name="18" totalsRowFunction="sum" dataDxfId="7632" totalsRowDxfId="7631" dataCellStyle="Moeda"/>
    <tableColumn id="20" xr3:uid="{801C5AFA-FC98-4DA0-9486-03AFC401146B}" name="19" totalsRowFunction="sum" dataDxfId="7630" totalsRowDxfId="7629" dataCellStyle="Moeda"/>
    <tableColumn id="21" xr3:uid="{02663907-DADF-4249-97A5-92DBDB7A1607}" name="20" totalsRowFunction="sum" dataDxfId="7628" totalsRowDxfId="7627" dataCellStyle="Moeda"/>
    <tableColumn id="22" xr3:uid="{259C43C5-AB64-451C-9883-458855A7C4FA}" name="21" totalsRowFunction="sum" dataDxfId="7626" totalsRowDxfId="7625" dataCellStyle="Moeda"/>
    <tableColumn id="23" xr3:uid="{1EDE17A3-289C-401F-A0F4-F8AE4E9D1BF9}" name="22" totalsRowFunction="sum" dataDxfId="7624" totalsRowDxfId="7623" dataCellStyle="Moeda"/>
    <tableColumn id="24" xr3:uid="{B3477020-A469-4C74-9911-01A9CEECF03A}" name="23" totalsRowFunction="sum" dataDxfId="7622" totalsRowDxfId="7621" dataCellStyle="Moeda"/>
    <tableColumn id="25" xr3:uid="{A91127B0-EDA9-4824-B87A-A5F3DC204D32}" name="24" totalsRowFunction="sum" dataDxfId="7620" totalsRowDxfId="7619" dataCellStyle="Moeda"/>
    <tableColumn id="26" xr3:uid="{E58EE022-798E-4485-9356-37830DF1B262}" name="25" totalsRowFunction="sum" dataDxfId="7618" totalsRowDxfId="7617" dataCellStyle="Moeda"/>
    <tableColumn id="27" xr3:uid="{04EF8DD1-F6E3-4C0C-97B2-EDBCF5FFB210}" name="26" totalsRowFunction="sum" dataDxfId="7616" totalsRowDxfId="7615" dataCellStyle="Moeda"/>
    <tableColumn id="28" xr3:uid="{865A07AF-2E8B-422D-9C95-566CBA9DBEAC}" name="27" totalsRowFunction="sum" dataDxfId="7614" totalsRowDxfId="7613" dataCellStyle="Moeda"/>
    <tableColumn id="29" xr3:uid="{65C422BE-65F9-432A-8497-B9660AB4B336}" name="28" totalsRowFunction="sum" dataDxfId="7612" totalsRowDxfId="7611" dataCellStyle="Moeda"/>
    <tableColumn id="30" xr3:uid="{FF09C51A-79BA-4F36-911B-41FA71203F0B}" name="29" totalsRowFunction="sum" dataDxfId="7610" totalsRowDxfId="7609" dataCellStyle="Moeda"/>
    <tableColumn id="31" xr3:uid="{E3FFB872-8C79-42BC-B377-E7B041F9D1FF}" name="30" totalsRowFunction="sum" dataDxfId="7608" totalsRowDxfId="7607" dataCellStyle="Moeda"/>
    <tableColumn id="32" xr3:uid="{655C58F2-8831-419C-8F66-E0E7C42DC213}" name="31" totalsRowFunction="sum" dataDxfId="7606" totalsRowDxfId="7605" dataCellStyle="Moeda"/>
    <tableColumn id="33" xr3:uid="{185C08A4-F050-4F34-B4F5-1D6C1945A6E8}" name="TOTAL (R$)" totalsRowFunction="sum" dataDxfId="7604" totalsRowDxfId="7603" dataCellStyle="Moeda">
      <calculatedColumnFormula>SUM(E25:AI25)</calculatedColumnFormula>
    </tableColumn>
  </tableColumns>
  <tableStyleInfo name="TABELAS RESULTADOS" showFirstColumn="0" showLastColumn="0" showRowStripes="1" showColumnStripes="0"/>
</table>
</file>

<file path=xl/tables/table4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9" xr:uid="{D5A28ED8-3F98-4D80-A01F-A7A3E3EC713E}" name="martotal3059" displayName="martotal3059" ref="C13:AJ16" headerRowDxfId="7602" dataDxfId="7601" totalsRowDxfId="7600">
  <autoFilter ref="C13:AJ16" xr:uid="{8F80C188-90EF-4EEA-8266-E1F416435B21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  <filterColumn colId="25" hiddenButton="1"/>
    <filterColumn colId="26" hiddenButton="1"/>
    <filterColumn colId="27" hiddenButton="1"/>
    <filterColumn colId="28" hiddenButton="1"/>
    <filterColumn colId="29" hiddenButton="1"/>
    <filterColumn colId="30" hiddenButton="1"/>
    <filterColumn colId="31" hiddenButton="1"/>
    <filterColumn colId="32" hiddenButton="1"/>
    <filterColumn colId="33" hiddenButton="1"/>
  </autoFilter>
  <tableColumns count="34">
    <tableColumn id="1" xr3:uid="{87C626BC-2BE3-4F81-B9E4-0225EA159459}" name="ATUAL" totalsRowLabel="SALDO" dataDxfId="7599"/>
    <tableColumn id="34" xr3:uid="{BC720AB2-1DBD-47F9-BBFB-A24865D76EBA}" name="Coluna1" dataDxfId="7598"/>
    <tableColumn id="2" xr3:uid="{EC2B8C1A-1CED-40EE-8FED-B3C8620FDC3F}" name="1" totalsRowFunction="sum" dataDxfId="7597" dataCellStyle="Moeda"/>
    <tableColumn id="3" xr3:uid="{88225D17-80BE-43A5-8A64-CB9069ED5099}" name="2" totalsRowFunction="sum" dataDxfId="7596" totalsRowDxfId="7595" dataCellStyle="Moeda"/>
    <tableColumn id="4" xr3:uid="{E3CE5879-647B-4E66-9DE9-E2835366A4F3}" name="3" totalsRowFunction="sum" dataDxfId="7594" totalsRowDxfId="7593" dataCellStyle="Moeda"/>
    <tableColumn id="5" xr3:uid="{9A8813FD-3740-4971-88A2-D124EC0B06F4}" name="4" totalsRowFunction="sum" dataDxfId="7592" totalsRowDxfId="7591" dataCellStyle="Moeda"/>
    <tableColumn id="6" xr3:uid="{802295EF-0BFC-4A4D-A210-DF9BF736ECBA}" name="5" totalsRowFunction="sum" dataDxfId="7590" totalsRowDxfId="7589" dataCellStyle="Moeda"/>
    <tableColumn id="7" xr3:uid="{BE57B839-AFA1-477E-8EFD-45D0C53DE300}" name="6" totalsRowFunction="sum" dataDxfId="7588" totalsRowDxfId="7587" dataCellStyle="Moeda"/>
    <tableColumn id="8" xr3:uid="{8E0584A7-B099-4455-8229-C1BC87129B87}" name="7" totalsRowFunction="sum" dataDxfId="7586" totalsRowDxfId="7585" dataCellStyle="Moeda"/>
    <tableColumn id="9" xr3:uid="{93DC4BA5-EA8D-4EA6-97D4-147A9C2D589A}" name="8" totalsRowFunction="sum" dataDxfId="7584" totalsRowDxfId="7583" dataCellStyle="Moeda"/>
    <tableColumn id="10" xr3:uid="{13A187E4-6153-428D-BB2A-53B33B06835F}" name="9" totalsRowFunction="sum" dataDxfId="7582" totalsRowDxfId="7581" dataCellStyle="Moeda"/>
    <tableColumn id="11" xr3:uid="{E002D76F-D349-4A17-8294-19F345DACB7C}" name="10" totalsRowFunction="sum" dataDxfId="7580" totalsRowDxfId="7579" dataCellStyle="Moeda"/>
    <tableColumn id="12" xr3:uid="{F5393F3B-4231-48C4-9CE4-0F4274DF917A}" name="11" totalsRowFunction="sum" dataDxfId="7578" totalsRowDxfId="7577" dataCellStyle="Moeda"/>
    <tableColumn id="13" xr3:uid="{6A65C787-1D46-4B1F-88FB-58751EC4AB0B}" name="12" totalsRowFunction="sum" dataDxfId="7576" totalsRowDxfId="7575" dataCellStyle="Moeda"/>
    <tableColumn id="14" xr3:uid="{412BAB95-3BBA-46D3-9BF9-A713793BF735}" name="13" totalsRowFunction="sum" dataDxfId="7574" totalsRowDxfId="7573" dataCellStyle="Moeda"/>
    <tableColumn id="15" xr3:uid="{1AED258D-F079-4B17-A7CD-9B964B127964}" name="14" totalsRowFunction="sum" dataDxfId="7572" totalsRowDxfId="7571" dataCellStyle="Moeda"/>
    <tableColumn id="16" xr3:uid="{981D8D35-FEF0-485D-822B-759758AA87D0}" name="15" totalsRowFunction="sum" dataDxfId="7570" totalsRowDxfId="7569" dataCellStyle="Moeda"/>
    <tableColumn id="17" xr3:uid="{4667E81A-D78C-4805-AFD2-F9E15D63EF0D}" name="16" totalsRowFunction="sum" dataDxfId="7568" totalsRowDxfId="7567" dataCellStyle="Moeda"/>
    <tableColumn id="18" xr3:uid="{1B8BC630-3E6F-4443-9B72-8FF9B88B3355}" name="17" totalsRowFunction="sum" dataDxfId="7566" totalsRowDxfId="7565" dataCellStyle="Moeda"/>
    <tableColumn id="19" xr3:uid="{851444E9-3F6D-44FD-A133-3E0E6E50B692}" name="18" totalsRowFunction="sum" dataDxfId="7564" totalsRowDxfId="7563" dataCellStyle="Moeda"/>
    <tableColumn id="20" xr3:uid="{D24655D0-FD1A-4984-8374-579D2EA33502}" name="19" totalsRowFunction="sum" dataDxfId="7562" totalsRowDxfId="7561" dataCellStyle="Moeda"/>
    <tableColumn id="21" xr3:uid="{771CC741-8BE6-48CE-BE4C-80B2B95D6883}" name="20" totalsRowFunction="sum" dataDxfId="7560" totalsRowDxfId="7559" dataCellStyle="Moeda"/>
    <tableColumn id="22" xr3:uid="{A59ADAEF-3E20-4D52-875D-110D98953AC3}" name="21" totalsRowFunction="sum" dataDxfId="7558" totalsRowDxfId="7557" dataCellStyle="Moeda"/>
    <tableColumn id="23" xr3:uid="{886B9D78-D0E9-4CC4-A02D-B4271961C57C}" name="22" totalsRowFunction="sum" dataDxfId="7556" totalsRowDxfId="7555" dataCellStyle="Moeda"/>
    <tableColumn id="24" xr3:uid="{867539D1-2668-4948-840F-220A69673F54}" name="23" totalsRowFunction="sum" dataDxfId="7554" totalsRowDxfId="7553" dataCellStyle="Moeda"/>
    <tableColumn id="25" xr3:uid="{193557AB-C5A8-4C8D-83DA-6D69D2510DBB}" name="24" totalsRowFunction="sum" dataDxfId="7552" totalsRowDxfId="7551" dataCellStyle="Moeda"/>
    <tableColumn id="26" xr3:uid="{05588CAE-A2CD-4388-9503-379441DAD250}" name="25" totalsRowFunction="sum" dataDxfId="7550" totalsRowDxfId="7549" dataCellStyle="Moeda"/>
    <tableColumn id="27" xr3:uid="{42BB1A30-67BA-4562-A3EF-8DAFB40101A8}" name="26" totalsRowFunction="sum" dataDxfId="7548" totalsRowDxfId="7547" dataCellStyle="Moeda"/>
    <tableColumn id="28" xr3:uid="{AFA4E6BF-6D5C-4ED9-9D23-CB21FE21DCEA}" name="27" totalsRowFunction="sum" dataDxfId="7546" totalsRowDxfId="7545" dataCellStyle="Moeda"/>
    <tableColumn id="29" xr3:uid="{83991D57-E73B-43BB-93B6-B61856BBD960}" name="28" totalsRowFunction="sum" dataDxfId="7544" totalsRowDxfId="7543" dataCellStyle="Moeda"/>
    <tableColumn id="30" xr3:uid="{9EA65B4E-FD9D-4FBB-B196-AE1A045EBCE7}" name="29" totalsRowFunction="sum" dataDxfId="7542" totalsRowDxfId="7541" dataCellStyle="Moeda"/>
    <tableColumn id="31" xr3:uid="{1FCC1F40-61BA-4098-B6AA-D37030E07DDC}" name="30" totalsRowFunction="sum" dataDxfId="7540" totalsRowDxfId="7539" dataCellStyle="Moeda"/>
    <tableColumn id="32" xr3:uid="{3E4BF6F3-2C93-463B-B019-722BA09A4D7F}" name="31" totalsRowFunction="sum" dataDxfId="7538" totalsRowDxfId="7537" dataCellStyle="Moeda"/>
    <tableColumn id="33" xr3:uid="{CB678A8F-0071-4709-9D68-A3AF8DF03465}" name="TOTAL (R$)" totalsRowFunction="sum" dataDxfId="7536" dataCellStyle="Moeda">
      <calculatedColumnFormula>SUM(martotal3059[[#This Row],[1]:[31]])</calculatedColumnFormula>
    </tableColumn>
  </tableColumns>
  <tableStyleInfo name="TABELAS RESULTADOS" showFirstColumn="0" showLastColumn="0" showRowStripes="1" showColumnStripes="0"/>
</table>
</file>

<file path=xl/tables/table4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0" xr:uid="{81B25E98-7909-4ED7-B741-8F35A258A8A0}" name="receitasfixasconsolidadomar" displayName="receitasfixasconsolidadomar" ref="C81:AJ87" headerRowDxfId="7535" dataDxfId="7534" totalsRowDxfId="7533">
  <autoFilter ref="C81:AJ87" xr:uid="{2EA8B7CB-D602-44E1-B8DB-B71750A487C5}"/>
  <tableColumns count="34">
    <tableColumn id="1" xr3:uid="{236925BD-FB17-4D04-A4AA-0DE54BBEF20F}" name="ATUAL" totalsRowLabel="SALDO" dataDxfId="7532"/>
    <tableColumn id="34" xr3:uid="{C2649CDB-242D-40B7-9260-2AF2AB48FDAC}" name="Coluna1" dataDxfId="7531">
      <calculatedColumnFormula>IF(receitasfixasconsolidadomar[[#This Row],[TOTAL (R$)]]=0,"",IF(OR(receitasfixasconsolidadomar[[#This Row],[TOTAL (R$)]]=LARGE($AJ$82:$AJ$86,1),receitasfixasconsolidadomar[[#This Row],[TOTAL (R$)]]=LARGE($AJ$82:$AJ$86,2)),DADOS!$I$9,""))</calculatedColumnFormula>
    </tableColumn>
    <tableColumn id="2" xr3:uid="{ED96BE15-DCF6-4A44-8D3E-6D38D4455390}" name="1" totalsRowFunction="sum" dataDxfId="7530" dataCellStyle="Moeda"/>
    <tableColumn id="3" xr3:uid="{1F07F44B-CB90-4CE4-8BA2-136572B6C99B}" name="2" totalsRowFunction="sum" dataDxfId="7529" dataCellStyle="Moeda">
      <calculatedColumnFormula>SUMIFS(tabela_registros[VALOR],tabela_registros[MÊS],$AE$1,tabela_registros[DIA],receitasfixasconsolidadomar[[#Headers],[2]],tabela_registros[REGISTRO],DADOS!$N$3,tabela_registros[TIPO],DADOS!$V$3,tabela_registros[CATEGORIA],receitasfixasconsolidadomar[[#This Row],[ATUAL]])</calculatedColumnFormula>
    </tableColumn>
    <tableColumn id="4" xr3:uid="{A9BAB33E-DDC7-49DA-A702-B260B7A00621}" name="3" totalsRowFunction="sum" dataDxfId="7528" totalsRowDxfId="7527" dataCellStyle="Moeda">
      <calculatedColumnFormula>SUMIFS(tabela_registros[VALOR],tabela_registros[MÊS],$AE$1,tabela_registros[DIA],receitasfixasconsolidadomar[[#Headers],[3]],tabela_registros[REGISTRO],DADOS!$N$3,tabela_registros[TIPO],DADOS!$V$3,tabela_registros[CATEGORIA],receitasfixasconsolidadomar[[#This Row],[ATUAL]])</calculatedColumnFormula>
    </tableColumn>
    <tableColumn id="5" xr3:uid="{FD6A6982-B267-4E44-A70C-F7CEF96CB6B8}" name="4" totalsRowFunction="sum" dataDxfId="7526" totalsRowDxfId="7525" dataCellStyle="Moeda">
      <calculatedColumnFormula>SUMIFS(tabela_registros[VALOR],tabela_registros[MÊS],$AE$1,tabela_registros[DIA],receitasfixasconsolidadomar[[#Headers],[4]],tabela_registros[REGISTRO],DADOS!$N$3,tabela_registros[TIPO],DADOS!$V$3,tabela_registros[CATEGORIA],receitasfixasconsolidadomar[[#This Row],[ATUAL]])</calculatedColumnFormula>
    </tableColumn>
    <tableColumn id="6" xr3:uid="{EDBAEF8E-E913-49F3-BAFE-9152E0539B8C}" name="5" totalsRowFunction="sum" dataDxfId="7524" totalsRowDxfId="7523" dataCellStyle="Moeda">
      <calculatedColumnFormula>SUMIFS(tabela_registros[VALOR],tabela_registros[MÊS],$AE$1,tabela_registros[DIA],receitasfixasconsolidadomar[[#Headers],[5]],tabela_registros[REGISTRO],DADOS!$N$3,tabela_registros[TIPO],DADOS!$V$3,tabela_registros[CATEGORIA],receitasfixasconsolidadomar[[#This Row],[ATUAL]])</calculatedColumnFormula>
    </tableColumn>
    <tableColumn id="7" xr3:uid="{BB8415D5-9B68-43D9-8BB5-4161D0DE959F}" name="6" totalsRowFunction="sum" dataDxfId="7522" totalsRowDxfId="7521" dataCellStyle="Moeda">
      <calculatedColumnFormula>SUMIFS(tabela_registros[VALOR],tabela_registros[MÊS],$AE$1,tabela_registros[DIA],receitasfixasconsolidadomar[[#Headers],[6]],tabela_registros[REGISTRO],DADOS!$N$3,tabela_registros[TIPO],DADOS!$V$3,tabela_registros[CATEGORIA],receitasfixasconsolidadomar[[#This Row],[ATUAL]])</calculatedColumnFormula>
    </tableColumn>
    <tableColumn id="8" xr3:uid="{2DE435FA-795C-4081-B8F2-2E8D43D1AD4B}" name="7" totalsRowFunction="sum" dataDxfId="7520" totalsRowDxfId="7519" dataCellStyle="Moeda">
      <calculatedColumnFormula>SUMIFS(tabela_registros[VALOR],tabela_registros[MÊS],$AE$1,tabela_registros[DIA],receitasfixasconsolidadomar[[#Headers],[7]],tabela_registros[REGISTRO],DADOS!$N$3,tabela_registros[TIPO],DADOS!$V$3,tabela_registros[CATEGORIA],receitasfixasconsolidadomar[[#This Row],[ATUAL]])</calculatedColumnFormula>
    </tableColumn>
    <tableColumn id="9" xr3:uid="{C112CDA3-0405-40F7-9B4A-8EDC51801427}" name="8" totalsRowFunction="sum" dataDxfId="7518" totalsRowDxfId="7517" dataCellStyle="Moeda">
      <calculatedColumnFormula>SUMIFS(tabela_registros[VALOR],tabela_registros[MÊS],$AE$1,tabela_registros[DIA],receitasfixasconsolidadomar[[#Headers],[8]],tabela_registros[REGISTRO],DADOS!$N$3,tabela_registros[TIPO],DADOS!$V$3,tabela_registros[CATEGORIA],receitasfixasconsolidadomar[[#This Row],[ATUAL]])</calculatedColumnFormula>
    </tableColumn>
    <tableColumn id="10" xr3:uid="{7BABFFFD-BA3B-4F0F-89BB-43ECB0DEE341}" name="9" totalsRowFunction="sum" dataDxfId="7516" totalsRowDxfId="7515" dataCellStyle="Moeda">
      <calculatedColumnFormula>SUMIFS(tabela_registros[VALOR],tabela_registros[MÊS],$AE$1,tabela_registros[DIA],receitasfixasconsolidadomar[[#Headers],[9]],tabela_registros[REGISTRO],DADOS!$N$3,tabela_registros[TIPO],DADOS!$V$3,tabela_registros[CATEGORIA],receitasfixasconsolidadomar[[#This Row],[ATUAL]])</calculatedColumnFormula>
    </tableColumn>
    <tableColumn id="11" xr3:uid="{426236CB-40A1-4C41-A83C-02D77E82BCAD}" name="10" totalsRowFunction="sum" dataDxfId="7514" totalsRowDxfId="7513" dataCellStyle="Moeda">
      <calculatedColumnFormula>SUMIFS(tabela_registros[VALOR],tabela_registros[MÊS],$AE$1,tabela_registros[DIA],receitasfixasconsolidadomar[[#Headers],[10]],tabela_registros[REGISTRO],DADOS!$N$3,tabela_registros[TIPO],DADOS!$V$3,tabela_registros[CATEGORIA],receitasfixasconsolidadomar[[#This Row],[ATUAL]])</calculatedColumnFormula>
    </tableColumn>
    <tableColumn id="12" xr3:uid="{A4ADEEEF-56F3-45E8-805E-717E730FBFF1}" name="11" totalsRowFunction="sum" dataDxfId="7512" totalsRowDxfId="7511" dataCellStyle="Moeda">
      <calculatedColumnFormula>SUMIFS(tabela_registros[VALOR],tabela_registros[MÊS],$AE$1,tabela_registros[DIA],receitasfixasconsolidadomar[[#Headers],[11]],tabela_registros[REGISTRO],DADOS!$N$3,tabela_registros[TIPO],DADOS!$V$3,tabela_registros[CATEGORIA],receitasfixasconsolidadomar[[#This Row],[ATUAL]])</calculatedColumnFormula>
    </tableColumn>
    <tableColumn id="13" xr3:uid="{972C1424-AC21-4122-B747-6A5288ABC0CA}" name="12" totalsRowFunction="sum" dataDxfId="7510" totalsRowDxfId="7509" dataCellStyle="Moeda">
      <calculatedColumnFormula>SUMIFS(tabela_registros[VALOR],tabela_registros[MÊS],$AE$1,tabela_registros[DIA],receitasfixasconsolidadomar[[#Headers],[12]],tabela_registros[REGISTRO],DADOS!$N$3,tabela_registros[TIPO],DADOS!$V$3,tabela_registros[CATEGORIA],receitasfixasconsolidadomar[[#This Row],[ATUAL]])</calculatedColumnFormula>
    </tableColumn>
    <tableColumn id="14" xr3:uid="{DDDD05FA-822D-4954-A7E0-C95EF560E070}" name="13" totalsRowFunction="sum" dataDxfId="7508" totalsRowDxfId="7507" dataCellStyle="Moeda">
      <calculatedColumnFormula>SUMIFS(tabela_registros[VALOR],tabela_registros[MÊS],$AE$1,tabela_registros[DIA],receitasfixasconsolidadomar[[#Headers],[13]],tabela_registros[REGISTRO],DADOS!$N$3,tabela_registros[TIPO],DADOS!$V$3,tabela_registros[CATEGORIA],receitasfixasconsolidadomar[[#This Row],[ATUAL]])</calculatedColumnFormula>
    </tableColumn>
    <tableColumn id="15" xr3:uid="{59BF46DC-3FCF-4E00-817A-82FC7ECF894A}" name="14" totalsRowFunction="sum" dataDxfId="7506" totalsRowDxfId="7505" dataCellStyle="Moeda">
      <calculatedColumnFormula>SUMIFS(tabela_registros[VALOR],tabela_registros[MÊS],$AE$1,tabela_registros[DIA],receitasfixasconsolidadomar[[#Headers],[14]],tabela_registros[REGISTRO],DADOS!$N$3,tabela_registros[TIPO],DADOS!$V$3,tabela_registros[CATEGORIA],receitasfixasconsolidadomar[[#This Row],[ATUAL]])</calculatedColumnFormula>
    </tableColumn>
    <tableColumn id="16" xr3:uid="{3C055926-9F9E-4B55-9E16-24B9D3149A77}" name="15" totalsRowFunction="sum" dataDxfId="7504" totalsRowDxfId="7503" dataCellStyle="Moeda">
      <calculatedColumnFormula>SUMIFS(tabela_registros[VALOR],tabela_registros[MÊS],$AE$1,tabela_registros[DIA],receitasfixasconsolidadomar[[#Headers],[15]],tabela_registros[REGISTRO],DADOS!$N$3,tabela_registros[TIPO],DADOS!$V$3,tabela_registros[CATEGORIA],receitasfixasconsolidadomar[[#This Row],[ATUAL]])</calculatedColumnFormula>
    </tableColumn>
    <tableColumn id="17" xr3:uid="{95B2D721-8D5F-40D1-80F9-D725DE6B7517}" name="16" totalsRowFunction="sum" dataDxfId="7502" totalsRowDxfId="7501" dataCellStyle="Moeda">
      <calculatedColumnFormula>SUMIFS(tabela_registros[VALOR],tabela_registros[MÊS],$AE$1,tabela_registros[DIA],receitasfixasconsolidadomar[[#Headers],[16]],tabela_registros[REGISTRO],DADOS!$N$3,tabela_registros[TIPO],DADOS!$V$3,tabela_registros[CATEGORIA],receitasfixasconsolidadomar[[#This Row],[ATUAL]])</calculatedColumnFormula>
    </tableColumn>
    <tableColumn id="18" xr3:uid="{A7DFF086-9F3B-4664-B0C9-2607114D3309}" name="17" totalsRowFunction="sum" dataDxfId="7500" totalsRowDxfId="7499" dataCellStyle="Moeda">
      <calculatedColumnFormula>SUMIFS(tabela_registros[VALOR],tabela_registros[MÊS],$AE$1,tabela_registros[DIA],receitasfixasconsolidadomar[[#Headers],[17]],tabela_registros[REGISTRO],DADOS!$N$3,tabela_registros[TIPO],DADOS!$V$3,tabela_registros[CATEGORIA],receitasfixasconsolidadomar[[#This Row],[ATUAL]])</calculatedColumnFormula>
    </tableColumn>
    <tableColumn id="19" xr3:uid="{923A7DFF-7E03-4250-A793-19ED75273AAE}" name="18" totalsRowFunction="sum" dataDxfId="7498" totalsRowDxfId="7497" dataCellStyle="Moeda">
      <calculatedColumnFormula>SUMIFS(tabela_registros[VALOR],tabela_registros[MÊS],$AE$1,tabela_registros[DIA],receitasfixasconsolidadomar[[#Headers],[18]],tabela_registros[REGISTRO],DADOS!$N$3,tabela_registros[TIPO],DADOS!$V$3,tabela_registros[CATEGORIA],receitasfixasconsolidadomar[[#This Row],[ATUAL]])</calculatedColumnFormula>
    </tableColumn>
    <tableColumn id="20" xr3:uid="{06CDC11E-1BB6-40A2-A299-9FCF9F04F301}" name="19" totalsRowFunction="sum" dataDxfId="7496" totalsRowDxfId="7495" dataCellStyle="Moeda">
      <calculatedColumnFormula>SUMIFS(tabela_registros[VALOR],tabela_registros[MÊS],$AE$1,tabela_registros[DIA],receitasfixasconsolidadomar[[#Headers],[19]],tabela_registros[REGISTRO],DADOS!$N$3,tabela_registros[TIPO],DADOS!$V$3,tabela_registros[CATEGORIA],receitasfixasconsolidadomar[[#This Row],[ATUAL]])</calculatedColumnFormula>
    </tableColumn>
    <tableColumn id="21" xr3:uid="{EC80AE7B-D570-4548-BF3E-F53657A7BC27}" name="20" totalsRowFunction="sum" dataDxfId="7494" totalsRowDxfId="7493" dataCellStyle="Moeda">
      <calculatedColumnFormula>SUMIFS(tabela_registros[VALOR],tabela_registros[MÊS],$AE$1,tabela_registros[DIA],receitasfixasconsolidadomar[[#Headers],[20]],tabela_registros[REGISTRO],DADOS!$N$3,tabela_registros[TIPO],DADOS!$V$3,tabela_registros[CATEGORIA],receitasfixasconsolidadomar[[#This Row],[ATUAL]])</calculatedColumnFormula>
    </tableColumn>
    <tableColumn id="22" xr3:uid="{33E5E977-97EB-433A-893E-D1E6F72C06CC}" name="21" totalsRowFunction="sum" dataDxfId="7492" totalsRowDxfId="7491" dataCellStyle="Moeda">
      <calculatedColumnFormula>SUMIFS(tabela_registros[VALOR],tabela_registros[MÊS],$AE$1,tabela_registros[DIA],receitasfixasconsolidadomar[[#Headers],[21]],tabela_registros[REGISTRO],DADOS!$N$3,tabela_registros[TIPO],DADOS!$V$3,tabela_registros[CATEGORIA],receitasfixasconsolidadomar[[#This Row],[ATUAL]])</calculatedColumnFormula>
    </tableColumn>
    <tableColumn id="23" xr3:uid="{497F70ED-1B88-42CE-A0D2-F7023F1439FD}" name="22" totalsRowFunction="sum" dataDxfId="7490" totalsRowDxfId="7489" dataCellStyle="Moeda">
      <calculatedColumnFormula>SUMIFS(tabela_registros[VALOR],tabela_registros[MÊS],$AE$1,tabela_registros[DIA],receitasfixasconsolidadomar[[#Headers],[22]],tabela_registros[REGISTRO],DADOS!$N$3,tabela_registros[TIPO],DADOS!$V$3,tabela_registros[CATEGORIA],receitasfixasconsolidadomar[[#This Row],[ATUAL]])</calculatedColumnFormula>
    </tableColumn>
    <tableColumn id="24" xr3:uid="{DD2C0503-5411-429C-AFFE-9694792836ED}" name="23" totalsRowFunction="sum" dataDxfId="7488" totalsRowDxfId="7487" dataCellStyle="Moeda">
      <calculatedColumnFormula>SUMIFS(tabela_registros[VALOR],tabela_registros[MÊS],$AE$1,tabela_registros[DIA],receitasfixasconsolidadomar[[#Headers],[23]],tabela_registros[REGISTRO],DADOS!$N$3,tabela_registros[TIPO],DADOS!$V$3,tabela_registros[CATEGORIA],receitasfixasconsolidadomar[[#This Row],[ATUAL]])</calculatedColumnFormula>
    </tableColumn>
    <tableColumn id="25" xr3:uid="{CA1269A3-7FFE-4FB5-BF4C-99D745C249A9}" name="24" totalsRowFunction="sum" dataDxfId="7486" totalsRowDxfId="7485" dataCellStyle="Moeda">
      <calculatedColumnFormula>SUMIFS(tabela_registros[VALOR],tabela_registros[MÊS],$AE$1,tabela_registros[DIA],receitasfixasconsolidadomar[[#Headers],[24]],tabela_registros[REGISTRO],DADOS!$N$3,tabela_registros[TIPO],DADOS!$V$3,tabela_registros[CATEGORIA],receitasfixasconsolidadomar[[#This Row],[ATUAL]])</calculatedColumnFormula>
    </tableColumn>
    <tableColumn id="26" xr3:uid="{FE1090E4-BEDC-4843-B037-A29798AA8549}" name="25" totalsRowFunction="sum" dataDxfId="7484" totalsRowDxfId="7483" dataCellStyle="Moeda">
      <calculatedColumnFormula>SUMIFS(tabela_registros[VALOR],tabela_registros[MÊS],$AE$1,tabela_registros[DIA],receitasfixasconsolidadomar[[#Headers],[25]],tabela_registros[REGISTRO],DADOS!$N$3,tabela_registros[TIPO],DADOS!$V$3,tabela_registros[CATEGORIA],receitasfixasconsolidadomar[[#This Row],[ATUAL]])</calculatedColumnFormula>
    </tableColumn>
    <tableColumn id="27" xr3:uid="{88A73F6C-27CB-41AC-91B7-516770C09EE6}" name="26" totalsRowFunction="sum" dataDxfId="7482" totalsRowDxfId="7481" dataCellStyle="Moeda">
      <calculatedColumnFormula>SUMIFS(tabela_registros[VALOR],tabela_registros[MÊS],$AE$1,tabela_registros[DIA],receitasfixasconsolidadomar[[#Headers],[26]],tabela_registros[REGISTRO],DADOS!$N$3,tabela_registros[TIPO],DADOS!$V$3,tabela_registros[CATEGORIA],receitasfixasconsolidadomar[[#This Row],[ATUAL]])</calculatedColumnFormula>
    </tableColumn>
    <tableColumn id="28" xr3:uid="{10030AE0-91C0-44C8-A6FD-833760647428}" name="27" totalsRowFunction="sum" dataDxfId="7480" totalsRowDxfId="7479" dataCellStyle="Moeda">
      <calculatedColumnFormula>SUMIFS(tabela_registros[VALOR],tabela_registros[MÊS],$AE$1,tabela_registros[DIA],receitasfixasconsolidadomar[[#Headers],[27]],tabela_registros[REGISTRO],DADOS!$N$3,tabela_registros[TIPO],DADOS!$V$3,tabela_registros[CATEGORIA],receitasfixasconsolidadomar[[#This Row],[ATUAL]])</calculatedColumnFormula>
    </tableColumn>
    <tableColumn id="29" xr3:uid="{C884FA28-2445-43A2-8DA8-DE4EF74C902B}" name="28" totalsRowFunction="sum" dataDxfId="7478" totalsRowDxfId="7477" dataCellStyle="Moeda">
      <calculatedColumnFormula>SUMIFS(tabela_registros[VALOR],tabela_registros[MÊS],$AE$1,tabela_registros[DIA],receitasfixasconsolidadomar[[#Headers],[28]],tabela_registros[REGISTRO],DADOS!$N$3,tabela_registros[TIPO],DADOS!$V$3,tabela_registros[CATEGORIA],receitasfixasconsolidadomar[[#This Row],[ATUAL]])</calculatedColumnFormula>
    </tableColumn>
    <tableColumn id="30" xr3:uid="{4FDB064B-7DD6-4F54-9D8B-CEB718215A88}" name="29" totalsRowFunction="sum" dataDxfId="7476" totalsRowDxfId="7475" dataCellStyle="Moeda">
      <calculatedColumnFormula>SUMIFS(tabela_registros[VALOR],tabela_registros[MÊS],$AE$1,tabela_registros[DIA],receitasfixasconsolidadomar[[#Headers],[29]],tabela_registros[REGISTRO],DADOS!$N$3,tabela_registros[TIPO],DADOS!$V$3,tabela_registros[CATEGORIA],receitasfixasconsolidadomar[[#This Row],[ATUAL]])</calculatedColumnFormula>
    </tableColumn>
    <tableColumn id="31" xr3:uid="{73C9A5C8-29A1-43A6-9010-020E84DD5C9E}" name="30" totalsRowFunction="sum" dataDxfId="7474" totalsRowDxfId="7473" dataCellStyle="Moeda">
      <calculatedColumnFormula>SUMIFS(tabela_registros[VALOR],tabela_registros[MÊS],$AE$1,tabela_registros[DIA],receitasfixasconsolidadomar[[#Headers],[30]],tabela_registros[REGISTRO],DADOS!$N$3,tabela_registros[TIPO],DADOS!$V$3,tabela_registros[CATEGORIA],receitasfixasconsolidadomar[[#This Row],[ATUAL]])</calculatedColumnFormula>
    </tableColumn>
    <tableColumn id="32" xr3:uid="{64092EC4-2FAB-43AB-A607-1ACE3841D1A0}" name="31" totalsRowFunction="sum" dataDxfId="7472" totalsRowDxfId="7471" dataCellStyle="Moeda">
      <calculatedColumnFormula>SUMIFS(tabela_registros[VALOR],tabela_registros[MÊS],$AE$1,tabela_registros[DIA],receitasfixasconsolidadomar[[#Headers],[31]],tabela_registros[REGISTRO],DADOS!$N$3,tabela_registros[TIPO],DADOS!$V$3,tabela_registros[CATEGORIA],receitasfixasconsolidadomar[[#This Row],[ATUAL]])</calculatedColumnFormula>
    </tableColumn>
    <tableColumn id="33" xr3:uid="{C9FBCE57-88AB-4E9B-B72A-717A5D994696}" name="TOTAL (R$)" totalsRowFunction="sum" dataDxfId="7470" dataCellStyle="Moeda">
      <calculatedColumnFormula>SUM(receitasfixasconsolidadomar[[#This Row],[1]:[31]])</calculatedColumnFormula>
    </tableColumn>
  </tableColumns>
  <tableStyleInfo name="TABELAS RESULTADOS" showFirstColumn="0" showLastColumn="0" showRowStripes="1" showColumnStripes="0"/>
</table>
</file>

<file path=xl/tables/table4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1" xr:uid="{62039BD0-334E-4BB4-8FC4-2288F8887BA8}" name="receitasvariáveisconsolidadomar" displayName="receitasvariáveisconsolidadomar" ref="C95:AJ104" headerRowDxfId="7469" dataDxfId="7468" totalsRowDxfId="7467">
  <autoFilter ref="C95:AJ104" xr:uid="{DEFDE68B-A97D-4ED5-9460-1E58A13A7942}"/>
  <tableColumns count="34">
    <tableColumn id="1" xr3:uid="{4497185B-9D23-47C1-B4D0-90957B9C426E}" name="ATUAL" totalsRowLabel="SALDO" dataDxfId="7466"/>
    <tableColumn id="34" xr3:uid="{95E2A4DF-CFFD-416E-B1E5-3F4A9B817135}" name="Coluna1" dataDxfId="7465" totalsRowDxfId="7464">
      <calculatedColumnFormula>IF(receitasvariáveisconsolidadomar[[#This Row],[TOTAL (R$)]]=0,"",IF(OR(receitasvariáveisconsolidadomar[[#This Row],[TOTAL (R$)]]=LARGE($AJ$96:$AJ$103,1),receitasvariáveisconsolidadomar[[#This Row],[TOTAL (R$)]]=LARGE($AJ$96:$AJ$103,2)),DADOS!$I$9,""))</calculatedColumnFormula>
    </tableColumn>
    <tableColumn id="2" xr3:uid="{D8D0DD48-B398-4001-8D6E-DF2467B07A28}" name="1" totalsRowFunction="sum" dataDxfId="7463" dataCellStyle="Moeda"/>
    <tableColumn id="3" xr3:uid="{E84AF4CA-4B54-440E-A8B9-985397B4A5EA}" name="2" totalsRowFunction="sum" dataDxfId="7462" dataCellStyle="Moeda">
      <calculatedColumnFormula>SUMIFS(tabela_registros[VALOR],tabela_registros[MÊS],$AE$1,tabela_registros[DIA],receitasvariáveisconsolidadomar[[#Headers],[2]],tabela_registros[REGISTRO],DADOS!$N$3,tabela_registros[TIPO],DADOS!$V$3,tabela_registros[CATEGORIA],receitasvariáveisconsolidadomar[[#This Row],[ATUAL]])</calculatedColumnFormula>
    </tableColumn>
    <tableColumn id="4" xr3:uid="{BEA665E6-001C-4B66-8EF1-CC3FF2D00455}" name="3" totalsRowFunction="sum" dataDxfId="7461" totalsRowDxfId="7460" dataCellStyle="Moeda">
      <calculatedColumnFormula>SUMIFS(tabela_registros[VALOR],tabela_registros[MÊS],$AE$1,tabela_registros[DIA],receitasvariáveisconsolidadomar[[#Headers],[3]],tabela_registros[REGISTRO],DADOS!$N$3,tabela_registros[TIPO],DADOS!$V$3,tabela_registros[CATEGORIA],receitasvariáveisconsolidadomar[[#This Row],[ATUAL]])</calculatedColumnFormula>
    </tableColumn>
    <tableColumn id="5" xr3:uid="{D6927387-BFB5-4E29-8D9B-FB8E95C3D59D}" name="4" totalsRowFunction="sum" dataDxfId="7459" totalsRowDxfId="7458" dataCellStyle="Moeda">
      <calculatedColumnFormula>SUMIFS(tabela_registros[VALOR],tabela_registros[MÊS],$AE$1,tabela_registros[DIA],receitasvariáveisconsolidadomar[[#Headers],[4]],tabela_registros[REGISTRO],DADOS!$N$3,tabela_registros[TIPO],DADOS!$V$3,tabela_registros[CATEGORIA],receitasvariáveisconsolidadomar[[#This Row],[ATUAL]])</calculatedColumnFormula>
    </tableColumn>
    <tableColumn id="6" xr3:uid="{F0ECA0E3-E43B-4D6F-839A-5B31801F1069}" name="5" totalsRowFunction="sum" dataDxfId="7457" totalsRowDxfId="7456" dataCellStyle="Moeda">
      <calculatedColumnFormula>SUMIFS(tabela_registros[VALOR],tabela_registros[MÊS],$AE$1,tabela_registros[DIA],receitasvariáveisconsolidadomar[[#Headers],[5]],tabela_registros[REGISTRO],DADOS!$N$3,tabela_registros[TIPO],DADOS!$V$3,tabela_registros[CATEGORIA],receitasvariáveisconsolidadomar[[#This Row],[ATUAL]])</calculatedColumnFormula>
    </tableColumn>
    <tableColumn id="7" xr3:uid="{A48C4538-63DF-4A25-AC4E-6FB45BC27A4F}" name="6" totalsRowFunction="sum" dataDxfId="7455" totalsRowDxfId="7454" dataCellStyle="Moeda">
      <calculatedColumnFormula>SUMIFS(tabela_registros[VALOR],tabela_registros[MÊS],$AE$1,tabela_registros[DIA],receitasvariáveisconsolidadomar[[#Headers],[6]],tabela_registros[REGISTRO],DADOS!$N$3,tabela_registros[TIPO],DADOS!$V$3,tabela_registros[CATEGORIA],receitasvariáveisconsolidadomar[[#This Row],[ATUAL]])</calculatedColumnFormula>
    </tableColumn>
    <tableColumn id="8" xr3:uid="{FCB2BF5E-F6D7-4D84-97A9-311A917AB4EA}" name="7" totalsRowFunction="sum" dataDxfId="7453" totalsRowDxfId="7452" dataCellStyle="Moeda">
      <calculatedColumnFormula>SUMIFS(tabela_registros[VALOR],tabela_registros[MÊS],$AE$1,tabela_registros[DIA],receitasvariáveisconsolidadomar[[#Headers],[7]],tabela_registros[REGISTRO],DADOS!$N$3,tabela_registros[TIPO],DADOS!$V$3,tabela_registros[CATEGORIA],receitasvariáveisconsolidadomar[[#This Row],[ATUAL]])</calculatedColumnFormula>
    </tableColumn>
    <tableColumn id="9" xr3:uid="{7BE7FA71-E329-4BA7-A58D-E1A9AE355A5E}" name="8" totalsRowFunction="sum" dataDxfId="7451" totalsRowDxfId="7450" dataCellStyle="Moeda">
      <calculatedColumnFormula>SUMIFS(tabela_registros[VALOR],tabela_registros[MÊS],$AE$1,tabela_registros[DIA],receitasvariáveisconsolidadomar[[#Headers],[8]],tabela_registros[REGISTRO],DADOS!$N$3,tabela_registros[TIPO],DADOS!$V$3,tabela_registros[CATEGORIA],receitasvariáveisconsolidadomar[[#This Row],[ATUAL]])</calculatedColumnFormula>
    </tableColumn>
    <tableColumn id="10" xr3:uid="{15CC2484-4D9D-4CE8-A45B-FE0C3CE0061F}" name="9" totalsRowFunction="sum" dataDxfId="7449" totalsRowDxfId="7448" dataCellStyle="Moeda">
      <calculatedColumnFormula>SUMIFS(tabela_registros[VALOR],tabela_registros[MÊS],$AE$1,tabela_registros[DIA],receitasvariáveisconsolidadomar[[#Headers],[9]],tabela_registros[REGISTRO],DADOS!$N$3,tabela_registros[TIPO],DADOS!$V$3,tabela_registros[CATEGORIA],receitasvariáveisconsolidadomar[[#This Row],[ATUAL]])</calculatedColumnFormula>
    </tableColumn>
    <tableColumn id="11" xr3:uid="{68CFB93F-366D-46DE-9D11-5DA3A216C359}" name="10" totalsRowFunction="sum" dataDxfId="7447" totalsRowDxfId="7446" dataCellStyle="Moeda">
      <calculatedColumnFormula>SUMIFS(tabela_registros[VALOR],tabela_registros[MÊS],$AE$1,tabela_registros[DIA],receitasvariáveisconsolidadomar[[#Headers],[10]],tabela_registros[REGISTRO],DADOS!$N$3,tabela_registros[TIPO],DADOS!$V$3,tabela_registros[CATEGORIA],receitasvariáveisconsolidadomar[[#This Row],[ATUAL]])</calculatedColumnFormula>
    </tableColumn>
    <tableColumn id="12" xr3:uid="{28A81C42-E8F3-4CDC-8221-3A016EE66B9C}" name="11" totalsRowFunction="sum" dataDxfId="7445" totalsRowDxfId="7444" dataCellStyle="Moeda">
      <calculatedColumnFormula>SUMIFS(tabela_registros[VALOR],tabela_registros[MÊS],$AE$1,tabela_registros[DIA],receitasvariáveisconsolidadomar[[#Headers],[11]],tabela_registros[REGISTRO],DADOS!$N$3,tabela_registros[TIPO],DADOS!$V$3,tabela_registros[CATEGORIA],receitasvariáveisconsolidadomar[[#This Row],[ATUAL]])</calculatedColumnFormula>
    </tableColumn>
    <tableColumn id="13" xr3:uid="{639E7ABE-42DF-44EC-9C74-4380E8043F23}" name="12" totalsRowFunction="sum" dataDxfId="7443" totalsRowDxfId="7442" dataCellStyle="Moeda">
      <calculatedColumnFormula>SUMIFS(tabela_registros[VALOR],tabela_registros[MÊS],$AE$1,tabela_registros[DIA],receitasvariáveisconsolidadomar[[#Headers],[12]],tabela_registros[REGISTRO],DADOS!$N$3,tabela_registros[TIPO],DADOS!$V$3,tabela_registros[CATEGORIA],receitasvariáveisconsolidadomar[[#This Row],[ATUAL]])</calculatedColumnFormula>
    </tableColumn>
    <tableColumn id="14" xr3:uid="{5A1F1F67-A129-4268-A037-594FA487D088}" name="13" totalsRowFunction="sum" dataDxfId="7441" totalsRowDxfId="7440" dataCellStyle="Moeda">
      <calculatedColumnFormula>SUMIFS(tabela_registros[VALOR],tabela_registros[MÊS],$AE$1,tabela_registros[DIA],receitasvariáveisconsolidadomar[[#Headers],[13]],tabela_registros[REGISTRO],DADOS!$N$3,tabela_registros[TIPO],DADOS!$V$3,tabela_registros[CATEGORIA],receitasvariáveisconsolidadomar[[#This Row],[ATUAL]])</calculatedColumnFormula>
    </tableColumn>
    <tableColumn id="15" xr3:uid="{313F0A5B-64CA-4F48-B5E5-ACAC15E0EBCB}" name="14" totalsRowFunction="sum" dataDxfId="7439" totalsRowDxfId="7438" dataCellStyle="Moeda">
      <calculatedColumnFormula>SUMIFS(tabela_registros[VALOR],tabela_registros[MÊS],$AE$1,tabela_registros[DIA],receitasvariáveisconsolidadomar[[#Headers],[14]],tabela_registros[REGISTRO],DADOS!$N$3,tabela_registros[TIPO],DADOS!$V$3,tabela_registros[CATEGORIA],receitasvariáveisconsolidadomar[[#This Row],[ATUAL]])</calculatedColumnFormula>
    </tableColumn>
    <tableColumn id="16" xr3:uid="{DF447E24-9A08-4C9A-A39A-9826BF4BA030}" name="15" totalsRowFunction="sum" dataDxfId="7437" totalsRowDxfId="7436" dataCellStyle="Moeda">
      <calculatedColumnFormula>SUMIFS(tabela_registros[VALOR],tabela_registros[MÊS],$AE$1,tabela_registros[DIA],receitasvariáveisconsolidadomar[[#Headers],[15]],tabela_registros[REGISTRO],DADOS!$N$3,tabela_registros[TIPO],DADOS!$V$3,tabela_registros[CATEGORIA],receitasvariáveisconsolidadomar[[#This Row],[ATUAL]])</calculatedColumnFormula>
    </tableColumn>
    <tableColumn id="17" xr3:uid="{5425499E-E32F-47B9-8999-0076910CC42C}" name="16" totalsRowFunction="sum" dataDxfId="7435" totalsRowDxfId="7434" dataCellStyle="Moeda">
      <calculatedColumnFormula>SUMIFS(tabela_registros[VALOR],tabela_registros[MÊS],$AE$1,tabela_registros[DIA],receitasvariáveisconsolidadomar[[#Headers],[16]],tabela_registros[REGISTRO],DADOS!$N$3,tabela_registros[TIPO],DADOS!$V$3,tabela_registros[CATEGORIA],receitasvariáveisconsolidadomar[[#This Row],[ATUAL]])</calculatedColumnFormula>
    </tableColumn>
    <tableColumn id="18" xr3:uid="{246EDB5B-2140-436C-B775-052A7509A9D1}" name="17" totalsRowFunction="sum" dataDxfId="7433" totalsRowDxfId="7432" dataCellStyle="Moeda">
      <calculatedColumnFormula>SUMIFS(tabela_registros[VALOR],tabela_registros[MÊS],$AE$1,tabela_registros[DIA],receitasvariáveisconsolidadomar[[#Headers],[17]],tabela_registros[REGISTRO],DADOS!$N$3,tabela_registros[TIPO],DADOS!$V$3,tabela_registros[CATEGORIA],receitasvariáveisconsolidadomar[[#This Row],[ATUAL]])</calculatedColumnFormula>
    </tableColumn>
    <tableColumn id="19" xr3:uid="{740D7544-6E10-40B0-86B1-2C82BBB0EFA8}" name="18" totalsRowFunction="sum" dataDxfId="7431" totalsRowDxfId="7430" dataCellStyle="Moeda">
      <calculatedColumnFormula>SUMIFS(tabela_registros[VALOR],tabela_registros[MÊS],$AE$1,tabela_registros[DIA],receitasvariáveisconsolidadomar[[#Headers],[18]],tabela_registros[REGISTRO],DADOS!$N$3,tabela_registros[TIPO],DADOS!$V$3,tabela_registros[CATEGORIA],receitasvariáveisconsolidadomar[[#This Row],[ATUAL]])</calculatedColumnFormula>
    </tableColumn>
    <tableColumn id="20" xr3:uid="{5DFEF1FA-ABCF-4B5A-96C1-B14DDC737F18}" name="19" totalsRowFunction="sum" dataDxfId="7429" totalsRowDxfId="7428" dataCellStyle="Moeda">
      <calculatedColumnFormula>SUMIFS(tabela_registros[VALOR],tabela_registros[MÊS],$AE$1,tabela_registros[DIA],receitasvariáveisconsolidadomar[[#Headers],[19]],tabela_registros[REGISTRO],DADOS!$N$3,tabela_registros[TIPO],DADOS!$V$3,tabela_registros[CATEGORIA],receitasvariáveisconsolidadomar[[#This Row],[ATUAL]])</calculatedColumnFormula>
    </tableColumn>
    <tableColumn id="21" xr3:uid="{BCB43232-BDF4-40E6-BCAA-74BBFC004A8A}" name="20" totalsRowFunction="sum" dataDxfId="7427" totalsRowDxfId="7426" dataCellStyle="Moeda">
      <calculatedColumnFormula>SUMIFS(tabela_registros[VALOR],tabela_registros[MÊS],$AE$1,tabela_registros[DIA],receitasvariáveisconsolidadomar[[#Headers],[20]],tabela_registros[REGISTRO],DADOS!$N$3,tabela_registros[TIPO],DADOS!$V$3,tabela_registros[CATEGORIA],receitasvariáveisconsolidadomar[[#This Row],[ATUAL]])</calculatedColumnFormula>
    </tableColumn>
    <tableColumn id="22" xr3:uid="{23C11BC2-AAB0-4861-94F6-309EF9507FA7}" name="21" totalsRowFunction="sum" dataDxfId="7425" totalsRowDxfId="7424" dataCellStyle="Moeda">
      <calculatedColumnFormula>SUMIFS(tabela_registros[VALOR],tabela_registros[MÊS],$AE$1,tabela_registros[DIA],receitasvariáveisconsolidadomar[[#Headers],[21]],tabela_registros[REGISTRO],DADOS!$N$3,tabela_registros[TIPO],DADOS!$V$3,tabela_registros[CATEGORIA],receitasvariáveisconsolidadomar[[#This Row],[ATUAL]])</calculatedColumnFormula>
    </tableColumn>
    <tableColumn id="23" xr3:uid="{1B549BEF-7CA7-4818-843C-84F8721DA57D}" name="22" totalsRowFunction="sum" dataDxfId="7423" totalsRowDxfId="7422" dataCellStyle="Moeda">
      <calculatedColumnFormula>SUMIFS(tabela_registros[VALOR],tabela_registros[MÊS],$AE$1,tabela_registros[DIA],receitasvariáveisconsolidadomar[[#Headers],[22]],tabela_registros[REGISTRO],DADOS!$N$3,tabela_registros[TIPO],DADOS!$V$3,tabela_registros[CATEGORIA],receitasvariáveisconsolidadomar[[#This Row],[ATUAL]])</calculatedColumnFormula>
    </tableColumn>
    <tableColumn id="24" xr3:uid="{48F5F7D6-111F-4DAF-8034-E1BA46A18BD4}" name="23" totalsRowFunction="sum" dataDxfId="7421" totalsRowDxfId="7420" dataCellStyle="Moeda">
      <calculatedColumnFormula>SUMIFS(tabela_registros[VALOR],tabela_registros[MÊS],$AE$1,tabela_registros[DIA],receitasvariáveisconsolidadomar[[#Headers],[23]],tabela_registros[REGISTRO],DADOS!$N$3,tabela_registros[TIPO],DADOS!$V$3,tabela_registros[CATEGORIA],receitasvariáveisconsolidadomar[[#This Row],[ATUAL]])</calculatedColumnFormula>
    </tableColumn>
    <tableColumn id="25" xr3:uid="{1A511B93-1D8D-41BB-8639-96C2A7546ED9}" name="24" totalsRowFunction="sum" dataDxfId="7419" totalsRowDxfId="7418" dataCellStyle="Moeda">
      <calculatedColumnFormula>SUMIFS(tabela_registros[VALOR],tabela_registros[MÊS],$AE$1,tabela_registros[DIA],receitasvariáveisconsolidadomar[[#Headers],[24]],tabela_registros[REGISTRO],DADOS!$N$3,tabela_registros[TIPO],DADOS!$V$3,tabela_registros[CATEGORIA],receitasvariáveisconsolidadomar[[#This Row],[ATUAL]])</calculatedColumnFormula>
    </tableColumn>
    <tableColumn id="26" xr3:uid="{7643643F-09BA-41D0-983D-1074FF925AFF}" name="25" totalsRowFunction="sum" dataDxfId="7417" totalsRowDxfId="7416" dataCellStyle="Moeda">
      <calculatedColumnFormula>SUMIFS(tabela_registros[VALOR],tabela_registros[MÊS],$AE$1,tabela_registros[DIA],receitasvariáveisconsolidadomar[[#Headers],[25]],tabela_registros[REGISTRO],DADOS!$N$3,tabela_registros[TIPO],DADOS!$V$3,tabela_registros[CATEGORIA],receitasvariáveisconsolidadomar[[#This Row],[ATUAL]])</calculatedColumnFormula>
    </tableColumn>
    <tableColumn id="27" xr3:uid="{62CBCCAA-4163-41F4-B178-6CBF75F7D634}" name="26" totalsRowFunction="sum" dataDxfId="7415" totalsRowDxfId="7414" dataCellStyle="Moeda">
      <calculatedColumnFormula>SUMIFS(tabela_registros[VALOR],tabela_registros[MÊS],$AE$1,tabela_registros[DIA],receitasvariáveisconsolidadomar[[#Headers],[26]],tabela_registros[REGISTRO],DADOS!$N$3,tabela_registros[TIPO],DADOS!$V$3,tabela_registros[CATEGORIA],receitasvariáveisconsolidadomar[[#This Row],[ATUAL]])</calculatedColumnFormula>
    </tableColumn>
    <tableColumn id="28" xr3:uid="{3FD368E5-A547-45A0-88AB-7484F53F9D1C}" name="27" totalsRowFunction="sum" dataDxfId="7413" totalsRowDxfId="7412" dataCellStyle="Moeda">
      <calculatedColumnFormula>SUMIFS(tabela_registros[VALOR],tabela_registros[MÊS],$AE$1,tabela_registros[DIA],receitasvariáveisconsolidadomar[[#Headers],[27]],tabela_registros[REGISTRO],DADOS!$N$3,tabela_registros[TIPO],DADOS!$V$3,tabela_registros[CATEGORIA],receitasvariáveisconsolidadomar[[#This Row],[ATUAL]])</calculatedColumnFormula>
    </tableColumn>
    <tableColumn id="29" xr3:uid="{AAC01A8F-4AA4-4ED9-96D5-982BB8531020}" name="28" totalsRowFunction="sum" dataDxfId="7411" totalsRowDxfId="7410" dataCellStyle="Moeda">
      <calculatedColumnFormula>SUMIFS(tabela_registros[VALOR],tabela_registros[MÊS],$AE$1,tabela_registros[DIA],receitasvariáveisconsolidadomar[[#Headers],[28]],tabela_registros[REGISTRO],DADOS!$N$3,tabela_registros[TIPO],DADOS!$V$3,tabela_registros[CATEGORIA],receitasvariáveisconsolidadomar[[#This Row],[ATUAL]])</calculatedColumnFormula>
    </tableColumn>
    <tableColumn id="30" xr3:uid="{CB6763A7-F990-4BD1-ACB9-6CE4FC5629C0}" name="29" totalsRowFunction="sum" dataDxfId="7409" totalsRowDxfId="7408" dataCellStyle="Moeda">
      <calculatedColumnFormula>SUMIFS(tabela_registros[VALOR],tabela_registros[MÊS],$AE$1,tabela_registros[DIA],receitasvariáveisconsolidadomar[[#Headers],[29]],tabela_registros[REGISTRO],DADOS!$N$3,tabela_registros[TIPO],DADOS!$V$3,tabela_registros[CATEGORIA],receitasvariáveisconsolidadomar[[#This Row],[ATUAL]])</calculatedColumnFormula>
    </tableColumn>
    <tableColumn id="31" xr3:uid="{D9F21BFD-22BE-4C63-A7EB-D022524815A4}" name="30" totalsRowFunction="sum" dataDxfId="7407" totalsRowDxfId="7406" dataCellStyle="Moeda">
      <calculatedColumnFormula>SUMIFS(tabela_registros[VALOR],tabela_registros[MÊS],$AE$1,tabela_registros[DIA],receitasvariáveisconsolidadomar[[#Headers],[30]],tabela_registros[REGISTRO],DADOS!$N$3,tabela_registros[TIPO],DADOS!$V$3,tabela_registros[CATEGORIA],receitasvariáveisconsolidadomar[[#This Row],[ATUAL]])</calculatedColumnFormula>
    </tableColumn>
    <tableColumn id="32" xr3:uid="{BAADAA4D-2A06-4D24-A4F3-3B99164EACF5}" name="31" totalsRowFunction="sum" dataDxfId="7405" totalsRowDxfId="7404" dataCellStyle="Moeda">
      <calculatedColumnFormula>SUMIFS(tabela_registros[VALOR],tabela_registros[MÊS],$AE$1,tabela_registros[DIA],receitasvariáveisconsolidadomar[[#Headers],[31]],tabela_registros[REGISTRO],DADOS!$N$3,tabela_registros[TIPO],DADOS!$V$3,tabela_registros[CATEGORIA],receitasvariáveisconsolidadomar[[#This Row],[ATUAL]])</calculatedColumnFormula>
    </tableColumn>
    <tableColumn id="33" xr3:uid="{DC3C69E6-C4C4-4683-8152-0A9B7A86A554}" name="TOTAL (R$)" totalsRowFunction="sum" dataDxfId="7403" dataCellStyle="Moeda">
      <calculatedColumnFormula>SUM(receitasvariáveisconsolidadomar[[#This Row],[1]:[31]])</calculatedColumnFormula>
    </tableColumn>
  </tableColumns>
  <tableStyleInfo name="TABELAS RESULTADOS" showFirstColumn="0" showLastColumn="0" showRowStripes="1" showColumnStripes="0"/>
</table>
</file>

<file path=xl/tables/table4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2" xr:uid="{A21D8952-0D73-4CE1-B4A2-62135DCA9DC9}" name="investirrendafixaconsolidadomar" displayName="investirrendafixaconsolidadomar" ref="C112:AJ123" headerRowDxfId="7402" dataDxfId="7401" totalsRowDxfId="7400">
  <autoFilter ref="C112:AJ123" xr:uid="{3BCF8FD2-4C10-4776-87A3-7B16A33417A4}"/>
  <tableColumns count="34">
    <tableColumn id="1" xr3:uid="{39DD854C-2CFD-4B35-9228-C3BDCF47F7FA}" name="ATUAL" totalsRowLabel="SALDO" dataDxfId="7399"/>
    <tableColumn id="34" xr3:uid="{16B64C8B-CC90-4F6E-B3DB-43AE2B6A17F1}" name="Coluna1" dataDxfId="7398" totalsRowDxfId="7397">
      <calculatedColumnFormula>IF(investirrendafixaconsolidadomar[[#This Row],[TOTAL (R$)]]=0,"",IF(OR(investirrendafixaconsolidadomar[[#This Row],[TOTAL (R$)]]=LARGE($AJ$113:$AJ$122,1),investirrendafixaconsolidadomar[[#This Row],[TOTAL (R$)]]=LARGE($AJ$113:$AJ$122,2)),DADOS!$I$10,""))</calculatedColumnFormula>
    </tableColumn>
    <tableColumn id="2" xr3:uid="{8A53CC02-AFC4-40D6-A9C6-0CAB7E8BC4C6}" name="1" totalsRowFunction="sum" dataDxfId="7396" dataCellStyle="Moeda"/>
    <tableColumn id="3" xr3:uid="{E7543D75-0666-48DC-80A0-BA5C95C0FE3B}" name="2" totalsRowFunction="sum" dataDxfId="7395" dataCellStyle="Moeda">
      <calculatedColumnFormula>SUMIFS(tabela_registros[VALOR],tabela_registros[MÊS],$AE$1,tabela_registros[DIA],investirrendafixaconsolidadomar[[#Headers],[2]],tabela_registros[REGISTRO],DADOS!$N$3,tabela_registros[TIPO],DADOS!$V$3,tabela_registros[CATEGORIA],investirrendafixaconsolidadomar[[#This Row],[ATUAL]])</calculatedColumnFormula>
    </tableColumn>
    <tableColumn id="4" xr3:uid="{908B9027-424E-4271-A783-7ADECFF04DC5}" name="3" totalsRowFunction="sum" dataDxfId="7394" totalsRowDxfId="7393" dataCellStyle="Moeda">
      <calculatedColumnFormula>SUMIFS(tabela_registros[VALOR],tabela_registros[MÊS],$AE$1,tabela_registros[DIA],investirrendafixaconsolidadomar[[#Headers],[3]],tabela_registros[REGISTRO],DADOS!$N$3,tabela_registros[TIPO],DADOS!$V$3,tabela_registros[CATEGORIA],investirrendafixaconsolidadomar[[#This Row],[ATUAL]])</calculatedColumnFormula>
    </tableColumn>
    <tableColumn id="5" xr3:uid="{B188CABC-44EB-4E2F-A83A-7E3B2FFB47EB}" name="4" totalsRowFunction="sum" dataDxfId="7392" totalsRowDxfId="7391" dataCellStyle="Moeda">
      <calculatedColumnFormula>SUMIFS(tabela_registros[VALOR],tabela_registros[MÊS],$AE$1,tabela_registros[DIA],investirrendafixaconsolidadomar[[#Headers],[4]],tabela_registros[REGISTRO],DADOS!$N$3,tabela_registros[TIPO],DADOS!$V$3,tabela_registros[CATEGORIA],investirrendafixaconsolidadomar[[#This Row],[ATUAL]])</calculatedColumnFormula>
    </tableColumn>
    <tableColumn id="6" xr3:uid="{029F1B82-B64D-4B69-95FE-BE9370502631}" name="5" totalsRowFunction="sum" dataDxfId="7390" totalsRowDxfId="7389" dataCellStyle="Moeda">
      <calculatedColumnFormula>SUMIFS(tabela_registros[VALOR],tabela_registros[MÊS],$AE$1,tabela_registros[DIA],investirrendafixaconsolidadomar[[#Headers],[5]],tabela_registros[REGISTRO],DADOS!$N$3,tabela_registros[TIPO],DADOS!$V$3,tabela_registros[CATEGORIA],investirrendafixaconsolidadomar[[#This Row],[ATUAL]])</calculatedColumnFormula>
    </tableColumn>
    <tableColumn id="7" xr3:uid="{A10D4CE7-CA6B-4E1E-9991-2EFBAE02B67D}" name="6" totalsRowFunction="sum" dataDxfId="7388" totalsRowDxfId="7387" dataCellStyle="Moeda">
      <calculatedColumnFormula>SUMIFS(tabela_registros[VALOR],tabela_registros[MÊS],$AE$1,tabela_registros[DIA],investirrendafixaconsolidadomar[[#Headers],[6]],tabela_registros[REGISTRO],DADOS!$N$3,tabela_registros[TIPO],DADOS!$V$3,tabela_registros[CATEGORIA],investirrendafixaconsolidadomar[[#This Row],[ATUAL]])</calculatedColumnFormula>
    </tableColumn>
    <tableColumn id="8" xr3:uid="{20904563-661C-4353-82E1-2239942E4E49}" name="7" totalsRowFunction="sum" dataDxfId="7386" totalsRowDxfId="7385" dataCellStyle="Moeda">
      <calculatedColumnFormula>SUMIFS(tabela_registros[VALOR],tabela_registros[MÊS],$AE$1,tabela_registros[DIA],investirrendafixaconsolidadomar[[#Headers],[7]],tabela_registros[REGISTRO],DADOS!$N$3,tabela_registros[TIPO],DADOS!$V$3,tabela_registros[CATEGORIA],investirrendafixaconsolidadomar[[#This Row],[ATUAL]])</calculatedColumnFormula>
    </tableColumn>
    <tableColumn id="9" xr3:uid="{042C42B4-8B93-4F11-AD0E-C8C8CC360710}" name="8" totalsRowFunction="sum" dataDxfId="7384" totalsRowDxfId="7383" dataCellStyle="Moeda">
      <calculatedColumnFormula>SUMIFS(tabela_registros[VALOR],tabela_registros[MÊS],$AE$1,tabela_registros[DIA],investirrendafixaconsolidadomar[[#Headers],[8]],tabela_registros[REGISTRO],DADOS!$N$3,tabela_registros[TIPO],DADOS!$V$3,tabela_registros[CATEGORIA],investirrendafixaconsolidadomar[[#This Row],[ATUAL]])</calculatedColumnFormula>
    </tableColumn>
    <tableColumn id="10" xr3:uid="{7CB47E1D-0053-47ED-85E3-E954D8E942FC}" name="9" totalsRowFunction="sum" dataDxfId="7382" totalsRowDxfId="7381" dataCellStyle="Moeda">
      <calculatedColumnFormula>SUMIFS(tabela_registros[VALOR],tabela_registros[MÊS],$AE$1,tabela_registros[DIA],investirrendafixaconsolidadomar[[#Headers],[9]],tabela_registros[REGISTRO],DADOS!$N$3,tabela_registros[TIPO],DADOS!$V$3,tabela_registros[CATEGORIA],investirrendafixaconsolidadomar[[#This Row],[ATUAL]])</calculatedColumnFormula>
    </tableColumn>
    <tableColumn id="11" xr3:uid="{233086A5-7C05-4200-AF4D-116B3A6010F2}" name="10" totalsRowFunction="sum" dataDxfId="7380" totalsRowDxfId="7379" dataCellStyle="Moeda">
      <calculatedColumnFormula>SUMIFS(tabela_registros[VALOR],tabela_registros[MÊS],$AE$1,tabela_registros[DIA],investirrendafixaconsolidadomar[[#Headers],[10]],tabela_registros[REGISTRO],DADOS!$N$3,tabela_registros[TIPO],DADOS!$V$3,tabela_registros[CATEGORIA],investirrendafixaconsolidadomar[[#This Row],[ATUAL]])</calculatedColumnFormula>
    </tableColumn>
    <tableColumn id="12" xr3:uid="{54CDBE3C-9378-48F7-A884-7C0AA7BB42F7}" name="11" totalsRowFunction="sum" dataDxfId="7378" totalsRowDxfId="7377" dataCellStyle="Moeda">
      <calculatedColumnFormula>SUMIFS(tabela_registros[VALOR],tabela_registros[MÊS],$AE$1,tabela_registros[DIA],investirrendafixaconsolidadomar[[#Headers],[11]],tabela_registros[REGISTRO],DADOS!$N$3,tabela_registros[TIPO],DADOS!$V$3,tabela_registros[CATEGORIA],investirrendafixaconsolidadomar[[#This Row],[ATUAL]])</calculatedColumnFormula>
    </tableColumn>
    <tableColumn id="13" xr3:uid="{40DA4D75-6F80-43B0-B3A1-83170740EB37}" name="12" totalsRowFunction="sum" dataDxfId="7376" totalsRowDxfId="7375" dataCellStyle="Moeda">
      <calculatedColumnFormula>SUMIFS(tabela_registros[VALOR],tabela_registros[MÊS],$AE$1,tabela_registros[DIA],investirrendafixaconsolidadomar[[#Headers],[12]],tabela_registros[REGISTRO],DADOS!$N$3,tabela_registros[TIPO],DADOS!$V$3,tabela_registros[CATEGORIA],investirrendafixaconsolidadomar[[#This Row],[ATUAL]])</calculatedColumnFormula>
    </tableColumn>
    <tableColumn id="14" xr3:uid="{40210BEF-3C8F-4DE1-9DAF-101D247EEF8E}" name="13" totalsRowFunction="sum" dataDxfId="7374" totalsRowDxfId="7373" dataCellStyle="Moeda">
      <calculatedColumnFormula>SUMIFS(tabela_registros[VALOR],tabela_registros[MÊS],$AE$1,tabela_registros[DIA],investirrendafixaconsolidadomar[[#Headers],[13]],tabela_registros[REGISTRO],DADOS!$N$3,tabela_registros[TIPO],DADOS!$V$3,tabela_registros[CATEGORIA],investirrendafixaconsolidadomar[[#This Row],[ATUAL]])</calculatedColumnFormula>
    </tableColumn>
    <tableColumn id="15" xr3:uid="{010D1D31-D125-44C2-A454-074B6A330AFB}" name="14" totalsRowFunction="sum" dataDxfId="7372" totalsRowDxfId="7371" dataCellStyle="Moeda">
      <calculatedColumnFormula>SUMIFS(tabela_registros[VALOR],tabela_registros[MÊS],$AE$1,tabela_registros[DIA],investirrendafixaconsolidadomar[[#Headers],[14]],tabela_registros[REGISTRO],DADOS!$N$3,tabela_registros[TIPO],DADOS!$V$3,tabela_registros[CATEGORIA],investirrendafixaconsolidadomar[[#This Row],[ATUAL]])</calculatedColumnFormula>
    </tableColumn>
    <tableColumn id="16" xr3:uid="{B9E2003C-7684-4294-8ADB-CEC6ACDF95BD}" name="15" totalsRowFunction="sum" dataDxfId="7370" totalsRowDxfId="7369" dataCellStyle="Moeda">
      <calculatedColumnFormula>SUMIFS(tabela_registros[VALOR],tabela_registros[MÊS],$AE$1,tabela_registros[DIA],investirrendafixaconsolidadomar[[#Headers],[15]],tabela_registros[REGISTRO],DADOS!$N$3,tabela_registros[TIPO],DADOS!$V$3,tabela_registros[CATEGORIA],investirrendafixaconsolidadomar[[#This Row],[ATUAL]])</calculatedColumnFormula>
    </tableColumn>
    <tableColumn id="17" xr3:uid="{F5F61911-CA80-4550-A8ED-DA36889F63C7}" name="16" totalsRowFunction="sum" dataDxfId="7368" totalsRowDxfId="7367" dataCellStyle="Moeda">
      <calculatedColumnFormula>SUMIFS(tabela_registros[VALOR],tabela_registros[MÊS],$AE$1,tabela_registros[DIA],investirrendafixaconsolidadomar[[#Headers],[16]],tabela_registros[REGISTRO],DADOS!$N$3,tabela_registros[TIPO],DADOS!$V$3,tabela_registros[CATEGORIA],investirrendafixaconsolidadomar[[#This Row],[ATUAL]])</calculatedColumnFormula>
    </tableColumn>
    <tableColumn id="18" xr3:uid="{E6C0F472-A77F-4FEA-B737-E42C75688CFF}" name="17" totalsRowFunction="sum" dataDxfId="7366" totalsRowDxfId="7365" dataCellStyle="Moeda">
      <calculatedColumnFormula>SUMIFS(tabela_registros[VALOR],tabela_registros[MÊS],$AE$1,tabela_registros[DIA],investirrendafixaconsolidadomar[[#Headers],[17]],tabela_registros[REGISTRO],DADOS!$N$3,tabela_registros[TIPO],DADOS!$V$3,tabela_registros[CATEGORIA],investirrendafixaconsolidadomar[[#This Row],[ATUAL]])</calculatedColumnFormula>
    </tableColumn>
    <tableColumn id="19" xr3:uid="{2474CD6B-07E6-407C-87FD-58767B4A6CEA}" name="18" totalsRowFunction="sum" dataDxfId="7364" totalsRowDxfId="7363" dataCellStyle="Moeda">
      <calculatedColumnFormula>SUMIFS(tabela_registros[VALOR],tabela_registros[MÊS],$AE$1,tabela_registros[DIA],investirrendafixaconsolidadomar[[#Headers],[18]],tabela_registros[REGISTRO],DADOS!$N$3,tabela_registros[TIPO],DADOS!$V$3,tabela_registros[CATEGORIA],investirrendafixaconsolidadomar[[#This Row],[ATUAL]])</calculatedColumnFormula>
    </tableColumn>
    <tableColumn id="20" xr3:uid="{9DA32B69-DD56-49F1-A7D4-81B246E17A7B}" name="19" totalsRowFunction="sum" dataDxfId="7362" totalsRowDxfId="7361" dataCellStyle="Moeda">
      <calculatedColumnFormula>SUMIFS(tabela_registros[VALOR],tabela_registros[MÊS],$AE$1,tabela_registros[DIA],investirrendafixaconsolidadomar[[#Headers],[19]],tabela_registros[REGISTRO],DADOS!$N$3,tabela_registros[TIPO],DADOS!$V$3,tabela_registros[CATEGORIA],investirrendafixaconsolidadomar[[#This Row],[ATUAL]])</calculatedColumnFormula>
    </tableColumn>
    <tableColumn id="21" xr3:uid="{689E04EB-33E4-41B7-B192-0F1DB6BC0C7A}" name="20" totalsRowFunction="sum" dataDxfId="7360" totalsRowDxfId="7359" dataCellStyle="Moeda">
      <calculatedColumnFormula>SUMIFS(tabela_registros[VALOR],tabela_registros[MÊS],$AE$1,tabela_registros[DIA],investirrendafixaconsolidadomar[[#Headers],[20]],tabela_registros[REGISTRO],DADOS!$N$3,tabela_registros[TIPO],DADOS!$V$3,tabela_registros[CATEGORIA],investirrendafixaconsolidadomar[[#This Row],[ATUAL]])</calculatedColumnFormula>
    </tableColumn>
    <tableColumn id="22" xr3:uid="{AFB01417-0924-491C-84B5-D8A8BF51E433}" name="21" totalsRowFunction="sum" dataDxfId="7358" totalsRowDxfId="7357" dataCellStyle="Moeda">
      <calculatedColumnFormula>SUMIFS(tabela_registros[VALOR],tabela_registros[MÊS],$AE$1,tabela_registros[DIA],investirrendafixaconsolidadomar[[#Headers],[21]],tabela_registros[REGISTRO],DADOS!$N$3,tabela_registros[TIPO],DADOS!$V$3,tabela_registros[CATEGORIA],investirrendafixaconsolidadomar[[#This Row],[ATUAL]])</calculatedColumnFormula>
    </tableColumn>
    <tableColumn id="23" xr3:uid="{47EAB6A9-74C2-41AC-A72A-144206FD81D6}" name="22" totalsRowFunction="sum" dataDxfId="7356" totalsRowDxfId="7355" dataCellStyle="Moeda">
      <calculatedColumnFormula>SUMIFS(tabela_registros[VALOR],tabela_registros[MÊS],$AE$1,tabela_registros[DIA],investirrendafixaconsolidadomar[[#Headers],[22]],tabela_registros[REGISTRO],DADOS!$N$3,tabela_registros[TIPO],DADOS!$V$3,tabela_registros[CATEGORIA],investirrendafixaconsolidadomar[[#This Row],[ATUAL]])</calculatedColumnFormula>
    </tableColumn>
    <tableColumn id="24" xr3:uid="{0ECBAA9A-6090-41E7-B1DF-1ED20ACD870A}" name="23" totalsRowFunction="sum" dataDxfId="7354" totalsRowDxfId="7353" dataCellStyle="Moeda">
      <calculatedColumnFormula>SUMIFS(tabela_registros[VALOR],tabela_registros[MÊS],$AE$1,tabela_registros[DIA],investirrendafixaconsolidadomar[[#Headers],[23]],tabela_registros[REGISTRO],DADOS!$N$3,tabela_registros[TIPO],DADOS!$V$3,tabela_registros[CATEGORIA],investirrendafixaconsolidadomar[[#This Row],[ATUAL]])</calculatedColumnFormula>
    </tableColumn>
    <tableColumn id="25" xr3:uid="{965CD50C-67CC-4AFD-910A-C6EDCF4A58A3}" name="24" totalsRowFunction="sum" dataDxfId="7352" totalsRowDxfId="7351" dataCellStyle="Moeda">
      <calculatedColumnFormula>SUMIFS(tabela_registros[VALOR],tabela_registros[MÊS],$AE$1,tabela_registros[DIA],investirrendafixaconsolidadomar[[#Headers],[24]],tabela_registros[REGISTRO],DADOS!$N$3,tabela_registros[TIPO],DADOS!$V$3,tabela_registros[CATEGORIA],investirrendafixaconsolidadomar[[#This Row],[ATUAL]])</calculatedColumnFormula>
    </tableColumn>
    <tableColumn id="26" xr3:uid="{4CCA7344-5E9E-4BA7-9897-DAAB7BD79E86}" name="25" totalsRowFunction="sum" dataDxfId="7350" totalsRowDxfId="7349" dataCellStyle="Moeda">
      <calculatedColumnFormula>SUMIFS(tabela_registros[VALOR],tabela_registros[MÊS],$AE$1,tabela_registros[DIA],investirrendafixaconsolidadomar[[#Headers],[25]],tabela_registros[REGISTRO],DADOS!$N$3,tabela_registros[TIPO],DADOS!$V$3,tabela_registros[CATEGORIA],investirrendafixaconsolidadomar[[#This Row],[ATUAL]])</calculatedColumnFormula>
    </tableColumn>
    <tableColumn id="27" xr3:uid="{1ED2271D-CBE6-4D35-A268-69622F83D67B}" name="26" totalsRowFunction="sum" dataDxfId="7348" totalsRowDxfId="7347" dataCellStyle="Moeda">
      <calculatedColumnFormula>SUMIFS(tabela_registros[VALOR],tabela_registros[MÊS],$AE$1,tabela_registros[DIA],investirrendafixaconsolidadomar[[#Headers],[26]],tabela_registros[REGISTRO],DADOS!$N$3,tabela_registros[TIPO],DADOS!$V$3,tabela_registros[CATEGORIA],investirrendafixaconsolidadomar[[#This Row],[ATUAL]])</calculatedColumnFormula>
    </tableColumn>
    <tableColumn id="28" xr3:uid="{CC2BFBE0-E6D7-4720-B7C5-9C6B3B5DA943}" name="27" totalsRowFunction="sum" dataDxfId="7346" totalsRowDxfId="7345" dataCellStyle="Moeda">
      <calculatedColumnFormula>SUMIFS(tabela_registros[VALOR],tabela_registros[MÊS],$AE$1,tabela_registros[DIA],investirrendafixaconsolidadomar[[#Headers],[27]],tabela_registros[REGISTRO],DADOS!$N$3,tabela_registros[TIPO],DADOS!$V$3,tabela_registros[CATEGORIA],investirrendafixaconsolidadomar[[#This Row],[ATUAL]])</calculatedColumnFormula>
    </tableColumn>
    <tableColumn id="29" xr3:uid="{A9438CAA-CC75-4551-9F2C-1B7C6AB4869B}" name="28" totalsRowFunction="sum" dataDxfId="7344" totalsRowDxfId="7343" dataCellStyle="Moeda">
      <calculatedColumnFormula>SUMIFS(tabela_registros[VALOR],tabela_registros[MÊS],$AE$1,tabela_registros[DIA],investirrendafixaconsolidadomar[[#Headers],[28]],tabela_registros[REGISTRO],DADOS!$N$3,tabela_registros[TIPO],DADOS!$V$3,tabela_registros[CATEGORIA],investirrendafixaconsolidadomar[[#This Row],[ATUAL]])</calculatedColumnFormula>
    </tableColumn>
    <tableColumn id="30" xr3:uid="{3AFABB8D-411F-4997-91A1-A67116394BE7}" name="29" totalsRowFunction="sum" dataDxfId="7342" totalsRowDxfId="7341" dataCellStyle="Moeda">
      <calculatedColumnFormula>SUMIFS(tabela_registros[VALOR],tabela_registros[MÊS],$AE$1,tabela_registros[DIA],investirrendafixaconsolidadomar[[#Headers],[29]],tabela_registros[REGISTRO],DADOS!$N$3,tabela_registros[TIPO],DADOS!$V$3,tabela_registros[CATEGORIA],investirrendafixaconsolidadomar[[#This Row],[ATUAL]])</calculatedColumnFormula>
    </tableColumn>
    <tableColumn id="31" xr3:uid="{0D439870-6577-4973-9819-09598AF7D19C}" name="30" totalsRowFunction="sum" dataDxfId="7340" totalsRowDxfId="7339" dataCellStyle="Moeda">
      <calculatedColumnFormula>SUMIFS(tabela_registros[VALOR],tabela_registros[MÊS],$AE$1,tabela_registros[DIA],investirrendafixaconsolidadomar[[#Headers],[30]],tabela_registros[REGISTRO],DADOS!$N$3,tabela_registros[TIPO],DADOS!$V$3,tabela_registros[CATEGORIA],investirrendafixaconsolidadomar[[#This Row],[ATUAL]])</calculatedColumnFormula>
    </tableColumn>
    <tableColumn id="32" xr3:uid="{91516B23-B81E-42E4-80F3-53BD6F8F002A}" name="31" totalsRowFunction="sum" dataDxfId="7338" totalsRowDxfId="7337" dataCellStyle="Moeda">
      <calculatedColumnFormula>SUMIFS(tabela_registros[VALOR],tabela_registros[MÊS],$AE$1,tabela_registros[DIA],investirrendafixaconsolidadomar[[#Headers],[31]],tabela_registros[REGISTRO],DADOS!$N$3,tabela_registros[TIPO],DADOS!$V$3,tabela_registros[CATEGORIA],investirrendafixaconsolidadomar[[#This Row],[ATUAL]])</calculatedColumnFormula>
    </tableColumn>
    <tableColumn id="33" xr3:uid="{E8575137-1731-436A-B4E6-A5924C1C43D6}" name="TOTAL (R$)" totalsRowFunction="sum" dataDxfId="7336" dataCellStyle="Moeda">
      <calculatedColumnFormula>SUM(investirrendafixaconsolidadomar[[#This Row],[1]:[31]])</calculatedColumnFormula>
    </tableColumn>
  </tableColumns>
  <tableStyleInfo name="TABELAS RESULTADOS" showFirstColumn="0" showLastColumn="0" showRowStripes="1" showColumnStripes="0"/>
</table>
</file>

<file path=xl/tables/table4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3" xr:uid="{FCED7F68-B722-4542-9FB6-5C550E251987}" name="investirrendavariávelconsolidadomar" displayName="investirrendavariávelconsolidadomar" ref="C131:AJ142" headerRowDxfId="7335" dataDxfId="7334" totalsRowDxfId="7333">
  <autoFilter ref="C131:AJ142" xr:uid="{08F8225F-86FE-4857-B00A-7406490FE1C1}"/>
  <tableColumns count="34">
    <tableColumn id="1" xr3:uid="{3E85B11F-8374-4945-8ABE-00D9A545B367}" name="ATUAL" totalsRowLabel="SALDO" dataDxfId="7332"/>
    <tableColumn id="34" xr3:uid="{1383BAEA-9F34-4E46-B9C6-6065B38D2CB8}" name="Coluna1" dataDxfId="7331" totalsRowDxfId="7330">
      <calculatedColumnFormula>IF(investirrendavariávelconsolidadomar[[#This Row],[TOTAL (R$)]]=0,"",IF(OR(investirrendavariávelconsolidadomar[[#This Row],[TOTAL (R$)]]=LARGE($AJ$132:$AJ$141,1),investirrendavariávelconsolidadomar[[#This Row],[TOTAL (R$)]]=LARGE($AJ$132:$AJ$141,2)),DADOS!$I$10,""))</calculatedColumnFormula>
    </tableColumn>
    <tableColumn id="2" xr3:uid="{1446F078-DAB3-42E8-AC1D-04C7F918E5FE}" name="1" totalsRowFunction="sum" dataDxfId="7329" dataCellStyle="Moeda"/>
    <tableColumn id="3" xr3:uid="{87D1A8D6-8E9A-4B70-B125-2D6ECE7357F7}" name="2" totalsRowFunction="sum" dataDxfId="7328" dataCellStyle="Moeda">
      <calculatedColumnFormula>SUMIFS(tabela_registros[VALOR],tabela_registros[MÊS],$AE$1,tabela_registros[DIA],investirrendavariávelconsolidadomar[[#Headers],[2]],tabela_registros[REGISTRO],DADOS!$N$3,tabela_registros[TIPO],DADOS!$V$3,tabela_registros[CATEGORIA],investirrendavariávelconsolidadomar[[#This Row],[ATUAL]])</calculatedColumnFormula>
    </tableColumn>
    <tableColumn id="4" xr3:uid="{D3ADBDC8-38A7-47CC-BBC5-071A973250D9}" name="3" totalsRowFunction="sum" dataDxfId="7327" totalsRowDxfId="7326" dataCellStyle="Moeda">
      <calculatedColumnFormula>SUMIFS(tabela_registros[VALOR],tabela_registros[MÊS],$AE$1,tabela_registros[DIA],investirrendavariávelconsolidadomar[[#Headers],[3]],tabela_registros[REGISTRO],DADOS!$N$3,tabela_registros[TIPO],DADOS!$V$3,tabela_registros[CATEGORIA],investirrendavariávelconsolidadomar[[#This Row],[ATUAL]])</calculatedColumnFormula>
    </tableColumn>
    <tableColumn id="5" xr3:uid="{5BA35C28-4CB1-4C22-B03E-83F80A852235}" name="4" totalsRowFunction="sum" dataDxfId="7325" totalsRowDxfId="7324" dataCellStyle="Moeda">
      <calculatedColumnFormula>SUMIFS(tabela_registros[VALOR],tabela_registros[MÊS],$AE$1,tabela_registros[DIA],investirrendavariávelconsolidadomar[[#Headers],[4]],tabela_registros[REGISTRO],DADOS!$N$3,tabela_registros[TIPO],DADOS!$V$3,tabela_registros[CATEGORIA],investirrendavariávelconsolidadomar[[#This Row],[ATUAL]])</calculatedColumnFormula>
    </tableColumn>
    <tableColumn id="6" xr3:uid="{8D82B984-0531-467B-9D37-873CB894666A}" name="5" totalsRowFunction="sum" dataDxfId="7323" totalsRowDxfId="7322" dataCellStyle="Moeda">
      <calculatedColumnFormula>SUMIFS(tabela_registros[VALOR],tabela_registros[MÊS],$AE$1,tabela_registros[DIA],investirrendavariávelconsolidadomar[[#Headers],[5]],tabela_registros[REGISTRO],DADOS!$N$3,tabela_registros[TIPO],DADOS!$V$3,tabela_registros[CATEGORIA],investirrendavariávelconsolidadomar[[#This Row],[ATUAL]])</calculatedColumnFormula>
    </tableColumn>
    <tableColumn id="7" xr3:uid="{96A248C0-CDEF-4781-80A7-6673452F09CB}" name="6" totalsRowFunction="sum" dataDxfId="7321" totalsRowDxfId="7320" dataCellStyle="Moeda">
      <calculatedColumnFormula>SUMIFS(tabela_registros[VALOR],tabela_registros[MÊS],$AE$1,tabela_registros[DIA],investirrendavariávelconsolidadomar[[#Headers],[6]],tabela_registros[REGISTRO],DADOS!$N$3,tabela_registros[TIPO],DADOS!$V$3,tabela_registros[CATEGORIA],investirrendavariávelconsolidadomar[[#This Row],[ATUAL]])</calculatedColumnFormula>
    </tableColumn>
    <tableColumn id="8" xr3:uid="{FABB3C8D-776E-45DE-B805-6E10EF75A982}" name="7" totalsRowFunction="sum" dataDxfId="7319" totalsRowDxfId="7318" dataCellStyle="Moeda">
      <calculatedColumnFormula>SUMIFS(tabela_registros[VALOR],tabela_registros[MÊS],$AE$1,tabela_registros[DIA],investirrendavariávelconsolidadomar[[#Headers],[7]],tabela_registros[REGISTRO],DADOS!$N$3,tabela_registros[TIPO],DADOS!$V$3,tabela_registros[CATEGORIA],investirrendavariávelconsolidadomar[[#This Row],[ATUAL]])</calculatedColumnFormula>
    </tableColumn>
    <tableColumn id="9" xr3:uid="{44597D77-DE1B-4E33-B0EB-BB9F3FF65F34}" name="8" totalsRowFunction="sum" dataDxfId="7317" totalsRowDxfId="7316" dataCellStyle="Moeda">
      <calculatedColumnFormula>SUMIFS(tabela_registros[VALOR],tabela_registros[MÊS],$AE$1,tabela_registros[DIA],investirrendavariávelconsolidadomar[[#Headers],[8]],tabela_registros[REGISTRO],DADOS!$N$3,tabela_registros[TIPO],DADOS!$V$3,tabela_registros[CATEGORIA],investirrendavariávelconsolidadomar[[#This Row],[ATUAL]])</calculatedColumnFormula>
    </tableColumn>
    <tableColumn id="10" xr3:uid="{F3DE0128-ED87-40AA-B86A-6ECA4A2CD513}" name="9" totalsRowFunction="sum" dataDxfId="7315" totalsRowDxfId="7314" dataCellStyle="Moeda">
      <calculatedColumnFormula>SUMIFS(tabela_registros[VALOR],tabela_registros[MÊS],$AE$1,tabela_registros[DIA],investirrendavariávelconsolidadomar[[#Headers],[9]],tabela_registros[REGISTRO],DADOS!$N$3,tabela_registros[TIPO],DADOS!$V$3,tabela_registros[CATEGORIA],investirrendavariávelconsolidadomar[[#This Row],[ATUAL]])</calculatedColumnFormula>
    </tableColumn>
    <tableColumn id="11" xr3:uid="{CA53F82C-F2BA-4870-A6D6-B429B7C09A9C}" name="10" totalsRowFunction="sum" dataDxfId="7313" totalsRowDxfId="7312" dataCellStyle="Moeda">
      <calculatedColumnFormula>SUMIFS(tabela_registros[VALOR],tabela_registros[MÊS],$AE$1,tabela_registros[DIA],investirrendavariávelconsolidadomar[[#Headers],[10]],tabela_registros[REGISTRO],DADOS!$N$3,tabela_registros[TIPO],DADOS!$V$3,tabela_registros[CATEGORIA],investirrendavariávelconsolidadomar[[#This Row],[ATUAL]])</calculatedColumnFormula>
    </tableColumn>
    <tableColumn id="12" xr3:uid="{18B24A0E-CE29-4B0F-82C0-70C7BC24B312}" name="11" totalsRowFunction="sum" dataDxfId="7311" totalsRowDxfId="7310" dataCellStyle="Moeda">
      <calculatedColumnFormula>SUMIFS(tabela_registros[VALOR],tabela_registros[MÊS],$AE$1,tabela_registros[DIA],investirrendavariávelconsolidadomar[[#Headers],[11]],tabela_registros[REGISTRO],DADOS!$N$3,tabela_registros[TIPO],DADOS!$V$3,tabela_registros[CATEGORIA],investirrendavariávelconsolidadomar[[#This Row],[ATUAL]])</calculatedColumnFormula>
    </tableColumn>
    <tableColumn id="13" xr3:uid="{4DFF4177-3F56-4E54-AD27-3CEB8AAA8082}" name="12" totalsRowFunction="sum" dataDxfId="7309" totalsRowDxfId="7308" dataCellStyle="Moeda">
      <calculatedColumnFormula>SUMIFS(tabela_registros[VALOR],tabela_registros[MÊS],$AE$1,tabela_registros[DIA],investirrendavariávelconsolidadomar[[#Headers],[12]],tabela_registros[REGISTRO],DADOS!$N$3,tabela_registros[TIPO],DADOS!$V$3,tabela_registros[CATEGORIA],investirrendavariávelconsolidadomar[[#This Row],[ATUAL]])</calculatedColumnFormula>
    </tableColumn>
    <tableColumn id="14" xr3:uid="{3BDA065A-0FD8-43E4-9016-B6C694767A57}" name="13" totalsRowFunction="sum" dataDxfId="7307" totalsRowDxfId="7306" dataCellStyle="Moeda">
      <calculatedColumnFormula>SUMIFS(tabela_registros[VALOR],tabela_registros[MÊS],$AE$1,tabela_registros[DIA],investirrendavariávelconsolidadomar[[#Headers],[13]],tabela_registros[REGISTRO],DADOS!$N$3,tabela_registros[TIPO],DADOS!$V$3,tabela_registros[CATEGORIA],investirrendavariávelconsolidadomar[[#This Row],[ATUAL]])</calculatedColumnFormula>
    </tableColumn>
    <tableColumn id="15" xr3:uid="{A00B55F8-83B8-4F64-A569-3C9B808D35A3}" name="14" totalsRowFunction="sum" dataDxfId="7305" totalsRowDxfId="7304" dataCellStyle="Moeda">
      <calculatedColumnFormula>SUMIFS(tabela_registros[VALOR],tabela_registros[MÊS],$AE$1,tabela_registros[DIA],investirrendavariávelconsolidadomar[[#Headers],[14]],tabela_registros[REGISTRO],DADOS!$N$3,tabela_registros[TIPO],DADOS!$V$3,tabela_registros[CATEGORIA],investirrendavariávelconsolidadomar[[#This Row],[ATUAL]])</calculatedColumnFormula>
    </tableColumn>
    <tableColumn id="16" xr3:uid="{50FCC59B-7B7A-4233-AF54-F237054BDE1F}" name="15" totalsRowFunction="sum" dataDxfId="7303" totalsRowDxfId="7302" dataCellStyle="Moeda">
      <calculatedColumnFormula>SUMIFS(tabela_registros[VALOR],tabela_registros[MÊS],$AE$1,tabela_registros[DIA],investirrendavariávelconsolidadomar[[#Headers],[15]],tabela_registros[REGISTRO],DADOS!$N$3,tabela_registros[TIPO],DADOS!$V$3,tabela_registros[CATEGORIA],investirrendavariávelconsolidadomar[[#This Row],[ATUAL]])</calculatedColumnFormula>
    </tableColumn>
    <tableColumn id="17" xr3:uid="{B85D7DBE-E89B-4FA2-B358-4777DA7E82A6}" name="16" totalsRowFunction="sum" dataDxfId="7301" totalsRowDxfId="7300" dataCellStyle="Moeda">
      <calculatedColumnFormula>SUMIFS(tabela_registros[VALOR],tabela_registros[MÊS],$AE$1,tabela_registros[DIA],investirrendavariávelconsolidadomar[[#Headers],[16]],tabela_registros[REGISTRO],DADOS!$N$3,tabela_registros[TIPO],DADOS!$V$3,tabela_registros[CATEGORIA],investirrendavariávelconsolidadomar[[#This Row],[ATUAL]])</calculatedColumnFormula>
    </tableColumn>
    <tableColumn id="18" xr3:uid="{8795B219-27C2-45F0-B25F-DACC49BD48B6}" name="17" totalsRowFunction="sum" dataDxfId="7299" totalsRowDxfId="7298" dataCellStyle="Moeda">
      <calculatedColumnFormula>SUMIFS(tabela_registros[VALOR],tabela_registros[MÊS],$AE$1,tabela_registros[DIA],investirrendavariávelconsolidadomar[[#Headers],[17]],tabela_registros[REGISTRO],DADOS!$N$3,tabela_registros[TIPO],DADOS!$V$3,tabela_registros[CATEGORIA],investirrendavariávelconsolidadomar[[#This Row],[ATUAL]])</calculatedColumnFormula>
    </tableColumn>
    <tableColumn id="19" xr3:uid="{F3533E6D-D6E0-4F1A-A707-DE320F883301}" name="18" totalsRowFunction="sum" dataDxfId="7297" totalsRowDxfId="7296" dataCellStyle="Moeda">
      <calculatedColumnFormula>SUMIFS(tabela_registros[VALOR],tabela_registros[MÊS],$AE$1,tabela_registros[DIA],investirrendavariávelconsolidadomar[[#Headers],[18]],tabela_registros[REGISTRO],DADOS!$N$3,tabela_registros[TIPO],DADOS!$V$3,tabela_registros[CATEGORIA],investirrendavariávelconsolidadomar[[#This Row],[ATUAL]])</calculatedColumnFormula>
    </tableColumn>
    <tableColumn id="20" xr3:uid="{ABDD8233-854E-4F3E-9D56-638AC7699188}" name="19" totalsRowFunction="sum" dataDxfId="7295" totalsRowDxfId="7294" dataCellStyle="Moeda">
      <calculatedColumnFormula>SUMIFS(tabela_registros[VALOR],tabela_registros[MÊS],$AE$1,tabela_registros[DIA],investirrendavariávelconsolidadomar[[#Headers],[19]],tabela_registros[REGISTRO],DADOS!$N$3,tabela_registros[TIPO],DADOS!$V$3,tabela_registros[CATEGORIA],investirrendavariávelconsolidadomar[[#This Row],[ATUAL]])</calculatedColumnFormula>
    </tableColumn>
    <tableColumn id="21" xr3:uid="{359F60F0-4D16-4297-A28B-0BC171450CF3}" name="20" totalsRowFunction="sum" dataDxfId="7293" totalsRowDxfId="7292" dataCellStyle="Moeda">
      <calculatedColumnFormula>SUMIFS(tabela_registros[VALOR],tabela_registros[MÊS],$AE$1,tabela_registros[DIA],investirrendavariávelconsolidadomar[[#Headers],[20]],tabela_registros[REGISTRO],DADOS!$N$3,tabela_registros[TIPO],DADOS!$V$3,tabela_registros[CATEGORIA],investirrendavariávelconsolidadomar[[#This Row],[ATUAL]])</calculatedColumnFormula>
    </tableColumn>
    <tableColumn id="22" xr3:uid="{13FBF67A-EF00-4C58-B519-2D777C04B0CE}" name="21" totalsRowFunction="sum" dataDxfId="7291" totalsRowDxfId="7290" dataCellStyle="Moeda">
      <calculatedColumnFormula>SUMIFS(tabela_registros[VALOR],tabela_registros[MÊS],$AE$1,tabela_registros[DIA],investirrendavariávelconsolidadomar[[#Headers],[21]],tabela_registros[REGISTRO],DADOS!$N$3,tabela_registros[TIPO],DADOS!$V$3,tabela_registros[CATEGORIA],investirrendavariávelconsolidadomar[[#This Row],[ATUAL]])</calculatedColumnFormula>
    </tableColumn>
    <tableColumn id="23" xr3:uid="{C0D2C529-A152-4F4E-9D5E-E98660A49303}" name="22" totalsRowFunction="sum" dataDxfId="7289" totalsRowDxfId="7288" dataCellStyle="Moeda">
      <calculatedColumnFormula>SUMIFS(tabela_registros[VALOR],tabela_registros[MÊS],$AE$1,tabela_registros[DIA],investirrendavariávelconsolidadomar[[#Headers],[22]],tabela_registros[REGISTRO],DADOS!$N$3,tabela_registros[TIPO],DADOS!$V$3,tabela_registros[CATEGORIA],investirrendavariávelconsolidadomar[[#This Row],[ATUAL]])</calculatedColumnFormula>
    </tableColumn>
    <tableColumn id="24" xr3:uid="{CB4F536A-C3D1-4411-946B-A1038CE6CE96}" name="23" totalsRowFunction="sum" dataDxfId="7287" totalsRowDxfId="7286" dataCellStyle="Moeda">
      <calculatedColumnFormula>SUMIFS(tabela_registros[VALOR],tabela_registros[MÊS],$AE$1,tabela_registros[DIA],investirrendavariávelconsolidadomar[[#Headers],[23]],tabela_registros[REGISTRO],DADOS!$N$3,tabela_registros[TIPO],DADOS!$V$3,tabela_registros[CATEGORIA],investirrendavariávelconsolidadomar[[#This Row],[ATUAL]])</calculatedColumnFormula>
    </tableColumn>
    <tableColumn id="25" xr3:uid="{48608E22-8338-4306-B301-AF77A6B1B06C}" name="24" totalsRowFunction="sum" dataDxfId="7285" totalsRowDxfId="7284" dataCellStyle="Moeda">
      <calculatedColumnFormula>SUMIFS(tabela_registros[VALOR],tabela_registros[MÊS],$AE$1,tabela_registros[DIA],investirrendavariávelconsolidadomar[[#Headers],[24]],tabela_registros[REGISTRO],DADOS!$N$3,tabela_registros[TIPO],DADOS!$V$3,tabela_registros[CATEGORIA],investirrendavariávelconsolidadomar[[#This Row],[ATUAL]])</calculatedColumnFormula>
    </tableColumn>
    <tableColumn id="26" xr3:uid="{19E027A9-5F42-415C-B42C-7DC9D7B5F0BD}" name="25" totalsRowFunction="sum" dataDxfId="7283" totalsRowDxfId="7282" dataCellStyle="Moeda">
      <calculatedColumnFormula>SUMIFS(tabela_registros[VALOR],tabela_registros[MÊS],$AE$1,tabela_registros[DIA],investirrendavariávelconsolidadomar[[#Headers],[25]],tabela_registros[REGISTRO],DADOS!$N$3,tabela_registros[TIPO],DADOS!$V$3,tabela_registros[CATEGORIA],investirrendavariávelconsolidadomar[[#This Row],[ATUAL]])</calculatedColumnFormula>
    </tableColumn>
    <tableColumn id="27" xr3:uid="{CCBCB602-4F94-4B26-B8C4-D957BB240A5E}" name="26" totalsRowFunction="sum" dataDxfId="7281" totalsRowDxfId="7280" dataCellStyle="Moeda">
      <calculatedColumnFormula>SUMIFS(tabela_registros[VALOR],tabela_registros[MÊS],$AE$1,tabela_registros[DIA],investirrendavariávelconsolidadomar[[#Headers],[26]],tabela_registros[REGISTRO],DADOS!$N$3,tabela_registros[TIPO],DADOS!$V$3,tabela_registros[CATEGORIA],investirrendavariávelconsolidadomar[[#This Row],[ATUAL]])</calculatedColumnFormula>
    </tableColumn>
    <tableColumn id="28" xr3:uid="{B989E1DF-8E38-414F-AD44-591C1E5949E3}" name="27" totalsRowFunction="sum" dataDxfId="7279" totalsRowDxfId="7278" dataCellStyle="Moeda">
      <calculatedColumnFormula>SUMIFS(tabela_registros[VALOR],tabela_registros[MÊS],$AE$1,tabela_registros[DIA],investirrendavariávelconsolidadomar[[#Headers],[27]],tabela_registros[REGISTRO],DADOS!$N$3,tabela_registros[TIPO],DADOS!$V$3,tabela_registros[CATEGORIA],investirrendavariávelconsolidadomar[[#This Row],[ATUAL]])</calculatedColumnFormula>
    </tableColumn>
    <tableColumn id="29" xr3:uid="{C63291B3-F292-4338-9E87-0FEA76DCC654}" name="28" totalsRowFunction="sum" dataDxfId="7277" totalsRowDxfId="7276" dataCellStyle="Moeda">
      <calculatedColumnFormula>SUMIFS(tabela_registros[VALOR],tabela_registros[MÊS],$AE$1,tabela_registros[DIA],investirrendavariávelconsolidadomar[[#Headers],[28]],tabela_registros[REGISTRO],DADOS!$N$3,tabela_registros[TIPO],DADOS!$V$3,tabela_registros[CATEGORIA],investirrendavariávelconsolidadomar[[#This Row],[ATUAL]])</calculatedColumnFormula>
    </tableColumn>
    <tableColumn id="30" xr3:uid="{C331771E-C5F7-43A2-A59A-13C00964064F}" name="29" totalsRowFunction="sum" dataDxfId="7275" totalsRowDxfId="7274" dataCellStyle="Moeda">
      <calculatedColumnFormula>SUMIFS(tabela_registros[VALOR],tabela_registros[MÊS],$AE$1,tabela_registros[DIA],investirrendavariávelconsolidadomar[[#Headers],[29]],tabela_registros[REGISTRO],DADOS!$N$3,tabela_registros[TIPO],DADOS!$V$3,tabela_registros[CATEGORIA],investirrendavariávelconsolidadomar[[#This Row],[ATUAL]])</calculatedColumnFormula>
    </tableColumn>
    <tableColumn id="31" xr3:uid="{29638B9D-E9FC-45C9-BBD6-88AFDC8F4AEE}" name="30" totalsRowFunction="sum" dataDxfId="7273" totalsRowDxfId="7272" dataCellStyle="Moeda">
      <calculatedColumnFormula>SUMIFS(tabela_registros[VALOR],tabela_registros[MÊS],$AE$1,tabela_registros[DIA],investirrendavariávelconsolidadomar[[#Headers],[30]],tabela_registros[REGISTRO],DADOS!$N$3,tabela_registros[TIPO],DADOS!$V$3,tabela_registros[CATEGORIA],investirrendavariávelconsolidadomar[[#This Row],[ATUAL]])</calculatedColumnFormula>
    </tableColumn>
    <tableColumn id="32" xr3:uid="{09C0A672-E376-44F5-9B35-C080B05A1B50}" name="31" totalsRowFunction="sum" dataDxfId="7271" totalsRowDxfId="7270" dataCellStyle="Moeda">
      <calculatedColumnFormula>SUMIFS(tabela_registros[VALOR],tabela_registros[MÊS],$AE$1,tabela_registros[DIA],investirrendavariávelconsolidadomar[[#Headers],[31]],tabela_registros[REGISTRO],DADOS!$N$3,tabela_registros[TIPO],DADOS!$V$3,tabela_registros[CATEGORIA],investirrendavariávelconsolidadomar[[#This Row],[ATUAL]])</calculatedColumnFormula>
    </tableColumn>
    <tableColumn id="33" xr3:uid="{7CE719CD-4B06-4FDF-A347-10713B129AB9}" name="TOTAL (R$)" totalsRowFunction="sum" dataDxfId="7269" dataCellStyle="Moeda">
      <calculatedColumnFormula>SUM(investirrendavariávelconsolidadomar[[#This Row],[1]:[31]])</calculatedColumnFormula>
    </tableColumn>
  </tableColumns>
  <tableStyleInfo name="TABELAS RESULTADOS" showFirstColumn="0" showLastColumn="0" showRowStripes="1" showColumnStripes="0"/>
</table>
</file>

<file path=xl/tables/table4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4" xr:uid="{E95094F9-EAA3-4DA8-8F63-8E18EB03FAB3}" name="investiroutrosconsolidadomar" displayName="investiroutrosconsolidadomar" ref="C150:AJ159" headerRowDxfId="7268" dataDxfId="7267" totalsRowDxfId="7266">
  <autoFilter ref="C150:AJ159" xr:uid="{6183CEF1-477D-4448-9404-9007701FBB5F}"/>
  <tableColumns count="34">
    <tableColumn id="1" xr3:uid="{156D8ACD-04D5-47C4-AA7C-AA7EE2003841}" name="ATUAL" totalsRowLabel="SALDO" dataDxfId="7265"/>
    <tableColumn id="34" xr3:uid="{3C5DD2C6-9221-4EAD-AA6F-07C557AC0ECA}" name="Coluna1" dataDxfId="7264" totalsRowDxfId="7263">
      <calculatedColumnFormula>IF(investiroutrosconsolidadomar[[#This Row],[TOTAL (R$)]]=0,"",IF(OR(investiroutrosconsolidadomar[[#This Row],[TOTAL (R$)]]=LARGE($AJ$151:$AJ$158,1),investiroutrosconsolidadomar[[#This Row],[TOTAL (R$)]]=LARGE($AJ$151:$AJ$158,2)),DADOS!$I$10,""))</calculatedColumnFormula>
    </tableColumn>
    <tableColumn id="2" xr3:uid="{6CBFD921-1B7A-487D-B6EB-E57B0A0B83CE}" name="1" totalsRowFunction="sum" dataDxfId="7262" dataCellStyle="Moeda"/>
    <tableColumn id="3" xr3:uid="{13BFA4E2-482B-4B7A-950C-E6BFB44834ED}" name="2" totalsRowFunction="sum" dataDxfId="7261" dataCellStyle="Moeda">
      <calculatedColumnFormula>SUMIFS(tabela_registros[VALOR],tabela_registros[MÊS],$AE$1,tabela_registros[DIA],investiroutrosconsolidadomar[[#Headers],[2]],tabela_registros[REGISTRO],DADOS!$N$3,tabela_registros[TIPO],DADOS!$V$3,tabela_registros[CATEGORIA],investiroutrosconsolidadomar[[#This Row],[ATUAL]])</calculatedColumnFormula>
    </tableColumn>
    <tableColumn id="4" xr3:uid="{5CA2C742-5538-457D-BAF8-37CDF87DAD66}" name="3" totalsRowFunction="sum" dataDxfId="7260" totalsRowDxfId="7259" dataCellStyle="Moeda">
      <calculatedColumnFormula>SUMIFS(tabela_registros[VALOR],tabela_registros[MÊS],$AE$1,tabela_registros[DIA],investiroutrosconsolidadomar[[#Headers],[3]],tabela_registros[REGISTRO],DADOS!$N$3,tabela_registros[TIPO],DADOS!$V$3,tabela_registros[CATEGORIA],investiroutrosconsolidadomar[[#This Row],[ATUAL]])</calculatedColumnFormula>
    </tableColumn>
    <tableColumn id="5" xr3:uid="{FF77F7A2-2B7E-4372-BB7F-2623DE18153E}" name="4" totalsRowFunction="sum" dataDxfId="7258" totalsRowDxfId="7257" dataCellStyle="Moeda">
      <calculatedColumnFormula>SUMIFS(tabela_registros[VALOR],tabela_registros[MÊS],$AE$1,tabela_registros[DIA],investiroutrosconsolidadomar[[#Headers],[4]],tabela_registros[REGISTRO],DADOS!$N$3,tabela_registros[TIPO],DADOS!$V$3,tabela_registros[CATEGORIA],investiroutrosconsolidadomar[[#This Row],[ATUAL]])</calculatedColumnFormula>
    </tableColumn>
    <tableColumn id="6" xr3:uid="{FBB42EFD-F1C0-4C86-BD91-DF7161613254}" name="5" totalsRowFunction="sum" dataDxfId="7256" totalsRowDxfId="7255" dataCellStyle="Moeda">
      <calculatedColumnFormula>SUMIFS(tabela_registros[VALOR],tabela_registros[MÊS],$AE$1,tabela_registros[DIA],investiroutrosconsolidadomar[[#Headers],[5]],tabela_registros[REGISTRO],DADOS!$N$3,tabela_registros[TIPO],DADOS!$V$3,tabela_registros[CATEGORIA],investiroutrosconsolidadomar[[#This Row],[ATUAL]])</calculatedColumnFormula>
    </tableColumn>
    <tableColumn id="7" xr3:uid="{FCC00E79-4DD8-4D6F-8A3C-AD3BE3CFCCB4}" name="6" totalsRowFunction="sum" dataDxfId="7254" totalsRowDxfId="7253" dataCellStyle="Moeda">
      <calculatedColumnFormula>SUMIFS(tabela_registros[VALOR],tabela_registros[MÊS],$AE$1,tabela_registros[DIA],investiroutrosconsolidadomar[[#Headers],[6]],tabela_registros[REGISTRO],DADOS!$N$3,tabela_registros[TIPO],DADOS!$V$3,tabela_registros[CATEGORIA],investiroutrosconsolidadomar[[#This Row],[ATUAL]])</calculatedColumnFormula>
    </tableColumn>
    <tableColumn id="8" xr3:uid="{9525003F-145F-413C-9EF0-925CB3C78B45}" name="7" totalsRowFunction="sum" dataDxfId="7252" totalsRowDxfId="7251" dataCellStyle="Moeda">
      <calculatedColumnFormula>SUMIFS(tabela_registros[VALOR],tabela_registros[MÊS],$AE$1,tabela_registros[DIA],investiroutrosconsolidadomar[[#Headers],[7]],tabela_registros[REGISTRO],DADOS!$N$3,tabela_registros[TIPO],DADOS!$V$3,tabela_registros[CATEGORIA],investiroutrosconsolidadomar[[#This Row],[ATUAL]])</calculatedColumnFormula>
    </tableColumn>
    <tableColumn id="9" xr3:uid="{A052A7EF-B650-45D7-A201-C6A1BC25D9D0}" name="8" totalsRowFunction="sum" dataDxfId="7250" totalsRowDxfId="7249" dataCellStyle="Moeda">
      <calculatedColumnFormula>SUMIFS(tabela_registros[VALOR],tabela_registros[MÊS],$AE$1,tabela_registros[DIA],investiroutrosconsolidadomar[[#Headers],[8]],tabela_registros[REGISTRO],DADOS!$N$3,tabela_registros[TIPO],DADOS!$V$3,tabela_registros[CATEGORIA],investiroutrosconsolidadomar[[#This Row],[ATUAL]])</calculatedColumnFormula>
    </tableColumn>
    <tableColumn id="10" xr3:uid="{A1A18001-6AD4-43F2-A65D-DCE78A3FBD21}" name="9" totalsRowFunction="sum" dataDxfId="7248" totalsRowDxfId="7247" dataCellStyle="Moeda">
      <calculatedColumnFormula>SUMIFS(tabela_registros[VALOR],tabela_registros[MÊS],$AE$1,tabela_registros[DIA],investiroutrosconsolidadomar[[#Headers],[9]],tabela_registros[REGISTRO],DADOS!$N$3,tabela_registros[TIPO],DADOS!$V$3,tabela_registros[CATEGORIA],investiroutrosconsolidadomar[[#This Row],[ATUAL]])</calculatedColumnFormula>
    </tableColumn>
    <tableColumn id="11" xr3:uid="{2889CEEF-9586-4C0B-958E-4A967FD8A31D}" name="10" totalsRowFunction="sum" dataDxfId="7246" totalsRowDxfId="7245" dataCellStyle="Moeda">
      <calculatedColumnFormula>SUMIFS(tabela_registros[VALOR],tabela_registros[MÊS],$AE$1,tabela_registros[DIA],investiroutrosconsolidadomar[[#Headers],[10]],tabela_registros[REGISTRO],DADOS!$N$3,tabela_registros[TIPO],DADOS!$V$3,tabela_registros[CATEGORIA],investiroutrosconsolidadomar[[#This Row],[ATUAL]])</calculatedColumnFormula>
    </tableColumn>
    <tableColumn id="12" xr3:uid="{065C0933-B280-42A9-A1D8-7CCB0557F93B}" name="11" totalsRowFunction="sum" dataDxfId="7244" totalsRowDxfId="7243" dataCellStyle="Moeda">
      <calculatedColumnFormula>SUMIFS(tabela_registros[VALOR],tabela_registros[MÊS],$AE$1,tabela_registros[DIA],investiroutrosconsolidadomar[[#Headers],[11]],tabela_registros[REGISTRO],DADOS!$N$3,tabela_registros[TIPO],DADOS!$V$3,tabela_registros[CATEGORIA],investiroutrosconsolidadomar[[#This Row],[ATUAL]])</calculatedColumnFormula>
    </tableColumn>
    <tableColumn id="13" xr3:uid="{BB3F8C3C-C628-4467-A473-F5013D789B11}" name="12" totalsRowFunction="sum" dataDxfId="7242" totalsRowDxfId="7241" dataCellStyle="Moeda">
      <calculatedColumnFormula>SUMIFS(tabela_registros[VALOR],tabela_registros[MÊS],$AE$1,tabela_registros[DIA],investiroutrosconsolidadomar[[#Headers],[12]],tabela_registros[REGISTRO],DADOS!$N$3,tabela_registros[TIPO],DADOS!$V$3,tabela_registros[CATEGORIA],investiroutrosconsolidadomar[[#This Row],[ATUAL]])</calculatedColumnFormula>
    </tableColumn>
    <tableColumn id="14" xr3:uid="{55ACB617-03CB-4C74-B3E7-A09DA9EB26A8}" name="13" totalsRowFunction="sum" dataDxfId="7240" totalsRowDxfId="7239" dataCellStyle="Moeda">
      <calculatedColumnFormula>SUMIFS(tabela_registros[VALOR],tabela_registros[MÊS],$AE$1,tabela_registros[DIA],investiroutrosconsolidadomar[[#Headers],[13]],tabela_registros[REGISTRO],DADOS!$N$3,tabela_registros[TIPO],DADOS!$V$3,tabela_registros[CATEGORIA],investiroutrosconsolidadomar[[#This Row],[ATUAL]])</calculatedColumnFormula>
    </tableColumn>
    <tableColumn id="15" xr3:uid="{04EC782E-7E8E-4C56-93EA-3FBF5323753A}" name="14" totalsRowFunction="sum" dataDxfId="7238" totalsRowDxfId="7237" dataCellStyle="Moeda">
      <calculatedColumnFormula>SUMIFS(tabela_registros[VALOR],tabela_registros[MÊS],$AE$1,tabela_registros[DIA],investiroutrosconsolidadomar[[#Headers],[14]],tabela_registros[REGISTRO],DADOS!$N$3,tabela_registros[TIPO],DADOS!$V$3,tabela_registros[CATEGORIA],investiroutrosconsolidadomar[[#This Row],[ATUAL]])</calculatedColumnFormula>
    </tableColumn>
    <tableColumn id="16" xr3:uid="{08F9F074-5025-492E-A1D8-DDDDD4D4D30E}" name="15" totalsRowFunction="sum" dataDxfId="7236" totalsRowDxfId="7235" dataCellStyle="Moeda">
      <calculatedColumnFormula>SUMIFS(tabela_registros[VALOR],tabela_registros[MÊS],$AE$1,tabela_registros[DIA],investiroutrosconsolidadomar[[#Headers],[15]],tabela_registros[REGISTRO],DADOS!$N$3,tabela_registros[TIPO],DADOS!$V$3,tabela_registros[CATEGORIA],investiroutrosconsolidadomar[[#This Row],[ATUAL]])</calculatedColumnFormula>
    </tableColumn>
    <tableColumn id="17" xr3:uid="{D694E817-DC19-4C8E-9522-0D7DCD2572F9}" name="16" totalsRowFunction="sum" dataDxfId="7234" totalsRowDxfId="7233" dataCellStyle="Moeda">
      <calculatedColumnFormula>SUMIFS(tabela_registros[VALOR],tabela_registros[MÊS],$AE$1,tabela_registros[DIA],investiroutrosconsolidadomar[[#Headers],[16]],tabela_registros[REGISTRO],DADOS!$N$3,tabela_registros[TIPO],DADOS!$V$3,tabela_registros[CATEGORIA],investiroutrosconsolidadomar[[#This Row],[ATUAL]])</calculatedColumnFormula>
    </tableColumn>
    <tableColumn id="18" xr3:uid="{FE5CA89C-3115-4DEE-8362-483A937BB38A}" name="17" totalsRowFunction="sum" dataDxfId="7232" totalsRowDxfId="7231" dataCellStyle="Moeda">
      <calculatedColumnFormula>SUMIFS(tabela_registros[VALOR],tabela_registros[MÊS],$AE$1,tabela_registros[DIA],investiroutrosconsolidadomar[[#Headers],[17]],tabela_registros[REGISTRO],DADOS!$N$3,tabela_registros[TIPO],DADOS!$V$3,tabela_registros[CATEGORIA],investiroutrosconsolidadomar[[#This Row],[ATUAL]])</calculatedColumnFormula>
    </tableColumn>
    <tableColumn id="19" xr3:uid="{E9DA4C15-CB51-47EC-B6DC-CCE5679E15A1}" name="18" totalsRowFunction="sum" dataDxfId="7230" totalsRowDxfId="7229" dataCellStyle="Moeda">
      <calculatedColumnFormula>SUMIFS(tabela_registros[VALOR],tabela_registros[MÊS],$AE$1,tabela_registros[DIA],investiroutrosconsolidadomar[[#Headers],[18]],tabela_registros[REGISTRO],DADOS!$N$3,tabela_registros[TIPO],DADOS!$V$3,tabela_registros[CATEGORIA],investiroutrosconsolidadomar[[#This Row],[ATUAL]])</calculatedColumnFormula>
    </tableColumn>
    <tableColumn id="20" xr3:uid="{F215AB2C-2158-4482-95D2-706AC1C2E3A9}" name="19" totalsRowFunction="sum" dataDxfId="7228" totalsRowDxfId="7227" dataCellStyle="Moeda">
      <calculatedColumnFormula>SUMIFS(tabela_registros[VALOR],tabela_registros[MÊS],$AE$1,tabela_registros[DIA],investiroutrosconsolidadomar[[#Headers],[19]],tabela_registros[REGISTRO],DADOS!$N$3,tabela_registros[TIPO],DADOS!$V$3,tabela_registros[CATEGORIA],investiroutrosconsolidadomar[[#This Row],[ATUAL]])</calculatedColumnFormula>
    </tableColumn>
    <tableColumn id="21" xr3:uid="{2E986D08-CF1B-4F20-A86F-8593079B789C}" name="20" totalsRowFunction="sum" dataDxfId="7226" totalsRowDxfId="7225" dataCellStyle="Moeda">
      <calculatedColumnFormula>SUMIFS(tabela_registros[VALOR],tabela_registros[MÊS],$AE$1,tabela_registros[DIA],investiroutrosconsolidadomar[[#Headers],[20]],tabela_registros[REGISTRO],DADOS!$N$3,tabela_registros[TIPO],DADOS!$V$3,tabela_registros[CATEGORIA],investiroutrosconsolidadomar[[#This Row],[ATUAL]])</calculatedColumnFormula>
    </tableColumn>
    <tableColumn id="22" xr3:uid="{345ED6A9-DF42-4437-B8DD-A1A71EBDC989}" name="21" totalsRowFunction="sum" dataDxfId="7224" totalsRowDxfId="7223" dataCellStyle="Moeda">
      <calculatedColumnFormula>SUMIFS(tabela_registros[VALOR],tabela_registros[MÊS],$AE$1,tabela_registros[DIA],investiroutrosconsolidadomar[[#Headers],[21]],tabela_registros[REGISTRO],DADOS!$N$3,tabela_registros[TIPO],DADOS!$V$3,tabela_registros[CATEGORIA],investiroutrosconsolidadomar[[#This Row],[ATUAL]])</calculatedColumnFormula>
    </tableColumn>
    <tableColumn id="23" xr3:uid="{635EB941-4B1F-48D4-841C-6C6672D2EC34}" name="22" totalsRowFunction="sum" dataDxfId="7222" totalsRowDxfId="7221" dataCellStyle="Moeda">
      <calculatedColumnFormula>SUMIFS(tabela_registros[VALOR],tabela_registros[MÊS],$AE$1,tabela_registros[DIA],investiroutrosconsolidadomar[[#Headers],[22]],tabela_registros[REGISTRO],DADOS!$N$3,tabela_registros[TIPO],DADOS!$V$3,tabela_registros[CATEGORIA],investiroutrosconsolidadomar[[#This Row],[ATUAL]])</calculatedColumnFormula>
    </tableColumn>
    <tableColumn id="24" xr3:uid="{329CD92F-646F-4D22-A08B-E214FE0E4A12}" name="23" totalsRowFunction="sum" dataDxfId="7220" totalsRowDxfId="7219" dataCellStyle="Moeda">
      <calculatedColumnFormula>SUMIFS(tabela_registros[VALOR],tabela_registros[MÊS],$AE$1,tabela_registros[DIA],investiroutrosconsolidadomar[[#Headers],[23]],tabela_registros[REGISTRO],DADOS!$N$3,tabela_registros[TIPO],DADOS!$V$3,tabela_registros[CATEGORIA],investiroutrosconsolidadomar[[#This Row],[ATUAL]])</calculatedColumnFormula>
    </tableColumn>
    <tableColumn id="25" xr3:uid="{C193560F-B99B-4071-9AB5-BA426108BCE9}" name="24" totalsRowFunction="sum" dataDxfId="7218" totalsRowDxfId="7217" dataCellStyle="Moeda">
      <calculatedColumnFormula>SUMIFS(tabela_registros[VALOR],tabela_registros[MÊS],$AE$1,tabela_registros[DIA],investiroutrosconsolidadomar[[#Headers],[24]],tabela_registros[REGISTRO],DADOS!$N$3,tabela_registros[TIPO],DADOS!$V$3,tabela_registros[CATEGORIA],investiroutrosconsolidadomar[[#This Row],[ATUAL]])</calculatedColumnFormula>
    </tableColumn>
    <tableColumn id="26" xr3:uid="{38A4893E-02C0-47EE-BE54-C1AF7D983AE0}" name="25" totalsRowFunction="sum" dataDxfId="7216" totalsRowDxfId="7215" dataCellStyle="Moeda">
      <calculatedColumnFormula>SUMIFS(tabela_registros[VALOR],tabela_registros[MÊS],$AE$1,tabela_registros[DIA],investiroutrosconsolidadomar[[#Headers],[25]],tabela_registros[REGISTRO],DADOS!$N$3,tabela_registros[TIPO],DADOS!$V$3,tabela_registros[CATEGORIA],investiroutrosconsolidadomar[[#This Row],[ATUAL]])</calculatedColumnFormula>
    </tableColumn>
    <tableColumn id="27" xr3:uid="{BDDA41C4-A4F3-4071-881E-52D5A12D6D11}" name="26" totalsRowFunction="sum" dataDxfId="7214" totalsRowDxfId="7213" dataCellStyle="Moeda">
      <calculatedColumnFormula>SUMIFS(tabela_registros[VALOR],tabela_registros[MÊS],$AE$1,tabela_registros[DIA],investiroutrosconsolidadomar[[#Headers],[26]],tabela_registros[REGISTRO],DADOS!$N$3,tabela_registros[TIPO],DADOS!$V$3,tabela_registros[CATEGORIA],investiroutrosconsolidadomar[[#This Row],[ATUAL]])</calculatedColumnFormula>
    </tableColumn>
    <tableColumn id="28" xr3:uid="{120C2D3D-6D65-4954-809D-DA0158F7FAC7}" name="27" totalsRowFunction="sum" dataDxfId="7212" totalsRowDxfId="7211" dataCellStyle="Moeda">
      <calculatedColumnFormula>SUMIFS(tabela_registros[VALOR],tabela_registros[MÊS],$AE$1,tabela_registros[DIA],investiroutrosconsolidadomar[[#Headers],[27]],tabela_registros[REGISTRO],DADOS!$N$3,tabela_registros[TIPO],DADOS!$V$3,tabela_registros[CATEGORIA],investiroutrosconsolidadomar[[#This Row],[ATUAL]])</calculatedColumnFormula>
    </tableColumn>
    <tableColumn id="29" xr3:uid="{104ADCCE-BD89-4F8E-ACC3-C3A7F3B10659}" name="28" totalsRowFunction="sum" dataDxfId="7210" totalsRowDxfId="7209" dataCellStyle="Moeda">
      <calculatedColumnFormula>SUMIFS(tabela_registros[VALOR],tabela_registros[MÊS],$AE$1,tabela_registros[DIA],investiroutrosconsolidadomar[[#Headers],[28]],tabela_registros[REGISTRO],DADOS!$N$3,tabela_registros[TIPO],DADOS!$V$3,tabela_registros[CATEGORIA],investiroutrosconsolidadomar[[#This Row],[ATUAL]])</calculatedColumnFormula>
    </tableColumn>
    <tableColumn id="30" xr3:uid="{60E6A2EF-5527-464C-BBE6-D30510067175}" name="29" totalsRowFunction="sum" dataDxfId="7208" totalsRowDxfId="7207" dataCellStyle="Moeda">
      <calculatedColumnFormula>SUMIFS(tabela_registros[VALOR],tabela_registros[MÊS],$AE$1,tabela_registros[DIA],investiroutrosconsolidadomar[[#Headers],[29]],tabela_registros[REGISTRO],DADOS!$N$3,tabela_registros[TIPO],DADOS!$V$3,tabela_registros[CATEGORIA],investiroutrosconsolidadomar[[#This Row],[ATUAL]])</calculatedColumnFormula>
    </tableColumn>
    <tableColumn id="31" xr3:uid="{664663CB-04C8-450D-8D8E-39FC100D3FB9}" name="30" totalsRowFunction="sum" dataDxfId="7206" totalsRowDxfId="7205" dataCellStyle="Moeda">
      <calculatedColumnFormula>SUMIFS(tabela_registros[VALOR],tabela_registros[MÊS],$AE$1,tabela_registros[DIA],investiroutrosconsolidadomar[[#Headers],[30]],tabela_registros[REGISTRO],DADOS!$N$3,tabela_registros[TIPO],DADOS!$V$3,tabela_registros[CATEGORIA],investiroutrosconsolidadomar[[#This Row],[ATUAL]])</calculatedColumnFormula>
    </tableColumn>
    <tableColumn id="32" xr3:uid="{43A8EC4B-6A46-4A35-9209-09BCBD024E1E}" name="31" totalsRowFunction="sum" dataDxfId="7204" totalsRowDxfId="7203" dataCellStyle="Moeda">
      <calculatedColumnFormula>SUMIFS(tabela_registros[VALOR],tabela_registros[MÊS],$AE$1,tabela_registros[DIA],investiroutrosconsolidadomar[[#Headers],[31]],tabela_registros[REGISTRO],DADOS!$N$3,tabela_registros[TIPO],DADOS!$V$3,tabela_registros[CATEGORIA],investiroutrosconsolidadomar[[#This Row],[ATUAL]])</calculatedColumnFormula>
    </tableColumn>
    <tableColumn id="33" xr3:uid="{D1384C8D-9F26-4FD0-B4D9-96A854C0E79F}" name="TOTAL (R$)" totalsRowFunction="sum" dataDxfId="7202" dataCellStyle="Moeda">
      <calculatedColumnFormula>SUM(investiroutrosconsolidadomar[[#This Row],[1]:[31]])</calculatedColumnFormula>
    </tableColumn>
  </tableColumns>
  <tableStyleInfo name="TABELAS RESULTADOS" showFirstColumn="0" showLastColumn="0" showRowStripes="1" showColumnStripes="0"/>
</table>
</file>

<file path=xl/tables/table4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5" xr:uid="{87F24C2E-06BA-4828-BFCF-A2D5B3665E0A}" name="reservafixaconsolidadomar" displayName="reservafixaconsolidadomar" ref="C167:AJ178" headerRowDxfId="7201" dataDxfId="7200" totalsRowDxfId="7199">
  <autoFilter ref="C167:AJ178" xr:uid="{CDBD73CF-1633-4509-BA0C-4B73FF7E50BA}"/>
  <tableColumns count="34">
    <tableColumn id="1" xr3:uid="{3CDB5AB4-6862-4AD8-A6DD-FAF9C4C592FA}" name="ATUAL" totalsRowLabel="SALDO" dataDxfId="7198"/>
    <tableColumn id="34" xr3:uid="{14EC50F0-47F0-4753-BB2D-50D1B82A7640}" name="Coluna1" dataDxfId="7197" totalsRowDxfId="7196">
      <calculatedColumnFormula>IF(reservafixaconsolidadomar[[#This Row],[TOTAL (R$)]]=0,"",IF(OR(reservafixaconsolidadomar[[#This Row],[TOTAL (R$)]]=LARGE($AJ$168:$AJ$177,1),reservafixaconsolidadomar[[#This Row],[TOTAL (R$)]]=LARGE($AJ$168:$AJ$177,2)),DADOS!$I$11,""))</calculatedColumnFormula>
    </tableColumn>
    <tableColumn id="2" xr3:uid="{B71FDC2B-6EC7-471D-B521-206B3DFA861F}" name="1" totalsRowFunction="sum" dataDxfId="7195" dataCellStyle="Moeda"/>
    <tableColumn id="3" xr3:uid="{7BC41077-1382-4147-975F-EE6F117D965A}" name="2" totalsRowFunction="sum" dataDxfId="7194" dataCellStyle="Moeda">
      <calculatedColumnFormula>SUMIFS(tabela_registros[VALOR],tabela_registros[MÊS],$AE$1,tabela_registros[DIA],reservafixaconsolidadomar[[#Headers],[2]],tabela_registros[REGISTRO],DADOS!$N$3,tabela_registros[TIPO],DADOS!$V$3,tabela_registros[CATEGORIA],reservafixaconsolidadomar[[#This Row],[ATUAL]])</calculatedColumnFormula>
    </tableColumn>
    <tableColumn id="4" xr3:uid="{D04FBFF1-B361-4DDD-A361-1DB4BB829B89}" name="3" totalsRowFunction="sum" dataDxfId="7193" totalsRowDxfId="7192" dataCellStyle="Moeda">
      <calculatedColumnFormula>SUMIFS(tabela_registros[VALOR],tabela_registros[MÊS],$AE$1,tabela_registros[DIA],reservafixaconsolidadomar[[#Headers],[3]],tabela_registros[REGISTRO],DADOS!$N$3,tabela_registros[TIPO],DADOS!$V$3,tabela_registros[CATEGORIA],reservafixaconsolidadomar[[#This Row],[ATUAL]])</calculatedColumnFormula>
    </tableColumn>
    <tableColumn id="5" xr3:uid="{C9C4F0A8-DE79-4D78-9A6C-D282526CDDE4}" name="4" totalsRowFunction="sum" dataDxfId="7191" totalsRowDxfId="7190" dataCellStyle="Moeda">
      <calculatedColumnFormula>SUMIFS(tabela_registros[VALOR],tabela_registros[MÊS],$AE$1,tabela_registros[DIA],reservafixaconsolidadomar[[#Headers],[4]],tabela_registros[REGISTRO],DADOS!$N$3,tabela_registros[TIPO],DADOS!$V$3,tabela_registros[CATEGORIA],reservafixaconsolidadomar[[#This Row],[ATUAL]])</calculatedColumnFormula>
    </tableColumn>
    <tableColumn id="6" xr3:uid="{C041F53B-19B2-4095-B4FF-1CBACB0C8F30}" name="5" totalsRowFunction="sum" dataDxfId="7189" totalsRowDxfId="7188" dataCellStyle="Moeda">
      <calculatedColumnFormula>SUMIFS(tabela_registros[VALOR],tabela_registros[MÊS],$AE$1,tabela_registros[DIA],reservafixaconsolidadomar[[#Headers],[5]],tabela_registros[REGISTRO],DADOS!$N$3,tabela_registros[TIPO],DADOS!$V$3,tabela_registros[CATEGORIA],reservafixaconsolidadomar[[#This Row],[ATUAL]])</calculatedColumnFormula>
    </tableColumn>
    <tableColumn id="7" xr3:uid="{32E911A7-6EA9-4554-835F-1E76A5D8893A}" name="6" totalsRowFunction="sum" dataDxfId="7187" totalsRowDxfId="7186" dataCellStyle="Moeda">
      <calculatedColumnFormula>SUMIFS(tabela_registros[VALOR],tabela_registros[MÊS],$AE$1,tabela_registros[DIA],reservafixaconsolidadomar[[#Headers],[6]],tabela_registros[REGISTRO],DADOS!$N$3,tabela_registros[TIPO],DADOS!$V$3,tabela_registros[CATEGORIA],reservafixaconsolidadomar[[#This Row],[ATUAL]])</calculatedColumnFormula>
    </tableColumn>
    <tableColumn id="8" xr3:uid="{DB2EDB60-BF40-4EE4-8A35-F25DB8BDC849}" name="7" totalsRowFunction="sum" dataDxfId="7185" totalsRowDxfId="7184" dataCellStyle="Moeda">
      <calculatedColumnFormula>SUMIFS(tabela_registros[VALOR],tabela_registros[MÊS],$AE$1,tabela_registros[DIA],reservafixaconsolidadomar[[#Headers],[7]],tabela_registros[REGISTRO],DADOS!$N$3,tabela_registros[TIPO],DADOS!$V$3,tabela_registros[CATEGORIA],reservafixaconsolidadomar[[#This Row],[ATUAL]])</calculatedColumnFormula>
    </tableColumn>
    <tableColumn id="9" xr3:uid="{42FAFA1E-986C-4A1B-BD43-0B4E526EAAF7}" name="8" totalsRowFunction="sum" dataDxfId="7183" totalsRowDxfId="7182" dataCellStyle="Moeda">
      <calculatedColumnFormula>SUMIFS(tabela_registros[VALOR],tabela_registros[MÊS],$AE$1,tabela_registros[DIA],reservafixaconsolidadomar[[#Headers],[8]],tabela_registros[REGISTRO],DADOS!$N$3,tabela_registros[TIPO],DADOS!$V$3,tabela_registros[CATEGORIA],reservafixaconsolidadomar[[#This Row],[ATUAL]])</calculatedColumnFormula>
    </tableColumn>
    <tableColumn id="10" xr3:uid="{8F9AED9B-BD9B-4E6D-9952-1FCAE0C7DFB8}" name="9" totalsRowFunction="sum" dataDxfId="7181" totalsRowDxfId="7180" dataCellStyle="Moeda">
      <calculatedColumnFormula>SUMIFS(tabela_registros[VALOR],tabela_registros[MÊS],$AE$1,tabela_registros[DIA],reservafixaconsolidadomar[[#Headers],[9]],tabela_registros[REGISTRO],DADOS!$N$3,tabela_registros[TIPO],DADOS!$V$3,tabela_registros[CATEGORIA],reservafixaconsolidadomar[[#This Row],[ATUAL]])</calculatedColumnFormula>
    </tableColumn>
    <tableColumn id="11" xr3:uid="{5602037B-AD21-49B7-9FA7-692A152C97DE}" name="10" totalsRowFunction="sum" dataDxfId="7179" totalsRowDxfId="7178" dataCellStyle="Moeda">
      <calculatedColumnFormula>SUMIFS(tabela_registros[VALOR],tabela_registros[MÊS],$AE$1,tabela_registros[DIA],reservafixaconsolidadomar[[#Headers],[10]],tabela_registros[REGISTRO],DADOS!$N$3,tabela_registros[TIPO],DADOS!$V$3,tabela_registros[CATEGORIA],reservafixaconsolidadomar[[#This Row],[ATUAL]])</calculatedColumnFormula>
    </tableColumn>
    <tableColumn id="12" xr3:uid="{6036ABB2-2E9C-49FA-9159-198F85563068}" name="11" totalsRowFunction="sum" dataDxfId="7177" totalsRowDxfId="7176" dataCellStyle="Moeda">
      <calculatedColumnFormula>SUMIFS(tabela_registros[VALOR],tabela_registros[MÊS],$AE$1,tabela_registros[DIA],reservafixaconsolidadomar[[#Headers],[11]],tabela_registros[REGISTRO],DADOS!$N$3,tabela_registros[TIPO],DADOS!$V$3,tabela_registros[CATEGORIA],reservafixaconsolidadomar[[#This Row],[ATUAL]])</calculatedColumnFormula>
    </tableColumn>
    <tableColumn id="13" xr3:uid="{3421C6E2-06A6-45E8-8AFD-412D1F1C7B7D}" name="12" totalsRowFunction="sum" dataDxfId="7175" totalsRowDxfId="7174" dataCellStyle="Moeda">
      <calculatedColumnFormula>SUMIFS(tabela_registros[VALOR],tabela_registros[MÊS],$AE$1,tabela_registros[DIA],reservafixaconsolidadomar[[#Headers],[12]],tabela_registros[REGISTRO],DADOS!$N$3,tabela_registros[TIPO],DADOS!$V$3,tabela_registros[CATEGORIA],reservafixaconsolidadomar[[#This Row],[ATUAL]])</calculatedColumnFormula>
    </tableColumn>
    <tableColumn id="14" xr3:uid="{860F542E-40F8-4778-BBA1-8A1137CA4713}" name="13" totalsRowFunction="sum" dataDxfId="7173" totalsRowDxfId="7172" dataCellStyle="Moeda">
      <calculatedColumnFormula>SUMIFS(tabela_registros[VALOR],tabela_registros[MÊS],$AE$1,tabela_registros[DIA],reservafixaconsolidadomar[[#Headers],[13]],tabela_registros[REGISTRO],DADOS!$N$3,tabela_registros[TIPO],DADOS!$V$3,tabela_registros[CATEGORIA],reservafixaconsolidadomar[[#This Row],[ATUAL]])</calculatedColumnFormula>
    </tableColumn>
    <tableColumn id="15" xr3:uid="{B9015A9D-E116-469F-8D5D-B7DB79D54D33}" name="14" totalsRowFunction="sum" dataDxfId="7171" totalsRowDxfId="7170" dataCellStyle="Moeda">
      <calculatedColumnFormula>SUMIFS(tabela_registros[VALOR],tabela_registros[MÊS],$AE$1,tabela_registros[DIA],reservafixaconsolidadomar[[#Headers],[14]],tabela_registros[REGISTRO],DADOS!$N$3,tabela_registros[TIPO],DADOS!$V$3,tabela_registros[CATEGORIA],reservafixaconsolidadomar[[#This Row],[ATUAL]])</calculatedColumnFormula>
    </tableColumn>
    <tableColumn id="16" xr3:uid="{F368D459-1338-4F18-B0B3-AA37D05EE16B}" name="15" totalsRowFunction="sum" dataDxfId="7169" totalsRowDxfId="7168" dataCellStyle="Moeda">
      <calculatedColumnFormula>SUMIFS(tabela_registros[VALOR],tabela_registros[MÊS],$AE$1,tabela_registros[DIA],reservafixaconsolidadomar[[#Headers],[15]],tabela_registros[REGISTRO],DADOS!$N$3,tabela_registros[TIPO],DADOS!$V$3,tabela_registros[CATEGORIA],reservafixaconsolidadomar[[#This Row],[ATUAL]])</calculatedColumnFormula>
    </tableColumn>
    <tableColumn id="17" xr3:uid="{DD250824-2C67-499D-AF23-9391D515954B}" name="16" totalsRowFunction="sum" dataDxfId="7167" totalsRowDxfId="7166" dataCellStyle="Moeda">
      <calculatedColumnFormula>SUMIFS(tabela_registros[VALOR],tabela_registros[MÊS],$AE$1,tabela_registros[DIA],reservafixaconsolidadomar[[#Headers],[16]],tabela_registros[REGISTRO],DADOS!$N$3,tabela_registros[TIPO],DADOS!$V$3,tabela_registros[CATEGORIA],reservafixaconsolidadomar[[#This Row],[ATUAL]])</calculatedColumnFormula>
    </tableColumn>
    <tableColumn id="18" xr3:uid="{85BC8F1E-7E63-45A4-B896-EFBFA7D3FA79}" name="17" totalsRowFunction="sum" dataDxfId="7165" totalsRowDxfId="7164" dataCellStyle="Moeda">
      <calculatedColumnFormula>SUMIFS(tabela_registros[VALOR],tabela_registros[MÊS],$AE$1,tabela_registros[DIA],reservafixaconsolidadomar[[#Headers],[17]],tabela_registros[REGISTRO],DADOS!$N$3,tabela_registros[TIPO],DADOS!$V$3,tabela_registros[CATEGORIA],reservafixaconsolidadomar[[#This Row],[ATUAL]])</calculatedColumnFormula>
    </tableColumn>
    <tableColumn id="19" xr3:uid="{331ADAA1-1D92-487E-B223-6460AD0EB486}" name="18" totalsRowFunction="sum" dataDxfId="7163" totalsRowDxfId="7162" dataCellStyle="Moeda">
      <calculatedColumnFormula>SUMIFS(tabela_registros[VALOR],tabela_registros[MÊS],$AE$1,tabela_registros[DIA],reservafixaconsolidadomar[[#Headers],[18]],tabela_registros[REGISTRO],DADOS!$N$3,tabela_registros[TIPO],DADOS!$V$3,tabela_registros[CATEGORIA],reservafixaconsolidadomar[[#This Row],[ATUAL]])</calculatedColumnFormula>
    </tableColumn>
    <tableColumn id="20" xr3:uid="{6AE0DF34-569A-44EC-B59B-DCCB1CB799B2}" name="19" totalsRowFunction="sum" dataDxfId="7161" totalsRowDxfId="7160" dataCellStyle="Moeda">
      <calculatedColumnFormula>SUMIFS(tabela_registros[VALOR],tabela_registros[MÊS],$AE$1,tabela_registros[DIA],reservafixaconsolidadomar[[#Headers],[19]],tabela_registros[REGISTRO],DADOS!$N$3,tabela_registros[TIPO],DADOS!$V$3,tabela_registros[CATEGORIA],reservafixaconsolidadomar[[#This Row],[ATUAL]])</calculatedColumnFormula>
    </tableColumn>
    <tableColumn id="21" xr3:uid="{9BE98269-C27F-4AE2-B186-077C9920C03C}" name="20" totalsRowFunction="sum" dataDxfId="7159" totalsRowDxfId="7158" dataCellStyle="Moeda">
      <calculatedColumnFormula>SUMIFS(tabela_registros[VALOR],tabela_registros[MÊS],$AE$1,tabela_registros[DIA],reservafixaconsolidadomar[[#Headers],[20]],tabela_registros[REGISTRO],DADOS!$N$3,tabela_registros[TIPO],DADOS!$V$3,tabela_registros[CATEGORIA],reservafixaconsolidadomar[[#This Row],[ATUAL]])</calculatedColumnFormula>
    </tableColumn>
    <tableColumn id="22" xr3:uid="{CDBCCAFB-FF1B-4FC2-9F3B-8C04D40C81EC}" name="21" totalsRowFunction="sum" dataDxfId="7157" totalsRowDxfId="7156" dataCellStyle="Moeda">
      <calculatedColumnFormula>SUMIFS(tabela_registros[VALOR],tabela_registros[MÊS],$AE$1,tabela_registros[DIA],reservafixaconsolidadomar[[#Headers],[21]],tabela_registros[REGISTRO],DADOS!$N$3,tabela_registros[TIPO],DADOS!$V$3,tabela_registros[CATEGORIA],reservafixaconsolidadomar[[#This Row],[ATUAL]])</calculatedColumnFormula>
    </tableColumn>
    <tableColumn id="23" xr3:uid="{31A27B02-773F-41B0-B818-BEDC251E04F5}" name="22" totalsRowFunction="sum" dataDxfId="7155" totalsRowDxfId="7154" dataCellStyle="Moeda">
      <calculatedColumnFormula>SUMIFS(tabela_registros[VALOR],tabela_registros[MÊS],$AE$1,tabela_registros[DIA],reservafixaconsolidadomar[[#Headers],[22]],tabela_registros[REGISTRO],DADOS!$N$3,tabela_registros[TIPO],DADOS!$V$3,tabela_registros[CATEGORIA],reservafixaconsolidadomar[[#This Row],[ATUAL]])</calculatedColumnFormula>
    </tableColumn>
    <tableColumn id="24" xr3:uid="{ED64F253-3DB1-42CD-B22C-DCFDA11BD423}" name="23" totalsRowFunction="sum" dataDxfId="7153" totalsRowDxfId="7152" dataCellStyle="Moeda">
      <calculatedColumnFormula>SUMIFS(tabela_registros[VALOR],tabela_registros[MÊS],$AE$1,tabela_registros[DIA],reservafixaconsolidadomar[[#Headers],[23]],tabela_registros[REGISTRO],DADOS!$N$3,tabela_registros[TIPO],DADOS!$V$3,tabela_registros[CATEGORIA],reservafixaconsolidadomar[[#This Row],[ATUAL]])</calculatedColumnFormula>
    </tableColumn>
    <tableColumn id="25" xr3:uid="{BA81500E-648D-4C6E-BC5D-8BE52681AED9}" name="24" totalsRowFunction="sum" dataDxfId="7151" totalsRowDxfId="7150" dataCellStyle="Moeda">
      <calculatedColumnFormula>SUMIFS(tabela_registros[VALOR],tabela_registros[MÊS],$AE$1,tabela_registros[DIA],reservafixaconsolidadomar[[#Headers],[24]],tabela_registros[REGISTRO],DADOS!$N$3,tabela_registros[TIPO],DADOS!$V$3,tabela_registros[CATEGORIA],reservafixaconsolidadomar[[#This Row],[ATUAL]])</calculatedColumnFormula>
    </tableColumn>
    <tableColumn id="26" xr3:uid="{4E670B86-F76F-49D4-B6A9-FEEFBCE46013}" name="25" totalsRowFunction="sum" dataDxfId="7149" totalsRowDxfId="7148" dataCellStyle="Moeda">
      <calculatedColumnFormula>SUMIFS(tabela_registros[VALOR],tabela_registros[MÊS],$AE$1,tabela_registros[DIA],reservafixaconsolidadomar[[#Headers],[25]],tabela_registros[REGISTRO],DADOS!$N$3,tabela_registros[TIPO],DADOS!$V$3,tabela_registros[CATEGORIA],reservafixaconsolidadomar[[#This Row],[ATUAL]])</calculatedColumnFormula>
    </tableColumn>
    <tableColumn id="27" xr3:uid="{355F5F90-7CBB-46D0-B925-48C68069F64D}" name="26" totalsRowFunction="sum" dataDxfId="7147" totalsRowDxfId="7146" dataCellStyle="Moeda">
      <calculatedColumnFormula>SUMIFS(tabela_registros[VALOR],tabela_registros[MÊS],$AE$1,tabela_registros[DIA],reservafixaconsolidadomar[[#Headers],[26]],tabela_registros[REGISTRO],DADOS!$N$3,tabela_registros[TIPO],DADOS!$V$3,tabela_registros[CATEGORIA],reservafixaconsolidadomar[[#This Row],[ATUAL]])</calculatedColumnFormula>
    </tableColumn>
    <tableColumn id="28" xr3:uid="{22E6ABD6-60E6-4F46-AA60-2619CDFF0263}" name="27" totalsRowFunction="sum" dataDxfId="7145" totalsRowDxfId="7144" dataCellStyle="Moeda">
      <calculatedColumnFormula>SUMIFS(tabela_registros[VALOR],tabela_registros[MÊS],$AE$1,tabela_registros[DIA],reservafixaconsolidadomar[[#Headers],[27]],tabela_registros[REGISTRO],DADOS!$N$3,tabela_registros[TIPO],DADOS!$V$3,tabela_registros[CATEGORIA],reservafixaconsolidadomar[[#This Row],[ATUAL]])</calculatedColumnFormula>
    </tableColumn>
    <tableColumn id="29" xr3:uid="{4AEB25AA-1E54-45C9-9121-9112EC5CCFE4}" name="28" totalsRowFunction="sum" dataDxfId="7143" totalsRowDxfId="7142" dataCellStyle="Moeda">
      <calculatedColumnFormula>SUMIFS(tabela_registros[VALOR],tabela_registros[MÊS],$AE$1,tabela_registros[DIA],reservafixaconsolidadomar[[#Headers],[28]],tabela_registros[REGISTRO],DADOS!$N$3,tabela_registros[TIPO],DADOS!$V$3,tabela_registros[CATEGORIA],reservafixaconsolidadomar[[#This Row],[ATUAL]])</calculatedColumnFormula>
    </tableColumn>
    <tableColumn id="30" xr3:uid="{22763CAB-FCA9-4090-BAC7-029702126CDD}" name="29" totalsRowFunction="sum" dataDxfId="7141" totalsRowDxfId="7140" dataCellStyle="Moeda">
      <calculatedColumnFormula>SUMIFS(tabela_registros[VALOR],tabela_registros[MÊS],$AE$1,tabela_registros[DIA],reservafixaconsolidadomar[[#Headers],[29]],tabela_registros[REGISTRO],DADOS!$N$3,tabela_registros[TIPO],DADOS!$V$3,tabela_registros[CATEGORIA],reservafixaconsolidadomar[[#This Row],[ATUAL]])</calculatedColumnFormula>
    </tableColumn>
    <tableColumn id="31" xr3:uid="{CCEB63E2-D61E-40B6-ACE8-1306DFEC7797}" name="30" totalsRowFunction="sum" dataDxfId="7139" totalsRowDxfId="7138" dataCellStyle="Moeda">
      <calculatedColumnFormula>SUMIFS(tabela_registros[VALOR],tabela_registros[MÊS],$AE$1,tabela_registros[DIA],reservafixaconsolidadomar[[#Headers],[30]],tabela_registros[REGISTRO],DADOS!$N$3,tabela_registros[TIPO],DADOS!$V$3,tabela_registros[CATEGORIA],reservafixaconsolidadomar[[#This Row],[ATUAL]])</calculatedColumnFormula>
    </tableColumn>
    <tableColumn id="32" xr3:uid="{02E2F8BF-5C54-44B2-BD87-3F75D738BD75}" name="31" totalsRowFunction="sum" dataDxfId="7137" totalsRowDxfId="7136" dataCellStyle="Moeda">
      <calculatedColumnFormula>SUMIFS(tabela_registros[VALOR],tabela_registros[MÊS],$AE$1,tabela_registros[DIA],reservafixaconsolidadomar[[#Headers],[31]],tabela_registros[REGISTRO],DADOS!$N$3,tabela_registros[TIPO],DADOS!$V$3,tabela_registros[CATEGORIA],reservafixaconsolidadomar[[#This Row],[ATUAL]])</calculatedColumnFormula>
    </tableColumn>
    <tableColumn id="33" xr3:uid="{E7AF0853-D6B1-460C-B67F-0B3F8F7EEB5A}" name="TOTAL (R$)" totalsRowFunction="sum" dataDxfId="7135" dataCellStyle="Moeda">
      <calculatedColumnFormula>SUM(reservafixaconsolidadomar[[#This Row],[1]:[31]])</calculatedColumnFormula>
    </tableColumn>
  </tableColumns>
  <tableStyleInfo name="TABELAS RESULTADOS" showFirstColumn="0" showLastColumn="0" showRowStripes="1" showColumnStripes="0"/>
</table>
</file>

<file path=xl/tables/table4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6" xr:uid="{85D537EC-FDF4-4CC5-A167-DCF771B9D08F}" name="reservavariáveisconsolidadomar" displayName="reservavariáveisconsolidadomar" ref="C186:AJ197" headerRowDxfId="7134" dataDxfId="7133" totalsRowDxfId="7132">
  <autoFilter ref="C186:AJ197" xr:uid="{D1B0BC4A-55A7-40F2-94A1-407E95E214F4}"/>
  <tableColumns count="34">
    <tableColumn id="1" xr3:uid="{0442EA24-16C5-4970-A113-BA38C9A2E8C5}" name="ATUAL" totalsRowLabel="SALDO" dataDxfId="7131"/>
    <tableColumn id="34" xr3:uid="{904B97C4-4238-4CC2-824B-31A670726065}" name="Coluna1" dataDxfId="7130" totalsRowDxfId="7129">
      <calculatedColumnFormula>IF(reservavariáveisconsolidadomar[[#This Row],[TOTAL (R$)]]=0,"",IF(OR(reservavariáveisconsolidadomar[[#This Row],[TOTAL (R$)]]=LARGE($AJ$187:$AJ$196,1),reservavariáveisconsolidadomar[[#This Row],[TOTAL (R$)]]=LARGE($AJ$187:$AJ$196,2)),DADOS!$I$11,""))</calculatedColumnFormula>
    </tableColumn>
    <tableColumn id="2" xr3:uid="{B0C5C205-0AF7-44A8-BC01-79F135296245}" name="1" totalsRowFunction="sum" dataDxfId="7128" dataCellStyle="Moeda"/>
    <tableColumn id="3" xr3:uid="{5737732C-DE56-423C-86D9-7E97535B180E}" name="2" totalsRowFunction="sum" dataDxfId="7127" dataCellStyle="Moeda">
      <calculatedColumnFormula>SUMIFS(tabela_registros[VALOR],tabela_registros[MÊS],$AE$1,tabela_registros[DIA],reservavariáveisconsolidadomar[[#Headers],[2]],tabela_registros[REGISTRO],DADOS!$N$3,tabela_registros[TIPO],DADOS!$V$3,tabela_registros[CATEGORIA],reservavariáveisconsolidadomar[[#This Row],[ATUAL]])</calculatedColumnFormula>
    </tableColumn>
    <tableColumn id="4" xr3:uid="{C202731C-6C5C-4E32-A04B-D8CBBCAF7C70}" name="3" totalsRowFunction="sum" dataDxfId="7126" totalsRowDxfId="7125" dataCellStyle="Moeda">
      <calculatedColumnFormula>SUMIFS(tabela_registros[VALOR],tabela_registros[MÊS],$AE$1,tabela_registros[DIA],reservavariáveisconsolidadomar[[#Headers],[3]],tabela_registros[REGISTRO],DADOS!$N$3,tabela_registros[TIPO],DADOS!$V$3,tabela_registros[CATEGORIA],reservavariáveisconsolidadomar[[#This Row],[ATUAL]])</calculatedColumnFormula>
    </tableColumn>
    <tableColumn id="5" xr3:uid="{33D68486-98C9-496A-9966-0A34BE8E4F33}" name="4" totalsRowFunction="sum" dataDxfId="7124" totalsRowDxfId="7123" dataCellStyle="Moeda">
      <calculatedColumnFormula>SUMIFS(tabela_registros[VALOR],tabela_registros[MÊS],$AE$1,tabela_registros[DIA],reservavariáveisconsolidadomar[[#Headers],[4]],tabela_registros[REGISTRO],DADOS!$N$3,tabela_registros[TIPO],DADOS!$V$3,tabela_registros[CATEGORIA],reservavariáveisconsolidadomar[[#This Row],[ATUAL]])</calculatedColumnFormula>
    </tableColumn>
    <tableColumn id="6" xr3:uid="{D8C4B0C1-E734-4273-B704-80B2B4ADCF2F}" name="5" totalsRowFunction="sum" dataDxfId="7122" totalsRowDxfId="7121" dataCellStyle="Moeda">
      <calculatedColumnFormula>SUMIFS(tabela_registros[VALOR],tabela_registros[MÊS],$AE$1,tabela_registros[DIA],reservavariáveisconsolidadomar[[#Headers],[5]],tabela_registros[REGISTRO],DADOS!$N$3,tabela_registros[TIPO],DADOS!$V$3,tabela_registros[CATEGORIA],reservavariáveisconsolidadomar[[#This Row],[ATUAL]])</calculatedColumnFormula>
    </tableColumn>
    <tableColumn id="7" xr3:uid="{5C5C25C3-19E1-4CB7-B272-B8C70D25BDF1}" name="6" totalsRowFunction="sum" dataDxfId="7120" totalsRowDxfId="7119" dataCellStyle="Moeda">
      <calculatedColumnFormula>SUMIFS(tabela_registros[VALOR],tabela_registros[MÊS],$AE$1,tabela_registros[DIA],reservavariáveisconsolidadomar[[#Headers],[6]],tabela_registros[REGISTRO],DADOS!$N$3,tabela_registros[TIPO],DADOS!$V$3,tabela_registros[CATEGORIA],reservavariáveisconsolidadomar[[#This Row],[ATUAL]])</calculatedColumnFormula>
    </tableColumn>
    <tableColumn id="8" xr3:uid="{04EB6868-B223-407B-A786-07F30D0C917C}" name="7" totalsRowFunction="sum" dataDxfId="7118" totalsRowDxfId="7117" dataCellStyle="Moeda">
      <calculatedColumnFormula>SUMIFS(tabela_registros[VALOR],tabela_registros[MÊS],$AE$1,tabela_registros[DIA],reservavariáveisconsolidadomar[[#Headers],[7]],tabela_registros[REGISTRO],DADOS!$N$3,tabela_registros[TIPO],DADOS!$V$3,tabela_registros[CATEGORIA],reservavariáveisconsolidadomar[[#This Row],[ATUAL]])</calculatedColumnFormula>
    </tableColumn>
    <tableColumn id="9" xr3:uid="{57FAE7C3-9092-4141-8798-DCA54BB38F72}" name="8" totalsRowFunction="sum" dataDxfId="7116" totalsRowDxfId="7115" dataCellStyle="Moeda">
      <calculatedColumnFormula>SUMIFS(tabela_registros[VALOR],tabela_registros[MÊS],$AE$1,tabela_registros[DIA],reservavariáveisconsolidadomar[[#Headers],[8]],tabela_registros[REGISTRO],DADOS!$N$3,tabela_registros[TIPO],DADOS!$V$3,tabela_registros[CATEGORIA],reservavariáveisconsolidadomar[[#This Row],[ATUAL]])</calculatedColumnFormula>
    </tableColumn>
    <tableColumn id="10" xr3:uid="{13FB9D1B-8AEB-4EDB-904F-B00103BBBDF0}" name="9" totalsRowFunction="sum" dataDxfId="7114" totalsRowDxfId="7113" dataCellStyle="Moeda">
      <calculatedColumnFormula>SUMIFS(tabela_registros[VALOR],tabela_registros[MÊS],$AE$1,tabela_registros[DIA],reservavariáveisconsolidadomar[[#Headers],[9]],tabela_registros[REGISTRO],DADOS!$N$3,tabela_registros[TIPO],DADOS!$V$3,tabela_registros[CATEGORIA],reservavariáveisconsolidadomar[[#This Row],[ATUAL]])</calculatedColumnFormula>
    </tableColumn>
    <tableColumn id="11" xr3:uid="{8A66383B-BC51-4041-9D3B-23BF58E3C48B}" name="10" totalsRowFunction="sum" dataDxfId="7112" totalsRowDxfId="7111" dataCellStyle="Moeda">
      <calculatedColumnFormula>SUMIFS(tabela_registros[VALOR],tabela_registros[MÊS],$AE$1,tabela_registros[DIA],reservavariáveisconsolidadomar[[#Headers],[10]],tabela_registros[REGISTRO],DADOS!$N$3,tabela_registros[TIPO],DADOS!$V$3,tabela_registros[CATEGORIA],reservavariáveisconsolidadomar[[#This Row],[ATUAL]])</calculatedColumnFormula>
    </tableColumn>
    <tableColumn id="12" xr3:uid="{BC935C12-A0E8-417C-B809-2746DC9DB546}" name="11" totalsRowFunction="sum" dataDxfId="7110" totalsRowDxfId="7109" dataCellStyle="Moeda">
      <calculatedColumnFormula>SUMIFS(tabela_registros[VALOR],tabela_registros[MÊS],$AE$1,tabela_registros[DIA],reservavariáveisconsolidadomar[[#Headers],[11]],tabela_registros[REGISTRO],DADOS!$N$3,tabela_registros[TIPO],DADOS!$V$3,tabela_registros[CATEGORIA],reservavariáveisconsolidadomar[[#This Row],[ATUAL]])</calculatedColumnFormula>
    </tableColumn>
    <tableColumn id="13" xr3:uid="{04C93103-CB2D-4F2A-9ABF-5C2BCF706BAF}" name="12" totalsRowFunction="sum" dataDxfId="7108" totalsRowDxfId="7107" dataCellStyle="Moeda">
      <calculatedColumnFormula>SUMIFS(tabela_registros[VALOR],tabela_registros[MÊS],$AE$1,tabela_registros[DIA],reservavariáveisconsolidadomar[[#Headers],[12]],tabela_registros[REGISTRO],DADOS!$N$3,tabela_registros[TIPO],DADOS!$V$3,tabela_registros[CATEGORIA],reservavariáveisconsolidadomar[[#This Row],[ATUAL]])</calculatedColumnFormula>
    </tableColumn>
    <tableColumn id="14" xr3:uid="{C99FE568-C628-44D8-8CB4-36FDB32EED8C}" name="13" totalsRowFunction="sum" dataDxfId="7106" totalsRowDxfId="7105" dataCellStyle="Moeda">
      <calculatedColumnFormula>SUMIFS(tabela_registros[VALOR],tabela_registros[MÊS],$AE$1,tabela_registros[DIA],reservavariáveisconsolidadomar[[#Headers],[13]],tabela_registros[REGISTRO],DADOS!$N$3,tabela_registros[TIPO],DADOS!$V$3,tabela_registros[CATEGORIA],reservavariáveisconsolidadomar[[#This Row],[ATUAL]])</calculatedColumnFormula>
    </tableColumn>
    <tableColumn id="15" xr3:uid="{9E9A47DE-48B9-4C8A-AE4D-A2DF39EBF850}" name="14" totalsRowFunction="sum" dataDxfId="7104" totalsRowDxfId="7103" dataCellStyle="Moeda">
      <calculatedColumnFormula>SUMIFS(tabela_registros[VALOR],tabela_registros[MÊS],$AE$1,tabela_registros[DIA],reservavariáveisconsolidadomar[[#Headers],[14]],tabela_registros[REGISTRO],DADOS!$N$3,tabela_registros[TIPO],DADOS!$V$3,tabela_registros[CATEGORIA],reservavariáveisconsolidadomar[[#This Row],[ATUAL]])</calculatedColumnFormula>
    </tableColumn>
    <tableColumn id="16" xr3:uid="{00F34D7B-0249-49D8-988D-7CBD04FBBA17}" name="15" totalsRowFunction="sum" dataDxfId="7102" totalsRowDxfId="7101" dataCellStyle="Moeda">
      <calculatedColumnFormula>SUMIFS(tabela_registros[VALOR],tabela_registros[MÊS],$AE$1,tabela_registros[DIA],reservavariáveisconsolidadomar[[#Headers],[15]],tabela_registros[REGISTRO],DADOS!$N$3,tabela_registros[TIPO],DADOS!$V$3,tabela_registros[CATEGORIA],reservavariáveisconsolidadomar[[#This Row],[ATUAL]])</calculatedColumnFormula>
    </tableColumn>
    <tableColumn id="17" xr3:uid="{87F0C6BB-BD2D-4DB3-B80B-C618888B877D}" name="16" totalsRowFunction="sum" dataDxfId="7100" totalsRowDxfId="7099" dataCellStyle="Moeda">
      <calculatedColumnFormula>SUMIFS(tabela_registros[VALOR],tabela_registros[MÊS],$AE$1,tabela_registros[DIA],reservavariáveisconsolidadomar[[#Headers],[16]],tabela_registros[REGISTRO],DADOS!$N$3,tabela_registros[TIPO],DADOS!$V$3,tabela_registros[CATEGORIA],reservavariáveisconsolidadomar[[#This Row],[ATUAL]])</calculatedColumnFormula>
    </tableColumn>
    <tableColumn id="18" xr3:uid="{9BE78029-3692-4EFA-8932-46EC02665920}" name="17" totalsRowFunction="sum" dataDxfId="7098" totalsRowDxfId="7097" dataCellStyle="Moeda">
      <calculatedColumnFormula>SUMIFS(tabela_registros[VALOR],tabela_registros[MÊS],$AE$1,tabela_registros[DIA],reservavariáveisconsolidadomar[[#Headers],[17]],tabela_registros[REGISTRO],DADOS!$N$3,tabela_registros[TIPO],DADOS!$V$3,tabela_registros[CATEGORIA],reservavariáveisconsolidadomar[[#This Row],[ATUAL]])</calculatedColumnFormula>
    </tableColumn>
    <tableColumn id="19" xr3:uid="{EE007CC6-0DF0-4D78-A9BE-364903145A10}" name="18" totalsRowFunction="sum" dataDxfId="7096" totalsRowDxfId="7095" dataCellStyle="Moeda">
      <calculatedColumnFormula>SUMIFS(tabela_registros[VALOR],tabela_registros[MÊS],$AE$1,tabela_registros[DIA],reservavariáveisconsolidadomar[[#Headers],[18]],tabela_registros[REGISTRO],DADOS!$N$3,tabela_registros[TIPO],DADOS!$V$3,tabela_registros[CATEGORIA],reservavariáveisconsolidadomar[[#This Row],[ATUAL]])</calculatedColumnFormula>
    </tableColumn>
    <tableColumn id="20" xr3:uid="{C05C9144-1649-488D-B28D-4708608D0C21}" name="19" totalsRowFunction="sum" dataDxfId="7094" totalsRowDxfId="7093" dataCellStyle="Moeda">
      <calculatedColumnFormula>SUMIFS(tabela_registros[VALOR],tabela_registros[MÊS],$AE$1,tabela_registros[DIA],reservavariáveisconsolidadomar[[#Headers],[19]],tabela_registros[REGISTRO],DADOS!$N$3,tabela_registros[TIPO],DADOS!$V$3,tabela_registros[CATEGORIA],reservavariáveisconsolidadomar[[#This Row],[ATUAL]])</calculatedColumnFormula>
    </tableColumn>
    <tableColumn id="21" xr3:uid="{76183305-513C-4D19-ABB3-705BEC666148}" name="20" totalsRowFunction="sum" dataDxfId="7092" totalsRowDxfId="7091" dataCellStyle="Moeda">
      <calculatedColumnFormula>SUMIFS(tabela_registros[VALOR],tabela_registros[MÊS],$AE$1,tabela_registros[DIA],reservavariáveisconsolidadomar[[#Headers],[20]],tabela_registros[REGISTRO],DADOS!$N$3,tabela_registros[TIPO],DADOS!$V$3,tabela_registros[CATEGORIA],reservavariáveisconsolidadomar[[#This Row],[ATUAL]])</calculatedColumnFormula>
    </tableColumn>
    <tableColumn id="22" xr3:uid="{79175151-484E-431D-A47A-DB9B54234433}" name="21" totalsRowFunction="sum" dataDxfId="7090" totalsRowDxfId="7089" dataCellStyle="Moeda">
      <calculatedColumnFormula>SUMIFS(tabela_registros[VALOR],tabela_registros[MÊS],$AE$1,tabela_registros[DIA],reservavariáveisconsolidadomar[[#Headers],[21]],tabela_registros[REGISTRO],DADOS!$N$3,tabela_registros[TIPO],DADOS!$V$3,tabela_registros[CATEGORIA],reservavariáveisconsolidadomar[[#This Row],[ATUAL]])</calculatedColumnFormula>
    </tableColumn>
    <tableColumn id="23" xr3:uid="{B65EAB92-C0A6-488A-B81A-C047A4AAA75A}" name="22" totalsRowFunction="sum" dataDxfId="7088" totalsRowDxfId="7087" dataCellStyle="Moeda">
      <calculatedColumnFormula>SUMIFS(tabela_registros[VALOR],tabela_registros[MÊS],$AE$1,tabela_registros[DIA],reservavariáveisconsolidadomar[[#Headers],[22]],tabela_registros[REGISTRO],DADOS!$N$3,tabela_registros[TIPO],DADOS!$V$3,tabela_registros[CATEGORIA],reservavariáveisconsolidadomar[[#This Row],[ATUAL]])</calculatedColumnFormula>
    </tableColumn>
    <tableColumn id="24" xr3:uid="{650664A4-5556-4ED4-917F-1D5A036867BA}" name="23" totalsRowFunction="sum" dataDxfId="7086" totalsRowDxfId="7085" dataCellStyle="Moeda">
      <calculatedColumnFormula>SUMIFS(tabela_registros[VALOR],tabela_registros[MÊS],$AE$1,tabela_registros[DIA],reservavariáveisconsolidadomar[[#Headers],[23]],tabela_registros[REGISTRO],DADOS!$N$3,tabela_registros[TIPO],DADOS!$V$3,tabela_registros[CATEGORIA],reservavariáveisconsolidadomar[[#This Row],[ATUAL]])</calculatedColumnFormula>
    </tableColumn>
    <tableColumn id="25" xr3:uid="{F475C2E6-47DF-4BF3-A32C-2F0FEC1E5D59}" name="24" totalsRowFunction="sum" dataDxfId="7084" totalsRowDxfId="7083" dataCellStyle="Moeda">
      <calculatedColumnFormula>SUMIFS(tabela_registros[VALOR],tabela_registros[MÊS],$AE$1,tabela_registros[DIA],reservavariáveisconsolidadomar[[#Headers],[24]],tabela_registros[REGISTRO],DADOS!$N$3,tabela_registros[TIPO],DADOS!$V$3,tabela_registros[CATEGORIA],reservavariáveisconsolidadomar[[#This Row],[ATUAL]])</calculatedColumnFormula>
    </tableColumn>
    <tableColumn id="26" xr3:uid="{9289AD3E-246D-4792-8B46-E05ACCD25D40}" name="25" totalsRowFunction="sum" dataDxfId="7082" totalsRowDxfId="7081" dataCellStyle="Moeda">
      <calculatedColumnFormula>SUMIFS(tabela_registros[VALOR],tabela_registros[MÊS],$AE$1,tabela_registros[DIA],reservavariáveisconsolidadomar[[#Headers],[25]],tabela_registros[REGISTRO],DADOS!$N$3,tabela_registros[TIPO],DADOS!$V$3,tabela_registros[CATEGORIA],reservavariáveisconsolidadomar[[#This Row],[ATUAL]])</calculatedColumnFormula>
    </tableColumn>
    <tableColumn id="27" xr3:uid="{3873F7A5-1AB2-40EE-993A-2E920ECFFA58}" name="26" totalsRowFunction="sum" dataDxfId="7080" totalsRowDxfId="7079" dataCellStyle="Moeda">
      <calculatedColumnFormula>SUMIFS(tabela_registros[VALOR],tabela_registros[MÊS],$AE$1,tabela_registros[DIA],reservavariáveisconsolidadomar[[#Headers],[26]],tabela_registros[REGISTRO],DADOS!$N$3,tabela_registros[TIPO],DADOS!$V$3,tabela_registros[CATEGORIA],reservavariáveisconsolidadomar[[#This Row],[ATUAL]])</calculatedColumnFormula>
    </tableColumn>
    <tableColumn id="28" xr3:uid="{915B2433-7808-4D43-B641-3D9D03E89184}" name="27" totalsRowFunction="sum" dataDxfId="7078" totalsRowDxfId="7077" dataCellStyle="Moeda">
      <calculatedColumnFormula>SUMIFS(tabela_registros[VALOR],tabela_registros[MÊS],$AE$1,tabela_registros[DIA],reservavariáveisconsolidadomar[[#Headers],[27]],tabela_registros[REGISTRO],DADOS!$N$3,tabela_registros[TIPO],DADOS!$V$3,tabela_registros[CATEGORIA],reservavariáveisconsolidadomar[[#This Row],[ATUAL]])</calculatedColumnFormula>
    </tableColumn>
    <tableColumn id="29" xr3:uid="{618DF29F-9C1E-426C-82D5-D86D298592E5}" name="28" totalsRowFunction="sum" dataDxfId="7076" totalsRowDxfId="7075" dataCellStyle="Moeda">
      <calculatedColumnFormula>SUMIFS(tabela_registros[VALOR],tabela_registros[MÊS],$AE$1,tabela_registros[DIA],reservavariáveisconsolidadomar[[#Headers],[28]],tabela_registros[REGISTRO],DADOS!$N$3,tabela_registros[TIPO],DADOS!$V$3,tabela_registros[CATEGORIA],reservavariáveisconsolidadomar[[#This Row],[ATUAL]])</calculatedColumnFormula>
    </tableColumn>
    <tableColumn id="30" xr3:uid="{36E1F4DA-79A6-4C57-BC66-DF888E2047FC}" name="29" totalsRowFunction="sum" dataDxfId="7074" totalsRowDxfId="7073" dataCellStyle="Moeda">
      <calculatedColumnFormula>SUMIFS(tabela_registros[VALOR],tabela_registros[MÊS],$AE$1,tabela_registros[DIA],reservavariáveisconsolidadomar[[#Headers],[29]],tabela_registros[REGISTRO],DADOS!$N$3,tabela_registros[TIPO],DADOS!$V$3,tabela_registros[CATEGORIA],reservavariáveisconsolidadomar[[#This Row],[ATUAL]])</calculatedColumnFormula>
    </tableColumn>
    <tableColumn id="31" xr3:uid="{7A154FC1-81E6-4592-ABBA-B8CB1C907D20}" name="30" totalsRowFunction="sum" dataDxfId="7072" totalsRowDxfId="7071" dataCellStyle="Moeda">
      <calculatedColumnFormula>SUMIFS(tabela_registros[VALOR],tabela_registros[MÊS],$AE$1,tabela_registros[DIA],reservavariáveisconsolidadomar[[#Headers],[30]],tabela_registros[REGISTRO],DADOS!$N$3,tabela_registros[TIPO],DADOS!$V$3,tabela_registros[CATEGORIA],reservavariáveisconsolidadomar[[#This Row],[ATUAL]])</calculatedColumnFormula>
    </tableColumn>
    <tableColumn id="32" xr3:uid="{5D631088-14E2-40BC-8066-5D14739D79EB}" name="31" totalsRowFunction="sum" dataDxfId="7070" totalsRowDxfId="7069" dataCellStyle="Moeda">
      <calculatedColumnFormula>SUMIFS(tabela_registros[VALOR],tabela_registros[MÊS],$AE$1,tabela_registros[DIA],reservavariáveisconsolidadomar[[#Headers],[31]],tabela_registros[REGISTRO],DADOS!$N$3,tabela_registros[TIPO],DADOS!$V$3,tabela_registros[CATEGORIA],reservavariáveisconsolidadomar[[#This Row],[ATUAL]])</calculatedColumnFormula>
    </tableColumn>
    <tableColumn id="33" xr3:uid="{7FA52D14-D849-4A8B-A6EB-9C570E57BAB3}" name="TOTAL (R$)" totalsRowFunction="sum" dataDxfId="7068" dataCellStyle="Moeda">
      <calculatedColumnFormula>SUM(reservavariáveisconsolidadomar[[#This Row],[1]:[31]])</calculatedColumnFormula>
    </tableColumn>
  </tableColumns>
  <tableStyleInfo name="TABELAS RESULTADOS" showFirstColumn="0" showLastColumn="0" showRowStripes="1" showColumnStripes="0"/>
</table>
</file>

<file path=xl/tables/table4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7" xr:uid="{81E9A4CB-B8E9-4B95-BDBE-00A89C85245C}" name="reservaoutrosconsolidadomar" displayName="reservaoutrosconsolidadomar" ref="C205:AJ214" headerRowDxfId="7067" dataDxfId="7066" totalsRowDxfId="7065">
  <autoFilter ref="C205:AJ214" xr:uid="{9335CBAF-4490-44EE-A508-E6F2F3B6C6F1}"/>
  <tableColumns count="34">
    <tableColumn id="1" xr3:uid="{E6AC597D-125F-4B75-8136-8D7FA28C997D}" name="ATUAL" totalsRowLabel="SALDO" dataDxfId="7064"/>
    <tableColumn id="34" xr3:uid="{C0125E0F-CCCA-4A1F-8E39-4DDCCFD85BB4}" name="Coluna1" dataDxfId="7063" totalsRowDxfId="7062">
      <calculatedColumnFormula>IF(reservaoutrosconsolidadomar[[#This Row],[TOTAL (R$)]]=0,"",IF(OR(reservaoutrosconsolidadomar[[#This Row],[TOTAL (R$)]]=LARGE($AJ$206:$AJ$213,1),reservaoutrosconsolidadomar[[#This Row],[TOTAL (R$)]]=LARGE($AJ$206:$AJ$213,2)),DADOS!$I$11,""))</calculatedColumnFormula>
    </tableColumn>
    <tableColumn id="2" xr3:uid="{3A9FB37F-0A4B-47EE-A4FB-14CE437FD835}" name="1" totalsRowFunction="sum" dataDxfId="7061" dataCellStyle="Moeda"/>
    <tableColumn id="3" xr3:uid="{2B2D66A3-C82B-499B-B64D-D336A644E9FF}" name="2" totalsRowFunction="sum" dataDxfId="7060" dataCellStyle="Moeda">
      <calculatedColumnFormula>SUMIFS(tabela_registros[VALOR],tabela_registros[MÊS],$AE$1,tabela_registros[DIA],reservaoutrosconsolidadomar[[#Headers],[2]],tabela_registros[REGISTRO],DADOS!$N$3,tabela_registros[TIPO],DADOS!$V$3,tabela_registros[CATEGORIA],reservaoutrosconsolidadomar[[#This Row],[ATUAL]])</calculatedColumnFormula>
    </tableColumn>
    <tableColumn id="4" xr3:uid="{550C003B-A906-4A08-B620-F5E8346DB930}" name="3" totalsRowFunction="sum" dataDxfId="7059" totalsRowDxfId="7058" dataCellStyle="Moeda">
      <calculatedColumnFormula>SUMIFS(tabela_registros[VALOR],tabela_registros[MÊS],$AE$1,tabela_registros[DIA],reservaoutrosconsolidadomar[[#Headers],[3]],tabela_registros[REGISTRO],DADOS!$N$3,tabela_registros[TIPO],DADOS!$V$3,tabela_registros[CATEGORIA],reservaoutrosconsolidadomar[[#This Row],[ATUAL]])</calculatedColumnFormula>
    </tableColumn>
    <tableColumn id="5" xr3:uid="{CCAF2F9F-C66B-44F2-8D75-2BEAD5957794}" name="4" totalsRowFunction="sum" dataDxfId="7057" totalsRowDxfId="7056" dataCellStyle="Moeda">
      <calculatedColumnFormula>SUMIFS(tabela_registros[VALOR],tabela_registros[MÊS],$AE$1,tabela_registros[DIA],reservaoutrosconsolidadomar[[#Headers],[4]],tabela_registros[REGISTRO],DADOS!$N$3,tabela_registros[TIPO],DADOS!$V$3,tabela_registros[CATEGORIA],reservaoutrosconsolidadomar[[#This Row],[ATUAL]])</calculatedColumnFormula>
    </tableColumn>
    <tableColumn id="6" xr3:uid="{CA924E2F-187C-4434-B1B0-600D16621672}" name="5" totalsRowFunction="sum" dataDxfId="7055" totalsRowDxfId="7054" dataCellStyle="Moeda">
      <calculatedColumnFormula>SUMIFS(tabela_registros[VALOR],tabela_registros[MÊS],$AE$1,tabela_registros[DIA],reservaoutrosconsolidadomar[[#Headers],[5]],tabela_registros[REGISTRO],DADOS!$N$3,tabela_registros[TIPO],DADOS!$V$3,tabela_registros[CATEGORIA],reservaoutrosconsolidadomar[[#This Row],[ATUAL]])</calculatedColumnFormula>
    </tableColumn>
    <tableColumn id="7" xr3:uid="{98F82720-8165-4472-83ED-F0959C29E772}" name="6" totalsRowFunction="sum" dataDxfId="7053" totalsRowDxfId="7052" dataCellStyle="Moeda">
      <calculatedColumnFormula>SUMIFS(tabela_registros[VALOR],tabela_registros[MÊS],$AE$1,tabela_registros[DIA],reservaoutrosconsolidadomar[[#Headers],[6]],tabela_registros[REGISTRO],DADOS!$N$3,tabela_registros[TIPO],DADOS!$V$3,tabela_registros[CATEGORIA],reservaoutrosconsolidadomar[[#This Row],[ATUAL]])</calculatedColumnFormula>
    </tableColumn>
    <tableColumn id="8" xr3:uid="{F680029B-94C8-4ADA-9AFC-C0AD4A797BFC}" name="7" totalsRowFunction="sum" dataDxfId="7051" totalsRowDxfId="7050" dataCellStyle="Moeda">
      <calculatedColumnFormula>SUMIFS(tabela_registros[VALOR],tabela_registros[MÊS],$AE$1,tabela_registros[DIA],reservaoutrosconsolidadomar[[#Headers],[7]],tabela_registros[REGISTRO],DADOS!$N$3,tabela_registros[TIPO],DADOS!$V$3,tabela_registros[CATEGORIA],reservaoutrosconsolidadomar[[#This Row],[ATUAL]])</calculatedColumnFormula>
    </tableColumn>
    <tableColumn id="9" xr3:uid="{BF425730-082A-4DBC-8D23-20221A8EAF9F}" name="8" totalsRowFunction="sum" dataDxfId="7049" totalsRowDxfId="7048" dataCellStyle="Moeda">
      <calculatedColumnFormula>SUMIFS(tabela_registros[VALOR],tabela_registros[MÊS],$AE$1,tabela_registros[DIA],reservaoutrosconsolidadomar[[#Headers],[8]],tabela_registros[REGISTRO],DADOS!$N$3,tabela_registros[TIPO],DADOS!$V$3,tabela_registros[CATEGORIA],reservaoutrosconsolidadomar[[#This Row],[ATUAL]])</calculatedColumnFormula>
    </tableColumn>
    <tableColumn id="10" xr3:uid="{E4EB9706-DFE6-46FF-B2B8-CA5B8581A9DF}" name="9" totalsRowFunction="sum" dataDxfId="7047" totalsRowDxfId="7046" dataCellStyle="Moeda">
      <calculatedColumnFormula>SUMIFS(tabela_registros[VALOR],tabela_registros[MÊS],$AE$1,tabela_registros[DIA],reservaoutrosconsolidadomar[[#Headers],[9]],tabela_registros[REGISTRO],DADOS!$N$3,tabela_registros[TIPO],DADOS!$V$3,tabela_registros[CATEGORIA],reservaoutrosconsolidadomar[[#This Row],[ATUAL]])</calculatedColumnFormula>
    </tableColumn>
    <tableColumn id="11" xr3:uid="{333F9B1D-5DB1-4FDC-9356-63C0E070ADFE}" name="10" totalsRowFunction="sum" dataDxfId="7045" totalsRowDxfId="7044" dataCellStyle="Moeda">
      <calculatedColumnFormula>SUMIFS(tabela_registros[VALOR],tabela_registros[MÊS],$AE$1,tabela_registros[DIA],reservaoutrosconsolidadomar[[#Headers],[10]],tabela_registros[REGISTRO],DADOS!$N$3,tabela_registros[TIPO],DADOS!$V$3,tabela_registros[CATEGORIA],reservaoutrosconsolidadomar[[#This Row],[ATUAL]])</calculatedColumnFormula>
    </tableColumn>
    <tableColumn id="12" xr3:uid="{AF5E5CA5-04E7-4708-87C0-5AD0DDF36C46}" name="11" totalsRowFunction="sum" dataDxfId="7043" totalsRowDxfId="7042" dataCellStyle="Moeda">
      <calculatedColumnFormula>SUMIFS(tabela_registros[VALOR],tabela_registros[MÊS],$AE$1,tabela_registros[DIA],reservaoutrosconsolidadomar[[#Headers],[11]],tabela_registros[REGISTRO],DADOS!$N$3,tabela_registros[TIPO],DADOS!$V$3,tabela_registros[CATEGORIA],reservaoutrosconsolidadomar[[#This Row],[ATUAL]])</calculatedColumnFormula>
    </tableColumn>
    <tableColumn id="13" xr3:uid="{483E3D01-E972-472C-8A23-95CEC8FDDA99}" name="12" totalsRowFunction="sum" dataDxfId="7041" totalsRowDxfId="7040" dataCellStyle="Moeda">
      <calculatedColumnFormula>SUMIFS(tabela_registros[VALOR],tabela_registros[MÊS],$AE$1,tabela_registros[DIA],reservaoutrosconsolidadomar[[#Headers],[12]],tabela_registros[REGISTRO],DADOS!$N$3,tabela_registros[TIPO],DADOS!$V$3,tabela_registros[CATEGORIA],reservaoutrosconsolidadomar[[#This Row],[ATUAL]])</calculatedColumnFormula>
    </tableColumn>
    <tableColumn id="14" xr3:uid="{14DB2A81-4678-4FBC-A23B-483F3183C3F2}" name="13" totalsRowFunction="sum" dataDxfId="7039" totalsRowDxfId="7038" dataCellStyle="Moeda">
      <calculatedColumnFormula>SUMIFS(tabela_registros[VALOR],tabela_registros[MÊS],$AE$1,tabela_registros[DIA],reservaoutrosconsolidadomar[[#Headers],[13]],tabela_registros[REGISTRO],DADOS!$N$3,tabela_registros[TIPO],DADOS!$V$3,tabela_registros[CATEGORIA],reservaoutrosconsolidadomar[[#This Row],[ATUAL]])</calculatedColumnFormula>
    </tableColumn>
    <tableColumn id="15" xr3:uid="{22E21E6D-F327-427B-813C-A968056CE15A}" name="14" totalsRowFunction="sum" dataDxfId="7037" totalsRowDxfId="7036" dataCellStyle="Moeda">
      <calculatedColumnFormula>SUMIFS(tabela_registros[VALOR],tabela_registros[MÊS],$AE$1,tabela_registros[DIA],reservaoutrosconsolidadomar[[#Headers],[14]],tabela_registros[REGISTRO],DADOS!$N$3,tabela_registros[TIPO],DADOS!$V$3,tabela_registros[CATEGORIA],reservaoutrosconsolidadomar[[#This Row],[ATUAL]])</calculatedColumnFormula>
    </tableColumn>
    <tableColumn id="16" xr3:uid="{833F5EC4-943C-4F54-BF66-941BDAF54475}" name="15" totalsRowFunction="sum" dataDxfId="7035" totalsRowDxfId="7034" dataCellStyle="Moeda">
      <calculatedColumnFormula>SUMIFS(tabela_registros[VALOR],tabela_registros[MÊS],$AE$1,tabela_registros[DIA],reservaoutrosconsolidadomar[[#Headers],[15]],tabela_registros[REGISTRO],DADOS!$N$3,tabela_registros[TIPO],DADOS!$V$3,tabela_registros[CATEGORIA],reservaoutrosconsolidadomar[[#This Row],[ATUAL]])</calculatedColumnFormula>
    </tableColumn>
    <tableColumn id="17" xr3:uid="{F132BB1A-E606-4057-91DC-89AB8804F74E}" name="16" totalsRowFunction="sum" dataDxfId="7033" totalsRowDxfId="7032" dataCellStyle="Moeda">
      <calculatedColumnFormula>SUMIFS(tabela_registros[VALOR],tabela_registros[MÊS],$AE$1,tabela_registros[DIA],reservaoutrosconsolidadomar[[#Headers],[16]],tabela_registros[REGISTRO],DADOS!$N$3,tabela_registros[TIPO],DADOS!$V$3,tabela_registros[CATEGORIA],reservaoutrosconsolidadomar[[#This Row],[ATUAL]])</calculatedColumnFormula>
    </tableColumn>
    <tableColumn id="18" xr3:uid="{9E13EF9F-2854-45C9-BA85-76DF5247B6CE}" name="17" totalsRowFunction="sum" dataDxfId="7031" totalsRowDxfId="7030" dataCellStyle="Moeda">
      <calculatedColumnFormula>SUMIFS(tabela_registros[VALOR],tabela_registros[MÊS],$AE$1,tabela_registros[DIA],reservaoutrosconsolidadomar[[#Headers],[17]],tabela_registros[REGISTRO],DADOS!$N$3,tabela_registros[TIPO],DADOS!$V$3,tabela_registros[CATEGORIA],reservaoutrosconsolidadomar[[#This Row],[ATUAL]])</calculatedColumnFormula>
    </tableColumn>
    <tableColumn id="19" xr3:uid="{12855413-E20D-4B56-9179-376667E24551}" name="18" totalsRowFunction="sum" dataDxfId="7029" totalsRowDxfId="7028" dataCellStyle="Moeda">
      <calculatedColumnFormula>SUMIFS(tabela_registros[VALOR],tabela_registros[MÊS],$AE$1,tabela_registros[DIA],reservaoutrosconsolidadomar[[#Headers],[18]],tabela_registros[REGISTRO],DADOS!$N$3,tabela_registros[TIPO],DADOS!$V$3,tabela_registros[CATEGORIA],reservaoutrosconsolidadomar[[#This Row],[ATUAL]])</calculatedColumnFormula>
    </tableColumn>
    <tableColumn id="20" xr3:uid="{FFD083F8-5D7A-4B80-A941-918B59B66F09}" name="19" totalsRowFunction="sum" dataDxfId="7027" totalsRowDxfId="7026" dataCellStyle="Moeda">
      <calculatedColumnFormula>SUMIFS(tabela_registros[VALOR],tabela_registros[MÊS],$AE$1,tabela_registros[DIA],reservaoutrosconsolidadomar[[#Headers],[19]],tabela_registros[REGISTRO],DADOS!$N$3,tabela_registros[TIPO],DADOS!$V$3,tabela_registros[CATEGORIA],reservaoutrosconsolidadomar[[#This Row],[ATUAL]])</calculatedColumnFormula>
    </tableColumn>
    <tableColumn id="21" xr3:uid="{27381106-890C-47EC-91C1-7DDE8654F091}" name="20" totalsRowFunction="sum" dataDxfId="7025" totalsRowDxfId="7024" dataCellStyle="Moeda">
      <calculatedColumnFormula>SUMIFS(tabela_registros[VALOR],tabela_registros[MÊS],$AE$1,tabela_registros[DIA],reservaoutrosconsolidadomar[[#Headers],[20]],tabela_registros[REGISTRO],DADOS!$N$3,tabela_registros[TIPO],DADOS!$V$3,tabela_registros[CATEGORIA],reservaoutrosconsolidadomar[[#This Row],[ATUAL]])</calculatedColumnFormula>
    </tableColumn>
    <tableColumn id="22" xr3:uid="{B4E63C83-EC57-48B0-8A7B-880555EC4557}" name="21" totalsRowFunction="sum" dataDxfId="7023" totalsRowDxfId="7022" dataCellStyle="Moeda">
      <calculatedColumnFormula>SUMIFS(tabela_registros[VALOR],tabela_registros[MÊS],$AE$1,tabela_registros[DIA],reservaoutrosconsolidadomar[[#Headers],[21]],tabela_registros[REGISTRO],DADOS!$N$3,tabela_registros[TIPO],DADOS!$V$3,tabela_registros[CATEGORIA],reservaoutrosconsolidadomar[[#This Row],[ATUAL]])</calculatedColumnFormula>
    </tableColumn>
    <tableColumn id="23" xr3:uid="{51E8F84A-E392-42E4-ADF6-5EFE37A029EE}" name="22" totalsRowFunction="sum" dataDxfId="7021" totalsRowDxfId="7020" dataCellStyle="Moeda">
      <calculatedColumnFormula>SUMIFS(tabela_registros[VALOR],tabela_registros[MÊS],$AE$1,tabela_registros[DIA],reservaoutrosconsolidadomar[[#Headers],[22]],tabela_registros[REGISTRO],DADOS!$N$3,tabela_registros[TIPO],DADOS!$V$3,tabela_registros[CATEGORIA],reservaoutrosconsolidadomar[[#This Row],[ATUAL]])</calculatedColumnFormula>
    </tableColumn>
    <tableColumn id="24" xr3:uid="{B60B35B4-6A85-45D0-B407-671AA662F49D}" name="23" totalsRowFunction="sum" dataDxfId="7019" totalsRowDxfId="7018" dataCellStyle="Moeda">
      <calculatedColumnFormula>SUMIFS(tabela_registros[VALOR],tabela_registros[MÊS],$AE$1,tabela_registros[DIA],reservaoutrosconsolidadomar[[#Headers],[23]],tabela_registros[REGISTRO],DADOS!$N$3,tabela_registros[TIPO],DADOS!$V$3,tabela_registros[CATEGORIA],reservaoutrosconsolidadomar[[#This Row],[ATUAL]])</calculatedColumnFormula>
    </tableColumn>
    <tableColumn id="25" xr3:uid="{1409AD18-5904-4869-B39A-7E58305D3951}" name="24" totalsRowFunction="sum" dataDxfId="7017" totalsRowDxfId="7016" dataCellStyle="Moeda">
      <calculatedColumnFormula>SUMIFS(tabela_registros[VALOR],tabela_registros[MÊS],$AE$1,tabela_registros[DIA],reservaoutrosconsolidadomar[[#Headers],[24]],tabela_registros[REGISTRO],DADOS!$N$3,tabela_registros[TIPO],DADOS!$V$3,tabela_registros[CATEGORIA],reservaoutrosconsolidadomar[[#This Row],[ATUAL]])</calculatedColumnFormula>
    </tableColumn>
    <tableColumn id="26" xr3:uid="{C4D16D90-A263-42E3-864A-DFD49C234BAA}" name="25" totalsRowFunction="sum" dataDxfId="7015" totalsRowDxfId="7014" dataCellStyle="Moeda">
      <calculatedColumnFormula>SUMIFS(tabela_registros[VALOR],tabela_registros[MÊS],$AE$1,tabela_registros[DIA],reservaoutrosconsolidadomar[[#Headers],[25]],tabela_registros[REGISTRO],DADOS!$N$3,tabela_registros[TIPO],DADOS!$V$3,tabela_registros[CATEGORIA],reservaoutrosconsolidadomar[[#This Row],[ATUAL]])</calculatedColumnFormula>
    </tableColumn>
    <tableColumn id="27" xr3:uid="{52AA8A5B-3362-4275-B523-4E9A528B42DD}" name="26" totalsRowFunction="sum" dataDxfId="7013" totalsRowDxfId="7012" dataCellStyle="Moeda">
      <calculatedColumnFormula>SUMIFS(tabela_registros[VALOR],tabela_registros[MÊS],$AE$1,tabela_registros[DIA],reservaoutrosconsolidadomar[[#Headers],[26]],tabela_registros[REGISTRO],DADOS!$N$3,tabela_registros[TIPO],DADOS!$V$3,tabela_registros[CATEGORIA],reservaoutrosconsolidadomar[[#This Row],[ATUAL]])</calculatedColumnFormula>
    </tableColumn>
    <tableColumn id="28" xr3:uid="{8A2DA549-B02B-4C24-9E82-C1C437DCE7FB}" name="27" totalsRowFunction="sum" dataDxfId="7011" totalsRowDxfId="7010" dataCellStyle="Moeda">
      <calculatedColumnFormula>SUMIFS(tabela_registros[VALOR],tabela_registros[MÊS],$AE$1,tabela_registros[DIA],reservaoutrosconsolidadomar[[#Headers],[27]],tabela_registros[REGISTRO],DADOS!$N$3,tabela_registros[TIPO],DADOS!$V$3,tabela_registros[CATEGORIA],reservaoutrosconsolidadomar[[#This Row],[ATUAL]])</calculatedColumnFormula>
    </tableColumn>
    <tableColumn id="29" xr3:uid="{FFA8D368-F8A9-44DB-BE4E-3A5556D13A1B}" name="28" totalsRowFunction="sum" dataDxfId="7009" totalsRowDxfId="7008" dataCellStyle="Moeda">
      <calculatedColumnFormula>SUMIFS(tabela_registros[VALOR],tabela_registros[MÊS],$AE$1,tabela_registros[DIA],reservaoutrosconsolidadomar[[#Headers],[28]],tabela_registros[REGISTRO],DADOS!$N$3,tabela_registros[TIPO],DADOS!$V$3,tabela_registros[CATEGORIA],reservaoutrosconsolidadomar[[#This Row],[ATUAL]])</calculatedColumnFormula>
    </tableColumn>
    <tableColumn id="30" xr3:uid="{DB024B63-648F-448C-A6B9-FEDE89BC99C8}" name="29" totalsRowFunction="sum" dataDxfId="7007" totalsRowDxfId="7006" dataCellStyle="Moeda">
      <calculatedColumnFormula>SUMIFS(tabela_registros[VALOR],tabela_registros[MÊS],$AE$1,tabela_registros[DIA],reservaoutrosconsolidadomar[[#Headers],[29]],tabela_registros[REGISTRO],DADOS!$N$3,tabela_registros[TIPO],DADOS!$V$3,tabela_registros[CATEGORIA],reservaoutrosconsolidadomar[[#This Row],[ATUAL]])</calculatedColumnFormula>
    </tableColumn>
    <tableColumn id="31" xr3:uid="{4EAF465E-6341-43CC-902F-611ED1C345C2}" name="30" totalsRowFunction="sum" dataDxfId="7005" totalsRowDxfId="7004" dataCellStyle="Moeda">
      <calculatedColumnFormula>SUMIFS(tabela_registros[VALOR],tabela_registros[MÊS],$AE$1,tabela_registros[DIA],reservaoutrosconsolidadomar[[#Headers],[30]],tabela_registros[REGISTRO],DADOS!$N$3,tabela_registros[TIPO],DADOS!$V$3,tabela_registros[CATEGORIA],reservaoutrosconsolidadomar[[#This Row],[ATUAL]])</calculatedColumnFormula>
    </tableColumn>
    <tableColumn id="32" xr3:uid="{0E87D5BA-CD7B-433E-A086-088A32FA9D49}" name="31" totalsRowFunction="sum" dataDxfId="7003" totalsRowDxfId="7002" dataCellStyle="Moeda">
      <calculatedColumnFormula>SUMIFS(tabela_registros[VALOR],tabela_registros[MÊS],$AE$1,tabela_registros[DIA],reservaoutrosconsolidadomar[[#Headers],[31]],tabela_registros[REGISTRO],DADOS!$N$3,tabela_registros[TIPO],DADOS!$V$3,tabela_registros[CATEGORIA],reservaoutrosconsolidadomar[[#This Row],[ATUAL]])</calculatedColumnFormula>
    </tableColumn>
    <tableColumn id="33" xr3:uid="{1B41EF45-A06D-4AEB-B6A1-ED634C763079}" name="TOTAL (R$)" totalsRowFunction="sum" dataDxfId="7001" dataCellStyle="Moeda">
      <calculatedColumnFormula>SUM(reservaoutrosconsolidadomar[[#This Row],[1]:[31]])</calculatedColumnFormula>
    </tableColumn>
  </tableColumns>
  <tableStyleInfo name="TABELAS RESULTADOS" showFirstColumn="0" showLastColumn="0" showRowStripes="1" showColumnStripes="0"/>
</table>
</file>

<file path=xl/tables/table5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4" xr:uid="{E60D18DC-04B4-4244-8433-7B875CEDEE00}" name="despesafixaconsolidadoabr" displayName="despesafixaconsolidadoabr" ref="C36:AJ51" headerRowDxfId="7000" dataDxfId="6999" totalsRowDxfId="6998">
  <autoFilter ref="C36:AJ51" xr:uid="{5ADEFF0A-DF5A-4FC5-A9EC-68EEC14B5F43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  <filterColumn colId="25" hiddenButton="1"/>
    <filterColumn colId="26" hiddenButton="1"/>
    <filterColumn colId="27" hiddenButton="1"/>
    <filterColumn colId="28" hiddenButton="1"/>
    <filterColumn colId="29" hiddenButton="1"/>
    <filterColumn colId="30" hiddenButton="1"/>
    <filterColumn colId="31" hiddenButton="1"/>
    <filterColumn colId="32" hiddenButton="1"/>
    <filterColumn colId="33" hiddenButton="1"/>
  </autoFilter>
  <tableColumns count="34">
    <tableColumn id="1" xr3:uid="{9CED48BD-673C-4BD9-BCE9-FA23E91F79B6}" name="DESPESA FIXA" totalsRowLabel="Total" dataDxfId="6997"/>
    <tableColumn id="42" xr3:uid="{D17AC971-BB3C-40FE-BA19-17DB5E893AE6}" name="Coluna1" dataDxfId="6996">
      <calculatedColumnFormula>IF(despesafixaconsolidadoabr[[#This Row],[TOTAL]]=0,"",IF(OR(despesafixaconsolidadoabr[[#This Row],[TOTAL]]=SMALL($AJ$37:$AJ$50,1),despesafixaconsolidadoabr[[#This Row],[TOTAL]]=SMALL($AJ$37:$AJ$50,2),despesafixaconsolidadoabr[[#This Row],[TOTAL]]=SMALL($AJ$37:$AJ$50,3),despesafixaconsolidadoabr[[#This Row],[TOTAL]]=SMALL($AJ$37:$AJ$50,4),despesafixaconsolidadoabr[[#This Row],[TOTAL]]=SMALL($AJ$37:$AJ$50,5)),DADOS!$I$8,""))</calculatedColumnFormula>
    </tableColumn>
    <tableColumn id="18" xr3:uid="{65ED7CEF-AE38-4C8D-8F97-DD9ADBA6C0C4}" name="1" totalsRowFunction="sum" dataDxfId="6995" dataCellStyle="Moeda">
      <calculatedColumnFormula>SUMIFS(tabela_registros[VALOR],tabela_registros[MÊS],$AE$1,tabela_registros[DIA],jantotal[[#Headers],[1]],tabela_registros[REGISTRO],DADOS!$N$4,tabela_registros[TIPO],DADOS!$P$3,tabela_registros[CATEGORIA],despesafixaconsolidadoabr[[#This Row],[DESPESA FIXA]])</calculatedColumnFormula>
    </tableColumn>
    <tableColumn id="19" xr3:uid="{FA59911F-115E-46DB-9B1D-97C81200999D}" name="2" totalsRowFunction="sum" dataDxfId="6994" dataCellStyle="Moeda">
      <calculatedColumnFormula>SUMIFS(tabela_registros[VALOR],tabela_registros[MÊS],$AE$1,tabela_registros[DIA],jantotal[[#Headers],[2]],tabela_registros[REGISTRO],DADOS!$N$4,tabela_registros[TIPO],DADOS!$P$3,tabela_registros[CATEGORIA],despesafixaconsolidadoabr[[#This Row],[DESPESA FIXA]])</calculatedColumnFormula>
    </tableColumn>
    <tableColumn id="20" xr3:uid="{90CF14B1-2FC8-44FB-A615-58351BBC46BD}" name="3" totalsRowFunction="sum" dataDxfId="6993" totalsRowDxfId="6992" dataCellStyle="Moeda">
      <calculatedColumnFormula>SUMIFS(tabela_registros[VALOR],tabela_registros[MÊS],$AE$1,tabela_registros[DIA],jantotal[[#Headers],[3]],tabela_registros[REGISTRO],DADOS!$N$4,tabela_registros[TIPO],DADOS!$P$3,tabela_registros[CATEGORIA],despesafixaconsolidadoabr[[#This Row],[DESPESA FIXA]])</calculatedColumnFormula>
    </tableColumn>
    <tableColumn id="21" xr3:uid="{47197065-9A83-4E9B-B91E-14DBEAF46D06}" name="4" totalsRowFunction="sum" dataDxfId="6991" totalsRowDxfId="6990" dataCellStyle="Moeda">
      <calculatedColumnFormula>SUMIFS(tabela_registros[VALOR],tabela_registros[MÊS],$AE$1,tabela_registros[DIA],jantotal[[#Headers],[4]],tabela_registros[REGISTRO],DADOS!$N$4,tabela_registros[TIPO],DADOS!$P$3,tabela_registros[CATEGORIA],despesafixaconsolidadoabr[[#This Row],[DESPESA FIXA]])</calculatedColumnFormula>
    </tableColumn>
    <tableColumn id="22" xr3:uid="{682C94A0-8894-46FA-BF7C-F69B51FBE1A0}" name="5" totalsRowFunction="sum" dataDxfId="6989" totalsRowDxfId="6988" dataCellStyle="Moeda">
      <calculatedColumnFormula>SUMIFS(tabela_registros[VALOR],tabela_registros[MÊS],$AE$1,tabela_registros[DIA],jantotal[[#Headers],[5]],tabela_registros[REGISTRO],DADOS!$N$4,tabela_registros[TIPO],DADOS!$P$3,tabela_registros[CATEGORIA],despesafixaconsolidadoabr[[#This Row],[DESPESA FIXA]])</calculatedColumnFormula>
    </tableColumn>
    <tableColumn id="23" xr3:uid="{97859E08-EE0B-4694-B6B9-D222178BBE9C}" name="6" totalsRowFunction="sum" dataDxfId="6987" totalsRowDxfId="6986" dataCellStyle="Moeda">
      <calculatedColumnFormula>SUMIFS(tabela_registros[VALOR],tabela_registros[MÊS],$AE$1,tabela_registros[DIA],jantotal[[#Headers],[6]],tabela_registros[REGISTRO],DADOS!$N$4,tabela_registros[TIPO],DADOS!$P$3,tabela_registros[CATEGORIA],despesafixaconsolidadoabr[[#This Row],[DESPESA FIXA]])</calculatedColumnFormula>
    </tableColumn>
    <tableColumn id="24" xr3:uid="{F8499416-D524-4E0C-B60F-D9EE6539665F}" name="7" totalsRowFunction="sum" dataDxfId="6985" totalsRowDxfId="6984" dataCellStyle="Moeda">
      <calculatedColumnFormula>SUMIFS(tabela_registros[VALOR],tabela_registros[MÊS],$AE$1,tabela_registros[DIA],jantotal[[#Headers],[7]],tabela_registros[REGISTRO],DADOS!$N$4,tabela_registros[TIPO],DADOS!$P$3,tabela_registros[CATEGORIA],despesafixaconsolidadoabr[[#This Row],[DESPESA FIXA]])</calculatedColumnFormula>
    </tableColumn>
    <tableColumn id="25" xr3:uid="{D8B826D3-1995-466A-B696-2CB85D238136}" name="8" totalsRowFunction="sum" dataDxfId="6983" totalsRowDxfId="6982" dataCellStyle="Moeda">
      <calculatedColumnFormula>SUMIFS(tabela_registros[VALOR],tabela_registros[MÊS],$AE$1,tabela_registros[DIA],jantotal[[#Headers],[8]],tabela_registros[REGISTRO],DADOS!$N$4,tabela_registros[TIPO],DADOS!$P$3,tabela_registros[CATEGORIA],despesafixaconsolidadoabr[[#This Row],[DESPESA FIXA]])</calculatedColumnFormula>
    </tableColumn>
    <tableColumn id="26" xr3:uid="{2DC591AC-186D-48F0-9F21-82BC4A83A7B3}" name="9" totalsRowFunction="sum" dataDxfId="6981" totalsRowDxfId="6980" dataCellStyle="Moeda">
      <calculatedColumnFormula>SUMIFS(tabela_registros[VALOR],tabela_registros[MÊS],$AE$1,tabela_registros[DIA],jantotal[[#Headers],[9]],tabela_registros[REGISTRO],DADOS!$N$4,tabela_registros[TIPO],DADOS!$P$3,tabela_registros[CATEGORIA],despesafixaconsolidadoabr[[#This Row],[DESPESA FIXA]])</calculatedColumnFormula>
    </tableColumn>
    <tableColumn id="27" xr3:uid="{B2BF9180-3C7C-46CB-A2E3-D325EF021D04}" name="10" totalsRowFunction="sum" dataDxfId="6979" totalsRowDxfId="6978" dataCellStyle="Moeda">
      <calculatedColumnFormula>SUMIFS(tabela_registros[VALOR],tabela_registros[MÊS],$AE$1,tabela_registros[DIA],jantotal[[#Headers],[10]],tabela_registros[REGISTRO],DADOS!$N$4,tabela_registros[TIPO],DADOS!$P$3,tabela_registros[CATEGORIA],despesafixaconsolidadoabr[[#This Row],[DESPESA FIXA]])</calculatedColumnFormula>
    </tableColumn>
    <tableColumn id="28" xr3:uid="{ED7F673A-2CFF-497B-8422-DCE210B3C474}" name="11" totalsRowFunction="sum" dataDxfId="6977" totalsRowDxfId="6976" dataCellStyle="Moeda">
      <calculatedColumnFormula>SUMIFS(tabela_registros[VALOR],tabela_registros[MÊS],$AE$1,tabela_registros[DIA],jantotal[[#Headers],[11]],tabela_registros[REGISTRO],DADOS!$N$4,tabela_registros[TIPO],DADOS!$P$3,tabela_registros[CATEGORIA],despesafixaconsolidadoabr[[#This Row],[DESPESA FIXA]])</calculatedColumnFormula>
    </tableColumn>
    <tableColumn id="29" xr3:uid="{DBA13F34-B7F6-41C7-A490-FDD5627D21DF}" name="12" totalsRowFunction="sum" dataDxfId="6975" totalsRowDxfId="6974" dataCellStyle="Moeda">
      <calculatedColumnFormula>SUMIFS(tabela_registros[VALOR],tabela_registros[MÊS],$AE$1,tabela_registros[DIA],jantotal[[#Headers],[12]],tabela_registros[REGISTRO],DADOS!$N$4,tabela_registros[TIPO],DADOS!$P$3,tabela_registros[CATEGORIA],despesafixaconsolidadoabr[[#This Row],[DESPESA FIXA]])</calculatedColumnFormula>
    </tableColumn>
    <tableColumn id="30" xr3:uid="{B120EFA3-76B5-4EE9-B997-D34484771216}" name="13" totalsRowFunction="sum" dataDxfId="6973" totalsRowDxfId="6972" dataCellStyle="Moeda">
      <calculatedColumnFormula>SUMIFS(tabela_registros[VALOR],tabela_registros[MÊS],$AE$1,tabela_registros[DIA],jantotal[[#Headers],[13]],tabela_registros[REGISTRO],DADOS!$N$4,tabela_registros[TIPO],DADOS!$P$3,tabela_registros[CATEGORIA],despesafixaconsolidadoabr[[#This Row],[DESPESA FIXA]])</calculatedColumnFormula>
    </tableColumn>
    <tableColumn id="31" xr3:uid="{189B9B97-93AA-455A-8764-85C27E80F0EE}" name="14" totalsRowFunction="sum" dataDxfId="6971" totalsRowDxfId="6970" dataCellStyle="Moeda">
      <calculatedColumnFormula>SUMIFS(tabela_registros[VALOR],tabela_registros[MÊS],$AE$1,tabela_registros[DIA],jantotal[[#Headers],[14]],tabela_registros[REGISTRO],DADOS!$N$4,tabela_registros[TIPO],DADOS!$P$3,tabela_registros[CATEGORIA],despesafixaconsolidadoabr[[#This Row],[DESPESA FIXA]])</calculatedColumnFormula>
    </tableColumn>
    <tableColumn id="32" xr3:uid="{4357F934-795F-478C-954B-7AE6A06EEFC6}" name="15" totalsRowFunction="sum" dataDxfId="6969" totalsRowDxfId="6968" dataCellStyle="Moeda">
      <calculatedColumnFormula>SUMIFS(tabela_registros[VALOR],tabela_registros[MÊS],$AE$1,tabela_registros[DIA],jantotal[[#Headers],[15]],tabela_registros[REGISTRO],DADOS!$N$4,tabela_registros[TIPO],DADOS!$P$3,tabela_registros[CATEGORIA],despesafixaconsolidadoabr[[#This Row],[DESPESA FIXA]])</calculatedColumnFormula>
    </tableColumn>
    <tableColumn id="33" xr3:uid="{6FE2E539-1282-4C90-AED8-79CBBC538780}" name="16" totalsRowFunction="sum" dataDxfId="6967" totalsRowDxfId="6966" dataCellStyle="Moeda">
      <calculatedColumnFormula>SUMIFS(tabela_registros[VALOR],tabela_registros[MÊS],$AE$1,tabela_registros[DIA],jantotal[[#Headers],[16]],tabela_registros[REGISTRO],DADOS!$N$4,tabela_registros[TIPO],DADOS!$P$3,tabela_registros[CATEGORIA],despesafixaconsolidadoabr[[#This Row],[DESPESA FIXA]])</calculatedColumnFormula>
    </tableColumn>
    <tableColumn id="34" xr3:uid="{C8ADD6D0-F860-4878-911D-E327C7974BAC}" name="17" totalsRowFunction="sum" dataDxfId="6965" totalsRowDxfId="6964" dataCellStyle="Moeda">
      <calculatedColumnFormula>SUMIFS(tabela_registros[VALOR],tabela_registros[MÊS],$AE$1,tabela_registros[DIA],jantotal[[#Headers],[17]],tabela_registros[REGISTRO],DADOS!$N$4,tabela_registros[TIPO],DADOS!$P$3,tabela_registros[CATEGORIA],despesafixaconsolidadoabr[[#This Row],[DESPESA FIXA]])</calculatedColumnFormula>
    </tableColumn>
    <tableColumn id="35" xr3:uid="{BDC7B929-CFFF-4AFB-A20D-62574BF269AF}" name="18" totalsRowFunction="sum" dataDxfId="6963" totalsRowDxfId="6962" dataCellStyle="Moeda">
      <calculatedColumnFormula>SUMIFS(tabela_registros[VALOR],tabela_registros[MÊS],$AE$1,tabela_registros[DIA],jantotal[[#Headers],[18]],tabela_registros[REGISTRO],DADOS!$N$4,tabela_registros[TIPO],DADOS!$P$3,tabela_registros[CATEGORIA],despesafixaconsolidadoabr[[#This Row],[DESPESA FIXA]])</calculatedColumnFormula>
    </tableColumn>
    <tableColumn id="36" xr3:uid="{1D69AD6F-6D2B-4302-8CAD-02FB2A5A7767}" name="19" totalsRowFunction="sum" dataDxfId="6961" totalsRowDxfId="6960" dataCellStyle="Moeda">
      <calculatedColumnFormula>SUMIFS(tabela_registros[VALOR],tabela_registros[MÊS],$AE$1,tabela_registros[DIA],jantotal[[#Headers],[19]],tabela_registros[REGISTRO],DADOS!$N$4,tabela_registros[TIPO],DADOS!$P$3,tabela_registros[CATEGORIA],despesafixaconsolidadoabr[[#This Row],[DESPESA FIXA]])</calculatedColumnFormula>
    </tableColumn>
    <tableColumn id="37" xr3:uid="{2CDDE93C-9ABA-48B1-842E-209E44C9FCC4}" name="20" totalsRowFunction="sum" dataDxfId="6959" totalsRowDxfId="6958" dataCellStyle="Moeda">
      <calculatedColumnFormula>SUMIFS(tabela_registros[VALOR],tabela_registros[MÊS],$AE$1,tabela_registros[DIA],jantotal[[#Headers],[20]],tabela_registros[REGISTRO],DADOS!$N$4,tabela_registros[TIPO],DADOS!$P$3,tabela_registros[CATEGORIA],despesafixaconsolidadoabr[[#This Row],[DESPESA FIXA]])</calculatedColumnFormula>
    </tableColumn>
    <tableColumn id="38" xr3:uid="{430E9A35-FAEB-4397-B42D-3977C1C2DC83}" name="21" totalsRowFunction="sum" dataDxfId="6957" totalsRowDxfId="6956" dataCellStyle="Moeda">
      <calculatedColumnFormula>SUMIFS(tabela_registros[VALOR],tabela_registros[MÊS],$AE$1,tabela_registros[DIA],jantotal[[#Headers],[21]],tabela_registros[REGISTRO],DADOS!$N$4,tabela_registros[TIPO],DADOS!$P$3,tabela_registros[CATEGORIA],despesafixaconsolidadoabr[[#This Row],[DESPESA FIXA]])</calculatedColumnFormula>
    </tableColumn>
    <tableColumn id="39" xr3:uid="{ACC64C70-784B-408A-817F-365E846BE4FA}" name="22" totalsRowFunction="sum" dataDxfId="6955" totalsRowDxfId="6954" dataCellStyle="Moeda">
      <calculatedColumnFormula>SUMIFS(tabela_registros[VALOR],tabela_registros[MÊS],$AE$1,tabela_registros[DIA],jantotal[[#Headers],[22]],tabela_registros[REGISTRO],DADOS!$N$4,tabela_registros[TIPO],DADOS!$P$3,tabela_registros[CATEGORIA],despesafixaconsolidadoabr[[#This Row],[DESPESA FIXA]])</calculatedColumnFormula>
    </tableColumn>
    <tableColumn id="40" xr3:uid="{DF17C08A-9567-44B3-80E1-1B7D485679A1}" name="23" totalsRowFunction="sum" dataDxfId="6953" totalsRowDxfId="6952" dataCellStyle="Moeda">
      <calculatedColumnFormula>SUMIFS(tabela_registros[VALOR],tabela_registros[MÊS],$AE$1,tabela_registros[DIA],jantotal[[#Headers],[23]],tabela_registros[REGISTRO],DADOS!$N$4,tabela_registros[TIPO],DADOS!$P$3,tabela_registros[CATEGORIA],despesafixaconsolidadoabr[[#This Row],[DESPESA FIXA]])</calculatedColumnFormula>
    </tableColumn>
    <tableColumn id="41" xr3:uid="{6D0D34D6-8FEA-42AA-8835-6A1037A3DFD4}" name="24" totalsRowFunction="sum" dataDxfId="6951" totalsRowDxfId="6950" dataCellStyle="Moeda">
      <calculatedColumnFormula>SUMIFS(tabela_registros[VALOR],tabela_registros[MÊS],$AE$1,tabela_registros[DIA],jantotal[[#Headers],[24]],tabela_registros[REGISTRO],DADOS!$N$4,tabela_registros[TIPO],DADOS!$P$3,tabela_registros[CATEGORIA],despesafixaconsolidadoabr[[#This Row],[DESPESA FIXA]])</calculatedColumnFormula>
    </tableColumn>
    <tableColumn id="12" xr3:uid="{43FAA5D4-AB37-42F9-87D0-4A98466AF5C6}" name="25" totalsRowFunction="sum" dataDxfId="6949" totalsRowDxfId="6948" dataCellStyle="Moeda">
      <calculatedColumnFormula>SUMIFS(tabela_registros[VALOR],tabela_registros[MÊS],$AE$1,tabela_registros[DIA],jantotal[[#Headers],[25]],tabela_registros[REGISTRO],DADOS!$N$4,tabela_registros[TIPO],DADOS!$P$3,tabela_registros[CATEGORIA],despesafixaconsolidadoabr[[#This Row],[DESPESA FIXA]])</calculatedColumnFormula>
    </tableColumn>
    <tableColumn id="13" xr3:uid="{7355C5D8-FE24-4322-AF83-97BA34BE5BF6}" name="26" totalsRowFunction="sum" dataDxfId="6947" totalsRowDxfId="6946" dataCellStyle="Moeda">
      <calculatedColumnFormula>SUMIFS(tabela_registros[VALOR],tabela_registros[MÊS],$AE$1,tabela_registros[DIA],jantotal[[#Headers],[26]],tabela_registros[REGISTRO],DADOS!$N$4,tabela_registros[TIPO],DADOS!$P$3,tabela_registros[CATEGORIA],despesafixaconsolidadoabr[[#This Row],[DESPESA FIXA]])</calculatedColumnFormula>
    </tableColumn>
    <tableColumn id="14" xr3:uid="{977580A6-9E99-4FD2-B0EB-5A343FBB0D31}" name="27" totalsRowFunction="sum" dataDxfId="6945" totalsRowDxfId="6944" dataCellStyle="Moeda">
      <calculatedColumnFormula>SUMIFS(tabela_registros[VALOR],tabela_registros[MÊS],$AE$1,tabela_registros[DIA],jantotal[[#Headers],[27]],tabela_registros[REGISTRO],DADOS!$N$4,tabela_registros[TIPO],DADOS!$P$3,tabela_registros[CATEGORIA],despesafixaconsolidadoabr[[#This Row],[DESPESA FIXA]])</calculatedColumnFormula>
    </tableColumn>
    <tableColumn id="15" xr3:uid="{EE15C163-476C-4E1B-852E-0775D5CB8052}" name="28" totalsRowFunction="sum" dataDxfId="6943" totalsRowDxfId="6942" dataCellStyle="Moeda">
      <calculatedColumnFormula>SUMIFS(tabela_registros[VALOR],tabela_registros[MÊS],$AE$1,tabela_registros[DIA],jantotal[[#Headers],[28]],tabela_registros[REGISTRO],DADOS!$N$4,tabela_registros[TIPO],DADOS!$P$3,tabela_registros[CATEGORIA],despesafixaconsolidadoabr[[#This Row],[DESPESA FIXA]])</calculatedColumnFormula>
    </tableColumn>
    <tableColumn id="16" xr3:uid="{708F9E44-9D97-423D-8A6A-9489B0BBB8D4}" name="29" totalsRowFunction="sum" dataDxfId="6941" totalsRowDxfId="6940" dataCellStyle="Moeda">
      <calculatedColumnFormula>SUMIFS(tabela_registros[VALOR],tabela_registros[MÊS],$AE$1,tabela_registros[DIA],jantotal[[#Headers],[29]],tabela_registros[REGISTRO],DADOS!$N$4,tabela_registros[TIPO],DADOS!$P$3,tabela_registros[CATEGORIA],despesafixaconsolidadoabr[[#This Row],[DESPESA FIXA]])</calculatedColumnFormula>
    </tableColumn>
    <tableColumn id="17" xr3:uid="{8B4E1C47-A448-413E-97D3-0E8475F379B4}" name="30" totalsRowFunction="sum" dataDxfId="6939" totalsRowDxfId="6938" dataCellStyle="Moeda">
      <calculatedColumnFormula>SUMIFS(tabela_registros[VALOR],tabela_registros[MÊS],$AE$1,tabela_registros[DIA],jantotal[[#Headers],[30]],tabela_registros[REGISTRO],DADOS!$N$4,tabela_registros[TIPO],DADOS!$P$3,tabela_registros[CATEGORIA],despesafixaconsolidadoabr[[#This Row],[DESPESA FIXA]])</calculatedColumnFormula>
    </tableColumn>
    <tableColumn id="9" xr3:uid="{72078BA3-1C1A-40B2-8C75-7DB9CA68E509}" name="31" totalsRowFunction="sum" dataDxfId="6937" totalsRowDxfId="6936" dataCellStyle="Moeda">
      <calculatedColumnFormula>SUMIFS(tabela_registros[VALOR],tabela_registros[MÊS],$AE$1,tabela_registros[DIA],jantotal[[#Headers],[31]],tabela_registros[REGISTRO],DADOS!$N$4,tabela_registros[TIPO],DADOS!$P$3,tabela_registros[CATEGORIA],despesafixaconsolidadoabr[[#This Row],[DESPESA FIXA]])</calculatedColumnFormula>
    </tableColumn>
    <tableColumn id="5" xr3:uid="{3132BD4F-5588-4E62-B270-C8FFAFA8050E}" name="TOTAL" totalsRowFunction="sum" dataDxfId="6935" dataCellStyle="Moeda">
      <calculatedColumnFormula>SUM(despesafixaconsolidadoabr[[#This Row],[1]:[31]])</calculatedColumnFormula>
    </tableColumn>
  </tableColumns>
  <tableStyleInfo name="TABELAS RESULTADOS" showFirstColumn="0" showLastColumn="1" showRowStripes="1" showColumnStripes="0"/>
</table>
</file>

<file path=xl/tables/table5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5" xr:uid="{03D71FC8-D28D-450C-AA92-419B94278B68}" name="despesavariávelconsolidadoabr" displayName="despesavariávelconsolidadoabr" ref="C59:AJ73" headerRowDxfId="6934" dataDxfId="6933" totalsRowDxfId="6932" dataCellStyle="Moeda">
  <autoFilter ref="C59:AJ73" xr:uid="{07DB3A1D-DBCD-42BC-96FE-46512EDE2C70}"/>
  <tableColumns count="34">
    <tableColumn id="1" xr3:uid="{9E1F2E82-8454-41D6-8C41-0162FBA4BCFD}" name="DESPESA VARIÁVEL" totalsRowLabel="Total" dataDxfId="6931" totalsRowDxfId="6930">
      <calculatedColumnFormula>DADOS!T3</calculatedColumnFormula>
    </tableColumn>
    <tableColumn id="54" xr3:uid="{B8465E13-772D-409C-BB17-2E64632B26F0}" name="Coluna1" dataDxfId="6929" totalsRowDxfId="6928">
      <calculatedColumnFormula>IF(despesavariávelconsolidadoabr[[#This Row],[TOTAL]]=0,"",IF(OR(despesavariávelconsolidadoabr[[#This Row],[TOTAL]]=SMALL(despesavariávelconsolidadoabr[TOTAL],1),despesavariávelconsolidadoabr[[#This Row],[TOTAL]]=SMALL(despesavariávelconsolidadoabr[TOTAL],2),despesavariávelconsolidadoabr[[#This Row],[TOTAL]]=SMALL(despesavariávelconsolidadoabr[TOTAL],3),despesavariávelconsolidadoabr[[#This Row],[TOTAL]]=SMALL(despesavariávelconsolidadoabr[TOTAL],4),despesavariávelconsolidadoabr[[#This Row],[TOTAL]]=SMALL(despesavariávelconsolidadoabr[TOTAL],5)),DADOS!$I$8,""))</calculatedColumnFormula>
    </tableColumn>
    <tableColumn id="30" xr3:uid="{2E046798-E6AB-4EBF-909A-72B2785ECA07}" name="1" totalsRowFunction="sum" dataDxfId="6927">
      <calculatedColumnFormula>SUMIFS(tabela_registros[VALOR],tabela_registros[MÊS],$AE$1,tabela_registros[DIA],jantotal[[#Headers],[1]],tabela_registros[REGISTRO],DADOS!$N$4,tabela_registros[TIPO],DADOS!$P$4,tabela_registros[CATEGORIA],despesavariávelconsolidadoabr[[#This Row],[DESPESA VARIÁVEL]])</calculatedColumnFormula>
    </tableColumn>
    <tableColumn id="31" xr3:uid="{447F50CF-59A9-4F4A-B776-711336FAC0C7}" name="2" totalsRowFunction="sum" dataDxfId="6926">
      <calculatedColumnFormula>SUMIFS(tabela_registros[VALOR],tabela_registros[MÊS],$AE$1,tabela_registros[DIA],jantotal[[#Headers],[2]],tabela_registros[REGISTRO],DADOS!$N$4,tabela_registros[TIPO],DADOS!$P$4,tabela_registros[CATEGORIA],despesavariávelconsolidadoabr[[#This Row],[DESPESA VARIÁVEL]])</calculatedColumnFormula>
    </tableColumn>
    <tableColumn id="32" xr3:uid="{F7AFED92-5D87-45C3-BB20-812D7DEC1722}" name="3" totalsRowFunction="sum" dataDxfId="6925">
      <calculatedColumnFormula>SUMIFS(tabela_registros[VALOR],tabela_registros[MÊS],$AE$1,tabela_registros[DIA],jantotal[[#Headers],[3]],tabela_registros[REGISTRO],DADOS!$N$4,tabela_registros[TIPO],DADOS!$P$4,tabela_registros[CATEGORIA],despesavariávelconsolidadoabr[[#This Row],[DESPESA VARIÁVEL]])</calculatedColumnFormula>
    </tableColumn>
    <tableColumn id="33" xr3:uid="{D7B194F5-43E3-4917-A9C0-0653DF6B14FC}" name="4" totalsRowFunction="sum" dataDxfId="6924">
      <calculatedColumnFormula>SUMIFS(tabela_registros[VALOR],tabela_registros[MÊS],$AE$1,tabela_registros[DIA],jantotal[[#Headers],[4]],tabela_registros[REGISTRO],DADOS!$N$4,tabela_registros[TIPO],DADOS!$P$4,tabela_registros[CATEGORIA],despesavariávelconsolidadoabr[[#This Row],[DESPESA VARIÁVEL]])</calculatedColumnFormula>
    </tableColumn>
    <tableColumn id="34" xr3:uid="{0753BAFC-50A7-422F-8EA9-6743B6D63B99}" name="5" totalsRowFunction="sum" dataDxfId="6923">
      <calculatedColumnFormula>SUMIFS(tabela_registros[VALOR],tabela_registros[MÊS],$AE$1,tabela_registros[DIA],jantotal[[#Headers],[5]],tabela_registros[REGISTRO],DADOS!$N$4,tabela_registros[TIPO],DADOS!$P$4,tabela_registros[CATEGORIA],despesavariávelconsolidadoabr[[#This Row],[DESPESA VARIÁVEL]])</calculatedColumnFormula>
    </tableColumn>
    <tableColumn id="35" xr3:uid="{61653594-08B6-465E-B1EA-96442AB5B6A1}" name="6" totalsRowFunction="sum" dataDxfId="6922">
      <calculatedColumnFormula>SUMIFS(tabela_registros[VALOR],tabela_registros[MÊS],$AE$1,tabela_registros[DIA],jantotal[[#Headers],[6]],tabela_registros[REGISTRO],DADOS!$N$4,tabela_registros[TIPO],DADOS!$P$4,tabela_registros[CATEGORIA],despesavariávelconsolidadoabr[[#This Row],[DESPESA VARIÁVEL]])</calculatedColumnFormula>
    </tableColumn>
    <tableColumn id="36" xr3:uid="{CDE47A75-AF9B-43BC-B40B-D0046808C89A}" name="7" totalsRowFunction="sum" dataDxfId="6921">
      <calculatedColumnFormula>SUMIFS(tabela_registros[VALOR],tabela_registros[MÊS],$AE$1,tabela_registros[DIA],jantotal[[#Headers],[7]],tabela_registros[REGISTRO],DADOS!$N$4,tabela_registros[TIPO],DADOS!$P$4,tabela_registros[CATEGORIA],despesavariávelconsolidadoabr[[#This Row],[DESPESA VARIÁVEL]])</calculatedColumnFormula>
    </tableColumn>
    <tableColumn id="37" xr3:uid="{DBC7DEEB-BEA5-4E13-84C5-40B31AC283F8}" name="8" totalsRowFunction="sum" dataDxfId="6920">
      <calculatedColumnFormula>SUMIFS(tabela_registros[VALOR],tabela_registros[MÊS],$AE$1,tabela_registros[DIA],jantotal[[#Headers],[8]],tabela_registros[REGISTRO],DADOS!$N$4,tabela_registros[TIPO],DADOS!$P$4,tabela_registros[CATEGORIA],despesavariávelconsolidadoabr[[#This Row],[DESPESA VARIÁVEL]])</calculatedColumnFormula>
    </tableColumn>
    <tableColumn id="38" xr3:uid="{DA975B0C-D2B4-45ED-9059-E73690DE926A}" name="9" totalsRowFunction="sum" dataDxfId="6919">
      <calculatedColumnFormula>SUMIFS(tabela_registros[VALOR],tabela_registros[MÊS],$AE$1,tabela_registros[DIA],jantotal[[#Headers],[9]],tabela_registros[REGISTRO],DADOS!$N$4,tabela_registros[TIPO],DADOS!$P$4,tabela_registros[CATEGORIA],despesavariávelconsolidadoabr[[#This Row],[DESPESA VARIÁVEL]])</calculatedColumnFormula>
    </tableColumn>
    <tableColumn id="39" xr3:uid="{98C0B84D-CD27-4A7D-ABEC-58C9F5F6B6C6}" name="10" totalsRowFunction="sum" dataDxfId="6918">
      <calculatedColumnFormula>SUMIFS(tabela_registros[VALOR],tabela_registros[MÊS],$AE$1,tabela_registros[DIA],jantotal[[#Headers],[10]],tabela_registros[REGISTRO],DADOS!$N$4,tabela_registros[TIPO],DADOS!$P$4,tabela_registros[CATEGORIA],despesavariávelconsolidadoabr[[#This Row],[DESPESA VARIÁVEL]])</calculatedColumnFormula>
    </tableColumn>
    <tableColumn id="40" xr3:uid="{10B5A2D7-4C9D-43B7-B5F1-6014C9890C7A}" name="11" totalsRowFunction="sum" dataDxfId="6917">
      <calculatedColumnFormula>SUMIFS(tabela_registros[VALOR],tabela_registros[MÊS],$AE$1,tabela_registros[DIA],jantotal[[#Headers],[11]],tabela_registros[REGISTRO],DADOS!$N$4,tabela_registros[TIPO],DADOS!$P$4,tabela_registros[CATEGORIA],despesavariávelconsolidadoabr[[#This Row],[DESPESA VARIÁVEL]])</calculatedColumnFormula>
    </tableColumn>
    <tableColumn id="41" xr3:uid="{A9903FA3-64B2-44ED-A8FA-ED6AEC56472A}" name="12" totalsRowFunction="sum" dataDxfId="6916">
      <calculatedColumnFormula>SUMIFS(tabela_registros[VALOR],tabela_registros[MÊS],$AE$1,tabela_registros[DIA],jantotal[[#Headers],[12]],tabela_registros[REGISTRO],DADOS!$N$4,tabela_registros[TIPO],DADOS!$P$4,tabela_registros[CATEGORIA],despesavariávelconsolidadoabr[[#This Row],[DESPESA VARIÁVEL]])</calculatedColumnFormula>
    </tableColumn>
    <tableColumn id="42" xr3:uid="{A6E985A2-F4E7-431B-BD99-779A46346CCC}" name="13" totalsRowFunction="sum" dataDxfId="6915">
      <calculatedColumnFormula>SUMIFS(tabela_registros[VALOR],tabela_registros[MÊS],$AE$1,tabela_registros[DIA],jantotal[[#Headers],[13]],tabela_registros[REGISTRO],DADOS!$N$4,tabela_registros[TIPO],DADOS!$P$4,tabela_registros[CATEGORIA],despesavariávelconsolidadoabr[[#This Row],[DESPESA VARIÁVEL]])</calculatedColumnFormula>
    </tableColumn>
    <tableColumn id="43" xr3:uid="{30BC16D7-99C2-4C24-9BC6-123468389957}" name="14" totalsRowFunction="sum" dataDxfId="6914">
      <calculatedColumnFormula>SUMIFS(tabela_registros[VALOR],tabela_registros[MÊS],$AE$1,tabela_registros[DIA],jantotal[[#Headers],[14]],tabela_registros[REGISTRO],DADOS!$N$4,tabela_registros[TIPO],DADOS!$P$4,tabela_registros[CATEGORIA],despesavariávelconsolidadoabr[[#This Row],[DESPESA VARIÁVEL]])</calculatedColumnFormula>
    </tableColumn>
    <tableColumn id="44" xr3:uid="{5ED34BAF-3C9A-4B06-B547-5D0F3F613BA7}" name="15" totalsRowFunction="sum" dataDxfId="6913">
      <calculatedColumnFormula>SUMIFS(tabela_registros[VALOR],tabela_registros[MÊS],$AE$1,tabela_registros[DIA],jantotal[[#Headers],[15]],tabela_registros[REGISTRO],DADOS!$N$4,tabela_registros[TIPO],DADOS!$P$4,tabela_registros[CATEGORIA],despesavariávelconsolidadoabr[[#This Row],[DESPESA VARIÁVEL]])</calculatedColumnFormula>
    </tableColumn>
    <tableColumn id="45" xr3:uid="{F026DDA3-993C-4806-81C0-CB66CCB373CC}" name="16" totalsRowFunction="sum" dataDxfId="6912">
      <calculatedColumnFormula>SUMIFS(tabela_registros[VALOR],tabela_registros[MÊS],$AE$1,tabela_registros[DIA],jantotal[[#Headers],[16]],tabela_registros[REGISTRO],DADOS!$N$4,tabela_registros[TIPO],DADOS!$P$4,tabela_registros[CATEGORIA],despesavariávelconsolidadoabr[[#This Row],[DESPESA VARIÁVEL]])</calculatedColumnFormula>
    </tableColumn>
    <tableColumn id="46" xr3:uid="{1E02FD2D-CB30-4288-997C-81C6282B7220}" name="17" totalsRowFunction="sum" dataDxfId="6911">
      <calculatedColumnFormula>SUMIFS(tabela_registros[VALOR],tabela_registros[MÊS],$AE$1,tabela_registros[DIA],jantotal[[#Headers],[17]],tabela_registros[REGISTRO],DADOS!$N$4,tabela_registros[TIPO],DADOS!$P$4,tabela_registros[CATEGORIA],despesavariávelconsolidadoabr[[#This Row],[DESPESA VARIÁVEL]])</calculatedColumnFormula>
    </tableColumn>
    <tableColumn id="47" xr3:uid="{76E2B322-16FC-4C37-81DC-8197E882B16D}" name="18" totalsRowFunction="sum" dataDxfId="6910">
      <calculatedColumnFormula>SUMIFS(tabela_registros[VALOR],tabela_registros[MÊS],$AE$1,tabela_registros[DIA],jantotal[[#Headers],[18]],tabela_registros[REGISTRO],DADOS!$N$4,tabela_registros[TIPO],DADOS!$P$4,tabela_registros[CATEGORIA],despesavariávelconsolidadoabr[[#This Row],[DESPESA VARIÁVEL]])</calculatedColumnFormula>
    </tableColumn>
    <tableColumn id="48" xr3:uid="{E5C0C9B7-7B6B-444A-B8E4-05E03D56BD6F}" name="19" totalsRowFunction="sum" dataDxfId="6909">
      <calculatedColumnFormula>SUMIFS(tabela_registros[VALOR],tabela_registros[MÊS],$AE$1,tabela_registros[DIA],jantotal[[#Headers],[19]],tabela_registros[REGISTRO],DADOS!$N$4,tabela_registros[TIPO],DADOS!$P$4,tabela_registros[CATEGORIA],despesavariávelconsolidadoabr[[#This Row],[DESPESA VARIÁVEL]])</calculatedColumnFormula>
    </tableColumn>
    <tableColumn id="49" xr3:uid="{76D09015-9331-4423-92C1-2514CF4969C1}" name="20" totalsRowFunction="sum" dataDxfId="6908">
      <calculatedColumnFormula>SUMIFS(tabela_registros[VALOR],tabela_registros[MÊS],$AE$1,tabela_registros[DIA],jantotal[[#Headers],[20]],tabela_registros[REGISTRO],DADOS!$N$4,tabela_registros[TIPO],DADOS!$P$4,tabela_registros[CATEGORIA],despesavariávelconsolidadoabr[[#This Row],[DESPESA VARIÁVEL]])</calculatedColumnFormula>
    </tableColumn>
    <tableColumn id="50" xr3:uid="{D36FA9FC-3AA6-4B94-89E1-46623A171607}" name="21" totalsRowFunction="sum" dataDxfId="6907">
      <calculatedColumnFormula>SUMIFS(tabela_registros[VALOR],tabela_registros[MÊS],$AE$1,tabela_registros[DIA],jantotal[[#Headers],[21]],tabela_registros[REGISTRO],DADOS!$N$4,tabela_registros[TIPO],DADOS!$P$4,tabela_registros[CATEGORIA],despesavariávelconsolidadoabr[[#This Row],[DESPESA VARIÁVEL]])</calculatedColumnFormula>
    </tableColumn>
    <tableColumn id="51" xr3:uid="{29F389E4-F5B6-40C9-B812-7808B45F6329}" name="22" totalsRowFunction="sum" dataDxfId="6906">
      <calculatedColumnFormula>SUMIFS(tabela_registros[VALOR],tabela_registros[MÊS],$AE$1,tabela_registros[DIA],jantotal[[#Headers],[22]],tabela_registros[REGISTRO],DADOS!$N$4,tabela_registros[TIPO],DADOS!$P$4,tabela_registros[CATEGORIA],despesavariávelconsolidadoabr[[#This Row],[DESPESA VARIÁVEL]])</calculatedColumnFormula>
    </tableColumn>
    <tableColumn id="52" xr3:uid="{9DCF60D9-BC4E-4521-8F54-C85FB8F924DF}" name="23" totalsRowFunction="sum" dataDxfId="6905">
      <calculatedColumnFormula>SUMIFS(tabela_registros[VALOR],tabela_registros[MÊS],$AE$1,tabela_registros[DIA],jantotal[[#Headers],[23]],tabela_registros[REGISTRO],DADOS!$N$4,tabela_registros[TIPO],DADOS!$P$4,tabela_registros[CATEGORIA],despesavariávelconsolidadoabr[[#This Row],[DESPESA VARIÁVEL]])</calculatedColumnFormula>
    </tableColumn>
    <tableColumn id="53" xr3:uid="{B81CB576-36CA-4399-9E22-2266D2B5D753}" name="24" totalsRowFunction="sum" dataDxfId="6904">
      <calculatedColumnFormula>SUMIFS(tabela_registros[VALOR],tabela_registros[MÊS],$AE$1,tabela_registros[DIA],jantotal[[#Headers],[24]],tabela_registros[REGISTRO],DADOS!$N$4,tabela_registros[TIPO],DADOS!$P$4,tabela_registros[CATEGORIA],despesavariávelconsolidadoabr[[#This Row],[DESPESA VARIÁVEL]])</calculatedColumnFormula>
    </tableColumn>
    <tableColumn id="18" xr3:uid="{DA74344A-59C4-4244-A426-707FE7C5B3DD}" name="25" totalsRowFunction="sum" dataDxfId="6903">
      <calculatedColumnFormula>SUMIFS(tabela_registros[VALOR],tabela_registros[MÊS],$AE$1,tabela_registros[DIA],jantotal[[#Headers],[25]],tabela_registros[REGISTRO],DADOS!$N$4,tabela_registros[TIPO],DADOS!$P$4,tabela_registros[CATEGORIA],despesavariávelconsolidadoabr[[#This Row],[DESPESA VARIÁVEL]])</calculatedColumnFormula>
    </tableColumn>
    <tableColumn id="19" xr3:uid="{4BF426D9-0202-4219-839E-02CBEE6F6ACD}" name="26" totalsRowFunction="sum" dataDxfId="6902">
      <calculatedColumnFormula>SUMIFS(tabela_registros[VALOR],tabela_registros[MÊS],$AE$1,tabela_registros[DIA],jantotal[[#Headers],[26]],tabela_registros[REGISTRO],DADOS!$N$4,tabela_registros[TIPO],DADOS!$P$4,tabela_registros[CATEGORIA],despesavariávelconsolidadoabr[[#This Row],[DESPESA VARIÁVEL]])</calculatedColumnFormula>
    </tableColumn>
    <tableColumn id="20" xr3:uid="{F83CA06F-8937-448B-A839-2C7278524A57}" name="27" totalsRowFunction="sum" dataDxfId="6901">
      <calculatedColumnFormula>SUMIFS(tabela_registros[VALOR],tabela_registros[MÊS],$AE$1,tabela_registros[DIA],jantotal[[#Headers],[27]],tabela_registros[REGISTRO],DADOS!$N$4,tabela_registros[TIPO],DADOS!$P$4,tabela_registros[CATEGORIA],despesavariávelconsolidadoabr[[#This Row],[DESPESA VARIÁVEL]])</calculatedColumnFormula>
    </tableColumn>
    <tableColumn id="21" xr3:uid="{8A457FEA-56EA-4D2F-A526-BE17EE3446CE}" name="28" totalsRowFunction="sum" dataDxfId="6900">
      <calculatedColumnFormula>SUMIFS(tabela_registros[VALOR],tabela_registros[MÊS],$AE$1,tabela_registros[DIA],jantotal[[#Headers],[28]],tabela_registros[REGISTRO],DADOS!$N$4,tabela_registros[TIPO],DADOS!$P$4,tabela_registros[CATEGORIA],despesavariávelconsolidadoabr[[#This Row],[DESPESA VARIÁVEL]])</calculatedColumnFormula>
    </tableColumn>
    <tableColumn id="22" xr3:uid="{AC7A0B96-E66E-4CA9-995F-6C2A436E40A5}" name="29" totalsRowFunction="sum" dataDxfId="6899">
      <calculatedColumnFormula>SUMIFS(tabela_registros[VALOR],tabela_registros[MÊS],$AE$1,tabela_registros[DIA],jantotal[[#Headers],[29]],tabela_registros[REGISTRO],DADOS!$N$4,tabela_registros[TIPO],DADOS!$P$4,tabela_registros[CATEGORIA],despesavariávelconsolidadoabr[[#This Row],[DESPESA VARIÁVEL]])</calculatedColumnFormula>
    </tableColumn>
    <tableColumn id="23" xr3:uid="{1F16BD0B-65EE-4DAE-9A1E-D6776648E300}" name="30" totalsRowFunction="sum" dataDxfId="6898">
      <calculatedColumnFormula>SUMIFS(tabela_registros[VALOR],tabela_registros[MÊS],$AE$1,tabela_registros[DIA],jantotal[[#Headers],[30]],tabela_registros[REGISTRO],DADOS!$N$4,tabela_registros[TIPO],DADOS!$P$4,tabela_registros[CATEGORIA],despesavariávelconsolidadoabr[[#This Row],[DESPESA VARIÁVEL]])</calculatedColumnFormula>
    </tableColumn>
    <tableColumn id="24" xr3:uid="{42E78EFF-D45C-43BD-AE46-FF4A101ECCA9}" name="31" totalsRowFunction="sum" dataDxfId="6897">
      <calculatedColumnFormula>SUMIFS(tabela_registros[VALOR],tabela_registros[MÊS],$AE$1,tabela_registros[DIA],jantotal[[#Headers],[31]],tabela_registros[REGISTRO],DADOS!$N$4,tabela_registros[TIPO],DADOS!$P$4,tabela_registros[CATEGORIA],despesavariávelconsolidadoabr[[#This Row],[DESPESA VARIÁVEL]])</calculatedColumnFormula>
    </tableColumn>
    <tableColumn id="3" xr3:uid="{480B6ADF-5510-498F-9A69-3E0F103EACD2}" name="TOTAL" totalsRowFunction="sum" dataDxfId="6896" dataCellStyle="Moeda">
      <calculatedColumnFormula>-SUMIFS(tabela_registros[VALOR],tabela_registros[REGISTRO],DADOS!$N$4,tabela_registros[TIPO],despesavariável[[#Headers],[DESPESA VARIÁVEL]],tabela_registros[CATEGORIA],despesavariávelconsolidadoabr[[#This Row],[DESPESA VARIÁVEL]])</calculatedColumnFormula>
    </tableColumn>
  </tableColumns>
  <tableStyleInfo name="TABELAS RESULTADOS" showFirstColumn="0" showLastColumn="1" showRowStripes="1" showColumnStripes="0"/>
</table>
</file>

<file path=xl/tables/table5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6" xr:uid="{44BD8F0A-F557-4678-A012-7ADF1E83355A}" name="abrinvestir215870" displayName="abrinvestir215870" ref="C24:AJ28" totalsRowCount="1" headerRowDxfId="6895" dataDxfId="6894" totalsRowDxfId="6892" tableBorderDxfId="6893" dataCellStyle="Moeda">
  <autoFilter ref="C24:AJ27" xr:uid="{6A49DC70-6E60-45C7-9126-6CFF5D88342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  <filterColumn colId="25" hiddenButton="1"/>
    <filterColumn colId="26" hiddenButton="1"/>
    <filterColumn colId="27" hiddenButton="1"/>
    <filterColumn colId="28" hiddenButton="1"/>
    <filterColumn colId="29" hiddenButton="1"/>
    <filterColumn colId="30" hiddenButton="1"/>
    <filterColumn colId="31" hiddenButton="1"/>
    <filterColumn colId="32" hiddenButton="1"/>
    <filterColumn colId="33" hiddenButton="1"/>
  </autoFilter>
  <tableColumns count="34">
    <tableColumn id="1" xr3:uid="{CBE7A3BD-EB55-4709-92D6-09666F7D8BF6}" name="ATUAL" totalsRowLabel="SALDO" dataDxfId="6891"/>
    <tableColumn id="34" xr3:uid="{E4B745C3-6F68-4926-9DAC-4262470A5785}" name="Coluna1" dataDxfId="6890"/>
    <tableColumn id="2" xr3:uid="{53EA58C5-D828-41CE-9A84-C03CE2C15B35}" name="1" totalsRowFunction="sum" dataDxfId="6889" totalsRowDxfId="6888" dataCellStyle="Moeda"/>
    <tableColumn id="3" xr3:uid="{26D74650-F41B-4A93-99F9-BF6AE69E1B0D}" name="2" totalsRowFunction="sum" dataDxfId="6887" totalsRowDxfId="6886" dataCellStyle="Moeda"/>
    <tableColumn id="4" xr3:uid="{7DBD3989-0E46-4C1C-95C4-BA120B3E2347}" name="3" totalsRowFunction="sum" dataDxfId="6885" totalsRowDxfId="6884" dataCellStyle="Moeda"/>
    <tableColumn id="5" xr3:uid="{627EAE50-E91F-44D8-834E-E52DF888BAA9}" name="4" totalsRowFunction="sum" dataDxfId="6883" totalsRowDxfId="6882" dataCellStyle="Moeda"/>
    <tableColumn id="6" xr3:uid="{6543007D-FEC6-4A19-AABD-E133171B5D8C}" name="5" totalsRowFunction="sum" dataDxfId="6881" totalsRowDxfId="6880" dataCellStyle="Moeda"/>
    <tableColumn id="7" xr3:uid="{92872711-1CFB-423E-B6A0-2B52C72A61E6}" name="6" totalsRowFunction="sum" dataDxfId="6879" totalsRowDxfId="6878" dataCellStyle="Moeda"/>
    <tableColumn id="8" xr3:uid="{7CEBD555-BA40-427C-9DB4-CDEA2926E85E}" name="7" totalsRowFunction="sum" dataDxfId="6877" totalsRowDxfId="6876" dataCellStyle="Moeda"/>
    <tableColumn id="9" xr3:uid="{A043855D-734C-421F-95ED-D6697A406FAC}" name="8" totalsRowFunction="sum" dataDxfId="6875" totalsRowDxfId="6874" dataCellStyle="Moeda"/>
    <tableColumn id="10" xr3:uid="{6FD2F250-9F3A-41DB-B6B9-FE464FE87807}" name="9" totalsRowFunction="sum" dataDxfId="6873" totalsRowDxfId="6872" dataCellStyle="Moeda"/>
    <tableColumn id="11" xr3:uid="{A02229E0-7B01-4CF9-BDC6-BD33E74BE37C}" name="10" totalsRowFunction="sum" dataDxfId="6871" totalsRowDxfId="6870" dataCellStyle="Moeda"/>
    <tableColumn id="12" xr3:uid="{1061EB52-A495-4764-9DDF-DF7C502A66F1}" name="11" totalsRowFunction="sum" dataDxfId="6869" totalsRowDxfId="6868" dataCellStyle="Moeda"/>
    <tableColumn id="13" xr3:uid="{28F059A3-6E9A-43D1-9C50-0C30D1D808D4}" name="12" totalsRowFunction="sum" dataDxfId="6867" totalsRowDxfId="6866" dataCellStyle="Moeda"/>
    <tableColumn id="14" xr3:uid="{63A0F802-F20A-4A9C-871D-6061BBD89144}" name="13" totalsRowFunction="sum" dataDxfId="6865" totalsRowDxfId="6864" dataCellStyle="Moeda"/>
    <tableColumn id="15" xr3:uid="{755A42B6-5DD8-4BF2-908F-105CF2C01E29}" name="14" totalsRowFunction="sum" dataDxfId="6863" totalsRowDxfId="6862" dataCellStyle="Moeda"/>
    <tableColumn id="16" xr3:uid="{9AFDD6AD-1630-4118-95F6-8DBA7AD45EC6}" name="15" totalsRowFunction="sum" dataDxfId="6861" totalsRowDxfId="6860" dataCellStyle="Moeda"/>
    <tableColumn id="17" xr3:uid="{BD26B1B0-1313-4933-9A09-128D70C37157}" name="16" totalsRowFunction="sum" dataDxfId="6859" totalsRowDxfId="6858" dataCellStyle="Moeda"/>
    <tableColumn id="18" xr3:uid="{E79DFFC4-E166-4388-BB6E-946DF0A9FCE1}" name="17" totalsRowFunction="sum" dataDxfId="6857" totalsRowDxfId="6856" dataCellStyle="Moeda"/>
    <tableColumn id="19" xr3:uid="{175D6349-B2CE-4828-A89D-AB2200A28EBF}" name="18" totalsRowFunction="sum" dataDxfId="6855" totalsRowDxfId="6854" dataCellStyle="Moeda"/>
    <tableColumn id="20" xr3:uid="{78A4B680-4DED-46B0-B230-1A8A15273694}" name="19" totalsRowFunction="sum" dataDxfId="6853" totalsRowDxfId="6852" dataCellStyle="Moeda"/>
    <tableColumn id="21" xr3:uid="{89F17B95-C07C-4F51-B425-7D03BD0C616E}" name="20" totalsRowFunction="sum" dataDxfId="6851" totalsRowDxfId="6850" dataCellStyle="Moeda"/>
    <tableColumn id="22" xr3:uid="{44306C10-EE18-45B5-B8B3-968CC9F1F98A}" name="21" totalsRowFunction="sum" dataDxfId="6849" totalsRowDxfId="6848" dataCellStyle="Moeda"/>
    <tableColumn id="23" xr3:uid="{2EECFC7C-5669-4F68-BD28-BE54861ECD54}" name="22" totalsRowFunction="sum" dataDxfId="6847" totalsRowDxfId="6846" dataCellStyle="Moeda"/>
    <tableColumn id="24" xr3:uid="{D229E336-FF1D-428F-9623-6AA27A39962F}" name="23" totalsRowFunction="sum" dataDxfId="6845" totalsRowDxfId="6844" dataCellStyle="Moeda"/>
    <tableColumn id="25" xr3:uid="{43A766B3-2F96-4CC8-B971-758D7072FE76}" name="24" totalsRowFunction="sum" dataDxfId="6843" totalsRowDxfId="6842" dataCellStyle="Moeda"/>
    <tableColumn id="26" xr3:uid="{ABE395FF-A8AE-46E6-AACC-9F4E30EFA2D4}" name="25" totalsRowFunction="sum" dataDxfId="6841" totalsRowDxfId="6840" dataCellStyle="Moeda"/>
    <tableColumn id="27" xr3:uid="{4B14B78F-3C52-4D1F-B2C6-B6DFAC32A8E9}" name="26" totalsRowFunction="sum" dataDxfId="6839" totalsRowDxfId="6838" dataCellStyle="Moeda"/>
    <tableColumn id="28" xr3:uid="{B523AD52-F572-4827-B2D1-DD5CE0444495}" name="27" totalsRowFunction="sum" dataDxfId="6837" totalsRowDxfId="6836" dataCellStyle="Moeda"/>
    <tableColumn id="29" xr3:uid="{24717E3A-1707-487D-9FBC-E0CCDCC2EFDE}" name="28" totalsRowFunction="sum" dataDxfId="6835" totalsRowDxfId="6834" dataCellStyle="Moeda"/>
    <tableColumn id="30" xr3:uid="{7A44AE2B-55AB-420D-B63B-63B4D3BBA1CC}" name="29" totalsRowFunction="sum" dataDxfId="6833" totalsRowDxfId="6832" dataCellStyle="Moeda"/>
    <tableColumn id="31" xr3:uid="{3447FBE0-2CCF-4615-9BE2-8FC766C1C341}" name="30" totalsRowFunction="sum" dataDxfId="6831" totalsRowDxfId="6830" dataCellStyle="Moeda"/>
    <tableColumn id="32" xr3:uid="{A615C4BA-B72A-47D7-900D-460E79A325A3}" name="31" totalsRowFunction="sum" dataDxfId="6829" totalsRowDxfId="6828" dataCellStyle="Moeda"/>
    <tableColumn id="33" xr3:uid="{CD45AB92-4E12-4CB3-91DF-259CC26371F2}" name="TOTAL (R$)" totalsRowFunction="sum" dataDxfId="6827" totalsRowDxfId="6826" dataCellStyle="Moeda">
      <calculatedColumnFormula>SUM(E25:AI25)</calculatedColumnFormula>
    </tableColumn>
  </tableColumns>
  <tableStyleInfo name="TABELAS RESULTADOS" showFirstColumn="0" showLastColumn="0" showRowStripes="1" showColumnStripes="0"/>
</table>
</file>

<file path=xl/tables/table5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7" xr:uid="{41EB6D0E-2CB0-46DE-A464-6CB05E029FC2}" name="abrtotal305971" displayName="abrtotal305971" ref="C13:AJ16" headerRowDxfId="6825" dataDxfId="6824" totalsRowDxfId="6823">
  <autoFilter ref="C13:AJ16" xr:uid="{8F80C188-90EF-4EEA-8266-E1F416435B21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  <filterColumn colId="25" hiddenButton="1"/>
    <filterColumn colId="26" hiddenButton="1"/>
    <filterColumn colId="27" hiddenButton="1"/>
    <filterColumn colId="28" hiddenButton="1"/>
    <filterColumn colId="29" hiddenButton="1"/>
    <filterColumn colId="30" hiddenButton="1"/>
    <filterColumn colId="31" hiddenButton="1"/>
    <filterColumn colId="32" hiddenButton="1"/>
    <filterColumn colId="33" hiddenButton="1"/>
  </autoFilter>
  <tableColumns count="34">
    <tableColumn id="1" xr3:uid="{CE3D1D25-3651-4D79-AF8D-79BDD3D8ED5A}" name="ATUAL" totalsRowLabel="SALDO" dataDxfId="6822"/>
    <tableColumn id="34" xr3:uid="{C977D16E-2F1B-43D1-88E4-E14610EBCB40}" name="Coluna1" dataDxfId="6821"/>
    <tableColumn id="2" xr3:uid="{41199C55-2229-433F-A300-B19AA71D360E}" name="1" totalsRowFunction="sum" dataDxfId="6820" dataCellStyle="Moeda"/>
    <tableColumn id="3" xr3:uid="{C7A1A795-074A-4C71-BB01-0175A095478B}" name="2" totalsRowFunction="sum" dataDxfId="6819" totalsRowDxfId="6818" dataCellStyle="Moeda"/>
    <tableColumn id="4" xr3:uid="{E6E61D3A-EE98-4FEF-97D1-0452FF76D8EA}" name="3" totalsRowFunction="sum" dataDxfId="6817" totalsRowDxfId="6816" dataCellStyle="Moeda"/>
    <tableColumn id="5" xr3:uid="{555A1356-950B-4BC9-A1C2-9D33B82F4A04}" name="4" totalsRowFunction="sum" dataDxfId="6815" totalsRowDxfId="6814" dataCellStyle="Moeda"/>
    <tableColumn id="6" xr3:uid="{CE985E35-87BF-4433-A3DA-8D2386DBB171}" name="5" totalsRowFunction="sum" dataDxfId="6813" totalsRowDxfId="6812" dataCellStyle="Moeda"/>
    <tableColumn id="7" xr3:uid="{85E409B3-C7B5-419A-9ED2-674A57A226E0}" name="6" totalsRowFunction="sum" dataDxfId="6811" totalsRowDxfId="6810" dataCellStyle="Moeda"/>
    <tableColumn id="8" xr3:uid="{4A3B6F54-C900-438A-89F0-F28C040023F1}" name="7" totalsRowFunction="sum" dataDxfId="6809" totalsRowDxfId="6808" dataCellStyle="Moeda"/>
    <tableColumn id="9" xr3:uid="{02B9A2D0-17A0-40C6-9F0A-5428933C7106}" name="8" totalsRowFunction="sum" dataDxfId="6807" totalsRowDxfId="6806" dataCellStyle="Moeda"/>
    <tableColumn id="10" xr3:uid="{FACF89EA-964E-46FB-A1F8-1AF415D5305C}" name="9" totalsRowFunction="sum" dataDxfId="6805" totalsRowDxfId="6804" dataCellStyle="Moeda"/>
    <tableColumn id="11" xr3:uid="{F9973DE9-9337-45A5-B6D5-F20E32FFC901}" name="10" totalsRowFunction="sum" dataDxfId="6803" totalsRowDxfId="6802" dataCellStyle="Moeda"/>
    <tableColumn id="12" xr3:uid="{2522E421-60CC-4DD8-833F-79320BAF04AE}" name="11" totalsRowFunction="sum" dataDxfId="6801" totalsRowDxfId="6800" dataCellStyle="Moeda"/>
    <tableColumn id="13" xr3:uid="{BB59995C-7090-4611-8DEA-79F7385D680E}" name="12" totalsRowFunction="sum" dataDxfId="6799" totalsRowDxfId="6798" dataCellStyle="Moeda"/>
    <tableColumn id="14" xr3:uid="{11253FBF-2EC6-442D-AA67-B218C4066C48}" name="13" totalsRowFunction="sum" dataDxfId="6797" totalsRowDxfId="6796" dataCellStyle="Moeda"/>
    <tableColumn id="15" xr3:uid="{FA641E06-DC28-4994-BE5A-6D1E60FD2855}" name="14" totalsRowFunction="sum" dataDxfId="6795" totalsRowDxfId="6794" dataCellStyle="Moeda"/>
    <tableColumn id="16" xr3:uid="{B1EA4169-680C-4B7B-88BF-EFF5218AACC1}" name="15" totalsRowFunction="sum" dataDxfId="6793" totalsRowDxfId="6792" dataCellStyle="Moeda"/>
    <tableColumn id="17" xr3:uid="{D441A519-987D-460C-8EEC-CE9C43CB237C}" name="16" totalsRowFunction="sum" dataDxfId="6791" totalsRowDxfId="6790" dataCellStyle="Moeda"/>
    <tableColumn id="18" xr3:uid="{3F227546-9F40-49EA-AFA8-1F70570BA109}" name="17" totalsRowFunction="sum" dataDxfId="6789" totalsRowDxfId="6788" dataCellStyle="Moeda"/>
    <tableColumn id="19" xr3:uid="{8C4E22A7-64CD-40C8-BD7B-B9E10A78A78F}" name="18" totalsRowFunction="sum" dataDxfId="6787" totalsRowDxfId="6786" dataCellStyle="Moeda"/>
    <tableColumn id="20" xr3:uid="{99B28DD2-A72F-44EA-960C-5E633076DAD8}" name="19" totalsRowFunction="sum" dataDxfId="6785" totalsRowDxfId="6784" dataCellStyle="Moeda"/>
    <tableColumn id="21" xr3:uid="{7C67CD74-C95B-4ECE-82A2-00EB3EADCADF}" name="20" totalsRowFunction="sum" dataDxfId="6783" totalsRowDxfId="6782" dataCellStyle="Moeda"/>
    <tableColumn id="22" xr3:uid="{92F09AD8-54C5-4315-9D53-02CCFB21BD59}" name="21" totalsRowFunction="sum" dataDxfId="6781" totalsRowDxfId="6780" dataCellStyle="Moeda"/>
    <tableColumn id="23" xr3:uid="{9909DBF4-126A-41A6-B658-BA58AFB94227}" name="22" totalsRowFunction="sum" dataDxfId="6779" totalsRowDxfId="6778" dataCellStyle="Moeda"/>
    <tableColumn id="24" xr3:uid="{400FD669-0472-4F09-80C5-0FAEF209D60B}" name="23" totalsRowFunction="sum" dataDxfId="6777" totalsRowDxfId="6776" dataCellStyle="Moeda"/>
    <tableColumn id="25" xr3:uid="{F8106100-877F-4147-9570-80AD75F0C9AE}" name="24" totalsRowFunction="sum" dataDxfId="6775" totalsRowDxfId="6774" dataCellStyle="Moeda"/>
    <tableColumn id="26" xr3:uid="{98801A96-3D66-4C11-9AE1-F6589C0EBCD0}" name="25" totalsRowFunction="sum" dataDxfId="6773" totalsRowDxfId="6772" dataCellStyle="Moeda"/>
    <tableColumn id="27" xr3:uid="{A6EEA293-0562-489A-B8B0-65364EC09917}" name="26" totalsRowFunction="sum" dataDxfId="6771" totalsRowDxfId="6770" dataCellStyle="Moeda"/>
    <tableColumn id="28" xr3:uid="{A7B44718-BBAF-4614-B97C-C8798498DB87}" name="27" totalsRowFunction="sum" dataDxfId="6769" totalsRowDxfId="6768" dataCellStyle="Moeda"/>
    <tableColumn id="29" xr3:uid="{0EEA4F77-9F75-4222-A305-682AFAD4391D}" name="28" totalsRowFunction="sum" dataDxfId="6767" totalsRowDxfId="6766" dataCellStyle="Moeda"/>
    <tableColumn id="30" xr3:uid="{5125D97B-F9A3-4F2F-B499-4B062CBD35B6}" name="29" totalsRowFunction="sum" dataDxfId="6765" totalsRowDxfId="6764" dataCellStyle="Moeda"/>
    <tableColumn id="31" xr3:uid="{778960AE-1EC3-4FA0-8024-0C157D636F1E}" name="30" totalsRowFunction="sum" dataDxfId="6763" totalsRowDxfId="6762" dataCellStyle="Moeda"/>
    <tableColumn id="32" xr3:uid="{B619AE6A-70B8-4C77-BD06-714408E2A2FD}" name="31" totalsRowFunction="sum" dataDxfId="6761" totalsRowDxfId="6760" dataCellStyle="Moeda"/>
    <tableColumn id="33" xr3:uid="{1750B4DB-9B86-4442-85C2-44A235E9D572}" name="TOTAL (R$)" totalsRowFunction="sum" dataDxfId="6759" dataCellStyle="Moeda">
      <calculatedColumnFormula>SUM(abrtotal305971[[#This Row],[1]:[31]])</calculatedColumnFormula>
    </tableColumn>
  </tableColumns>
  <tableStyleInfo name="TABELAS RESULTADOS" showFirstColumn="0" showLastColumn="0" showRowStripes="1" showColumnStripes="0"/>
</table>
</file>

<file path=xl/tables/table5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8" xr:uid="{FBBFDCA8-1909-4DDE-9100-E9F8BBE291DD}" name="receitasfixasconsolidadoabr" displayName="receitasfixasconsolidadoabr" ref="C81:AJ87" headerRowDxfId="6758" dataDxfId="6757" totalsRowDxfId="6756">
  <autoFilter ref="C81:AJ87" xr:uid="{2EA8B7CB-D602-44E1-B8DB-B71750A487C5}"/>
  <tableColumns count="34">
    <tableColumn id="1" xr3:uid="{4CB073D2-9BE3-4BCE-A4FD-D62ED78A89C6}" name="ATUAL" totalsRowLabel="SALDO" dataDxfId="6755"/>
    <tableColumn id="34" xr3:uid="{E612D2C8-2B62-42AC-83B0-6E5A25338848}" name="Coluna1" dataDxfId="6754">
      <calculatedColumnFormula>IF(receitasfixasconsolidadoabr[[#This Row],[TOTAL (R$)]]=0,"",IF(OR(receitasfixasconsolidadoabr[[#This Row],[TOTAL (R$)]]=LARGE($AJ$82:$AJ$86,1),receitasfixasconsolidadoabr[[#This Row],[TOTAL (R$)]]=LARGE($AJ$82:$AJ$86,2)),DADOS!$I$9,""))</calculatedColumnFormula>
    </tableColumn>
    <tableColumn id="2" xr3:uid="{4EAB9615-5FB1-425D-8CE1-EDE6A6C858F6}" name="1" totalsRowFunction="sum" dataDxfId="6753" dataCellStyle="Moeda"/>
    <tableColumn id="3" xr3:uid="{524AD5A0-499D-4940-B6F6-508D21A25FB2}" name="2" totalsRowFunction="sum" dataDxfId="6752" dataCellStyle="Moeda">
      <calculatedColumnFormula>SUMIFS(tabela_registros[VALOR],tabela_registros[MÊS],$AE$1,tabela_registros[DIA],receitasfixasconsolidadoabr[[#Headers],[2]],tabela_registros[REGISTRO],DADOS!$N$3,tabela_registros[TIPO],DADOS!$V$3,tabela_registros[CATEGORIA],receitasfixasconsolidadoabr[[#This Row],[ATUAL]])</calculatedColumnFormula>
    </tableColumn>
    <tableColumn id="4" xr3:uid="{306971CD-847D-453E-A5D5-569D312F2825}" name="3" totalsRowFunction="sum" dataDxfId="6751" totalsRowDxfId="6750" dataCellStyle="Moeda">
      <calculatedColumnFormula>SUMIFS(tabela_registros[VALOR],tabela_registros[MÊS],$AE$1,tabela_registros[DIA],receitasfixasconsolidadoabr[[#Headers],[3]],tabela_registros[REGISTRO],DADOS!$N$3,tabela_registros[TIPO],DADOS!$V$3,tabela_registros[CATEGORIA],receitasfixasconsolidadoabr[[#This Row],[ATUAL]])</calculatedColumnFormula>
    </tableColumn>
    <tableColumn id="5" xr3:uid="{745C9843-1336-465C-BF95-13F4E57EAB7A}" name="4" totalsRowFunction="sum" dataDxfId="6749" totalsRowDxfId="6748" dataCellStyle="Moeda">
      <calculatedColumnFormula>SUMIFS(tabela_registros[VALOR],tabela_registros[MÊS],$AE$1,tabela_registros[DIA],receitasfixasconsolidadoabr[[#Headers],[4]],tabela_registros[REGISTRO],DADOS!$N$3,tabela_registros[TIPO],DADOS!$V$3,tabela_registros[CATEGORIA],receitasfixasconsolidadoabr[[#This Row],[ATUAL]])</calculatedColumnFormula>
    </tableColumn>
    <tableColumn id="6" xr3:uid="{43289EE2-A7D1-4990-8A78-815F986DCB3E}" name="5" totalsRowFunction="sum" dataDxfId="6747" totalsRowDxfId="6746" dataCellStyle="Moeda">
      <calculatedColumnFormula>SUMIFS(tabela_registros[VALOR],tabela_registros[MÊS],$AE$1,tabela_registros[DIA],receitasfixasconsolidadoabr[[#Headers],[5]],tabela_registros[REGISTRO],DADOS!$N$3,tabela_registros[TIPO],DADOS!$V$3,tabela_registros[CATEGORIA],receitasfixasconsolidadoabr[[#This Row],[ATUAL]])</calculatedColumnFormula>
    </tableColumn>
    <tableColumn id="7" xr3:uid="{31D00D35-4B16-42F3-BDBF-D53A99A14D24}" name="6" totalsRowFunction="sum" dataDxfId="6745" totalsRowDxfId="6744" dataCellStyle="Moeda">
      <calculatedColumnFormula>SUMIFS(tabela_registros[VALOR],tabela_registros[MÊS],$AE$1,tabela_registros[DIA],receitasfixasconsolidadoabr[[#Headers],[6]],tabela_registros[REGISTRO],DADOS!$N$3,tabela_registros[TIPO],DADOS!$V$3,tabela_registros[CATEGORIA],receitasfixasconsolidadoabr[[#This Row],[ATUAL]])</calculatedColumnFormula>
    </tableColumn>
    <tableColumn id="8" xr3:uid="{146292B0-3398-4855-B6D5-85630E3CE45B}" name="7" totalsRowFunction="sum" dataDxfId="6743" totalsRowDxfId="6742" dataCellStyle="Moeda">
      <calculatedColumnFormula>SUMIFS(tabela_registros[VALOR],tabela_registros[MÊS],$AE$1,tabela_registros[DIA],receitasfixasconsolidadoabr[[#Headers],[7]],tabela_registros[REGISTRO],DADOS!$N$3,tabela_registros[TIPO],DADOS!$V$3,tabela_registros[CATEGORIA],receitasfixasconsolidadoabr[[#This Row],[ATUAL]])</calculatedColumnFormula>
    </tableColumn>
    <tableColumn id="9" xr3:uid="{481A2F96-7422-42BC-A150-50C83E31ABD5}" name="8" totalsRowFunction="sum" dataDxfId="6741" totalsRowDxfId="6740" dataCellStyle="Moeda">
      <calculatedColumnFormula>SUMIFS(tabela_registros[VALOR],tabela_registros[MÊS],$AE$1,tabela_registros[DIA],receitasfixasconsolidadoabr[[#Headers],[8]],tabela_registros[REGISTRO],DADOS!$N$3,tabela_registros[TIPO],DADOS!$V$3,tabela_registros[CATEGORIA],receitasfixasconsolidadoabr[[#This Row],[ATUAL]])</calculatedColumnFormula>
    </tableColumn>
    <tableColumn id="10" xr3:uid="{C0EB16A2-AE40-426D-9B83-03BA48E41D1F}" name="9" totalsRowFunction="sum" dataDxfId="6739" totalsRowDxfId="6738" dataCellStyle="Moeda">
      <calculatedColumnFormula>SUMIFS(tabela_registros[VALOR],tabela_registros[MÊS],$AE$1,tabela_registros[DIA],receitasfixasconsolidadoabr[[#Headers],[9]],tabela_registros[REGISTRO],DADOS!$N$3,tabela_registros[TIPO],DADOS!$V$3,tabela_registros[CATEGORIA],receitasfixasconsolidadoabr[[#This Row],[ATUAL]])</calculatedColumnFormula>
    </tableColumn>
    <tableColumn id="11" xr3:uid="{848FB69A-BD7A-4A1F-B1BE-F54D6919C887}" name="10" totalsRowFunction="sum" dataDxfId="6737" totalsRowDxfId="6736" dataCellStyle="Moeda">
      <calculatedColumnFormula>SUMIFS(tabela_registros[VALOR],tabela_registros[MÊS],$AE$1,tabela_registros[DIA],receitasfixasconsolidadoabr[[#Headers],[10]],tabela_registros[REGISTRO],DADOS!$N$3,tabela_registros[TIPO],DADOS!$V$3,tabela_registros[CATEGORIA],receitasfixasconsolidadoabr[[#This Row],[ATUAL]])</calculatedColumnFormula>
    </tableColumn>
    <tableColumn id="12" xr3:uid="{C777928F-4C91-468E-857A-2CE3E550ACEA}" name="11" totalsRowFunction="sum" dataDxfId="6735" totalsRowDxfId="6734" dataCellStyle="Moeda">
      <calculatedColumnFormula>SUMIFS(tabela_registros[VALOR],tabela_registros[MÊS],$AE$1,tabela_registros[DIA],receitasfixasconsolidadoabr[[#Headers],[11]],tabela_registros[REGISTRO],DADOS!$N$3,tabela_registros[TIPO],DADOS!$V$3,tabela_registros[CATEGORIA],receitasfixasconsolidadoabr[[#This Row],[ATUAL]])</calculatedColumnFormula>
    </tableColumn>
    <tableColumn id="13" xr3:uid="{219D13AF-AF21-47A2-8FC5-DEDB2CD79107}" name="12" totalsRowFunction="sum" dataDxfId="6733" totalsRowDxfId="6732" dataCellStyle="Moeda">
      <calculatedColumnFormula>SUMIFS(tabela_registros[VALOR],tabela_registros[MÊS],$AE$1,tabela_registros[DIA],receitasfixasconsolidadoabr[[#Headers],[12]],tabela_registros[REGISTRO],DADOS!$N$3,tabela_registros[TIPO],DADOS!$V$3,tabela_registros[CATEGORIA],receitasfixasconsolidadoabr[[#This Row],[ATUAL]])</calculatedColumnFormula>
    </tableColumn>
    <tableColumn id="14" xr3:uid="{36BA07E7-32D7-4303-998F-E90DC0266D80}" name="13" totalsRowFunction="sum" dataDxfId="6731" totalsRowDxfId="6730" dataCellStyle="Moeda">
      <calculatedColumnFormula>SUMIFS(tabela_registros[VALOR],tabela_registros[MÊS],$AE$1,tabela_registros[DIA],receitasfixasconsolidadoabr[[#Headers],[13]],tabela_registros[REGISTRO],DADOS!$N$3,tabela_registros[TIPO],DADOS!$V$3,tabela_registros[CATEGORIA],receitasfixasconsolidadoabr[[#This Row],[ATUAL]])</calculatedColumnFormula>
    </tableColumn>
    <tableColumn id="15" xr3:uid="{B194C803-5B24-47FB-9E81-3F95FF59828A}" name="14" totalsRowFunction="sum" dataDxfId="6729" totalsRowDxfId="6728" dataCellStyle="Moeda">
      <calculatedColumnFormula>SUMIFS(tabela_registros[VALOR],tabela_registros[MÊS],$AE$1,tabela_registros[DIA],receitasfixasconsolidadoabr[[#Headers],[14]],tabela_registros[REGISTRO],DADOS!$N$3,tabela_registros[TIPO],DADOS!$V$3,tabela_registros[CATEGORIA],receitasfixasconsolidadoabr[[#This Row],[ATUAL]])</calculatedColumnFormula>
    </tableColumn>
    <tableColumn id="16" xr3:uid="{2026525E-0B2C-407C-A728-29BBF8D07779}" name="15" totalsRowFunction="sum" dataDxfId="6727" totalsRowDxfId="6726" dataCellStyle="Moeda">
      <calculatedColumnFormula>SUMIFS(tabela_registros[VALOR],tabela_registros[MÊS],$AE$1,tabela_registros[DIA],receitasfixasconsolidadoabr[[#Headers],[15]],tabela_registros[REGISTRO],DADOS!$N$3,tabela_registros[TIPO],DADOS!$V$3,tabela_registros[CATEGORIA],receitasfixasconsolidadoabr[[#This Row],[ATUAL]])</calculatedColumnFormula>
    </tableColumn>
    <tableColumn id="17" xr3:uid="{01F4A0D2-6F8A-464C-B8FF-C0270E108C5A}" name="16" totalsRowFunction="sum" dataDxfId="6725" totalsRowDxfId="6724" dataCellStyle="Moeda">
      <calculatedColumnFormula>SUMIFS(tabela_registros[VALOR],tabela_registros[MÊS],$AE$1,tabela_registros[DIA],receitasfixasconsolidadoabr[[#Headers],[16]],tabela_registros[REGISTRO],DADOS!$N$3,tabela_registros[TIPO],DADOS!$V$3,tabela_registros[CATEGORIA],receitasfixasconsolidadoabr[[#This Row],[ATUAL]])</calculatedColumnFormula>
    </tableColumn>
    <tableColumn id="18" xr3:uid="{75D73927-EB83-485B-BE01-0EFD45505ECD}" name="17" totalsRowFunction="sum" dataDxfId="6723" totalsRowDxfId="6722" dataCellStyle="Moeda">
      <calculatedColumnFormula>SUMIFS(tabela_registros[VALOR],tabela_registros[MÊS],$AE$1,tabela_registros[DIA],receitasfixasconsolidadoabr[[#Headers],[17]],tabela_registros[REGISTRO],DADOS!$N$3,tabela_registros[TIPO],DADOS!$V$3,tabela_registros[CATEGORIA],receitasfixasconsolidadoabr[[#This Row],[ATUAL]])</calculatedColumnFormula>
    </tableColumn>
    <tableColumn id="19" xr3:uid="{6F5A6520-D9FB-4186-AA5C-9457B5835C28}" name="18" totalsRowFunction="sum" dataDxfId="6721" totalsRowDxfId="6720" dataCellStyle="Moeda">
      <calculatedColumnFormula>SUMIFS(tabela_registros[VALOR],tabela_registros[MÊS],$AE$1,tabela_registros[DIA],receitasfixasconsolidadoabr[[#Headers],[18]],tabela_registros[REGISTRO],DADOS!$N$3,tabela_registros[TIPO],DADOS!$V$3,tabela_registros[CATEGORIA],receitasfixasconsolidadoabr[[#This Row],[ATUAL]])</calculatedColumnFormula>
    </tableColumn>
    <tableColumn id="20" xr3:uid="{6351A007-54A7-49AB-BCCE-A638BF36EA49}" name="19" totalsRowFunction="sum" dataDxfId="6719" totalsRowDxfId="6718" dataCellStyle="Moeda">
      <calculatedColumnFormula>SUMIFS(tabela_registros[VALOR],tabela_registros[MÊS],$AE$1,tabela_registros[DIA],receitasfixasconsolidadoabr[[#Headers],[19]],tabela_registros[REGISTRO],DADOS!$N$3,tabela_registros[TIPO],DADOS!$V$3,tabela_registros[CATEGORIA],receitasfixasconsolidadoabr[[#This Row],[ATUAL]])</calculatedColumnFormula>
    </tableColumn>
    <tableColumn id="21" xr3:uid="{961FA75B-447C-4CC1-B185-48DFF2CE283C}" name="20" totalsRowFunction="sum" dataDxfId="6717" totalsRowDxfId="6716" dataCellStyle="Moeda">
      <calculatedColumnFormula>SUMIFS(tabela_registros[VALOR],tabela_registros[MÊS],$AE$1,tabela_registros[DIA],receitasfixasconsolidadoabr[[#Headers],[20]],tabela_registros[REGISTRO],DADOS!$N$3,tabela_registros[TIPO],DADOS!$V$3,tabela_registros[CATEGORIA],receitasfixasconsolidadoabr[[#This Row],[ATUAL]])</calculatedColumnFormula>
    </tableColumn>
    <tableColumn id="22" xr3:uid="{B0B41B1F-E1F6-4556-9427-63719C324CEB}" name="21" totalsRowFunction="sum" dataDxfId="6715" totalsRowDxfId="6714" dataCellStyle="Moeda">
      <calculatedColumnFormula>SUMIFS(tabela_registros[VALOR],tabela_registros[MÊS],$AE$1,tabela_registros[DIA],receitasfixasconsolidadoabr[[#Headers],[21]],tabela_registros[REGISTRO],DADOS!$N$3,tabela_registros[TIPO],DADOS!$V$3,tabela_registros[CATEGORIA],receitasfixasconsolidadoabr[[#This Row],[ATUAL]])</calculatedColumnFormula>
    </tableColumn>
    <tableColumn id="23" xr3:uid="{9C6E4DD9-F2B2-4A08-9AB2-A6180678A2B4}" name="22" totalsRowFunction="sum" dataDxfId="6713" totalsRowDxfId="6712" dataCellStyle="Moeda">
      <calculatedColumnFormula>SUMIFS(tabela_registros[VALOR],tabela_registros[MÊS],$AE$1,tabela_registros[DIA],receitasfixasconsolidadoabr[[#Headers],[22]],tabela_registros[REGISTRO],DADOS!$N$3,tabela_registros[TIPO],DADOS!$V$3,tabela_registros[CATEGORIA],receitasfixasconsolidadoabr[[#This Row],[ATUAL]])</calculatedColumnFormula>
    </tableColumn>
    <tableColumn id="24" xr3:uid="{EA83E8E1-6C7D-4C61-ABAA-B0640CE51E5E}" name="23" totalsRowFunction="sum" dataDxfId="6711" totalsRowDxfId="6710" dataCellStyle="Moeda">
      <calculatedColumnFormula>SUMIFS(tabela_registros[VALOR],tabela_registros[MÊS],$AE$1,tabela_registros[DIA],receitasfixasconsolidadoabr[[#Headers],[23]],tabela_registros[REGISTRO],DADOS!$N$3,tabela_registros[TIPO],DADOS!$V$3,tabela_registros[CATEGORIA],receitasfixasconsolidadoabr[[#This Row],[ATUAL]])</calculatedColumnFormula>
    </tableColumn>
    <tableColumn id="25" xr3:uid="{E41A699D-1F47-4E1B-BBC3-09431A6F6E66}" name="24" totalsRowFunction="sum" dataDxfId="6709" totalsRowDxfId="6708" dataCellStyle="Moeda">
      <calculatedColumnFormula>SUMIFS(tabela_registros[VALOR],tabela_registros[MÊS],$AE$1,tabela_registros[DIA],receitasfixasconsolidadoabr[[#Headers],[24]],tabela_registros[REGISTRO],DADOS!$N$3,tabela_registros[TIPO],DADOS!$V$3,tabela_registros[CATEGORIA],receitasfixasconsolidadoabr[[#This Row],[ATUAL]])</calculatedColumnFormula>
    </tableColumn>
    <tableColumn id="26" xr3:uid="{148C15D2-886F-42E9-9BBC-627429C335CF}" name="25" totalsRowFunction="sum" dataDxfId="6707" totalsRowDxfId="6706" dataCellStyle="Moeda">
      <calculatedColumnFormula>SUMIFS(tabela_registros[VALOR],tabela_registros[MÊS],$AE$1,tabela_registros[DIA],receitasfixasconsolidadoabr[[#Headers],[25]],tabela_registros[REGISTRO],DADOS!$N$3,tabela_registros[TIPO],DADOS!$V$3,tabela_registros[CATEGORIA],receitasfixasconsolidadoabr[[#This Row],[ATUAL]])</calculatedColumnFormula>
    </tableColumn>
    <tableColumn id="27" xr3:uid="{3D701CCC-C328-4272-AAE5-922A9B812BEA}" name="26" totalsRowFunction="sum" dataDxfId="6705" totalsRowDxfId="6704" dataCellStyle="Moeda">
      <calculatedColumnFormula>SUMIFS(tabela_registros[VALOR],tabela_registros[MÊS],$AE$1,tabela_registros[DIA],receitasfixasconsolidadoabr[[#Headers],[26]],tabela_registros[REGISTRO],DADOS!$N$3,tabela_registros[TIPO],DADOS!$V$3,tabela_registros[CATEGORIA],receitasfixasconsolidadoabr[[#This Row],[ATUAL]])</calculatedColumnFormula>
    </tableColumn>
    <tableColumn id="28" xr3:uid="{BF66513D-2375-4F06-8F26-7678988F6604}" name="27" totalsRowFunction="sum" dataDxfId="6703" totalsRowDxfId="6702" dataCellStyle="Moeda">
      <calculatedColumnFormula>SUMIFS(tabela_registros[VALOR],tabela_registros[MÊS],$AE$1,tabela_registros[DIA],receitasfixasconsolidadoabr[[#Headers],[27]],tabela_registros[REGISTRO],DADOS!$N$3,tabela_registros[TIPO],DADOS!$V$3,tabela_registros[CATEGORIA],receitasfixasconsolidadoabr[[#This Row],[ATUAL]])</calculatedColumnFormula>
    </tableColumn>
    <tableColumn id="29" xr3:uid="{715AB0E4-F283-4085-AA6B-26DD64EF9738}" name="28" totalsRowFunction="sum" dataDxfId="6701" totalsRowDxfId="6700" dataCellStyle="Moeda">
      <calculatedColumnFormula>SUMIFS(tabela_registros[VALOR],tabela_registros[MÊS],$AE$1,tabela_registros[DIA],receitasfixasconsolidadoabr[[#Headers],[28]],tabela_registros[REGISTRO],DADOS!$N$3,tabela_registros[TIPO],DADOS!$V$3,tabela_registros[CATEGORIA],receitasfixasconsolidadoabr[[#This Row],[ATUAL]])</calculatedColumnFormula>
    </tableColumn>
    <tableColumn id="30" xr3:uid="{A38DCFC8-464F-4219-BFC8-032032BABDC9}" name="29" totalsRowFunction="sum" dataDxfId="6699" totalsRowDxfId="6698" dataCellStyle="Moeda">
      <calculatedColumnFormula>SUMIFS(tabela_registros[VALOR],tabela_registros[MÊS],$AE$1,tabela_registros[DIA],receitasfixasconsolidadoabr[[#Headers],[29]],tabela_registros[REGISTRO],DADOS!$N$3,tabela_registros[TIPO],DADOS!$V$3,tabela_registros[CATEGORIA],receitasfixasconsolidadoabr[[#This Row],[ATUAL]])</calculatedColumnFormula>
    </tableColumn>
    <tableColumn id="31" xr3:uid="{2FCFEC17-8E4D-476C-90A5-D13D37E57A5A}" name="30" totalsRowFunction="sum" dataDxfId="6697" totalsRowDxfId="6696" dataCellStyle="Moeda">
      <calculatedColumnFormula>SUMIFS(tabela_registros[VALOR],tabela_registros[MÊS],$AE$1,tabela_registros[DIA],receitasfixasconsolidadoabr[[#Headers],[30]],tabela_registros[REGISTRO],DADOS!$N$3,tabela_registros[TIPO],DADOS!$V$3,tabela_registros[CATEGORIA],receitasfixasconsolidadoabr[[#This Row],[ATUAL]])</calculatedColumnFormula>
    </tableColumn>
    <tableColumn id="32" xr3:uid="{E002E93E-26F0-4BD5-94D7-1ECA670CF9FC}" name="31" totalsRowFunction="sum" dataDxfId="6695" totalsRowDxfId="6694" dataCellStyle="Moeda">
      <calculatedColumnFormula>SUMIFS(tabela_registros[VALOR],tabela_registros[MÊS],$AE$1,tabela_registros[DIA],receitasfixasconsolidadoabr[[#Headers],[31]],tabela_registros[REGISTRO],DADOS!$N$3,tabela_registros[TIPO],DADOS!$V$3,tabela_registros[CATEGORIA],receitasfixasconsolidadoabr[[#This Row],[ATUAL]])</calculatedColumnFormula>
    </tableColumn>
    <tableColumn id="33" xr3:uid="{94B0B167-6341-4667-AE24-8D4E85F26B9B}" name="TOTAL (R$)" totalsRowFunction="sum" dataDxfId="6693" dataCellStyle="Moeda">
      <calculatedColumnFormula>SUM(receitasfixasconsolidadoabr[[#This Row],[1]:[31]])</calculatedColumnFormula>
    </tableColumn>
  </tableColumns>
  <tableStyleInfo name="TABELAS RESULTADOS" showFirstColumn="0" showLastColumn="0" showRowStripes="1" showColumnStripes="0"/>
</table>
</file>

<file path=xl/tables/table5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9" xr:uid="{FCFC86F7-91D3-4AA1-A57B-080653FCC23F}" name="receitasvariáveisconsolidadoabr" displayName="receitasvariáveisconsolidadoabr" ref="C95:AJ104" headerRowDxfId="6692" dataDxfId="6691" totalsRowDxfId="6690">
  <autoFilter ref="C95:AJ104" xr:uid="{DEFDE68B-A97D-4ED5-9460-1E58A13A7942}"/>
  <tableColumns count="34">
    <tableColumn id="1" xr3:uid="{05940C4D-3B38-4BF5-9DD6-37BB51C0F890}" name="ATUAL" totalsRowLabel="SALDO" dataDxfId="6689"/>
    <tableColumn id="34" xr3:uid="{6822F907-CAE8-4DDE-AFD4-AA4568866312}" name="Coluna1" dataDxfId="6688" totalsRowDxfId="6687">
      <calculatedColumnFormula>IF(receitasvariáveisconsolidadoabr[[#This Row],[TOTAL (R$)]]=0,"",IF(OR(receitasvariáveisconsolidadoabr[[#This Row],[TOTAL (R$)]]=LARGE($AJ$96:$AJ$103,1),receitasvariáveisconsolidadoabr[[#This Row],[TOTAL (R$)]]=LARGE($AJ$96:$AJ$103,2)),DADOS!$I$9,""))</calculatedColumnFormula>
    </tableColumn>
    <tableColumn id="2" xr3:uid="{DA6FF48C-45F2-4A06-AA1B-BE3C7AA2D62E}" name="1" totalsRowFunction="sum" dataDxfId="6686" dataCellStyle="Moeda"/>
    <tableColumn id="3" xr3:uid="{1DE37DF6-25CB-40AF-91C3-52B26053E57A}" name="2" totalsRowFunction="sum" dataDxfId="6685" dataCellStyle="Moeda">
      <calculatedColumnFormula>SUMIFS(tabela_registros[VALOR],tabela_registros[MÊS],$AE$1,tabela_registros[DIA],receitasvariáveisconsolidadoabr[[#Headers],[2]],tabela_registros[REGISTRO],DADOS!$N$3,tabela_registros[TIPO],DADOS!$V$3,tabela_registros[CATEGORIA],receitasvariáveisconsolidadoabr[[#This Row],[ATUAL]])</calculatedColumnFormula>
    </tableColumn>
    <tableColumn id="4" xr3:uid="{FC59E455-584E-4817-869B-9A82400166B8}" name="3" totalsRowFunction="sum" dataDxfId="6684" totalsRowDxfId="6683" dataCellStyle="Moeda">
      <calculatedColumnFormula>SUMIFS(tabela_registros[VALOR],tabela_registros[MÊS],$AE$1,tabela_registros[DIA],receitasvariáveisconsolidadoabr[[#Headers],[3]],tabela_registros[REGISTRO],DADOS!$N$3,tabela_registros[TIPO],DADOS!$V$3,tabela_registros[CATEGORIA],receitasvariáveisconsolidadoabr[[#This Row],[ATUAL]])</calculatedColumnFormula>
    </tableColumn>
    <tableColumn id="5" xr3:uid="{7E30614B-436C-4655-B023-AD5E8E2B3B63}" name="4" totalsRowFunction="sum" dataDxfId="6682" totalsRowDxfId="6681" dataCellStyle="Moeda">
      <calculatedColumnFormula>SUMIFS(tabela_registros[VALOR],tabela_registros[MÊS],$AE$1,tabela_registros[DIA],receitasvariáveisconsolidadoabr[[#Headers],[4]],tabela_registros[REGISTRO],DADOS!$N$3,tabela_registros[TIPO],DADOS!$V$3,tabela_registros[CATEGORIA],receitasvariáveisconsolidadoabr[[#This Row],[ATUAL]])</calculatedColumnFormula>
    </tableColumn>
    <tableColumn id="6" xr3:uid="{09038D96-71B7-4E4F-84BB-4B81FB7218FA}" name="5" totalsRowFunction="sum" dataDxfId="6680" totalsRowDxfId="6679" dataCellStyle="Moeda">
      <calculatedColumnFormula>SUMIFS(tabela_registros[VALOR],tabela_registros[MÊS],$AE$1,tabela_registros[DIA],receitasvariáveisconsolidadoabr[[#Headers],[5]],tabela_registros[REGISTRO],DADOS!$N$3,tabela_registros[TIPO],DADOS!$V$3,tabela_registros[CATEGORIA],receitasvariáveisconsolidadoabr[[#This Row],[ATUAL]])</calculatedColumnFormula>
    </tableColumn>
    <tableColumn id="7" xr3:uid="{5B0DDE91-8287-49CA-BA0C-441C9618D2C0}" name="6" totalsRowFunction="sum" dataDxfId="6678" totalsRowDxfId="6677" dataCellStyle="Moeda">
      <calculatedColumnFormula>SUMIFS(tabela_registros[VALOR],tabela_registros[MÊS],$AE$1,tabela_registros[DIA],receitasvariáveisconsolidadoabr[[#Headers],[6]],tabela_registros[REGISTRO],DADOS!$N$3,tabela_registros[TIPO],DADOS!$V$3,tabela_registros[CATEGORIA],receitasvariáveisconsolidadoabr[[#This Row],[ATUAL]])</calculatedColumnFormula>
    </tableColumn>
    <tableColumn id="8" xr3:uid="{F0BAB8A7-5366-444A-AB05-CDC0AD246C8F}" name="7" totalsRowFunction="sum" dataDxfId="6676" totalsRowDxfId="6675" dataCellStyle="Moeda">
      <calculatedColumnFormula>SUMIFS(tabela_registros[VALOR],tabela_registros[MÊS],$AE$1,tabela_registros[DIA],receitasvariáveisconsolidadoabr[[#Headers],[7]],tabela_registros[REGISTRO],DADOS!$N$3,tabela_registros[TIPO],DADOS!$V$3,tabela_registros[CATEGORIA],receitasvariáveisconsolidadoabr[[#This Row],[ATUAL]])</calculatedColumnFormula>
    </tableColumn>
    <tableColumn id="9" xr3:uid="{20E8C24E-9202-4487-8EB1-EA5868EF5200}" name="8" totalsRowFunction="sum" dataDxfId="6674" totalsRowDxfId="6673" dataCellStyle="Moeda">
      <calculatedColumnFormula>SUMIFS(tabela_registros[VALOR],tabela_registros[MÊS],$AE$1,tabela_registros[DIA],receitasvariáveisconsolidadoabr[[#Headers],[8]],tabela_registros[REGISTRO],DADOS!$N$3,tabela_registros[TIPO],DADOS!$V$3,tabela_registros[CATEGORIA],receitasvariáveisconsolidadoabr[[#This Row],[ATUAL]])</calculatedColumnFormula>
    </tableColumn>
    <tableColumn id="10" xr3:uid="{69D707F8-704C-460A-84D2-F61C0B3F3589}" name="9" totalsRowFunction="sum" dataDxfId="6672" totalsRowDxfId="6671" dataCellStyle="Moeda">
      <calculatedColumnFormula>SUMIFS(tabela_registros[VALOR],tabela_registros[MÊS],$AE$1,tabela_registros[DIA],receitasvariáveisconsolidadoabr[[#Headers],[9]],tabela_registros[REGISTRO],DADOS!$N$3,tabela_registros[TIPO],DADOS!$V$3,tabela_registros[CATEGORIA],receitasvariáveisconsolidadoabr[[#This Row],[ATUAL]])</calculatedColumnFormula>
    </tableColumn>
    <tableColumn id="11" xr3:uid="{B8F51D24-1666-463B-85C1-96A6F190F661}" name="10" totalsRowFunction="sum" dataDxfId="6670" totalsRowDxfId="6669" dataCellStyle="Moeda">
      <calculatedColumnFormula>SUMIFS(tabela_registros[VALOR],tabela_registros[MÊS],$AE$1,tabela_registros[DIA],receitasvariáveisconsolidadoabr[[#Headers],[10]],tabela_registros[REGISTRO],DADOS!$N$3,tabela_registros[TIPO],DADOS!$V$3,tabela_registros[CATEGORIA],receitasvariáveisconsolidadoabr[[#This Row],[ATUAL]])</calculatedColumnFormula>
    </tableColumn>
    <tableColumn id="12" xr3:uid="{D1EDF0D1-B272-464D-9E5E-526BF55D9809}" name="11" totalsRowFunction="sum" dataDxfId="6668" totalsRowDxfId="6667" dataCellStyle="Moeda">
      <calculatedColumnFormula>SUMIFS(tabela_registros[VALOR],tabela_registros[MÊS],$AE$1,tabela_registros[DIA],receitasvariáveisconsolidadoabr[[#Headers],[11]],tabela_registros[REGISTRO],DADOS!$N$3,tabela_registros[TIPO],DADOS!$V$3,tabela_registros[CATEGORIA],receitasvariáveisconsolidadoabr[[#This Row],[ATUAL]])</calculatedColumnFormula>
    </tableColumn>
    <tableColumn id="13" xr3:uid="{9B39F3A7-27EA-4109-B0AD-403C344601EE}" name="12" totalsRowFunction="sum" dataDxfId="6666" totalsRowDxfId="6665" dataCellStyle="Moeda">
      <calculatedColumnFormula>SUMIFS(tabela_registros[VALOR],tabela_registros[MÊS],$AE$1,tabela_registros[DIA],receitasvariáveisconsolidadoabr[[#Headers],[12]],tabela_registros[REGISTRO],DADOS!$N$3,tabela_registros[TIPO],DADOS!$V$3,tabela_registros[CATEGORIA],receitasvariáveisconsolidadoabr[[#This Row],[ATUAL]])</calculatedColumnFormula>
    </tableColumn>
    <tableColumn id="14" xr3:uid="{FE72C284-C671-46C9-BEF8-F5046757BB08}" name="13" totalsRowFunction="sum" dataDxfId="6664" totalsRowDxfId="6663" dataCellStyle="Moeda">
      <calculatedColumnFormula>SUMIFS(tabela_registros[VALOR],tabela_registros[MÊS],$AE$1,tabela_registros[DIA],receitasvariáveisconsolidadoabr[[#Headers],[13]],tabela_registros[REGISTRO],DADOS!$N$3,tabela_registros[TIPO],DADOS!$V$3,tabela_registros[CATEGORIA],receitasvariáveisconsolidadoabr[[#This Row],[ATUAL]])</calculatedColumnFormula>
    </tableColumn>
    <tableColumn id="15" xr3:uid="{A6A4DA1C-8E23-470F-8B0F-06200634E66A}" name="14" totalsRowFunction="sum" dataDxfId="6662" totalsRowDxfId="6661" dataCellStyle="Moeda">
      <calculatedColumnFormula>SUMIFS(tabela_registros[VALOR],tabela_registros[MÊS],$AE$1,tabela_registros[DIA],receitasvariáveisconsolidadoabr[[#Headers],[14]],tabela_registros[REGISTRO],DADOS!$N$3,tabela_registros[TIPO],DADOS!$V$3,tabela_registros[CATEGORIA],receitasvariáveisconsolidadoabr[[#This Row],[ATUAL]])</calculatedColumnFormula>
    </tableColumn>
    <tableColumn id="16" xr3:uid="{9C14511F-73CF-4E85-832F-1C690D5C7D1D}" name="15" totalsRowFunction="sum" dataDxfId="6660" totalsRowDxfId="6659" dataCellStyle="Moeda">
      <calculatedColumnFormula>SUMIFS(tabela_registros[VALOR],tabela_registros[MÊS],$AE$1,tabela_registros[DIA],receitasvariáveisconsolidadoabr[[#Headers],[15]],tabela_registros[REGISTRO],DADOS!$N$3,tabela_registros[TIPO],DADOS!$V$3,tabela_registros[CATEGORIA],receitasvariáveisconsolidadoabr[[#This Row],[ATUAL]])</calculatedColumnFormula>
    </tableColumn>
    <tableColumn id="17" xr3:uid="{E950B4A2-6805-496C-8AB7-F4762A791926}" name="16" totalsRowFunction="sum" dataDxfId="6658" totalsRowDxfId="6657" dataCellStyle="Moeda">
      <calculatedColumnFormula>SUMIFS(tabela_registros[VALOR],tabela_registros[MÊS],$AE$1,tabela_registros[DIA],receitasvariáveisconsolidadoabr[[#Headers],[16]],tabela_registros[REGISTRO],DADOS!$N$3,tabela_registros[TIPO],DADOS!$V$3,tabela_registros[CATEGORIA],receitasvariáveisconsolidadoabr[[#This Row],[ATUAL]])</calculatedColumnFormula>
    </tableColumn>
    <tableColumn id="18" xr3:uid="{0C7E2EAB-48C3-422D-AF1D-EA903DA068AF}" name="17" totalsRowFunction="sum" dataDxfId="6656" totalsRowDxfId="6655" dataCellStyle="Moeda">
      <calculatedColumnFormula>SUMIFS(tabela_registros[VALOR],tabela_registros[MÊS],$AE$1,tabela_registros[DIA],receitasvariáveisconsolidadoabr[[#Headers],[17]],tabela_registros[REGISTRO],DADOS!$N$3,tabela_registros[TIPO],DADOS!$V$3,tabela_registros[CATEGORIA],receitasvariáveisconsolidadoabr[[#This Row],[ATUAL]])</calculatedColumnFormula>
    </tableColumn>
    <tableColumn id="19" xr3:uid="{E646EDB7-356A-4606-AE78-AFB6BB3BF4BB}" name="18" totalsRowFunction="sum" dataDxfId="6654" totalsRowDxfId="6653" dataCellStyle="Moeda">
      <calculatedColumnFormula>SUMIFS(tabela_registros[VALOR],tabela_registros[MÊS],$AE$1,tabela_registros[DIA],receitasvariáveisconsolidadoabr[[#Headers],[18]],tabela_registros[REGISTRO],DADOS!$N$3,tabela_registros[TIPO],DADOS!$V$3,tabela_registros[CATEGORIA],receitasvariáveisconsolidadoabr[[#This Row],[ATUAL]])</calculatedColumnFormula>
    </tableColumn>
    <tableColumn id="20" xr3:uid="{02E79D6B-7097-4EE7-8137-2F0622693A6C}" name="19" totalsRowFunction="sum" dataDxfId="6652" totalsRowDxfId="6651" dataCellStyle="Moeda">
      <calculatedColumnFormula>SUMIFS(tabela_registros[VALOR],tabela_registros[MÊS],$AE$1,tabela_registros[DIA],receitasvariáveisconsolidadoabr[[#Headers],[19]],tabela_registros[REGISTRO],DADOS!$N$3,tabela_registros[TIPO],DADOS!$V$3,tabela_registros[CATEGORIA],receitasvariáveisconsolidadoabr[[#This Row],[ATUAL]])</calculatedColumnFormula>
    </tableColumn>
    <tableColumn id="21" xr3:uid="{28B0A6C3-6595-49B8-AF83-51AAAE084BAC}" name="20" totalsRowFunction="sum" dataDxfId="6650" totalsRowDxfId="6649" dataCellStyle="Moeda">
      <calculatedColumnFormula>SUMIFS(tabela_registros[VALOR],tabela_registros[MÊS],$AE$1,tabela_registros[DIA],receitasvariáveisconsolidadoabr[[#Headers],[20]],tabela_registros[REGISTRO],DADOS!$N$3,tabela_registros[TIPO],DADOS!$V$3,tabela_registros[CATEGORIA],receitasvariáveisconsolidadoabr[[#This Row],[ATUAL]])</calculatedColumnFormula>
    </tableColumn>
    <tableColumn id="22" xr3:uid="{C74FE5AB-496D-46CB-9002-DC6170D5798F}" name="21" totalsRowFunction="sum" dataDxfId="6648" totalsRowDxfId="6647" dataCellStyle="Moeda">
      <calculatedColumnFormula>SUMIFS(tabela_registros[VALOR],tabela_registros[MÊS],$AE$1,tabela_registros[DIA],receitasvariáveisconsolidadoabr[[#Headers],[21]],tabela_registros[REGISTRO],DADOS!$N$3,tabela_registros[TIPO],DADOS!$V$3,tabela_registros[CATEGORIA],receitasvariáveisconsolidadoabr[[#This Row],[ATUAL]])</calculatedColumnFormula>
    </tableColumn>
    <tableColumn id="23" xr3:uid="{E02913CA-61CC-4A4E-9666-2A6EDFCE0C9C}" name="22" totalsRowFunction="sum" dataDxfId="6646" totalsRowDxfId="6645" dataCellStyle="Moeda">
      <calculatedColumnFormula>SUMIFS(tabela_registros[VALOR],tabela_registros[MÊS],$AE$1,tabela_registros[DIA],receitasvariáveisconsolidadoabr[[#Headers],[22]],tabela_registros[REGISTRO],DADOS!$N$3,tabela_registros[TIPO],DADOS!$V$3,tabela_registros[CATEGORIA],receitasvariáveisconsolidadoabr[[#This Row],[ATUAL]])</calculatedColumnFormula>
    </tableColumn>
    <tableColumn id="24" xr3:uid="{7B467056-687D-443C-A6BA-B0A225A9830B}" name="23" totalsRowFunction="sum" dataDxfId="6644" totalsRowDxfId="6643" dataCellStyle="Moeda">
      <calculatedColumnFormula>SUMIFS(tabela_registros[VALOR],tabela_registros[MÊS],$AE$1,tabela_registros[DIA],receitasvariáveisconsolidadoabr[[#Headers],[23]],tabela_registros[REGISTRO],DADOS!$N$3,tabela_registros[TIPO],DADOS!$V$3,tabela_registros[CATEGORIA],receitasvariáveisconsolidadoabr[[#This Row],[ATUAL]])</calculatedColumnFormula>
    </tableColumn>
    <tableColumn id="25" xr3:uid="{CC183674-093B-46AF-B170-28D1E1DB27EB}" name="24" totalsRowFunction="sum" dataDxfId="6642" totalsRowDxfId="6641" dataCellStyle="Moeda">
      <calculatedColumnFormula>SUMIFS(tabela_registros[VALOR],tabela_registros[MÊS],$AE$1,tabela_registros[DIA],receitasvariáveisconsolidadoabr[[#Headers],[24]],tabela_registros[REGISTRO],DADOS!$N$3,tabela_registros[TIPO],DADOS!$V$3,tabela_registros[CATEGORIA],receitasvariáveisconsolidadoabr[[#This Row],[ATUAL]])</calculatedColumnFormula>
    </tableColumn>
    <tableColumn id="26" xr3:uid="{3708590B-28FE-46B0-82D4-57D9A9174BCE}" name="25" totalsRowFunction="sum" dataDxfId="6640" totalsRowDxfId="6639" dataCellStyle="Moeda">
      <calculatedColumnFormula>SUMIFS(tabela_registros[VALOR],tabela_registros[MÊS],$AE$1,tabela_registros[DIA],receitasvariáveisconsolidadoabr[[#Headers],[25]],tabela_registros[REGISTRO],DADOS!$N$3,tabela_registros[TIPO],DADOS!$V$3,tabela_registros[CATEGORIA],receitasvariáveisconsolidadoabr[[#This Row],[ATUAL]])</calculatedColumnFormula>
    </tableColumn>
    <tableColumn id="27" xr3:uid="{B125FFF9-066F-41EE-B0AC-7D105FC0E9C7}" name="26" totalsRowFunction="sum" dataDxfId="6638" totalsRowDxfId="6637" dataCellStyle="Moeda">
      <calculatedColumnFormula>SUMIFS(tabela_registros[VALOR],tabela_registros[MÊS],$AE$1,tabela_registros[DIA],receitasvariáveisconsolidadoabr[[#Headers],[26]],tabela_registros[REGISTRO],DADOS!$N$3,tabela_registros[TIPO],DADOS!$V$3,tabela_registros[CATEGORIA],receitasvariáveisconsolidadoabr[[#This Row],[ATUAL]])</calculatedColumnFormula>
    </tableColumn>
    <tableColumn id="28" xr3:uid="{FC9232CA-8C6D-46D8-9516-A0B331BA5286}" name="27" totalsRowFunction="sum" dataDxfId="6636" totalsRowDxfId="6635" dataCellStyle="Moeda">
      <calculatedColumnFormula>SUMIFS(tabela_registros[VALOR],tabela_registros[MÊS],$AE$1,tabela_registros[DIA],receitasvariáveisconsolidadoabr[[#Headers],[27]],tabela_registros[REGISTRO],DADOS!$N$3,tabela_registros[TIPO],DADOS!$V$3,tabela_registros[CATEGORIA],receitasvariáveisconsolidadoabr[[#This Row],[ATUAL]])</calculatedColumnFormula>
    </tableColumn>
    <tableColumn id="29" xr3:uid="{8AE9B5EF-8F3F-4397-944B-BA43FE60F775}" name="28" totalsRowFunction="sum" dataDxfId="6634" totalsRowDxfId="6633" dataCellStyle="Moeda">
      <calculatedColumnFormula>SUMIFS(tabela_registros[VALOR],tabela_registros[MÊS],$AE$1,tabela_registros[DIA],receitasvariáveisconsolidadoabr[[#Headers],[28]],tabela_registros[REGISTRO],DADOS!$N$3,tabela_registros[TIPO],DADOS!$V$3,tabela_registros[CATEGORIA],receitasvariáveisconsolidadoabr[[#This Row],[ATUAL]])</calculatedColumnFormula>
    </tableColumn>
    <tableColumn id="30" xr3:uid="{AE4536D9-E25F-4F1D-BD13-1484B2F3E0E1}" name="29" totalsRowFunction="sum" dataDxfId="6632" totalsRowDxfId="6631" dataCellStyle="Moeda">
      <calculatedColumnFormula>SUMIFS(tabela_registros[VALOR],tabela_registros[MÊS],$AE$1,tabela_registros[DIA],receitasvariáveisconsolidadoabr[[#Headers],[29]],tabela_registros[REGISTRO],DADOS!$N$3,tabela_registros[TIPO],DADOS!$V$3,tabela_registros[CATEGORIA],receitasvariáveisconsolidadoabr[[#This Row],[ATUAL]])</calculatedColumnFormula>
    </tableColumn>
    <tableColumn id="31" xr3:uid="{0B7E8772-DB22-4C5F-A1F6-5CD65596EDC9}" name="30" totalsRowFunction="sum" dataDxfId="6630" totalsRowDxfId="6629" dataCellStyle="Moeda">
      <calculatedColumnFormula>SUMIFS(tabela_registros[VALOR],tabela_registros[MÊS],$AE$1,tabela_registros[DIA],receitasvariáveisconsolidadoabr[[#Headers],[30]],tabela_registros[REGISTRO],DADOS!$N$3,tabela_registros[TIPO],DADOS!$V$3,tabela_registros[CATEGORIA],receitasvariáveisconsolidadoabr[[#This Row],[ATUAL]])</calculatedColumnFormula>
    </tableColumn>
    <tableColumn id="32" xr3:uid="{F1968651-FFF0-4A95-87D3-325B20313FF2}" name="31" totalsRowFunction="sum" dataDxfId="6628" totalsRowDxfId="6627" dataCellStyle="Moeda">
      <calculatedColumnFormula>SUMIFS(tabela_registros[VALOR],tabela_registros[MÊS],$AE$1,tabela_registros[DIA],receitasvariáveisconsolidadoabr[[#Headers],[31]],tabela_registros[REGISTRO],DADOS!$N$3,tabela_registros[TIPO],DADOS!$V$3,tabela_registros[CATEGORIA],receitasvariáveisconsolidadoabr[[#This Row],[ATUAL]])</calculatedColumnFormula>
    </tableColumn>
    <tableColumn id="33" xr3:uid="{368EB808-E099-4CBF-A828-8410968FDF26}" name="TOTAL (R$)" totalsRowFunction="sum" dataDxfId="6626" dataCellStyle="Moeda">
      <calculatedColumnFormula>SUM(receitasvariáveisconsolidadoabr[[#This Row],[1]:[31]])</calculatedColumnFormula>
    </tableColumn>
  </tableColumns>
  <tableStyleInfo name="TABELAS RESULTADOS" showFirstColumn="0" showLastColumn="0" showRowStripes="1" showColumnStripes="0"/>
</table>
</file>

<file path=xl/tables/table5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0" xr:uid="{5D69CB45-F3AF-4CC2-A5A6-703004426383}" name="investirrendafixaconsolidadoabr" displayName="investirrendafixaconsolidadoabr" ref="C112:AJ123" headerRowDxfId="6625" dataDxfId="6624" totalsRowDxfId="6623">
  <autoFilter ref="C112:AJ123" xr:uid="{3BCF8FD2-4C10-4776-87A3-7B16A33417A4}"/>
  <tableColumns count="34">
    <tableColumn id="1" xr3:uid="{9C9C3E78-B813-49E1-A638-9448379AE752}" name="ATUAL" totalsRowLabel="SALDO" dataDxfId="6622"/>
    <tableColumn id="34" xr3:uid="{846F8811-CA24-416D-A2AB-09DC0B7C3117}" name="Coluna1" dataDxfId="6621" totalsRowDxfId="6620">
      <calculatedColumnFormula>IF(investirrendafixaconsolidadoabr[[#This Row],[TOTAL (R$)]]=0,"",IF(OR(investirrendafixaconsolidadoabr[[#This Row],[TOTAL (R$)]]=LARGE($AJ$113:$AJ$122,1),investirrendafixaconsolidadoabr[[#This Row],[TOTAL (R$)]]=LARGE($AJ$113:$AJ$122,2)),DADOS!$I$10,""))</calculatedColumnFormula>
    </tableColumn>
    <tableColumn id="2" xr3:uid="{7638FD3F-370C-492E-BAFA-8548CBAFEDB4}" name="1" totalsRowFunction="sum" dataDxfId="6619" dataCellStyle="Moeda"/>
    <tableColumn id="3" xr3:uid="{71DC75ED-124E-4829-AF6F-BE6E37015D06}" name="2" totalsRowFunction="sum" dataDxfId="6618" dataCellStyle="Moeda">
      <calculatedColumnFormula>SUMIFS(tabela_registros[VALOR],tabela_registros[MÊS],$AE$1,tabela_registros[DIA],investirrendafixaconsolidadoabr[[#Headers],[2]],tabela_registros[REGISTRO],DADOS!$N$3,tabela_registros[TIPO],DADOS!$V$3,tabela_registros[CATEGORIA],investirrendafixaconsolidadoabr[[#This Row],[ATUAL]])</calculatedColumnFormula>
    </tableColumn>
    <tableColumn id="4" xr3:uid="{5D182FB3-60ED-4ABB-B7A4-BD900FA972F7}" name="3" totalsRowFunction="sum" dataDxfId="6617" totalsRowDxfId="6616" dataCellStyle="Moeda">
      <calculatedColumnFormula>SUMIFS(tabela_registros[VALOR],tabela_registros[MÊS],$AE$1,tabela_registros[DIA],investirrendafixaconsolidadoabr[[#Headers],[3]],tabela_registros[REGISTRO],DADOS!$N$3,tabela_registros[TIPO],DADOS!$V$3,tabela_registros[CATEGORIA],investirrendafixaconsolidadoabr[[#This Row],[ATUAL]])</calculatedColumnFormula>
    </tableColumn>
    <tableColumn id="5" xr3:uid="{236807D2-4328-4107-B186-88DF79333803}" name="4" totalsRowFunction="sum" dataDxfId="6615" totalsRowDxfId="6614" dataCellStyle="Moeda">
      <calculatedColumnFormula>SUMIFS(tabela_registros[VALOR],tabela_registros[MÊS],$AE$1,tabela_registros[DIA],investirrendafixaconsolidadoabr[[#Headers],[4]],tabela_registros[REGISTRO],DADOS!$N$3,tabela_registros[TIPO],DADOS!$V$3,tabela_registros[CATEGORIA],investirrendafixaconsolidadoabr[[#This Row],[ATUAL]])</calculatedColumnFormula>
    </tableColumn>
    <tableColumn id="6" xr3:uid="{8AE9137B-F663-4A92-9FA8-FA66713798F8}" name="5" totalsRowFunction="sum" dataDxfId="6613" totalsRowDxfId="6612" dataCellStyle="Moeda">
      <calculatedColumnFormula>SUMIFS(tabela_registros[VALOR],tabela_registros[MÊS],$AE$1,tabela_registros[DIA],investirrendafixaconsolidadoabr[[#Headers],[5]],tabela_registros[REGISTRO],DADOS!$N$3,tabela_registros[TIPO],DADOS!$V$3,tabela_registros[CATEGORIA],investirrendafixaconsolidadoabr[[#This Row],[ATUAL]])</calculatedColumnFormula>
    </tableColumn>
    <tableColumn id="7" xr3:uid="{F532B193-F952-44AB-AEFA-6EE278E3C2F8}" name="6" totalsRowFunction="sum" dataDxfId="6611" totalsRowDxfId="6610" dataCellStyle="Moeda">
      <calculatedColumnFormula>SUMIFS(tabela_registros[VALOR],tabela_registros[MÊS],$AE$1,tabela_registros[DIA],investirrendafixaconsolidadoabr[[#Headers],[6]],tabela_registros[REGISTRO],DADOS!$N$3,tabela_registros[TIPO],DADOS!$V$3,tabela_registros[CATEGORIA],investirrendafixaconsolidadoabr[[#This Row],[ATUAL]])</calculatedColumnFormula>
    </tableColumn>
    <tableColumn id="8" xr3:uid="{66F39095-EF41-4A6C-8E3F-732B1D706D93}" name="7" totalsRowFunction="sum" dataDxfId="6609" totalsRowDxfId="6608" dataCellStyle="Moeda">
      <calculatedColumnFormula>SUMIFS(tabela_registros[VALOR],tabela_registros[MÊS],$AE$1,tabela_registros[DIA],investirrendafixaconsolidadoabr[[#Headers],[7]],tabela_registros[REGISTRO],DADOS!$N$3,tabela_registros[TIPO],DADOS!$V$3,tabela_registros[CATEGORIA],investirrendafixaconsolidadoabr[[#This Row],[ATUAL]])</calculatedColumnFormula>
    </tableColumn>
    <tableColumn id="9" xr3:uid="{F8E75BA1-4F55-47F6-9260-45DB5C78884A}" name="8" totalsRowFunction="sum" dataDxfId="6607" totalsRowDxfId="6606" dataCellStyle="Moeda">
      <calculatedColumnFormula>SUMIFS(tabela_registros[VALOR],tabela_registros[MÊS],$AE$1,tabela_registros[DIA],investirrendafixaconsolidadoabr[[#Headers],[8]],tabela_registros[REGISTRO],DADOS!$N$3,tabela_registros[TIPO],DADOS!$V$3,tabela_registros[CATEGORIA],investirrendafixaconsolidadoabr[[#This Row],[ATUAL]])</calculatedColumnFormula>
    </tableColumn>
    <tableColumn id="10" xr3:uid="{7810E348-66A6-451F-BFAC-604300DCF8FA}" name="9" totalsRowFunction="sum" dataDxfId="6605" totalsRowDxfId="6604" dataCellStyle="Moeda">
      <calculatedColumnFormula>SUMIFS(tabela_registros[VALOR],tabela_registros[MÊS],$AE$1,tabela_registros[DIA],investirrendafixaconsolidadoabr[[#Headers],[9]],tabela_registros[REGISTRO],DADOS!$N$3,tabela_registros[TIPO],DADOS!$V$3,tabela_registros[CATEGORIA],investirrendafixaconsolidadoabr[[#This Row],[ATUAL]])</calculatedColumnFormula>
    </tableColumn>
    <tableColumn id="11" xr3:uid="{5B664270-322B-4192-9AE1-D8F516CDCD2A}" name="10" totalsRowFunction="sum" dataDxfId="6603" totalsRowDxfId="6602" dataCellStyle="Moeda">
      <calculatedColumnFormula>SUMIFS(tabela_registros[VALOR],tabela_registros[MÊS],$AE$1,tabela_registros[DIA],investirrendafixaconsolidadoabr[[#Headers],[10]],tabela_registros[REGISTRO],DADOS!$N$3,tabela_registros[TIPO],DADOS!$V$3,tabela_registros[CATEGORIA],investirrendafixaconsolidadoabr[[#This Row],[ATUAL]])</calculatedColumnFormula>
    </tableColumn>
    <tableColumn id="12" xr3:uid="{414EA76A-EC30-4A29-8130-33D7957AE01D}" name="11" totalsRowFunction="sum" dataDxfId="6601" totalsRowDxfId="6600" dataCellStyle="Moeda">
      <calculatedColumnFormula>SUMIFS(tabela_registros[VALOR],tabela_registros[MÊS],$AE$1,tabela_registros[DIA],investirrendafixaconsolidadoabr[[#Headers],[11]],tabela_registros[REGISTRO],DADOS!$N$3,tabela_registros[TIPO],DADOS!$V$3,tabela_registros[CATEGORIA],investirrendafixaconsolidadoabr[[#This Row],[ATUAL]])</calculatedColumnFormula>
    </tableColumn>
    <tableColumn id="13" xr3:uid="{4FA979F2-DDC6-43CE-BA1E-CA6C5554C5F2}" name="12" totalsRowFunction="sum" dataDxfId="6599" totalsRowDxfId="6598" dataCellStyle="Moeda">
      <calculatedColumnFormula>SUMIFS(tabela_registros[VALOR],tabela_registros[MÊS],$AE$1,tabela_registros[DIA],investirrendafixaconsolidadoabr[[#Headers],[12]],tabela_registros[REGISTRO],DADOS!$N$3,tabela_registros[TIPO],DADOS!$V$3,tabela_registros[CATEGORIA],investirrendafixaconsolidadoabr[[#This Row],[ATUAL]])</calculatedColumnFormula>
    </tableColumn>
    <tableColumn id="14" xr3:uid="{F79977A5-6BCC-45AA-8C61-83CE15846181}" name="13" totalsRowFunction="sum" dataDxfId="6597" totalsRowDxfId="6596" dataCellStyle="Moeda">
      <calculatedColumnFormula>SUMIFS(tabela_registros[VALOR],tabela_registros[MÊS],$AE$1,tabela_registros[DIA],investirrendafixaconsolidadoabr[[#Headers],[13]],tabela_registros[REGISTRO],DADOS!$N$3,tabela_registros[TIPO],DADOS!$V$3,tabela_registros[CATEGORIA],investirrendafixaconsolidadoabr[[#This Row],[ATUAL]])</calculatedColumnFormula>
    </tableColumn>
    <tableColumn id="15" xr3:uid="{3F12EC3B-FEF7-41B0-A422-3B69C46A5715}" name="14" totalsRowFunction="sum" dataDxfId="6595" totalsRowDxfId="6594" dataCellStyle="Moeda">
      <calculatedColumnFormula>SUMIFS(tabela_registros[VALOR],tabela_registros[MÊS],$AE$1,tabela_registros[DIA],investirrendafixaconsolidadoabr[[#Headers],[14]],tabela_registros[REGISTRO],DADOS!$N$3,tabela_registros[TIPO],DADOS!$V$3,tabela_registros[CATEGORIA],investirrendafixaconsolidadoabr[[#This Row],[ATUAL]])</calculatedColumnFormula>
    </tableColumn>
    <tableColumn id="16" xr3:uid="{C2EB3594-FAE5-4C57-87EC-27499D803A71}" name="15" totalsRowFunction="sum" dataDxfId="6593" totalsRowDxfId="6592" dataCellStyle="Moeda">
      <calculatedColumnFormula>SUMIFS(tabela_registros[VALOR],tabela_registros[MÊS],$AE$1,tabela_registros[DIA],investirrendafixaconsolidadoabr[[#Headers],[15]],tabela_registros[REGISTRO],DADOS!$N$3,tabela_registros[TIPO],DADOS!$V$3,tabela_registros[CATEGORIA],investirrendafixaconsolidadoabr[[#This Row],[ATUAL]])</calculatedColumnFormula>
    </tableColumn>
    <tableColumn id="17" xr3:uid="{03DCFE54-AF61-4C7C-BC0C-4159E5F9B947}" name="16" totalsRowFunction="sum" dataDxfId="6591" totalsRowDxfId="6590" dataCellStyle="Moeda">
      <calculatedColumnFormula>SUMIFS(tabela_registros[VALOR],tabela_registros[MÊS],$AE$1,tabela_registros[DIA],investirrendafixaconsolidadoabr[[#Headers],[16]],tabela_registros[REGISTRO],DADOS!$N$3,tabela_registros[TIPO],DADOS!$V$3,tabela_registros[CATEGORIA],investirrendafixaconsolidadoabr[[#This Row],[ATUAL]])</calculatedColumnFormula>
    </tableColumn>
    <tableColumn id="18" xr3:uid="{F26818CC-6DD1-4E0A-99DF-D042A71AC313}" name="17" totalsRowFunction="sum" dataDxfId="6589" totalsRowDxfId="6588" dataCellStyle="Moeda">
      <calculatedColumnFormula>SUMIFS(tabela_registros[VALOR],tabela_registros[MÊS],$AE$1,tabela_registros[DIA],investirrendafixaconsolidadoabr[[#Headers],[17]],tabela_registros[REGISTRO],DADOS!$N$3,tabela_registros[TIPO],DADOS!$V$3,tabela_registros[CATEGORIA],investirrendafixaconsolidadoabr[[#This Row],[ATUAL]])</calculatedColumnFormula>
    </tableColumn>
    <tableColumn id="19" xr3:uid="{3F43FEC6-D4F7-46A3-A354-741160337EE9}" name="18" totalsRowFunction="sum" dataDxfId="6587" totalsRowDxfId="6586" dataCellStyle="Moeda">
      <calculatedColumnFormula>SUMIFS(tabela_registros[VALOR],tabela_registros[MÊS],$AE$1,tabela_registros[DIA],investirrendafixaconsolidadoabr[[#Headers],[18]],tabela_registros[REGISTRO],DADOS!$N$3,tabela_registros[TIPO],DADOS!$V$3,tabela_registros[CATEGORIA],investirrendafixaconsolidadoabr[[#This Row],[ATUAL]])</calculatedColumnFormula>
    </tableColumn>
    <tableColumn id="20" xr3:uid="{AA428F00-BC5A-4418-89AE-90E8CAE10B3D}" name="19" totalsRowFunction="sum" dataDxfId="6585" totalsRowDxfId="6584" dataCellStyle="Moeda">
      <calculatedColumnFormula>SUMIFS(tabela_registros[VALOR],tabela_registros[MÊS],$AE$1,tabela_registros[DIA],investirrendafixaconsolidadoabr[[#Headers],[19]],tabela_registros[REGISTRO],DADOS!$N$3,tabela_registros[TIPO],DADOS!$V$3,tabela_registros[CATEGORIA],investirrendafixaconsolidadoabr[[#This Row],[ATUAL]])</calculatedColumnFormula>
    </tableColumn>
    <tableColumn id="21" xr3:uid="{C74197EA-05A0-43D8-B662-C5DF3FED993C}" name="20" totalsRowFunction="sum" dataDxfId="6583" totalsRowDxfId="6582" dataCellStyle="Moeda">
      <calculatedColumnFormula>SUMIFS(tabela_registros[VALOR],tabela_registros[MÊS],$AE$1,tabela_registros[DIA],investirrendafixaconsolidadoabr[[#Headers],[20]],tabela_registros[REGISTRO],DADOS!$N$3,tabela_registros[TIPO],DADOS!$V$3,tabela_registros[CATEGORIA],investirrendafixaconsolidadoabr[[#This Row],[ATUAL]])</calculatedColumnFormula>
    </tableColumn>
    <tableColumn id="22" xr3:uid="{3C56B70B-3015-49BB-B9BD-97E3CB3AB00F}" name="21" totalsRowFunction="sum" dataDxfId="6581" totalsRowDxfId="6580" dataCellStyle="Moeda">
      <calculatedColumnFormula>SUMIFS(tabela_registros[VALOR],tabela_registros[MÊS],$AE$1,tabela_registros[DIA],investirrendafixaconsolidadoabr[[#Headers],[21]],tabela_registros[REGISTRO],DADOS!$N$3,tabela_registros[TIPO],DADOS!$V$3,tabela_registros[CATEGORIA],investirrendafixaconsolidadoabr[[#This Row],[ATUAL]])</calculatedColumnFormula>
    </tableColumn>
    <tableColumn id="23" xr3:uid="{9B8CA80D-3788-4AF8-9D58-5841DDD0E2EA}" name="22" totalsRowFunction="sum" dataDxfId="6579" totalsRowDxfId="6578" dataCellStyle="Moeda">
      <calculatedColumnFormula>SUMIFS(tabela_registros[VALOR],tabela_registros[MÊS],$AE$1,tabela_registros[DIA],investirrendafixaconsolidadoabr[[#Headers],[22]],tabela_registros[REGISTRO],DADOS!$N$3,tabela_registros[TIPO],DADOS!$V$3,tabela_registros[CATEGORIA],investirrendafixaconsolidadoabr[[#This Row],[ATUAL]])</calculatedColumnFormula>
    </tableColumn>
    <tableColumn id="24" xr3:uid="{C1F9F381-CC06-4DF2-9DFE-40EAAD8384CE}" name="23" totalsRowFunction="sum" dataDxfId="6577" totalsRowDxfId="6576" dataCellStyle="Moeda">
      <calculatedColumnFormula>SUMIFS(tabela_registros[VALOR],tabela_registros[MÊS],$AE$1,tabela_registros[DIA],investirrendafixaconsolidadoabr[[#Headers],[23]],tabela_registros[REGISTRO],DADOS!$N$3,tabela_registros[TIPO],DADOS!$V$3,tabela_registros[CATEGORIA],investirrendafixaconsolidadoabr[[#This Row],[ATUAL]])</calculatedColumnFormula>
    </tableColumn>
    <tableColumn id="25" xr3:uid="{106851E5-D75E-4735-B001-560618C7D6CD}" name="24" totalsRowFunction="sum" dataDxfId="6575" totalsRowDxfId="6574" dataCellStyle="Moeda">
      <calculatedColumnFormula>SUMIFS(tabela_registros[VALOR],tabela_registros[MÊS],$AE$1,tabela_registros[DIA],investirrendafixaconsolidadoabr[[#Headers],[24]],tabela_registros[REGISTRO],DADOS!$N$3,tabela_registros[TIPO],DADOS!$V$3,tabela_registros[CATEGORIA],investirrendafixaconsolidadoabr[[#This Row],[ATUAL]])</calculatedColumnFormula>
    </tableColumn>
    <tableColumn id="26" xr3:uid="{816EEE97-A347-4F98-8B94-F30E0B52ABB9}" name="25" totalsRowFunction="sum" dataDxfId="6573" totalsRowDxfId="6572" dataCellStyle="Moeda">
      <calculatedColumnFormula>SUMIFS(tabela_registros[VALOR],tabela_registros[MÊS],$AE$1,tabela_registros[DIA],investirrendafixaconsolidadoabr[[#Headers],[25]],tabela_registros[REGISTRO],DADOS!$N$3,tabela_registros[TIPO],DADOS!$V$3,tabela_registros[CATEGORIA],investirrendafixaconsolidadoabr[[#This Row],[ATUAL]])</calculatedColumnFormula>
    </tableColumn>
    <tableColumn id="27" xr3:uid="{88E274A1-0E95-49F2-AAC7-2B0D420B40C7}" name="26" totalsRowFunction="sum" dataDxfId="6571" totalsRowDxfId="6570" dataCellStyle="Moeda">
      <calculatedColumnFormula>SUMIFS(tabela_registros[VALOR],tabela_registros[MÊS],$AE$1,tabela_registros[DIA],investirrendafixaconsolidadoabr[[#Headers],[26]],tabela_registros[REGISTRO],DADOS!$N$3,tabela_registros[TIPO],DADOS!$V$3,tabela_registros[CATEGORIA],investirrendafixaconsolidadoabr[[#This Row],[ATUAL]])</calculatedColumnFormula>
    </tableColumn>
    <tableColumn id="28" xr3:uid="{CA3ABB81-0600-427A-B4AA-DF77C4971420}" name="27" totalsRowFunction="sum" dataDxfId="6569" totalsRowDxfId="6568" dataCellStyle="Moeda">
      <calculatedColumnFormula>SUMIFS(tabela_registros[VALOR],tabela_registros[MÊS],$AE$1,tabela_registros[DIA],investirrendafixaconsolidadoabr[[#Headers],[27]],tabela_registros[REGISTRO],DADOS!$N$3,tabela_registros[TIPO],DADOS!$V$3,tabela_registros[CATEGORIA],investirrendafixaconsolidadoabr[[#This Row],[ATUAL]])</calculatedColumnFormula>
    </tableColumn>
    <tableColumn id="29" xr3:uid="{B60FB249-B4BC-40E9-8D1D-0A6B6C70A255}" name="28" totalsRowFunction="sum" dataDxfId="6567" totalsRowDxfId="6566" dataCellStyle="Moeda">
      <calculatedColumnFormula>SUMIFS(tabela_registros[VALOR],tabela_registros[MÊS],$AE$1,tabela_registros[DIA],investirrendafixaconsolidadoabr[[#Headers],[28]],tabela_registros[REGISTRO],DADOS!$N$3,tabela_registros[TIPO],DADOS!$V$3,tabela_registros[CATEGORIA],investirrendafixaconsolidadoabr[[#This Row],[ATUAL]])</calculatedColumnFormula>
    </tableColumn>
    <tableColumn id="30" xr3:uid="{0BC2AA6A-C624-4B6C-8908-F0C47740D20D}" name="29" totalsRowFunction="sum" dataDxfId="6565" totalsRowDxfId="6564" dataCellStyle="Moeda">
      <calculatedColumnFormula>SUMIFS(tabela_registros[VALOR],tabela_registros[MÊS],$AE$1,tabela_registros[DIA],investirrendafixaconsolidadoabr[[#Headers],[29]],tabela_registros[REGISTRO],DADOS!$N$3,tabela_registros[TIPO],DADOS!$V$3,tabela_registros[CATEGORIA],investirrendafixaconsolidadoabr[[#This Row],[ATUAL]])</calculatedColumnFormula>
    </tableColumn>
    <tableColumn id="31" xr3:uid="{959E3EC2-02B5-4312-A9EA-6B6B1DE56468}" name="30" totalsRowFunction="sum" dataDxfId="6563" totalsRowDxfId="6562" dataCellStyle="Moeda">
      <calculatedColumnFormula>SUMIFS(tabela_registros[VALOR],tabela_registros[MÊS],$AE$1,tabela_registros[DIA],investirrendafixaconsolidadoabr[[#Headers],[30]],tabela_registros[REGISTRO],DADOS!$N$3,tabela_registros[TIPO],DADOS!$V$3,tabela_registros[CATEGORIA],investirrendafixaconsolidadoabr[[#This Row],[ATUAL]])</calculatedColumnFormula>
    </tableColumn>
    <tableColumn id="32" xr3:uid="{A365C5D2-112B-45DA-9980-783BCA6660CF}" name="31" totalsRowFunction="sum" dataDxfId="6561" totalsRowDxfId="6560" dataCellStyle="Moeda">
      <calculatedColumnFormula>SUMIFS(tabela_registros[VALOR],tabela_registros[MÊS],$AE$1,tabela_registros[DIA],investirrendafixaconsolidadoabr[[#Headers],[31]],tabela_registros[REGISTRO],DADOS!$N$3,tabela_registros[TIPO],DADOS!$V$3,tabela_registros[CATEGORIA],investirrendafixaconsolidadoabr[[#This Row],[ATUAL]])</calculatedColumnFormula>
    </tableColumn>
    <tableColumn id="33" xr3:uid="{2CB90E95-63D9-4FA3-B028-AF20047DF1FC}" name="TOTAL (R$)" totalsRowFunction="sum" dataDxfId="6559" dataCellStyle="Moeda">
      <calculatedColumnFormula>SUM(investirrendafixaconsolidadoabr[[#This Row],[1]:[31]])</calculatedColumnFormula>
    </tableColumn>
  </tableColumns>
  <tableStyleInfo name="TABELAS RESULTADOS" showFirstColumn="0" showLastColumn="0" showRowStripes="1" showColumnStripes="0"/>
</table>
</file>

<file path=xl/tables/table5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1" xr:uid="{09FAC700-1BFC-47A5-8416-C1C1A277D34C}" name="investirrendavariávelconsolidadoabr" displayName="investirrendavariávelconsolidadoabr" ref="C131:AJ142" headerRowDxfId="6558" dataDxfId="6557" totalsRowDxfId="6556">
  <autoFilter ref="C131:AJ142" xr:uid="{08F8225F-86FE-4857-B00A-7406490FE1C1}"/>
  <tableColumns count="34">
    <tableColumn id="1" xr3:uid="{17B1DE84-F221-4A8A-B436-D5A00371A4D9}" name="ATUAL" totalsRowLabel="SALDO" dataDxfId="6555"/>
    <tableColumn id="34" xr3:uid="{BB7A3EBF-AE77-4848-AFB6-1B7E0F195956}" name="Coluna1" dataDxfId="6554" totalsRowDxfId="6553">
      <calculatedColumnFormula>IF(investirrendavariávelconsolidadoabr[[#This Row],[TOTAL (R$)]]=0,"",IF(OR(investirrendavariávelconsolidadoabr[[#This Row],[TOTAL (R$)]]=LARGE($AJ$132:$AJ$141,1),investirrendavariávelconsolidadoabr[[#This Row],[TOTAL (R$)]]=LARGE($AJ$132:$AJ$141,2)),DADOS!$I$10,""))</calculatedColumnFormula>
    </tableColumn>
    <tableColumn id="2" xr3:uid="{F5A7C708-4607-45AE-B827-5F5D25804611}" name="1" totalsRowFunction="sum" dataDxfId="6552" dataCellStyle="Moeda"/>
    <tableColumn id="3" xr3:uid="{940B5E8D-4A8A-4A09-BEEB-4997B12D9118}" name="2" totalsRowFunction="sum" dataDxfId="6551" dataCellStyle="Moeda">
      <calculatedColumnFormula>SUMIFS(tabela_registros[VALOR],tabela_registros[MÊS],$AE$1,tabela_registros[DIA],investirrendavariávelconsolidadoabr[[#Headers],[2]],tabela_registros[REGISTRO],DADOS!$N$3,tabela_registros[TIPO],DADOS!$V$3,tabela_registros[CATEGORIA],investirrendavariávelconsolidadoabr[[#This Row],[ATUAL]])</calculatedColumnFormula>
    </tableColumn>
    <tableColumn id="4" xr3:uid="{B6BF3D28-B49F-42AF-9CAE-36779F36F9EC}" name="3" totalsRowFunction="sum" dataDxfId="6550" totalsRowDxfId="6549" dataCellStyle="Moeda">
      <calculatedColumnFormula>SUMIFS(tabela_registros[VALOR],tabela_registros[MÊS],$AE$1,tabela_registros[DIA],investirrendavariávelconsolidadoabr[[#Headers],[3]],tabela_registros[REGISTRO],DADOS!$N$3,tabela_registros[TIPO],DADOS!$V$3,tabela_registros[CATEGORIA],investirrendavariávelconsolidadoabr[[#This Row],[ATUAL]])</calculatedColumnFormula>
    </tableColumn>
    <tableColumn id="5" xr3:uid="{3FDD77DD-2CEC-4B91-A062-89D0636BB6C4}" name="4" totalsRowFunction="sum" dataDxfId="6548" totalsRowDxfId="6547" dataCellStyle="Moeda">
      <calculatedColumnFormula>SUMIFS(tabela_registros[VALOR],tabela_registros[MÊS],$AE$1,tabela_registros[DIA],investirrendavariávelconsolidadoabr[[#Headers],[4]],tabela_registros[REGISTRO],DADOS!$N$3,tabela_registros[TIPO],DADOS!$V$3,tabela_registros[CATEGORIA],investirrendavariávelconsolidadoabr[[#This Row],[ATUAL]])</calculatedColumnFormula>
    </tableColumn>
    <tableColumn id="6" xr3:uid="{D579F476-82EE-4389-9D8F-84D20856FDA9}" name="5" totalsRowFunction="sum" dataDxfId="6546" totalsRowDxfId="6545" dataCellStyle="Moeda">
      <calculatedColumnFormula>SUMIFS(tabela_registros[VALOR],tabela_registros[MÊS],$AE$1,tabela_registros[DIA],investirrendavariávelconsolidadoabr[[#Headers],[5]],tabela_registros[REGISTRO],DADOS!$N$3,tabela_registros[TIPO],DADOS!$V$3,tabela_registros[CATEGORIA],investirrendavariávelconsolidadoabr[[#This Row],[ATUAL]])</calculatedColumnFormula>
    </tableColumn>
    <tableColumn id="7" xr3:uid="{9F56B990-8B56-4FEB-B395-94C4C7D8FC0D}" name="6" totalsRowFunction="sum" dataDxfId="6544" totalsRowDxfId="6543" dataCellStyle="Moeda">
      <calculatedColumnFormula>SUMIFS(tabela_registros[VALOR],tabela_registros[MÊS],$AE$1,tabela_registros[DIA],investirrendavariávelconsolidadoabr[[#Headers],[6]],tabela_registros[REGISTRO],DADOS!$N$3,tabela_registros[TIPO],DADOS!$V$3,tabela_registros[CATEGORIA],investirrendavariávelconsolidadoabr[[#This Row],[ATUAL]])</calculatedColumnFormula>
    </tableColumn>
    <tableColumn id="8" xr3:uid="{EB3A48D1-D5CB-4DF5-8569-53A8A69E8FB2}" name="7" totalsRowFunction="sum" dataDxfId="6542" totalsRowDxfId="6541" dataCellStyle="Moeda">
      <calculatedColumnFormula>SUMIFS(tabela_registros[VALOR],tabela_registros[MÊS],$AE$1,tabela_registros[DIA],investirrendavariávelconsolidadoabr[[#Headers],[7]],tabela_registros[REGISTRO],DADOS!$N$3,tabela_registros[TIPO],DADOS!$V$3,tabela_registros[CATEGORIA],investirrendavariávelconsolidadoabr[[#This Row],[ATUAL]])</calculatedColumnFormula>
    </tableColumn>
    <tableColumn id="9" xr3:uid="{A040F563-1DEE-4AA8-9732-BD2C87793745}" name="8" totalsRowFunction="sum" dataDxfId="6540" totalsRowDxfId="6539" dataCellStyle="Moeda">
      <calculatedColumnFormula>SUMIFS(tabela_registros[VALOR],tabela_registros[MÊS],$AE$1,tabela_registros[DIA],investirrendavariávelconsolidadoabr[[#Headers],[8]],tabela_registros[REGISTRO],DADOS!$N$3,tabela_registros[TIPO],DADOS!$V$3,tabela_registros[CATEGORIA],investirrendavariávelconsolidadoabr[[#This Row],[ATUAL]])</calculatedColumnFormula>
    </tableColumn>
    <tableColumn id="10" xr3:uid="{B59A0DAA-E122-4C07-9621-CAD696208AF0}" name="9" totalsRowFunction="sum" dataDxfId="6538" totalsRowDxfId="6537" dataCellStyle="Moeda">
      <calculatedColumnFormula>SUMIFS(tabela_registros[VALOR],tabela_registros[MÊS],$AE$1,tabela_registros[DIA],investirrendavariávelconsolidadoabr[[#Headers],[9]],tabela_registros[REGISTRO],DADOS!$N$3,tabela_registros[TIPO],DADOS!$V$3,tabela_registros[CATEGORIA],investirrendavariávelconsolidadoabr[[#This Row],[ATUAL]])</calculatedColumnFormula>
    </tableColumn>
    <tableColumn id="11" xr3:uid="{25773926-716F-4EAE-BE8F-1A9EAA40C490}" name="10" totalsRowFunction="sum" dataDxfId="6536" totalsRowDxfId="6535" dataCellStyle="Moeda">
      <calculatedColumnFormula>SUMIFS(tabela_registros[VALOR],tabela_registros[MÊS],$AE$1,tabela_registros[DIA],investirrendavariávelconsolidadoabr[[#Headers],[10]],tabela_registros[REGISTRO],DADOS!$N$3,tabela_registros[TIPO],DADOS!$V$3,tabela_registros[CATEGORIA],investirrendavariávelconsolidadoabr[[#This Row],[ATUAL]])</calculatedColumnFormula>
    </tableColumn>
    <tableColumn id="12" xr3:uid="{97EE8520-9B4B-4E76-86EE-4D1BB61462BF}" name="11" totalsRowFunction="sum" dataDxfId="6534" totalsRowDxfId="6533" dataCellStyle="Moeda">
      <calculatedColumnFormula>SUMIFS(tabela_registros[VALOR],tabela_registros[MÊS],$AE$1,tabela_registros[DIA],investirrendavariávelconsolidadoabr[[#Headers],[11]],tabela_registros[REGISTRO],DADOS!$N$3,tabela_registros[TIPO],DADOS!$V$3,tabela_registros[CATEGORIA],investirrendavariávelconsolidadoabr[[#This Row],[ATUAL]])</calculatedColumnFormula>
    </tableColumn>
    <tableColumn id="13" xr3:uid="{B8E1096A-4964-4BF0-B861-7DA846F969B7}" name="12" totalsRowFunction="sum" dataDxfId="6532" totalsRowDxfId="6531" dataCellStyle="Moeda">
      <calculatedColumnFormula>SUMIFS(tabela_registros[VALOR],tabela_registros[MÊS],$AE$1,tabela_registros[DIA],investirrendavariávelconsolidadoabr[[#Headers],[12]],tabela_registros[REGISTRO],DADOS!$N$3,tabela_registros[TIPO],DADOS!$V$3,tabela_registros[CATEGORIA],investirrendavariávelconsolidadoabr[[#This Row],[ATUAL]])</calculatedColumnFormula>
    </tableColumn>
    <tableColumn id="14" xr3:uid="{90063C65-1328-42C1-9994-09E91846A340}" name="13" totalsRowFunction="sum" dataDxfId="6530" totalsRowDxfId="6529" dataCellStyle="Moeda">
      <calculatedColumnFormula>SUMIFS(tabela_registros[VALOR],tabela_registros[MÊS],$AE$1,tabela_registros[DIA],investirrendavariávelconsolidadoabr[[#Headers],[13]],tabela_registros[REGISTRO],DADOS!$N$3,tabela_registros[TIPO],DADOS!$V$3,tabela_registros[CATEGORIA],investirrendavariávelconsolidadoabr[[#This Row],[ATUAL]])</calculatedColumnFormula>
    </tableColumn>
    <tableColumn id="15" xr3:uid="{041385F8-7AA2-485A-9FC5-AB595F147AE7}" name="14" totalsRowFunction="sum" dataDxfId="6528" totalsRowDxfId="6527" dataCellStyle="Moeda">
      <calculatedColumnFormula>SUMIFS(tabela_registros[VALOR],tabela_registros[MÊS],$AE$1,tabela_registros[DIA],investirrendavariávelconsolidadoabr[[#Headers],[14]],tabela_registros[REGISTRO],DADOS!$N$3,tabela_registros[TIPO],DADOS!$V$3,tabela_registros[CATEGORIA],investirrendavariávelconsolidadoabr[[#This Row],[ATUAL]])</calculatedColumnFormula>
    </tableColumn>
    <tableColumn id="16" xr3:uid="{D52F57D9-BF92-4A24-B149-8EA0CA686500}" name="15" totalsRowFunction="sum" dataDxfId="6526" totalsRowDxfId="6525" dataCellStyle="Moeda">
      <calculatedColumnFormula>SUMIFS(tabela_registros[VALOR],tabela_registros[MÊS],$AE$1,tabela_registros[DIA],investirrendavariávelconsolidadoabr[[#Headers],[15]],tabela_registros[REGISTRO],DADOS!$N$3,tabela_registros[TIPO],DADOS!$V$3,tabela_registros[CATEGORIA],investirrendavariávelconsolidadoabr[[#This Row],[ATUAL]])</calculatedColumnFormula>
    </tableColumn>
    <tableColumn id="17" xr3:uid="{48EA8FA3-DE71-4CF4-96E4-245FC5AFC5C1}" name="16" totalsRowFunction="sum" dataDxfId="6524" totalsRowDxfId="6523" dataCellStyle="Moeda">
      <calculatedColumnFormula>SUMIFS(tabela_registros[VALOR],tabela_registros[MÊS],$AE$1,tabela_registros[DIA],investirrendavariávelconsolidadoabr[[#Headers],[16]],tabela_registros[REGISTRO],DADOS!$N$3,tabela_registros[TIPO],DADOS!$V$3,tabela_registros[CATEGORIA],investirrendavariávelconsolidadoabr[[#This Row],[ATUAL]])</calculatedColumnFormula>
    </tableColumn>
    <tableColumn id="18" xr3:uid="{C875A16E-5E87-4E68-B49D-D6AC259524C9}" name="17" totalsRowFunction="sum" dataDxfId="6522" totalsRowDxfId="6521" dataCellStyle="Moeda">
      <calculatedColumnFormula>SUMIFS(tabela_registros[VALOR],tabela_registros[MÊS],$AE$1,tabela_registros[DIA],investirrendavariávelconsolidadoabr[[#Headers],[17]],tabela_registros[REGISTRO],DADOS!$N$3,tabela_registros[TIPO],DADOS!$V$3,tabela_registros[CATEGORIA],investirrendavariávelconsolidadoabr[[#This Row],[ATUAL]])</calculatedColumnFormula>
    </tableColumn>
    <tableColumn id="19" xr3:uid="{F01F0DFD-D951-4E26-9AF0-B19CEBF769C1}" name="18" totalsRowFunction="sum" dataDxfId="6520" totalsRowDxfId="6519" dataCellStyle="Moeda">
      <calculatedColumnFormula>SUMIFS(tabela_registros[VALOR],tabela_registros[MÊS],$AE$1,tabela_registros[DIA],investirrendavariávelconsolidadoabr[[#Headers],[18]],tabela_registros[REGISTRO],DADOS!$N$3,tabela_registros[TIPO],DADOS!$V$3,tabela_registros[CATEGORIA],investirrendavariávelconsolidadoabr[[#This Row],[ATUAL]])</calculatedColumnFormula>
    </tableColumn>
    <tableColumn id="20" xr3:uid="{52DEF4F5-03DD-42FF-98E4-A651783452FF}" name="19" totalsRowFunction="sum" dataDxfId="6518" totalsRowDxfId="6517" dataCellStyle="Moeda">
      <calculatedColumnFormula>SUMIFS(tabela_registros[VALOR],tabela_registros[MÊS],$AE$1,tabela_registros[DIA],investirrendavariávelconsolidadoabr[[#Headers],[19]],tabela_registros[REGISTRO],DADOS!$N$3,tabela_registros[TIPO],DADOS!$V$3,tabela_registros[CATEGORIA],investirrendavariávelconsolidadoabr[[#This Row],[ATUAL]])</calculatedColumnFormula>
    </tableColumn>
    <tableColumn id="21" xr3:uid="{C86E636E-6727-4737-8263-19F12B48A6C4}" name="20" totalsRowFunction="sum" dataDxfId="6516" totalsRowDxfId="6515" dataCellStyle="Moeda">
      <calculatedColumnFormula>SUMIFS(tabela_registros[VALOR],tabela_registros[MÊS],$AE$1,tabela_registros[DIA],investirrendavariávelconsolidadoabr[[#Headers],[20]],tabela_registros[REGISTRO],DADOS!$N$3,tabela_registros[TIPO],DADOS!$V$3,tabela_registros[CATEGORIA],investirrendavariávelconsolidadoabr[[#This Row],[ATUAL]])</calculatedColumnFormula>
    </tableColumn>
    <tableColumn id="22" xr3:uid="{5A7F1027-25DD-4B62-A5BC-E5FC1FA7BB03}" name="21" totalsRowFunction="sum" dataDxfId="6514" totalsRowDxfId="6513" dataCellStyle="Moeda">
      <calculatedColumnFormula>SUMIFS(tabela_registros[VALOR],tabela_registros[MÊS],$AE$1,tabela_registros[DIA],investirrendavariávelconsolidadoabr[[#Headers],[21]],tabela_registros[REGISTRO],DADOS!$N$3,tabela_registros[TIPO],DADOS!$V$3,tabela_registros[CATEGORIA],investirrendavariávelconsolidadoabr[[#This Row],[ATUAL]])</calculatedColumnFormula>
    </tableColumn>
    <tableColumn id="23" xr3:uid="{3D1C058B-6D55-472A-9B63-B641AE78F51E}" name="22" totalsRowFunction="sum" dataDxfId="6512" totalsRowDxfId="6511" dataCellStyle="Moeda">
      <calculatedColumnFormula>SUMIFS(tabela_registros[VALOR],tabela_registros[MÊS],$AE$1,tabela_registros[DIA],investirrendavariávelconsolidadoabr[[#Headers],[22]],tabela_registros[REGISTRO],DADOS!$N$3,tabela_registros[TIPO],DADOS!$V$3,tabela_registros[CATEGORIA],investirrendavariávelconsolidadoabr[[#This Row],[ATUAL]])</calculatedColumnFormula>
    </tableColumn>
    <tableColumn id="24" xr3:uid="{E435D747-3DF6-44FA-9EAF-C1740821CECA}" name="23" totalsRowFunction="sum" dataDxfId="6510" totalsRowDxfId="6509" dataCellStyle="Moeda">
      <calculatedColumnFormula>SUMIFS(tabela_registros[VALOR],tabela_registros[MÊS],$AE$1,tabela_registros[DIA],investirrendavariávelconsolidadoabr[[#Headers],[23]],tabela_registros[REGISTRO],DADOS!$N$3,tabela_registros[TIPO],DADOS!$V$3,tabela_registros[CATEGORIA],investirrendavariávelconsolidadoabr[[#This Row],[ATUAL]])</calculatedColumnFormula>
    </tableColumn>
    <tableColumn id="25" xr3:uid="{C48AAD96-726F-498D-BC15-BB3FCE159753}" name="24" totalsRowFunction="sum" dataDxfId="6508" totalsRowDxfId="6507" dataCellStyle="Moeda">
      <calculatedColumnFormula>SUMIFS(tabela_registros[VALOR],tabela_registros[MÊS],$AE$1,tabela_registros[DIA],investirrendavariávelconsolidadoabr[[#Headers],[24]],tabela_registros[REGISTRO],DADOS!$N$3,tabela_registros[TIPO],DADOS!$V$3,tabela_registros[CATEGORIA],investirrendavariávelconsolidadoabr[[#This Row],[ATUAL]])</calculatedColumnFormula>
    </tableColumn>
    <tableColumn id="26" xr3:uid="{A4D8BD52-00F7-4575-A1BB-59648E669532}" name="25" totalsRowFunction="sum" dataDxfId="6506" totalsRowDxfId="6505" dataCellStyle="Moeda">
      <calculatedColumnFormula>SUMIFS(tabela_registros[VALOR],tabela_registros[MÊS],$AE$1,tabela_registros[DIA],investirrendavariávelconsolidadoabr[[#Headers],[25]],tabela_registros[REGISTRO],DADOS!$N$3,tabela_registros[TIPO],DADOS!$V$3,tabela_registros[CATEGORIA],investirrendavariávelconsolidadoabr[[#This Row],[ATUAL]])</calculatedColumnFormula>
    </tableColumn>
    <tableColumn id="27" xr3:uid="{DC7DD977-EEC6-4CFE-B134-15F4E080AD87}" name="26" totalsRowFunction="sum" dataDxfId="6504" totalsRowDxfId="6503" dataCellStyle="Moeda">
      <calculatedColumnFormula>SUMIFS(tabela_registros[VALOR],tabela_registros[MÊS],$AE$1,tabela_registros[DIA],investirrendavariávelconsolidadoabr[[#Headers],[26]],tabela_registros[REGISTRO],DADOS!$N$3,tabela_registros[TIPO],DADOS!$V$3,tabela_registros[CATEGORIA],investirrendavariávelconsolidadoabr[[#This Row],[ATUAL]])</calculatedColumnFormula>
    </tableColumn>
    <tableColumn id="28" xr3:uid="{70C23846-AA29-4499-B0F6-D55355E5E6A6}" name="27" totalsRowFunction="sum" dataDxfId="6502" totalsRowDxfId="6501" dataCellStyle="Moeda">
      <calculatedColumnFormula>SUMIFS(tabela_registros[VALOR],tabela_registros[MÊS],$AE$1,tabela_registros[DIA],investirrendavariávelconsolidadoabr[[#Headers],[27]],tabela_registros[REGISTRO],DADOS!$N$3,tabela_registros[TIPO],DADOS!$V$3,tabela_registros[CATEGORIA],investirrendavariávelconsolidadoabr[[#This Row],[ATUAL]])</calculatedColumnFormula>
    </tableColumn>
    <tableColumn id="29" xr3:uid="{AAFAB065-82C2-459E-9FB6-7BF78CB8F0DB}" name="28" totalsRowFunction="sum" dataDxfId="6500" totalsRowDxfId="6499" dataCellStyle="Moeda">
      <calculatedColumnFormula>SUMIFS(tabela_registros[VALOR],tabela_registros[MÊS],$AE$1,tabela_registros[DIA],investirrendavariávelconsolidadoabr[[#Headers],[28]],tabela_registros[REGISTRO],DADOS!$N$3,tabela_registros[TIPO],DADOS!$V$3,tabela_registros[CATEGORIA],investirrendavariávelconsolidadoabr[[#This Row],[ATUAL]])</calculatedColumnFormula>
    </tableColumn>
    <tableColumn id="30" xr3:uid="{CD8FE5C0-70B8-422C-BC30-0E23659D7A40}" name="29" totalsRowFunction="sum" dataDxfId="6498" totalsRowDxfId="6497" dataCellStyle="Moeda">
      <calculatedColumnFormula>SUMIFS(tabela_registros[VALOR],tabela_registros[MÊS],$AE$1,tabela_registros[DIA],investirrendavariávelconsolidadoabr[[#Headers],[29]],tabela_registros[REGISTRO],DADOS!$N$3,tabela_registros[TIPO],DADOS!$V$3,tabela_registros[CATEGORIA],investirrendavariávelconsolidadoabr[[#This Row],[ATUAL]])</calculatedColumnFormula>
    </tableColumn>
    <tableColumn id="31" xr3:uid="{0DF0575B-E8E3-4CC6-8919-56AB7E09E62B}" name="30" totalsRowFunction="sum" dataDxfId="6496" totalsRowDxfId="6495" dataCellStyle="Moeda">
      <calculatedColumnFormula>SUMIFS(tabela_registros[VALOR],tabela_registros[MÊS],$AE$1,tabela_registros[DIA],investirrendavariávelconsolidadoabr[[#Headers],[30]],tabela_registros[REGISTRO],DADOS!$N$3,tabela_registros[TIPO],DADOS!$V$3,tabela_registros[CATEGORIA],investirrendavariávelconsolidadoabr[[#This Row],[ATUAL]])</calculatedColumnFormula>
    </tableColumn>
    <tableColumn id="32" xr3:uid="{1891B855-4E87-4CE4-9CCB-90FFC738C3DC}" name="31" totalsRowFunction="sum" dataDxfId="6494" totalsRowDxfId="6493" dataCellStyle="Moeda">
      <calculatedColumnFormula>SUMIFS(tabela_registros[VALOR],tabela_registros[MÊS],$AE$1,tabela_registros[DIA],investirrendavariávelconsolidadoabr[[#Headers],[31]],tabela_registros[REGISTRO],DADOS!$N$3,tabela_registros[TIPO],DADOS!$V$3,tabela_registros[CATEGORIA],investirrendavariávelconsolidadoabr[[#This Row],[ATUAL]])</calculatedColumnFormula>
    </tableColumn>
    <tableColumn id="33" xr3:uid="{F8915C19-C63E-4217-9E36-1891E0473FD6}" name="TOTAL (R$)" totalsRowFunction="sum" dataDxfId="6492" dataCellStyle="Moeda">
      <calculatedColumnFormula>SUM(investirrendavariávelconsolidadoabr[[#This Row],[1]:[31]])</calculatedColumnFormula>
    </tableColumn>
  </tableColumns>
  <tableStyleInfo name="TABELAS RESULTADOS" showFirstColumn="0" showLastColumn="0" showRowStripes="1" showColumnStripes="0"/>
</table>
</file>

<file path=xl/tables/table5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2" xr:uid="{1BF86F38-5BC6-4B4A-88E4-A2A159AC6DDD}" name="investiroutrosconsolidadoabr" displayName="investiroutrosconsolidadoabr" ref="C150:AJ159" headerRowDxfId="6491" dataDxfId="6490" totalsRowDxfId="6489">
  <autoFilter ref="C150:AJ159" xr:uid="{6183CEF1-477D-4448-9404-9007701FBB5F}"/>
  <tableColumns count="34">
    <tableColumn id="1" xr3:uid="{5DE2FA52-4EE6-4B74-8EA2-574394EEABAD}" name="ATUAL" totalsRowLabel="SALDO" dataDxfId="6488"/>
    <tableColumn id="34" xr3:uid="{D884F9C4-A5A2-4A48-8B53-B64ECBE7751F}" name="Coluna1" dataDxfId="6487" totalsRowDxfId="6486">
      <calculatedColumnFormula>IF(investiroutrosconsolidadoabr[[#This Row],[TOTAL (R$)]]=0,"",IF(OR(investiroutrosconsolidadoabr[[#This Row],[TOTAL (R$)]]=LARGE($AJ$151:$AJ$158,1),investiroutrosconsolidadoabr[[#This Row],[TOTAL (R$)]]=LARGE($AJ$151:$AJ$158,2)),DADOS!$I$10,""))</calculatedColumnFormula>
    </tableColumn>
    <tableColumn id="2" xr3:uid="{7ACA8782-BE05-486E-AF77-9F4FDE1B826C}" name="1" totalsRowFunction="sum" dataDxfId="6485" dataCellStyle="Moeda"/>
    <tableColumn id="3" xr3:uid="{528CAD55-D867-47F7-AFF0-0F4AE2DF8130}" name="2" totalsRowFunction="sum" dataDxfId="6484" dataCellStyle="Moeda">
      <calculatedColumnFormula>SUMIFS(tabela_registros[VALOR],tabela_registros[MÊS],$AE$1,tabela_registros[DIA],investiroutrosconsolidadoabr[[#Headers],[2]],tabela_registros[REGISTRO],DADOS!$N$3,tabela_registros[TIPO],DADOS!$V$3,tabela_registros[CATEGORIA],investiroutrosconsolidadoabr[[#This Row],[ATUAL]])</calculatedColumnFormula>
    </tableColumn>
    <tableColumn id="4" xr3:uid="{5161FEEF-29C1-46EB-882E-FE9E028F0001}" name="3" totalsRowFunction="sum" dataDxfId="6483" totalsRowDxfId="6482" dataCellStyle="Moeda">
      <calculatedColumnFormula>SUMIFS(tabela_registros[VALOR],tabela_registros[MÊS],$AE$1,tabela_registros[DIA],investiroutrosconsolidadoabr[[#Headers],[3]],tabela_registros[REGISTRO],DADOS!$N$3,tabela_registros[TIPO],DADOS!$V$3,tabela_registros[CATEGORIA],investiroutrosconsolidadoabr[[#This Row],[ATUAL]])</calculatedColumnFormula>
    </tableColumn>
    <tableColumn id="5" xr3:uid="{E01140CA-9849-4A40-AE3D-A5879A05C16D}" name="4" totalsRowFunction="sum" dataDxfId="6481" totalsRowDxfId="6480" dataCellStyle="Moeda">
      <calculatedColumnFormula>SUMIFS(tabela_registros[VALOR],tabela_registros[MÊS],$AE$1,tabela_registros[DIA],investiroutrosconsolidadoabr[[#Headers],[4]],tabela_registros[REGISTRO],DADOS!$N$3,tabela_registros[TIPO],DADOS!$V$3,tabela_registros[CATEGORIA],investiroutrosconsolidadoabr[[#This Row],[ATUAL]])</calculatedColumnFormula>
    </tableColumn>
    <tableColumn id="6" xr3:uid="{43C25B4D-0325-4449-85D0-92DB3C4E5044}" name="5" totalsRowFunction="sum" dataDxfId="6479" totalsRowDxfId="6478" dataCellStyle="Moeda">
      <calculatedColumnFormula>SUMIFS(tabela_registros[VALOR],tabela_registros[MÊS],$AE$1,tabela_registros[DIA],investiroutrosconsolidadoabr[[#Headers],[5]],tabela_registros[REGISTRO],DADOS!$N$3,tabela_registros[TIPO],DADOS!$V$3,tabela_registros[CATEGORIA],investiroutrosconsolidadoabr[[#This Row],[ATUAL]])</calculatedColumnFormula>
    </tableColumn>
    <tableColumn id="7" xr3:uid="{800311F5-88B6-4884-A67E-2C01731F9AA1}" name="6" totalsRowFunction="sum" dataDxfId="6477" totalsRowDxfId="6476" dataCellStyle="Moeda">
      <calculatedColumnFormula>SUMIFS(tabela_registros[VALOR],tabela_registros[MÊS],$AE$1,tabela_registros[DIA],investiroutrosconsolidadoabr[[#Headers],[6]],tabela_registros[REGISTRO],DADOS!$N$3,tabela_registros[TIPO],DADOS!$V$3,tabela_registros[CATEGORIA],investiroutrosconsolidadoabr[[#This Row],[ATUAL]])</calculatedColumnFormula>
    </tableColumn>
    <tableColumn id="8" xr3:uid="{000F14DD-37E7-4F27-BC02-FF254F96A8FF}" name="7" totalsRowFunction="sum" dataDxfId="6475" totalsRowDxfId="6474" dataCellStyle="Moeda">
      <calculatedColumnFormula>SUMIFS(tabela_registros[VALOR],tabela_registros[MÊS],$AE$1,tabela_registros[DIA],investiroutrosconsolidadoabr[[#Headers],[7]],tabela_registros[REGISTRO],DADOS!$N$3,tabela_registros[TIPO],DADOS!$V$3,tabela_registros[CATEGORIA],investiroutrosconsolidadoabr[[#This Row],[ATUAL]])</calculatedColumnFormula>
    </tableColumn>
    <tableColumn id="9" xr3:uid="{56794A55-9A01-43A8-A413-EA3FB77248F9}" name="8" totalsRowFunction="sum" dataDxfId="6473" totalsRowDxfId="6472" dataCellStyle="Moeda">
      <calculatedColumnFormula>SUMIFS(tabela_registros[VALOR],tabela_registros[MÊS],$AE$1,tabela_registros[DIA],investiroutrosconsolidadoabr[[#Headers],[8]],tabela_registros[REGISTRO],DADOS!$N$3,tabela_registros[TIPO],DADOS!$V$3,tabela_registros[CATEGORIA],investiroutrosconsolidadoabr[[#This Row],[ATUAL]])</calculatedColumnFormula>
    </tableColumn>
    <tableColumn id="10" xr3:uid="{31B987FF-2827-4025-AE33-D8EF81C5815B}" name="9" totalsRowFunction="sum" dataDxfId="6471" totalsRowDxfId="6470" dataCellStyle="Moeda">
      <calculatedColumnFormula>SUMIFS(tabela_registros[VALOR],tabela_registros[MÊS],$AE$1,tabela_registros[DIA],investiroutrosconsolidadoabr[[#Headers],[9]],tabela_registros[REGISTRO],DADOS!$N$3,tabela_registros[TIPO],DADOS!$V$3,tabela_registros[CATEGORIA],investiroutrosconsolidadoabr[[#This Row],[ATUAL]])</calculatedColumnFormula>
    </tableColumn>
    <tableColumn id="11" xr3:uid="{798E78A1-4D6A-4253-AF0A-CC55BBE78CF8}" name="10" totalsRowFunction="sum" dataDxfId="6469" totalsRowDxfId="6468" dataCellStyle="Moeda">
      <calculatedColumnFormula>SUMIFS(tabela_registros[VALOR],tabela_registros[MÊS],$AE$1,tabela_registros[DIA],investiroutrosconsolidadoabr[[#Headers],[10]],tabela_registros[REGISTRO],DADOS!$N$3,tabela_registros[TIPO],DADOS!$V$3,tabela_registros[CATEGORIA],investiroutrosconsolidadoabr[[#This Row],[ATUAL]])</calculatedColumnFormula>
    </tableColumn>
    <tableColumn id="12" xr3:uid="{65B1B72E-DD2D-4FF1-BC36-FB5C73E5DA00}" name="11" totalsRowFunction="sum" dataDxfId="6467" totalsRowDxfId="6466" dataCellStyle="Moeda">
      <calculatedColumnFormula>SUMIFS(tabela_registros[VALOR],tabela_registros[MÊS],$AE$1,tabela_registros[DIA],investiroutrosconsolidadoabr[[#Headers],[11]],tabela_registros[REGISTRO],DADOS!$N$3,tabela_registros[TIPO],DADOS!$V$3,tabela_registros[CATEGORIA],investiroutrosconsolidadoabr[[#This Row],[ATUAL]])</calculatedColumnFormula>
    </tableColumn>
    <tableColumn id="13" xr3:uid="{4252F86F-24AC-4B7E-A616-4A9A16BFFF9F}" name="12" totalsRowFunction="sum" dataDxfId="6465" totalsRowDxfId="6464" dataCellStyle="Moeda">
      <calculatedColumnFormula>SUMIFS(tabela_registros[VALOR],tabela_registros[MÊS],$AE$1,tabela_registros[DIA],investiroutrosconsolidadoabr[[#Headers],[12]],tabela_registros[REGISTRO],DADOS!$N$3,tabela_registros[TIPO],DADOS!$V$3,tabela_registros[CATEGORIA],investiroutrosconsolidadoabr[[#This Row],[ATUAL]])</calculatedColumnFormula>
    </tableColumn>
    <tableColumn id="14" xr3:uid="{64A602F0-A59D-4FD5-92C2-35ED8DCC7658}" name="13" totalsRowFunction="sum" dataDxfId="6463" totalsRowDxfId="6462" dataCellStyle="Moeda">
      <calculatedColumnFormula>SUMIFS(tabela_registros[VALOR],tabela_registros[MÊS],$AE$1,tabela_registros[DIA],investiroutrosconsolidadoabr[[#Headers],[13]],tabela_registros[REGISTRO],DADOS!$N$3,tabela_registros[TIPO],DADOS!$V$3,tabela_registros[CATEGORIA],investiroutrosconsolidadoabr[[#This Row],[ATUAL]])</calculatedColumnFormula>
    </tableColumn>
    <tableColumn id="15" xr3:uid="{FEB38D5E-D541-45E6-B818-7BF3F71787A6}" name="14" totalsRowFunction="sum" dataDxfId="6461" totalsRowDxfId="6460" dataCellStyle="Moeda">
      <calculatedColumnFormula>SUMIFS(tabela_registros[VALOR],tabela_registros[MÊS],$AE$1,tabela_registros[DIA],investiroutrosconsolidadoabr[[#Headers],[14]],tabela_registros[REGISTRO],DADOS!$N$3,tabela_registros[TIPO],DADOS!$V$3,tabela_registros[CATEGORIA],investiroutrosconsolidadoabr[[#This Row],[ATUAL]])</calculatedColumnFormula>
    </tableColumn>
    <tableColumn id="16" xr3:uid="{2F81D20A-6FF9-4728-86EC-B07AD1135075}" name="15" totalsRowFunction="sum" dataDxfId="6459" totalsRowDxfId="6458" dataCellStyle="Moeda">
      <calculatedColumnFormula>SUMIFS(tabela_registros[VALOR],tabela_registros[MÊS],$AE$1,tabela_registros[DIA],investiroutrosconsolidadoabr[[#Headers],[15]],tabela_registros[REGISTRO],DADOS!$N$3,tabela_registros[TIPO],DADOS!$V$3,tabela_registros[CATEGORIA],investiroutrosconsolidadoabr[[#This Row],[ATUAL]])</calculatedColumnFormula>
    </tableColumn>
    <tableColumn id="17" xr3:uid="{F56E3A04-0126-40DC-B82A-526EC11D2B4A}" name="16" totalsRowFunction="sum" dataDxfId="6457" totalsRowDxfId="6456" dataCellStyle="Moeda">
      <calculatedColumnFormula>SUMIFS(tabela_registros[VALOR],tabela_registros[MÊS],$AE$1,tabela_registros[DIA],investiroutrosconsolidadoabr[[#Headers],[16]],tabela_registros[REGISTRO],DADOS!$N$3,tabela_registros[TIPO],DADOS!$V$3,tabela_registros[CATEGORIA],investiroutrosconsolidadoabr[[#This Row],[ATUAL]])</calculatedColumnFormula>
    </tableColumn>
    <tableColumn id="18" xr3:uid="{3C58F8D8-B576-495B-97DB-C7D8E87696B9}" name="17" totalsRowFunction="sum" dataDxfId="6455" totalsRowDxfId="6454" dataCellStyle="Moeda">
      <calculatedColumnFormula>SUMIFS(tabela_registros[VALOR],tabela_registros[MÊS],$AE$1,tabela_registros[DIA],investiroutrosconsolidadoabr[[#Headers],[17]],tabela_registros[REGISTRO],DADOS!$N$3,tabela_registros[TIPO],DADOS!$V$3,tabela_registros[CATEGORIA],investiroutrosconsolidadoabr[[#This Row],[ATUAL]])</calculatedColumnFormula>
    </tableColumn>
    <tableColumn id="19" xr3:uid="{EAC66A70-069C-4831-8601-A5B9A90C699B}" name="18" totalsRowFunction="sum" dataDxfId="6453" totalsRowDxfId="6452" dataCellStyle="Moeda">
      <calculatedColumnFormula>SUMIFS(tabela_registros[VALOR],tabela_registros[MÊS],$AE$1,tabela_registros[DIA],investiroutrosconsolidadoabr[[#Headers],[18]],tabela_registros[REGISTRO],DADOS!$N$3,tabela_registros[TIPO],DADOS!$V$3,tabela_registros[CATEGORIA],investiroutrosconsolidadoabr[[#This Row],[ATUAL]])</calculatedColumnFormula>
    </tableColumn>
    <tableColumn id="20" xr3:uid="{653EFE46-BD7E-433C-A8B6-5D9D466E27DB}" name="19" totalsRowFunction="sum" dataDxfId="6451" totalsRowDxfId="6450" dataCellStyle="Moeda">
      <calculatedColumnFormula>SUMIFS(tabela_registros[VALOR],tabela_registros[MÊS],$AE$1,tabela_registros[DIA],investiroutrosconsolidadoabr[[#Headers],[19]],tabela_registros[REGISTRO],DADOS!$N$3,tabela_registros[TIPO],DADOS!$V$3,tabela_registros[CATEGORIA],investiroutrosconsolidadoabr[[#This Row],[ATUAL]])</calculatedColumnFormula>
    </tableColumn>
    <tableColumn id="21" xr3:uid="{D3518669-9712-4A50-B921-0D14E69560FD}" name="20" totalsRowFunction="sum" dataDxfId="6449" totalsRowDxfId="6448" dataCellStyle="Moeda">
      <calculatedColumnFormula>SUMIFS(tabela_registros[VALOR],tabela_registros[MÊS],$AE$1,tabela_registros[DIA],investiroutrosconsolidadoabr[[#Headers],[20]],tabela_registros[REGISTRO],DADOS!$N$3,tabela_registros[TIPO],DADOS!$V$3,tabela_registros[CATEGORIA],investiroutrosconsolidadoabr[[#This Row],[ATUAL]])</calculatedColumnFormula>
    </tableColumn>
    <tableColumn id="22" xr3:uid="{AC75F867-9E75-4CAC-A413-EEE4C96A90F9}" name="21" totalsRowFunction="sum" dataDxfId="6447" totalsRowDxfId="6446" dataCellStyle="Moeda">
      <calculatedColumnFormula>SUMIFS(tabela_registros[VALOR],tabela_registros[MÊS],$AE$1,tabela_registros[DIA],investiroutrosconsolidadoabr[[#Headers],[21]],tabela_registros[REGISTRO],DADOS!$N$3,tabela_registros[TIPO],DADOS!$V$3,tabela_registros[CATEGORIA],investiroutrosconsolidadoabr[[#This Row],[ATUAL]])</calculatedColumnFormula>
    </tableColumn>
    <tableColumn id="23" xr3:uid="{9718A3F0-CAC0-440B-AA29-A1F347A89AA8}" name="22" totalsRowFunction="sum" dataDxfId="6445" totalsRowDxfId="6444" dataCellStyle="Moeda">
      <calculatedColumnFormula>SUMIFS(tabela_registros[VALOR],tabela_registros[MÊS],$AE$1,tabela_registros[DIA],investiroutrosconsolidadoabr[[#Headers],[22]],tabela_registros[REGISTRO],DADOS!$N$3,tabela_registros[TIPO],DADOS!$V$3,tabela_registros[CATEGORIA],investiroutrosconsolidadoabr[[#This Row],[ATUAL]])</calculatedColumnFormula>
    </tableColumn>
    <tableColumn id="24" xr3:uid="{6164B86C-BF20-4801-A8A5-2F33ADFA3842}" name="23" totalsRowFunction="sum" dataDxfId="6443" totalsRowDxfId="6442" dataCellStyle="Moeda">
      <calculatedColumnFormula>SUMIFS(tabela_registros[VALOR],tabela_registros[MÊS],$AE$1,tabela_registros[DIA],investiroutrosconsolidadoabr[[#Headers],[23]],tabela_registros[REGISTRO],DADOS!$N$3,tabela_registros[TIPO],DADOS!$V$3,tabela_registros[CATEGORIA],investiroutrosconsolidadoabr[[#This Row],[ATUAL]])</calculatedColumnFormula>
    </tableColumn>
    <tableColumn id="25" xr3:uid="{646889F5-6629-481D-8B8C-7123FA136057}" name="24" totalsRowFunction="sum" dataDxfId="6441" totalsRowDxfId="6440" dataCellStyle="Moeda">
      <calculatedColumnFormula>SUMIFS(tabela_registros[VALOR],tabela_registros[MÊS],$AE$1,tabela_registros[DIA],investiroutrosconsolidadoabr[[#Headers],[24]],tabela_registros[REGISTRO],DADOS!$N$3,tabela_registros[TIPO],DADOS!$V$3,tabela_registros[CATEGORIA],investiroutrosconsolidadoabr[[#This Row],[ATUAL]])</calculatedColumnFormula>
    </tableColumn>
    <tableColumn id="26" xr3:uid="{F3CBE737-E4AB-4EBB-AF48-8AAE31EED9F0}" name="25" totalsRowFunction="sum" dataDxfId="6439" totalsRowDxfId="6438" dataCellStyle="Moeda">
      <calculatedColumnFormula>SUMIFS(tabela_registros[VALOR],tabela_registros[MÊS],$AE$1,tabela_registros[DIA],investiroutrosconsolidadoabr[[#Headers],[25]],tabela_registros[REGISTRO],DADOS!$N$3,tabela_registros[TIPO],DADOS!$V$3,tabela_registros[CATEGORIA],investiroutrosconsolidadoabr[[#This Row],[ATUAL]])</calculatedColumnFormula>
    </tableColumn>
    <tableColumn id="27" xr3:uid="{E69FA684-95D1-4B28-A45F-294477E3DB91}" name="26" totalsRowFunction="sum" dataDxfId="6437" totalsRowDxfId="6436" dataCellStyle="Moeda">
      <calculatedColumnFormula>SUMIFS(tabela_registros[VALOR],tabela_registros[MÊS],$AE$1,tabela_registros[DIA],investiroutrosconsolidadoabr[[#Headers],[26]],tabela_registros[REGISTRO],DADOS!$N$3,tabela_registros[TIPO],DADOS!$V$3,tabela_registros[CATEGORIA],investiroutrosconsolidadoabr[[#This Row],[ATUAL]])</calculatedColumnFormula>
    </tableColumn>
    <tableColumn id="28" xr3:uid="{47452765-5D51-4CB1-AC4A-F1603F23E546}" name="27" totalsRowFunction="sum" dataDxfId="6435" totalsRowDxfId="6434" dataCellStyle="Moeda">
      <calculatedColumnFormula>SUMIFS(tabela_registros[VALOR],tabela_registros[MÊS],$AE$1,tabela_registros[DIA],investiroutrosconsolidadoabr[[#Headers],[27]],tabela_registros[REGISTRO],DADOS!$N$3,tabela_registros[TIPO],DADOS!$V$3,tabela_registros[CATEGORIA],investiroutrosconsolidadoabr[[#This Row],[ATUAL]])</calculatedColumnFormula>
    </tableColumn>
    <tableColumn id="29" xr3:uid="{11128928-EDF0-4030-8785-2D397B0679CE}" name="28" totalsRowFunction="sum" dataDxfId="6433" totalsRowDxfId="6432" dataCellStyle="Moeda">
      <calculatedColumnFormula>SUMIFS(tabela_registros[VALOR],tabela_registros[MÊS],$AE$1,tabela_registros[DIA],investiroutrosconsolidadoabr[[#Headers],[28]],tabela_registros[REGISTRO],DADOS!$N$3,tabela_registros[TIPO],DADOS!$V$3,tabela_registros[CATEGORIA],investiroutrosconsolidadoabr[[#This Row],[ATUAL]])</calculatedColumnFormula>
    </tableColumn>
    <tableColumn id="30" xr3:uid="{3BC50C82-9E46-46DC-95D5-433A912B3DB6}" name="29" totalsRowFunction="sum" dataDxfId="6431" totalsRowDxfId="6430" dataCellStyle="Moeda">
      <calculatedColumnFormula>SUMIFS(tabela_registros[VALOR],tabela_registros[MÊS],$AE$1,tabela_registros[DIA],investiroutrosconsolidadoabr[[#Headers],[29]],tabela_registros[REGISTRO],DADOS!$N$3,tabela_registros[TIPO],DADOS!$V$3,tabela_registros[CATEGORIA],investiroutrosconsolidadoabr[[#This Row],[ATUAL]])</calculatedColumnFormula>
    </tableColumn>
    <tableColumn id="31" xr3:uid="{24B66B7D-386B-4CDA-863E-AAB5FB81136B}" name="30" totalsRowFunction="sum" dataDxfId="6429" totalsRowDxfId="6428" dataCellStyle="Moeda">
      <calculatedColumnFormula>SUMIFS(tabela_registros[VALOR],tabela_registros[MÊS],$AE$1,tabela_registros[DIA],investiroutrosconsolidadoabr[[#Headers],[30]],tabela_registros[REGISTRO],DADOS!$N$3,tabela_registros[TIPO],DADOS!$V$3,tabela_registros[CATEGORIA],investiroutrosconsolidadoabr[[#This Row],[ATUAL]])</calculatedColumnFormula>
    </tableColumn>
    <tableColumn id="32" xr3:uid="{027A0622-E137-49B1-81CC-4193A4B3E4DB}" name="31" totalsRowFunction="sum" dataDxfId="6427" totalsRowDxfId="6426" dataCellStyle="Moeda">
      <calculatedColumnFormula>SUMIFS(tabela_registros[VALOR],tabela_registros[MÊS],$AE$1,tabela_registros[DIA],investiroutrosconsolidadoabr[[#Headers],[31]],tabela_registros[REGISTRO],DADOS!$N$3,tabela_registros[TIPO],DADOS!$V$3,tabela_registros[CATEGORIA],investiroutrosconsolidadoabr[[#This Row],[ATUAL]])</calculatedColumnFormula>
    </tableColumn>
    <tableColumn id="33" xr3:uid="{B15FD897-EE8F-4220-8709-76F4F54C9E2E}" name="TOTAL (R$)" totalsRowFunction="sum" dataDxfId="6425" dataCellStyle="Moeda">
      <calculatedColumnFormula>SUM(investiroutrosconsolidadoabr[[#This Row],[1]:[31]])</calculatedColumnFormula>
    </tableColumn>
  </tableColumns>
  <tableStyleInfo name="TABELAS RESULTADOS" showFirstColumn="0" showLastColumn="0" showRowStripes="1" showColumnStripes="0"/>
</table>
</file>

<file path=xl/tables/table5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3" xr:uid="{8F4806A7-06B8-41CF-8ABD-BC29F45944C4}" name="reservafixaconsolidadoabr" displayName="reservafixaconsolidadoabr" ref="C167:AJ178" headerRowDxfId="6424" dataDxfId="6423" totalsRowDxfId="6422">
  <autoFilter ref="C167:AJ178" xr:uid="{CDBD73CF-1633-4509-BA0C-4B73FF7E50BA}"/>
  <tableColumns count="34">
    <tableColumn id="1" xr3:uid="{850A5685-E07F-4B95-8FAB-9528DDF64BBD}" name="ATUAL" totalsRowLabel="SALDO" dataDxfId="6421"/>
    <tableColumn id="34" xr3:uid="{8D82057C-09B0-456F-A9CD-5D0642D3C4C9}" name="Coluna1" dataDxfId="6420" totalsRowDxfId="6419">
      <calculatedColumnFormula>IF(reservafixaconsolidadoabr[[#This Row],[TOTAL (R$)]]=0,"",IF(OR(reservafixaconsolidadoabr[[#This Row],[TOTAL (R$)]]=LARGE($AJ$168:$AJ$177,1),reservafixaconsolidadoabr[[#This Row],[TOTAL (R$)]]=LARGE($AJ$168:$AJ$177,2)),DADOS!$I$11,""))</calculatedColumnFormula>
    </tableColumn>
    <tableColumn id="2" xr3:uid="{2F5060AF-BB8F-40DE-855C-77A309516386}" name="1" totalsRowFunction="sum" dataDxfId="6418" dataCellStyle="Moeda"/>
    <tableColumn id="3" xr3:uid="{D48984A1-2644-4BA6-8868-FD851C510844}" name="2" totalsRowFunction="sum" dataDxfId="6417" dataCellStyle="Moeda">
      <calculatedColumnFormula>SUMIFS(tabela_registros[VALOR],tabela_registros[MÊS],$AE$1,tabela_registros[DIA],reservafixaconsolidadoabr[[#Headers],[2]],tabela_registros[REGISTRO],DADOS!$N$3,tabela_registros[TIPO],DADOS!$V$3,tabela_registros[CATEGORIA],reservafixaconsolidadoabr[[#This Row],[ATUAL]])</calculatedColumnFormula>
    </tableColumn>
    <tableColumn id="4" xr3:uid="{A6538B21-4BC4-4FFE-A624-ACBD121F1E61}" name="3" totalsRowFunction="sum" dataDxfId="6416" totalsRowDxfId="6415" dataCellStyle="Moeda">
      <calculatedColumnFormula>SUMIFS(tabela_registros[VALOR],tabela_registros[MÊS],$AE$1,tabela_registros[DIA],reservafixaconsolidadoabr[[#Headers],[3]],tabela_registros[REGISTRO],DADOS!$N$3,tabela_registros[TIPO],DADOS!$V$3,tabela_registros[CATEGORIA],reservafixaconsolidadoabr[[#This Row],[ATUAL]])</calculatedColumnFormula>
    </tableColumn>
    <tableColumn id="5" xr3:uid="{F5A5A162-1194-4392-8F41-07C2CB664876}" name="4" totalsRowFunction="sum" dataDxfId="6414" totalsRowDxfId="6413" dataCellStyle="Moeda">
      <calculatedColumnFormula>SUMIFS(tabela_registros[VALOR],tabela_registros[MÊS],$AE$1,tabela_registros[DIA],reservafixaconsolidadoabr[[#Headers],[4]],tabela_registros[REGISTRO],DADOS!$N$3,tabela_registros[TIPO],DADOS!$V$3,tabela_registros[CATEGORIA],reservafixaconsolidadoabr[[#This Row],[ATUAL]])</calculatedColumnFormula>
    </tableColumn>
    <tableColumn id="6" xr3:uid="{A87A0BE2-1B6E-4A46-914F-E38A9138DD8F}" name="5" totalsRowFunction="sum" dataDxfId="6412" totalsRowDxfId="6411" dataCellStyle="Moeda">
      <calculatedColumnFormula>SUMIFS(tabela_registros[VALOR],tabela_registros[MÊS],$AE$1,tabela_registros[DIA],reservafixaconsolidadoabr[[#Headers],[5]],tabela_registros[REGISTRO],DADOS!$N$3,tabela_registros[TIPO],DADOS!$V$3,tabela_registros[CATEGORIA],reservafixaconsolidadoabr[[#This Row],[ATUAL]])</calculatedColumnFormula>
    </tableColumn>
    <tableColumn id="7" xr3:uid="{B711A2E6-1112-45B7-8076-E009F5D188A4}" name="6" totalsRowFunction="sum" dataDxfId="6410" totalsRowDxfId="6409" dataCellStyle="Moeda">
      <calculatedColumnFormula>SUMIFS(tabela_registros[VALOR],tabela_registros[MÊS],$AE$1,tabela_registros[DIA],reservafixaconsolidadoabr[[#Headers],[6]],tabela_registros[REGISTRO],DADOS!$N$3,tabela_registros[TIPO],DADOS!$V$3,tabela_registros[CATEGORIA],reservafixaconsolidadoabr[[#This Row],[ATUAL]])</calculatedColumnFormula>
    </tableColumn>
    <tableColumn id="8" xr3:uid="{BFF7E5F1-DAB7-4809-A13E-2348428937BB}" name="7" totalsRowFunction="sum" dataDxfId="6408" totalsRowDxfId="6407" dataCellStyle="Moeda">
      <calculatedColumnFormula>SUMIFS(tabela_registros[VALOR],tabela_registros[MÊS],$AE$1,tabela_registros[DIA],reservafixaconsolidadoabr[[#Headers],[7]],tabela_registros[REGISTRO],DADOS!$N$3,tabela_registros[TIPO],DADOS!$V$3,tabela_registros[CATEGORIA],reservafixaconsolidadoabr[[#This Row],[ATUAL]])</calculatedColumnFormula>
    </tableColumn>
    <tableColumn id="9" xr3:uid="{B23CD1FF-239C-401C-83AF-94A13C4CE70A}" name="8" totalsRowFunction="sum" dataDxfId="6406" totalsRowDxfId="6405" dataCellStyle="Moeda">
      <calculatedColumnFormula>SUMIFS(tabela_registros[VALOR],tabela_registros[MÊS],$AE$1,tabela_registros[DIA],reservafixaconsolidadoabr[[#Headers],[8]],tabela_registros[REGISTRO],DADOS!$N$3,tabela_registros[TIPO],DADOS!$V$3,tabela_registros[CATEGORIA],reservafixaconsolidadoabr[[#This Row],[ATUAL]])</calculatedColumnFormula>
    </tableColumn>
    <tableColumn id="10" xr3:uid="{368F2E6E-F8F8-4562-A098-603E8E8A69A8}" name="9" totalsRowFunction="sum" dataDxfId="6404" totalsRowDxfId="6403" dataCellStyle="Moeda">
      <calculatedColumnFormula>SUMIFS(tabela_registros[VALOR],tabela_registros[MÊS],$AE$1,tabela_registros[DIA],reservafixaconsolidadoabr[[#Headers],[9]],tabela_registros[REGISTRO],DADOS!$N$3,tabela_registros[TIPO],DADOS!$V$3,tabela_registros[CATEGORIA],reservafixaconsolidadoabr[[#This Row],[ATUAL]])</calculatedColumnFormula>
    </tableColumn>
    <tableColumn id="11" xr3:uid="{EF1BBF59-D2E3-4AE3-A054-587C7E8018C5}" name="10" totalsRowFunction="sum" dataDxfId="6402" totalsRowDxfId="6401" dataCellStyle="Moeda">
      <calculatedColumnFormula>SUMIFS(tabela_registros[VALOR],tabela_registros[MÊS],$AE$1,tabela_registros[DIA],reservafixaconsolidadoabr[[#Headers],[10]],tabela_registros[REGISTRO],DADOS!$N$3,tabela_registros[TIPO],DADOS!$V$3,tabela_registros[CATEGORIA],reservafixaconsolidadoabr[[#This Row],[ATUAL]])</calculatedColumnFormula>
    </tableColumn>
    <tableColumn id="12" xr3:uid="{5670BC7A-9AA3-417C-A35A-94D4675C982E}" name="11" totalsRowFunction="sum" dataDxfId="6400" totalsRowDxfId="6399" dataCellStyle="Moeda">
      <calculatedColumnFormula>SUMIFS(tabela_registros[VALOR],tabela_registros[MÊS],$AE$1,tabela_registros[DIA],reservafixaconsolidadoabr[[#Headers],[11]],tabela_registros[REGISTRO],DADOS!$N$3,tabela_registros[TIPO],DADOS!$V$3,tabela_registros[CATEGORIA],reservafixaconsolidadoabr[[#This Row],[ATUAL]])</calculatedColumnFormula>
    </tableColumn>
    <tableColumn id="13" xr3:uid="{1FA98B0F-0800-432D-8556-D1E5B7164177}" name="12" totalsRowFunction="sum" dataDxfId="6398" totalsRowDxfId="6397" dataCellStyle="Moeda">
      <calculatedColumnFormula>SUMIFS(tabela_registros[VALOR],tabela_registros[MÊS],$AE$1,tabela_registros[DIA],reservafixaconsolidadoabr[[#Headers],[12]],tabela_registros[REGISTRO],DADOS!$N$3,tabela_registros[TIPO],DADOS!$V$3,tabela_registros[CATEGORIA],reservafixaconsolidadoabr[[#This Row],[ATUAL]])</calculatedColumnFormula>
    </tableColumn>
    <tableColumn id="14" xr3:uid="{52916577-99CD-4F22-AB20-154A6ECB2965}" name="13" totalsRowFunction="sum" dataDxfId="6396" totalsRowDxfId="6395" dataCellStyle="Moeda">
      <calculatedColumnFormula>SUMIFS(tabela_registros[VALOR],tabela_registros[MÊS],$AE$1,tabela_registros[DIA],reservafixaconsolidadoabr[[#Headers],[13]],tabela_registros[REGISTRO],DADOS!$N$3,tabela_registros[TIPO],DADOS!$V$3,tabela_registros[CATEGORIA],reservafixaconsolidadoabr[[#This Row],[ATUAL]])</calculatedColumnFormula>
    </tableColumn>
    <tableColumn id="15" xr3:uid="{2E1D8F8D-8762-43DB-8772-9322F09E0778}" name="14" totalsRowFunction="sum" dataDxfId="6394" totalsRowDxfId="6393" dataCellStyle="Moeda">
      <calculatedColumnFormula>SUMIFS(tabela_registros[VALOR],tabela_registros[MÊS],$AE$1,tabela_registros[DIA],reservafixaconsolidadoabr[[#Headers],[14]],tabela_registros[REGISTRO],DADOS!$N$3,tabela_registros[TIPO],DADOS!$V$3,tabela_registros[CATEGORIA],reservafixaconsolidadoabr[[#This Row],[ATUAL]])</calculatedColumnFormula>
    </tableColumn>
    <tableColumn id="16" xr3:uid="{DC47356A-3F1B-4FB3-A5A3-D56DCDB305A0}" name="15" totalsRowFunction="sum" dataDxfId="6392" totalsRowDxfId="6391" dataCellStyle="Moeda">
      <calculatedColumnFormula>SUMIFS(tabela_registros[VALOR],tabela_registros[MÊS],$AE$1,tabela_registros[DIA],reservafixaconsolidadoabr[[#Headers],[15]],tabela_registros[REGISTRO],DADOS!$N$3,tabela_registros[TIPO],DADOS!$V$3,tabela_registros[CATEGORIA],reservafixaconsolidadoabr[[#This Row],[ATUAL]])</calculatedColumnFormula>
    </tableColumn>
    <tableColumn id="17" xr3:uid="{9DD9AABB-4087-4FE4-92B9-475DEADA1F7A}" name="16" totalsRowFunction="sum" dataDxfId="6390" totalsRowDxfId="6389" dataCellStyle="Moeda">
      <calculatedColumnFormula>SUMIFS(tabela_registros[VALOR],tabela_registros[MÊS],$AE$1,tabela_registros[DIA],reservafixaconsolidadoabr[[#Headers],[16]],tabela_registros[REGISTRO],DADOS!$N$3,tabela_registros[TIPO],DADOS!$V$3,tabela_registros[CATEGORIA],reservafixaconsolidadoabr[[#This Row],[ATUAL]])</calculatedColumnFormula>
    </tableColumn>
    <tableColumn id="18" xr3:uid="{92215ABA-93BE-4D2B-98F7-3646BF01863A}" name="17" totalsRowFunction="sum" dataDxfId="6388" totalsRowDxfId="6387" dataCellStyle="Moeda">
      <calculatedColumnFormula>SUMIFS(tabela_registros[VALOR],tabela_registros[MÊS],$AE$1,tabela_registros[DIA],reservafixaconsolidadoabr[[#Headers],[17]],tabela_registros[REGISTRO],DADOS!$N$3,tabela_registros[TIPO],DADOS!$V$3,tabela_registros[CATEGORIA],reservafixaconsolidadoabr[[#This Row],[ATUAL]])</calculatedColumnFormula>
    </tableColumn>
    <tableColumn id="19" xr3:uid="{DFE43B3F-6078-453B-AFB6-1EE850E2736C}" name="18" totalsRowFunction="sum" dataDxfId="6386" totalsRowDxfId="6385" dataCellStyle="Moeda">
      <calculatedColumnFormula>SUMIFS(tabela_registros[VALOR],tabela_registros[MÊS],$AE$1,tabela_registros[DIA],reservafixaconsolidadoabr[[#Headers],[18]],tabela_registros[REGISTRO],DADOS!$N$3,tabela_registros[TIPO],DADOS!$V$3,tabela_registros[CATEGORIA],reservafixaconsolidadoabr[[#This Row],[ATUAL]])</calculatedColumnFormula>
    </tableColumn>
    <tableColumn id="20" xr3:uid="{52B89AC4-4DE5-41B0-A819-D49F8FD5DD81}" name="19" totalsRowFunction="sum" dataDxfId="6384" totalsRowDxfId="6383" dataCellStyle="Moeda">
      <calculatedColumnFormula>SUMIFS(tabela_registros[VALOR],tabela_registros[MÊS],$AE$1,tabela_registros[DIA],reservafixaconsolidadoabr[[#Headers],[19]],tabela_registros[REGISTRO],DADOS!$N$3,tabela_registros[TIPO],DADOS!$V$3,tabela_registros[CATEGORIA],reservafixaconsolidadoabr[[#This Row],[ATUAL]])</calculatedColumnFormula>
    </tableColumn>
    <tableColumn id="21" xr3:uid="{01B8C6FC-0452-4E2F-BE0C-D3279BA68D09}" name="20" totalsRowFunction="sum" dataDxfId="6382" totalsRowDxfId="6381" dataCellStyle="Moeda">
      <calculatedColumnFormula>SUMIFS(tabela_registros[VALOR],tabela_registros[MÊS],$AE$1,tabela_registros[DIA],reservafixaconsolidadoabr[[#Headers],[20]],tabela_registros[REGISTRO],DADOS!$N$3,tabela_registros[TIPO],DADOS!$V$3,tabela_registros[CATEGORIA],reservafixaconsolidadoabr[[#This Row],[ATUAL]])</calculatedColumnFormula>
    </tableColumn>
    <tableColumn id="22" xr3:uid="{4F05C1AB-A8D1-40CF-9A31-D731751F7879}" name="21" totalsRowFunction="sum" dataDxfId="6380" totalsRowDxfId="6379" dataCellStyle="Moeda">
      <calculatedColumnFormula>SUMIFS(tabela_registros[VALOR],tabela_registros[MÊS],$AE$1,tabela_registros[DIA],reservafixaconsolidadoabr[[#Headers],[21]],tabela_registros[REGISTRO],DADOS!$N$3,tabela_registros[TIPO],DADOS!$V$3,tabela_registros[CATEGORIA],reservafixaconsolidadoabr[[#This Row],[ATUAL]])</calculatedColumnFormula>
    </tableColumn>
    <tableColumn id="23" xr3:uid="{C784BBA9-7970-43B0-B2F4-D2BCE2764E46}" name="22" totalsRowFunction="sum" dataDxfId="6378" totalsRowDxfId="6377" dataCellStyle="Moeda">
      <calculatedColumnFormula>SUMIFS(tabela_registros[VALOR],tabela_registros[MÊS],$AE$1,tabela_registros[DIA],reservafixaconsolidadoabr[[#Headers],[22]],tabela_registros[REGISTRO],DADOS!$N$3,tabela_registros[TIPO],DADOS!$V$3,tabela_registros[CATEGORIA],reservafixaconsolidadoabr[[#This Row],[ATUAL]])</calculatedColumnFormula>
    </tableColumn>
    <tableColumn id="24" xr3:uid="{0A59F7DF-C49C-4114-8E0F-8E56AA88B4D8}" name="23" totalsRowFunction="sum" dataDxfId="6376" totalsRowDxfId="6375" dataCellStyle="Moeda">
      <calculatedColumnFormula>SUMIFS(tabela_registros[VALOR],tabela_registros[MÊS],$AE$1,tabela_registros[DIA],reservafixaconsolidadoabr[[#Headers],[23]],tabela_registros[REGISTRO],DADOS!$N$3,tabela_registros[TIPO],DADOS!$V$3,tabela_registros[CATEGORIA],reservafixaconsolidadoabr[[#This Row],[ATUAL]])</calculatedColumnFormula>
    </tableColumn>
    <tableColumn id="25" xr3:uid="{28F7D2F8-EF98-4ABD-8FD3-E0C04B6517D6}" name="24" totalsRowFunction="sum" dataDxfId="6374" totalsRowDxfId="6373" dataCellStyle="Moeda">
      <calculatedColumnFormula>SUMIFS(tabela_registros[VALOR],tabela_registros[MÊS],$AE$1,tabela_registros[DIA],reservafixaconsolidadoabr[[#Headers],[24]],tabela_registros[REGISTRO],DADOS!$N$3,tabela_registros[TIPO],DADOS!$V$3,tabela_registros[CATEGORIA],reservafixaconsolidadoabr[[#This Row],[ATUAL]])</calculatedColumnFormula>
    </tableColumn>
    <tableColumn id="26" xr3:uid="{C150C6EB-6B84-46A9-B04F-F2E9B40FFF20}" name="25" totalsRowFunction="sum" dataDxfId="6372" totalsRowDxfId="6371" dataCellStyle="Moeda">
      <calculatedColumnFormula>SUMIFS(tabela_registros[VALOR],tabela_registros[MÊS],$AE$1,tabela_registros[DIA],reservafixaconsolidadoabr[[#Headers],[25]],tabela_registros[REGISTRO],DADOS!$N$3,tabela_registros[TIPO],DADOS!$V$3,tabela_registros[CATEGORIA],reservafixaconsolidadoabr[[#This Row],[ATUAL]])</calculatedColumnFormula>
    </tableColumn>
    <tableColumn id="27" xr3:uid="{EC70A9B3-6C70-4DED-9A94-DCAB9A5AE2FB}" name="26" totalsRowFunction="sum" dataDxfId="6370" totalsRowDxfId="6369" dataCellStyle="Moeda">
      <calculatedColumnFormula>SUMIFS(tabela_registros[VALOR],tabela_registros[MÊS],$AE$1,tabela_registros[DIA],reservafixaconsolidadoabr[[#Headers],[26]],tabela_registros[REGISTRO],DADOS!$N$3,tabela_registros[TIPO],DADOS!$V$3,tabela_registros[CATEGORIA],reservafixaconsolidadoabr[[#This Row],[ATUAL]])</calculatedColumnFormula>
    </tableColumn>
    <tableColumn id="28" xr3:uid="{306785B6-2D69-4A22-BFA8-5B063FBD2EF7}" name="27" totalsRowFunction="sum" dataDxfId="6368" totalsRowDxfId="6367" dataCellStyle="Moeda">
      <calculatedColumnFormula>SUMIFS(tabela_registros[VALOR],tabela_registros[MÊS],$AE$1,tabela_registros[DIA],reservafixaconsolidadoabr[[#Headers],[27]],tabela_registros[REGISTRO],DADOS!$N$3,tabela_registros[TIPO],DADOS!$V$3,tabela_registros[CATEGORIA],reservafixaconsolidadoabr[[#This Row],[ATUAL]])</calculatedColumnFormula>
    </tableColumn>
    <tableColumn id="29" xr3:uid="{285B6BBB-8592-41DC-8458-7097814C12C1}" name="28" totalsRowFunction="sum" dataDxfId="6366" totalsRowDxfId="6365" dataCellStyle="Moeda">
      <calculatedColumnFormula>SUMIFS(tabela_registros[VALOR],tabela_registros[MÊS],$AE$1,tabela_registros[DIA],reservafixaconsolidadoabr[[#Headers],[28]],tabela_registros[REGISTRO],DADOS!$N$3,tabela_registros[TIPO],DADOS!$V$3,tabela_registros[CATEGORIA],reservafixaconsolidadoabr[[#This Row],[ATUAL]])</calculatedColumnFormula>
    </tableColumn>
    <tableColumn id="30" xr3:uid="{A718FC4A-293C-4D7D-8F7B-5D1FD283EF62}" name="29" totalsRowFunction="sum" dataDxfId="6364" totalsRowDxfId="6363" dataCellStyle="Moeda">
      <calculatedColumnFormula>SUMIFS(tabela_registros[VALOR],tabela_registros[MÊS],$AE$1,tabela_registros[DIA],reservafixaconsolidadoabr[[#Headers],[29]],tabela_registros[REGISTRO],DADOS!$N$3,tabela_registros[TIPO],DADOS!$V$3,tabela_registros[CATEGORIA],reservafixaconsolidadoabr[[#This Row],[ATUAL]])</calculatedColumnFormula>
    </tableColumn>
    <tableColumn id="31" xr3:uid="{14609A0E-8FDC-4295-AAB7-779DCDD269D5}" name="30" totalsRowFunction="sum" dataDxfId="6362" totalsRowDxfId="6361" dataCellStyle="Moeda">
      <calculatedColumnFormula>SUMIFS(tabela_registros[VALOR],tabela_registros[MÊS],$AE$1,tabela_registros[DIA],reservafixaconsolidadoabr[[#Headers],[30]],tabela_registros[REGISTRO],DADOS!$N$3,tabela_registros[TIPO],DADOS!$V$3,tabela_registros[CATEGORIA],reservafixaconsolidadoabr[[#This Row],[ATUAL]])</calculatedColumnFormula>
    </tableColumn>
    <tableColumn id="32" xr3:uid="{8EF1BF37-2B5F-4F72-9681-622B87790278}" name="31" totalsRowFunction="sum" dataDxfId="6360" totalsRowDxfId="6359" dataCellStyle="Moeda">
      <calculatedColumnFormula>SUMIFS(tabela_registros[VALOR],tabela_registros[MÊS],$AE$1,tabela_registros[DIA],reservafixaconsolidadoabr[[#Headers],[31]],tabela_registros[REGISTRO],DADOS!$N$3,tabela_registros[TIPO],DADOS!$V$3,tabela_registros[CATEGORIA],reservafixaconsolidadoabr[[#This Row],[ATUAL]])</calculatedColumnFormula>
    </tableColumn>
    <tableColumn id="33" xr3:uid="{34FEEB55-8118-416B-A41B-00D3565B45B9}" name="TOTAL (R$)" totalsRowFunction="sum" dataDxfId="6358" dataCellStyle="Moeda">
      <calculatedColumnFormula>SUM(reservafixaconsolidadoabr[[#This Row],[1]:[31]])</calculatedColumnFormula>
    </tableColumn>
  </tableColumns>
  <tableStyleInfo name="TABELAS RESULTADOS" showFirstColumn="0" showLastColumn="0" showRowStripes="1" showColumnStripes="0"/>
</table>
</file>

<file path=xl/tables/table6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4" xr:uid="{61107290-D684-44F6-8D31-545BE06E8AC7}" name="reservavariáveisconsolidadoabr" displayName="reservavariáveisconsolidadoabr" ref="C186:AJ197" headerRowDxfId="6357" dataDxfId="6356" totalsRowDxfId="6355">
  <autoFilter ref="C186:AJ197" xr:uid="{D1B0BC4A-55A7-40F2-94A1-407E95E214F4}"/>
  <tableColumns count="34">
    <tableColumn id="1" xr3:uid="{62BCA38F-9A86-4013-B941-1EAC310BD789}" name="ATUAL" totalsRowLabel="SALDO" dataDxfId="6354"/>
    <tableColumn id="34" xr3:uid="{E738DF58-E668-4176-8368-47C10618A445}" name="Coluna1" dataDxfId="6353" totalsRowDxfId="6352">
      <calculatedColumnFormula>IF(reservavariáveisconsolidadoabr[[#This Row],[TOTAL (R$)]]=0,"",IF(OR(reservavariáveisconsolidadoabr[[#This Row],[TOTAL (R$)]]=LARGE($AJ$187:$AJ$196,1),reservavariáveisconsolidadoabr[[#This Row],[TOTAL (R$)]]=LARGE($AJ$187:$AJ$196,2)),DADOS!$I$11,""))</calculatedColumnFormula>
    </tableColumn>
    <tableColumn id="2" xr3:uid="{028130DE-06A9-4017-BBD7-AF857CA65F29}" name="1" totalsRowFunction="sum" dataDxfId="6351" dataCellStyle="Moeda"/>
    <tableColumn id="3" xr3:uid="{839572D2-9957-4D9B-97D5-2427CD0BA6FA}" name="2" totalsRowFunction="sum" dataDxfId="6350" dataCellStyle="Moeda">
      <calculatedColumnFormula>SUMIFS(tabela_registros[VALOR],tabela_registros[MÊS],$AE$1,tabela_registros[DIA],reservavariáveisconsolidadoabr[[#Headers],[2]],tabela_registros[REGISTRO],DADOS!$N$3,tabela_registros[TIPO],DADOS!$V$3,tabela_registros[CATEGORIA],reservavariáveisconsolidadoabr[[#This Row],[ATUAL]])</calculatedColumnFormula>
    </tableColumn>
    <tableColumn id="4" xr3:uid="{82D02B5C-3A79-44BE-89B5-9B1EEBDF152A}" name="3" totalsRowFunction="sum" dataDxfId="6349" totalsRowDxfId="6348" dataCellStyle="Moeda">
      <calculatedColumnFormula>SUMIFS(tabela_registros[VALOR],tabela_registros[MÊS],$AE$1,tabela_registros[DIA],reservavariáveisconsolidadoabr[[#Headers],[3]],tabela_registros[REGISTRO],DADOS!$N$3,tabela_registros[TIPO],DADOS!$V$3,tabela_registros[CATEGORIA],reservavariáveisconsolidadoabr[[#This Row],[ATUAL]])</calculatedColumnFormula>
    </tableColumn>
    <tableColumn id="5" xr3:uid="{7C80FBF3-BF83-42F0-987F-B291734790D9}" name="4" totalsRowFunction="sum" dataDxfId="6347" totalsRowDxfId="6346" dataCellStyle="Moeda">
      <calculatedColumnFormula>SUMIFS(tabela_registros[VALOR],tabela_registros[MÊS],$AE$1,tabela_registros[DIA],reservavariáveisconsolidadoabr[[#Headers],[4]],tabela_registros[REGISTRO],DADOS!$N$3,tabela_registros[TIPO],DADOS!$V$3,tabela_registros[CATEGORIA],reservavariáveisconsolidadoabr[[#This Row],[ATUAL]])</calculatedColumnFormula>
    </tableColumn>
    <tableColumn id="6" xr3:uid="{DE05C599-19E4-42FB-AA84-8945F11CFC04}" name="5" totalsRowFunction="sum" dataDxfId="6345" totalsRowDxfId="6344" dataCellStyle="Moeda">
      <calculatedColumnFormula>SUMIFS(tabela_registros[VALOR],tabela_registros[MÊS],$AE$1,tabela_registros[DIA],reservavariáveisconsolidadoabr[[#Headers],[5]],tabela_registros[REGISTRO],DADOS!$N$3,tabela_registros[TIPO],DADOS!$V$3,tabela_registros[CATEGORIA],reservavariáveisconsolidadoabr[[#This Row],[ATUAL]])</calculatedColumnFormula>
    </tableColumn>
    <tableColumn id="7" xr3:uid="{71636550-F0D8-4B96-AC23-48F195E605BD}" name="6" totalsRowFunction="sum" dataDxfId="6343" totalsRowDxfId="6342" dataCellStyle="Moeda">
      <calculatedColumnFormula>SUMIFS(tabela_registros[VALOR],tabela_registros[MÊS],$AE$1,tabela_registros[DIA],reservavariáveisconsolidadoabr[[#Headers],[6]],tabela_registros[REGISTRO],DADOS!$N$3,tabela_registros[TIPO],DADOS!$V$3,tabela_registros[CATEGORIA],reservavariáveisconsolidadoabr[[#This Row],[ATUAL]])</calculatedColumnFormula>
    </tableColumn>
    <tableColumn id="8" xr3:uid="{B4C0BEA6-9942-4DCE-B5A5-887A7BEFAFE8}" name="7" totalsRowFunction="sum" dataDxfId="6341" totalsRowDxfId="6340" dataCellStyle="Moeda">
      <calculatedColumnFormula>SUMIFS(tabela_registros[VALOR],tabela_registros[MÊS],$AE$1,tabela_registros[DIA],reservavariáveisconsolidadoabr[[#Headers],[7]],tabela_registros[REGISTRO],DADOS!$N$3,tabela_registros[TIPO],DADOS!$V$3,tabela_registros[CATEGORIA],reservavariáveisconsolidadoabr[[#This Row],[ATUAL]])</calculatedColumnFormula>
    </tableColumn>
    <tableColumn id="9" xr3:uid="{669B0027-7557-4A4C-A15A-F7248A6CD203}" name="8" totalsRowFunction="sum" dataDxfId="6339" totalsRowDxfId="6338" dataCellStyle="Moeda">
      <calculatedColumnFormula>SUMIFS(tabela_registros[VALOR],tabela_registros[MÊS],$AE$1,tabela_registros[DIA],reservavariáveisconsolidadoabr[[#Headers],[8]],tabela_registros[REGISTRO],DADOS!$N$3,tabela_registros[TIPO],DADOS!$V$3,tabela_registros[CATEGORIA],reservavariáveisconsolidadoabr[[#This Row],[ATUAL]])</calculatedColumnFormula>
    </tableColumn>
    <tableColumn id="10" xr3:uid="{A94D5819-DF4C-4029-B17B-B3F8FA803399}" name="9" totalsRowFunction="sum" dataDxfId="6337" totalsRowDxfId="6336" dataCellStyle="Moeda">
      <calculatedColumnFormula>SUMIFS(tabela_registros[VALOR],tabela_registros[MÊS],$AE$1,tabela_registros[DIA],reservavariáveisconsolidadoabr[[#Headers],[9]],tabela_registros[REGISTRO],DADOS!$N$3,tabela_registros[TIPO],DADOS!$V$3,tabela_registros[CATEGORIA],reservavariáveisconsolidadoabr[[#This Row],[ATUAL]])</calculatedColumnFormula>
    </tableColumn>
    <tableColumn id="11" xr3:uid="{C2D1F1CC-18DF-4D0B-AC4B-A97EC9ED2B36}" name="10" totalsRowFunction="sum" dataDxfId="6335" totalsRowDxfId="6334" dataCellStyle="Moeda">
      <calculatedColumnFormula>SUMIFS(tabela_registros[VALOR],tabela_registros[MÊS],$AE$1,tabela_registros[DIA],reservavariáveisconsolidadoabr[[#Headers],[10]],tabela_registros[REGISTRO],DADOS!$N$3,tabela_registros[TIPO],DADOS!$V$3,tabela_registros[CATEGORIA],reservavariáveisconsolidadoabr[[#This Row],[ATUAL]])</calculatedColumnFormula>
    </tableColumn>
    <tableColumn id="12" xr3:uid="{F1BD1F4F-F4FC-40E0-AD77-7C15D801F47C}" name="11" totalsRowFunction="sum" dataDxfId="6333" totalsRowDxfId="6332" dataCellStyle="Moeda">
      <calculatedColumnFormula>SUMIFS(tabela_registros[VALOR],tabela_registros[MÊS],$AE$1,tabela_registros[DIA],reservavariáveisconsolidadoabr[[#Headers],[11]],tabela_registros[REGISTRO],DADOS!$N$3,tabela_registros[TIPO],DADOS!$V$3,tabela_registros[CATEGORIA],reservavariáveisconsolidadoabr[[#This Row],[ATUAL]])</calculatedColumnFormula>
    </tableColumn>
    <tableColumn id="13" xr3:uid="{21DC8AA7-C36E-4CCB-8752-E11B09939498}" name="12" totalsRowFunction="sum" dataDxfId="6331" totalsRowDxfId="6330" dataCellStyle="Moeda">
      <calculatedColumnFormula>SUMIFS(tabela_registros[VALOR],tabela_registros[MÊS],$AE$1,tabela_registros[DIA],reservavariáveisconsolidadoabr[[#Headers],[12]],tabela_registros[REGISTRO],DADOS!$N$3,tabela_registros[TIPO],DADOS!$V$3,tabela_registros[CATEGORIA],reservavariáveisconsolidadoabr[[#This Row],[ATUAL]])</calculatedColumnFormula>
    </tableColumn>
    <tableColumn id="14" xr3:uid="{885D05E4-0DFF-4639-8A56-475DFC6B524B}" name="13" totalsRowFunction="sum" dataDxfId="6329" totalsRowDxfId="6328" dataCellStyle="Moeda">
      <calculatedColumnFormula>SUMIFS(tabela_registros[VALOR],tabela_registros[MÊS],$AE$1,tabela_registros[DIA],reservavariáveisconsolidadoabr[[#Headers],[13]],tabela_registros[REGISTRO],DADOS!$N$3,tabela_registros[TIPO],DADOS!$V$3,tabela_registros[CATEGORIA],reservavariáveisconsolidadoabr[[#This Row],[ATUAL]])</calculatedColumnFormula>
    </tableColumn>
    <tableColumn id="15" xr3:uid="{50F71D8D-FE0A-439A-9CD8-60DE507A6BA9}" name="14" totalsRowFunction="sum" dataDxfId="6327" totalsRowDxfId="6326" dataCellStyle="Moeda">
      <calculatedColumnFormula>SUMIFS(tabela_registros[VALOR],tabela_registros[MÊS],$AE$1,tabela_registros[DIA],reservavariáveisconsolidadoabr[[#Headers],[14]],tabela_registros[REGISTRO],DADOS!$N$3,tabela_registros[TIPO],DADOS!$V$3,tabela_registros[CATEGORIA],reservavariáveisconsolidadoabr[[#This Row],[ATUAL]])</calculatedColumnFormula>
    </tableColumn>
    <tableColumn id="16" xr3:uid="{E233B35D-1865-404E-9EB9-B531C26A06B4}" name="15" totalsRowFunction="sum" dataDxfId="6325" totalsRowDxfId="6324" dataCellStyle="Moeda">
      <calculatedColumnFormula>SUMIFS(tabela_registros[VALOR],tabela_registros[MÊS],$AE$1,tabela_registros[DIA],reservavariáveisconsolidadoabr[[#Headers],[15]],tabela_registros[REGISTRO],DADOS!$N$3,tabela_registros[TIPO],DADOS!$V$3,tabela_registros[CATEGORIA],reservavariáveisconsolidadoabr[[#This Row],[ATUAL]])</calculatedColumnFormula>
    </tableColumn>
    <tableColumn id="17" xr3:uid="{EA360F0B-37B3-4194-AE39-E41502057639}" name="16" totalsRowFunction="sum" dataDxfId="6323" totalsRowDxfId="6322" dataCellStyle="Moeda">
      <calculatedColumnFormula>SUMIFS(tabela_registros[VALOR],tabela_registros[MÊS],$AE$1,tabela_registros[DIA],reservavariáveisconsolidadoabr[[#Headers],[16]],tabela_registros[REGISTRO],DADOS!$N$3,tabela_registros[TIPO],DADOS!$V$3,tabela_registros[CATEGORIA],reservavariáveisconsolidadoabr[[#This Row],[ATUAL]])</calculatedColumnFormula>
    </tableColumn>
    <tableColumn id="18" xr3:uid="{7211C6A4-CC69-4B78-B8EB-0086AA2074B2}" name="17" totalsRowFunction="sum" dataDxfId="6321" totalsRowDxfId="6320" dataCellStyle="Moeda">
      <calculatedColumnFormula>SUMIFS(tabela_registros[VALOR],tabela_registros[MÊS],$AE$1,tabela_registros[DIA],reservavariáveisconsolidadoabr[[#Headers],[17]],tabela_registros[REGISTRO],DADOS!$N$3,tabela_registros[TIPO],DADOS!$V$3,tabela_registros[CATEGORIA],reservavariáveisconsolidadoabr[[#This Row],[ATUAL]])</calculatedColumnFormula>
    </tableColumn>
    <tableColumn id="19" xr3:uid="{FD536552-33BC-427F-B0BF-4EA7874787EC}" name="18" totalsRowFunction="sum" dataDxfId="6319" totalsRowDxfId="6318" dataCellStyle="Moeda">
      <calculatedColumnFormula>SUMIFS(tabela_registros[VALOR],tabela_registros[MÊS],$AE$1,tabela_registros[DIA],reservavariáveisconsolidadoabr[[#Headers],[18]],tabela_registros[REGISTRO],DADOS!$N$3,tabela_registros[TIPO],DADOS!$V$3,tabela_registros[CATEGORIA],reservavariáveisconsolidadoabr[[#This Row],[ATUAL]])</calculatedColumnFormula>
    </tableColumn>
    <tableColumn id="20" xr3:uid="{DCA68794-4F2D-48AF-AFE2-4506EB775B48}" name="19" totalsRowFunction="sum" dataDxfId="6317" totalsRowDxfId="6316" dataCellStyle="Moeda">
      <calculatedColumnFormula>SUMIFS(tabela_registros[VALOR],tabela_registros[MÊS],$AE$1,tabela_registros[DIA],reservavariáveisconsolidadoabr[[#Headers],[19]],tabela_registros[REGISTRO],DADOS!$N$3,tabela_registros[TIPO],DADOS!$V$3,tabela_registros[CATEGORIA],reservavariáveisconsolidadoabr[[#This Row],[ATUAL]])</calculatedColumnFormula>
    </tableColumn>
    <tableColumn id="21" xr3:uid="{848B4B3A-2243-4291-B5A9-AE28E6E1FA9D}" name="20" totalsRowFunction="sum" dataDxfId="6315" totalsRowDxfId="6314" dataCellStyle="Moeda">
      <calculatedColumnFormula>SUMIFS(tabela_registros[VALOR],tabela_registros[MÊS],$AE$1,tabela_registros[DIA],reservavariáveisconsolidadoabr[[#Headers],[20]],tabela_registros[REGISTRO],DADOS!$N$3,tabela_registros[TIPO],DADOS!$V$3,tabela_registros[CATEGORIA],reservavariáveisconsolidadoabr[[#This Row],[ATUAL]])</calculatedColumnFormula>
    </tableColumn>
    <tableColumn id="22" xr3:uid="{5A20179C-A586-4883-903A-60FB3F23B00D}" name="21" totalsRowFunction="sum" dataDxfId="6313" totalsRowDxfId="6312" dataCellStyle="Moeda">
      <calculatedColumnFormula>SUMIFS(tabela_registros[VALOR],tabela_registros[MÊS],$AE$1,tabela_registros[DIA],reservavariáveisconsolidadoabr[[#Headers],[21]],tabela_registros[REGISTRO],DADOS!$N$3,tabela_registros[TIPO],DADOS!$V$3,tabela_registros[CATEGORIA],reservavariáveisconsolidadoabr[[#This Row],[ATUAL]])</calculatedColumnFormula>
    </tableColumn>
    <tableColumn id="23" xr3:uid="{55B4C189-FA53-4778-BB8C-9CD27A2CA813}" name="22" totalsRowFunction="sum" dataDxfId="6311" totalsRowDxfId="6310" dataCellStyle="Moeda">
      <calculatedColumnFormula>SUMIFS(tabela_registros[VALOR],tabela_registros[MÊS],$AE$1,tabela_registros[DIA],reservavariáveisconsolidadoabr[[#Headers],[22]],tabela_registros[REGISTRO],DADOS!$N$3,tabela_registros[TIPO],DADOS!$V$3,tabela_registros[CATEGORIA],reservavariáveisconsolidadoabr[[#This Row],[ATUAL]])</calculatedColumnFormula>
    </tableColumn>
    <tableColumn id="24" xr3:uid="{3B27B139-8AA2-44DA-B85D-F143925D0A28}" name="23" totalsRowFunction="sum" dataDxfId="6309" totalsRowDxfId="6308" dataCellStyle="Moeda">
      <calculatedColumnFormula>SUMIFS(tabela_registros[VALOR],tabela_registros[MÊS],$AE$1,tabela_registros[DIA],reservavariáveisconsolidadoabr[[#Headers],[23]],tabela_registros[REGISTRO],DADOS!$N$3,tabela_registros[TIPO],DADOS!$V$3,tabela_registros[CATEGORIA],reservavariáveisconsolidadoabr[[#This Row],[ATUAL]])</calculatedColumnFormula>
    </tableColumn>
    <tableColumn id="25" xr3:uid="{D2B0FFAC-CA3A-4878-B0FD-9640327EA18D}" name="24" totalsRowFunction="sum" dataDxfId="6307" totalsRowDxfId="6306" dataCellStyle="Moeda">
      <calculatedColumnFormula>SUMIFS(tabela_registros[VALOR],tabela_registros[MÊS],$AE$1,tabela_registros[DIA],reservavariáveisconsolidadoabr[[#Headers],[24]],tabela_registros[REGISTRO],DADOS!$N$3,tabela_registros[TIPO],DADOS!$V$3,tabela_registros[CATEGORIA],reservavariáveisconsolidadoabr[[#This Row],[ATUAL]])</calculatedColumnFormula>
    </tableColumn>
    <tableColumn id="26" xr3:uid="{6FFF19BD-8840-4553-84BE-1F5908B1FC94}" name="25" totalsRowFunction="sum" dataDxfId="6305" totalsRowDxfId="6304" dataCellStyle="Moeda">
      <calculatedColumnFormula>SUMIFS(tabela_registros[VALOR],tabela_registros[MÊS],$AE$1,tabela_registros[DIA],reservavariáveisconsolidadoabr[[#Headers],[25]],tabela_registros[REGISTRO],DADOS!$N$3,tabela_registros[TIPO],DADOS!$V$3,tabela_registros[CATEGORIA],reservavariáveisconsolidadoabr[[#This Row],[ATUAL]])</calculatedColumnFormula>
    </tableColumn>
    <tableColumn id="27" xr3:uid="{8A7D0382-363D-4428-8384-A56D06ACA246}" name="26" totalsRowFunction="sum" dataDxfId="6303" totalsRowDxfId="6302" dataCellStyle="Moeda">
      <calculatedColumnFormula>SUMIFS(tabela_registros[VALOR],tabela_registros[MÊS],$AE$1,tabela_registros[DIA],reservavariáveisconsolidadoabr[[#Headers],[26]],tabela_registros[REGISTRO],DADOS!$N$3,tabela_registros[TIPO],DADOS!$V$3,tabela_registros[CATEGORIA],reservavariáveisconsolidadoabr[[#This Row],[ATUAL]])</calculatedColumnFormula>
    </tableColumn>
    <tableColumn id="28" xr3:uid="{0E4C9179-33B4-40C4-A7C1-A920842D01BA}" name="27" totalsRowFunction="sum" dataDxfId="6301" totalsRowDxfId="6300" dataCellStyle="Moeda">
      <calculatedColumnFormula>SUMIFS(tabela_registros[VALOR],tabela_registros[MÊS],$AE$1,tabela_registros[DIA],reservavariáveisconsolidadoabr[[#Headers],[27]],tabela_registros[REGISTRO],DADOS!$N$3,tabela_registros[TIPO],DADOS!$V$3,tabela_registros[CATEGORIA],reservavariáveisconsolidadoabr[[#This Row],[ATUAL]])</calculatedColumnFormula>
    </tableColumn>
    <tableColumn id="29" xr3:uid="{BD933197-1500-4322-80ED-8C475D23C5E7}" name="28" totalsRowFunction="sum" dataDxfId="6299" totalsRowDxfId="6298" dataCellStyle="Moeda">
      <calculatedColumnFormula>SUMIFS(tabela_registros[VALOR],tabela_registros[MÊS],$AE$1,tabela_registros[DIA],reservavariáveisconsolidadoabr[[#Headers],[28]],tabela_registros[REGISTRO],DADOS!$N$3,tabela_registros[TIPO],DADOS!$V$3,tabela_registros[CATEGORIA],reservavariáveisconsolidadoabr[[#This Row],[ATUAL]])</calculatedColumnFormula>
    </tableColumn>
    <tableColumn id="30" xr3:uid="{A19B9877-CBB9-4273-B988-63C6007F32C4}" name="29" totalsRowFunction="sum" dataDxfId="6297" totalsRowDxfId="6296" dataCellStyle="Moeda">
      <calculatedColumnFormula>SUMIFS(tabela_registros[VALOR],tabela_registros[MÊS],$AE$1,tabela_registros[DIA],reservavariáveisconsolidadoabr[[#Headers],[29]],tabela_registros[REGISTRO],DADOS!$N$3,tabela_registros[TIPO],DADOS!$V$3,tabela_registros[CATEGORIA],reservavariáveisconsolidadoabr[[#This Row],[ATUAL]])</calculatedColumnFormula>
    </tableColumn>
    <tableColumn id="31" xr3:uid="{539C79EE-DE66-4692-8EF3-40883F7D6C27}" name="30" totalsRowFunction="sum" dataDxfId="6295" totalsRowDxfId="6294" dataCellStyle="Moeda">
      <calculatedColumnFormula>SUMIFS(tabela_registros[VALOR],tabela_registros[MÊS],$AE$1,tabela_registros[DIA],reservavariáveisconsolidadoabr[[#Headers],[30]],tabela_registros[REGISTRO],DADOS!$N$3,tabela_registros[TIPO],DADOS!$V$3,tabela_registros[CATEGORIA],reservavariáveisconsolidadoabr[[#This Row],[ATUAL]])</calculatedColumnFormula>
    </tableColumn>
    <tableColumn id="32" xr3:uid="{29CE90D2-3EA4-41A8-8377-DE3B1222C60A}" name="31" totalsRowFunction="sum" dataDxfId="6293" totalsRowDxfId="6292" dataCellStyle="Moeda">
      <calculatedColumnFormula>SUMIFS(tabela_registros[VALOR],tabela_registros[MÊS],$AE$1,tabela_registros[DIA],reservavariáveisconsolidadoabr[[#Headers],[31]],tabela_registros[REGISTRO],DADOS!$N$3,tabela_registros[TIPO],DADOS!$V$3,tabela_registros[CATEGORIA],reservavariáveisconsolidadoabr[[#This Row],[ATUAL]])</calculatedColumnFormula>
    </tableColumn>
    <tableColumn id="33" xr3:uid="{8E3F2626-5C15-43E2-BC3D-2D279E4430D2}" name="TOTAL (R$)" totalsRowFunction="sum" dataDxfId="6291" dataCellStyle="Moeda">
      <calculatedColumnFormula>SUM(reservavariáveisconsolidadoabr[[#This Row],[1]:[31]])</calculatedColumnFormula>
    </tableColumn>
  </tableColumns>
  <tableStyleInfo name="TABELAS RESULTADOS" showFirstColumn="0" showLastColumn="0" showRowStripes="1" showColumnStripes="0"/>
</table>
</file>

<file path=xl/tables/table6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5" xr:uid="{C4FBD055-6640-43E5-B8D5-62558045AA97}" name="reservaoutrosconsolidadoabr" displayName="reservaoutrosconsolidadoabr" ref="C205:AJ214" headerRowDxfId="6290" dataDxfId="6289" totalsRowDxfId="6288">
  <autoFilter ref="C205:AJ214" xr:uid="{9335CBAF-4490-44EE-A508-E6F2F3B6C6F1}"/>
  <tableColumns count="34">
    <tableColumn id="1" xr3:uid="{FB92E57B-8B4A-47BD-BE68-82C00E083CCE}" name="ATUAL" totalsRowLabel="SALDO" dataDxfId="6287"/>
    <tableColumn id="34" xr3:uid="{2AF658B0-EEB8-4405-8C27-A902F95D38EE}" name="Coluna1" dataDxfId="6286" totalsRowDxfId="6285">
      <calculatedColumnFormula>IF(reservaoutrosconsolidadoabr[[#This Row],[TOTAL (R$)]]=0,"",IF(OR(reservaoutrosconsolidadoabr[[#This Row],[TOTAL (R$)]]=LARGE($AJ$206:$AJ$213,1),reservaoutrosconsolidadoabr[[#This Row],[TOTAL (R$)]]=LARGE($AJ$206:$AJ$213,2)),DADOS!$I$11,""))</calculatedColumnFormula>
    </tableColumn>
    <tableColumn id="2" xr3:uid="{07C79798-2A1B-4136-AD98-3F380B85352F}" name="1" totalsRowFunction="sum" dataDxfId="6284" dataCellStyle="Moeda"/>
    <tableColumn id="3" xr3:uid="{5E4E2C6D-C6D9-44D6-BBCC-6F10CADA51E5}" name="2" totalsRowFunction="sum" dataDxfId="6283" dataCellStyle="Moeda">
      <calculatedColumnFormula>SUMIFS(tabela_registros[VALOR],tabela_registros[MÊS],$AE$1,tabela_registros[DIA],reservaoutrosconsolidadoabr[[#Headers],[2]],tabela_registros[REGISTRO],DADOS!$N$3,tabela_registros[TIPO],DADOS!$V$3,tabela_registros[CATEGORIA],reservaoutrosconsolidadoabr[[#This Row],[ATUAL]])</calculatedColumnFormula>
    </tableColumn>
    <tableColumn id="4" xr3:uid="{88881BFE-FE52-41D5-97FD-D6AA0F498073}" name="3" totalsRowFunction="sum" dataDxfId="6282" totalsRowDxfId="6281" dataCellStyle="Moeda">
      <calculatedColumnFormula>SUMIFS(tabela_registros[VALOR],tabela_registros[MÊS],$AE$1,tabela_registros[DIA],reservaoutrosconsolidadoabr[[#Headers],[3]],tabela_registros[REGISTRO],DADOS!$N$3,tabela_registros[TIPO],DADOS!$V$3,tabela_registros[CATEGORIA],reservaoutrosconsolidadoabr[[#This Row],[ATUAL]])</calculatedColumnFormula>
    </tableColumn>
    <tableColumn id="5" xr3:uid="{17A509C0-8029-475A-8063-C3398E06FA7D}" name="4" totalsRowFunction="sum" dataDxfId="6280" totalsRowDxfId="6279" dataCellStyle="Moeda">
      <calculatedColumnFormula>SUMIFS(tabela_registros[VALOR],tabela_registros[MÊS],$AE$1,tabela_registros[DIA],reservaoutrosconsolidadoabr[[#Headers],[4]],tabela_registros[REGISTRO],DADOS!$N$3,tabela_registros[TIPO],DADOS!$V$3,tabela_registros[CATEGORIA],reservaoutrosconsolidadoabr[[#This Row],[ATUAL]])</calculatedColumnFormula>
    </tableColumn>
    <tableColumn id="6" xr3:uid="{8719D985-E232-49D1-A61F-6D3DF09D9950}" name="5" totalsRowFunction="sum" dataDxfId="6278" totalsRowDxfId="6277" dataCellStyle="Moeda">
      <calculatedColumnFormula>SUMIFS(tabela_registros[VALOR],tabela_registros[MÊS],$AE$1,tabela_registros[DIA],reservaoutrosconsolidadoabr[[#Headers],[5]],tabela_registros[REGISTRO],DADOS!$N$3,tabela_registros[TIPO],DADOS!$V$3,tabela_registros[CATEGORIA],reservaoutrosconsolidadoabr[[#This Row],[ATUAL]])</calculatedColumnFormula>
    </tableColumn>
    <tableColumn id="7" xr3:uid="{1DA74657-633D-4F59-B9CE-BB9F827672DD}" name="6" totalsRowFunction="sum" dataDxfId="6276" totalsRowDxfId="6275" dataCellStyle="Moeda">
      <calculatedColumnFormula>SUMIFS(tabela_registros[VALOR],tabela_registros[MÊS],$AE$1,tabela_registros[DIA],reservaoutrosconsolidadoabr[[#Headers],[6]],tabela_registros[REGISTRO],DADOS!$N$3,tabela_registros[TIPO],DADOS!$V$3,tabela_registros[CATEGORIA],reservaoutrosconsolidadoabr[[#This Row],[ATUAL]])</calculatedColumnFormula>
    </tableColumn>
    <tableColumn id="8" xr3:uid="{7EBF6ED7-D7F4-45B2-8C66-D8F76E214D69}" name="7" totalsRowFunction="sum" dataDxfId="6274" totalsRowDxfId="6273" dataCellStyle="Moeda">
      <calculatedColumnFormula>SUMIFS(tabela_registros[VALOR],tabela_registros[MÊS],$AE$1,tabela_registros[DIA],reservaoutrosconsolidadoabr[[#Headers],[7]],tabela_registros[REGISTRO],DADOS!$N$3,tabela_registros[TIPO],DADOS!$V$3,tabela_registros[CATEGORIA],reservaoutrosconsolidadoabr[[#This Row],[ATUAL]])</calculatedColumnFormula>
    </tableColumn>
    <tableColumn id="9" xr3:uid="{FD854125-14A2-4495-A190-A31644F83110}" name="8" totalsRowFunction="sum" dataDxfId="6272" totalsRowDxfId="6271" dataCellStyle="Moeda">
      <calculatedColumnFormula>SUMIFS(tabela_registros[VALOR],tabela_registros[MÊS],$AE$1,tabela_registros[DIA],reservaoutrosconsolidadoabr[[#Headers],[8]],tabela_registros[REGISTRO],DADOS!$N$3,tabela_registros[TIPO],DADOS!$V$3,tabela_registros[CATEGORIA],reservaoutrosconsolidadoabr[[#This Row],[ATUAL]])</calculatedColumnFormula>
    </tableColumn>
    <tableColumn id="10" xr3:uid="{9D537714-43B0-4281-B060-90F6A5B20305}" name="9" totalsRowFunction="sum" dataDxfId="6270" totalsRowDxfId="6269" dataCellStyle="Moeda">
      <calculatedColumnFormula>SUMIFS(tabela_registros[VALOR],tabela_registros[MÊS],$AE$1,tabela_registros[DIA],reservaoutrosconsolidadoabr[[#Headers],[9]],tabela_registros[REGISTRO],DADOS!$N$3,tabela_registros[TIPO],DADOS!$V$3,tabela_registros[CATEGORIA],reservaoutrosconsolidadoabr[[#This Row],[ATUAL]])</calculatedColumnFormula>
    </tableColumn>
    <tableColumn id="11" xr3:uid="{DFD2A20D-A196-4644-99D6-CE6D4C2263A8}" name="10" totalsRowFunction="sum" dataDxfId="6268" totalsRowDxfId="6267" dataCellStyle="Moeda">
      <calculatedColumnFormula>SUMIFS(tabela_registros[VALOR],tabela_registros[MÊS],$AE$1,tabela_registros[DIA],reservaoutrosconsolidadoabr[[#Headers],[10]],tabela_registros[REGISTRO],DADOS!$N$3,tabela_registros[TIPO],DADOS!$V$3,tabela_registros[CATEGORIA],reservaoutrosconsolidadoabr[[#This Row],[ATUAL]])</calculatedColumnFormula>
    </tableColumn>
    <tableColumn id="12" xr3:uid="{76F3DF20-6015-4C20-AF64-5525F78C58F3}" name="11" totalsRowFunction="sum" dataDxfId="6266" totalsRowDxfId="6265" dataCellStyle="Moeda">
      <calculatedColumnFormula>SUMIFS(tabela_registros[VALOR],tabela_registros[MÊS],$AE$1,tabela_registros[DIA],reservaoutrosconsolidadoabr[[#Headers],[11]],tabela_registros[REGISTRO],DADOS!$N$3,tabela_registros[TIPO],DADOS!$V$3,tabela_registros[CATEGORIA],reservaoutrosconsolidadoabr[[#This Row],[ATUAL]])</calculatedColumnFormula>
    </tableColumn>
    <tableColumn id="13" xr3:uid="{358A5047-4977-4DE3-832B-9F1189A616E9}" name="12" totalsRowFunction="sum" dataDxfId="6264" totalsRowDxfId="6263" dataCellStyle="Moeda">
      <calculatedColumnFormula>SUMIFS(tabela_registros[VALOR],tabela_registros[MÊS],$AE$1,tabela_registros[DIA],reservaoutrosconsolidadoabr[[#Headers],[12]],tabela_registros[REGISTRO],DADOS!$N$3,tabela_registros[TIPO],DADOS!$V$3,tabela_registros[CATEGORIA],reservaoutrosconsolidadoabr[[#This Row],[ATUAL]])</calculatedColumnFormula>
    </tableColumn>
    <tableColumn id="14" xr3:uid="{702DA56C-F13D-4133-B096-47C8F73C3A9B}" name="13" totalsRowFunction="sum" dataDxfId="6262" totalsRowDxfId="6261" dataCellStyle="Moeda">
      <calculatedColumnFormula>SUMIFS(tabela_registros[VALOR],tabela_registros[MÊS],$AE$1,tabela_registros[DIA],reservaoutrosconsolidadoabr[[#Headers],[13]],tabela_registros[REGISTRO],DADOS!$N$3,tabela_registros[TIPO],DADOS!$V$3,tabela_registros[CATEGORIA],reservaoutrosconsolidadoabr[[#This Row],[ATUAL]])</calculatedColumnFormula>
    </tableColumn>
    <tableColumn id="15" xr3:uid="{605258B0-032B-4ACF-988C-20F69E5A7071}" name="14" totalsRowFunction="sum" dataDxfId="6260" totalsRowDxfId="6259" dataCellStyle="Moeda">
      <calculatedColumnFormula>SUMIFS(tabela_registros[VALOR],tabela_registros[MÊS],$AE$1,tabela_registros[DIA],reservaoutrosconsolidadoabr[[#Headers],[14]],tabela_registros[REGISTRO],DADOS!$N$3,tabela_registros[TIPO],DADOS!$V$3,tabela_registros[CATEGORIA],reservaoutrosconsolidadoabr[[#This Row],[ATUAL]])</calculatedColumnFormula>
    </tableColumn>
    <tableColumn id="16" xr3:uid="{07080D06-7293-4AB7-A286-400F952B3CDE}" name="15" totalsRowFunction="sum" dataDxfId="6258" totalsRowDxfId="6257" dataCellStyle="Moeda">
      <calculatedColumnFormula>SUMIFS(tabela_registros[VALOR],tabela_registros[MÊS],$AE$1,tabela_registros[DIA],reservaoutrosconsolidadoabr[[#Headers],[15]],tabela_registros[REGISTRO],DADOS!$N$3,tabela_registros[TIPO],DADOS!$V$3,tabela_registros[CATEGORIA],reservaoutrosconsolidadoabr[[#This Row],[ATUAL]])</calculatedColumnFormula>
    </tableColumn>
    <tableColumn id="17" xr3:uid="{902D8EA5-10B9-4350-B965-7AB0DECC5420}" name="16" totalsRowFunction="sum" dataDxfId="6256" totalsRowDxfId="6255" dataCellStyle="Moeda">
      <calculatedColumnFormula>SUMIFS(tabela_registros[VALOR],tabela_registros[MÊS],$AE$1,tabela_registros[DIA],reservaoutrosconsolidadoabr[[#Headers],[16]],tabela_registros[REGISTRO],DADOS!$N$3,tabela_registros[TIPO],DADOS!$V$3,tabela_registros[CATEGORIA],reservaoutrosconsolidadoabr[[#This Row],[ATUAL]])</calculatedColumnFormula>
    </tableColumn>
    <tableColumn id="18" xr3:uid="{D0FDE356-EB3F-4B7A-942A-7480D85779AF}" name="17" totalsRowFunction="sum" dataDxfId="6254" totalsRowDxfId="6253" dataCellStyle="Moeda">
      <calculatedColumnFormula>SUMIFS(tabela_registros[VALOR],tabela_registros[MÊS],$AE$1,tabela_registros[DIA],reservaoutrosconsolidadoabr[[#Headers],[17]],tabela_registros[REGISTRO],DADOS!$N$3,tabela_registros[TIPO],DADOS!$V$3,tabela_registros[CATEGORIA],reservaoutrosconsolidadoabr[[#This Row],[ATUAL]])</calculatedColumnFormula>
    </tableColumn>
    <tableColumn id="19" xr3:uid="{441E68B6-DB86-4D71-B678-C7708176A93C}" name="18" totalsRowFunction="sum" dataDxfId="6252" totalsRowDxfId="6251" dataCellStyle="Moeda">
      <calculatedColumnFormula>SUMIFS(tabela_registros[VALOR],tabela_registros[MÊS],$AE$1,tabela_registros[DIA],reservaoutrosconsolidadoabr[[#Headers],[18]],tabela_registros[REGISTRO],DADOS!$N$3,tabela_registros[TIPO],DADOS!$V$3,tabela_registros[CATEGORIA],reservaoutrosconsolidadoabr[[#This Row],[ATUAL]])</calculatedColumnFormula>
    </tableColumn>
    <tableColumn id="20" xr3:uid="{4CA06F0F-B5AC-4585-BE42-21001207C13D}" name="19" totalsRowFunction="sum" dataDxfId="6250" totalsRowDxfId="6249" dataCellStyle="Moeda">
      <calculatedColumnFormula>SUMIFS(tabela_registros[VALOR],tabela_registros[MÊS],$AE$1,tabela_registros[DIA],reservaoutrosconsolidadoabr[[#Headers],[19]],tabela_registros[REGISTRO],DADOS!$N$3,tabela_registros[TIPO],DADOS!$V$3,tabela_registros[CATEGORIA],reservaoutrosconsolidadoabr[[#This Row],[ATUAL]])</calculatedColumnFormula>
    </tableColumn>
    <tableColumn id="21" xr3:uid="{18733441-F878-49CF-AB96-76F98F0E0155}" name="20" totalsRowFunction="sum" dataDxfId="6248" totalsRowDxfId="6247" dataCellStyle="Moeda">
      <calculatedColumnFormula>SUMIFS(tabela_registros[VALOR],tabela_registros[MÊS],$AE$1,tabela_registros[DIA],reservaoutrosconsolidadoabr[[#Headers],[20]],tabela_registros[REGISTRO],DADOS!$N$3,tabela_registros[TIPO],DADOS!$V$3,tabela_registros[CATEGORIA],reservaoutrosconsolidadoabr[[#This Row],[ATUAL]])</calculatedColumnFormula>
    </tableColumn>
    <tableColumn id="22" xr3:uid="{B6EB4FD6-6516-4D89-BC85-9143B731FB6D}" name="21" totalsRowFunction="sum" dataDxfId="6246" totalsRowDxfId="6245" dataCellStyle="Moeda">
      <calculatedColumnFormula>SUMIFS(tabela_registros[VALOR],tabela_registros[MÊS],$AE$1,tabela_registros[DIA],reservaoutrosconsolidadoabr[[#Headers],[21]],tabela_registros[REGISTRO],DADOS!$N$3,tabela_registros[TIPO],DADOS!$V$3,tabela_registros[CATEGORIA],reservaoutrosconsolidadoabr[[#This Row],[ATUAL]])</calculatedColumnFormula>
    </tableColumn>
    <tableColumn id="23" xr3:uid="{A94D0F65-1314-45E3-B057-FBFF0E3F0E0E}" name="22" totalsRowFunction="sum" dataDxfId="6244" totalsRowDxfId="6243" dataCellStyle="Moeda">
      <calculatedColumnFormula>SUMIFS(tabela_registros[VALOR],tabela_registros[MÊS],$AE$1,tabela_registros[DIA],reservaoutrosconsolidadoabr[[#Headers],[22]],tabela_registros[REGISTRO],DADOS!$N$3,tabela_registros[TIPO],DADOS!$V$3,tabela_registros[CATEGORIA],reservaoutrosconsolidadoabr[[#This Row],[ATUAL]])</calculatedColumnFormula>
    </tableColumn>
    <tableColumn id="24" xr3:uid="{417693D8-5DCE-42DB-8CA0-2C184F008BA2}" name="23" totalsRowFunction="sum" dataDxfId="6242" totalsRowDxfId="6241" dataCellStyle="Moeda">
      <calculatedColumnFormula>SUMIFS(tabela_registros[VALOR],tabela_registros[MÊS],$AE$1,tabela_registros[DIA],reservaoutrosconsolidadoabr[[#Headers],[23]],tabela_registros[REGISTRO],DADOS!$N$3,tabela_registros[TIPO],DADOS!$V$3,tabela_registros[CATEGORIA],reservaoutrosconsolidadoabr[[#This Row],[ATUAL]])</calculatedColumnFormula>
    </tableColumn>
    <tableColumn id="25" xr3:uid="{164F586D-D165-459C-96A2-ED9B507DD59E}" name="24" totalsRowFunction="sum" dataDxfId="6240" totalsRowDxfId="6239" dataCellStyle="Moeda">
      <calculatedColumnFormula>SUMIFS(tabela_registros[VALOR],tabela_registros[MÊS],$AE$1,tabela_registros[DIA],reservaoutrosconsolidadoabr[[#Headers],[24]],tabela_registros[REGISTRO],DADOS!$N$3,tabela_registros[TIPO],DADOS!$V$3,tabela_registros[CATEGORIA],reservaoutrosconsolidadoabr[[#This Row],[ATUAL]])</calculatedColumnFormula>
    </tableColumn>
    <tableColumn id="26" xr3:uid="{F4DC4FB8-D5BC-416E-A845-7BDC37BA5A03}" name="25" totalsRowFunction="sum" dataDxfId="6238" totalsRowDxfId="6237" dataCellStyle="Moeda">
      <calculatedColumnFormula>SUMIFS(tabela_registros[VALOR],tabela_registros[MÊS],$AE$1,tabela_registros[DIA],reservaoutrosconsolidadoabr[[#Headers],[25]],tabela_registros[REGISTRO],DADOS!$N$3,tabela_registros[TIPO],DADOS!$V$3,tabela_registros[CATEGORIA],reservaoutrosconsolidadoabr[[#This Row],[ATUAL]])</calculatedColumnFormula>
    </tableColumn>
    <tableColumn id="27" xr3:uid="{7E8FF753-075D-4BB6-9370-5EC9C37C515E}" name="26" totalsRowFunction="sum" dataDxfId="6236" totalsRowDxfId="6235" dataCellStyle="Moeda">
      <calculatedColumnFormula>SUMIFS(tabela_registros[VALOR],tabela_registros[MÊS],$AE$1,tabela_registros[DIA],reservaoutrosconsolidadoabr[[#Headers],[26]],tabela_registros[REGISTRO],DADOS!$N$3,tabela_registros[TIPO],DADOS!$V$3,tabela_registros[CATEGORIA],reservaoutrosconsolidadoabr[[#This Row],[ATUAL]])</calculatedColumnFormula>
    </tableColumn>
    <tableColumn id="28" xr3:uid="{B555C536-4CAF-412B-BA99-ABF515755ED1}" name="27" totalsRowFunction="sum" dataDxfId="6234" totalsRowDxfId="6233" dataCellStyle="Moeda">
      <calculatedColumnFormula>SUMIFS(tabela_registros[VALOR],tabela_registros[MÊS],$AE$1,tabela_registros[DIA],reservaoutrosconsolidadoabr[[#Headers],[27]],tabela_registros[REGISTRO],DADOS!$N$3,tabela_registros[TIPO],DADOS!$V$3,tabela_registros[CATEGORIA],reservaoutrosconsolidadoabr[[#This Row],[ATUAL]])</calculatedColumnFormula>
    </tableColumn>
    <tableColumn id="29" xr3:uid="{9024A919-C770-414A-9868-1FA0ABFD823B}" name="28" totalsRowFunction="sum" dataDxfId="6232" totalsRowDxfId="6231" dataCellStyle="Moeda">
      <calculatedColumnFormula>SUMIFS(tabela_registros[VALOR],tabela_registros[MÊS],$AE$1,tabela_registros[DIA],reservaoutrosconsolidadoabr[[#Headers],[28]],tabela_registros[REGISTRO],DADOS!$N$3,tabela_registros[TIPO],DADOS!$V$3,tabela_registros[CATEGORIA],reservaoutrosconsolidadoabr[[#This Row],[ATUAL]])</calculatedColumnFormula>
    </tableColumn>
    <tableColumn id="30" xr3:uid="{A6BFBA3D-B7CE-4880-B195-2EA1410C9355}" name="29" totalsRowFunction="sum" dataDxfId="6230" totalsRowDxfId="6229" dataCellStyle="Moeda">
      <calculatedColumnFormula>SUMIFS(tabela_registros[VALOR],tabela_registros[MÊS],$AE$1,tabela_registros[DIA],reservaoutrosconsolidadoabr[[#Headers],[29]],tabela_registros[REGISTRO],DADOS!$N$3,tabela_registros[TIPO],DADOS!$V$3,tabela_registros[CATEGORIA],reservaoutrosconsolidadoabr[[#This Row],[ATUAL]])</calculatedColumnFormula>
    </tableColumn>
    <tableColumn id="31" xr3:uid="{F830B5E7-B8DF-4B57-A06C-845CE2FB8FB0}" name="30" totalsRowFunction="sum" dataDxfId="6228" totalsRowDxfId="6227" dataCellStyle="Moeda">
      <calculatedColumnFormula>SUMIFS(tabela_registros[VALOR],tabela_registros[MÊS],$AE$1,tabela_registros[DIA],reservaoutrosconsolidadoabr[[#Headers],[30]],tabela_registros[REGISTRO],DADOS!$N$3,tabela_registros[TIPO],DADOS!$V$3,tabela_registros[CATEGORIA],reservaoutrosconsolidadoabr[[#This Row],[ATUAL]])</calculatedColumnFormula>
    </tableColumn>
    <tableColumn id="32" xr3:uid="{A376BA59-2D38-46D8-8DA5-8FEC05CC822D}" name="31" totalsRowFunction="sum" dataDxfId="6226" totalsRowDxfId="6225" dataCellStyle="Moeda">
      <calculatedColumnFormula>SUMIFS(tabela_registros[VALOR],tabela_registros[MÊS],$AE$1,tabela_registros[DIA],reservaoutrosconsolidadoabr[[#Headers],[31]],tabela_registros[REGISTRO],DADOS!$N$3,tabela_registros[TIPO],DADOS!$V$3,tabela_registros[CATEGORIA],reservaoutrosconsolidadoabr[[#This Row],[ATUAL]])</calculatedColumnFormula>
    </tableColumn>
    <tableColumn id="33" xr3:uid="{30C77BAA-8DF5-4DDC-87DA-6E31C70629FA}" name="TOTAL (R$)" totalsRowFunction="sum" dataDxfId="6224" dataCellStyle="Moeda">
      <calculatedColumnFormula>SUM(reservaoutrosconsolidadoabr[[#This Row],[1]:[31]])</calculatedColumnFormula>
    </tableColumn>
  </tableColumns>
  <tableStyleInfo name="TABELAS RESULTADOS" showFirstColumn="0" showLastColumn="0" showRowStripes="1" showColumnStripes="0"/>
</table>
</file>

<file path=xl/tables/table6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2" xr:uid="{D79D707A-2F24-4D85-8658-C92E6B9A0A89}" name="despesafixaconsolidadomai" displayName="despesafixaconsolidadomai" ref="C36:AJ51" headerRowDxfId="6223" dataDxfId="6222" totalsRowDxfId="6221">
  <autoFilter ref="C36:AJ51" xr:uid="{5ADEFF0A-DF5A-4FC5-A9EC-68EEC14B5F43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  <filterColumn colId="25" hiddenButton="1"/>
    <filterColumn colId="26" hiddenButton="1"/>
    <filterColumn colId="27" hiddenButton="1"/>
    <filterColumn colId="28" hiddenButton="1"/>
    <filterColumn colId="29" hiddenButton="1"/>
    <filterColumn colId="30" hiddenButton="1"/>
    <filterColumn colId="31" hiddenButton="1"/>
    <filterColumn colId="32" hiddenButton="1"/>
    <filterColumn colId="33" hiddenButton="1"/>
  </autoFilter>
  <tableColumns count="34">
    <tableColumn id="1" xr3:uid="{C5D47284-8634-4AB9-AC4B-E49B16C880F8}" name="DESPESA FIXA" totalsRowLabel="Total" dataDxfId="6220"/>
    <tableColumn id="42" xr3:uid="{553E01B9-5FAF-4E4E-8C5B-A3111DE37452}" name="Coluna1" dataDxfId="6219">
      <calculatedColumnFormula>IF(despesafixaconsolidadomai[[#This Row],[TOTAL]]=0,"",IF(OR(despesafixaconsolidadomai[[#This Row],[TOTAL]]=SMALL($AJ$37:$AJ$50,1),despesafixaconsolidadomai[[#This Row],[TOTAL]]=SMALL($AJ$37:$AJ$50,2),despesafixaconsolidadomai[[#This Row],[TOTAL]]=SMALL($AJ$37:$AJ$50,3),despesafixaconsolidadomai[[#This Row],[TOTAL]]=SMALL($AJ$37:$AJ$50,4),despesafixaconsolidadomai[[#This Row],[TOTAL]]=SMALL($AJ$37:$AJ$50,5)),DADOS!$I$8,""))</calculatedColumnFormula>
    </tableColumn>
    <tableColumn id="18" xr3:uid="{FD550570-9F94-4CE6-A34E-E5DE177B98B7}" name="1" totalsRowFunction="sum" dataDxfId="6218" dataCellStyle="Moeda">
      <calculatedColumnFormula>SUMIFS(tabela_registros[VALOR],tabela_registros[MÊS],$AE$1,tabela_registros[DIA],jantotal[[#Headers],[1]],tabela_registros[REGISTRO],DADOS!$N$4,tabela_registros[TIPO],DADOS!$P$3,tabela_registros[CATEGORIA],despesafixaconsolidadomai[[#This Row],[DESPESA FIXA]])</calculatedColumnFormula>
    </tableColumn>
    <tableColumn id="19" xr3:uid="{DE7F9C71-23AB-4BFD-A84E-5C688F974ACC}" name="2" totalsRowFunction="sum" dataDxfId="6217" dataCellStyle="Moeda">
      <calculatedColumnFormula>SUMIFS(tabela_registros[VALOR],tabela_registros[MÊS],$AE$1,tabela_registros[DIA],jantotal[[#Headers],[2]],tabela_registros[REGISTRO],DADOS!$N$4,tabela_registros[TIPO],DADOS!$P$3,tabela_registros[CATEGORIA],despesafixaconsolidadomai[[#This Row],[DESPESA FIXA]])</calculatedColumnFormula>
    </tableColumn>
    <tableColumn id="20" xr3:uid="{1B51A340-5CE2-4A1A-8073-6FA8A92885E4}" name="3" totalsRowFunction="sum" dataDxfId="6216" totalsRowDxfId="6215" dataCellStyle="Moeda">
      <calculatedColumnFormula>SUMIFS(tabela_registros[VALOR],tabela_registros[MÊS],$AE$1,tabela_registros[DIA],jantotal[[#Headers],[3]],tabela_registros[REGISTRO],DADOS!$N$4,tabela_registros[TIPO],DADOS!$P$3,tabela_registros[CATEGORIA],despesafixaconsolidadomai[[#This Row],[DESPESA FIXA]])</calculatedColumnFormula>
    </tableColumn>
    <tableColumn id="21" xr3:uid="{8EA97C1A-49F1-4744-8B4E-E97ECB578C91}" name="4" totalsRowFunction="sum" dataDxfId="6214" totalsRowDxfId="6213" dataCellStyle="Moeda">
      <calculatedColumnFormula>SUMIFS(tabela_registros[VALOR],tabela_registros[MÊS],$AE$1,tabela_registros[DIA],jantotal[[#Headers],[4]],tabela_registros[REGISTRO],DADOS!$N$4,tabela_registros[TIPO],DADOS!$P$3,tabela_registros[CATEGORIA],despesafixaconsolidadomai[[#This Row],[DESPESA FIXA]])</calculatedColumnFormula>
    </tableColumn>
    <tableColumn id="22" xr3:uid="{BFA51931-9D80-4F46-91AB-9DAAB220C48E}" name="5" totalsRowFunction="sum" dataDxfId="6212" totalsRowDxfId="6211" dataCellStyle="Moeda">
      <calculatedColumnFormula>SUMIFS(tabela_registros[VALOR],tabela_registros[MÊS],$AE$1,tabela_registros[DIA],jantotal[[#Headers],[5]],tabela_registros[REGISTRO],DADOS!$N$4,tabela_registros[TIPO],DADOS!$P$3,tabela_registros[CATEGORIA],despesafixaconsolidadomai[[#This Row],[DESPESA FIXA]])</calculatedColumnFormula>
    </tableColumn>
    <tableColumn id="23" xr3:uid="{CD9DAF7E-9DE1-4274-A39A-3BF6D6FBA425}" name="6" totalsRowFunction="sum" dataDxfId="6210" totalsRowDxfId="6209" dataCellStyle="Moeda">
      <calculatedColumnFormula>SUMIFS(tabela_registros[VALOR],tabela_registros[MÊS],$AE$1,tabela_registros[DIA],jantotal[[#Headers],[6]],tabela_registros[REGISTRO],DADOS!$N$4,tabela_registros[TIPO],DADOS!$P$3,tabela_registros[CATEGORIA],despesafixaconsolidadomai[[#This Row],[DESPESA FIXA]])</calculatedColumnFormula>
    </tableColumn>
    <tableColumn id="24" xr3:uid="{034B5755-EFF1-493B-94F2-73ECCAA09399}" name="7" totalsRowFunction="sum" dataDxfId="6208" totalsRowDxfId="6207" dataCellStyle="Moeda">
      <calculatedColumnFormula>SUMIFS(tabela_registros[VALOR],tabela_registros[MÊS],$AE$1,tabela_registros[DIA],jantotal[[#Headers],[7]],tabela_registros[REGISTRO],DADOS!$N$4,tabela_registros[TIPO],DADOS!$P$3,tabela_registros[CATEGORIA],despesafixaconsolidadomai[[#This Row],[DESPESA FIXA]])</calculatedColumnFormula>
    </tableColumn>
    <tableColumn id="25" xr3:uid="{86D44630-6EEA-4527-8EF8-0A256CC09DE5}" name="8" totalsRowFunction="sum" dataDxfId="6206" totalsRowDxfId="6205" dataCellStyle="Moeda">
      <calculatedColumnFormula>SUMIFS(tabela_registros[VALOR],tabela_registros[MÊS],$AE$1,tabela_registros[DIA],jantotal[[#Headers],[8]],tabela_registros[REGISTRO],DADOS!$N$4,tabela_registros[TIPO],DADOS!$P$3,tabela_registros[CATEGORIA],despesafixaconsolidadomai[[#This Row],[DESPESA FIXA]])</calculatedColumnFormula>
    </tableColumn>
    <tableColumn id="26" xr3:uid="{A44F6DED-20E7-45F2-A735-5BE9AD8542C6}" name="9" totalsRowFunction="sum" dataDxfId="6204" totalsRowDxfId="6203" dataCellStyle="Moeda">
      <calculatedColumnFormula>SUMIFS(tabela_registros[VALOR],tabela_registros[MÊS],$AE$1,tabela_registros[DIA],jantotal[[#Headers],[9]],tabela_registros[REGISTRO],DADOS!$N$4,tabela_registros[TIPO],DADOS!$P$3,tabela_registros[CATEGORIA],despesafixaconsolidadomai[[#This Row],[DESPESA FIXA]])</calculatedColumnFormula>
    </tableColumn>
    <tableColumn id="27" xr3:uid="{DBF0095B-CA2D-446C-A5C6-9615BB004F67}" name="10" totalsRowFunction="sum" dataDxfId="6202" totalsRowDxfId="6201" dataCellStyle="Moeda">
      <calculatedColumnFormula>SUMIFS(tabela_registros[VALOR],tabela_registros[MÊS],$AE$1,tabela_registros[DIA],jantotal[[#Headers],[10]],tabela_registros[REGISTRO],DADOS!$N$4,tabela_registros[TIPO],DADOS!$P$3,tabela_registros[CATEGORIA],despesafixaconsolidadomai[[#This Row],[DESPESA FIXA]])</calculatedColumnFormula>
    </tableColumn>
    <tableColumn id="28" xr3:uid="{80145881-C01C-4CDD-8202-CAFD3B62832B}" name="11" totalsRowFunction="sum" dataDxfId="6200" totalsRowDxfId="6199" dataCellStyle="Moeda">
      <calculatedColumnFormula>SUMIFS(tabela_registros[VALOR],tabela_registros[MÊS],$AE$1,tabela_registros[DIA],jantotal[[#Headers],[11]],tabela_registros[REGISTRO],DADOS!$N$4,tabela_registros[TIPO],DADOS!$P$3,tabela_registros[CATEGORIA],despesafixaconsolidadomai[[#This Row],[DESPESA FIXA]])</calculatedColumnFormula>
    </tableColumn>
    <tableColumn id="29" xr3:uid="{E4B6B97A-482E-41FB-8734-99693BDA93B8}" name="12" totalsRowFunction="sum" dataDxfId="6198" totalsRowDxfId="6197" dataCellStyle="Moeda">
      <calculatedColumnFormula>SUMIFS(tabela_registros[VALOR],tabela_registros[MÊS],$AE$1,tabela_registros[DIA],jantotal[[#Headers],[12]],tabela_registros[REGISTRO],DADOS!$N$4,tabela_registros[TIPO],DADOS!$P$3,tabela_registros[CATEGORIA],despesafixaconsolidadomai[[#This Row],[DESPESA FIXA]])</calculatedColumnFormula>
    </tableColumn>
    <tableColumn id="30" xr3:uid="{7BD58384-C25D-44F3-BD11-5DDCAB2FB6EE}" name="13" totalsRowFunction="sum" dataDxfId="6196" totalsRowDxfId="6195" dataCellStyle="Moeda">
      <calculatedColumnFormula>SUMIFS(tabela_registros[VALOR],tabela_registros[MÊS],$AE$1,tabela_registros[DIA],jantotal[[#Headers],[13]],tabela_registros[REGISTRO],DADOS!$N$4,tabela_registros[TIPO],DADOS!$P$3,tabela_registros[CATEGORIA],despesafixaconsolidadomai[[#This Row],[DESPESA FIXA]])</calculatedColumnFormula>
    </tableColumn>
    <tableColumn id="31" xr3:uid="{5B9755F8-94C3-4E75-B42D-6B411F1137F2}" name="14" totalsRowFunction="sum" dataDxfId="6194" totalsRowDxfId="6193" dataCellStyle="Moeda">
      <calculatedColumnFormula>SUMIFS(tabela_registros[VALOR],tabela_registros[MÊS],$AE$1,tabela_registros[DIA],jantotal[[#Headers],[14]],tabela_registros[REGISTRO],DADOS!$N$4,tabela_registros[TIPO],DADOS!$P$3,tabela_registros[CATEGORIA],despesafixaconsolidadomai[[#This Row],[DESPESA FIXA]])</calculatedColumnFormula>
    </tableColumn>
    <tableColumn id="32" xr3:uid="{185ED214-C85D-4F99-A634-8A023A847904}" name="15" totalsRowFunction="sum" dataDxfId="6192" totalsRowDxfId="6191" dataCellStyle="Moeda">
      <calculatedColumnFormula>SUMIFS(tabela_registros[VALOR],tabela_registros[MÊS],$AE$1,tabela_registros[DIA],jantotal[[#Headers],[15]],tabela_registros[REGISTRO],DADOS!$N$4,tabela_registros[TIPO],DADOS!$P$3,tabela_registros[CATEGORIA],despesafixaconsolidadomai[[#This Row],[DESPESA FIXA]])</calculatedColumnFormula>
    </tableColumn>
    <tableColumn id="33" xr3:uid="{7A7C9150-3BD1-4366-A975-B23247D07691}" name="16" totalsRowFunction="sum" dataDxfId="6190" totalsRowDxfId="6189" dataCellStyle="Moeda">
      <calculatedColumnFormula>SUMIFS(tabela_registros[VALOR],tabela_registros[MÊS],$AE$1,tabela_registros[DIA],jantotal[[#Headers],[16]],tabela_registros[REGISTRO],DADOS!$N$4,tabela_registros[TIPO],DADOS!$P$3,tabela_registros[CATEGORIA],despesafixaconsolidadomai[[#This Row],[DESPESA FIXA]])</calculatedColumnFormula>
    </tableColumn>
    <tableColumn id="34" xr3:uid="{09C67148-DC5C-4469-9838-4964B68603BC}" name="17" totalsRowFunction="sum" dataDxfId="6188" totalsRowDxfId="6187" dataCellStyle="Moeda">
      <calculatedColumnFormula>SUMIFS(tabela_registros[VALOR],tabela_registros[MÊS],$AE$1,tabela_registros[DIA],jantotal[[#Headers],[17]],tabela_registros[REGISTRO],DADOS!$N$4,tabela_registros[TIPO],DADOS!$P$3,tabela_registros[CATEGORIA],despesafixaconsolidadomai[[#This Row],[DESPESA FIXA]])</calculatedColumnFormula>
    </tableColumn>
    <tableColumn id="35" xr3:uid="{ACAB08DF-A730-481E-BDD5-F9B12352C423}" name="18" totalsRowFunction="sum" dataDxfId="6186" totalsRowDxfId="6185" dataCellStyle="Moeda">
      <calculatedColumnFormula>SUMIFS(tabela_registros[VALOR],tabela_registros[MÊS],$AE$1,tabela_registros[DIA],jantotal[[#Headers],[18]],tabela_registros[REGISTRO],DADOS!$N$4,tabela_registros[TIPO],DADOS!$P$3,tabela_registros[CATEGORIA],despesafixaconsolidadomai[[#This Row],[DESPESA FIXA]])</calculatedColumnFormula>
    </tableColumn>
    <tableColumn id="36" xr3:uid="{B15D3C69-AAEF-4836-A939-A93F7A53BE7E}" name="19" totalsRowFunction="sum" dataDxfId="6184" totalsRowDxfId="6183" dataCellStyle="Moeda">
      <calculatedColumnFormula>SUMIFS(tabela_registros[VALOR],tabela_registros[MÊS],$AE$1,tabela_registros[DIA],jantotal[[#Headers],[19]],tabela_registros[REGISTRO],DADOS!$N$4,tabela_registros[TIPO],DADOS!$P$3,tabela_registros[CATEGORIA],despesafixaconsolidadomai[[#This Row],[DESPESA FIXA]])</calculatedColumnFormula>
    </tableColumn>
    <tableColumn id="37" xr3:uid="{AC47E512-31B4-4281-9740-D2D230A563BA}" name="20" totalsRowFunction="sum" dataDxfId="6182" totalsRowDxfId="6181" dataCellStyle="Moeda">
      <calculatedColumnFormula>SUMIFS(tabela_registros[VALOR],tabela_registros[MÊS],$AE$1,tabela_registros[DIA],jantotal[[#Headers],[20]],tabela_registros[REGISTRO],DADOS!$N$4,tabela_registros[TIPO],DADOS!$P$3,tabela_registros[CATEGORIA],despesafixaconsolidadomai[[#This Row],[DESPESA FIXA]])</calculatedColumnFormula>
    </tableColumn>
    <tableColumn id="38" xr3:uid="{1180389C-7E14-4E07-9742-EF5B08F733F8}" name="21" totalsRowFunction="sum" dataDxfId="6180" totalsRowDxfId="6179" dataCellStyle="Moeda">
      <calculatedColumnFormula>SUMIFS(tabela_registros[VALOR],tabela_registros[MÊS],$AE$1,tabela_registros[DIA],jantotal[[#Headers],[21]],tabela_registros[REGISTRO],DADOS!$N$4,tabela_registros[TIPO],DADOS!$P$3,tabela_registros[CATEGORIA],despesafixaconsolidadomai[[#This Row],[DESPESA FIXA]])</calculatedColumnFormula>
    </tableColumn>
    <tableColumn id="39" xr3:uid="{DA1AAAF9-7BD9-45A1-9295-8CAF66E42F2C}" name="22" totalsRowFunction="sum" dataDxfId="6178" totalsRowDxfId="6177" dataCellStyle="Moeda">
      <calculatedColumnFormula>SUMIFS(tabela_registros[VALOR],tabela_registros[MÊS],$AE$1,tabela_registros[DIA],jantotal[[#Headers],[22]],tabela_registros[REGISTRO],DADOS!$N$4,tabela_registros[TIPO],DADOS!$P$3,tabela_registros[CATEGORIA],despesafixaconsolidadomai[[#This Row],[DESPESA FIXA]])</calculatedColumnFormula>
    </tableColumn>
    <tableColumn id="40" xr3:uid="{8A9050E5-F44E-4E74-8F6B-07B85F420B2B}" name="23" totalsRowFunction="sum" dataDxfId="6176" totalsRowDxfId="6175" dataCellStyle="Moeda">
      <calculatedColumnFormula>SUMIFS(tabela_registros[VALOR],tabela_registros[MÊS],$AE$1,tabela_registros[DIA],jantotal[[#Headers],[23]],tabela_registros[REGISTRO],DADOS!$N$4,tabela_registros[TIPO],DADOS!$P$3,tabela_registros[CATEGORIA],despesafixaconsolidadomai[[#This Row],[DESPESA FIXA]])</calculatedColumnFormula>
    </tableColumn>
    <tableColumn id="41" xr3:uid="{50B7C059-3931-4F34-9275-F32B3DC2F64C}" name="24" totalsRowFunction="sum" dataDxfId="6174" totalsRowDxfId="6173" dataCellStyle="Moeda">
      <calculatedColumnFormula>SUMIFS(tabela_registros[VALOR],tabela_registros[MÊS],$AE$1,tabela_registros[DIA],jantotal[[#Headers],[24]],tabela_registros[REGISTRO],DADOS!$N$4,tabela_registros[TIPO],DADOS!$P$3,tabela_registros[CATEGORIA],despesafixaconsolidadomai[[#This Row],[DESPESA FIXA]])</calculatedColumnFormula>
    </tableColumn>
    <tableColumn id="12" xr3:uid="{F774E91E-D758-443B-91CE-665F1BB81B78}" name="25" totalsRowFunction="sum" dataDxfId="6172" totalsRowDxfId="6171" dataCellStyle="Moeda">
      <calculatedColumnFormula>SUMIFS(tabela_registros[VALOR],tabela_registros[MÊS],$AE$1,tabela_registros[DIA],jantotal[[#Headers],[25]],tabela_registros[REGISTRO],DADOS!$N$4,tabela_registros[TIPO],DADOS!$P$3,tabela_registros[CATEGORIA],despesafixaconsolidadomai[[#This Row],[DESPESA FIXA]])</calculatedColumnFormula>
    </tableColumn>
    <tableColumn id="13" xr3:uid="{06B25A03-6A64-46AA-9045-40ADBEFF2380}" name="26" totalsRowFunction="sum" dataDxfId="6170" totalsRowDxfId="6169" dataCellStyle="Moeda">
      <calculatedColumnFormula>SUMIFS(tabela_registros[VALOR],tabela_registros[MÊS],$AE$1,tabela_registros[DIA],jantotal[[#Headers],[26]],tabela_registros[REGISTRO],DADOS!$N$4,tabela_registros[TIPO],DADOS!$P$3,tabela_registros[CATEGORIA],despesafixaconsolidadomai[[#This Row],[DESPESA FIXA]])</calculatedColumnFormula>
    </tableColumn>
    <tableColumn id="14" xr3:uid="{AFF3B038-E90B-4640-B02A-175A7C07BD44}" name="27" totalsRowFunction="sum" dataDxfId="6168" totalsRowDxfId="6167" dataCellStyle="Moeda">
      <calculatedColumnFormula>SUMIFS(tabela_registros[VALOR],tabela_registros[MÊS],$AE$1,tabela_registros[DIA],jantotal[[#Headers],[27]],tabela_registros[REGISTRO],DADOS!$N$4,tabela_registros[TIPO],DADOS!$P$3,tabela_registros[CATEGORIA],despesafixaconsolidadomai[[#This Row],[DESPESA FIXA]])</calculatedColumnFormula>
    </tableColumn>
    <tableColumn id="15" xr3:uid="{7B2A57A9-63B7-45DD-BBAE-5E1ADC243490}" name="28" totalsRowFunction="sum" dataDxfId="6166" totalsRowDxfId="6165" dataCellStyle="Moeda">
      <calculatedColumnFormula>SUMIFS(tabela_registros[VALOR],tabela_registros[MÊS],$AE$1,tabela_registros[DIA],jantotal[[#Headers],[28]],tabela_registros[REGISTRO],DADOS!$N$4,tabela_registros[TIPO],DADOS!$P$3,tabela_registros[CATEGORIA],despesafixaconsolidadomai[[#This Row],[DESPESA FIXA]])</calculatedColumnFormula>
    </tableColumn>
    <tableColumn id="16" xr3:uid="{64BE603B-34E6-4C88-AF31-9B8C41DF0A79}" name="29" totalsRowFunction="sum" dataDxfId="6164" totalsRowDxfId="6163" dataCellStyle="Moeda">
      <calculatedColumnFormula>SUMIFS(tabela_registros[VALOR],tabela_registros[MÊS],$AE$1,tabela_registros[DIA],jantotal[[#Headers],[29]],tabela_registros[REGISTRO],DADOS!$N$4,tabela_registros[TIPO],DADOS!$P$3,tabela_registros[CATEGORIA],despesafixaconsolidadomai[[#This Row],[DESPESA FIXA]])</calculatedColumnFormula>
    </tableColumn>
    <tableColumn id="17" xr3:uid="{C733203C-F5A4-4E4D-B385-162C1B5C7F20}" name="30" totalsRowFunction="sum" dataDxfId="6162" totalsRowDxfId="6161" dataCellStyle="Moeda">
      <calculatedColumnFormula>SUMIFS(tabela_registros[VALOR],tabela_registros[MÊS],$AE$1,tabela_registros[DIA],jantotal[[#Headers],[30]],tabela_registros[REGISTRO],DADOS!$N$4,tabela_registros[TIPO],DADOS!$P$3,tabela_registros[CATEGORIA],despesafixaconsolidadomai[[#This Row],[DESPESA FIXA]])</calculatedColumnFormula>
    </tableColumn>
    <tableColumn id="9" xr3:uid="{887BEFCA-8339-4501-A376-B39C6D314EAA}" name="31" totalsRowFunction="sum" dataDxfId="6160" totalsRowDxfId="6159" dataCellStyle="Moeda">
      <calculatedColumnFormula>SUMIFS(tabela_registros[VALOR],tabela_registros[MÊS],$AE$1,tabela_registros[DIA],jantotal[[#Headers],[31]],tabela_registros[REGISTRO],DADOS!$N$4,tabela_registros[TIPO],DADOS!$P$3,tabela_registros[CATEGORIA],despesafixaconsolidadomai[[#This Row],[DESPESA FIXA]])</calculatedColumnFormula>
    </tableColumn>
    <tableColumn id="5" xr3:uid="{59D1DE9C-B244-41F7-810D-743F7BC55F28}" name="TOTAL" totalsRowFunction="sum" dataDxfId="6158" dataCellStyle="Moeda">
      <calculatedColumnFormula>SUM(despesafixaconsolidadomai[[#This Row],[1]:[31]])</calculatedColumnFormula>
    </tableColumn>
  </tableColumns>
  <tableStyleInfo name="TABELAS RESULTADOS" showFirstColumn="0" showLastColumn="1" showRowStripes="1" showColumnStripes="0"/>
</table>
</file>

<file path=xl/tables/table6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3" xr:uid="{F17ECA57-9B27-4E0D-BEB4-28F912106087}" name="despesavariávelconsolidadomai" displayName="despesavariávelconsolidadomai" ref="C59:AJ73" headerRowDxfId="6157" dataDxfId="6156" totalsRowDxfId="6155" dataCellStyle="Moeda">
  <autoFilter ref="C59:AJ73" xr:uid="{07DB3A1D-DBCD-42BC-96FE-46512EDE2C70}"/>
  <tableColumns count="34">
    <tableColumn id="1" xr3:uid="{036F072A-3015-4887-97DA-BF37CDB0BC9B}" name="DESPESA VARIÁVEL" totalsRowLabel="Total" dataDxfId="6154" totalsRowDxfId="6153">
      <calculatedColumnFormula>DADOS!T3</calculatedColumnFormula>
    </tableColumn>
    <tableColumn id="54" xr3:uid="{978A275B-590F-4FDE-8C02-5DD10F56E6BB}" name="Coluna1" dataDxfId="6152" totalsRowDxfId="6151">
      <calculatedColumnFormula>IF(despesavariávelconsolidadomai[[#This Row],[TOTAL]]=0,"",IF(OR(despesavariávelconsolidadomai[[#This Row],[TOTAL]]=SMALL(despesavariávelconsolidadomai[TOTAL],1),despesavariávelconsolidadomai[[#This Row],[TOTAL]]=SMALL(despesavariávelconsolidadomai[TOTAL],2),despesavariávelconsolidadomai[[#This Row],[TOTAL]]=SMALL(despesavariávelconsolidadomai[TOTAL],3),despesavariávelconsolidadomai[[#This Row],[TOTAL]]=SMALL(despesavariávelconsolidadomai[TOTAL],4),despesavariávelconsolidadomai[[#This Row],[TOTAL]]=SMALL(despesavariávelconsolidadomai[TOTAL],5)),DADOS!$I$8,""))</calculatedColumnFormula>
    </tableColumn>
    <tableColumn id="30" xr3:uid="{BEE02B09-2CF1-4A61-94D8-A4E064423A12}" name="1" totalsRowFunction="sum" dataDxfId="6150">
      <calculatedColumnFormula>SUMIFS(tabela_registros[VALOR],tabela_registros[MÊS],$AE$1,tabela_registros[DIA],jantotal[[#Headers],[1]],tabela_registros[REGISTRO],DADOS!$N$4,tabela_registros[TIPO],DADOS!$P$4,tabela_registros[CATEGORIA],despesavariávelconsolidadomai[[#This Row],[DESPESA VARIÁVEL]])</calculatedColumnFormula>
    </tableColumn>
    <tableColumn id="31" xr3:uid="{2B62B4CF-8054-47A7-A482-15C3C504F137}" name="2" totalsRowFunction="sum" dataDxfId="6149">
      <calculatedColumnFormula>SUMIFS(tabela_registros[VALOR],tabela_registros[MÊS],$AE$1,tabela_registros[DIA],jantotal[[#Headers],[2]],tabela_registros[REGISTRO],DADOS!$N$4,tabela_registros[TIPO],DADOS!$P$4,tabela_registros[CATEGORIA],despesavariávelconsolidadomai[[#This Row],[DESPESA VARIÁVEL]])</calculatedColumnFormula>
    </tableColumn>
    <tableColumn id="32" xr3:uid="{3B31BCFF-2493-4F0F-BFD6-896E0A9DCA1D}" name="3" totalsRowFunction="sum" dataDxfId="6148">
      <calculatedColumnFormula>SUMIFS(tabela_registros[VALOR],tabela_registros[MÊS],$AE$1,tabela_registros[DIA],jantotal[[#Headers],[3]],tabela_registros[REGISTRO],DADOS!$N$4,tabela_registros[TIPO],DADOS!$P$4,tabela_registros[CATEGORIA],despesavariávelconsolidadomai[[#This Row],[DESPESA VARIÁVEL]])</calculatedColumnFormula>
    </tableColumn>
    <tableColumn id="33" xr3:uid="{85012771-D1BD-4CCA-8DA8-C6B6F6CA68CD}" name="4" totalsRowFunction="sum" dataDxfId="6147">
      <calculatedColumnFormula>SUMIFS(tabela_registros[VALOR],tabela_registros[MÊS],$AE$1,tabela_registros[DIA],jantotal[[#Headers],[4]],tabela_registros[REGISTRO],DADOS!$N$4,tabela_registros[TIPO],DADOS!$P$4,tabela_registros[CATEGORIA],despesavariávelconsolidadomai[[#This Row],[DESPESA VARIÁVEL]])</calculatedColumnFormula>
    </tableColumn>
    <tableColumn id="34" xr3:uid="{1F518F68-051B-4EE8-A076-D741008B1F78}" name="5" totalsRowFunction="sum" dataDxfId="6146">
      <calculatedColumnFormula>SUMIFS(tabela_registros[VALOR],tabela_registros[MÊS],$AE$1,tabela_registros[DIA],jantotal[[#Headers],[5]],tabela_registros[REGISTRO],DADOS!$N$4,tabela_registros[TIPO],DADOS!$P$4,tabela_registros[CATEGORIA],despesavariávelconsolidadomai[[#This Row],[DESPESA VARIÁVEL]])</calculatedColumnFormula>
    </tableColumn>
    <tableColumn id="35" xr3:uid="{F6D48FD3-B88A-4A42-A543-838E6315336D}" name="6" totalsRowFunction="sum" dataDxfId="6145">
      <calculatedColumnFormula>SUMIFS(tabela_registros[VALOR],tabela_registros[MÊS],$AE$1,tabela_registros[DIA],jantotal[[#Headers],[6]],tabela_registros[REGISTRO],DADOS!$N$4,tabela_registros[TIPO],DADOS!$P$4,tabela_registros[CATEGORIA],despesavariávelconsolidadomai[[#This Row],[DESPESA VARIÁVEL]])</calculatedColumnFormula>
    </tableColumn>
    <tableColumn id="36" xr3:uid="{ACAE71AC-B705-40F8-AB3A-2A19985C07AC}" name="7" totalsRowFunction="sum" dataDxfId="6144">
      <calculatedColumnFormula>SUMIFS(tabela_registros[VALOR],tabela_registros[MÊS],$AE$1,tabela_registros[DIA],jantotal[[#Headers],[7]],tabela_registros[REGISTRO],DADOS!$N$4,tabela_registros[TIPO],DADOS!$P$4,tabela_registros[CATEGORIA],despesavariávelconsolidadomai[[#This Row],[DESPESA VARIÁVEL]])</calculatedColumnFormula>
    </tableColumn>
    <tableColumn id="37" xr3:uid="{0046901C-32C3-479E-ABC3-6A9CA19B57EE}" name="8" totalsRowFunction="sum" dataDxfId="6143">
      <calculatedColumnFormula>SUMIFS(tabela_registros[VALOR],tabela_registros[MÊS],$AE$1,tabela_registros[DIA],jantotal[[#Headers],[8]],tabela_registros[REGISTRO],DADOS!$N$4,tabela_registros[TIPO],DADOS!$P$4,tabela_registros[CATEGORIA],despesavariávelconsolidadomai[[#This Row],[DESPESA VARIÁVEL]])</calculatedColumnFormula>
    </tableColumn>
    <tableColumn id="38" xr3:uid="{A1CF1FBF-D7D8-459D-AF84-6E816271D89A}" name="9" totalsRowFunction="sum" dataDxfId="6142">
      <calculatedColumnFormula>SUMIFS(tabela_registros[VALOR],tabela_registros[MÊS],$AE$1,tabela_registros[DIA],jantotal[[#Headers],[9]],tabela_registros[REGISTRO],DADOS!$N$4,tabela_registros[TIPO],DADOS!$P$4,tabela_registros[CATEGORIA],despesavariávelconsolidadomai[[#This Row],[DESPESA VARIÁVEL]])</calculatedColumnFormula>
    </tableColumn>
    <tableColumn id="39" xr3:uid="{DCC494A2-5EB5-45D9-A681-47B836E386F1}" name="10" totalsRowFunction="sum" dataDxfId="6141">
      <calculatedColumnFormula>SUMIFS(tabela_registros[VALOR],tabela_registros[MÊS],$AE$1,tabela_registros[DIA],jantotal[[#Headers],[10]],tabela_registros[REGISTRO],DADOS!$N$4,tabela_registros[TIPO],DADOS!$P$4,tabela_registros[CATEGORIA],despesavariávelconsolidadomai[[#This Row],[DESPESA VARIÁVEL]])</calculatedColumnFormula>
    </tableColumn>
    <tableColumn id="40" xr3:uid="{34C2CBF9-7A4E-4B6B-AD8C-56F75408BFD3}" name="11" totalsRowFunction="sum" dataDxfId="6140">
      <calculatedColumnFormula>SUMIFS(tabela_registros[VALOR],tabela_registros[MÊS],$AE$1,tabela_registros[DIA],jantotal[[#Headers],[11]],tabela_registros[REGISTRO],DADOS!$N$4,tabela_registros[TIPO],DADOS!$P$4,tabela_registros[CATEGORIA],despesavariávelconsolidadomai[[#This Row],[DESPESA VARIÁVEL]])</calculatedColumnFormula>
    </tableColumn>
    <tableColumn id="41" xr3:uid="{FA4F89F9-1F15-437D-BA5F-5EB081F891B2}" name="12" totalsRowFunction="sum" dataDxfId="6139">
      <calculatedColumnFormula>SUMIFS(tabela_registros[VALOR],tabela_registros[MÊS],$AE$1,tabela_registros[DIA],jantotal[[#Headers],[12]],tabela_registros[REGISTRO],DADOS!$N$4,tabela_registros[TIPO],DADOS!$P$4,tabela_registros[CATEGORIA],despesavariávelconsolidadomai[[#This Row],[DESPESA VARIÁVEL]])</calculatedColumnFormula>
    </tableColumn>
    <tableColumn id="42" xr3:uid="{6E4B05AE-24D4-484F-9D6E-8942167FCD6A}" name="13" totalsRowFunction="sum" dataDxfId="6138">
      <calculatedColumnFormula>SUMIFS(tabela_registros[VALOR],tabela_registros[MÊS],$AE$1,tabela_registros[DIA],jantotal[[#Headers],[13]],tabela_registros[REGISTRO],DADOS!$N$4,tabela_registros[TIPO],DADOS!$P$4,tabela_registros[CATEGORIA],despesavariávelconsolidadomai[[#This Row],[DESPESA VARIÁVEL]])</calculatedColumnFormula>
    </tableColumn>
    <tableColumn id="43" xr3:uid="{AA558AD0-49CD-41F3-A0DE-EA97C8D26D54}" name="14" totalsRowFunction="sum" dataDxfId="6137">
      <calculatedColumnFormula>SUMIFS(tabela_registros[VALOR],tabela_registros[MÊS],$AE$1,tabela_registros[DIA],jantotal[[#Headers],[14]],tabela_registros[REGISTRO],DADOS!$N$4,tabela_registros[TIPO],DADOS!$P$4,tabela_registros[CATEGORIA],despesavariávelconsolidadomai[[#This Row],[DESPESA VARIÁVEL]])</calculatedColumnFormula>
    </tableColumn>
    <tableColumn id="44" xr3:uid="{D6D39D67-629D-47B2-AD6A-4EE05FA83591}" name="15" totalsRowFunction="sum" dataDxfId="6136">
      <calculatedColumnFormula>SUMIFS(tabela_registros[VALOR],tabela_registros[MÊS],$AE$1,tabela_registros[DIA],jantotal[[#Headers],[15]],tabela_registros[REGISTRO],DADOS!$N$4,tabela_registros[TIPO],DADOS!$P$4,tabela_registros[CATEGORIA],despesavariávelconsolidadomai[[#This Row],[DESPESA VARIÁVEL]])</calculatedColumnFormula>
    </tableColumn>
    <tableColumn id="45" xr3:uid="{8BA00E5B-A9A7-4B23-BA34-88E7A9647662}" name="16" totalsRowFunction="sum" dataDxfId="6135">
      <calculatedColumnFormula>SUMIFS(tabela_registros[VALOR],tabela_registros[MÊS],$AE$1,tabela_registros[DIA],jantotal[[#Headers],[16]],tabela_registros[REGISTRO],DADOS!$N$4,tabela_registros[TIPO],DADOS!$P$4,tabela_registros[CATEGORIA],despesavariávelconsolidadomai[[#This Row],[DESPESA VARIÁVEL]])</calculatedColumnFormula>
    </tableColumn>
    <tableColumn id="46" xr3:uid="{C56548C1-4136-4730-99DB-6D084E41BAE1}" name="17" totalsRowFunction="sum" dataDxfId="6134">
      <calculatedColumnFormula>SUMIFS(tabela_registros[VALOR],tabela_registros[MÊS],$AE$1,tabela_registros[DIA],jantotal[[#Headers],[17]],tabela_registros[REGISTRO],DADOS!$N$4,tabela_registros[TIPO],DADOS!$P$4,tabela_registros[CATEGORIA],despesavariávelconsolidadomai[[#This Row],[DESPESA VARIÁVEL]])</calculatedColumnFormula>
    </tableColumn>
    <tableColumn id="47" xr3:uid="{73440FEE-9887-46C5-96FD-8B5E33ACAFB4}" name="18" totalsRowFunction="sum" dataDxfId="6133">
      <calculatedColumnFormula>SUMIFS(tabela_registros[VALOR],tabela_registros[MÊS],$AE$1,tabela_registros[DIA],jantotal[[#Headers],[18]],tabela_registros[REGISTRO],DADOS!$N$4,tabela_registros[TIPO],DADOS!$P$4,tabela_registros[CATEGORIA],despesavariávelconsolidadomai[[#This Row],[DESPESA VARIÁVEL]])</calculatedColumnFormula>
    </tableColumn>
    <tableColumn id="48" xr3:uid="{C4E39C7E-1357-4B91-9A4E-A7641FE56D2B}" name="19" totalsRowFunction="sum" dataDxfId="6132">
      <calculatedColumnFormula>SUMIFS(tabela_registros[VALOR],tabela_registros[MÊS],$AE$1,tabela_registros[DIA],jantotal[[#Headers],[19]],tabela_registros[REGISTRO],DADOS!$N$4,tabela_registros[TIPO],DADOS!$P$4,tabela_registros[CATEGORIA],despesavariávelconsolidadomai[[#This Row],[DESPESA VARIÁVEL]])</calculatedColumnFormula>
    </tableColumn>
    <tableColumn id="49" xr3:uid="{A4901381-3093-43A6-99F3-DD9AEE1102E1}" name="20" totalsRowFunction="sum" dataDxfId="6131">
      <calculatedColumnFormula>SUMIFS(tabela_registros[VALOR],tabela_registros[MÊS],$AE$1,tabela_registros[DIA],jantotal[[#Headers],[20]],tabela_registros[REGISTRO],DADOS!$N$4,tabela_registros[TIPO],DADOS!$P$4,tabela_registros[CATEGORIA],despesavariávelconsolidadomai[[#This Row],[DESPESA VARIÁVEL]])</calculatedColumnFormula>
    </tableColumn>
    <tableColumn id="50" xr3:uid="{E709E2FD-0957-4DA2-87FD-97306877B6F4}" name="21" totalsRowFunction="sum" dataDxfId="6130">
      <calculatedColumnFormula>SUMIFS(tabela_registros[VALOR],tabela_registros[MÊS],$AE$1,tabela_registros[DIA],jantotal[[#Headers],[21]],tabela_registros[REGISTRO],DADOS!$N$4,tabela_registros[TIPO],DADOS!$P$4,tabela_registros[CATEGORIA],despesavariávelconsolidadomai[[#This Row],[DESPESA VARIÁVEL]])</calculatedColumnFormula>
    </tableColumn>
    <tableColumn id="51" xr3:uid="{11DBA893-8AA1-4086-A97B-18ACF9150BB1}" name="22" totalsRowFunction="sum" dataDxfId="6129">
      <calculatedColumnFormula>SUMIFS(tabela_registros[VALOR],tabela_registros[MÊS],$AE$1,tabela_registros[DIA],jantotal[[#Headers],[22]],tabela_registros[REGISTRO],DADOS!$N$4,tabela_registros[TIPO],DADOS!$P$4,tabela_registros[CATEGORIA],despesavariávelconsolidadomai[[#This Row],[DESPESA VARIÁVEL]])</calculatedColumnFormula>
    </tableColumn>
    <tableColumn id="52" xr3:uid="{71B4C168-E929-44E9-8063-A608E6332B04}" name="23" totalsRowFunction="sum" dataDxfId="6128">
      <calculatedColumnFormula>SUMIFS(tabela_registros[VALOR],tabela_registros[MÊS],$AE$1,tabela_registros[DIA],jantotal[[#Headers],[23]],tabela_registros[REGISTRO],DADOS!$N$4,tabela_registros[TIPO],DADOS!$P$4,tabela_registros[CATEGORIA],despesavariávelconsolidadomai[[#This Row],[DESPESA VARIÁVEL]])</calculatedColumnFormula>
    </tableColumn>
    <tableColumn id="53" xr3:uid="{2A54DA88-DC73-4F35-AD46-D9685BDEC144}" name="24" totalsRowFunction="sum" dataDxfId="6127">
      <calculatedColumnFormula>SUMIFS(tabela_registros[VALOR],tabela_registros[MÊS],$AE$1,tabela_registros[DIA],jantotal[[#Headers],[24]],tabela_registros[REGISTRO],DADOS!$N$4,tabela_registros[TIPO],DADOS!$P$4,tabela_registros[CATEGORIA],despesavariávelconsolidadomai[[#This Row],[DESPESA VARIÁVEL]])</calculatedColumnFormula>
    </tableColumn>
    <tableColumn id="18" xr3:uid="{4BC90249-B4B2-47F8-881C-43F21FF5C9CB}" name="25" totalsRowFunction="sum" dataDxfId="6126">
      <calculatedColumnFormula>SUMIFS(tabela_registros[VALOR],tabela_registros[MÊS],$AE$1,tabela_registros[DIA],jantotal[[#Headers],[25]],tabela_registros[REGISTRO],DADOS!$N$4,tabela_registros[TIPO],DADOS!$P$4,tabela_registros[CATEGORIA],despesavariávelconsolidadomai[[#This Row],[DESPESA VARIÁVEL]])</calculatedColumnFormula>
    </tableColumn>
    <tableColumn id="19" xr3:uid="{08A6D562-BFAD-4465-9DC6-EAF88593E412}" name="26" totalsRowFunction="sum" dataDxfId="6125">
      <calculatedColumnFormula>SUMIFS(tabela_registros[VALOR],tabela_registros[MÊS],$AE$1,tabela_registros[DIA],jantotal[[#Headers],[26]],tabela_registros[REGISTRO],DADOS!$N$4,tabela_registros[TIPO],DADOS!$P$4,tabela_registros[CATEGORIA],despesavariávelconsolidadomai[[#This Row],[DESPESA VARIÁVEL]])</calculatedColumnFormula>
    </tableColumn>
    <tableColumn id="20" xr3:uid="{2F90B814-41CA-4E48-9DBC-C2105BA60800}" name="27" totalsRowFunction="sum" dataDxfId="6124">
      <calculatedColumnFormula>SUMIFS(tabela_registros[VALOR],tabela_registros[MÊS],$AE$1,tabela_registros[DIA],jantotal[[#Headers],[27]],tabela_registros[REGISTRO],DADOS!$N$4,tabela_registros[TIPO],DADOS!$P$4,tabela_registros[CATEGORIA],despesavariávelconsolidadomai[[#This Row],[DESPESA VARIÁVEL]])</calculatedColumnFormula>
    </tableColumn>
    <tableColumn id="21" xr3:uid="{49FA8F8E-0EB1-4C75-8E27-4546AA68F0DE}" name="28" totalsRowFunction="sum" dataDxfId="6123">
      <calculatedColumnFormula>SUMIFS(tabela_registros[VALOR],tabela_registros[MÊS],$AE$1,tabela_registros[DIA],jantotal[[#Headers],[28]],tabela_registros[REGISTRO],DADOS!$N$4,tabela_registros[TIPO],DADOS!$P$4,tabela_registros[CATEGORIA],despesavariávelconsolidadomai[[#This Row],[DESPESA VARIÁVEL]])</calculatedColumnFormula>
    </tableColumn>
    <tableColumn id="22" xr3:uid="{09A14D6B-A661-4897-8964-79C1F84115AA}" name="29" totalsRowFunction="sum" dataDxfId="6122">
      <calculatedColumnFormula>SUMIFS(tabela_registros[VALOR],tabela_registros[MÊS],$AE$1,tabela_registros[DIA],jantotal[[#Headers],[29]],tabela_registros[REGISTRO],DADOS!$N$4,tabela_registros[TIPO],DADOS!$P$4,tabela_registros[CATEGORIA],despesavariávelconsolidadomai[[#This Row],[DESPESA VARIÁVEL]])</calculatedColumnFormula>
    </tableColumn>
    <tableColumn id="23" xr3:uid="{466D0476-06CE-42DD-88D4-A8D7BDCCAD9B}" name="30" totalsRowFunction="sum" dataDxfId="6121">
      <calculatedColumnFormula>SUMIFS(tabela_registros[VALOR],tabela_registros[MÊS],$AE$1,tabela_registros[DIA],jantotal[[#Headers],[30]],tabela_registros[REGISTRO],DADOS!$N$4,tabela_registros[TIPO],DADOS!$P$4,tabela_registros[CATEGORIA],despesavariávelconsolidadomai[[#This Row],[DESPESA VARIÁVEL]])</calculatedColumnFormula>
    </tableColumn>
    <tableColumn id="24" xr3:uid="{7C210EE3-201E-41B5-BD86-9E6D425C66D7}" name="31" totalsRowFunction="sum" dataDxfId="6120">
      <calculatedColumnFormula>SUMIFS(tabela_registros[VALOR],tabela_registros[MÊS],$AE$1,tabela_registros[DIA],jantotal[[#Headers],[31]],tabela_registros[REGISTRO],DADOS!$N$4,tabela_registros[TIPO],DADOS!$P$4,tabela_registros[CATEGORIA],despesavariávelconsolidadomai[[#This Row],[DESPESA VARIÁVEL]])</calculatedColumnFormula>
    </tableColumn>
    <tableColumn id="3" xr3:uid="{6D966165-C00F-4248-817E-B032C3A8B0A0}" name="TOTAL" totalsRowFunction="sum" dataDxfId="6119" dataCellStyle="Moeda">
      <calculatedColumnFormula>-SUMIFS(tabela_registros[VALOR],tabela_registros[REGISTRO],DADOS!$N$4,tabela_registros[TIPO],despesavariável[[#Headers],[DESPESA VARIÁVEL]],tabela_registros[CATEGORIA],despesavariávelconsolidadomai[[#This Row],[DESPESA VARIÁVEL]])</calculatedColumnFormula>
    </tableColumn>
  </tableColumns>
  <tableStyleInfo name="TABELAS RESULTADOS" showFirstColumn="0" showLastColumn="1" showRowStripes="1" showColumnStripes="0"/>
</table>
</file>

<file path=xl/tables/table6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4" xr:uid="{F0C67EF6-1325-4790-9B19-0A414F14617B}" name="maiinvestir21587082" displayName="maiinvestir21587082" ref="C24:AJ28" totalsRowCount="1" headerRowDxfId="6118" dataDxfId="6117" totalsRowDxfId="6115" tableBorderDxfId="6116" dataCellStyle="Moeda">
  <autoFilter ref="C24:AJ27" xr:uid="{6A49DC70-6E60-45C7-9126-6CFF5D88342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  <filterColumn colId="25" hiddenButton="1"/>
    <filterColumn colId="26" hiddenButton="1"/>
    <filterColumn colId="27" hiddenButton="1"/>
    <filterColumn colId="28" hiddenButton="1"/>
    <filterColumn colId="29" hiddenButton="1"/>
    <filterColumn colId="30" hiddenButton="1"/>
    <filterColumn colId="31" hiddenButton="1"/>
    <filterColumn colId="32" hiddenButton="1"/>
    <filterColumn colId="33" hiddenButton="1"/>
  </autoFilter>
  <tableColumns count="34">
    <tableColumn id="1" xr3:uid="{3BB5467B-F46B-464B-859A-6EE0E4A93F85}" name="ATUAL" totalsRowLabel="SALDO" dataDxfId="6114"/>
    <tableColumn id="34" xr3:uid="{3DABE5E7-6F36-438A-B74B-C5BEFD55FA63}" name="Coluna1" dataDxfId="6113"/>
    <tableColumn id="2" xr3:uid="{0D136960-3CAD-4F3F-86B5-BBDD8CC46CFE}" name="1" totalsRowFunction="sum" dataDxfId="6112" totalsRowDxfId="6111" dataCellStyle="Moeda"/>
    <tableColumn id="3" xr3:uid="{09337A62-52B3-4C7D-9B2B-044CF068DA90}" name="2" totalsRowFunction="sum" dataDxfId="6110" totalsRowDxfId="6109" dataCellStyle="Moeda"/>
    <tableColumn id="4" xr3:uid="{3DF13FEE-EA1C-4A76-B161-EF04E58BFA31}" name="3" totalsRowFunction="sum" dataDxfId="6108" totalsRowDxfId="6107" dataCellStyle="Moeda"/>
    <tableColumn id="5" xr3:uid="{CF076C23-5015-4E0A-A87E-11977ABDE237}" name="4" totalsRowFunction="sum" dataDxfId="6106" totalsRowDxfId="6105" dataCellStyle="Moeda"/>
    <tableColumn id="6" xr3:uid="{D77D0ABD-0533-4195-9627-05B6A2A00288}" name="5" totalsRowFunction="sum" dataDxfId="6104" totalsRowDxfId="6103" dataCellStyle="Moeda"/>
    <tableColumn id="7" xr3:uid="{15E42E3D-5074-4929-8009-B93900D48E47}" name="6" totalsRowFunction="sum" dataDxfId="6102" totalsRowDxfId="6101" dataCellStyle="Moeda"/>
    <tableColumn id="8" xr3:uid="{2DB18040-FEF4-4D94-942C-D09B9F975E0B}" name="7" totalsRowFunction="sum" dataDxfId="6100" totalsRowDxfId="6099" dataCellStyle="Moeda"/>
    <tableColumn id="9" xr3:uid="{F6DCB876-53A8-4FC5-9D2C-3AEAA6C5F0AF}" name="8" totalsRowFunction="sum" dataDxfId="6098" totalsRowDxfId="6097" dataCellStyle="Moeda"/>
    <tableColumn id="10" xr3:uid="{22D4ABB9-500E-4E42-976E-75E151661941}" name="9" totalsRowFunction="sum" dataDxfId="6096" totalsRowDxfId="6095" dataCellStyle="Moeda"/>
    <tableColumn id="11" xr3:uid="{8A5822AD-698D-4F1A-9634-1211BE1D4636}" name="10" totalsRowFunction="sum" dataDxfId="6094" totalsRowDxfId="6093" dataCellStyle="Moeda"/>
    <tableColumn id="12" xr3:uid="{8A01BE63-E830-4EFD-8690-35B6B0D1B6B4}" name="11" totalsRowFunction="sum" dataDxfId="6092" totalsRowDxfId="6091" dataCellStyle="Moeda"/>
    <tableColumn id="13" xr3:uid="{63EEE137-6D2D-4209-8704-9C28BA6C0223}" name="12" totalsRowFunction="sum" dataDxfId="6090" totalsRowDxfId="6089" dataCellStyle="Moeda"/>
    <tableColumn id="14" xr3:uid="{C2B1FB54-D077-4C4C-975B-8090D821EA6F}" name="13" totalsRowFunction="sum" dataDxfId="6088" totalsRowDxfId="6087" dataCellStyle="Moeda"/>
    <tableColumn id="15" xr3:uid="{52849CCA-726E-422B-9DC4-58CB90D8B297}" name="14" totalsRowFunction="sum" dataDxfId="6086" totalsRowDxfId="6085" dataCellStyle="Moeda"/>
    <tableColumn id="16" xr3:uid="{DBC6078C-DD1F-4E1C-81D6-8033FB5B9835}" name="15" totalsRowFunction="sum" dataDxfId="6084" totalsRowDxfId="6083" dataCellStyle="Moeda"/>
    <tableColumn id="17" xr3:uid="{5C1D7D45-923D-4664-88FC-CAFEB67F208A}" name="16" totalsRowFunction="sum" dataDxfId="6082" totalsRowDxfId="6081" dataCellStyle="Moeda"/>
    <tableColumn id="18" xr3:uid="{BC01A164-675C-4677-A3EF-88184F42D72C}" name="17" totalsRowFunction="sum" dataDxfId="6080" totalsRowDxfId="6079" dataCellStyle="Moeda"/>
    <tableColumn id="19" xr3:uid="{04D36BDB-EDD8-4CE4-A743-757C93BBC887}" name="18" totalsRowFunction="sum" dataDxfId="6078" totalsRowDxfId="6077" dataCellStyle="Moeda"/>
    <tableColumn id="20" xr3:uid="{CED47F21-77A5-4CA0-8864-C2764A0D4E1C}" name="19" totalsRowFunction="sum" dataDxfId="6076" totalsRowDxfId="6075" dataCellStyle="Moeda"/>
    <tableColumn id="21" xr3:uid="{163A874D-97DE-4E45-B26D-30030BE993BF}" name="20" totalsRowFunction="sum" dataDxfId="6074" totalsRowDxfId="6073" dataCellStyle="Moeda"/>
    <tableColumn id="22" xr3:uid="{B2AD2D44-C051-4E2C-AB86-ADB7BD49C29E}" name="21" totalsRowFunction="sum" dataDxfId="6072" totalsRowDxfId="6071" dataCellStyle="Moeda"/>
    <tableColumn id="23" xr3:uid="{A3575758-E9C0-4C33-A943-54316ED4660D}" name="22" totalsRowFunction="sum" dataDxfId="6070" totalsRowDxfId="6069" dataCellStyle="Moeda"/>
    <tableColumn id="24" xr3:uid="{E05EAE5E-1AD5-47DE-9AE9-118660B5F824}" name="23" totalsRowFunction="sum" dataDxfId="6068" totalsRowDxfId="6067" dataCellStyle="Moeda"/>
    <tableColumn id="25" xr3:uid="{FB032E1C-17BD-44C7-B3DA-405F42E8C2A4}" name="24" totalsRowFunction="sum" dataDxfId="6066" totalsRowDxfId="6065" dataCellStyle="Moeda"/>
    <tableColumn id="26" xr3:uid="{7B38E426-F10F-444E-B68E-7E41DB671CD7}" name="25" totalsRowFunction="sum" dataDxfId="6064" totalsRowDxfId="6063" dataCellStyle="Moeda"/>
    <tableColumn id="27" xr3:uid="{64630E10-2C46-4D6F-84D8-7F33742FE4EE}" name="26" totalsRowFunction="sum" dataDxfId="6062" totalsRowDxfId="6061" dataCellStyle="Moeda"/>
    <tableColumn id="28" xr3:uid="{22C72CED-9F36-4096-A456-18800B8884E9}" name="27" totalsRowFunction="sum" dataDxfId="6060" totalsRowDxfId="6059" dataCellStyle="Moeda"/>
    <tableColumn id="29" xr3:uid="{B60F6198-277C-4625-A357-46D0EF1DB0C9}" name="28" totalsRowFunction="sum" dataDxfId="6058" totalsRowDxfId="6057" dataCellStyle="Moeda"/>
    <tableColumn id="30" xr3:uid="{93934095-1D02-4CE6-ADC1-351A67493701}" name="29" totalsRowFunction="sum" dataDxfId="6056" totalsRowDxfId="6055" dataCellStyle="Moeda"/>
    <tableColumn id="31" xr3:uid="{73B97661-0D10-4736-979F-FD375D8C33E2}" name="30" totalsRowFunction="sum" dataDxfId="6054" totalsRowDxfId="6053" dataCellStyle="Moeda"/>
    <tableColumn id="32" xr3:uid="{047A412C-1E40-4465-80AD-9CCDED83FD1F}" name="31" totalsRowFunction="sum" dataDxfId="6052" totalsRowDxfId="6051" dataCellStyle="Moeda"/>
    <tableColumn id="33" xr3:uid="{B3603145-A6B5-4524-9652-61C823C3C615}" name="TOTAL (R$)" totalsRowFunction="sum" dataDxfId="6050" totalsRowDxfId="6049" dataCellStyle="Moeda">
      <calculatedColumnFormula>SUM(E25:AI25)</calculatedColumnFormula>
    </tableColumn>
  </tableColumns>
  <tableStyleInfo name="TABELAS RESULTADOS" showFirstColumn="0" showLastColumn="0" showRowStripes="1" showColumnStripes="0"/>
</table>
</file>

<file path=xl/tables/table6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5" xr:uid="{2B8306AC-4D73-478D-97FD-FA6B415870F6}" name="maitotal30597183" displayName="maitotal30597183" ref="C13:AJ16" headerRowDxfId="6048" dataDxfId="6047" totalsRowDxfId="6046">
  <autoFilter ref="C13:AJ16" xr:uid="{8F80C188-90EF-4EEA-8266-E1F416435B21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  <filterColumn colId="25" hiddenButton="1"/>
    <filterColumn colId="26" hiddenButton="1"/>
    <filterColumn colId="27" hiddenButton="1"/>
    <filterColumn colId="28" hiddenButton="1"/>
    <filterColumn colId="29" hiddenButton="1"/>
    <filterColumn colId="30" hiddenButton="1"/>
    <filterColumn colId="31" hiddenButton="1"/>
    <filterColumn colId="32" hiddenButton="1"/>
    <filterColumn colId="33" hiddenButton="1"/>
  </autoFilter>
  <tableColumns count="34">
    <tableColumn id="1" xr3:uid="{B9225DB5-B415-4CD2-B89B-AB1BED11C591}" name="ATUAL" totalsRowLabel="SALDO" dataDxfId="6045"/>
    <tableColumn id="34" xr3:uid="{4347628E-8258-469B-A040-E02AC79DD602}" name="Coluna1" dataDxfId="6044"/>
    <tableColumn id="2" xr3:uid="{62178FFF-C0E7-4082-9C9B-CA5BC8320C45}" name="1" totalsRowFunction="sum" dataDxfId="6043" dataCellStyle="Moeda"/>
    <tableColumn id="3" xr3:uid="{4032E82F-9C5A-40EC-95EF-31C537210A95}" name="2" totalsRowFunction="sum" dataDxfId="6042" totalsRowDxfId="6041" dataCellStyle="Moeda"/>
    <tableColumn id="4" xr3:uid="{E43719CF-6A62-446F-A53C-6D84BE01F50A}" name="3" totalsRowFunction="sum" dataDxfId="6040" totalsRowDxfId="6039" dataCellStyle="Moeda"/>
    <tableColumn id="5" xr3:uid="{F8D417B3-CBA5-4272-B410-97CAECF56390}" name="4" totalsRowFunction="sum" dataDxfId="6038" totalsRowDxfId="6037" dataCellStyle="Moeda"/>
    <tableColumn id="6" xr3:uid="{8F25602D-8F60-4A18-9004-0A4DD6EB6274}" name="5" totalsRowFunction="sum" dataDxfId="6036" totalsRowDxfId="6035" dataCellStyle="Moeda"/>
    <tableColumn id="7" xr3:uid="{3C10F82D-A7BC-499D-9B54-3B540996DA7B}" name="6" totalsRowFunction="sum" dataDxfId="6034" totalsRowDxfId="6033" dataCellStyle="Moeda"/>
    <tableColumn id="8" xr3:uid="{58C0426B-BD45-4B6A-AC92-73B4248D09C0}" name="7" totalsRowFunction="sum" dataDxfId="6032" totalsRowDxfId="6031" dataCellStyle="Moeda"/>
    <tableColumn id="9" xr3:uid="{32F298EB-376A-45EE-B430-C9D16786CA59}" name="8" totalsRowFunction="sum" dataDxfId="6030" totalsRowDxfId="6029" dataCellStyle="Moeda"/>
    <tableColumn id="10" xr3:uid="{93B8E0D6-66FA-4602-BC24-1406F956E57B}" name="9" totalsRowFunction="sum" dataDxfId="6028" totalsRowDxfId="6027" dataCellStyle="Moeda"/>
    <tableColumn id="11" xr3:uid="{41168E29-9633-466E-AFBD-7A66796A7FE7}" name="10" totalsRowFunction="sum" dataDxfId="6026" totalsRowDxfId="6025" dataCellStyle="Moeda"/>
    <tableColumn id="12" xr3:uid="{AD241F57-D1AF-45F9-A8B8-2233F62C0EDB}" name="11" totalsRowFunction="sum" dataDxfId="6024" totalsRowDxfId="6023" dataCellStyle="Moeda"/>
    <tableColumn id="13" xr3:uid="{2B4F543B-272D-4AB5-BE6E-A2D821F9ACEE}" name="12" totalsRowFunction="sum" dataDxfId="6022" totalsRowDxfId="6021" dataCellStyle="Moeda"/>
    <tableColumn id="14" xr3:uid="{DB3C5E56-C0AB-4DAC-A5CA-E23CA055E552}" name="13" totalsRowFunction="sum" dataDxfId="6020" totalsRowDxfId="6019" dataCellStyle="Moeda"/>
    <tableColumn id="15" xr3:uid="{E62AC807-DE24-4CFD-85B3-F540DB8C1B2F}" name="14" totalsRowFunction="sum" dataDxfId="6018" totalsRowDxfId="6017" dataCellStyle="Moeda"/>
    <tableColumn id="16" xr3:uid="{A9F1942A-F612-420F-A16C-41FBE883CDAD}" name="15" totalsRowFunction="sum" dataDxfId="6016" totalsRowDxfId="6015" dataCellStyle="Moeda"/>
    <tableColumn id="17" xr3:uid="{E9680F6A-4A74-49C4-9693-326980F523DC}" name="16" totalsRowFunction="sum" dataDxfId="6014" totalsRowDxfId="6013" dataCellStyle="Moeda"/>
    <tableColumn id="18" xr3:uid="{D3961FD1-A476-4139-950C-3D14BD87B252}" name="17" totalsRowFunction="sum" dataDxfId="6012" totalsRowDxfId="6011" dataCellStyle="Moeda"/>
    <tableColumn id="19" xr3:uid="{79F55DD6-1ED9-402C-BE41-243C5899AF2F}" name="18" totalsRowFunction="sum" dataDxfId="6010" totalsRowDxfId="6009" dataCellStyle="Moeda"/>
    <tableColumn id="20" xr3:uid="{5BB179B7-4834-49EA-8DB3-1389E005000A}" name="19" totalsRowFunction="sum" dataDxfId="6008" totalsRowDxfId="6007" dataCellStyle="Moeda"/>
    <tableColumn id="21" xr3:uid="{63A8212B-26B3-4FBC-92FA-F294205F8748}" name="20" totalsRowFunction="sum" dataDxfId="6006" totalsRowDxfId="6005" dataCellStyle="Moeda"/>
    <tableColumn id="22" xr3:uid="{7FA155AB-A928-4AFF-B60F-55BAECB20728}" name="21" totalsRowFunction="sum" dataDxfId="6004" totalsRowDxfId="6003" dataCellStyle="Moeda"/>
    <tableColumn id="23" xr3:uid="{3333078C-A5A4-4661-80D2-92C4A1A0DD7F}" name="22" totalsRowFunction="sum" dataDxfId="6002" totalsRowDxfId="6001" dataCellStyle="Moeda"/>
    <tableColumn id="24" xr3:uid="{93D0DB51-4210-4729-AB74-1AD9F62ACF93}" name="23" totalsRowFunction="sum" dataDxfId="6000" totalsRowDxfId="5999" dataCellStyle="Moeda"/>
    <tableColumn id="25" xr3:uid="{0BC63525-C0A9-468F-88E1-F7E66AACC4C0}" name="24" totalsRowFunction="sum" dataDxfId="5998" totalsRowDxfId="5997" dataCellStyle="Moeda"/>
    <tableColumn id="26" xr3:uid="{EEB74725-78E0-4B52-8E51-1E7F46C2787A}" name="25" totalsRowFunction="sum" dataDxfId="5996" totalsRowDxfId="5995" dataCellStyle="Moeda"/>
    <tableColumn id="27" xr3:uid="{E59DDBFC-6127-487B-B66F-20E45A6F8E1A}" name="26" totalsRowFunction="sum" dataDxfId="5994" totalsRowDxfId="5993" dataCellStyle="Moeda"/>
    <tableColumn id="28" xr3:uid="{121883BA-9123-4D2F-BD1B-BE4375B6E812}" name="27" totalsRowFunction="sum" dataDxfId="5992" totalsRowDxfId="5991" dataCellStyle="Moeda"/>
    <tableColumn id="29" xr3:uid="{9F700913-8F15-4DF4-8DCE-43EC2B43C86A}" name="28" totalsRowFunction="sum" dataDxfId="5990" totalsRowDxfId="5989" dataCellStyle="Moeda"/>
    <tableColumn id="30" xr3:uid="{0694B8A6-0181-4E9F-82D0-18E418695ADE}" name="29" totalsRowFunction="sum" dataDxfId="5988" totalsRowDxfId="5987" dataCellStyle="Moeda"/>
    <tableColumn id="31" xr3:uid="{DC1B93F3-EABD-4381-AB1B-DE8733F3CEE4}" name="30" totalsRowFunction="sum" dataDxfId="5986" totalsRowDxfId="5985" dataCellStyle="Moeda"/>
    <tableColumn id="32" xr3:uid="{D5629AD9-E51F-413B-8747-7F509E799543}" name="31" totalsRowFunction="sum" dataDxfId="5984" totalsRowDxfId="5983" dataCellStyle="Moeda"/>
    <tableColumn id="33" xr3:uid="{26AE45BE-F1FA-4B7E-BAF2-48446E3BA97D}" name="TOTAL (R$)" totalsRowFunction="sum" dataDxfId="5982" dataCellStyle="Moeda">
      <calculatedColumnFormula>SUM(maitotal30597183[[#This Row],[1]:[31]])</calculatedColumnFormula>
    </tableColumn>
  </tableColumns>
  <tableStyleInfo name="TABELAS RESULTADOS" showFirstColumn="0" showLastColumn="0" showRowStripes="1" showColumnStripes="0"/>
</table>
</file>

<file path=xl/tables/table6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6" xr:uid="{BC461778-C1CE-402A-999B-79075489C8FC}" name="receitasfixasconsolidadomai" displayName="receitasfixasconsolidadomai" ref="C81:AJ87" headerRowDxfId="5981" dataDxfId="5980" totalsRowDxfId="5979">
  <autoFilter ref="C81:AJ87" xr:uid="{2EA8B7CB-D602-44E1-B8DB-B71750A487C5}"/>
  <tableColumns count="34">
    <tableColumn id="1" xr3:uid="{FB102A56-7B41-4F7E-9B42-FC583125EB6E}" name="ATUAL" totalsRowLabel="SALDO" dataDxfId="5978"/>
    <tableColumn id="34" xr3:uid="{332C028C-1B0F-4FCC-BD26-20C13E26D2D8}" name="Coluna1" dataDxfId="5977">
      <calculatedColumnFormula>IF(receitasfixasconsolidadomai[[#This Row],[TOTAL (R$)]]=0,"",IF(OR(receitasfixasconsolidadomai[[#This Row],[TOTAL (R$)]]=LARGE($AJ$82:$AJ$86,1),receitasfixasconsolidadomai[[#This Row],[TOTAL (R$)]]=LARGE($AJ$82:$AJ$86,2)),DADOS!$I$9,""))</calculatedColumnFormula>
    </tableColumn>
    <tableColumn id="2" xr3:uid="{27751E3A-4D33-46AD-B5D3-6540C857E640}" name="1" totalsRowFunction="sum" dataDxfId="5976" dataCellStyle="Moeda"/>
    <tableColumn id="3" xr3:uid="{4F4DBE85-3096-46F1-BF2D-BAA22C08F075}" name="2" totalsRowFunction="sum" dataDxfId="5975" dataCellStyle="Moeda">
      <calculatedColumnFormula>SUMIFS(tabela_registros[VALOR],tabela_registros[MÊS],$AE$1,tabela_registros[DIA],receitasfixasconsolidadomai[[#Headers],[2]],tabela_registros[REGISTRO],DADOS!$N$3,tabela_registros[TIPO],DADOS!$V$3,tabela_registros[CATEGORIA],receitasfixasconsolidadomai[[#This Row],[ATUAL]])</calculatedColumnFormula>
    </tableColumn>
    <tableColumn id="4" xr3:uid="{01BAFFFD-5E95-4D35-A389-68EDFA46F61D}" name="3" totalsRowFunction="sum" dataDxfId="5974" totalsRowDxfId="5973" dataCellStyle="Moeda">
      <calculatedColumnFormula>SUMIFS(tabela_registros[VALOR],tabela_registros[MÊS],$AE$1,tabela_registros[DIA],receitasfixasconsolidadomai[[#Headers],[3]],tabela_registros[REGISTRO],DADOS!$N$3,tabela_registros[TIPO],DADOS!$V$3,tabela_registros[CATEGORIA],receitasfixasconsolidadomai[[#This Row],[ATUAL]])</calculatedColumnFormula>
    </tableColumn>
    <tableColumn id="5" xr3:uid="{ECA0C015-3E09-4C56-8B77-875596BA409F}" name="4" totalsRowFunction="sum" dataDxfId="5972" totalsRowDxfId="5971" dataCellStyle="Moeda">
      <calculatedColumnFormula>SUMIFS(tabela_registros[VALOR],tabela_registros[MÊS],$AE$1,tabela_registros[DIA],receitasfixasconsolidadomai[[#Headers],[4]],tabela_registros[REGISTRO],DADOS!$N$3,tabela_registros[TIPO],DADOS!$V$3,tabela_registros[CATEGORIA],receitasfixasconsolidadomai[[#This Row],[ATUAL]])</calculatedColumnFormula>
    </tableColumn>
    <tableColumn id="6" xr3:uid="{F1BF46D6-D938-409B-917F-66AAD904F1F2}" name="5" totalsRowFunction="sum" dataDxfId="5970" totalsRowDxfId="5969" dataCellStyle="Moeda">
      <calculatedColumnFormula>SUMIFS(tabela_registros[VALOR],tabela_registros[MÊS],$AE$1,tabela_registros[DIA],receitasfixasconsolidadomai[[#Headers],[5]],tabela_registros[REGISTRO],DADOS!$N$3,tabela_registros[TIPO],DADOS!$V$3,tabela_registros[CATEGORIA],receitasfixasconsolidadomai[[#This Row],[ATUAL]])</calculatedColumnFormula>
    </tableColumn>
    <tableColumn id="7" xr3:uid="{7DE82EA7-2E83-4347-A6E5-07B342D3E0CD}" name="6" totalsRowFunction="sum" dataDxfId="5968" totalsRowDxfId="5967" dataCellStyle="Moeda">
      <calculatedColumnFormula>SUMIFS(tabela_registros[VALOR],tabela_registros[MÊS],$AE$1,tabela_registros[DIA],receitasfixasconsolidadomai[[#Headers],[6]],tabela_registros[REGISTRO],DADOS!$N$3,tabela_registros[TIPO],DADOS!$V$3,tabela_registros[CATEGORIA],receitasfixasconsolidadomai[[#This Row],[ATUAL]])</calculatedColumnFormula>
    </tableColumn>
    <tableColumn id="8" xr3:uid="{D2FBF99D-1B38-4665-9A39-50F555E42A57}" name="7" totalsRowFunction="sum" dataDxfId="5966" totalsRowDxfId="5965" dataCellStyle="Moeda">
      <calculatedColumnFormula>SUMIFS(tabela_registros[VALOR],tabela_registros[MÊS],$AE$1,tabela_registros[DIA],receitasfixasconsolidadomai[[#Headers],[7]],tabela_registros[REGISTRO],DADOS!$N$3,tabela_registros[TIPO],DADOS!$V$3,tabela_registros[CATEGORIA],receitasfixasconsolidadomai[[#This Row],[ATUAL]])</calculatedColumnFormula>
    </tableColumn>
    <tableColumn id="9" xr3:uid="{D9ECB9AA-FE7B-4829-895B-ECE457AC5418}" name="8" totalsRowFunction="sum" dataDxfId="5964" totalsRowDxfId="5963" dataCellStyle="Moeda">
      <calculatedColumnFormula>SUMIFS(tabela_registros[VALOR],tabela_registros[MÊS],$AE$1,tabela_registros[DIA],receitasfixasconsolidadomai[[#Headers],[8]],tabela_registros[REGISTRO],DADOS!$N$3,tabela_registros[TIPO],DADOS!$V$3,tabela_registros[CATEGORIA],receitasfixasconsolidadomai[[#This Row],[ATUAL]])</calculatedColumnFormula>
    </tableColumn>
    <tableColumn id="10" xr3:uid="{0F1E0B39-0A02-4341-B1A0-3D49EE583C1D}" name="9" totalsRowFunction="sum" dataDxfId="5962" totalsRowDxfId="5961" dataCellStyle="Moeda">
      <calculatedColumnFormula>SUMIFS(tabela_registros[VALOR],tabela_registros[MÊS],$AE$1,tabela_registros[DIA],receitasfixasconsolidadomai[[#Headers],[9]],tabela_registros[REGISTRO],DADOS!$N$3,tabela_registros[TIPO],DADOS!$V$3,tabela_registros[CATEGORIA],receitasfixasconsolidadomai[[#This Row],[ATUAL]])</calculatedColumnFormula>
    </tableColumn>
    <tableColumn id="11" xr3:uid="{3A1F5BA5-899D-4337-9CA1-A44FED424353}" name="10" totalsRowFunction="sum" dataDxfId="5960" totalsRowDxfId="5959" dataCellStyle="Moeda">
      <calculatedColumnFormula>SUMIFS(tabela_registros[VALOR],tabela_registros[MÊS],$AE$1,tabela_registros[DIA],receitasfixasconsolidadomai[[#Headers],[10]],tabela_registros[REGISTRO],DADOS!$N$3,tabela_registros[TIPO],DADOS!$V$3,tabela_registros[CATEGORIA],receitasfixasconsolidadomai[[#This Row],[ATUAL]])</calculatedColumnFormula>
    </tableColumn>
    <tableColumn id="12" xr3:uid="{52D52CD4-09D8-4BAC-B343-F28F46C09AC3}" name="11" totalsRowFunction="sum" dataDxfId="5958" totalsRowDxfId="5957" dataCellStyle="Moeda">
      <calculatedColumnFormula>SUMIFS(tabela_registros[VALOR],tabela_registros[MÊS],$AE$1,tabela_registros[DIA],receitasfixasconsolidadomai[[#Headers],[11]],tabela_registros[REGISTRO],DADOS!$N$3,tabela_registros[TIPO],DADOS!$V$3,tabela_registros[CATEGORIA],receitasfixasconsolidadomai[[#This Row],[ATUAL]])</calculatedColumnFormula>
    </tableColumn>
    <tableColumn id="13" xr3:uid="{B39770FC-816B-447C-A1C0-3E88F3E200D0}" name="12" totalsRowFunction="sum" dataDxfId="5956" totalsRowDxfId="5955" dataCellStyle="Moeda">
      <calculatedColumnFormula>SUMIFS(tabela_registros[VALOR],tabela_registros[MÊS],$AE$1,tabela_registros[DIA],receitasfixasconsolidadomai[[#Headers],[12]],tabela_registros[REGISTRO],DADOS!$N$3,tabela_registros[TIPO],DADOS!$V$3,tabela_registros[CATEGORIA],receitasfixasconsolidadomai[[#This Row],[ATUAL]])</calculatedColumnFormula>
    </tableColumn>
    <tableColumn id="14" xr3:uid="{F5F87916-106C-4E2D-A759-7A050CB885B4}" name="13" totalsRowFunction="sum" dataDxfId="5954" totalsRowDxfId="5953" dataCellStyle="Moeda">
      <calculatedColumnFormula>SUMIFS(tabela_registros[VALOR],tabela_registros[MÊS],$AE$1,tabela_registros[DIA],receitasfixasconsolidadomai[[#Headers],[13]],tabela_registros[REGISTRO],DADOS!$N$3,tabela_registros[TIPO],DADOS!$V$3,tabela_registros[CATEGORIA],receitasfixasconsolidadomai[[#This Row],[ATUAL]])</calculatedColumnFormula>
    </tableColumn>
    <tableColumn id="15" xr3:uid="{CA3AA0A3-A7F5-46CC-A0B0-25BEE3AA0C4D}" name="14" totalsRowFunction="sum" dataDxfId="5952" totalsRowDxfId="5951" dataCellStyle="Moeda">
      <calculatedColumnFormula>SUMIFS(tabela_registros[VALOR],tabela_registros[MÊS],$AE$1,tabela_registros[DIA],receitasfixasconsolidadomai[[#Headers],[14]],tabela_registros[REGISTRO],DADOS!$N$3,tabela_registros[TIPO],DADOS!$V$3,tabela_registros[CATEGORIA],receitasfixasconsolidadomai[[#This Row],[ATUAL]])</calculatedColumnFormula>
    </tableColumn>
    <tableColumn id="16" xr3:uid="{650981EF-0EE0-442D-8FCE-5CF37A648F96}" name="15" totalsRowFunction="sum" dataDxfId="5950" totalsRowDxfId="5949" dataCellStyle="Moeda">
      <calculatedColumnFormula>SUMIFS(tabela_registros[VALOR],tabela_registros[MÊS],$AE$1,tabela_registros[DIA],receitasfixasconsolidadomai[[#Headers],[15]],tabela_registros[REGISTRO],DADOS!$N$3,tabela_registros[TIPO],DADOS!$V$3,tabela_registros[CATEGORIA],receitasfixasconsolidadomai[[#This Row],[ATUAL]])</calculatedColumnFormula>
    </tableColumn>
    <tableColumn id="17" xr3:uid="{DA3E4878-C510-43B6-B641-BBD0968F69A1}" name="16" totalsRowFunction="sum" dataDxfId="5948" totalsRowDxfId="5947" dataCellStyle="Moeda">
      <calculatedColumnFormula>SUMIFS(tabela_registros[VALOR],tabela_registros[MÊS],$AE$1,tabela_registros[DIA],receitasfixasconsolidadomai[[#Headers],[16]],tabela_registros[REGISTRO],DADOS!$N$3,tabela_registros[TIPO],DADOS!$V$3,tabela_registros[CATEGORIA],receitasfixasconsolidadomai[[#This Row],[ATUAL]])</calculatedColumnFormula>
    </tableColumn>
    <tableColumn id="18" xr3:uid="{4A1380E6-2633-4ADC-B363-8E4994EF077B}" name="17" totalsRowFunction="sum" dataDxfId="5946" totalsRowDxfId="5945" dataCellStyle="Moeda">
      <calculatedColumnFormula>SUMIFS(tabela_registros[VALOR],tabela_registros[MÊS],$AE$1,tabela_registros[DIA],receitasfixasconsolidadomai[[#Headers],[17]],tabela_registros[REGISTRO],DADOS!$N$3,tabela_registros[TIPO],DADOS!$V$3,tabela_registros[CATEGORIA],receitasfixasconsolidadomai[[#This Row],[ATUAL]])</calculatedColumnFormula>
    </tableColumn>
    <tableColumn id="19" xr3:uid="{8B74FA83-7F5F-434E-ABD1-40AFD2F0A9A2}" name="18" totalsRowFunction="sum" dataDxfId="5944" totalsRowDxfId="5943" dataCellStyle="Moeda">
      <calculatedColumnFormula>SUMIFS(tabela_registros[VALOR],tabela_registros[MÊS],$AE$1,tabela_registros[DIA],receitasfixasconsolidadomai[[#Headers],[18]],tabela_registros[REGISTRO],DADOS!$N$3,tabela_registros[TIPO],DADOS!$V$3,tabela_registros[CATEGORIA],receitasfixasconsolidadomai[[#This Row],[ATUAL]])</calculatedColumnFormula>
    </tableColumn>
    <tableColumn id="20" xr3:uid="{533434F9-6520-4F72-A69E-FDAE23673BAB}" name="19" totalsRowFunction="sum" dataDxfId="5942" totalsRowDxfId="5941" dataCellStyle="Moeda">
      <calculatedColumnFormula>SUMIFS(tabela_registros[VALOR],tabela_registros[MÊS],$AE$1,tabela_registros[DIA],receitasfixasconsolidadomai[[#Headers],[19]],tabela_registros[REGISTRO],DADOS!$N$3,tabela_registros[TIPO],DADOS!$V$3,tabela_registros[CATEGORIA],receitasfixasconsolidadomai[[#This Row],[ATUAL]])</calculatedColumnFormula>
    </tableColumn>
    <tableColumn id="21" xr3:uid="{388CB8BF-3DD2-485A-9B05-53428311DC97}" name="20" totalsRowFunction="sum" dataDxfId="5940" totalsRowDxfId="5939" dataCellStyle="Moeda">
      <calculatedColumnFormula>SUMIFS(tabela_registros[VALOR],tabela_registros[MÊS],$AE$1,tabela_registros[DIA],receitasfixasconsolidadomai[[#Headers],[20]],tabela_registros[REGISTRO],DADOS!$N$3,tabela_registros[TIPO],DADOS!$V$3,tabela_registros[CATEGORIA],receitasfixasconsolidadomai[[#This Row],[ATUAL]])</calculatedColumnFormula>
    </tableColumn>
    <tableColumn id="22" xr3:uid="{FAF15987-2A78-40A9-A6C5-E2AAD01D1286}" name="21" totalsRowFunction="sum" dataDxfId="5938" totalsRowDxfId="5937" dataCellStyle="Moeda">
      <calculatedColumnFormula>SUMIFS(tabela_registros[VALOR],tabela_registros[MÊS],$AE$1,tabela_registros[DIA],receitasfixasconsolidadomai[[#Headers],[21]],tabela_registros[REGISTRO],DADOS!$N$3,tabela_registros[TIPO],DADOS!$V$3,tabela_registros[CATEGORIA],receitasfixasconsolidadomai[[#This Row],[ATUAL]])</calculatedColumnFormula>
    </tableColumn>
    <tableColumn id="23" xr3:uid="{50312940-BD9A-40A2-9BB0-220C40A71856}" name="22" totalsRowFunction="sum" dataDxfId="5936" totalsRowDxfId="5935" dataCellStyle="Moeda">
      <calculatedColumnFormula>SUMIFS(tabela_registros[VALOR],tabela_registros[MÊS],$AE$1,tabela_registros[DIA],receitasfixasconsolidadomai[[#Headers],[22]],tabela_registros[REGISTRO],DADOS!$N$3,tabela_registros[TIPO],DADOS!$V$3,tabela_registros[CATEGORIA],receitasfixasconsolidadomai[[#This Row],[ATUAL]])</calculatedColumnFormula>
    </tableColumn>
    <tableColumn id="24" xr3:uid="{19ADBF6E-C434-4142-9DBB-FF09792FFDD6}" name="23" totalsRowFunction="sum" dataDxfId="5934" totalsRowDxfId="5933" dataCellStyle="Moeda">
      <calculatedColumnFormula>SUMIFS(tabela_registros[VALOR],tabela_registros[MÊS],$AE$1,tabela_registros[DIA],receitasfixasconsolidadomai[[#Headers],[23]],tabela_registros[REGISTRO],DADOS!$N$3,tabela_registros[TIPO],DADOS!$V$3,tabela_registros[CATEGORIA],receitasfixasconsolidadomai[[#This Row],[ATUAL]])</calculatedColumnFormula>
    </tableColumn>
    <tableColumn id="25" xr3:uid="{A6D84D77-012B-4B23-914B-0EC973DAC684}" name="24" totalsRowFunction="sum" dataDxfId="5932" totalsRowDxfId="5931" dataCellStyle="Moeda">
      <calculatedColumnFormula>SUMIFS(tabela_registros[VALOR],tabela_registros[MÊS],$AE$1,tabela_registros[DIA],receitasfixasconsolidadomai[[#Headers],[24]],tabela_registros[REGISTRO],DADOS!$N$3,tabela_registros[TIPO],DADOS!$V$3,tabela_registros[CATEGORIA],receitasfixasconsolidadomai[[#This Row],[ATUAL]])</calculatedColumnFormula>
    </tableColumn>
    <tableColumn id="26" xr3:uid="{D6FE5626-91E7-430A-977C-A25060A71289}" name="25" totalsRowFunction="sum" dataDxfId="5930" totalsRowDxfId="5929" dataCellStyle="Moeda">
      <calculatedColumnFormula>SUMIFS(tabela_registros[VALOR],tabela_registros[MÊS],$AE$1,tabela_registros[DIA],receitasfixasconsolidadomai[[#Headers],[25]],tabela_registros[REGISTRO],DADOS!$N$3,tabela_registros[TIPO],DADOS!$V$3,tabela_registros[CATEGORIA],receitasfixasconsolidadomai[[#This Row],[ATUAL]])</calculatedColumnFormula>
    </tableColumn>
    <tableColumn id="27" xr3:uid="{EBFEDCA3-ADC6-4FF1-BBFE-4A92D2E3D126}" name="26" totalsRowFunction="sum" dataDxfId="5928" totalsRowDxfId="5927" dataCellStyle="Moeda">
      <calculatedColumnFormula>SUMIFS(tabela_registros[VALOR],tabela_registros[MÊS],$AE$1,tabela_registros[DIA],receitasfixasconsolidadomai[[#Headers],[26]],tabela_registros[REGISTRO],DADOS!$N$3,tabela_registros[TIPO],DADOS!$V$3,tabela_registros[CATEGORIA],receitasfixasconsolidadomai[[#This Row],[ATUAL]])</calculatedColumnFormula>
    </tableColumn>
    <tableColumn id="28" xr3:uid="{1CA9187C-1BD7-4E3C-8415-4959D5373469}" name="27" totalsRowFunction="sum" dataDxfId="5926" totalsRowDxfId="5925" dataCellStyle="Moeda">
      <calculatedColumnFormula>SUMIFS(tabela_registros[VALOR],tabela_registros[MÊS],$AE$1,tabela_registros[DIA],receitasfixasconsolidadomai[[#Headers],[27]],tabela_registros[REGISTRO],DADOS!$N$3,tabela_registros[TIPO],DADOS!$V$3,tabela_registros[CATEGORIA],receitasfixasconsolidadomai[[#This Row],[ATUAL]])</calculatedColumnFormula>
    </tableColumn>
    <tableColumn id="29" xr3:uid="{E3083018-2CE3-4028-8DC0-7A52B656C51A}" name="28" totalsRowFunction="sum" dataDxfId="5924" totalsRowDxfId="5923" dataCellStyle="Moeda">
      <calculatedColumnFormula>SUMIFS(tabela_registros[VALOR],tabela_registros[MÊS],$AE$1,tabela_registros[DIA],receitasfixasconsolidadomai[[#Headers],[28]],tabela_registros[REGISTRO],DADOS!$N$3,tabela_registros[TIPO],DADOS!$V$3,tabela_registros[CATEGORIA],receitasfixasconsolidadomai[[#This Row],[ATUAL]])</calculatedColumnFormula>
    </tableColumn>
    <tableColumn id="30" xr3:uid="{E93601B4-9631-4B34-A039-06A3A41EDFA4}" name="29" totalsRowFunction="sum" dataDxfId="5922" totalsRowDxfId="5921" dataCellStyle="Moeda">
      <calculatedColumnFormula>SUMIFS(tabela_registros[VALOR],tabela_registros[MÊS],$AE$1,tabela_registros[DIA],receitasfixasconsolidadomai[[#Headers],[29]],tabela_registros[REGISTRO],DADOS!$N$3,tabela_registros[TIPO],DADOS!$V$3,tabela_registros[CATEGORIA],receitasfixasconsolidadomai[[#This Row],[ATUAL]])</calculatedColumnFormula>
    </tableColumn>
    <tableColumn id="31" xr3:uid="{30BB22E8-9128-4698-A24B-D053D2CB971F}" name="30" totalsRowFunction="sum" dataDxfId="5920" totalsRowDxfId="5919" dataCellStyle="Moeda">
      <calculatedColumnFormula>SUMIFS(tabela_registros[VALOR],tabela_registros[MÊS],$AE$1,tabela_registros[DIA],receitasfixasconsolidadomai[[#Headers],[30]],tabela_registros[REGISTRO],DADOS!$N$3,tabela_registros[TIPO],DADOS!$V$3,tabela_registros[CATEGORIA],receitasfixasconsolidadomai[[#This Row],[ATUAL]])</calculatedColumnFormula>
    </tableColumn>
    <tableColumn id="32" xr3:uid="{10C20D8C-6F3C-480E-9C44-391440D8D67D}" name="31" totalsRowFunction="sum" dataDxfId="5918" totalsRowDxfId="5917" dataCellStyle="Moeda">
      <calculatedColumnFormula>SUMIFS(tabela_registros[VALOR],tabela_registros[MÊS],$AE$1,tabela_registros[DIA],receitasfixasconsolidadomai[[#Headers],[31]],tabela_registros[REGISTRO],DADOS!$N$3,tabela_registros[TIPO],DADOS!$V$3,tabela_registros[CATEGORIA],receitasfixasconsolidadomai[[#This Row],[ATUAL]])</calculatedColumnFormula>
    </tableColumn>
    <tableColumn id="33" xr3:uid="{B7CDCDAC-4EC3-465D-BDFC-52F6AE1D6893}" name="TOTAL (R$)" totalsRowFunction="sum" dataDxfId="5916" dataCellStyle="Moeda">
      <calculatedColumnFormula>SUM(receitasfixasconsolidadomai[[#This Row],[1]:[31]])</calculatedColumnFormula>
    </tableColumn>
  </tableColumns>
  <tableStyleInfo name="TABELAS RESULTADOS" showFirstColumn="0" showLastColumn="0" showRowStripes="1" showColumnStripes="0"/>
</table>
</file>

<file path=xl/tables/table6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7" xr:uid="{11988FAB-2D6E-455A-8705-7E8BE554FBB0}" name="receitasvariáveisconsolidadomai" displayName="receitasvariáveisconsolidadomai" ref="C95:AJ104" headerRowDxfId="5915" dataDxfId="5914" totalsRowDxfId="5913">
  <autoFilter ref="C95:AJ104" xr:uid="{DEFDE68B-A97D-4ED5-9460-1E58A13A7942}"/>
  <tableColumns count="34">
    <tableColumn id="1" xr3:uid="{B0BEE528-82FE-4937-B9EC-DF9148985AA4}" name="ATUAL" totalsRowLabel="SALDO" dataDxfId="5912"/>
    <tableColumn id="34" xr3:uid="{D19F389A-06AF-49AE-89F9-B6DD7C77AC87}" name="Coluna1" dataDxfId="5911" totalsRowDxfId="5910">
      <calculatedColumnFormula>IF(receitasvariáveisconsolidadomai[[#This Row],[TOTAL (R$)]]=0,"",IF(OR(receitasvariáveisconsolidadomai[[#This Row],[TOTAL (R$)]]=LARGE($AJ$96:$AJ$103,1),receitasvariáveisconsolidadomai[[#This Row],[TOTAL (R$)]]=LARGE($AJ$96:$AJ$103,2)),DADOS!$I$9,""))</calculatedColumnFormula>
    </tableColumn>
    <tableColumn id="2" xr3:uid="{8C0B16B3-81A0-4A11-ACB4-5ECE179113C3}" name="1" totalsRowFunction="sum" dataDxfId="5909" dataCellStyle="Moeda"/>
    <tableColumn id="3" xr3:uid="{80B355C2-2444-4F06-905D-976CAFBF1762}" name="2" totalsRowFunction="sum" dataDxfId="5908" dataCellStyle="Moeda">
      <calculatedColumnFormula>SUMIFS(tabela_registros[VALOR],tabela_registros[MÊS],$AE$1,tabela_registros[DIA],receitasvariáveisconsolidadomai[[#Headers],[2]],tabela_registros[REGISTRO],DADOS!$N$3,tabela_registros[TIPO],DADOS!$V$3,tabela_registros[CATEGORIA],receitasvariáveisconsolidadomai[[#This Row],[ATUAL]])</calculatedColumnFormula>
    </tableColumn>
    <tableColumn id="4" xr3:uid="{2B3DF8F2-1AF3-41B7-8CFA-DD4355EADE4A}" name="3" totalsRowFunction="sum" dataDxfId="5907" totalsRowDxfId="5906" dataCellStyle="Moeda">
      <calculatedColumnFormula>SUMIFS(tabela_registros[VALOR],tabela_registros[MÊS],$AE$1,tabela_registros[DIA],receitasvariáveisconsolidadomai[[#Headers],[3]],tabela_registros[REGISTRO],DADOS!$N$3,tabela_registros[TIPO],DADOS!$V$3,tabela_registros[CATEGORIA],receitasvariáveisconsolidadomai[[#This Row],[ATUAL]])</calculatedColumnFormula>
    </tableColumn>
    <tableColumn id="5" xr3:uid="{093F1195-CAC0-4F23-9DE0-E55ED20C0F9E}" name="4" totalsRowFunction="sum" dataDxfId="5905" totalsRowDxfId="5904" dataCellStyle="Moeda">
      <calculatedColumnFormula>SUMIFS(tabela_registros[VALOR],tabela_registros[MÊS],$AE$1,tabela_registros[DIA],receitasvariáveisconsolidadomai[[#Headers],[4]],tabela_registros[REGISTRO],DADOS!$N$3,tabela_registros[TIPO],DADOS!$V$3,tabela_registros[CATEGORIA],receitasvariáveisconsolidadomai[[#This Row],[ATUAL]])</calculatedColumnFormula>
    </tableColumn>
    <tableColumn id="6" xr3:uid="{442C287E-9E05-42DB-B870-39C9AC08CD2E}" name="5" totalsRowFunction="sum" dataDxfId="5903" totalsRowDxfId="5902" dataCellStyle="Moeda">
      <calculatedColumnFormula>SUMIFS(tabela_registros[VALOR],tabela_registros[MÊS],$AE$1,tabela_registros[DIA],receitasvariáveisconsolidadomai[[#Headers],[5]],tabela_registros[REGISTRO],DADOS!$N$3,tabela_registros[TIPO],DADOS!$V$3,tabela_registros[CATEGORIA],receitasvariáveisconsolidadomai[[#This Row],[ATUAL]])</calculatedColumnFormula>
    </tableColumn>
    <tableColumn id="7" xr3:uid="{A4607DD5-8DE2-4038-9022-0BC8E0E2B466}" name="6" totalsRowFunction="sum" dataDxfId="5901" totalsRowDxfId="5900" dataCellStyle="Moeda">
      <calculatedColumnFormula>SUMIFS(tabela_registros[VALOR],tabela_registros[MÊS],$AE$1,tabela_registros[DIA],receitasvariáveisconsolidadomai[[#Headers],[6]],tabela_registros[REGISTRO],DADOS!$N$3,tabela_registros[TIPO],DADOS!$V$3,tabela_registros[CATEGORIA],receitasvariáveisconsolidadomai[[#This Row],[ATUAL]])</calculatedColumnFormula>
    </tableColumn>
    <tableColumn id="8" xr3:uid="{7328FE1E-A1E0-422B-B406-5D3549788852}" name="7" totalsRowFunction="sum" dataDxfId="5899" totalsRowDxfId="5898" dataCellStyle="Moeda">
      <calculatedColumnFormula>SUMIFS(tabela_registros[VALOR],tabela_registros[MÊS],$AE$1,tabela_registros[DIA],receitasvariáveisconsolidadomai[[#Headers],[7]],tabela_registros[REGISTRO],DADOS!$N$3,tabela_registros[TIPO],DADOS!$V$3,tabela_registros[CATEGORIA],receitasvariáveisconsolidadomai[[#This Row],[ATUAL]])</calculatedColumnFormula>
    </tableColumn>
    <tableColumn id="9" xr3:uid="{5CA672B8-F9E5-429D-A728-E76F748AF8AA}" name="8" totalsRowFunction="sum" dataDxfId="5897" totalsRowDxfId="5896" dataCellStyle="Moeda">
      <calculatedColumnFormula>SUMIFS(tabela_registros[VALOR],tabela_registros[MÊS],$AE$1,tabela_registros[DIA],receitasvariáveisconsolidadomai[[#Headers],[8]],tabela_registros[REGISTRO],DADOS!$N$3,tabela_registros[TIPO],DADOS!$V$3,tabela_registros[CATEGORIA],receitasvariáveisconsolidadomai[[#This Row],[ATUAL]])</calculatedColumnFormula>
    </tableColumn>
    <tableColumn id="10" xr3:uid="{0A44AB87-440E-4A68-BA7B-FCFE02D1141C}" name="9" totalsRowFunction="sum" dataDxfId="5895" totalsRowDxfId="5894" dataCellStyle="Moeda">
      <calculatedColumnFormula>SUMIFS(tabela_registros[VALOR],tabela_registros[MÊS],$AE$1,tabela_registros[DIA],receitasvariáveisconsolidadomai[[#Headers],[9]],tabela_registros[REGISTRO],DADOS!$N$3,tabela_registros[TIPO],DADOS!$V$3,tabela_registros[CATEGORIA],receitasvariáveisconsolidadomai[[#This Row],[ATUAL]])</calculatedColumnFormula>
    </tableColumn>
    <tableColumn id="11" xr3:uid="{CA807874-4373-47AC-B874-229CDC4AF3E5}" name="10" totalsRowFunction="sum" dataDxfId="5893" totalsRowDxfId="5892" dataCellStyle="Moeda">
      <calculatedColumnFormula>SUMIFS(tabela_registros[VALOR],tabela_registros[MÊS],$AE$1,tabela_registros[DIA],receitasvariáveisconsolidadomai[[#Headers],[10]],tabela_registros[REGISTRO],DADOS!$N$3,tabela_registros[TIPO],DADOS!$V$3,tabela_registros[CATEGORIA],receitasvariáveisconsolidadomai[[#This Row],[ATUAL]])</calculatedColumnFormula>
    </tableColumn>
    <tableColumn id="12" xr3:uid="{FC7EA466-A788-4E8B-8E95-52A568BBBB57}" name="11" totalsRowFunction="sum" dataDxfId="5891" totalsRowDxfId="5890" dataCellStyle="Moeda">
      <calculatedColumnFormula>SUMIFS(tabela_registros[VALOR],tabela_registros[MÊS],$AE$1,tabela_registros[DIA],receitasvariáveisconsolidadomai[[#Headers],[11]],tabela_registros[REGISTRO],DADOS!$N$3,tabela_registros[TIPO],DADOS!$V$3,tabela_registros[CATEGORIA],receitasvariáveisconsolidadomai[[#This Row],[ATUAL]])</calculatedColumnFormula>
    </tableColumn>
    <tableColumn id="13" xr3:uid="{30DE1A99-A572-434D-9C5B-ECBAFC8E4AB8}" name="12" totalsRowFunction="sum" dataDxfId="5889" totalsRowDxfId="5888" dataCellStyle="Moeda">
      <calculatedColumnFormula>SUMIFS(tabela_registros[VALOR],tabela_registros[MÊS],$AE$1,tabela_registros[DIA],receitasvariáveisconsolidadomai[[#Headers],[12]],tabela_registros[REGISTRO],DADOS!$N$3,tabela_registros[TIPO],DADOS!$V$3,tabela_registros[CATEGORIA],receitasvariáveisconsolidadomai[[#This Row],[ATUAL]])</calculatedColumnFormula>
    </tableColumn>
    <tableColumn id="14" xr3:uid="{A2848AE4-74E3-415E-ACF5-EA5344D9C8B5}" name="13" totalsRowFunction="sum" dataDxfId="5887" totalsRowDxfId="5886" dataCellStyle="Moeda">
      <calculatedColumnFormula>SUMIFS(tabela_registros[VALOR],tabela_registros[MÊS],$AE$1,tabela_registros[DIA],receitasvariáveisconsolidadomai[[#Headers],[13]],tabela_registros[REGISTRO],DADOS!$N$3,tabela_registros[TIPO],DADOS!$V$3,tabela_registros[CATEGORIA],receitasvariáveisconsolidadomai[[#This Row],[ATUAL]])</calculatedColumnFormula>
    </tableColumn>
    <tableColumn id="15" xr3:uid="{64FDB243-A121-4077-9B86-366662A3A6A9}" name="14" totalsRowFunction="sum" dataDxfId="5885" totalsRowDxfId="5884" dataCellStyle="Moeda">
      <calculatedColumnFormula>SUMIFS(tabela_registros[VALOR],tabela_registros[MÊS],$AE$1,tabela_registros[DIA],receitasvariáveisconsolidadomai[[#Headers],[14]],tabela_registros[REGISTRO],DADOS!$N$3,tabela_registros[TIPO],DADOS!$V$3,tabela_registros[CATEGORIA],receitasvariáveisconsolidadomai[[#This Row],[ATUAL]])</calculatedColumnFormula>
    </tableColumn>
    <tableColumn id="16" xr3:uid="{7E2D21FA-2AF2-4C82-A087-F19A9EC21C18}" name="15" totalsRowFunction="sum" dataDxfId="5883" totalsRowDxfId="5882" dataCellStyle="Moeda">
      <calculatedColumnFormula>SUMIFS(tabela_registros[VALOR],tabela_registros[MÊS],$AE$1,tabela_registros[DIA],receitasvariáveisconsolidadomai[[#Headers],[15]],tabela_registros[REGISTRO],DADOS!$N$3,tabela_registros[TIPO],DADOS!$V$3,tabela_registros[CATEGORIA],receitasvariáveisconsolidadomai[[#This Row],[ATUAL]])</calculatedColumnFormula>
    </tableColumn>
    <tableColumn id="17" xr3:uid="{28DD7E11-A438-4FE7-A61D-68760FF17EA4}" name="16" totalsRowFunction="sum" dataDxfId="5881" totalsRowDxfId="5880" dataCellStyle="Moeda">
      <calculatedColumnFormula>SUMIFS(tabela_registros[VALOR],tabela_registros[MÊS],$AE$1,tabela_registros[DIA],receitasvariáveisconsolidadomai[[#Headers],[16]],tabela_registros[REGISTRO],DADOS!$N$3,tabela_registros[TIPO],DADOS!$V$3,tabela_registros[CATEGORIA],receitasvariáveisconsolidadomai[[#This Row],[ATUAL]])</calculatedColumnFormula>
    </tableColumn>
    <tableColumn id="18" xr3:uid="{F50B08F0-227C-421B-90A7-8F040BE85801}" name="17" totalsRowFunction="sum" dataDxfId="5879" totalsRowDxfId="5878" dataCellStyle="Moeda">
      <calculatedColumnFormula>SUMIFS(tabela_registros[VALOR],tabela_registros[MÊS],$AE$1,tabela_registros[DIA],receitasvariáveisconsolidadomai[[#Headers],[17]],tabela_registros[REGISTRO],DADOS!$N$3,tabela_registros[TIPO],DADOS!$V$3,tabela_registros[CATEGORIA],receitasvariáveisconsolidadomai[[#This Row],[ATUAL]])</calculatedColumnFormula>
    </tableColumn>
    <tableColumn id="19" xr3:uid="{1D93A5D5-563D-41C8-9FFF-78A108630856}" name="18" totalsRowFunction="sum" dataDxfId="5877" totalsRowDxfId="5876" dataCellStyle="Moeda">
      <calculatedColumnFormula>SUMIFS(tabela_registros[VALOR],tabela_registros[MÊS],$AE$1,tabela_registros[DIA],receitasvariáveisconsolidadomai[[#Headers],[18]],tabela_registros[REGISTRO],DADOS!$N$3,tabela_registros[TIPO],DADOS!$V$3,tabela_registros[CATEGORIA],receitasvariáveisconsolidadomai[[#This Row],[ATUAL]])</calculatedColumnFormula>
    </tableColumn>
    <tableColumn id="20" xr3:uid="{51FE0E27-B947-40A6-AFE5-840FC41D6806}" name="19" totalsRowFunction="sum" dataDxfId="5875" totalsRowDxfId="5874" dataCellStyle="Moeda">
      <calculatedColumnFormula>SUMIFS(tabela_registros[VALOR],tabela_registros[MÊS],$AE$1,tabela_registros[DIA],receitasvariáveisconsolidadomai[[#Headers],[19]],tabela_registros[REGISTRO],DADOS!$N$3,tabela_registros[TIPO],DADOS!$V$3,tabela_registros[CATEGORIA],receitasvariáveisconsolidadomai[[#This Row],[ATUAL]])</calculatedColumnFormula>
    </tableColumn>
    <tableColumn id="21" xr3:uid="{E32CD320-2A5F-48D8-88AE-6C39195CD9CE}" name="20" totalsRowFunction="sum" dataDxfId="5873" totalsRowDxfId="5872" dataCellStyle="Moeda">
      <calculatedColumnFormula>SUMIFS(tabela_registros[VALOR],tabela_registros[MÊS],$AE$1,tabela_registros[DIA],receitasvariáveisconsolidadomai[[#Headers],[20]],tabela_registros[REGISTRO],DADOS!$N$3,tabela_registros[TIPO],DADOS!$V$3,tabela_registros[CATEGORIA],receitasvariáveisconsolidadomai[[#This Row],[ATUAL]])</calculatedColumnFormula>
    </tableColumn>
    <tableColumn id="22" xr3:uid="{4D680D62-5457-4820-8330-3CE8A002983F}" name="21" totalsRowFunction="sum" dataDxfId="5871" totalsRowDxfId="5870" dataCellStyle="Moeda">
      <calculatedColumnFormula>SUMIFS(tabela_registros[VALOR],tabela_registros[MÊS],$AE$1,tabela_registros[DIA],receitasvariáveisconsolidadomai[[#Headers],[21]],tabela_registros[REGISTRO],DADOS!$N$3,tabela_registros[TIPO],DADOS!$V$3,tabela_registros[CATEGORIA],receitasvariáveisconsolidadomai[[#This Row],[ATUAL]])</calculatedColumnFormula>
    </tableColumn>
    <tableColumn id="23" xr3:uid="{302C571D-0A37-4A8F-A469-BE86CC4CFB43}" name="22" totalsRowFunction="sum" dataDxfId="5869" totalsRowDxfId="5868" dataCellStyle="Moeda">
      <calculatedColumnFormula>SUMIFS(tabela_registros[VALOR],tabela_registros[MÊS],$AE$1,tabela_registros[DIA],receitasvariáveisconsolidadomai[[#Headers],[22]],tabela_registros[REGISTRO],DADOS!$N$3,tabela_registros[TIPO],DADOS!$V$3,tabela_registros[CATEGORIA],receitasvariáveisconsolidadomai[[#This Row],[ATUAL]])</calculatedColumnFormula>
    </tableColumn>
    <tableColumn id="24" xr3:uid="{EFB1C27D-B5D4-42CD-B6A0-1E9C39920DAD}" name="23" totalsRowFunction="sum" dataDxfId="5867" totalsRowDxfId="5866" dataCellStyle="Moeda">
      <calculatedColumnFormula>SUMIFS(tabela_registros[VALOR],tabela_registros[MÊS],$AE$1,tabela_registros[DIA],receitasvariáveisconsolidadomai[[#Headers],[23]],tabela_registros[REGISTRO],DADOS!$N$3,tabela_registros[TIPO],DADOS!$V$3,tabela_registros[CATEGORIA],receitasvariáveisconsolidadomai[[#This Row],[ATUAL]])</calculatedColumnFormula>
    </tableColumn>
    <tableColumn id="25" xr3:uid="{A0735D7D-8BFD-4919-87C5-B436805E65EE}" name="24" totalsRowFunction="sum" dataDxfId="5865" totalsRowDxfId="5864" dataCellStyle="Moeda">
      <calculatedColumnFormula>SUMIFS(tabela_registros[VALOR],tabela_registros[MÊS],$AE$1,tabela_registros[DIA],receitasvariáveisconsolidadomai[[#Headers],[24]],tabela_registros[REGISTRO],DADOS!$N$3,tabela_registros[TIPO],DADOS!$V$3,tabela_registros[CATEGORIA],receitasvariáveisconsolidadomai[[#This Row],[ATUAL]])</calculatedColumnFormula>
    </tableColumn>
    <tableColumn id="26" xr3:uid="{FA2FC473-BE03-4284-BBF8-10785C9F309F}" name="25" totalsRowFunction="sum" dataDxfId="5863" totalsRowDxfId="5862" dataCellStyle="Moeda">
      <calculatedColumnFormula>SUMIFS(tabela_registros[VALOR],tabela_registros[MÊS],$AE$1,tabela_registros[DIA],receitasvariáveisconsolidadomai[[#Headers],[25]],tabela_registros[REGISTRO],DADOS!$N$3,tabela_registros[TIPO],DADOS!$V$3,tabela_registros[CATEGORIA],receitasvariáveisconsolidadomai[[#This Row],[ATUAL]])</calculatedColumnFormula>
    </tableColumn>
    <tableColumn id="27" xr3:uid="{03E532E7-7873-4FAE-8A4F-18095430374D}" name="26" totalsRowFunction="sum" dataDxfId="5861" totalsRowDxfId="5860" dataCellStyle="Moeda">
      <calculatedColumnFormula>SUMIFS(tabela_registros[VALOR],tabela_registros[MÊS],$AE$1,tabela_registros[DIA],receitasvariáveisconsolidadomai[[#Headers],[26]],tabela_registros[REGISTRO],DADOS!$N$3,tabela_registros[TIPO],DADOS!$V$3,tabela_registros[CATEGORIA],receitasvariáveisconsolidadomai[[#This Row],[ATUAL]])</calculatedColumnFormula>
    </tableColumn>
    <tableColumn id="28" xr3:uid="{D471DCEA-B504-4C58-BFF5-0A09F33F15F4}" name="27" totalsRowFunction="sum" dataDxfId="5859" totalsRowDxfId="5858" dataCellStyle="Moeda">
      <calculatedColumnFormula>SUMIFS(tabela_registros[VALOR],tabela_registros[MÊS],$AE$1,tabela_registros[DIA],receitasvariáveisconsolidadomai[[#Headers],[27]],tabela_registros[REGISTRO],DADOS!$N$3,tabela_registros[TIPO],DADOS!$V$3,tabela_registros[CATEGORIA],receitasvariáveisconsolidadomai[[#This Row],[ATUAL]])</calculatedColumnFormula>
    </tableColumn>
    <tableColumn id="29" xr3:uid="{E24538C4-F83F-4DBA-9D82-6909573B09F0}" name="28" totalsRowFunction="sum" dataDxfId="5857" totalsRowDxfId="5856" dataCellStyle="Moeda">
      <calculatedColumnFormula>SUMIFS(tabela_registros[VALOR],tabela_registros[MÊS],$AE$1,tabela_registros[DIA],receitasvariáveisconsolidadomai[[#Headers],[28]],tabela_registros[REGISTRO],DADOS!$N$3,tabela_registros[TIPO],DADOS!$V$3,tabela_registros[CATEGORIA],receitasvariáveisconsolidadomai[[#This Row],[ATUAL]])</calculatedColumnFormula>
    </tableColumn>
    <tableColumn id="30" xr3:uid="{B8A85FC9-6563-4459-AF1A-00147E22AF16}" name="29" totalsRowFunction="sum" dataDxfId="5855" totalsRowDxfId="5854" dataCellStyle="Moeda">
      <calculatedColumnFormula>SUMIFS(tabela_registros[VALOR],tabela_registros[MÊS],$AE$1,tabela_registros[DIA],receitasvariáveisconsolidadomai[[#Headers],[29]],tabela_registros[REGISTRO],DADOS!$N$3,tabela_registros[TIPO],DADOS!$V$3,tabela_registros[CATEGORIA],receitasvariáveisconsolidadomai[[#This Row],[ATUAL]])</calculatedColumnFormula>
    </tableColumn>
    <tableColumn id="31" xr3:uid="{E66C0146-A987-4BBA-9234-81EF99FEAF66}" name="30" totalsRowFunction="sum" dataDxfId="5853" totalsRowDxfId="5852" dataCellStyle="Moeda">
      <calculatedColumnFormula>SUMIFS(tabela_registros[VALOR],tabela_registros[MÊS],$AE$1,tabela_registros[DIA],receitasvariáveisconsolidadomai[[#Headers],[30]],tabela_registros[REGISTRO],DADOS!$N$3,tabela_registros[TIPO],DADOS!$V$3,tabela_registros[CATEGORIA],receitasvariáveisconsolidadomai[[#This Row],[ATUAL]])</calculatedColumnFormula>
    </tableColumn>
    <tableColumn id="32" xr3:uid="{B7A68BA3-0C23-46B4-996B-A43E480AF877}" name="31" totalsRowFunction="sum" dataDxfId="5851" totalsRowDxfId="5850" dataCellStyle="Moeda">
      <calculatedColumnFormula>SUMIFS(tabela_registros[VALOR],tabela_registros[MÊS],$AE$1,tabela_registros[DIA],receitasvariáveisconsolidadomai[[#Headers],[31]],tabela_registros[REGISTRO],DADOS!$N$3,tabela_registros[TIPO],DADOS!$V$3,tabela_registros[CATEGORIA],receitasvariáveisconsolidadomai[[#This Row],[ATUAL]])</calculatedColumnFormula>
    </tableColumn>
    <tableColumn id="33" xr3:uid="{02144E6E-0828-408E-A646-0B3A31B9A116}" name="TOTAL (R$)" totalsRowFunction="sum" dataDxfId="5849" dataCellStyle="Moeda">
      <calculatedColumnFormula>SUM(receitasvariáveisconsolidadomai[[#This Row],[1]:[31]])</calculatedColumnFormula>
    </tableColumn>
  </tableColumns>
  <tableStyleInfo name="TABELAS RESULTADOS" showFirstColumn="0" showLastColumn="0" showRowStripes="1" showColumnStripes="0"/>
</table>
</file>

<file path=xl/tables/table6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8" xr:uid="{FDE239AF-F1C4-47A8-A84D-7950E0DC9594}" name="investirrendafixaconsolidadomai" displayName="investirrendafixaconsolidadomai" ref="C112:AJ123" headerRowDxfId="5848" dataDxfId="5847" totalsRowDxfId="5846">
  <autoFilter ref="C112:AJ123" xr:uid="{3BCF8FD2-4C10-4776-87A3-7B16A33417A4}"/>
  <tableColumns count="34">
    <tableColumn id="1" xr3:uid="{F18CD4EC-A66D-4877-B978-6E26B9A808F8}" name="ATUAL" totalsRowLabel="SALDO" dataDxfId="5845"/>
    <tableColumn id="34" xr3:uid="{886B1C73-AE87-4987-8850-83CE083801E8}" name="Coluna1" dataDxfId="5844" totalsRowDxfId="5843">
      <calculatedColumnFormula>IF(investirrendafixaconsolidadomai[[#This Row],[TOTAL (R$)]]=0,"",IF(OR(investirrendafixaconsolidadomai[[#This Row],[TOTAL (R$)]]=LARGE($AJ$113:$AJ$122,1),investirrendafixaconsolidadomai[[#This Row],[TOTAL (R$)]]=LARGE($AJ$113:$AJ$122,2)),DADOS!$I$10,""))</calculatedColumnFormula>
    </tableColumn>
    <tableColumn id="2" xr3:uid="{60B81C9C-AFBF-4B1A-8965-BBA73A8EB16A}" name="1" totalsRowFunction="sum" dataDxfId="5842" dataCellStyle="Moeda"/>
    <tableColumn id="3" xr3:uid="{97B1D7E6-6663-4924-94B5-05A4FFA0E8E8}" name="2" totalsRowFunction="sum" dataDxfId="5841" dataCellStyle="Moeda">
      <calculatedColumnFormula>SUMIFS(tabela_registros[VALOR],tabela_registros[MÊS],$AE$1,tabela_registros[DIA],investirrendafixaconsolidadomai[[#Headers],[2]],tabela_registros[REGISTRO],DADOS!$N$3,tabela_registros[TIPO],DADOS!$V$3,tabela_registros[CATEGORIA],investirrendafixaconsolidadomai[[#This Row],[ATUAL]])</calculatedColumnFormula>
    </tableColumn>
    <tableColumn id="4" xr3:uid="{CB89245A-39DE-42C7-A79F-865112781759}" name="3" totalsRowFunction="sum" dataDxfId="5840" totalsRowDxfId="5839" dataCellStyle="Moeda">
      <calculatedColumnFormula>SUMIFS(tabela_registros[VALOR],tabela_registros[MÊS],$AE$1,tabela_registros[DIA],investirrendafixaconsolidadomai[[#Headers],[3]],tabela_registros[REGISTRO],DADOS!$N$3,tabela_registros[TIPO],DADOS!$V$3,tabela_registros[CATEGORIA],investirrendafixaconsolidadomai[[#This Row],[ATUAL]])</calculatedColumnFormula>
    </tableColumn>
    <tableColumn id="5" xr3:uid="{1BD421C5-7C40-431B-A05D-7F00E12E6771}" name="4" totalsRowFunction="sum" dataDxfId="5838" totalsRowDxfId="5837" dataCellStyle="Moeda">
      <calculatedColumnFormula>SUMIFS(tabela_registros[VALOR],tabela_registros[MÊS],$AE$1,tabela_registros[DIA],investirrendafixaconsolidadomai[[#Headers],[4]],tabela_registros[REGISTRO],DADOS!$N$3,tabela_registros[TIPO],DADOS!$V$3,tabela_registros[CATEGORIA],investirrendafixaconsolidadomai[[#This Row],[ATUAL]])</calculatedColumnFormula>
    </tableColumn>
    <tableColumn id="6" xr3:uid="{3653C79D-9F3B-4913-BDC9-63E2B1221E4D}" name="5" totalsRowFunction="sum" dataDxfId="5836" totalsRowDxfId="5835" dataCellStyle="Moeda">
      <calculatedColumnFormula>SUMIFS(tabela_registros[VALOR],tabela_registros[MÊS],$AE$1,tabela_registros[DIA],investirrendafixaconsolidadomai[[#Headers],[5]],tabela_registros[REGISTRO],DADOS!$N$3,tabela_registros[TIPO],DADOS!$V$3,tabela_registros[CATEGORIA],investirrendafixaconsolidadomai[[#This Row],[ATUAL]])</calculatedColumnFormula>
    </tableColumn>
    <tableColumn id="7" xr3:uid="{E9173288-8E2A-4801-879E-E246116FE7AB}" name="6" totalsRowFunction="sum" dataDxfId="5834" totalsRowDxfId="5833" dataCellStyle="Moeda">
      <calculatedColumnFormula>SUMIFS(tabela_registros[VALOR],tabela_registros[MÊS],$AE$1,tabela_registros[DIA],investirrendafixaconsolidadomai[[#Headers],[6]],tabela_registros[REGISTRO],DADOS!$N$3,tabela_registros[TIPO],DADOS!$V$3,tabela_registros[CATEGORIA],investirrendafixaconsolidadomai[[#This Row],[ATUAL]])</calculatedColumnFormula>
    </tableColumn>
    <tableColumn id="8" xr3:uid="{A1B13F4F-5DED-46BE-B3BF-3E23985F7D24}" name="7" totalsRowFunction="sum" dataDxfId="5832" totalsRowDxfId="5831" dataCellStyle="Moeda">
      <calculatedColumnFormula>SUMIFS(tabela_registros[VALOR],tabela_registros[MÊS],$AE$1,tabela_registros[DIA],investirrendafixaconsolidadomai[[#Headers],[7]],tabela_registros[REGISTRO],DADOS!$N$3,tabela_registros[TIPO],DADOS!$V$3,tabela_registros[CATEGORIA],investirrendafixaconsolidadomai[[#This Row],[ATUAL]])</calculatedColumnFormula>
    </tableColumn>
    <tableColumn id="9" xr3:uid="{7F728306-2665-4AE8-BAB2-1CDF001E24C1}" name="8" totalsRowFunction="sum" dataDxfId="5830" totalsRowDxfId="5829" dataCellStyle="Moeda">
      <calculatedColumnFormula>SUMIFS(tabela_registros[VALOR],tabela_registros[MÊS],$AE$1,tabela_registros[DIA],investirrendafixaconsolidadomai[[#Headers],[8]],tabela_registros[REGISTRO],DADOS!$N$3,tabela_registros[TIPO],DADOS!$V$3,tabela_registros[CATEGORIA],investirrendafixaconsolidadomai[[#This Row],[ATUAL]])</calculatedColumnFormula>
    </tableColumn>
    <tableColumn id="10" xr3:uid="{FB2F7419-8951-4F8A-84AE-6CA4D52AEAE8}" name="9" totalsRowFunction="sum" dataDxfId="5828" totalsRowDxfId="5827" dataCellStyle="Moeda">
      <calculatedColumnFormula>SUMIFS(tabela_registros[VALOR],tabela_registros[MÊS],$AE$1,tabela_registros[DIA],investirrendafixaconsolidadomai[[#Headers],[9]],tabela_registros[REGISTRO],DADOS!$N$3,tabela_registros[TIPO],DADOS!$V$3,tabela_registros[CATEGORIA],investirrendafixaconsolidadomai[[#This Row],[ATUAL]])</calculatedColumnFormula>
    </tableColumn>
    <tableColumn id="11" xr3:uid="{8AA152A3-4AF1-4190-9AF4-C1E3C721E9F3}" name="10" totalsRowFunction="sum" dataDxfId="5826" totalsRowDxfId="5825" dataCellStyle="Moeda">
      <calculatedColumnFormula>SUMIFS(tabela_registros[VALOR],tabela_registros[MÊS],$AE$1,tabela_registros[DIA],investirrendafixaconsolidadomai[[#Headers],[10]],tabela_registros[REGISTRO],DADOS!$N$3,tabela_registros[TIPO],DADOS!$V$3,tabela_registros[CATEGORIA],investirrendafixaconsolidadomai[[#This Row],[ATUAL]])</calculatedColumnFormula>
    </tableColumn>
    <tableColumn id="12" xr3:uid="{F5E8C10D-756B-4166-A025-8F25E7BCC2D9}" name="11" totalsRowFunction="sum" dataDxfId="5824" totalsRowDxfId="5823" dataCellStyle="Moeda">
      <calculatedColumnFormula>SUMIFS(tabela_registros[VALOR],tabela_registros[MÊS],$AE$1,tabela_registros[DIA],investirrendafixaconsolidadomai[[#Headers],[11]],tabela_registros[REGISTRO],DADOS!$N$3,tabela_registros[TIPO],DADOS!$V$3,tabela_registros[CATEGORIA],investirrendafixaconsolidadomai[[#This Row],[ATUAL]])</calculatedColumnFormula>
    </tableColumn>
    <tableColumn id="13" xr3:uid="{29D7886D-B3F3-4968-A4F1-84EF233F9A68}" name="12" totalsRowFunction="sum" dataDxfId="5822" totalsRowDxfId="5821" dataCellStyle="Moeda">
      <calculatedColumnFormula>SUMIFS(tabela_registros[VALOR],tabela_registros[MÊS],$AE$1,tabela_registros[DIA],investirrendafixaconsolidadomai[[#Headers],[12]],tabela_registros[REGISTRO],DADOS!$N$3,tabela_registros[TIPO],DADOS!$V$3,tabela_registros[CATEGORIA],investirrendafixaconsolidadomai[[#This Row],[ATUAL]])</calculatedColumnFormula>
    </tableColumn>
    <tableColumn id="14" xr3:uid="{A1F67D76-CB71-4279-8B93-0FDBBEBED3FD}" name="13" totalsRowFunction="sum" dataDxfId="5820" totalsRowDxfId="5819" dataCellStyle="Moeda">
      <calculatedColumnFormula>SUMIFS(tabela_registros[VALOR],tabela_registros[MÊS],$AE$1,tabela_registros[DIA],investirrendafixaconsolidadomai[[#Headers],[13]],tabela_registros[REGISTRO],DADOS!$N$3,tabela_registros[TIPO],DADOS!$V$3,tabela_registros[CATEGORIA],investirrendafixaconsolidadomai[[#This Row],[ATUAL]])</calculatedColumnFormula>
    </tableColumn>
    <tableColumn id="15" xr3:uid="{7DAF12DB-D5A7-4750-821C-51F35E919C67}" name="14" totalsRowFunction="sum" dataDxfId="5818" totalsRowDxfId="5817" dataCellStyle="Moeda">
      <calculatedColumnFormula>SUMIFS(tabela_registros[VALOR],tabela_registros[MÊS],$AE$1,tabela_registros[DIA],investirrendafixaconsolidadomai[[#Headers],[14]],tabela_registros[REGISTRO],DADOS!$N$3,tabela_registros[TIPO],DADOS!$V$3,tabela_registros[CATEGORIA],investirrendafixaconsolidadomai[[#This Row],[ATUAL]])</calculatedColumnFormula>
    </tableColumn>
    <tableColumn id="16" xr3:uid="{EC130C32-1A27-4FDE-89E0-6B35B1B2F72E}" name="15" totalsRowFunction="sum" dataDxfId="5816" totalsRowDxfId="5815" dataCellStyle="Moeda">
      <calculatedColumnFormula>SUMIFS(tabela_registros[VALOR],tabela_registros[MÊS],$AE$1,tabela_registros[DIA],investirrendafixaconsolidadomai[[#Headers],[15]],tabela_registros[REGISTRO],DADOS!$N$3,tabela_registros[TIPO],DADOS!$V$3,tabela_registros[CATEGORIA],investirrendafixaconsolidadomai[[#This Row],[ATUAL]])</calculatedColumnFormula>
    </tableColumn>
    <tableColumn id="17" xr3:uid="{971E144D-4261-4394-A451-7B7BC930472F}" name="16" totalsRowFunction="sum" dataDxfId="5814" totalsRowDxfId="5813" dataCellStyle="Moeda">
      <calculatedColumnFormula>SUMIFS(tabela_registros[VALOR],tabela_registros[MÊS],$AE$1,tabela_registros[DIA],investirrendafixaconsolidadomai[[#Headers],[16]],tabela_registros[REGISTRO],DADOS!$N$3,tabela_registros[TIPO],DADOS!$V$3,tabela_registros[CATEGORIA],investirrendafixaconsolidadomai[[#This Row],[ATUAL]])</calculatedColumnFormula>
    </tableColumn>
    <tableColumn id="18" xr3:uid="{057B14C9-F8BE-414C-AD24-4EBE7C233335}" name="17" totalsRowFunction="sum" dataDxfId="5812" totalsRowDxfId="5811" dataCellStyle="Moeda">
      <calculatedColumnFormula>SUMIFS(tabela_registros[VALOR],tabela_registros[MÊS],$AE$1,tabela_registros[DIA],investirrendafixaconsolidadomai[[#Headers],[17]],tabela_registros[REGISTRO],DADOS!$N$3,tabela_registros[TIPO],DADOS!$V$3,tabela_registros[CATEGORIA],investirrendafixaconsolidadomai[[#This Row],[ATUAL]])</calculatedColumnFormula>
    </tableColumn>
    <tableColumn id="19" xr3:uid="{F26566D4-5293-4A89-9AB8-90D01AE8A30B}" name="18" totalsRowFunction="sum" dataDxfId="5810" totalsRowDxfId="5809" dataCellStyle="Moeda">
      <calculatedColumnFormula>SUMIFS(tabela_registros[VALOR],tabela_registros[MÊS],$AE$1,tabela_registros[DIA],investirrendafixaconsolidadomai[[#Headers],[18]],tabela_registros[REGISTRO],DADOS!$N$3,tabela_registros[TIPO],DADOS!$V$3,tabela_registros[CATEGORIA],investirrendafixaconsolidadomai[[#This Row],[ATUAL]])</calculatedColumnFormula>
    </tableColumn>
    <tableColumn id="20" xr3:uid="{5100263F-284B-48D4-BD99-0FFBE59F5B73}" name="19" totalsRowFunction="sum" dataDxfId="5808" totalsRowDxfId="5807" dataCellStyle="Moeda">
      <calculatedColumnFormula>SUMIFS(tabela_registros[VALOR],tabela_registros[MÊS],$AE$1,tabela_registros[DIA],investirrendafixaconsolidadomai[[#Headers],[19]],tabela_registros[REGISTRO],DADOS!$N$3,tabela_registros[TIPO],DADOS!$V$3,tabela_registros[CATEGORIA],investirrendafixaconsolidadomai[[#This Row],[ATUAL]])</calculatedColumnFormula>
    </tableColumn>
    <tableColumn id="21" xr3:uid="{00834890-480C-4357-A0B7-18ABBFA9BB14}" name="20" totalsRowFunction="sum" dataDxfId="5806" totalsRowDxfId="5805" dataCellStyle="Moeda">
      <calculatedColumnFormula>SUMIFS(tabela_registros[VALOR],tabela_registros[MÊS],$AE$1,tabela_registros[DIA],investirrendafixaconsolidadomai[[#Headers],[20]],tabela_registros[REGISTRO],DADOS!$N$3,tabela_registros[TIPO],DADOS!$V$3,tabela_registros[CATEGORIA],investirrendafixaconsolidadomai[[#This Row],[ATUAL]])</calculatedColumnFormula>
    </tableColumn>
    <tableColumn id="22" xr3:uid="{1542411D-18D7-4B9D-8AB2-19B4FE80C829}" name="21" totalsRowFunction="sum" dataDxfId="5804" totalsRowDxfId="5803" dataCellStyle="Moeda">
      <calculatedColumnFormula>SUMIFS(tabela_registros[VALOR],tabela_registros[MÊS],$AE$1,tabela_registros[DIA],investirrendafixaconsolidadomai[[#Headers],[21]],tabela_registros[REGISTRO],DADOS!$N$3,tabela_registros[TIPO],DADOS!$V$3,tabela_registros[CATEGORIA],investirrendafixaconsolidadomai[[#This Row],[ATUAL]])</calculatedColumnFormula>
    </tableColumn>
    <tableColumn id="23" xr3:uid="{E22D8C59-C495-4CC9-A194-C1BF7D299C84}" name="22" totalsRowFunction="sum" dataDxfId="5802" totalsRowDxfId="5801" dataCellStyle="Moeda">
      <calculatedColumnFormula>SUMIFS(tabela_registros[VALOR],tabela_registros[MÊS],$AE$1,tabela_registros[DIA],investirrendafixaconsolidadomai[[#Headers],[22]],tabela_registros[REGISTRO],DADOS!$N$3,tabela_registros[TIPO],DADOS!$V$3,tabela_registros[CATEGORIA],investirrendafixaconsolidadomai[[#This Row],[ATUAL]])</calculatedColumnFormula>
    </tableColumn>
    <tableColumn id="24" xr3:uid="{27F9151D-76CF-454C-B69F-DE3CB3209012}" name="23" totalsRowFunction="sum" dataDxfId="5800" totalsRowDxfId="5799" dataCellStyle="Moeda">
      <calculatedColumnFormula>SUMIFS(tabela_registros[VALOR],tabela_registros[MÊS],$AE$1,tabela_registros[DIA],investirrendafixaconsolidadomai[[#Headers],[23]],tabela_registros[REGISTRO],DADOS!$N$3,tabela_registros[TIPO],DADOS!$V$3,tabela_registros[CATEGORIA],investirrendafixaconsolidadomai[[#This Row],[ATUAL]])</calculatedColumnFormula>
    </tableColumn>
    <tableColumn id="25" xr3:uid="{A95141D8-1F92-426C-B8B7-23EC25438301}" name="24" totalsRowFunction="sum" dataDxfId="5798" totalsRowDxfId="5797" dataCellStyle="Moeda">
      <calculatedColumnFormula>SUMIFS(tabela_registros[VALOR],tabela_registros[MÊS],$AE$1,tabela_registros[DIA],investirrendafixaconsolidadomai[[#Headers],[24]],tabela_registros[REGISTRO],DADOS!$N$3,tabela_registros[TIPO],DADOS!$V$3,tabela_registros[CATEGORIA],investirrendafixaconsolidadomai[[#This Row],[ATUAL]])</calculatedColumnFormula>
    </tableColumn>
    <tableColumn id="26" xr3:uid="{52F6ED30-F6BD-4D36-BAD4-D34D3DC2722C}" name="25" totalsRowFunction="sum" dataDxfId="5796" totalsRowDxfId="5795" dataCellStyle="Moeda">
      <calculatedColumnFormula>SUMIFS(tabela_registros[VALOR],tabela_registros[MÊS],$AE$1,tabela_registros[DIA],investirrendafixaconsolidadomai[[#Headers],[25]],tabela_registros[REGISTRO],DADOS!$N$3,tabela_registros[TIPO],DADOS!$V$3,tabela_registros[CATEGORIA],investirrendafixaconsolidadomai[[#This Row],[ATUAL]])</calculatedColumnFormula>
    </tableColumn>
    <tableColumn id="27" xr3:uid="{C637ED98-BC9E-453B-8D78-DEA408B3FC9E}" name="26" totalsRowFunction="sum" dataDxfId="5794" totalsRowDxfId="5793" dataCellStyle="Moeda">
      <calculatedColumnFormula>SUMIFS(tabela_registros[VALOR],tabela_registros[MÊS],$AE$1,tabela_registros[DIA],investirrendafixaconsolidadomai[[#Headers],[26]],tabela_registros[REGISTRO],DADOS!$N$3,tabela_registros[TIPO],DADOS!$V$3,tabela_registros[CATEGORIA],investirrendafixaconsolidadomai[[#This Row],[ATUAL]])</calculatedColumnFormula>
    </tableColumn>
    <tableColumn id="28" xr3:uid="{CF7054D2-9917-4DCF-93B6-91CD6C3E0254}" name="27" totalsRowFunction="sum" dataDxfId="5792" totalsRowDxfId="5791" dataCellStyle="Moeda">
      <calculatedColumnFormula>SUMIFS(tabela_registros[VALOR],tabela_registros[MÊS],$AE$1,tabela_registros[DIA],investirrendafixaconsolidadomai[[#Headers],[27]],tabela_registros[REGISTRO],DADOS!$N$3,tabela_registros[TIPO],DADOS!$V$3,tabela_registros[CATEGORIA],investirrendafixaconsolidadomai[[#This Row],[ATUAL]])</calculatedColumnFormula>
    </tableColumn>
    <tableColumn id="29" xr3:uid="{04D18BD8-978F-4C30-9E48-73D230D73668}" name="28" totalsRowFunction="sum" dataDxfId="5790" totalsRowDxfId="5789" dataCellStyle="Moeda">
      <calculatedColumnFormula>SUMIFS(tabela_registros[VALOR],tabela_registros[MÊS],$AE$1,tabela_registros[DIA],investirrendafixaconsolidadomai[[#Headers],[28]],tabela_registros[REGISTRO],DADOS!$N$3,tabela_registros[TIPO],DADOS!$V$3,tabela_registros[CATEGORIA],investirrendafixaconsolidadomai[[#This Row],[ATUAL]])</calculatedColumnFormula>
    </tableColumn>
    <tableColumn id="30" xr3:uid="{47E96F78-BCCA-42A9-AF56-4D28BCC9378F}" name="29" totalsRowFunction="sum" dataDxfId="5788" totalsRowDxfId="5787" dataCellStyle="Moeda">
      <calculatedColumnFormula>SUMIFS(tabela_registros[VALOR],tabela_registros[MÊS],$AE$1,tabela_registros[DIA],investirrendafixaconsolidadomai[[#Headers],[29]],tabela_registros[REGISTRO],DADOS!$N$3,tabela_registros[TIPO],DADOS!$V$3,tabela_registros[CATEGORIA],investirrendafixaconsolidadomai[[#This Row],[ATUAL]])</calculatedColumnFormula>
    </tableColumn>
    <tableColumn id="31" xr3:uid="{1BA97983-F10D-4988-B8C3-59984856AE2B}" name="30" totalsRowFunction="sum" dataDxfId="5786" totalsRowDxfId="5785" dataCellStyle="Moeda">
      <calculatedColumnFormula>SUMIFS(tabela_registros[VALOR],tabela_registros[MÊS],$AE$1,tabela_registros[DIA],investirrendafixaconsolidadomai[[#Headers],[30]],tabela_registros[REGISTRO],DADOS!$N$3,tabela_registros[TIPO],DADOS!$V$3,tabela_registros[CATEGORIA],investirrendafixaconsolidadomai[[#This Row],[ATUAL]])</calculatedColumnFormula>
    </tableColumn>
    <tableColumn id="32" xr3:uid="{5A980156-BA99-4E9B-B74C-5383A19AB166}" name="31" totalsRowFunction="sum" dataDxfId="5784" totalsRowDxfId="5783" dataCellStyle="Moeda">
      <calculatedColumnFormula>SUMIFS(tabela_registros[VALOR],tabela_registros[MÊS],$AE$1,tabela_registros[DIA],investirrendafixaconsolidadomai[[#Headers],[31]],tabela_registros[REGISTRO],DADOS!$N$3,tabela_registros[TIPO],DADOS!$V$3,tabela_registros[CATEGORIA],investirrendafixaconsolidadomai[[#This Row],[ATUAL]])</calculatedColumnFormula>
    </tableColumn>
    <tableColumn id="33" xr3:uid="{7A7EBE09-2E5F-4474-8FA7-0B0DB042716F}" name="TOTAL (R$)" totalsRowFunction="sum" dataDxfId="5782" dataCellStyle="Moeda">
      <calculatedColumnFormula>SUM(investirrendafixaconsolidadomai[[#This Row],[1]:[31]])</calculatedColumnFormula>
    </tableColumn>
  </tableColumns>
  <tableStyleInfo name="TABELAS RESULTADOS" showFirstColumn="0" showLastColumn="0" showRowStripes="1" showColumnStripes="0"/>
</table>
</file>

<file path=xl/tables/table6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9" xr:uid="{75AB13CA-7126-4F68-B4F9-138994A81466}" name="investirrendavariávelconsolidadomai" displayName="investirrendavariávelconsolidadomai" ref="C131:AJ142" headerRowDxfId="5781" dataDxfId="5780" totalsRowDxfId="5779">
  <autoFilter ref="C131:AJ142" xr:uid="{08F8225F-86FE-4857-B00A-7406490FE1C1}"/>
  <tableColumns count="34">
    <tableColumn id="1" xr3:uid="{5BA235A4-55AF-44A2-8459-DEAD8850F7A9}" name="ATUAL" totalsRowLabel="SALDO" dataDxfId="5778"/>
    <tableColumn id="34" xr3:uid="{99695A7D-0C16-4192-8D2A-596C8E530906}" name="Coluna1" dataDxfId="5777" totalsRowDxfId="5776">
      <calculatedColumnFormula>IF(investirrendavariávelconsolidadomai[[#This Row],[TOTAL (R$)]]=0,"",IF(OR(investirrendavariávelconsolidadomai[[#This Row],[TOTAL (R$)]]=LARGE($AJ$132:$AJ$141,1),investirrendavariávelconsolidadomai[[#This Row],[TOTAL (R$)]]=LARGE($AJ$132:$AJ$141,2)),DADOS!$I$10,""))</calculatedColumnFormula>
    </tableColumn>
    <tableColumn id="2" xr3:uid="{8EEEB85C-14F5-40FB-8A50-C46CA1BED19B}" name="1" totalsRowFunction="sum" dataDxfId="5775" dataCellStyle="Moeda"/>
    <tableColumn id="3" xr3:uid="{10AF48C5-0231-489A-AA3B-9EF701A934F7}" name="2" totalsRowFunction="sum" dataDxfId="5774" dataCellStyle="Moeda">
      <calculatedColumnFormula>SUMIFS(tabela_registros[VALOR],tabela_registros[MÊS],$AE$1,tabela_registros[DIA],investirrendavariávelconsolidadomai[[#Headers],[2]],tabela_registros[REGISTRO],DADOS!$N$3,tabela_registros[TIPO],DADOS!$V$3,tabela_registros[CATEGORIA],investirrendavariávelconsolidadomai[[#This Row],[ATUAL]])</calculatedColumnFormula>
    </tableColumn>
    <tableColumn id="4" xr3:uid="{E1FB1353-ABE5-4615-88D3-97E4EFAF45B1}" name="3" totalsRowFunction="sum" dataDxfId="5773" totalsRowDxfId="5772" dataCellStyle="Moeda">
      <calculatedColumnFormula>SUMIFS(tabela_registros[VALOR],tabela_registros[MÊS],$AE$1,tabela_registros[DIA],investirrendavariávelconsolidadomai[[#Headers],[3]],tabela_registros[REGISTRO],DADOS!$N$3,tabela_registros[TIPO],DADOS!$V$3,tabela_registros[CATEGORIA],investirrendavariávelconsolidadomai[[#This Row],[ATUAL]])</calculatedColumnFormula>
    </tableColumn>
    <tableColumn id="5" xr3:uid="{C6287BAB-50E7-46C4-AA09-687CB31D06E4}" name="4" totalsRowFunction="sum" dataDxfId="5771" totalsRowDxfId="5770" dataCellStyle="Moeda">
      <calculatedColumnFormula>SUMIFS(tabela_registros[VALOR],tabela_registros[MÊS],$AE$1,tabela_registros[DIA],investirrendavariávelconsolidadomai[[#Headers],[4]],tabela_registros[REGISTRO],DADOS!$N$3,tabela_registros[TIPO],DADOS!$V$3,tabela_registros[CATEGORIA],investirrendavariávelconsolidadomai[[#This Row],[ATUAL]])</calculatedColumnFormula>
    </tableColumn>
    <tableColumn id="6" xr3:uid="{F7DAF9BF-1642-4223-8C46-F3F808D722D9}" name="5" totalsRowFunction="sum" dataDxfId="5769" totalsRowDxfId="5768" dataCellStyle="Moeda">
      <calculatedColumnFormula>SUMIFS(tabela_registros[VALOR],tabela_registros[MÊS],$AE$1,tabela_registros[DIA],investirrendavariávelconsolidadomai[[#Headers],[5]],tabela_registros[REGISTRO],DADOS!$N$3,tabela_registros[TIPO],DADOS!$V$3,tabela_registros[CATEGORIA],investirrendavariávelconsolidadomai[[#This Row],[ATUAL]])</calculatedColumnFormula>
    </tableColumn>
    <tableColumn id="7" xr3:uid="{20223036-161A-4886-97F7-E97A03B1E69A}" name="6" totalsRowFunction="sum" dataDxfId="5767" totalsRowDxfId="5766" dataCellStyle="Moeda">
      <calculatedColumnFormula>SUMIFS(tabela_registros[VALOR],tabela_registros[MÊS],$AE$1,tabela_registros[DIA],investirrendavariávelconsolidadomai[[#Headers],[6]],tabela_registros[REGISTRO],DADOS!$N$3,tabela_registros[TIPO],DADOS!$V$3,tabela_registros[CATEGORIA],investirrendavariávelconsolidadomai[[#This Row],[ATUAL]])</calculatedColumnFormula>
    </tableColumn>
    <tableColumn id="8" xr3:uid="{01A72BD7-6C3D-4A85-B1EB-115C51687DE2}" name="7" totalsRowFunction="sum" dataDxfId="5765" totalsRowDxfId="5764" dataCellStyle="Moeda">
      <calculatedColumnFormula>SUMIFS(tabela_registros[VALOR],tabela_registros[MÊS],$AE$1,tabela_registros[DIA],investirrendavariávelconsolidadomai[[#Headers],[7]],tabela_registros[REGISTRO],DADOS!$N$3,tabela_registros[TIPO],DADOS!$V$3,tabela_registros[CATEGORIA],investirrendavariávelconsolidadomai[[#This Row],[ATUAL]])</calculatedColumnFormula>
    </tableColumn>
    <tableColumn id="9" xr3:uid="{33AAC2DF-9634-4720-ACCC-E4E8F53BEA04}" name="8" totalsRowFunction="sum" dataDxfId="5763" totalsRowDxfId="5762" dataCellStyle="Moeda">
      <calculatedColumnFormula>SUMIFS(tabela_registros[VALOR],tabela_registros[MÊS],$AE$1,tabela_registros[DIA],investirrendavariávelconsolidadomai[[#Headers],[8]],tabela_registros[REGISTRO],DADOS!$N$3,tabela_registros[TIPO],DADOS!$V$3,tabela_registros[CATEGORIA],investirrendavariávelconsolidadomai[[#This Row],[ATUAL]])</calculatedColumnFormula>
    </tableColumn>
    <tableColumn id="10" xr3:uid="{6DF19F1A-54AF-4B90-82E1-33619AE4CB22}" name="9" totalsRowFunction="sum" dataDxfId="5761" totalsRowDxfId="5760" dataCellStyle="Moeda">
      <calculatedColumnFormula>SUMIFS(tabela_registros[VALOR],tabela_registros[MÊS],$AE$1,tabela_registros[DIA],investirrendavariávelconsolidadomai[[#Headers],[9]],tabela_registros[REGISTRO],DADOS!$N$3,tabela_registros[TIPO],DADOS!$V$3,tabela_registros[CATEGORIA],investirrendavariávelconsolidadomai[[#This Row],[ATUAL]])</calculatedColumnFormula>
    </tableColumn>
    <tableColumn id="11" xr3:uid="{8DC7BA4B-35B7-4ADA-B7E3-6724DDDCC5C2}" name="10" totalsRowFunction="sum" dataDxfId="5759" totalsRowDxfId="5758" dataCellStyle="Moeda">
      <calculatedColumnFormula>SUMIFS(tabela_registros[VALOR],tabela_registros[MÊS],$AE$1,tabela_registros[DIA],investirrendavariávelconsolidadomai[[#Headers],[10]],tabela_registros[REGISTRO],DADOS!$N$3,tabela_registros[TIPO],DADOS!$V$3,tabela_registros[CATEGORIA],investirrendavariávelconsolidadomai[[#This Row],[ATUAL]])</calculatedColumnFormula>
    </tableColumn>
    <tableColumn id="12" xr3:uid="{96D64A63-6EF4-42F4-B538-362B73706EA9}" name="11" totalsRowFunction="sum" dataDxfId="5757" totalsRowDxfId="5756" dataCellStyle="Moeda">
      <calculatedColumnFormula>SUMIFS(tabela_registros[VALOR],tabela_registros[MÊS],$AE$1,tabela_registros[DIA],investirrendavariávelconsolidadomai[[#Headers],[11]],tabela_registros[REGISTRO],DADOS!$N$3,tabela_registros[TIPO],DADOS!$V$3,tabela_registros[CATEGORIA],investirrendavariávelconsolidadomai[[#This Row],[ATUAL]])</calculatedColumnFormula>
    </tableColumn>
    <tableColumn id="13" xr3:uid="{66987BEA-91EC-4979-B15C-F7EB94791587}" name="12" totalsRowFunction="sum" dataDxfId="5755" totalsRowDxfId="5754" dataCellStyle="Moeda">
      <calculatedColumnFormula>SUMIFS(tabela_registros[VALOR],tabela_registros[MÊS],$AE$1,tabela_registros[DIA],investirrendavariávelconsolidadomai[[#Headers],[12]],tabela_registros[REGISTRO],DADOS!$N$3,tabela_registros[TIPO],DADOS!$V$3,tabela_registros[CATEGORIA],investirrendavariávelconsolidadomai[[#This Row],[ATUAL]])</calculatedColumnFormula>
    </tableColumn>
    <tableColumn id="14" xr3:uid="{0B752DD8-1327-4AB2-9AE0-E11450AF4D0B}" name="13" totalsRowFunction="sum" dataDxfId="5753" totalsRowDxfId="5752" dataCellStyle="Moeda">
      <calculatedColumnFormula>SUMIFS(tabela_registros[VALOR],tabela_registros[MÊS],$AE$1,tabela_registros[DIA],investirrendavariávelconsolidadomai[[#Headers],[13]],tabela_registros[REGISTRO],DADOS!$N$3,tabela_registros[TIPO],DADOS!$V$3,tabela_registros[CATEGORIA],investirrendavariávelconsolidadomai[[#This Row],[ATUAL]])</calculatedColumnFormula>
    </tableColumn>
    <tableColumn id="15" xr3:uid="{68ADDB20-AB5C-4E8F-A3D9-9952F9F895DA}" name="14" totalsRowFunction="sum" dataDxfId="5751" totalsRowDxfId="5750" dataCellStyle="Moeda">
      <calculatedColumnFormula>SUMIFS(tabela_registros[VALOR],tabela_registros[MÊS],$AE$1,tabela_registros[DIA],investirrendavariávelconsolidadomai[[#Headers],[14]],tabela_registros[REGISTRO],DADOS!$N$3,tabela_registros[TIPO],DADOS!$V$3,tabela_registros[CATEGORIA],investirrendavariávelconsolidadomai[[#This Row],[ATUAL]])</calculatedColumnFormula>
    </tableColumn>
    <tableColumn id="16" xr3:uid="{1827F4B6-9CF9-4B8D-85C8-D9539E1707CB}" name="15" totalsRowFunction="sum" dataDxfId="5749" totalsRowDxfId="5748" dataCellStyle="Moeda">
      <calculatedColumnFormula>SUMIFS(tabela_registros[VALOR],tabela_registros[MÊS],$AE$1,tabela_registros[DIA],investirrendavariávelconsolidadomai[[#Headers],[15]],tabela_registros[REGISTRO],DADOS!$N$3,tabela_registros[TIPO],DADOS!$V$3,tabela_registros[CATEGORIA],investirrendavariávelconsolidadomai[[#This Row],[ATUAL]])</calculatedColumnFormula>
    </tableColumn>
    <tableColumn id="17" xr3:uid="{3E557944-DC34-4668-AC96-21348DF772B7}" name="16" totalsRowFunction="sum" dataDxfId="5747" totalsRowDxfId="5746" dataCellStyle="Moeda">
      <calculatedColumnFormula>SUMIFS(tabela_registros[VALOR],tabela_registros[MÊS],$AE$1,tabela_registros[DIA],investirrendavariávelconsolidadomai[[#Headers],[16]],tabela_registros[REGISTRO],DADOS!$N$3,tabela_registros[TIPO],DADOS!$V$3,tabela_registros[CATEGORIA],investirrendavariávelconsolidadomai[[#This Row],[ATUAL]])</calculatedColumnFormula>
    </tableColumn>
    <tableColumn id="18" xr3:uid="{759D4ADA-56C7-4315-8D55-7295590C1856}" name="17" totalsRowFunction="sum" dataDxfId="5745" totalsRowDxfId="5744" dataCellStyle="Moeda">
      <calculatedColumnFormula>SUMIFS(tabela_registros[VALOR],tabela_registros[MÊS],$AE$1,tabela_registros[DIA],investirrendavariávelconsolidadomai[[#Headers],[17]],tabela_registros[REGISTRO],DADOS!$N$3,tabela_registros[TIPO],DADOS!$V$3,tabela_registros[CATEGORIA],investirrendavariávelconsolidadomai[[#This Row],[ATUAL]])</calculatedColumnFormula>
    </tableColumn>
    <tableColumn id="19" xr3:uid="{C4896684-C913-4B4F-81E5-9E54E27BD468}" name="18" totalsRowFunction="sum" dataDxfId="5743" totalsRowDxfId="5742" dataCellStyle="Moeda">
      <calculatedColumnFormula>SUMIFS(tabela_registros[VALOR],tabela_registros[MÊS],$AE$1,tabela_registros[DIA],investirrendavariávelconsolidadomai[[#Headers],[18]],tabela_registros[REGISTRO],DADOS!$N$3,tabela_registros[TIPO],DADOS!$V$3,tabela_registros[CATEGORIA],investirrendavariávelconsolidadomai[[#This Row],[ATUAL]])</calculatedColumnFormula>
    </tableColumn>
    <tableColumn id="20" xr3:uid="{FC25F618-D836-4D2B-AD6F-E94F5D059B12}" name="19" totalsRowFunction="sum" dataDxfId="5741" totalsRowDxfId="5740" dataCellStyle="Moeda">
      <calculatedColumnFormula>SUMIFS(tabela_registros[VALOR],tabela_registros[MÊS],$AE$1,tabela_registros[DIA],investirrendavariávelconsolidadomai[[#Headers],[19]],tabela_registros[REGISTRO],DADOS!$N$3,tabela_registros[TIPO],DADOS!$V$3,tabela_registros[CATEGORIA],investirrendavariávelconsolidadomai[[#This Row],[ATUAL]])</calculatedColumnFormula>
    </tableColumn>
    <tableColumn id="21" xr3:uid="{42D99276-A675-4249-83FC-B51F9A7487D0}" name="20" totalsRowFunction="sum" dataDxfId="5739" totalsRowDxfId="5738" dataCellStyle="Moeda">
      <calculatedColumnFormula>SUMIFS(tabela_registros[VALOR],tabela_registros[MÊS],$AE$1,tabela_registros[DIA],investirrendavariávelconsolidadomai[[#Headers],[20]],tabela_registros[REGISTRO],DADOS!$N$3,tabela_registros[TIPO],DADOS!$V$3,tabela_registros[CATEGORIA],investirrendavariávelconsolidadomai[[#This Row],[ATUAL]])</calculatedColumnFormula>
    </tableColumn>
    <tableColumn id="22" xr3:uid="{73AD6661-DCD6-4287-8B92-7F6D91F25FA8}" name="21" totalsRowFunction="sum" dataDxfId="5737" totalsRowDxfId="5736" dataCellStyle="Moeda">
      <calculatedColumnFormula>SUMIFS(tabela_registros[VALOR],tabela_registros[MÊS],$AE$1,tabela_registros[DIA],investirrendavariávelconsolidadomai[[#Headers],[21]],tabela_registros[REGISTRO],DADOS!$N$3,tabela_registros[TIPO],DADOS!$V$3,tabela_registros[CATEGORIA],investirrendavariávelconsolidadomai[[#This Row],[ATUAL]])</calculatedColumnFormula>
    </tableColumn>
    <tableColumn id="23" xr3:uid="{8FDE15B5-B114-476D-B217-C239BD446C05}" name="22" totalsRowFunction="sum" dataDxfId="5735" totalsRowDxfId="5734" dataCellStyle="Moeda">
      <calculatedColumnFormula>SUMIFS(tabela_registros[VALOR],tabela_registros[MÊS],$AE$1,tabela_registros[DIA],investirrendavariávelconsolidadomai[[#Headers],[22]],tabela_registros[REGISTRO],DADOS!$N$3,tabela_registros[TIPO],DADOS!$V$3,tabela_registros[CATEGORIA],investirrendavariávelconsolidadomai[[#This Row],[ATUAL]])</calculatedColumnFormula>
    </tableColumn>
    <tableColumn id="24" xr3:uid="{01AF3A31-C1CF-43FB-9512-3AF0678ACEDF}" name="23" totalsRowFunction="sum" dataDxfId="5733" totalsRowDxfId="5732" dataCellStyle="Moeda">
      <calculatedColumnFormula>SUMIFS(tabela_registros[VALOR],tabela_registros[MÊS],$AE$1,tabela_registros[DIA],investirrendavariávelconsolidadomai[[#Headers],[23]],tabela_registros[REGISTRO],DADOS!$N$3,tabela_registros[TIPO],DADOS!$V$3,tabela_registros[CATEGORIA],investirrendavariávelconsolidadomai[[#This Row],[ATUAL]])</calculatedColumnFormula>
    </tableColumn>
    <tableColumn id="25" xr3:uid="{259A262D-DC85-4F36-8493-D0825E7487B2}" name="24" totalsRowFunction="sum" dataDxfId="5731" totalsRowDxfId="5730" dataCellStyle="Moeda">
      <calculatedColumnFormula>SUMIFS(tabela_registros[VALOR],tabela_registros[MÊS],$AE$1,tabela_registros[DIA],investirrendavariávelconsolidadomai[[#Headers],[24]],tabela_registros[REGISTRO],DADOS!$N$3,tabela_registros[TIPO],DADOS!$V$3,tabela_registros[CATEGORIA],investirrendavariávelconsolidadomai[[#This Row],[ATUAL]])</calculatedColumnFormula>
    </tableColumn>
    <tableColumn id="26" xr3:uid="{37FBEDB8-A084-4509-AC6E-0E38569C6FBE}" name="25" totalsRowFunction="sum" dataDxfId="5729" totalsRowDxfId="5728" dataCellStyle="Moeda">
      <calculatedColumnFormula>SUMIFS(tabela_registros[VALOR],tabela_registros[MÊS],$AE$1,tabela_registros[DIA],investirrendavariávelconsolidadomai[[#Headers],[25]],tabela_registros[REGISTRO],DADOS!$N$3,tabela_registros[TIPO],DADOS!$V$3,tabela_registros[CATEGORIA],investirrendavariávelconsolidadomai[[#This Row],[ATUAL]])</calculatedColumnFormula>
    </tableColumn>
    <tableColumn id="27" xr3:uid="{DAA4CF01-2D40-4774-93FC-13DE6D1AF7D2}" name="26" totalsRowFunction="sum" dataDxfId="5727" totalsRowDxfId="5726" dataCellStyle="Moeda">
      <calculatedColumnFormula>SUMIFS(tabela_registros[VALOR],tabela_registros[MÊS],$AE$1,tabela_registros[DIA],investirrendavariávelconsolidadomai[[#Headers],[26]],tabela_registros[REGISTRO],DADOS!$N$3,tabela_registros[TIPO],DADOS!$V$3,tabela_registros[CATEGORIA],investirrendavariávelconsolidadomai[[#This Row],[ATUAL]])</calculatedColumnFormula>
    </tableColumn>
    <tableColumn id="28" xr3:uid="{1C1BD9F6-C33A-47F3-B75E-F7F30ADD02FE}" name="27" totalsRowFunction="sum" dataDxfId="5725" totalsRowDxfId="5724" dataCellStyle="Moeda">
      <calculatedColumnFormula>SUMIFS(tabela_registros[VALOR],tabela_registros[MÊS],$AE$1,tabela_registros[DIA],investirrendavariávelconsolidadomai[[#Headers],[27]],tabela_registros[REGISTRO],DADOS!$N$3,tabela_registros[TIPO],DADOS!$V$3,tabela_registros[CATEGORIA],investirrendavariávelconsolidadomai[[#This Row],[ATUAL]])</calculatedColumnFormula>
    </tableColumn>
    <tableColumn id="29" xr3:uid="{1E55C6F6-A67B-4BA8-90D8-B4B23649DF23}" name="28" totalsRowFunction="sum" dataDxfId="5723" totalsRowDxfId="5722" dataCellStyle="Moeda">
      <calculatedColumnFormula>SUMIFS(tabela_registros[VALOR],tabela_registros[MÊS],$AE$1,tabela_registros[DIA],investirrendavariávelconsolidadomai[[#Headers],[28]],tabela_registros[REGISTRO],DADOS!$N$3,tabela_registros[TIPO],DADOS!$V$3,tabela_registros[CATEGORIA],investirrendavariávelconsolidadomai[[#This Row],[ATUAL]])</calculatedColumnFormula>
    </tableColumn>
    <tableColumn id="30" xr3:uid="{24D43F48-73A9-4EB6-8863-73CE4FD71161}" name="29" totalsRowFunction="sum" dataDxfId="5721" totalsRowDxfId="5720" dataCellStyle="Moeda">
      <calculatedColumnFormula>SUMIFS(tabela_registros[VALOR],tabela_registros[MÊS],$AE$1,tabela_registros[DIA],investirrendavariávelconsolidadomai[[#Headers],[29]],tabela_registros[REGISTRO],DADOS!$N$3,tabela_registros[TIPO],DADOS!$V$3,tabela_registros[CATEGORIA],investirrendavariávelconsolidadomai[[#This Row],[ATUAL]])</calculatedColumnFormula>
    </tableColumn>
    <tableColumn id="31" xr3:uid="{CC31D60B-10F4-42E7-B399-4E3371622B6D}" name="30" totalsRowFunction="sum" dataDxfId="5719" totalsRowDxfId="5718" dataCellStyle="Moeda">
      <calculatedColumnFormula>SUMIFS(tabela_registros[VALOR],tabela_registros[MÊS],$AE$1,tabela_registros[DIA],investirrendavariávelconsolidadomai[[#Headers],[30]],tabela_registros[REGISTRO],DADOS!$N$3,tabela_registros[TIPO],DADOS!$V$3,tabela_registros[CATEGORIA],investirrendavariávelconsolidadomai[[#This Row],[ATUAL]])</calculatedColumnFormula>
    </tableColumn>
    <tableColumn id="32" xr3:uid="{DFC7301D-DBA9-4E07-8332-36D01DA51063}" name="31" totalsRowFunction="sum" dataDxfId="5717" totalsRowDxfId="5716" dataCellStyle="Moeda">
      <calculatedColumnFormula>SUMIFS(tabela_registros[VALOR],tabela_registros[MÊS],$AE$1,tabela_registros[DIA],investirrendavariávelconsolidadomai[[#Headers],[31]],tabela_registros[REGISTRO],DADOS!$N$3,tabela_registros[TIPO],DADOS!$V$3,tabela_registros[CATEGORIA],investirrendavariávelconsolidadomai[[#This Row],[ATUAL]])</calculatedColumnFormula>
    </tableColumn>
    <tableColumn id="33" xr3:uid="{A5128DDE-ABB8-4084-AEF1-B214E42D5F7A}" name="TOTAL (R$)" totalsRowFunction="sum" dataDxfId="5715" dataCellStyle="Moeda">
      <calculatedColumnFormula>SUM(investirrendavariávelconsolidadomai[[#This Row],[1]:[31]])</calculatedColumnFormula>
    </tableColumn>
  </tableColumns>
  <tableStyleInfo name="TABELAS RESULTADOS" showFirstColumn="0" showLastColumn="0" showRowStripes="1" showColumnStripes="0"/>
</table>
</file>

<file path=xl/tables/table7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0" xr:uid="{27D61FA2-2E61-41C4-A2F1-C1ED48F2CE50}" name="investiroutrosconsolidadomai" displayName="investiroutrosconsolidadomai" ref="C150:AJ159" headerRowDxfId="5714" dataDxfId="5713" totalsRowDxfId="5712">
  <autoFilter ref="C150:AJ159" xr:uid="{6183CEF1-477D-4448-9404-9007701FBB5F}"/>
  <tableColumns count="34">
    <tableColumn id="1" xr3:uid="{37724FD7-FEC0-405B-A63B-F8A06BBEEA2D}" name="ATUAL" totalsRowLabel="SALDO" dataDxfId="5711"/>
    <tableColumn id="34" xr3:uid="{DF9C41BE-5160-4B90-9F23-8EEE33BF6764}" name="Coluna1" dataDxfId="5710" totalsRowDxfId="5709">
      <calculatedColumnFormula>IF(investiroutrosconsolidadomai[[#This Row],[TOTAL (R$)]]=0,"",IF(OR(investiroutrosconsolidadomai[[#This Row],[TOTAL (R$)]]=LARGE($AJ$151:$AJ$158,1),investiroutrosconsolidadomai[[#This Row],[TOTAL (R$)]]=LARGE($AJ$151:$AJ$158,2)),DADOS!$I$10,""))</calculatedColumnFormula>
    </tableColumn>
    <tableColumn id="2" xr3:uid="{E7EEEFD3-EE67-43BD-BCEF-D4EAD3D4EC7A}" name="1" totalsRowFunction="sum" dataDxfId="5708" dataCellStyle="Moeda"/>
    <tableColumn id="3" xr3:uid="{6584C09A-9D0A-4C8F-951C-0293BFBB5500}" name="2" totalsRowFunction="sum" dataDxfId="5707" dataCellStyle="Moeda">
      <calculatedColumnFormula>SUMIFS(tabela_registros[VALOR],tabela_registros[MÊS],$AE$1,tabela_registros[DIA],investiroutrosconsolidadomai[[#Headers],[2]],tabela_registros[REGISTRO],DADOS!$N$3,tabela_registros[TIPO],DADOS!$V$3,tabela_registros[CATEGORIA],investiroutrosconsolidadomai[[#This Row],[ATUAL]])</calculatedColumnFormula>
    </tableColumn>
    <tableColumn id="4" xr3:uid="{ED57AE0D-B749-4750-8547-BB8363747A6D}" name="3" totalsRowFunction="sum" dataDxfId="5706" totalsRowDxfId="5705" dataCellStyle="Moeda">
      <calculatedColumnFormula>SUMIFS(tabela_registros[VALOR],tabela_registros[MÊS],$AE$1,tabela_registros[DIA],investiroutrosconsolidadomai[[#Headers],[3]],tabela_registros[REGISTRO],DADOS!$N$3,tabela_registros[TIPO],DADOS!$V$3,tabela_registros[CATEGORIA],investiroutrosconsolidadomai[[#This Row],[ATUAL]])</calculatedColumnFormula>
    </tableColumn>
    <tableColumn id="5" xr3:uid="{F84EA9AA-7D55-4C66-9B6E-61D3F40197BF}" name="4" totalsRowFunction="sum" dataDxfId="5704" totalsRowDxfId="5703" dataCellStyle="Moeda">
      <calculatedColumnFormula>SUMIFS(tabela_registros[VALOR],tabela_registros[MÊS],$AE$1,tabela_registros[DIA],investiroutrosconsolidadomai[[#Headers],[4]],tabela_registros[REGISTRO],DADOS!$N$3,tabela_registros[TIPO],DADOS!$V$3,tabela_registros[CATEGORIA],investiroutrosconsolidadomai[[#This Row],[ATUAL]])</calculatedColumnFormula>
    </tableColumn>
    <tableColumn id="6" xr3:uid="{D6DEF648-315D-413F-B647-AABC92544957}" name="5" totalsRowFunction="sum" dataDxfId="5702" totalsRowDxfId="5701" dataCellStyle="Moeda">
      <calculatedColumnFormula>SUMIFS(tabela_registros[VALOR],tabela_registros[MÊS],$AE$1,tabela_registros[DIA],investiroutrosconsolidadomai[[#Headers],[5]],tabela_registros[REGISTRO],DADOS!$N$3,tabela_registros[TIPO],DADOS!$V$3,tabela_registros[CATEGORIA],investiroutrosconsolidadomai[[#This Row],[ATUAL]])</calculatedColumnFormula>
    </tableColumn>
    <tableColumn id="7" xr3:uid="{ACF85B81-024F-4C89-BF18-E2211B8B62E0}" name="6" totalsRowFunction="sum" dataDxfId="5700" totalsRowDxfId="5699" dataCellStyle="Moeda">
      <calculatedColumnFormula>SUMIFS(tabela_registros[VALOR],tabela_registros[MÊS],$AE$1,tabela_registros[DIA],investiroutrosconsolidadomai[[#Headers],[6]],tabela_registros[REGISTRO],DADOS!$N$3,tabela_registros[TIPO],DADOS!$V$3,tabela_registros[CATEGORIA],investiroutrosconsolidadomai[[#This Row],[ATUAL]])</calculatedColumnFormula>
    </tableColumn>
    <tableColumn id="8" xr3:uid="{9ACDBA8C-3D45-43E2-868E-00EC02567E58}" name="7" totalsRowFunction="sum" dataDxfId="5698" totalsRowDxfId="5697" dataCellStyle="Moeda">
      <calculatedColumnFormula>SUMIFS(tabela_registros[VALOR],tabela_registros[MÊS],$AE$1,tabela_registros[DIA],investiroutrosconsolidadomai[[#Headers],[7]],tabela_registros[REGISTRO],DADOS!$N$3,tabela_registros[TIPO],DADOS!$V$3,tabela_registros[CATEGORIA],investiroutrosconsolidadomai[[#This Row],[ATUAL]])</calculatedColumnFormula>
    </tableColumn>
    <tableColumn id="9" xr3:uid="{173262E6-4D65-4C9B-8E26-B60A31AA9C72}" name="8" totalsRowFunction="sum" dataDxfId="5696" totalsRowDxfId="5695" dataCellStyle="Moeda">
      <calculatedColumnFormula>SUMIFS(tabela_registros[VALOR],tabela_registros[MÊS],$AE$1,tabela_registros[DIA],investiroutrosconsolidadomai[[#Headers],[8]],tabela_registros[REGISTRO],DADOS!$N$3,tabela_registros[TIPO],DADOS!$V$3,tabela_registros[CATEGORIA],investiroutrosconsolidadomai[[#This Row],[ATUAL]])</calculatedColumnFormula>
    </tableColumn>
    <tableColumn id="10" xr3:uid="{7C323CED-C327-447A-8166-6C687C9AB54A}" name="9" totalsRowFunction="sum" dataDxfId="5694" totalsRowDxfId="5693" dataCellStyle="Moeda">
      <calculatedColumnFormula>SUMIFS(tabela_registros[VALOR],tabela_registros[MÊS],$AE$1,tabela_registros[DIA],investiroutrosconsolidadomai[[#Headers],[9]],tabela_registros[REGISTRO],DADOS!$N$3,tabela_registros[TIPO],DADOS!$V$3,tabela_registros[CATEGORIA],investiroutrosconsolidadomai[[#This Row],[ATUAL]])</calculatedColumnFormula>
    </tableColumn>
    <tableColumn id="11" xr3:uid="{B3256477-008B-483B-BCC1-475988C2F375}" name="10" totalsRowFunction="sum" dataDxfId="5692" totalsRowDxfId="5691" dataCellStyle="Moeda">
      <calculatedColumnFormula>SUMIFS(tabela_registros[VALOR],tabela_registros[MÊS],$AE$1,tabela_registros[DIA],investiroutrosconsolidadomai[[#Headers],[10]],tabela_registros[REGISTRO],DADOS!$N$3,tabela_registros[TIPO],DADOS!$V$3,tabela_registros[CATEGORIA],investiroutrosconsolidadomai[[#This Row],[ATUAL]])</calculatedColumnFormula>
    </tableColumn>
    <tableColumn id="12" xr3:uid="{A0E05326-99E7-48FE-A434-CF605046CD08}" name="11" totalsRowFunction="sum" dataDxfId="5690" totalsRowDxfId="5689" dataCellStyle="Moeda">
      <calculatedColumnFormula>SUMIFS(tabela_registros[VALOR],tabela_registros[MÊS],$AE$1,tabela_registros[DIA],investiroutrosconsolidadomai[[#Headers],[11]],tabela_registros[REGISTRO],DADOS!$N$3,tabela_registros[TIPO],DADOS!$V$3,tabela_registros[CATEGORIA],investiroutrosconsolidadomai[[#This Row],[ATUAL]])</calculatedColumnFormula>
    </tableColumn>
    <tableColumn id="13" xr3:uid="{5B3B0D61-1DB9-4669-8C13-534A0C2AA2C5}" name="12" totalsRowFunction="sum" dataDxfId="5688" totalsRowDxfId="5687" dataCellStyle="Moeda">
      <calculatedColumnFormula>SUMIFS(tabela_registros[VALOR],tabela_registros[MÊS],$AE$1,tabela_registros[DIA],investiroutrosconsolidadomai[[#Headers],[12]],tabela_registros[REGISTRO],DADOS!$N$3,tabela_registros[TIPO],DADOS!$V$3,tabela_registros[CATEGORIA],investiroutrosconsolidadomai[[#This Row],[ATUAL]])</calculatedColumnFormula>
    </tableColumn>
    <tableColumn id="14" xr3:uid="{FCD23941-651F-46C5-8C7A-7AA82FF4AEEC}" name="13" totalsRowFunction="sum" dataDxfId="5686" totalsRowDxfId="5685" dataCellStyle="Moeda">
      <calculatedColumnFormula>SUMIFS(tabela_registros[VALOR],tabela_registros[MÊS],$AE$1,tabela_registros[DIA],investiroutrosconsolidadomai[[#Headers],[13]],tabela_registros[REGISTRO],DADOS!$N$3,tabela_registros[TIPO],DADOS!$V$3,tabela_registros[CATEGORIA],investiroutrosconsolidadomai[[#This Row],[ATUAL]])</calculatedColumnFormula>
    </tableColumn>
    <tableColumn id="15" xr3:uid="{06DBD1E1-7238-4E26-8A41-3A409C6A7485}" name="14" totalsRowFunction="sum" dataDxfId="5684" totalsRowDxfId="5683" dataCellStyle="Moeda">
      <calculatedColumnFormula>SUMIFS(tabela_registros[VALOR],tabela_registros[MÊS],$AE$1,tabela_registros[DIA],investiroutrosconsolidadomai[[#Headers],[14]],tabela_registros[REGISTRO],DADOS!$N$3,tabela_registros[TIPO],DADOS!$V$3,tabela_registros[CATEGORIA],investiroutrosconsolidadomai[[#This Row],[ATUAL]])</calculatedColumnFormula>
    </tableColumn>
    <tableColumn id="16" xr3:uid="{5E0D7B1C-12E6-46BE-987A-6F41E9BFA0FF}" name="15" totalsRowFunction="sum" dataDxfId="5682" totalsRowDxfId="5681" dataCellStyle="Moeda">
      <calculatedColumnFormula>SUMIFS(tabela_registros[VALOR],tabela_registros[MÊS],$AE$1,tabela_registros[DIA],investiroutrosconsolidadomai[[#Headers],[15]],tabela_registros[REGISTRO],DADOS!$N$3,tabela_registros[TIPO],DADOS!$V$3,tabela_registros[CATEGORIA],investiroutrosconsolidadomai[[#This Row],[ATUAL]])</calculatedColumnFormula>
    </tableColumn>
    <tableColumn id="17" xr3:uid="{0C6EE586-9EB6-4F68-842C-0AB8A52948D0}" name="16" totalsRowFunction="sum" dataDxfId="5680" totalsRowDxfId="5679" dataCellStyle="Moeda">
      <calculatedColumnFormula>SUMIFS(tabela_registros[VALOR],tabela_registros[MÊS],$AE$1,tabela_registros[DIA],investiroutrosconsolidadomai[[#Headers],[16]],tabela_registros[REGISTRO],DADOS!$N$3,tabela_registros[TIPO],DADOS!$V$3,tabela_registros[CATEGORIA],investiroutrosconsolidadomai[[#This Row],[ATUAL]])</calculatedColumnFormula>
    </tableColumn>
    <tableColumn id="18" xr3:uid="{237BFBF1-A7F1-4EDA-97F7-C55827680805}" name="17" totalsRowFunction="sum" dataDxfId="5678" totalsRowDxfId="5677" dataCellStyle="Moeda">
      <calculatedColumnFormula>SUMIFS(tabela_registros[VALOR],tabela_registros[MÊS],$AE$1,tabela_registros[DIA],investiroutrosconsolidadomai[[#Headers],[17]],tabela_registros[REGISTRO],DADOS!$N$3,tabela_registros[TIPO],DADOS!$V$3,tabela_registros[CATEGORIA],investiroutrosconsolidadomai[[#This Row],[ATUAL]])</calculatedColumnFormula>
    </tableColumn>
    <tableColumn id="19" xr3:uid="{D11982CA-B1B9-4250-A8EB-5C27631B2677}" name="18" totalsRowFunction="sum" dataDxfId="5676" totalsRowDxfId="5675" dataCellStyle="Moeda">
      <calculatedColumnFormula>SUMIFS(tabela_registros[VALOR],tabela_registros[MÊS],$AE$1,tabela_registros[DIA],investiroutrosconsolidadomai[[#Headers],[18]],tabela_registros[REGISTRO],DADOS!$N$3,tabela_registros[TIPO],DADOS!$V$3,tabela_registros[CATEGORIA],investiroutrosconsolidadomai[[#This Row],[ATUAL]])</calculatedColumnFormula>
    </tableColumn>
    <tableColumn id="20" xr3:uid="{A228766D-08C3-442B-831E-5ACF1D9060AC}" name="19" totalsRowFunction="sum" dataDxfId="5674" totalsRowDxfId="5673" dataCellStyle="Moeda">
      <calculatedColumnFormula>SUMIFS(tabela_registros[VALOR],tabela_registros[MÊS],$AE$1,tabela_registros[DIA],investiroutrosconsolidadomai[[#Headers],[19]],tabela_registros[REGISTRO],DADOS!$N$3,tabela_registros[TIPO],DADOS!$V$3,tabela_registros[CATEGORIA],investiroutrosconsolidadomai[[#This Row],[ATUAL]])</calculatedColumnFormula>
    </tableColumn>
    <tableColumn id="21" xr3:uid="{14CAD787-65ED-4FF8-A257-536F279AE3C1}" name="20" totalsRowFunction="sum" dataDxfId="5672" totalsRowDxfId="5671" dataCellStyle="Moeda">
      <calculatedColumnFormula>SUMIFS(tabela_registros[VALOR],tabela_registros[MÊS],$AE$1,tabela_registros[DIA],investiroutrosconsolidadomai[[#Headers],[20]],tabela_registros[REGISTRO],DADOS!$N$3,tabela_registros[TIPO],DADOS!$V$3,tabela_registros[CATEGORIA],investiroutrosconsolidadomai[[#This Row],[ATUAL]])</calculatedColumnFormula>
    </tableColumn>
    <tableColumn id="22" xr3:uid="{23DA335D-D0EC-4FAD-89A3-F3C0808B8EFB}" name="21" totalsRowFunction="sum" dataDxfId="5670" totalsRowDxfId="5669" dataCellStyle="Moeda">
      <calculatedColumnFormula>SUMIFS(tabela_registros[VALOR],tabela_registros[MÊS],$AE$1,tabela_registros[DIA],investiroutrosconsolidadomai[[#Headers],[21]],tabela_registros[REGISTRO],DADOS!$N$3,tabela_registros[TIPO],DADOS!$V$3,tabela_registros[CATEGORIA],investiroutrosconsolidadomai[[#This Row],[ATUAL]])</calculatedColumnFormula>
    </tableColumn>
    <tableColumn id="23" xr3:uid="{C1D98B5A-3E88-4991-BE76-28E261C7A4ED}" name="22" totalsRowFunction="sum" dataDxfId="5668" totalsRowDxfId="5667" dataCellStyle="Moeda">
      <calculatedColumnFormula>SUMIFS(tabela_registros[VALOR],tabela_registros[MÊS],$AE$1,tabela_registros[DIA],investiroutrosconsolidadomai[[#Headers],[22]],tabela_registros[REGISTRO],DADOS!$N$3,tabela_registros[TIPO],DADOS!$V$3,tabela_registros[CATEGORIA],investiroutrosconsolidadomai[[#This Row],[ATUAL]])</calculatedColumnFormula>
    </tableColumn>
    <tableColumn id="24" xr3:uid="{0A7763A7-36B8-4465-95CD-90E775284AD4}" name="23" totalsRowFunction="sum" dataDxfId="5666" totalsRowDxfId="5665" dataCellStyle="Moeda">
      <calculatedColumnFormula>SUMIFS(tabela_registros[VALOR],tabela_registros[MÊS],$AE$1,tabela_registros[DIA],investiroutrosconsolidadomai[[#Headers],[23]],tabela_registros[REGISTRO],DADOS!$N$3,tabela_registros[TIPO],DADOS!$V$3,tabela_registros[CATEGORIA],investiroutrosconsolidadomai[[#This Row],[ATUAL]])</calculatedColumnFormula>
    </tableColumn>
    <tableColumn id="25" xr3:uid="{0648DDFC-521A-49C8-A212-D442BC95D7D8}" name="24" totalsRowFunction="sum" dataDxfId="5664" totalsRowDxfId="5663" dataCellStyle="Moeda">
      <calculatedColumnFormula>SUMIFS(tabela_registros[VALOR],tabela_registros[MÊS],$AE$1,tabela_registros[DIA],investiroutrosconsolidadomai[[#Headers],[24]],tabela_registros[REGISTRO],DADOS!$N$3,tabela_registros[TIPO],DADOS!$V$3,tabela_registros[CATEGORIA],investiroutrosconsolidadomai[[#This Row],[ATUAL]])</calculatedColumnFormula>
    </tableColumn>
    <tableColumn id="26" xr3:uid="{BA37D151-3BD0-4D21-83C4-FB42A03A34B1}" name="25" totalsRowFunction="sum" dataDxfId="5662" totalsRowDxfId="5661" dataCellStyle="Moeda">
      <calculatedColumnFormula>SUMIFS(tabela_registros[VALOR],tabela_registros[MÊS],$AE$1,tabela_registros[DIA],investiroutrosconsolidadomai[[#Headers],[25]],tabela_registros[REGISTRO],DADOS!$N$3,tabela_registros[TIPO],DADOS!$V$3,tabela_registros[CATEGORIA],investiroutrosconsolidadomai[[#This Row],[ATUAL]])</calculatedColumnFormula>
    </tableColumn>
    <tableColumn id="27" xr3:uid="{123D7874-9C6C-4C34-82E0-7576231966A5}" name="26" totalsRowFunction="sum" dataDxfId="5660" totalsRowDxfId="5659" dataCellStyle="Moeda">
      <calculatedColumnFormula>SUMIFS(tabela_registros[VALOR],tabela_registros[MÊS],$AE$1,tabela_registros[DIA],investiroutrosconsolidadomai[[#Headers],[26]],tabela_registros[REGISTRO],DADOS!$N$3,tabela_registros[TIPO],DADOS!$V$3,tabela_registros[CATEGORIA],investiroutrosconsolidadomai[[#This Row],[ATUAL]])</calculatedColumnFormula>
    </tableColumn>
    <tableColumn id="28" xr3:uid="{95DF4877-6982-4968-B960-3CFED99FFBAD}" name="27" totalsRowFunction="sum" dataDxfId="5658" totalsRowDxfId="5657" dataCellStyle="Moeda">
      <calculatedColumnFormula>SUMIFS(tabela_registros[VALOR],tabela_registros[MÊS],$AE$1,tabela_registros[DIA],investiroutrosconsolidadomai[[#Headers],[27]],tabela_registros[REGISTRO],DADOS!$N$3,tabela_registros[TIPO],DADOS!$V$3,tabela_registros[CATEGORIA],investiroutrosconsolidadomai[[#This Row],[ATUAL]])</calculatedColumnFormula>
    </tableColumn>
    <tableColumn id="29" xr3:uid="{6A614547-1E8A-44C2-ACC7-7B38F06B1AEC}" name="28" totalsRowFunction="sum" dataDxfId="5656" totalsRowDxfId="5655" dataCellStyle="Moeda">
      <calculatedColumnFormula>SUMIFS(tabela_registros[VALOR],tabela_registros[MÊS],$AE$1,tabela_registros[DIA],investiroutrosconsolidadomai[[#Headers],[28]],tabela_registros[REGISTRO],DADOS!$N$3,tabela_registros[TIPO],DADOS!$V$3,tabela_registros[CATEGORIA],investiroutrosconsolidadomai[[#This Row],[ATUAL]])</calculatedColumnFormula>
    </tableColumn>
    <tableColumn id="30" xr3:uid="{75CC41DC-743D-44A5-B2A9-966A4EDFCAF9}" name="29" totalsRowFunction="sum" dataDxfId="5654" totalsRowDxfId="5653" dataCellStyle="Moeda">
      <calculatedColumnFormula>SUMIFS(tabela_registros[VALOR],tabela_registros[MÊS],$AE$1,tabela_registros[DIA],investiroutrosconsolidadomai[[#Headers],[29]],tabela_registros[REGISTRO],DADOS!$N$3,tabela_registros[TIPO],DADOS!$V$3,tabela_registros[CATEGORIA],investiroutrosconsolidadomai[[#This Row],[ATUAL]])</calculatedColumnFormula>
    </tableColumn>
    <tableColumn id="31" xr3:uid="{0BEC7253-1D66-4644-B450-DCC330C78F5A}" name="30" totalsRowFunction="sum" dataDxfId="5652" totalsRowDxfId="5651" dataCellStyle="Moeda">
      <calculatedColumnFormula>SUMIFS(tabela_registros[VALOR],tabela_registros[MÊS],$AE$1,tabela_registros[DIA],investiroutrosconsolidadomai[[#Headers],[30]],tabela_registros[REGISTRO],DADOS!$N$3,tabela_registros[TIPO],DADOS!$V$3,tabela_registros[CATEGORIA],investiroutrosconsolidadomai[[#This Row],[ATUAL]])</calculatedColumnFormula>
    </tableColumn>
    <tableColumn id="32" xr3:uid="{37083866-74BF-47C1-B33F-782D22CB6CB1}" name="31" totalsRowFunction="sum" dataDxfId="5650" totalsRowDxfId="5649" dataCellStyle="Moeda">
      <calculatedColumnFormula>SUMIFS(tabela_registros[VALOR],tabela_registros[MÊS],$AE$1,tabela_registros[DIA],investiroutrosconsolidadomai[[#Headers],[31]],tabela_registros[REGISTRO],DADOS!$N$3,tabela_registros[TIPO],DADOS!$V$3,tabela_registros[CATEGORIA],investiroutrosconsolidadomai[[#This Row],[ATUAL]])</calculatedColumnFormula>
    </tableColumn>
    <tableColumn id="33" xr3:uid="{0A700870-F15F-477D-BEAD-92DB1F91EB04}" name="TOTAL (R$)" totalsRowFunction="sum" dataDxfId="5648" dataCellStyle="Moeda">
      <calculatedColumnFormula>SUM(investiroutrosconsolidadomai[[#This Row],[1]:[31]])</calculatedColumnFormula>
    </tableColumn>
  </tableColumns>
  <tableStyleInfo name="TABELAS RESULTADOS" showFirstColumn="0" showLastColumn="0" showRowStripes="1" showColumnStripes="0"/>
</table>
</file>

<file path=xl/tables/table7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1" xr:uid="{36CC58E1-CFCB-4D28-93CD-FBFB58B7A694}" name="reservafixaconsolidadomai" displayName="reservafixaconsolidadomai" ref="C167:AJ178" headerRowDxfId="5647" dataDxfId="5646" totalsRowDxfId="5645">
  <autoFilter ref="C167:AJ178" xr:uid="{CDBD73CF-1633-4509-BA0C-4B73FF7E50BA}"/>
  <tableColumns count="34">
    <tableColumn id="1" xr3:uid="{7C244F28-731C-4183-BD5C-07CDF0AD74FE}" name="ATUAL" totalsRowLabel="SALDO" dataDxfId="5644"/>
    <tableColumn id="34" xr3:uid="{2307528D-BD62-44CA-9DDF-197C7FA35D04}" name="Coluna1" dataDxfId="5643" totalsRowDxfId="5642">
      <calculatedColumnFormula>IF(reservafixaconsolidadomai[[#This Row],[TOTAL (R$)]]=0,"",IF(OR(reservafixaconsolidadomai[[#This Row],[TOTAL (R$)]]=LARGE($AJ$168:$AJ$177,1),reservafixaconsolidadomai[[#This Row],[TOTAL (R$)]]=LARGE($AJ$168:$AJ$177,2)),DADOS!$I$11,""))</calculatedColumnFormula>
    </tableColumn>
    <tableColumn id="2" xr3:uid="{4333D287-82AA-4793-9BB6-749CCCE18794}" name="1" totalsRowFunction="sum" dataDxfId="5641" dataCellStyle="Moeda"/>
    <tableColumn id="3" xr3:uid="{EB160E9F-B94D-4059-B76D-1A4035A11AD3}" name="2" totalsRowFunction="sum" dataDxfId="5640" dataCellStyle="Moeda">
      <calculatedColumnFormula>SUMIFS(tabela_registros[VALOR],tabela_registros[MÊS],$AE$1,tabela_registros[DIA],reservafixaconsolidadomai[[#Headers],[2]],tabela_registros[REGISTRO],DADOS!$N$3,tabela_registros[TIPO],DADOS!$V$3,tabela_registros[CATEGORIA],reservafixaconsolidadomai[[#This Row],[ATUAL]])</calculatedColumnFormula>
    </tableColumn>
    <tableColumn id="4" xr3:uid="{4AC7AE47-B39B-4435-8949-EBACC0B82719}" name="3" totalsRowFunction="sum" dataDxfId="5639" totalsRowDxfId="5638" dataCellStyle="Moeda">
      <calculatedColumnFormula>SUMIFS(tabela_registros[VALOR],tabela_registros[MÊS],$AE$1,tabela_registros[DIA],reservafixaconsolidadomai[[#Headers],[3]],tabela_registros[REGISTRO],DADOS!$N$3,tabela_registros[TIPO],DADOS!$V$3,tabela_registros[CATEGORIA],reservafixaconsolidadomai[[#This Row],[ATUAL]])</calculatedColumnFormula>
    </tableColumn>
    <tableColumn id="5" xr3:uid="{AB3F4C83-594A-4F5E-81ED-BC64B5E69ADC}" name="4" totalsRowFunction="sum" dataDxfId="5637" totalsRowDxfId="5636" dataCellStyle="Moeda">
      <calculatedColumnFormula>SUMIFS(tabela_registros[VALOR],tabela_registros[MÊS],$AE$1,tabela_registros[DIA],reservafixaconsolidadomai[[#Headers],[4]],tabela_registros[REGISTRO],DADOS!$N$3,tabela_registros[TIPO],DADOS!$V$3,tabela_registros[CATEGORIA],reservafixaconsolidadomai[[#This Row],[ATUAL]])</calculatedColumnFormula>
    </tableColumn>
    <tableColumn id="6" xr3:uid="{0B55CF25-B2AA-4DC3-BD76-9694688BB7E1}" name="5" totalsRowFunction="sum" dataDxfId="5635" totalsRowDxfId="5634" dataCellStyle="Moeda">
      <calculatedColumnFormula>SUMIFS(tabela_registros[VALOR],tabela_registros[MÊS],$AE$1,tabela_registros[DIA],reservafixaconsolidadomai[[#Headers],[5]],tabela_registros[REGISTRO],DADOS!$N$3,tabela_registros[TIPO],DADOS!$V$3,tabela_registros[CATEGORIA],reservafixaconsolidadomai[[#This Row],[ATUAL]])</calculatedColumnFormula>
    </tableColumn>
    <tableColumn id="7" xr3:uid="{CF428E27-097F-4C60-B810-08110C83F330}" name="6" totalsRowFunction="sum" dataDxfId="5633" totalsRowDxfId="5632" dataCellStyle="Moeda">
      <calculatedColumnFormula>SUMIFS(tabela_registros[VALOR],tabela_registros[MÊS],$AE$1,tabela_registros[DIA],reservafixaconsolidadomai[[#Headers],[6]],tabela_registros[REGISTRO],DADOS!$N$3,tabela_registros[TIPO],DADOS!$V$3,tabela_registros[CATEGORIA],reservafixaconsolidadomai[[#This Row],[ATUAL]])</calculatedColumnFormula>
    </tableColumn>
    <tableColumn id="8" xr3:uid="{54F4833E-F164-4C2F-AA8F-E846602B7FC5}" name="7" totalsRowFunction="sum" dataDxfId="5631" totalsRowDxfId="5630" dataCellStyle="Moeda">
      <calculatedColumnFormula>SUMIFS(tabela_registros[VALOR],tabela_registros[MÊS],$AE$1,tabela_registros[DIA],reservafixaconsolidadomai[[#Headers],[7]],tabela_registros[REGISTRO],DADOS!$N$3,tabela_registros[TIPO],DADOS!$V$3,tabela_registros[CATEGORIA],reservafixaconsolidadomai[[#This Row],[ATUAL]])</calculatedColumnFormula>
    </tableColumn>
    <tableColumn id="9" xr3:uid="{9EDDC265-CBD5-41F0-BB4B-AF5FC86E081A}" name="8" totalsRowFunction="sum" dataDxfId="5629" totalsRowDxfId="5628" dataCellStyle="Moeda">
      <calculatedColumnFormula>SUMIFS(tabela_registros[VALOR],tabela_registros[MÊS],$AE$1,tabela_registros[DIA],reservafixaconsolidadomai[[#Headers],[8]],tabela_registros[REGISTRO],DADOS!$N$3,tabela_registros[TIPO],DADOS!$V$3,tabela_registros[CATEGORIA],reservafixaconsolidadomai[[#This Row],[ATUAL]])</calculatedColumnFormula>
    </tableColumn>
    <tableColumn id="10" xr3:uid="{385D3A6A-3D97-43E9-9352-BA151EC2E0CE}" name="9" totalsRowFunction="sum" dataDxfId="5627" totalsRowDxfId="5626" dataCellStyle="Moeda">
      <calculatedColumnFormula>SUMIFS(tabela_registros[VALOR],tabela_registros[MÊS],$AE$1,tabela_registros[DIA],reservafixaconsolidadomai[[#Headers],[9]],tabela_registros[REGISTRO],DADOS!$N$3,tabela_registros[TIPO],DADOS!$V$3,tabela_registros[CATEGORIA],reservafixaconsolidadomai[[#This Row],[ATUAL]])</calculatedColumnFormula>
    </tableColumn>
    <tableColumn id="11" xr3:uid="{61B25A4E-44EF-469E-B46D-187B48FC2B94}" name="10" totalsRowFunction="sum" dataDxfId="5625" totalsRowDxfId="5624" dataCellStyle="Moeda">
      <calculatedColumnFormula>SUMIFS(tabela_registros[VALOR],tabela_registros[MÊS],$AE$1,tabela_registros[DIA],reservafixaconsolidadomai[[#Headers],[10]],tabela_registros[REGISTRO],DADOS!$N$3,tabela_registros[TIPO],DADOS!$V$3,tabela_registros[CATEGORIA],reservafixaconsolidadomai[[#This Row],[ATUAL]])</calculatedColumnFormula>
    </tableColumn>
    <tableColumn id="12" xr3:uid="{884CE593-E5C4-4868-A453-D363B0038AE2}" name="11" totalsRowFunction="sum" dataDxfId="5623" totalsRowDxfId="5622" dataCellStyle="Moeda">
      <calculatedColumnFormula>SUMIFS(tabela_registros[VALOR],tabela_registros[MÊS],$AE$1,tabela_registros[DIA],reservafixaconsolidadomai[[#Headers],[11]],tabela_registros[REGISTRO],DADOS!$N$3,tabela_registros[TIPO],DADOS!$V$3,tabela_registros[CATEGORIA],reservafixaconsolidadomai[[#This Row],[ATUAL]])</calculatedColumnFormula>
    </tableColumn>
    <tableColumn id="13" xr3:uid="{3317EB13-BA9E-42A0-9A8B-5E016A256EC7}" name="12" totalsRowFunction="sum" dataDxfId="5621" totalsRowDxfId="5620" dataCellStyle="Moeda">
      <calculatedColumnFormula>SUMIFS(tabela_registros[VALOR],tabela_registros[MÊS],$AE$1,tabela_registros[DIA],reservafixaconsolidadomai[[#Headers],[12]],tabela_registros[REGISTRO],DADOS!$N$3,tabela_registros[TIPO],DADOS!$V$3,tabela_registros[CATEGORIA],reservafixaconsolidadomai[[#This Row],[ATUAL]])</calculatedColumnFormula>
    </tableColumn>
    <tableColumn id="14" xr3:uid="{24932F67-B0DE-4AFC-A737-83428289685A}" name="13" totalsRowFunction="sum" dataDxfId="5619" totalsRowDxfId="5618" dataCellStyle="Moeda">
      <calculatedColumnFormula>SUMIFS(tabela_registros[VALOR],tabela_registros[MÊS],$AE$1,tabela_registros[DIA],reservafixaconsolidadomai[[#Headers],[13]],tabela_registros[REGISTRO],DADOS!$N$3,tabela_registros[TIPO],DADOS!$V$3,tabela_registros[CATEGORIA],reservafixaconsolidadomai[[#This Row],[ATUAL]])</calculatedColumnFormula>
    </tableColumn>
    <tableColumn id="15" xr3:uid="{8AA38935-8AF5-4721-BA03-FB2B53788489}" name="14" totalsRowFunction="sum" dataDxfId="5617" totalsRowDxfId="5616" dataCellStyle="Moeda">
      <calculatedColumnFormula>SUMIFS(tabela_registros[VALOR],tabela_registros[MÊS],$AE$1,tabela_registros[DIA],reservafixaconsolidadomai[[#Headers],[14]],tabela_registros[REGISTRO],DADOS!$N$3,tabela_registros[TIPO],DADOS!$V$3,tabela_registros[CATEGORIA],reservafixaconsolidadomai[[#This Row],[ATUAL]])</calculatedColumnFormula>
    </tableColumn>
    <tableColumn id="16" xr3:uid="{BCB8020D-2D94-4587-8441-795ABFBF1979}" name="15" totalsRowFunction="sum" dataDxfId="5615" totalsRowDxfId="5614" dataCellStyle="Moeda">
      <calculatedColumnFormula>SUMIFS(tabela_registros[VALOR],tabela_registros[MÊS],$AE$1,tabela_registros[DIA],reservafixaconsolidadomai[[#Headers],[15]],tabela_registros[REGISTRO],DADOS!$N$3,tabela_registros[TIPO],DADOS!$V$3,tabela_registros[CATEGORIA],reservafixaconsolidadomai[[#This Row],[ATUAL]])</calculatedColumnFormula>
    </tableColumn>
    <tableColumn id="17" xr3:uid="{2A0C980B-699D-4F71-93A3-13439C46EB90}" name="16" totalsRowFunction="sum" dataDxfId="5613" totalsRowDxfId="5612" dataCellStyle="Moeda">
      <calculatedColumnFormula>SUMIFS(tabela_registros[VALOR],tabela_registros[MÊS],$AE$1,tabela_registros[DIA],reservafixaconsolidadomai[[#Headers],[16]],tabela_registros[REGISTRO],DADOS!$N$3,tabela_registros[TIPO],DADOS!$V$3,tabela_registros[CATEGORIA],reservafixaconsolidadomai[[#This Row],[ATUAL]])</calculatedColumnFormula>
    </tableColumn>
    <tableColumn id="18" xr3:uid="{4811BCAD-F65C-48D7-A145-8C2FEAE8631F}" name="17" totalsRowFunction="sum" dataDxfId="5611" totalsRowDxfId="5610" dataCellStyle="Moeda">
      <calculatedColumnFormula>SUMIFS(tabela_registros[VALOR],tabela_registros[MÊS],$AE$1,tabela_registros[DIA],reservafixaconsolidadomai[[#Headers],[17]],tabela_registros[REGISTRO],DADOS!$N$3,tabela_registros[TIPO],DADOS!$V$3,tabela_registros[CATEGORIA],reservafixaconsolidadomai[[#This Row],[ATUAL]])</calculatedColumnFormula>
    </tableColumn>
    <tableColumn id="19" xr3:uid="{50F57EEE-556E-47C9-B3A1-87D03B0B2007}" name="18" totalsRowFunction="sum" dataDxfId="5609" totalsRowDxfId="5608" dataCellStyle="Moeda">
      <calculatedColumnFormula>SUMIFS(tabela_registros[VALOR],tabela_registros[MÊS],$AE$1,tabela_registros[DIA],reservafixaconsolidadomai[[#Headers],[18]],tabela_registros[REGISTRO],DADOS!$N$3,tabela_registros[TIPO],DADOS!$V$3,tabela_registros[CATEGORIA],reservafixaconsolidadomai[[#This Row],[ATUAL]])</calculatedColumnFormula>
    </tableColumn>
    <tableColumn id="20" xr3:uid="{B57A3606-54EB-49B2-8571-A5AFD2E8BB8A}" name="19" totalsRowFunction="sum" dataDxfId="5607" totalsRowDxfId="5606" dataCellStyle="Moeda">
      <calculatedColumnFormula>SUMIFS(tabela_registros[VALOR],tabela_registros[MÊS],$AE$1,tabela_registros[DIA],reservafixaconsolidadomai[[#Headers],[19]],tabela_registros[REGISTRO],DADOS!$N$3,tabela_registros[TIPO],DADOS!$V$3,tabela_registros[CATEGORIA],reservafixaconsolidadomai[[#This Row],[ATUAL]])</calculatedColumnFormula>
    </tableColumn>
    <tableColumn id="21" xr3:uid="{3B681A5D-4BA6-4C3D-B6BD-6771F2F165F3}" name="20" totalsRowFunction="sum" dataDxfId="5605" totalsRowDxfId="5604" dataCellStyle="Moeda">
      <calculatedColumnFormula>SUMIFS(tabela_registros[VALOR],tabela_registros[MÊS],$AE$1,tabela_registros[DIA],reservafixaconsolidadomai[[#Headers],[20]],tabela_registros[REGISTRO],DADOS!$N$3,tabela_registros[TIPO],DADOS!$V$3,tabela_registros[CATEGORIA],reservafixaconsolidadomai[[#This Row],[ATUAL]])</calculatedColumnFormula>
    </tableColumn>
    <tableColumn id="22" xr3:uid="{AC0ED9F7-4F15-4603-A358-4DDA47C3988B}" name="21" totalsRowFunction="sum" dataDxfId="5603" totalsRowDxfId="5602" dataCellStyle="Moeda">
      <calculatedColumnFormula>SUMIFS(tabela_registros[VALOR],tabela_registros[MÊS],$AE$1,tabela_registros[DIA],reservafixaconsolidadomai[[#Headers],[21]],tabela_registros[REGISTRO],DADOS!$N$3,tabela_registros[TIPO],DADOS!$V$3,tabela_registros[CATEGORIA],reservafixaconsolidadomai[[#This Row],[ATUAL]])</calculatedColumnFormula>
    </tableColumn>
    <tableColumn id="23" xr3:uid="{CDD49C4A-A60B-4C0E-B2C0-2590D9F3BC1F}" name="22" totalsRowFunction="sum" dataDxfId="5601" totalsRowDxfId="5600" dataCellStyle="Moeda">
      <calculatedColumnFormula>SUMIFS(tabela_registros[VALOR],tabela_registros[MÊS],$AE$1,tabela_registros[DIA],reservafixaconsolidadomai[[#Headers],[22]],tabela_registros[REGISTRO],DADOS!$N$3,tabela_registros[TIPO],DADOS!$V$3,tabela_registros[CATEGORIA],reservafixaconsolidadomai[[#This Row],[ATUAL]])</calculatedColumnFormula>
    </tableColumn>
    <tableColumn id="24" xr3:uid="{9AC96729-0EF4-4B3D-801A-A982E6284714}" name="23" totalsRowFunction="sum" dataDxfId="5599" totalsRowDxfId="5598" dataCellStyle="Moeda">
      <calculatedColumnFormula>SUMIFS(tabela_registros[VALOR],tabela_registros[MÊS],$AE$1,tabela_registros[DIA],reservafixaconsolidadomai[[#Headers],[23]],tabela_registros[REGISTRO],DADOS!$N$3,tabela_registros[TIPO],DADOS!$V$3,tabela_registros[CATEGORIA],reservafixaconsolidadomai[[#This Row],[ATUAL]])</calculatedColumnFormula>
    </tableColumn>
    <tableColumn id="25" xr3:uid="{33C62435-F4D1-4EDB-A208-CA8B6A42DD6B}" name="24" totalsRowFunction="sum" dataDxfId="5597" totalsRowDxfId="5596" dataCellStyle="Moeda">
      <calculatedColumnFormula>SUMIFS(tabela_registros[VALOR],tabela_registros[MÊS],$AE$1,tabela_registros[DIA],reservafixaconsolidadomai[[#Headers],[24]],tabela_registros[REGISTRO],DADOS!$N$3,tabela_registros[TIPO],DADOS!$V$3,tabela_registros[CATEGORIA],reservafixaconsolidadomai[[#This Row],[ATUAL]])</calculatedColumnFormula>
    </tableColumn>
    <tableColumn id="26" xr3:uid="{ACE25296-BD1F-4339-B651-FC55A6CC9FC4}" name="25" totalsRowFunction="sum" dataDxfId="5595" totalsRowDxfId="5594" dataCellStyle="Moeda">
      <calculatedColumnFormula>SUMIFS(tabela_registros[VALOR],tabela_registros[MÊS],$AE$1,tabela_registros[DIA],reservafixaconsolidadomai[[#Headers],[25]],tabela_registros[REGISTRO],DADOS!$N$3,tabela_registros[TIPO],DADOS!$V$3,tabela_registros[CATEGORIA],reservafixaconsolidadomai[[#This Row],[ATUAL]])</calculatedColumnFormula>
    </tableColumn>
    <tableColumn id="27" xr3:uid="{B0324C02-E769-4D01-9AF0-0427DA384134}" name="26" totalsRowFunction="sum" dataDxfId="5593" totalsRowDxfId="5592" dataCellStyle="Moeda">
      <calculatedColumnFormula>SUMIFS(tabela_registros[VALOR],tabela_registros[MÊS],$AE$1,tabela_registros[DIA],reservafixaconsolidadomai[[#Headers],[26]],tabela_registros[REGISTRO],DADOS!$N$3,tabela_registros[TIPO],DADOS!$V$3,tabela_registros[CATEGORIA],reservafixaconsolidadomai[[#This Row],[ATUAL]])</calculatedColumnFormula>
    </tableColumn>
    <tableColumn id="28" xr3:uid="{6FEB31C5-7952-4811-B055-47ECAADF78C6}" name="27" totalsRowFunction="sum" dataDxfId="5591" totalsRowDxfId="5590" dataCellStyle="Moeda">
      <calculatedColumnFormula>SUMIFS(tabela_registros[VALOR],tabela_registros[MÊS],$AE$1,tabela_registros[DIA],reservafixaconsolidadomai[[#Headers],[27]],tabela_registros[REGISTRO],DADOS!$N$3,tabela_registros[TIPO],DADOS!$V$3,tabela_registros[CATEGORIA],reservafixaconsolidadomai[[#This Row],[ATUAL]])</calculatedColumnFormula>
    </tableColumn>
    <tableColumn id="29" xr3:uid="{E01EABD1-8CE2-422F-9FE4-2B8F6BB61BD9}" name="28" totalsRowFunction="sum" dataDxfId="5589" totalsRowDxfId="5588" dataCellStyle="Moeda">
      <calculatedColumnFormula>SUMIFS(tabela_registros[VALOR],tabela_registros[MÊS],$AE$1,tabela_registros[DIA],reservafixaconsolidadomai[[#Headers],[28]],tabela_registros[REGISTRO],DADOS!$N$3,tabela_registros[TIPO],DADOS!$V$3,tabela_registros[CATEGORIA],reservafixaconsolidadomai[[#This Row],[ATUAL]])</calculatedColumnFormula>
    </tableColumn>
    <tableColumn id="30" xr3:uid="{BAF977C6-8B67-4D92-8FA7-8D06371CB51D}" name="29" totalsRowFunction="sum" dataDxfId="5587" totalsRowDxfId="5586" dataCellStyle="Moeda">
      <calculatedColumnFormula>SUMIFS(tabela_registros[VALOR],tabela_registros[MÊS],$AE$1,tabela_registros[DIA],reservafixaconsolidadomai[[#Headers],[29]],tabela_registros[REGISTRO],DADOS!$N$3,tabela_registros[TIPO],DADOS!$V$3,tabela_registros[CATEGORIA],reservafixaconsolidadomai[[#This Row],[ATUAL]])</calculatedColumnFormula>
    </tableColumn>
    <tableColumn id="31" xr3:uid="{5E7B8130-0067-469C-B986-E598D08641D5}" name="30" totalsRowFunction="sum" dataDxfId="5585" totalsRowDxfId="5584" dataCellStyle="Moeda">
      <calculatedColumnFormula>SUMIFS(tabela_registros[VALOR],tabela_registros[MÊS],$AE$1,tabela_registros[DIA],reservafixaconsolidadomai[[#Headers],[30]],tabela_registros[REGISTRO],DADOS!$N$3,tabela_registros[TIPO],DADOS!$V$3,tabela_registros[CATEGORIA],reservafixaconsolidadomai[[#This Row],[ATUAL]])</calculatedColumnFormula>
    </tableColumn>
    <tableColumn id="32" xr3:uid="{D121AC0A-AA80-4DAD-9725-8BEC4362D97B}" name="31" totalsRowFunction="sum" dataDxfId="5583" totalsRowDxfId="5582" dataCellStyle="Moeda">
      <calculatedColumnFormula>SUMIFS(tabela_registros[VALOR],tabela_registros[MÊS],$AE$1,tabela_registros[DIA],reservafixaconsolidadomai[[#Headers],[31]],tabela_registros[REGISTRO],DADOS!$N$3,tabela_registros[TIPO],DADOS!$V$3,tabela_registros[CATEGORIA],reservafixaconsolidadomai[[#This Row],[ATUAL]])</calculatedColumnFormula>
    </tableColumn>
    <tableColumn id="33" xr3:uid="{DA3E86F3-2E5C-4276-ACBF-3B6F950A693A}" name="TOTAL (R$)" totalsRowFunction="sum" dataDxfId="5581" dataCellStyle="Moeda">
      <calculatedColumnFormula>SUM(reservafixaconsolidadomai[[#This Row],[1]:[31]])</calculatedColumnFormula>
    </tableColumn>
  </tableColumns>
  <tableStyleInfo name="TABELAS RESULTADOS" showFirstColumn="0" showLastColumn="0" showRowStripes="1" showColumnStripes="0"/>
</table>
</file>

<file path=xl/tables/table7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2" xr:uid="{D1EFC484-C991-4F1C-9E86-4EB3A1D79BB6}" name="reservavariáveisconsolidadomai" displayName="reservavariáveisconsolidadomai" ref="C186:AJ197" headerRowDxfId="5580" dataDxfId="5579" totalsRowDxfId="5578">
  <autoFilter ref="C186:AJ197" xr:uid="{D1B0BC4A-55A7-40F2-94A1-407E95E214F4}"/>
  <tableColumns count="34">
    <tableColumn id="1" xr3:uid="{2A66FCCD-5EAF-4BAB-AB69-C4EA4872E62F}" name="ATUAL" totalsRowLabel="SALDO" dataDxfId="5577"/>
    <tableColumn id="34" xr3:uid="{C8761C22-A89B-47B0-B3B9-2A0B49CD56B7}" name="Coluna1" dataDxfId="5576" totalsRowDxfId="5575">
      <calculatedColumnFormula>IF(reservavariáveisconsolidadomai[[#This Row],[TOTAL (R$)]]=0,"",IF(OR(reservavariáveisconsolidadomai[[#This Row],[TOTAL (R$)]]=LARGE($AJ$187:$AJ$196,1),reservavariáveisconsolidadomai[[#This Row],[TOTAL (R$)]]=LARGE($AJ$187:$AJ$196,2)),DADOS!$I$11,""))</calculatedColumnFormula>
    </tableColumn>
    <tableColumn id="2" xr3:uid="{20E4045C-C7CA-48B8-B966-D5A626B7911B}" name="1" totalsRowFunction="sum" dataDxfId="5574" dataCellStyle="Moeda"/>
    <tableColumn id="3" xr3:uid="{D415A622-AEF5-4C5C-994B-65F2F258FD44}" name="2" totalsRowFunction="sum" dataDxfId="5573" dataCellStyle="Moeda">
      <calculatedColumnFormula>SUMIFS(tabela_registros[VALOR],tabela_registros[MÊS],$AE$1,tabela_registros[DIA],reservavariáveisconsolidadomai[[#Headers],[2]],tabela_registros[REGISTRO],DADOS!$N$3,tabela_registros[TIPO],DADOS!$V$3,tabela_registros[CATEGORIA],reservavariáveisconsolidadomai[[#This Row],[ATUAL]])</calculatedColumnFormula>
    </tableColumn>
    <tableColumn id="4" xr3:uid="{1663F40C-19EF-4ED2-A45B-A9A8509BDFD3}" name="3" totalsRowFunction="sum" dataDxfId="5572" totalsRowDxfId="5571" dataCellStyle="Moeda">
      <calculatedColumnFormula>SUMIFS(tabela_registros[VALOR],tabela_registros[MÊS],$AE$1,tabela_registros[DIA],reservavariáveisconsolidadomai[[#Headers],[3]],tabela_registros[REGISTRO],DADOS!$N$3,tabela_registros[TIPO],DADOS!$V$3,tabela_registros[CATEGORIA],reservavariáveisconsolidadomai[[#This Row],[ATUAL]])</calculatedColumnFormula>
    </tableColumn>
    <tableColumn id="5" xr3:uid="{8CAA946D-7F76-4724-8CAE-E0902E9BBDD5}" name="4" totalsRowFunction="sum" dataDxfId="5570" totalsRowDxfId="5569" dataCellStyle="Moeda">
      <calculatedColumnFormula>SUMIFS(tabela_registros[VALOR],tabela_registros[MÊS],$AE$1,tabela_registros[DIA],reservavariáveisconsolidadomai[[#Headers],[4]],tabela_registros[REGISTRO],DADOS!$N$3,tabela_registros[TIPO],DADOS!$V$3,tabela_registros[CATEGORIA],reservavariáveisconsolidadomai[[#This Row],[ATUAL]])</calculatedColumnFormula>
    </tableColumn>
    <tableColumn id="6" xr3:uid="{392386DA-197C-485C-9C2F-8A99904669CD}" name="5" totalsRowFunction="sum" dataDxfId="5568" totalsRowDxfId="5567" dataCellStyle="Moeda">
      <calculatedColumnFormula>SUMIFS(tabela_registros[VALOR],tabela_registros[MÊS],$AE$1,tabela_registros[DIA],reservavariáveisconsolidadomai[[#Headers],[5]],tabela_registros[REGISTRO],DADOS!$N$3,tabela_registros[TIPO],DADOS!$V$3,tabela_registros[CATEGORIA],reservavariáveisconsolidadomai[[#This Row],[ATUAL]])</calculatedColumnFormula>
    </tableColumn>
    <tableColumn id="7" xr3:uid="{860EA39C-ADF4-4DBF-A743-8B3D248BF2BC}" name="6" totalsRowFunction="sum" dataDxfId="5566" totalsRowDxfId="5565" dataCellStyle="Moeda">
      <calculatedColumnFormula>SUMIFS(tabela_registros[VALOR],tabela_registros[MÊS],$AE$1,tabela_registros[DIA],reservavariáveisconsolidadomai[[#Headers],[6]],tabela_registros[REGISTRO],DADOS!$N$3,tabela_registros[TIPO],DADOS!$V$3,tabela_registros[CATEGORIA],reservavariáveisconsolidadomai[[#This Row],[ATUAL]])</calculatedColumnFormula>
    </tableColumn>
    <tableColumn id="8" xr3:uid="{971B750F-D463-4793-AFAB-169C985223E0}" name="7" totalsRowFunction="sum" dataDxfId="5564" totalsRowDxfId="5563" dataCellStyle="Moeda">
      <calculatedColumnFormula>SUMIFS(tabela_registros[VALOR],tabela_registros[MÊS],$AE$1,tabela_registros[DIA],reservavariáveisconsolidadomai[[#Headers],[7]],tabela_registros[REGISTRO],DADOS!$N$3,tabela_registros[TIPO],DADOS!$V$3,tabela_registros[CATEGORIA],reservavariáveisconsolidadomai[[#This Row],[ATUAL]])</calculatedColumnFormula>
    </tableColumn>
    <tableColumn id="9" xr3:uid="{3947FF50-EE2A-4FB1-BA06-58EE08DB474F}" name="8" totalsRowFunction="sum" dataDxfId="5562" totalsRowDxfId="5561" dataCellStyle="Moeda">
      <calculatedColumnFormula>SUMIFS(tabela_registros[VALOR],tabela_registros[MÊS],$AE$1,tabela_registros[DIA],reservavariáveisconsolidadomai[[#Headers],[8]],tabela_registros[REGISTRO],DADOS!$N$3,tabela_registros[TIPO],DADOS!$V$3,tabela_registros[CATEGORIA],reservavariáveisconsolidadomai[[#This Row],[ATUAL]])</calculatedColumnFormula>
    </tableColumn>
    <tableColumn id="10" xr3:uid="{B6734AD0-39FF-4AA2-888C-DCFC9BBED890}" name="9" totalsRowFunction="sum" dataDxfId="5560" totalsRowDxfId="5559" dataCellStyle="Moeda">
      <calculatedColumnFormula>SUMIFS(tabela_registros[VALOR],tabela_registros[MÊS],$AE$1,tabela_registros[DIA],reservavariáveisconsolidadomai[[#Headers],[9]],tabela_registros[REGISTRO],DADOS!$N$3,tabela_registros[TIPO],DADOS!$V$3,tabela_registros[CATEGORIA],reservavariáveisconsolidadomai[[#This Row],[ATUAL]])</calculatedColumnFormula>
    </tableColumn>
    <tableColumn id="11" xr3:uid="{2D28763A-60FE-4C27-BFE2-0F66A3CE964E}" name="10" totalsRowFunction="sum" dataDxfId="5558" totalsRowDxfId="5557" dataCellStyle="Moeda">
      <calculatedColumnFormula>SUMIFS(tabela_registros[VALOR],tabela_registros[MÊS],$AE$1,tabela_registros[DIA],reservavariáveisconsolidadomai[[#Headers],[10]],tabela_registros[REGISTRO],DADOS!$N$3,tabela_registros[TIPO],DADOS!$V$3,tabela_registros[CATEGORIA],reservavariáveisconsolidadomai[[#This Row],[ATUAL]])</calculatedColumnFormula>
    </tableColumn>
    <tableColumn id="12" xr3:uid="{A4984915-D96F-45D4-91D4-62598F4C8545}" name="11" totalsRowFunction="sum" dataDxfId="5556" totalsRowDxfId="5555" dataCellStyle="Moeda">
      <calculatedColumnFormula>SUMIFS(tabela_registros[VALOR],tabela_registros[MÊS],$AE$1,tabela_registros[DIA],reservavariáveisconsolidadomai[[#Headers],[11]],tabela_registros[REGISTRO],DADOS!$N$3,tabela_registros[TIPO],DADOS!$V$3,tabela_registros[CATEGORIA],reservavariáveisconsolidadomai[[#This Row],[ATUAL]])</calculatedColumnFormula>
    </tableColumn>
    <tableColumn id="13" xr3:uid="{ADA9C49B-56FA-433A-9053-4DD528C285DE}" name="12" totalsRowFunction="sum" dataDxfId="5554" totalsRowDxfId="5553" dataCellStyle="Moeda">
      <calculatedColumnFormula>SUMIFS(tabela_registros[VALOR],tabela_registros[MÊS],$AE$1,tabela_registros[DIA],reservavariáveisconsolidadomai[[#Headers],[12]],tabela_registros[REGISTRO],DADOS!$N$3,tabela_registros[TIPO],DADOS!$V$3,tabela_registros[CATEGORIA],reservavariáveisconsolidadomai[[#This Row],[ATUAL]])</calculatedColumnFormula>
    </tableColumn>
    <tableColumn id="14" xr3:uid="{3F88CF1E-974C-44C5-A126-737DD96D517D}" name="13" totalsRowFunction="sum" dataDxfId="5552" totalsRowDxfId="5551" dataCellStyle="Moeda">
      <calculatedColumnFormula>SUMIFS(tabela_registros[VALOR],tabela_registros[MÊS],$AE$1,tabela_registros[DIA],reservavariáveisconsolidadomai[[#Headers],[13]],tabela_registros[REGISTRO],DADOS!$N$3,tabela_registros[TIPO],DADOS!$V$3,tabela_registros[CATEGORIA],reservavariáveisconsolidadomai[[#This Row],[ATUAL]])</calculatedColumnFormula>
    </tableColumn>
    <tableColumn id="15" xr3:uid="{7C064740-BA8D-44A4-BDE4-BA70C6222EC2}" name="14" totalsRowFunction="sum" dataDxfId="5550" totalsRowDxfId="5549" dataCellStyle="Moeda">
      <calculatedColumnFormula>SUMIFS(tabela_registros[VALOR],tabela_registros[MÊS],$AE$1,tabela_registros[DIA],reservavariáveisconsolidadomai[[#Headers],[14]],tabela_registros[REGISTRO],DADOS!$N$3,tabela_registros[TIPO],DADOS!$V$3,tabela_registros[CATEGORIA],reservavariáveisconsolidadomai[[#This Row],[ATUAL]])</calculatedColumnFormula>
    </tableColumn>
    <tableColumn id="16" xr3:uid="{D2B1FB4E-1782-4FC5-A0E8-1802113DAEEB}" name="15" totalsRowFunction="sum" dataDxfId="5548" totalsRowDxfId="5547" dataCellStyle="Moeda">
      <calculatedColumnFormula>SUMIFS(tabela_registros[VALOR],tabela_registros[MÊS],$AE$1,tabela_registros[DIA],reservavariáveisconsolidadomai[[#Headers],[15]],tabela_registros[REGISTRO],DADOS!$N$3,tabela_registros[TIPO],DADOS!$V$3,tabela_registros[CATEGORIA],reservavariáveisconsolidadomai[[#This Row],[ATUAL]])</calculatedColumnFormula>
    </tableColumn>
    <tableColumn id="17" xr3:uid="{0EA10C65-A552-48C7-B20B-2E883EFDFC3C}" name="16" totalsRowFunction="sum" dataDxfId="5546" totalsRowDxfId="5545" dataCellStyle="Moeda">
      <calculatedColumnFormula>SUMIFS(tabela_registros[VALOR],tabela_registros[MÊS],$AE$1,tabela_registros[DIA],reservavariáveisconsolidadomai[[#Headers],[16]],tabela_registros[REGISTRO],DADOS!$N$3,tabela_registros[TIPO],DADOS!$V$3,tabela_registros[CATEGORIA],reservavariáveisconsolidadomai[[#This Row],[ATUAL]])</calculatedColumnFormula>
    </tableColumn>
    <tableColumn id="18" xr3:uid="{5011AF49-22C5-408C-B108-6345BA33E67A}" name="17" totalsRowFunction="sum" dataDxfId="5544" totalsRowDxfId="5543" dataCellStyle="Moeda">
      <calculatedColumnFormula>SUMIFS(tabela_registros[VALOR],tabela_registros[MÊS],$AE$1,tabela_registros[DIA],reservavariáveisconsolidadomai[[#Headers],[17]],tabela_registros[REGISTRO],DADOS!$N$3,tabela_registros[TIPO],DADOS!$V$3,tabela_registros[CATEGORIA],reservavariáveisconsolidadomai[[#This Row],[ATUAL]])</calculatedColumnFormula>
    </tableColumn>
    <tableColumn id="19" xr3:uid="{EDFCA645-97A2-44DA-B083-C30BA124D9DD}" name="18" totalsRowFunction="sum" dataDxfId="5542" totalsRowDxfId="5541" dataCellStyle="Moeda">
      <calculatedColumnFormula>SUMIFS(tabela_registros[VALOR],tabela_registros[MÊS],$AE$1,tabela_registros[DIA],reservavariáveisconsolidadomai[[#Headers],[18]],tabela_registros[REGISTRO],DADOS!$N$3,tabela_registros[TIPO],DADOS!$V$3,tabela_registros[CATEGORIA],reservavariáveisconsolidadomai[[#This Row],[ATUAL]])</calculatedColumnFormula>
    </tableColumn>
    <tableColumn id="20" xr3:uid="{CEE238B1-B072-4391-8389-56E303108B87}" name="19" totalsRowFunction="sum" dataDxfId="5540" totalsRowDxfId="5539" dataCellStyle="Moeda">
      <calculatedColumnFormula>SUMIFS(tabela_registros[VALOR],tabela_registros[MÊS],$AE$1,tabela_registros[DIA],reservavariáveisconsolidadomai[[#Headers],[19]],tabela_registros[REGISTRO],DADOS!$N$3,tabela_registros[TIPO],DADOS!$V$3,tabela_registros[CATEGORIA],reservavariáveisconsolidadomai[[#This Row],[ATUAL]])</calculatedColumnFormula>
    </tableColumn>
    <tableColumn id="21" xr3:uid="{CFA40B2D-881E-492C-8878-8E364DD7F4A9}" name="20" totalsRowFunction="sum" dataDxfId="5538" totalsRowDxfId="5537" dataCellStyle="Moeda">
      <calculatedColumnFormula>SUMIFS(tabela_registros[VALOR],tabela_registros[MÊS],$AE$1,tabela_registros[DIA],reservavariáveisconsolidadomai[[#Headers],[20]],tabela_registros[REGISTRO],DADOS!$N$3,tabela_registros[TIPO],DADOS!$V$3,tabela_registros[CATEGORIA],reservavariáveisconsolidadomai[[#This Row],[ATUAL]])</calculatedColumnFormula>
    </tableColumn>
    <tableColumn id="22" xr3:uid="{B782F1CB-3DF6-40AA-8DC3-285F2267A40A}" name="21" totalsRowFunction="sum" dataDxfId="5536" totalsRowDxfId="5535" dataCellStyle="Moeda">
      <calculatedColumnFormula>SUMIFS(tabela_registros[VALOR],tabela_registros[MÊS],$AE$1,tabela_registros[DIA],reservavariáveisconsolidadomai[[#Headers],[21]],tabela_registros[REGISTRO],DADOS!$N$3,tabela_registros[TIPO],DADOS!$V$3,tabela_registros[CATEGORIA],reservavariáveisconsolidadomai[[#This Row],[ATUAL]])</calculatedColumnFormula>
    </tableColumn>
    <tableColumn id="23" xr3:uid="{2212210B-DB6E-4DCB-971B-8E89D41E0EFB}" name="22" totalsRowFunction="sum" dataDxfId="5534" totalsRowDxfId="5533" dataCellStyle="Moeda">
      <calculatedColumnFormula>SUMIFS(tabela_registros[VALOR],tabela_registros[MÊS],$AE$1,tabela_registros[DIA],reservavariáveisconsolidadomai[[#Headers],[22]],tabela_registros[REGISTRO],DADOS!$N$3,tabela_registros[TIPO],DADOS!$V$3,tabela_registros[CATEGORIA],reservavariáveisconsolidadomai[[#This Row],[ATUAL]])</calculatedColumnFormula>
    </tableColumn>
    <tableColumn id="24" xr3:uid="{2D6D5A87-8DED-4887-A171-0C2654BEAE40}" name="23" totalsRowFunction="sum" dataDxfId="5532" totalsRowDxfId="5531" dataCellStyle="Moeda">
      <calculatedColumnFormula>SUMIFS(tabela_registros[VALOR],tabela_registros[MÊS],$AE$1,tabela_registros[DIA],reservavariáveisconsolidadomai[[#Headers],[23]],tabela_registros[REGISTRO],DADOS!$N$3,tabela_registros[TIPO],DADOS!$V$3,tabela_registros[CATEGORIA],reservavariáveisconsolidadomai[[#This Row],[ATUAL]])</calculatedColumnFormula>
    </tableColumn>
    <tableColumn id="25" xr3:uid="{4F7648B5-508B-4F10-96C0-22933A62C713}" name="24" totalsRowFunction="sum" dataDxfId="5530" totalsRowDxfId="5529" dataCellStyle="Moeda">
      <calculatedColumnFormula>SUMIFS(tabela_registros[VALOR],tabela_registros[MÊS],$AE$1,tabela_registros[DIA],reservavariáveisconsolidadomai[[#Headers],[24]],tabela_registros[REGISTRO],DADOS!$N$3,tabela_registros[TIPO],DADOS!$V$3,tabela_registros[CATEGORIA],reservavariáveisconsolidadomai[[#This Row],[ATUAL]])</calculatedColumnFormula>
    </tableColumn>
    <tableColumn id="26" xr3:uid="{0EF33E8A-DAC0-4F5E-8223-088B09E61884}" name="25" totalsRowFunction="sum" dataDxfId="5528" totalsRowDxfId="5527" dataCellStyle="Moeda">
      <calculatedColumnFormula>SUMIFS(tabela_registros[VALOR],tabela_registros[MÊS],$AE$1,tabela_registros[DIA],reservavariáveisconsolidadomai[[#Headers],[25]],tabela_registros[REGISTRO],DADOS!$N$3,tabela_registros[TIPO],DADOS!$V$3,tabela_registros[CATEGORIA],reservavariáveisconsolidadomai[[#This Row],[ATUAL]])</calculatedColumnFormula>
    </tableColumn>
    <tableColumn id="27" xr3:uid="{9C44A1C8-0829-430E-A64B-2C292D29B2BB}" name="26" totalsRowFunction="sum" dataDxfId="5526" totalsRowDxfId="5525" dataCellStyle="Moeda">
      <calculatedColumnFormula>SUMIFS(tabela_registros[VALOR],tabela_registros[MÊS],$AE$1,tabela_registros[DIA],reservavariáveisconsolidadomai[[#Headers],[26]],tabela_registros[REGISTRO],DADOS!$N$3,tabela_registros[TIPO],DADOS!$V$3,tabela_registros[CATEGORIA],reservavariáveisconsolidadomai[[#This Row],[ATUAL]])</calculatedColumnFormula>
    </tableColumn>
    <tableColumn id="28" xr3:uid="{3E4C174B-C37B-46EA-BA18-6A445EDC6B23}" name="27" totalsRowFunction="sum" dataDxfId="5524" totalsRowDxfId="5523" dataCellStyle="Moeda">
      <calculatedColumnFormula>SUMIFS(tabela_registros[VALOR],tabela_registros[MÊS],$AE$1,tabela_registros[DIA],reservavariáveisconsolidadomai[[#Headers],[27]],tabela_registros[REGISTRO],DADOS!$N$3,tabela_registros[TIPO],DADOS!$V$3,tabela_registros[CATEGORIA],reservavariáveisconsolidadomai[[#This Row],[ATUAL]])</calculatedColumnFormula>
    </tableColumn>
    <tableColumn id="29" xr3:uid="{D3EE487B-3A06-403C-B36C-F275A15D27D2}" name="28" totalsRowFunction="sum" dataDxfId="5522" totalsRowDxfId="5521" dataCellStyle="Moeda">
      <calculatedColumnFormula>SUMIFS(tabela_registros[VALOR],tabela_registros[MÊS],$AE$1,tabela_registros[DIA],reservavariáveisconsolidadomai[[#Headers],[28]],tabela_registros[REGISTRO],DADOS!$N$3,tabela_registros[TIPO],DADOS!$V$3,tabela_registros[CATEGORIA],reservavariáveisconsolidadomai[[#This Row],[ATUAL]])</calculatedColumnFormula>
    </tableColumn>
    <tableColumn id="30" xr3:uid="{B5F75E84-FF56-494E-80FB-0E6F7FF48405}" name="29" totalsRowFunction="sum" dataDxfId="5520" totalsRowDxfId="5519" dataCellStyle="Moeda">
      <calculatedColumnFormula>SUMIFS(tabela_registros[VALOR],tabela_registros[MÊS],$AE$1,tabela_registros[DIA],reservavariáveisconsolidadomai[[#Headers],[29]],tabela_registros[REGISTRO],DADOS!$N$3,tabela_registros[TIPO],DADOS!$V$3,tabela_registros[CATEGORIA],reservavariáveisconsolidadomai[[#This Row],[ATUAL]])</calculatedColumnFormula>
    </tableColumn>
    <tableColumn id="31" xr3:uid="{BE89162F-CD59-405D-BBCF-36027466E495}" name="30" totalsRowFunction="sum" dataDxfId="5518" totalsRowDxfId="5517" dataCellStyle="Moeda">
      <calculatedColumnFormula>SUMIFS(tabela_registros[VALOR],tabela_registros[MÊS],$AE$1,tabela_registros[DIA],reservavariáveisconsolidadomai[[#Headers],[30]],tabela_registros[REGISTRO],DADOS!$N$3,tabela_registros[TIPO],DADOS!$V$3,tabela_registros[CATEGORIA],reservavariáveisconsolidadomai[[#This Row],[ATUAL]])</calculatedColumnFormula>
    </tableColumn>
    <tableColumn id="32" xr3:uid="{BA2208E8-8AE3-44E0-8433-FDBB5551DE52}" name="31" totalsRowFunction="sum" dataDxfId="5516" totalsRowDxfId="5515" dataCellStyle="Moeda">
      <calculatedColumnFormula>SUMIFS(tabela_registros[VALOR],tabela_registros[MÊS],$AE$1,tabela_registros[DIA],reservavariáveisconsolidadomai[[#Headers],[31]],tabela_registros[REGISTRO],DADOS!$N$3,tabela_registros[TIPO],DADOS!$V$3,tabela_registros[CATEGORIA],reservavariáveisconsolidadomai[[#This Row],[ATUAL]])</calculatedColumnFormula>
    </tableColumn>
    <tableColumn id="33" xr3:uid="{2009D07D-47D8-4328-8D2F-5BF627F9D406}" name="TOTAL (R$)" totalsRowFunction="sum" dataDxfId="5514" dataCellStyle="Moeda">
      <calculatedColumnFormula>SUM(reservavariáveisconsolidadomai[[#This Row],[1]:[31]])</calculatedColumnFormula>
    </tableColumn>
  </tableColumns>
  <tableStyleInfo name="TABELAS RESULTADOS" showFirstColumn="0" showLastColumn="0" showRowStripes="1" showColumnStripes="0"/>
</table>
</file>

<file path=xl/tables/table7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3" xr:uid="{C2EC933E-1E36-4531-9788-A496EA474EBE}" name="reservaoutrosconsolidadomai" displayName="reservaoutrosconsolidadomai" ref="C205:AJ214" headerRowDxfId="5513" dataDxfId="5512" totalsRowDxfId="5511">
  <autoFilter ref="C205:AJ214" xr:uid="{9335CBAF-4490-44EE-A508-E6F2F3B6C6F1}"/>
  <tableColumns count="34">
    <tableColumn id="1" xr3:uid="{FA030388-C1AD-40D8-BC89-CE4737667BF4}" name="ATUAL" totalsRowLabel="SALDO" dataDxfId="5510"/>
    <tableColumn id="34" xr3:uid="{C8D14805-E126-4C0B-9E09-62579E8DC8CE}" name="Coluna1" dataDxfId="5509" totalsRowDxfId="5508">
      <calculatedColumnFormula>IF(reservaoutrosconsolidadomai[[#This Row],[TOTAL (R$)]]=0,"",IF(OR(reservaoutrosconsolidadomai[[#This Row],[TOTAL (R$)]]=LARGE($AJ$206:$AJ$213,1),reservaoutrosconsolidadomai[[#This Row],[TOTAL (R$)]]=LARGE($AJ$206:$AJ$213,2)),DADOS!$I$11,""))</calculatedColumnFormula>
    </tableColumn>
    <tableColumn id="2" xr3:uid="{B540DB81-FB30-4379-AB3E-CE69DCD53BC5}" name="1" totalsRowFunction="sum" dataDxfId="5507" dataCellStyle="Moeda"/>
    <tableColumn id="3" xr3:uid="{943589E2-83B0-48D0-8F3F-93464460E1D7}" name="2" totalsRowFunction="sum" dataDxfId="5506" dataCellStyle="Moeda">
      <calculatedColumnFormula>SUMIFS(tabela_registros[VALOR],tabela_registros[MÊS],$AE$1,tabela_registros[DIA],reservaoutrosconsolidadomai[[#Headers],[2]],tabela_registros[REGISTRO],DADOS!$N$3,tabela_registros[TIPO],DADOS!$V$3,tabela_registros[CATEGORIA],reservaoutrosconsolidadomai[[#This Row],[ATUAL]])</calculatedColumnFormula>
    </tableColumn>
    <tableColumn id="4" xr3:uid="{4ACF45BD-883D-455B-8215-BA0F43047362}" name="3" totalsRowFunction="sum" dataDxfId="5505" totalsRowDxfId="5504" dataCellStyle="Moeda">
      <calculatedColumnFormula>SUMIFS(tabela_registros[VALOR],tabela_registros[MÊS],$AE$1,tabela_registros[DIA],reservaoutrosconsolidadomai[[#Headers],[3]],tabela_registros[REGISTRO],DADOS!$N$3,tabela_registros[TIPO],DADOS!$V$3,tabela_registros[CATEGORIA],reservaoutrosconsolidadomai[[#This Row],[ATUAL]])</calculatedColumnFormula>
    </tableColumn>
    <tableColumn id="5" xr3:uid="{99A4C24E-BDAE-49CA-BC09-D6766E6649C4}" name="4" totalsRowFunction="sum" dataDxfId="5503" totalsRowDxfId="5502" dataCellStyle="Moeda">
      <calculatedColumnFormula>SUMIFS(tabela_registros[VALOR],tabela_registros[MÊS],$AE$1,tabela_registros[DIA],reservaoutrosconsolidadomai[[#Headers],[4]],tabela_registros[REGISTRO],DADOS!$N$3,tabela_registros[TIPO],DADOS!$V$3,tabela_registros[CATEGORIA],reservaoutrosconsolidadomai[[#This Row],[ATUAL]])</calculatedColumnFormula>
    </tableColumn>
    <tableColumn id="6" xr3:uid="{A28953CD-62A0-4767-BB19-CE763B5E64E8}" name="5" totalsRowFunction="sum" dataDxfId="5501" totalsRowDxfId="5500" dataCellStyle="Moeda">
      <calculatedColumnFormula>SUMIFS(tabela_registros[VALOR],tabela_registros[MÊS],$AE$1,tabela_registros[DIA],reservaoutrosconsolidadomai[[#Headers],[5]],tabela_registros[REGISTRO],DADOS!$N$3,tabela_registros[TIPO],DADOS!$V$3,tabela_registros[CATEGORIA],reservaoutrosconsolidadomai[[#This Row],[ATUAL]])</calculatedColumnFormula>
    </tableColumn>
    <tableColumn id="7" xr3:uid="{1C7901E7-2C01-4034-A4E0-BD00A0127DBB}" name="6" totalsRowFunction="sum" dataDxfId="5499" totalsRowDxfId="5498" dataCellStyle="Moeda">
      <calculatedColumnFormula>SUMIFS(tabela_registros[VALOR],tabela_registros[MÊS],$AE$1,tabela_registros[DIA],reservaoutrosconsolidadomai[[#Headers],[6]],tabela_registros[REGISTRO],DADOS!$N$3,tabela_registros[TIPO],DADOS!$V$3,tabela_registros[CATEGORIA],reservaoutrosconsolidadomai[[#This Row],[ATUAL]])</calculatedColumnFormula>
    </tableColumn>
    <tableColumn id="8" xr3:uid="{37B2D2F2-46FC-42D9-973B-75FF3B026D55}" name="7" totalsRowFunction="sum" dataDxfId="5497" totalsRowDxfId="5496" dataCellStyle="Moeda">
      <calculatedColumnFormula>SUMIFS(tabela_registros[VALOR],tabela_registros[MÊS],$AE$1,tabela_registros[DIA],reservaoutrosconsolidadomai[[#Headers],[7]],tabela_registros[REGISTRO],DADOS!$N$3,tabela_registros[TIPO],DADOS!$V$3,tabela_registros[CATEGORIA],reservaoutrosconsolidadomai[[#This Row],[ATUAL]])</calculatedColumnFormula>
    </tableColumn>
    <tableColumn id="9" xr3:uid="{9E9AB469-361C-45AB-AA71-FFDFD07DB3B2}" name="8" totalsRowFunction="sum" dataDxfId="5495" totalsRowDxfId="5494" dataCellStyle="Moeda">
      <calculatedColumnFormula>SUMIFS(tabela_registros[VALOR],tabela_registros[MÊS],$AE$1,tabela_registros[DIA],reservaoutrosconsolidadomai[[#Headers],[8]],tabela_registros[REGISTRO],DADOS!$N$3,tabela_registros[TIPO],DADOS!$V$3,tabela_registros[CATEGORIA],reservaoutrosconsolidadomai[[#This Row],[ATUAL]])</calculatedColumnFormula>
    </tableColumn>
    <tableColumn id="10" xr3:uid="{CB0CADCF-6C77-47EA-AEBB-D8F6DF5A22CD}" name="9" totalsRowFunction="sum" dataDxfId="5493" totalsRowDxfId="5492" dataCellStyle="Moeda">
      <calculatedColumnFormula>SUMIFS(tabela_registros[VALOR],tabela_registros[MÊS],$AE$1,tabela_registros[DIA],reservaoutrosconsolidadomai[[#Headers],[9]],tabela_registros[REGISTRO],DADOS!$N$3,tabela_registros[TIPO],DADOS!$V$3,tabela_registros[CATEGORIA],reservaoutrosconsolidadomai[[#This Row],[ATUAL]])</calculatedColumnFormula>
    </tableColumn>
    <tableColumn id="11" xr3:uid="{31BE4C49-D5B6-401B-9F1B-DD80ED9AC3BD}" name="10" totalsRowFunction="sum" dataDxfId="5491" totalsRowDxfId="5490" dataCellStyle="Moeda">
      <calculatedColumnFormula>SUMIFS(tabela_registros[VALOR],tabela_registros[MÊS],$AE$1,tabela_registros[DIA],reservaoutrosconsolidadomai[[#Headers],[10]],tabela_registros[REGISTRO],DADOS!$N$3,tabela_registros[TIPO],DADOS!$V$3,tabela_registros[CATEGORIA],reservaoutrosconsolidadomai[[#This Row],[ATUAL]])</calculatedColumnFormula>
    </tableColumn>
    <tableColumn id="12" xr3:uid="{FC90CE7E-DDED-4579-AA10-03BD5C741DE4}" name="11" totalsRowFunction="sum" dataDxfId="5489" totalsRowDxfId="5488" dataCellStyle="Moeda">
      <calculatedColumnFormula>SUMIFS(tabela_registros[VALOR],tabela_registros[MÊS],$AE$1,tabela_registros[DIA],reservaoutrosconsolidadomai[[#Headers],[11]],tabela_registros[REGISTRO],DADOS!$N$3,tabela_registros[TIPO],DADOS!$V$3,tabela_registros[CATEGORIA],reservaoutrosconsolidadomai[[#This Row],[ATUAL]])</calculatedColumnFormula>
    </tableColumn>
    <tableColumn id="13" xr3:uid="{D4FE5DFD-D927-4502-8CF5-2F14A21EDF47}" name="12" totalsRowFunction="sum" dataDxfId="5487" totalsRowDxfId="5486" dataCellStyle="Moeda">
      <calculatedColumnFormula>SUMIFS(tabela_registros[VALOR],tabela_registros[MÊS],$AE$1,tabela_registros[DIA],reservaoutrosconsolidadomai[[#Headers],[12]],tabela_registros[REGISTRO],DADOS!$N$3,tabela_registros[TIPO],DADOS!$V$3,tabela_registros[CATEGORIA],reservaoutrosconsolidadomai[[#This Row],[ATUAL]])</calculatedColumnFormula>
    </tableColumn>
    <tableColumn id="14" xr3:uid="{5936DD4C-B82F-4B6A-A81A-B4D9C3241B15}" name="13" totalsRowFunction="sum" dataDxfId="5485" totalsRowDxfId="5484" dataCellStyle="Moeda">
      <calculatedColumnFormula>SUMIFS(tabela_registros[VALOR],tabela_registros[MÊS],$AE$1,tabela_registros[DIA],reservaoutrosconsolidadomai[[#Headers],[13]],tabela_registros[REGISTRO],DADOS!$N$3,tabela_registros[TIPO],DADOS!$V$3,tabela_registros[CATEGORIA],reservaoutrosconsolidadomai[[#This Row],[ATUAL]])</calculatedColumnFormula>
    </tableColumn>
    <tableColumn id="15" xr3:uid="{E36BA79D-03FB-4A61-9946-30894B4B1A52}" name="14" totalsRowFunction="sum" dataDxfId="5483" totalsRowDxfId="5482" dataCellStyle="Moeda">
      <calculatedColumnFormula>SUMIFS(tabela_registros[VALOR],tabela_registros[MÊS],$AE$1,tabela_registros[DIA],reservaoutrosconsolidadomai[[#Headers],[14]],tabela_registros[REGISTRO],DADOS!$N$3,tabela_registros[TIPO],DADOS!$V$3,tabela_registros[CATEGORIA],reservaoutrosconsolidadomai[[#This Row],[ATUAL]])</calculatedColumnFormula>
    </tableColumn>
    <tableColumn id="16" xr3:uid="{4A6869DF-186D-4A90-8425-FF6072EFCA7C}" name="15" totalsRowFunction="sum" dataDxfId="5481" totalsRowDxfId="5480" dataCellStyle="Moeda">
      <calculatedColumnFormula>SUMIFS(tabela_registros[VALOR],tabela_registros[MÊS],$AE$1,tabela_registros[DIA],reservaoutrosconsolidadomai[[#Headers],[15]],tabela_registros[REGISTRO],DADOS!$N$3,tabela_registros[TIPO],DADOS!$V$3,tabela_registros[CATEGORIA],reservaoutrosconsolidadomai[[#This Row],[ATUAL]])</calculatedColumnFormula>
    </tableColumn>
    <tableColumn id="17" xr3:uid="{DBF7EE0C-E5F7-4617-9FC2-94ABDE8AAD38}" name="16" totalsRowFunction="sum" dataDxfId="5479" totalsRowDxfId="5478" dataCellStyle="Moeda">
      <calculatedColumnFormula>SUMIFS(tabela_registros[VALOR],tabela_registros[MÊS],$AE$1,tabela_registros[DIA],reservaoutrosconsolidadomai[[#Headers],[16]],tabela_registros[REGISTRO],DADOS!$N$3,tabela_registros[TIPO],DADOS!$V$3,tabela_registros[CATEGORIA],reservaoutrosconsolidadomai[[#This Row],[ATUAL]])</calculatedColumnFormula>
    </tableColumn>
    <tableColumn id="18" xr3:uid="{48ECF67F-07E1-4E1C-AF54-44E8055CB83B}" name="17" totalsRowFunction="sum" dataDxfId="5477" totalsRowDxfId="5476" dataCellStyle="Moeda">
      <calculatedColumnFormula>SUMIFS(tabela_registros[VALOR],tabela_registros[MÊS],$AE$1,tabela_registros[DIA],reservaoutrosconsolidadomai[[#Headers],[17]],tabela_registros[REGISTRO],DADOS!$N$3,tabela_registros[TIPO],DADOS!$V$3,tabela_registros[CATEGORIA],reservaoutrosconsolidadomai[[#This Row],[ATUAL]])</calculatedColumnFormula>
    </tableColumn>
    <tableColumn id="19" xr3:uid="{49146692-D392-4A6D-A523-E7610F002C9F}" name="18" totalsRowFunction="sum" dataDxfId="5475" totalsRowDxfId="5474" dataCellStyle="Moeda">
      <calculatedColumnFormula>SUMIFS(tabela_registros[VALOR],tabela_registros[MÊS],$AE$1,tabela_registros[DIA],reservaoutrosconsolidadomai[[#Headers],[18]],tabela_registros[REGISTRO],DADOS!$N$3,tabela_registros[TIPO],DADOS!$V$3,tabela_registros[CATEGORIA],reservaoutrosconsolidadomai[[#This Row],[ATUAL]])</calculatedColumnFormula>
    </tableColumn>
    <tableColumn id="20" xr3:uid="{40F2A1DD-2033-4B34-BB40-A40EB523D71F}" name="19" totalsRowFunction="sum" dataDxfId="5473" totalsRowDxfId="5472" dataCellStyle="Moeda">
      <calculatedColumnFormula>SUMIFS(tabela_registros[VALOR],tabela_registros[MÊS],$AE$1,tabela_registros[DIA],reservaoutrosconsolidadomai[[#Headers],[19]],tabela_registros[REGISTRO],DADOS!$N$3,tabela_registros[TIPO],DADOS!$V$3,tabela_registros[CATEGORIA],reservaoutrosconsolidadomai[[#This Row],[ATUAL]])</calculatedColumnFormula>
    </tableColumn>
    <tableColumn id="21" xr3:uid="{C1040A3A-72A9-4591-AA90-E9B332B9842E}" name="20" totalsRowFunction="sum" dataDxfId="5471" totalsRowDxfId="5470" dataCellStyle="Moeda">
      <calculatedColumnFormula>SUMIFS(tabela_registros[VALOR],tabela_registros[MÊS],$AE$1,tabela_registros[DIA],reservaoutrosconsolidadomai[[#Headers],[20]],tabela_registros[REGISTRO],DADOS!$N$3,tabela_registros[TIPO],DADOS!$V$3,tabela_registros[CATEGORIA],reservaoutrosconsolidadomai[[#This Row],[ATUAL]])</calculatedColumnFormula>
    </tableColumn>
    <tableColumn id="22" xr3:uid="{C49F9FBF-692C-4A0A-A458-8F69165BA867}" name="21" totalsRowFunction="sum" dataDxfId="5469" totalsRowDxfId="5468" dataCellStyle="Moeda">
      <calculatedColumnFormula>SUMIFS(tabela_registros[VALOR],tabela_registros[MÊS],$AE$1,tabela_registros[DIA],reservaoutrosconsolidadomai[[#Headers],[21]],tabela_registros[REGISTRO],DADOS!$N$3,tabela_registros[TIPO],DADOS!$V$3,tabela_registros[CATEGORIA],reservaoutrosconsolidadomai[[#This Row],[ATUAL]])</calculatedColumnFormula>
    </tableColumn>
    <tableColumn id="23" xr3:uid="{ECF0F44E-CB62-4D84-B23A-1D07B5365C95}" name="22" totalsRowFunction="sum" dataDxfId="5467" totalsRowDxfId="5466" dataCellStyle="Moeda">
      <calculatedColumnFormula>SUMIFS(tabela_registros[VALOR],tabela_registros[MÊS],$AE$1,tabela_registros[DIA],reservaoutrosconsolidadomai[[#Headers],[22]],tabela_registros[REGISTRO],DADOS!$N$3,tabela_registros[TIPO],DADOS!$V$3,tabela_registros[CATEGORIA],reservaoutrosconsolidadomai[[#This Row],[ATUAL]])</calculatedColumnFormula>
    </tableColumn>
    <tableColumn id="24" xr3:uid="{9990F8B0-0893-4EFE-BF68-55F5C96CF372}" name="23" totalsRowFunction="sum" dataDxfId="5465" totalsRowDxfId="5464" dataCellStyle="Moeda">
      <calculatedColumnFormula>SUMIFS(tabela_registros[VALOR],tabela_registros[MÊS],$AE$1,tabela_registros[DIA],reservaoutrosconsolidadomai[[#Headers],[23]],tabela_registros[REGISTRO],DADOS!$N$3,tabela_registros[TIPO],DADOS!$V$3,tabela_registros[CATEGORIA],reservaoutrosconsolidadomai[[#This Row],[ATUAL]])</calculatedColumnFormula>
    </tableColumn>
    <tableColumn id="25" xr3:uid="{5988F7F0-AB43-4406-BEB6-03E54FDE11DD}" name="24" totalsRowFunction="sum" dataDxfId="5463" totalsRowDxfId="5462" dataCellStyle="Moeda">
      <calculatedColumnFormula>SUMIFS(tabela_registros[VALOR],tabela_registros[MÊS],$AE$1,tabela_registros[DIA],reservaoutrosconsolidadomai[[#Headers],[24]],tabela_registros[REGISTRO],DADOS!$N$3,tabela_registros[TIPO],DADOS!$V$3,tabela_registros[CATEGORIA],reservaoutrosconsolidadomai[[#This Row],[ATUAL]])</calculatedColumnFormula>
    </tableColumn>
    <tableColumn id="26" xr3:uid="{3569A6DE-51B4-4F41-9CBF-3872CADF8643}" name="25" totalsRowFunction="sum" dataDxfId="5461" totalsRowDxfId="5460" dataCellStyle="Moeda">
      <calculatedColumnFormula>SUMIFS(tabela_registros[VALOR],tabela_registros[MÊS],$AE$1,tabela_registros[DIA],reservaoutrosconsolidadomai[[#Headers],[25]],tabela_registros[REGISTRO],DADOS!$N$3,tabela_registros[TIPO],DADOS!$V$3,tabela_registros[CATEGORIA],reservaoutrosconsolidadomai[[#This Row],[ATUAL]])</calculatedColumnFormula>
    </tableColumn>
    <tableColumn id="27" xr3:uid="{452F7EBA-84AA-4A51-88E5-F7A3C89AE38B}" name="26" totalsRowFunction="sum" dataDxfId="5459" totalsRowDxfId="5458" dataCellStyle="Moeda">
      <calculatedColumnFormula>SUMIFS(tabela_registros[VALOR],tabela_registros[MÊS],$AE$1,tabela_registros[DIA],reservaoutrosconsolidadomai[[#Headers],[26]],tabela_registros[REGISTRO],DADOS!$N$3,tabela_registros[TIPO],DADOS!$V$3,tabela_registros[CATEGORIA],reservaoutrosconsolidadomai[[#This Row],[ATUAL]])</calculatedColumnFormula>
    </tableColumn>
    <tableColumn id="28" xr3:uid="{B635A3B9-31BD-4A65-8C40-B869BEA8A2B1}" name="27" totalsRowFunction="sum" dataDxfId="5457" totalsRowDxfId="5456" dataCellStyle="Moeda">
      <calculatedColumnFormula>SUMIFS(tabela_registros[VALOR],tabela_registros[MÊS],$AE$1,tabela_registros[DIA],reservaoutrosconsolidadomai[[#Headers],[27]],tabela_registros[REGISTRO],DADOS!$N$3,tabela_registros[TIPO],DADOS!$V$3,tabela_registros[CATEGORIA],reservaoutrosconsolidadomai[[#This Row],[ATUAL]])</calculatedColumnFormula>
    </tableColumn>
    <tableColumn id="29" xr3:uid="{5DFA1DCF-6819-4A14-981E-B4AA819A14F9}" name="28" totalsRowFunction="sum" dataDxfId="5455" totalsRowDxfId="5454" dataCellStyle="Moeda">
      <calculatedColumnFormula>SUMIFS(tabela_registros[VALOR],tabela_registros[MÊS],$AE$1,tabela_registros[DIA],reservaoutrosconsolidadomai[[#Headers],[28]],tabela_registros[REGISTRO],DADOS!$N$3,tabela_registros[TIPO],DADOS!$V$3,tabela_registros[CATEGORIA],reservaoutrosconsolidadomai[[#This Row],[ATUAL]])</calculatedColumnFormula>
    </tableColumn>
    <tableColumn id="30" xr3:uid="{F1F1D2C3-E77D-476A-B440-D7F1352DC88F}" name="29" totalsRowFunction="sum" dataDxfId="5453" totalsRowDxfId="5452" dataCellStyle="Moeda">
      <calculatedColumnFormula>SUMIFS(tabela_registros[VALOR],tabela_registros[MÊS],$AE$1,tabela_registros[DIA],reservaoutrosconsolidadomai[[#Headers],[29]],tabela_registros[REGISTRO],DADOS!$N$3,tabela_registros[TIPO],DADOS!$V$3,tabela_registros[CATEGORIA],reservaoutrosconsolidadomai[[#This Row],[ATUAL]])</calculatedColumnFormula>
    </tableColumn>
    <tableColumn id="31" xr3:uid="{A71B4D72-97CC-4128-9593-28D8C7B32CAF}" name="30" totalsRowFunction="sum" dataDxfId="5451" totalsRowDxfId="5450" dataCellStyle="Moeda">
      <calculatedColumnFormula>SUMIFS(tabela_registros[VALOR],tabela_registros[MÊS],$AE$1,tabela_registros[DIA],reservaoutrosconsolidadomai[[#Headers],[30]],tabela_registros[REGISTRO],DADOS!$N$3,tabela_registros[TIPO],DADOS!$V$3,tabela_registros[CATEGORIA],reservaoutrosconsolidadomai[[#This Row],[ATUAL]])</calculatedColumnFormula>
    </tableColumn>
    <tableColumn id="32" xr3:uid="{5D73B4E6-8BBC-465D-933F-721C6E2DF0AE}" name="31" totalsRowFunction="sum" dataDxfId="5449" totalsRowDxfId="5448" dataCellStyle="Moeda">
      <calculatedColumnFormula>SUMIFS(tabela_registros[VALOR],tabela_registros[MÊS],$AE$1,tabela_registros[DIA],reservaoutrosconsolidadomai[[#Headers],[31]],tabela_registros[REGISTRO],DADOS!$N$3,tabela_registros[TIPO],DADOS!$V$3,tabela_registros[CATEGORIA],reservaoutrosconsolidadomai[[#This Row],[ATUAL]])</calculatedColumnFormula>
    </tableColumn>
    <tableColumn id="33" xr3:uid="{F6A1F65C-7102-4BA3-A7AC-89D5107EDEC8}" name="TOTAL (R$)" totalsRowFunction="sum" dataDxfId="5447" dataCellStyle="Moeda">
      <calculatedColumnFormula>SUM(reservaoutrosconsolidadomai[[#This Row],[1]:[31]])</calculatedColumnFormula>
    </tableColumn>
  </tableColumns>
  <tableStyleInfo name="TABELAS RESULTADOS" showFirstColumn="0" showLastColumn="0" showRowStripes="1" showColumnStripes="0"/>
</table>
</file>

<file path=xl/tables/table7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0" xr:uid="{C8B5F896-A940-4613-99AC-F990DE0DB9FD}" name="despesafixaconsolidadojun" displayName="despesafixaconsolidadojun" ref="C36:AJ51" headerRowDxfId="5446" dataDxfId="5445" totalsRowDxfId="5444">
  <autoFilter ref="C36:AJ51" xr:uid="{5ADEFF0A-DF5A-4FC5-A9EC-68EEC14B5F43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  <filterColumn colId="25" hiddenButton="1"/>
    <filterColumn colId="26" hiddenButton="1"/>
    <filterColumn colId="27" hiddenButton="1"/>
    <filterColumn colId="28" hiddenButton="1"/>
    <filterColumn colId="29" hiddenButton="1"/>
    <filterColumn colId="30" hiddenButton="1"/>
    <filterColumn colId="31" hiddenButton="1"/>
    <filterColumn colId="32" hiddenButton="1"/>
    <filterColumn colId="33" hiddenButton="1"/>
  </autoFilter>
  <tableColumns count="34">
    <tableColumn id="1" xr3:uid="{BC692D23-C1F9-481F-AB7A-A2039F270C05}" name="DESPESA FIXA" totalsRowLabel="Total" dataDxfId="5443"/>
    <tableColumn id="42" xr3:uid="{782BA6D5-945A-4C49-B16F-4499217BD0BC}" name="Coluna1" dataDxfId="5442">
      <calculatedColumnFormula>IF(despesafixaconsolidadojun[[#This Row],[TOTAL]]=0,"",IF(OR(despesafixaconsolidadojun[[#This Row],[TOTAL]]=SMALL($AJ$37:$AJ$50,1),despesafixaconsolidadojun[[#This Row],[TOTAL]]=SMALL($AJ$37:$AJ$50,2),despesafixaconsolidadojun[[#This Row],[TOTAL]]=SMALL($AJ$37:$AJ$50,3),despesafixaconsolidadojun[[#This Row],[TOTAL]]=SMALL($AJ$37:$AJ$50,4),despesafixaconsolidadojun[[#This Row],[TOTAL]]=SMALL($AJ$37:$AJ$50,5)),DADOS!$I$8,""))</calculatedColumnFormula>
    </tableColumn>
    <tableColumn id="18" xr3:uid="{BEAF83DF-569C-46A0-BE77-99D30E0B3DF1}" name="1" totalsRowFunction="sum" dataDxfId="5441" dataCellStyle="Moeda">
      <calculatedColumnFormula>SUMIFS(tabela_registros[VALOR],tabela_registros[MÊS],$AE$1,tabela_registros[DIA],jantotal[[#Headers],[1]],tabela_registros[REGISTRO],DADOS!$N$4,tabela_registros[TIPO],DADOS!$P$3,tabela_registros[CATEGORIA],despesafixaconsolidadojun[[#This Row],[DESPESA FIXA]])</calculatedColumnFormula>
    </tableColumn>
    <tableColumn id="19" xr3:uid="{3EB75F29-09D3-4761-8525-EAFC1F64C630}" name="2" totalsRowFunction="sum" dataDxfId="5440" dataCellStyle="Moeda">
      <calculatedColumnFormula>SUMIFS(tabela_registros[VALOR],tabela_registros[MÊS],$AE$1,tabela_registros[DIA],jantotal[[#Headers],[2]],tabela_registros[REGISTRO],DADOS!$N$4,tabela_registros[TIPO],DADOS!$P$3,tabela_registros[CATEGORIA],despesafixaconsolidadojun[[#This Row],[DESPESA FIXA]])</calculatedColumnFormula>
    </tableColumn>
    <tableColumn id="20" xr3:uid="{5AD478A7-BA02-46F6-B16D-CDAB2277D787}" name="3" totalsRowFunction="sum" dataDxfId="5439" totalsRowDxfId="5438" dataCellStyle="Moeda">
      <calculatedColumnFormula>SUMIFS(tabela_registros[VALOR],tabela_registros[MÊS],$AE$1,tabela_registros[DIA],jantotal[[#Headers],[3]],tabela_registros[REGISTRO],DADOS!$N$4,tabela_registros[TIPO],DADOS!$P$3,tabela_registros[CATEGORIA],despesafixaconsolidadojun[[#This Row],[DESPESA FIXA]])</calculatedColumnFormula>
    </tableColumn>
    <tableColumn id="21" xr3:uid="{D4768351-769B-4454-98DA-A91199C018B2}" name="4" totalsRowFunction="sum" dataDxfId="5437" totalsRowDxfId="5436" dataCellStyle="Moeda">
      <calculatedColumnFormula>SUMIFS(tabela_registros[VALOR],tabela_registros[MÊS],$AE$1,tabela_registros[DIA],jantotal[[#Headers],[4]],tabela_registros[REGISTRO],DADOS!$N$4,tabela_registros[TIPO],DADOS!$P$3,tabela_registros[CATEGORIA],despesafixaconsolidadojun[[#This Row],[DESPESA FIXA]])</calculatedColumnFormula>
    </tableColumn>
    <tableColumn id="22" xr3:uid="{CF30D44A-4B39-4609-96CE-AF72CE1ADCA8}" name="5" totalsRowFunction="sum" dataDxfId="5435" totalsRowDxfId="5434" dataCellStyle="Moeda">
      <calculatedColumnFormula>SUMIFS(tabela_registros[VALOR],tabela_registros[MÊS],$AE$1,tabela_registros[DIA],jantotal[[#Headers],[5]],tabela_registros[REGISTRO],DADOS!$N$4,tabela_registros[TIPO],DADOS!$P$3,tabela_registros[CATEGORIA],despesafixaconsolidadojun[[#This Row],[DESPESA FIXA]])</calculatedColumnFormula>
    </tableColumn>
    <tableColumn id="23" xr3:uid="{6C57BA5A-569E-419B-B105-854133964ECD}" name="6" totalsRowFunction="sum" dataDxfId="5433" totalsRowDxfId="5432" dataCellStyle="Moeda">
      <calculatedColumnFormula>SUMIFS(tabela_registros[VALOR],tabela_registros[MÊS],$AE$1,tabela_registros[DIA],jantotal[[#Headers],[6]],tabela_registros[REGISTRO],DADOS!$N$4,tabela_registros[TIPO],DADOS!$P$3,tabela_registros[CATEGORIA],despesafixaconsolidadojun[[#This Row],[DESPESA FIXA]])</calculatedColumnFormula>
    </tableColumn>
    <tableColumn id="24" xr3:uid="{239AE271-0BB9-4682-B50F-2767C5DAD64D}" name="7" totalsRowFunction="sum" dataDxfId="5431" totalsRowDxfId="5430" dataCellStyle="Moeda">
      <calculatedColumnFormula>SUMIFS(tabela_registros[VALOR],tabela_registros[MÊS],$AE$1,tabela_registros[DIA],jantotal[[#Headers],[7]],tabela_registros[REGISTRO],DADOS!$N$4,tabela_registros[TIPO],DADOS!$P$3,tabela_registros[CATEGORIA],despesafixaconsolidadojun[[#This Row],[DESPESA FIXA]])</calculatedColumnFormula>
    </tableColumn>
    <tableColumn id="25" xr3:uid="{A9804C5B-8489-4FA4-BDD1-68D1191D01AD}" name="8" totalsRowFunction="sum" dataDxfId="5429" totalsRowDxfId="5428" dataCellStyle="Moeda">
      <calculatedColumnFormula>SUMIFS(tabela_registros[VALOR],tabela_registros[MÊS],$AE$1,tabela_registros[DIA],jantotal[[#Headers],[8]],tabela_registros[REGISTRO],DADOS!$N$4,tabela_registros[TIPO],DADOS!$P$3,tabela_registros[CATEGORIA],despesafixaconsolidadojun[[#This Row],[DESPESA FIXA]])</calculatedColumnFormula>
    </tableColumn>
    <tableColumn id="26" xr3:uid="{508A6BF3-BD34-4950-A5DE-6C8A8E5F4032}" name="9" totalsRowFunction="sum" dataDxfId="5427" totalsRowDxfId="5426" dataCellStyle="Moeda">
      <calculatedColumnFormula>SUMIFS(tabela_registros[VALOR],tabela_registros[MÊS],$AE$1,tabela_registros[DIA],jantotal[[#Headers],[9]],tabela_registros[REGISTRO],DADOS!$N$4,tabela_registros[TIPO],DADOS!$P$3,tabela_registros[CATEGORIA],despesafixaconsolidadojun[[#This Row],[DESPESA FIXA]])</calculatedColumnFormula>
    </tableColumn>
    <tableColumn id="27" xr3:uid="{BC22ED8C-D034-4812-ACA9-A765F586C748}" name="10" totalsRowFunction="sum" dataDxfId="5425" totalsRowDxfId="5424" dataCellStyle="Moeda">
      <calculatedColumnFormula>SUMIFS(tabela_registros[VALOR],tabela_registros[MÊS],$AE$1,tabela_registros[DIA],jantotal[[#Headers],[10]],tabela_registros[REGISTRO],DADOS!$N$4,tabela_registros[TIPO],DADOS!$P$3,tabela_registros[CATEGORIA],despesafixaconsolidadojun[[#This Row],[DESPESA FIXA]])</calculatedColumnFormula>
    </tableColumn>
    <tableColumn id="28" xr3:uid="{34319893-35DA-4ECB-B553-A81B8AF442CB}" name="11" totalsRowFunction="sum" dataDxfId="5423" totalsRowDxfId="5422" dataCellStyle="Moeda">
      <calculatedColumnFormula>SUMIFS(tabela_registros[VALOR],tabela_registros[MÊS],$AE$1,tabela_registros[DIA],jantotal[[#Headers],[11]],tabela_registros[REGISTRO],DADOS!$N$4,tabela_registros[TIPO],DADOS!$P$3,tabela_registros[CATEGORIA],despesafixaconsolidadojun[[#This Row],[DESPESA FIXA]])</calculatedColumnFormula>
    </tableColumn>
    <tableColumn id="29" xr3:uid="{5F8C2F25-BE66-4D79-96A8-A5587065E914}" name="12" totalsRowFunction="sum" dataDxfId="5421" totalsRowDxfId="5420" dataCellStyle="Moeda">
      <calculatedColumnFormula>SUMIFS(tabela_registros[VALOR],tabela_registros[MÊS],$AE$1,tabela_registros[DIA],jantotal[[#Headers],[12]],tabela_registros[REGISTRO],DADOS!$N$4,tabela_registros[TIPO],DADOS!$P$3,tabela_registros[CATEGORIA],despesafixaconsolidadojun[[#This Row],[DESPESA FIXA]])</calculatedColumnFormula>
    </tableColumn>
    <tableColumn id="30" xr3:uid="{3552E2BC-7F7B-4193-BE29-1DF258DE9F84}" name="13" totalsRowFunction="sum" dataDxfId="5419" totalsRowDxfId="5418" dataCellStyle="Moeda">
      <calculatedColumnFormula>SUMIFS(tabela_registros[VALOR],tabela_registros[MÊS],$AE$1,tabela_registros[DIA],jantotal[[#Headers],[13]],tabela_registros[REGISTRO],DADOS!$N$4,tabela_registros[TIPO],DADOS!$P$3,tabela_registros[CATEGORIA],despesafixaconsolidadojun[[#This Row],[DESPESA FIXA]])</calculatedColumnFormula>
    </tableColumn>
    <tableColumn id="31" xr3:uid="{BE15397B-77A9-4D60-92A6-63CC0384ED02}" name="14" totalsRowFunction="sum" dataDxfId="5417" totalsRowDxfId="5416" dataCellStyle="Moeda">
      <calculatedColumnFormula>SUMIFS(tabela_registros[VALOR],tabela_registros[MÊS],$AE$1,tabela_registros[DIA],jantotal[[#Headers],[14]],tabela_registros[REGISTRO],DADOS!$N$4,tabela_registros[TIPO],DADOS!$P$3,tabela_registros[CATEGORIA],despesafixaconsolidadojun[[#This Row],[DESPESA FIXA]])</calculatedColumnFormula>
    </tableColumn>
    <tableColumn id="32" xr3:uid="{45D85535-9887-4B97-92C3-F88A2048A056}" name="15" totalsRowFunction="sum" dataDxfId="5415" totalsRowDxfId="5414" dataCellStyle="Moeda">
      <calculatedColumnFormula>SUMIFS(tabela_registros[VALOR],tabela_registros[MÊS],$AE$1,tabela_registros[DIA],jantotal[[#Headers],[15]],tabela_registros[REGISTRO],DADOS!$N$4,tabela_registros[TIPO],DADOS!$P$3,tabela_registros[CATEGORIA],despesafixaconsolidadojun[[#This Row],[DESPESA FIXA]])</calculatedColumnFormula>
    </tableColumn>
    <tableColumn id="33" xr3:uid="{EF02624E-B63B-4166-9263-9D07B998A73C}" name="16" totalsRowFunction="sum" dataDxfId="5413" totalsRowDxfId="5412" dataCellStyle="Moeda">
      <calculatedColumnFormula>SUMIFS(tabela_registros[VALOR],tabela_registros[MÊS],$AE$1,tabela_registros[DIA],jantotal[[#Headers],[16]],tabela_registros[REGISTRO],DADOS!$N$4,tabela_registros[TIPO],DADOS!$P$3,tabela_registros[CATEGORIA],despesafixaconsolidadojun[[#This Row],[DESPESA FIXA]])</calculatedColumnFormula>
    </tableColumn>
    <tableColumn id="34" xr3:uid="{5551EAEE-3E53-472A-8937-4C1A5D5E3902}" name="17" totalsRowFunction="sum" dataDxfId="5411" totalsRowDxfId="5410" dataCellStyle="Moeda">
      <calculatedColumnFormula>SUMIFS(tabela_registros[VALOR],tabela_registros[MÊS],$AE$1,tabela_registros[DIA],jantotal[[#Headers],[17]],tabela_registros[REGISTRO],DADOS!$N$4,tabela_registros[TIPO],DADOS!$P$3,tabela_registros[CATEGORIA],despesafixaconsolidadojun[[#This Row],[DESPESA FIXA]])</calculatedColumnFormula>
    </tableColumn>
    <tableColumn id="35" xr3:uid="{64555FB2-E115-4D0D-A8A8-E1417C41A9A9}" name="18" totalsRowFunction="sum" dataDxfId="5409" totalsRowDxfId="5408" dataCellStyle="Moeda">
      <calculatedColumnFormula>SUMIFS(tabela_registros[VALOR],tabela_registros[MÊS],$AE$1,tabela_registros[DIA],jantotal[[#Headers],[18]],tabela_registros[REGISTRO],DADOS!$N$4,tabela_registros[TIPO],DADOS!$P$3,tabela_registros[CATEGORIA],despesafixaconsolidadojun[[#This Row],[DESPESA FIXA]])</calculatedColumnFormula>
    </tableColumn>
    <tableColumn id="36" xr3:uid="{156FE7C0-7FA0-4DDA-BE5E-5F295DCA1ED7}" name="19" totalsRowFunction="sum" dataDxfId="5407" totalsRowDxfId="5406" dataCellStyle="Moeda">
      <calculatedColumnFormula>SUMIFS(tabela_registros[VALOR],tabela_registros[MÊS],$AE$1,tabela_registros[DIA],jantotal[[#Headers],[19]],tabela_registros[REGISTRO],DADOS!$N$4,tabela_registros[TIPO],DADOS!$P$3,tabela_registros[CATEGORIA],despesafixaconsolidadojun[[#This Row],[DESPESA FIXA]])</calculatedColumnFormula>
    </tableColumn>
    <tableColumn id="37" xr3:uid="{89DAF85C-A3F9-4B76-BD1C-8059D95B0D10}" name="20" totalsRowFunction="sum" dataDxfId="5405" totalsRowDxfId="5404" dataCellStyle="Moeda">
      <calculatedColumnFormula>SUMIFS(tabela_registros[VALOR],tabela_registros[MÊS],$AE$1,tabela_registros[DIA],jantotal[[#Headers],[20]],tabela_registros[REGISTRO],DADOS!$N$4,tabela_registros[TIPO],DADOS!$P$3,tabela_registros[CATEGORIA],despesafixaconsolidadojun[[#This Row],[DESPESA FIXA]])</calculatedColumnFormula>
    </tableColumn>
    <tableColumn id="38" xr3:uid="{A0970ECE-BC89-4BD0-BA7E-66C4CE076E49}" name="21" totalsRowFunction="sum" dataDxfId="5403" totalsRowDxfId="5402" dataCellStyle="Moeda">
      <calculatedColumnFormula>SUMIFS(tabela_registros[VALOR],tabela_registros[MÊS],$AE$1,tabela_registros[DIA],jantotal[[#Headers],[21]],tabela_registros[REGISTRO],DADOS!$N$4,tabela_registros[TIPO],DADOS!$P$3,tabela_registros[CATEGORIA],despesafixaconsolidadojun[[#This Row],[DESPESA FIXA]])</calculatedColumnFormula>
    </tableColumn>
    <tableColumn id="39" xr3:uid="{89EC4638-684B-4B92-A218-F9D644F84E62}" name="22" totalsRowFunction="sum" dataDxfId="5401" totalsRowDxfId="5400" dataCellStyle="Moeda">
      <calculatedColumnFormula>SUMIFS(tabela_registros[VALOR],tabela_registros[MÊS],$AE$1,tabela_registros[DIA],jantotal[[#Headers],[22]],tabela_registros[REGISTRO],DADOS!$N$4,tabela_registros[TIPO],DADOS!$P$3,tabela_registros[CATEGORIA],despesafixaconsolidadojun[[#This Row],[DESPESA FIXA]])</calculatedColumnFormula>
    </tableColumn>
    <tableColumn id="40" xr3:uid="{D40F8164-0A0C-44A6-8862-881AFDC347D2}" name="23" totalsRowFunction="sum" dataDxfId="5399" totalsRowDxfId="5398" dataCellStyle="Moeda">
      <calculatedColumnFormula>SUMIFS(tabela_registros[VALOR],tabela_registros[MÊS],$AE$1,tabela_registros[DIA],jantotal[[#Headers],[23]],tabela_registros[REGISTRO],DADOS!$N$4,tabela_registros[TIPO],DADOS!$P$3,tabela_registros[CATEGORIA],despesafixaconsolidadojun[[#This Row],[DESPESA FIXA]])</calculatedColumnFormula>
    </tableColumn>
    <tableColumn id="41" xr3:uid="{61EDD6E2-66DF-4E59-B221-9DDC1589FDDD}" name="24" totalsRowFunction="sum" dataDxfId="5397" totalsRowDxfId="5396" dataCellStyle="Moeda">
      <calculatedColumnFormula>SUMIFS(tabela_registros[VALOR],tabela_registros[MÊS],$AE$1,tabela_registros[DIA],jantotal[[#Headers],[24]],tabela_registros[REGISTRO],DADOS!$N$4,tabela_registros[TIPO],DADOS!$P$3,tabela_registros[CATEGORIA],despesafixaconsolidadojun[[#This Row],[DESPESA FIXA]])</calculatedColumnFormula>
    </tableColumn>
    <tableColumn id="12" xr3:uid="{6B888FF7-DEC7-4246-AF4D-3285DF272086}" name="25" totalsRowFunction="sum" dataDxfId="5395" totalsRowDxfId="5394" dataCellStyle="Moeda">
      <calculatedColumnFormula>SUMIFS(tabela_registros[VALOR],tabela_registros[MÊS],$AE$1,tabela_registros[DIA],jantotal[[#Headers],[25]],tabela_registros[REGISTRO],DADOS!$N$4,tabela_registros[TIPO],DADOS!$P$3,tabela_registros[CATEGORIA],despesafixaconsolidadojun[[#This Row],[DESPESA FIXA]])</calculatedColumnFormula>
    </tableColumn>
    <tableColumn id="13" xr3:uid="{B2CD758C-7CE4-4909-A49C-54A72E71AFE8}" name="26" totalsRowFunction="sum" dataDxfId="5393" totalsRowDxfId="5392" dataCellStyle="Moeda">
      <calculatedColumnFormula>SUMIFS(tabela_registros[VALOR],tabela_registros[MÊS],$AE$1,tabela_registros[DIA],jantotal[[#Headers],[26]],tabela_registros[REGISTRO],DADOS!$N$4,tabela_registros[TIPO],DADOS!$P$3,tabela_registros[CATEGORIA],despesafixaconsolidadojun[[#This Row],[DESPESA FIXA]])</calculatedColumnFormula>
    </tableColumn>
    <tableColumn id="14" xr3:uid="{1DBC2DAA-611A-41BF-AF88-514A1A158233}" name="27" totalsRowFunction="sum" dataDxfId="5391" totalsRowDxfId="5390" dataCellStyle="Moeda">
      <calculatedColumnFormula>SUMIFS(tabela_registros[VALOR],tabela_registros[MÊS],$AE$1,tabela_registros[DIA],jantotal[[#Headers],[27]],tabela_registros[REGISTRO],DADOS!$N$4,tabela_registros[TIPO],DADOS!$P$3,tabela_registros[CATEGORIA],despesafixaconsolidadojun[[#This Row],[DESPESA FIXA]])</calculatedColumnFormula>
    </tableColumn>
    <tableColumn id="15" xr3:uid="{625989C4-1E97-4C5E-B07D-61DAA2488604}" name="28" totalsRowFunction="sum" dataDxfId="5389" totalsRowDxfId="5388" dataCellStyle="Moeda">
      <calculatedColumnFormula>SUMIFS(tabela_registros[VALOR],tabela_registros[MÊS],$AE$1,tabela_registros[DIA],jantotal[[#Headers],[28]],tabela_registros[REGISTRO],DADOS!$N$4,tabela_registros[TIPO],DADOS!$P$3,tabela_registros[CATEGORIA],despesafixaconsolidadojun[[#This Row],[DESPESA FIXA]])</calculatedColumnFormula>
    </tableColumn>
    <tableColumn id="16" xr3:uid="{C4E5927E-0F46-4449-A129-CB8E53E2EF92}" name="29" totalsRowFunction="sum" dataDxfId="5387" totalsRowDxfId="5386" dataCellStyle="Moeda">
      <calculatedColumnFormula>SUMIFS(tabela_registros[VALOR],tabela_registros[MÊS],$AE$1,tabela_registros[DIA],jantotal[[#Headers],[29]],tabela_registros[REGISTRO],DADOS!$N$4,tabela_registros[TIPO],DADOS!$P$3,tabela_registros[CATEGORIA],despesafixaconsolidadojun[[#This Row],[DESPESA FIXA]])</calculatedColumnFormula>
    </tableColumn>
    <tableColumn id="17" xr3:uid="{CD0E2595-1FA5-4733-B48A-2B4E8284E529}" name="30" totalsRowFunction="sum" dataDxfId="5385" totalsRowDxfId="5384" dataCellStyle="Moeda">
      <calculatedColumnFormula>SUMIFS(tabela_registros[VALOR],tabela_registros[MÊS],$AE$1,tabela_registros[DIA],jantotal[[#Headers],[30]],tabela_registros[REGISTRO],DADOS!$N$4,tabela_registros[TIPO],DADOS!$P$3,tabela_registros[CATEGORIA],despesafixaconsolidadojun[[#This Row],[DESPESA FIXA]])</calculatedColumnFormula>
    </tableColumn>
    <tableColumn id="9" xr3:uid="{D6663DF9-98C2-4BAE-8AA3-2C725628CB32}" name="31" totalsRowFunction="sum" dataDxfId="5383" totalsRowDxfId="5382" dataCellStyle="Moeda">
      <calculatedColumnFormula>SUMIFS(tabela_registros[VALOR],tabela_registros[MÊS],$AE$1,tabela_registros[DIA],jantotal[[#Headers],[31]],tabela_registros[REGISTRO],DADOS!$N$4,tabela_registros[TIPO],DADOS!$P$3,tabela_registros[CATEGORIA],despesafixaconsolidadojun[[#This Row],[DESPESA FIXA]])</calculatedColumnFormula>
    </tableColumn>
    <tableColumn id="5" xr3:uid="{86AA3668-C897-47B8-B765-00760CCC62DE}" name="TOTAL" totalsRowFunction="sum" dataDxfId="5381" dataCellStyle="Moeda">
      <calculatedColumnFormula>SUM(despesafixaconsolidadojun[[#This Row],[1]:[31]])</calculatedColumnFormula>
    </tableColumn>
  </tableColumns>
  <tableStyleInfo name="TABELAS RESULTADOS" showFirstColumn="0" showLastColumn="1" showRowStripes="1" showColumnStripes="0"/>
</table>
</file>

<file path=xl/tables/table7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1" xr:uid="{354F47E0-FD53-4CEA-9BB0-10BD65842A24}" name="despesavariávelconsolidadojun" displayName="despesavariávelconsolidadojun" ref="C59:AJ73" headerRowDxfId="5380" dataDxfId="5379" totalsRowDxfId="5378" dataCellStyle="Moeda">
  <autoFilter ref="C59:AJ73" xr:uid="{07DB3A1D-DBCD-42BC-96FE-46512EDE2C70}"/>
  <tableColumns count="34">
    <tableColumn id="1" xr3:uid="{CC8C46B2-815D-4E4C-9904-A6699EEFA00B}" name="DESPESA VARIÁVEL" totalsRowLabel="Total" dataDxfId="5377" totalsRowDxfId="5376">
      <calculatedColumnFormula>DADOS!T3</calculatedColumnFormula>
    </tableColumn>
    <tableColumn id="54" xr3:uid="{1FA8F99A-16F0-46CA-BC13-083A3A8DCCEE}" name="Coluna1" dataDxfId="5375" totalsRowDxfId="5374">
      <calculatedColumnFormula>IF(despesavariávelconsolidadojun[[#This Row],[TOTAL]]=0,"",IF(OR(despesavariávelconsolidadojun[[#This Row],[TOTAL]]=SMALL(despesavariávelconsolidadojun[TOTAL],1),despesavariávelconsolidadojun[[#This Row],[TOTAL]]=SMALL(despesavariávelconsolidadojun[TOTAL],2),despesavariávelconsolidadojun[[#This Row],[TOTAL]]=SMALL(despesavariávelconsolidadojun[TOTAL],3),despesavariávelconsolidadojun[[#This Row],[TOTAL]]=SMALL(despesavariávelconsolidadojun[TOTAL],4),despesavariávelconsolidadojun[[#This Row],[TOTAL]]=SMALL(despesavariávelconsolidadojun[TOTAL],5)),DADOS!$I$8,""))</calculatedColumnFormula>
    </tableColumn>
    <tableColumn id="30" xr3:uid="{CFEB287C-E76D-4C0B-A98F-69F44A78AC67}" name="1" totalsRowFunction="sum" dataDxfId="5373">
      <calculatedColumnFormula>SUMIFS(tabela_registros[VALOR],tabela_registros[MÊS],$AE$1,tabela_registros[DIA],jantotal[[#Headers],[1]],tabela_registros[REGISTRO],DADOS!$N$4,tabela_registros[TIPO],DADOS!$P$4,tabela_registros[CATEGORIA],despesavariávelconsolidadojun[[#This Row],[DESPESA VARIÁVEL]])</calculatedColumnFormula>
    </tableColumn>
    <tableColumn id="31" xr3:uid="{40083428-EAC4-47F1-8B4C-4D047BC09233}" name="2" totalsRowFunction="sum" dataDxfId="5372">
      <calculatedColumnFormula>SUMIFS(tabela_registros[VALOR],tabela_registros[MÊS],$AE$1,tabela_registros[DIA],jantotal[[#Headers],[2]],tabela_registros[REGISTRO],DADOS!$N$4,tabela_registros[TIPO],DADOS!$P$4,tabela_registros[CATEGORIA],despesavariávelconsolidadojun[[#This Row],[DESPESA VARIÁVEL]])</calculatedColumnFormula>
    </tableColumn>
    <tableColumn id="32" xr3:uid="{DD8286F2-A1A4-4E79-B1F6-42AA65D1BFB5}" name="3" totalsRowFunction="sum" dataDxfId="5371">
      <calculatedColumnFormula>SUMIFS(tabela_registros[VALOR],tabela_registros[MÊS],$AE$1,tabela_registros[DIA],jantotal[[#Headers],[3]],tabela_registros[REGISTRO],DADOS!$N$4,tabela_registros[TIPO],DADOS!$P$4,tabela_registros[CATEGORIA],despesavariávelconsolidadojun[[#This Row],[DESPESA VARIÁVEL]])</calculatedColumnFormula>
    </tableColumn>
    <tableColumn id="33" xr3:uid="{31C66C61-5998-4EEF-86D5-AD9FEE4FDA32}" name="4" totalsRowFunction="sum" dataDxfId="5370">
      <calculatedColumnFormula>SUMIFS(tabela_registros[VALOR],tabela_registros[MÊS],$AE$1,tabela_registros[DIA],jantotal[[#Headers],[4]],tabela_registros[REGISTRO],DADOS!$N$4,tabela_registros[TIPO],DADOS!$P$4,tabela_registros[CATEGORIA],despesavariávelconsolidadojun[[#This Row],[DESPESA VARIÁVEL]])</calculatedColumnFormula>
    </tableColumn>
    <tableColumn id="34" xr3:uid="{51D9926B-8D7F-4395-A832-79696B16F832}" name="5" totalsRowFunction="sum" dataDxfId="5369">
      <calculatedColumnFormula>SUMIFS(tabela_registros[VALOR],tabela_registros[MÊS],$AE$1,tabela_registros[DIA],jantotal[[#Headers],[5]],tabela_registros[REGISTRO],DADOS!$N$4,tabela_registros[TIPO],DADOS!$P$4,tabela_registros[CATEGORIA],despesavariávelconsolidadojun[[#This Row],[DESPESA VARIÁVEL]])</calculatedColumnFormula>
    </tableColumn>
    <tableColumn id="35" xr3:uid="{9B785121-C577-48A0-B1AC-D9944E3D3127}" name="6" totalsRowFunction="sum" dataDxfId="5368">
      <calculatedColumnFormula>SUMIFS(tabela_registros[VALOR],tabela_registros[MÊS],$AE$1,tabela_registros[DIA],jantotal[[#Headers],[6]],tabela_registros[REGISTRO],DADOS!$N$4,tabela_registros[TIPO],DADOS!$P$4,tabela_registros[CATEGORIA],despesavariávelconsolidadojun[[#This Row],[DESPESA VARIÁVEL]])</calculatedColumnFormula>
    </tableColumn>
    <tableColumn id="36" xr3:uid="{30D4D67E-244F-4634-A6ED-86C9BD2BA7C7}" name="7" totalsRowFunction="sum" dataDxfId="5367">
      <calculatedColumnFormula>SUMIFS(tabela_registros[VALOR],tabela_registros[MÊS],$AE$1,tabela_registros[DIA],jantotal[[#Headers],[7]],tabela_registros[REGISTRO],DADOS!$N$4,tabela_registros[TIPO],DADOS!$P$4,tabela_registros[CATEGORIA],despesavariávelconsolidadojun[[#This Row],[DESPESA VARIÁVEL]])</calculatedColumnFormula>
    </tableColumn>
    <tableColumn id="37" xr3:uid="{8EC8C0D4-4DED-4EE2-8CB5-8A0B59EF0351}" name="8" totalsRowFunction="sum" dataDxfId="5366">
      <calculatedColumnFormula>SUMIFS(tabela_registros[VALOR],tabela_registros[MÊS],$AE$1,tabela_registros[DIA],jantotal[[#Headers],[8]],tabela_registros[REGISTRO],DADOS!$N$4,tabela_registros[TIPO],DADOS!$P$4,tabela_registros[CATEGORIA],despesavariávelconsolidadojun[[#This Row],[DESPESA VARIÁVEL]])</calculatedColumnFormula>
    </tableColumn>
    <tableColumn id="38" xr3:uid="{F5A96AE3-0782-45D8-B655-A61CB5E35ACA}" name="9" totalsRowFunction="sum" dataDxfId="5365">
      <calculatedColumnFormula>SUMIFS(tabela_registros[VALOR],tabela_registros[MÊS],$AE$1,tabela_registros[DIA],jantotal[[#Headers],[9]],tabela_registros[REGISTRO],DADOS!$N$4,tabela_registros[TIPO],DADOS!$P$4,tabela_registros[CATEGORIA],despesavariávelconsolidadojun[[#This Row],[DESPESA VARIÁVEL]])</calculatedColumnFormula>
    </tableColumn>
    <tableColumn id="39" xr3:uid="{045B3EA1-6682-43CF-8866-3073F27CDD72}" name="10" totalsRowFunction="sum" dataDxfId="5364">
      <calculatedColumnFormula>SUMIFS(tabela_registros[VALOR],tabela_registros[MÊS],$AE$1,tabela_registros[DIA],jantotal[[#Headers],[10]],tabela_registros[REGISTRO],DADOS!$N$4,tabela_registros[TIPO],DADOS!$P$4,tabela_registros[CATEGORIA],despesavariávelconsolidadojun[[#This Row],[DESPESA VARIÁVEL]])</calculatedColumnFormula>
    </tableColumn>
    <tableColumn id="40" xr3:uid="{C6E3613C-C282-46C9-BE35-824F11DB8E16}" name="11" totalsRowFunction="sum" dataDxfId="5363">
      <calculatedColumnFormula>SUMIFS(tabela_registros[VALOR],tabela_registros[MÊS],$AE$1,tabela_registros[DIA],jantotal[[#Headers],[11]],tabela_registros[REGISTRO],DADOS!$N$4,tabela_registros[TIPO],DADOS!$P$4,tabela_registros[CATEGORIA],despesavariávelconsolidadojun[[#This Row],[DESPESA VARIÁVEL]])</calculatedColumnFormula>
    </tableColumn>
    <tableColumn id="41" xr3:uid="{45B7A5B9-DC84-442C-A859-970F13817748}" name="12" totalsRowFunction="sum" dataDxfId="5362">
      <calculatedColumnFormula>SUMIFS(tabela_registros[VALOR],tabela_registros[MÊS],$AE$1,tabela_registros[DIA],jantotal[[#Headers],[12]],tabela_registros[REGISTRO],DADOS!$N$4,tabela_registros[TIPO],DADOS!$P$4,tabela_registros[CATEGORIA],despesavariávelconsolidadojun[[#This Row],[DESPESA VARIÁVEL]])</calculatedColumnFormula>
    </tableColumn>
    <tableColumn id="42" xr3:uid="{591EF1FB-EAB8-4A0F-9A83-DA855CB374FB}" name="13" totalsRowFunction="sum" dataDxfId="5361">
      <calculatedColumnFormula>SUMIFS(tabela_registros[VALOR],tabela_registros[MÊS],$AE$1,tabela_registros[DIA],jantotal[[#Headers],[13]],tabela_registros[REGISTRO],DADOS!$N$4,tabela_registros[TIPO],DADOS!$P$4,tabela_registros[CATEGORIA],despesavariávelconsolidadojun[[#This Row],[DESPESA VARIÁVEL]])</calculatedColumnFormula>
    </tableColumn>
    <tableColumn id="43" xr3:uid="{8D75AC88-50A2-4787-8BF5-AB48114DF87F}" name="14" totalsRowFunction="sum" dataDxfId="5360">
      <calculatedColumnFormula>SUMIFS(tabela_registros[VALOR],tabela_registros[MÊS],$AE$1,tabela_registros[DIA],jantotal[[#Headers],[14]],tabela_registros[REGISTRO],DADOS!$N$4,tabela_registros[TIPO],DADOS!$P$4,tabela_registros[CATEGORIA],despesavariávelconsolidadojun[[#This Row],[DESPESA VARIÁVEL]])</calculatedColumnFormula>
    </tableColumn>
    <tableColumn id="44" xr3:uid="{21033B79-F46C-4EAD-9AB9-A37FD4215EDE}" name="15" totalsRowFunction="sum" dataDxfId="5359">
      <calculatedColumnFormula>SUMIFS(tabela_registros[VALOR],tabela_registros[MÊS],$AE$1,tabela_registros[DIA],jantotal[[#Headers],[15]],tabela_registros[REGISTRO],DADOS!$N$4,tabela_registros[TIPO],DADOS!$P$4,tabela_registros[CATEGORIA],despesavariávelconsolidadojun[[#This Row],[DESPESA VARIÁVEL]])</calculatedColumnFormula>
    </tableColumn>
    <tableColumn id="45" xr3:uid="{4FE2BEB5-EB5A-4EC2-826F-EFADAA966D36}" name="16" totalsRowFunction="sum" dataDxfId="5358">
      <calculatedColumnFormula>SUMIFS(tabela_registros[VALOR],tabela_registros[MÊS],$AE$1,tabela_registros[DIA],jantotal[[#Headers],[16]],tabela_registros[REGISTRO],DADOS!$N$4,tabela_registros[TIPO],DADOS!$P$4,tabela_registros[CATEGORIA],despesavariávelconsolidadojun[[#This Row],[DESPESA VARIÁVEL]])</calculatedColumnFormula>
    </tableColumn>
    <tableColumn id="46" xr3:uid="{74CBC5EE-8F1E-4963-80EC-D504BF479092}" name="17" totalsRowFunction="sum" dataDxfId="5357">
      <calculatedColumnFormula>SUMIFS(tabela_registros[VALOR],tabela_registros[MÊS],$AE$1,tabela_registros[DIA],jantotal[[#Headers],[17]],tabela_registros[REGISTRO],DADOS!$N$4,tabela_registros[TIPO],DADOS!$P$4,tabela_registros[CATEGORIA],despesavariávelconsolidadojun[[#This Row],[DESPESA VARIÁVEL]])</calculatedColumnFormula>
    </tableColumn>
    <tableColumn id="47" xr3:uid="{3C9AD810-B4CD-4A2A-9A8C-494C981AF45B}" name="18" totalsRowFunction="sum" dataDxfId="5356">
      <calculatedColumnFormula>SUMIFS(tabela_registros[VALOR],tabela_registros[MÊS],$AE$1,tabela_registros[DIA],jantotal[[#Headers],[18]],tabela_registros[REGISTRO],DADOS!$N$4,tabela_registros[TIPO],DADOS!$P$4,tabela_registros[CATEGORIA],despesavariávelconsolidadojun[[#This Row],[DESPESA VARIÁVEL]])</calculatedColumnFormula>
    </tableColumn>
    <tableColumn id="48" xr3:uid="{3DD3C0ED-F12E-4D75-8502-FCDFCA7FA5C9}" name="19" totalsRowFunction="sum" dataDxfId="5355">
      <calculatedColumnFormula>SUMIFS(tabela_registros[VALOR],tabela_registros[MÊS],$AE$1,tabela_registros[DIA],jantotal[[#Headers],[19]],tabela_registros[REGISTRO],DADOS!$N$4,tabela_registros[TIPO],DADOS!$P$4,tabela_registros[CATEGORIA],despesavariávelconsolidadojun[[#This Row],[DESPESA VARIÁVEL]])</calculatedColumnFormula>
    </tableColumn>
    <tableColumn id="49" xr3:uid="{8DA3F2F1-6790-41FC-A98B-EB185C0329DD}" name="20" totalsRowFunction="sum" dataDxfId="5354">
      <calculatedColumnFormula>SUMIFS(tabela_registros[VALOR],tabela_registros[MÊS],$AE$1,tabela_registros[DIA],jantotal[[#Headers],[20]],tabela_registros[REGISTRO],DADOS!$N$4,tabela_registros[TIPO],DADOS!$P$4,tabela_registros[CATEGORIA],despesavariávelconsolidadojun[[#This Row],[DESPESA VARIÁVEL]])</calculatedColumnFormula>
    </tableColumn>
    <tableColumn id="50" xr3:uid="{7ECB8080-E263-41BF-AD83-B958045D3E79}" name="21" totalsRowFunction="sum" dataDxfId="5353">
      <calculatedColumnFormula>SUMIFS(tabela_registros[VALOR],tabela_registros[MÊS],$AE$1,tabela_registros[DIA],jantotal[[#Headers],[21]],tabela_registros[REGISTRO],DADOS!$N$4,tabela_registros[TIPO],DADOS!$P$4,tabela_registros[CATEGORIA],despesavariávelconsolidadojun[[#This Row],[DESPESA VARIÁVEL]])</calculatedColumnFormula>
    </tableColumn>
    <tableColumn id="51" xr3:uid="{94C9DFA5-58C4-4D71-8AEF-3515A9B468E2}" name="22" totalsRowFunction="sum" dataDxfId="5352">
      <calculatedColumnFormula>SUMIFS(tabela_registros[VALOR],tabela_registros[MÊS],$AE$1,tabela_registros[DIA],jantotal[[#Headers],[22]],tabela_registros[REGISTRO],DADOS!$N$4,tabela_registros[TIPO],DADOS!$P$4,tabela_registros[CATEGORIA],despesavariávelconsolidadojun[[#This Row],[DESPESA VARIÁVEL]])</calculatedColumnFormula>
    </tableColumn>
    <tableColumn id="52" xr3:uid="{67B9F9BF-82A7-45C8-B8E8-B95B1F054915}" name="23" totalsRowFunction="sum" dataDxfId="5351">
      <calculatedColumnFormula>SUMIFS(tabela_registros[VALOR],tabela_registros[MÊS],$AE$1,tabela_registros[DIA],jantotal[[#Headers],[23]],tabela_registros[REGISTRO],DADOS!$N$4,tabela_registros[TIPO],DADOS!$P$4,tabela_registros[CATEGORIA],despesavariávelconsolidadojun[[#This Row],[DESPESA VARIÁVEL]])</calculatedColumnFormula>
    </tableColumn>
    <tableColumn id="53" xr3:uid="{E10603AA-1278-4213-8AD6-42687FB97A7A}" name="24" totalsRowFunction="sum" dataDxfId="5350">
      <calculatedColumnFormula>SUMIFS(tabela_registros[VALOR],tabela_registros[MÊS],$AE$1,tabela_registros[DIA],jantotal[[#Headers],[24]],tabela_registros[REGISTRO],DADOS!$N$4,tabela_registros[TIPO],DADOS!$P$4,tabela_registros[CATEGORIA],despesavariávelconsolidadojun[[#This Row],[DESPESA VARIÁVEL]])</calculatedColumnFormula>
    </tableColumn>
    <tableColumn id="18" xr3:uid="{64E66001-A4DF-48B3-AF53-C07852998277}" name="25" totalsRowFunction="sum" dataDxfId="5349">
      <calculatedColumnFormula>SUMIFS(tabela_registros[VALOR],tabela_registros[MÊS],$AE$1,tabela_registros[DIA],jantotal[[#Headers],[25]],tabela_registros[REGISTRO],DADOS!$N$4,tabela_registros[TIPO],DADOS!$P$4,tabela_registros[CATEGORIA],despesavariávelconsolidadojun[[#This Row],[DESPESA VARIÁVEL]])</calculatedColumnFormula>
    </tableColumn>
    <tableColumn id="19" xr3:uid="{AB82B589-46B2-459F-962A-1FC293706AB3}" name="26" totalsRowFunction="sum" dataDxfId="5348">
      <calculatedColumnFormula>SUMIFS(tabela_registros[VALOR],tabela_registros[MÊS],$AE$1,tabela_registros[DIA],jantotal[[#Headers],[26]],tabela_registros[REGISTRO],DADOS!$N$4,tabela_registros[TIPO],DADOS!$P$4,tabela_registros[CATEGORIA],despesavariávelconsolidadojun[[#This Row],[DESPESA VARIÁVEL]])</calculatedColumnFormula>
    </tableColumn>
    <tableColumn id="20" xr3:uid="{615A9EF4-6F47-4B72-AFBA-F52483031CE1}" name="27" totalsRowFunction="sum" dataDxfId="5347">
      <calculatedColumnFormula>SUMIFS(tabela_registros[VALOR],tabela_registros[MÊS],$AE$1,tabela_registros[DIA],jantotal[[#Headers],[27]],tabela_registros[REGISTRO],DADOS!$N$4,tabela_registros[TIPO],DADOS!$P$4,tabela_registros[CATEGORIA],despesavariávelconsolidadojun[[#This Row],[DESPESA VARIÁVEL]])</calculatedColumnFormula>
    </tableColumn>
    <tableColumn id="21" xr3:uid="{5EDBDAB0-8CBE-4BD0-9569-6C0E5F9787E8}" name="28" totalsRowFunction="sum" dataDxfId="5346">
      <calculatedColumnFormula>SUMIFS(tabela_registros[VALOR],tabela_registros[MÊS],$AE$1,tabela_registros[DIA],jantotal[[#Headers],[28]],tabela_registros[REGISTRO],DADOS!$N$4,tabela_registros[TIPO],DADOS!$P$4,tabela_registros[CATEGORIA],despesavariávelconsolidadojun[[#This Row],[DESPESA VARIÁVEL]])</calculatedColumnFormula>
    </tableColumn>
    <tableColumn id="22" xr3:uid="{1BE3A2DD-7CF0-4BCA-B6C7-0D3842CE5A8B}" name="29" totalsRowFunction="sum" dataDxfId="5345">
      <calculatedColumnFormula>SUMIFS(tabela_registros[VALOR],tabela_registros[MÊS],$AE$1,tabela_registros[DIA],jantotal[[#Headers],[29]],tabela_registros[REGISTRO],DADOS!$N$4,tabela_registros[TIPO],DADOS!$P$4,tabela_registros[CATEGORIA],despesavariávelconsolidadojun[[#This Row],[DESPESA VARIÁVEL]])</calculatedColumnFormula>
    </tableColumn>
    <tableColumn id="23" xr3:uid="{18EE05BB-E8CE-4105-8BA4-99A37F42A813}" name="30" totalsRowFunction="sum" dataDxfId="5344">
      <calculatedColumnFormula>SUMIFS(tabela_registros[VALOR],tabela_registros[MÊS],$AE$1,tabela_registros[DIA],jantotal[[#Headers],[30]],tabela_registros[REGISTRO],DADOS!$N$4,tabela_registros[TIPO],DADOS!$P$4,tabela_registros[CATEGORIA],despesavariávelconsolidadojun[[#This Row],[DESPESA VARIÁVEL]])</calculatedColumnFormula>
    </tableColumn>
    <tableColumn id="24" xr3:uid="{E459F38E-19EC-42CD-9C15-F54CCE18CB4A}" name="31" totalsRowFunction="sum" dataDxfId="5343">
      <calculatedColumnFormula>SUMIFS(tabela_registros[VALOR],tabela_registros[MÊS],$AE$1,tabela_registros[DIA],jantotal[[#Headers],[31]],tabela_registros[REGISTRO],DADOS!$N$4,tabela_registros[TIPO],DADOS!$P$4,tabela_registros[CATEGORIA],despesavariávelconsolidadojun[[#This Row],[DESPESA VARIÁVEL]])</calculatedColumnFormula>
    </tableColumn>
    <tableColumn id="3" xr3:uid="{99B9EEB6-8098-4A4C-83D2-73D4B2ADB14A}" name="TOTAL" totalsRowFunction="sum" dataDxfId="5342" dataCellStyle="Moeda">
      <calculatedColumnFormula>-SUMIFS(tabela_registros[VALOR],tabela_registros[REGISTRO],DADOS!$N$4,tabela_registros[TIPO],despesavariável[[#Headers],[DESPESA VARIÁVEL]],tabela_registros[CATEGORIA],despesavariávelconsolidadojun[[#This Row],[DESPESA VARIÁVEL]])</calculatedColumnFormula>
    </tableColumn>
  </tableColumns>
  <tableStyleInfo name="TABELAS RESULTADOS" showFirstColumn="0" showLastColumn="1" showRowStripes="1" showColumnStripes="0"/>
</table>
</file>

<file path=xl/tables/table7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2" xr:uid="{37497914-D172-42DC-B22A-5630C66B15C0}" name="juninvestir2158708294" displayName="juninvestir2158708294" ref="C24:AJ28" totalsRowCount="1" headerRowDxfId="5341" dataDxfId="5340" totalsRowDxfId="5338" tableBorderDxfId="5339" dataCellStyle="Moeda">
  <autoFilter ref="C24:AJ27" xr:uid="{6A49DC70-6E60-45C7-9126-6CFF5D88342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  <filterColumn colId="25" hiddenButton="1"/>
    <filterColumn colId="26" hiddenButton="1"/>
    <filterColumn colId="27" hiddenButton="1"/>
    <filterColumn colId="28" hiddenButton="1"/>
    <filterColumn colId="29" hiddenButton="1"/>
    <filterColumn colId="30" hiddenButton="1"/>
    <filterColumn colId="31" hiddenButton="1"/>
    <filterColumn colId="32" hiddenButton="1"/>
    <filterColumn colId="33" hiddenButton="1"/>
  </autoFilter>
  <tableColumns count="34">
    <tableColumn id="1" xr3:uid="{F645648F-C999-4CBB-AFC4-111472CD61DB}" name="ATUAL" totalsRowLabel="SALDO" dataDxfId="5337"/>
    <tableColumn id="34" xr3:uid="{9703BC05-22FF-4C6B-BBFA-B4C9EEB1CFC0}" name="Coluna1" dataDxfId="5336"/>
    <tableColumn id="2" xr3:uid="{20CACDA9-8ED6-428E-A96A-D3F90C6620C2}" name="1" totalsRowFunction="sum" dataDxfId="5335" totalsRowDxfId="5334" dataCellStyle="Moeda"/>
    <tableColumn id="3" xr3:uid="{B6A9C919-167B-4BB9-B518-61729DCCA385}" name="2" totalsRowFunction="sum" dataDxfId="5333" totalsRowDxfId="5332" dataCellStyle="Moeda"/>
    <tableColumn id="4" xr3:uid="{8D7BCBE1-F8E1-499E-83EF-EB09C1E5EE8D}" name="3" totalsRowFunction="sum" dataDxfId="5331" totalsRowDxfId="5330" dataCellStyle="Moeda"/>
    <tableColumn id="5" xr3:uid="{279ADC91-62FE-457F-9C8A-847C300CE0FF}" name="4" totalsRowFunction="sum" dataDxfId="5329" totalsRowDxfId="5328" dataCellStyle="Moeda"/>
    <tableColumn id="6" xr3:uid="{3911EBE2-C214-4B33-B5DE-54AA6835AEE1}" name="5" totalsRowFunction="sum" dataDxfId="5327" totalsRowDxfId="5326" dataCellStyle="Moeda"/>
    <tableColumn id="7" xr3:uid="{46A9C06A-34CB-42C5-B122-3AE74ECDC3AE}" name="6" totalsRowFunction="sum" dataDxfId="5325" totalsRowDxfId="5324" dataCellStyle="Moeda"/>
    <tableColumn id="8" xr3:uid="{3A1B44BC-9F88-4110-9BBC-7CAB3EE7F268}" name="7" totalsRowFunction="sum" dataDxfId="5323" totalsRowDxfId="5322" dataCellStyle="Moeda"/>
    <tableColumn id="9" xr3:uid="{D0B2274C-97DB-4B65-A062-FE5D972F9E38}" name="8" totalsRowFunction="sum" dataDxfId="5321" totalsRowDxfId="5320" dataCellStyle="Moeda"/>
    <tableColumn id="10" xr3:uid="{4D61EEB3-F596-45F7-9A79-C8AF9B2CDD42}" name="9" totalsRowFunction="sum" dataDxfId="5319" totalsRowDxfId="5318" dataCellStyle="Moeda"/>
    <tableColumn id="11" xr3:uid="{ED447AD4-913B-426D-90FF-2BAD6354D9BC}" name="10" totalsRowFunction="sum" dataDxfId="5317" totalsRowDxfId="5316" dataCellStyle="Moeda"/>
    <tableColumn id="12" xr3:uid="{CB0AA58A-0D2C-4178-B0FF-B23E0FBAB38C}" name="11" totalsRowFunction="sum" dataDxfId="5315" totalsRowDxfId="5314" dataCellStyle="Moeda"/>
    <tableColumn id="13" xr3:uid="{051A2973-7158-4554-8593-0113431D4F03}" name="12" totalsRowFunction="sum" dataDxfId="5313" totalsRowDxfId="5312" dataCellStyle="Moeda"/>
    <tableColumn id="14" xr3:uid="{9944D07A-5313-41E3-9043-F2EF4F4C127E}" name="13" totalsRowFunction="sum" dataDxfId="5311" totalsRowDxfId="5310" dataCellStyle="Moeda"/>
    <tableColumn id="15" xr3:uid="{6D699283-D015-4D4E-B0B6-9313108AB212}" name="14" totalsRowFunction="sum" dataDxfId="5309" totalsRowDxfId="5308" dataCellStyle="Moeda"/>
    <tableColumn id="16" xr3:uid="{FDAD710C-B47E-4897-8671-9737AC3F4380}" name="15" totalsRowFunction="sum" dataDxfId="5307" totalsRowDxfId="5306" dataCellStyle="Moeda"/>
    <tableColumn id="17" xr3:uid="{E78D795E-CFDC-45F6-A670-8DBE0BCC4906}" name="16" totalsRowFunction="sum" dataDxfId="5305" totalsRowDxfId="5304" dataCellStyle="Moeda"/>
    <tableColumn id="18" xr3:uid="{8BCD66FF-1712-46F2-B9EB-16E40501186F}" name="17" totalsRowFunction="sum" dataDxfId="5303" totalsRowDxfId="5302" dataCellStyle="Moeda"/>
    <tableColumn id="19" xr3:uid="{1980EE4C-04DC-4520-996C-E8A21E99A1FA}" name="18" totalsRowFunction="sum" dataDxfId="5301" totalsRowDxfId="5300" dataCellStyle="Moeda"/>
    <tableColumn id="20" xr3:uid="{DF8F7C54-DDCC-4EAF-B82F-0392F161D032}" name="19" totalsRowFunction="sum" dataDxfId="5299" totalsRowDxfId="5298" dataCellStyle="Moeda"/>
    <tableColumn id="21" xr3:uid="{9D417F8B-8CA7-483D-9A02-0ED32B594764}" name="20" totalsRowFunction="sum" dataDxfId="5297" totalsRowDxfId="5296" dataCellStyle="Moeda"/>
    <tableColumn id="22" xr3:uid="{21658207-A5F9-4139-BB04-92BDDA04AFAE}" name="21" totalsRowFunction="sum" dataDxfId="5295" totalsRowDxfId="5294" dataCellStyle="Moeda"/>
    <tableColumn id="23" xr3:uid="{86193528-C5CE-4193-945A-254BB6F1F4A0}" name="22" totalsRowFunction="sum" dataDxfId="5293" totalsRowDxfId="5292" dataCellStyle="Moeda"/>
    <tableColumn id="24" xr3:uid="{1F8C71D2-E0C9-47C2-B1CB-2ED25DA32744}" name="23" totalsRowFunction="sum" dataDxfId="5291" totalsRowDxfId="5290" dataCellStyle="Moeda"/>
    <tableColumn id="25" xr3:uid="{9F9C9E66-69B3-46A4-B4A3-CF30EFD8BBE3}" name="24" totalsRowFunction="sum" dataDxfId="5289" totalsRowDxfId="5288" dataCellStyle="Moeda"/>
    <tableColumn id="26" xr3:uid="{6CD9BF35-E227-4AEE-B9BC-4FC3CBCE0271}" name="25" totalsRowFunction="sum" dataDxfId="5287" totalsRowDxfId="5286" dataCellStyle="Moeda"/>
    <tableColumn id="27" xr3:uid="{04C0B715-EE7F-43BD-B0FE-B0E0ED073597}" name="26" totalsRowFunction="sum" dataDxfId="5285" totalsRowDxfId="5284" dataCellStyle="Moeda"/>
    <tableColumn id="28" xr3:uid="{3B37B418-03D3-40D0-8097-943DAE1109EF}" name="27" totalsRowFunction="sum" dataDxfId="5283" totalsRowDxfId="5282" dataCellStyle="Moeda"/>
    <tableColumn id="29" xr3:uid="{418626C4-EBED-4D59-97DC-9BC58570A5F4}" name="28" totalsRowFunction="sum" dataDxfId="5281" totalsRowDxfId="5280" dataCellStyle="Moeda"/>
    <tableColumn id="30" xr3:uid="{C9AA5FD0-1E42-40AC-AF4E-5B49D2EFC58D}" name="29" totalsRowFunction="sum" dataDxfId="5279" totalsRowDxfId="5278" dataCellStyle="Moeda"/>
    <tableColumn id="31" xr3:uid="{15A54667-D3F5-4CC3-8C4A-D51A6AD91381}" name="30" totalsRowFunction="sum" dataDxfId="5277" totalsRowDxfId="5276" dataCellStyle="Moeda"/>
    <tableColumn id="32" xr3:uid="{52106F3E-2CF9-4EC3-AF9A-CEFA98DC91E6}" name="31" totalsRowFunction="sum" dataDxfId="5275" totalsRowDxfId="5274" dataCellStyle="Moeda"/>
    <tableColumn id="33" xr3:uid="{62767686-F127-40CC-A505-5F9EE20A49FA}" name="TOTAL (R$)" totalsRowFunction="sum" dataDxfId="5273" totalsRowDxfId="5272" dataCellStyle="Moeda">
      <calculatedColumnFormula>SUM(E25:AI25)</calculatedColumnFormula>
    </tableColumn>
  </tableColumns>
  <tableStyleInfo name="TABELAS RESULTADOS" showFirstColumn="0" showLastColumn="0" showRowStripes="1" showColumnStripes="0"/>
</table>
</file>

<file path=xl/tables/table7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3" xr:uid="{55000301-39AF-4A0F-B5C0-3FCF8C08103A}" name="juntotal3059718395" displayName="juntotal3059718395" ref="C13:AJ16" headerRowDxfId="5271" dataDxfId="5270" totalsRowDxfId="5269">
  <autoFilter ref="C13:AJ16" xr:uid="{8F80C188-90EF-4EEA-8266-E1F416435B21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  <filterColumn colId="25" hiddenButton="1"/>
    <filterColumn colId="26" hiddenButton="1"/>
    <filterColumn colId="27" hiddenButton="1"/>
    <filterColumn colId="28" hiddenButton="1"/>
    <filterColumn colId="29" hiddenButton="1"/>
    <filterColumn colId="30" hiddenButton="1"/>
    <filterColumn colId="31" hiddenButton="1"/>
    <filterColumn colId="32" hiddenButton="1"/>
    <filterColumn colId="33" hiddenButton="1"/>
  </autoFilter>
  <tableColumns count="34">
    <tableColumn id="1" xr3:uid="{67BFB7E0-683F-4DCB-BD7B-B553EB9050AD}" name="ATUAL" totalsRowLabel="SALDO" dataDxfId="5268"/>
    <tableColumn id="34" xr3:uid="{DB3687F1-A218-4EA8-8348-8D4ABD64C2E7}" name="Coluna1" dataDxfId="5267"/>
    <tableColumn id="2" xr3:uid="{82D8B34A-6C4B-40B9-9FD6-4C0B14D04167}" name="1" totalsRowFunction="sum" dataDxfId="5266" dataCellStyle="Moeda"/>
    <tableColumn id="3" xr3:uid="{9D4FA434-3C9E-4806-A21C-B23910EEFA47}" name="2" totalsRowFunction="sum" dataDxfId="5265" totalsRowDxfId="5264" dataCellStyle="Moeda"/>
    <tableColumn id="4" xr3:uid="{603589B2-4C25-4178-A868-C7C4E1191F28}" name="3" totalsRowFunction="sum" dataDxfId="5263" totalsRowDxfId="5262" dataCellStyle="Moeda"/>
    <tableColumn id="5" xr3:uid="{69ABC5D2-0058-4C7F-B4B3-0FC0261A835A}" name="4" totalsRowFunction="sum" dataDxfId="5261" totalsRowDxfId="5260" dataCellStyle="Moeda"/>
    <tableColumn id="6" xr3:uid="{B2BB7429-23B9-4B1F-AF3E-4FA5F7F0A01B}" name="5" totalsRowFunction="sum" dataDxfId="5259" totalsRowDxfId="5258" dataCellStyle="Moeda"/>
    <tableColumn id="7" xr3:uid="{775BF74D-9697-4AFE-9E39-4CFA81A9957A}" name="6" totalsRowFunction="sum" dataDxfId="5257" totalsRowDxfId="5256" dataCellStyle="Moeda"/>
    <tableColumn id="8" xr3:uid="{2F4C8334-5551-4A52-AA7F-0326E7AB00E2}" name="7" totalsRowFunction="sum" dataDxfId="5255" totalsRowDxfId="5254" dataCellStyle="Moeda"/>
    <tableColumn id="9" xr3:uid="{CB644846-933D-46CF-BDC0-06DB10C750D7}" name="8" totalsRowFunction="sum" dataDxfId="5253" totalsRowDxfId="5252" dataCellStyle="Moeda"/>
    <tableColumn id="10" xr3:uid="{89EBA374-A002-42CA-B235-FAE3809AFAD8}" name="9" totalsRowFunction="sum" dataDxfId="5251" totalsRowDxfId="5250" dataCellStyle="Moeda"/>
    <tableColumn id="11" xr3:uid="{BFF7C27A-C858-4C5D-AF98-1F8579678120}" name="10" totalsRowFunction="sum" dataDxfId="5249" totalsRowDxfId="5248" dataCellStyle="Moeda"/>
    <tableColumn id="12" xr3:uid="{04444919-C58F-4536-824D-E1313509DB69}" name="11" totalsRowFunction="sum" dataDxfId="5247" totalsRowDxfId="5246" dataCellStyle="Moeda"/>
    <tableColumn id="13" xr3:uid="{C266B479-9FEC-4F24-9ADA-DBD9761A6DB5}" name="12" totalsRowFunction="sum" dataDxfId="5245" totalsRowDxfId="5244" dataCellStyle="Moeda"/>
    <tableColumn id="14" xr3:uid="{48D1529A-ABEE-4624-98D9-BCD956C34332}" name="13" totalsRowFunction="sum" dataDxfId="5243" totalsRowDxfId="5242" dataCellStyle="Moeda"/>
    <tableColumn id="15" xr3:uid="{C4DABD34-4483-478B-B8C2-07F08E84255A}" name="14" totalsRowFunction="sum" dataDxfId="5241" totalsRowDxfId="5240" dataCellStyle="Moeda"/>
    <tableColumn id="16" xr3:uid="{6F501EF3-F474-4FA0-8C5E-39E737FE6E1A}" name="15" totalsRowFunction="sum" dataDxfId="5239" totalsRowDxfId="5238" dataCellStyle="Moeda"/>
    <tableColumn id="17" xr3:uid="{C56D592D-8516-4F03-8248-68150AEBBA07}" name="16" totalsRowFunction="sum" dataDxfId="5237" totalsRowDxfId="5236" dataCellStyle="Moeda"/>
    <tableColumn id="18" xr3:uid="{B1FAAE06-C2E5-4C11-B84B-5E614450FCBF}" name="17" totalsRowFunction="sum" dataDxfId="5235" totalsRowDxfId="5234" dataCellStyle="Moeda"/>
    <tableColumn id="19" xr3:uid="{46A79FAF-BAFD-455A-9704-C080ADF31672}" name="18" totalsRowFunction="sum" dataDxfId="5233" totalsRowDxfId="5232" dataCellStyle="Moeda"/>
    <tableColumn id="20" xr3:uid="{47DD0179-259C-46D7-84E6-17F419B03922}" name="19" totalsRowFunction="sum" dataDxfId="5231" totalsRowDxfId="5230" dataCellStyle="Moeda"/>
    <tableColumn id="21" xr3:uid="{977B0740-42AB-485F-9B6B-083D42BB381F}" name="20" totalsRowFunction="sum" dataDxfId="5229" totalsRowDxfId="5228" dataCellStyle="Moeda"/>
    <tableColumn id="22" xr3:uid="{51F7BB3E-7B52-46E2-864D-A4F4F3CF5C65}" name="21" totalsRowFunction="sum" dataDxfId="5227" totalsRowDxfId="5226" dataCellStyle="Moeda"/>
    <tableColumn id="23" xr3:uid="{598A24CD-3A9C-4C41-959D-D1553F93431F}" name="22" totalsRowFunction="sum" dataDxfId="5225" totalsRowDxfId="5224" dataCellStyle="Moeda"/>
    <tableColumn id="24" xr3:uid="{E190C733-AAAB-44A4-97A0-474B8F0C156F}" name="23" totalsRowFunction="sum" dataDxfId="5223" totalsRowDxfId="5222" dataCellStyle="Moeda"/>
    <tableColumn id="25" xr3:uid="{EAB16468-CC1D-4C5F-B85F-A2EBC1A673E1}" name="24" totalsRowFunction="sum" dataDxfId="5221" totalsRowDxfId="5220" dataCellStyle="Moeda"/>
    <tableColumn id="26" xr3:uid="{399344C1-96E4-4B0A-A351-56DEE41B80E1}" name="25" totalsRowFunction="sum" dataDxfId="5219" totalsRowDxfId="5218" dataCellStyle="Moeda"/>
    <tableColumn id="27" xr3:uid="{44EDF708-F94F-4658-85C4-84F0CFC5E139}" name="26" totalsRowFunction="sum" dataDxfId="5217" totalsRowDxfId="5216" dataCellStyle="Moeda"/>
    <tableColumn id="28" xr3:uid="{A6B971CD-2D5A-425E-8F50-92E5D130C54B}" name="27" totalsRowFunction="sum" dataDxfId="5215" totalsRowDxfId="5214" dataCellStyle="Moeda"/>
    <tableColumn id="29" xr3:uid="{B22E82CC-F990-4E29-8608-C42BDDFCE47B}" name="28" totalsRowFunction="sum" dataDxfId="5213" totalsRowDxfId="5212" dataCellStyle="Moeda"/>
    <tableColumn id="30" xr3:uid="{B7451391-0C82-4619-91E5-D13A7B7D56AF}" name="29" totalsRowFunction="sum" dataDxfId="5211" totalsRowDxfId="5210" dataCellStyle="Moeda"/>
    <tableColumn id="31" xr3:uid="{C5309A74-7794-4229-825D-6DF5EEA6616D}" name="30" totalsRowFunction="sum" dataDxfId="5209" totalsRowDxfId="5208" dataCellStyle="Moeda"/>
    <tableColumn id="32" xr3:uid="{6BA0C88A-25C8-4996-B2C3-64FE872CEEDB}" name="31" totalsRowFunction="sum" dataDxfId="5207" totalsRowDxfId="5206" dataCellStyle="Moeda"/>
    <tableColumn id="33" xr3:uid="{F9086F5C-C2FC-4C0E-A7ED-E5BBD12A35B5}" name="TOTAL (R$)" totalsRowFunction="sum" dataDxfId="5205" dataCellStyle="Moeda">
      <calculatedColumnFormula>SUM(juntotal3059718395[[#This Row],[1]:[31]])</calculatedColumnFormula>
    </tableColumn>
  </tableColumns>
  <tableStyleInfo name="TABELAS RESULTADOS" showFirstColumn="0" showLastColumn="0" showRowStripes="1" showColumnStripes="0"/>
</table>
</file>

<file path=xl/tables/table7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4" xr:uid="{1A4829B3-4F42-4912-A23E-9B93F4EA77DF}" name="receitasfixasconsolidadojun" displayName="receitasfixasconsolidadojun" ref="C81:AJ87" headerRowDxfId="5204" dataDxfId="5203" totalsRowDxfId="5202">
  <autoFilter ref="C81:AJ87" xr:uid="{2EA8B7CB-D602-44E1-B8DB-B71750A487C5}"/>
  <tableColumns count="34">
    <tableColumn id="1" xr3:uid="{B122EC48-720E-4806-890A-A9BC2FCFA1DA}" name="ATUAL" totalsRowLabel="SALDO" dataDxfId="5201"/>
    <tableColumn id="34" xr3:uid="{C19773FF-9BB8-4136-9721-3116249E92E3}" name="Coluna1" dataDxfId="5200">
      <calculatedColumnFormula>IF(receitasfixasconsolidadojun[[#This Row],[TOTAL (R$)]]=0,"",IF(OR(receitasfixasconsolidadojun[[#This Row],[TOTAL (R$)]]=LARGE($AJ$82:$AJ$86,1),receitasfixasconsolidadojun[[#This Row],[TOTAL (R$)]]=LARGE($AJ$82:$AJ$86,2)),DADOS!$I$9,""))</calculatedColumnFormula>
    </tableColumn>
    <tableColumn id="2" xr3:uid="{B177F49F-9EA0-4CA7-8FB5-04A0F02E9AB3}" name="1" totalsRowFunction="sum" dataDxfId="5199" dataCellStyle="Moeda"/>
    <tableColumn id="3" xr3:uid="{B30A78CA-6767-4571-8028-0643C0A5B23B}" name="2" totalsRowFunction="sum" dataDxfId="5198" dataCellStyle="Moeda">
      <calculatedColumnFormula>SUMIFS(tabela_registros[VALOR],tabela_registros[MÊS],$AE$1,tabela_registros[DIA],receitasfixasconsolidadojun[[#Headers],[2]],tabela_registros[REGISTRO],DADOS!$N$3,tabela_registros[TIPO],DADOS!$V$3,tabela_registros[CATEGORIA],receitasfixasconsolidadojun[[#This Row],[ATUAL]])</calculatedColumnFormula>
    </tableColumn>
    <tableColumn id="4" xr3:uid="{C37B59B5-2D23-4892-9857-6BB774EBC88A}" name="3" totalsRowFunction="sum" dataDxfId="5197" totalsRowDxfId="5196" dataCellStyle="Moeda">
      <calculatedColumnFormula>SUMIFS(tabela_registros[VALOR],tabela_registros[MÊS],$AE$1,tabela_registros[DIA],receitasfixasconsolidadojun[[#Headers],[3]],tabela_registros[REGISTRO],DADOS!$N$3,tabela_registros[TIPO],DADOS!$V$3,tabela_registros[CATEGORIA],receitasfixasconsolidadojun[[#This Row],[ATUAL]])</calculatedColumnFormula>
    </tableColumn>
    <tableColumn id="5" xr3:uid="{653BB6E8-E1FC-4A1C-81AC-A9C20D771708}" name="4" totalsRowFunction="sum" dataDxfId="5195" totalsRowDxfId="5194" dataCellStyle="Moeda">
      <calculatedColumnFormula>SUMIFS(tabela_registros[VALOR],tabela_registros[MÊS],$AE$1,tabela_registros[DIA],receitasfixasconsolidadojun[[#Headers],[4]],tabela_registros[REGISTRO],DADOS!$N$3,tabela_registros[TIPO],DADOS!$V$3,tabela_registros[CATEGORIA],receitasfixasconsolidadojun[[#This Row],[ATUAL]])</calculatedColumnFormula>
    </tableColumn>
    <tableColumn id="6" xr3:uid="{EFD2FFA5-8494-4902-A82E-1C6C2E492A6E}" name="5" totalsRowFunction="sum" dataDxfId="5193" totalsRowDxfId="5192" dataCellStyle="Moeda">
      <calculatedColumnFormula>SUMIFS(tabela_registros[VALOR],tabela_registros[MÊS],$AE$1,tabela_registros[DIA],receitasfixasconsolidadojun[[#Headers],[5]],tabela_registros[REGISTRO],DADOS!$N$3,tabela_registros[TIPO],DADOS!$V$3,tabela_registros[CATEGORIA],receitasfixasconsolidadojun[[#This Row],[ATUAL]])</calculatedColumnFormula>
    </tableColumn>
    <tableColumn id="7" xr3:uid="{E5FC7975-6100-4C3A-92FC-1FA28AAA0FE0}" name="6" totalsRowFunction="sum" dataDxfId="5191" totalsRowDxfId="5190" dataCellStyle="Moeda">
      <calculatedColumnFormula>SUMIFS(tabela_registros[VALOR],tabela_registros[MÊS],$AE$1,tabela_registros[DIA],receitasfixasconsolidadojun[[#Headers],[6]],tabela_registros[REGISTRO],DADOS!$N$3,tabela_registros[TIPO],DADOS!$V$3,tabela_registros[CATEGORIA],receitasfixasconsolidadojun[[#This Row],[ATUAL]])</calculatedColumnFormula>
    </tableColumn>
    <tableColumn id="8" xr3:uid="{4D4298A6-E82D-483A-86CD-2E8074728E44}" name="7" totalsRowFunction="sum" dataDxfId="5189" totalsRowDxfId="5188" dataCellStyle="Moeda">
      <calculatedColumnFormula>SUMIFS(tabela_registros[VALOR],tabela_registros[MÊS],$AE$1,tabela_registros[DIA],receitasfixasconsolidadojun[[#Headers],[7]],tabela_registros[REGISTRO],DADOS!$N$3,tabela_registros[TIPO],DADOS!$V$3,tabela_registros[CATEGORIA],receitasfixasconsolidadojun[[#This Row],[ATUAL]])</calculatedColumnFormula>
    </tableColumn>
    <tableColumn id="9" xr3:uid="{80E09369-91BE-422F-8BE8-2007468B6876}" name="8" totalsRowFunction="sum" dataDxfId="5187" totalsRowDxfId="5186" dataCellStyle="Moeda">
      <calculatedColumnFormula>SUMIFS(tabela_registros[VALOR],tabela_registros[MÊS],$AE$1,tabela_registros[DIA],receitasfixasconsolidadojun[[#Headers],[8]],tabela_registros[REGISTRO],DADOS!$N$3,tabela_registros[TIPO],DADOS!$V$3,tabela_registros[CATEGORIA],receitasfixasconsolidadojun[[#This Row],[ATUAL]])</calculatedColumnFormula>
    </tableColumn>
    <tableColumn id="10" xr3:uid="{EA54CA55-3837-4225-BA47-2BA40FFA33FC}" name="9" totalsRowFunction="sum" dataDxfId="5185" totalsRowDxfId="5184" dataCellStyle="Moeda">
      <calculatedColumnFormula>SUMIFS(tabela_registros[VALOR],tabela_registros[MÊS],$AE$1,tabela_registros[DIA],receitasfixasconsolidadojun[[#Headers],[9]],tabela_registros[REGISTRO],DADOS!$N$3,tabela_registros[TIPO],DADOS!$V$3,tabela_registros[CATEGORIA],receitasfixasconsolidadojun[[#This Row],[ATUAL]])</calculatedColumnFormula>
    </tableColumn>
    <tableColumn id="11" xr3:uid="{50412C8A-7AD0-4B8F-9E18-BF47661D3E00}" name="10" totalsRowFunction="sum" dataDxfId="5183" totalsRowDxfId="5182" dataCellStyle="Moeda">
      <calculatedColumnFormula>SUMIFS(tabela_registros[VALOR],tabela_registros[MÊS],$AE$1,tabela_registros[DIA],receitasfixasconsolidadojun[[#Headers],[10]],tabela_registros[REGISTRO],DADOS!$N$3,tabela_registros[TIPO],DADOS!$V$3,tabela_registros[CATEGORIA],receitasfixasconsolidadojun[[#This Row],[ATUAL]])</calculatedColumnFormula>
    </tableColumn>
    <tableColumn id="12" xr3:uid="{4652508A-1483-43CF-86AE-FB6C59C0502A}" name="11" totalsRowFunction="sum" dataDxfId="5181" totalsRowDxfId="5180" dataCellStyle="Moeda">
      <calculatedColumnFormula>SUMIFS(tabela_registros[VALOR],tabela_registros[MÊS],$AE$1,tabela_registros[DIA],receitasfixasconsolidadojun[[#Headers],[11]],tabela_registros[REGISTRO],DADOS!$N$3,tabela_registros[TIPO],DADOS!$V$3,tabela_registros[CATEGORIA],receitasfixasconsolidadojun[[#This Row],[ATUAL]])</calculatedColumnFormula>
    </tableColumn>
    <tableColumn id="13" xr3:uid="{AF0C6206-3827-43E6-BB51-70D9773625B4}" name="12" totalsRowFunction="sum" dataDxfId="5179" totalsRowDxfId="5178" dataCellStyle="Moeda">
      <calculatedColumnFormula>SUMIFS(tabela_registros[VALOR],tabela_registros[MÊS],$AE$1,tabela_registros[DIA],receitasfixasconsolidadojun[[#Headers],[12]],tabela_registros[REGISTRO],DADOS!$N$3,tabela_registros[TIPO],DADOS!$V$3,tabela_registros[CATEGORIA],receitasfixasconsolidadojun[[#This Row],[ATUAL]])</calculatedColumnFormula>
    </tableColumn>
    <tableColumn id="14" xr3:uid="{D4350348-61EF-48F9-95FC-BEF32B1CAC44}" name="13" totalsRowFunction="sum" dataDxfId="5177" totalsRowDxfId="5176" dataCellStyle="Moeda">
      <calculatedColumnFormula>SUMIFS(tabela_registros[VALOR],tabela_registros[MÊS],$AE$1,tabela_registros[DIA],receitasfixasconsolidadojun[[#Headers],[13]],tabela_registros[REGISTRO],DADOS!$N$3,tabela_registros[TIPO],DADOS!$V$3,tabela_registros[CATEGORIA],receitasfixasconsolidadojun[[#This Row],[ATUAL]])</calculatedColumnFormula>
    </tableColumn>
    <tableColumn id="15" xr3:uid="{BBA49094-3644-49FD-B6B5-B53C88FC7FCA}" name="14" totalsRowFunction="sum" dataDxfId="5175" totalsRowDxfId="5174" dataCellStyle="Moeda">
      <calculatedColumnFormula>SUMIFS(tabela_registros[VALOR],tabela_registros[MÊS],$AE$1,tabela_registros[DIA],receitasfixasconsolidadojun[[#Headers],[14]],tabela_registros[REGISTRO],DADOS!$N$3,tabela_registros[TIPO],DADOS!$V$3,tabela_registros[CATEGORIA],receitasfixasconsolidadojun[[#This Row],[ATUAL]])</calculatedColumnFormula>
    </tableColumn>
    <tableColumn id="16" xr3:uid="{F8D44AFE-676B-434A-9964-967D4FC5A901}" name="15" totalsRowFunction="sum" dataDxfId="5173" totalsRowDxfId="5172" dataCellStyle="Moeda">
      <calculatedColumnFormula>SUMIFS(tabela_registros[VALOR],tabela_registros[MÊS],$AE$1,tabela_registros[DIA],receitasfixasconsolidadojun[[#Headers],[15]],tabela_registros[REGISTRO],DADOS!$N$3,tabela_registros[TIPO],DADOS!$V$3,tabela_registros[CATEGORIA],receitasfixasconsolidadojun[[#This Row],[ATUAL]])</calculatedColumnFormula>
    </tableColumn>
    <tableColumn id="17" xr3:uid="{534F7394-C4FC-4650-9FA1-440122DD1B0E}" name="16" totalsRowFunction="sum" dataDxfId="5171" totalsRowDxfId="5170" dataCellStyle="Moeda">
      <calculatedColumnFormula>SUMIFS(tabela_registros[VALOR],tabela_registros[MÊS],$AE$1,tabela_registros[DIA],receitasfixasconsolidadojun[[#Headers],[16]],tabela_registros[REGISTRO],DADOS!$N$3,tabela_registros[TIPO],DADOS!$V$3,tabela_registros[CATEGORIA],receitasfixasconsolidadojun[[#This Row],[ATUAL]])</calculatedColumnFormula>
    </tableColumn>
    <tableColumn id="18" xr3:uid="{F2DE7B04-CE6C-4D5C-A125-B4BF019D7E54}" name="17" totalsRowFunction="sum" dataDxfId="5169" totalsRowDxfId="5168" dataCellStyle="Moeda">
      <calculatedColumnFormula>SUMIFS(tabela_registros[VALOR],tabela_registros[MÊS],$AE$1,tabela_registros[DIA],receitasfixasconsolidadojun[[#Headers],[17]],tabela_registros[REGISTRO],DADOS!$N$3,tabela_registros[TIPO],DADOS!$V$3,tabela_registros[CATEGORIA],receitasfixasconsolidadojun[[#This Row],[ATUAL]])</calculatedColumnFormula>
    </tableColumn>
    <tableColumn id="19" xr3:uid="{10B76908-61B3-4A5E-B867-D6949F5CBA42}" name="18" totalsRowFunction="sum" dataDxfId="5167" totalsRowDxfId="5166" dataCellStyle="Moeda">
      <calculatedColumnFormula>SUMIFS(tabela_registros[VALOR],tabela_registros[MÊS],$AE$1,tabela_registros[DIA],receitasfixasconsolidadojun[[#Headers],[18]],tabela_registros[REGISTRO],DADOS!$N$3,tabela_registros[TIPO],DADOS!$V$3,tabela_registros[CATEGORIA],receitasfixasconsolidadojun[[#This Row],[ATUAL]])</calculatedColumnFormula>
    </tableColumn>
    <tableColumn id="20" xr3:uid="{7069C283-19D3-4E0D-9D5E-A9A8D572B020}" name="19" totalsRowFunction="sum" dataDxfId="5165" totalsRowDxfId="5164" dataCellStyle="Moeda">
      <calculatedColumnFormula>SUMIFS(tabela_registros[VALOR],tabela_registros[MÊS],$AE$1,tabela_registros[DIA],receitasfixasconsolidadojun[[#Headers],[19]],tabela_registros[REGISTRO],DADOS!$N$3,tabela_registros[TIPO],DADOS!$V$3,tabela_registros[CATEGORIA],receitasfixasconsolidadojun[[#This Row],[ATUAL]])</calculatedColumnFormula>
    </tableColumn>
    <tableColumn id="21" xr3:uid="{D494BB57-D6F8-4374-9EC7-DA476ECA0794}" name="20" totalsRowFunction="sum" dataDxfId="5163" totalsRowDxfId="5162" dataCellStyle="Moeda">
      <calculatedColumnFormula>SUMIFS(tabela_registros[VALOR],tabela_registros[MÊS],$AE$1,tabela_registros[DIA],receitasfixasconsolidadojun[[#Headers],[20]],tabela_registros[REGISTRO],DADOS!$N$3,tabela_registros[TIPO],DADOS!$V$3,tabela_registros[CATEGORIA],receitasfixasconsolidadojun[[#This Row],[ATUAL]])</calculatedColumnFormula>
    </tableColumn>
    <tableColumn id="22" xr3:uid="{2FDECE24-CAC8-4C9F-B1FF-D0DED6125703}" name="21" totalsRowFunction="sum" dataDxfId="5161" totalsRowDxfId="5160" dataCellStyle="Moeda">
      <calculatedColumnFormula>SUMIFS(tabela_registros[VALOR],tabela_registros[MÊS],$AE$1,tabela_registros[DIA],receitasfixasconsolidadojun[[#Headers],[21]],tabela_registros[REGISTRO],DADOS!$N$3,tabela_registros[TIPO],DADOS!$V$3,tabela_registros[CATEGORIA],receitasfixasconsolidadojun[[#This Row],[ATUAL]])</calculatedColumnFormula>
    </tableColumn>
    <tableColumn id="23" xr3:uid="{33A53C93-9D53-41CA-9A41-035EA54B4742}" name="22" totalsRowFunction="sum" dataDxfId="5159" totalsRowDxfId="5158" dataCellStyle="Moeda">
      <calculatedColumnFormula>SUMIFS(tabela_registros[VALOR],tabela_registros[MÊS],$AE$1,tabela_registros[DIA],receitasfixasconsolidadojun[[#Headers],[22]],tabela_registros[REGISTRO],DADOS!$N$3,tabela_registros[TIPO],DADOS!$V$3,tabela_registros[CATEGORIA],receitasfixasconsolidadojun[[#This Row],[ATUAL]])</calculatedColumnFormula>
    </tableColumn>
    <tableColumn id="24" xr3:uid="{D25BEC50-02D1-4E4B-912E-E866265318D9}" name="23" totalsRowFunction="sum" dataDxfId="5157" totalsRowDxfId="5156" dataCellStyle="Moeda">
      <calculatedColumnFormula>SUMIFS(tabela_registros[VALOR],tabela_registros[MÊS],$AE$1,tabela_registros[DIA],receitasfixasconsolidadojun[[#Headers],[23]],tabela_registros[REGISTRO],DADOS!$N$3,tabela_registros[TIPO],DADOS!$V$3,tabela_registros[CATEGORIA],receitasfixasconsolidadojun[[#This Row],[ATUAL]])</calculatedColumnFormula>
    </tableColumn>
    <tableColumn id="25" xr3:uid="{EBED4910-20D7-4E5F-A915-5D74013BD81D}" name="24" totalsRowFunction="sum" dataDxfId="5155" totalsRowDxfId="5154" dataCellStyle="Moeda">
      <calculatedColumnFormula>SUMIFS(tabela_registros[VALOR],tabela_registros[MÊS],$AE$1,tabela_registros[DIA],receitasfixasconsolidadojun[[#Headers],[24]],tabela_registros[REGISTRO],DADOS!$N$3,tabela_registros[TIPO],DADOS!$V$3,tabela_registros[CATEGORIA],receitasfixasconsolidadojun[[#This Row],[ATUAL]])</calculatedColumnFormula>
    </tableColumn>
    <tableColumn id="26" xr3:uid="{A0C388B5-0441-41AC-A817-CC64680D7501}" name="25" totalsRowFunction="sum" dataDxfId="5153" totalsRowDxfId="5152" dataCellStyle="Moeda">
      <calculatedColumnFormula>SUMIFS(tabela_registros[VALOR],tabela_registros[MÊS],$AE$1,tabela_registros[DIA],receitasfixasconsolidadojun[[#Headers],[25]],tabela_registros[REGISTRO],DADOS!$N$3,tabela_registros[TIPO],DADOS!$V$3,tabela_registros[CATEGORIA],receitasfixasconsolidadojun[[#This Row],[ATUAL]])</calculatedColumnFormula>
    </tableColumn>
    <tableColumn id="27" xr3:uid="{62527196-8C55-42FF-9F43-B452FE5BDAF7}" name="26" totalsRowFunction="sum" dataDxfId="5151" totalsRowDxfId="5150" dataCellStyle="Moeda">
      <calculatedColumnFormula>SUMIFS(tabela_registros[VALOR],tabela_registros[MÊS],$AE$1,tabela_registros[DIA],receitasfixasconsolidadojun[[#Headers],[26]],tabela_registros[REGISTRO],DADOS!$N$3,tabela_registros[TIPO],DADOS!$V$3,tabela_registros[CATEGORIA],receitasfixasconsolidadojun[[#This Row],[ATUAL]])</calculatedColumnFormula>
    </tableColumn>
    <tableColumn id="28" xr3:uid="{DBB0180D-3AE6-480B-914D-93459D4CFE1E}" name="27" totalsRowFunction="sum" dataDxfId="5149" totalsRowDxfId="5148" dataCellStyle="Moeda">
      <calculatedColumnFormula>SUMIFS(tabela_registros[VALOR],tabela_registros[MÊS],$AE$1,tabela_registros[DIA],receitasfixasconsolidadojun[[#Headers],[27]],tabela_registros[REGISTRO],DADOS!$N$3,tabela_registros[TIPO],DADOS!$V$3,tabela_registros[CATEGORIA],receitasfixasconsolidadojun[[#This Row],[ATUAL]])</calculatedColumnFormula>
    </tableColumn>
    <tableColumn id="29" xr3:uid="{4B340C7A-FA66-43F4-8970-8FD0E221A301}" name="28" totalsRowFunction="sum" dataDxfId="5147" totalsRowDxfId="5146" dataCellStyle="Moeda">
      <calculatedColumnFormula>SUMIFS(tabela_registros[VALOR],tabela_registros[MÊS],$AE$1,tabela_registros[DIA],receitasfixasconsolidadojun[[#Headers],[28]],tabela_registros[REGISTRO],DADOS!$N$3,tabela_registros[TIPO],DADOS!$V$3,tabela_registros[CATEGORIA],receitasfixasconsolidadojun[[#This Row],[ATUAL]])</calculatedColumnFormula>
    </tableColumn>
    <tableColumn id="30" xr3:uid="{AC04EAFE-F983-4282-B286-DD9A06FA5C58}" name="29" totalsRowFunction="sum" dataDxfId="5145" totalsRowDxfId="5144" dataCellStyle="Moeda">
      <calculatedColumnFormula>SUMIFS(tabela_registros[VALOR],tabela_registros[MÊS],$AE$1,tabela_registros[DIA],receitasfixasconsolidadojun[[#Headers],[29]],tabela_registros[REGISTRO],DADOS!$N$3,tabela_registros[TIPO],DADOS!$V$3,tabela_registros[CATEGORIA],receitasfixasconsolidadojun[[#This Row],[ATUAL]])</calculatedColumnFormula>
    </tableColumn>
    <tableColumn id="31" xr3:uid="{649750AE-8A1D-4E43-9854-F8CC9E85E6E8}" name="30" totalsRowFunction="sum" dataDxfId="5143" totalsRowDxfId="5142" dataCellStyle="Moeda">
      <calculatedColumnFormula>SUMIFS(tabela_registros[VALOR],tabela_registros[MÊS],$AE$1,tabela_registros[DIA],receitasfixasconsolidadojun[[#Headers],[30]],tabela_registros[REGISTRO],DADOS!$N$3,tabela_registros[TIPO],DADOS!$V$3,tabela_registros[CATEGORIA],receitasfixasconsolidadojun[[#This Row],[ATUAL]])</calculatedColumnFormula>
    </tableColumn>
    <tableColumn id="32" xr3:uid="{BE601352-84ED-46A5-9C43-6A7AAE68BFC0}" name="31" totalsRowFunction="sum" dataDxfId="5141" totalsRowDxfId="5140" dataCellStyle="Moeda">
      <calculatedColumnFormula>SUMIFS(tabela_registros[VALOR],tabela_registros[MÊS],$AE$1,tabela_registros[DIA],receitasfixasconsolidadojun[[#Headers],[31]],tabela_registros[REGISTRO],DADOS!$N$3,tabela_registros[TIPO],DADOS!$V$3,tabela_registros[CATEGORIA],receitasfixasconsolidadojun[[#This Row],[ATUAL]])</calculatedColumnFormula>
    </tableColumn>
    <tableColumn id="33" xr3:uid="{72B65DFD-BB43-4829-B867-635D3D449A2D}" name="TOTAL (R$)" totalsRowFunction="sum" dataDxfId="5139" dataCellStyle="Moeda">
      <calculatedColumnFormula>SUM(receitasfixasconsolidadojun[[#This Row],[1]:[31]])</calculatedColumnFormula>
    </tableColumn>
  </tableColumns>
  <tableStyleInfo name="TABELAS RESULTADOS" showFirstColumn="0" showLastColumn="0" showRowStripes="1" showColumnStripes="0"/>
</table>
</file>

<file path=xl/tables/table7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5" xr:uid="{43619754-233B-4FA3-A89C-84A484F2A798}" name="receitasvariáveisconsolidadojun" displayName="receitasvariáveisconsolidadojun" ref="C95:AJ104" headerRowDxfId="5138" dataDxfId="5137" totalsRowDxfId="5136">
  <autoFilter ref="C95:AJ104" xr:uid="{DEFDE68B-A97D-4ED5-9460-1E58A13A7942}"/>
  <tableColumns count="34">
    <tableColumn id="1" xr3:uid="{1DE030F3-DE3A-4410-83FB-B5650CF48190}" name="ATUAL" totalsRowLabel="SALDO" dataDxfId="5135"/>
    <tableColumn id="34" xr3:uid="{AD8DD35B-2849-4A86-A1A9-86C1B01DADB3}" name="Coluna1" dataDxfId="5134" totalsRowDxfId="5133">
      <calculatedColumnFormula>IF(receitasvariáveisconsolidadojun[[#This Row],[TOTAL (R$)]]=0,"",IF(OR(receitasvariáveisconsolidadojun[[#This Row],[TOTAL (R$)]]=LARGE($AJ$96:$AJ$103,1),receitasvariáveisconsolidadojun[[#This Row],[TOTAL (R$)]]=LARGE($AJ$96:$AJ$103,2)),DADOS!$I$9,""))</calculatedColumnFormula>
    </tableColumn>
    <tableColumn id="2" xr3:uid="{8956C77D-A0B0-4ECF-BF07-2093510A978D}" name="1" totalsRowFunction="sum" dataDxfId="5132" dataCellStyle="Moeda"/>
    <tableColumn id="3" xr3:uid="{B4426AC9-47F5-4472-B183-F00015FE2986}" name="2" totalsRowFunction="sum" dataDxfId="5131" dataCellStyle="Moeda">
      <calculatedColumnFormula>SUMIFS(tabela_registros[VALOR],tabela_registros[MÊS],$AE$1,tabela_registros[DIA],receitasvariáveisconsolidadojun[[#Headers],[2]],tabela_registros[REGISTRO],DADOS!$N$3,tabela_registros[TIPO],DADOS!$V$3,tabela_registros[CATEGORIA],receitasvariáveisconsolidadojun[[#This Row],[ATUAL]])</calculatedColumnFormula>
    </tableColumn>
    <tableColumn id="4" xr3:uid="{42658BF9-3A44-4FAD-9BE2-AB044216C1CA}" name="3" totalsRowFunction="sum" dataDxfId="5130" totalsRowDxfId="5129" dataCellStyle="Moeda">
      <calculatedColumnFormula>SUMIFS(tabela_registros[VALOR],tabela_registros[MÊS],$AE$1,tabela_registros[DIA],receitasvariáveisconsolidadojun[[#Headers],[3]],tabela_registros[REGISTRO],DADOS!$N$3,tabela_registros[TIPO],DADOS!$V$3,tabela_registros[CATEGORIA],receitasvariáveisconsolidadojun[[#This Row],[ATUAL]])</calculatedColumnFormula>
    </tableColumn>
    <tableColumn id="5" xr3:uid="{9C70E85F-F22C-4044-92E8-08BAAB76F739}" name="4" totalsRowFunction="sum" dataDxfId="5128" totalsRowDxfId="5127" dataCellStyle="Moeda">
      <calculatedColumnFormula>SUMIFS(tabela_registros[VALOR],tabela_registros[MÊS],$AE$1,tabela_registros[DIA],receitasvariáveisconsolidadojun[[#Headers],[4]],tabela_registros[REGISTRO],DADOS!$N$3,tabela_registros[TIPO],DADOS!$V$3,tabela_registros[CATEGORIA],receitasvariáveisconsolidadojun[[#This Row],[ATUAL]])</calculatedColumnFormula>
    </tableColumn>
    <tableColumn id="6" xr3:uid="{C9192612-620F-4A89-89D6-B5F9874ABD6A}" name="5" totalsRowFunction="sum" dataDxfId="5126" totalsRowDxfId="5125" dataCellStyle="Moeda">
      <calculatedColumnFormula>SUMIFS(tabela_registros[VALOR],tabela_registros[MÊS],$AE$1,tabela_registros[DIA],receitasvariáveisconsolidadojun[[#Headers],[5]],tabela_registros[REGISTRO],DADOS!$N$3,tabela_registros[TIPO],DADOS!$V$3,tabela_registros[CATEGORIA],receitasvariáveisconsolidadojun[[#This Row],[ATUAL]])</calculatedColumnFormula>
    </tableColumn>
    <tableColumn id="7" xr3:uid="{ABAABB9C-867C-42A7-864D-6BA669C4B3E7}" name="6" totalsRowFunction="sum" dataDxfId="5124" totalsRowDxfId="5123" dataCellStyle="Moeda">
      <calculatedColumnFormula>SUMIFS(tabela_registros[VALOR],tabela_registros[MÊS],$AE$1,tabela_registros[DIA],receitasvariáveisconsolidadojun[[#Headers],[6]],tabela_registros[REGISTRO],DADOS!$N$3,tabela_registros[TIPO],DADOS!$V$3,tabela_registros[CATEGORIA],receitasvariáveisconsolidadojun[[#This Row],[ATUAL]])</calculatedColumnFormula>
    </tableColumn>
    <tableColumn id="8" xr3:uid="{CA5018FA-2C65-4CD9-8CD4-524DEA6BA8BB}" name="7" totalsRowFunction="sum" dataDxfId="5122" totalsRowDxfId="5121" dataCellStyle="Moeda">
      <calculatedColumnFormula>SUMIFS(tabela_registros[VALOR],tabela_registros[MÊS],$AE$1,tabela_registros[DIA],receitasvariáveisconsolidadojun[[#Headers],[7]],tabela_registros[REGISTRO],DADOS!$N$3,tabela_registros[TIPO],DADOS!$V$3,tabela_registros[CATEGORIA],receitasvariáveisconsolidadojun[[#This Row],[ATUAL]])</calculatedColumnFormula>
    </tableColumn>
    <tableColumn id="9" xr3:uid="{7C5167E0-781F-4B69-8038-050713659E34}" name="8" totalsRowFunction="sum" dataDxfId="5120" totalsRowDxfId="5119" dataCellStyle="Moeda">
      <calculatedColumnFormula>SUMIFS(tabela_registros[VALOR],tabela_registros[MÊS],$AE$1,tabela_registros[DIA],receitasvariáveisconsolidadojun[[#Headers],[8]],tabela_registros[REGISTRO],DADOS!$N$3,tabela_registros[TIPO],DADOS!$V$3,tabela_registros[CATEGORIA],receitasvariáveisconsolidadojun[[#This Row],[ATUAL]])</calculatedColumnFormula>
    </tableColumn>
    <tableColumn id="10" xr3:uid="{F0E37A8E-459F-4A80-A869-02574525F526}" name="9" totalsRowFunction="sum" dataDxfId="5118" totalsRowDxfId="5117" dataCellStyle="Moeda">
      <calculatedColumnFormula>SUMIFS(tabela_registros[VALOR],tabela_registros[MÊS],$AE$1,tabela_registros[DIA],receitasvariáveisconsolidadojun[[#Headers],[9]],tabela_registros[REGISTRO],DADOS!$N$3,tabela_registros[TIPO],DADOS!$V$3,tabela_registros[CATEGORIA],receitasvariáveisconsolidadojun[[#This Row],[ATUAL]])</calculatedColumnFormula>
    </tableColumn>
    <tableColumn id="11" xr3:uid="{4E7D2C03-0DF8-495D-8EB2-A1CA22533518}" name="10" totalsRowFunction="sum" dataDxfId="5116" totalsRowDxfId="5115" dataCellStyle="Moeda">
      <calculatedColumnFormula>SUMIFS(tabela_registros[VALOR],tabela_registros[MÊS],$AE$1,tabela_registros[DIA],receitasvariáveisconsolidadojun[[#Headers],[10]],tabela_registros[REGISTRO],DADOS!$N$3,tabela_registros[TIPO],DADOS!$V$3,tabela_registros[CATEGORIA],receitasvariáveisconsolidadojun[[#This Row],[ATUAL]])</calculatedColumnFormula>
    </tableColumn>
    <tableColumn id="12" xr3:uid="{CD5D68A6-942C-4858-AE18-99DBA2CA667D}" name="11" totalsRowFunction="sum" dataDxfId="5114" totalsRowDxfId="5113" dataCellStyle="Moeda">
      <calculatedColumnFormula>SUMIFS(tabela_registros[VALOR],tabela_registros[MÊS],$AE$1,tabela_registros[DIA],receitasvariáveisconsolidadojun[[#Headers],[11]],tabela_registros[REGISTRO],DADOS!$N$3,tabela_registros[TIPO],DADOS!$V$3,tabela_registros[CATEGORIA],receitasvariáveisconsolidadojun[[#This Row],[ATUAL]])</calculatedColumnFormula>
    </tableColumn>
    <tableColumn id="13" xr3:uid="{DBEDD716-3DFA-4E2A-A058-EBD44528FC1E}" name="12" totalsRowFunction="sum" dataDxfId="5112" totalsRowDxfId="5111" dataCellStyle="Moeda">
      <calculatedColumnFormula>SUMIFS(tabela_registros[VALOR],tabela_registros[MÊS],$AE$1,tabela_registros[DIA],receitasvariáveisconsolidadojun[[#Headers],[12]],tabela_registros[REGISTRO],DADOS!$N$3,tabela_registros[TIPO],DADOS!$V$3,tabela_registros[CATEGORIA],receitasvariáveisconsolidadojun[[#This Row],[ATUAL]])</calculatedColumnFormula>
    </tableColumn>
    <tableColumn id="14" xr3:uid="{BA2A3D24-0718-4B11-95B0-A397E3500A15}" name="13" totalsRowFunction="sum" dataDxfId="5110" totalsRowDxfId="5109" dataCellStyle="Moeda">
      <calculatedColumnFormula>SUMIFS(tabela_registros[VALOR],tabela_registros[MÊS],$AE$1,tabela_registros[DIA],receitasvariáveisconsolidadojun[[#Headers],[13]],tabela_registros[REGISTRO],DADOS!$N$3,tabela_registros[TIPO],DADOS!$V$3,tabela_registros[CATEGORIA],receitasvariáveisconsolidadojun[[#This Row],[ATUAL]])</calculatedColumnFormula>
    </tableColumn>
    <tableColumn id="15" xr3:uid="{18C034CF-C7CF-46BD-AFEA-847FB59B1AFE}" name="14" totalsRowFunction="sum" dataDxfId="5108" totalsRowDxfId="5107" dataCellStyle="Moeda">
      <calculatedColumnFormula>SUMIFS(tabela_registros[VALOR],tabela_registros[MÊS],$AE$1,tabela_registros[DIA],receitasvariáveisconsolidadojun[[#Headers],[14]],tabela_registros[REGISTRO],DADOS!$N$3,tabela_registros[TIPO],DADOS!$V$3,tabela_registros[CATEGORIA],receitasvariáveisconsolidadojun[[#This Row],[ATUAL]])</calculatedColumnFormula>
    </tableColumn>
    <tableColumn id="16" xr3:uid="{45665B4C-A4B6-4A13-93E8-41FB3FA98939}" name="15" totalsRowFunction="sum" dataDxfId="5106" totalsRowDxfId="5105" dataCellStyle="Moeda">
      <calculatedColumnFormula>SUMIFS(tabela_registros[VALOR],tabela_registros[MÊS],$AE$1,tabela_registros[DIA],receitasvariáveisconsolidadojun[[#Headers],[15]],tabela_registros[REGISTRO],DADOS!$N$3,tabela_registros[TIPO],DADOS!$V$3,tabela_registros[CATEGORIA],receitasvariáveisconsolidadojun[[#This Row],[ATUAL]])</calculatedColumnFormula>
    </tableColumn>
    <tableColumn id="17" xr3:uid="{2FBC57F0-E364-4948-AA98-54C8123D5E66}" name="16" totalsRowFunction="sum" dataDxfId="5104" totalsRowDxfId="5103" dataCellStyle="Moeda">
      <calculatedColumnFormula>SUMIFS(tabela_registros[VALOR],tabela_registros[MÊS],$AE$1,tabela_registros[DIA],receitasvariáveisconsolidadojun[[#Headers],[16]],tabela_registros[REGISTRO],DADOS!$N$3,tabela_registros[TIPO],DADOS!$V$3,tabela_registros[CATEGORIA],receitasvariáveisconsolidadojun[[#This Row],[ATUAL]])</calculatedColumnFormula>
    </tableColumn>
    <tableColumn id="18" xr3:uid="{228462A5-DEEA-4F1C-ACED-5EF7B0665503}" name="17" totalsRowFunction="sum" dataDxfId="5102" totalsRowDxfId="5101" dataCellStyle="Moeda">
      <calculatedColumnFormula>SUMIFS(tabela_registros[VALOR],tabela_registros[MÊS],$AE$1,tabela_registros[DIA],receitasvariáveisconsolidadojun[[#Headers],[17]],tabela_registros[REGISTRO],DADOS!$N$3,tabela_registros[TIPO],DADOS!$V$3,tabela_registros[CATEGORIA],receitasvariáveisconsolidadojun[[#This Row],[ATUAL]])</calculatedColumnFormula>
    </tableColumn>
    <tableColumn id="19" xr3:uid="{C83E675B-417F-4B06-B29E-0F0611405F6B}" name="18" totalsRowFunction="sum" dataDxfId="5100" totalsRowDxfId="5099" dataCellStyle="Moeda">
      <calculatedColumnFormula>SUMIFS(tabela_registros[VALOR],tabela_registros[MÊS],$AE$1,tabela_registros[DIA],receitasvariáveisconsolidadojun[[#Headers],[18]],tabela_registros[REGISTRO],DADOS!$N$3,tabela_registros[TIPO],DADOS!$V$3,tabela_registros[CATEGORIA],receitasvariáveisconsolidadojun[[#This Row],[ATUAL]])</calculatedColumnFormula>
    </tableColumn>
    <tableColumn id="20" xr3:uid="{837679B5-F37C-467D-B9FE-63F6E77E2FB9}" name="19" totalsRowFunction="sum" dataDxfId="5098" totalsRowDxfId="5097" dataCellStyle="Moeda">
      <calculatedColumnFormula>SUMIFS(tabela_registros[VALOR],tabela_registros[MÊS],$AE$1,tabela_registros[DIA],receitasvariáveisconsolidadojun[[#Headers],[19]],tabela_registros[REGISTRO],DADOS!$N$3,tabela_registros[TIPO],DADOS!$V$3,tabela_registros[CATEGORIA],receitasvariáveisconsolidadojun[[#This Row],[ATUAL]])</calculatedColumnFormula>
    </tableColumn>
    <tableColumn id="21" xr3:uid="{D4D2EC2C-14DC-4CA8-AE13-9B5E0FC30C24}" name="20" totalsRowFunction="sum" dataDxfId="5096" totalsRowDxfId="5095" dataCellStyle="Moeda">
      <calculatedColumnFormula>SUMIFS(tabela_registros[VALOR],tabela_registros[MÊS],$AE$1,tabela_registros[DIA],receitasvariáveisconsolidadojun[[#Headers],[20]],tabela_registros[REGISTRO],DADOS!$N$3,tabela_registros[TIPO],DADOS!$V$3,tabela_registros[CATEGORIA],receitasvariáveisconsolidadojun[[#This Row],[ATUAL]])</calculatedColumnFormula>
    </tableColumn>
    <tableColumn id="22" xr3:uid="{B2ADCD47-13DD-41B6-B07E-B4CA0FABD30E}" name="21" totalsRowFunction="sum" dataDxfId="5094" totalsRowDxfId="5093" dataCellStyle="Moeda">
      <calculatedColumnFormula>SUMIFS(tabela_registros[VALOR],tabela_registros[MÊS],$AE$1,tabela_registros[DIA],receitasvariáveisconsolidadojun[[#Headers],[21]],tabela_registros[REGISTRO],DADOS!$N$3,tabela_registros[TIPO],DADOS!$V$3,tabela_registros[CATEGORIA],receitasvariáveisconsolidadojun[[#This Row],[ATUAL]])</calculatedColumnFormula>
    </tableColumn>
    <tableColumn id="23" xr3:uid="{5B25029B-6AC6-499D-8736-BBAF72E35681}" name="22" totalsRowFunction="sum" dataDxfId="5092" totalsRowDxfId="5091" dataCellStyle="Moeda">
      <calculatedColumnFormula>SUMIFS(tabela_registros[VALOR],tabela_registros[MÊS],$AE$1,tabela_registros[DIA],receitasvariáveisconsolidadojun[[#Headers],[22]],tabela_registros[REGISTRO],DADOS!$N$3,tabela_registros[TIPO],DADOS!$V$3,tabela_registros[CATEGORIA],receitasvariáveisconsolidadojun[[#This Row],[ATUAL]])</calculatedColumnFormula>
    </tableColumn>
    <tableColumn id="24" xr3:uid="{3E316D55-6BB7-49C1-8E1E-074431484CA6}" name="23" totalsRowFunction="sum" dataDxfId="5090" totalsRowDxfId="5089" dataCellStyle="Moeda">
      <calculatedColumnFormula>SUMIFS(tabela_registros[VALOR],tabela_registros[MÊS],$AE$1,tabela_registros[DIA],receitasvariáveisconsolidadojun[[#Headers],[23]],tabela_registros[REGISTRO],DADOS!$N$3,tabela_registros[TIPO],DADOS!$V$3,tabela_registros[CATEGORIA],receitasvariáveisconsolidadojun[[#This Row],[ATUAL]])</calculatedColumnFormula>
    </tableColumn>
    <tableColumn id="25" xr3:uid="{D1FFE1DB-3760-4DD3-B923-338B26CE52F1}" name="24" totalsRowFunction="sum" dataDxfId="5088" totalsRowDxfId="5087" dataCellStyle="Moeda">
      <calculatedColumnFormula>SUMIFS(tabela_registros[VALOR],tabela_registros[MÊS],$AE$1,tabela_registros[DIA],receitasvariáveisconsolidadojun[[#Headers],[24]],tabela_registros[REGISTRO],DADOS!$N$3,tabela_registros[TIPO],DADOS!$V$3,tabela_registros[CATEGORIA],receitasvariáveisconsolidadojun[[#This Row],[ATUAL]])</calculatedColumnFormula>
    </tableColumn>
    <tableColumn id="26" xr3:uid="{22056356-877B-4A5B-AA25-97C0102691CA}" name="25" totalsRowFunction="sum" dataDxfId="5086" totalsRowDxfId="5085" dataCellStyle="Moeda">
      <calculatedColumnFormula>SUMIFS(tabela_registros[VALOR],tabela_registros[MÊS],$AE$1,tabela_registros[DIA],receitasvariáveisconsolidadojun[[#Headers],[25]],tabela_registros[REGISTRO],DADOS!$N$3,tabela_registros[TIPO],DADOS!$V$3,tabela_registros[CATEGORIA],receitasvariáveisconsolidadojun[[#This Row],[ATUAL]])</calculatedColumnFormula>
    </tableColumn>
    <tableColumn id="27" xr3:uid="{6367AD5C-268A-4F89-B485-DBCAB53696DB}" name="26" totalsRowFunction="sum" dataDxfId="5084" totalsRowDxfId="5083" dataCellStyle="Moeda">
      <calculatedColumnFormula>SUMIFS(tabela_registros[VALOR],tabela_registros[MÊS],$AE$1,tabela_registros[DIA],receitasvariáveisconsolidadojun[[#Headers],[26]],tabela_registros[REGISTRO],DADOS!$N$3,tabela_registros[TIPO],DADOS!$V$3,tabela_registros[CATEGORIA],receitasvariáveisconsolidadojun[[#This Row],[ATUAL]])</calculatedColumnFormula>
    </tableColumn>
    <tableColumn id="28" xr3:uid="{9AAB13B5-8A3B-49C4-98EB-6BC1BF7A3BD6}" name="27" totalsRowFunction="sum" dataDxfId="5082" totalsRowDxfId="5081" dataCellStyle="Moeda">
      <calculatedColumnFormula>SUMIFS(tabela_registros[VALOR],tabela_registros[MÊS],$AE$1,tabela_registros[DIA],receitasvariáveisconsolidadojun[[#Headers],[27]],tabela_registros[REGISTRO],DADOS!$N$3,tabela_registros[TIPO],DADOS!$V$3,tabela_registros[CATEGORIA],receitasvariáveisconsolidadojun[[#This Row],[ATUAL]])</calculatedColumnFormula>
    </tableColumn>
    <tableColumn id="29" xr3:uid="{E8E7026A-4AA5-4771-A38F-03291B8C9421}" name="28" totalsRowFunction="sum" dataDxfId="5080" totalsRowDxfId="5079" dataCellStyle="Moeda">
      <calculatedColumnFormula>SUMIFS(tabela_registros[VALOR],tabela_registros[MÊS],$AE$1,tabela_registros[DIA],receitasvariáveisconsolidadojun[[#Headers],[28]],tabela_registros[REGISTRO],DADOS!$N$3,tabela_registros[TIPO],DADOS!$V$3,tabela_registros[CATEGORIA],receitasvariáveisconsolidadojun[[#This Row],[ATUAL]])</calculatedColumnFormula>
    </tableColumn>
    <tableColumn id="30" xr3:uid="{5474D3E3-F31A-4CB5-BE40-A41C88BCAEE5}" name="29" totalsRowFunction="sum" dataDxfId="5078" totalsRowDxfId="5077" dataCellStyle="Moeda">
      <calculatedColumnFormula>SUMIFS(tabela_registros[VALOR],tabela_registros[MÊS],$AE$1,tabela_registros[DIA],receitasvariáveisconsolidadojun[[#Headers],[29]],tabela_registros[REGISTRO],DADOS!$N$3,tabela_registros[TIPO],DADOS!$V$3,tabela_registros[CATEGORIA],receitasvariáveisconsolidadojun[[#This Row],[ATUAL]])</calculatedColumnFormula>
    </tableColumn>
    <tableColumn id="31" xr3:uid="{B44BCA90-C51F-4B01-A46B-9527119CEE7E}" name="30" totalsRowFunction="sum" dataDxfId="5076" totalsRowDxfId="5075" dataCellStyle="Moeda">
      <calculatedColumnFormula>SUMIFS(tabela_registros[VALOR],tabela_registros[MÊS],$AE$1,tabela_registros[DIA],receitasvariáveisconsolidadojun[[#Headers],[30]],tabela_registros[REGISTRO],DADOS!$N$3,tabela_registros[TIPO],DADOS!$V$3,tabela_registros[CATEGORIA],receitasvariáveisconsolidadojun[[#This Row],[ATUAL]])</calculatedColumnFormula>
    </tableColumn>
    <tableColumn id="32" xr3:uid="{03B8E508-D7BE-48CC-AF5F-8D1F024F8D4A}" name="31" totalsRowFunction="sum" dataDxfId="5074" totalsRowDxfId="5073" dataCellStyle="Moeda">
      <calculatedColumnFormula>SUMIFS(tabela_registros[VALOR],tabela_registros[MÊS],$AE$1,tabela_registros[DIA],receitasvariáveisconsolidadojun[[#Headers],[31]],tabela_registros[REGISTRO],DADOS!$N$3,tabela_registros[TIPO],DADOS!$V$3,tabela_registros[CATEGORIA],receitasvariáveisconsolidadojun[[#This Row],[ATUAL]])</calculatedColumnFormula>
    </tableColumn>
    <tableColumn id="33" xr3:uid="{36D24734-478F-4C17-AD68-AD3E0088CF17}" name="TOTAL (R$)" totalsRowFunction="sum" dataDxfId="5072" dataCellStyle="Moeda">
      <calculatedColumnFormula>SUM(receitasvariáveisconsolidadojun[[#This Row],[1]:[31]])</calculatedColumnFormula>
    </tableColumn>
  </tableColumns>
  <tableStyleInfo name="TABELAS RESULTADOS" showFirstColumn="0" showLastColumn="0" showRowStripes="1" showColumnStripes="0"/>
</table>
</file>

<file path=xl/tables/table8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6" xr:uid="{33DC594D-C0F0-4788-BB42-76D9703171B2}" name="investirrendafixaconsolidadojun" displayName="investirrendafixaconsolidadojun" ref="C112:AJ123" headerRowDxfId="5071" dataDxfId="5070" totalsRowDxfId="5069">
  <autoFilter ref="C112:AJ123" xr:uid="{3BCF8FD2-4C10-4776-87A3-7B16A33417A4}"/>
  <tableColumns count="34">
    <tableColumn id="1" xr3:uid="{94C12896-61DA-4E3A-A3F0-E5841EDF880E}" name="ATUAL" totalsRowLabel="SALDO" dataDxfId="5068"/>
    <tableColumn id="34" xr3:uid="{B64F78D0-5ED2-448D-8498-36442FEEF8BA}" name="Coluna1" dataDxfId="5067" totalsRowDxfId="5066">
      <calculatedColumnFormula>IF(investirrendafixaconsolidadojun[[#This Row],[TOTAL (R$)]]=0,"",IF(OR(investirrendafixaconsolidadojun[[#This Row],[TOTAL (R$)]]=LARGE($AJ$113:$AJ$122,1),investirrendafixaconsolidadojun[[#This Row],[TOTAL (R$)]]=LARGE($AJ$113:$AJ$122,2)),DADOS!$I$10,""))</calculatedColumnFormula>
    </tableColumn>
    <tableColumn id="2" xr3:uid="{12A60B63-31C5-43E5-B3A1-64B46FCD4D76}" name="1" totalsRowFunction="sum" dataDxfId="5065" dataCellStyle="Moeda"/>
    <tableColumn id="3" xr3:uid="{C2206EFE-4425-4B16-AED9-640560201EBC}" name="2" totalsRowFunction="sum" dataDxfId="5064" dataCellStyle="Moeda">
      <calculatedColumnFormula>SUMIFS(tabela_registros[VALOR],tabela_registros[MÊS],$AE$1,tabela_registros[DIA],investirrendafixaconsolidadojun[[#Headers],[2]],tabela_registros[REGISTRO],DADOS!$N$3,tabela_registros[TIPO],DADOS!$V$3,tabela_registros[CATEGORIA],investirrendafixaconsolidadojun[[#This Row],[ATUAL]])</calculatedColumnFormula>
    </tableColumn>
    <tableColumn id="4" xr3:uid="{E4626905-CA18-4B64-B74E-BE24F7A2266F}" name="3" totalsRowFunction="sum" dataDxfId="5063" totalsRowDxfId="5062" dataCellStyle="Moeda">
      <calculatedColumnFormula>SUMIFS(tabela_registros[VALOR],tabela_registros[MÊS],$AE$1,tabela_registros[DIA],investirrendafixaconsolidadojun[[#Headers],[3]],tabela_registros[REGISTRO],DADOS!$N$3,tabela_registros[TIPO],DADOS!$V$3,tabela_registros[CATEGORIA],investirrendafixaconsolidadojun[[#This Row],[ATUAL]])</calculatedColumnFormula>
    </tableColumn>
    <tableColumn id="5" xr3:uid="{86DE260F-EE5F-4487-8EE6-1259099D4B6C}" name="4" totalsRowFunction="sum" dataDxfId="5061" totalsRowDxfId="5060" dataCellStyle="Moeda">
      <calculatedColumnFormula>SUMIFS(tabela_registros[VALOR],tabela_registros[MÊS],$AE$1,tabela_registros[DIA],investirrendafixaconsolidadojun[[#Headers],[4]],tabela_registros[REGISTRO],DADOS!$N$3,tabela_registros[TIPO],DADOS!$V$3,tabela_registros[CATEGORIA],investirrendafixaconsolidadojun[[#This Row],[ATUAL]])</calculatedColumnFormula>
    </tableColumn>
    <tableColumn id="6" xr3:uid="{C3E93C11-0F4F-4F54-94CD-350373E41969}" name="5" totalsRowFunction="sum" dataDxfId="5059" totalsRowDxfId="5058" dataCellStyle="Moeda">
      <calculatedColumnFormula>SUMIFS(tabela_registros[VALOR],tabela_registros[MÊS],$AE$1,tabela_registros[DIA],investirrendafixaconsolidadojun[[#Headers],[5]],tabela_registros[REGISTRO],DADOS!$N$3,tabela_registros[TIPO],DADOS!$V$3,tabela_registros[CATEGORIA],investirrendafixaconsolidadojun[[#This Row],[ATUAL]])</calculatedColumnFormula>
    </tableColumn>
    <tableColumn id="7" xr3:uid="{06B56416-B4AF-40CE-814F-A2602826DDF9}" name="6" totalsRowFunction="sum" dataDxfId="5057" totalsRowDxfId="5056" dataCellStyle="Moeda">
      <calculatedColumnFormula>SUMIFS(tabela_registros[VALOR],tabela_registros[MÊS],$AE$1,tabela_registros[DIA],investirrendafixaconsolidadojun[[#Headers],[6]],tabela_registros[REGISTRO],DADOS!$N$3,tabela_registros[TIPO],DADOS!$V$3,tabela_registros[CATEGORIA],investirrendafixaconsolidadojun[[#This Row],[ATUAL]])</calculatedColumnFormula>
    </tableColumn>
    <tableColumn id="8" xr3:uid="{BE5F7E38-CE53-4027-A862-88B92B87EA1E}" name="7" totalsRowFunction="sum" dataDxfId="5055" totalsRowDxfId="5054" dataCellStyle="Moeda">
      <calculatedColumnFormula>SUMIFS(tabela_registros[VALOR],tabela_registros[MÊS],$AE$1,tabela_registros[DIA],investirrendafixaconsolidadojun[[#Headers],[7]],tabela_registros[REGISTRO],DADOS!$N$3,tabela_registros[TIPO],DADOS!$V$3,tabela_registros[CATEGORIA],investirrendafixaconsolidadojun[[#This Row],[ATUAL]])</calculatedColumnFormula>
    </tableColumn>
    <tableColumn id="9" xr3:uid="{9CC63F4A-073C-4854-A8D6-7EDA51133431}" name="8" totalsRowFunction="sum" dataDxfId="5053" totalsRowDxfId="5052" dataCellStyle="Moeda">
      <calculatedColumnFormula>SUMIFS(tabela_registros[VALOR],tabela_registros[MÊS],$AE$1,tabela_registros[DIA],investirrendafixaconsolidadojun[[#Headers],[8]],tabela_registros[REGISTRO],DADOS!$N$3,tabela_registros[TIPO],DADOS!$V$3,tabela_registros[CATEGORIA],investirrendafixaconsolidadojun[[#This Row],[ATUAL]])</calculatedColumnFormula>
    </tableColumn>
    <tableColumn id="10" xr3:uid="{4AF8CC83-27C6-4273-BF3A-C63BA67393E9}" name="9" totalsRowFunction="sum" dataDxfId="5051" totalsRowDxfId="5050" dataCellStyle="Moeda">
      <calculatedColumnFormula>SUMIFS(tabela_registros[VALOR],tabela_registros[MÊS],$AE$1,tabela_registros[DIA],investirrendafixaconsolidadojun[[#Headers],[9]],tabela_registros[REGISTRO],DADOS!$N$3,tabela_registros[TIPO],DADOS!$V$3,tabela_registros[CATEGORIA],investirrendafixaconsolidadojun[[#This Row],[ATUAL]])</calculatedColumnFormula>
    </tableColumn>
    <tableColumn id="11" xr3:uid="{26916023-C407-4A10-8148-A776CCD59072}" name="10" totalsRowFunction="sum" dataDxfId="5049" totalsRowDxfId="5048" dataCellStyle="Moeda">
      <calculatedColumnFormula>SUMIFS(tabela_registros[VALOR],tabela_registros[MÊS],$AE$1,tabela_registros[DIA],investirrendafixaconsolidadojun[[#Headers],[10]],tabela_registros[REGISTRO],DADOS!$N$3,tabela_registros[TIPO],DADOS!$V$3,tabela_registros[CATEGORIA],investirrendafixaconsolidadojun[[#This Row],[ATUAL]])</calculatedColumnFormula>
    </tableColumn>
    <tableColumn id="12" xr3:uid="{FA5C7D88-0A86-4E37-8FAC-16866097B2FF}" name="11" totalsRowFunction="sum" dataDxfId="5047" totalsRowDxfId="5046" dataCellStyle="Moeda">
      <calculatedColumnFormula>SUMIFS(tabela_registros[VALOR],tabela_registros[MÊS],$AE$1,tabela_registros[DIA],investirrendafixaconsolidadojun[[#Headers],[11]],tabela_registros[REGISTRO],DADOS!$N$3,tabela_registros[TIPO],DADOS!$V$3,tabela_registros[CATEGORIA],investirrendafixaconsolidadojun[[#This Row],[ATUAL]])</calculatedColumnFormula>
    </tableColumn>
    <tableColumn id="13" xr3:uid="{2E7F6784-7BDD-4346-9CE3-23E60C4673E0}" name="12" totalsRowFunction="sum" dataDxfId="5045" totalsRowDxfId="5044" dataCellStyle="Moeda">
      <calculatedColumnFormula>SUMIFS(tabela_registros[VALOR],tabela_registros[MÊS],$AE$1,tabela_registros[DIA],investirrendafixaconsolidadojun[[#Headers],[12]],tabela_registros[REGISTRO],DADOS!$N$3,tabela_registros[TIPO],DADOS!$V$3,tabela_registros[CATEGORIA],investirrendafixaconsolidadojun[[#This Row],[ATUAL]])</calculatedColumnFormula>
    </tableColumn>
    <tableColumn id="14" xr3:uid="{561A5F58-6F21-4EAD-BCF1-AA56147ED151}" name="13" totalsRowFunction="sum" dataDxfId="5043" totalsRowDxfId="5042" dataCellStyle="Moeda">
      <calculatedColumnFormula>SUMIFS(tabela_registros[VALOR],tabela_registros[MÊS],$AE$1,tabela_registros[DIA],investirrendafixaconsolidadojun[[#Headers],[13]],tabela_registros[REGISTRO],DADOS!$N$3,tabela_registros[TIPO],DADOS!$V$3,tabela_registros[CATEGORIA],investirrendafixaconsolidadojun[[#This Row],[ATUAL]])</calculatedColumnFormula>
    </tableColumn>
    <tableColumn id="15" xr3:uid="{70B4A91F-ADF3-4D45-9B1D-344875330BED}" name="14" totalsRowFunction="sum" dataDxfId="5041" totalsRowDxfId="5040" dataCellStyle="Moeda">
      <calculatedColumnFormula>SUMIFS(tabela_registros[VALOR],tabela_registros[MÊS],$AE$1,tabela_registros[DIA],investirrendafixaconsolidadojun[[#Headers],[14]],tabela_registros[REGISTRO],DADOS!$N$3,tabela_registros[TIPO],DADOS!$V$3,tabela_registros[CATEGORIA],investirrendafixaconsolidadojun[[#This Row],[ATUAL]])</calculatedColumnFormula>
    </tableColumn>
    <tableColumn id="16" xr3:uid="{BBCD5C28-98AC-4B75-A981-E5EB3AE4025C}" name="15" totalsRowFunction="sum" dataDxfId="5039" totalsRowDxfId="5038" dataCellStyle="Moeda">
      <calculatedColumnFormula>SUMIFS(tabela_registros[VALOR],tabela_registros[MÊS],$AE$1,tabela_registros[DIA],investirrendafixaconsolidadojun[[#Headers],[15]],tabela_registros[REGISTRO],DADOS!$N$3,tabela_registros[TIPO],DADOS!$V$3,tabela_registros[CATEGORIA],investirrendafixaconsolidadojun[[#This Row],[ATUAL]])</calculatedColumnFormula>
    </tableColumn>
    <tableColumn id="17" xr3:uid="{4517C0F4-B73B-4FEF-9FE4-8975F0EB3EB4}" name="16" totalsRowFunction="sum" dataDxfId="5037" totalsRowDxfId="5036" dataCellStyle="Moeda">
      <calculatedColumnFormula>SUMIFS(tabela_registros[VALOR],tabela_registros[MÊS],$AE$1,tabela_registros[DIA],investirrendafixaconsolidadojun[[#Headers],[16]],tabela_registros[REGISTRO],DADOS!$N$3,tabela_registros[TIPO],DADOS!$V$3,tabela_registros[CATEGORIA],investirrendafixaconsolidadojun[[#This Row],[ATUAL]])</calculatedColumnFormula>
    </tableColumn>
    <tableColumn id="18" xr3:uid="{BDDF6CC2-A9D0-41BD-9868-A2C372CD2471}" name="17" totalsRowFunction="sum" dataDxfId="5035" totalsRowDxfId="5034" dataCellStyle="Moeda">
      <calculatedColumnFormula>SUMIFS(tabela_registros[VALOR],tabela_registros[MÊS],$AE$1,tabela_registros[DIA],investirrendafixaconsolidadojun[[#Headers],[17]],tabela_registros[REGISTRO],DADOS!$N$3,tabela_registros[TIPO],DADOS!$V$3,tabela_registros[CATEGORIA],investirrendafixaconsolidadojun[[#This Row],[ATUAL]])</calculatedColumnFormula>
    </tableColumn>
    <tableColumn id="19" xr3:uid="{B142B291-4E37-43A2-AD1E-E9CDEC34B7DB}" name="18" totalsRowFunction="sum" dataDxfId="5033" totalsRowDxfId="5032" dataCellStyle="Moeda">
      <calculatedColumnFormula>SUMIFS(tabela_registros[VALOR],tabela_registros[MÊS],$AE$1,tabela_registros[DIA],investirrendafixaconsolidadojun[[#Headers],[18]],tabela_registros[REGISTRO],DADOS!$N$3,tabela_registros[TIPO],DADOS!$V$3,tabela_registros[CATEGORIA],investirrendafixaconsolidadojun[[#This Row],[ATUAL]])</calculatedColumnFormula>
    </tableColumn>
    <tableColumn id="20" xr3:uid="{F1CE6AE7-3207-42E3-971F-805F311EA6F2}" name="19" totalsRowFunction="sum" dataDxfId="5031" totalsRowDxfId="5030" dataCellStyle="Moeda">
      <calculatedColumnFormula>SUMIFS(tabela_registros[VALOR],tabela_registros[MÊS],$AE$1,tabela_registros[DIA],investirrendafixaconsolidadojun[[#Headers],[19]],tabela_registros[REGISTRO],DADOS!$N$3,tabela_registros[TIPO],DADOS!$V$3,tabela_registros[CATEGORIA],investirrendafixaconsolidadojun[[#This Row],[ATUAL]])</calculatedColumnFormula>
    </tableColumn>
    <tableColumn id="21" xr3:uid="{C730214D-E9A7-46FE-8525-E7556FE98DDB}" name="20" totalsRowFunction="sum" dataDxfId="5029" totalsRowDxfId="5028" dataCellStyle="Moeda">
      <calculatedColumnFormula>SUMIFS(tabela_registros[VALOR],tabela_registros[MÊS],$AE$1,tabela_registros[DIA],investirrendafixaconsolidadojun[[#Headers],[20]],tabela_registros[REGISTRO],DADOS!$N$3,tabela_registros[TIPO],DADOS!$V$3,tabela_registros[CATEGORIA],investirrendafixaconsolidadojun[[#This Row],[ATUAL]])</calculatedColumnFormula>
    </tableColumn>
    <tableColumn id="22" xr3:uid="{53E0CBE5-2773-4D28-8FCC-514572F7B5B7}" name="21" totalsRowFunction="sum" dataDxfId="5027" totalsRowDxfId="5026" dataCellStyle="Moeda">
      <calculatedColumnFormula>SUMIFS(tabela_registros[VALOR],tabela_registros[MÊS],$AE$1,tabela_registros[DIA],investirrendafixaconsolidadojun[[#Headers],[21]],tabela_registros[REGISTRO],DADOS!$N$3,tabela_registros[TIPO],DADOS!$V$3,tabela_registros[CATEGORIA],investirrendafixaconsolidadojun[[#This Row],[ATUAL]])</calculatedColumnFormula>
    </tableColumn>
    <tableColumn id="23" xr3:uid="{41901368-0441-4107-8FC2-CE5B1A2105BB}" name="22" totalsRowFunction="sum" dataDxfId="5025" totalsRowDxfId="5024" dataCellStyle="Moeda">
      <calculatedColumnFormula>SUMIFS(tabela_registros[VALOR],tabela_registros[MÊS],$AE$1,tabela_registros[DIA],investirrendafixaconsolidadojun[[#Headers],[22]],tabela_registros[REGISTRO],DADOS!$N$3,tabela_registros[TIPO],DADOS!$V$3,tabela_registros[CATEGORIA],investirrendafixaconsolidadojun[[#This Row],[ATUAL]])</calculatedColumnFormula>
    </tableColumn>
    <tableColumn id="24" xr3:uid="{BEF9B0D6-8241-4AD4-93D3-677503F11BC7}" name="23" totalsRowFunction="sum" dataDxfId="5023" totalsRowDxfId="5022" dataCellStyle="Moeda">
      <calculatedColumnFormula>SUMIFS(tabela_registros[VALOR],tabela_registros[MÊS],$AE$1,tabela_registros[DIA],investirrendafixaconsolidadojun[[#Headers],[23]],tabela_registros[REGISTRO],DADOS!$N$3,tabela_registros[TIPO],DADOS!$V$3,tabela_registros[CATEGORIA],investirrendafixaconsolidadojun[[#This Row],[ATUAL]])</calculatedColumnFormula>
    </tableColumn>
    <tableColumn id="25" xr3:uid="{B8A68B08-2C59-47FC-AF2C-CE78656449D9}" name="24" totalsRowFunction="sum" dataDxfId="5021" totalsRowDxfId="5020" dataCellStyle="Moeda">
      <calculatedColumnFormula>SUMIFS(tabela_registros[VALOR],tabela_registros[MÊS],$AE$1,tabela_registros[DIA],investirrendafixaconsolidadojun[[#Headers],[24]],tabela_registros[REGISTRO],DADOS!$N$3,tabela_registros[TIPO],DADOS!$V$3,tabela_registros[CATEGORIA],investirrendafixaconsolidadojun[[#This Row],[ATUAL]])</calculatedColumnFormula>
    </tableColumn>
    <tableColumn id="26" xr3:uid="{4D4F7702-A70F-41D3-91C6-D1E5A4F3A3E7}" name="25" totalsRowFunction="sum" dataDxfId="5019" totalsRowDxfId="5018" dataCellStyle="Moeda">
      <calculatedColumnFormula>SUMIFS(tabela_registros[VALOR],tabela_registros[MÊS],$AE$1,tabela_registros[DIA],investirrendafixaconsolidadojun[[#Headers],[25]],tabela_registros[REGISTRO],DADOS!$N$3,tabela_registros[TIPO],DADOS!$V$3,tabela_registros[CATEGORIA],investirrendafixaconsolidadojun[[#This Row],[ATUAL]])</calculatedColumnFormula>
    </tableColumn>
    <tableColumn id="27" xr3:uid="{DC511859-111B-4FB0-9D67-E317E3B08BB6}" name="26" totalsRowFunction="sum" dataDxfId="5017" totalsRowDxfId="5016" dataCellStyle="Moeda">
      <calculatedColumnFormula>SUMIFS(tabela_registros[VALOR],tabela_registros[MÊS],$AE$1,tabela_registros[DIA],investirrendafixaconsolidadojun[[#Headers],[26]],tabela_registros[REGISTRO],DADOS!$N$3,tabela_registros[TIPO],DADOS!$V$3,tabela_registros[CATEGORIA],investirrendafixaconsolidadojun[[#This Row],[ATUAL]])</calculatedColumnFormula>
    </tableColumn>
    <tableColumn id="28" xr3:uid="{D151ADA2-198D-4FBA-89CD-C9AC6959F77A}" name="27" totalsRowFunction="sum" dataDxfId="5015" totalsRowDxfId="5014" dataCellStyle="Moeda">
      <calculatedColumnFormula>SUMIFS(tabela_registros[VALOR],tabela_registros[MÊS],$AE$1,tabela_registros[DIA],investirrendafixaconsolidadojun[[#Headers],[27]],tabela_registros[REGISTRO],DADOS!$N$3,tabela_registros[TIPO],DADOS!$V$3,tabela_registros[CATEGORIA],investirrendafixaconsolidadojun[[#This Row],[ATUAL]])</calculatedColumnFormula>
    </tableColumn>
    <tableColumn id="29" xr3:uid="{E0721226-111C-428D-B12C-98A162F32E8B}" name="28" totalsRowFunction="sum" dataDxfId="5013" totalsRowDxfId="5012" dataCellStyle="Moeda">
      <calculatedColumnFormula>SUMIFS(tabela_registros[VALOR],tabela_registros[MÊS],$AE$1,tabela_registros[DIA],investirrendafixaconsolidadojun[[#Headers],[28]],tabela_registros[REGISTRO],DADOS!$N$3,tabela_registros[TIPO],DADOS!$V$3,tabela_registros[CATEGORIA],investirrendafixaconsolidadojun[[#This Row],[ATUAL]])</calculatedColumnFormula>
    </tableColumn>
    <tableColumn id="30" xr3:uid="{A44FF5FB-A357-434B-AEF9-146CDEA04C6A}" name="29" totalsRowFunction="sum" dataDxfId="5011" totalsRowDxfId="5010" dataCellStyle="Moeda">
      <calculatedColumnFormula>SUMIFS(tabela_registros[VALOR],tabela_registros[MÊS],$AE$1,tabela_registros[DIA],investirrendafixaconsolidadojun[[#Headers],[29]],tabela_registros[REGISTRO],DADOS!$N$3,tabela_registros[TIPO],DADOS!$V$3,tabela_registros[CATEGORIA],investirrendafixaconsolidadojun[[#This Row],[ATUAL]])</calculatedColumnFormula>
    </tableColumn>
    <tableColumn id="31" xr3:uid="{1FD27717-F2B5-4E88-AEFB-4F296B820326}" name="30" totalsRowFunction="sum" dataDxfId="5009" totalsRowDxfId="5008" dataCellStyle="Moeda">
      <calculatedColumnFormula>SUMIFS(tabela_registros[VALOR],tabela_registros[MÊS],$AE$1,tabela_registros[DIA],investirrendafixaconsolidadojun[[#Headers],[30]],tabela_registros[REGISTRO],DADOS!$N$3,tabela_registros[TIPO],DADOS!$V$3,tabela_registros[CATEGORIA],investirrendafixaconsolidadojun[[#This Row],[ATUAL]])</calculatedColumnFormula>
    </tableColumn>
    <tableColumn id="32" xr3:uid="{2C093EA9-7909-4EAD-8BBC-11F2335294DA}" name="31" totalsRowFunction="sum" dataDxfId="5007" totalsRowDxfId="5006" dataCellStyle="Moeda">
      <calculatedColumnFormula>SUMIFS(tabela_registros[VALOR],tabela_registros[MÊS],$AE$1,tabela_registros[DIA],investirrendafixaconsolidadojun[[#Headers],[31]],tabela_registros[REGISTRO],DADOS!$N$3,tabela_registros[TIPO],DADOS!$V$3,tabela_registros[CATEGORIA],investirrendafixaconsolidadojun[[#This Row],[ATUAL]])</calculatedColumnFormula>
    </tableColumn>
    <tableColumn id="33" xr3:uid="{9AC41973-C992-4156-B299-6B8E0255A764}" name="TOTAL (R$)" totalsRowFunction="sum" dataDxfId="5005" dataCellStyle="Moeda">
      <calculatedColumnFormula>SUM(investirrendafixaconsolidadojun[[#This Row],[1]:[31]])</calculatedColumnFormula>
    </tableColumn>
  </tableColumns>
  <tableStyleInfo name="TABELAS RESULTADOS" showFirstColumn="0" showLastColumn="0" showRowStripes="1" showColumnStripes="0"/>
</table>
</file>

<file path=xl/tables/table8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7" xr:uid="{670051D4-0121-4174-9431-376C629B43F2}" name="investirrendavariávelconsolidadojun" displayName="investirrendavariávelconsolidadojun" ref="C131:AJ142" headerRowDxfId="5004" dataDxfId="5003" totalsRowDxfId="5002">
  <autoFilter ref="C131:AJ142" xr:uid="{08F8225F-86FE-4857-B00A-7406490FE1C1}"/>
  <tableColumns count="34">
    <tableColumn id="1" xr3:uid="{63B3636B-4663-4778-A016-C093B14F0B2C}" name="ATUAL" totalsRowLabel="SALDO" dataDxfId="5001"/>
    <tableColumn id="34" xr3:uid="{35120FBA-6A81-47CF-AEFA-43D6C0408519}" name="Coluna1" dataDxfId="5000" totalsRowDxfId="4999">
      <calculatedColumnFormula>IF(investirrendavariávelconsolidadojun[[#This Row],[TOTAL (R$)]]=0,"",IF(OR(investirrendavariávelconsolidadojun[[#This Row],[TOTAL (R$)]]=LARGE($AJ$132:$AJ$141,1),investirrendavariávelconsolidadojun[[#This Row],[TOTAL (R$)]]=LARGE($AJ$132:$AJ$141,2)),DADOS!$I$10,""))</calculatedColumnFormula>
    </tableColumn>
    <tableColumn id="2" xr3:uid="{C4B75882-2DC4-474A-86FA-E0EAAE50A067}" name="1" totalsRowFunction="sum" dataDxfId="4998" dataCellStyle="Moeda"/>
    <tableColumn id="3" xr3:uid="{115457CF-A23C-4015-90DF-1BE226C3C46C}" name="2" totalsRowFunction="sum" dataDxfId="4997" dataCellStyle="Moeda">
      <calculatedColumnFormula>SUMIFS(tabela_registros[VALOR],tabela_registros[MÊS],$AE$1,tabela_registros[DIA],investirrendavariávelconsolidadojun[[#Headers],[2]],tabela_registros[REGISTRO],DADOS!$N$3,tabela_registros[TIPO],DADOS!$V$3,tabela_registros[CATEGORIA],investirrendavariávelconsolidadojun[[#This Row],[ATUAL]])</calculatedColumnFormula>
    </tableColumn>
    <tableColumn id="4" xr3:uid="{58FE8981-5FA4-49E9-B1EA-20286F0D29A5}" name="3" totalsRowFunction="sum" dataDxfId="4996" totalsRowDxfId="4995" dataCellStyle="Moeda">
      <calculatedColumnFormula>SUMIFS(tabela_registros[VALOR],tabela_registros[MÊS],$AE$1,tabela_registros[DIA],investirrendavariávelconsolidadojun[[#Headers],[3]],tabela_registros[REGISTRO],DADOS!$N$3,tabela_registros[TIPO],DADOS!$V$3,tabela_registros[CATEGORIA],investirrendavariávelconsolidadojun[[#This Row],[ATUAL]])</calculatedColumnFormula>
    </tableColumn>
    <tableColumn id="5" xr3:uid="{D66966AB-18E9-4B3B-B0F7-C29205DEDB5E}" name="4" totalsRowFunction="sum" dataDxfId="4994" totalsRowDxfId="4993" dataCellStyle="Moeda">
      <calculatedColumnFormula>SUMIFS(tabela_registros[VALOR],tabela_registros[MÊS],$AE$1,tabela_registros[DIA],investirrendavariávelconsolidadojun[[#Headers],[4]],tabela_registros[REGISTRO],DADOS!$N$3,tabela_registros[TIPO],DADOS!$V$3,tabela_registros[CATEGORIA],investirrendavariávelconsolidadojun[[#This Row],[ATUAL]])</calculatedColumnFormula>
    </tableColumn>
    <tableColumn id="6" xr3:uid="{35CCCA92-4B0B-49E7-9532-5981D9CEF92B}" name="5" totalsRowFunction="sum" dataDxfId="4992" totalsRowDxfId="4991" dataCellStyle="Moeda">
      <calculatedColumnFormula>SUMIFS(tabela_registros[VALOR],tabela_registros[MÊS],$AE$1,tabela_registros[DIA],investirrendavariávelconsolidadojun[[#Headers],[5]],tabela_registros[REGISTRO],DADOS!$N$3,tabela_registros[TIPO],DADOS!$V$3,tabela_registros[CATEGORIA],investirrendavariávelconsolidadojun[[#This Row],[ATUAL]])</calculatedColumnFormula>
    </tableColumn>
    <tableColumn id="7" xr3:uid="{7E46EBFF-33A4-458A-88A4-96211CC13E49}" name="6" totalsRowFunction="sum" dataDxfId="4990" totalsRowDxfId="4989" dataCellStyle="Moeda">
      <calculatedColumnFormula>SUMIFS(tabela_registros[VALOR],tabela_registros[MÊS],$AE$1,tabela_registros[DIA],investirrendavariávelconsolidadojun[[#Headers],[6]],tabela_registros[REGISTRO],DADOS!$N$3,tabela_registros[TIPO],DADOS!$V$3,tabela_registros[CATEGORIA],investirrendavariávelconsolidadojun[[#This Row],[ATUAL]])</calculatedColumnFormula>
    </tableColumn>
    <tableColumn id="8" xr3:uid="{B88D6197-8550-4DFA-9169-45A840FC9EEC}" name="7" totalsRowFunction="sum" dataDxfId="4988" totalsRowDxfId="4987" dataCellStyle="Moeda">
      <calculatedColumnFormula>SUMIFS(tabela_registros[VALOR],tabela_registros[MÊS],$AE$1,tabela_registros[DIA],investirrendavariávelconsolidadojun[[#Headers],[7]],tabela_registros[REGISTRO],DADOS!$N$3,tabela_registros[TIPO],DADOS!$V$3,tabela_registros[CATEGORIA],investirrendavariávelconsolidadojun[[#This Row],[ATUAL]])</calculatedColumnFormula>
    </tableColumn>
    <tableColumn id="9" xr3:uid="{87134B85-7943-42D3-B655-9577AD9AF2C7}" name="8" totalsRowFunction="sum" dataDxfId="4986" totalsRowDxfId="4985" dataCellStyle="Moeda">
      <calculatedColumnFormula>SUMIFS(tabela_registros[VALOR],tabela_registros[MÊS],$AE$1,tabela_registros[DIA],investirrendavariávelconsolidadojun[[#Headers],[8]],tabela_registros[REGISTRO],DADOS!$N$3,tabela_registros[TIPO],DADOS!$V$3,tabela_registros[CATEGORIA],investirrendavariávelconsolidadojun[[#This Row],[ATUAL]])</calculatedColumnFormula>
    </tableColumn>
    <tableColumn id="10" xr3:uid="{5BCE93E1-AB3E-4FD0-9A58-619C7BC74622}" name="9" totalsRowFunction="sum" dataDxfId="4984" totalsRowDxfId="4983" dataCellStyle="Moeda">
      <calculatedColumnFormula>SUMIFS(tabela_registros[VALOR],tabela_registros[MÊS],$AE$1,tabela_registros[DIA],investirrendavariávelconsolidadojun[[#Headers],[9]],tabela_registros[REGISTRO],DADOS!$N$3,tabela_registros[TIPO],DADOS!$V$3,tabela_registros[CATEGORIA],investirrendavariávelconsolidadojun[[#This Row],[ATUAL]])</calculatedColumnFormula>
    </tableColumn>
    <tableColumn id="11" xr3:uid="{F6FB82E4-723B-4B72-BF7A-34F5514C6B52}" name="10" totalsRowFunction="sum" dataDxfId="4982" totalsRowDxfId="4981" dataCellStyle="Moeda">
      <calculatedColumnFormula>SUMIFS(tabela_registros[VALOR],tabela_registros[MÊS],$AE$1,tabela_registros[DIA],investirrendavariávelconsolidadojun[[#Headers],[10]],tabela_registros[REGISTRO],DADOS!$N$3,tabela_registros[TIPO],DADOS!$V$3,tabela_registros[CATEGORIA],investirrendavariávelconsolidadojun[[#This Row],[ATUAL]])</calculatedColumnFormula>
    </tableColumn>
    <tableColumn id="12" xr3:uid="{14753756-D308-47A0-92C2-0B8CFFADBD3A}" name="11" totalsRowFunction="sum" dataDxfId="4980" totalsRowDxfId="4979" dataCellStyle="Moeda">
      <calculatedColumnFormula>SUMIFS(tabela_registros[VALOR],tabela_registros[MÊS],$AE$1,tabela_registros[DIA],investirrendavariávelconsolidadojun[[#Headers],[11]],tabela_registros[REGISTRO],DADOS!$N$3,tabela_registros[TIPO],DADOS!$V$3,tabela_registros[CATEGORIA],investirrendavariávelconsolidadojun[[#This Row],[ATUAL]])</calculatedColumnFormula>
    </tableColumn>
    <tableColumn id="13" xr3:uid="{C5450F84-03FC-4516-ADD0-9D384D55A5D8}" name="12" totalsRowFunction="sum" dataDxfId="4978" totalsRowDxfId="4977" dataCellStyle="Moeda">
      <calculatedColumnFormula>SUMIFS(tabela_registros[VALOR],tabela_registros[MÊS],$AE$1,tabela_registros[DIA],investirrendavariávelconsolidadojun[[#Headers],[12]],tabela_registros[REGISTRO],DADOS!$N$3,tabela_registros[TIPO],DADOS!$V$3,tabela_registros[CATEGORIA],investirrendavariávelconsolidadojun[[#This Row],[ATUAL]])</calculatedColumnFormula>
    </tableColumn>
    <tableColumn id="14" xr3:uid="{F9E879B5-C7F6-4DC1-9CBF-FF625C00F7F7}" name="13" totalsRowFunction="sum" dataDxfId="4976" totalsRowDxfId="4975" dataCellStyle="Moeda">
      <calculatedColumnFormula>SUMIFS(tabela_registros[VALOR],tabela_registros[MÊS],$AE$1,tabela_registros[DIA],investirrendavariávelconsolidadojun[[#Headers],[13]],tabela_registros[REGISTRO],DADOS!$N$3,tabela_registros[TIPO],DADOS!$V$3,tabela_registros[CATEGORIA],investirrendavariávelconsolidadojun[[#This Row],[ATUAL]])</calculatedColumnFormula>
    </tableColumn>
    <tableColumn id="15" xr3:uid="{603868AC-1789-4D28-9D3C-10B65E327CF5}" name="14" totalsRowFunction="sum" dataDxfId="4974" totalsRowDxfId="4973" dataCellStyle="Moeda">
      <calculatedColumnFormula>SUMIFS(tabela_registros[VALOR],tabela_registros[MÊS],$AE$1,tabela_registros[DIA],investirrendavariávelconsolidadojun[[#Headers],[14]],tabela_registros[REGISTRO],DADOS!$N$3,tabela_registros[TIPO],DADOS!$V$3,tabela_registros[CATEGORIA],investirrendavariávelconsolidadojun[[#This Row],[ATUAL]])</calculatedColumnFormula>
    </tableColumn>
    <tableColumn id="16" xr3:uid="{C3A51449-AAC1-46AB-94A5-0000838B999C}" name="15" totalsRowFunction="sum" dataDxfId="4972" totalsRowDxfId="4971" dataCellStyle="Moeda">
      <calculatedColumnFormula>SUMIFS(tabela_registros[VALOR],tabela_registros[MÊS],$AE$1,tabela_registros[DIA],investirrendavariávelconsolidadojun[[#Headers],[15]],tabela_registros[REGISTRO],DADOS!$N$3,tabela_registros[TIPO],DADOS!$V$3,tabela_registros[CATEGORIA],investirrendavariávelconsolidadojun[[#This Row],[ATUAL]])</calculatedColumnFormula>
    </tableColumn>
    <tableColumn id="17" xr3:uid="{C26066F2-F5E7-4808-8833-41B478CED710}" name="16" totalsRowFunction="sum" dataDxfId="4970" totalsRowDxfId="4969" dataCellStyle="Moeda">
      <calculatedColumnFormula>SUMIFS(tabela_registros[VALOR],tabela_registros[MÊS],$AE$1,tabela_registros[DIA],investirrendavariávelconsolidadojun[[#Headers],[16]],tabela_registros[REGISTRO],DADOS!$N$3,tabela_registros[TIPO],DADOS!$V$3,tabela_registros[CATEGORIA],investirrendavariávelconsolidadojun[[#This Row],[ATUAL]])</calculatedColumnFormula>
    </tableColumn>
    <tableColumn id="18" xr3:uid="{6724EA23-A83E-47A0-8EAF-B3C282A742B3}" name="17" totalsRowFunction="sum" dataDxfId="4968" totalsRowDxfId="4967" dataCellStyle="Moeda">
      <calculatedColumnFormula>SUMIFS(tabela_registros[VALOR],tabela_registros[MÊS],$AE$1,tabela_registros[DIA],investirrendavariávelconsolidadojun[[#Headers],[17]],tabela_registros[REGISTRO],DADOS!$N$3,tabela_registros[TIPO],DADOS!$V$3,tabela_registros[CATEGORIA],investirrendavariávelconsolidadojun[[#This Row],[ATUAL]])</calculatedColumnFormula>
    </tableColumn>
    <tableColumn id="19" xr3:uid="{81060C65-9597-4AB3-A858-561FD59DDA1F}" name="18" totalsRowFunction="sum" dataDxfId="4966" totalsRowDxfId="4965" dataCellStyle="Moeda">
      <calculatedColumnFormula>SUMIFS(tabela_registros[VALOR],tabela_registros[MÊS],$AE$1,tabela_registros[DIA],investirrendavariávelconsolidadojun[[#Headers],[18]],tabela_registros[REGISTRO],DADOS!$N$3,tabela_registros[TIPO],DADOS!$V$3,tabela_registros[CATEGORIA],investirrendavariávelconsolidadojun[[#This Row],[ATUAL]])</calculatedColumnFormula>
    </tableColumn>
    <tableColumn id="20" xr3:uid="{82827873-D95D-40BB-AAE2-9316670B5F7C}" name="19" totalsRowFunction="sum" dataDxfId="4964" totalsRowDxfId="4963" dataCellStyle="Moeda">
      <calculatedColumnFormula>SUMIFS(tabela_registros[VALOR],tabela_registros[MÊS],$AE$1,tabela_registros[DIA],investirrendavariávelconsolidadojun[[#Headers],[19]],tabela_registros[REGISTRO],DADOS!$N$3,tabela_registros[TIPO],DADOS!$V$3,tabela_registros[CATEGORIA],investirrendavariávelconsolidadojun[[#This Row],[ATUAL]])</calculatedColumnFormula>
    </tableColumn>
    <tableColumn id="21" xr3:uid="{9773A876-A81F-4779-A880-7AD71C3F6D93}" name="20" totalsRowFunction="sum" dataDxfId="4962" totalsRowDxfId="4961" dataCellStyle="Moeda">
      <calculatedColumnFormula>SUMIFS(tabela_registros[VALOR],tabela_registros[MÊS],$AE$1,tabela_registros[DIA],investirrendavariávelconsolidadojun[[#Headers],[20]],tabela_registros[REGISTRO],DADOS!$N$3,tabela_registros[TIPO],DADOS!$V$3,tabela_registros[CATEGORIA],investirrendavariávelconsolidadojun[[#This Row],[ATUAL]])</calculatedColumnFormula>
    </tableColumn>
    <tableColumn id="22" xr3:uid="{3708B5DF-516E-4D0E-9626-C39454FA774B}" name="21" totalsRowFunction="sum" dataDxfId="4960" totalsRowDxfId="4959" dataCellStyle="Moeda">
      <calculatedColumnFormula>SUMIFS(tabela_registros[VALOR],tabela_registros[MÊS],$AE$1,tabela_registros[DIA],investirrendavariávelconsolidadojun[[#Headers],[21]],tabela_registros[REGISTRO],DADOS!$N$3,tabela_registros[TIPO],DADOS!$V$3,tabela_registros[CATEGORIA],investirrendavariávelconsolidadojun[[#This Row],[ATUAL]])</calculatedColumnFormula>
    </tableColumn>
    <tableColumn id="23" xr3:uid="{BC01CFCE-1A7D-4921-9B5A-DB153FDC20F4}" name="22" totalsRowFunction="sum" dataDxfId="4958" totalsRowDxfId="4957" dataCellStyle="Moeda">
      <calculatedColumnFormula>SUMIFS(tabela_registros[VALOR],tabela_registros[MÊS],$AE$1,tabela_registros[DIA],investirrendavariávelconsolidadojun[[#Headers],[22]],tabela_registros[REGISTRO],DADOS!$N$3,tabela_registros[TIPO],DADOS!$V$3,tabela_registros[CATEGORIA],investirrendavariávelconsolidadojun[[#This Row],[ATUAL]])</calculatedColumnFormula>
    </tableColumn>
    <tableColumn id="24" xr3:uid="{B1E15117-E33F-4795-A927-B40C1358A19E}" name="23" totalsRowFunction="sum" dataDxfId="4956" totalsRowDxfId="4955" dataCellStyle="Moeda">
      <calculatedColumnFormula>SUMIFS(tabela_registros[VALOR],tabela_registros[MÊS],$AE$1,tabela_registros[DIA],investirrendavariávelconsolidadojun[[#Headers],[23]],tabela_registros[REGISTRO],DADOS!$N$3,tabela_registros[TIPO],DADOS!$V$3,tabela_registros[CATEGORIA],investirrendavariávelconsolidadojun[[#This Row],[ATUAL]])</calculatedColumnFormula>
    </tableColumn>
    <tableColumn id="25" xr3:uid="{09F3C437-B4CE-483C-AA3D-1D15E5882945}" name="24" totalsRowFunction="sum" dataDxfId="4954" totalsRowDxfId="4953" dataCellStyle="Moeda">
      <calculatedColumnFormula>SUMIFS(tabela_registros[VALOR],tabela_registros[MÊS],$AE$1,tabela_registros[DIA],investirrendavariávelconsolidadojun[[#Headers],[24]],tabela_registros[REGISTRO],DADOS!$N$3,tabela_registros[TIPO],DADOS!$V$3,tabela_registros[CATEGORIA],investirrendavariávelconsolidadojun[[#This Row],[ATUAL]])</calculatedColumnFormula>
    </tableColumn>
    <tableColumn id="26" xr3:uid="{2417AAFF-3D07-47D9-8C3C-3FAB874F5BEC}" name="25" totalsRowFunction="sum" dataDxfId="4952" totalsRowDxfId="4951" dataCellStyle="Moeda">
      <calculatedColumnFormula>SUMIFS(tabela_registros[VALOR],tabela_registros[MÊS],$AE$1,tabela_registros[DIA],investirrendavariávelconsolidadojun[[#Headers],[25]],tabela_registros[REGISTRO],DADOS!$N$3,tabela_registros[TIPO],DADOS!$V$3,tabela_registros[CATEGORIA],investirrendavariávelconsolidadojun[[#This Row],[ATUAL]])</calculatedColumnFormula>
    </tableColumn>
    <tableColumn id="27" xr3:uid="{16A148C6-4C77-423C-8F1E-EF251417C0C2}" name="26" totalsRowFunction="sum" dataDxfId="4950" totalsRowDxfId="4949" dataCellStyle="Moeda">
      <calculatedColumnFormula>SUMIFS(tabela_registros[VALOR],tabela_registros[MÊS],$AE$1,tabela_registros[DIA],investirrendavariávelconsolidadojun[[#Headers],[26]],tabela_registros[REGISTRO],DADOS!$N$3,tabela_registros[TIPO],DADOS!$V$3,tabela_registros[CATEGORIA],investirrendavariávelconsolidadojun[[#This Row],[ATUAL]])</calculatedColumnFormula>
    </tableColumn>
    <tableColumn id="28" xr3:uid="{77D019D6-D9CA-4D0C-A0BC-72966D88C8D2}" name="27" totalsRowFunction="sum" dataDxfId="4948" totalsRowDxfId="4947" dataCellStyle="Moeda">
      <calculatedColumnFormula>SUMIFS(tabela_registros[VALOR],tabela_registros[MÊS],$AE$1,tabela_registros[DIA],investirrendavariávelconsolidadojun[[#Headers],[27]],tabela_registros[REGISTRO],DADOS!$N$3,tabela_registros[TIPO],DADOS!$V$3,tabela_registros[CATEGORIA],investirrendavariávelconsolidadojun[[#This Row],[ATUAL]])</calculatedColumnFormula>
    </tableColumn>
    <tableColumn id="29" xr3:uid="{4D117BEC-0509-4FD3-B685-1F8341549215}" name="28" totalsRowFunction="sum" dataDxfId="4946" totalsRowDxfId="4945" dataCellStyle="Moeda">
      <calculatedColumnFormula>SUMIFS(tabela_registros[VALOR],tabela_registros[MÊS],$AE$1,tabela_registros[DIA],investirrendavariávelconsolidadojun[[#Headers],[28]],tabela_registros[REGISTRO],DADOS!$N$3,tabela_registros[TIPO],DADOS!$V$3,tabela_registros[CATEGORIA],investirrendavariávelconsolidadojun[[#This Row],[ATUAL]])</calculatedColumnFormula>
    </tableColumn>
    <tableColumn id="30" xr3:uid="{230B8D89-80C6-4557-87AA-CA607E06B4B5}" name="29" totalsRowFunction="sum" dataDxfId="4944" totalsRowDxfId="4943" dataCellStyle="Moeda">
      <calculatedColumnFormula>SUMIFS(tabela_registros[VALOR],tabela_registros[MÊS],$AE$1,tabela_registros[DIA],investirrendavariávelconsolidadojun[[#Headers],[29]],tabela_registros[REGISTRO],DADOS!$N$3,tabela_registros[TIPO],DADOS!$V$3,tabela_registros[CATEGORIA],investirrendavariávelconsolidadojun[[#This Row],[ATUAL]])</calculatedColumnFormula>
    </tableColumn>
    <tableColumn id="31" xr3:uid="{1A01FD4B-85F0-41FE-B17E-0196F2C735A0}" name="30" totalsRowFunction="sum" dataDxfId="4942" totalsRowDxfId="4941" dataCellStyle="Moeda">
      <calculatedColumnFormula>SUMIFS(tabela_registros[VALOR],tabela_registros[MÊS],$AE$1,tabela_registros[DIA],investirrendavariávelconsolidadojun[[#Headers],[30]],tabela_registros[REGISTRO],DADOS!$N$3,tabela_registros[TIPO],DADOS!$V$3,tabela_registros[CATEGORIA],investirrendavariávelconsolidadojun[[#This Row],[ATUAL]])</calculatedColumnFormula>
    </tableColumn>
    <tableColumn id="32" xr3:uid="{755B219A-E6B9-42B2-9AAD-2F54ACAD6447}" name="31" totalsRowFunction="sum" dataDxfId="4940" totalsRowDxfId="4939" dataCellStyle="Moeda">
      <calculatedColumnFormula>SUMIFS(tabela_registros[VALOR],tabela_registros[MÊS],$AE$1,tabela_registros[DIA],investirrendavariávelconsolidadojun[[#Headers],[31]],tabela_registros[REGISTRO],DADOS!$N$3,tabela_registros[TIPO],DADOS!$V$3,tabela_registros[CATEGORIA],investirrendavariávelconsolidadojun[[#This Row],[ATUAL]])</calculatedColumnFormula>
    </tableColumn>
    <tableColumn id="33" xr3:uid="{F44234FC-5468-4DBE-BF77-523CECCB74C3}" name="TOTAL (R$)" totalsRowFunction="sum" dataDxfId="4938" dataCellStyle="Moeda">
      <calculatedColumnFormula>SUM(investirrendavariávelconsolidadojun[[#This Row],[1]:[31]])</calculatedColumnFormula>
    </tableColumn>
  </tableColumns>
  <tableStyleInfo name="TABELAS RESULTADOS" showFirstColumn="0" showLastColumn="0" showRowStripes="1" showColumnStripes="0"/>
</table>
</file>

<file path=xl/tables/table8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8" xr:uid="{C557ED9A-E7F7-4400-BA68-AF329132EDF5}" name="investiroutrosconsolidadojun" displayName="investiroutrosconsolidadojun" ref="C150:AJ159" headerRowDxfId="4937" dataDxfId="4936" totalsRowDxfId="4935">
  <autoFilter ref="C150:AJ159" xr:uid="{6183CEF1-477D-4448-9404-9007701FBB5F}"/>
  <tableColumns count="34">
    <tableColumn id="1" xr3:uid="{957ED318-0833-477A-82CD-284904B1718D}" name="ATUAL" totalsRowLabel="SALDO" dataDxfId="4934"/>
    <tableColumn id="34" xr3:uid="{62E8AB93-F293-49F4-8F40-D06EAE5A09FA}" name="Coluna1" dataDxfId="4933" totalsRowDxfId="4932">
      <calculatedColumnFormula>IF(investiroutrosconsolidadojun[[#This Row],[TOTAL (R$)]]=0,"",IF(OR(investiroutrosconsolidadojun[[#This Row],[TOTAL (R$)]]=LARGE($AJ$151:$AJ$158,1),investiroutrosconsolidadojun[[#This Row],[TOTAL (R$)]]=LARGE($AJ$151:$AJ$158,2)),DADOS!$I$10,""))</calculatedColumnFormula>
    </tableColumn>
    <tableColumn id="2" xr3:uid="{CEE979E7-EE7D-4399-A6B6-A81FD1B09195}" name="1" totalsRowFunction="sum" dataDxfId="4931" dataCellStyle="Moeda"/>
    <tableColumn id="3" xr3:uid="{4E656846-561F-4DDF-B55D-AE05E614727A}" name="2" totalsRowFunction="sum" dataDxfId="4930" dataCellStyle="Moeda">
      <calculatedColumnFormula>SUMIFS(tabela_registros[VALOR],tabela_registros[MÊS],$AE$1,tabela_registros[DIA],investiroutrosconsolidadojun[[#Headers],[2]],tabela_registros[REGISTRO],DADOS!$N$3,tabela_registros[TIPO],DADOS!$V$3,tabela_registros[CATEGORIA],investiroutrosconsolidadojun[[#This Row],[ATUAL]])</calculatedColumnFormula>
    </tableColumn>
    <tableColumn id="4" xr3:uid="{962AE04F-5770-484D-BFAE-3A709690FBFA}" name="3" totalsRowFunction="sum" dataDxfId="4929" totalsRowDxfId="4928" dataCellStyle="Moeda">
      <calculatedColumnFormula>SUMIFS(tabela_registros[VALOR],tabela_registros[MÊS],$AE$1,tabela_registros[DIA],investiroutrosconsolidadojun[[#Headers],[3]],tabela_registros[REGISTRO],DADOS!$N$3,tabela_registros[TIPO],DADOS!$V$3,tabela_registros[CATEGORIA],investiroutrosconsolidadojun[[#This Row],[ATUAL]])</calculatedColumnFormula>
    </tableColumn>
    <tableColumn id="5" xr3:uid="{0C0AC8E6-BDB4-4504-941E-5D377A7048BC}" name="4" totalsRowFunction="sum" dataDxfId="4927" totalsRowDxfId="4926" dataCellStyle="Moeda">
      <calculatedColumnFormula>SUMIFS(tabela_registros[VALOR],tabela_registros[MÊS],$AE$1,tabela_registros[DIA],investiroutrosconsolidadojun[[#Headers],[4]],tabela_registros[REGISTRO],DADOS!$N$3,tabela_registros[TIPO],DADOS!$V$3,tabela_registros[CATEGORIA],investiroutrosconsolidadojun[[#This Row],[ATUAL]])</calculatedColumnFormula>
    </tableColumn>
    <tableColumn id="6" xr3:uid="{35E5EEAB-9800-4885-B67A-58D5683A0C8F}" name="5" totalsRowFunction="sum" dataDxfId="4925" totalsRowDxfId="4924" dataCellStyle="Moeda">
      <calculatedColumnFormula>SUMIFS(tabela_registros[VALOR],tabela_registros[MÊS],$AE$1,tabela_registros[DIA],investiroutrosconsolidadojun[[#Headers],[5]],tabela_registros[REGISTRO],DADOS!$N$3,tabela_registros[TIPO],DADOS!$V$3,tabela_registros[CATEGORIA],investiroutrosconsolidadojun[[#This Row],[ATUAL]])</calculatedColumnFormula>
    </tableColumn>
    <tableColumn id="7" xr3:uid="{2FE0BE29-F15C-4554-8AB0-7761960D364E}" name="6" totalsRowFunction="sum" dataDxfId="4923" totalsRowDxfId="4922" dataCellStyle="Moeda">
      <calculatedColumnFormula>SUMIFS(tabela_registros[VALOR],tabela_registros[MÊS],$AE$1,tabela_registros[DIA],investiroutrosconsolidadojun[[#Headers],[6]],tabela_registros[REGISTRO],DADOS!$N$3,tabela_registros[TIPO],DADOS!$V$3,tabela_registros[CATEGORIA],investiroutrosconsolidadojun[[#This Row],[ATUAL]])</calculatedColumnFormula>
    </tableColumn>
    <tableColumn id="8" xr3:uid="{EC3137A1-E511-4F88-B37F-AFF91F24A1A5}" name="7" totalsRowFunction="sum" dataDxfId="4921" totalsRowDxfId="4920" dataCellStyle="Moeda">
      <calculatedColumnFormula>SUMIFS(tabela_registros[VALOR],tabela_registros[MÊS],$AE$1,tabela_registros[DIA],investiroutrosconsolidadojun[[#Headers],[7]],tabela_registros[REGISTRO],DADOS!$N$3,tabela_registros[TIPO],DADOS!$V$3,tabela_registros[CATEGORIA],investiroutrosconsolidadojun[[#This Row],[ATUAL]])</calculatedColumnFormula>
    </tableColumn>
    <tableColumn id="9" xr3:uid="{EC7D2BF1-4754-4840-B931-29B913622D25}" name="8" totalsRowFunction="sum" dataDxfId="4919" totalsRowDxfId="4918" dataCellStyle="Moeda">
      <calculatedColumnFormula>SUMIFS(tabela_registros[VALOR],tabela_registros[MÊS],$AE$1,tabela_registros[DIA],investiroutrosconsolidadojun[[#Headers],[8]],tabela_registros[REGISTRO],DADOS!$N$3,tabela_registros[TIPO],DADOS!$V$3,tabela_registros[CATEGORIA],investiroutrosconsolidadojun[[#This Row],[ATUAL]])</calculatedColumnFormula>
    </tableColumn>
    <tableColumn id="10" xr3:uid="{709DF12C-B368-486C-808A-840DC36B2FE2}" name="9" totalsRowFunction="sum" dataDxfId="4917" totalsRowDxfId="4916" dataCellStyle="Moeda">
      <calculatedColumnFormula>SUMIFS(tabela_registros[VALOR],tabela_registros[MÊS],$AE$1,tabela_registros[DIA],investiroutrosconsolidadojun[[#Headers],[9]],tabela_registros[REGISTRO],DADOS!$N$3,tabela_registros[TIPO],DADOS!$V$3,tabela_registros[CATEGORIA],investiroutrosconsolidadojun[[#This Row],[ATUAL]])</calculatedColumnFormula>
    </tableColumn>
    <tableColumn id="11" xr3:uid="{610A1947-3369-4274-A397-E12D486EE9D0}" name="10" totalsRowFunction="sum" dataDxfId="4915" totalsRowDxfId="4914" dataCellStyle="Moeda">
      <calculatedColumnFormula>SUMIFS(tabela_registros[VALOR],tabela_registros[MÊS],$AE$1,tabela_registros[DIA],investiroutrosconsolidadojun[[#Headers],[10]],tabela_registros[REGISTRO],DADOS!$N$3,tabela_registros[TIPO],DADOS!$V$3,tabela_registros[CATEGORIA],investiroutrosconsolidadojun[[#This Row],[ATUAL]])</calculatedColumnFormula>
    </tableColumn>
    <tableColumn id="12" xr3:uid="{82BCD27D-ABF6-4A66-BA1E-3DCDAA941BC9}" name="11" totalsRowFunction="sum" dataDxfId="4913" totalsRowDxfId="4912" dataCellStyle="Moeda">
      <calculatedColumnFormula>SUMIFS(tabela_registros[VALOR],tabela_registros[MÊS],$AE$1,tabela_registros[DIA],investiroutrosconsolidadojun[[#Headers],[11]],tabela_registros[REGISTRO],DADOS!$N$3,tabela_registros[TIPO],DADOS!$V$3,tabela_registros[CATEGORIA],investiroutrosconsolidadojun[[#This Row],[ATUAL]])</calculatedColumnFormula>
    </tableColumn>
    <tableColumn id="13" xr3:uid="{7A4B1FF0-F017-4FF9-8C76-D00DA8E62FB2}" name="12" totalsRowFunction="sum" dataDxfId="4911" totalsRowDxfId="4910" dataCellStyle="Moeda">
      <calculatedColumnFormula>SUMIFS(tabela_registros[VALOR],tabela_registros[MÊS],$AE$1,tabela_registros[DIA],investiroutrosconsolidadojun[[#Headers],[12]],tabela_registros[REGISTRO],DADOS!$N$3,tabela_registros[TIPO],DADOS!$V$3,tabela_registros[CATEGORIA],investiroutrosconsolidadojun[[#This Row],[ATUAL]])</calculatedColumnFormula>
    </tableColumn>
    <tableColumn id="14" xr3:uid="{07DC1683-8B00-450D-A4C4-DFA6C0693F3D}" name="13" totalsRowFunction="sum" dataDxfId="4909" totalsRowDxfId="4908" dataCellStyle="Moeda">
      <calculatedColumnFormula>SUMIFS(tabela_registros[VALOR],tabela_registros[MÊS],$AE$1,tabela_registros[DIA],investiroutrosconsolidadojun[[#Headers],[13]],tabela_registros[REGISTRO],DADOS!$N$3,tabela_registros[TIPO],DADOS!$V$3,tabela_registros[CATEGORIA],investiroutrosconsolidadojun[[#This Row],[ATUAL]])</calculatedColumnFormula>
    </tableColumn>
    <tableColumn id="15" xr3:uid="{A8FEB7F6-2CB5-498F-8054-F7930CB6131D}" name="14" totalsRowFunction="sum" dataDxfId="4907" totalsRowDxfId="4906" dataCellStyle="Moeda">
      <calculatedColumnFormula>SUMIFS(tabela_registros[VALOR],tabela_registros[MÊS],$AE$1,tabela_registros[DIA],investiroutrosconsolidadojun[[#Headers],[14]],tabela_registros[REGISTRO],DADOS!$N$3,tabela_registros[TIPO],DADOS!$V$3,tabela_registros[CATEGORIA],investiroutrosconsolidadojun[[#This Row],[ATUAL]])</calculatedColumnFormula>
    </tableColumn>
    <tableColumn id="16" xr3:uid="{8B8DC024-9F92-4510-8264-FB793B06B9A9}" name="15" totalsRowFunction="sum" dataDxfId="4905" totalsRowDxfId="4904" dataCellStyle="Moeda">
      <calculatedColumnFormula>SUMIFS(tabela_registros[VALOR],tabela_registros[MÊS],$AE$1,tabela_registros[DIA],investiroutrosconsolidadojun[[#Headers],[15]],tabela_registros[REGISTRO],DADOS!$N$3,tabela_registros[TIPO],DADOS!$V$3,tabela_registros[CATEGORIA],investiroutrosconsolidadojun[[#This Row],[ATUAL]])</calculatedColumnFormula>
    </tableColumn>
    <tableColumn id="17" xr3:uid="{007A320E-620A-4B02-8EB1-B247F2DA50B5}" name="16" totalsRowFunction="sum" dataDxfId="4903" totalsRowDxfId="4902" dataCellStyle="Moeda">
      <calculatedColumnFormula>SUMIFS(tabela_registros[VALOR],tabela_registros[MÊS],$AE$1,tabela_registros[DIA],investiroutrosconsolidadojun[[#Headers],[16]],tabela_registros[REGISTRO],DADOS!$N$3,tabela_registros[TIPO],DADOS!$V$3,tabela_registros[CATEGORIA],investiroutrosconsolidadojun[[#This Row],[ATUAL]])</calculatedColumnFormula>
    </tableColumn>
    <tableColumn id="18" xr3:uid="{2EE2ABD5-A94F-45E1-9CFC-4995B34B07BC}" name="17" totalsRowFunction="sum" dataDxfId="4901" totalsRowDxfId="4900" dataCellStyle="Moeda">
      <calculatedColumnFormula>SUMIFS(tabela_registros[VALOR],tabela_registros[MÊS],$AE$1,tabela_registros[DIA],investiroutrosconsolidadojun[[#Headers],[17]],tabela_registros[REGISTRO],DADOS!$N$3,tabela_registros[TIPO],DADOS!$V$3,tabela_registros[CATEGORIA],investiroutrosconsolidadojun[[#This Row],[ATUAL]])</calculatedColumnFormula>
    </tableColumn>
    <tableColumn id="19" xr3:uid="{CA021990-46B7-4325-B385-55906E2EF8F2}" name="18" totalsRowFunction="sum" dataDxfId="4899" totalsRowDxfId="4898" dataCellStyle="Moeda">
      <calculatedColumnFormula>SUMIFS(tabela_registros[VALOR],tabela_registros[MÊS],$AE$1,tabela_registros[DIA],investiroutrosconsolidadojun[[#Headers],[18]],tabela_registros[REGISTRO],DADOS!$N$3,tabela_registros[TIPO],DADOS!$V$3,tabela_registros[CATEGORIA],investiroutrosconsolidadojun[[#This Row],[ATUAL]])</calculatedColumnFormula>
    </tableColumn>
    <tableColumn id="20" xr3:uid="{E1AE41A2-30B9-412E-8211-43809BF9AA85}" name="19" totalsRowFunction="sum" dataDxfId="4897" totalsRowDxfId="4896" dataCellStyle="Moeda">
      <calculatedColumnFormula>SUMIFS(tabela_registros[VALOR],tabela_registros[MÊS],$AE$1,tabela_registros[DIA],investiroutrosconsolidadojun[[#Headers],[19]],tabela_registros[REGISTRO],DADOS!$N$3,tabela_registros[TIPO],DADOS!$V$3,tabela_registros[CATEGORIA],investiroutrosconsolidadojun[[#This Row],[ATUAL]])</calculatedColumnFormula>
    </tableColumn>
    <tableColumn id="21" xr3:uid="{C3B15B45-6504-4E01-85DB-6BC24C0252DF}" name="20" totalsRowFunction="sum" dataDxfId="4895" totalsRowDxfId="4894" dataCellStyle="Moeda">
      <calculatedColumnFormula>SUMIFS(tabela_registros[VALOR],tabela_registros[MÊS],$AE$1,tabela_registros[DIA],investiroutrosconsolidadojun[[#Headers],[20]],tabela_registros[REGISTRO],DADOS!$N$3,tabela_registros[TIPO],DADOS!$V$3,tabela_registros[CATEGORIA],investiroutrosconsolidadojun[[#This Row],[ATUAL]])</calculatedColumnFormula>
    </tableColumn>
    <tableColumn id="22" xr3:uid="{56C082AE-C3B7-46BE-8A67-D624991BDC85}" name="21" totalsRowFunction="sum" dataDxfId="4893" totalsRowDxfId="4892" dataCellStyle="Moeda">
      <calculatedColumnFormula>SUMIFS(tabela_registros[VALOR],tabela_registros[MÊS],$AE$1,tabela_registros[DIA],investiroutrosconsolidadojun[[#Headers],[21]],tabela_registros[REGISTRO],DADOS!$N$3,tabela_registros[TIPO],DADOS!$V$3,tabela_registros[CATEGORIA],investiroutrosconsolidadojun[[#This Row],[ATUAL]])</calculatedColumnFormula>
    </tableColumn>
    <tableColumn id="23" xr3:uid="{28723D23-4FF0-431F-85EA-04F0AFFC5337}" name="22" totalsRowFunction="sum" dataDxfId="4891" totalsRowDxfId="4890" dataCellStyle="Moeda">
      <calculatedColumnFormula>SUMIFS(tabela_registros[VALOR],tabela_registros[MÊS],$AE$1,tabela_registros[DIA],investiroutrosconsolidadojun[[#Headers],[22]],tabela_registros[REGISTRO],DADOS!$N$3,tabela_registros[TIPO],DADOS!$V$3,tabela_registros[CATEGORIA],investiroutrosconsolidadojun[[#This Row],[ATUAL]])</calculatedColumnFormula>
    </tableColumn>
    <tableColumn id="24" xr3:uid="{D3F13021-E4FF-4007-BB60-FD2C6D47CDB2}" name="23" totalsRowFunction="sum" dataDxfId="4889" totalsRowDxfId="4888" dataCellStyle="Moeda">
      <calculatedColumnFormula>SUMIFS(tabela_registros[VALOR],tabela_registros[MÊS],$AE$1,tabela_registros[DIA],investiroutrosconsolidadojun[[#Headers],[23]],tabela_registros[REGISTRO],DADOS!$N$3,tabela_registros[TIPO],DADOS!$V$3,tabela_registros[CATEGORIA],investiroutrosconsolidadojun[[#This Row],[ATUAL]])</calculatedColumnFormula>
    </tableColumn>
    <tableColumn id="25" xr3:uid="{14D37E98-62CE-44C7-8461-AD80BE943382}" name="24" totalsRowFunction="sum" dataDxfId="4887" totalsRowDxfId="4886" dataCellStyle="Moeda">
      <calculatedColumnFormula>SUMIFS(tabela_registros[VALOR],tabela_registros[MÊS],$AE$1,tabela_registros[DIA],investiroutrosconsolidadojun[[#Headers],[24]],tabela_registros[REGISTRO],DADOS!$N$3,tabela_registros[TIPO],DADOS!$V$3,tabela_registros[CATEGORIA],investiroutrosconsolidadojun[[#This Row],[ATUAL]])</calculatedColumnFormula>
    </tableColumn>
    <tableColumn id="26" xr3:uid="{2391275A-20E2-44F8-AA2E-275208E24006}" name="25" totalsRowFunction="sum" dataDxfId="4885" totalsRowDxfId="4884" dataCellStyle="Moeda">
      <calculatedColumnFormula>SUMIFS(tabela_registros[VALOR],tabela_registros[MÊS],$AE$1,tabela_registros[DIA],investiroutrosconsolidadojun[[#Headers],[25]],tabela_registros[REGISTRO],DADOS!$N$3,tabela_registros[TIPO],DADOS!$V$3,tabela_registros[CATEGORIA],investiroutrosconsolidadojun[[#This Row],[ATUAL]])</calculatedColumnFormula>
    </tableColumn>
    <tableColumn id="27" xr3:uid="{61733234-C5F6-4ABD-AB24-6B07D8C801BE}" name="26" totalsRowFunction="sum" dataDxfId="4883" totalsRowDxfId="4882" dataCellStyle="Moeda">
      <calculatedColumnFormula>SUMIFS(tabela_registros[VALOR],tabela_registros[MÊS],$AE$1,tabela_registros[DIA],investiroutrosconsolidadojun[[#Headers],[26]],tabela_registros[REGISTRO],DADOS!$N$3,tabela_registros[TIPO],DADOS!$V$3,tabela_registros[CATEGORIA],investiroutrosconsolidadojun[[#This Row],[ATUAL]])</calculatedColumnFormula>
    </tableColumn>
    <tableColumn id="28" xr3:uid="{76E3C239-7B8F-4C9A-8FD1-25D8EE2F1D02}" name="27" totalsRowFunction="sum" dataDxfId="4881" totalsRowDxfId="4880" dataCellStyle="Moeda">
      <calculatedColumnFormula>SUMIFS(tabela_registros[VALOR],tabela_registros[MÊS],$AE$1,tabela_registros[DIA],investiroutrosconsolidadojun[[#Headers],[27]],tabela_registros[REGISTRO],DADOS!$N$3,tabela_registros[TIPO],DADOS!$V$3,tabela_registros[CATEGORIA],investiroutrosconsolidadojun[[#This Row],[ATUAL]])</calculatedColumnFormula>
    </tableColumn>
    <tableColumn id="29" xr3:uid="{6CC48EAA-6EF2-422B-A49A-36B70B443767}" name="28" totalsRowFunction="sum" dataDxfId="4879" totalsRowDxfId="4878" dataCellStyle="Moeda">
      <calculatedColumnFormula>SUMIFS(tabela_registros[VALOR],tabela_registros[MÊS],$AE$1,tabela_registros[DIA],investiroutrosconsolidadojun[[#Headers],[28]],tabela_registros[REGISTRO],DADOS!$N$3,tabela_registros[TIPO],DADOS!$V$3,tabela_registros[CATEGORIA],investiroutrosconsolidadojun[[#This Row],[ATUAL]])</calculatedColumnFormula>
    </tableColumn>
    <tableColumn id="30" xr3:uid="{2DA179FE-485D-4DB5-A47C-9BCEB4DA7CA6}" name="29" totalsRowFunction="sum" dataDxfId="4877" totalsRowDxfId="4876" dataCellStyle="Moeda">
      <calculatedColumnFormula>SUMIFS(tabela_registros[VALOR],tabela_registros[MÊS],$AE$1,tabela_registros[DIA],investiroutrosconsolidadojun[[#Headers],[29]],tabela_registros[REGISTRO],DADOS!$N$3,tabela_registros[TIPO],DADOS!$V$3,tabela_registros[CATEGORIA],investiroutrosconsolidadojun[[#This Row],[ATUAL]])</calculatedColumnFormula>
    </tableColumn>
    <tableColumn id="31" xr3:uid="{836A81CB-525F-47C3-A7F7-AFECD78B18A7}" name="30" totalsRowFunction="sum" dataDxfId="4875" totalsRowDxfId="4874" dataCellStyle="Moeda">
      <calculatedColumnFormula>SUMIFS(tabela_registros[VALOR],tabela_registros[MÊS],$AE$1,tabela_registros[DIA],investiroutrosconsolidadojun[[#Headers],[30]],tabela_registros[REGISTRO],DADOS!$N$3,tabela_registros[TIPO],DADOS!$V$3,tabela_registros[CATEGORIA],investiroutrosconsolidadojun[[#This Row],[ATUAL]])</calculatedColumnFormula>
    </tableColumn>
    <tableColumn id="32" xr3:uid="{3755734C-9C6A-4E72-89A8-23C8CCCA3C6F}" name="31" totalsRowFunction="sum" dataDxfId="4873" totalsRowDxfId="4872" dataCellStyle="Moeda">
      <calculatedColumnFormula>SUMIFS(tabela_registros[VALOR],tabela_registros[MÊS],$AE$1,tabela_registros[DIA],investiroutrosconsolidadojun[[#Headers],[31]],tabela_registros[REGISTRO],DADOS!$N$3,tabela_registros[TIPO],DADOS!$V$3,tabela_registros[CATEGORIA],investiroutrosconsolidadojun[[#This Row],[ATUAL]])</calculatedColumnFormula>
    </tableColumn>
    <tableColumn id="33" xr3:uid="{DF485880-BCD2-4248-B894-A018C21B301C}" name="TOTAL (R$)" totalsRowFunction="sum" dataDxfId="4871" dataCellStyle="Moeda">
      <calculatedColumnFormula>SUM(investiroutrosconsolidadojun[[#This Row],[1]:[31]])</calculatedColumnFormula>
    </tableColumn>
  </tableColumns>
  <tableStyleInfo name="TABELAS RESULTADOS" showFirstColumn="0" showLastColumn="0" showRowStripes="1" showColumnStripes="0"/>
</table>
</file>

<file path=xl/tables/table8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9" xr:uid="{B50B1E16-D4D2-4EDA-9E83-85F5FF9EA278}" name="reservafixaconsolidadojun" displayName="reservafixaconsolidadojun" ref="C167:AJ178" headerRowDxfId="4870" dataDxfId="4869" totalsRowDxfId="4868">
  <autoFilter ref="C167:AJ178" xr:uid="{CDBD73CF-1633-4509-BA0C-4B73FF7E50BA}"/>
  <tableColumns count="34">
    <tableColumn id="1" xr3:uid="{41A08DC8-9AF2-4CC8-8F02-62B012E1D34F}" name="ATUAL" totalsRowLabel="SALDO" dataDxfId="4867"/>
    <tableColumn id="34" xr3:uid="{80961E58-7FFB-4552-B82A-25ECAD9E252E}" name="Coluna1" dataDxfId="4866" totalsRowDxfId="4865">
      <calculatedColumnFormula>IF(reservafixaconsolidadojun[[#This Row],[TOTAL (R$)]]=0,"",IF(OR(reservafixaconsolidadojun[[#This Row],[TOTAL (R$)]]=LARGE($AJ$168:$AJ$177,1),reservafixaconsolidadojun[[#This Row],[TOTAL (R$)]]=LARGE($AJ$168:$AJ$177,2)),DADOS!$I$11,""))</calculatedColumnFormula>
    </tableColumn>
    <tableColumn id="2" xr3:uid="{3FFAF8AE-7FCD-4CB1-A64F-C3DE6ED1F327}" name="1" totalsRowFunction="sum" dataDxfId="4864" dataCellStyle="Moeda"/>
    <tableColumn id="3" xr3:uid="{A7722348-1FDE-4910-8F0C-5FB2C96555E9}" name="2" totalsRowFunction="sum" dataDxfId="4863" dataCellStyle="Moeda">
      <calculatedColumnFormula>SUMIFS(tabela_registros[VALOR],tabela_registros[MÊS],$AE$1,tabela_registros[DIA],reservafixaconsolidadojun[[#Headers],[2]],tabela_registros[REGISTRO],DADOS!$N$3,tabela_registros[TIPO],DADOS!$V$3,tabela_registros[CATEGORIA],reservafixaconsolidadojun[[#This Row],[ATUAL]])</calculatedColumnFormula>
    </tableColumn>
    <tableColumn id="4" xr3:uid="{FD69E9B8-4941-4FAA-B4AB-7C845A736955}" name="3" totalsRowFunction="sum" dataDxfId="4862" totalsRowDxfId="4861" dataCellStyle="Moeda">
      <calculatedColumnFormula>SUMIFS(tabela_registros[VALOR],tabela_registros[MÊS],$AE$1,tabela_registros[DIA],reservafixaconsolidadojun[[#Headers],[3]],tabela_registros[REGISTRO],DADOS!$N$3,tabela_registros[TIPO],DADOS!$V$3,tabela_registros[CATEGORIA],reservafixaconsolidadojun[[#This Row],[ATUAL]])</calculatedColumnFormula>
    </tableColumn>
    <tableColumn id="5" xr3:uid="{5437F8A7-6726-4111-A8FA-1AA3F709592D}" name="4" totalsRowFunction="sum" dataDxfId="4860" totalsRowDxfId="4859" dataCellStyle="Moeda">
      <calculatedColumnFormula>SUMIFS(tabela_registros[VALOR],tabela_registros[MÊS],$AE$1,tabela_registros[DIA],reservafixaconsolidadojun[[#Headers],[4]],tabela_registros[REGISTRO],DADOS!$N$3,tabela_registros[TIPO],DADOS!$V$3,tabela_registros[CATEGORIA],reservafixaconsolidadojun[[#This Row],[ATUAL]])</calculatedColumnFormula>
    </tableColumn>
    <tableColumn id="6" xr3:uid="{FFB675B3-B973-4F86-99A1-5F588195DBC9}" name="5" totalsRowFunction="sum" dataDxfId="4858" totalsRowDxfId="4857" dataCellStyle="Moeda">
      <calculatedColumnFormula>SUMIFS(tabela_registros[VALOR],tabela_registros[MÊS],$AE$1,tabela_registros[DIA],reservafixaconsolidadojun[[#Headers],[5]],tabela_registros[REGISTRO],DADOS!$N$3,tabela_registros[TIPO],DADOS!$V$3,tabela_registros[CATEGORIA],reservafixaconsolidadojun[[#This Row],[ATUAL]])</calculatedColumnFormula>
    </tableColumn>
    <tableColumn id="7" xr3:uid="{938A0ACD-0076-476A-80AA-0C111331B81D}" name="6" totalsRowFunction="sum" dataDxfId="4856" totalsRowDxfId="4855" dataCellStyle="Moeda">
      <calculatedColumnFormula>SUMIFS(tabela_registros[VALOR],tabela_registros[MÊS],$AE$1,tabela_registros[DIA],reservafixaconsolidadojun[[#Headers],[6]],tabela_registros[REGISTRO],DADOS!$N$3,tabela_registros[TIPO],DADOS!$V$3,tabela_registros[CATEGORIA],reservafixaconsolidadojun[[#This Row],[ATUAL]])</calculatedColumnFormula>
    </tableColumn>
    <tableColumn id="8" xr3:uid="{273B4A0E-1F95-4E37-BBFA-07F4213A527A}" name="7" totalsRowFunction="sum" dataDxfId="4854" totalsRowDxfId="4853" dataCellStyle="Moeda">
      <calculatedColumnFormula>SUMIFS(tabela_registros[VALOR],tabela_registros[MÊS],$AE$1,tabela_registros[DIA],reservafixaconsolidadojun[[#Headers],[7]],tabela_registros[REGISTRO],DADOS!$N$3,tabela_registros[TIPO],DADOS!$V$3,tabela_registros[CATEGORIA],reservafixaconsolidadojun[[#This Row],[ATUAL]])</calculatedColumnFormula>
    </tableColumn>
    <tableColumn id="9" xr3:uid="{75C4CEEA-1F3A-4429-8A34-8FF4B5D4E50F}" name="8" totalsRowFunction="sum" dataDxfId="4852" totalsRowDxfId="4851" dataCellStyle="Moeda">
      <calculatedColumnFormula>SUMIFS(tabela_registros[VALOR],tabela_registros[MÊS],$AE$1,tabela_registros[DIA],reservafixaconsolidadojun[[#Headers],[8]],tabela_registros[REGISTRO],DADOS!$N$3,tabela_registros[TIPO],DADOS!$V$3,tabela_registros[CATEGORIA],reservafixaconsolidadojun[[#This Row],[ATUAL]])</calculatedColumnFormula>
    </tableColumn>
    <tableColumn id="10" xr3:uid="{903D04BC-B1E5-4205-BE2F-180B32640F39}" name="9" totalsRowFunction="sum" dataDxfId="4850" totalsRowDxfId="4849" dataCellStyle="Moeda">
      <calculatedColumnFormula>SUMIFS(tabela_registros[VALOR],tabela_registros[MÊS],$AE$1,tabela_registros[DIA],reservafixaconsolidadojun[[#Headers],[9]],tabela_registros[REGISTRO],DADOS!$N$3,tabela_registros[TIPO],DADOS!$V$3,tabela_registros[CATEGORIA],reservafixaconsolidadojun[[#This Row],[ATUAL]])</calculatedColumnFormula>
    </tableColumn>
    <tableColumn id="11" xr3:uid="{204B84DF-D115-41D6-90A7-261051F0B3F6}" name="10" totalsRowFunction="sum" dataDxfId="4848" totalsRowDxfId="4847" dataCellStyle="Moeda">
      <calculatedColumnFormula>SUMIFS(tabela_registros[VALOR],tabela_registros[MÊS],$AE$1,tabela_registros[DIA],reservafixaconsolidadojun[[#Headers],[10]],tabela_registros[REGISTRO],DADOS!$N$3,tabela_registros[TIPO],DADOS!$V$3,tabela_registros[CATEGORIA],reservafixaconsolidadojun[[#This Row],[ATUAL]])</calculatedColumnFormula>
    </tableColumn>
    <tableColumn id="12" xr3:uid="{20B5D063-3604-4150-88F3-6F01E2DA38DA}" name="11" totalsRowFunction="sum" dataDxfId="4846" totalsRowDxfId="4845" dataCellStyle="Moeda">
      <calculatedColumnFormula>SUMIFS(tabela_registros[VALOR],tabela_registros[MÊS],$AE$1,tabela_registros[DIA],reservafixaconsolidadojun[[#Headers],[11]],tabela_registros[REGISTRO],DADOS!$N$3,tabela_registros[TIPO],DADOS!$V$3,tabela_registros[CATEGORIA],reservafixaconsolidadojun[[#This Row],[ATUAL]])</calculatedColumnFormula>
    </tableColumn>
    <tableColumn id="13" xr3:uid="{5F03A86A-1B7B-4A1D-9674-AF439966F146}" name="12" totalsRowFunction="sum" dataDxfId="4844" totalsRowDxfId="4843" dataCellStyle="Moeda">
      <calculatedColumnFormula>SUMIFS(tabela_registros[VALOR],tabela_registros[MÊS],$AE$1,tabela_registros[DIA],reservafixaconsolidadojun[[#Headers],[12]],tabela_registros[REGISTRO],DADOS!$N$3,tabela_registros[TIPO],DADOS!$V$3,tabela_registros[CATEGORIA],reservafixaconsolidadojun[[#This Row],[ATUAL]])</calculatedColumnFormula>
    </tableColumn>
    <tableColumn id="14" xr3:uid="{417ED86E-730C-4EDD-9E21-8F38333582F0}" name="13" totalsRowFunction="sum" dataDxfId="4842" totalsRowDxfId="4841" dataCellStyle="Moeda">
      <calculatedColumnFormula>SUMIFS(tabela_registros[VALOR],tabela_registros[MÊS],$AE$1,tabela_registros[DIA],reservafixaconsolidadojun[[#Headers],[13]],tabela_registros[REGISTRO],DADOS!$N$3,tabela_registros[TIPO],DADOS!$V$3,tabela_registros[CATEGORIA],reservafixaconsolidadojun[[#This Row],[ATUAL]])</calculatedColumnFormula>
    </tableColumn>
    <tableColumn id="15" xr3:uid="{983DEC11-8B6E-4138-8AAE-A265352F8230}" name="14" totalsRowFunction="sum" dataDxfId="4840" totalsRowDxfId="4839" dataCellStyle="Moeda">
      <calculatedColumnFormula>SUMIFS(tabela_registros[VALOR],tabela_registros[MÊS],$AE$1,tabela_registros[DIA],reservafixaconsolidadojun[[#Headers],[14]],tabela_registros[REGISTRO],DADOS!$N$3,tabela_registros[TIPO],DADOS!$V$3,tabela_registros[CATEGORIA],reservafixaconsolidadojun[[#This Row],[ATUAL]])</calculatedColumnFormula>
    </tableColumn>
    <tableColumn id="16" xr3:uid="{F9106BA0-9EE5-4EF8-913D-B8697CCFBC5E}" name="15" totalsRowFunction="sum" dataDxfId="4838" totalsRowDxfId="4837" dataCellStyle="Moeda">
      <calculatedColumnFormula>SUMIFS(tabela_registros[VALOR],tabela_registros[MÊS],$AE$1,tabela_registros[DIA],reservafixaconsolidadojun[[#Headers],[15]],tabela_registros[REGISTRO],DADOS!$N$3,tabela_registros[TIPO],DADOS!$V$3,tabela_registros[CATEGORIA],reservafixaconsolidadojun[[#This Row],[ATUAL]])</calculatedColumnFormula>
    </tableColumn>
    <tableColumn id="17" xr3:uid="{A09DD7D2-B5B1-4A26-857C-02EC51D3F33C}" name="16" totalsRowFunction="sum" dataDxfId="4836" totalsRowDxfId="4835" dataCellStyle="Moeda">
      <calculatedColumnFormula>SUMIFS(tabela_registros[VALOR],tabela_registros[MÊS],$AE$1,tabela_registros[DIA],reservafixaconsolidadojun[[#Headers],[16]],tabela_registros[REGISTRO],DADOS!$N$3,tabela_registros[TIPO],DADOS!$V$3,tabela_registros[CATEGORIA],reservafixaconsolidadojun[[#This Row],[ATUAL]])</calculatedColumnFormula>
    </tableColumn>
    <tableColumn id="18" xr3:uid="{07FD2DB9-36D8-45EC-A3A3-F36F91B5900A}" name="17" totalsRowFunction="sum" dataDxfId="4834" totalsRowDxfId="4833" dataCellStyle="Moeda">
      <calculatedColumnFormula>SUMIFS(tabela_registros[VALOR],tabela_registros[MÊS],$AE$1,tabela_registros[DIA],reservafixaconsolidadojun[[#Headers],[17]],tabela_registros[REGISTRO],DADOS!$N$3,tabela_registros[TIPO],DADOS!$V$3,tabela_registros[CATEGORIA],reservafixaconsolidadojun[[#This Row],[ATUAL]])</calculatedColumnFormula>
    </tableColumn>
    <tableColumn id="19" xr3:uid="{D37EAFCE-DF17-4B3D-A9F0-72BF8712A69A}" name="18" totalsRowFunction="sum" dataDxfId="4832" totalsRowDxfId="4831" dataCellStyle="Moeda">
      <calculatedColumnFormula>SUMIFS(tabela_registros[VALOR],tabela_registros[MÊS],$AE$1,tabela_registros[DIA],reservafixaconsolidadojun[[#Headers],[18]],tabela_registros[REGISTRO],DADOS!$N$3,tabela_registros[TIPO],DADOS!$V$3,tabela_registros[CATEGORIA],reservafixaconsolidadojun[[#This Row],[ATUAL]])</calculatedColumnFormula>
    </tableColumn>
    <tableColumn id="20" xr3:uid="{34FABC72-1CE9-4F22-9BCB-3E366BE1B7AD}" name="19" totalsRowFunction="sum" dataDxfId="4830" totalsRowDxfId="4829" dataCellStyle="Moeda">
      <calculatedColumnFormula>SUMIFS(tabela_registros[VALOR],tabela_registros[MÊS],$AE$1,tabela_registros[DIA],reservafixaconsolidadojun[[#Headers],[19]],tabela_registros[REGISTRO],DADOS!$N$3,tabela_registros[TIPO],DADOS!$V$3,tabela_registros[CATEGORIA],reservafixaconsolidadojun[[#This Row],[ATUAL]])</calculatedColumnFormula>
    </tableColumn>
    <tableColumn id="21" xr3:uid="{AD07C4D4-85D9-43B2-87BA-1B8CBE1CCAF9}" name="20" totalsRowFunction="sum" dataDxfId="4828" totalsRowDxfId="4827" dataCellStyle="Moeda">
      <calculatedColumnFormula>SUMIFS(tabela_registros[VALOR],tabela_registros[MÊS],$AE$1,tabela_registros[DIA],reservafixaconsolidadojun[[#Headers],[20]],tabela_registros[REGISTRO],DADOS!$N$3,tabela_registros[TIPO],DADOS!$V$3,tabela_registros[CATEGORIA],reservafixaconsolidadojun[[#This Row],[ATUAL]])</calculatedColumnFormula>
    </tableColumn>
    <tableColumn id="22" xr3:uid="{E9221ED1-85C7-4734-8856-4FDD2D7EE8BF}" name="21" totalsRowFunction="sum" dataDxfId="4826" totalsRowDxfId="4825" dataCellStyle="Moeda">
      <calculatedColumnFormula>SUMIFS(tabela_registros[VALOR],tabela_registros[MÊS],$AE$1,tabela_registros[DIA],reservafixaconsolidadojun[[#Headers],[21]],tabela_registros[REGISTRO],DADOS!$N$3,tabela_registros[TIPO],DADOS!$V$3,tabela_registros[CATEGORIA],reservafixaconsolidadojun[[#This Row],[ATUAL]])</calculatedColumnFormula>
    </tableColumn>
    <tableColumn id="23" xr3:uid="{5267280B-5BD1-4B68-BDA9-CEADDE8FE7E2}" name="22" totalsRowFunction="sum" dataDxfId="4824" totalsRowDxfId="4823" dataCellStyle="Moeda">
      <calculatedColumnFormula>SUMIFS(tabela_registros[VALOR],tabela_registros[MÊS],$AE$1,tabela_registros[DIA],reservafixaconsolidadojun[[#Headers],[22]],tabela_registros[REGISTRO],DADOS!$N$3,tabela_registros[TIPO],DADOS!$V$3,tabela_registros[CATEGORIA],reservafixaconsolidadojun[[#This Row],[ATUAL]])</calculatedColumnFormula>
    </tableColumn>
    <tableColumn id="24" xr3:uid="{A2FB96C1-5A14-482F-AA1F-B50B530F95A0}" name="23" totalsRowFunction="sum" dataDxfId="4822" totalsRowDxfId="4821" dataCellStyle="Moeda">
      <calculatedColumnFormula>SUMIFS(tabela_registros[VALOR],tabela_registros[MÊS],$AE$1,tabela_registros[DIA],reservafixaconsolidadojun[[#Headers],[23]],tabela_registros[REGISTRO],DADOS!$N$3,tabela_registros[TIPO],DADOS!$V$3,tabela_registros[CATEGORIA],reservafixaconsolidadojun[[#This Row],[ATUAL]])</calculatedColumnFormula>
    </tableColumn>
    <tableColumn id="25" xr3:uid="{2AA4EE83-0FE9-46B3-A250-834651673537}" name="24" totalsRowFunction="sum" dataDxfId="4820" totalsRowDxfId="4819" dataCellStyle="Moeda">
      <calculatedColumnFormula>SUMIFS(tabela_registros[VALOR],tabela_registros[MÊS],$AE$1,tabela_registros[DIA],reservafixaconsolidadojun[[#Headers],[24]],tabela_registros[REGISTRO],DADOS!$N$3,tabela_registros[TIPO],DADOS!$V$3,tabela_registros[CATEGORIA],reservafixaconsolidadojun[[#This Row],[ATUAL]])</calculatedColumnFormula>
    </tableColumn>
    <tableColumn id="26" xr3:uid="{4E092DEB-2294-47D5-B85F-9597C16EEE30}" name="25" totalsRowFunction="sum" dataDxfId="4818" totalsRowDxfId="4817" dataCellStyle="Moeda">
      <calculatedColumnFormula>SUMIFS(tabela_registros[VALOR],tabela_registros[MÊS],$AE$1,tabela_registros[DIA],reservafixaconsolidadojun[[#Headers],[25]],tabela_registros[REGISTRO],DADOS!$N$3,tabela_registros[TIPO],DADOS!$V$3,tabela_registros[CATEGORIA],reservafixaconsolidadojun[[#This Row],[ATUAL]])</calculatedColumnFormula>
    </tableColumn>
    <tableColumn id="27" xr3:uid="{11B3DF13-427C-433C-8802-A095C85B4B1E}" name="26" totalsRowFunction="sum" dataDxfId="4816" totalsRowDxfId="4815" dataCellStyle="Moeda">
      <calculatedColumnFormula>SUMIFS(tabela_registros[VALOR],tabela_registros[MÊS],$AE$1,tabela_registros[DIA],reservafixaconsolidadojun[[#Headers],[26]],tabela_registros[REGISTRO],DADOS!$N$3,tabela_registros[TIPO],DADOS!$V$3,tabela_registros[CATEGORIA],reservafixaconsolidadojun[[#This Row],[ATUAL]])</calculatedColumnFormula>
    </tableColumn>
    <tableColumn id="28" xr3:uid="{624150EB-E46B-444B-8B88-9C07532480F6}" name="27" totalsRowFunction="sum" dataDxfId="4814" totalsRowDxfId="4813" dataCellStyle="Moeda">
      <calculatedColumnFormula>SUMIFS(tabela_registros[VALOR],tabela_registros[MÊS],$AE$1,tabela_registros[DIA],reservafixaconsolidadojun[[#Headers],[27]],tabela_registros[REGISTRO],DADOS!$N$3,tabela_registros[TIPO],DADOS!$V$3,tabela_registros[CATEGORIA],reservafixaconsolidadojun[[#This Row],[ATUAL]])</calculatedColumnFormula>
    </tableColumn>
    <tableColumn id="29" xr3:uid="{F557B0C8-8A0E-4CAC-A752-714F4888443C}" name="28" totalsRowFunction="sum" dataDxfId="4812" totalsRowDxfId="4811" dataCellStyle="Moeda">
      <calculatedColumnFormula>SUMIFS(tabela_registros[VALOR],tabela_registros[MÊS],$AE$1,tabela_registros[DIA],reservafixaconsolidadojun[[#Headers],[28]],tabela_registros[REGISTRO],DADOS!$N$3,tabela_registros[TIPO],DADOS!$V$3,tabela_registros[CATEGORIA],reservafixaconsolidadojun[[#This Row],[ATUAL]])</calculatedColumnFormula>
    </tableColumn>
    <tableColumn id="30" xr3:uid="{7E2FF3F7-3B70-4963-B650-E853AAFC4BF1}" name="29" totalsRowFunction="sum" dataDxfId="4810" totalsRowDxfId="4809" dataCellStyle="Moeda">
      <calculatedColumnFormula>SUMIFS(tabela_registros[VALOR],tabela_registros[MÊS],$AE$1,tabela_registros[DIA],reservafixaconsolidadojun[[#Headers],[29]],tabela_registros[REGISTRO],DADOS!$N$3,tabela_registros[TIPO],DADOS!$V$3,tabela_registros[CATEGORIA],reservafixaconsolidadojun[[#This Row],[ATUAL]])</calculatedColumnFormula>
    </tableColumn>
    <tableColumn id="31" xr3:uid="{78B9A9C6-153A-40CD-BD03-35D2567DE7A8}" name="30" totalsRowFunction="sum" dataDxfId="4808" totalsRowDxfId="4807" dataCellStyle="Moeda">
      <calculatedColumnFormula>SUMIFS(tabela_registros[VALOR],tabela_registros[MÊS],$AE$1,tabela_registros[DIA],reservafixaconsolidadojun[[#Headers],[30]],tabela_registros[REGISTRO],DADOS!$N$3,tabela_registros[TIPO],DADOS!$V$3,tabela_registros[CATEGORIA],reservafixaconsolidadojun[[#This Row],[ATUAL]])</calculatedColumnFormula>
    </tableColumn>
    <tableColumn id="32" xr3:uid="{F09B455E-5646-4D8C-A564-B04A89729A89}" name="31" totalsRowFunction="sum" dataDxfId="4806" totalsRowDxfId="4805" dataCellStyle="Moeda">
      <calculatedColumnFormula>SUMIFS(tabela_registros[VALOR],tabela_registros[MÊS],$AE$1,tabela_registros[DIA],reservafixaconsolidadojun[[#Headers],[31]],tabela_registros[REGISTRO],DADOS!$N$3,tabela_registros[TIPO],DADOS!$V$3,tabela_registros[CATEGORIA],reservafixaconsolidadojun[[#This Row],[ATUAL]])</calculatedColumnFormula>
    </tableColumn>
    <tableColumn id="33" xr3:uid="{1E34859D-7E96-47AC-98C9-84458E930494}" name="TOTAL (R$)" totalsRowFunction="sum" dataDxfId="4804" dataCellStyle="Moeda">
      <calculatedColumnFormula>SUM(reservafixaconsolidadojun[[#This Row],[1]:[31]])</calculatedColumnFormula>
    </tableColumn>
  </tableColumns>
  <tableStyleInfo name="TABELAS RESULTADOS" showFirstColumn="0" showLastColumn="0" showRowStripes="1" showColumnStripes="0"/>
</table>
</file>

<file path=xl/tables/table8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0" xr:uid="{EA6BBF6C-38D8-44CF-8BAF-28060AF9986D}" name="reservavariáveisconsolidadojun" displayName="reservavariáveisconsolidadojun" ref="C186:AJ197" headerRowDxfId="4803" dataDxfId="4802" totalsRowDxfId="4801">
  <autoFilter ref="C186:AJ197" xr:uid="{D1B0BC4A-55A7-40F2-94A1-407E95E214F4}"/>
  <tableColumns count="34">
    <tableColumn id="1" xr3:uid="{0FB6575F-EB12-451F-8FBE-B565E9D501CD}" name="ATUAL" totalsRowLabel="SALDO" dataDxfId="4800"/>
    <tableColumn id="34" xr3:uid="{D7996E2A-EB53-49FE-A127-87030C7DECDA}" name="Coluna1" dataDxfId="4799" totalsRowDxfId="4798">
      <calculatedColumnFormula>IF(reservavariáveisconsolidadojun[[#This Row],[TOTAL (R$)]]=0,"",IF(OR(reservavariáveisconsolidadojun[[#This Row],[TOTAL (R$)]]=LARGE($AJ$187:$AJ$196,1),reservavariáveisconsolidadojun[[#This Row],[TOTAL (R$)]]=LARGE($AJ$187:$AJ$196,2)),DADOS!$I$11,""))</calculatedColumnFormula>
    </tableColumn>
    <tableColumn id="2" xr3:uid="{6AED2B7C-E300-4F88-BF2D-F429A79F523F}" name="1" totalsRowFunction="sum" dataDxfId="4797" dataCellStyle="Moeda"/>
    <tableColumn id="3" xr3:uid="{DB3FACB2-A836-4DC5-B23C-58CC68647EFB}" name="2" totalsRowFunction="sum" dataDxfId="4796" dataCellStyle="Moeda">
      <calculatedColumnFormula>SUMIFS(tabela_registros[VALOR],tabela_registros[MÊS],$AE$1,tabela_registros[DIA],reservavariáveisconsolidadojun[[#Headers],[2]],tabela_registros[REGISTRO],DADOS!$N$3,tabela_registros[TIPO],DADOS!$V$3,tabela_registros[CATEGORIA],reservavariáveisconsolidadojun[[#This Row],[ATUAL]])</calculatedColumnFormula>
    </tableColumn>
    <tableColumn id="4" xr3:uid="{FF468283-C34C-45DE-BD85-132A6CEA6292}" name="3" totalsRowFunction="sum" dataDxfId="4795" totalsRowDxfId="4794" dataCellStyle="Moeda">
      <calculatedColumnFormula>SUMIFS(tabela_registros[VALOR],tabela_registros[MÊS],$AE$1,tabela_registros[DIA],reservavariáveisconsolidadojun[[#Headers],[3]],tabela_registros[REGISTRO],DADOS!$N$3,tabela_registros[TIPO],DADOS!$V$3,tabela_registros[CATEGORIA],reservavariáveisconsolidadojun[[#This Row],[ATUAL]])</calculatedColumnFormula>
    </tableColumn>
    <tableColumn id="5" xr3:uid="{B842D81B-62A0-41E2-987D-C741EB065BE4}" name="4" totalsRowFunction="sum" dataDxfId="4793" totalsRowDxfId="4792" dataCellStyle="Moeda">
      <calculatedColumnFormula>SUMIFS(tabela_registros[VALOR],tabela_registros[MÊS],$AE$1,tabela_registros[DIA],reservavariáveisconsolidadojun[[#Headers],[4]],tabela_registros[REGISTRO],DADOS!$N$3,tabela_registros[TIPO],DADOS!$V$3,tabela_registros[CATEGORIA],reservavariáveisconsolidadojun[[#This Row],[ATUAL]])</calculatedColumnFormula>
    </tableColumn>
    <tableColumn id="6" xr3:uid="{EBB68AB1-9083-460A-876D-DDEE14465E54}" name="5" totalsRowFunction="sum" dataDxfId="4791" totalsRowDxfId="4790" dataCellStyle="Moeda">
      <calculatedColumnFormula>SUMIFS(tabela_registros[VALOR],tabela_registros[MÊS],$AE$1,tabela_registros[DIA],reservavariáveisconsolidadojun[[#Headers],[5]],tabela_registros[REGISTRO],DADOS!$N$3,tabela_registros[TIPO],DADOS!$V$3,tabela_registros[CATEGORIA],reservavariáveisconsolidadojun[[#This Row],[ATUAL]])</calculatedColumnFormula>
    </tableColumn>
    <tableColumn id="7" xr3:uid="{A69ABE68-3689-4149-9D4D-C2DEA88737C1}" name="6" totalsRowFunction="sum" dataDxfId="4789" totalsRowDxfId="4788" dataCellStyle="Moeda">
      <calculatedColumnFormula>SUMIFS(tabela_registros[VALOR],tabela_registros[MÊS],$AE$1,tabela_registros[DIA],reservavariáveisconsolidadojun[[#Headers],[6]],tabela_registros[REGISTRO],DADOS!$N$3,tabela_registros[TIPO],DADOS!$V$3,tabela_registros[CATEGORIA],reservavariáveisconsolidadojun[[#This Row],[ATUAL]])</calculatedColumnFormula>
    </tableColumn>
    <tableColumn id="8" xr3:uid="{5AD5ACD8-4944-4C97-A316-36ED2F5BC31A}" name="7" totalsRowFunction="sum" dataDxfId="4787" totalsRowDxfId="4786" dataCellStyle="Moeda">
      <calculatedColumnFormula>SUMIFS(tabela_registros[VALOR],tabela_registros[MÊS],$AE$1,tabela_registros[DIA],reservavariáveisconsolidadojun[[#Headers],[7]],tabela_registros[REGISTRO],DADOS!$N$3,tabela_registros[TIPO],DADOS!$V$3,tabela_registros[CATEGORIA],reservavariáveisconsolidadojun[[#This Row],[ATUAL]])</calculatedColumnFormula>
    </tableColumn>
    <tableColumn id="9" xr3:uid="{7D9AC6D5-3086-4ADA-B8C3-80DC2CB51642}" name="8" totalsRowFunction="sum" dataDxfId="4785" totalsRowDxfId="4784" dataCellStyle="Moeda">
      <calculatedColumnFormula>SUMIFS(tabela_registros[VALOR],tabela_registros[MÊS],$AE$1,tabela_registros[DIA],reservavariáveisconsolidadojun[[#Headers],[8]],tabela_registros[REGISTRO],DADOS!$N$3,tabela_registros[TIPO],DADOS!$V$3,tabela_registros[CATEGORIA],reservavariáveisconsolidadojun[[#This Row],[ATUAL]])</calculatedColumnFormula>
    </tableColumn>
    <tableColumn id="10" xr3:uid="{96335C21-19AA-4D65-A318-8E177B9C86B1}" name="9" totalsRowFunction="sum" dataDxfId="4783" totalsRowDxfId="4782" dataCellStyle="Moeda">
      <calculatedColumnFormula>SUMIFS(tabela_registros[VALOR],tabela_registros[MÊS],$AE$1,tabela_registros[DIA],reservavariáveisconsolidadojun[[#Headers],[9]],tabela_registros[REGISTRO],DADOS!$N$3,tabela_registros[TIPO],DADOS!$V$3,tabela_registros[CATEGORIA],reservavariáveisconsolidadojun[[#This Row],[ATUAL]])</calculatedColumnFormula>
    </tableColumn>
    <tableColumn id="11" xr3:uid="{3E9AA818-67A0-46BC-A3B6-D6BC4D7E7DF1}" name="10" totalsRowFunction="sum" dataDxfId="4781" totalsRowDxfId="4780" dataCellStyle="Moeda">
      <calculatedColumnFormula>SUMIFS(tabela_registros[VALOR],tabela_registros[MÊS],$AE$1,tabela_registros[DIA],reservavariáveisconsolidadojun[[#Headers],[10]],tabela_registros[REGISTRO],DADOS!$N$3,tabela_registros[TIPO],DADOS!$V$3,tabela_registros[CATEGORIA],reservavariáveisconsolidadojun[[#This Row],[ATUAL]])</calculatedColumnFormula>
    </tableColumn>
    <tableColumn id="12" xr3:uid="{DA65A649-D9FF-447F-A9F2-FE1E45DA9B1B}" name="11" totalsRowFunction="sum" dataDxfId="4779" totalsRowDxfId="4778" dataCellStyle="Moeda">
      <calculatedColumnFormula>SUMIFS(tabela_registros[VALOR],tabela_registros[MÊS],$AE$1,tabela_registros[DIA],reservavariáveisconsolidadojun[[#Headers],[11]],tabela_registros[REGISTRO],DADOS!$N$3,tabela_registros[TIPO],DADOS!$V$3,tabela_registros[CATEGORIA],reservavariáveisconsolidadojun[[#This Row],[ATUAL]])</calculatedColumnFormula>
    </tableColumn>
    <tableColumn id="13" xr3:uid="{ED83B424-B803-4518-9B94-5459D6C5F159}" name="12" totalsRowFunction="sum" dataDxfId="4777" totalsRowDxfId="4776" dataCellStyle="Moeda">
      <calculatedColumnFormula>SUMIFS(tabela_registros[VALOR],tabela_registros[MÊS],$AE$1,tabela_registros[DIA],reservavariáveisconsolidadojun[[#Headers],[12]],tabela_registros[REGISTRO],DADOS!$N$3,tabela_registros[TIPO],DADOS!$V$3,tabela_registros[CATEGORIA],reservavariáveisconsolidadojun[[#This Row],[ATUAL]])</calculatedColumnFormula>
    </tableColumn>
    <tableColumn id="14" xr3:uid="{29200761-2F60-4FB1-84A7-483E5F093980}" name="13" totalsRowFunction="sum" dataDxfId="4775" totalsRowDxfId="4774" dataCellStyle="Moeda">
      <calculatedColumnFormula>SUMIFS(tabela_registros[VALOR],tabela_registros[MÊS],$AE$1,tabela_registros[DIA],reservavariáveisconsolidadojun[[#Headers],[13]],tabela_registros[REGISTRO],DADOS!$N$3,tabela_registros[TIPO],DADOS!$V$3,tabela_registros[CATEGORIA],reservavariáveisconsolidadojun[[#This Row],[ATUAL]])</calculatedColumnFormula>
    </tableColumn>
    <tableColumn id="15" xr3:uid="{C654F85F-3350-4496-8931-4986C82CE6A3}" name="14" totalsRowFunction="sum" dataDxfId="4773" totalsRowDxfId="4772" dataCellStyle="Moeda">
      <calculatedColumnFormula>SUMIFS(tabela_registros[VALOR],tabela_registros[MÊS],$AE$1,tabela_registros[DIA],reservavariáveisconsolidadojun[[#Headers],[14]],tabela_registros[REGISTRO],DADOS!$N$3,tabela_registros[TIPO],DADOS!$V$3,tabela_registros[CATEGORIA],reservavariáveisconsolidadojun[[#This Row],[ATUAL]])</calculatedColumnFormula>
    </tableColumn>
    <tableColumn id="16" xr3:uid="{AA64A678-405D-4E98-9A6A-943A1137E14B}" name="15" totalsRowFunction="sum" dataDxfId="4771" totalsRowDxfId="4770" dataCellStyle="Moeda">
      <calculatedColumnFormula>SUMIFS(tabela_registros[VALOR],tabela_registros[MÊS],$AE$1,tabela_registros[DIA],reservavariáveisconsolidadojun[[#Headers],[15]],tabela_registros[REGISTRO],DADOS!$N$3,tabela_registros[TIPO],DADOS!$V$3,tabela_registros[CATEGORIA],reservavariáveisconsolidadojun[[#This Row],[ATUAL]])</calculatedColumnFormula>
    </tableColumn>
    <tableColumn id="17" xr3:uid="{AA1F7BB3-AD59-4CDD-AE07-217944787FF9}" name="16" totalsRowFunction="sum" dataDxfId="4769" totalsRowDxfId="4768" dataCellStyle="Moeda">
      <calculatedColumnFormula>SUMIFS(tabela_registros[VALOR],tabela_registros[MÊS],$AE$1,tabela_registros[DIA],reservavariáveisconsolidadojun[[#Headers],[16]],tabela_registros[REGISTRO],DADOS!$N$3,tabela_registros[TIPO],DADOS!$V$3,tabela_registros[CATEGORIA],reservavariáveisconsolidadojun[[#This Row],[ATUAL]])</calculatedColumnFormula>
    </tableColumn>
    <tableColumn id="18" xr3:uid="{46DB5037-5245-4ED8-B534-B4C19DF7786C}" name="17" totalsRowFunction="sum" dataDxfId="4767" totalsRowDxfId="4766" dataCellStyle="Moeda">
      <calculatedColumnFormula>SUMIFS(tabela_registros[VALOR],tabela_registros[MÊS],$AE$1,tabela_registros[DIA],reservavariáveisconsolidadojun[[#Headers],[17]],tabela_registros[REGISTRO],DADOS!$N$3,tabela_registros[TIPO],DADOS!$V$3,tabela_registros[CATEGORIA],reservavariáveisconsolidadojun[[#This Row],[ATUAL]])</calculatedColumnFormula>
    </tableColumn>
    <tableColumn id="19" xr3:uid="{4321D58E-84A8-4E36-B033-2230B10B36B5}" name="18" totalsRowFunction="sum" dataDxfId="4765" totalsRowDxfId="4764" dataCellStyle="Moeda">
      <calculatedColumnFormula>SUMIFS(tabela_registros[VALOR],tabela_registros[MÊS],$AE$1,tabela_registros[DIA],reservavariáveisconsolidadojun[[#Headers],[18]],tabela_registros[REGISTRO],DADOS!$N$3,tabela_registros[TIPO],DADOS!$V$3,tabela_registros[CATEGORIA],reservavariáveisconsolidadojun[[#This Row],[ATUAL]])</calculatedColumnFormula>
    </tableColumn>
    <tableColumn id="20" xr3:uid="{E591C01D-E444-496F-A29A-54FF08F627F3}" name="19" totalsRowFunction="sum" dataDxfId="4763" totalsRowDxfId="4762" dataCellStyle="Moeda">
      <calculatedColumnFormula>SUMIFS(tabela_registros[VALOR],tabela_registros[MÊS],$AE$1,tabela_registros[DIA],reservavariáveisconsolidadojun[[#Headers],[19]],tabela_registros[REGISTRO],DADOS!$N$3,tabela_registros[TIPO],DADOS!$V$3,tabela_registros[CATEGORIA],reservavariáveisconsolidadojun[[#This Row],[ATUAL]])</calculatedColumnFormula>
    </tableColumn>
    <tableColumn id="21" xr3:uid="{9ECA542C-EF8C-4BB4-869C-B5884C028DBC}" name="20" totalsRowFunction="sum" dataDxfId="4761" totalsRowDxfId="4760" dataCellStyle="Moeda">
      <calculatedColumnFormula>SUMIFS(tabela_registros[VALOR],tabela_registros[MÊS],$AE$1,tabela_registros[DIA],reservavariáveisconsolidadojun[[#Headers],[20]],tabela_registros[REGISTRO],DADOS!$N$3,tabela_registros[TIPO],DADOS!$V$3,tabela_registros[CATEGORIA],reservavariáveisconsolidadojun[[#This Row],[ATUAL]])</calculatedColumnFormula>
    </tableColumn>
    <tableColumn id="22" xr3:uid="{61530028-2B51-4426-B5C1-DA85CB4639FF}" name="21" totalsRowFunction="sum" dataDxfId="4759" totalsRowDxfId="4758" dataCellStyle="Moeda">
      <calculatedColumnFormula>SUMIFS(tabela_registros[VALOR],tabela_registros[MÊS],$AE$1,tabela_registros[DIA],reservavariáveisconsolidadojun[[#Headers],[21]],tabela_registros[REGISTRO],DADOS!$N$3,tabela_registros[TIPO],DADOS!$V$3,tabela_registros[CATEGORIA],reservavariáveisconsolidadojun[[#This Row],[ATUAL]])</calculatedColumnFormula>
    </tableColumn>
    <tableColumn id="23" xr3:uid="{162586DF-9BD6-4770-968E-0E1E2450CF1F}" name="22" totalsRowFunction="sum" dataDxfId="4757" totalsRowDxfId="4756" dataCellStyle="Moeda">
      <calculatedColumnFormula>SUMIFS(tabela_registros[VALOR],tabela_registros[MÊS],$AE$1,tabela_registros[DIA],reservavariáveisconsolidadojun[[#Headers],[22]],tabela_registros[REGISTRO],DADOS!$N$3,tabela_registros[TIPO],DADOS!$V$3,tabela_registros[CATEGORIA],reservavariáveisconsolidadojun[[#This Row],[ATUAL]])</calculatedColumnFormula>
    </tableColumn>
    <tableColumn id="24" xr3:uid="{9142BFCD-00C1-4EEB-AE79-AF66A64C55A3}" name="23" totalsRowFunction="sum" dataDxfId="4755" totalsRowDxfId="4754" dataCellStyle="Moeda">
      <calculatedColumnFormula>SUMIFS(tabela_registros[VALOR],tabela_registros[MÊS],$AE$1,tabela_registros[DIA],reservavariáveisconsolidadojun[[#Headers],[23]],tabela_registros[REGISTRO],DADOS!$N$3,tabela_registros[TIPO],DADOS!$V$3,tabela_registros[CATEGORIA],reservavariáveisconsolidadojun[[#This Row],[ATUAL]])</calculatedColumnFormula>
    </tableColumn>
    <tableColumn id="25" xr3:uid="{D7328572-CA99-4FC9-850C-49E9139FEBE2}" name="24" totalsRowFunction="sum" dataDxfId="4753" totalsRowDxfId="4752" dataCellStyle="Moeda">
      <calculatedColumnFormula>SUMIFS(tabela_registros[VALOR],tabela_registros[MÊS],$AE$1,tabela_registros[DIA],reservavariáveisconsolidadojun[[#Headers],[24]],tabela_registros[REGISTRO],DADOS!$N$3,tabela_registros[TIPO],DADOS!$V$3,tabela_registros[CATEGORIA],reservavariáveisconsolidadojun[[#This Row],[ATUAL]])</calculatedColumnFormula>
    </tableColumn>
    <tableColumn id="26" xr3:uid="{13335EF6-D457-4A49-9948-D60DD4834C1D}" name="25" totalsRowFunction="sum" dataDxfId="4751" totalsRowDxfId="4750" dataCellStyle="Moeda">
      <calculatedColumnFormula>SUMIFS(tabela_registros[VALOR],tabela_registros[MÊS],$AE$1,tabela_registros[DIA],reservavariáveisconsolidadojun[[#Headers],[25]],tabela_registros[REGISTRO],DADOS!$N$3,tabela_registros[TIPO],DADOS!$V$3,tabela_registros[CATEGORIA],reservavariáveisconsolidadojun[[#This Row],[ATUAL]])</calculatedColumnFormula>
    </tableColumn>
    <tableColumn id="27" xr3:uid="{9417098C-D884-4CC4-A1BA-93D5861A6DD0}" name="26" totalsRowFunction="sum" dataDxfId="4749" totalsRowDxfId="4748" dataCellStyle="Moeda">
      <calculatedColumnFormula>SUMIFS(tabela_registros[VALOR],tabela_registros[MÊS],$AE$1,tabela_registros[DIA],reservavariáveisconsolidadojun[[#Headers],[26]],tabela_registros[REGISTRO],DADOS!$N$3,tabela_registros[TIPO],DADOS!$V$3,tabela_registros[CATEGORIA],reservavariáveisconsolidadojun[[#This Row],[ATUAL]])</calculatedColumnFormula>
    </tableColumn>
    <tableColumn id="28" xr3:uid="{8177C98D-3DAA-4AE6-B470-6C813713FA2A}" name="27" totalsRowFunction="sum" dataDxfId="4747" totalsRowDxfId="4746" dataCellStyle="Moeda">
      <calculatedColumnFormula>SUMIFS(tabela_registros[VALOR],tabela_registros[MÊS],$AE$1,tabela_registros[DIA],reservavariáveisconsolidadojun[[#Headers],[27]],tabela_registros[REGISTRO],DADOS!$N$3,tabela_registros[TIPO],DADOS!$V$3,tabela_registros[CATEGORIA],reservavariáveisconsolidadojun[[#This Row],[ATUAL]])</calculatedColumnFormula>
    </tableColumn>
    <tableColumn id="29" xr3:uid="{4E59D503-446C-4088-B417-C269037C09E5}" name="28" totalsRowFunction="sum" dataDxfId="4745" totalsRowDxfId="4744" dataCellStyle="Moeda">
      <calculatedColumnFormula>SUMIFS(tabela_registros[VALOR],tabela_registros[MÊS],$AE$1,tabela_registros[DIA],reservavariáveisconsolidadojun[[#Headers],[28]],tabela_registros[REGISTRO],DADOS!$N$3,tabela_registros[TIPO],DADOS!$V$3,tabela_registros[CATEGORIA],reservavariáveisconsolidadojun[[#This Row],[ATUAL]])</calculatedColumnFormula>
    </tableColumn>
    <tableColumn id="30" xr3:uid="{CA84449C-72CD-4575-92D5-747AEC98B36E}" name="29" totalsRowFunction="sum" dataDxfId="4743" totalsRowDxfId="4742" dataCellStyle="Moeda">
      <calculatedColumnFormula>SUMIFS(tabela_registros[VALOR],tabela_registros[MÊS],$AE$1,tabela_registros[DIA],reservavariáveisconsolidadojun[[#Headers],[29]],tabela_registros[REGISTRO],DADOS!$N$3,tabela_registros[TIPO],DADOS!$V$3,tabela_registros[CATEGORIA],reservavariáveisconsolidadojun[[#This Row],[ATUAL]])</calculatedColumnFormula>
    </tableColumn>
    <tableColumn id="31" xr3:uid="{E4E10973-C7D6-48EF-85C8-93B2267B8A94}" name="30" totalsRowFunction="sum" dataDxfId="4741" totalsRowDxfId="4740" dataCellStyle="Moeda">
      <calculatedColumnFormula>SUMIFS(tabela_registros[VALOR],tabela_registros[MÊS],$AE$1,tabela_registros[DIA],reservavariáveisconsolidadojun[[#Headers],[30]],tabela_registros[REGISTRO],DADOS!$N$3,tabela_registros[TIPO],DADOS!$V$3,tabela_registros[CATEGORIA],reservavariáveisconsolidadojun[[#This Row],[ATUAL]])</calculatedColumnFormula>
    </tableColumn>
    <tableColumn id="32" xr3:uid="{8170A825-ED40-4984-97BB-0D225B450576}" name="31" totalsRowFunction="sum" dataDxfId="4739" totalsRowDxfId="4738" dataCellStyle="Moeda">
      <calculatedColumnFormula>SUMIFS(tabela_registros[VALOR],tabela_registros[MÊS],$AE$1,tabela_registros[DIA],reservavariáveisconsolidadojun[[#Headers],[31]],tabela_registros[REGISTRO],DADOS!$N$3,tabela_registros[TIPO],DADOS!$V$3,tabela_registros[CATEGORIA],reservavariáveisconsolidadojun[[#This Row],[ATUAL]])</calculatedColumnFormula>
    </tableColumn>
    <tableColumn id="33" xr3:uid="{F51614FE-DE0C-4B89-9496-BD7086009A82}" name="TOTAL (R$)" totalsRowFunction="sum" dataDxfId="4737" dataCellStyle="Moeda">
      <calculatedColumnFormula>SUM(reservavariáveisconsolidadojun[[#This Row],[1]:[31]])</calculatedColumnFormula>
    </tableColumn>
  </tableColumns>
  <tableStyleInfo name="TABELAS RESULTADOS" showFirstColumn="0" showLastColumn="0" showRowStripes="1" showColumnStripes="0"/>
</table>
</file>

<file path=xl/tables/table8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1" xr:uid="{792C33D4-D8C5-4F98-B29E-B3E632C99A35}" name="reservaoutrosconsolidadojun" displayName="reservaoutrosconsolidadojun" ref="C205:AJ214" headerRowDxfId="4736" dataDxfId="4735" totalsRowDxfId="4734">
  <autoFilter ref="C205:AJ214" xr:uid="{9335CBAF-4490-44EE-A508-E6F2F3B6C6F1}"/>
  <tableColumns count="34">
    <tableColumn id="1" xr3:uid="{B90FBDDD-09A2-4A90-A3DD-E2BA20CADE85}" name="ATUAL" totalsRowLabel="SALDO" dataDxfId="4733"/>
    <tableColumn id="34" xr3:uid="{DDDCD662-44EF-4609-A721-0EEAC9093982}" name="Coluna1" dataDxfId="4732" totalsRowDxfId="4731">
      <calculatedColumnFormula>IF(reservaoutrosconsolidadojun[[#This Row],[TOTAL (R$)]]=0,"",IF(OR(reservaoutrosconsolidadojun[[#This Row],[TOTAL (R$)]]=LARGE($AJ$206:$AJ$213,1),reservaoutrosconsolidadojun[[#This Row],[TOTAL (R$)]]=LARGE($AJ$206:$AJ$213,2)),DADOS!$I$11,""))</calculatedColumnFormula>
    </tableColumn>
    <tableColumn id="2" xr3:uid="{362E7B11-D567-447A-9B05-9470B7588697}" name="1" totalsRowFunction="sum" dataDxfId="4730" dataCellStyle="Moeda"/>
    <tableColumn id="3" xr3:uid="{DD309EB8-1019-4E2E-BA59-5AC65199376D}" name="2" totalsRowFunction="sum" dataDxfId="4729" dataCellStyle="Moeda">
      <calculatedColumnFormula>SUMIFS(tabela_registros[VALOR],tabela_registros[MÊS],$AE$1,tabela_registros[DIA],reservaoutrosconsolidadojun[[#Headers],[2]],tabela_registros[REGISTRO],DADOS!$N$3,tabela_registros[TIPO],DADOS!$V$3,tabela_registros[CATEGORIA],reservaoutrosconsolidadojun[[#This Row],[ATUAL]])</calculatedColumnFormula>
    </tableColumn>
    <tableColumn id="4" xr3:uid="{8223BD57-3657-470F-9926-2DE5FE1B2AF3}" name="3" totalsRowFunction="sum" dataDxfId="4728" totalsRowDxfId="4727" dataCellStyle="Moeda">
      <calculatedColumnFormula>SUMIFS(tabela_registros[VALOR],tabela_registros[MÊS],$AE$1,tabela_registros[DIA],reservaoutrosconsolidadojun[[#Headers],[3]],tabela_registros[REGISTRO],DADOS!$N$3,tabela_registros[TIPO],DADOS!$V$3,tabela_registros[CATEGORIA],reservaoutrosconsolidadojun[[#This Row],[ATUAL]])</calculatedColumnFormula>
    </tableColumn>
    <tableColumn id="5" xr3:uid="{2F240461-C456-498C-BF36-90EDECFF9D39}" name="4" totalsRowFunction="sum" dataDxfId="4726" totalsRowDxfId="4725" dataCellStyle="Moeda">
      <calculatedColumnFormula>SUMIFS(tabela_registros[VALOR],tabela_registros[MÊS],$AE$1,tabela_registros[DIA],reservaoutrosconsolidadojun[[#Headers],[4]],tabela_registros[REGISTRO],DADOS!$N$3,tabela_registros[TIPO],DADOS!$V$3,tabela_registros[CATEGORIA],reservaoutrosconsolidadojun[[#This Row],[ATUAL]])</calculatedColumnFormula>
    </tableColumn>
    <tableColumn id="6" xr3:uid="{54BA6E95-01E4-4F95-B839-64A1D4E13998}" name="5" totalsRowFunction="sum" dataDxfId="4724" totalsRowDxfId="4723" dataCellStyle="Moeda">
      <calculatedColumnFormula>SUMIFS(tabela_registros[VALOR],tabela_registros[MÊS],$AE$1,tabela_registros[DIA],reservaoutrosconsolidadojun[[#Headers],[5]],tabela_registros[REGISTRO],DADOS!$N$3,tabela_registros[TIPO],DADOS!$V$3,tabela_registros[CATEGORIA],reservaoutrosconsolidadojun[[#This Row],[ATUAL]])</calculatedColumnFormula>
    </tableColumn>
    <tableColumn id="7" xr3:uid="{041D8260-CDCF-4289-9596-3D32ECF6BC4C}" name="6" totalsRowFunction="sum" dataDxfId="4722" totalsRowDxfId="4721" dataCellStyle="Moeda">
      <calculatedColumnFormula>SUMIFS(tabela_registros[VALOR],tabela_registros[MÊS],$AE$1,tabela_registros[DIA],reservaoutrosconsolidadojun[[#Headers],[6]],tabela_registros[REGISTRO],DADOS!$N$3,tabela_registros[TIPO],DADOS!$V$3,tabela_registros[CATEGORIA],reservaoutrosconsolidadojun[[#This Row],[ATUAL]])</calculatedColumnFormula>
    </tableColumn>
    <tableColumn id="8" xr3:uid="{505F69DD-3A64-4884-9311-F0DDA4964CF1}" name="7" totalsRowFunction="sum" dataDxfId="4720" totalsRowDxfId="4719" dataCellStyle="Moeda">
      <calculatedColumnFormula>SUMIFS(tabela_registros[VALOR],tabela_registros[MÊS],$AE$1,tabela_registros[DIA],reservaoutrosconsolidadojun[[#Headers],[7]],tabela_registros[REGISTRO],DADOS!$N$3,tabela_registros[TIPO],DADOS!$V$3,tabela_registros[CATEGORIA],reservaoutrosconsolidadojun[[#This Row],[ATUAL]])</calculatedColumnFormula>
    </tableColumn>
    <tableColumn id="9" xr3:uid="{7584D1F5-0A6A-4EB7-BBF1-1289C074B7D7}" name="8" totalsRowFunction="sum" dataDxfId="4718" totalsRowDxfId="4717" dataCellStyle="Moeda">
      <calculatedColumnFormula>SUMIFS(tabela_registros[VALOR],tabela_registros[MÊS],$AE$1,tabela_registros[DIA],reservaoutrosconsolidadojun[[#Headers],[8]],tabela_registros[REGISTRO],DADOS!$N$3,tabela_registros[TIPO],DADOS!$V$3,tabela_registros[CATEGORIA],reservaoutrosconsolidadojun[[#This Row],[ATUAL]])</calculatedColumnFormula>
    </tableColumn>
    <tableColumn id="10" xr3:uid="{55102EA8-92E0-4B31-87B5-835002A26432}" name="9" totalsRowFunction="sum" dataDxfId="4716" totalsRowDxfId="4715" dataCellStyle="Moeda">
      <calculatedColumnFormula>SUMIFS(tabela_registros[VALOR],tabela_registros[MÊS],$AE$1,tabela_registros[DIA],reservaoutrosconsolidadojun[[#Headers],[9]],tabela_registros[REGISTRO],DADOS!$N$3,tabela_registros[TIPO],DADOS!$V$3,tabela_registros[CATEGORIA],reservaoutrosconsolidadojun[[#This Row],[ATUAL]])</calculatedColumnFormula>
    </tableColumn>
    <tableColumn id="11" xr3:uid="{3CED7E7E-B33F-4902-9DAB-AAAC3D55A423}" name="10" totalsRowFunction="sum" dataDxfId="4714" totalsRowDxfId="4713" dataCellStyle="Moeda">
      <calculatedColumnFormula>SUMIFS(tabela_registros[VALOR],tabela_registros[MÊS],$AE$1,tabela_registros[DIA],reservaoutrosconsolidadojun[[#Headers],[10]],tabela_registros[REGISTRO],DADOS!$N$3,tabela_registros[TIPO],DADOS!$V$3,tabela_registros[CATEGORIA],reservaoutrosconsolidadojun[[#This Row],[ATUAL]])</calculatedColumnFormula>
    </tableColumn>
    <tableColumn id="12" xr3:uid="{740BE4D1-20D1-4DFA-8DE7-01EBB5759566}" name="11" totalsRowFunction="sum" dataDxfId="4712" totalsRowDxfId="4711" dataCellStyle="Moeda">
      <calculatedColumnFormula>SUMIFS(tabela_registros[VALOR],tabela_registros[MÊS],$AE$1,tabela_registros[DIA],reservaoutrosconsolidadojun[[#Headers],[11]],tabela_registros[REGISTRO],DADOS!$N$3,tabela_registros[TIPO],DADOS!$V$3,tabela_registros[CATEGORIA],reservaoutrosconsolidadojun[[#This Row],[ATUAL]])</calculatedColumnFormula>
    </tableColumn>
    <tableColumn id="13" xr3:uid="{2D4F00DD-4B95-4812-A75D-647A3F37B061}" name="12" totalsRowFunction="sum" dataDxfId="4710" totalsRowDxfId="4709" dataCellStyle="Moeda">
      <calculatedColumnFormula>SUMIFS(tabela_registros[VALOR],tabela_registros[MÊS],$AE$1,tabela_registros[DIA],reservaoutrosconsolidadojun[[#Headers],[12]],tabela_registros[REGISTRO],DADOS!$N$3,tabela_registros[TIPO],DADOS!$V$3,tabela_registros[CATEGORIA],reservaoutrosconsolidadojun[[#This Row],[ATUAL]])</calculatedColumnFormula>
    </tableColumn>
    <tableColumn id="14" xr3:uid="{8023002B-B24F-4FDA-ADDF-3B8283C4F18E}" name="13" totalsRowFunction="sum" dataDxfId="4708" totalsRowDxfId="4707" dataCellStyle="Moeda">
      <calculatedColumnFormula>SUMIFS(tabela_registros[VALOR],tabela_registros[MÊS],$AE$1,tabela_registros[DIA],reservaoutrosconsolidadojun[[#Headers],[13]],tabela_registros[REGISTRO],DADOS!$N$3,tabela_registros[TIPO],DADOS!$V$3,tabela_registros[CATEGORIA],reservaoutrosconsolidadojun[[#This Row],[ATUAL]])</calculatedColumnFormula>
    </tableColumn>
    <tableColumn id="15" xr3:uid="{058813C6-778B-4E27-94F9-18637DDD932E}" name="14" totalsRowFunction="sum" dataDxfId="4706" totalsRowDxfId="4705" dataCellStyle="Moeda">
      <calculatedColumnFormula>SUMIFS(tabela_registros[VALOR],tabela_registros[MÊS],$AE$1,tabela_registros[DIA],reservaoutrosconsolidadojun[[#Headers],[14]],tabela_registros[REGISTRO],DADOS!$N$3,tabela_registros[TIPO],DADOS!$V$3,tabela_registros[CATEGORIA],reservaoutrosconsolidadojun[[#This Row],[ATUAL]])</calculatedColumnFormula>
    </tableColumn>
    <tableColumn id="16" xr3:uid="{B0C4FB49-40A8-4CAA-AC3E-2922AEBB47A2}" name="15" totalsRowFunction="sum" dataDxfId="4704" totalsRowDxfId="4703" dataCellStyle="Moeda">
      <calculatedColumnFormula>SUMIFS(tabela_registros[VALOR],tabela_registros[MÊS],$AE$1,tabela_registros[DIA],reservaoutrosconsolidadojun[[#Headers],[15]],tabela_registros[REGISTRO],DADOS!$N$3,tabela_registros[TIPO],DADOS!$V$3,tabela_registros[CATEGORIA],reservaoutrosconsolidadojun[[#This Row],[ATUAL]])</calculatedColumnFormula>
    </tableColumn>
    <tableColumn id="17" xr3:uid="{B5BAFDA0-A6C6-4D96-9705-D9E9299A72FA}" name="16" totalsRowFunction="sum" dataDxfId="4702" totalsRowDxfId="4701" dataCellStyle="Moeda">
      <calculatedColumnFormula>SUMIFS(tabela_registros[VALOR],tabela_registros[MÊS],$AE$1,tabela_registros[DIA],reservaoutrosconsolidadojun[[#Headers],[16]],tabela_registros[REGISTRO],DADOS!$N$3,tabela_registros[TIPO],DADOS!$V$3,tabela_registros[CATEGORIA],reservaoutrosconsolidadojun[[#This Row],[ATUAL]])</calculatedColumnFormula>
    </tableColumn>
    <tableColumn id="18" xr3:uid="{0A78237C-031E-4DC0-96FA-50B1F32263DB}" name="17" totalsRowFunction="sum" dataDxfId="4700" totalsRowDxfId="4699" dataCellStyle="Moeda">
      <calculatedColumnFormula>SUMIFS(tabela_registros[VALOR],tabela_registros[MÊS],$AE$1,tabela_registros[DIA],reservaoutrosconsolidadojun[[#Headers],[17]],tabela_registros[REGISTRO],DADOS!$N$3,tabela_registros[TIPO],DADOS!$V$3,tabela_registros[CATEGORIA],reservaoutrosconsolidadojun[[#This Row],[ATUAL]])</calculatedColumnFormula>
    </tableColumn>
    <tableColumn id="19" xr3:uid="{61F9093D-2751-4C5C-AB96-99A96DB63B8D}" name="18" totalsRowFunction="sum" dataDxfId="4698" totalsRowDxfId="4697" dataCellStyle="Moeda">
      <calculatedColumnFormula>SUMIFS(tabela_registros[VALOR],tabela_registros[MÊS],$AE$1,tabela_registros[DIA],reservaoutrosconsolidadojun[[#Headers],[18]],tabela_registros[REGISTRO],DADOS!$N$3,tabela_registros[TIPO],DADOS!$V$3,tabela_registros[CATEGORIA],reservaoutrosconsolidadojun[[#This Row],[ATUAL]])</calculatedColumnFormula>
    </tableColumn>
    <tableColumn id="20" xr3:uid="{4260D869-766C-490E-8B1C-9F52E77216FB}" name="19" totalsRowFunction="sum" dataDxfId="4696" totalsRowDxfId="4695" dataCellStyle="Moeda">
      <calculatedColumnFormula>SUMIFS(tabela_registros[VALOR],tabela_registros[MÊS],$AE$1,tabela_registros[DIA],reservaoutrosconsolidadojun[[#Headers],[19]],tabela_registros[REGISTRO],DADOS!$N$3,tabela_registros[TIPO],DADOS!$V$3,tabela_registros[CATEGORIA],reservaoutrosconsolidadojun[[#This Row],[ATUAL]])</calculatedColumnFormula>
    </tableColumn>
    <tableColumn id="21" xr3:uid="{11FF0570-E6B0-44D5-A30B-8CFBB206D9B1}" name="20" totalsRowFunction="sum" dataDxfId="4694" totalsRowDxfId="4693" dataCellStyle="Moeda">
      <calculatedColumnFormula>SUMIFS(tabela_registros[VALOR],tabela_registros[MÊS],$AE$1,tabela_registros[DIA],reservaoutrosconsolidadojun[[#Headers],[20]],tabela_registros[REGISTRO],DADOS!$N$3,tabela_registros[TIPO],DADOS!$V$3,tabela_registros[CATEGORIA],reservaoutrosconsolidadojun[[#This Row],[ATUAL]])</calculatedColumnFormula>
    </tableColumn>
    <tableColumn id="22" xr3:uid="{13AE3CC5-9E83-4CAD-BBB1-9BC4ABE2B33A}" name="21" totalsRowFunction="sum" dataDxfId="4692" totalsRowDxfId="4691" dataCellStyle="Moeda">
      <calculatedColumnFormula>SUMIFS(tabela_registros[VALOR],tabela_registros[MÊS],$AE$1,tabela_registros[DIA],reservaoutrosconsolidadojun[[#Headers],[21]],tabela_registros[REGISTRO],DADOS!$N$3,tabela_registros[TIPO],DADOS!$V$3,tabela_registros[CATEGORIA],reservaoutrosconsolidadojun[[#This Row],[ATUAL]])</calculatedColumnFormula>
    </tableColumn>
    <tableColumn id="23" xr3:uid="{4734D0FB-1469-49D8-A193-DF47E1805408}" name="22" totalsRowFunction="sum" dataDxfId="4690" totalsRowDxfId="4689" dataCellStyle="Moeda">
      <calculatedColumnFormula>SUMIFS(tabela_registros[VALOR],tabela_registros[MÊS],$AE$1,tabela_registros[DIA],reservaoutrosconsolidadojun[[#Headers],[22]],tabela_registros[REGISTRO],DADOS!$N$3,tabela_registros[TIPO],DADOS!$V$3,tabela_registros[CATEGORIA],reservaoutrosconsolidadojun[[#This Row],[ATUAL]])</calculatedColumnFormula>
    </tableColumn>
    <tableColumn id="24" xr3:uid="{B5C9480C-6802-469A-9AAD-1822E43806C8}" name="23" totalsRowFunction="sum" dataDxfId="4688" totalsRowDxfId="4687" dataCellStyle="Moeda">
      <calculatedColumnFormula>SUMIFS(tabela_registros[VALOR],tabela_registros[MÊS],$AE$1,tabela_registros[DIA],reservaoutrosconsolidadojun[[#Headers],[23]],tabela_registros[REGISTRO],DADOS!$N$3,tabela_registros[TIPO],DADOS!$V$3,tabela_registros[CATEGORIA],reservaoutrosconsolidadojun[[#This Row],[ATUAL]])</calculatedColumnFormula>
    </tableColumn>
    <tableColumn id="25" xr3:uid="{6322762D-E497-4AA7-989C-8A7E08D87FCA}" name="24" totalsRowFunction="sum" dataDxfId="4686" totalsRowDxfId="4685" dataCellStyle="Moeda">
      <calculatedColumnFormula>SUMIFS(tabela_registros[VALOR],tabela_registros[MÊS],$AE$1,tabela_registros[DIA],reservaoutrosconsolidadojun[[#Headers],[24]],tabela_registros[REGISTRO],DADOS!$N$3,tabela_registros[TIPO],DADOS!$V$3,tabela_registros[CATEGORIA],reservaoutrosconsolidadojun[[#This Row],[ATUAL]])</calculatedColumnFormula>
    </tableColumn>
    <tableColumn id="26" xr3:uid="{3E528EC4-C62B-496F-9E42-A436EC03909C}" name="25" totalsRowFunction="sum" dataDxfId="4684" totalsRowDxfId="4683" dataCellStyle="Moeda">
      <calculatedColumnFormula>SUMIFS(tabela_registros[VALOR],tabela_registros[MÊS],$AE$1,tabela_registros[DIA],reservaoutrosconsolidadojun[[#Headers],[25]],tabela_registros[REGISTRO],DADOS!$N$3,tabela_registros[TIPO],DADOS!$V$3,tabela_registros[CATEGORIA],reservaoutrosconsolidadojun[[#This Row],[ATUAL]])</calculatedColumnFormula>
    </tableColumn>
    <tableColumn id="27" xr3:uid="{4D194C15-E7FA-4579-88DB-F5A6C01E819C}" name="26" totalsRowFunction="sum" dataDxfId="4682" totalsRowDxfId="4681" dataCellStyle="Moeda">
      <calculatedColumnFormula>SUMIFS(tabela_registros[VALOR],tabela_registros[MÊS],$AE$1,tabela_registros[DIA],reservaoutrosconsolidadojun[[#Headers],[26]],tabela_registros[REGISTRO],DADOS!$N$3,tabela_registros[TIPO],DADOS!$V$3,tabela_registros[CATEGORIA],reservaoutrosconsolidadojun[[#This Row],[ATUAL]])</calculatedColumnFormula>
    </tableColumn>
    <tableColumn id="28" xr3:uid="{4F643D78-E1DF-4466-8A3E-F2C8F6DD5778}" name="27" totalsRowFunction="sum" dataDxfId="4680" totalsRowDxfId="4679" dataCellStyle="Moeda">
      <calculatedColumnFormula>SUMIFS(tabela_registros[VALOR],tabela_registros[MÊS],$AE$1,tabela_registros[DIA],reservaoutrosconsolidadojun[[#Headers],[27]],tabela_registros[REGISTRO],DADOS!$N$3,tabela_registros[TIPO],DADOS!$V$3,tabela_registros[CATEGORIA],reservaoutrosconsolidadojun[[#This Row],[ATUAL]])</calculatedColumnFormula>
    </tableColumn>
    <tableColumn id="29" xr3:uid="{6BF3267E-7165-417E-A66C-B4723C18E37C}" name="28" totalsRowFunction="sum" dataDxfId="4678" totalsRowDxfId="4677" dataCellStyle="Moeda">
      <calculatedColumnFormula>SUMIFS(tabela_registros[VALOR],tabela_registros[MÊS],$AE$1,tabela_registros[DIA],reservaoutrosconsolidadojun[[#Headers],[28]],tabela_registros[REGISTRO],DADOS!$N$3,tabela_registros[TIPO],DADOS!$V$3,tabela_registros[CATEGORIA],reservaoutrosconsolidadojun[[#This Row],[ATUAL]])</calculatedColumnFormula>
    </tableColumn>
    <tableColumn id="30" xr3:uid="{626E1697-9870-4C78-AE6E-108325D7CA60}" name="29" totalsRowFunction="sum" dataDxfId="4676" totalsRowDxfId="4675" dataCellStyle="Moeda">
      <calculatedColumnFormula>SUMIFS(tabela_registros[VALOR],tabela_registros[MÊS],$AE$1,tabela_registros[DIA],reservaoutrosconsolidadojun[[#Headers],[29]],tabela_registros[REGISTRO],DADOS!$N$3,tabela_registros[TIPO],DADOS!$V$3,tabela_registros[CATEGORIA],reservaoutrosconsolidadojun[[#This Row],[ATUAL]])</calculatedColumnFormula>
    </tableColumn>
    <tableColumn id="31" xr3:uid="{6165AD26-CB31-4D43-9B9C-16CDF7EC8E99}" name="30" totalsRowFunction="sum" dataDxfId="4674" totalsRowDxfId="4673" dataCellStyle="Moeda">
      <calculatedColumnFormula>SUMIFS(tabela_registros[VALOR],tabela_registros[MÊS],$AE$1,tabela_registros[DIA],reservaoutrosconsolidadojun[[#Headers],[30]],tabela_registros[REGISTRO],DADOS!$N$3,tabela_registros[TIPO],DADOS!$V$3,tabela_registros[CATEGORIA],reservaoutrosconsolidadojun[[#This Row],[ATUAL]])</calculatedColumnFormula>
    </tableColumn>
    <tableColumn id="32" xr3:uid="{1497D76B-FE4F-4928-8A61-D49D37AF00BB}" name="31" totalsRowFunction="sum" dataDxfId="4672" totalsRowDxfId="4671" dataCellStyle="Moeda">
      <calculatedColumnFormula>SUMIFS(tabela_registros[VALOR],tabela_registros[MÊS],$AE$1,tabela_registros[DIA],reservaoutrosconsolidadojun[[#Headers],[31]],tabela_registros[REGISTRO],DADOS!$N$3,tabela_registros[TIPO],DADOS!$V$3,tabela_registros[CATEGORIA],reservaoutrosconsolidadojun[[#This Row],[ATUAL]])</calculatedColumnFormula>
    </tableColumn>
    <tableColumn id="33" xr3:uid="{6BBA333F-EED6-436E-BF05-1ED992EA295A}" name="TOTAL (R$)" totalsRowFunction="sum" dataDxfId="4670" dataCellStyle="Moeda">
      <calculatedColumnFormula>SUM(reservaoutrosconsolidadojun[[#This Row],[1]:[31]])</calculatedColumnFormula>
    </tableColumn>
  </tableColumns>
  <tableStyleInfo name="TABELAS RESULTADOS" showFirstColumn="0" showLastColumn="0" showRowStripes="1" showColumnStripes="0"/>
</table>
</file>

<file path=xl/tables/table8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8" xr:uid="{06B21A80-33B9-4D52-9C98-F35D4D334973}" name="despesafixaconsolidadojul" displayName="despesafixaconsolidadojul" ref="C36:AJ51" headerRowDxfId="4669" dataDxfId="4668" totalsRowDxfId="4667">
  <autoFilter ref="C36:AJ51" xr:uid="{5ADEFF0A-DF5A-4FC5-A9EC-68EEC14B5F43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  <filterColumn colId="25" hiddenButton="1"/>
    <filterColumn colId="26" hiddenButton="1"/>
    <filterColumn colId="27" hiddenButton="1"/>
    <filterColumn colId="28" hiddenButton="1"/>
    <filterColumn colId="29" hiddenButton="1"/>
    <filterColumn colId="30" hiddenButton="1"/>
    <filterColumn colId="31" hiddenButton="1"/>
    <filterColumn colId="32" hiddenButton="1"/>
    <filterColumn colId="33" hiddenButton="1"/>
  </autoFilter>
  <tableColumns count="34">
    <tableColumn id="1" xr3:uid="{38C76B7D-3B6D-4C2D-AED8-B9BCA9EE9DF3}" name="DESPESA FIXA" totalsRowLabel="Total" dataDxfId="4666"/>
    <tableColumn id="42" xr3:uid="{23491B00-642B-468B-A283-CE48EA0680CD}" name="Coluna1" dataDxfId="4665">
      <calculatedColumnFormula>IF(despesafixaconsolidadojul[[#This Row],[TOTAL]]=0,"",IF(OR(despesafixaconsolidadojul[[#This Row],[TOTAL]]=SMALL($AJ$37:$AJ$50,1),despesafixaconsolidadojul[[#This Row],[TOTAL]]=SMALL($AJ$37:$AJ$50,2),despesafixaconsolidadojul[[#This Row],[TOTAL]]=SMALL($AJ$37:$AJ$50,3),despesafixaconsolidadojul[[#This Row],[TOTAL]]=SMALL($AJ$37:$AJ$50,4),despesafixaconsolidadojul[[#This Row],[TOTAL]]=SMALL($AJ$37:$AJ$50,5)),DADOS!$I$8,""))</calculatedColumnFormula>
    </tableColumn>
    <tableColumn id="18" xr3:uid="{F7682F90-92FA-4488-A4CD-65334BA28DEA}" name="1" totalsRowFunction="sum" dataDxfId="4664" dataCellStyle="Moeda">
      <calculatedColumnFormula>SUMIFS(tabela_registros[VALOR],tabela_registros[MÊS],$AE$1,tabela_registros[DIA],jantotal[[#Headers],[1]],tabela_registros[REGISTRO],DADOS!$N$4,tabela_registros[TIPO],DADOS!$P$3,tabela_registros[CATEGORIA],despesafixaconsolidadojul[[#This Row],[DESPESA FIXA]])</calculatedColumnFormula>
    </tableColumn>
    <tableColumn id="19" xr3:uid="{DE7E49F5-C270-472E-ADA3-C01F9A9B6351}" name="2" totalsRowFunction="sum" dataDxfId="4663" dataCellStyle="Moeda">
      <calculatedColumnFormula>SUMIFS(tabela_registros[VALOR],tabela_registros[MÊS],$AE$1,tabela_registros[DIA],jantotal[[#Headers],[2]],tabela_registros[REGISTRO],DADOS!$N$4,tabela_registros[TIPO],DADOS!$P$3,tabela_registros[CATEGORIA],despesafixaconsolidadojul[[#This Row],[DESPESA FIXA]])</calculatedColumnFormula>
    </tableColumn>
    <tableColumn id="20" xr3:uid="{7C449575-8ED2-4F83-96C1-E414F7285633}" name="3" totalsRowFunction="sum" dataDxfId="4662" totalsRowDxfId="4661" dataCellStyle="Moeda">
      <calculatedColumnFormula>SUMIFS(tabela_registros[VALOR],tabela_registros[MÊS],$AE$1,tabela_registros[DIA],jantotal[[#Headers],[3]],tabela_registros[REGISTRO],DADOS!$N$4,tabela_registros[TIPO],DADOS!$P$3,tabela_registros[CATEGORIA],despesafixaconsolidadojul[[#This Row],[DESPESA FIXA]])</calculatedColumnFormula>
    </tableColumn>
    <tableColumn id="21" xr3:uid="{833B5DBD-6414-4045-B34A-C394FFB8FAB4}" name="4" totalsRowFunction="sum" dataDxfId="4660" totalsRowDxfId="4659" dataCellStyle="Moeda">
      <calculatedColumnFormula>SUMIFS(tabela_registros[VALOR],tabela_registros[MÊS],$AE$1,tabela_registros[DIA],jantotal[[#Headers],[4]],tabela_registros[REGISTRO],DADOS!$N$4,tabela_registros[TIPO],DADOS!$P$3,tabela_registros[CATEGORIA],despesafixaconsolidadojul[[#This Row],[DESPESA FIXA]])</calculatedColumnFormula>
    </tableColumn>
    <tableColumn id="22" xr3:uid="{CA5EE988-7AC9-4357-9128-A44A6305FA7D}" name="5" totalsRowFunction="sum" dataDxfId="4658" totalsRowDxfId="4657" dataCellStyle="Moeda">
      <calculatedColumnFormula>SUMIFS(tabela_registros[VALOR],tabela_registros[MÊS],$AE$1,tabela_registros[DIA],jantotal[[#Headers],[5]],tabela_registros[REGISTRO],DADOS!$N$4,tabela_registros[TIPO],DADOS!$P$3,tabela_registros[CATEGORIA],despesafixaconsolidadojul[[#This Row],[DESPESA FIXA]])</calculatedColumnFormula>
    </tableColumn>
    <tableColumn id="23" xr3:uid="{739F82DA-6003-48ED-99DD-5E08831AE244}" name="6" totalsRowFunction="sum" dataDxfId="4656" totalsRowDxfId="4655" dataCellStyle="Moeda">
      <calculatedColumnFormula>SUMIFS(tabela_registros[VALOR],tabela_registros[MÊS],$AE$1,tabela_registros[DIA],jantotal[[#Headers],[6]],tabela_registros[REGISTRO],DADOS!$N$4,tabela_registros[TIPO],DADOS!$P$3,tabela_registros[CATEGORIA],despesafixaconsolidadojul[[#This Row],[DESPESA FIXA]])</calculatedColumnFormula>
    </tableColumn>
    <tableColumn id="24" xr3:uid="{1B0BE7A3-F3B4-478B-B2F0-769AC3E69B52}" name="7" totalsRowFunction="sum" dataDxfId="4654" totalsRowDxfId="4653" dataCellStyle="Moeda">
      <calculatedColumnFormula>SUMIFS(tabela_registros[VALOR],tabela_registros[MÊS],$AE$1,tabela_registros[DIA],jantotal[[#Headers],[7]],tabela_registros[REGISTRO],DADOS!$N$4,tabela_registros[TIPO],DADOS!$P$3,tabela_registros[CATEGORIA],despesafixaconsolidadojul[[#This Row],[DESPESA FIXA]])</calculatedColumnFormula>
    </tableColumn>
    <tableColumn id="25" xr3:uid="{354C77E0-4171-4CFA-8B31-982B2E203933}" name="8" totalsRowFunction="sum" dataDxfId="4652" totalsRowDxfId="4651" dataCellStyle="Moeda">
      <calculatedColumnFormula>SUMIFS(tabela_registros[VALOR],tabela_registros[MÊS],$AE$1,tabela_registros[DIA],jantotal[[#Headers],[8]],tabela_registros[REGISTRO],DADOS!$N$4,tabela_registros[TIPO],DADOS!$P$3,tabela_registros[CATEGORIA],despesafixaconsolidadojul[[#This Row],[DESPESA FIXA]])</calculatedColumnFormula>
    </tableColumn>
    <tableColumn id="26" xr3:uid="{EB1DF05F-F590-44DF-AF34-2563B8CF906B}" name="9" totalsRowFunction="sum" dataDxfId="4650" totalsRowDxfId="4649" dataCellStyle="Moeda">
      <calculatedColumnFormula>SUMIFS(tabela_registros[VALOR],tabela_registros[MÊS],$AE$1,tabela_registros[DIA],jantotal[[#Headers],[9]],tabela_registros[REGISTRO],DADOS!$N$4,tabela_registros[TIPO],DADOS!$P$3,tabela_registros[CATEGORIA],despesafixaconsolidadojul[[#This Row],[DESPESA FIXA]])</calculatedColumnFormula>
    </tableColumn>
    <tableColumn id="27" xr3:uid="{16A60E11-DFB6-40EF-9224-014C154504D7}" name="10" totalsRowFunction="sum" dataDxfId="4648" totalsRowDxfId="4647" dataCellStyle="Moeda">
      <calculatedColumnFormula>SUMIFS(tabela_registros[VALOR],tabela_registros[MÊS],$AE$1,tabela_registros[DIA],jantotal[[#Headers],[10]],tabela_registros[REGISTRO],DADOS!$N$4,tabela_registros[TIPO],DADOS!$P$3,tabela_registros[CATEGORIA],despesafixaconsolidadojul[[#This Row],[DESPESA FIXA]])</calculatedColumnFormula>
    </tableColumn>
    <tableColumn id="28" xr3:uid="{3A80ABDB-F3A9-4A32-9685-C0993CE6D027}" name="11" totalsRowFunction="sum" dataDxfId="4646" totalsRowDxfId="4645" dataCellStyle="Moeda">
      <calculatedColumnFormula>SUMIFS(tabela_registros[VALOR],tabela_registros[MÊS],$AE$1,tabela_registros[DIA],jantotal[[#Headers],[11]],tabela_registros[REGISTRO],DADOS!$N$4,tabela_registros[TIPO],DADOS!$P$3,tabela_registros[CATEGORIA],despesafixaconsolidadojul[[#This Row],[DESPESA FIXA]])</calculatedColumnFormula>
    </tableColumn>
    <tableColumn id="29" xr3:uid="{3FD801B8-669D-4E80-959E-BC6861B668E0}" name="12" totalsRowFunction="sum" dataDxfId="4644" totalsRowDxfId="4643" dataCellStyle="Moeda">
      <calculatedColumnFormula>SUMIFS(tabela_registros[VALOR],tabela_registros[MÊS],$AE$1,tabela_registros[DIA],jantotal[[#Headers],[12]],tabela_registros[REGISTRO],DADOS!$N$4,tabela_registros[TIPO],DADOS!$P$3,tabela_registros[CATEGORIA],despesafixaconsolidadojul[[#This Row],[DESPESA FIXA]])</calculatedColumnFormula>
    </tableColumn>
    <tableColumn id="30" xr3:uid="{05B74390-427D-45B9-B141-15B263D1A0D3}" name="13" totalsRowFunction="sum" dataDxfId="4642" totalsRowDxfId="4641" dataCellStyle="Moeda">
      <calculatedColumnFormula>SUMIFS(tabela_registros[VALOR],tabela_registros[MÊS],$AE$1,tabela_registros[DIA],jantotal[[#Headers],[13]],tabela_registros[REGISTRO],DADOS!$N$4,tabela_registros[TIPO],DADOS!$P$3,tabela_registros[CATEGORIA],despesafixaconsolidadojul[[#This Row],[DESPESA FIXA]])</calculatedColumnFormula>
    </tableColumn>
    <tableColumn id="31" xr3:uid="{60AB6F3F-43CC-4CD8-999D-05FF4998FC21}" name="14" totalsRowFunction="sum" dataDxfId="4640" totalsRowDxfId="4639" dataCellStyle="Moeda">
      <calculatedColumnFormula>SUMIFS(tabela_registros[VALOR],tabela_registros[MÊS],$AE$1,tabela_registros[DIA],jantotal[[#Headers],[14]],tabela_registros[REGISTRO],DADOS!$N$4,tabela_registros[TIPO],DADOS!$P$3,tabela_registros[CATEGORIA],despesafixaconsolidadojul[[#This Row],[DESPESA FIXA]])</calculatedColumnFormula>
    </tableColumn>
    <tableColumn id="32" xr3:uid="{E40ECE0E-63DE-48E0-A80E-B793687CA679}" name="15" totalsRowFunction="sum" dataDxfId="4638" totalsRowDxfId="4637" dataCellStyle="Moeda">
      <calculatedColumnFormula>SUMIFS(tabela_registros[VALOR],tabela_registros[MÊS],$AE$1,tabela_registros[DIA],jantotal[[#Headers],[15]],tabela_registros[REGISTRO],DADOS!$N$4,tabela_registros[TIPO],DADOS!$P$3,tabela_registros[CATEGORIA],despesafixaconsolidadojul[[#This Row],[DESPESA FIXA]])</calculatedColumnFormula>
    </tableColumn>
    <tableColumn id="33" xr3:uid="{BA3E9672-ECD1-41E3-AF2F-6A08F8FB603B}" name="16" totalsRowFunction="sum" dataDxfId="4636" totalsRowDxfId="4635" dataCellStyle="Moeda">
      <calculatedColumnFormula>SUMIFS(tabela_registros[VALOR],tabela_registros[MÊS],$AE$1,tabela_registros[DIA],jantotal[[#Headers],[16]],tabela_registros[REGISTRO],DADOS!$N$4,tabela_registros[TIPO],DADOS!$P$3,tabela_registros[CATEGORIA],despesafixaconsolidadojul[[#This Row],[DESPESA FIXA]])</calculatedColumnFormula>
    </tableColumn>
    <tableColumn id="34" xr3:uid="{104ED42D-1B45-48D0-9B86-311F3D363C2C}" name="17" totalsRowFunction="sum" dataDxfId="4634" totalsRowDxfId="4633" dataCellStyle="Moeda">
      <calculatedColumnFormula>SUMIFS(tabela_registros[VALOR],tabela_registros[MÊS],$AE$1,tabela_registros[DIA],jantotal[[#Headers],[17]],tabela_registros[REGISTRO],DADOS!$N$4,tabela_registros[TIPO],DADOS!$P$3,tabela_registros[CATEGORIA],despesafixaconsolidadojul[[#This Row],[DESPESA FIXA]])</calculatedColumnFormula>
    </tableColumn>
    <tableColumn id="35" xr3:uid="{D6BF41B1-6485-4E4A-A754-858CAF0F4841}" name="18" totalsRowFunction="sum" dataDxfId="4632" totalsRowDxfId="4631" dataCellStyle="Moeda">
      <calculatedColumnFormula>SUMIFS(tabela_registros[VALOR],tabela_registros[MÊS],$AE$1,tabela_registros[DIA],jantotal[[#Headers],[18]],tabela_registros[REGISTRO],DADOS!$N$4,tabela_registros[TIPO],DADOS!$P$3,tabela_registros[CATEGORIA],despesafixaconsolidadojul[[#This Row],[DESPESA FIXA]])</calculatedColumnFormula>
    </tableColumn>
    <tableColumn id="36" xr3:uid="{4CA7BF31-A8C4-4757-84B6-67B4D5E5EC43}" name="19" totalsRowFunction="sum" dataDxfId="4630" totalsRowDxfId="4629" dataCellStyle="Moeda">
      <calculatedColumnFormula>SUMIFS(tabela_registros[VALOR],tabela_registros[MÊS],$AE$1,tabela_registros[DIA],jantotal[[#Headers],[19]],tabela_registros[REGISTRO],DADOS!$N$4,tabela_registros[TIPO],DADOS!$P$3,tabela_registros[CATEGORIA],despesafixaconsolidadojul[[#This Row],[DESPESA FIXA]])</calculatedColumnFormula>
    </tableColumn>
    <tableColumn id="37" xr3:uid="{72527BDE-0D96-4241-9EE7-55C3F520D5F1}" name="20" totalsRowFunction="sum" dataDxfId="4628" totalsRowDxfId="4627" dataCellStyle="Moeda">
      <calculatedColumnFormula>SUMIFS(tabela_registros[VALOR],tabela_registros[MÊS],$AE$1,tabela_registros[DIA],jantotal[[#Headers],[20]],tabela_registros[REGISTRO],DADOS!$N$4,tabela_registros[TIPO],DADOS!$P$3,tabela_registros[CATEGORIA],despesafixaconsolidadojul[[#This Row],[DESPESA FIXA]])</calculatedColumnFormula>
    </tableColumn>
    <tableColumn id="38" xr3:uid="{3AB258D8-1776-4695-918D-61F486E030F5}" name="21" totalsRowFunction="sum" dataDxfId="4626" totalsRowDxfId="4625" dataCellStyle="Moeda">
      <calculatedColumnFormula>SUMIFS(tabela_registros[VALOR],tabela_registros[MÊS],$AE$1,tabela_registros[DIA],jantotal[[#Headers],[21]],tabela_registros[REGISTRO],DADOS!$N$4,tabela_registros[TIPO],DADOS!$P$3,tabela_registros[CATEGORIA],despesafixaconsolidadojul[[#This Row],[DESPESA FIXA]])</calculatedColumnFormula>
    </tableColumn>
    <tableColumn id="39" xr3:uid="{64348707-A6EB-4C58-9090-A9E8DD6A9505}" name="22" totalsRowFunction="sum" dataDxfId="4624" totalsRowDxfId="4623" dataCellStyle="Moeda">
      <calculatedColumnFormula>SUMIFS(tabela_registros[VALOR],tabela_registros[MÊS],$AE$1,tabela_registros[DIA],jantotal[[#Headers],[22]],tabela_registros[REGISTRO],DADOS!$N$4,tabela_registros[TIPO],DADOS!$P$3,tabela_registros[CATEGORIA],despesafixaconsolidadojul[[#This Row],[DESPESA FIXA]])</calculatedColumnFormula>
    </tableColumn>
    <tableColumn id="40" xr3:uid="{7B3D2174-A345-4F2C-9411-7E93D64E66A0}" name="23" totalsRowFunction="sum" dataDxfId="4622" totalsRowDxfId="4621" dataCellStyle="Moeda">
      <calculatedColumnFormula>SUMIFS(tabela_registros[VALOR],tabela_registros[MÊS],$AE$1,tabela_registros[DIA],jantotal[[#Headers],[23]],tabela_registros[REGISTRO],DADOS!$N$4,tabela_registros[TIPO],DADOS!$P$3,tabela_registros[CATEGORIA],despesafixaconsolidadojul[[#This Row],[DESPESA FIXA]])</calculatedColumnFormula>
    </tableColumn>
    <tableColumn id="41" xr3:uid="{CAC43717-86F3-4FB5-B226-B305FE8A72D7}" name="24" totalsRowFunction="sum" dataDxfId="4620" totalsRowDxfId="4619" dataCellStyle="Moeda">
      <calculatedColumnFormula>SUMIFS(tabela_registros[VALOR],tabela_registros[MÊS],$AE$1,tabela_registros[DIA],jantotal[[#Headers],[24]],tabela_registros[REGISTRO],DADOS!$N$4,tabela_registros[TIPO],DADOS!$P$3,tabela_registros[CATEGORIA],despesafixaconsolidadojul[[#This Row],[DESPESA FIXA]])</calculatedColumnFormula>
    </tableColumn>
    <tableColumn id="12" xr3:uid="{41614596-5396-4DF1-9DF1-8D7F2397A00F}" name="25" totalsRowFunction="sum" dataDxfId="4618" totalsRowDxfId="4617" dataCellStyle="Moeda">
      <calculatedColumnFormula>SUMIFS(tabela_registros[VALOR],tabela_registros[MÊS],$AE$1,tabela_registros[DIA],jantotal[[#Headers],[25]],tabela_registros[REGISTRO],DADOS!$N$4,tabela_registros[TIPO],DADOS!$P$3,tabela_registros[CATEGORIA],despesafixaconsolidadojul[[#This Row],[DESPESA FIXA]])</calculatedColumnFormula>
    </tableColumn>
    <tableColumn id="13" xr3:uid="{942CBC59-2002-48B3-BC65-3E6C1C79AE12}" name="26" totalsRowFunction="sum" dataDxfId="4616" totalsRowDxfId="4615" dataCellStyle="Moeda">
      <calculatedColumnFormula>SUMIFS(tabela_registros[VALOR],tabela_registros[MÊS],$AE$1,tabela_registros[DIA],jantotal[[#Headers],[26]],tabela_registros[REGISTRO],DADOS!$N$4,tabela_registros[TIPO],DADOS!$P$3,tabela_registros[CATEGORIA],despesafixaconsolidadojul[[#This Row],[DESPESA FIXA]])</calculatedColumnFormula>
    </tableColumn>
    <tableColumn id="14" xr3:uid="{4FCA4B60-1061-43DA-973D-F3715513EB5A}" name="27" totalsRowFunction="sum" dataDxfId="4614" totalsRowDxfId="4613" dataCellStyle="Moeda">
      <calculatedColumnFormula>SUMIFS(tabela_registros[VALOR],tabela_registros[MÊS],$AE$1,tabela_registros[DIA],jantotal[[#Headers],[27]],tabela_registros[REGISTRO],DADOS!$N$4,tabela_registros[TIPO],DADOS!$P$3,tabela_registros[CATEGORIA],despesafixaconsolidadojul[[#This Row],[DESPESA FIXA]])</calculatedColumnFormula>
    </tableColumn>
    <tableColumn id="15" xr3:uid="{8CB7A1C1-3B5B-4795-9ABA-204CB8B22BC4}" name="28" totalsRowFunction="sum" dataDxfId="4612" totalsRowDxfId="4611" dataCellStyle="Moeda">
      <calculatedColumnFormula>SUMIFS(tabela_registros[VALOR],tabela_registros[MÊS],$AE$1,tabela_registros[DIA],jantotal[[#Headers],[28]],tabela_registros[REGISTRO],DADOS!$N$4,tabela_registros[TIPO],DADOS!$P$3,tabela_registros[CATEGORIA],despesafixaconsolidadojul[[#This Row],[DESPESA FIXA]])</calculatedColumnFormula>
    </tableColumn>
    <tableColumn id="16" xr3:uid="{4505CEE4-FFFF-48EC-821A-A838EA655618}" name="29" totalsRowFunction="sum" dataDxfId="4610" totalsRowDxfId="4609" dataCellStyle="Moeda">
      <calculatedColumnFormula>SUMIFS(tabela_registros[VALOR],tabela_registros[MÊS],$AE$1,tabela_registros[DIA],jantotal[[#Headers],[29]],tabela_registros[REGISTRO],DADOS!$N$4,tabela_registros[TIPO],DADOS!$P$3,tabela_registros[CATEGORIA],despesafixaconsolidadojul[[#This Row],[DESPESA FIXA]])</calculatedColumnFormula>
    </tableColumn>
    <tableColumn id="17" xr3:uid="{E0B76B4A-F7F0-41BB-90EF-66B9573185FC}" name="30" totalsRowFunction="sum" dataDxfId="4608" totalsRowDxfId="4607" dataCellStyle="Moeda">
      <calculatedColumnFormula>SUMIFS(tabela_registros[VALOR],tabela_registros[MÊS],$AE$1,tabela_registros[DIA],jantotal[[#Headers],[30]],tabela_registros[REGISTRO],DADOS!$N$4,tabela_registros[TIPO],DADOS!$P$3,tabela_registros[CATEGORIA],despesafixaconsolidadojul[[#This Row],[DESPESA FIXA]])</calculatedColumnFormula>
    </tableColumn>
    <tableColumn id="9" xr3:uid="{719B072E-7023-406F-82EA-52630FDF7D6A}" name="31" totalsRowFunction="sum" dataDxfId="4606" totalsRowDxfId="4605" dataCellStyle="Moeda">
      <calculatedColumnFormula>SUMIFS(tabela_registros[VALOR],tabela_registros[MÊS],$AE$1,tabela_registros[DIA],jantotal[[#Headers],[31]],tabela_registros[REGISTRO],DADOS!$N$4,tabela_registros[TIPO],DADOS!$P$3,tabela_registros[CATEGORIA],despesafixaconsolidadojul[[#This Row],[DESPESA FIXA]])</calculatedColumnFormula>
    </tableColumn>
    <tableColumn id="5" xr3:uid="{69A1ED79-1E1F-4845-8DF7-6912AA1ED9FB}" name="TOTAL" totalsRowFunction="sum" dataDxfId="4604" dataCellStyle="Moeda">
      <calculatedColumnFormula>SUM(despesafixaconsolidadojul[[#This Row],[1]:[31]])</calculatedColumnFormula>
    </tableColumn>
  </tableColumns>
  <tableStyleInfo name="TABELAS RESULTADOS" showFirstColumn="0" showLastColumn="1" showRowStripes="1" showColumnStripes="0"/>
</table>
</file>

<file path=xl/tables/table8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9" xr:uid="{B50EC435-BAD0-49BB-A920-4673E51BBA50}" name="despesavariávelconsolidadojul" displayName="despesavariávelconsolidadojul" ref="C59:AJ73" headerRowDxfId="4603" dataDxfId="4602" totalsRowDxfId="4601" dataCellStyle="Moeda">
  <autoFilter ref="C59:AJ73" xr:uid="{07DB3A1D-DBCD-42BC-96FE-46512EDE2C70}"/>
  <tableColumns count="34">
    <tableColumn id="1" xr3:uid="{78DB5093-E041-4EE6-8D64-54482EAE927B}" name="DESPESA VARIÁVEL" totalsRowLabel="Total" dataDxfId="4600" totalsRowDxfId="4599">
      <calculatedColumnFormula>DADOS!T3</calculatedColumnFormula>
    </tableColumn>
    <tableColumn id="54" xr3:uid="{DB431A93-C8EF-49DE-8A48-F70FD9787B6F}" name="Coluna1" dataDxfId="4598" totalsRowDxfId="4597">
      <calculatedColumnFormula>IF(despesavariávelconsolidadojul[[#This Row],[TOTAL]]=0,"",IF(OR(despesavariávelconsolidadojul[[#This Row],[TOTAL]]=SMALL(despesavariávelconsolidadojul[TOTAL],1),despesavariávelconsolidadojul[[#This Row],[TOTAL]]=SMALL(despesavariávelconsolidadojul[TOTAL],2),despesavariávelconsolidadojul[[#This Row],[TOTAL]]=SMALL(despesavariávelconsolidadojul[TOTAL],3),despesavariávelconsolidadojul[[#This Row],[TOTAL]]=SMALL(despesavariávelconsolidadojul[TOTAL],4),despesavariávelconsolidadojul[[#This Row],[TOTAL]]=SMALL(despesavariávelconsolidadojul[TOTAL],5)),DADOS!$I$8,""))</calculatedColumnFormula>
    </tableColumn>
    <tableColumn id="30" xr3:uid="{26103515-8092-4E8D-81EA-339C497C9669}" name="1" totalsRowFunction="sum" dataDxfId="4596">
      <calculatedColumnFormula>SUMIFS(tabela_registros[VALOR],tabela_registros[MÊS],$AE$1,tabela_registros[DIA],jantotal[[#Headers],[1]],tabela_registros[REGISTRO],DADOS!$N$4,tabela_registros[TIPO],DADOS!$P$4,tabela_registros[CATEGORIA],despesavariávelconsolidadojul[[#This Row],[DESPESA VARIÁVEL]])</calculatedColumnFormula>
    </tableColumn>
    <tableColumn id="31" xr3:uid="{7BD7907B-F43E-4A47-AC31-208D616095D4}" name="2" totalsRowFunction="sum" dataDxfId="4595">
      <calculatedColumnFormula>SUMIFS(tabela_registros[VALOR],tabela_registros[MÊS],$AE$1,tabela_registros[DIA],jantotal[[#Headers],[2]],tabela_registros[REGISTRO],DADOS!$N$4,tabela_registros[TIPO],DADOS!$P$4,tabela_registros[CATEGORIA],despesavariávelconsolidadojul[[#This Row],[DESPESA VARIÁVEL]])</calculatedColumnFormula>
    </tableColumn>
    <tableColumn id="32" xr3:uid="{90E96D39-C19A-491C-95C5-79B6F83AEB9A}" name="3" totalsRowFunction="sum" dataDxfId="4594">
      <calculatedColumnFormula>SUMIFS(tabela_registros[VALOR],tabela_registros[MÊS],$AE$1,tabela_registros[DIA],jantotal[[#Headers],[3]],tabela_registros[REGISTRO],DADOS!$N$4,tabela_registros[TIPO],DADOS!$P$4,tabela_registros[CATEGORIA],despesavariávelconsolidadojul[[#This Row],[DESPESA VARIÁVEL]])</calculatedColumnFormula>
    </tableColumn>
    <tableColumn id="33" xr3:uid="{78FE6071-D803-41B2-90EC-87BF1BDA5C4B}" name="4" totalsRowFunction="sum" dataDxfId="4593">
      <calculatedColumnFormula>SUMIFS(tabela_registros[VALOR],tabela_registros[MÊS],$AE$1,tabela_registros[DIA],jantotal[[#Headers],[4]],tabela_registros[REGISTRO],DADOS!$N$4,tabela_registros[TIPO],DADOS!$P$4,tabela_registros[CATEGORIA],despesavariávelconsolidadojul[[#This Row],[DESPESA VARIÁVEL]])</calculatedColumnFormula>
    </tableColumn>
    <tableColumn id="34" xr3:uid="{201772E3-2F9F-4ADA-9CE7-289074596A16}" name="5" totalsRowFunction="sum" dataDxfId="4592">
      <calculatedColumnFormula>SUMIFS(tabela_registros[VALOR],tabela_registros[MÊS],$AE$1,tabela_registros[DIA],jantotal[[#Headers],[5]],tabela_registros[REGISTRO],DADOS!$N$4,tabela_registros[TIPO],DADOS!$P$4,tabela_registros[CATEGORIA],despesavariávelconsolidadojul[[#This Row],[DESPESA VARIÁVEL]])</calculatedColumnFormula>
    </tableColumn>
    <tableColumn id="35" xr3:uid="{6675534F-79F3-468B-B74B-88F9E4972B07}" name="6" totalsRowFunction="sum" dataDxfId="4591">
      <calculatedColumnFormula>SUMIFS(tabela_registros[VALOR],tabela_registros[MÊS],$AE$1,tabela_registros[DIA],jantotal[[#Headers],[6]],tabela_registros[REGISTRO],DADOS!$N$4,tabela_registros[TIPO],DADOS!$P$4,tabela_registros[CATEGORIA],despesavariávelconsolidadojul[[#This Row],[DESPESA VARIÁVEL]])</calculatedColumnFormula>
    </tableColumn>
    <tableColumn id="36" xr3:uid="{FA68D59B-D47C-492C-9D5D-BC838F8B9B0A}" name="7" totalsRowFunction="sum" dataDxfId="4590">
      <calculatedColumnFormula>SUMIFS(tabela_registros[VALOR],tabela_registros[MÊS],$AE$1,tabela_registros[DIA],jantotal[[#Headers],[7]],tabela_registros[REGISTRO],DADOS!$N$4,tabela_registros[TIPO],DADOS!$P$4,tabela_registros[CATEGORIA],despesavariávelconsolidadojul[[#This Row],[DESPESA VARIÁVEL]])</calculatedColumnFormula>
    </tableColumn>
    <tableColumn id="37" xr3:uid="{6C40DB5B-3B5E-4F28-8AF1-B28EACED1886}" name="8" totalsRowFunction="sum" dataDxfId="4589">
      <calculatedColumnFormula>SUMIFS(tabela_registros[VALOR],tabela_registros[MÊS],$AE$1,tabela_registros[DIA],jantotal[[#Headers],[8]],tabela_registros[REGISTRO],DADOS!$N$4,tabela_registros[TIPO],DADOS!$P$4,tabela_registros[CATEGORIA],despesavariávelconsolidadojul[[#This Row],[DESPESA VARIÁVEL]])</calculatedColumnFormula>
    </tableColumn>
    <tableColumn id="38" xr3:uid="{3006763C-43C9-4386-AB91-99DD14BF6820}" name="9" totalsRowFunction="sum" dataDxfId="4588">
      <calculatedColumnFormula>SUMIFS(tabela_registros[VALOR],tabela_registros[MÊS],$AE$1,tabela_registros[DIA],jantotal[[#Headers],[9]],tabela_registros[REGISTRO],DADOS!$N$4,tabela_registros[TIPO],DADOS!$P$4,tabela_registros[CATEGORIA],despesavariávelconsolidadojul[[#This Row],[DESPESA VARIÁVEL]])</calculatedColumnFormula>
    </tableColumn>
    <tableColumn id="39" xr3:uid="{941EEB99-4651-42F4-B276-DCE8D6C15813}" name="10" totalsRowFunction="sum" dataDxfId="4587">
      <calculatedColumnFormula>SUMIFS(tabela_registros[VALOR],tabela_registros[MÊS],$AE$1,tabela_registros[DIA],jantotal[[#Headers],[10]],tabela_registros[REGISTRO],DADOS!$N$4,tabela_registros[TIPO],DADOS!$P$4,tabela_registros[CATEGORIA],despesavariávelconsolidadojul[[#This Row],[DESPESA VARIÁVEL]])</calculatedColumnFormula>
    </tableColumn>
    <tableColumn id="40" xr3:uid="{1A36A13E-956B-438E-B14D-6103C467BE2B}" name="11" totalsRowFunction="sum" dataDxfId="4586">
      <calculatedColumnFormula>SUMIFS(tabela_registros[VALOR],tabela_registros[MÊS],$AE$1,tabela_registros[DIA],jantotal[[#Headers],[11]],tabela_registros[REGISTRO],DADOS!$N$4,tabela_registros[TIPO],DADOS!$P$4,tabela_registros[CATEGORIA],despesavariávelconsolidadojul[[#This Row],[DESPESA VARIÁVEL]])</calculatedColumnFormula>
    </tableColumn>
    <tableColumn id="41" xr3:uid="{922AB123-661A-43D0-BE8E-2118BA553AFB}" name="12" totalsRowFunction="sum" dataDxfId="4585">
      <calculatedColumnFormula>SUMIFS(tabela_registros[VALOR],tabela_registros[MÊS],$AE$1,tabela_registros[DIA],jantotal[[#Headers],[12]],tabela_registros[REGISTRO],DADOS!$N$4,tabela_registros[TIPO],DADOS!$P$4,tabela_registros[CATEGORIA],despesavariávelconsolidadojul[[#This Row],[DESPESA VARIÁVEL]])</calculatedColumnFormula>
    </tableColumn>
    <tableColumn id="42" xr3:uid="{9412A3CE-589C-4B48-9A93-A5BB205597EE}" name="13" totalsRowFunction="sum" dataDxfId="4584">
      <calculatedColumnFormula>SUMIFS(tabela_registros[VALOR],tabela_registros[MÊS],$AE$1,tabela_registros[DIA],jantotal[[#Headers],[13]],tabela_registros[REGISTRO],DADOS!$N$4,tabela_registros[TIPO],DADOS!$P$4,tabela_registros[CATEGORIA],despesavariávelconsolidadojul[[#This Row],[DESPESA VARIÁVEL]])</calculatedColumnFormula>
    </tableColumn>
    <tableColumn id="43" xr3:uid="{25575814-C57F-4C3D-93D6-15AD2295723E}" name="14" totalsRowFunction="sum" dataDxfId="4583">
      <calculatedColumnFormula>SUMIFS(tabela_registros[VALOR],tabela_registros[MÊS],$AE$1,tabela_registros[DIA],jantotal[[#Headers],[14]],tabela_registros[REGISTRO],DADOS!$N$4,tabela_registros[TIPO],DADOS!$P$4,tabela_registros[CATEGORIA],despesavariávelconsolidadojul[[#This Row],[DESPESA VARIÁVEL]])</calculatedColumnFormula>
    </tableColumn>
    <tableColumn id="44" xr3:uid="{B4B646B9-A106-4070-9F66-61496AD24B19}" name="15" totalsRowFunction="sum" dataDxfId="4582">
      <calculatedColumnFormula>SUMIFS(tabela_registros[VALOR],tabela_registros[MÊS],$AE$1,tabela_registros[DIA],jantotal[[#Headers],[15]],tabela_registros[REGISTRO],DADOS!$N$4,tabela_registros[TIPO],DADOS!$P$4,tabela_registros[CATEGORIA],despesavariávelconsolidadojul[[#This Row],[DESPESA VARIÁVEL]])</calculatedColumnFormula>
    </tableColumn>
    <tableColumn id="45" xr3:uid="{EA9B39E5-B7C7-47E8-9281-CF2D92AA86D8}" name="16" totalsRowFunction="sum" dataDxfId="4581">
      <calculatedColumnFormula>SUMIFS(tabela_registros[VALOR],tabela_registros[MÊS],$AE$1,tabela_registros[DIA],jantotal[[#Headers],[16]],tabela_registros[REGISTRO],DADOS!$N$4,tabela_registros[TIPO],DADOS!$P$4,tabela_registros[CATEGORIA],despesavariávelconsolidadojul[[#This Row],[DESPESA VARIÁVEL]])</calculatedColumnFormula>
    </tableColumn>
    <tableColumn id="46" xr3:uid="{6F5F1A91-E799-4D39-84F8-E41178ECBB77}" name="17" totalsRowFunction="sum" dataDxfId="4580">
      <calculatedColumnFormula>SUMIFS(tabela_registros[VALOR],tabela_registros[MÊS],$AE$1,tabela_registros[DIA],jantotal[[#Headers],[17]],tabela_registros[REGISTRO],DADOS!$N$4,tabela_registros[TIPO],DADOS!$P$4,tabela_registros[CATEGORIA],despesavariávelconsolidadojul[[#This Row],[DESPESA VARIÁVEL]])</calculatedColumnFormula>
    </tableColumn>
    <tableColumn id="47" xr3:uid="{CAEE1688-D865-4A60-95DD-270456F8D155}" name="18" totalsRowFunction="sum" dataDxfId="4579">
      <calculatedColumnFormula>SUMIFS(tabela_registros[VALOR],tabela_registros[MÊS],$AE$1,tabela_registros[DIA],jantotal[[#Headers],[18]],tabela_registros[REGISTRO],DADOS!$N$4,tabela_registros[TIPO],DADOS!$P$4,tabela_registros[CATEGORIA],despesavariávelconsolidadojul[[#This Row],[DESPESA VARIÁVEL]])</calculatedColumnFormula>
    </tableColumn>
    <tableColumn id="48" xr3:uid="{2BBA944F-0FD6-49EE-9E39-D03C517662E8}" name="19" totalsRowFunction="sum" dataDxfId="4578">
      <calculatedColumnFormula>SUMIFS(tabela_registros[VALOR],tabela_registros[MÊS],$AE$1,tabela_registros[DIA],jantotal[[#Headers],[19]],tabela_registros[REGISTRO],DADOS!$N$4,tabela_registros[TIPO],DADOS!$P$4,tabela_registros[CATEGORIA],despesavariávelconsolidadojul[[#This Row],[DESPESA VARIÁVEL]])</calculatedColumnFormula>
    </tableColumn>
    <tableColumn id="49" xr3:uid="{013F433C-83CB-43E7-A160-7BEDC592390C}" name="20" totalsRowFunction="sum" dataDxfId="4577">
      <calculatedColumnFormula>SUMIFS(tabela_registros[VALOR],tabela_registros[MÊS],$AE$1,tabela_registros[DIA],jantotal[[#Headers],[20]],tabela_registros[REGISTRO],DADOS!$N$4,tabela_registros[TIPO],DADOS!$P$4,tabela_registros[CATEGORIA],despesavariávelconsolidadojul[[#This Row],[DESPESA VARIÁVEL]])</calculatedColumnFormula>
    </tableColumn>
    <tableColumn id="50" xr3:uid="{10B9321C-43A2-478F-A728-5F1AB2CA19AF}" name="21" totalsRowFunction="sum" dataDxfId="4576">
      <calculatedColumnFormula>SUMIFS(tabela_registros[VALOR],tabela_registros[MÊS],$AE$1,tabela_registros[DIA],jantotal[[#Headers],[21]],tabela_registros[REGISTRO],DADOS!$N$4,tabela_registros[TIPO],DADOS!$P$4,tabela_registros[CATEGORIA],despesavariávelconsolidadojul[[#This Row],[DESPESA VARIÁVEL]])</calculatedColumnFormula>
    </tableColumn>
    <tableColumn id="51" xr3:uid="{5068DCD7-B74D-473C-A8A8-4D18EAE47F9B}" name="22" totalsRowFunction="sum" dataDxfId="4575">
      <calculatedColumnFormula>SUMIFS(tabela_registros[VALOR],tabela_registros[MÊS],$AE$1,tabela_registros[DIA],jantotal[[#Headers],[22]],tabela_registros[REGISTRO],DADOS!$N$4,tabela_registros[TIPO],DADOS!$P$4,tabela_registros[CATEGORIA],despesavariávelconsolidadojul[[#This Row],[DESPESA VARIÁVEL]])</calculatedColumnFormula>
    </tableColumn>
    <tableColumn id="52" xr3:uid="{3DDDCF70-BD13-47E6-ADA7-E1AB6B515610}" name="23" totalsRowFunction="sum" dataDxfId="4574">
      <calculatedColumnFormula>SUMIFS(tabela_registros[VALOR],tabela_registros[MÊS],$AE$1,tabela_registros[DIA],jantotal[[#Headers],[23]],tabela_registros[REGISTRO],DADOS!$N$4,tabela_registros[TIPO],DADOS!$P$4,tabela_registros[CATEGORIA],despesavariávelconsolidadojul[[#This Row],[DESPESA VARIÁVEL]])</calculatedColumnFormula>
    </tableColumn>
    <tableColumn id="53" xr3:uid="{3A952550-A07A-4503-B009-A9F05C8CFDA5}" name="24" totalsRowFunction="sum" dataDxfId="4573">
      <calculatedColumnFormula>SUMIFS(tabela_registros[VALOR],tabela_registros[MÊS],$AE$1,tabela_registros[DIA],jantotal[[#Headers],[24]],tabela_registros[REGISTRO],DADOS!$N$4,tabela_registros[TIPO],DADOS!$P$4,tabela_registros[CATEGORIA],despesavariávelconsolidadojul[[#This Row],[DESPESA VARIÁVEL]])</calculatedColumnFormula>
    </tableColumn>
    <tableColumn id="18" xr3:uid="{887094E5-BE46-4AEB-BA24-793E2C4C8A40}" name="25" totalsRowFunction="sum" dataDxfId="4572">
      <calculatedColumnFormula>SUMIFS(tabela_registros[VALOR],tabela_registros[MÊS],$AE$1,tabela_registros[DIA],jantotal[[#Headers],[25]],tabela_registros[REGISTRO],DADOS!$N$4,tabela_registros[TIPO],DADOS!$P$4,tabela_registros[CATEGORIA],despesavariávelconsolidadojul[[#This Row],[DESPESA VARIÁVEL]])</calculatedColumnFormula>
    </tableColumn>
    <tableColumn id="19" xr3:uid="{10A2B309-3A08-4AF3-AADD-E119A8FF050D}" name="26" totalsRowFunction="sum" dataDxfId="4571">
      <calculatedColumnFormula>SUMIFS(tabela_registros[VALOR],tabela_registros[MÊS],$AE$1,tabela_registros[DIA],jantotal[[#Headers],[26]],tabela_registros[REGISTRO],DADOS!$N$4,tabela_registros[TIPO],DADOS!$P$4,tabela_registros[CATEGORIA],despesavariávelconsolidadojul[[#This Row],[DESPESA VARIÁVEL]])</calculatedColumnFormula>
    </tableColumn>
    <tableColumn id="20" xr3:uid="{AB843599-DD17-4C41-8372-B9DBB3D80180}" name="27" totalsRowFunction="sum" dataDxfId="4570">
      <calculatedColumnFormula>SUMIFS(tabela_registros[VALOR],tabela_registros[MÊS],$AE$1,tabela_registros[DIA],jantotal[[#Headers],[27]],tabela_registros[REGISTRO],DADOS!$N$4,tabela_registros[TIPO],DADOS!$P$4,tabela_registros[CATEGORIA],despesavariávelconsolidadojul[[#This Row],[DESPESA VARIÁVEL]])</calculatedColumnFormula>
    </tableColumn>
    <tableColumn id="21" xr3:uid="{95304949-C124-4D07-8C1A-55DEA5DB856E}" name="28" totalsRowFunction="sum" dataDxfId="4569">
      <calculatedColumnFormula>SUMIFS(tabela_registros[VALOR],tabela_registros[MÊS],$AE$1,tabela_registros[DIA],jantotal[[#Headers],[28]],tabela_registros[REGISTRO],DADOS!$N$4,tabela_registros[TIPO],DADOS!$P$4,tabela_registros[CATEGORIA],despesavariávelconsolidadojul[[#This Row],[DESPESA VARIÁVEL]])</calculatedColumnFormula>
    </tableColumn>
    <tableColumn id="22" xr3:uid="{A22A0A5E-F2EE-4AF6-9CB6-09646161FBD2}" name="29" totalsRowFunction="sum" dataDxfId="4568">
      <calculatedColumnFormula>SUMIFS(tabela_registros[VALOR],tabela_registros[MÊS],$AE$1,tabela_registros[DIA],jantotal[[#Headers],[29]],tabela_registros[REGISTRO],DADOS!$N$4,tabela_registros[TIPO],DADOS!$P$4,tabela_registros[CATEGORIA],despesavariávelconsolidadojul[[#This Row],[DESPESA VARIÁVEL]])</calculatedColumnFormula>
    </tableColumn>
    <tableColumn id="23" xr3:uid="{75CE89CA-B58B-41EF-A2C4-D01101F3DB69}" name="30" totalsRowFunction="sum" dataDxfId="4567">
      <calculatedColumnFormula>SUMIFS(tabela_registros[VALOR],tabela_registros[MÊS],$AE$1,tabela_registros[DIA],jantotal[[#Headers],[30]],tabela_registros[REGISTRO],DADOS!$N$4,tabela_registros[TIPO],DADOS!$P$4,tabela_registros[CATEGORIA],despesavariávelconsolidadojul[[#This Row],[DESPESA VARIÁVEL]])</calculatedColumnFormula>
    </tableColumn>
    <tableColumn id="24" xr3:uid="{74E07B56-10A5-4D6F-8B88-A0212FB2A31A}" name="31" totalsRowFunction="sum" dataDxfId="4566">
      <calculatedColumnFormula>SUMIFS(tabela_registros[VALOR],tabela_registros[MÊS],$AE$1,tabela_registros[DIA],jantotal[[#Headers],[31]],tabela_registros[REGISTRO],DADOS!$N$4,tabela_registros[TIPO],DADOS!$P$4,tabela_registros[CATEGORIA],despesavariávelconsolidadojul[[#This Row],[DESPESA VARIÁVEL]])</calculatedColumnFormula>
    </tableColumn>
    <tableColumn id="3" xr3:uid="{CC2D9469-6B2D-4E61-9041-6E3850BF377D}" name="TOTAL" totalsRowFunction="sum" dataDxfId="4565" dataCellStyle="Moeda">
      <calculatedColumnFormula>-SUMIFS(tabela_registros[VALOR],tabela_registros[REGISTRO],DADOS!$N$4,tabela_registros[TIPO],despesavariável[[#Headers],[DESPESA VARIÁVEL]],tabela_registros[CATEGORIA],despesavariávelconsolidadojul[[#This Row],[DESPESA VARIÁVEL]])</calculatedColumnFormula>
    </tableColumn>
  </tableColumns>
  <tableStyleInfo name="TABELAS RESULTADOS" showFirstColumn="0" showLastColumn="1" showRowStripes="1" showColumnStripes="0"/>
</table>
</file>

<file path=xl/tables/table8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0" xr:uid="{D350F04E-BD67-402F-BBF4-249A6404F043}" name="julinvestir2158708294106" displayName="julinvestir2158708294106" ref="C24:AJ28" totalsRowCount="1" headerRowDxfId="4564" dataDxfId="4563" totalsRowDxfId="4561" tableBorderDxfId="4562" dataCellStyle="Moeda">
  <autoFilter ref="C24:AJ27" xr:uid="{6A49DC70-6E60-45C7-9126-6CFF5D88342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  <filterColumn colId="25" hiddenButton="1"/>
    <filterColumn colId="26" hiddenButton="1"/>
    <filterColumn colId="27" hiddenButton="1"/>
    <filterColumn colId="28" hiddenButton="1"/>
    <filterColumn colId="29" hiddenButton="1"/>
    <filterColumn colId="30" hiddenButton="1"/>
    <filterColumn colId="31" hiddenButton="1"/>
    <filterColumn colId="32" hiddenButton="1"/>
    <filterColumn colId="33" hiddenButton="1"/>
  </autoFilter>
  <tableColumns count="34">
    <tableColumn id="1" xr3:uid="{58E26AF9-1931-4D82-9978-5C685BB4120F}" name="ATUAL" totalsRowLabel="SALDO" dataDxfId="4560"/>
    <tableColumn id="34" xr3:uid="{E1B10397-EF43-4F31-9448-D3DB4ED28AA7}" name="Coluna1" dataDxfId="4559"/>
    <tableColumn id="2" xr3:uid="{8C766BBE-7995-45B4-8D22-DCC448A8A634}" name="1" totalsRowFunction="sum" dataDxfId="4558" totalsRowDxfId="4557" dataCellStyle="Moeda"/>
    <tableColumn id="3" xr3:uid="{50EA5DD3-68A6-46E2-91B1-8EEE84ED38DD}" name="2" totalsRowFunction="sum" dataDxfId="4556" totalsRowDxfId="4555" dataCellStyle="Moeda"/>
    <tableColumn id="4" xr3:uid="{CC100BB2-38EE-4853-98D8-5F2DFF4A17A7}" name="3" totalsRowFunction="sum" dataDxfId="4554" totalsRowDxfId="4553" dataCellStyle="Moeda"/>
    <tableColumn id="5" xr3:uid="{B23B77C3-9424-4835-98D9-ADAEBC46A634}" name="4" totalsRowFunction="sum" dataDxfId="4552" totalsRowDxfId="4551" dataCellStyle="Moeda"/>
    <tableColumn id="6" xr3:uid="{DCF1D3EA-EB28-4E00-AB2A-969A90C9724C}" name="5" totalsRowFunction="sum" dataDxfId="4550" totalsRowDxfId="4549" dataCellStyle="Moeda"/>
    <tableColumn id="7" xr3:uid="{B7516E0B-8CA7-43F3-A09C-B7F2F236BAC6}" name="6" totalsRowFunction="sum" dataDxfId="4548" totalsRowDxfId="4547" dataCellStyle="Moeda"/>
    <tableColumn id="8" xr3:uid="{787EF1C7-BCAF-4360-9DB4-F3E86B18C908}" name="7" totalsRowFunction="sum" dataDxfId="4546" totalsRowDxfId="4545" dataCellStyle="Moeda"/>
    <tableColumn id="9" xr3:uid="{69C4A874-A5B8-4264-B7FD-7F3772DDA22B}" name="8" totalsRowFunction="sum" dataDxfId="4544" totalsRowDxfId="4543" dataCellStyle="Moeda"/>
    <tableColumn id="10" xr3:uid="{92BA1747-36E5-47EF-850E-6833D43044B4}" name="9" totalsRowFunction="sum" dataDxfId="4542" totalsRowDxfId="4541" dataCellStyle="Moeda"/>
    <tableColumn id="11" xr3:uid="{D3E30619-3ACE-49A7-8BA7-2B0F54FDB695}" name="10" totalsRowFunction="sum" dataDxfId="4540" totalsRowDxfId="4539" dataCellStyle="Moeda"/>
    <tableColumn id="12" xr3:uid="{49FC8098-9043-4F54-A1AF-E15A587A5A86}" name="11" totalsRowFunction="sum" dataDxfId="4538" totalsRowDxfId="4537" dataCellStyle="Moeda"/>
    <tableColumn id="13" xr3:uid="{E75FF147-A0D2-483E-94E4-83185577CB02}" name="12" totalsRowFunction="sum" dataDxfId="4536" totalsRowDxfId="4535" dataCellStyle="Moeda"/>
    <tableColumn id="14" xr3:uid="{0E288791-8A56-4235-99FF-7995DEFC1983}" name="13" totalsRowFunction="sum" dataDxfId="4534" totalsRowDxfId="4533" dataCellStyle="Moeda"/>
    <tableColumn id="15" xr3:uid="{1701E8BA-B985-41B3-8C25-CF2B28033124}" name="14" totalsRowFunction="sum" dataDxfId="4532" totalsRowDxfId="4531" dataCellStyle="Moeda"/>
    <tableColumn id="16" xr3:uid="{53486C13-F2F5-4715-A6A3-5B246BB72282}" name="15" totalsRowFunction="sum" dataDxfId="4530" totalsRowDxfId="4529" dataCellStyle="Moeda"/>
    <tableColumn id="17" xr3:uid="{8258A063-0D40-4982-A86E-F32F4CF31033}" name="16" totalsRowFunction="sum" dataDxfId="4528" totalsRowDxfId="4527" dataCellStyle="Moeda"/>
    <tableColumn id="18" xr3:uid="{C4CA72C8-26D6-475E-A1E2-5A9FB597E505}" name="17" totalsRowFunction="sum" dataDxfId="4526" totalsRowDxfId="4525" dataCellStyle="Moeda"/>
    <tableColumn id="19" xr3:uid="{39906F85-FC21-4F94-AF17-200036019A4C}" name="18" totalsRowFunction="sum" dataDxfId="4524" totalsRowDxfId="4523" dataCellStyle="Moeda"/>
    <tableColumn id="20" xr3:uid="{AA732B93-B97A-46BE-80E2-E1BC95C885CB}" name="19" totalsRowFunction="sum" dataDxfId="4522" totalsRowDxfId="4521" dataCellStyle="Moeda"/>
    <tableColumn id="21" xr3:uid="{F75E6EBF-C6EC-4FDC-B83A-243848AE38D0}" name="20" totalsRowFunction="sum" dataDxfId="4520" totalsRowDxfId="4519" dataCellStyle="Moeda"/>
    <tableColumn id="22" xr3:uid="{A69E5F06-2F20-4A3B-A0B1-F5265A15BE33}" name="21" totalsRowFunction="sum" dataDxfId="4518" totalsRowDxfId="4517" dataCellStyle="Moeda"/>
    <tableColumn id="23" xr3:uid="{878CF2B2-471C-4273-BF20-66E4D079AE7D}" name="22" totalsRowFunction="sum" dataDxfId="4516" totalsRowDxfId="4515" dataCellStyle="Moeda"/>
    <tableColumn id="24" xr3:uid="{76E42BBC-5D16-4BF2-8A1A-1994E9A99B75}" name="23" totalsRowFunction="sum" dataDxfId="4514" totalsRowDxfId="4513" dataCellStyle="Moeda"/>
    <tableColumn id="25" xr3:uid="{CFEE6530-2C66-43DD-B294-83148E4B232D}" name="24" totalsRowFunction="sum" dataDxfId="4512" totalsRowDxfId="4511" dataCellStyle="Moeda"/>
    <tableColumn id="26" xr3:uid="{C768FB39-35F6-4DD5-8165-F4013D4E2C3F}" name="25" totalsRowFunction="sum" dataDxfId="4510" totalsRowDxfId="4509" dataCellStyle="Moeda"/>
    <tableColumn id="27" xr3:uid="{527FB94C-D525-4915-8B46-2EDE9F62366A}" name="26" totalsRowFunction="sum" dataDxfId="4508" totalsRowDxfId="4507" dataCellStyle="Moeda"/>
    <tableColumn id="28" xr3:uid="{2CDCE06C-2F52-4FF6-BA91-A26A8386BCC6}" name="27" totalsRowFunction="sum" dataDxfId="4506" totalsRowDxfId="4505" dataCellStyle="Moeda"/>
    <tableColumn id="29" xr3:uid="{10B41653-F9C0-4FE6-9F2B-BCE0951A0405}" name="28" totalsRowFunction="sum" dataDxfId="4504" totalsRowDxfId="4503" dataCellStyle="Moeda"/>
    <tableColumn id="30" xr3:uid="{2915FA9E-9DCD-4421-826E-920D55D52419}" name="29" totalsRowFunction="sum" dataDxfId="4502" totalsRowDxfId="4501" dataCellStyle="Moeda"/>
    <tableColumn id="31" xr3:uid="{7980357B-B2DC-41DF-9AE1-D5E0512CBCE6}" name="30" totalsRowFunction="sum" dataDxfId="4500" totalsRowDxfId="4499" dataCellStyle="Moeda"/>
    <tableColumn id="32" xr3:uid="{BD296297-4E4F-4890-BD0B-9BE2FDE75D3B}" name="31" totalsRowFunction="sum" dataDxfId="4498" totalsRowDxfId="4497" dataCellStyle="Moeda"/>
    <tableColumn id="33" xr3:uid="{C64DF4FC-2FFB-4F3D-B222-A5D7B23D3A1B}" name="TOTAL (R$)" totalsRowFunction="sum" dataDxfId="4496" totalsRowDxfId="4495" dataCellStyle="Moeda">
      <calculatedColumnFormula>SUM(E25:AI25)</calculatedColumnFormula>
    </tableColumn>
  </tableColumns>
  <tableStyleInfo name="TABELAS RESULTADOS" showFirstColumn="0" showLastColumn="0" showRowStripes="1" showColumnStripes="0"/>
</table>
</file>

<file path=xl/tables/table8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1" xr:uid="{151A516D-954F-4664-A856-F2F5CFCDCC76}" name="jultotal3059718395107" displayName="jultotal3059718395107" ref="C13:AJ16" headerRowDxfId="4494" dataDxfId="4493" totalsRowDxfId="4492">
  <autoFilter ref="C13:AJ16" xr:uid="{8F80C188-90EF-4EEA-8266-E1F416435B21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  <filterColumn colId="25" hiddenButton="1"/>
    <filterColumn colId="26" hiddenButton="1"/>
    <filterColumn colId="27" hiddenButton="1"/>
    <filterColumn colId="28" hiddenButton="1"/>
    <filterColumn colId="29" hiddenButton="1"/>
    <filterColumn colId="30" hiddenButton="1"/>
    <filterColumn colId="31" hiddenButton="1"/>
    <filterColumn colId="32" hiddenButton="1"/>
    <filterColumn colId="33" hiddenButton="1"/>
  </autoFilter>
  <tableColumns count="34">
    <tableColumn id="1" xr3:uid="{66B1AB39-D100-4FFB-BCB4-279C92378AF1}" name="ATUAL" totalsRowLabel="SALDO" dataDxfId="4491"/>
    <tableColumn id="34" xr3:uid="{FFFF210F-4418-468A-BA10-C105AC96BD75}" name="Coluna1" dataDxfId="4490"/>
    <tableColumn id="2" xr3:uid="{D70AD6EB-9EF3-4C39-BCDF-57535642912D}" name="1" totalsRowFunction="sum" dataDxfId="4489" dataCellStyle="Moeda"/>
    <tableColumn id="3" xr3:uid="{FDAA322C-9CD4-426E-B5AA-EF849320A013}" name="2" totalsRowFunction="sum" dataDxfId="4488" totalsRowDxfId="4487" dataCellStyle="Moeda"/>
    <tableColumn id="4" xr3:uid="{6E07F761-852B-49DE-9BBC-A01FD2C5E7F5}" name="3" totalsRowFunction="sum" dataDxfId="4486" totalsRowDxfId="4485" dataCellStyle="Moeda"/>
    <tableColumn id="5" xr3:uid="{A9BAE067-71DC-41ED-B763-CCFDAF6F8714}" name="4" totalsRowFunction="sum" dataDxfId="4484" totalsRowDxfId="4483" dataCellStyle="Moeda"/>
    <tableColumn id="6" xr3:uid="{04445E95-E5A7-4D89-8CE4-4FD4D4111686}" name="5" totalsRowFunction="sum" dataDxfId="4482" totalsRowDxfId="4481" dataCellStyle="Moeda"/>
    <tableColumn id="7" xr3:uid="{C1672F0C-42DB-4065-B956-026508E16524}" name="6" totalsRowFunction="sum" dataDxfId="4480" totalsRowDxfId="4479" dataCellStyle="Moeda"/>
    <tableColumn id="8" xr3:uid="{6798B61D-7ADA-4FA7-9793-2F2767003AF8}" name="7" totalsRowFunction="sum" dataDxfId="4478" totalsRowDxfId="4477" dataCellStyle="Moeda"/>
    <tableColumn id="9" xr3:uid="{09DEDEBA-CE24-4498-B184-8A414A4D779B}" name="8" totalsRowFunction="sum" dataDxfId="4476" totalsRowDxfId="4475" dataCellStyle="Moeda"/>
    <tableColumn id="10" xr3:uid="{FAEF7D50-6B43-47DC-87E7-2D235E4C7391}" name="9" totalsRowFunction="sum" dataDxfId="4474" totalsRowDxfId="4473" dataCellStyle="Moeda"/>
    <tableColumn id="11" xr3:uid="{C12EC7E8-CF84-40E2-A47A-A562690DB46C}" name="10" totalsRowFunction="sum" dataDxfId="4472" totalsRowDxfId="4471" dataCellStyle="Moeda"/>
    <tableColumn id="12" xr3:uid="{1A7D771A-D657-4F2B-869F-1AB6B2949746}" name="11" totalsRowFunction="sum" dataDxfId="4470" totalsRowDxfId="4469" dataCellStyle="Moeda"/>
    <tableColumn id="13" xr3:uid="{95A5B259-5403-47C2-A017-82756234FEDF}" name="12" totalsRowFunction="sum" dataDxfId="4468" totalsRowDxfId="4467" dataCellStyle="Moeda"/>
    <tableColumn id="14" xr3:uid="{2B68913A-634A-4EC7-9244-C60152FE6A73}" name="13" totalsRowFunction="sum" dataDxfId="4466" totalsRowDxfId="4465" dataCellStyle="Moeda"/>
    <tableColumn id="15" xr3:uid="{E49C7ACA-4FB3-4791-9C8D-2849B6F626A9}" name="14" totalsRowFunction="sum" dataDxfId="4464" totalsRowDxfId="4463" dataCellStyle="Moeda"/>
    <tableColumn id="16" xr3:uid="{02C086AE-2DDE-4DE6-889F-FDBDFACAC648}" name="15" totalsRowFunction="sum" dataDxfId="4462" totalsRowDxfId="4461" dataCellStyle="Moeda"/>
    <tableColumn id="17" xr3:uid="{3D8B9D42-1736-4C34-BCF5-6A584E71922B}" name="16" totalsRowFunction="sum" dataDxfId="4460" totalsRowDxfId="4459" dataCellStyle="Moeda"/>
    <tableColumn id="18" xr3:uid="{2D6F2BEC-297C-48FD-B334-DB1EC2956DAB}" name="17" totalsRowFunction="sum" dataDxfId="4458" totalsRowDxfId="4457" dataCellStyle="Moeda"/>
    <tableColumn id="19" xr3:uid="{F11BC1EC-E46B-4B1A-8065-2A7FD1A44ACE}" name="18" totalsRowFunction="sum" dataDxfId="4456" totalsRowDxfId="4455" dataCellStyle="Moeda"/>
    <tableColumn id="20" xr3:uid="{9583FAA6-2915-4F04-96D7-0A964DF4C030}" name="19" totalsRowFunction="sum" dataDxfId="4454" totalsRowDxfId="4453" dataCellStyle="Moeda"/>
    <tableColumn id="21" xr3:uid="{97436BE6-05FB-4266-9B28-6C778042C2E2}" name="20" totalsRowFunction="sum" dataDxfId="4452" totalsRowDxfId="4451" dataCellStyle="Moeda"/>
    <tableColumn id="22" xr3:uid="{1EC65A21-F152-4D56-836E-7C6A40096D14}" name="21" totalsRowFunction="sum" dataDxfId="4450" totalsRowDxfId="4449" dataCellStyle="Moeda"/>
    <tableColumn id="23" xr3:uid="{E993862D-CA60-4FED-B721-40AE26D42B6F}" name="22" totalsRowFunction="sum" dataDxfId="4448" totalsRowDxfId="4447" dataCellStyle="Moeda"/>
    <tableColumn id="24" xr3:uid="{1D8C661E-E812-4239-AEFF-91BD478B39CD}" name="23" totalsRowFunction="sum" dataDxfId="4446" totalsRowDxfId="4445" dataCellStyle="Moeda"/>
    <tableColumn id="25" xr3:uid="{3E7C5829-7E97-4A52-BA3B-73F0543CA3CA}" name="24" totalsRowFunction="sum" dataDxfId="4444" totalsRowDxfId="4443" dataCellStyle="Moeda"/>
    <tableColumn id="26" xr3:uid="{B163A894-0521-459C-B4B1-45A7156895B0}" name="25" totalsRowFunction="sum" dataDxfId="4442" totalsRowDxfId="4441" dataCellStyle="Moeda"/>
    <tableColumn id="27" xr3:uid="{76DE15B2-082A-4692-8E13-9A695EC256C9}" name="26" totalsRowFunction="sum" dataDxfId="4440" totalsRowDxfId="4439" dataCellStyle="Moeda"/>
    <tableColumn id="28" xr3:uid="{50CE0714-3A04-410F-8825-867B3B8447F6}" name="27" totalsRowFunction="sum" dataDxfId="4438" totalsRowDxfId="4437" dataCellStyle="Moeda"/>
    <tableColumn id="29" xr3:uid="{A72CCA2C-672B-466F-9BD3-D2D002F746F2}" name="28" totalsRowFunction="sum" dataDxfId="4436" totalsRowDxfId="4435" dataCellStyle="Moeda"/>
    <tableColumn id="30" xr3:uid="{5E7B8AE7-3B54-4223-A19F-F44D59DC84E3}" name="29" totalsRowFunction="sum" dataDxfId="4434" totalsRowDxfId="4433" dataCellStyle="Moeda"/>
    <tableColumn id="31" xr3:uid="{FEEAFE93-7FB0-45E3-8A56-03F217667D4B}" name="30" totalsRowFunction="sum" dataDxfId="4432" totalsRowDxfId="4431" dataCellStyle="Moeda"/>
    <tableColumn id="32" xr3:uid="{43925965-9010-4592-A8AE-0E78E6385F3B}" name="31" totalsRowFunction="sum" dataDxfId="4430" totalsRowDxfId="4429" dataCellStyle="Moeda"/>
    <tableColumn id="33" xr3:uid="{C790DE16-3AC6-4474-8498-38A762E6A4CD}" name="TOTAL (R$)" totalsRowFunction="sum" dataDxfId="4428" dataCellStyle="Moeda">
      <calculatedColumnFormula>SUM(jultotal3059718395107[[#This Row],[1]:[31]])</calculatedColumnFormula>
    </tableColumn>
  </tableColumns>
  <tableStyleInfo name="TABELAS RESULTADOS" showFirstColumn="0" showLastColumn="0" showRowStripes="1" showColumnStripes="0"/>
</table>
</file>

<file path=xl/tables/table9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2" xr:uid="{746E41E6-2DCE-4F75-B3D3-D4218E15D773}" name="receitasfixasconsolidadojul" displayName="receitasfixasconsolidadojul" ref="C81:AJ87" headerRowDxfId="4427" dataDxfId="4426" totalsRowDxfId="4425">
  <autoFilter ref="C81:AJ87" xr:uid="{2EA8B7CB-D602-44E1-B8DB-B71750A487C5}"/>
  <tableColumns count="34">
    <tableColumn id="1" xr3:uid="{32281A10-3B01-4B8B-912F-3754E624FFB3}" name="ATUAL" totalsRowLabel="SALDO" dataDxfId="4424"/>
    <tableColumn id="34" xr3:uid="{9C44CFED-759B-494F-9A17-408DBF1566D9}" name="Coluna1" dataDxfId="4423">
      <calculatedColumnFormula>IF(receitasfixasconsolidadojul[[#This Row],[TOTAL (R$)]]=0,"",IF(OR(receitasfixasconsolidadojul[[#This Row],[TOTAL (R$)]]=LARGE($AJ$82:$AJ$86,1),receitasfixasconsolidadojul[[#This Row],[TOTAL (R$)]]=LARGE($AJ$82:$AJ$86,2)),DADOS!$I$9,""))</calculatedColumnFormula>
    </tableColumn>
    <tableColumn id="2" xr3:uid="{43D296DB-20B0-4413-BD48-66EDE4A6A803}" name="1" totalsRowFunction="sum" dataDxfId="4422" dataCellStyle="Moeda"/>
    <tableColumn id="3" xr3:uid="{D814CE80-46CB-4F5D-AA1B-A3100615AE5F}" name="2" totalsRowFunction="sum" dataDxfId="4421" dataCellStyle="Moeda">
      <calculatedColumnFormula>SUMIFS(tabela_registros[VALOR],tabela_registros[MÊS],$AE$1,tabela_registros[DIA],receitasfixasconsolidadojul[[#Headers],[2]],tabela_registros[REGISTRO],DADOS!$N$3,tabela_registros[TIPO],DADOS!$V$3,tabela_registros[CATEGORIA],receitasfixasconsolidadojul[[#This Row],[ATUAL]])</calculatedColumnFormula>
    </tableColumn>
    <tableColumn id="4" xr3:uid="{199213C9-3ACB-4F9B-87F0-5A565EAC65F0}" name="3" totalsRowFunction="sum" dataDxfId="4420" totalsRowDxfId="4419" dataCellStyle="Moeda">
      <calculatedColumnFormula>SUMIFS(tabela_registros[VALOR],tabela_registros[MÊS],$AE$1,tabela_registros[DIA],receitasfixasconsolidadojul[[#Headers],[3]],tabela_registros[REGISTRO],DADOS!$N$3,tabela_registros[TIPO],DADOS!$V$3,tabela_registros[CATEGORIA],receitasfixasconsolidadojul[[#This Row],[ATUAL]])</calculatedColumnFormula>
    </tableColumn>
    <tableColumn id="5" xr3:uid="{1A9D33BF-EE14-4FD4-AC8B-37A0B545D373}" name="4" totalsRowFunction="sum" dataDxfId="4418" totalsRowDxfId="4417" dataCellStyle="Moeda">
      <calculatedColumnFormula>SUMIFS(tabela_registros[VALOR],tabela_registros[MÊS],$AE$1,tabela_registros[DIA],receitasfixasconsolidadojul[[#Headers],[4]],tabela_registros[REGISTRO],DADOS!$N$3,tabela_registros[TIPO],DADOS!$V$3,tabela_registros[CATEGORIA],receitasfixasconsolidadojul[[#This Row],[ATUAL]])</calculatedColumnFormula>
    </tableColumn>
    <tableColumn id="6" xr3:uid="{6B97F6F9-8B69-4E58-B1F6-22D0A07589C3}" name="5" totalsRowFunction="sum" dataDxfId="4416" totalsRowDxfId="4415" dataCellStyle="Moeda">
      <calculatedColumnFormula>SUMIFS(tabela_registros[VALOR],tabela_registros[MÊS],$AE$1,tabela_registros[DIA],receitasfixasconsolidadojul[[#Headers],[5]],tabela_registros[REGISTRO],DADOS!$N$3,tabela_registros[TIPO],DADOS!$V$3,tabela_registros[CATEGORIA],receitasfixasconsolidadojul[[#This Row],[ATUAL]])</calculatedColumnFormula>
    </tableColumn>
    <tableColumn id="7" xr3:uid="{CE55082F-E250-4F99-8186-4D17F6A045C5}" name="6" totalsRowFunction="sum" dataDxfId="4414" totalsRowDxfId="4413" dataCellStyle="Moeda">
      <calculatedColumnFormula>SUMIFS(tabela_registros[VALOR],tabela_registros[MÊS],$AE$1,tabela_registros[DIA],receitasfixasconsolidadojul[[#Headers],[6]],tabela_registros[REGISTRO],DADOS!$N$3,tabela_registros[TIPO],DADOS!$V$3,tabela_registros[CATEGORIA],receitasfixasconsolidadojul[[#This Row],[ATUAL]])</calculatedColumnFormula>
    </tableColumn>
    <tableColumn id="8" xr3:uid="{FAE5824E-B60F-452A-95E9-9D9BBA8F6C91}" name="7" totalsRowFunction="sum" dataDxfId="4412" totalsRowDxfId="4411" dataCellStyle="Moeda">
      <calculatedColumnFormula>SUMIFS(tabela_registros[VALOR],tabela_registros[MÊS],$AE$1,tabela_registros[DIA],receitasfixasconsolidadojul[[#Headers],[7]],tabela_registros[REGISTRO],DADOS!$N$3,tabela_registros[TIPO],DADOS!$V$3,tabela_registros[CATEGORIA],receitasfixasconsolidadojul[[#This Row],[ATUAL]])</calculatedColumnFormula>
    </tableColumn>
    <tableColumn id="9" xr3:uid="{DE6AB2FD-09F1-4FCF-941F-0A25C4F5ECD3}" name="8" totalsRowFunction="sum" dataDxfId="4410" totalsRowDxfId="4409" dataCellStyle="Moeda">
      <calculatedColumnFormula>SUMIFS(tabela_registros[VALOR],tabela_registros[MÊS],$AE$1,tabela_registros[DIA],receitasfixasconsolidadojul[[#Headers],[8]],tabela_registros[REGISTRO],DADOS!$N$3,tabela_registros[TIPO],DADOS!$V$3,tabela_registros[CATEGORIA],receitasfixasconsolidadojul[[#This Row],[ATUAL]])</calculatedColumnFormula>
    </tableColumn>
    <tableColumn id="10" xr3:uid="{16A8567A-89E1-43F1-AA5F-FCBFE8C2FA14}" name="9" totalsRowFunction="sum" dataDxfId="4408" totalsRowDxfId="4407" dataCellStyle="Moeda">
      <calculatedColumnFormula>SUMIFS(tabela_registros[VALOR],tabela_registros[MÊS],$AE$1,tabela_registros[DIA],receitasfixasconsolidadojul[[#Headers],[9]],tabela_registros[REGISTRO],DADOS!$N$3,tabela_registros[TIPO],DADOS!$V$3,tabela_registros[CATEGORIA],receitasfixasconsolidadojul[[#This Row],[ATUAL]])</calculatedColumnFormula>
    </tableColumn>
    <tableColumn id="11" xr3:uid="{B276D1EC-B333-4FCA-899D-EEA1DBA5CB37}" name="10" totalsRowFunction="sum" dataDxfId="4406" totalsRowDxfId="4405" dataCellStyle="Moeda">
      <calculatedColumnFormula>SUMIFS(tabela_registros[VALOR],tabela_registros[MÊS],$AE$1,tabela_registros[DIA],receitasfixasconsolidadojul[[#Headers],[10]],tabela_registros[REGISTRO],DADOS!$N$3,tabela_registros[TIPO],DADOS!$V$3,tabela_registros[CATEGORIA],receitasfixasconsolidadojul[[#This Row],[ATUAL]])</calculatedColumnFormula>
    </tableColumn>
    <tableColumn id="12" xr3:uid="{BB630E8A-1784-4758-82D3-3D1657FF6A64}" name="11" totalsRowFunction="sum" dataDxfId="4404" totalsRowDxfId="4403" dataCellStyle="Moeda">
      <calculatedColumnFormula>SUMIFS(tabela_registros[VALOR],tabela_registros[MÊS],$AE$1,tabela_registros[DIA],receitasfixasconsolidadojul[[#Headers],[11]],tabela_registros[REGISTRO],DADOS!$N$3,tabela_registros[TIPO],DADOS!$V$3,tabela_registros[CATEGORIA],receitasfixasconsolidadojul[[#This Row],[ATUAL]])</calculatedColumnFormula>
    </tableColumn>
    <tableColumn id="13" xr3:uid="{C1FFF7A3-FA8D-4421-9A6C-AE8BB96909E2}" name="12" totalsRowFunction="sum" dataDxfId="4402" totalsRowDxfId="4401" dataCellStyle="Moeda">
      <calculatedColumnFormula>SUMIFS(tabela_registros[VALOR],tabela_registros[MÊS],$AE$1,tabela_registros[DIA],receitasfixasconsolidadojul[[#Headers],[12]],tabela_registros[REGISTRO],DADOS!$N$3,tabela_registros[TIPO],DADOS!$V$3,tabela_registros[CATEGORIA],receitasfixasconsolidadojul[[#This Row],[ATUAL]])</calculatedColumnFormula>
    </tableColumn>
    <tableColumn id="14" xr3:uid="{D9494D9F-04BD-424A-87ED-4ADD20071EB3}" name="13" totalsRowFunction="sum" dataDxfId="4400" totalsRowDxfId="4399" dataCellStyle="Moeda">
      <calculatedColumnFormula>SUMIFS(tabela_registros[VALOR],tabela_registros[MÊS],$AE$1,tabela_registros[DIA],receitasfixasconsolidadojul[[#Headers],[13]],tabela_registros[REGISTRO],DADOS!$N$3,tabela_registros[TIPO],DADOS!$V$3,tabela_registros[CATEGORIA],receitasfixasconsolidadojul[[#This Row],[ATUAL]])</calculatedColumnFormula>
    </tableColumn>
    <tableColumn id="15" xr3:uid="{C8803F9D-BBE5-4EB5-A81C-65FB4BA5A657}" name="14" totalsRowFunction="sum" dataDxfId="4398" totalsRowDxfId="4397" dataCellStyle="Moeda">
      <calculatedColumnFormula>SUMIFS(tabela_registros[VALOR],tabela_registros[MÊS],$AE$1,tabela_registros[DIA],receitasfixasconsolidadojul[[#Headers],[14]],tabela_registros[REGISTRO],DADOS!$N$3,tabela_registros[TIPO],DADOS!$V$3,tabela_registros[CATEGORIA],receitasfixasconsolidadojul[[#This Row],[ATUAL]])</calculatedColumnFormula>
    </tableColumn>
    <tableColumn id="16" xr3:uid="{82A7506C-6189-4476-933C-62030C990C8B}" name="15" totalsRowFunction="sum" dataDxfId="4396" totalsRowDxfId="4395" dataCellStyle="Moeda">
      <calculatedColumnFormula>SUMIFS(tabela_registros[VALOR],tabela_registros[MÊS],$AE$1,tabela_registros[DIA],receitasfixasconsolidadojul[[#Headers],[15]],tabela_registros[REGISTRO],DADOS!$N$3,tabela_registros[TIPO],DADOS!$V$3,tabela_registros[CATEGORIA],receitasfixasconsolidadojul[[#This Row],[ATUAL]])</calculatedColumnFormula>
    </tableColumn>
    <tableColumn id="17" xr3:uid="{693A7E87-4082-43AF-B9FF-17904443CEA0}" name="16" totalsRowFunction="sum" dataDxfId="4394" totalsRowDxfId="4393" dataCellStyle="Moeda">
      <calculatedColumnFormula>SUMIFS(tabela_registros[VALOR],tabela_registros[MÊS],$AE$1,tabela_registros[DIA],receitasfixasconsolidadojul[[#Headers],[16]],tabela_registros[REGISTRO],DADOS!$N$3,tabela_registros[TIPO],DADOS!$V$3,tabela_registros[CATEGORIA],receitasfixasconsolidadojul[[#This Row],[ATUAL]])</calculatedColumnFormula>
    </tableColumn>
    <tableColumn id="18" xr3:uid="{50708F5C-7F83-41ED-A992-18138FA8ADE3}" name="17" totalsRowFunction="sum" dataDxfId="4392" totalsRowDxfId="4391" dataCellStyle="Moeda">
      <calculatedColumnFormula>SUMIFS(tabela_registros[VALOR],tabela_registros[MÊS],$AE$1,tabela_registros[DIA],receitasfixasconsolidadojul[[#Headers],[17]],tabela_registros[REGISTRO],DADOS!$N$3,tabela_registros[TIPO],DADOS!$V$3,tabela_registros[CATEGORIA],receitasfixasconsolidadojul[[#This Row],[ATUAL]])</calculatedColumnFormula>
    </tableColumn>
    <tableColumn id="19" xr3:uid="{25B94945-4F3E-44DD-AFD1-8EA10D401450}" name="18" totalsRowFunction="sum" dataDxfId="4390" totalsRowDxfId="4389" dataCellStyle="Moeda">
      <calculatedColumnFormula>SUMIFS(tabela_registros[VALOR],tabela_registros[MÊS],$AE$1,tabela_registros[DIA],receitasfixasconsolidadojul[[#Headers],[18]],tabela_registros[REGISTRO],DADOS!$N$3,tabela_registros[TIPO],DADOS!$V$3,tabela_registros[CATEGORIA],receitasfixasconsolidadojul[[#This Row],[ATUAL]])</calculatedColumnFormula>
    </tableColumn>
    <tableColumn id="20" xr3:uid="{907C340F-368C-435C-B5E5-C8CBDAC2F93A}" name="19" totalsRowFunction="sum" dataDxfId="4388" totalsRowDxfId="4387" dataCellStyle="Moeda">
      <calculatedColumnFormula>SUMIFS(tabela_registros[VALOR],tabela_registros[MÊS],$AE$1,tabela_registros[DIA],receitasfixasconsolidadojul[[#Headers],[19]],tabela_registros[REGISTRO],DADOS!$N$3,tabela_registros[TIPO],DADOS!$V$3,tabela_registros[CATEGORIA],receitasfixasconsolidadojul[[#This Row],[ATUAL]])</calculatedColumnFormula>
    </tableColumn>
    <tableColumn id="21" xr3:uid="{4BE97481-EEC2-4569-8A2D-5B289DEE4264}" name="20" totalsRowFunction="sum" dataDxfId="4386" totalsRowDxfId="4385" dataCellStyle="Moeda">
      <calculatedColumnFormula>SUMIFS(tabela_registros[VALOR],tabela_registros[MÊS],$AE$1,tabela_registros[DIA],receitasfixasconsolidadojul[[#Headers],[20]],tabela_registros[REGISTRO],DADOS!$N$3,tabela_registros[TIPO],DADOS!$V$3,tabela_registros[CATEGORIA],receitasfixasconsolidadojul[[#This Row],[ATUAL]])</calculatedColumnFormula>
    </tableColumn>
    <tableColumn id="22" xr3:uid="{996D9418-2015-4402-92EB-B45F9F560356}" name="21" totalsRowFunction="sum" dataDxfId="4384" totalsRowDxfId="4383" dataCellStyle="Moeda">
      <calculatedColumnFormula>SUMIFS(tabela_registros[VALOR],tabela_registros[MÊS],$AE$1,tabela_registros[DIA],receitasfixasconsolidadojul[[#Headers],[21]],tabela_registros[REGISTRO],DADOS!$N$3,tabela_registros[TIPO],DADOS!$V$3,tabela_registros[CATEGORIA],receitasfixasconsolidadojul[[#This Row],[ATUAL]])</calculatedColumnFormula>
    </tableColumn>
    <tableColumn id="23" xr3:uid="{C5B12D17-FCEA-4640-80D5-CDCD5470F76B}" name="22" totalsRowFunction="sum" dataDxfId="4382" totalsRowDxfId="4381" dataCellStyle="Moeda">
      <calculatedColumnFormula>SUMIFS(tabela_registros[VALOR],tabela_registros[MÊS],$AE$1,tabela_registros[DIA],receitasfixasconsolidadojul[[#Headers],[22]],tabela_registros[REGISTRO],DADOS!$N$3,tabela_registros[TIPO],DADOS!$V$3,tabela_registros[CATEGORIA],receitasfixasconsolidadojul[[#This Row],[ATUAL]])</calculatedColumnFormula>
    </tableColumn>
    <tableColumn id="24" xr3:uid="{E5149E59-65A0-4E07-B5E7-BE509151BFB1}" name="23" totalsRowFunction="sum" dataDxfId="4380" totalsRowDxfId="4379" dataCellStyle="Moeda">
      <calculatedColumnFormula>SUMIFS(tabela_registros[VALOR],tabela_registros[MÊS],$AE$1,tabela_registros[DIA],receitasfixasconsolidadojul[[#Headers],[23]],tabela_registros[REGISTRO],DADOS!$N$3,tabela_registros[TIPO],DADOS!$V$3,tabela_registros[CATEGORIA],receitasfixasconsolidadojul[[#This Row],[ATUAL]])</calculatedColumnFormula>
    </tableColumn>
    <tableColumn id="25" xr3:uid="{0C979FD8-B6CA-4C0F-961E-0DDB2CA947ED}" name="24" totalsRowFunction="sum" dataDxfId="4378" totalsRowDxfId="4377" dataCellStyle="Moeda">
      <calculatedColumnFormula>SUMIFS(tabela_registros[VALOR],tabela_registros[MÊS],$AE$1,tabela_registros[DIA],receitasfixasconsolidadojul[[#Headers],[24]],tabela_registros[REGISTRO],DADOS!$N$3,tabela_registros[TIPO],DADOS!$V$3,tabela_registros[CATEGORIA],receitasfixasconsolidadojul[[#This Row],[ATUAL]])</calculatedColumnFormula>
    </tableColumn>
    <tableColumn id="26" xr3:uid="{A42AFEE5-6703-40B0-AC74-D73AED145E39}" name="25" totalsRowFunction="sum" dataDxfId="4376" totalsRowDxfId="4375" dataCellStyle="Moeda">
      <calculatedColumnFormula>SUMIFS(tabela_registros[VALOR],tabela_registros[MÊS],$AE$1,tabela_registros[DIA],receitasfixasconsolidadojul[[#Headers],[25]],tabela_registros[REGISTRO],DADOS!$N$3,tabela_registros[TIPO],DADOS!$V$3,tabela_registros[CATEGORIA],receitasfixasconsolidadojul[[#This Row],[ATUAL]])</calculatedColumnFormula>
    </tableColumn>
    <tableColumn id="27" xr3:uid="{8971A548-16FB-4C12-A969-22B2992618E5}" name="26" totalsRowFunction="sum" dataDxfId="4374" totalsRowDxfId="4373" dataCellStyle="Moeda">
      <calculatedColumnFormula>SUMIFS(tabela_registros[VALOR],tabela_registros[MÊS],$AE$1,tabela_registros[DIA],receitasfixasconsolidadojul[[#Headers],[26]],tabela_registros[REGISTRO],DADOS!$N$3,tabela_registros[TIPO],DADOS!$V$3,tabela_registros[CATEGORIA],receitasfixasconsolidadojul[[#This Row],[ATUAL]])</calculatedColumnFormula>
    </tableColumn>
    <tableColumn id="28" xr3:uid="{2E686FE1-7860-4EF5-9227-3F0E87AB3E14}" name="27" totalsRowFunction="sum" dataDxfId="4372" totalsRowDxfId="4371" dataCellStyle="Moeda">
      <calculatedColumnFormula>SUMIFS(tabela_registros[VALOR],tabela_registros[MÊS],$AE$1,tabela_registros[DIA],receitasfixasconsolidadojul[[#Headers],[27]],tabela_registros[REGISTRO],DADOS!$N$3,tabela_registros[TIPO],DADOS!$V$3,tabela_registros[CATEGORIA],receitasfixasconsolidadojul[[#This Row],[ATUAL]])</calculatedColumnFormula>
    </tableColumn>
    <tableColumn id="29" xr3:uid="{D9B4BDA0-B5BB-44B7-9C97-89EFA489604C}" name="28" totalsRowFunction="sum" dataDxfId="4370" totalsRowDxfId="4369" dataCellStyle="Moeda">
      <calculatedColumnFormula>SUMIFS(tabela_registros[VALOR],tabela_registros[MÊS],$AE$1,tabela_registros[DIA],receitasfixasconsolidadojul[[#Headers],[28]],tabela_registros[REGISTRO],DADOS!$N$3,tabela_registros[TIPO],DADOS!$V$3,tabela_registros[CATEGORIA],receitasfixasconsolidadojul[[#This Row],[ATUAL]])</calculatedColumnFormula>
    </tableColumn>
    <tableColumn id="30" xr3:uid="{3D63190D-6FB4-4F2C-877F-77D8F8422DAB}" name="29" totalsRowFunction="sum" dataDxfId="4368" totalsRowDxfId="4367" dataCellStyle="Moeda">
      <calculatedColumnFormula>SUMIFS(tabela_registros[VALOR],tabela_registros[MÊS],$AE$1,tabela_registros[DIA],receitasfixasconsolidadojul[[#Headers],[29]],tabela_registros[REGISTRO],DADOS!$N$3,tabela_registros[TIPO],DADOS!$V$3,tabela_registros[CATEGORIA],receitasfixasconsolidadojul[[#This Row],[ATUAL]])</calculatedColumnFormula>
    </tableColumn>
    <tableColumn id="31" xr3:uid="{A84A4AC4-8A68-45FE-B1A5-AF754FC3D2D6}" name="30" totalsRowFunction="sum" dataDxfId="4366" totalsRowDxfId="4365" dataCellStyle="Moeda">
      <calculatedColumnFormula>SUMIFS(tabela_registros[VALOR],tabela_registros[MÊS],$AE$1,tabela_registros[DIA],receitasfixasconsolidadojul[[#Headers],[30]],tabela_registros[REGISTRO],DADOS!$N$3,tabela_registros[TIPO],DADOS!$V$3,tabela_registros[CATEGORIA],receitasfixasconsolidadojul[[#This Row],[ATUAL]])</calculatedColumnFormula>
    </tableColumn>
    <tableColumn id="32" xr3:uid="{2CEFB7C8-C062-4F08-86A4-2579078D2FC5}" name="31" totalsRowFunction="sum" dataDxfId="4364" totalsRowDxfId="4363" dataCellStyle="Moeda">
      <calculatedColumnFormula>SUMIFS(tabela_registros[VALOR],tabela_registros[MÊS],$AE$1,tabela_registros[DIA],receitasfixasconsolidadojul[[#Headers],[31]],tabela_registros[REGISTRO],DADOS!$N$3,tabela_registros[TIPO],DADOS!$V$3,tabela_registros[CATEGORIA],receitasfixasconsolidadojul[[#This Row],[ATUAL]])</calculatedColumnFormula>
    </tableColumn>
    <tableColumn id="33" xr3:uid="{351EF61C-BE8E-4AF3-B6FF-5EDE640948A7}" name="TOTAL (R$)" totalsRowFunction="sum" dataDxfId="4362" dataCellStyle="Moeda">
      <calculatedColumnFormula>SUM(receitasfixasconsolidadojul[[#This Row],[1]:[31]])</calculatedColumnFormula>
    </tableColumn>
  </tableColumns>
  <tableStyleInfo name="TABELAS RESULTADOS" showFirstColumn="0" showLastColumn="0" showRowStripes="1" showColumnStripes="0"/>
</table>
</file>

<file path=xl/tables/table9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3" xr:uid="{9D30EE64-98A4-4A52-B7CF-647739C2D2D0}" name="receitasvariáveisconsolidadojul" displayName="receitasvariáveisconsolidadojul" ref="C95:AJ104" headerRowDxfId="4361" dataDxfId="4360" totalsRowDxfId="4359">
  <autoFilter ref="C95:AJ104" xr:uid="{DEFDE68B-A97D-4ED5-9460-1E58A13A7942}"/>
  <tableColumns count="34">
    <tableColumn id="1" xr3:uid="{7EFE555F-6345-4768-B885-A83D9F6DE45A}" name="ATUAL" totalsRowLabel="SALDO" dataDxfId="4358"/>
    <tableColumn id="34" xr3:uid="{9AABACE7-852C-46B9-8F9B-7C9347025152}" name="Coluna1" dataDxfId="4357" totalsRowDxfId="4356">
      <calculatedColumnFormula>IF(receitasvariáveisconsolidadojul[[#This Row],[TOTAL (R$)]]=0,"",IF(OR(receitasvariáveisconsolidadojul[[#This Row],[TOTAL (R$)]]=LARGE($AJ$96:$AJ$103,1),receitasvariáveisconsolidadojul[[#This Row],[TOTAL (R$)]]=LARGE($AJ$96:$AJ$103,2)),DADOS!$I$9,""))</calculatedColumnFormula>
    </tableColumn>
    <tableColumn id="2" xr3:uid="{D3E5DF70-6D88-4781-B71F-D7BC0F49DFAC}" name="1" totalsRowFunction="sum" dataDxfId="4355" dataCellStyle="Moeda"/>
    <tableColumn id="3" xr3:uid="{07375AC8-03CD-4A1E-9774-BCA8A3E09C43}" name="2" totalsRowFunction="sum" dataDxfId="4354" dataCellStyle="Moeda">
      <calculatedColumnFormula>SUMIFS(tabela_registros[VALOR],tabela_registros[MÊS],$AE$1,tabela_registros[DIA],receitasvariáveisconsolidadojul[[#Headers],[2]],tabela_registros[REGISTRO],DADOS!$N$3,tabela_registros[TIPO],DADOS!$V$3,tabela_registros[CATEGORIA],receitasvariáveisconsolidadojul[[#This Row],[ATUAL]])</calculatedColumnFormula>
    </tableColumn>
    <tableColumn id="4" xr3:uid="{B6178486-E12E-4B4F-93C1-9C4BB2564EC3}" name="3" totalsRowFunction="sum" dataDxfId="4353" totalsRowDxfId="4352" dataCellStyle="Moeda">
      <calculatedColumnFormula>SUMIFS(tabela_registros[VALOR],tabela_registros[MÊS],$AE$1,tabela_registros[DIA],receitasvariáveisconsolidadojul[[#Headers],[3]],tabela_registros[REGISTRO],DADOS!$N$3,tabela_registros[TIPO],DADOS!$V$3,tabela_registros[CATEGORIA],receitasvariáveisconsolidadojul[[#This Row],[ATUAL]])</calculatedColumnFormula>
    </tableColumn>
    <tableColumn id="5" xr3:uid="{4B757E98-3F40-4D4D-BCF5-A2B62BBDBE70}" name="4" totalsRowFunction="sum" dataDxfId="4351" totalsRowDxfId="4350" dataCellStyle="Moeda">
      <calculatedColumnFormula>SUMIFS(tabela_registros[VALOR],tabela_registros[MÊS],$AE$1,tabela_registros[DIA],receitasvariáveisconsolidadojul[[#Headers],[4]],tabela_registros[REGISTRO],DADOS!$N$3,tabela_registros[TIPO],DADOS!$V$3,tabela_registros[CATEGORIA],receitasvariáveisconsolidadojul[[#This Row],[ATUAL]])</calculatedColumnFormula>
    </tableColumn>
    <tableColumn id="6" xr3:uid="{E45B1212-1F33-4945-BA62-BBC260AB3B9F}" name="5" totalsRowFunction="sum" dataDxfId="4349" totalsRowDxfId="4348" dataCellStyle="Moeda">
      <calculatedColumnFormula>SUMIFS(tabela_registros[VALOR],tabela_registros[MÊS],$AE$1,tabela_registros[DIA],receitasvariáveisconsolidadojul[[#Headers],[5]],tabela_registros[REGISTRO],DADOS!$N$3,tabela_registros[TIPO],DADOS!$V$3,tabela_registros[CATEGORIA],receitasvariáveisconsolidadojul[[#This Row],[ATUAL]])</calculatedColumnFormula>
    </tableColumn>
    <tableColumn id="7" xr3:uid="{912D3AE6-69DC-4D03-9AA3-F5F2155DDC34}" name="6" totalsRowFunction="sum" dataDxfId="4347" totalsRowDxfId="4346" dataCellStyle="Moeda">
      <calculatedColumnFormula>SUMIFS(tabela_registros[VALOR],tabela_registros[MÊS],$AE$1,tabela_registros[DIA],receitasvariáveisconsolidadojul[[#Headers],[6]],tabela_registros[REGISTRO],DADOS!$N$3,tabela_registros[TIPO],DADOS!$V$3,tabela_registros[CATEGORIA],receitasvariáveisconsolidadojul[[#This Row],[ATUAL]])</calculatedColumnFormula>
    </tableColumn>
    <tableColumn id="8" xr3:uid="{7A6C589F-2087-4073-BC94-19573E186B5A}" name="7" totalsRowFunction="sum" dataDxfId="4345" totalsRowDxfId="4344" dataCellStyle="Moeda">
      <calculatedColumnFormula>SUMIFS(tabela_registros[VALOR],tabela_registros[MÊS],$AE$1,tabela_registros[DIA],receitasvariáveisconsolidadojul[[#Headers],[7]],tabela_registros[REGISTRO],DADOS!$N$3,tabela_registros[TIPO],DADOS!$V$3,tabela_registros[CATEGORIA],receitasvariáveisconsolidadojul[[#This Row],[ATUAL]])</calculatedColumnFormula>
    </tableColumn>
    <tableColumn id="9" xr3:uid="{9E4005ED-F211-4932-BE95-244FAA79D2B8}" name="8" totalsRowFunction="sum" dataDxfId="4343" totalsRowDxfId="4342" dataCellStyle="Moeda">
      <calculatedColumnFormula>SUMIFS(tabela_registros[VALOR],tabela_registros[MÊS],$AE$1,tabela_registros[DIA],receitasvariáveisconsolidadojul[[#Headers],[8]],tabela_registros[REGISTRO],DADOS!$N$3,tabela_registros[TIPO],DADOS!$V$3,tabela_registros[CATEGORIA],receitasvariáveisconsolidadojul[[#This Row],[ATUAL]])</calculatedColumnFormula>
    </tableColumn>
    <tableColumn id="10" xr3:uid="{5AF14B1F-2AA8-4942-B65E-BCFBA17B78FD}" name="9" totalsRowFunction="sum" dataDxfId="4341" totalsRowDxfId="4340" dataCellStyle="Moeda">
      <calculatedColumnFormula>SUMIFS(tabela_registros[VALOR],tabela_registros[MÊS],$AE$1,tabela_registros[DIA],receitasvariáveisconsolidadojul[[#Headers],[9]],tabela_registros[REGISTRO],DADOS!$N$3,tabela_registros[TIPO],DADOS!$V$3,tabela_registros[CATEGORIA],receitasvariáveisconsolidadojul[[#This Row],[ATUAL]])</calculatedColumnFormula>
    </tableColumn>
    <tableColumn id="11" xr3:uid="{BF584B7A-D532-4605-9343-726C06D1C79E}" name="10" totalsRowFunction="sum" dataDxfId="4339" totalsRowDxfId="4338" dataCellStyle="Moeda">
      <calculatedColumnFormula>SUMIFS(tabela_registros[VALOR],tabela_registros[MÊS],$AE$1,tabela_registros[DIA],receitasvariáveisconsolidadojul[[#Headers],[10]],tabela_registros[REGISTRO],DADOS!$N$3,tabela_registros[TIPO],DADOS!$V$3,tabela_registros[CATEGORIA],receitasvariáveisconsolidadojul[[#This Row],[ATUAL]])</calculatedColumnFormula>
    </tableColumn>
    <tableColumn id="12" xr3:uid="{378A873B-FD90-4AEB-83E7-7B1E0D7606EB}" name="11" totalsRowFunction="sum" dataDxfId="4337" totalsRowDxfId="4336" dataCellStyle="Moeda">
      <calculatedColumnFormula>SUMIFS(tabela_registros[VALOR],tabela_registros[MÊS],$AE$1,tabela_registros[DIA],receitasvariáveisconsolidadojul[[#Headers],[11]],tabela_registros[REGISTRO],DADOS!$N$3,tabela_registros[TIPO],DADOS!$V$3,tabela_registros[CATEGORIA],receitasvariáveisconsolidadojul[[#This Row],[ATUAL]])</calculatedColumnFormula>
    </tableColumn>
    <tableColumn id="13" xr3:uid="{E9609F52-1901-45B5-89D7-1E92BAD29234}" name="12" totalsRowFunction="sum" dataDxfId="4335" totalsRowDxfId="4334" dataCellStyle="Moeda">
      <calculatedColumnFormula>SUMIFS(tabela_registros[VALOR],tabela_registros[MÊS],$AE$1,tabela_registros[DIA],receitasvariáveisconsolidadojul[[#Headers],[12]],tabela_registros[REGISTRO],DADOS!$N$3,tabela_registros[TIPO],DADOS!$V$3,tabela_registros[CATEGORIA],receitasvariáveisconsolidadojul[[#This Row],[ATUAL]])</calculatedColumnFormula>
    </tableColumn>
    <tableColumn id="14" xr3:uid="{9D89F7DA-565C-49D2-A6FF-D199B8CDCCE4}" name="13" totalsRowFunction="sum" dataDxfId="4333" totalsRowDxfId="4332" dataCellStyle="Moeda">
      <calculatedColumnFormula>SUMIFS(tabela_registros[VALOR],tabela_registros[MÊS],$AE$1,tabela_registros[DIA],receitasvariáveisconsolidadojul[[#Headers],[13]],tabela_registros[REGISTRO],DADOS!$N$3,tabela_registros[TIPO],DADOS!$V$3,tabela_registros[CATEGORIA],receitasvariáveisconsolidadojul[[#This Row],[ATUAL]])</calculatedColumnFormula>
    </tableColumn>
    <tableColumn id="15" xr3:uid="{A4E99E23-E73F-4FB3-AE21-309A635A0B20}" name="14" totalsRowFunction="sum" dataDxfId="4331" totalsRowDxfId="4330" dataCellStyle="Moeda">
      <calculatedColumnFormula>SUMIFS(tabela_registros[VALOR],tabela_registros[MÊS],$AE$1,tabela_registros[DIA],receitasvariáveisconsolidadojul[[#Headers],[14]],tabela_registros[REGISTRO],DADOS!$N$3,tabela_registros[TIPO],DADOS!$V$3,tabela_registros[CATEGORIA],receitasvariáveisconsolidadojul[[#This Row],[ATUAL]])</calculatedColumnFormula>
    </tableColumn>
    <tableColumn id="16" xr3:uid="{79B8EFC8-5E34-4DEF-B8BE-B38453BE8877}" name="15" totalsRowFunction="sum" dataDxfId="4329" totalsRowDxfId="4328" dataCellStyle="Moeda">
      <calculatedColumnFormula>SUMIFS(tabela_registros[VALOR],tabela_registros[MÊS],$AE$1,tabela_registros[DIA],receitasvariáveisconsolidadojul[[#Headers],[15]],tabela_registros[REGISTRO],DADOS!$N$3,tabela_registros[TIPO],DADOS!$V$3,tabela_registros[CATEGORIA],receitasvariáveisconsolidadojul[[#This Row],[ATUAL]])</calculatedColumnFormula>
    </tableColumn>
    <tableColumn id="17" xr3:uid="{AB5BBFF1-EDAE-42C0-A6CF-DF4064D5265F}" name="16" totalsRowFunction="sum" dataDxfId="4327" totalsRowDxfId="4326" dataCellStyle="Moeda">
      <calculatedColumnFormula>SUMIFS(tabela_registros[VALOR],tabela_registros[MÊS],$AE$1,tabela_registros[DIA],receitasvariáveisconsolidadojul[[#Headers],[16]],tabela_registros[REGISTRO],DADOS!$N$3,tabela_registros[TIPO],DADOS!$V$3,tabela_registros[CATEGORIA],receitasvariáveisconsolidadojul[[#This Row],[ATUAL]])</calculatedColumnFormula>
    </tableColumn>
    <tableColumn id="18" xr3:uid="{38FF97A9-B6F5-4F9C-8ECD-0D121C9D031E}" name="17" totalsRowFunction="sum" dataDxfId="4325" totalsRowDxfId="4324" dataCellStyle="Moeda">
      <calculatedColumnFormula>SUMIFS(tabela_registros[VALOR],tabela_registros[MÊS],$AE$1,tabela_registros[DIA],receitasvariáveisconsolidadojul[[#Headers],[17]],tabela_registros[REGISTRO],DADOS!$N$3,tabela_registros[TIPO],DADOS!$V$3,tabela_registros[CATEGORIA],receitasvariáveisconsolidadojul[[#This Row],[ATUAL]])</calculatedColumnFormula>
    </tableColumn>
    <tableColumn id="19" xr3:uid="{02A54D84-F9AC-44F6-93D7-9A234FC6EB08}" name="18" totalsRowFunction="sum" dataDxfId="4323" totalsRowDxfId="4322" dataCellStyle="Moeda">
      <calculatedColumnFormula>SUMIFS(tabela_registros[VALOR],tabela_registros[MÊS],$AE$1,tabela_registros[DIA],receitasvariáveisconsolidadojul[[#Headers],[18]],tabela_registros[REGISTRO],DADOS!$N$3,tabela_registros[TIPO],DADOS!$V$3,tabela_registros[CATEGORIA],receitasvariáveisconsolidadojul[[#This Row],[ATUAL]])</calculatedColumnFormula>
    </tableColumn>
    <tableColumn id="20" xr3:uid="{CD1A5497-3AD4-496D-9960-F003AB95FB48}" name="19" totalsRowFunction="sum" dataDxfId="4321" totalsRowDxfId="4320" dataCellStyle="Moeda">
      <calculatedColumnFormula>SUMIFS(tabela_registros[VALOR],tabela_registros[MÊS],$AE$1,tabela_registros[DIA],receitasvariáveisconsolidadojul[[#Headers],[19]],tabela_registros[REGISTRO],DADOS!$N$3,tabela_registros[TIPO],DADOS!$V$3,tabela_registros[CATEGORIA],receitasvariáveisconsolidadojul[[#This Row],[ATUAL]])</calculatedColumnFormula>
    </tableColumn>
    <tableColumn id="21" xr3:uid="{35CEA6C4-25AE-4009-B5BE-F6F36AB7A875}" name="20" totalsRowFunction="sum" dataDxfId="4319" totalsRowDxfId="4318" dataCellStyle="Moeda">
      <calculatedColumnFormula>SUMIFS(tabela_registros[VALOR],tabela_registros[MÊS],$AE$1,tabela_registros[DIA],receitasvariáveisconsolidadojul[[#Headers],[20]],tabela_registros[REGISTRO],DADOS!$N$3,tabela_registros[TIPO],DADOS!$V$3,tabela_registros[CATEGORIA],receitasvariáveisconsolidadojul[[#This Row],[ATUAL]])</calculatedColumnFormula>
    </tableColumn>
    <tableColumn id="22" xr3:uid="{D4A4E29D-06B1-4462-8C3B-3BD43105E0FC}" name="21" totalsRowFunction="sum" dataDxfId="4317" totalsRowDxfId="4316" dataCellStyle="Moeda">
      <calculatedColumnFormula>SUMIFS(tabela_registros[VALOR],tabela_registros[MÊS],$AE$1,tabela_registros[DIA],receitasvariáveisconsolidadojul[[#Headers],[21]],tabela_registros[REGISTRO],DADOS!$N$3,tabela_registros[TIPO],DADOS!$V$3,tabela_registros[CATEGORIA],receitasvariáveisconsolidadojul[[#This Row],[ATUAL]])</calculatedColumnFormula>
    </tableColumn>
    <tableColumn id="23" xr3:uid="{B56D209F-8180-49AA-B203-294215E85336}" name="22" totalsRowFunction="sum" dataDxfId="4315" totalsRowDxfId="4314" dataCellStyle="Moeda">
      <calculatedColumnFormula>SUMIFS(tabela_registros[VALOR],tabela_registros[MÊS],$AE$1,tabela_registros[DIA],receitasvariáveisconsolidadojul[[#Headers],[22]],tabela_registros[REGISTRO],DADOS!$N$3,tabela_registros[TIPO],DADOS!$V$3,tabela_registros[CATEGORIA],receitasvariáveisconsolidadojul[[#This Row],[ATUAL]])</calculatedColumnFormula>
    </tableColumn>
    <tableColumn id="24" xr3:uid="{A701F4E6-D9E3-4C33-BFFA-B1B5BA9703A0}" name="23" totalsRowFunction="sum" dataDxfId="4313" totalsRowDxfId="4312" dataCellStyle="Moeda">
      <calculatedColumnFormula>SUMIFS(tabela_registros[VALOR],tabela_registros[MÊS],$AE$1,tabela_registros[DIA],receitasvariáveisconsolidadojul[[#Headers],[23]],tabela_registros[REGISTRO],DADOS!$N$3,tabela_registros[TIPO],DADOS!$V$3,tabela_registros[CATEGORIA],receitasvariáveisconsolidadojul[[#This Row],[ATUAL]])</calculatedColumnFormula>
    </tableColumn>
    <tableColumn id="25" xr3:uid="{D302860F-F328-4B14-B6FA-4BB7972B4EA6}" name="24" totalsRowFunction="sum" dataDxfId="4311" totalsRowDxfId="4310" dataCellStyle="Moeda">
      <calculatedColumnFormula>SUMIFS(tabela_registros[VALOR],tabela_registros[MÊS],$AE$1,tabela_registros[DIA],receitasvariáveisconsolidadojul[[#Headers],[24]],tabela_registros[REGISTRO],DADOS!$N$3,tabela_registros[TIPO],DADOS!$V$3,tabela_registros[CATEGORIA],receitasvariáveisconsolidadojul[[#This Row],[ATUAL]])</calculatedColumnFormula>
    </tableColumn>
    <tableColumn id="26" xr3:uid="{9147ABDE-F791-4AB1-B901-C628BB6076C3}" name="25" totalsRowFunction="sum" dataDxfId="4309" totalsRowDxfId="4308" dataCellStyle="Moeda">
      <calculatedColumnFormula>SUMIFS(tabela_registros[VALOR],tabela_registros[MÊS],$AE$1,tabela_registros[DIA],receitasvariáveisconsolidadojul[[#Headers],[25]],tabela_registros[REGISTRO],DADOS!$N$3,tabela_registros[TIPO],DADOS!$V$3,tabela_registros[CATEGORIA],receitasvariáveisconsolidadojul[[#This Row],[ATUAL]])</calculatedColumnFormula>
    </tableColumn>
    <tableColumn id="27" xr3:uid="{669309D0-6EB7-4409-B45E-9484DBD96BB4}" name="26" totalsRowFunction="sum" dataDxfId="4307" totalsRowDxfId="4306" dataCellStyle="Moeda">
      <calculatedColumnFormula>SUMIFS(tabela_registros[VALOR],tabela_registros[MÊS],$AE$1,tabela_registros[DIA],receitasvariáveisconsolidadojul[[#Headers],[26]],tabela_registros[REGISTRO],DADOS!$N$3,tabela_registros[TIPO],DADOS!$V$3,tabela_registros[CATEGORIA],receitasvariáveisconsolidadojul[[#This Row],[ATUAL]])</calculatedColumnFormula>
    </tableColumn>
    <tableColumn id="28" xr3:uid="{DF2A16D2-317E-4548-A489-B574B27E3690}" name="27" totalsRowFunction="sum" dataDxfId="4305" totalsRowDxfId="4304" dataCellStyle="Moeda">
      <calculatedColumnFormula>SUMIFS(tabela_registros[VALOR],tabela_registros[MÊS],$AE$1,tabela_registros[DIA],receitasvariáveisconsolidadojul[[#Headers],[27]],tabela_registros[REGISTRO],DADOS!$N$3,tabela_registros[TIPO],DADOS!$V$3,tabela_registros[CATEGORIA],receitasvariáveisconsolidadojul[[#This Row],[ATUAL]])</calculatedColumnFormula>
    </tableColumn>
    <tableColumn id="29" xr3:uid="{6E4C3E99-96AA-4C4A-B082-43E9B02EC9E3}" name="28" totalsRowFunction="sum" dataDxfId="4303" totalsRowDxfId="4302" dataCellStyle="Moeda">
      <calculatedColumnFormula>SUMIFS(tabela_registros[VALOR],tabela_registros[MÊS],$AE$1,tabela_registros[DIA],receitasvariáveisconsolidadojul[[#Headers],[28]],tabela_registros[REGISTRO],DADOS!$N$3,tabela_registros[TIPO],DADOS!$V$3,tabela_registros[CATEGORIA],receitasvariáveisconsolidadojul[[#This Row],[ATUAL]])</calculatedColumnFormula>
    </tableColumn>
    <tableColumn id="30" xr3:uid="{A9A0BEA1-A17E-4999-9A00-D761DF76B015}" name="29" totalsRowFunction="sum" dataDxfId="4301" totalsRowDxfId="4300" dataCellStyle="Moeda">
      <calculatedColumnFormula>SUMIFS(tabela_registros[VALOR],tabela_registros[MÊS],$AE$1,tabela_registros[DIA],receitasvariáveisconsolidadojul[[#Headers],[29]],tabela_registros[REGISTRO],DADOS!$N$3,tabela_registros[TIPO],DADOS!$V$3,tabela_registros[CATEGORIA],receitasvariáveisconsolidadojul[[#This Row],[ATUAL]])</calculatedColumnFormula>
    </tableColumn>
    <tableColumn id="31" xr3:uid="{33C7CB75-94C1-40CF-B8BE-1DC7EE7B1FB0}" name="30" totalsRowFunction="sum" dataDxfId="4299" totalsRowDxfId="4298" dataCellStyle="Moeda">
      <calculatedColumnFormula>SUMIFS(tabela_registros[VALOR],tabela_registros[MÊS],$AE$1,tabela_registros[DIA],receitasvariáveisconsolidadojul[[#Headers],[30]],tabela_registros[REGISTRO],DADOS!$N$3,tabela_registros[TIPO],DADOS!$V$3,tabela_registros[CATEGORIA],receitasvariáveisconsolidadojul[[#This Row],[ATUAL]])</calculatedColumnFormula>
    </tableColumn>
    <tableColumn id="32" xr3:uid="{E7087D38-83BC-4322-9320-6F97F91E176C}" name="31" totalsRowFunction="sum" dataDxfId="4297" totalsRowDxfId="4296" dataCellStyle="Moeda">
      <calculatedColumnFormula>SUMIFS(tabela_registros[VALOR],tabela_registros[MÊS],$AE$1,tabela_registros[DIA],receitasvariáveisconsolidadojul[[#Headers],[31]],tabela_registros[REGISTRO],DADOS!$N$3,tabela_registros[TIPO],DADOS!$V$3,tabela_registros[CATEGORIA],receitasvariáveisconsolidadojul[[#This Row],[ATUAL]])</calculatedColumnFormula>
    </tableColumn>
    <tableColumn id="33" xr3:uid="{F0F63CCD-CA30-4605-BB26-92E17A96CB7A}" name="TOTAL (R$)" totalsRowFunction="sum" dataDxfId="4295" dataCellStyle="Moeda">
      <calculatedColumnFormula>SUM(receitasvariáveisconsolidadojul[[#This Row],[1]:[31]])</calculatedColumnFormula>
    </tableColumn>
  </tableColumns>
  <tableStyleInfo name="TABELAS RESULTADOS" showFirstColumn="0" showLastColumn="0" showRowStripes="1" showColumnStripes="0"/>
</table>
</file>

<file path=xl/tables/table9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4" xr:uid="{75C1F5CE-AF2E-4F14-98A7-68A524F52898}" name="investirrendafixaconsolidadojul" displayName="investirrendafixaconsolidadojul" ref="C112:AJ123" headerRowDxfId="4294" dataDxfId="4293" totalsRowDxfId="4292">
  <autoFilter ref="C112:AJ123" xr:uid="{3BCF8FD2-4C10-4776-87A3-7B16A33417A4}"/>
  <tableColumns count="34">
    <tableColumn id="1" xr3:uid="{361F41B5-DEB6-405F-B1F7-932CE8645E54}" name="ATUAL" totalsRowLabel="SALDO" dataDxfId="4291"/>
    <tableColumn id="34" xr3:uid="{A252093D-731D-431E-A7C0-8AF3B913A881}" name="Coluna1" dataDxfId="4290" totalsRowDxfId="4289">
      <calculatedColumnFormula>IF(investirrendafixaconsolidadojul[[#This Row],[TOTAL (R$)]]=0,"",IF(OR(investirrendafixaconsolidadojul[[#This Row],[TOTAL (R$)]]=LARGE($AJ$113:$AJ$122,1),investirrendafixaconsolidadojul[[#This Row],[TOTAL (R$)]]=LARGE($AJ$113:$AJ$122,2)),DADOS!$I$10,""))</calculatedColumnFormula>
    </tableColumn>
    <tableColumn id="2" xr3:uid="{EDFCE8A7-C0B6-4922-9E3F-3E528AF1E5FB}" name="1" totalsRowFunction="sum" dataDxfId="4288" dataCellStyle="Moeda"/>
    <tableColumn id="3" xr3:uid="{176D014C-494F-4D02-8E80-D798000423F4}" name="2" totalsRowFunction="sum" dataDxfId="4287" dataCellStyle="Moeda">
      <calculatedColumnFormula>SUMIFS(tabela_registros[VALOR],tabela_registros[MÊS],$AE$1,tabela_registros[DIA],investirrendafixaconsolidadojul[[#Headers],[2]],tabela_registros[REGISTRO],DADOS!$N$3,tabela_registros[TIPO],DADOS!$V$3,tabela_registros[CATEGORIA],investirrendafixaconsolidadojul[[#This Row],[ATUAL]])</calculatedColumnFormula>
    </tableColumn>
    <tableColumn id="4" xr3:uid="{C98EBD2D-0638-4FCF-AD40-8295538A9EA7}" name="3" totalsRowFunction="sum" dataDxfId="4286" totalsRowDxfId="4285" dataCellStyle="Moeda">
      <calculatedColumnFormula>SUMIFS(tabela_registros[VALOR],tabela_registros[MÊS],$AE$1,tabela_registros[DIA],investirrendafixaconsolidadojul[[#Headers],[3]],tabela_registros[REGISTRO],DADOS!$N$3,tabela_registros[TIPO],DADOS!$V$3,tabela_registros[CATEGORIA],investirrendafixaconsolidadojul[[#This Row],[ATUAL]])</calculatedColumnFormula>
    </tableColumn>
    <tableColumn id="5" xr3:uid="{80523294-5BAB-4C94-BA72-4AF557784103}" name="4" totalsRowFunction="sum" dataDxfId="4284" totalsRowDxfId="4283" dataCellStyle="Moeda">
      <calculatedColumnFormula>SUMIFS(tabela_registros[VALOR],tabela_registros[MÊS],$AE$1,tabela_registros[DIA],investirrendafixaconsolidadojul[[#Headers],[4]],tabela_registros[REGISTRO],DADOS!$N$3,tabela_registros[TIPO],DADOS!$V$3,tabela_registros[CATEGORIA],investirrendafixaconsolidadojul[[#This Row],[ATUAL]])</calculatedColumnFormula>
    </tableColumn>
    <tableColumn id="6" xr3:uid="{01F8BB0F-03F0-4520-B69B-41B3F384E2AE}" name="5" totalsRowFunction="sum" dataDxfId="4282" totalsRowDxfId="4281" dataCellStyle="Moeda">
      <calculatedColumnFormula>SUMIFS(tabela_registros[VALOR],tabela_registros[MÊS],$AE$1,tabela_registros[DIA],investirrendafixaconsolidadojul[[#Headers],[5]],tabela_registros[REGISTRO],DADOS!$N$3,tabela_registros[TIPO],DADOS!$V$3,tabela_registros[CATEGORIA],investirrendafixaconsolidadojul[[#This Row],[ATUAL]])</calculatedColumnFormula>
    </tableColumn>
    <tableColumn id="7" xr3:uid="{D74BF46E-6BBD-402C-AAD2-CFB784440412}" name="6" totalsRowFunction="sum" dataDxfId="4280" totalsRowDxfId="4279" dataCellStyle="Moeda">
      <calculatedColumnFormula>SUMIFS(tabela_registros[VALOR],tabela_registros[MÊS],$AE$1,tabela_registros[DIA],investirrendafixaconsolidadojul[[#Headers],[6]],tabela_registros[REGISTRO],DADOS!$N$3,tabela_registros[TIPO],DADOS!$V$3,tabela_registros[CATEGORIA],investirrendafixaconsolidadojul[[#This Row],[ATUAL]])</calculatedColumnFormula>
    </tableColumn>
    <tableColumn id="8" xr3:uid="{57C3DF68-94C5-4A5D-9DC7-48BA239CCB4B}" name="7" totalsRowFunction="sum" dataDxfId="4278" totalsRowDxfId="4277" dataCellStyle="Moeda">
      <calculatedColumnFormula>SUMIFS(tabela_registros[VALOR],tabela_registros[MÊS],$AE$1,tabela_registros[DIA],investirrendafixaconsolidadojul[[#Headers],[7]],tabela_registros[REGISTRO],DADOS!$N$3,tabela_registros[TIPO],DADOS!$V$3,tabela_registros[CATEGORIA],investirrendafixaconsolidadojul[[#This Row],[ATUAL]])</calculatedColumnFormula>
    </tableColumn>
    <tableColumn id="9" xr3:uid="{51AF1BB4-4A07-4A31-83B6-93ABC66C36F6}" name="8" totalsRowFunction="sum" dataDxfId="4276" totalsRowDxfId="4275" dataCellStyle="Moeda">
      <calculatedColumnFormula>SUMIFS(tabela_registros[VALOR],tabela_registros[MÊS],$AE$1,tabela_registros[DIA],investirrendafixaconsolidadojul[[#Headers],[8]],tabela_registros[REGISTRO],DADOS!$N$3,tabela_registros[TIPO],DADOS!$V$3,tabela_registros[CATEGORIA],investirrendafixaconsolidadojul[[#This Row],[ATUAL]])</calculatedColumnFormula>
    </tableColumn>
    <tableColumn id="10" xr3:uid="{F7B4D218-4908-47D0-B588-76D2584C9363}" name="9" totalsRowFunction="sum" dataDxfId="4274" totalsRowDxfId="4273" dataCellStyle="Moeda">
      <calculatedColumnFormula>SUMIFS(tabela_registros[VALOR],tabela_registros[MÊS],$AE$1,tabela_registros[DIA],investirrendafixaconsolidadojul[[#Headers],[9]],tabela_registros[REGISTRO],DADOS!$N$3,tabela_registros[TIPO],DADOS!$V$3,tabela_registros[CATEGORIA],investirrendafixaconsolidadojul[[#This Row],[ATUAL]])</calculatedColumnFormula>
    </tableColumn>
    <tableColumn id="11" xr3:uid="{F2617FF3-CA2C-4DAB-92C2-AD4D46278036}" name="10" totalsRowFunction="sum" dataDxfId="4272" totalsRowDxfId="4271" dataCellStyle="Moeda">
      <calculatedColumnFormula>SUMIFS(tabela_registros[VALOR],tabela_registros[MÊS],$AE$1,tabela_registros[DIA],investirrendafixaconsolidadojul[[#Headers],[10]],tabela_registros[REGISTRO],DADOS!$N$3,tabela_registros[TIPO],DADOS!$V$3,tabela_registros[CATEGORIA],investirrendafixaconsolidadojul[[#This Row],[ATUAL]])</calculatedColumnFormula>
    </tableColumn>
    <tableColumn id="12" xr3:uid="{C5B0A5B8-FCC0-424E-8CB6-CC74B97772B6}" name="11" totalsRowFunction="sum" dataDxfId="4270" totalsRowDxfId="4269" dataCellStyle="Moeda">
      <calculatedColumnFormula>SUMIFS(tabela_registros[VALOR],tabela_registros[MÊS],$AE$1,tabela_registros[DIA],investirrendafixaconsolidadojul[[#Headers],[11]],tabela_registros[REGISTRO],DADOS!$N$3,tabela_registros[TIPO],DADOS!$V$3,tabela_registros[CATEGORIA],investirrendafixaconsolidadojul[[#This Row],[ATUAL]])</calculatedColumnFormula>
    </tableColumn>
    <tableColumn id="13" xr3:uid="{16A1BE4A-9F08-4320-87EE-6CCC5B16361C}" name="12" totalsRowFunction="sum" dataDxfId="4268" totalsRowDxfId="4267" dataCellStyle="Moeda">
      <calculatedColumnFormula>SUMIFS(tabela_registros[VALOR],tabela_registros[MÊS],$AE$1,tabela_registros[DIA],investirrendafixaconsolidadojul[[#Headers],[12]],tabela_registros[REGISTRO],DADOS!$N$3,tabela_registros[TIPO],DADOS!$V$3,tabela_registros[CATEGORIA],investirrendafixaconsolidadojul[[#This Row],[ATUAL]])</calculatedColumnFormula>
    </tableColumn>
    <tableColumn id="14" xr3:uid="{4FBB6921-1F7A-433A-A0EC-BDF557A02704}" name="13" totalsRowFunction="sum" dataDxfId="4266" totalsRowDxfId="4265" dataCellStyle="Moeda">
      <calculatedColumnFormula>SUMIFS(tabela_registros[VALOR],tabela_registros[MÊS],$AE$1,tabela_registros[DIA],investirrendafixaconsolidadojul[[#Headers],[13]],tabela_registros[REGISTRO],DADOS!$N$3,tabela_registros[TIPO],DADOS!$V$3,tabela_registros[CATEGORIA],investirrendafixaconsolidadojul[[#This Row],[ATUAL]])</calculatedColumnFormula>
    </tableColumn>
    <tableColumn id="15" xr3:uid="{35CB4EBE-2D1C-4D37-9BBD-A177DC526D37}" name="14" totalsRowFunction="sum" dataDxfId="4264" totalsRowDxfId="4263" dataCellStyle="Moeda">
      <calculatedColumnFormula>SUMIFS(tabela_registros[VALOR],tabela_registros[MÊS],$AE$1,tabela_registros[DIA],investirrendafixaconsolidadojul[[#Headers],[14]],tabela_registros[REGISTRO],DADOS!$N$3,tabela_registros[TIPO],DADOS!$V$3,tabela_registros[CATEGORIA],investirrendafixaconsolidadojul[[#This Row],[ATUAL]])</calculatedColumnFormula>
    </tableColumn>
    <tableColumn id="16" xr3:uid="{50B86BCD-BBB6-423B-A12B-5F435E1CC594}" name="15" totalsRowFunction="sum" dataDxfId="4262" totalsRowDxfId="4261" dataCellStyle="Moeda">
      <calculatedColumnFormula>SUMIFS(tabela_registros[VALOR],tabela_registros[MÊS],$AE$1,tabela_registros[DIA],investirrendafixaconsolidadojul[[#Headers],[15]],tabela_registros[REGISTRO],DADOS!$N$3,tabela_registros[TIPO],DADOS!$V$3,tabela_registros[CATEGORIA],investirrendafixaconsolidadojul[[#This Row],[ATUAL]])</calculatedColumnFormula>
    </tableColumn>
    <tableColumn id="17" xr3:uid="{30EBDE39-394E-4322-B22A-02B8F501EADC}" name="16" totalsRowFunction="sum" dataDxfId="4260" totalsRowDxfId="4259" dataCellStyle="Moeda">
      <calculatedColumnFormula>SUMIFS(tabela_registros[VALOR],tabela_registros[MÊS],$AE$1,tabela_registros[DIA],investirrendafixaconsolidadojul[[#Headers],[16]],tabela_registros[REGISTRO],DADOS!$N$3,tabela_registros[TIPO],DADOS!$V$3,tabela_registros[CATEGORIA],investirrendafixaconsolidadojul[[#This Row],[ATUAL]])</calculatedColumnFormula>
    </tableColumn>
    <tableColumn id="18" xr3:uid="{BC1CD1FD-1879-4AFB-B5FB-A24DFCA0CBE9}" name="17" totalsRowFunction="sum" dataDxfId="4258" totalsRowDxfId="4257" dataCellStyle="Moeda">
      <calculatedColumnFormula>SUMIFS(tabela_registros[VALOR],tabela_registros[MÊS],$AE$1,tabela_registros[DIA],investirrendafixaconsolidadojul[[#Headers],[17]],tabela_registros[REGISTRO],DADOS!$N$3,tabela_registros[TIPO],DADOS!$V$3,tabela_registros[CATEGORIA],investirrendafixaconsolidadojul[[#This Row],[ATUAL]])</calculatedColumnFormula>
    </tableColumn>
    <tableColumn id="19" xr3:uid="{1BDD3118-8F38-4303-BE37-42E8F2D1CCCF}" name="18" totalsRowFunction="sum" dataDxfId="4256" totalsRowDxfId="4255" dataCellStyle="Moeda">
      <calculatedColumnFormula>SUMIFS(tabela_registros[VALOR],tabela_registros[MÊS],$AE$1,tabela_registros[DIA],investirrendafixaconsolidadojul[[#Headers],[18]],tabela_registros[REGISTRO],DADOS!$N$3,tabela_registros[TIPO],DADOS!$V$3,tabela_registros[CATEGORIA],investirrendafixaconsolidadojul[[#This Row],[ATUAL]])</calculatedColumnFormula>
    </tableColumn>
    <tableColumn id="20" xr3:uid="{EB021AE4-C193-451D-A6CF-E147A17C156F}" name="19" totalsRowFunction="sum" dataDxfId="4254" totalsRowDxfId="4253" dataCellStyle="Moeda">
      <calculatedColumnFormula>SUMIFS(tabela_registros[VALOR],tabela_registros[MÊS],$AE$1,tabela_registros[DIA],investirrendafixaconsolidadojul[[#Headers],[19]],tabela_registros[REGISTRO],DADOS!$N$3,tabela_registros[TIPO],DADOS!$V$3,tabela_registros[CATEGORIA],investirrendafixaconsolidadojul[[#This Row],[ATUAL]])</calculatedColumnFormula>
    </tableColumn>
    <tableColumn id="21" xr3:uid="{059A6CD7-ADC7-44F3-9BD3-18819DE36239}" name="20" totalsRowFunction="sum" dataDxfId="4252" totalsRowDxfId="4251" dataCellStyle="Moeda">
      <calculatedColumnFormula>SUMIFS(tabela_registros[VALOR],tabela_registros[MÊS],$AE$1,tabela_registros[DIA],investirrendafixaconsolidadojul[[#Headers],[20]],tabela_registros[REGISTRO],DADOS!$N$3,tabela_registros[TIPO],DADOS!$V$3,tabela_registros[CATEGORIA],investirrendafixaconsolidadojul[[#This Row],[ATUAL]])</calculatedColumnFormula>
    </tableColumn>
    <tableColumn id="22" xr3:uid="{814EE67D-4DCF-496B-B461-2C435AFB7790}" name="21" totalsRowFunction="sum" dataDxfId="4250" totalsRowDxfId="4249" dataCellStyle="Moeda">
      <calculatedColumnFormula>SUMIFS(tabela_registros[VALOR],tabela_registros[MÊS],$AE$1,tabela_registros[DIA],investirrendafixaconsolidadojul[[#Headers],[21]],tabela_registros[REGISTRO],DADOS!$N$3,tabela_registros[TIPO],DADOS!$V$3,tabela_registros[CATEGORIA],investirrendafixaconsolidadojul[[#This Row],[ATUAL]])</calculatedColumnFormula>
    </tableColumn>
    <tableColumn id="23" xr3:uid="{5647DC2A-9D83-44A4-86E8-9DF5E3DCE78C}" name="22" totalsRowFunction="sum" dataDxfId="4248" totalsRowDxfId="4247" dataCellStyle="Moeda">
      <calculatedColumnFormula>SUMIFS(tabela_registros[VALOR],tabela_registros[MÊS],$AE$1,tabela_registros[DIA],investirrendafixaconsolidadojul[[#Headers],[22]],tabela_registros[REGISTRO],DADOS!$N$3,tabela_registros[TIPO],DADOS!$V$3,tabela_registros[CATEGORIA],investirrendafixaconsolidadojul[[#This Row],[ATUAL]])</calculatedColumnFormula>
    </tableColumn>
    <tableColumn id="24" xr3:uid="{0845E946-A09A-4659-97A0-A73F8F8A1878}" name="23" totalsRowFunction="sum" dataDxfId="4246" totalsRowDxfId="4245" dataCellStyle="Moeda">
      <calculatedColumnFormula>SUMIFS(tabela_registros[VALOR],tabela_registros[MÊS],$AE$1,tabela_registros[DIA],investirrendafixaconsolidadojul[[#Headers],[23]],tabela_registros[REGISTRO],DADOS!$N$3,tabela_registros[TIPO],DADOS!$V$3,tabela_registros[CATEGORIA],investirrendafixaconsolidadojul[[#This Row],[ATUAL]])</calculatedColumnFormula>
    </tableColumn>
    <tableColumn id="25" xr3:uid="{6C2FE38B-7AD1-4009-B997-2A0E00A831B3}" name="24" totalsRowFunction="sum" dataDxfId="4244" totalsRowDxfId="4243" dataCellStyle="Moeda">
      <calculatedColumnFormula>SUMIFS(tabela_registros[VALOR],tabela_registros[MÊS],$AE$1,tabela_registros[DIA],investirrendafixaconsolidadojul[[#Headers],[24]],tabela_registros[REGISTRO],DADOS!$N$3,tabela_registros[TIPO],DADOS!$V$3,tabela_registros[CATEGORIA],investirrendafixaconsolidadojul[[#This Row],[ATUAL]])</calculatedColumnFormula>
    </tableColumn>
    <tableColumn id="26" xr3:uid="{19EB88EA-3CD9-44B6-B3B0-AEDF92E14D8D}" name="25" totalsRowFunction="sum" dataDxfId="4242" totalsRowDxfId="4241" dataCellStyle="Moeda">
      <calculatedColumnFormula>SUMIFS(tabela_registros[VALOR],tabela_registros[MÊS],$AE$1,tabela_registros[DIA],investirrendafixaconsolidadojul[[#Headers],[25]],tabela_registros[REGISTRO],DADOS!$N$3,tabela_registros[TIPO],DADOS!$V$3,tabela_registros[CATEGORIA],investirrendafixaconsolidadojul[[#This Row],[ATUAL]])</calculatedColumnFormula>
    </tableColumn>
    <tableColumn id="27" xr3:uid="{44DAF965-1844-476F-933E-E1D9E145A729}" name="26" totalsRowFunction="sum" dataDxfId="4240" totalsRowDxfId="4239" dataCellStyle="Moeda">
      <calculatedColumnFormula>SUMIFS(tabela_registros[VALOR],tabela_registros[MÊS],$AE$1,tabela_registros[DIA],investirrendafixaconsolidadojul[[#Headers],[26]],tabela_registros[REGISTRO],DADOS!$N$3,tabela_registros[TIPO],DADOS!$V$3,tabela_registros[CATEGORIA],investirrendafixaconsolidadojul[[#This Row],[ATUAL]])</calculatedColumnFormula>
    </tableColumn>
    <tableColumn id="28" xr3:uid="{E9859811-C2DA-474B-BF50-85979B494D27}" name="27" totalsRowFunction="sum" dataDxfId="4238" totalsRowDxfId="4237" dataCellStyle="Moeda">
      <calculatedColumnFormula>SUMIFS(tabela_registros[VALOR],tabela_registros[MÊS],$AE$1,tabela_registros[DIA],investirrendafixaconsolidadojul[[#Headers],[27]],tabela_registros[REGISTRO],DADOS!$N$3,tabela_registros[TIPO],DADOS!$V$3,tabela_registros[CATEGORIA],investirrendafixaconsolidadojul[[#This Row],[ATUAL]])</calculatedColumnFormula>
    </tableColumn>
    <tableColumn id="29" xr3:uid="{B8C5BFB9-FC34-4B63-831E-78B86AFD161A}" name="28" totalsRowFunction="sum" dataDxfId="4236" totalsRowDxfId="4235" dataCellStyle="Moeda">
      <calculatedColumnFormula>SUMIFS(tabela_registros[VALOR],tabela_registros[MÊS],$AE$1,tabela_registros[DIA],investirrendafixaconsolidadojul[[#Headers],[28]],tabela_registros[REGISTRO],DADOS!$N$3,tabela_registros[TIPO],DADOS!$V$3,tabela_registros[CATEGORIA],investirrendafixaconsolidadojul[[#This Row],[ATUAL]])</calculatedColumnFormula>
    </tableColumn>
    <tableColumn id="30" xr3:uid="{2AD85A53-0DB7-416C-8480-C37F9226B79A}" name="29" totalsRowFunction="sum" dataDxfId="4234" totalsRowDxfId="4233" dataCellStyle="Moeda">
      <calculatedColumnFormula>SUMIFS(tabela_registros[VALOR],tabela_registros[MÊS],$AE$1,tabela_registros[DIA],investirrendafixaconsolidadojul[[#Headers],[29]],tabela_registros[REGISTRO],DADOS!$N$3,tabela_registros[TIPO],DADOS!$V$3,tabela_registros[CATEGORIA],investirrendafixaconsolidadojul[[#This Row],[ATUAL]])</calculatedColumnFormula>
    </tableColumn>
    <tableColumn id="31" xr3:uid="{96D37F55-4025-40C3-9F7D-E4D7A75487C5}" name="30" totalsRowFunction="sum" dataDxfId="4232" totalsRowDxfId="4231" dataCellStyle="Moeda">
      <calculatedColumnFormula>SUMIFS(tabela_registros[VALOR],tabela_registros[MÊS],$AE$1,tabela_registros[DIA],investirrendafixaconsolidadojul[[#Headers],[30]],tabela_registros[REGISTRO],DADOS!$N$3,tabela_registros[TIPO],DADOS!$V$3,tabela_registros[CATEGORIA],investirrendafixaconsolidadojul[[#This Row],[ATUAL]])</calculatedColumnFormula>
    </tableColumn>
    <tableColumn id="32" xr3:uid="{B761E14D-2985-4A5E-8307-1D40B6C2AC88}" name="31" totalsRowFunction="sum" dataDxfId="4230" totalsRowDxfId="4229" dataCellStyle="Moeda">
      <calculatedColumnFormula>SUMIFS(tabela_registros[VALOR],tabela_registros[MÊS],$AE$1,tabela_registros[DIA],investirrendafixaconsolidadojul[[#Headers],[31]],tabela_registros[REGISTRO],DADOS!$N$3,tabela_registros[TIPO],DADOS!$V$3,tabela_registros[CATEGORIA],investirrendafixaconsolidadojul[[#This Row],[ATUAL]])</calculatedColumnFormula>
    </tableColumn>
    <tableColumn id="33" xr3:uid="{1FB6E90A-06C1-45B1-A46A-9D9F28518A4C}" name="TOTAL (R$)" totalsRowFunction="sum" dataDxfId="4228" dataCellStyle="Moeda">
      <calculatedColumnFormula>SUM(investirrendafixaconsolidadojul[[#This Row],[1]:[31]])</calculatedColumnFormula>
    </tableColumn>
  </tableColumns>
  <tableStyleInfo name="TABELAS RESULTADOS" showFirstColumn="0" showLastColumn="0" showRowStripes="1" showColumnStripes="0"/>
</table>
</file>

<file path=xl/tables/table9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5" xr:uid="{26DD18B4-4B61-409C-9E1D-F4FCC0890EDB}" name="investirrendavariávelconsolidadojul" displayName="investirrendavariávelconsolidadojul" ref="C131:AJ142" headerRowDxfId="4227" dataDxfId="4226" totalsRowDxfId="4225">
  <autoFilter ref="C131:AJ142" xr:uid="{08F8225F-86FE-4857-B00A-7406490FE1C1}"/>
  <tableColumns count="34">
    <tableColumn id="1" xr3:uid="{2635B87E-3A14-40FF-8DB8-1CBC2292D502}" name="ATUAL" totalsRowLabel="SALDO" dataDxfId="4224"/>
    <tableColumn id="34" xr3:uid="{57250D01-DFCF-42D2-80E1-62974AA92F5D}" name="Coluna1" dataDxfId="4223" totalsRowDxfId="4222">
      <calculatedColumnFormula>IF(investirrendavariávelconsolidadojul[[#This Row],[TOTAL (R$)]]=0,"",IF(OR(investirrendavariávelconsolidadojul[[#This Row],[TOTAL (R$)]]=LARGE($AJ$132:$AJ$141,1),investirrendavariávelconsolidadojul[[#This Row],[TOTAL (R$)]]=LARGE($AJ$132:$AJ$141,2)),DADOS!$I$10,""))</calculatedColumnFormula>
    </tableColumn>
    <tableColumn id="2" xr3:uid="{7A0C925C-DB88-4E74-85FD-153F71E6493B}" name="1" totalsRowFunction="sum" dataDxfId="4221" dataCellStyle="Moeda"/>
    <tableColumn id="3" xr3:uid="{6150D124-E8CD-40AB-8C4D-3C8085BA5B5F}" name="2" totalsRowFunction="sum" dataDxfId="4220" dataCellStyle="Moeda">
      <calculatedColumnFormula>SUMIFS(tabela_registros[VALOR],tabela_registros[MÊS],$AE$1,tabela_registros[DIA],investirrendavariávelconsolidadojul[[#Headers],[2]],tabela_registros[REGISTRO],DADOS!$N$3,tabela_registros[TIPO],DADOS!$V$3,tabela_registros[CATEGORIA],investirrendavariávelconsolidadojul[[#This Row],[ATUAL]])</calculatedColumnFormula>
    </tableColumn>
    <tableColumn id="4" xr3:uid="{78277529-4EB9-4157-A1E0-7A5948E1318A}" name="3" totalsRowFunction="sum" dataDxfId="4219" totalsRowDxfId="4218" dataCellStyle="Moeda">
      <calculatedColumnFormula>SUMIFS(tabela_registros[VALOR],tabela_registros[MÊS],$AE$1,tabela_registros[DIA],investirrendavariávelconsolidadojul[[#Headers],[3]],tabela_registros[REGISTRO],DADOS!$N$3,tabela_registros[TIPO],DADOS!$V$3,tabela_registros[CATEGORIA],investirrendavariávelconsolidadojul[[#This Row],[ATUAL]])</calculatedColumnFormula>
    </tableColumn>
    <tableColumn id="5" xr3:uid="{C2E953AA-BE21-4610-AE59-B2E8F2C4A28C}" name="4" totalsRowFunction="sum" dataDxfId="4217" totalsRowDxfId="4216" dataCellStyle="Moeda">
      <calculatedColumnFormula>SUMIFS(tabela_registros[VALOR],tabela_registros[MÊS],$AE$1,tabela_registros[DIA],investirrendavariávelconsolidadojul[[#Headers],[4]],tabela_registros[REGISTRO],DADOS!$N$3,tabela_registros[TIPO],DADOS!$V$3,tabela_registros[CATEGORIA],investirrendavariávelconsolidadojul[[#This Row],[ATUAL]])</calculatedColumnFormula>
    </tableColumn>
    <tableColumn id="6" xr3:uid="{7491AC95-C123-43AB-B911-E1A8AAF4A017}" name="5" totalsRowFunction="sum" dataDxfId="4215" totalsRowDxfId="4214" dataCellStyle="Moeda">
      <calculatedColumnFormula>SUMIFS(tabela_registros[VALOR],tabela_registros[MÊS],$AE$1,tabela_registros[DIA],investirrendavariávelconsolidadojul[[#Headers],[5]],tabela_registros[REGISTRO],DADOS!$N$3,tabela_registros[TIPO],DADOS!$V$3,tabela_registros[CATEGORIA],investirrendavariávelconsolidadojul[[#This Row],[ATUAL]])</calculatedColumnFormula>
    </tableColumn>
    <tableColumn id="7" xr3:uid="{5CE66A71-59F0-4E37-9F5D-8691D1073DE5}" name="6" totalsRowFunction="sum" dataDxfId="4213" totalsRowDxfId="4212" dataCellStyle="Moeda">
      <calculatedColumnFormula>SUMIFS(tabela_registros[VALOR],tabela_registros[MÊS],$AE$1,tabela_registros[DIA],investirrendavariávelconsolidadojul[[#Headers],[6]],tabela_registros[REGISTRO],DADOS!$N$3,tabela_registros[TIPO],DADOS!$V$3,tabela_registros[CATEGORIA],investirrendavariávelconsolidadojul[[#This Row],[ATUAL]])</calculatedColumnFormula>
    </tableColumn>
    <tableColumn id="8" xr3:uid="{AE9579C1-5EFA-4309-ABC5-4200CDD9971C}" name="7" totalsRowFunction="sum" dataDxfId="4211" totalsRowDxfId="4210" dataCellStyle="Moeda">
      <calculatedColumnFormula>SUMIFS(tabela_registros[VALOR],tabela_registros[MÊS],$AE$1,tabela_registros[DIA],investirrendavariávelconsolidadojul[[#Headers],[7]],tabela_registros[REGISTRO],DADOS!$N$3,tabela_registros[TIPO],DADOS!$V$3,tabela_registros[CATEGORIA],investirrendavariávelconsolidadojul[[#This Row],[ATUAL]])</calculatedColumnFormula>
    </tableColumn>
    <tableColumn id="9" xr3:uid="{7DF684EA-83CB-4C2B-973D-A9F0AC90B79D}" name="8" totalsRowFunction="sum" dataDxfId="4209" totalsRowDxfId="4208" dataCellStyle="Moeda">
      <calculatedColumnFormula>SUMIFS(tabela_registros[VALOR],tabela_registros[MÊS],$AE$1,tabela_registros[DIA],investirrendavariávelconsolidadojul[[#Headers],[8]],tabela_registros[REGISTRO],DADOS!$N$3,tabela_registros[TIPO],DADOS!$V$3,tabela_registros[CATEGORIA],investirrendavariávelconsolidadojul[[#This Row],[ATUAL]])</calculatedColumnFormula>
    </tableColumn>
    <tableColumn id="10" xr3:uid="{1A170793-747E-430B-966B-48A4B23D2628}" name="9" totalsRowFunction="sum" dataDxfId="4207" totalsRowDxfId="4206" dataCellStyle="Moeda">
      <calculatedColumnFormula>SUMIFS(tabela_registros[VALOR],tabela_registros[MÊS],$AE$1,tabela_registros[DIA],investirrendavariávelconsolidadojul[[#Headers],[9]],tabela_registros[REGISTRO],DADOS!$N$3,tabela_registros[TIPO],DADOS!$V$3,tabela_registros[CATEGORIA],investirrendavariávelconsolidadojul[[#This Row],[ATUAL]])</calculatedColumnFormula>
    </tableColumn>
    <tableColumn id="11" xr3:uid="{337E5E13-3A40-4AE3-9AE1-BF61D9298406}" name="10" totalsRowFunction="sum" dataDxfId="4205" totalsRowDxfId="4204" dataCellStyle="Moeda">
      <calculatedColumnFormula>SUMIFS(tabela_registros[VALOR],tabela_registros[MÊS],$AE$1,tabela_registros[DIA],investirrendavariávelconsolidadojul[[#Headers],[10]],tabela_registros[REGISTRO],DADOS!$N$3,tabela_registros[TIPO],DADOS!$V$3,tabela_registros[CATEGORIA],investirrendavariávelconsolidadojul[[#This Row],[ATUAL]])</calculatedColumnFormula>
    </tableColumn>
    <tableColumn id="12" xr3:uid="{4BB36726-B2E6-469A-B187-783EB9206529}" name="11" totalsRowFunction="sum" dataDxfId="4203" totalsRowDxfId="4202" dataCellStyle="Moeda">
      <calculatedColumnFormula>SUMIFS(tabela_registros[VALOR],tabela_registros[MÊS],$AE$1,tabela_registros[DIA],investirrendavariávelconsolidadojul[[#Headers],[11]],tabela_registros[REGISTRO],DADOS!$N$3,tabela_registros[TIPO],DADOS!$V$3,tabela_registros[CATEGORIA],investirrendavariávelconsolidadojul[[#This Row],[ATUAL]])</calculatedColumnFormula>
    </tableColumn>
    <tableColumn id="13" xr3:uid="{D5B2E224-7A47-482C-A1D6-331661C49488}" name="12" totalsRowFunction="sum" dataDxfId="4201" totalsRowDxfId="4200" dataCellStyle="Moeda">
      <calculatedColumnFormula>SUMIFS(tabela_registros[VALOR],tabela_registros[MÊS],$AE$1,tabela_registros[DIA],investirrendavariávelconsolidadojul[[#Headers],[12]],tabela_registros[REGISTRO],DADOS!$N$3,tabela_registros[TIPO],DADOS!$V$3,tabela_registros[CATEGORIA],investirrendavariávelconsolidadojul[[#This Row],[ATUAL]])</calculatedColumnFormula>
    </tableColumn>
    <tableColumn id="14" xr3:uid="{645ACBA5-E23F-4FB4-83D8-F5CA70E1F919}" name="13" totalsRowFunction="sum" dataDxfId="4199" totalsRowDxfId="4198" dataCellStyle="Moeda">
      <calculatedColumnFormula>SUMIFS(tabela_registros[VALOR],tabela_registros[MÊS],$AE$1,tabela_registros[DIA],investirrendavariávelconsolidadojul[[#Headers],[13]],tabela_registros[REGISTRO],DADOS!$N$3,tabela_registros[TIPO],DADOS!$V$3,tabela_registros[CATEGORIA],investirrendavariávelconsolidadojul[[#This Row],[ATUAL]])</calculatedColumnFormula>
    </tableColumn>
    <tableColumn id="15" xr3:uid="{2BD5B0D8-17A2-4145-BB8D-24A59BEDD9D1}" name="14" totalsRowFunction="sum" dataDxfId="4197" totalsRowDxfId="4196" dataCellStyle="Moeda">
      <calculatedColumnFormula>SUMIFS(tabela_registros[VALOR],tabela_registros[MÊS],$AE$1,tabela_registros[DIA],investirrendavariávelconsolidadojul[[#Headers],[14]],tabela_registros[REGISTRO],DADOS!$N$3,tabela_registros[TIPO],DADOS!$V$3,tabela_registros[CATEGORIA],investirrendavariávelconsolidadojul[[#This Row],[ATUAL]])</calculatedColumnFormula>
    </tableColumn>
    <tableColumn id="16" xr3:uid="{04683D90-A7EC-477D-904B-728CA951B608}" name="15" totalsRowFunction="sum" dataDxfId="4195" totalsRowDxfId="4194" dataCellStyle="Moeda">
      <calculatedColumnFormula>SUMIFS(tabela_registros[VALOR],tabela_registros[MÊS],$AE$1,tabela_registros[DIA],investirrendavariávelconsolidadojul[[#Headers],[15]],tabela_registros[REGISTRO],DADOS!$N$3,tabela_registros[TIPO],DADOS!$V$3,tabela_registros[CATEGORIA],investirrendavariávelconsolidadojul[[#This Row],[ATUAL]])</calculatedColumnFormula>
    </tableColumn>
    <tableColumn id="17" xr3:uid="{AC2F010F-1C23-451F-8AC5-6215E8307628}" name="16" totalsRowFunction="sum" dataDxfId="4193" totalsRowDxfId="4192" dataCellStyle="Moeda">
      <calculatedColumnFormula>SUMIFS(tabela_registros[VALOR],tabela_registros[MÊS],$AE$1,tabela_registros[DIA],investirrendavariávelconsolidadojul[[#Headers],[16]],tabela_registros[REGISTRO],DADOS!$N$3,tabela_registros[TIPO],DADOS!$V$3,tabela_registros[CATEGORIA],investirrendavariávelconsolidadojul[[#This Row],[ATUAL]])</calculatedColumnFormula>
    </tableColumn>
    <tableColumn id="18" xr3:uid="{E179CC9D-84F2-446C-BB68-DEF42371D9CA}" name="17" totalsRowFunction="sum" dataDxfId="4191" totalsRowDxfId="4190" dataCellStyle="Moeda">
      <calculatedColumnFormula>SUMIFS(tabela_registros[VALOR],tabela_registros[MÊS],$AE$1,tabela_registros[DIA],investirrendavariávelconsolidadojul[[#Headers],[17]],tabela_registros[REGISTRO],DADOS!$N$3,tabela_registros[TIPO],DADOS!$V$3,tabela_registros[CATEGORIA],investirrendavariávelconsolidadojul[[#This Row],[ATUAL]])</calculatedColumnFormula>
    </tableColumn>
    <tableColumn id="19" xr3:uid="{BC991172-ACF2-41E8-A392-FC5E2D89F595}" name="18" totalsRowFunction="sum" dataDxfId="4189" totalsRowDxfId="4188" dataCellStyle="Moeda">
      <calculatedColumnFormula>SUMIFS(tabela_registros[VALOR],tabela_registros[MÊS],$AE$1,tabela_registros[DIA],investirrendavariávelconsolidadojul[[#Headers],[18]],tabela_registros[REGISTRO],DADOS!$N$3,tabela_registros[TIPO],DADOS!$V$3,tabela_registros[CATEGORIA],investirrendavariávelconsolidadojul[[#This Row],[ATUAL]])</calculatedColumnFormula>
    </tableColumn>
    <tableColumn id="20" xr3:uid="{7536364D-B10E-43D6-92AA-2F0AEA2F8C15}" name="19" totalsRowFunction="sum" dataDxfId="4187" totalsRowDxfId="4186" dataCellStyle="Moeda">
      <calculatedColumnFormula>SUMIFS(tabela_registros[VALOR],tabela_registros[MÊS],$AE$1,tabela_registros[DIA],investirrendavariávelconsolidadojul[[#Headers],[19]],tabela_registros[REGISTRO],DADOS!$N$3,tabela_registros[TIPO],DADOS!$V$3,tabela_registros[CATEGORIA],investirrendavariávelconsolidadojul[[#This Row],[ATUAL]])</calculatedColumnFormula>
    </tableColumn>
    <tableColumn id="21" xr3:uid="{055A390A-8453-42AA-A55B-7E17389C69A2}" name="20" totalsRowFunction="sum" dataDxfId="4185" totalsRowDxfId="4184" dataCellStyle="Moeda">
      <calculatedColumnFormula>SUMIFS(tabela_registros[VALOR],tabela_registros[MÊS],$AE$1,tabela_registros[DIA],investirrendavariávelconsolidadojul[[#Headers],[20]],tabela_registros[REGISTRO],DADOS!$N$3,tabela_registros[TIPO],DADOS!$V$3,tabela_registros[CATEGORIA],investirrendavariávelconsolidadojul[[#This Row],[ATUAL]])</calculatedColumnFormula>
    </tableColumn>
    <tableColumn id="22" xr3:uid="{D74D015A-75B6-4268-90F4-C17E4641CB42}" name="21" totalsRowFunction="sum" dataDxfId="4183" totalsRowDxfId="4182" dataCellStyle="Moeda">
      <calculatedColumnFormula>SUMIFS(tabela_registros[VALOR],tabela_registros[MÊS],$AE$1,tabela_registros[DIA],investirrendavariávelconsolidadojul[[#Headers],[21]],tabela_registros[REGISTRO],DADOS!$N$3,tabela_registros[TIPO],DADOS!$V$3,tabela_registros[CATEGORIA],investirrendavariávelconsolidadojul[[#This Row],[ATUAL]])</calculatedColumnFormula>
    </tableColumn>
    <tableColumn id="23" xr3:uid="{646F7779-A01B-4C83-97C3-47D25E479A9F}" name="22" totalsRowFunction="sum" dataDxfId="4181" totalsRowDxfId="4180" dataCellStyle="Moeda">
      <calculatedColumnFormula>SUMIFS(tabela_registros[VALOR],tabela_registros[MÊS],$AE$1,tabela_registros[DIA],investirrendavariávelconsolidadojul[[#Headers],[22]],tabela_registros[REGISTRO],DADOS!$N$3,tabela_registros[TIPO],DADOS!$V$3,tabela_registros[CATEGORIA],investirrendavariávelconsolidadojul[[#This Row],[ATUAL]])</calculatedColumnFormula>
    </tableColumn>
    <tableColumn id="24" xr3:uid="{477F227E-104A-4DAA-A45D-A6C8DF7396B0}" name="23" totalsRowFunction="sum" dataDxfId="4179" totalsRowDxfId="4178" dataCellStyle="Moeda">
      <calculatedColumnFormula>SUMIFS(tabela_registros[VALOR],tabela_registros[MÊS],$AE$1,tabela_registros[DIA],investirrendavariávelconsolidadojul[[#Headers],[23]],tabela_registros[REGISTRO],DADOS!$N$3,tabela_registros[TIPO],DADOS!$V$3,tabela_registros[CATEGORIA],investirrendavariávelconsolidadojul[[#This Row],[ATUAL]])</calculatedColumnFormula>
    </tableColumn>
    <tableColumn id="25" xr3:uid="{7657E975-9262-44A6-8855-C26303A3AB82}" name="24" totalsRowFunction="sum" dataDxfId="4177" totalsRowDxfId="4176" dataCellStyle="Moeda">
      <calculatedColumnFormula>SUMIFS(tabela_registros[VALOR],tabela_registros[MÊS],$AE$1,tabela_registros[DIA],investirrendavariávelconsolidadojul[[#Headers],[24]],tabela_registros[REGISTRO],DADOS!$N$3,tabela_registros[TIPO],DADOS!$V$3,tabela_registros[CATEGORIA],investirrendavariávelconsolidadojul[[#This Row],[ATUAL]])</calculatedColumnFormula>
    </tableColumn>
    <tableColumn id="26" xr3:uid="{5E5F0653-9B6B-49AC-8D44-B82AC558386C}" name="25" totalsRowFunction="sum" dataDxfId="4175" totalsRowDxfId="4174" dataCellStyle="Moeda">
      <calculatedColumnFormula>SUMIFS(tabela_registros[VALOR],tabela_registros[MÊS],$AE$1,tabela_registros[DIA],investirrendavariávelconsolidadojul[[#Headers],[25]],tabela_registros[REGISTRO],DADOS!$N$3,tabela_registros[TIPO],DADOS!$V$3,tabela_registros[CATEGORIA],investirrendavariávelconsolidadojul[[#This Row],[ATUAL]])</calculatedColumnFormula>
    </tableColumn>
    <tableColumn id="27" xr3:uid="{6A3E13BB-34EE-4384-8D56-BC3840950DD3}" name="26" totalsRowFunction="sum" dataDxfId="4173" totalsRowDxfId="4172" dataCellStyle="Moeda">
      <calculatedColumnFormula>SUMIFS(tabela_registros[VALOR],tabela_registros[MÊS],$AE$1,tabela_registros[DIA],investirrendavariávelconsolidadojul[[#Headers],[26]],tabela_registros[REGISTRO],DADOS!$N$3,tabela_registros[TIPO],DADOS!$V$3,tabela_registros[CATEGORIA],investirrendavariávelconsolidadojul[[#This Row],[ATUAL]])</calculatedColumnFormula>
    </tableColumn>
    <tableColumn id="28" xr3:uid="{0B884117-2745-4B42-80BB-6497ACB6BF96}" name="27" totalsRowFunction="sum" dataDxfId="4171" totalsRowDxfId="4170" dataCellStyle="Moeda">
      <calculatedColumnFormula>SUMIFS(tabela_registros[VALOR],tabela_registros[MÊS],$AE$1,tabela_registros[DIA],investirrendavariávelconsolidadojul[[#Headers],[27]],tabela_registros[REGISTRO],DADOS!$N$3,tabela_registros[TIPO],DADOS!$V$3,tabela_registros[CATEGORIA],investirrendavariávelconsolidadojul[[#This Row],[ATUAL]])</calculatedColumnFormula>
    </tableColumn>
    <tableColumn id="29" xr3:uid="{23AEB76E-6A39-40F4-A2DA-69BE14C3472F}" name="28" totalsRowFunction="sum" dataDxfId="4169" totalsRowDxfId="4168" dataCellStyle="Moeda">
      <calculatedColumnFormula>SUMIFS(tabela_registros[VALOR],tabela_registros[MÊS],$AE$1,tabela_registros[DIA],investirrendavariávelconsolidadojul[[#Headers],[28]],tabela_registros[REGISTRO],DADOS!$N$3,tabela_registros[TIPO],DADOS!$V$3,tabela_registros[CATEGORIA],investirrendavariávelconsolidadojul[[#This Row],[ATUAL]])</calculatedColumnFormula>
    </tableColumn>
    <tableColumn id="30" xr3:uid="{577DACA4-9906-41D1-8526-E906CBE83637}" name="29" totalsRowFunction="sum" dataDxfId="4167" totalsRowDxfId="4166" dataCellStyle="Moeda">
      <calculatedColumnFormula>SUMIFS(tabela_registros[VALOR],tabela_registros[MÊS],$AE$1,tabela_registros[DIA],investirrendavariávelconsolidadojul[[#Headers],[29]],tabela_registros[REGISTRO],DADOS!$N$3,tabela_registros[TIPO],DADOS!$V$3,tabela_registros[CATEGORIA],investirrendavariávelconsolidadojul[[#This Row],[ATUAL]])</calculatedColumnFormula>
    </tableColumn>
    <tableColumn id="31" xr3:uid="{818BA54D-A728-4F53-9238-C0A948C9C232}" name="30" totalsRowFunction="sum" dataDxfId="4165" totalsRowDxfId="4164" dataCellStyle="Moeda">
      <calculatedColumnFormula>SUMIFS(tabela_registros[VALOR],tabela_registros[MÊS],$AE$1,tabela_registros[DIA],investirrendavariávelconsolidadojul[[#Headers],[30]],tabela_registros[REGISTRO],DADOS!$N$3,tabela_registros[TIPO],DADOS!$V$3,tabela_registros[CATEGORIA],investirrendavariávelconsolidadojul[[#This Row],[ATUAL]])</calculatedColumnFormula>
    </tableColumn>
    <tableColumn id="32" xr3:uid="{FB9F78EA-DE7B-4043-835A-9759F5BA672F}" name="31" totalsRowFunction="sum" dataDxfId="4163" totalsRowDxfId="4162" dataCellStyle="Moeda">
      <calculatedColumnFormula>SUMIFS(tabela_registros[VALOR],tabela_registros[MÊS],$AE$1,tabela_registros[DIA],investirrendavariávelconsolidadojul[[#Headers],[31]],tabela_registros[REGISTRO],DADOS!$N$3,tabela_registros[TIPO],DADOS!$V$3,tabela_registros[CATEGORIA],investirrendavariávelconsolidadojul[[#This Row],[ATUAL]])</calculatedColumnFormula>
    </tableColumn>
    <tableColumn id="33" xr3:uid="{895E5515-6FA1-4650-9F3D-55F1944EB8B1}" name="TOTAL (R$)" totalsRowFunction="sum" dataDxfId="4161" dataCellStyle="Moeda">
      <calculatedColumnFormula>SUM(investirrendavariávelconsolidadojul[[#This Row],[1]:[31]])</calculatedColumnFormula>
    </tableColumn>
  </tableColumns>
  <tableStyleInfo name="TABELAS RESULTADOS" showFirstColumn="0" showLastColumn="0" showRowStripes="1" showColumnStripes="0"/>
</table>
</file>

<file path=xl/tables/table9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6" xr:uid="{FBCE6E35-57EE-4959-8BCC-FFE796C8107F}" name="investiroutrosconsolidadojul" displayName="investiroutrosconsolidadojul" ref="C150:AJ159" headerRowDxfId="4160" dataDxfId="4159" totalsRowDxfId="4158">
  <autoFilter ref="C150:AJ159" xr:uid="{6183CEF1-477D-4448-9404-9007701FBB5F}"/>
  <tableColumns count="34">
    <tableColumn id="1" xr3:uid="{3D91A903-EF1D-4596-BC94-4C0126CD19F5}" name="ATUAL" totalsRowLabel="SALDO" dataDxfId="4157"/>
    <tableColumn id="34" xr3:uid="{320DFFC0-9CFE-47B8-8B68-39F0064C7DF1}" name="Coluna1" dataDxfId="4156" totalsRowDxfId="4155">
      <calculatedColumnFormula>IF(investiroutrosconsolidadojul[[#This Row],[TOTAL (R$)]]=0,"",IF(OR(investiroutrosconsolidadojul[[#This Row],[TOTAL (R$)]]=LARGE($AJ$151:$AJ$158,1),investiroutrosconsolidadojul[[#This Row],[TOTAL (R$)]]=LARGE($AJ$151:$AJ$158,2)),DADOS!$I$10,""))</calculatedColumnFormula>
    </tableColumn>
    <tableColumn id="2" xr3:uid="{33834875-CD6E-4A1C-AEFD-EF90B450D6F9}" name="1" totalsRowFunction="sum" dataDxfId="4154" dataCellStyle="Moeda"/>
    <tableColumn id="3" xr3:uid="{CFCE5200-4F0D-4B7D-BEB7-B01704DF0717}" name="2" totalsRowFunction="sum" dataDxfId="4153" dataCellStyle="Moeda">
      <calculatedColumnFormula>SUMIFS(tabela_registros[VALOR],tabela_registros[MÊS],$AE$1,tabela_registros[DIA],investiroutrosconsolidadojul[[#Headers],[2]],tabela_registros[REGISTRO],DADOS!$N$3,tabela_registros[TIPO],DADOS!$V$3,tabela_registros[CATEGORIA],investiroutrosconsolidadojul[[#This Row],[ATUAL]])</calculatedColumnFormula>
    </tableColumn>
    <tableColumn id="4" xr3:uid="{8D3E13E4-4BF2-4B4D-8620-61EB6B2E5864}" name="3" totalsRowFunction="sum" dataDxfId="4152" totalsRowDxfId="4151" dataCellStyle="Moeda">
      <calculatedColumnFormula>SUMIFS(tabela_registros[VALOR],tabela_registros[MÊS],$AE$1,tabela_registros[DIA],investiroutrosconsolidadojul[[#Headers],[3]],tabela_registros[REGISTRO],DADOS!$N$3,tabela_registros[TIPO],DADOS!$V$3,tabela_registros[CATEGORIA],investiroutrosconsolidadojul[[#This Row],[ATUAL]])</calculatedColumnFormula>
    </tableColumn>
    <tableColumn id="5" xr3:uid="{286C471B-2AF4-4E5D-9900-1EAC518B631E}" name="4" totalsRowFunction="sum" dataDxfId="4150" totalsRowDxfId="4149" dataCellStyle="Moeda">
      <calculatedColumnFormula>SUMIFS(tabela_registros[VALOR],tabela_registros[MÊS],$AE$1,tabela_registros[DIA],investiroutrosconsolidadojul[[#Headers],[4]],tabela_registros[REGISTRO],DADOS!$N$3,tabela_registros[TIPO],DADOS!$V$3,tabela_registros[CATEGORIA],investiroutrosconsolidadojul[[#This Row],[ATUAL]])</calculatedColumnFormula>
    </tableColumn>
    <tableColumn id="6" xr3:uid="{B1D6BA19-3D0C-4D28-98C3-829B25FB93AB}" name="5" totalsRowFunction="sum" dataDxfId="4148" totalsRowDxfId="4147" dataCellStyle="Moeda">
      <calculatedColumnFormula>SUMIFS(tabela_registros[VALOR],tabela_registros[MÊS],$AE$1,tabela_registros[DIA],investiroutrosconsolidadojul[[#Headers],[5]],tabela_registros[REGISTRO],DADOS!$N$3,tabela_registros[TIPO],DADOS!$V$3,tabela_registros[CATEGORIA],investiroutrosconsolidadojul[[#This Row],[ATUAL]])</calculatedColumnFormula>
    </tableColumn>
    <tableColumn id="7" xr3:uid="{8CFC40A1-67AD-4131-B696-4BAC9077A666}" name="6" totalsRowFunction="sum" dataDxfId="4146" totalsRowDxfId="4145" dataCellStyle="Moeda">
      <calculatedColumnFormula>SUMIFS(tabela_registros[VALOR],tabela_registros[MÊS],$AE$1,tabela_registros[DIA],investiroutrosconsolidadojul[[#Headers],[6]],tabela_registros[REGISTRO],DADOS!$N$3,tabela_registros[TIPO],DADOS!$V$3,tabela_registros[CATEGORIA],investiroutrosconsolidadojul[[#This Row],[ATUAL]])</calculatedColumnFormula>
    </tableColumn>
    <tableColumn id="8" xr3:uid="{21C70760-00D5-46B3-A856-784CC514C487}" name="7" totalsRowFunction="sum" dataDxfId="4144" totalsRowDxfId="4143" dataCellStyle="Moeda">
      <calculatedColumnFormula>SUMIFS(tabela_registros[VALOR],tabela_registros[MÊS],$AE$1,tabela_registros[DIA],investiroutrosconsolidadojul[[#Headers],[7]],tabela_registros[REGISTRO],DADOS!$N$3,tabela_registros[TIPO],DADOS!$V$3,tabela_registros[CATEGORIA],investiroutrosconsolidadojul[[#This Row],[ATUAL]])</calculatedColumnFormula>
    </tableColumn>
    <tableColumn id="9" xr3:uid="{3E3AC107-09D1-4DCC-B6BA-7F9626FE993F}" name="8" totalsRowFunction="sum" dataDxfId="4142" totalsRowDxfId="4141" dataCellStyle="Moeda">
      <calculatedColumnFormula>SUMIFS(tabela_registros[VALOR],tabela_registros[MÊS],$AE$1,tabela_registros[DIA],investiroutrosconsolidadojul[[#Headers],[8]],tabela_registros[REGISTRO],DADOS!$N$3,tabela_registros[TIPO],DADOS!$V$3,tabela_registros[CATEGORIA],investiroutrosconsolidadojul[[#This Row],[ATUAL]])</calculatedColumnFormula>
    </tableColumn>
    <tableColumn id="10" xr3:uid="{CA566EC7-7A7B-468D-ADA8-1D16C85BE79D}" name="9" totalsRowFunction="sum" dataDxfId="4140" totalsRowDxfId="4139" dataCellStyle="Moeda">
      <calculatedColumnFormula>SUMIFS(tabela_registros[VALOR],tabela_registros[MÊS],$AE$1,tabela_registros[DIA],investiroutrosconsolidadojul[[#Headers],[9]],tabela_registros[REGISTRO],DADOS!$N$3,tabela_registros[TIPO],DADOS!$V$3,tabela_registros[CATEGORIA],investiroutrosconsolidadojul[[#This Row],[ATUAL]])</calculatedColumnFormula>
    </tableColumn>
    <tableColumn id="11" xr3:uid="{F59C6B15-9C1D-4D73-962F-D224F51E4123}" name="10" totalsRowFunction="sum" dataDxfId="4138" totalsRowDxfId="4137" dataCellStyle="Moeda">
      <calculatedColumnFormula>SUMIFS(tabela_registros[VALOR],tabela_registros[MÊS],$AE$1,tabela_registros[DIA],investiroutrosconsolidadojul[[#Headers],[10]],tabela_registros[REGISTRO],DADOS!$N$3,tabela_registros[TIPO],DADOS!$V$3,tabela_registros[CATEGORIA],investiroutrosconsolidadojul[[#This Row],[ATUAL]])</calculatedColumnFormula>
    </tableColumn>
    <tableColumn id="12" xr3:uid="{1BF4F9E8-04C0-4B7F-9D21-718ABC035625}" name="11" totalsRowFunction="sum" dataDxfId="4136" totalsRowDxfId="4135" dataCellStyle="Moeda">
      <calculatedColumnFormula>SUMIFS(tabela_registros[VALOR],tabela_registros[MÊS],$AE$1,tabela_registros[DIA],investiroutrosconsolidadojul[[#Headers],[11]],tabela_registros[REGISTRO],DADOS!$N$3,tabela_registros[TIPO],DADOS!$V$3,tabela_registros[CATEGORIA],investiroutrosconsolidadojul[[#This Row],[ATUAL]])</calculatedColumnFormula>
    </tableColumn>
    <tableColumn id="13" xr3:uid="{9E5170B9-C7F0-4A3F-877D-F37BE90D02EB}" name="12" totalsRowFunction="sum" dataDxfId="4134" totalsRowDxfId="4133" dataCellStyle="Moeda">
      <calculatedColumnFormula>SUMIFS(tabela_registros[VALOR],tabela_registros[MÊS],$AE$1,tabela_registros[DIA],investiroutrosconsolidadojul[[#Headers],[12]],tabela_registros[REGISTRO],DADOS!$N$3,tabela_registros[TIPO],DADOS!$V$3,tabela_registros[CATEGORIA],investiroutrosconsolidadojul[[#This Row],[ATUAL]])</calculatedColumnFormula>
    </tableColumn>
    <tableColumn id="14" xr3:uid="{08F25B6C-1671-470C-AB5A-BCBE5EE3D60F}" name="13" totalsRowFunction="sum" dataDxfId="4132" totalsRowDxfId="4131" dataCellStyle="Moeda">
      <calculatedColumnFormula>SUMIFS(tabela_registros[VALOR],tabela_registros[MÊS],$AE$1,tabela_registros[DIA],investiroutrosconsolidadojul[[#Headers],[13]],tabela_registros[REGISTRO],DADOS!$N$3,tabela_registros[TIPO],DADOS!$V$3,tabela_registros[CATEGORIA],investiroutrosconsolidadojul[[#This Row],[ATUAL]])</calculatedColumnFormula>
    </tableColumn>
    <tableColumn id="15" xr3:uid="{94039A54-FE91-4431-8D65-77BBDC9AC01E}" name="14" totalsRowFunction="sum" dataDxfId="4130" totalsRowDxfId="4129" dataCellStyle="Moeda">
      <calculatedColumnFormula>SUMIFS(tabela_registros[VALOR],tabela_registros[MÊS],$AE$1,tabela_registros[DIA],investiroutrosconsolidadojul[[#Headers],[14]],tabela_registros[REGISTRO],DADOS!$N$3,tabela_registros[TIPO],DADOS!$V$3,tabela_registros[CATEGORIA],investiroutrosconsolidadojul[[#This Row],[ATUAL]])</calculatedColumnFormula>
    </tableColumn>
    <tableColumn id="16" xr3:uid="{F0924F3A-EA31-42C6-91A5-756886A3051C}" name="15" totalsRowFunction="sum" dataDxfId="4128" totalsRowDxfId="4127" dataCellStyle="Moeda">
      <calculatedColumnFormula>SUMIFS(tabela_registros[VALOR],tabela_registros[MÊS],$AE$1,tabela_registros[DIA],investiroutrosconsolidadojul[[#Headers],[15]],tabela_registros[REGISTRO],DADOS!$N$3,tabela_registros[TIPO],DADOS!$V$3,tabela_registros[CATEGORIA],investiroutrosconsolidadojul[[#This Row],[ATUAL]])</calculatedColumnFormula>
    </tableColumn>
    <tableColumn id="17" xr3:uid="{EA9D818A-75D0-45B7-BF66-496BCD517614}" name="16" totalsRowFunction="sum" dataDxfId="4126" totalsRowDxfId="4125" dataCellStyle="Moeda">
      <calculatedColumnFormula>SUMIFS(tabela_registros[VALOR],tabela_registros[MÊS],$AE$1,tabela_registros[DIA],investiroutrosconsolidadojul[[#Headers],[16]],tabela_registros[REGISTRO],DADOS!$N$3,tabela_registros[TIPO],DADOS!$V$3,tabela_registros[CATEGORIA],investiroutrosconsolidadojul[[#This Row],[ATUAL]])</calculatedColumnFormula>
    </tableColumn>
    <tableColumn id="18" xr3:uid="{2E75760D-FBAE-48A9-A39E-762A120C2B71}" name="17" totalsRowFunction="sum" dataDxfId="4124" totalsRowDxfId="4123" dataCellStyle="Moeda">
      <calculatedColumnFormula>SUMIFS(tabela_registros[VALOR],tabela_registros[MÊS],$AE$1,tabela_registros[DIA],investiroutrosconsolidadojul[[#Headers],[17]],tabela_registros[REGISTRO],DADOS!$N$3,tabela_registros[TIPO],DADOS!$V$3,tabela_registros[CATEGORIA],investiroutrosconsolidadojul[[#This Row],[ATUAL]])</calculatedColumnFormula>
    </tableColumn>
    <tableColumn id="19" xr3:uid="{EC8C2EC3-D0A6-48D6-8F67-9CAB2DA79576}" name="18" totalsRowFunction="sum" dataDxfId="4122" totalsRowDxfId="4121" dataCellStyle="Moeda">
      <calculatedColumnFormula>SUMIFS(tabela_registros[VALOR],tabela_registros[MÊS],$AE$1,tabela_registros[DIA],investiroutrosconsolidadojul[[#Headers],[18]],tabela_registros[REGISTRO],DADOS!$N$3,tabela_registros[TIPO],DADOS!$V$3,tabela_registros[CATEGORIA],investiroutrosconsolidadojul[[#This Row],[ATUAL]])</calculatedColumnFormula>
    </tableColumn>
    <tableColumn id="20" xr3:uid="{4C485E40-6DFB-4C0C-B10F-FDA1F62571E5}" name="19" totalsRowFunction="sum" dataDxfId="4120" totalsRowDxfId="4119" dataCellStyle="Moeda">
      <calculatedColumnFormula>SUMIFS(tabela_registros[VALOR],tabela_registros[MÊS],$AE$1,tabela_registros[DIA],investiroutrosconsolidadojul[[#Headers],[19]],tabela_registros[REGISTRO],DADOS!$N$3,tabela_registros[TIPO],DADOS!$V$3,tabela_registros[CATEGORIA],investiroutrosconsolidadojul[[#This Row],[ATUAL]])</calculatedColumnFormula>
    </tableColumn>
    <tableColumn id="21" xr3:uid="{2B4BF2BA-9D3E-47D1-98E0-EDF80B39A277}" name="20" totalsRowFunction="sum" dataDxfId="4118" totalsRowDxfId="4117" dataCellStyle="Moeda">
      <calculatedColumnFormula>SUMIFS(tabela_registros[VALOR],tabela_registros[MÊS],$AE$1,tabela_registros[DIA],investiroutrosconsolidadojul[[#Headers],[20]],tabela_registros[REGISTRO],DADOS!$N$3,tabela_registros[TIPO],DADOS!$V$3,tabela_registros[CATEGORIA],investiroutrosconsolidadojul[[#This Row],[ATUAL]])</calculatedColumnFormula>
    </tableColumn>
    <tableColumn id="22" xr3:uid="{BE7132EB-C99C-4CBE-8FEC-1AD52933BF70}" name="21" totalsRowFunction="sum" dataDxfId="4116" totalsRowDxfId="4115" dataCellStyle="Moeda">
      <calculatedColumnFormula>SUMIFS(tabela_registros[VALOR],tabela_registros[MÊS],$AE$1,tabela_registros[DIA],investiroutrosconsolidadojul[[#Headers],[21]],tabela_registros[REGISTRO],DADOS!$N$3,tabela_registros[TIPO],DADOS!$V$3,tabela_registros[CATEGORIA],investiroutrosconsolidadojul[[#This Row],[ATUAL]])</calculatedColumnFormula>
    </tableColumn>
    <tableColumn id="23" xr3:uid="{F256F54C-4E06-47DE-AFC5-8E2C54368560}" name="22" totalsRowFunction="sum" dataDxfId="4114" totalsRowDxfId="4113" dataCellStyle="Moeda">
      <calculatedColumnFormula>SUMIFS(tabela_registros[VALOR],tabela_registros[MÊS],$AE$1,tabela_registros[DIA],investiroutrosconsolidadojul[[#Headers],[22]],tabela_registros[REGISTRO],DADOS!$N$3,tabela_registros[TIPO],DADOS!$V$3,tabela_registros[CATEGORIA],investiroutrosconsolidadojul[[#This Row],[ATUAL]])</calculatedColumnFormula>
    </tableColumn>
    <tableColumn id="24" xr3:uid="{8DB3A52A-9538-4C35-8A64-69688DE12C06}" name="23" totalsRowFunction="sum" dataDxfId="4112" totalsRowDxfId="4111" dataCellStyle="Moeda">
      <calculatedColumnFormula>SUMIFS(tabela_registros[VALOR],tabela_registros[MÊS],$AE$1,tabela_registros[DIA],investiroutrosconsolidadojul[[#Headers],[23]],tabela_registros[REGISTRO],DADOS!$N$3,tabela_registros[TIPO],DADOS!$V$3,tabela_registros[CATEGORIA],investiroutrosconsolidadojul[[#This Row],[ATUAL]])</calculatedColumnFormula>
    </tableColumn>
    <tableColumn id="25" xr3:uid="{6E7064C1-34E0-4DC2-BD10-6553230DED9D}" name="24" totalsRowFunction="sum" dataDxfId="4110" totalsRowDxfId="4109" dataCellStyle="Moeda">
      <calculatedColumnFormula>SUMIFS(tabela_registros[VALOR],tabela_registros[MÊS],$AE$1,tabela_registros[DIA],investiroutrosconsolidadojul[[#Headers],[24]],tabela_registros[REGISTRO],DADOS!$N$3,tabela_registros[TIPO],DADOS!$V$3,tabela_registros[CATEGORIA],investiroutrosconsolidadojul[[#This Row],[ATUAL]])</calculatedColumnFormula>
    </tableColumn>
    <tableColumn id="26" xr3:uid="{F4700442-F21A-4CFA-AE0B-46F1EF527FD1}" name="25" totalsRowFunction="sum" dataDxfId="4108" totalsRowDxfId="4107" dataCellStyle="Moeda">
      <calculatedColumnFormula>SUMIFS(tabela_registros[VALOR],tabela_registros[MÊS],$AE$1,tabela_registros[DIA],investiroutrosconsolidadojul[[#Headers],[25]],tabela_registros[REGISTRO],DADOS!$N$3,tabela_registros[TIPO],DADOS!$V$3,tabela_registros[CATEGORIA],investiroutrosconsolidadojul[[#This Row],[ATUAL]])</calculatedColumnFormula>
    </tableColumn>
    <tableColumn id="27" xr3:uid="{03C0C762-4E8B-4572-9243-18750B01FF84}" name="26" totalsRowFunction="sum" dataDxfId="4106" totalsRowDxfId="4105" dataCellStyle="Moeda">
      <calculatedColumnFormula>SUMIFS(tabela_registros[VALOR],tabela_registros[MÊS],$AE$1,tabela_registros[DIA],investiroutrosconsolidadojul[[#Headers],[26]],tabela_registros[REGISTRO],DADOS!$N$3,tabela_registros[TIPO],DADOS!$V$3,tabela_registros[CATEGORIA],investiroutrosconsolidadojul[[#This Row],[ATUAL]])</calculatedColumnFormula>
    </tableColumn>
    <tableColumn id="28" xr3:uid="{B7C76BDD-EAC4-47E1-989A-0E2D1485EFC2}" name="27" totalsRowFunction="sum" dataDxfId="4104" totalsRowDxfId="4103" dataCellStyle="Moeda">
      <calculatedColumnFormula>SUMIFS(tabela_registros[VALOR],tabela_registros[MÊS],$AE$1,tabela_registros[DIA],investiroutrosconsolidadojul[[#Headers],[27]],tabela_registros[REGISTRO],DADOS!$N$3,tabela_registros[TIPO],DADOS!$V$3,tabela_registros[CATEGORIA],investiroutrosconsolidadojul[[#This Row],[ATUAL]])</calculatedColumnFormula>
    </tableColumn>
    <tableColumn id="29" xr3:uid="{1CC4EE19-E598-4F94-93A0-372BC92CB665}" name="28" totalsRowFunction="sum" dataDxfId="4102" totalsRowDxfId="4101" dataCellStyle="Moeda">
      <calculatedColumnFormula>SUMIFS(tabela_registros[VALOR],tabela_registros[MÊS],$AE$1,tabela_registros[DIA],investiroutrosconsolidadojul[[#Headers],[28]],tabela_registros[REGISTRO],DADOS!$N$3,tabela_registros[TIPO],DADOS!$V$3,tabela_registros[CATEGORIA],investiroutrosconsolidadojul[[#This Row],[ATUAL]])</calculatedColumnFormula>
    </tableColumn>
    <tableColumn id="30" xr3:uid="{6108F1F1-8FC0-4EFD-A139-2F0F0049A39A}" name="29" totalsRowFunction="sum" dataDxfId="4100" totalsRowDxfId="4099" dataCellStyle="Moeda">
      <calculatedColumnFormula>SUMIFS(tabela_registros[VALOR],tabela_registros[MÊS],$AE$1,tabela_registros[DIA],investiroutrosconsolidadojul[[#Headers],[29]],tabela_registros[REGISTRO],DADOS!$N$3,tabela_registros[TIPO],DADOS!$V$3,tabela_registros[CATEGORIA],investiroutrosconsolidadojul[[#This Row],[ATUAL]])</calculatedColumnFormula>
    </tableColumn>
    <tableColumn id="31" xr3:uid="{A71FB9CA-D8AC-416C-A41C-16E95BCC161B}" name="30" totalsRowFunction="sum" dataDxfId="4098" totalsRowDxfId="4097" dataCellStyle="Moeda">
      <calculatedColumnFormula>SUMIFS(tabela_registros[VALOR],tabela_registros[MÊS],$AE$1,tabela_registros[DIA],investiroutrosconsolidadojul[[#Headers],[30]],tabela_registros[REGISTRO],DADOS!$N$3,tabela_registros[TIPO],DADOS!$V$3,tabela_registros[CATEGORIA],investiroutrosconsolidadojul[[#This Row],[ATUAL]])</calculatedColumnFormula>
    </tableColumn>
    <tableColumn id="32" xr3:uid="{521DB2E4-2E62-4965-89FB-F3D0320E9BC7}" name="31" totalsRowFunction="sum" dataDxfId="4096" totalsRowDxfId="4095" dataCellStyle="Moeda">
      <calculatedColumnFormula>SUMIFS(tabela_registros[VALOR],tabela_registros[MÊS],$AE$1,tabela_registros[DIA],investiroutrosconsolidadojul[[#Headers],[31]],tabela_registros[REGISTRO],DADOS!$N$3,tabela_registros[TIPO],DADOS!$V$3,tabela_registros[CATEGORIA],investiroutrosconsolidadojul[[#This Row],[ATUAL]])</calculatedColumnFormula>
    </tableColumn>
    <tableColumn id="33" xr3:uid="{41FC2B50-8811-43A7-AB41-895327A22A41}" name="TOTAL (R$)" totalsRowFunction="sum" dataDxfId="4094" dataCellStyle="Moeda">
      <calculatedColumnFormula>SUM(investiroutrosconsolidadojul[[#This Row],[1]:[31]])</calculatedColumnFormula>
    </tableColumn>
  </tableColumns>
  <tableStyleInfo name="TABELAS RESULTADOS" showFirstColumn="0" showLastColumn="0" showRowStripes="1" showColumnStripes="0"/>
</table>
</file>

<file path=xl/tables/table9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7" xr:uid="{AACBF632-472B-4E9F-84F0-A9FFAE238205}" name="reservafixaconsolidadojul" displayName="reservafixaconsolidadojul" ref="C167:AJ178" headerRowDxfId="4093" dataDxfId="4092" totalsRowDxfId="4091">
  <autoFilter ref="C167:AJ178" xr:uid="{CDBD73CF-1633-4509-BA0C-4B73FF7E50BA}"/>
  <tableColumns count="34">
    <tableColumn id="1" xr3:uid="{6F8D1678-E5CD-4CA2-8F38-4E639759422B}" name="ATUAL" totalsRowLabel="SALDO" dataDxfId="4090"/>
    <tableColumn id="34" xr3:uid="{8F6466A1-93A7-4088-A4D3-5FFBF5AE6707}" name="Coluna1" dataDxfId="4089" totalsRowDxfId="4088">
      <calculatedColumnFormula>IF(reservafixaconsolidadojul[[#This Row],[TOTAL (R$)]]=0,"",IF(OR(reservafixaconsolidadojul[[#This Row],[TOTAL (R$)]]=LARGE($AJ$168:$AJ$177,1),reservafixaconsolidadojul[[#This Row],[TOTAL (R$)]]=LARGE($AJ$168:$AJ$177,2)),DADOS!$I$11,""))</calculatedColumnFormula>
    </tableColumn>
    <tableColumn id="2" xr3:uid="{E251233A-916C-4CEC-843A-D37FB2A73F4A}" name="1" totalsRowFunction="sum" dataDxfId="4087" dataCellStyle="Moeda"/>
    <tableColumn id="3" xr3:uid="{7C21F89E-0FC6-41DE-9767-E19C304EC6B1}" name="2" totalsRowFunction="sum" dataDxfId="4086" dataCellStyle="Moeda">
      <calculatedColumnFormula>SUMIFS(tabela_registros[VALOR],tabela_registros[MÊS],$AE$1,tabela_registros[DIA],reservafixaconsolidadojul[[#Headers],[2]],tabela_registros[REGISTRO],DADOS!$N$3,tabela_registros[TIPO],DADOS!$V$3,tabela_registros[CATEGORIA],reservafixaconsolidadojul[[#This Row],[ATUAL]])</calculatedColumnFormula>
    </tableColumn>
    <tableColumn id="4" xr3:uid="{F631DD9C-CBC0-4E70-BFB9-9B354DCFBC45}" name="3" totalsRowFunction="sum" dataDxfId="4085" totalsRowDxfId="4084" dataCellStyle="Moeda">
      <calculatedColumnFormula>SUMIFS(tabela_registros[VALOR],tabela_registros[MÊS],$AE$1,tabela_registros[DIA],reservafixaconsolidadojul[[#Headers],[3]],tabela_registros[REGISTRO],DADOS!$N$3,tabela_registros[TIPO],DADOS!$V$3,tabela_registros[CATEGORIA],reservafixaconsolidadojul[[#This Row],[ATUAL]])</calculatedColumnFormula>
    </tableColumn>
    <tableColumn id="5" xr3:uid="{C10881E0-FBED-4D8B-8CB4-E06502AF786D}" name="4" totalsRowFunction="sum" dataDxfId="4083" totalsRowDxfId="4082" dataCellStyle="Moeda">
      <calculatedColumnFormula>SUMIFS(tabela_registros[VALOR],tabela_registros[MÊS],$AE$1,tabela_registros[DIA],reservafixaconsolidadojul[[#Headers],[4]],tabela_registros[REGISTRO],DADOS!$N$3,tabela_registros[TIPO],DADOS!$V$3,tabela_registros[CATEGORIA],reservafixaconsolidadojul[[#This Row],[ATUAL]])</calculatedColumnFormula>
    </tableColumn>
    <tableColumn id="6" xr3:uid="{EF453814-977B-4685-B911-ADDF6C50E08D}" name="5" totalsRowFunction="sum" dataDxfId="4081" totalsRowDxfId="4080" dataCellStyle="Moeda">
      <calculatedColumnFormula>SUMIFS(tabela_registros[VALOR],tabela_registros[MÊS],$AE$1,tabela_registros[DIA],reservafixaconsolidadojul[[#Headers],[5]],tabela_registros[REGISTRO],DADOS!$N$3,tabela_registros[TIPO],DADOS!$V$3,tabela_registros[CATEGORIA],reservafixaconsolidadojul[[#This Row],[ATUAL]])</calculatedColumnFormula>
    </tableColumn>
    <tableColumn id="7" xr3:uid="{51171E88-B6E9-4AC1-83A6-6C7D38DDA934}" name="6" totalsRowFunction="sum" dataDxfId="4079" totalsRowDxfId="4078" dataCellStyle="Moeda">
      <calculatedColumnFormula>SUMIFS(tabela_registros[VALOR],tabela_registros[MÊS],$AE$1,tabela_registros[DIA],reservafixaconsolidadojul[[#Headers],[6]],tabela_registros[REGISTRO],DADOS!$N$3,tabela_registros[TIPO],DADOS!$V$3,tabela_registros[CATEGORIA],reservafixaconsolidadojul[[#This Row],[ATUAL]])</calculatedColumnFormula>
    </tableColumn>
    <tableColumn id="8" xr3:uid="{7F14F110-619E-4751-9C67-DFB5E1599342}" name="7" totalsRowFunction="sum" dataDxfId="4077" totalsRowDxfId="4076" dataCellStyle="Moeda">
      <calculatedColumnFormula>SUMIFS(tabela_registros[VALOR],tabela_registros[MÊS],$AE$1,tabela_registros[DIA],reservafixaconsolidadojul[[#Headers],[7]],tabela_registros[REGISTRO],DADOS!$N$3,tabela_registros[TIPO],DADOS!$V$3,tabela_registros[CATEGORIA],reservafixaconsolidadojul[[#This Row],[ATUAL]])</calculatedColumnFormula>
    </tableColumn>
    <tableColumn id="9" xr3:uid="{C6F07DAD-7F63-40DE-B715-3B437504343B}" name="8" totalsRowFunction="sum" dataDxfId="4075" totalsRowDxfId="4074" dataCellStyle="Moeda">
      <calculatedColumnFormula>SUMIFS(tabela_registros[VALOR],tabela_registros[MÊS],$AE$1,tabela_registros[DIA],reservafixaconsolidadojul[[#Headers],[8]],tabela_registros[REGISTRO],DADOS!$N$3,tabela_registros[TIPO],DADOS!$V$3,tabela_registros[CATEGORIA],reservafixaconsolidadojul[[#This Row],[ATUAL]])</calculatedColumnFormula>
    </tableColumn>
    <tableColumn id="10" xr3:uid="{FC5A1DF1-9764-4415-B2DC-B0025AF37F5F}" name="9" totalsRowFunction="sum" dataDxfId="4073" totalsRowDxfId="4072" dataCellStyle="Moeda">
      <calculatedColumnFormula>SUMIFS(tabela_registros[VALOR],tabela_registros[MÊS],$AE$1,tabela_registros[DIA],reservafixaconsolidadojul[[#Headers],[9]],tabela_registros[REGISTRO],DADOS!$N$3,tabela_registros[TIPO],DADOS!$V$3,tabela_registros[CATEGORIA],reservafixaconsolidadojul[[#This Row],[ATUAL]])</calculatedColumnFormula>
    </tableColumn>
    <tableColumn id="11" xr3:uid="{07800F9B-EBFD-4E3D-9799-B2D12D64890E}" name="10" totalsRowFunction="sum" dataDxfId="4071" totalsRowDxfId="4070" dataCellStyle="Moeda">
      <calculatedColumnFormula>SUMIFS(tabela_registros[VALOR],tabela_registros[MÊS],$AE$1,tabela_registros[DIA],reservafixaconsolidadojul[[#Headers],[10]],tabela_registros[REGISTRO],DADOS!$N$3,tabela_registros[TIPO],DADOS!$V$3,tabela_registros[CATEGORIA],reservafixaconsolidadojul[[#This Row],[ATUAL]])</calculatedColumnFormula>
    </tableColumn>
    <tableColumn id="12" xr3:uid="{70C0C2F0-1728-4A8E-BF3A-DF598633D5FF}" name="11" totalsRowFunction="sum" dataDxfId="4069" totalsRowDxfId="4068" dataCellStyle="Moeda">
      <calculatedColumnFormula>SUMIFS(tabela_registros[VALOR],tabela_registros[MÊS],$AE$1,tabela_registros[DIA],reservafixaconsolidadojul[[#Headers],[11]],tabela_registros[REGISTRO],DADOS!$N$3,tabela_registros[TIPO],DADOS!$V$3,tabela_registros[CATEGORIA],reservafixaconsolidadojul[[#This Row],[ATUAL]])</calculatedColumnFormula>
    </tableColumn>
    <tableColumn id="13" xr3:uid="{01E0F317-B57F-4E61-AC19-63A1574E0CD7}" name="12" totalsRowFunction="sum" dataDxfId="4067" totalsRowDxfId="4066" dataCellStyle="Moeda">
      <calculatedColumnFormula>SUMIFS(tabela_registros[VALOR],tabela_registros[MÊS],$AE$1,tabela_registros[DIA],reservafixaconsolidadojul[[#Headers],[12]],tabela_registros[REGISTRO],DADOS!$N$3,tabela_registros[TIPO],DADOS!$V$3,tabela_registros[CATEGORIA],reservafixaconsolidadojul[[#This Row],[ATUAL]])</calculatedColumnFormula>
    </tableColumn>
    <tableColumn id="14" xr3:uid="{53EC8165-429B-4A54-9175-B8CCC45894A2}" name="13" totalsRowFunction="sum" dataDxfId="4065" totalsRowDxfId="4064" dataCellStyle="Moeda">
      <calculatedColumnFormula>SUMIFS(tabela_registros[VALOR],tabela_registros[MÊS],$AE$1,tabela_registros[DIA],reservafixaconsolidadojul[[#Headers],[13]],tabela_registros[REGISTRO],DADOS!$N$3,tabela_registros[TIPO],DADOS!$V$3,tabela_registros[CATEGORIA],reservafixaconsolidadojul[[#This Row],[ATUAL]])</calculatedColumnFormula>
    </tableColumn>
    <tableColumn id="15" xr3:uid="{5A86C40C-5902-42A9-B58F-B331AF2CE285}" name="14" totalsRowFunction="sum" dataDxfId="4063" totalsRowDxfId="4062" dataCellStyle="Moeda">
      <calculatedColumnFormula>SUMIFS(tabela_registros[VALOR],tabela_registros[MÊS],$AE$1,tabela_registros[DIA],reservafixaconsolidadojul[[#Headers],[14]],tabela_registros[REGISTRO],DADOS!$N$3,tabela_registros[TIPO],DADOS!$V$3,tabela_registros[CATEGORIA],reservafixaconsolidadojul[[#This Row],[ATUAL]])</calculatedColumnFormula>
    </tableColumn>
    <tableColumn id="16" xr3:uid="{63D3D272-5CA9-4D95-AD3C-6C76A07E8085}" name="15" totalsRowFunction="sum" dataDxfId="4061" totalsRowDxfId="4060" dataCellStyle="Moeda">
      <calculatedColumnFormula>SUMIFS(tabela_registros[VALOR],tabela_registros[MÊS],$AE$1,tabela_registros[DIA],reservafixaconsolidadojul[[#Headers],[15]],tabela_registros[REGISTRO],DADOS!$N$3,tabela_registros[TIPO],DADOS!$V$3,tabela_registros[CATEGORIA],reservafixaconsolidadojul[[#This Row],[ATUAL]])</calculatedColumnFormula>
    </tableColumn>
    <tableColumn id="17" xr3:uid="{E9E71876-B50A-44F3-901D-095869128288}" name="16" totalsRowFunction="sum" dataDxfId="4059" totalsRowDxfId="4058" dataCellStyle="Moeda">
      <calculatedColumnFormula>SUMIFS(tabela_registros[VALOR],tabela_registros[MÊS],$AE$1,tabela_registros[DIA],reservafixaconsolidadojul[[#Headers],[16]],tabela_registros[REGISTRO],DADOS!$N$3,tabela_registros[TIPO],DADOS!$V$3,tabela_registros[CATEGORIA],reservafixaconsolidadojul[[#This Row],[ATUAL]])</calculatedColumnFormula>
    </tableColumn>
    <tableColumn id="18" xr3:uid="{12CB2442-70CF-44FB-A571-7E44E9CC0120}" name="17" totalsRowFunction="sum" dataDxfId="4057" totalsRowDxfId="4056" dataCellStyle="Moeda">
      <calculatedColumnFormula>SUMIFS(tabela_registros[VALOR],tabela_registros[MÊS],$AE$1,tabela_registros[DIA],reservafixaconsolidadojul[[#Headers],[17]],tabela_registros[REGISTRO],DADOS!$N$3,tabela_registros[TIPO],DADOS!$V$3,tabela_registros[CATEGORIA],reservafixaconsolidadojul[[#This Row],[ATUAL]])</calculatedColumnFormula>
    </tableColumn>
    <tableColumn id="19" xr3:uid="{8B5374CF-516E-4836-9137-44E5208A8334}" name="18" totalsRowFunction="sum" dataDxfId="4055" totalsRowDxfId="4054" dataCellStyle="Moeda">
      <calculatedColumnFormula>SUMIFS(tabela_registros[VALOR],tabela_registros[MÊS],$AE$1,tabela_registros[DIA],reservafixaconsolidadojul[[#Headers],[18]],tabela_registros[REGISTRO],DADOS!$N$3,tabela_registros[TIPO],DADOS!$V$3,tabela_registros[CATEGORIA],reservafixaconsolidadojul[[#This Row],[ATUAL]])</calculatedColumnFormula>
    </tableColumn>
    <tableColumn id="20" xr3:uid="{41B8799F-65C1-409A-9677-0402C23B5553}" name="19" totalsRowFunction="sum" dataDxfId="4053" totalsRowDxfId="4052" dataCellStyle="Moeda">
      <calculatedColumnFormula>SUMIFS(tabela_registros[VALOR],tabela_registros[MÊS],$AE$1,tabela_registros[DIA],reservafixaconsolidadojul[[#Headers],[19]],tabela_registros[REGISTRO],DADOS!$N$3,tabela_registros[TIPO],DADOS!$V$3,tabela_registros[CATEGORIA],reservafixaconsolidadojul[[#This Row],[ATUAL]])</calculatedColumnFormula>
    </tableColumn>
    <tableColumn id="21" xr3:uid="{BA54A7AA-AB1B-4999-BA89-B69B664BCBFF}" name="20" totalsRowFunction="sum" dataDxfId="4051" totalsRowDxfId="4050" dataCellStyle="Moeda">
      <calculatedColumnFormula>SUMIFS(tabela_registros[VALOR],tabela_registros[MÊS],$AE$1,tabela_registros[DIA],reservafixaconsolidadojul[[#Headers],[20]],tabela_registros[REGISTRO],DADOS!$N$3,tabela_registros[TIPO],DADOS!$V$3,tabela_registros[CATEGORIA],reservafixaconsolidadojul[[#This Row],[ATUAL]])</calculatedColumnFormula>
    </tableColumn>
    <tableColumn id="22" xr3:uid="{83FFF552-DFF7-4B62-A8BD-16546321EF7C}" name="21" totalsRowFunction="sum" dataDxfId="4049" totalsRowDxfId="4048" dataCellStyle="Moeda">
      <calculatedColumnFormula>SUMIFS(tabela_registros[VALOR],tabela_registros[MÊS],$AE$1,tabela_registros[DIA],reservafixaconsolidadojul[[#Headers],[21]],tabela_registros[REGISTRO],DADOS!$N$3,tabela_registros[TIPO],DADOS!$V$3,tabela_registros[CATEGORIA],reservafixaconsolidadojul[[#This Row],[ATUAL]])</calculatedColumnFormula>
    </tableColumn>
    <tableColumn id="23" xr3:uid="{7FC36291-5F54-4785-999A-47EA49D12129}" name="22" totalsRowFunction="sum" dataDxfId="4047" totalsRowDxfId="4046" dataCellStyle="Moeda">
      <calculatedColumnFormula>SUMIFS(tabela_registros[VALOR],tabela_registros[MÊS],$AE$1,tabela_registros[DIA],reservafixaconsolidadojul[[#Headers],[22]],tabela_registros[REGISTRO],DADOS!$N$3,tabela_registros[TIPO],DADOS!$V$3,tabela_registros[CATEGORIA],reservafixaconsolidadojul[[#This Row],[ATUAL]])</calculatedColumnFormula>
    </tableColumn>
    <tableColumn id="24" xr3:uid="{023F7C77-56A4-492D-8146-D35A68531C92}" name="23" totalsRowFunction="sum" dataDxfId="4045" totalsRowDxfId="4044" dataCellStyle="Moeda">
      <calculatedColumnFormula>SUMIFS(tabela_registros[VALOR],tabela_registros[MÊS],$AE$1,tabela_registros[DIA],reservafixaconsolidadojul[[#Headers],[23]],tabela_registros[REGISTRO],DADOS!$N$3,tabela_registros[TIPO],DADOS!$V$3,tabela_registros[CATEGORIA],reservafixaconsolidadojul[[#This Row],[ATUAL]])</calculatedColumnFormula>
    </tableColumn>
    <tableColumn id="25" xr3:uid="{A980BE5B-7DCB-46E6-879A-E54EEDA39FDD}" name="24" totalsRowFunction="sum" dataDxfId="4043" totalsRowDxfId="4042" dataCellStyle="Moeda">
      <calculatedColumnFormula>SUMIFS(tabela_registros[VALOR],tabela_registros[MÊS],$AE$1,tabela_registros[DIA],reservafixaconsolidadojul[[#Headers],[24]],tabela_registros[REGISTRO],DADOS!$N$3,tabela_registros[TIPO],DADOS!$V$3,tabela_registros[CATEGORIA],reservafixaconsolidadojul[[#This Row],[ATUAL]])</calculatedColumnFormula>
    </tableColumn>
    <tableColumn id="26" xr3:uid="{3ABCA12E-E4B0-49D0-BA3A-ECA679E264C7}" name="25" totalsRowFunction="sum" dataDxfId="4041" totalsRowDxfId="4040" dataCellStyle="Moeda">
      <calculatedColumnFormula>SUMIFS(tabela_registros[VALOR],tabela_registros[MÊS],$AE$1,tabela_registros[DIA],reservafixaconsolidadojul[[#Headers],[25]],tabela_registros[REGISTRO],DADOS!$N$3,tabela_registros[TIPO],DADOS!$V$3,tabela_registros[CATEGORIA],reservafixaconsolidadojul[[#This Row],[ATUAL]])</calculatedColumnFormula>
    </tableColumn>
    <tableColumn id="27" xr3:uid="{968F17C1-A96F-4F0C-A9B9-4DF131DC73A9}" name="26" totalsRowFunction="sum" dataDxfId="4039" totalsRowDxfId="4038" dataCellStyle="Moeda">
      <calculatedColumnFormula>SUMIFS(tabela_registros[VALOR],tabela_registros[MÊS],$AE$1,tabela_registros[DIA],reservafixaconsolidadojul[[#Headers],[26]],tabela_registros[REGISTRO],DADOS!$N$3,tabela_registros[TIPO],DADOS!$V$3,tabela_registros[CATEGORIA],reservafixaconsolidadojul[[#This Row],[ATUAL]])</calculatedColumnFormula>
    </tableColumn>
    <tableColumn id="28" xr3:uid="{A932A376-AE1A-4037-8BAA-9E6593F85A27}" name="27" totalsRowFunction="sum" dataDxfId="4037" totalsRowDxfId="4036" dataCellStyle="Moeda">
      <calculatedColumnFormula>SUMIFS(tabela_registros[VALOR],tabela_registros[MÊS],$AE$1,tabela_registros[DIA],reservafixaconsolidadojul[[#Headers],[27]],tabela_registros[REGISTRO],DADOS!$N$3,tabela_registros[TIPO],DADOS!$V$3,tabela_registros[CATEGORIA],reservafixaconsolidadojul[[#This Row],[ATUAL]])</calculatedColumnFormula>
    </tableColumn>
    <tableColumn id="29" xr3:uid="{E1A6A193-C41A-4AD5-9DAF-E7F28BDAEB8E}" name="28" totalsRowFunction="sum" dataDxfId="4035" totalsRowDxfId="4034" dataCellStyle="Moeda">
      <calculatedColumnFormula>SUMIFS(tabela_registros[VALOR],tabela_registros[MÊS],$AE$1,tabela_registros[DIA],reservafixaconsolidadojul[[#Headers],[28]],tabela_registros[REGISTRO],DADOS!$N$3,tabela_registros[TIPO],DADOS!$V$3,tabela_registros[CATEGORIA],reservafixaconsolidadojul[[#This Row],[ATUAL]])</calculatedColumnFormula>
    </tableColumn>
    <tableColumn id="30" xr3:uid="{2FA849C2-37D6-47F9-BE22-935F86EED972}" name="29" totalsRowFunction="sum" dataDxfId="4033" totalsRowDxfId="4032" dataCellStyle="Moeda">
      <calculatedColumnFormula>SUMIFS(tabela_registros[VALOR],tabela_registros[MÊS],$AE$1,tabela_registros[DIA],reservafixaconsolidadojul[[#Headers],[29]],tabela_registros[REGISTRO],DADOS!$N$3,tabela_registros[TIPO],DADOS!$V$3,tabela_registros[CATEGORIA],reservafixaconsolidadojul[[#This Row],[ATUAL]])</calculatedColumnFormula>
    </tableColumn>
    <tableColumn id="31" xr3:uid="{5C14D09B-A4A6-4E6F-9DAC-2F6F91266292}" name="30" totalsRowFunction="sum" dataDxfId="4031" totalsRowDxfId="4030" dataCellStyle="Moeda">
      <calculatedColumnFormula>SUMIFS(tabela_registros[VALOR],tabela_registros[MÊS],$AE$1,tabela_registros[DIA],reservafixaconsolidadojul[[#Headers],[30]],tabela_registros[REGISTRO],DADOS!$N$3,tabela_registros[TIPO],DADOS!$V$3,tabela_registros[CATEGORIA],reservafixaconsolidadojul[[#This Row],[ATUAL]])</calculatedColumnFormula>
    </tableColumn>
    <tableColumn id="32" xr3:uid="{2CD59ECF-EC70-4528-8CA5-C2D1680CF3F9}" name="31" totalsRowFunction="sum" dataDxfId="4029" totalsRowDxfId="4028" dataCellStyle="Moeda">
      <calculatedColumnFormula>SUMIFS(tabela_registros[VALOR],tabela_registros[MÊS],$AE$1,tabela_registros[DIA],reservafixaconsolidadojul[[#Headers],[31]],tabela_registros[REGISTRO],DADOS!$N$3,tabela_registros[TIPO],DADOS!$V$3,tabela_registros[CATEGORIA],reservafixaconsolidadojul[[#This Row],[ATUAL]])</calculatedColumnFormula>
    </tableColumn>
    <tableColumn id="33" xr3:uid="{6087175E-4DF9-455D-BE65-4B79E293D682}" name="TOTAL (R$)" totalsRowFunction="sum" dataDxfId="4027" dataCellStyle="Moeda">
      <calculatedColumnFormula>SUM(reservafixaconsolidadojul[[#This Row],[1]:[31]])</calculatedColumnFormula>
    </tableColumn>
  </tableColumns>
  <tableStyleInfo name="TABELAS RESULTADOS" showFirstColumn="0" showLastColumn="0" showRowStripes="1" showColumnStripes="0"/>
</table>
</file>

<file path=xl/tables/table9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8" xr:uid="{BDFCC7E6-5B26-412E-968A-B8394E85C5D8}" name="reservavariáveisconsolidadojul" displayName="reservavariáveisconsolidadojul" ref="C186:AJ197" headerRowDxfId="4026" dataDxfId="4025" totalsRowDxfId="4024">
  <autoFilter ref="C186:AJ197" xr:uid="{D1B0BC4A-55A7-40F2-94A1-407E95E214F4}"/>
  <tableColumns count="34">
    <tableColumn id="1" xr3:uid="{E51372DD-477C-4B4A-87CE-12381580F131}" name="ATUAL" totalsRowLabel="SALDO" dataDxfId="4023"/>
    <tableColumn id="34" xr3:uid="{1E19E319-8FFC-4D3F-9C32-F1C4AAC08171}" name="Coluna1" dataDxfId="4022" totalsRowDxfId="4021">
      <calculatedColumnFormula>IF(reservavariáveisconsolidadojul[[#This Row],[TOTAL (R$)]]=0,"",IF(OR(reservavariáveisconsolidadojul[[#This Row],[TOTAL (R$)]]=LARGE($AJ$187:$AJ$196,1),reservavariáveisconsolidadojul[[#This Row],[TOTAL (R$)]]=LARGE($AJ$187:$AJ$196,2)),DADOS!$I$11,""))</calculatedColumnFormula>
    </tableColumn>
    <tableColumn id="2" xr3:uid="{E6F05374-F364-4F28-B2B5-9506AFD650FD}" name="1" totalsRowFunction="sum" dataDxfId="4020" dataCellStyle="Moeda"/>
    <tableColumn id="3" xr3:uid="{2FA45D8D-B9E9-4CEC-A71C-12C63555B9DE}" name="2" totalsRowFunction="sum" dataDxfId="4019" dataCellStyle="Moeda">
      <calculatedColumnFormula>SUMIFS(tabela_registros[VALOR],tabela_registros[MÊS],$AE$1,tabela_registros[DIA],reservavariáveisconsolidadojul[[#Headers],[2]],tabela_registros[REGISTRO],DADOS!$N$3,tabela_registros[TIPO],DADOS!$V$3,tabela_registros[CATEGORIA],reservavariáveisconsolidadojul[[#This Row],[ATUAL]])</calculatedColumnFormula>
    </tableColumn>
    <tableColumn id="4" xr3:uid="{A619B0B7-17E4-444C-B5D5-94F0EC54F09B}" name="3" totalsRowFunction="sum" dataDxfId="4018" totalsRowDxfId="4017" dataCellStyle="Moeda">
      <calculatedColumnFormula>SUMIFS(tabela_registros[VALOR],tabela_registros[MÊS],$AE$1,tabela_registros[DIA],reservavariáveisconsolidadojul[[#Headers],[3]],tabela_registros[REGISTRO],DADOS!$N$3,tabela_registros[TIPO],DADOS!$V$3,tabela_registros[CATEGORIA],reservavariáveisconsolidadojul[[#This Row],[ATUAL]])</calculatedColumnFormula>
    </tableColumn>
    <tableColumn id="5" xr3:uid="{5D3908FB-BCE5-4606-8807-ABB239114DC2}" name="4" totalsRowFunction="sum" dataDxfId="4016" totalsRowDxfId="4015" dataCellStyle="Moeda">
      <calculatedColumnFormula>SUMIFS(tabela_registros[VALOR],tabela_registros[MÊS],$AE$1,tabela_registros[DIA],reservavariáveisconsolidadojul[[#Headers],[4]],tabela_registros[REGISTRO],DADOS!$N$3,tabela_registros[TIPO],DADOS!$V$3,tabela_registros[CATEGORIA],reservavariáveisconsolidadojul[[#This Row],[ATUAL]])</calculatedColumnFormula>
    </tableColumn>
    <tableColumn id="6" xr3:uid="{0879FCE5-3D13-4851-81BA-54064A3DAF4B}" name="5" totalsRowFunction="sum" dataDxfId="4014" totalsRowDxfId="4013" dataCellStyle="Moeda">
      <calculatedColumnFormula>SUMIFS(tabela_registros[VALOR],tabela_registros[MÊS],$AE$1,tabela_registros[DIA],reservavariáveisconsolidadojul[[#Headers],[5]],tabela_registros[REGISTRO],DADOS!$N$3,tabela_registros[TIPO],DADOS!$V$3,tabela_registros[CATEGORIA],reservavariáveisconsolidadojul[[#This Row],[ATUAL]])</calculatedColumnFormula>
    </tableColumn>
    <tableColumn id="7" xr3:uid="{BF84E165-89DE-48DC-A790-B7B4D0005D7C}" name="6" totalsRowFunction="sum" dataDxfId="4012" totalsRowDxfId="4011" dataCellStyle="Moeda">
      <calculatedColumnFormula>SUMIFS(tabela_registros[VALOR],tabela_registros[MÊS],$AE$1,tabela_registros[DIA],reservavariáveisconsolidadojul[[#Headers],[6]],tabela_registros[REGISTRO],DADOS!$N$3,tabela_registros[TIPO],DADOS!$V$3,tabela_registros[CATEGORIA],reservavariáveisconsolidadojul[[#This Row],[ATUAL]])</calculatedColumnFormula>
    </tableColumn>
    <tableColumn id="8" xr3:uid="{C56F8477-A069-42A1-8634-B800A64F6082}" name="7" totalsRowFunction="sum" dataDxfId="4010" totalsRowDxfId="4009" dataCellStyle="Moeda">
      <calculatedColumnFormula>SUMIFS(tabela_registros[VALOR],tabela_registros[MÊS],$AE$1,tabela_registros[DIA],reservavariáveisconsolidadojul[[#Headers],[7]],tabela_registros[REGISTRO],DADOS!$N$3,tabela_registros[TIPO],DADOS!$V$3,tabela_registros[CATEGORIA],reservavariáveisconsolidadojul[[#This Row],[ATUAL]])</calculatedColumnFormula>
    </tableColumn>
    <tableColumn id="9" xr3:uid="{D2738337-019D-4200-A555-6065F24FA787}" name="8" totalsRowFunction="sum" dataDxfId="4008" totalsRowDxfId="4007" dataCellStyle="Moeda">
      <calculatedColumnFormula>SUMIFS(tabela_registros[VALOR],tabela_registros[MÊS],$AE$1,tabela_registros[DIA],reservavariáveisconsolidadojul[[#Headers],[8]],tabela_registros[REGISTRO],DADOS!$N$3,tabela_registros[TIPO],DADOS!$V$3,tabela_registros[CATEGORIA],reservavariáveisconsolidadojul[[#This Row],[ATUAL]])</calculatedColumnFormula>
    </tableColumn>
    <tableColumn id="10" xr3:uid="{0D60EC24-DF20-4192-925F-4F21A33B17A5}" name="9" totalsRowFunction="sum" dataDxfId="4006" totalsRowDxfId="4005" dataCellStyle="Moeda">
      <calculatedColumnFormula>SUMIFS(tabela_registros[VALOR],tabela_registros[MÊS],$AE$1,tabela_registros[DIA],reservavariáveisconsolidadojul[[#Headers],[9]],tabela_registros[REGISTRO],DADOS!$N$3,tabela_registros[TIPO],DADOS!$V$3,tabela_registros[CATEGORIA],reservavariáveisconsolidadojul[[#This Row],[ATUAL]])</calculatedColumnFormula>
    </tableColumn>
    <tableColumn id="11" xr3:uid="{B65ED461-4F02-4927-BC03-0C9A465C8A1F}" name="10" totalsRowFunction="sum" dataDxfId="4004" totalsRowDxfId="4003" dataCellStyle="Moeda">
      <calculatedColumnFormula>SUMIFS(tabela_registros[VALOR],tabela_registros[MÊS],$AE$1,tabela_registros[DIA],reservavariáveisconsolidadojul[[#Headers],[10]],tabela_registros[REGISTRO],DADOS!$N$3,tabela_registros[TIPO],DADOS!$V$3,tabela_registros[CATEGORIA],reservavariáveisconsolidadojul[[#This Row],[ATUAL]])</calculatedColumnFormula>
    </tableColumn>
    <tableColumn id="12" xr3:uid="{8FB8C56B-40E5-4D0E-B459-0990D02106FB}" name="11" totalsRowFunction="sum" dataDxfId="4002" totalsRowDxfId="4001" dataCellStyle="Moeda">
      <calculatedColumnFormula>SUMIFS(tabela_registros[VALOR],tabela_registros[MÊS],$AE$1,tabela_registros[DIA],reservavariáveisconsolidadojul[[#Headers],[11]],tabela_registros[REGISTRO],DADOS!$N$3,tabela_registros[TIPO],DADOS!$V$3,tabela_registros[CATEGORIA],reservavariáveisconsolidadojul[[#This Row],[ATUAL]])</calculatedColumnFormula>
    </tableColumn>
    <tableColumn id="13" xr3:uid="{4749133C-98FA-4073-B125-E83067EE58EC}" name="12" totalsRowFunction="sum" dataDxfId="4000" totalsRowDxfId="3999" dataCellStyle="Moeda">
      <calculatedColumnFormula>SUMIFS(tabela_registros[VALOR],tabela_registros[MÊS],$AE$1,tabela_registros[DIA],reservavariáveisconsolidadojul[[#Headers],[12]],tabela_registros[REGISTRO],DADOS!$N$3,tabela_registros[TIPO],DADOS!$V$3,tabela_registros[CATEGORIA],reservavariáveisconsolidadojul[[#This Row],[ATUAL]])</calculatedColumnFormula>
    </tableColumn>
    <tableColumn id="14" xr3:uid="{BD68DC6C-440D-43D0-B229-34BB8FD2230D}" name="13" totalsRowFunction="sum" dataDxfId="3998" totalsRowDxfId="3997" dataCellStyle="Moeda">
      <calculatedColumnFormula>SUMIFS(tabela_registros[VALOR],tabela_registros[MÊS],$AE$1,tabela_registros[DIA],reservavariáveisconsolidadojul[[#Headers],[13]],tabela_registros[REGISTRO],DADOS!$N$3,tabela_registros[TIPO],DADOS!$V$3,tabela_registros[CATEGORIA],reservavariáveisconsolidadojul[[#This Row],[ATUAL]])</calculatedColumnFormula>
    </tableColumn>
    <tableColumn id="15" xr3:uid="{5C1FC5B5-BA59-4D24-984B-B25BA2570017}" name="14" totalsRowFunction="sum" dataDxfId="3996" totalsRowDxfId="3995" dataCellStyle="Moeda">
      <calculatedColumnFormula>SUMIFS(tabela_registros[VALOR],tabela_registros[MÊS],$AE$1,tabela_registros[DIA],reservavariáveisconsolidadojul[[#Headers],[14]],tabela_registros[REGISTRO],DADOS!$N$3,tabela_registros[TIPO],DADOS!$V$3,tabela_registros[CATEGORIA],reservavariáveisconsolidadojul[[#This Row],[ATUAL]])</calculatedColumnFormula>
    </tableColumn>
    <tableColumn id="16" xr3:uid="{4E8DD0F7-DE6C-474F-A216-2EF41F00EE2F}" name="15" totalsRowFunction="sum" dataDxfId="3994" totalsRowDxfId="3993" dataCellStyle="Moeda">
      <calculatedColumnFormula>SUMIFS(tabela_registros[VALOR],tabela_registros[MÊS],$AE$1,tabela_registros[DIA],reservavariáveisconsolidadojul[[#Headers],[15]],tabela_registros[REGISTRO],DADOS!$N$3,tabela_registros[TIPO],DADOS!$V$3,tabela_registros[CATEGORIA],reservavariáveisconsolidadojul[[#This Row],[ATUAL]])</calculatedColumnFormula>
    </tableColumn>
    <tableColumn id="17" xr3:uid="{F10F3EA0-F5D2-4AF8-8BC0-3C1D7E3932F2}" name="16" totalsRowFunction="sum" dataDxfId="3992" totalsRowDxfId="3991" dataCellStyle="Moeda">
      <calculatedColumnFormula>SUMIFS(tabela_registros[VALOR],tabela_registros[MÊS],$AE$1,tabela_registros[DIA],reservavariáveisconsolidadojul[[#Headers],[16]],tabela_registros[REGISTRO],DADOS!$N$3,tabela_registros[TIPO],DADOS!$V$3,tabela_registros[CATEGORIA],reservavariáveisconsolidadojul[[#This Row],[ATUAL]])</calculatedColumnFormula>
    </tableColumn>
    <tableColumn id="18" xr3:uid="{714FC106-F2EB-4589-8E20-2DACEEA7E8E5}" name="17" totalsRowFunction="sum" dataDxfId="3990" totalsRowDxfId="3989" dataCellStyle="Moeda">
      <calculatedColumnFormula>SUMIFS(tabela_registros[VALOR],tabela_registros[MÊS],$AE$1,tabela_registros[DIA],reservavariáveisconsolidadojul[[#Headers],[17]],tabela_registros[REGISTRO],DADOS!$N$3,tabela_registros[TIPO],DADOS!$V$3,tabela_registros[CATEGORIA],reservavariáveisconsolidadojul[[#This Row],[ATUAL]])</calculatedColumnFormula>
    </tableColumn>
    <tableColumn id="19" xr3:uid="{CE39D4B9-B507-404A-B037-EAF505801A3C}" name="18" totalsRowFunction="sum" dataDxfId="3988" totalsRowDxfId="3987" dataCellStyle="Moeda">
      <calculatedColumnFormula>SUMIFS(tabela_registros[VALOR],tabela_registros[MÊS],$AE$1,tabela_registros[DIA],reservavariáveisconsolidadojul[[#Headers],[18]],tabela_registros[REGISTRO],DADOS!$N$3,tabela_registros[TIPO],DADOS!$V$3,tabela_registros[CATEGORIA],reservavariáveisconsolidadojul[[#This Row],[ATUAL]])</calculatedColumnFormula>
    </tableColumn>
    <tableColumn id="20" xr3:uid="{30648075-046F-43EE-8F23-A2A1E52323A5}" name="19" totalsRowFunction="sum" dataDxfId="3986" totalsRowDxfId="3985" dataCellStyle="Moeda">
      <calculatedColumnFormula>SUMIFS(tabela_registros[VALOR],tabela_registros[MÊS],$AE$1,tabela_registros[DIA],reservavariáveisconsolidadojul[[#Headers],[19]],tabela_registros[REGISTRO],DADOS!$N$3,tabela_registros[TIPO],DADOS!$V$3,tabela_registros[CATEGORIA],reservavariáveisconsolidadojul[[#This Row],[ATUAL]])</calculatedColumnFormula>
    </tableColumn>
    <tableColumn id="21" xr3:uid="{B47E0B14-730F-42AF-AE58-F9918E9893EC}" name="20" totalsRowFunction="sum" dataDxfId="3984" totalsRowDxfId="3983" dataCellStyle="Moeda">
      <calculatedColumnFormula>SUMIFS(tabela_registros[VALOR],tabela_registros[MÊS],$AE$1,tabela_registros[DIA],reservavariáveisconsolidadojul[[#Headers],[20]],tabela_registros[REGISTRO],DADOS!$N$3,tabela_registros[TIPO],DADOS!$V$3,tabela_registros[CATEGORIA],reservavariáveisconsolidadojul[[#This Row],[ATUAL]])</calculatedColumnFormula>
    </tableColumn>
    <tableColumn id="22" xr3:uid="{2EF0CCD7-C893-46C8-8964-A661763FDADF}" name="21" totalsRowFunction="sum" dataDxfId="3982" totalsRowDxfId="3981" dataCellStyle="Moeda">
      <calculatedColumnFormula>SUMIFS(tabela_registros[VALOR],tabela_registros[MÊS],$AE$1,tabela_registros[DIA],reservavariáveisconsolidadojul[[#Headers],[21]],tabela_registros[REGISTRO],DADOS!$N$3,tabela_registros[TIPO],DADOS!$V$3,tabela_registros[CATEGORIA],reservavariáveisconsolidadojul[[#This Row],[ATUAL]])</calculatedColumnFormula>
    </tableColumn>
    <tableColumn id="23" xr3:uid="{EBF924B0-8CF4-4A57-B5D4-2FD1FB66B3DD}" name="22" totalsRowFunction="sum" dataDxfId="3980" totalsRowDxfId="3979" dataCellStyle="Moeda">
      <calculatedColumnFormula>SUMIFS(tabela_registros[VALOR],tabela_registros[MÊS],$AE$1,tabela_registros[DIA],reservavariáveisconsolidadojul[[#Headers],[22]],tabela_registros[REGISTRO],DADOS!$N$3,tabela_registros[TIPO],DADOS!$V$3,tabela_registros[CATEGORIA],reservavariáveisconsolidadojul[[#This Row],[ATUAL]])</calculatedColumnFormula>
    </tableColumn>
    <tableColumn id="24" xr3:uid="{6637989F-B2F1-4866-AB89-242D7810DAF1}" name="23" totalsRowFunction="sum" dataDxfId="3978" totalsRowDxfId="3977" dataCellStyle="Moeda">
      <calculatedColumnFormula>SUMIFS(tabela_registros[VALOR],tabela_registros[MÊS],$AE$1,tabela_registros[DIA],reservavariáveisconsolidadojul[[#Headers],[23]],tabela_registros[REGISTRO],DADOS!$N$3,tabela_registros[TIPO],DADOS!$V$3,tabela_registros[CATEGORIA],reservavariáveisconsolidadojul[[#This Row],[ATUAL]])</calculatedColumnFormula>
    </tableColumn>
    <tableColumn id="25" xr3:uid="{E66854C2-81D0-4C16-AB33-437B5629CBC4}" name="24" totalsRowFunction="sum" dataDxfId="3976" totalsRowDxfId="3975" dataCellStyle="Moeda">
      <calculatedColumnFormula>SUMIFS(tabela_registros[VALOR],tabela_registros[MÊS],$AE$1,tabela_registros[DIA],reservavariáveisconsolidadojul[[#Headers],[24]],tabela_registros[REGISTRO],DADOS!$N$3,tabela_registros[TIPO],DADOS!$V$3,tabela_registros[CATEGORIA],reservavariáveisconsolidadojul[[#This Row],[ATUAL]])</calculatedColumnFormula>
    </tableColumn>
    <tableColumn id="26" xr3:uid="{B3F74D96-CD3C-4D7D-84F6-2C96DF2B3594}" name="25" totalsRowFunction="sum" dataDxfId="3974" totalsRowDxfId="3973" dataCellStyle="Moeda">
      <calculatedColumnFormula>SUMIFS(tabela_registros[VALOR],tabela_registros[MÊS],$AE$1,tabela_registros[DIA],reservavariáveisconsolidadojul[[#Headers],[25]],tabela_registros[REGISTRO],DADOS!$N$3,tabela_registros[TIPO],DADOS!$V$3,tabela_registros[CATEGORIA],reservavariáveisconsolidadojul[[#This Row],[ATUAL]])</calculatedColumnFormula>
    </tableColumn>
    <tableColumn id="27" xr3:uid="{A0DEA0B6-8037-4E7A-9E41-94716CEEFE71}" name="26" totalsRowFunction="sum" dataDxfId="3972" totalsRowDxfId="3971" dataCellStyle="Moeda">
      <calculatedColumnFormula>SUMIFS(tabela_registros[VALOR],tabela_registros[MÊS],$AE$1,tabela_registros[DIA],reservavariáveisconsolidadojul[[#Headers],[26]],tabela_registros[REGISTRO],DADOS!$N$3,tabela_registros[TIPO],DADOS!$V$3,tabela_registros[CATEGORIA],reservavariáveisconsolidadojul[[#This Row],[ATUAL]])</calculatedColumnFormula>
    </tableColumn>
    <tableColumn id="28" xr3:uid="{27C3600D-C1E6-43CA-AC8D-5F433F57238B}" name="27" totalsRowFunction="sum" dataDxfId="3970" totalsRowDxfId="3969" dataCellStyle="Moeda">
      <calculatedColumnFormula>SUMIFS(tabela_registros[VALOR],tabela_registros[MÊS],$AE$1,tabela_registros[DIA],reservavariáveisconsolidadojul[[#Headers],[27]],tabela_registros[REGISTRO],DADOS!$N$3,tabela_registros[TIPO],DADOS!$V$3,tabela_registros[CATEGORIA],reservavariáveisconsolidadojul[[#This Row],[ATUAL]])</calculatedColumnFormula>
    </tableColumn>
    <tableColumn id="29" xr3:uid="{493A9696-998D-4C60-AD8F-15D04FD2AD11}" name="28" totalsRowFunction="sum" dataDxfId="3968" totalsRowDxfId="3967" dataCellStyle="Moeda">
      <calculatedColumnFormula>SUMIFS(tabela_registros[VALOR],tabela_registros[MÊS],$AE$1,tabela_registros[DIA],reservavariáveisconsolidadojul[[#Headers],[28]],tabela_registros[REGISTRO],DADOS!$N$3,tabela_registros[TIPO],DADOS!$V$3,tabela_registros[CATEGORIA],reservavariáveisconsolidadojul[[#This Row],[ATUAL]])</calculatedColumnFormula>
    </tableColumn>
    <tableColumn id="30" xr3:uid="{63236584-C728-49F9-BF1A-197FEFEF41F4}" name="29" totalsRowFunction="sum" dataDxfId="3966" totalsRowDxfId="3965" dataCellStyle="Moeda">
      <calculatedColumnFormula>SUMIFS(tabela_registros[VALOR],tabela_registros[MÊS],$AE$1,tabela_registros[DIA],reservavariáveisconsolidadojul[[#Headers],[29]],tabela_registros[REGISTRO],DADOS!$N$3,tabela_registros[TIPO],DADOS!$V$3,tabela_registros[CATEGORIA],reservavariáveisconsolidadojul[[#This Row],[ATUAL]])</calculatedColumnFormula>
    </tableColumn>
    <tableColumn id="31" xr3:uid="{0B3954DB-2F46-41E6-86A3-859634D76D75}" name="30" totalsRowFunction="sum" dataDxfId="3964" totalsRowDxfId="3963" dataCellStyle="Moeda">
      <calculatedColumnFormula>SUMIFS(tabela_registros[VALOR],tabela_registros[MÊS],$AE$1,tabela_registros[DIA],reservavariáveisconsolidadojul[[#Headers],[30]],tabela_registros[REGISTRO],DADOS!$N$3,tabela_registros[TIPO],DADOS!$V$3,tabela_registros[CATEGORIA],reservavariáveisconsolidadojul[[#This Row],[ATUAL]])</calculatedColumnFormula>
    </tableColumn>
    <tableColumn id="32" xr3:uid="{77B060E2-D6C2-4629-B293-B9E46037B067}" name="31" totalsRowFunction="sum" dataDxfId="3962" totalsRowDxfId="3961" dataCellStyle="Moeda">
      <calculatedColumnFormula>SUMIFS(tabela_registros[VALOR],tabela_registros[MÊS],$AE$1,tabela_registros[DIA],reservavariáveisconsolidadojul[[#Headers],[31]],tabela_registros[REGISTRO],DADOS!$N$3,tabela_registros[TIPO],DADOS!$V$3,tabela_registros[CATEGORIA],reservavariáveisconsolidadojul[[#This Row],[ATUAL]])</calculatedColumnFormula>
    </tableColumn>
    <tableColumn id="33" xr3:uid="{08A59ECD-C59E-47CF-862A-05AF0D0106FA}" name="TOTAL (R$)" totalsRowFunction="sum" dataDxfId="3960" dataCellStyle="Moeda">
      <calculatedColumnFormula>SUM(reservavariáveisconsolidadojul[[#This Row],[1]:[31]])</calculatedColumnFormula>
    </tableColumn>
  </tableColumns>
  <tableStyleInfo name="TABELAS RESULTADOS" showFirstColumn="0" showLastColumn="0" showRowStripes="1" showColumnStripes="0"/>
</table>
</file>

<file path=xl/tables/table9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9" xr:uid="{E8147129-081E-45EA-A79A-8B762351FC99}" name="reservaoutrosconsolidadojul" displayName="reservaoutrosconsolidadojul" ref="C205:AJ214" headerRowDxfId="3959" dataDxfId="3958" totalsRowDxfId="3957">
  <autoFilter ref="C205:AJ214" xr:uid="{9335CBAF-4490-44EE-A508-E6F2F3B6C6F1}"/>
  <tableColumns count="34">
    <tableColumn id="1" xr3:uid="{B3963582-CFA4-4B46-8F71-4283364A56A2}" name="ATUAL" totalsRowLabel="SALDO" dataDxfId="3956"/>
    <tableColumn id="34" xr3:uid="{8578C911-A8A4-4BA0-82C6-2585A3CD20CE}" name="Coluna1" dataDxfId="3955" totalsRowDxfId="3954">
      <calculatedColumnFormula>IF(reservaoutrosconsolidadojul[[#This Row],[TOTAL (R$)]]=0,"",IF(OR(reservaoutrosconsolidadojul[[#This Row],[TOTAL (R$)]]=LARGE($AJ$206:$AJ$213,1),reservaoutrosconsolidadojul[[#This Row],[TOTAL (R$)]]=LARGE($AJ$206:$AJ$213,2)),DADOS!$I$11,""))</calculatedColumnFormula>
    </tableColumn>
    <tableColumn id="2" xr3:uid="{7DFA2D59-BDBF-4BA4-9248-00EB0EFF3A1C}" name="1" totalsRowFunction="sum" dataDxfId="3953" dataCellStyle="Moeda"/>
    <tableColumn id="3" xr3:uid="{1D513F49-7B58-4138-A972-AF513760A284}" name="2" totalsRowFunction="sum" dataDxfId="3952" dataCellStyle="Moeda">
      <calculatedColumnFormula>SUMIFS(tabela_registros[VALOR],tabela_registros[MÊS],$AE$1,tabela_registros[DIA],reservaoutrosconsolidadojul[[#Headers],[2]],tabela_registros[REGISTRO],DADOS!$N$3,tabela_registros[TIPO],DADOS!$V$3,tabela_registros[CATEGORIA],reservaoutrosconsolidadojul[[#This Row],[ATUAL]])</calculatedColumnFormula>
    </tableColumn>
    <tableColumn id="4" xr3:uid="{1297AB6F-B6F0-4B35-BEC6-9275B0F32F62}" name="3" totalsRowFunction="sum" dataDxfId="3951" totalsRowDxfId="3950" dataCellStyle="Moeda">
      <calculatedColumnFormula>SUMIFS(tabela_registros[VALOR],tabela_registros[MÊS],$AE$1,tabela_registros[DIA],reservaoutrosconsolidadojul[[#Headers],[3]],tabela_registros[REGISTRO],DADOS!$N$3,tabela_registros[TIPO],DADOS!$V$3,tabela_registros[CATEGORIA],reservaoutrosconsolidadojul[[#This Row],[ATUAL]])</calculatedColumnFormula>
    </tableColumn>
    <tableColumn id="5" xr3:uid="{954C2E40-6720-4A9B-B186-981E726A3783}" name="4" totalsRowFunction="sum" dataDxfId="3949" totalsRowDxfId="3948" dataCellStyle="Moeda">
      <calculatedColumnFormula>SUMIFS(tabela_registros[VALOR],tabela_registros[MÊS],$AE$1,tabela_registros[DIA],reservaoutrosconsolidadojul[[#Headers],[4]],tabela_registros[REGISTRO],DADOS!$N$3,tabela_registros[TIPO],DADOS!$V$3,tabela_registros[CATEGORIA],reservaoutrosconsolidadojul[[#This Row],[ATUAL]])</calculatedColumnFormula>
    </tableColumn>
    <tableColumn id="6" xr3:uid="{1DBE343D-62E2-4A0D-8890-9030B7FADD36}" name="5" totalsRowFunction="sum" dataDxfId="3947" totalsRowDxfId="3946" dataCellStyle="Moeda">
      <calculatedColumnFormula>SUMIFS(tabela_registros[VALOR],tabela_registros[MÊS],$AE$1,tabela_registros[DIA],reservaoutrosconsolidadojul[[#Headers],[5]],tabela_registros[REGISTRO],DADOS!$N$3,tabela_registros[TIPO],DADOS!$V$3,tabela_registros[CATEGORIA],reservaoutrosconsolidadojul[[#This Row],[ATUAL]])</calculatedColumnFormula>
    </tableColumn>
    <tableColumn id="7" xr3:uid="{8A09E402-C2EF-45F0-9862-DB491762401D}" name="6" totalsRowFunction="sum" dataDxfId="3945" totalsRowDxfId="3944" dataCellStyle="Moeda">
      <calculatedColumnFormula>SUMIFS(tabela_registros[VALOR],tabela_registros[MÊS],$AE$1,tabela_registros[DIA],reservaoutrosconsolidadojul[[#Headers],[6]],tabela_registros[REGISTRO],DADOS!$N$3,tabela_registros[TIPO],DADOS!$V$3,tabela_registros[CATEGORIA],reservaoutrosconsolidadojul[[#This Row],[ATUAL]])</calculatedColumnFormula>
    </tableColumn>
    <tableColumn id="8" xr3:uid="{02186BCD-1961-4DC5-AE28-90E215271C75}" name="7" totalsRowFunction="sum" dataDxfId="3943" totalsRowDxfId="3942" dataCellStyle="Moeda">
      <calculatedColumnFormula>SUMIFS(tabela_registros[VALOR],tabela_registros[MÊS],$AE$1,tabela_registros[DIA],reservaoutrosconsolidadojul[[#Headers],[7]],tabela_registros[REGISTRO],DADOS!$N$3,tabela_registros[TIPO],DADOS!$V$3,tabela_registros[CATEGORIA],reservaoutrosconsolidadojul[[#This Row],[ATUAL]])</calculatedColumnFormula>
    </tableColumn>
    <tableColumn id="9" xr3:uid="{89780CBA-098C-4065-B19A-7008FAAA3D69}" name="8" totalsRowFunction="sum" dataDxfId="3941" totalsRowDxfId="3940" dataCellStyle="Moeda">
      <calculatedColumnFormula>SUMIFS(tabela_registros[VALOR],tabela_registros[MÊS],$AE$1,tabela_registros[DIA],reservaoutrosconsolidadojul[[#Headers],[8]],tabela_registros[REGISTRO],DADOS!$N$3,tabela_registros[TIPO],DADOS!$V$3,tabela_registros[CATEGORIA],reservaoutrosconsolidadojul[[#This Row],[ATUAL]])</calculatedColumnFormula>
    </tableColumn>
    <tableColumn id="10" xr3:uid="{54988294-E429-4BD5-A2F3-D16ADC79DC1B}" name="9" totalsRowFunction="sum" dataDxfId="3939" totalsRowDxfId="3938" dataCellStyle="Moeda">
      <calculatedColumnFormula>SUMIFS(tabela_registros[VALOR],tabela_registros[MÊS],$AE$1,tabela_registros[DIA],reservaoutrosconsolidadojul[[#Headers],[9]],tabela_registros[REGISTRO],DADOS!$N$3,tabela_registros[TIPO],DADOS!$V$3,tabela_registros[CATEGORIA],reservaoutrosconsolidadojul[[#This Row],[ATUAL]])</calculatedColumnFormula>
    </tableColumn>
    <tableColumn id="11" xr3:uid="{D718D9BE-5AE1-4F8B-A541-F98357691F81}" name="10" totalsRowFunction="sum" dataDxfId="3937" totalsRowDxfId="3936" dataCellStyle="Moeda">
      <calculatedColumnFormula>SUMIFS(tabela_registros[VALOR],tabela_registros[MÊS],$AE$1,tabela_registros[DIA],reservaoutrosconsolidadojul[[#Headers],[10]],tabela_registros[REGISTRO],DADOS!$N$3,tabela_registros[TIPO],DADOS!$V$3,tabela_registros[CATEGORIA],reservaoutrosconsolidadojul[[#This Row],[ATUAL]])</calculatedColumnFormula>
    </tableColumn>
    <tableColumn id="12" xr3:uid="{5BB67D85-7FDB-4E87-A286-10AB27753F38}" name="11" totalsRowFunction="sum" dataDxfId="3935" totalsRowDxfId="3934" dataCellStyle="Moeda">
      <calculatedColumnFormula>SUMIFS(tabela_registros[VALOR],tabela_registros[MÊS],$AE$1,tabela_registros[DIA],reservaoutrosconsolidadojul[[#Headers],[11]],tabela_registros[REGISTRO],DADOS!$N$3,tabela_registros[TIPO],DADOS!$V$3,tabela_registros[CATEGORIA],reservaoutrosconsolidadojul[[#This Row],[ATUAL]])</calculatedColumnFormula>
    </tableColumn>
    <tableColumn id="13" xr3:uid="{BD3945AC-F478-4203-95A9-FC7B821FCD1E}" name="12" totalsRowFunction="sum" dataDxfId="3933" totalsRowDxfId="3932" dataCellStyle="Moeda">
      <calculatedColumnFormula>SUMIFS(tabela_registros[VALOR],tabela_registros[MÊS],$AE$1,tabela_registros[DIA],reservaoutrosconsolidadojul[[#Headers],[12]],tabela_registros[REGISTRO],DADOS!$N$3,tabela_registros[TIPO],DADOS!$V$3,tabela_registros[CATEGORIA],reservaoutrosconsolidadojul[[#This Row],[ATUAL]])</calculatedColumnFormula>
    </tableColumn>
    <tableColumn id="14" xr3:uid="{BCEF4D6B-B18D-47D2-8925-77D9C97AAF25}" name="13" totalsRowFunction="sum" dataDxfId="3931" totalsRowDxfId="3930" dataCellStyle="Moeda">
      <calculatedColumnFormula>SUMIFS(tabela_registros[VALOR],tabela_registros[MÊS],$AE$1,tabela_registros[DIA],reservaoutrosconsolidadojul[[#Headers],[13]],tabela_registros[REGISTRO],DADOS!$N$3,tabela_registros[TIPO],DADOS!$V$3,tabela_registros[CATEGORIA],reservaoutrosconsolidadojul[[#This Row],[ATUAL]])</calculatedColumnFormula>
    </tableColumn>
    <tableColumn id="15" xr3:uid="{3EEBEF10-8D3C-40BB-AE90-8AEA1C21AD5D}" name="14" totalsRowFunction="sum" dataDxfId="3929" totalsRowDxfId="3928" dataCellStyle="Moeda">
      <calculatedColumnFormula>SUMIFS(tabela_registros[VALOR],tabela_registros[MÊS],$AE$1,tabela_registros[DIA],reservaoutrosconsolidadojul[[#Headers],[14]],tabela_registros[REGISTRO],DADOS!$N$3,tabela_registros[TIPO],DADOS!$V$3,tabela_registros[CATEGORIA],reservaoutrosconsolidadojul[[#This Row],[ATUAL]])</calculatedColumnFormula>
    </tableColumn>
    <tableColumn id="16" xr3:uid="{99B357B2-D138-418A-8ACB-74B614FF9850}" name="15" totalsRowFunction="sum" dataDxfId="3927" totalsRowDxfId="3926" dataCellStyle="Moeda">
      <calculatedColumnFormula>SUMIFS(tabela_registros[VALOR],tabela_registros[MÊS],$AE$1,tabela_registros[DIA],reservaoutrosconsolidadojul[[#Headers],[15]],tabela_registros[REGISTRO],DADOS!$N$3,tabela_registros[TIPO],DADOS!$V$3,tabela_registros[CATEGORIA],reservaoutrosconsolidadojul[[#This Row],[ATUAL]])</calculatedColumnFormula>
    </tableColumn>
    <tableColumn id="17" xr3:uid="{CC5B79BE-48E4-47E2-B219-D0E6E11E8CC4}" name="16" totalsRowFunction="sum" dataDxfId="3925" totalsRowDxfId="3924" dataCellStyle="Moeda">
      <calculatedColumnFormula>SUMIFS(tabela_registros[VALOR],tabela_registros[MÊS],$AE$1,tabela_registros[DIA],reservaoutrosconsolidadojul[[#Headers],[16]],tabela_registros[REGISTRO],DADOS!$N$3,tabela_registros[TIPO],DADOS!$V$3,tabela_registros[CATEGORIA],reservaoutrosconsolidadojul[[#This Row],[ATUAL]])</calculatedColumnFormula>
    </tableColumn>
    <tableColumn id="18" xr3:uid="{9717B048-16BD-4AA4-9F48-0A3BD792B984}" name="17" totalsRowFunction="sum" dataDxfId="3923" totalsRowDxfId="3922" dataCellStyle="Moeda">
      <calculatedColumnFormula>SUMIFS(tabela_registros[VALOR],tabela_registros[MÊS],$AE$1,tabela_registros[DIA],reservaoutrosconsolidadojul[[#Headers],[17]],tabela_registros[REGISTRO],DADOS!$N$3,tabela_registros[TIPO],DADOS!$V$3,tabela_registros[CATEGORIA],reservaoutrosconsolidadojul[[#This Row],[ATUAL]])</calculatedColumnFormula>
    </tableColumn>
    <tableColumn id="19" xr3:uid="{60E469E4-B46D-4AB7-A7D2-97CBD101AFD3}" name="18" totalsRowFunction="sum" dataDxfId="3921" totalsRowDxfId="3920" dataCellStyle="Moeda">
      <calculatedColumnFormula>SUMIFS(tabela_registros[VALOR],tabela_registros[MÊS],$AE$1,tabela_registros[DIA],reservaoutrosconsolidadojul[[#Headers],[18]],tabela_registros[REGISTRO],DADOS!$N$3,tabela_registros[TIPO],DADOS!$V$3,tabela_registros[CATEGORIA],reservaoutrosconsolidadojul[[#This Row],[ATUAL]])</calculatedColumnFormula>
    </tableColumn>
    <tableColumn id="20" xr3:uid="{AC50E18F-C4CD-4C92-94DA-97E151C06EFE}" name="19" totalsRowFunction="sum" dataDxfId="3919" totalsRowDxfId="3918" dataCellStyle="Moeda">
      <calculatedColumnFormula>SUMIFS(tabela_registros[VALOR],tabela_registros[MÊS],$AE$1,tabela_registros[DIA],reservaoutrosconsolidadojul[[#Headers],[19]],tabela_registros[REGISTRO],DADOS!$N$3,tabela_registros[TIPO],DADOS!$V$3,tabela_registros[CATEGORIA],reservaoutrosconsolidadojul[[#This Row],[ATUAL]])</calculatedColumnFormula>
    </tableColumn>
    <tableColumn id="21" xr3:uid="{5A59524A-973A-4076-ACFD-A4CF3DF7C47E}" name="20" totalsRowFunction="sum" dataDxfId="3917" totalsRowDxfId="3916" dataCellStyle="Moeda">
      <calculatedColumnFormula>SUMIFS(tabela_registros[VALOR],tabela_registros[MÊS],$AE$1,tabela_registros[DIA],reservaoutrosconsolidadojul[[#Headers],[20]],tabela_registros[REGISTRO],DADOS!$N$3,tabela_registros[TIPO],DADOS!$V$3,tabela_registros[CATEGORIA],reservaoutrosconsolidadojul[[#This Row],[ATUAL]])</calculatedColumnFormula>
    </tableColumn>
    <tableColumn id="22" xr3:uid="{10497040-909B-46FA-89F4-ED6293B481D9}" name="21" totalsRowFunction="sum" dataDxfId="3915" totalsRowDxfId="3914" dataCellStyle="Moeda">
      <calculatedColumnFormula>SUMIFS(tabela_registros[VALOR],tabela_registros[MÊS],$AE$1,tabela_registros[DIA],reservaoutrosconsolidadojul[[#Headers],[21]],tabela_registros[REGISTRO],DADOS!$N$3,tabela_registros[TIPO],DADOS!$V$3,tabela_registros[CATEGORIA],reservaoutrosconsolidadojul[[#This Row],[ATUAL]])</calculatedColumnFormula>
    </tableColumn>
    <tableColumn id="23" xr3:uid="{4776CDEA-EAE1-4A58-9873-DB37B8ADE5C4}" name="22" totalsRowFunction="sum" dataDxfId="3913" totalsRowDxfId="3912" dataCellStyle="Moeda">
      <calculatedColumnFormula>SUMIFS(tabela_registros[VALOR],tabela_registros[MÊS],$AE$1,tabela_registros[DIA],reservaoutrosconsolidadojul[[#Headers],[22]],tabela_registros[REGISTRO],DADOS!$N$3,tabela_registros[TIPO],DADOS!$V$3,tabela_registros[CATEGORIA],reservaoutrosconsolidadojul[[#This Row],[ATUAL]])</calculatedColumnFormula>
    </tableColumn>
    <tableColumn id="24" xr3:uid="{C78726F5-A1DE-4FF8-9D32-44246E41B820}" name="23" totalsRowFunction="sum" dataDxfId="3911" totalsRowDxfId="3910" dataCellStyle="Moeda">
      <calculatedColumnFormula>SUMIFS(tabela_registros[VALOR],tabela_registros[MÊS],$AE$1,tabela_registros[DIA],reservaoutrosconsolidadojul[[#Headers],[23]],tabela_registros[REGISTRO],DADOS!$N$3,tabela_registros[TIPO],DADOS!$V$3,tabela_registros[CATEGORIA],reservaoutrosconsolidadojul[[#This Row],[ATUAL]])</calculatedColumnFormula>
    </tableColumn>
    <tableColumn id="25" xr3:uid="{9C8DDF6F-F211-4C2A-A3B6-76D7578F6834}" name="24" totalsRowFunction="sum" dataDxfId="3909" totalsRowDxfId="3908" dataCellStyle="Moeda">
      <calculatedColumnFormula>SUMIFS(tabela_registros[VALOR],tabela_registros[MÊS],$AE$1,tabela_registros[DIA],reservaoutrosconsolidadojul[[#Headers],[24]],tabela_registros[REGISTRO],DADOS!$N$3,tabela_registros[TIPO],DADOS!$V$3,tabela_registros[CATEGORIA],reservaoutrosconsolidadojul[[#This Row],[ATUAL]])</calculatedColumnFormula>
    </tableColumn>
    <tableColumn id="26" xr3:uid="{0051CF2E-9931-466C-B329-5EF9F1752A4B}" name="25" totalsRowFunction="sum" dataDxfId="3907" totalsRowDxfId="3906" dataCellStyle="Moeda">
      <calculatedColumnFormula>SUMIFS(tabela_registros[VALOR],tabela_registros[MÊS],$AE$1,tabela_registros[DIA],reservaoutrosconsolidadojul[[#Headers],[25]],tabela_registros[REGISTRO],DADOS!$N$3,tabela_registros[TIPO],DADOS!$V$3,tabela_registros[CATEGORIA],reservaoutrosconsolidadojul[[#This Row],[ATUAL]])</calculatedColumnFormula>
    </tableColumn>
    <tableColumn id="27" xr3:uid="{7367949F-2C4C-4DB7-93ED-D8A7BDE9446D}" name="26" totalsRowFunction="sum" dataDxfId="3905" totalsRowDxfId="3904" dataCellStyle="Moeda">
      <calculatedColumnFormula>SUMIFS(tabela_registros[VALOR],tabela_registros[MÊS],$AE$1,tabela_registros[DIA],reservaoutrosconsolidadojul[[#Headers],[26]],tabela_registros[REGISTRO],DADOS!$N$3,tabela_registros[TIPO],DADOS!$V$3,tabela_registros[CATEGORIA],reservaoutrosconsolidadojul[[#This Row],[ATUAL]])</calculatedColumnFormula>
    </tableColumn>
    <tableColumn id="28" xr3:uid="{CAE6C9C4-627D-413A-AE45-83EDECF18358}" name="27" totalsRowFunction="sum" dataDxfId="3903" totalsRowDxfId="3902" dataCellStyle="Moeda">
      <calculatedColumnFormula>SUMIFS(tabela_registros[VALOR],tabela_registros[MÊS],$AE$1,tabela_registros[DIA],reservaoutrosconsolidadojul[[#Headers],[27]],tabela_registros[REGISTRO],DADOS!$N$3,tabela_registros[TIPO],DADOS!$V$3,tabela_registros[CATEGORIA],reservaoutrosconsolidadojul[[#This Row],[ATUAL]])</calculatedColumnFormula>
    </tableColumn>
    <tableColumn id="29" xr3:uid="{D0D6979E-2DC6-447B-ACCF-1E3D3D937F92}" name="28" totalsRowFunction="sum" dataDxfId="3901" totalsRowDxfId="3900" dataCellStyle="Moeda">
      <calculatedColumnFormula>SUMIFS(tabela_registros[VALOR],tabela_registros[MÊS],$AE$1,tabela_registros[DIA],reservaoutrosconsolidadojul[[#Headers],[28]],tabela_registros[REGISTRO],DADOS!$N$3,tabela_registros[TIPO],DADOS!$V$3,tabela_registros[CATEGORIA],reservaoutrosconsolidadojul[[#This Row],[ATUAL]])</calculatedColumnFormula>
    </tableColumn>
    <tableColumn id="30" xr3:uid="{C8A028EF-1BE8-4662-915D-CDEBF2BD684F}" name="29" totalsRowFunction="sum" dataDxfId="3899" totalsRowDxfId="3898" dataCellStyle="Moeda">
      <calculatedColumnFormula>SUMIFS(tabela_registros[VALOR],tabela_registros[MÊS],$AE$1,tabela_registros[DIA],reservaoutrosconsolidadojul[[#Headers],[29]],tabela_registros[REGISTRO],DADOS!$N$3,tabela_registros[TIPO],DADOS!$V$3,tabela_registros[CATEGORIA],reservaoutrosconsolidadojul[[#This Row],[ATUAL]])</calculatedColumnFormula>
    </tableColumn>
    <tableColumn id="31" xr3:uid="{9F3A86C6-07C5-47F4-9277-48B90EF7294C}" name="30" totalsRowFunction="sum" dataDxfId="3897" totalsRowDxfId="3896" dataCellStyle="Moeda">
      <calculatedColumnFormula>SUMIFS(tabela_registros[VALOR],tabela_registros[MÊS],$AE$1,tabela_registros[DIA],reservaoutrosconsolidadojul[[#Headers],[30]],tabela_registros[REGISTRO],DADOS!$N$3,tabela_registros[TIPO],DADOS!$V$3,tabela_registros[CATEGORIA],reservaoutrosconsolidadojul[[#This Row],[ATUAL]])</calculatedColumnFormula>
    </tableColumn>
    <tableColumn id="32" xr3:uid="{8CD2A895-1A9A-49AC-8361-DD90BF5A26A9}" name="31" totalsRowFunction="sum" dataDxfId="3895" totalsRowDxfId="3894" dataCellStyle="Moeda">
      <calculatedColumnFormula>SUMIFS(tabela_registros[VALOR],tabela_registros[MÊS],$AE$1,tabela_registros[DIA],reservaoutrosconsolidadojul[[#Headers],[31]],tabela_registros[REGISTRO],DADOS!$N$3,tabela_registros[TIPO],DADOS!$V$3,tabela_registros[CATEGORIA],reservaoutrosconsolidadojul[[#This Row],[ATUAL]])</calculatedColumnFormula>
    </tableColumn>
    <tableColumn id="33" xr3:uid="{2EDA1299-C767-4110-929E-59BB6C5D77C8}" name="TOTAL (R$)" totalsRowFunction="sum" dataDxfId="3893" dataCellStyle="Moeda">
      <calculatedColumnFormula>SUM(reservaoutrosconsolidadojul[[#This Row],[1]:[31]])</calculatedColumnFormula>
    </tableColumn>
  </tableColumns>
  <tableStyleInfo name="TABELAS RESULTADOS" showFirstColumn="0" showLastColumn="0" showRowStripes="1" showColumnStripes="0"/>
</table>
</file>

<file path=xl/tables/table9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6" xr:uid="{284BA10B-C776-49E3-A250-9F54896D9E48}" name="despesafixaconsolidadoago" displayName="despesafixaconsolidadoago" ref="C36:AJ51" headerRowDxfId="3892" dataDxfId="3891" totalsRowDxfId="3890">
  <autoFilter ref="C36:AJ51" xr:uid="{5ADEFF0A-DF5A-4FC5-A9EC-68EEC14B5F43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  <filterColumn colId="25" hiddenButton="1"/>
    <filterColumn colId="26" hiddenButton="1"/>
    <filterColumn colId="27" hiddenButton="1"/>
    <filterColumn colId="28" hiddenButton="1"/>
    <filterColumn colId="29" hiddenButton="1"/>
    <filterColumn colId="30" hiddenButton="1"/>
    <filterColumn colId="31" hiddenButton="1"/>
    <filterColumn colId="32" hiddenButton="1"/>
    <filterColumn colId="33" hiddenButton="1"/>
  </autoFilter>
  <tableColumns count="34">
    <tableColumn id="1" xr3:uid="{51683394-0D60-485D-81AA-E8C4D1A94964}" name="DESPESA FIXA" totalsRowLabel="Total" dataDxfId="3889"/>
    <tableColumn id="42" xr3:uid="{A2D697D1-2DC5-4636-9A24-A04E4D7A60F9}" name="Coluna1" dataDxfId="3888">
      <calculatedColumnFormula>IF(despesafixaconsolidadoago[[#This Row],[TOTAL]]=0,"",IF(OR(despesafixaconsolidadoago[[#This Row],[TOTAL]]=SMALL($AJ$37:$AJ$50,1),despesafixaconsolidadoago[[#This Row],[TOTAL]]=SMALL($AJ$37:$AJ$50,2),despesafixaconsolidadoago[[#This Row],[TOTAL]]=SMALL($AJ$37:$AJ$50,3),despesafixaconsolidadoago[[#This Row],[TOTAL]]=SMALL($AJ$37:$AJ$50,4),despesafixaconsolidadoago[[#This Row],[TOTAL]]=SMALL($AJ$37:$AJ$50,5)),DADOS!$I$8,""))</calculatedColumnFormula>
    </tableColumn>
    <tableColumn id="18" xr3:uid="{FECA782F-AC62-4159-82C5-F5315034CABF}" name="1" totalsRowFunction="sum" dataDxfId="3887" dataCellStyle="Moeda">
      <calculatedColumnFormula>SUMIFS(tabela_registros[VALOR],tabela_registros[MÊS],$AE$1,tabela_registros[DIA],jantotal[[#Headers],[1]],tabela_registros[REGISTRO],DADOS!$N$4,tabela_registros[TIPO],DADOS!$P$3,tabela_registros[CATEGORIA],despesafixaconsolidadoago[[#This Row],[DESPESA FIXA]])</calculatedColumnFormula>
    </tableColumn>
    <tableColumn id="19" xr3:uid="{3FA556D3-DC2C-4767-A5E7-71EF60D8C05A}" name="2" totalsRowFunction="sum" dataDxfId="3886" dataCellStyle="Moeda">
      <calculatedColumnFormula>SUMIFS(tabela_registros[VALOR],tabela_registros[MÊS],$AE$1,tabela_registros[DIA],jantotal[[#Headers],[2]],tabela_registros[REGISTRO],DADOS!$N$4,tabela_registros[TIPO],DADOS!$P$3,tabela_registros[CATEGORIA],despesafixaconsolidadoago[[#This Row],[DESPESA FIXA]])</calculatedColumnFormula>
    </tableColumn>
    <tableColumn id="20" xr3:uid="{D0F1B0B3-6D9C-41B4-B66C-93248F2226F3}" name="3" totalsRowFunction="sum" dataDxfId="3885" totalsRowDxfId="3884" dataCellStyle="Moeda">
      <calculatedColumnFormula>SUMIFS(tabela_registros[VALOR],tabela_registros[MÊS],$AE$1,tabela_registros[DIA],jantotal[[#Headers],[3]],tabela_registros[REGISTRO],DADOS!$N$4,tabela_registros[TIPO],DADOS!$P$3,tabela_registros[CATEGORIA],despesafixaconsolidadoago[[#This Row],[DESPESA FIXA]])</calculatedColumnFormula>
    </tableColumn>
    <tableColumn id="21" xr3:uid="{9B35331C-6109-4B7E-A12C-55BFEC6D11FF}" name="4" totalsRowFunction="sum" dataDxfId="3883" totalsRowDxfId="3882" dataCellStyle="Moeda">
      <calculatedColumnFormula>SUMIFS(tabela_registros[VALOR],tabela_registros[MÊS],$AE$1,tabela_registros[DIA],jantotal[[#Headers],[4]],tabela_registros[REGISTRO],DADOS!$N$4,tabela_registros[TIPO],DADOS!$P$3,tabela_registros[CATEGORIA],despesafixaconsolidadoago[[#This Row],[DESPESA FIXA]])</calculatedColumnFormula>
    </tableColumn>
    <tableColumn id="22" xr3:uid="{1CE814C7-DCF7-4BB8-841F-AC9D06D82D33}" name="5" totalsRowFunction="sum" dataDxfId="3881" totalsRowDxfId="3880" dataCellStyle="Moeda">
      <calculatedColumnFormula>SUMIFS(tabela_registros[VALOR],tabela_registros[MÊS],$AE$1,tabela_registros[DIA],jantotal[[#Headers],[5]],tabela_registros[REGISTRO],DADOS!$N$4,tabela_registros[TIPO],DADOS!$P$3,tabela_registros[CATEGORIA],despesafixaconsolidadoago[[#This Row],[DESPESA FIXA]])</calculatedColumnFormula>
    </tableColumn>
    <tableColumn id="23" xr3:uid="{3AB6BB08-AE16-4BFC-9F17-48045AA1DBF5}" name="6" totalsRowFunction="sum" dataDxfId="3879" totalsRowDxfId="3878" dataCellStyle="Moeda">
      <calculatedColumnFormula>SUMIFS(tabela_registros[VALOR],tabela_registros[MÊS],$AE$1,tabela_registros[DIA],jantotal[[#Headers],[6]],tabela_registros[REGISTRO],DADOS!$N$4,tabela_registros[TIPO],DADOS!$P$3,tabela_registros[CATEGORIA],despesafixaconsolidadoago[[#This Row],[DESPESA FIXA]])</calculatedColumnFormula>
    </tableColumn>
    <tableColumn id="24" xr3:uid="{3A3B6D22-ED47-4E63-907E-F43C400C96E0}" name="7" totalsRowFunction="sum" dataDxfId="3877" totalsRowDxfId="3876" dataCellStyle="Moeda">
      <calculatedColumnFormula>SUMIFS(tabela_registros[VALOR],tabela_registros[MÊS],$AE$1,tabela_registros[DIA],jantotal[[#Headers],[7]],tabela_registros[REGISTRO],DADOS!$N$4,tabela_registros[TIPO],DADOS!$P$3,tabela_registros[CATEGORIA],despesafixaconsolidadoago[[#This Row],[DESPESA FIXA]])</calculatedColumnFormula>
    </tableColumn>
    <tableColumn id="25" xr3:uid="{5087AFE2-C6BA-4057-B7E3-3132319FB569}" name="8" totalsRowFunction="sum" dataDxfId="3875" totalsRowDxfId="3874" dataCellStyle="Moeda">
      <calculatedColumnFormula>SUMIFS(tabela_registros[VALOR],tabela_registros[MÊS],$AE$1,tabela_registros[DIA],jantotal[[#Headers],[8]],tabela_registros[REGISTRO],DADOS!$N$4,tabela_registros[TIPO],DADOS!$P$3,tabela_registros[CATEGORIA],despesafixaconsolidadoago[[#This Row],[DESPESA FIXA]])</calculatedColumnFormula>
    </tableColumn>
    <tableColumn id="26" xr3:uid="{E1237A49-FCF2-454E-BC7C-D43D2F22533E}" name="9" totalsRowFunction="sum" dataDxfId="3873" totalsRowDxfId="3872" dataCellStyle="Moeda">
      <calculatedColumnFormula>SUMIFS(tabela_registros[VALOR],tabela_registros[MÊS],$AE$1,tabela_registros[DIA],jantotal[[#Headers],[9]],tabela_registros[REGISTRO],DADOS!$N$4,tabela_registros[TIPO],DADOS!$P$3,tabela_registros[CATEGORIA],despesafixaconsolidadoago[[#This Row],[DESPESA FIXA]])</calculatedColumnFormula>
    </tableColumn>
    <tableColumn id="27" xr3:uid="{89FCA404-11CC-4A3C-85CE-D8280C6BA221}" name="10" totalsRowFunction="sum" dataDxfId="3871" totalsRowDxfId="3870" dataCellStyle="Moeda">
      <calculatedColumnFormula>SUMIFS(tabela_registros[VALOR],tabela_registros[MÊS],$AE$1,tabela_registros[DIA],jantotal[[#Headers],[10]],tabela_registros[REGISTRO],DADOS!$N$4,tabela_registros[TIPO],DADOS!$P$3,tabela_registros[CATEGORIA],despesafixaconsolidadoago[[#This Row],[DESPESA FIXA]])</calculatedColumnFormula>
    </tableColumn>
    <tableColumn id="28" xr3:uid="{EFF83375-55E1-4EBB-958D-CE7504385E5C}" name="11" totalsRowFunction="sum" dataDxfId="3869" totalsRowDxfId="3868" dataCellStyle="Moeda">
      <calculatedColumnFormula>SUMIFS(tabela_registros[VALOR],tabela_registros[MÊS],$AE$1,tabela_registros[DIA],jantotal[[#Headers],[11]],tabela_registros[REGISTRO],DADOS!$N$4,tabela_registros[TIPO],DADOS!$P$3,tabela_registros[CATEGORIA],despesafixaconsolidadoago[[#This Row],[DESPESA FIXA]])</calculatedColumnFormula>
    </tableColumn>
    <tableColumn id="29" xr3:uid="{2E73BD17-85E9-4731-AE81-8FA26040659B}" name="12" totalsRowFunction="sum" dataDxfId="3867" totalsRowDxfId="3866" dataCellStyle="Moeda">
      <calculatedColumnFormula>SUMIFS(tabela_registros[VALOR],tabela_registros[MÊS],$AE$1,tabela_registros[DIA],jantotal[[#Headers],[12]],tabela_registros[REGISTRO],DADOS!$N$4,tabela_registros[TIPO],DADOS!$P$3,tabela_registros[CATEGORIA],despesafixaconsolidadoago[[#This Row],[DESPESA FIXA]])</calculatedColumnFormula>
    </tableColumn>
    <tableColumn id="30" xr3:uid="{D255E258-A449-4E85-8CE4-36CB7F6308FD}" name="13" totalsRowFunction="sum" dataDxfId="3865" totalsRowDxfId="3864" dataCellStyle="Moeda">
      <calculatedColumnFormula>SUMIFS(tabela_registros[VALOR],tabela_registros[MÊS],$AE$1,tabela_registros[DIA],jantotal[[#Headers],[13]],tabela_registros[REGISTRO],DADOS!$N$4,tabela_registros[TIPO],DADOS!$P$3,tabela_registros[CATEGORIA],despesafixaconsolidadoago[[#This Row],[DESPESA FIXA]])</calculatedColumnFormula>
    </tableColumn>
    <tableColumn id="31" xr3:uid="{34199936-42E5-4F54-B02A-BA9868C84A9B}" name="14" totalsRowFunction="sum" dataDxfId="3863" totalsRowDxfId="3862" dataCellStyle="Moeda">
      <calculatedColumnFormula>SUMIFS(tabela_registros[VALOR],tabela_registros[MÊS],$AE$1,tabela_registros[DIA],jantotal[[#Headers],[14]],tabela_registros[REGISTRO],DADOS!$N$4,tabela_registros[TIPO],DADOS!$P$3,tabela_registros[CATEGORIA],despesafixaconsolidadoago[[#This Row],[DESPESA FIXA]])</calculatedColumnFormula>
    </tableColumn>
    <tableColumn id="32" xr3:uid="{96F8446A-DF8A-4526-B171-43C147337D3E}" name="15" totalsRowFunction="sum" dataDxfId="3861" totalsRowDxfId="3860" dataCellStyle="Moeda">
      <calculatedColumnFormula>SUMIFS(tabela_registros[VALOR],tabela_registros[MÊS],$AE$1,tabela_registros[DIA],jantotal[[#Headers],[15]],tabela_registros[REGISTRO],DADOS!$N$4,tabela_registros[TIPO],DADOS!$P$3,tabela_registros[CATEGORIA],despesafixaconsolidadoago[[#This Row],[DESPESA FIXA]])</calculatedColumnFormula>
    </tableColumn>
    <tableColumn id="33" xr3:uid="{F90ED8AD-AE41-4F2C-815F-594845680B0C}" name="16" totalsRowFunction="sum" dataDxfId="3859" totalsRowDxfId="3858" dataCellStyle="Moeda">
      <calculatedColumnFormula>SUMIFS(tabela_registros[VALOR],tabela_registros[MÊS],$AE$1,tabela_registros[DIA],jantotal[[#Headers],[16]],tabela_registros[REGISTRO],DADOS!$N$4,tabela_registros[TIPO],DADOS!$P$3,tabela_registros[CATEGORIA],despesafixaconsolidadoago[[#This Row],[DESPESA FIXA]])</calculatedColumnFormula>
    </tableColumn>
    <tableColumn id="34" xr3:uid="{21815404-2693-4D70-AACA-3A6E61265B39}" name="17" totalsRowFunction="sum" dataDxfId="3857" totalsRowDxfId="3856" dataCellStyle="Moeda">
      <calculatedColumnFormula>SUMIFS(tabela_registros[VALOR],tabela_registros[MÊS],$AE$1,tabela_registros[DIA],jantotal[[#Headers],[17]],tabela_registros[REGISTRO],DADOS!$N$4,tabela_registros[TIPO],DADOS!$P$3,tabela_registros[CATEGORIA],despesafixaconsolidadoago[[#This Row],[DESPESA FIXA]])</calculatedColumnFormula>
    </tableColumn>
    <tableColumn id="35" xr3:uid="{7ADDAA4E-604C-4D1A-91F4-0B428ABF4D6C}" name="18" totalsRowFunction="sum" dataDxfId="3855" totalsRowDxfId="3854" dataCellStyle="Moeda">
      <calculatedColumnFormula>SUMIFS(tabela_registros[VALOR],tabela_registros[MÊS],$AE$1,tabela_registros[DIA],jantotal[[#Headers],[18]],tabela_registros[REGISTRO],DADOS!$N$4,tabela_registros[TIPO],DADOS!$P$3,tabela_registros[CATEGORIA],despesafixaconsolidadoago[[#This Row],[DESPESA FIXA]])</calculatedColumnFormula>
    </tableColumn>
    <tableColumn id="36" xr3:uid="{999321F1-7F39-423C-8E54-1245B4DFDD62}" name="19" totalsRowFunction="sum" dataDxfId="3853" totalsRowDxfId="3852" dataCellStyle="Moeda">
      <calculatedColumnFormula>SUMIFS(tabela_registros[VALOR],tabela_registros[MÊS],$AE$1,tabela_registros[DIA],jantotal[[#Headers],[19]],tabela_registros[REGISTRO],DADOS!$N$4,tabela_registros[TIPO],DADOS!$P$3,tabela_registros[CATEGORIA],despesafixaconsolidadoago[[#This Row],[DESPESA FIXA]])</calculatedColumnFormula>
    </tableColumn>
    <tableColumn id="37" xr3:uid="{BC4DAE3F-63FA-447E-945B-B58BF9A42680}" name="20" totalsRowFunction="sum" dataDxfId="3851" totalsRowDxfId="3850" dataCellStyle="Moeda">
      <calculatedColumnFormula>SUMIFS(tabela_registros[VALOR],tabela_registros[MÊS],$AE$1,tabela_registros[DIA],jantotal[[#Headers],[20]],tabela_registros[REGISTRO],DADOS!$N$4,tabela_registros[TIPO],DADOS!$P$3,tabela_registros[CATEGORIA],despesafixaconsolidadoago[[#This Row],[DESPESA FIXA]])</calculatedColumnFormula>
    </tableColumn>
    <tableColumn id="38" xr3:uid="{6FC759BF-1478-45E8-A9C2-24D8EC1254C5}" name="21" totalsRowFunction="sum" dataDxfId="3849" totalsRowDxfId="3848" dataCellStyle="Moeda">
      <calculatedColumnFormula>SUMIFS(tabela_registros[VALOR],tabela_registros[MÊS],$AE$1,tabela_registros[DIA],jantotal[[#Headers],[21]],tabela_registros[REGISTRO],DADOS!$N$4,tabela_registros[TIPO],DADOS!$P$3,tabela_registros[CATEGORIA],despesafixaconsolidadoago[[#This Row],[DESPESA FIXA]])</calculatedColumnFormula>
    </tableColumn>
    <tableColumn id="39" xr3:uid="{DA3DEB06-5285-40A4-BE0A-6C63B36346B4}" name="22" totalsRowFunction="sum" dataDxfId="3847" totalsRowDxfId="3846" dataCellStyle="Moeda">
      <calculatedColumnFormula>SUMIFS(tabela_registros[VALOR],tabela_registros[MÊS],$AE$1,tabela_registros[DIA],jantotal[[#Headers],[22]],tabela_registros[REGISTRO],DADOS!$N$4,tabela_registros[TIPO],DADOS!$P$3,tabela_registros[CATEGORIA],despesafixaconsolidadoago[[#This Row],[DESPESA FIXA]])</calculatedColumnFormula>
    </tableColumn>
    <tableColumn id="40" xr3:uid="{BA7EECD4-AA20-4358-92EA-D02AAE71A8E6}" name="23" totalsRowFunction="sum" dataDxfId="3845" totalsRowDxfId="3844" dataCellStyle="Moeda">
      <calculatedColumnFormula>SUMIFS(tabela_registros[VALOR],tabela_registros[MÊS],$AE$1,tabela_registros[DIA],jantotal[[#Headers],[23]],tabela_registros[REGISTRO],DADOS!$N$4,tabela_registros[TIPO],DADOS!$P$3,tabela_registros[CATEGORIA],despesafixaconsolidadoago[[#This Row],[DESPESA FIXA]])</calculatedColumnFormula>
    </tableColumn>
    <tableColumn id="41" xr3:uid="{BA6807B4-F9D9-4E27-ADAD-8D35CFDBB9A2}" name="24" totalsRowFunction="sum" dataDxfId="3843" totalsRowDxfId="3842" dataCellStyle="Moeda">
      <calculatedColumnFormula>SUMIFS(tabela_registros[VALOR],tabela_registros[MÊS],$AE$1,tabela_registros[DIA],jantotal[[#Headers],[24]],tabela_registros[REGISTRO],DADOS!$N$4,tabela_registros[TIPO],DADOS!$P$3,tabela_registros[CATEGORIA],despesafixaconsolidadoago[[#This Row],[DESPESA FIXA]])</calculatedColumnFormula>
    </tableColumn>
    <tableColumn id="12" xr3:uid="{C13DFA0B-1AE4-4D07-9AEB-34219FBB375D}" name="25" totalsRowFunction="sum" dataDxfId="3841" totalsRowDxfId="3840" dataCellStyle="Moeda">
      <calculatedColumnFormula>SUMIFS(tabela_registros[VALOR],tabela_registros[MÊS],$AE$1,tabela_registros[DIA],jantotal[[#Headers],[25]],tabela_registros[REGISTRO],DADOS!$N$4,tabela_registros[TIPO],DADOS!$P$3,tabela_registros[CATEGORIA],despesafixaconsolidadoago[[#This Row],[DESPESA FIXA]])</calculatedColumnFormula>
    </tableColumn>
    <tableColumn id="13" xr3:uid="{74502082-6C94-4671-BBA5-26F6079D7EBC}" name="26" totalsRowFunction="sum" dataDxfId="3839" totalsRowDxfId="3838" dataCellStyle="Moeda">
      <calculatedColumnFormula>SUMIFS(tabela_registros[VALOR],tabela_registros[MÊS],$AE$1,tabela_registros[DIA],jantotal[[#Headers],[26]],tabela_registros[REGISTRO],DADOS!$N$4,tabela_registros[TIPO],DADOS!$P$3,tabela_registros[CATEGORIA],despesafixaconsolidadoago[[#This Row],[DESPESA FIXA]])</calculatedColumnFormula>
    </tableColumn>
    <tableColumn id="14" xr3:uid="{294091A1-9B91-4C9B-B550-7B9AC73EA044}" name="27" totalsRowFunction="sum" dataDxfId="3837" totalsRowDxfId="3836" dataCellStyle="Moeda">
      <calculatedColumnFormula>SUMIFS(tabela_registros[VALOR],tabela_registros[MÊS],$AE$1,tabela_registros[DIA],jantotal[[#Headers],[27]],tabela_registros[REGISTRO],DADOS!$N$4,tabela_registros[TIPO],DADOS!$P$3,tabela_registros[CATEGORIA],despesafixaconsolidadoago[[#This Row],[DESPESA FIXA]])</calculatedColumnFormula>
    </tableColumn>
    <tableColumn id="15" xr3:uid="{BB874DFD-BCCD-4AAA-8593-876E3A1D3BF8}" name="28" totalsRowFunction="sum" dataDxfId="3835" totalsRowDxfId="3834" dataCellStyle="Moeda">
      <calculatedColumnFormula>SUMIFS(tabela_registros[VALOR],tabela_registros[MÊS],$AE$1,tabela_registros[DIA],jantotal[[#Headers],[28]],tabela_registros[REGISTRO],DADOS!$N$4,tabela_registros[TIPO],DADOS!$P$3,tabela_registros[CATEGORIA],despesafixaconsolidadoago[[#This Row],[DESPESA FIXA]])</calculatedColumnFormula>
    </tableColumn>
    <tableColumn id="16" xr3:uid="{1BBC041F-B8A7-4476-86DA-08F37FDB87C5}" name="29" totalsRowFunction="sum" dataDxfId="3833" totalsRowDxfId="3832" dataCellStyle="Moeda">
      <calculatedColumnFormula>SUMIFS(tabela_registros[VALOR],tabela_registros[MÊS],$AE$1,tabela_registros[DIA],jantotal[[#Headers],[29]],tabela_registros[REGISTRO],DADOS!$N$4,tabela_registros[TIPO],DADOS!$P$3,tabela_registros[CATEGORIA],despesafixaconsolidadoago[[#This Row],[DESPESA FIXA]])</calculatedColumnFormula>
    </tableColumn>
    <tableColumn id="17" xr3:uid="{5FC137DC-3550-4F90-9BCB-55A4E87DA27C}" name="30" totalsRowFunction="sum" dataDxfId="3831" totalsRowDxfId="3830" dataCellStyle="Moeda">
      <calculatedColumnFormula>SUMIFS(tabela_registros[VALOR],tabela_registros[MÊS],$AE$1,tabela_registros[DIA],jantotal[[#Headers],[30]],tabela_registros[REGISTRO],DADOS!$N$4,tabela_registros[TIPO],DADOS!$P$3,tabela_registros[CATEGORIA],despesafixaconsolidadoago[[#This Row],[DESPESA FIXA]])</calculatedColumnFormula>
    </tableColumn>
    <tableColumn id="9" xr3:uid="{E16C8D14-DEF9-44E6-902E-27AD3E2081CC}" name="31" totalsRowFunction="sum" dataDxfId="3829" totalsRowDxfId="3828" dataCellStyle="Moeda">
      <calculatedColumnFormula>SUMIFS(tabela_registros[VALOR],tabela_registros[MÊS],$AE$1,tabela_registros[DIA],jantotal[[#Headers],[31]],tabela_registros[REGISTRO],DADOS!$N$4,tabela_registros[TIPO],DADOS!$P$3,tabela_registros[CATEGORIA],despesafixaconsolidadoago[[#This Row],[DESPESA FIXA]])</calculatedColumnFormula>
    </tableColumn>
    <tableColumn id="5" xr3:uid="{D5D08023-DD66-4F82-9562-703C0AFA0550}" name="TOTAL" totalsRowFunction="sum" dataDxfId="3827" dataCellStyle="Moeda">
      <calculatedColumnFormula>SUM(despesafixaconsolidadoago[[#This Row],[1]:[31]])</calculatedColumnFormula>
    </tableColumn>
  </tableColumns>
  <tableStyleInfo name="TABELAS RESULTADOS" showFirstColumn="0" showLastColumn="1" showRowStripes="1" showColumnStripes="0"/>
</table>
</file>

<file path=xl/tables/table9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7" xr:uid="{30F6FE28-A78E-40DC-B333-B6727F81734C}" name="despesavariávelconsolidadoago" displayName="despesavariávelconsolidadoago" ref="C59:AJ73" headerRowDxfId="3826" dataDxfId="3825" totalsRowDxfId="3824" dataCellStyle="Moeda">
  <autoFilter ref="C59:AJ73" xr:uid="{07DB3A1D-DBCD-42BC-96FE-46512EDE2C70}"/>
  <tableColumns count="34">
    <tableColumn id="1" xr3:uid="{9D6AB886-83F4-4A08-B690-A38492CF5526}" name="DESPESA VARIÁVEL" totalsRowLabel="Total" dataDxfId="3823" totalsRowDxfId="3822">
      <calculatedColumnFormula>DADOS!T3</calculatedColumnFormula>
    </tableColumn>
    <tableColumn id="54" xr3:uid="{8370EE06-1471-4400-8293-79F06752F64E}" name="Coluna1" dataDxfId="3821" totalsRowDxfId="3820">
      <calculatedColumnFormula>IF(despesavariávelconsolidadoago[[#This Row],[TOTAL]]=0,"",IF(OR(despesavariávelconsolidadoago[[#This Row],[TOTAL]]=SMALL(despesavariávelconsolidadoago[TOTAL],1),despesavariávelconsolidadoago[[#This Row],[TOTAL]]=SMALL(despesavariávelconsolidadoago[TOTAL],2),despesavariávelconsolidadoago[[#This Row],[TOTAL]]=SMALL(despesavariávelconsolidadoago[TOTAL],3),despesavariávelconsolidadoago[[#This Row],[TOTAL]]=SMALL(despesavariávelconsolidadoago[TOTAL],4),despesavariávelconsolidadoago[[#This Row],[TOTAL]]=SMALL(despesavariávelconsolidadoago[TOTAL],5)),DADOS!$I$8,""))</calculatedColumnFormula>
    </tableColumn>
    <tableColumn id="30" xr3:uid="{2C7A6AD6-A76F-47B5-B61C-27B1632B8385}" name="1" totalsRowFunction="sum" dataDxfId="3819">
      <calculatedColumnFormula>SUMIFS(tabela_registros[VALOR],tabela_registros[MÊS],$AE$1,tabela_registros[DIA],jantotal[[#Headers],[1]],tabela_registros[REGISTRO],DADOS!$N$4,tabela_registros[TIPO],DADOS!$P$4,tabela_registros[CATEGORIA],despesavariávelconsolidadoago[[#This Row],[DESPESA VARIÁVEL]])</calculatedColumnFormula>
    </tableColumn>
    <tableColumn id="31" xr3:uid="{6FF62D56-4702-4FEB-BD66-AF822EC1B977}" name="2" totalsRowFunction="sum" dataDxfId="3818">
      <calculatedColumnFormula>SUMIFS(tabela_registros[VALOR],tabela_registros[MÊS],$AE$1,tabela_registros[DIA],jantotal[[#Headers],[2]],tabela_registros[REGISTRO],DADOS!$N$4,tabela_registros[TIPO],DADOS!$P$4,tabela_registros[CATEGORIA],despesavariávelconsolidadoago[[#This Row],[DESPESA VARIÁVEL]])</calculatedColumnFormula>
    </tableColumn>
    <tableColumn id="32" xr3:uid="{1BE30AC8-2571-44E2-879D-7DDFC31A5885}" name="3" totalsRowFunction="sum" dataDxfId="3817">
      <calculatedColumnFormula>SUMIFS(tabela_registros[VALOR],tabela_registros[MÊS],$AE$1,tabela_registros[DIA],jantotal[[#Headers],[3]],tabela_registros[REGISTRO],DADOS!$N$4,tabela_registros[TIPO],DADOS!$P$4,tabela_registros[CATEGORIA],despesavariávelconsolidadoago[[#This Row],[DESPESA VARIÁVEL]])</calculatedColumnFormula>
    </tableColumn>
    <tableColumn id="33" xr3:uid="{C60943B6-6D00-4B3A-BC51-C98FF705A066}" name="4" totalsRowFunction="sum" dataDxfId="3816">
      <calculatedColumnFormula>SUMIFS(tabela_registros[VALOR],tabela_registros[MÊS],$AE$1,tabela_registros[DIA],jantotal[[#Headers],[4]],tabela_registros[REGISTRO],DADOS!$N$4,tabela_registros[TIPO],DADOS!$P$4,tabela_registros[CATEGORIA],despesavariávelconsolidadoago[[#This Row],[DESPESA VARIÁVEL]])</calculatedColumnFormula>
    </tableColumn>
    <tableColumn id="34" xr3:uid="{B3255267-32DD-4A0B-8E43-9D684777207C}" name="5" totalsRowFunction="sum" dataDxfId="3815">
      <calculatedColumnFormula>SUMIFS(tabela_registros[VALOR],tabela_registros[MÊS],$AE$1,tabela_registros[DIA],jantotal[[#Headers],[5]],tabela_registros[REGISTRO],DADOS!$N$4,tabela_registros[TIPO],DADOS!$P$4,tabela_registros[CATEGORIA],despesavariávelconsolidadoago[[#This Row],[DESPESA VARIÁVEL]])</calculatedColumnFormula>
    </tableColumn>
    <tableColumn id="35" xr3:uid="{879E6445-B4E4-4FB1-87DB-B89071F03D82}" name="6" totalsRowFunction="sum" dataDxfId="3814">
      <calculatedColumnFormula>SUMIFS(tabela_registros[VALOR],tabela_registros[MÊS],$AE$1,tabela_registros[DIA],jantotal[[#Headers],[6]],tabela_registros[REGISTRO],DADOS!$N$4,tabela_registros[TIPO],DADOS!$P$4,tabela_registros[CATEGORIA],despesavariávelconsolidadoago[[#This Row],[DESPESA VARIÁVEL]])</calculatedColumnFormula>
    </tableColumn>
    <tableColumn id="36" xr3:uid="{14DB27E0-F229-49D8-B3D6-3197DB9B0A32}" name="7" totalsRowFunction="sum" dataDxfId="3813">
      <calculatedColumnFormula>SUMIFS(tabela_registros[VALOR],tabela_registros[MÊS],$AE$1,tabela_registros[DIA],jantotal[[#Headers],[7]],tabela_registros[REGISTRO],DADOS!$N$4,tabela_registros[TIPO],DADOS!$P$4,tabela_registros[CATEGORIA],despesavariávelconsolidadoago[[#This Row],[DESPESA VARIÁVEL]])</calculatedColumnFormula>
    </tableColumn>
    <tableColumn id="37" xr3:uid="{DB1E30B4-AC48-4786-9906-9F564438DB8C}" name="8" totalsRowFunction="sum" dataDxfId="3812">
      <calculatedColumnFormula>SUMIFS(tabela_registros[VALOR],tabela_registros[MÊS],$AE$1,tabela_registros[DIA],jantotal[[#Headers],[8]],tabela_registros[REGISTRO],DADOS!$N$4,tabela_registros[TIPO],DADOS!$P$4,tabela_registros[CATEGORIA],despesavariávelconsolidadoago[[#This Row],[DESPESA VARIÁVEL]])</calculatedColumnFormula>
    </tableColumn>
    <tableColumn id="38" xr3:uid="{C716BB75-7EA7-41AD-9232-262C5A76134F}" name="9" totalsRowFunction="sum" dataDxfId="3811">
      <calculatedColumnFormula>SUMIFS(tabela_registros[VALOR],tabela_registros[MÊS],$AE$1,tabela_registros[DIA],jantotal[[#Headers],[9]],tabela_registros[REGISTRO],DADOS!$N$4,tabela_registros[TIPO],DADOS!$P$4,tabela_registros[CATEGORIA],despesavariávelconsolidadoago[[#This Row],[DESPESA VARIÁVEL]])</calculatedColumnFormula>
    </tableColumn>
    <tableColumn id="39" xr3:uid="{193484E8-C032-493A-8050-B0515044CF67}" name="10" totalsRowFunction="sum" dataDxfId="3810">
      <calculatedColumnFormula>SUMIFS(tabela_registros[VALOR],tabela_registros[MÊS],$AE$1,tabela_registros[DIA],jantotal[[#Headers],[10]],tabela_registros[REGISTRO],DADOS!$N$4,tabela_registros[TIPO],DADOS!$P$4,tabela_registros[CATEGORIA],despesavariávelconsolidadoago[[#This Row],[DESPESA VARIÁVEL]])</calculatedColumnFormula>
    </tableColumn>
    <tableColumn id="40" xr3:uid="{4B0D779C-8F88-4F3A-9BE8-245B783D21E6}" name="11" totalsRowFunction="sum" dataDxfId="3809">
      <calculatedColumnFormula>SUMIFS(tabela_registros[VALOR],tabela_registros[MÊS],$AE$1,tabela_registros[DIA],jantotal[[#Headers],[11]],tabela_registros[REGISTRO],DADOS!$N$4,tabela_registros[TIPO],DADOS!$P$4,tabela_registros[CATEGORIA],despesavariávelconsolidadoago[[#This Row],[DESPESA VARIÁVEL]])</calculatedColumnFormula>
    </tableColumn>
    <tableColumn id="41" xr3:uid="{3130C2BB-43C4-4794-9858-8CE8AC59E375}" name="12" totalsRowFunction="sum" dataDxfId="3808">
      <calculatedColumnFormula>SUMIFS(tabela_registros[VALOR],tabela_registros[MÊS],$AE$1,tabela_registros[DIA],jantotal[[#Headers],[12]],tabela_registros[REGISTRO],DADOS!$N$4,tabela_registros[TIPO],DADOS!$P$4,tabela_registros[CATEGORIA],despesavariávelconsolidadoago[[#This Row],[DESPESA VARIÁVEL]])</calculatedColumnFormula>
    </tableColumn>
    <tableColumn id="42" xr3:uid="{26275928-EA3F-49AC-A139-757DA3FE1672}" name="13" totalsRowFunction="sum" dataDxfId="3807">
      <calculatedColumnFormula>SUMIFS(tabela_registros[VALOR],tabela_registros[MÊS],$AE$1,tabela_registros[DIA],jantotal[[#Headers],[13]],tabela_registros[REGISTRO],DADOS!$N$4,tabela_registros[TIPO],DADOS!$P$4,tabela_registros[CATEGORIA],despesavariávelconsolidadoago[[#This Row],[DESPESA VARIÁVEL]])</calculatedColumnFormula>
    </tableColumn>
    <tableColumn id="43" xr3:uid="{D3AF806C-6AEF-483B-B3A5-3E32BB5DE484}" name="14" totalsRowFunction="sum" dataDxfId="3806">
      <calculatedColumnFormula>SUMIFS(tabela_registros[VALOR],tabela_registros[MÊS],$AE$1,tabela_registros[DIA],jantotal[[#Headers],[14]],tabela_registros[REGISTRO],DADOS!$N$4,tabela_registros[TIPO],DADOS!$P$4,tabela_registros[CATEGORIA],despesavariávelconsolidadoago[[#This Row],[DESPESA VARIÁVEL]])</calculatedColumnFormula>
    </tableColumn>
    <tableColumn id="44" xr3:uid="{E66856D1-5294-4ACE-AF87-9F2E9707EC44}" name="15" totalsRowFunction="sum" dataDxfId="3805">
      <calculatedColumnFormula>SUMIFS(tabela_registros[VALOR],tabela_registros[MÊS],$AE$1,tabela_registros[DIA],jantotal[[#Headers],[15]],tabela_registros[REGISTRO],DADOS!$N$4,tabela_registros[TIPO],DADOS!$P$4,tabela_registros[CATEGORIA],despesavariávelconsolidadoago[[#This Row],[DESPESA VARIÁVEL]])</calculatedColumnFormula>
    </tableColumn>
    <tableColumn id="45" xr3:uid="{815713A1-031C-4EB3-8048-379BBE01F540}" name="16" totalsRowFunction="sum" dataDxfId="3804">
      <calculatedColumnFormula>SUMIFS(tabela_registros[VALOR],tabela_registros[MÊS],$AE$1,tabela_registros[DIA],jantotal[[#Headers],[16]],tabela_registros[REGISTRO],DADOS!$N$4,tabela_registros[TIPO],DADOS!$P$4,tabela_registros[CATEGORIA],despesavariávelconsolidadoago[[#This Row],[DESPESA VARIÁVEL]])</calculatedColumnFormula>
    </tableColumn>
    <tableColumn id="46" xr3:uid="{9C8560E0-F375-4C2F-88EC-9F5AD6918AD5}" name="17" totalsRowFunction="sum" dataDxfId="3803">
      <calculatedColumnFormula>SUMIFS(tabela_registros[VALOR],tabela_registros[MÊS],$AE$1,tabela_registros[DIA],jantotal[[#Headers],[17]],tabela_registros[REGISTRO],DADOS!$N$4,tabela_registros[TIPO],DADOS!$P$4,tabela_registros[CATEGORIA],despesavariávelconsolidadoago[[#This Row],[DESPESA VARIÁVEL]])</calculatedColumnFormula>
    </tableColumn>
    <tableColumn id="47" xr3:uid="{0F8FAE53-2086-4860-B3CF-E0E433C2AFCE}" name="18" totalsRowFunction="sum" dataDxfId="3802">
      <calculatedColumnFormula>SUMIFS(tabela_registros[VALOR],tabela_registros[MÊS],$AE$1,tabela_registros[DIA],jantotal[[#Headers],[18]],tabela_registros[REGISTRO],DADOS!$N$4,tabela_registros[TIPO],DADOS!$P$4,tabela_registros[CATEGORIA],despesavariávelconsolidadoago[[#This Row],[DESPESA VARIÁVEL]])</calculatedColumnFormula>
    </tableColumn>
    <tableColumn id="48" xr3:uid="{DB289D38-AB2A-4B16-809B-BFDB78D5CD31}" name="19" totalsRowFunction="sum" dataDxfId="3801">
      <calculatedColumnFormula>SUMIFS(tabela_registros[VALOR],tabela_registros[MÊS],$AE$1,tabela_registros[DIA],jantotal[[#Headers],[19]],tabela_registros[REGISTRO],DADOS!$N$4,tabela_registros[TIPO],DADOS!$P$4,tabela_registros[CATEGORIA],despesavariávelconsolidadoago[[#This Row],[DESPESA VARIÁVEL]])</calculatedColumnFormula>
    </tableColumn>
    <tableColumn id="49" xr3:uid="{4900A4BB-27BC-486D-9EAA-6204FB4AB6E4}" name="20" totalsRowFunction="sum" dataDxfId="3800">
      <calculatedColumnFormula>SUMIFS(tabela_registros[VALOR],tabela_registros[MÊS],$AE$1,tabela_registros[DIA],jantotal[[#Headers],[20]],tabela_registros[REGISTRO],DADOS!$N$4,tabela_registros[TIPO],DADOS!$P$4,tabela_registros[CATEGORIA],despesavariávelconsolidadoago[[#This Row],[DESPESA VARIÁVEL]])</calculatedColumnFormula>
    </tableColumn>
    <tableColumn id="50" xr3:uid="{3C599A8B-0845-46F7-9AA7-7E0F8DB75C34}" name="21" totalsRowFunction="sum" dataDxfId="3799">
      <calculatedColumnFormula>SUMIFS(tabela_registros[VALOR],tabela_registros[MÊS],$AE$1,tabela_registros[DIA],jantotal[[#Headers],[21]],tabela_registros[REGISTRO],DADOS!$N$4,tabela_registros[TIPO],DADOS!$P$4,tabela_registros[CATEGORIA],despesavariávelconsolidadoago[[#This Row],[DESPESA VARIÁVEL]])</calculatedColumnFormula>
    </tableColumn>
    <tableColumn id="51" xr3:uid="{3F4FA89B-3D8A-4FAD-AB6A-B308800E962E}" name="22" totalsRowFunction="sum" dataDxfId="3798">
      <calculatedColumnFormula>SUMIFS(tabela_registros[VALOR],tabela_registros[MÊS],$AE$1,tabela_registros[DIA],jantotal[[#Headers],[22]],tabela_registros[REGISTRO],DADOS!$N$4,tabela_registros[TIPO],DADOS!$P$4,tabela_registros[CATEGORIA],despesavariávelconsolidadoago[[#This Row],[DESPESA VARIÁVEL]])</calculatedColumnFormula>
    </tableColumn>
    <tableColumn id="52" xr3:uid="{2B4E5B6A-A3DB-401C-AAFA-5BAE30717E7F}" name="23" totalsRowFunction="sum" dataDxfId="3797">
      <calculatedColumnFormula>SUMIFS(tabela_registros[VALOR],tabela_registros[MÊS],$AE$1,tabela_registros[DIA],jantotal[[#Headers],[23]],tabela_registros[REGISTRO],DADOS!$N$4,tabela_registros[TIPO],DADOS!$P$4,tabela_registros[CATEGORIA],despesavariávelconsolidadoago[[#This Row],[DESPESA VARIÁVEL]])</calculatedColumnFormula>
    </tableColumn>
    <tableColumn id="53" xr3:uid="{1A7E1B9A-5DB7-49B7-A49D-5F6DBAE5981A}" name="24" totalsRowFunction="sum" dataDxfId="3796">
      <calculatedColumnFormula>SUMIFS(tabela_registros[VALOR],tabela_registros[MÊS],$AE$1,tabela_registros[DIA],jantotal[[#Headers],[24]],tabela_registros[REGISTRO],DADOS!$N$4,tabela_registros[TIPO],DADOS!$P$4,tabela_registros[CATEGORIA],despesavariávelconsolidadoago[[#This Row],[DESPESA VARIÁVEL]])</calculatedColumnFormula>
    </tableColumn>
    <tableColumn id="18" xr3:uid="{69E3B57F-D88C-4D26-864A-F8B1AC2B4C91}" name="25" totalsRowFunction="sum" dataDxfId="3795">
      <calculatedColumnFormula>SUMIFS(tabela_registros[VALOR],tabela_registros[MÊS],$AE$1,tabela_registros[DIA],jantotal[[#Headers],[25]],tabela_registros[REGISTRO],DADOS!$N$4,tabela_registros[TIPO],DADOS!$P$4,tabela_registros[CATEGORIA],despesavariávelconsolidadoago[[#This Row],[DESPESA VARIÁVEL]])</calculatedColumnFormula>
    </tableColumn>
    <tableColumn id="19" xr3:uid="{BB0C7749-318A-4B3E-A413-2FC68AB310F0}" name="26" totalsRowFunction="sum" dataDxfId="3794">
      <calculatedColumnFormula>SUMIFS(tabela_registros[VALOR],tabela_registros[MÊS],$AE$1,tabela_registros[DIA],jantotal[[#Headers],[26]],tabela_registros[REGISTRO],DADOS!$N$4,tabela_registros[TIPO],DADOS!$P$4,tabela_registros[CATEGORIA],despesavariávelconsolidadoago[[#This Row],[DESPESA VARIÁVEL]])</calculatedColumnFormula>
    </tableColumn>
    <tableColumn id="20" xr3:uid="{1BA306AA-E818-43DA-B454-1967155CA3E1}" name="27" totalsRowFunction="sum" dataDxfId="3793">
      <calculatedColumnFormula>SUMIFS(tabela_registros[VALOR],tabela_registros[MÊS],$AE$1,tabela_registros[DIA],jantotal[[#Headers],[27]],tabela_registros[REGISTRO],DADOS!$N$4,tabela_registros[TIPO],DADOS!$P$4,tabela_registros[CATEGORIA],despesavariávelconsolidadoago[[#This Row],[DESPESA VARIÁVEL]])</calculatedColumnFormula>
    </tableColumn>
    <tableColumn id="21" xr3:uid="{A46E1B78-445A-4F69-98C8-F8A0BD2E35AD}" name="28" totalsRowFunction="sum" dataDxfId="3792">
      <calculatedColumnFormula>SUMIFS(tabela_registros[VALOR],tabela_registros[MÊS],$AE$1,tabela_registros[DIA],jantotal[[#Headers],[28]],tabela_registros[REGISTRO],DADOS!$N$4,tabela_registros[TIPO],DADOS!$P$4,tabela_registros[CATEGORIA],despesavariávelconsolidadoago[[#This Row],[DESPESA VARIÁVEL]])</calculatedColumnFormula>
    </tableColumn>
    <tableColumn id="22" xr3:uid="{5C168D35-9185-4E9B-AD2E-A4FEED2B060C}" name="29" totalsRowFunction="sum" dataDxfId="3791">
      <calculatedColumnFormula>SUMIFS(tabela_registros[VALOR],tabela_registros[MÊS],$AE$1,tabela_registros[DIA],jantotal[[#Headers],[29]],tabela_registros[REGISTRO],DADOS!$N$4,tabela_registros[TIPO],DADOS!$P$4,tabela_registros[CATEGORIA],despesavariávelconsolidadoago[[#This Row],[DESPESA VARIÁVEL]])</calculatedColumnFormula>
    </tableColumn>
    <tableColumn id="23" xr3:uid="{35D80174-CF7D-4C11-ABE4-AB54DC11B940}" name="30" totalsRowFunction="sum" dataDxfId="3790">
      <calculatedColumnFormula>SUMIFS(tabela_registros[VALOR],tabela_registros[MÊS],$AE$1,tabela_registros[DIA],jantotal[[#Headers],[30]],tabela_registros[REGISTRO],DADOS!$N$4,tabela_registros[TIPO],DADOS!$P$4,tabela_registros[CATEGORIA],despesavariávelconsolidadoago[[#This Row],[DESPESA VARIÁVEL]])</calculatedColumnFormula>
    </tableColumn>
    <tableColumn id="24" xr3:uid="{C0C6BDAC-FA48-4849-804C-7058959D77BB}" name="31" totalsRowFunction="sum" dataDxfId="3789">
      <calculatedColumnFormula>SUMIFS(tabela_registros[VALOR],tabela_registros[MÊS],$AE$1,tabela_registros[DIA],jantotal[[#Headers],[31]],tabela_registros[REGISTRO],DADOS!$N$4,tabela_registros[TIPO],DADOS!$P$4,tabela_registros[CATEGORIA],despesavariávelconsolidadoago[[#This Row],[DESPESA VARIÁVEL]])</calculatedColumnFormula>
    </tableColumn>
    <tableColumn id="3" xr3:uid="{DBEDD62D-C42A-491E-94A7-B42F26319B30}" name="TOTAL" totalsRowFunction="sum" dataDxfId="3788" dataCellStyle="Moeda">
      <calculatedColumnFormula>-SUMIFS(tabela_registros[VALOR],tabela_registros[REGISTRO],DADOS!$N$4,tabela_registros[TIPO],despesavariável[[#Headers],[DESPESA VARIÁVEL]],tabela_registros[CATEGORIA],despesavariávelconsolidadoago[[#This Row],[DESPESA VARIÁVEL]])</calculatedColumnFormula>
    </tableColumn>
  </tableColumns>
  <tableStyleInfo name="TABELAS RESULTADOS" showFirstColumn="0" showLastColumn="1" showRowStripes="1" showColumnStripes="0"/>
</table>
</file>

<file path=xl/tables/table10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8" xr:uid="{C26851B9-9383-4073-BD5A-848615F204C3}" name="agoinvestir2158708294106118" displayName="agoinvestir2158708294106118" ref="C24:AJ28" totalsRowCount="1" headerRowDxfId="3787" dataDxfId="3786" totalsRowDxfId="3784" tableBorderDxfId="3785" dataCellStyle="Moeda">
  <autoFilter ref="C24:AJ27" xr:uid="{6A49DC70-6E60-45C7-9126-6CFF5D88342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  <filterColumn colId="25" hiddenButton="1"/>
    <filterColumn colId="26" hiddenButton="1"/>
    <filterColumn colId="27" hiddenButton="1"/>
    <filterColumn colId="28" hiddenButton="1"/>
    <filterColumn colId="29" hiddenButton="1"/>
    <filterColumn colId="30" hiddenButton="1"/>
    <filterColumn colId="31" hiddenButton="1"/>
    <filterColumn colId="32" hiddenButton="1"/>
    <filterColumn colId="33" hiddenButton="1"/>
  </autoFilter>
  <tableColumns count="34">
    <tableColumn id="1" xr3:uid="{9629360D-E329-4CDB-9069-0A8E666277CA}" name="ATUAL" totalsRowLabel="SALDO" dataDxfId="3783"/>
    <tableColumn id="34" xr3:uid="{CE34B606-DBD1-4444-9762-0198E075DC06}" name="Coluna1" dataDxfId="3782"/>
    <tableColumn id="2" xr3:uid="{8B20FE33-3187-45B5-AA01-EDC25DEDE4A9}" name="1" totalsRowFunction="sum" dataDxfId="3781" totalsRowDxfId="3780" dataCellStyle="Moeda"/>
    <tableColumn id="3" xr3:uid="{464F0ECD-B3A3-40B1-9AEB-AD7986AAEE44}" name="2" totalsRowFunction="sum" dataDxfId="3779" totalsRowDxfId="3778" dataCellStyle="Moeda"/>
    <tableColumn id="4" xr3:uid="{537CA514-06FF-4262-80EB-91AF33D3B5E2}" name="3" totalsRowFunction="sum" dataDxfId="3777" totalsRowDxfId="3776" dataCellStyle="Moeda"/>
    <tableColumn id="5" xr3:uid="{13F04154-C213-4EBE-A111-03251BB616DB}" name="4" totalsRowFunction="sum" dataDxfId="3775" totalsRowDxfId="3774" dataCellStyle="Moeda"/>
    <tableColumn id="6" xr3:uid="{BF78E084-3BD6-4AA2-8B84-942089A54C06}" name="5" totalsRowFunction="sum" dataDxfId="3773" totalsRowDxfId="3772" dataCellStyle="Moeda"/>
    <tableColumn id="7" xr3:uid="{F7932155-901D-4B6E-B21C-662324266A53}" name="6" totalsRowFunction="sum" dataDxfId="3771" totalsRowDxfId="3770" dataCellStyle="Moeda"/>
    <tableColumn id="8" xr3:uid="{BA141268-851F-49EE-B627-98C2EA6719B6}" name="7" totalsRowFunction="sum" dataDxfId="3769" totalsRowDxfId="3768" dataCellStyle="Moeda"/>
    <tableColumn id="9" xr3:uid="{78BE969E-E6A4-4BEA-819B-E07B208BB49A}" name="8" totalsRowFunction="sum" dataDxfId="3767" totalsRowDxfId="3766" dataCellStyle="Moeda"/>
    <tableColumn id="10" xr3:uid="{323BF3A9-7D6C-42C7-8E5D-8E87E6C81BA9}" name="9" totalsRowFunction="sum" dataDxfId="3765" totalsRowDxfId="3764" dataCellStyle="Moeda"/>
    <tableColumn id="11" xr3:uid="{CC53352C-CF0C-4601-8078-40FE19E6CDFA}" name="10" totalsRowFunction="sum" dataDxfId="3763" totalsRowDxfId="3762" dataCellStyle="Moeda"/>
    <tableColumn id="12" xr3:uid="{AA073827-C957-46BE-BF6E-A2FC24C76D1C}" name="11" totalsRowFunction="sum" dataDxfId="3761" totalsRowDxfId="3760" dataCellStyle="Moeda"/>
    <tableColumn id="13" xr3:uid="{48DC1D2A-6E64-46F7-8684-1FF537E7733C}" name="12" totalsRowFunction="sum" dataDxfId="3759" totalsRowDxfId="3758" dataCellStyle="Moeda"/>
    <tableColumn id="14" xr3:uid="{407123BE-4EB7-4F6C-9D8E-D44B24C5350F}" name="13" totalsRowFunction="sum" dataDxfId="3757" totalsRowDxfId="3756" dataCellStyle="Moeda"/>
    <tableColumn id="15" xr3:uid="{FA600D67-99D1-4BF8-872D-E34598141FCA}" name="14" totalsRowFunction="sum" dataDxfId="3755" totalsRowDxfId="3754" dataCellStyle="Moeda"/>
    <tableColumn id="16" xr3:uid="{0D1732F2-E617-42CD-92F4-95330D0F448A}" name="15" totalsRowFunction="sum" dataDxfId="3753" totalsRowDxfId="3752" dataCellStyle="Moeda"/>
    <tableColumn id="17" xr3:uid="{1CF589F9-8FBC-43B4-8C38-B92D2ED5B9E0}" name="16" totalsRowFunction="sum" dataDxfId="3751" totalsRowDxfId="3750" dataCellStyle="Moeda"/>
    <tableColumn id="18" xr3:uid="{C68517FB-E493-4A14-B701-5944EF78E112}" name="17" totalsRowFunction="sum" dataDxfId="3749" totalsRowDxfId="3748" dataCellStyle="Moeda"/>
    <tableColumn id="19" xr3:uid="{589FE104-F579-4E88-9AE8-4382AC63AF78}" name="18" totalsRowFunction="sum" dataDxfId="3747" totalsRowDxfId="3746" dataCellStyle="Moeda"/>
    <tableColumn id="20" xr3:uid="{3EBA91F0-0CC3-4C53-89A3-97F374E0C19E}" name="19" totalsRowFunction="sum" dataDxfId="3745" totalsRowDxfId="3744" dataCellStyle="Moeda"/>
    <tableColumn id="21" xr3:uid="{77082BF7-477F-496F-8CDB-2E5373BC311C}" name="20" totalsRowFunction="sum" dataDxfId="3743" totalsRowDxfId="3742" dataCellStyle="Moeda"/>
    <tableColumn id="22" xr3:uid="{D50C9701-8944-481D-B794-F1AB55894346}" name="21" totalsRowFunction="sum" dataDxfId="3741" totalsRowDxfId="3740" dataCellStyle="Moeda"/>
    <tableColumn id="23" xr3:uid="{17EC96AB-6F72-4D52-A5AF-C5EFC91BAE0E}" name="22" totalsRowFunction="sum" dataDxfId="3739" totalsRowDxfId="3738" dataCellStyle="Moeda"/>
    <tableColumn id="24" xr3:uid="{A52DB1CA-F752-4A9D-87A9-E5EF4A3AF7C1}" name="23" totalsRowFunction="sum" dataDxfId="3737" totalsRowDxfId="3736" dataCellStyle="Moeda"/>
    <tableColumn id="25" xr3:uid="{AD686AE7-F45E-4BC6-A988-ED3AD07E1F30}" name="24" totalsRowFunction="sum" dataDxfId="3735" totalsRowDxfId="3734" dataCellStyle="Moeda"/>
    <tableColumn id="26" xr3:uid="{4A978BD1-848D-4646-AA03-9391734CFE86}" name="25" totalsRowFunction="sum" dataDxfId="3733" totalsRowDxfId="3732" dataCellStyle="Moeda"/>
    <tableColumn id="27" xr3:uid="{26CCDDB6-EF5A-42A9-8A7C-2166AF1988D5}" name="26" totalsRowFunction="sum" dataDxfId="3731" totalsRowDxfId="3730" dataCellStyle="Moeda"/>
    <tableColumn id="28" xr3:uid="{5776F81A-2A1D-4B35-8C02-33ADA442A658}" name="27" totalsRowFunction="sum" dataDxfId="3729" totalsRowDxfId="3728" dataCellStyle="Moeda"/>
    <tableColumn id="29" xr3:uid="{4E46E12B-58E1-4CA8-9621-AA920AEC02D4}" name="28" totalsRowFunction="sum" dataDxfId="3727" totalsRowDxfId="3726" dataCellStyle="Moeda"/>
    <tableColumn id="30" xr3:uid="{93C5BA69-2170-4770-A42F-B1ABEE49D1FA}" name="29" totalsRowFunction="sum" dataDxfId="3725" totalsRowDxfId="3724" dataCellStyle="Moeda"/>
    <tableColumn id="31" xr3:uid="{05F08320-78C1-4F7E-AC11-8FE62DB6F0A7}" name="30" totalsRowFunction="sum" dataDxfId="3723" totalsRowDxfId="3722" dataCellStyle="Moeda"/>
    <tableColumn id="32" xr3:uid="{D15A5B77-639D-45A4-BBD4-3DE9FF4E5720}" name="31" totalsRowFunction="sum" dataDxfId="3721" totalsRowDxfId="3720" dataCellStyle="Moeda"/>
    <tableColumn id="33" xr3:uid="{56C050DF-1230-4C87-8172-D4DA2CEF0A76}" name="TOTAL (R$)" totalsRowFunction="sum" dataDxfId="3719" totalsRowDxfId="3718" dataCellStyle="Moeda">
      <calculatedColumnFormula>SUM(E25:AI25)</calculatedColumnFormula>
    </tableColumn>
  </tableColumns>
  <tableStyleInfo name="TABELAS RESULTADOS" showFirstColumn="0" showLastColumn="0" showRowStripes="1" showColumnStripes="0"/>
</table>
</file>

<file path=xl/tables/table10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9" xr:uid="{7E78F907-F68C-4AA7-8D20-9F4D15BBF4F4}" name="agototal3059718395107119" displayName="agototal3059718395107119" ref="C13:AJ16" headerRowDxfId="3717" dataDxfId="3716" totalsRowDxfId="3715">
  <autoFilter ref="C13:AJ16" xr:uid="{8F80C188-90EF-4EEA-8266-E1F416435B21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  <filterColumn colId="25" hiddenButton="1"/>
    <filterColumn colId="26" hiddenButton="1"/>
    <filterColumn colId="27" hiddenButton="1"/>
    <filterColumn colId="28" hiddenButton="1"/>
    <filterColumn colId="29" hiddenButton="1"/>
    <filterColumn colId="30" hiddenButton="1"/>
    <filterColumn colId="31" hiddenButton="1"/>
    <filterColumn colId="32" hiddenButton="1"/>
    <filterColumn colId="33" hiddenButton="1"/>
  </autoFilter>
  <tableColumns count="34">
    <tableColumn id="1" xr3:uid="{544EC05F-C674-49CF-A27C-323DC44DC0EE}" name="ATUAL" totalsRowLabel="SALDO" dataDxfId="3714"/>
    <tableColumn id="34" xr3:uid="{2A70EC6A-8257-4973-8336-CCA82E0A06DF}" name="Coluna1" dataDxfId="3713"/>
    <tableColumn id="2" xr3:uid="{22474BA7-C167-4139-873C-84BB9C1AD4CA}" name="1" totalsRowFunction="sum" dataDxfId="3712" dataCellStyle="Moeda"/>
    <tableColumn id="3" xr3:uid="{B38A2CEC-157D-48C2-95E6-819643C46103}" name="2" totalsRowFunction="sum" dataDxfId="3711" totalsRowDxfId="3710" dataCellStyle="Moeda"/>
    <tableColumn id="4" xr3:uid="{55D267F1-25BF-433D-8C84-29BFB76DF50C}" name="3" totalsRowFunction="sum" dataDxfId="3709" totalsRowDxfId="3708" dataCellStyle="Moeda"/>
    <tableColumn id="5" xr3:uid="{382594A9-C716-457F-9325-5675F94887ED}" name="4" totalsRowFunction="sum" dataDxfId="3707" totalsRowDxfId="3706" dataCellStyle="Moeda"/>
    <tableColumn id="6" xr3:uid="{0E5F8406-36A4-487B-AA3F-8028A302995F}" name="5" totalsRowFunction="sum" dataDxfId="3705" totalsRowDxfId="3704" dataCellStyle="Moeda"/>
    <tableColumn id="7" xr3:uid="{732C2997-3685-4AA6-BE6B-6A5A17BAC9EF}" name="6" totalsRowFunction="sum" dataDxfId="3703" totalsRowDxfId="3702" dataCellStyle="Moeda"/>
    <tableColumn id="8" xr3:uid="{3E890C42-BD47-4A85-830B-D64B60E06539}" name="7" totalsRowFunction="sum" dataDxfId="3701" totalsRowDxfId="3700" dataCellStyle="Moeda"/>
    <tableColumn id="9" xr3:uid="{924A693C-151D-4982-B126-CB52EB4F608D}" name="8" totalsRowFunction="sum" dataDxfId="3699" totalsRowDxfId="3698" dataCellStyle="Moeda"/>
    <tableColumn id="10" xr3:uid="{9A2462DD-72C3-4413-96E9-2591F59BEBFD}" name="9" totalsRowFunction="sum" dataDxfId="3697" totalsRowDxfId="3696" dataCellStyle="Moeda"/>
    <tableColumn id="11" xr3:uid="{AB9A288C-817E-4BE7-B042-A32FEF2CF717}" name="10" totalsRowFunction="sum" dataDxfId="3695" totalsRowDxfId="3694" dataCellStyle="Moeda"/>
    <tableColumn id="12" xr3:uid="{0E0031AB-5376-443B-84B0-A31794775093}" name="11" totalsRowFunction="sum" dataDxfId="3693" totalsRowDxfId="3692" dataCellStyle="Moeda"/>
    <tableColumn id="13" xr3:uid="{767739EC-4046-4941-8105-92345AB2E2F1}" name="12" totalsRowFunction="sum" dataDxfId="3691" totalsRowDxfId="3690" dataCellStyle="Moeda"/>
    <tableColumn id="14" xr3:uid="{2E28EF03-FDA5-42B7-B9D6-1744EB9367BE}" name="13" totalsRowFunction="sum" dataDxfId="3689" totalsRowDxfId="3688" dataCellStyle="Moeda"/>
    <tableColumn id="15" xr3:uid="{9304D017-1917-4C53-AB10-570DF8EFA692}" name="14" totalsRowFunction="sum" dataDxfId="3687" totalsRowDxfId="3686" dataCellStyle="Moeda"/>
    <tableColumn id="16" xr3:uid="{B3F42505-434D-426B-BD2E-BCF3AFD419EE}" name="15" totalsRowFunction="sum" dataDxfId="3685" totalsRowDxfId="3684" dataCellStyle="Moeda"/>
    <tableColumn id="17" xr3:uid="{3384B66D-DDA5-42FB-B61A-DA46D993BC24}" name="16" totalsRowFunction="sum" dataDxfId="3683" totalsRowDxfId="3682" dataCellStyle="Moeda"/>
    <tableColumn id="18" xr3:uid="{03F84887-2CD9-4197-B494-5AF80D848722}" name="17" totalsRowFunction="sum" dataDxfId="3681" totalsRowDxfId="3680" dataCellStyle="Moeda"/>
    <tableColumn id="19" xr3:uid="{B86ED3D8-1776-44DC-A19E-F78ED3C86EEE}" name="18" totalsRowFunction="sum" dataDxfId="3679" totalsRowDxfId="3678" dataCellStyle="Moeda"/>
    <tableColumn id="20" xr3:uid="{2360309B-5751-4DC9-AD5E-D448655F9288}" name="19" totalsRowFunction="sum" dataDxfId="3677" totalsRowDxfId="3676" dataCellStyle="Moeda"/>
    <tableColumn id="21" xr3:uid="{F1F60779-B11A-425C-BF2E-7AB9CDBAEF73}" name="20" totalsRowFunction="sum" dataDxfId="3675" totalsRowDxfId="3674" dataCellStyle="Moeda"/>
    <tableColumn id="22" xr3:uid="{1011217B-8D3C-4BD3-8FAB-DEE7D0085491}" name="21" totalsRowFunction="sum" dataDxfId="3673" totalsRowDxfId="3672" dataCellStyle="Moeda"/>
    <tableColumn id="23" xr3:uid="{BC5DE171-1A88-45A9-9BD0-74A2284D339D}" name="22" totalsRowFunction="sum" dataDxfId="3671" totalsRowDxfId="3670" dataCellStyle="Moeda"/>
    <tableColumn id="24" xr3:uid="{45F466F4-3C77-467C-961F-2E41533F40FD}" name="23" totalsRowFunction="sum" dataDxfId="3669" totalsRowDxfId="3668" dataCellStyle="Moeda"/>
    <tableColumn id="25" xr3:uid="{DB54D08A-4431-44D3-831D-3243DFF0A89A}" name="24" totalsRowFunction="sum" dataDxfId="3667" totalsRowDxfId="3666" dataCellStyle="Moeda"/>
    <tableColumn id="26" xr3:uid="{6E5302CB-0CA1-49CC-BD70-52B565E8B914}" name="25" totalsRowFunction="sum" dataDxfId="3665" totalsRowDxfId="3664" dataCellStyle="Moeda"/>
    <tableColumn id="27" xr3:uid="{6A9309BB-C717-4C66-B885-697A55EFB4CF}" name="26" totalsRowFunction="sum" dataDxfId="3663" totalsRowDxfId="3662" dataCellStyle="Moeda"/>
    <tableColumn id="28" xr3:uid="{2EB990C7-F493-43E4-AFFC-713EBA8172B4}" name="27" totalsRowFunction="sum" dataDxfId="3661" totalsRowDxfId="3660" dataCellStyle="Moeda"/>
    <tableColumn id="29" xr3:uid="{2B073E01-6282-4B59-97F2-6B5DB9B7E479}" name="28" totalsRowFunction="sum" dataDxfId="3659" totalsRowDxfId="3658" dataCellStyle="Moeda"/>
    <tableColumn id="30" xr3:uid="{F7FF1508-4687-4311-A20F-AFD95C7D0392}" name="29" totalsRowFunction="sum" dataDxfId="3657" totalsRowDxfId="3656" dataCellStyle="Moeda"/>
    <tableColumn id="31" xr3:uid="{17657A31-5120-4FA7-80DD-8870F4187C8F}" name="30" totalsRowFunction="sum" dataDxfId="3655" totalsRowDxfId="3654" dataCellStyle="Moeda"/>
    <tableColumn id="32" xr3:uid="{702FB4C9-C50B-47FF-87E9-B19833AE1914}" name="31" totalsRowFunction="sum" dataDxfId="3653" totalsRowDxfId="3652" dataCellStyle="Moeda"/>
    <tableColumn id="33" xr3:uid="{ED2FAD9D-2D39-4603-9104-8B9B13065AA4}" name="TOTAL (R$)" totalsRowFunction="sum" dataDxfId="3651" dataCellStyle="Moeda">
      <calculatedColumnFormula>SUM(agototal3059718395107119[[#This Row],[1]:[31]])</calculatedColumnFormula>
    </tableColumn>
  </tableColumns>
  <tableStyleInfo name="TABELAS RESULTADOS" showFirstColumn="0" showLastColumn="0" showRowStripes="1" showColumnStripes="0"/>
</table>
</file>

<file path=xl/tables/table10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0" xr:uid="{10237F18-2E46-4E92-A56D-D78D7F95126E}" name="receitasfixasconsolidadoago" displayName="receitasfixasconsolidadoago" ref="C81:AJ87" headerRowDxfId="3650" dataDxfId="3649" totalsRowDxfId="3648">
  <autoFilter ref="C81:AJ87" xr:uid="{2EA8B7CB-D602-44E1-B8DB-B71750A487C5}"/>
  <tableColumns count="34">
    <tableColumn id="1" xr3:uid="{3E776292-A0DA-4188-8714-6F52AC166219}" name="ATUAL" totalsRowLabel="SALDO" dataDxfId="3647"/>
    <tableColumn id="34" xr3:uid="{A578AE58-45B6-4D22-986A-CA64EEEBCB21}" name="Coluna1" dataDxfId="3646">
      <calculatedColumnFormula>IF(receitasfixasconsolidadoago[[#This Row],[TOTAL (R$)]]=0,"",IF(OR(receitasfixasconsolidadoago[[#This Row],[TOTAL (R$)]]=LARGE($AJ$82:$AJ$86,1),receitasfixasconsolidadoago[[#This Row],[TOTAL (R$)]]=LARGE($AJ$82:$AJ$86,2)),DADOS!$I$9,""))</calculatedColumnFormula>
    </tableColumn>
    <tableColumn id="2" xr3:uid="{064954DC-5311-427B-9BEA-A76B6B943719}" name="1" totalsRowFunction="sum" dataDxfId="3645" dataCellStyle="Moeda"/>
    <tableColumn id="3" xr3:uid="{7BA32157-5DFD-46E5-A1D0-D91F1B7A0A17}" name="2" totalsRowFunction="sum" dataDxfId="3644" dataCellStyle="Moeda">
      <calculatedColumnFormula>SUMIFS(tabela_registros[VALOR],tabela_registros[MÊS],$AE$1,tabela_registros[DIA],receitasfixasconsolidadoago[[#Headers],[2]],tabela_registros[REGISTRO],DADOS!$N$3,tabela_registros[TIPO],DADOS!$V$3,tabela_registros[CATEGORIA],receitasfixasconsolidadoago[[#This Row],[ATUAL]])</calculatedColumnFormula>
    </tableColumn>
    <tableColumn id="4" xr3:uid="{17FA4C85-1195-4F59-B025-F44FEE4073F5}" name="3" totalsRowFunction="sum" dataDxfId="3643" totalsRowDxfId="3642" dataCellStyle="Moeda">
      <calculatedColumnFormula>SUMIFS(tabela_registros[VALOR],tabela_registros[MÊS],$AE$1,tabela_registros[DIA],receitasfixasconsolidadoago[[#Headers],[3]],tabela_registros[REGISTRO],DADOS!$N$3,tabela_registros[TIPO],DADOS!$V$3,tabela_registros[CATEGORIA],receitasfixasconsolidadoago[[#This Row],[ATUAL]])</calculatedColumnFormula>
    </tableColumn>
    <tableColumn id="5" xr3:uid="{74F105DA-370B-4D45-8D11-8DAF10205FBB}" name="4" totalsRowFunction="sum" dataDxfId="3641" totalsRowDxfId="3640" dataCellStyle="Moeda">
      <calculatedColumnFormula>SUMIFS(tabela_registros[VALOR],tabela_registros[MÊS],$AE$1,tabela_registros[DIA],receitasfixasconsolidadoago[[#Headers],[4]],tabela_registros[REGISTRO],DADOS!$N$3,tabela_registros[TIPO],DADOS!$V$3,tabela_registros[CATEGORIA],receitasfixasconsolidadoago[[#This Row],[ATUAL]])</calculatedColumnFormula>
    </tableColumn>
    <tableColumn id="6" xr3:uid="{4590261E-A054-4935-A83D-7FCCAB2863FB}" name="5" totalsRowFunction="sum" dataDxfId="3639" totalsRowDxfId="3638" dataCellStyle="Moeda">
      <calculatedColumnFormula>SUMIFS(tabela_registros[VALOR],tabela_registros[MÊS],$AE$1,tabela_registros[DIA],receitasfixasconsolidadoago[[#Headers],[5]],tabela_registros[REGISTRO],DADOS!$N$3,tabela_registros[TIPO],DADOS!$V$3,tabela_registros[CATEGORIA],receitasfixasconsolidadoago[[#This Row],[ATUAL]])</calculatedColumnFormula>
    </tableColumn>
    <tableColumn id="7" xr3:uid="{AA00FB66-64FD-48FC-8BAA-8580CDC871CD}" name="6" totalsRowFunction="sum" dataDxfId="3637" totalsRowDxfId="3636" dataCellStyle="Moeda">
      <calculatedColumnFormula>SUMIFS(tabela_registros[VALOR],tabela_registros[MÊS],$AE$1,tabela_registros[DIA],receitasfixasconsolidadoago[[#Headers],[6]],tabela_registros[REGISTRO],DADOS!$N$3,tabela_registros[TIPO],DADOS!$V$3,tabela_registros[CATEGORIA],receitasfixasconsolidadoago[[#This Row],[ATUAL]])</calculatedColumnFormula>
    </tableColumn>
    <tableColumn id="8" xr3:uid="{2D535165-BAC4-41E5-B6B9-AA16E2C5FA15}" name="7" totalsRowFunction="sum" dataDxfId="3635" totalsRowDxfId="3634" dataCellStyle="Moeda">
      <calculatedColumnFormula>SUMIFS(tabela_registros[VALOR],tabela_registros[MÊS],$AE$1,tabela_registros[DIA],receitasfixasconsolidadoago[[#Headers],[7]],tabela_registros[REGISTRO],DADOS!$N$3,tabela_registros[TIPO],DADOS!$V$3,tabela_registros[CATEGORIA],receitasfixasconsolidadoago[[#This Row],[ATUAL]])</calculatedColumnFormula>
    </tableColumn>
    <tableColumn id="9" xr3:uid="{BF297756-74CA-4EB1-BD01-648509207C1C}" name="8" totalsRowFunction="sum" dataDxfId="3633" totalsRowDxfId="3632" dataCellStyle="Moeda">
      <calculatedColumnFormula>SUMIFS(tabela_registros[VALOR],tabela_registros[MÊS],$AE$1,tabela_registros[DIA],receitasfixasconsolidadoago[[#Headers],[8]],tabela_registros[REGISTRO],DADOS!$N$3,tabela_registros[TIPO],DADOS!$V$3,tabela_registros[CATEGORIA],receitasfixasconsolidadoago[[#This Row],[ATUAL]])</calculatedColumnFormula>
    </tableColumn>
    <tableColumn id="10" xr3:uid="{B84D59B0-1773-4934-B076-3E467DE4BBA4}" name="9" totalsRowFunction="sum" dataDxfId="3631" totalsRowDxfId="3630" dataCellStyle="Moeda">
      <calculatedColumnFormula>SUMIFS(tabela_registros[VALOR],tabela_registros[MÊS],$AE$1,tabela_registros[DIA],receitasfixasconsolidadoago[[#Headers],[9]],tabela_registros[REGISTRO],DADOS!$N$3,tabela_registros[TIPO],DADOS!$V$3,tabela_registros[CATEGORIA],receitasfixasconsolidadoago[[#This Row],[ATUAL]])</calculatedColumnFormula>
    </tableColumn>
    <tableColumn id="11" xr3:uid="{4E91943D-4AB3-4C1C-9EA1-87FC0C33AB51}" name="10" totalsRowFunction="sum" dataDxfId="3629" totalsRowDxfId="3628" dataCellStyle="Moeda">
      <calculatedColumnFormula>SUMIFS(tabela_registros[VALOR],tabela_registros[MÊS],$AE$1,tabela_registros[DIA],receitasfixasconsolidadoago[[#Headers],[10]],tabela_registros[REGISTRO],DADOS!$N$3,tabela_registros[TIPO],DADOS!$V$3,tabela_registros[CATEGORIA],receitasfixasconsolidadoago[[#This Row],[ATUAL]])</calculatedColumnFormula>
    </tableColumn>
    <tableColumn id="12" xr3:uid="{DF408901-3BC4-439C-99CB-CC463059AD25}" name="11" totalsRowFunction="sum" dataDxfId="3627" totalsRowDxfId="3626" dataCellStyle="Moeda">
      <calculatedColumnFormula>SUMIFS(tabela_registros[VALOR],tabela_registros[MÊS],$AE$1,tabela_registros[DIA],receitasfixasconsolidadoago[[#Headers],[11]],tabela_registros[REGISTRO],DADOS!$N$3,tabela_registros[TIPO],DADOS!$V$3,tabela_registros[CATEGORIA],receitasfixasconsolidadoago[[#This Row],[ATUAL]])</calculatedColumnFormula>
    </tableColumn>
    <tableColumn id="13" xr3:uid="{470C00FD-B897-4108-B4E0-A8627947310E}" name="12" totalsRowFunction="sum" dataDxfId="3625" totalsRowDxfId="3624" dataCellStyle="Moeda">
      <calculatedColumnFormula>SUMIFS(tabela_registros[VALOR],tabela_registros[MÊS],$AE$1,tabela_registros[DIA],receitasfixasconsolidadoago[[#Headers],[12]],tabela_registros[REGISTRO],DADOS!$N$3,tabela_registros[TIPO],DADOS!$V$3,tabela_registros[CATEGORIA],receitasfixasconsolidadoago[[#This Row],[ATUAL]])</calculatedColumnFormula>
    </tableColumn>
    <tableColumn id="14" xr3:uid="{BCE832C8-7EC2-4D0A-85C1-B95B2E1A7D48}" name="13" totalsRowFunction="sum" dataDxfId="3623" totalsRowDxfId="3622" dataCellStyle="Moeda">
      <calculatedColumnFormula>SUMIFS(tabela_registros[VALOR],tabela_registros[MÊS],$AE$1,tabela_registros[DIA],receitasfixasconsolidadoago[[#Headers],[13]],tabela_registros[REGISTRO],DADOS!$N$3,tabela_registros[TIPO],DADOS!$V$3,tabela_registros[CATEGORIA],receitasfixasconsolidadoago[[#This Row],[ATUAL]])</calculatedColumnFormula>
    </tableColumn>
    <tableColumn id="15" xr3:uid="{A4904F63-977B-4D19-B9D2-35F56D539B68}" name="14" totalsRowFunction="sum" dataDxfId="3621" totalsRowDxfId="3620" dataCellStyle="Moeda">
      <calculatedColumnFormula>SUMIFS(tabela_registros[VALOR],tabela_registros[MÊS],$AE$1,tabela_registros[DIA],receitasfixasconsolidadoago[[#Headers],[14]],tabela_registros[REGISTRO],DADOS!$N$3,tabela_registros[TIPO],DADOS!$V$3,tabela_registros[CATEGORIA],receitasfixasconsolidadoago[[#This Row],[ATUAL]])</calculatedColumnFormula>
    </tableColumn>
    <tableColumn id="16" xr3:uid="{5644CF9E-F760-4B05-8DD1-512076252921}" name="15" totalsRowFunction="sum" dataDxfId="3619" totalsRowDxfId="3618" dataCellStyle="Moeda">
      <calculatedColumnFormula>SUMIFS(tabela_registros[VALOR],tabela_registros[MÊS],$AE$1,tabela_registros[DIA],receitasfixasconsolidadoago[[#Headers],[15]],tabela_registros[REGISTRO],DADOS!$N$3,tabela_registros[TIPO],DADOS!$V$3,tabela_registros[CATEGORIA],receitasfixasconsolidadoago[[#This Row],[ATUAL]])</calculatedColumnFormula>
    </tableColumn>
    <tableColumn id="17" xr3:uid="{9810CE46-229E-424F-BC25-B2FAFF92AF6A}" name="16" totalsRowFunction="sum" dataDxfId="3617" totalsRowDxfId="3616" dataCellStyle="Moeda">
      <calculatedColumnFormula>SUMIFS(tabela_registros[VALOR],tabela_registros[MÊS],$AE$1,tabela_registros[DIA],receitasfixasconsolidadoago[[#Headers],[16]],tabela_registros[REGISTRO],DADOS!$N$3,tabela_registros[TIPO],DADOS!$V$3,tabela_registros[CATEGORIA],receitasfixasconsolidadoago[[#This Row],[ATUAL]])</calculatedColumnFormula>
    </tableColumn>
    <tableColumn id="18" xr3:uid="{0215E509-FBD7-426F-92EB-5CDFC5E8F23F}" name="17" totalsRowFunction="sum" dataDxfId="3615" totalsRowDxfId="3614" dataCellStyle="Moeda">
      <calculatedColumnFormula>SUMIFS(tabela_registros[VALOR],tabela_registros[MÊS],$AE$1,tabela_registros[DIA],receitasfixasconsolidadoago[[#Headers],[17]],tabela_registros[REGISTRO],DADOS!$N$3,tabela_registros[TIPO],DADOS!$V$3,tabela_registros[CATEGORIA],receitasfixasconsolidadoago[[#This Row],[ATUAL]])</calculatedColumnFormula>
    </tableColumn>
    <tableColumn id="19" xr3:uid="{D365C7EC-BADB-4122-BE21-B8FD1707F597}" name="18" totalsRowFunction="sum" dataDxfId="3613" totalsRowDxfId="3612" dataCellStyle="Moeda">
      <calculatedColumnFormula>SUMIFS(tabela_registros[VALOR],tabela_registros[MÊS],$AE$1,tabela_registros[DIA],receitasfixasconsolidadoago[[#Headers],[18]],tabela_registros[REGISTRO],DADOS!$N$3,tabela_registros[TIPO],DADOS!$V$3,tabela_registros[CATEGORIA],receitasfixasconsolidadoago[[#This Row],[ATUAL]])</calculatedColumnFormula>
    </tableColumn>
    <tableColumn id="20" xr3:uid="{55202AC1-A983-48CB-84F6-3DA84A449616}" name="19" totalsRowFunction="sum" dataDxfId="3611" totalsRowDxfId="3610" dataCellStyle="Moeda">
      <calculatedColumnFormula>SUMIFS(tabela_registros[VALOR],tabela_registros[MÊS],$AE$1,tabela_registros[DIA],receitasfixasconsolidadoago[[#Headers],[19]],tabela_registros[REGISTRO],DADOS!$N$3,tabela_registros[TIPO],DADOS!$V$3,tabela_registros[CATEGORIA],receitasfixasconsolidadoago[[#This Row],[ATUAL]])</calculatedColumnFormula>
    </tableColumn>
    <tableColumn id="21" xr3:uid="{D20462B3-9B70-4A2C-A351-6FB89BA9D030}" name="20" totalsRowFunction="sum" dataDxfId="3609" totalsRowDxfId="3608" dataCellStyle="Moeda">
      <calculatedColumnFormula>SUMIFS(tabela_registros[VALOR],tabela_registros[MÊS],$AE$1,tabela_registros[DIA],receitasfixasconsolidadoago[[#Headers],[20]],tabela_registros[REGISTRO],DADOS!$N$3,tabela_registros[TIPO],DADOS!$V$3,tabela_registros[CATEGORIA],receitasfixasconsolidadoago[[#This Row],[ATUAL]])</calculatedColumnFormula>
    </tableColumn>
    <tableColumn id="22" xr3:uid="{E12ED0B8-20A1-4761-87D4-B296D4CC9CE0}" name="21" totalsRowFunction="sum" dataDxfId="3607" totalsRowDxfId="3606" dataCellStyle="Moeda">
      <calculatedColumnFormula>SUMIFS(tabela_registros[VALOR],tabela_registros[MÊS],$AE$1,tabela_registros[DIA],receitasfixasconsolidadoago[[#Headers],[21]],tabela_registros[REGISTRO],DADOS!$N$3,tabela_registros[TIPO],DADOS!$V$3,tabela_registros[CATEGORIA],receitasfixasconsolidadoago[[#This Row],[ATUAL]])</calculatedColumnFormula>
    </tableColumn>
    <tableColumn id="23" xr3:uid="{C056121F-0F30-4A20-BAC4-28688F365623}" name="22" totalsRowFunction="sum" dataDxfId="3605" totalsRowDxfId="3604" dataCellStyle="Moeda">
      <calculatedColumnFormula>SUMIFS(tabela_registros[VALOR],tabela_registros[MÊS],$AE$1,tabela_registros[DIA],receitasfixasconsolidadoago[[#Headers],[22]],tabela_registros[REGISTRO],DADOS!$N$3,tabela_registros[TIPO],DADOS!$V$3,tabela_registros[CATEGORIA],receitasfixasconsolidadoago[[#This Row],[ATUAL]])</calculatedColumnFormula>
    </tableColumn>
    <tableColumn id="24" xr3:uid="{91CC14AD-1CD6-431E-8B7E-98E081600853}" name="23" totalsRowFunction="sum" dataDxfId="3603" totalsRowDxfId="3602" dataCellStyle="Moeda">
      <calculatedColumnFormula>SUMIFS(tabela_registros[VALOR],tabela_registros[MÊS],$AE$1,tabela_registros[DIA],receitasfixasconsolidadoago[[#Headers],[23]],tabela_registros[REGISTRO],DADOS!$N$3,tabela_registros[TIPO],DADOS!$V$3,tabela_registros[CATEGORIA],receitasfixasconsolidadoago[[#This Row],[ATUAL]])</calculatedColumnFormula>
    </tableColumn>
    <tableColumn id="25" xr3:uid="{FF72F283-113B-42EF-8C70-FB427EA9DA07}" name="24" totalsRowFunction="sum" dataDxfId="3601" totalsRowDxfId="3600" dataCellStyle="Moeda">
      <calculatedColumnFormula>SUMIFS(tabela_registros[VALOR],tabela_registros[MÊS],$AE$1,tabela_registros[DIA],receitasfixasconsolidadoago[[#Headers],[24]],tabela_registros[REGISTRO],DADOS!$N$3,tabela_registros[TIPO],DADOS!$V$3,tabela_registros[CATEGORIA],receitasfixasconsolidadoago[[#This Row],[ATUAL]])</calculatedColumnFormula>
    </tableColumn>
    <tableColumn id="26" xr3:uid="{D9C2C072-CAD7-4B54-B8AD-A2D55F64C038}" name="25" totalsRowFunction="sum" dataDxfId="3599" totalsRowDxfId="3598" dataCellStyle="Moeda">
      <calculatedColumnFormula>SUMIFS(tabela_registros[VALOR],tabela_registros[MÊS],$AE$1,tabela_registros[DIA],receitasfixasconsolidadoago[[#Headers],[25]],tabela_registros[REGISTRO],DADOS!$N$3,tabela_registros[TIPO],DADOS!$V$3,tabela_registros[CATEGORIA],receitasfixasconsolidadoago[[#This Row],[ATUAL]])</calculatedColumnFormula>
    </tableColumn>
    <tableColumn id="27" xr3:uid="{B07EFA5D-3491-49CC-AA79-DD99DB6D463F}" name="26" totalsRowFunction="sum" dataDxfId="3597" totalsRowDxfId="3596" dataCellStyle="Moeda">
      <calculatedColumnFormula>SUMIFS(tabela_registros[VALOR],tabela_registros[MÊS],$AE$1,tabela_registros[DIA],receitasfixasconsolidadoago[[#Headers],[26]],tabela_registros[REGISTRO],DADOS!$N$3,tabela_registros[TIPO],DADOS!$V$3,tabela_registros[CATEGORIA],receitasfixasconsolidadoago[[#This Row],[ATUAL]])</calculatedColumnFormula>
    </tableColumn>
    <tableColumn id="28" xr3:uid="{259D4A4E-2F3B-4E5A-90FD-994B9712D340}" name="27" totalsRowFunction="sum" dataDxfId="3595" totalsRowDxfId="3594" dataCellStyle="Moeda">
      <calculatedColumnFormula>SUMIFS(tabela_registros[VALOR],tabela_registros[MÊS],$AE$1,tabela_registros[DIA],receitasfixasconsolidadoago[[#Headers],[27]],tabela_registros[REGISTRO],DADOS!$N$3,tabela_registros[TIPO],DADOS!$V$3,tabela_registros[CATEGORIA],receitasfixasconsolidadoago[[#This Row],[ATUAL]])</calculatedColumnFormula>
    </tableColumn>
    <tableColumn id="29" xr3:uid="{D343A2A7-5A2B-44A4-A707-007045AC11CA}" name="28" totalsRowFunction="sum" dataDxfId="3593" totalsRowDxfId="3592" dataCellStyle="Moeda">
      <calculatedColumnFormula>SUMIFS(tabela_registros[VALOR],tabela_registros[MÊS],$AE$1,tabela_registros[DIA],receitasfixasconsolidadoago[[#Headers],[28]],tabela_registros[REGISTRO],DADOS!$N$3,tabela_registros[TIPO],DADOS!$V$3,tabela_registros[CATEGORIA],receitasfixasconsolidadoago[[#This Row],[ATUAL]])</calculatedColumnFormula>
    </tableColumn>
    <tableColumn id="30" xr3:uid="{27BBC339-1581-4268-B679-A6BE0161228E}" name="29" totalsRowFunction="sum" dataDxfId="3591" totalsRowDxfId="3590" dataCellStyle="Moeda">
      <calculatedColumnFormula>SUMIFS(tabela_registros[VALOR],tabela_registros[MÊS],$AE$1,tabela_registros[DIA],receitasfixasconsolidadoago[[#Headers],[29]],tabela_registros[REGISTRO],DADOS!$N$3,tabela_registros[TIPO],DADOS!$V$3,tabela_registros[CATEGORIA],receitasfixasconsolidadoago[[#This Row],[ATUAL]])</calculatedColumnFormula>
    </tableColumn>
    <tableColumn id="31" xr3:uid="{40390A11-9DC8-47E6-A451-ACE201883C82}" name="30" totalsRowFunction="sum" dataDxfId="3589" totalsRowDxfId="3588" dataCellStyle="Moeda">
      <calculatedColumnFormula>SUMIFS(tabela_registros[VALOR],tabela_registros[MÊS],$AE$1,tabela_registros[DIA],receitasfixasconsolidadoago[[#Headers],[30]],tabela_registros[REGISTRO],DADOS!$N$3,tabela_registros[TIPO],DADOS!$V$3,tabela_registros[CATEGORIA],receitasfixasconsolidadoago[[#This Row],[ATUAL]])</calculatedColumnFormula>
    </tableColumn>
    <tableColumn id="32" xr3:uid="{81A604F5-4666-4510-8E99-AAA208AA80B0}" name="31" totalsRowFunction="sum" dataDxfId="3587" totalsRowDxfId="3586" dataCellStyle="Moeda">
      <calculatedColumnFormula>SUMIFS(tabela_registros[VALOR],tabela_registros[MÊS],$AE$1,tabela_registros[DIA],receitasfixasconsolidadoago[[#Headers],[31]],tabela_registros[REGISTRO],DADOS!$N$3,tabela_registros[TIPO],DADOS!$V$3,tabela_registros[CATEGORIA],receitasfixasconsolidadoago[[#This Row],[ATUAL]])</calculatedColumnFormula>
    </tableColumn>
    <tableColumn id="33" xr3:uid="{01F7B023-9383-4126-9E5A-78AFC04471AE}" name="TOTAL (R$)" totalsRowFunction="sum" dataDxfId="3585" dataCellStyle="Moeda">
      <calculatedColumnFormula>SUM(receitasfixasconsolidadoago[[#This Row],[1]:[31]])</calculatedColumnFormula>
    </tableColumn>
  </tableColumns>
  <tableStyleInfo name="TABELAS RESULTADOS" showFirstColumn="0" showLastColumn="0" showRowStripes="1" showColumnStripes="0"/>
</table>
</file>

<file path=xl/tables/table10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1" xr:uid="{874BEE83-06B4-4875-B00B-D376BA38D081}" name="receitasvariáveisconsolidadoago" displayName="receitasvariáveisconsolidadoago" ref="C95:AJ104" headerRowDxfId="3584" dataDxfId="3583" totalsRowDxfId="3582">
  <autoFilter ref="C95:AJ104" xr:uid="{DEFDE68B-A97D-4ED5-9460-1E58A13A7942}"/>
  <tableColumns count="34">
    <tableColumn id="1" xr3:uid="{1B1096BA-26EE-4AF8-8117-1D9062397E3E}" name="ATUAL" totalsRowLabel="SALDO" dataDxfId="3581"/>
    <tableColumn id="34" xr3:uid="{B5F8B067-9ABD-4FB0-8FD9-5293CA31111F}" name="Coluna1" dataDxfId="3580" totalsRowDxfId="3579">
      <calculatedColumnFormula>IF(receitasvariáveisconsolidadoago[[#This Row],[TOTAL (R$)]]=0,"",IF(OR(receitasvariáveisconsolidadoago[[#This Row],[TOTAL (R$)]]=LARGE($AJ$96:$AJ$103,1),receitasvariáveisconsolidadoago[[#This Row],[TOTAL (R$)]]=LARGE($AJ$96:$AJ$103,2)),DADOS!$I$9,""))</calculatedColumnFormula>
    </tableColumn>
    <tableColumn id="2" xr3:uid="{65F57E22-276B-46FB-9B9B-265AE0222A7A}" name="1" totalsRowFunction="sum" dataDxfId="3578" dataCellStyle="Moeda"/>
    <tableColumn id="3" xr3:uid="{571CD892-A7A0-4580-A10B-A938EB1F9E80}" name="2" totalsRowFunction="sum" dataDxfId="3577" dataCellStyle="Moeda">
      <calculatedColumnFormula>SUMIFS(tabela_registros[VALOR],tabela_registros[MÊS],$AE$1,tabela_registros[DIA],receitasvariáveisconsolidadoago[[#Headers],[2]],tabela_registros[REGISTRO],DADOS!$N$3,tabela_registros[TIPO],DADOS!$V$3,tabela_registros[CATEGORIA],receitasvariáveisconsolidadoago[[#This Row],[ATUAL]])</calculatedColumnFormula>
    </tableColumn>
    <tableColumn id="4" xr3:uid="{67087B09-43A7-4CC5-8A23-1BD19E4665BB}" name="3" totalsRowFunction="sum" dataDxfId="3576" totalsRowDxfId="3575" dataCellStyle="Moeda">
      <calculatedColumnFormula>SUMIFS(tabela_registros[VALOR],tabela_registros[MÊS],$AE$1,tabela_registros[DIA],receitasvariáveisconsolidadoago[[#Headers],[3]],tabela_registros[REGISTRO],DADOS!$N$3,tabela_registros[TIPO],DADOS!$V$3,tabela_registros[CATEGORIA],receitasvariáveisconsolidadoago[[#This Row],[ATUAL]])</calculatedColumnFormula>
    </tableColumn>
    <tableColumn id="5" xr3:uid="{06682352-BA65-4314-A6C2-1A927446B7A3}" name="4" totalsRowFunction="sum" dataDxfId="3574" totalsRowDxfId="3573" dataCellStyle="Moeda">
      <calculatedColumnFormula>SUMIFS(tabela_registros[VALOR],tabela_registros[MÊS],$AE$1,tabela_registros[DIA],receitasvariáveisconsolidadoago[[#Headers],[4]],tabela_registros[REGISTRO],DADOS!$N$3,tabela_registros[TIPO],DADOS!$V$3,tabela_registros[CATEGORIA],receitasvariáveisconsolidadoago[[#This Row],[ATUAL]])</calculatedColumnFormula>
    </tableColumn>
    <tableColumn id="6" xr3:uid="{67936040-123F-4B8D-8844-E8918F792222}" name="5" totalsRowFunction="sum" dataDxfId="3572" totalsRowDxfId="3571" dataCellStyle="Moeda">
      <calculatedColumnFormula>SUMIFS(tabela_registros[VALOR],tabela_registros[MÊS],$AE$1,tabela_registros[DIA],receitasvariáveisconsolidadoago[[#Headers],[5]],tabela_registros[REGISTRO],DADOS!$N$3,tabela_registros[TIPO],DADOS!$V$3,tabela_registros[CATEGORIA],receitasvariáveisconsolidadoago[[#This Row],[ATUAL]])</calculatedColumnFormula>
    </tableColumn>
    <tableColumn id="7" xr3:uid="{941BD15A-DB89-4211-9AD7-877E468128F7}" name="6" totalsRowFunction="sum" dataDxfId="3570" totalsRowDxfId="3569" dataCellStyle="Moeda">
      <calculatedColumnFormula>SUMIFS(tabela_registros[VALOR],tabela_registros[MÊS],$AE$1,tabela_registros[DIA],receitasvariáveisconsolidadoago[[#Headers],[6]],tabela_registros[REGISTRO],DADOS!$N$3,tabela_registros[TIPO],DADOS!$V$3,tabela_registros[CATEGORIA],receitasvariáveisconsolidadoago[[#This Row],[ATUAL]])</calculatedColumnFormula>
    </tableColumn>
    <tableColumn id="8" xr3:uid="{E024F49A-DC5F-444C-A36B-284D36D0A177}" name="7" totalsRowFunction="sum" dataDxfId="3568" totalsRowDxfId="3567" dataCellStyle="Moeda">
      <calculatedColumnFormula>SUMIFS(tabela_registros[VALOR],tabela_registros[MÊS],$AE$1,tabela_registros[DIA],receitasvariáveisconsolidadoago[[#Headers],[7]],tabela_registros[REGISTRO],DADOS!$N$3,tabela_registros[TIPO],DADOS!$V$3,tabela_registros[CATEGORIA],receitasvariáveisconsolidadoago[[#This Row],[ATUAL]])</calculatedColumnFormula>
    </tableColumn>
    <tableColumn id="9" xr3:uid="{E07039E9-C073-4DDD-8864-6FC8DC2F00D8}" name="8" totalsRowFunction="sum" dataDxfId="3566" totalsRowDxfId="3565" dataCellStyle="Moeda">
      <calculatedColumnFormula>SUMIFS(tabela_registros[VALOR],tabela_registros[MÊS],$AE$1,tabela_registros[DIA],receitasvariáveisconsolidadoago[[#Headers],[8]],tabela_registros[REGISTRO],DADOS!$N$3,tabela_registros[TIPO],DADOS!$V$3,tabela_registros[CATEGORIA],receitasvariáveisconsolidadoago[[#This Row],[ATUAL]])</calculatedColumnFormula>
    </tableColumn>
    <tableColumn id="10" xr3:uid="{EAD84E36-A3B4-4242-A19A-8B68F53F5847}" name="9" totalsRowFunction="sum" dataDxfId="3564" totalsRowDxfId="3563" dataCellStyle="Moeda">
      <calculatedColumnFormula>SUMIFS(tabela_registros[VALOR],tabela_registros[MÊS],$AE$1,tabela_registros[DIA],receitasvariáveisconsolidadoago[[#Headers],[9]],tabela_registros[REGISTRO],DADOS!$N$3,tabela_registros[TIPO],DADOS!$V$3,tabela_registros[CATEGORIA],receitasvariáveisconsolidadoago[[#This Row],[ATUAL]])</calculatedColumnFormula>
    </tableColumn>
    <tableColumn id="11" xr3:uid="{9040569E-8E72-4F91-9D21-A1C3FDB8062C}" name="10" totalsRowFunction="sum" dataDxfId="3562" totalsRowDxfId="3561" dataCellStyle="Moeda">
      <calculatedColumnFormula>SUMIFS(tabela_registros[VALOR],tabela_registros[MÊS],$AE$1,tabela_registros[DIA],receitasvariáveisconsolidadoago[[#Headers],[10]],tabela_registros[REGISTRO],DADOS!$N$3,tabela_registros[TIPO],DADOS!$V$3,tabela_registros[CATEGORIA],receitasvariáveisconsolidadoago[[#This Row],[ATUAL]])</calculatedColumnFormula>
    </tableColumn>
    <tableColumn id="12" xr3:uid="{DABC64C4-4448-412A-94C8-E6AE1148A381}" name="11" totalsRowFunction="sum" dataDxfId="3560" totalsRowDxfId="3559" dataCellStyle="Moeda">
      <calculatedColumnFormula>SUMIFS(tabela_registros[VALOR],tabela_registros[MÊS],$AE$1,tabela_registros[DIA],receitasvariáveisconsolidadoago[[#Headers],[11]],tabela_registros[REGISTRO],DADOS!$N$3,tabela_registros[TIPO],DADOS!$V$3,tabela_registros[CATEGORIA],receitasvariáveisconsolidadoago[[#This Row],[ATUAL]])</calculatedColumnFormula>
    </tableColumn>
    <tableColumn id="13" xr3:uid="{C009071A-2581-476F-940B-D4926DA8818F}" name="12" totalsRowFunction="sum" dataDxfId="3558" totalsRowDxfId="3557" dataCellStyle="Moeda">
      <calculatedColumnFormula>SUMIFS(tabela_registros[VALOR],tabela_registros[MÊS],$AE$1,tabela_registros[DIA],receitasvariáveisconsolidadoago[[#Headers],[12]],tabela_registros[REGISTRO],DADOS!$N$3,tabela_registros[TIPO],DADOS!$V$3,tabela_registros[CATEGORIA],receitasvariáveisconsolidadoago[[#This Row],[ATUAL]])</calculatedColumnFormula>
    </tableColumn>
    <tableColumn id="14" xr3:uid="{F16E129B-C00E-49B3-B8F0-815374EDA19E}" name="13" totalsRowFunction="sum" dataDxfId="3556" totalsRowDxfId="3555" dataCellStyle="Moeda">
      <calculatedColumnFormula>SUMIFS(tabela_registros[VALOR],tabela_registros[MÊS],$AE$1,tabela_registros[DIA],receitasvariáveisconsolidadoago[[#Headers],[13]],tabela_registros[REGISTRO],DADOS!$N$3,tabela_registros[TIPO],DADOS!$V$3,tabela_registros[CATEGORIA],receitasvariáveisconsolidadoago[[#This Row],[ATUAL]])</calculatedColumnFormula>
    </tableColumn>
    <tableColumn id="15" xr3:uid="{3F48F43A-F72C-425A-8FB8-DB95F998E39B}" name="14" totalsRowFunction="sum" dataDxfId="3554" totalsRowDxfId="3553" dataCellStyle="Moeda">
      <calculatedColumnFormula>SUMIFS(tabela_registros[VALOR],tabela_registros[MÊS],$AE$1,tabela_registros[DIA],receitasvariáveisconsolidadoago[[#Headers],[14]],tabela_registros[REGISTRO],DADOS!$N$3,tabela_registros[TIPO],DADOS!$V$3,tabela_registros[CATEGORIA],receitasvariáveisconsolidadoago[[#This Row],[ATUAL]])</calculatedColumnFormula>
    </tableColumn>
    <tableColumn id="16" xr3:uid="{85C64AEC-208E-4B88-A03A-5CF0CCAB928D}" name="15" totalsRowFunction="sum" dataDxfId="3552" totalsRowDxfId="3551" dataCellStyle="Moeda">
      <calculatedColumnFormula>SUMIFS(tabela_registros[VALOR],tabela_registros[MÊS],$AE$1,tabela_registros[DIA],receitasvariáveisconsolidadoago[[#Headers],[15]],tabela_registros[REGISTRO],DADOS!$N$3,tabela_registros[TIPO],DADOS!$V$3,tabela_registros[CATEGORIA],receitasvariáveisconsolidadoago[[#This Row],[ATUAL]])</calculatedColumnFormula>
    </tableColumn>
    <tableColumn id="17" xr3:uid="{4D4F5D2B-B62D-440D-B2E5-61608B08DCD3}" name="16" totalsRowFunction="sum" dataDxfId="3550" totalsRowDxfId="3549" dataCellStyle="Moeda">
      <calculatedColumnFormula>SUMIFS(tabela_registros[VALOR],tabela_registros[MÊS],$AE$1,tabela_registros[DIA],receitasvariáveisconsolidadoago[[#Headers],[16]],tabela_registros[REGISTRO],DADOS!$N$3,tabela_registros[TIPO],DADOS!$V$3,tabela_registros[CATEGORIA],receitasvariáveisconsolidadoago[[#This Row],[ATUAL]])</calculatedColumnFormula>
    </tableColumn>
    <tableColumn id="18" xr3:uid="{BC7FF903-0C38-405E-ADD2-CC67FFEA7CB3}" name="17" totalsRowFunction="sum" dataDxfId="3548" totalsRowDxfId="3547" dataCellStyle="Moeda">
      <calculatedColumnFormula>SUMIFS(tabela_registros[VALOR],tabela_registros[MÊS],$AE$1,tabela_registros[DIA],receitasvariáveisconsolidadoago[[#Headers],[17]],tabela_registros[REGISTRO],DADOS!$N$3,tabela_registros[TIPO],DADOS!$V$3,tabela_registros[CATEGORIA],receitasvariáveisconsolidadoago[[#This Row],[ATUAL]])</calculatedColumnFormula>
    </tableColumn>
    <tableColumn id="19" xr3:uid="{DEE64111-F055-47AD-8908-3EE7133F1293}" name="18" totalsRowFunction="sum" dataDxfId="3546" totalsRowDxfId="3545" dataCellStyle="Moeda">
      <calculatedColumnFormula>SUMIFS(tabela_registros[VALOR],tabela_registros[MÊS],$AE$1,tabela_registros[DIA],receitasvariáveisconsolidadoago[[#Headers],[18]],tabela_registros[REGISTRO],DADOS!$N$3,tabela_registros[TIPO],DADOS!$V$3,tabela_registros[CATEGORIA],receitasvariáveisconsolidadoago[[#This Row],[ATUAL]])</calculatedColumnFormula>
    </tableColumn>
    <tableColumn id="20" xr3:uid="{944D82D6-72DC-4E7D-A1CE-0DDEDAB1FCAD}" name="19" totalsRowFunction="sum" dataDxfId="3544" totalsRowDxfId="3543" dataCellStyle="Moeda">
      <calculatedColumnFormula>SUMIFS(tabela_registros[VALOR],tabela_registros[MÊS],$AE$1,tabela_registros[DIA],receitasvariáveisconsolidadoago[[#Headers],[19]],tabela_registros[REGISTRO],DADOS!$N$3,tabela_registros[TIPO],DADOS!$V$3,tabela_registros[CATEGORIA],receitasvariáveisconsolidadoago[[#This Row],[ATUAL]])</calculatedColumnFormula>
    </tableColumn>
    <tableColumn id="21" xr3:uid="{2811D8CE-1A3D-4597-9DD2-55E64F3074CC}" name="20" totalsRowFunction="sum" dataDxfId="3542" totalsRowDxfId="3541" dataCellStyle="Moeda">
      <calculatedColumnFormula>SUMIFS(tabela_registros[VALOR],tabela_registros[MÊS],$AE$1,tabela_registros[DIA],receitasvariáveisconsolidadoago[[#Headers],[20]],tabela_registros[REGISTRO],DADOS!$N$3,tabela_registros[TIPO],DADOS!$V$3,tabela_registros[CATEGORIA],receitasvariáveisconsolidadoago[[#This Row],[ATUAL]])</calculatedColumnFormula>
    </tableColumn>
    <tableColumn id="22" xr3:uid="{29E123F8-15EB-46C4-A3CD-86D394A51028}" name="21" totalsRowFunction="sum" dataDxfId="3540" totalsRowDxfId="3539" dataCellStyle="Moeda">
      <calculatedColumnFormula>SUMIFS(tabela_registros[VALOR],tabela_registros[MÊS],$AE$1,tabela_registros[DIA],receitasvariáveisconsolidadoago[[#Headers],[21]],tabela_registros[REGISTRO],DADOS!$N$3,tabela_registros[TIPO],DADOS!$V$3,tabela_registros[CATEGORIA],receitasvariáveisconsolidadoago[[#This Row],[ATUAL]])</calculatedColumnFormula>
    </tableColumn>
    <tableColumn id="23" xr3:uid="{61772866-EAC5-429E-A726-7DEC72A0C56D}" name="22" totalsRowFunction="sum" dataDxfId="3538" totalsRowDxfId="3537" dataCellStyle="Moeda">
      <calculatedColumnFormula>SUMIFS(tabela_registros[VALOR],tabela_registros[MÊS],$AE$1,tabela_registros[DIA],receitasvariáveisconsolidadoago[[#Headers],[22]],tabela_registros[REGISTRO],DADOS!$N$3,tabela_registros[TIPO],DADOS!$V$3,tabela_registros[CATEGORIA],receitasvariáveisconsolidadoago[[#This Row],[ATUAL]])</calculatedColumnFormula>
    </tableColumn>
    <tableColumn id="24" xr3:uid="{9B315E71-F38B-45C1-930A-1A6DF23C7EF8}" name="23" totalsRowFunction="sum" dataDxfId="3536" totalsRowDxfId="3535" dataCellStyle="Moeda">
      <calculatedColumnFormula>SUMIFS(tabela_registros[VALOR],tabela_registros[MÊS],$AE$1,tabela_registros[DIA],receitasvariáveisconsolidadoago[[#Headers],[23]],tabela_registros[REGISTRO],DADOS!$N$3,tabela_registros[TIPO],DADOS!$V$3,tabela_registros[CATEGORIA],receitasvariáveisconsolidadoago[[#This Row],[ATUAL]])</calculatedColumnFormula>
    </tableColumn>
    <tableColumn id="25" xr3:uid="{FC7C177F-6675-4FAD-8A4D-36A27139408D}" name="24" totalsRowFunction="sum" dataDxfId="3534" totalsRowDxfId="3533" dataCellStyle="Moeda">
      <calculatedColumnFormula>SUMIFS(tabela_registros[VALOR],tabela_registros[MÊS],$AE$1,tabela_registros[DIA],receitasvariáveisconsolidadoago[[#Headers],[24]],tabela_registros[REGISTRO],DADOS!$N$3,tabela_registros[TIPO],DADOS!$V$3,tabela_registros[CATEGORIA],receitasvariáveisconsolidadoago[[#This Row],[ATUAL]])</calculatedColumnFormula>
    </tableColumn>
    <tableColumn id="26" xr3:uid="{84F0327D-B144-46B9-A325-5E8878523CC5}" name="25" totalsRowFunction="sum" dataDxfId="3532" totalsRowDxfId="3531" dataCellStyle="Moeda">
      <calculatedColumnFormula>SUMIFS(tabela_registros[VALOR],tabela_registros[MÊS],$AE$1,tabela_registros[DIA],receitasvariáveisconsolidadoago[[#Headers],[25]],tabela_registros[REGISTRO],DADOS!$N$3,tabela_registros[TIPO],DADOS!$V$3,tabela_registros[CATEGORIA],receitasvariáveisconsolidadoago[[#This Row],[ATUAL]])</calculatedColumnFormula>
    </tableColumn>
    <tableColumn id="27" xr3:uid="{84C1081C-2D75-481D-826A-ECA03B4144A8}" name="26" totalsRowFunction="sum" dataDxfId="3530" totalsRowDxfId="3529" dataCellStyle="Moeda">
      <calculatedColumnFormula>SUMIFS(tabela_registros[VALOR],tabela_registros[MÊS],$AE$1,tabela_registros[DIA],receitasvariáveisconsolidadoago[[#Headers],[26]],tabela_registros[REGISTRO],DADOS!$N$3,tabela_registros[TIPO],DADOS!$V$3,tabela_registros[CATEGORIA],receitasvariáveisconsolidadoago[[#This Row],[ATUAL]])</calculatedColumnFormula>
    </tableColumn>
    <tableColumn id="28" xr3:uid="{72C6A57C-ADAE-422D-A5C7-12E04C12CB01}" name="27" totalsRowFunction="sum" dataDxfId="3528" totalsRowDxfId="3527" dataCellStyle="Moeda">
      <calculatedColumnFormula>SUMIFS(tabela_registros[VALOR],tabela_registros[MÊS],$AE$1,tabela_registros[DIA],receitasvariáveisconsolidadoago[[#Headers],[27]],tabela_registros[REGISTRO],DADOS!$N$3,tabela_registros[TIPO],DADOS!$V$3,tabela_registros[CATEGORIA],receitasvariáveisconsolidadoago[[#This Row],[ATUAL]])</calculatedColumnFormula>
    </tableColumn>
    <tableColumn id="29" xr3:uid="{6090C5B4-A15E-4C36-99C8-9238C83D20EE}" name="28" totalsRowFunction="sum" dataDxfId="3526" totalsRowDxfId="3525" dataCellStyle="Moeda">
      <calculatedColumnFormula>SUMIFS(tabela_registros[VALOR],tabela_registros[MÊS],$AE$1,tabela_registros[DIA],receitasvariáveisconsolidadoago[[#Headers],[28]],tabela_registros[REGISTRO],DADOS!$N$3,tabela_registros[TIPO],DADOS!$V$3,tabela_registros[CATEGORIA],receitasvariáveisconsolidadoago[[#This Row],[ATUAL]])</calculatedColumnFormula>
    </tableColumn>
    <tableColumn id="30" xr3:uid="{9DAAD70A-726B-4FB5-A4C0-30A56CDE5E8C}" name="29" totalsRowFunction="sum" dataDxfId="3524" totalsRowDxfId="3523" dataCellStyle="Moeda">
      <calculatedColumnFormula>SUMIFS(tabela_registros[VALOR],tabela_registros[MÊS],$AE$1,tabela_registros[DIA],receitasvariáveisconsolidadoago[[#Headers],[29]],tabela_registros[REGISTRO],DADOS!$N$3,tabela_registros[TIPO],DADOS!$V$3,tabela_registros[CATEGORIA],receitasvariáveisconsolidadoago[[#This Row],[ATUAL]])</calculatedColumnFormula>
    </tableColumn>
    <tableColumn id="31" xr3:uid="{2DC37656-6041-453F-86F0-750234B79BD3}" name="30" totalsRowFunction="sum" dataDxfId="3522" totalsRowDxfId="3521" dataCellStyle="Moeda">
      <calculatedColumnFormula>SUMIFS(tabela_registros[VALOR],tabela_registros[MÊS],$AE$1,tabela_registros[DIA],receitasvariáveisconsolidadoago[[#Headers],[30]],tabela_registros[REGISTRO],DADOS!$N$3,tabela_registros[TIPO],DADOS!$V$3,tabela_registros[CATEGORIA],receitasvariáveisconsolidadoago[[#This Row],[ATUAL]])</calculatedColumnFormula>
    </tableColumn>
    <tableColumn id="32" xr3:uid="{8CCF7CFB-8C10-4B55-8F39-B0AD71BDECC6}" name="31" totalsRowFunction="sum" dataDxfId="3520" totalsRowDxfId="3519" dataCellStyle="Moeda">
      <calculatedColumnFormula>SUMIFS(tabela_registros[VALOR],tabela_registros[MÊS],$AE$1,tabela_registros[DIA],receitasvariáveisconsolidadoago[[#Headers],[31]],tabela_registros[REGISTRO],DADOS!$N$3,tabela_registros[TIPO],DADOS!$V$3,tabela_registros[CATEGORIA],receitasvariáveisconsolidadoago[[#This Row],[ATUAL]])</calculatedColumnFormula>
    </tableColumn>
    <tableColumn id="33" xr3:uid="{0B69EF01-6263-40D3-9B19-10E30F9C5DC2}" name="TOTAL (R$)" totalsRowFunction="sum" dataDxfId="3518" dataCellStyle="Moeda">
      <calculatedColumnFormula>SUM(receitasvariáveisconsolidadoago[[#This Row],[1]:[31]])</calculatedColumnFormula>
    </tableColumn>
  </tableColumns>
  <tableStyleInfo name="TABELAS RESULTADOS" showFirstColumn="0" showLastColumn="0" showRowStripes="1" showColumnStripes="0"/>
</table>
</file>

<file path=xl/tables/table10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2" xr:uid="{F5792814-1D03-41CA-A79E-8741A9FCB515}" name="investirrendafixaconsolidadoago" displayName="investirrendafixaconsolidadoago" ref="C112:AJ123" headerRowDxfId="3517" dataDxfId="3516" totalsRowDxfId="3515">
  <autoFilter ref="C112:AJ123" xr:uid="{3BCF8FD2-4C10-4776-87A3-7B16A33417A4}"/>
  <tableColumns count="34">
    <tableColumn id="1" xr3:uid="{034B4693-738B-4C40-AE1C-12C75976E12E}" name="ATUAL" totalsRowLabel="SALDO" dataDxfId="3514"/>
    <tableColumn id="34" xr3:uid="{982354EB-816F-471F-B184-D41208EC5CF9}" name="Coluna1" dataDxfId="3513" totalsRowDxfId="3512">
      <calculatedColumnFormula>IF(investirrendafixaconsolidadoago[[#This Row],[TOTAL (R$)]]=0,"",IF(OR(investirrendafixaconsolidadoago[[#This Row],[TOTAL (R$)]]=LARGE($AJ$113:$AJ$122,1),investirrendafixaconsolidadoago[[#This Row],[TOTAL (R$)]]=LARGE($AJ$113:$AJ$122,2)),DADOS!$I$10,""))</calculatedColumnFormula>
    </tableColumn>
    <tableColumn id="2" xr3:uid="{ED240A33-F54C-42A8-BD6D-C7D23506D045}" name="1" totalsRowFunction="sum" dataDxfId="3511" dataCellStyle="Moeda"/>
    <tableColumn id="3" xr3:uid="{FF37B94E-FADC-4617-8BF8-A428FE9C7C27}" name="2" totalsRowFunction="sum" dataDxfId="3510" dataCellStyle="Moeda">
      <calculatedColumnFormula>SUMIFS(tabela_registros[VALOR],tabela_registros[MÊS],$AE$1,tabela_registros[DIA],investirrendafixaconsolidadoago[[#Headers],[2]],tabela_registros[REGISTRO],DADOS!$N$3,tabela_registros[TIPO],DADOS!$V$3,tabela_registros[CATEGORIA],investirrendafixaconsolidadoago[[#This Row],[ATUAL]])</calculatedColumnFormula>
    </tableColumn>
    <tableColumn id="4" xr3:uid="{B84B3878-D30E-49DC-A90F-39A4623851AC}" name="3" totalsRowFunction="sum" dataDxfId="3509" totalsRowDxfId="3508" dataCellStyle="Moeda">
      <calculatedColumnFormula>SUMIFS(tabela_registros[VALOR],tabela_registros[MÊS],$AE$1,tabela_registros[DIA],investirrendafixaconsolidadoago[[#Headers],[3]],tabela_registros[REGISTRO],DADOS!$N$3,tabela_registros[TIPO],DADOS!$V$3,tabela_registros[CATEGORIA],investirrendafixaconsolidadoago[[#This Row],[ATUAL]])</calculatedColumnFormula>
    </tableColumn>
    <tableColumn id="5" xr3:uid="{A0723A59-1AFB-43C0-8FDD-AC0E2F27D120}" name="4" totalsRowFunction="sum" dataDxfId="3507" totalsRowDxfId="3506" dataCellStyle="Moeda">
      <calculatedColumnFormula>SUMIFS(tabela_registros[VALOR],tabela_registros[MÊS],$AE$1,tabela_registros[DIA],investirrendafixaconsolidadoago[[#Headers],[4]],tabela_registros[REGISTRO],DADOS!$N$3,tabela_registros[TIPO],DADOS!$V$3,tabela_registros[CATEGORIA],investirrendafixaconsolidadoago[[#This Row],[ATUAL]])</calculatedColumnFormula>
    </tableColumn>
    <tableColumn id="6" xr3:uid="{8B8FD197-B67E-41D0-9659-BB4E40715DCC}" name="5" totalsRowFunction="sum" dataDxfId="3505" totalsRowDxfId="3504" dataCellStyle="Moeda">
      <calculatedColumnFormula>SUMIFS(tabela_registros[VALOR],tabela_registros[MÊS],$AE$1,tabela_registros[DIA],investirrendafixaconsolidadoago[[#Headers],[5]],tabela_registros[REGISTRO],DADOS!$N$3,tabela_registros[TIPO],DADOS!$V$3,tabela_registros[CATEGORIA],investirrendafixaconsolidadoago[[#This Row],[ATUAL]])</calculatedColumnFormula>
    </tableColumn>
    <tableColumn id="7" xr3:uid="{48D572F5-278F-4C9B-BA8C-2C3F601BB6D8}" name="6" totalsRowFunction="sum" dataDxfId="3503" totalsRowDxfId="3502" dataCellStyle="Moeda">
      <calculatedColumnFormula>SUMIFS(tabela_registros[VALOR],tabela_registros[MÊS],$AE$1,tabela_registros[DIA],investirrendafixaconsolidadoago[[#Headers],[6]],tabela_registros[REGISTRO],DADOS!$N$3,tabela_registros[TIPO],DADOS!$V$3,tabela_registros[CATEGORIA],investirrendafixaconsolidadoago[[#This Row],[ATUAL]])</calculatedColumnFormula>
    </tableColumn>
    <tableColumn id="8" xr3:uid="{53B4437A-8685-46DB-A4D7-FFA674C303ED}" name="7" totalsRowFunction="sum" dataDxfId="3501" totalsRowDxfId="3500" dataCellStyle="Moeda">
      <calculatedColumnFormula>SUMIFS(tabela_registros[VALOR],tabela_registros[MÊS],$AE$1,tabela_registros[DIA],investirrendafixaconsolidadoago[[#Headers],[7]],tabela_registros[REGISTRO],DADOS!$N$3,tabela_registros[TIPO],DADOS!$V$3,tabela_registros[CATEGORIA],investirrendafixaconsolidadoago[[#This Row],[ATUAL]])</calculatedColumnFormula>
    </tableColumn>
    <tableColumn id="9" xr3:uid="{589B8513-97D0-4CDF-9683-F38D02E50D88}" name="8" totalsRowFunction="sum" dataDxfId="3499" totalsRowDxfId="3498" dataCellStyle="Moeda">
      <calculatedColumnFormula>SUMIFS(tabela_registros[VALOR],tabela_registros[MÊS],$AE$1,tabela_registros[DIA],investirrendafixaconsolidadoago[[#Headers],[8]],tabela_registros[REGISTRO],DADOS!$N$3,tabela_registros[TIPO],DADOS!$V$3,tabela_registros[CATEGORIA],investirrendafixaconsolidadoago[[#This Row],[ATUAL]])</calculatedColumnFormula>
    </tableColumn>
    <tableColumn id="10" xr3:uid="{D36D224B-DF34-4167-B194-D1102CBC5EB2}" name="9" totalsRowFunction="sum" dataDxfId="3497" totalsRowDxfId="3496" dataCellStyle="Moeda">
      <calculatedColumnFormula>SUMIFS(tabela_registros[VALOR],tabela_registros[MÊS],$AE$1,tabela_registros[DIA],investirrendafixaconsolidadoago[[#Headers],[9]],tabela_registros[REGISTRO],DADOS!$N$3,tabela_registros[TIPO],DADOS!$V$3,tabela_registros[CATEGORIA],investirrendafixaconsolidadoago[[#This Row],[ATUAL]])</calculatedColumnFormula>
    </tableColumn>
    <tableColumn id="11" xr3:uid="{0B8E4077-E274-44D0-A0CB-0F124F2F0223}" name="10" totalsRowFunction="sum" dataDxfId="3495" totalsRowDxfId="3494" dataCellStyle="Moeda">
      <calculatedColumnFormula>SUMIFS(tabela_registros[VALOR],tabela_registros[MÊS],$AE$1,tabela_registros[DIA],investirrendafixaconsolidadoago[[#Headers],[10]],tabela_registros[REGISTRO],DADOS!$N$3,tabela_registros[TIPO],DADOS!$V$3,tabela_registros[CATEGORIA],investirrendafixaconsolidadoago[[#This Row],[ATUAL]])</calculatedColumnFormula>
    </tableColumn>
    <tableColumn id="12" xr3:uid="{E4E540A8-CB8C-4C2D-B9CC-E2416EA7A979}" name="11" totalsRowFunction="sum" dataDxfId="3493" totalsRowDxfId="3492" dataCellStyle="Moeda">
      <calculatedColumnFormula>SUMIFS(tabela_registros[VALOR],tabela_registros[MÊS],$AE$1,tabela_registros[DIA],investirrendafixaconsolidadoago[[#Headers],[11]],tabela_registros[REGISTRO],DADOS!$N$3,tabela_registros[TIPO],DADOS!$V$3,tabela_registros[CATEGORIA],investirrendafixaconsolidadoago[[#This Row],[ATUAL]])</calculatedColumnFormula>
    </tableColumn>
    <tableColumn id="13" xr3:uid="{E5E4FF50-EF82-490F-81DD-25AC0880984D}" name="12" totalsRowFunction="sum" dataDxfId="3491" totalsRowDxfId="3490" dataCellStyle="Moeda">
      <calculatedColumnFormula>SUMIFS(tabela_registros[VALOR],tabela_registros[MÊS],$AE$1,tabela_registros[DIA],investirrendafixaconsolidadoago[[#Headers],[12]],tabela_registros[REGISTRO],DADOS!$N$3,tabela_registros[TIPO],DADOS!$V$3,tabela_registros[CATEGORIA],investirrendafixaconsolidadoago[[#This Row],[ATUAL]])</calculatedColumnFormula>
    </tableColumn>
    <tableColumn id="14" xr3:uid="{3C7018C1-788A-48F9-8162-E8463C78B45E}" name="13" totalsRowFunction="sum" dataDxfId="3489" totalsRowDxfId="3488" dataCellStyle="Moeda">
      <calculatedColumnFormula>SUMIFS(tabela_registros[VALOR],tabela_registros[MÊS],$AE$1,tabela_registros[DIA],investirrendafixaconsolidadoago[[#Headers],[13]],tabela_registros[REGISTRO],DADOS!$N$3,tabela_registros[TIPO],DADOS!$V$3,tabela_registros[CATEGORIA],investirrendafixaconsolidadoago[[#This Row],[ATUAL]])</calculatedColumnFormula>
    </tableColumn>
    <tableColumn id="15" xr3:uid="{6ACC4C00-1725-4D3E-973B-448C0790E2AF}" name="14" totalsRowFunction="sum" dataDxfId="3487" totalsRowDxfId="3486" dataCellStyle="Moeda">
      <calculatedColumnFormula>SUMIFS(tabela_registros[VALOR],tabela_registros[MÊS],$AE$1,tabela_registros[DIA],investirrendafixaconsolidadoago[[#Headers],[14]],tabela_registros[REGISTRO],DADOS!$N$3,tabela_registros[TIPO],DADOS!$V$3,tabela_registros[CATEGORIA],investirrendafixaconsolidadoago[[#This Row],[ATUAL]])</calculatedColumnFormula>
    </tableColumn>
    <tableColumn id="16" xr3:uid="{83A2C14E-E202-4AC6-A67C-22D4C5DA2B07}" name="15" totalsRowFunction="sum" dataDxfId="3485" totalsRowDxfId="3484" dataCellStyle="Moeda">
      <calculatedColumnFormula>SUMIFS(tabela_registros[VALOR],tabela_registros[MÊS],$AE$1,tabela_registros[DIA],investirrendafixaconsolidadoago[[#Headers],[15]],tabela_registros[REGISTRO],DADOS!$N$3,tabela_registros[TIPO],DADOS!$V$3,tabela_registros[CATEGORIA],investirrendafixaconsolidadoago[[#This Row],[ATUAL]])</calculatedColumnFormula>
    </tableColumn>
    <tableColumn id="17" xr3:uid="{1A144E21-2ED0-4970-A080-36541652268E}" name="16" totalsRowFunction="sum" dataDxfId="3483" totalsRowDxfId="3482" dataCellStyle="Moeda">
      <calculatedColumnFormula>SUMIFS(tabela_registros[VALOR],tabela_registros[MÊS],$AE$1,tabela_registros[DIA],investirrendafixaconsolidadoago[[#Headers],[16]],tabela_registros[REGISTRO],DADOS!$N$3,tabela_registros[TIPO],DADOS!$V$3,tabela_registros[CATEGORIA],investirrendafixaconsolidadoago[[#This Row],[ATUAL]])</calculatedColumnFormula>
    </tableColumn>
    <tableColumn id="18" xr3:uid="{CCDD6EA7-37B4-4AC5-B3C9-42AB77233E94}" name="17" totalsRowFunction="sum" dataDxfId="3481" totalsRowDxfId="3480" dataCellStyle="Moeda">
      <calculatedColumnFormula>SUMIFS(tabela_registros[VALOR],tabela_registros[MÊS],$AE$1,tabela_registros[DIA],investirrendafixaconsolidadoago[[#Headers],[17]],tabela_registros[REGISTRO],DADOS!$N$3,tabela_registros[TIPO],DADOS!$V$3,tabela_registros[CATEGORIA],investirrendafixaconsolidadoago[[#This Row],[ATUAL]])</calculatedColumnFormula>
    </tableColumn>
    <tableColumn id="19" xr3:uid="{EF74D579-8632-4FD1-8F68-7ACC2C0FFDDE}" name="18" totalsRowFunction="sum" dataDxfId="3479" totalsRowDxfId="3478" dataCellStyle="Moeda">
      <calculatedColumnFormula>SUMIFS(tabela_registros[VALOR],tabela_registros[MÊS],$AE$1,tabela_registros[DIA],investirrendafixaconsolidadoago[[#Headers],[18]],tabela_registros[REGISTRO],DADOS!$N$3,tabela_registros[TIPO],DADOS!$V$3,tabela_registros[CATEGORIA],investirrendafixaconsolidadoago[[#This Row],[ATUAL]])</calculatedColumnFormula>
    </tableColumn>
    <tableColumn id="20" xr3:uid="{60D08E14-C87B-45EC-9FFD-CF23F7473B2B}" name="19" totalsRowFunction="sum" dataDxfId="3477" totalsRowDxfId="3476" dataCellStyle="Moeda">
      <calculatedColumnFormula>SUMIFS(tabela_registros[VALOR],tabela_registros[MÊS],$AE$1,tabela_registros[DIA],investirrendafixaconsolidadoago[[#Headers],[19]],tabela_registros[REGISTRO],DADOS!$N$3,tabela_registros[TIPO],DADOS!$V$3,tabela_registros[CATEGORIA],investirrendafixaconsolidadoago[[#This Row],[ATUAL]])</calculatedColumnFormula>
    </tableColumn>
    <tableColumn id="21" xr3:uid="{2DFAA330-4131-4AD2-9825-0F873E91AD95}" name="20" totalsRowFunction="sum" dataDxfId="3475" totalsRowDxfId="3474" dataCellStyle="Moeda">
      <calculatedColumnFormula>SUMIFS(tabela_registros[VALOR],tabela_registros[MÊS],$AE$1,tabela_registros[DIA],investirrendafixaconsolidadoago[[#Headers],[20]],tabela_registros[REGISTRO],DADOS!$N$3,tabela_registros[TIPO],DADOS!$V$3,tabela_registros[CATEGORIA],investirrendafixaconsolidadoago[[#This Row],[ATUAL]])</calculatedColumnFormula>
    </tableColumn>
    <tableColumn id="22" xr3:uid="{C3AE2944-5B01-441A-A873-19FC53286E86}" name="21" totalsRowFunction="sum" dataDxfId="3473" totalsRowDxfId="3472" dataCellStyle="Moeda">
      <calculatedColumnFormula>SUMIFS(tabela_registros[VALOR],tabela_registros[MÊS],$AE$1,tabela_registros[DIA],investirrendafixaconsolidadoago[[#Headers],[21]],tabela_registros[REGISTRO],DADOS!$N$3,tabela_registros[TIPO],DADOS!$V$3,tabela_registros[CATEGORIA],investirrendafixaconsolidadoago[[#This Row],[ATUAL]])</calculatedColumnFormula>
    </tableColumn>
    <tableColumn id="23" xr3:uid="{9F5C17CD-55FD-49E3-BC13-578426C7F3A4}" name="22" totalsRowFunction="sum" dataDxfId="3471" totalsRowDxfId="3470" dataCellStyle="Moeda">
      <calculatedColumnFormula>SUMIFS(tabela_registros[VALOR],tabela_registros[MÊS],$AE$1,tabela_registros[DIA],investirrendafixaconsolidadoago[[#Headers],[22]],tabela_registros[REGISTRO],DADOS!$N$3,tabela_registros[TIPO],DADOS!$V$3,tabela_registros[CATEGORIA],investirrendafixaconsolidadoago[[#This Row],[ATUAL]])</calculatedColumnFormula>
    </tableColumn>
    <tableColumn id="24" xr3:uid="{0BC8FF8A-8578-4336-880A-503F208E9502}" name="23" totalsRowFunction="sum" dataDxfId="3469" totalsRowDxfId="3468" dataCellStyle="Moeda">
      <calculatedColumnFormula>SUMIFS(tabela_registros[VALOR],tabela_registros[MÊS],$AE$1,tabela_registros[DIA],investirrendafixaconsolidadoago[[#Headers],[23]],tabela_registros[REGISTRO],DADOS!$N$3,tabela_registros[TIPO],DADOS!$V$3,tabela_registros[CATEGORIA],investirrendafixaconsolidadoago[[#This Row],[ATUAL]])</calculatedColumnFormula>
    </tableColumn>
    <tableColumn id="25" xr3:uid="{A155C964-0366-4B3D-B5D9-D8CD142E30B3}" name="24" totalsRowFunction="sum" dataDxfId="3467" totalsRowDxfId="3466" dataCellStyle="Moeda">
      <calculatedColumnFormula>SUMIFS(tabela_registros[VALOR],tabela_registros[MÊS],$AE$1,tabela_registros[DIA],investirrendafixaconsolidadoago[[#Headers],[24]],tabela_registros[REGISTRO],DADOS!$N$3,tabela_registros[TIPO],DADOS!$V$3,tabela_registros[CATEGORIA],investirrendafixaconsolidadoago[[#This Row],[ATUAL]])</calculatedColumnFormula>
    </tableColumn>
    <tableColumn id="26" xr3:uid="{ACFD9FB9-511D-479C-8F1A-2FD97810AE0A}" name="25" totalsRowFunction="sum" dataDxfId="3465" totalsRowDxfId="3464" dataCellStyle="Moeda">
      <calculatedColumnFormula>SUMIFS(tabela_registros[VALOR],tabela_registros[MÊS],$AE$1,tabela_registros[DIA],investirrendafixaconsolidadoago[[#Headers],[25]],tabela_registros[REGISTRO],DADOS!$N$3,tabela_registros[TIPO],DADOS!$V$3,tabela_registros[CATEGORIA],investirrendafixaconsolidadoago[[#This Row],[ATUAL]])</calculatedColumnFormula>
    </tableColumn>
    <tableColumn id="27" xr3:uid="{EC05D135-D72B-43AC-B662-57C13244FE07}" name="26" totalsRowFunction="sum" dataDxfId="3463" totalsRowDxfId="3462" dataCellStyle="Moeda">
      <calculatedColumnFormula>SUMIFS(tabela_registros[VALOR],tabela_registros[MÊS],$AE$1,tabela_registros[DIA],investirrendafixaconsolidadoago[[#Headers],[26]],tabela_registros[REGISTRO],DADOS!$N$3,tabela_registros[TIPO],DADOS!$V$3,tabela_registros[CATEGORIA],investirrendafixaconsolidadoago[[#This Row],[ATUAL]])</calculatedColumnFormula>
    </tableColumn>
    <tableColumn id="28" xr3:uid="{4DF29466-90B4-4A3B-B092-DEACF6784B5B}" name="27" totalsRowFunction="sum" dataDxfId="3461" totalsRowDxfId="3460" dataCellStyle="Moeda">
      <calculatedColumnFormula>SUMIFS(tabela_registros[VALOR],tabela_registros[MÊS],$AE$1,tabela_registros[DIA],investirrendafixaconsolidadoago[[#Headers],[27]],tabela_registros[REGISTRO],DADOS!$N$3,tabela_registros[TIPO],DADOS!$V$3,tabela_registros[CATEGORIA],investirrendafixaconsolidadoago[[#This Row],[ATUAL]])</calculatedColumnFormula>
    </tableColumn>
    <tableColumn id="29" xr3:uid="{96DDD801-9EC8-4E9B-9E07-47958C48D8AE}" name="28" totalsRowFunction="sum" dataDxfId="3459" totalsRowDxfId="3458" dataCellStyle="Moeda">
      <calculatedColumnFormula>SUMIFS(tabela_registros[VALOR],tabela_registros[MÊS],$AE$1,tabela_registros[DIA],investirrendafixaconsolidadoago[[#Headers],[28]],tabela_registros[REGISTRO],DADOS!$N$3,tabela_registros[TIPO],DADOS!$V$3,tabela_registros[CATEGORIA],investirrendafixaconsolidadoago[[#This Row],[ATUAL]])</calculatedColumnFormula>
    </tableColumn>
    <tableColumn id="30" xr3:uid="{2D2AC53A-0247-4D04-BC23-DF3A4DD79885}" name="29" totalsRowFunction="sum" dataDxfId="3457" totalsRowDxfId="3456" dataCellStyle="Moeda">
      <calculatedColumnFormula>SUMIFS(tabela_registros[VALOR],tabela_registros[MÊS],$AE$1,tabela_registros[DIA],investirrendafixaconsolidadoago[[#Headers],[29]],tabela_registros[REGISTRO],DADOS!$N$3,tabela_registros[TIPO],DADOS!$V$3,tabela_registros[CATEGORIA],investirrendafixaconsolidadoago[[#This Row],[ATUAL]])</calculatedColumnFormula>
    </tableColumn>
    <tableColumn id="31" xr3:uid="{A29AF100-484A-41A8-B403-17A628ADB554}" name="30" totalsRowFunction="sum" dataDxfId="3455" totalsRowDxfId="3454" dataCellStyle="Moeda">
      <calculatedColumnFormula>SUMIFS(tabela_registros[VALOR],tabela_registros[MÊS],$AE$1,tabela_registros[DIA],investirrendafixaconsolidadoago[[#Headers],[30]],tabela_registros[REGISTRO],DADOS!$N$3,tabela_registros[TIPO],DADOS!$V$3,tabela_registros[CATEGORIA],investirrendafixaconsolidadoago[[#This Row],[ATUAL]])</calculatedColumnFormula>
    </tableColumn>
    <tableColumn id="32" xr3:uid="{7B92F674-3245-4AA1-9D5E-C420049DE7DD}" name="31" totalsRowFunction="sum" dataDxfId="3453" totalsRowDxfId="3452" dataCellStyle="Moeda">
      <calculatedColumnFormula>SUMIFS(tabela_registros[VALOR],tabela_registros[MÊS],$AE$1,tabela_registros[DIA],investirrendafixaconsolidadoago[[#Headers],[31]],tabela_registros[REGISTRO],DADOS!$N$3,tabela_registros[TIPO],DADOS!$V$3,tabela_registros[CATEGORIA],investirrendafixaconsolidadoago[[#This Row],[ATUAL]])</calculatedColumnFormula>
    </tableColumn>
    <tableColumn id="33" xr3:uid="{1241B257-9175-4E4D-9828-F4A745E35B53}" name="TOTAL (R$)" totalsRowFunction="sum" dataDxfId="3451" dataCellStyle="Moeda">
      <calculatedColumnFormula>SUM(investirrendafixaconsolidadoago[[#This Row],[1]:[31]])</calculatedColumnFormula>
    </tableColumn>
  </tableColumns>
  <tableStyleInfo name="TABELAS RESULTADOS" showFirstColumn="0" showLastColumn="0" showRowStripes="1" showColumnStripes="0"/>
</table>
</file>

<file path=xl/tables/table10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3" xr:uid="{EB5D62C3-01F9-4607-ACDA-8F0016ABBC2E}" name="investirrendavariávelconsolidadoago" displayName="investirrendavariávelconsolidadoago" ref="C131:AJ142" headerRowDxfId="3450" dataDxfId="3449" totalsRowDxfId="3448">
  <autoFilter ref="C131:AJ142" xr:uid="{08F8225F-86FE-4857-B00A-7406490FE1C1}"/>
  <tableColumns count="34">
    <tableColumn id="1" xr3:uid="{B0F597CC-DC5E-48CA-BC58-7783126139C1}" name="ATUAL" totalsRowLabel="SALDO" dataDxfId="3447"/>
    <tableColumn id="34" xr3:uid="{462D7EB4-3D4A-4E11-A2FF-904E3CD4A81F}" name="Coluna1" dataDxfId="3446" totalsRowDxfId="3445">
      <calculatedColumnFormula>IF(investirrendavariávelconsolidadoago[[#This Row],[TOTAL (R$)]]=0,"",IF(OR(investirrendavariávelconsolidadoago[[#This Row],[TOTAL (R$)]]=LARGE($AJ$132:$AJ$141,1),investirrendavariávelconsolidadoago[[#This Row],[TOTAL (R$)]]=LARGE($AJ$132:$AJ$141,2)),DADOS!$I$10,""))</calculatedColumnFormula>
    </tableColumn>
    <tableColumn id="2" xr3:uid="{EFEA2B14-164B-4156-822B-781FC67EA805}" name="1" totalsRowFunction="sum" dataDxfId="3444" dataCellStyle="Moeda"/>
    <tableColumn id="3" xr3:uid="{5FFBC3BB-47AA-4810-A2E0-8F5E1CC63F36}" name="2" totalsRowFunction="sum" dataDxfId="3443" dataCellStyle="Moeda">
      <calculatedColumnFormula>SUMIFS(tabela_registros[VALOR],tabela_registros[MÊS],$AE$1,tabela_registros[DIA],investirrendavariávelconsolidadoago[[#Headers],[2]],tabela_registros[REGISTRO],DADOS!$N$3,tabela_registros[TIPO],DADOS!$V$3,tabela_registros[CATEGORIA],investirrendavariávelconsolidadoago[[#This Row],[ATUAL]])</calculatedColumnFormula>
    </tableColumn>
    <tableColumn id="4" xr3:uid="{32A36DD9-7ECC-49D2-877E-AD44C988EF16}" name="3" totalsRowFunction="sum" dataDxfId="3442" totalsRowDxfId="3441" dataCellStyle="Moeda">
      <calculatedColumnFormula>SUMIFS(tabela_registros[VALOR],tabela_registros[MÊS],$AE$1,tabela_registros[DIA],investirrendavariávelconsolidadoago[[#Headers],[3]],tabela_registros[REGISTRO],DADOS!$N$3,tabela_registros[TIPO],DADOS!$V$3,tabela_registros[CATEGORIA],investirrendavariávelconsolidadoago[[#This Row],[ATUAL]])</calculatedColumnFormula>
    </tableColumn>
    <tableColumn id="5" xr3:uid="{60291B3C-FE24-448C-AF22-F94281BB9DA9}" name="4" totalsRowFunction="sum" dataDxfId="3440" totalsRowDxfId="3439" dataCellStyle="Moeda">
      <calculatedColumnFormula>SUMIFS(tabela_registros[VALOR],tabela_registros[MÊS],$AE$1,tabela_registros[DIA],investirrendavariávelconsolidadoago[[#Headers],[4]],tabela_registros[REGISTRO],DADOS!$N$3,tabela_registros[TIPO],DADOS!$V$3,tabela_registros[CATEGORIA],investirrendavariávelconsolidadoago[[#This Row],[ATUAL]])</calculatedColumnFormula>
    </tableColumn>
    <tableColumn id="6" xr3:uid="{44123601-B2FC-497E-9ED9-2D6FCD501D95}" name="5" totalsRowFunction="sum" dataDxfId="3438" totalsRowDxfId="3437" dataCellStyle="Moeda">
      <calculatedColumnFormula>SUMIFS(tabela_registros[VALOR],tabela_registros[MÊS],$AE$1,tabela_registros[DIA],investirrendavariávelconsolidadoago[[#Headers],[5]],tabela_registros[REGISTRO],DADOS!$N$3,tabela_registros[TIPO],DADOS!$V$3,tabela_registros[CATEGORIA],investirrendavariávelconsolidadoago[[#This Row],[ATUAL]])</calculatedColumnFormula>
    </tableColumn>
    <tableColumn id="7" xr3:uid="{A015ACA4-BB1F-4B36-9DA2-471C01FE61C0}" name="6" totalsRowFunction="sum" dataDxfId="3436" totalsRowDxfId="3435" dataCellStyle="Moeda">
      <calculatedColumnFormula>SUMIFS(tabela_registros[VALOR],tabela_registros[MÊS],$AE$1,tabela_registros[DIA],investirrendavariávelconsolidadoago[[#Headers],[6]],tabela_registros[REGISTRO],DADOS!$N$3,tabela_registros[TIPO],DADOS!$V$3,tabela_registros[CATEGORIA],investirrendavariávelconsolidadoago[[#This Row],[ATUAL]])</calculatedColumnFormula>
    </tableColumn>
    <tableColumn id="8" xr3:uid="{3A188EED-0444-4349-BA2D-20B100D7DAC3}" name="7" totalsRowFunction="sum" dataDxfId="3434" totalsRowDxfId="3433" dataCellStyle="Moeda">
      <calculatedColumnFormula>SUMIFS(tabela_registros[VALOR],tabela_registros[MÊS],$AE$1,tabela_registros[DIA],investirrendavariávelconsolidadoago[[#Headers],[7]],tabela_registros[REGISTRO],DADOS!$N$3,tabela_registros[TIPO],DADOS!$V$3,tabela_registros[CATEGORIA],investirrendavariávelconsolidadoago[[#This Row],[ATUAL]])</calculatedColumnFormula>
    </tableColumn>
    <tableColumn id="9" xr3:uid="{84929C26-E772-4E83-BC90-CAE6D8BA28B3}" name="8" totalsRowFunction="sum" dataDxfId="3432" totalsRowDxfId="3431" dataCellStyle="Moeda">
      <calculatedColumnFormula>SUMIFS(tabela_registros[VALOR],tabela_registros[MÊS],$AE$1,tabela_registros[DIA],investirrendavariávelconsolidadoago[[#Headers],[8]],tabela_registros[REGISTRO],DADOS!$N$3,tabela_registros[TIPO],DADOS!$V$3,tabela_registros[CATEGORIA],investirrendavariávelconsolidadoago[[#This Row],[ATUAL]])</calculatedColumnFormula>
    </tableColumn>
    <tableColumn id="10" xr3:uid="{5BA90896-98A4-40B4-8A0B-6812F33AB078}" name="9" totalsRowFunction="sum" dataDxfId="3430" totalsRowDxfId="3429" dataCellStyle="Moeda">
      <calculatedColumnFormula>SUMIFS(tabela_registros[VALOR],tabela_registros[MÊS],$AE$1,tabela_registros[DIA],investirrendavariávelconsolidadoago[[#Headers],[9]],tabela_registros[REGISTRO],DADOS!$N$3,tabela_registros[TIPO],DADOS!$V$3,tabela_registros[CATEGORIA],investirrendavariávelconsolidadoago[[#This Row],[ATUAL]])</calculatedColumnFormula>
    </tableColumn>
    <tableColumn id="11" xr3:uid="{3F7DDAD6-06F1-439C-81C7-D112D76F41F2}" name="10" totalsRowFunction="sum" dataDxfId="3428" totalsRowDxfId="3427" dataCellStyle="Moeda">
      <calculatedColumnFormula>SUMIFS(tabela_registros[VALOR],tabela_registros[MÊS],$AE$1,tabela_registros[DIA],investirrendavariávelconsolidadoago[[#Headers],[10]],tabela_registros[REGISTRO],DADOS!$N$3,tabela_registros[TIPO],DADOS!$V$3,tabela_registros[CATEGORIA],investirrendavariávelconsolidadoago[[#This Row],[ATUAL]])</calculatedColumnFormula>
    </tableColumn>
    <tableColumn id="12" xr3:uid="{65A2CA86-DC6C-4EA7-AF54-1F1C974AFA84}" name="11" totalsRowFunction="sum" dataDxfId="3426" totalsRowDxfId="3425" dataCellStyle="Moeda">
      <calculatedColumnFormula>SUMIFS(tabela_registros[VALOR],tabela_registros[MÊS],$AE$1,tabela_registros[DIA],investirrendavariávelconsolidadoago[[#Headers],[11]],tabela_registros[REGISTRO],DADOS!$N$3,tabela_registros[TIPO],DADOS!$V$3,tabela_registros[CATEGORIA],investirrendavariávelconsolidadoago[[#This Row],[ATUAL]])</calculatedColumnFormula>
    </tableColumn>
    <tableColumn id="13" xr3:uid="{C1B30E4C-A786-4185-B54D-91C3FBC4825E}" name="12" totalsRowFunction="sum" dataDxfId="3424" totalsRowDxfId="3423" dataCellStyle="Moeda">
      <calculatedColumnFormula>SUMIFS(tabela_registros[VALOR],tabela_registros[MÊS],$AE$1,tabela_registros[DIA],investirrendavariávelconsolidadoago[[#Headers],[12]],tabela_registros[REGISTRO],DADOS!$N$3,tabela_registros[TIPO],DADOS!$V$3,tabela_registros[CATEGORIA],investirrendavariávelconsolidadoago[[#This Row],[ATUAL]])</calculatedColumnFormula>
    </tableColumn>
    <tableColumn id="14" xr3:uid="{AFED7B3D-EC23-4A66-8013-5726010C031B}" name="13" totalsRowFunction="sum" dataDxfId="3422" totalsRowDxfId="3421" dataCellStyle="Moeda">
      <calculatedColumnFormula>SUMIFS(tabela_registros[VALOR],tabela_registros[MÊS],$AE$1,tabela_registros[DIA],investirrendavariávelconsolidadoago[[#Headers],[13]],tabela_registros[REGISTRO],DADOS!$N$3,tabela_registros[TIPO],DADOS!$V$3,tabela_registros[CATEGORIA],investirrendavariávelconsolidadoago[[#This Row],[ATUAL]])</calculatedColumnFormula>
    </tableColumn>
    <tableColumn id="15" xr3:uid="{C0381757-FB51-4B49-89D1-5426030C40BA}" name="14" totalsRowFunction="sum" dataDxfId="3420" totalsRowDxfId="3419" dataCellStyle="Moeda">
      <calculatedColumnFormula>SUMIFS(tabela_registros[VALOR],tabela_registros[MÊS],$AE$1,tabela_registros[DIA],investirrendavariávelconsolidadoago[[#Headers],[14]],tabela_registros[REGISTRO],DADOS!$N$3,tabela_registros[TIPO],DADOS!$V$3,tabela_registros[CATEGORIA],investirrendavariávelconsolidadoago[[#This Row],[ATUAL]])</calculatedColumnFormula>
    </tableColumn>
    <tableColumn id="16" xr3:uid="{5A747303-7A37-4081-9436-AFDCAB798E2D}" name="15" totalsRowFunction="sum" dataDxfId="3418" totalsRowDxfId="3417" dataCellStyle="Moeda">
      <calculatedColumnFormula>SUMIFS(tabela_registros[VALOR],tabela_registros[MÊS],$AE$1,tabela_registros[DIA],investirrendavariávelconsolidadoago[[#Headers],[15]],tabela_registros[REGISTRO],DADOS!$N$3,tabela_registros[TIPO],DADOS!$V$3,tabela_registros[CATEGORIA],investirrendavariávelconsolidadoago[[#This Row],[ATUAL]])</calculatedColumnFormula>
    </tableColumn>
    <tableColumn id="17" xr3:uid="{58608572-A02D-4177-8608-0D2D9A3B2941}" name="16" totalsRowFunction="sum" dataDxfId="3416" totalsRowDxfId="3415" dataCellStyle="Moeda">
      <calculatedColumnFormula>SUMIFS(tabela_registros[VALOR],tabela_registros[MÊS],$AE$1,tabela_registros[DIA],investirrendavariávelconsolidadoago[[#Headers],[16]],tabela_registros[REGISTRO],DADOS!$N$3,tabela_registros[TIPO],DADOS!$V$3,tabela_registros[CATEGORIA],investirrendavariávelconsolidadoago[[#This Row],[ATUAL]])</calculatedColumnFormula>
    </tableColumn>
    <tableColumn id="18" xr3:uid="{37D908C0-7D64-4080-8048-D0708357D4E3}" name="17" totalsRowFunction="sum" dataDxfId="3414" totalsRowDxfId="3413" dataCellStyle="Moeda">
      <calculatedColumnFormula>SUMIFS(tabela_registros[VALOR],tabela_registros[MÊS],$AE$1,tabela_registros[DIA],investirrendavariávelconsolidadoago[[#Headers],[17]],tabela_registros[REGISTRO],DADOS!$N$3,tabela_registros[TIPO],DADOS!$V$3,tabela_registros[CATEGORIA],investirrendavariávelconsolidadoago[[#This Row],[ATUAL]])</calculatedColumnFormula>
    </tableColumn>
    <tableColumn id="19" xr3:uid="{5E43BDA0-31CD-43EE-8A60-6DB4132757BA}" name="18" totalsRowFunction="sum" dataDxfId="3412" totalsRowDxfId="3411" dataCellStyle="Moeda">
      <calculatedColumnFormula>SUMIFS(tabela_registros[VALOR],tabela_registros[MÊS],$AE$1,tabela_registros[DIA],investirrendavariávelconsolidadoago[[#Headers],[18]],tabela_registros[REGISTRO],DADOS!$N$3,tabela_registros[TIPO],DADOS!$V$3,tabela_registros[CATEGORIA],investirrendavariávelconsolidadoago[[#This Row],[ATUAL]])</calculatedColumnFormula>
    </tableColumn>
    <tableColumn id="20" xr3:uid="{47B65D39-D1E0-4DF2-AAF7-BF9B3AAF818C}" name="19" totalsRowFunction="sum" dataDxfId="3410" totalsRowDxfId="3409" dataCellStyle="Moeda">
      <calculatedColumnFormula>SUMIFS(tabela_registros[VALOR],tabela_registros[MÊS],$AE$1,tabela_registros[DIA],investirrendavariávelconsolidadoago[[#Headers],[19]],tabela_registros[REGISTRO],DADOS!$N$3,tabela_registros[TIPO],DADOS!$V$3,tabela_registros[CATEGORIA],investirrendavariávelconsolidadoago[[#This Row],[ATUAL]])</calculatedColumnFormula>
    </tableColumn>
    <tableColumn id="21" xr3:uid="{06F35A80-67FE-4250-A9D0-DD7DD5AABB4D}" name="20" totalsRowFunction="sum" dataDxfId="3408" totalsRowDxfId="3407" dataCellStyle="Moeda">
      <calculatedColumnFormula>SUMIFS(tabela_registros[VALOR],tabela_registros[MÊS],$AE$1,tabela_registros[DIA],investirrendavariávelconsolidadoago[[#Headers],[20]],tabela_registros[REGISTRO],DADOS!$N$3,tabela_registros[TIPO],DADOS!$V$3,tabela_registros[CATEGORIA],investirrendavariávelconsolidadoago[[#This Row],[ATUAL]])</calculatedColumnFormula>
    </tableColumn>
    <tableColumn id="22" xr3:uid="{3024FBE2-E26A-4E0B-9CE2-7A9AD69F4DFF}" name="21" totalsRowFunction="sum" dataDxfId="3406" totalsRowDxfId="3405" dataCellStyle="Moeda">
      <calculatedColumnFormula>SUMIFS(tabela_registros[VALOR],tabela_registros[MÊS],$AE$1,tabela_registros[DIA],investirrendavariávelconsolidadoago[[#Headers],[21]],tabela_registros[REGISTRO],DADOS!$N$3,tabela_registros[TIPO],DADOS!$V$3,tabela_registros[CATEGORIA],investirrendavariávelconsolidadoago[[#This Row],[ATUAL]])</calculatedColumnFormula>
    </tableColumn>
    <tableColumn id="23" xr3:uid="{32CDF3EE-239B-44A9-98BE-E1879CDACD14}" name="22" totalsRowFunction="sum" dataDxfId="3404" totalsRowDxfId="3403" dataCellStyle="Moeda">
      <calculatedColumnFormula>SUMIFS(tabela_registros[VALOR],tabela_registros[MÊS],$AE$1,tabela_registros[DIA],investirrendavariávelconsolidadoago[[#Headers],[22]],tabela_registros[REGISTRO],DADOS!$N$3,tabela_registros[TIPO],DADOS!$V$3,tabela_registros[CATEGORIA],investirrendavariávelconsolidadoago[[#This Row],[ATUAL]])</calculatedColumnFormula>
    </tableColumn>
    <tableColumn id="24" xr3:uid="{565CCA6D-FB79-43EB-937B-6E6B129877A9}" name="23" totalsRowFunction="sum" dataDxfId="3402" totalsRowDxfId="3401" dataCellStyle="Moeda">
      <calculatedColumnFormula>SUMIFS(tabela_registros[VALOR],tabela_registros[MÊS],$AE$1,tabela_registros[DIA],investirrendavariávelconsolidadoago[[#Headers],[23]],tabela_registros[REGISTRO],DADOS!$N$3,tabela_registros[TIPO],DADOS!$V$3,tabela_registros[CATEGORIA],investirrendavariávelconsolidadoago[[#This Row],[ATUAL]])</calculatedColumnFormula>
    </tableColumn>
    <tableColumn id="25" xr3:uid="{8A453C20-9923-4533-9B13-A0370CA8E6D9}" name="24" totalsRowFunction="sum" dataDxfId="3400" totalsRowDxfId="3399" dataCellStyle="Moeda">
      <calculatedColumnFormula>SUMIFS(tabela_registros[VALOR],tabela_registros[MÊS],$AE$1,tabela_registros[DIA],investirrendavariávelconsolidadoago[[#Headers],[24]],tabela_registros[REGISTRO],DADOS!$N$3,tabela_registros[TIPO],DADOS!$V$3,tabela_registros[CATEGORIA],investirrendavariávelconsolidadoago[[#This Row],[ATUAL]])</calculatedColumnFormula>
    </tableColumn>
    <tableColumn id="26" xr3:uid="{FCBC17B5-99C8-4E0A-AF11-91FB04EE26A3}" name="25" totalsRowFunction="sum" dataDxfId="3398" totalsRowDxfId="3397" dataCellStyle="Moeda">
      <calculatedColumnFormula>SUMIFS(tabela_registros[VALOR],tabela_registros[MÊS],$AE$1,tabela_registros[DIA],investirrendavariávelconsolidadoago[[#Headers],[25]],tabela_registros[REGISTRO],DADOS!$N$3,tabela_registros[TIPO],DADOS!$V$3,tabela_registros[CATEGORIA],investirrendavariávelconsolidadoago[[#This Row],[ATUAL]])</calculatedColumnFormula>
    </tableColumn>
    <tableColumn id="27" xr3:uid="{60F7F1F0-F432-4D58-AFEF-04A33F00610E}" name="26" totalsRowFunction="sum" dataDxfId="3396" totalsRowDxfId="3395" dataCellStyle="Moeda">
      <calculatedColumnFormula>SUMIFS(tabela_registros[VALOR],tabela_registros[MÊS],$AE$1,tabela_registros[DIA],investirrendavariávelconsolidadoago[[#Headers],[26]],tabela_registros[REGISTRO],DADOS!$N$3,tabela_registros[TIPO],DADOS!$V$3,tabela_registros[CATEGORIA],investirrendavariávelconsolidadoago[[#This Row],[ATUAL]])</calculatedColumnFormula>
    </tableColumn>
    <tableColumn id="28" xr3:uid="{3D5A88D8-0580-4414-8764-49DDADE4F22D}" name="27" totalsRowFunction="sum" dataDxfId="3394" totalsRowDxfId="3393" dataCellStyle="Moeda">
      <calculatedColumnFormula>SUMIFS(tabela_registros[VALOR],tabela_registros[MÊS],$AE$1,tabela_registros[DIA],investirrendavariávelconsolidadoago[[#Headers],[27]],tabela_registros[REGISTRO],DADOS!$N$3,tabela_registros[TIPO],DADOS!$V$3,tabela_registros[CATEGORIA],investirrendavariávelconsolidadoago[[#This Row],[ATUAL]])</calculatedColumnFormula>
    </tableColumn>
    <tableColumn id="29" xr3:uid="{B8768651-E923-476A-B15E-5231C34D6A20}" name="28" totalsRowFunction="sum" dataDxfId="3392" totalsRowDxfId="3391" dataCellStyle="Moeda">
      <calculatedColumnFormula>SUMIFS(tabela_registros[VALOR],tabela_registros[MÊS],$AE$1,tabela_registros[DIA],investirrendavariávelconsolidadoago[[#Headers],[28]],tabela_registros[REGISTRO],DADOS!$N$3,tabela_registros[TIPO],DADOS!$V$3,tabela_registros[CATEGORIA],investirrendavariávelconsolidadoago[[#This Row],[ATUAL]])</calculatedColumnFormula>
    </tableColumn>
    <tableColumn id="30" xr3:uid="{E3DB182A-8749-47E8-8D1A-CE0E79DEB73D}" name="29" totalsRowFunction="sum" dataDxfId="3390" totalsRowDxfId="3389" dataCellStyle="Moeda">
      <calculatedColumnFormula>SUMIFS(tabela_registros[VALOR],tabela_registros[MÊS],$AE$1,tabela_registros[DIA],investirrendavariávelconsolidadoago[[#Headers],[29]],tabela_registros[REGISTRO],DADOS!$N$3,tabela_registros[TIPO],DADOS!$V$3,tabela_registros[CATEGORIA],investirrendavariávelconsolidadoago[[#This Row],[ATUAL]])</calculatedColumnFormula>
    </tableColumn>
    <tableColumn id="31" xr3:uid="{26ACE4CA-ECBB-44DF-8494-A3EA7F657502}" name="30" totalsRowFunction="sum" dataDxfId="3388" totalsRowDxfId="3387" dataCellStyle="Moeda">
      <calculatedColumnFormula>SUMIFS(tabela_registros[VALOR],tabela_registros[MÊS],$AE$1,tabela_registros[DIA],investirrendavariávelconsolidadoago[[#Headers],[30]],tabela_registros[REGISTRO],DADOS!$N$3,tabela_registros[TIPO],DADOS!$V$3,tabela_registros[CATEGORIA],investirrendavariávelconsolidadoago[[#This Row],[ATUAL]])</calculatedColumnFormula>
    </tableColumn>
    <tableColumn id="32" xr3:uid="{EFF5071E-5EC6-4885-9607-F7395388F961}" name="31" totalsRowFunction="sum" dataDxfId="3386" totalsRowDxfId="3385" dataCellStyle="Moeda">
      <calculatedColumnFormula>SUMIFS(tabela_registros[VALOR],tabela_registros[MÊS],$AE$1,tabela_registros[DIA],investirrendavariávelconsolidadoago[[#Headers],[31]],tabela_registros[REGISTRO],DADOS!$N$3,tabela_registros[TIPO],DADOS!$V$3,tabela_registros[CATEGORIA],investirrendavariávelconsolidadoago[[#This Row],[ATUAL]])</calculatedColumnFormula>
    </tableColumn>
    <tableColumn id="33" xr3:uid="{F92AD692-09FE-46A7-9DC5-BA1C134B17ED}" name="TOTAL (R$)" totalsRowFunction="sum" dataDxfId="3384" dataCellStyle="Moeda">
      <calculatedColumnFormula>SUM(investirrendavariávelconsolidadoago[[#This Row],[1]:[31]])</calculatedColumnFormula>
    </tableColumn>
  </tableColumns>
  <tableStyleInfo name="TABELAS RESULTADOS" showFirstColumn="0" showLastColumn="0" showRowStripes="1" showColumnStripes="0"/>
</table>
</file>

<file path=xl/tables/table10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4" xr:uid="{B6B720B5-25CA-4A8E-80A2-FB0C48D58343}" name="investiroutrosconsolidadoago" displayName="investiroutrosconsolidadoago" ref="C150:AJ159" headerRowDxfId="3383" dataDxfId="3382" totalsRowDxfId="3381">
  <autoFilter ref="C150:AJ159" xr:uid="{6183CEF1-477D-4448-9404-9007701FBB5F}"/>
  <tableColumns count="34">
    <tableColumn id="1" xr3:uid="{C0FF22E9-6680-4E43-AFF4-5BEB1627E6E4}" name="ATUAL" totalsRowLabel="SALDO" dataDxfId="3380"/>
    <tableColumn id="34" xr3:uid="{9491DD9C-8C98-4BFB-BA0D-27A555E5B55C}" name="Coluna1" dataDxfId="3379" totalsRowDxfId="3378">
      <calculatedColumnFormula>IF(investiroutrosconsolidadoago[[#This Row],[TOTAL (R$)]]=0,"",IF(OR(investiroutrosconsolidadoago[[#This Row],[TOTAL (R$)]]=LARGE($AJ$151:$AJ$158,1),investiroutrosconsolidadoago[[#This Row],[TOTAL (R$)]]=LARGE($AJ$151:$AJ$158,2)),DADOS!$I$10,""))</calculatedColumnFormula>
    </tableColumn>
    <tableColumn id="2" xr3:uid="{7B67F701-E088-4A37-A55E-4C5CEB583E71}" name="1" totalsRowFunction="sum" dataDxfId="3377" dataCellStyle="Moeda"/>
    <tableColumn id="3" xr3:uid="{E4E205DD-9364-4944-9B7A-120E7549B9B2}" name="2" totalsRowFunction="sum" dataDxfId="3376" dataCellStyle="Moeda">
      <calculatedColumnFormula>SUMIFS(tabela_registros[VALOR],tabela_registros[MÊS],$AE$1,tabela_registros[DIA],investiroutrosconsolidadoago[[#Headers],[2]],tabela_registros[REGISTRO],DADOS!$N$3,tabela_registros[TIPO],DADOS!$V$3,tabela_registros[CATEGORIA],investiroutrosconsolidadoago[[#This Row],[ATUAL]])</calculatedColumnFormula>
    </tableColumn>
    <tableColumn id="4" xr3:uid="{CB4BC498-06D6-48AB-B2A7-8EE4656D2E23}" name="3" totalsRowFunction="sum" dataDxfId="3375" totalsRowDxfId="3374" dataCellStyle="Moeda">
      <calculatedColumnFormula>SUMIFS(tabela_registros[VALOR],tabela_registros[MÊS],$AE$1,tabela_registros[DIA],investiroutrosconsolidadoago[[#Headers],[3]],tabela_registros[REGISTRO],DADOS!$N$3,tabela_registros[TIPO],DADOS!$V$3,tabela_registros[CATEGORIA],investiroutrosconsolidadoago[[#This Row],[ATUAL]])</calculatedColumnFormula>
    </tableColumn>
    <tableColumn id="5" xr3:uid="{DAA32011-0EDE-48C2-BEA8-20814DD42DF0}" name="4" totalsRowFunction="sum" dataDxfId="3373" totalsRowDxfId="3372" dataCellStyle="Moeda">
      <calculatedColumnFormula>SUMIFS(tabela_registros[VALOR],tabela_registros[MÊS],$AE$1,tabela_registros[DIA],investiroutrosconsolidadoago[[#Headers],[4]],tabela_registros[REGISTRO],DADOS!$N$3,tabela_registros[TIPO],DADOS!$V$3,tabela_registros[CATEGORIA],investiroutrosconsolidadoago[[#This Row],[ATUAL]])</calculatedColumnFormula>
    </tableColumn>
    <tableColumn id="6" xr3:uid="{FA2F051A-6705-41A9-9FA7-9D59667D65FF}" name="5" totalsRowFunction="sum" dataDxfId="3371" totalsRowDxfId="3370" dataCellStyle="Moeda">
      <calculatedColumnFormula>SUMIFS(tabela_registros[VALOR],tabela_registros[MÊS],$AE$1,tabela_registros[DIA],investiroutrosconsolidadoago[[#Headers],[5]],tabela_registros[REGISTRO],DADOS!$N$3,tabela_registros[TIPO],DADOS!$V$3,tabela_registros[CATEGORIA],investiroutrosconsolidadoago[[#This Row],[ATUAL]])</calculatedColumnFormula>
    </tableColumn>
    <tableColumn id="7" xr3:uid="{59123A54-972D-4ABE-BFF2-DF31C5DC9E14}" name="6" totalsRowFunction="sum" dataDxfId="3369" totalsRowDxfId="3368" dataCellStyle="Moeda">
      <calculatedColumnFormula>SUMIFS(tabela_registros[VALOR],tabela_registros[MÊS],$AE$1,tabela_registros[DIA],investiroutrosconsolidadoago[[#Headers],[6]],tabela_registros[REGISTRO],DADOS!$N$3,tabela_registros[TIPO],DADOS!$V$3,tabela_registros[CATEGORIA],investiroutrosconsolidadoago[[#This Row],[ATUAL]])</calculatedColumnFormula>
    </tableColumn>
    <tableColumn id="8" xr3:uid="{EFEA7AA9-887B-4B58-B269-AD1443F1EDC5}" name="7" totalsRowFunction="sum" dataDxfId="3367" totalsRowDxfId="3366" dataCellStyle="Moeda">
      <calculatedColumnFormula>SUMIFS(tabela_registros[VALOR],tabela_registros[MÊS],$AE$1,tabela_registros[DIA],investiroutrosconsolidadoago[[#Headers],[7]],tabela_registros[REGISTRO],DADOS!$N$3,tabela_registros[TIPO],DADOS!$V$3,tabela_registros[CATEGORIA],investiroutrosconsolidadoago[[#This Row],[ATUAL]])</calculatedColumnFormula>
    </tableColumn>
    <tableColumn id="9" xr3:uid="{1346E184-86AC-4080-823C-7C53FF5DA3E7}" name="8" totalsRowFunction="sum" dataDxfId="3365" totalsRowDxfId="3364" dataCellStyle="Moeda">
      <calculatedColumnFormula>SUMIFS(tabela_registros[VALOR],tabela_registros[MÊS],$AE$1,tabela_registros[DIA],investiroutrosconsolidadoago[[#Headers],[8]],tabela_registros[REGISTRO],DADOS!$N$3,tabela_registros[TIPO],DADOS!$V$3,tabela_registros[CATEGORIA],investiroutrosconsolidadoago[[#This Row],[ATUAL]])</calculatedColumnFormula>
    </tableColumn>
    <tableColumn id="10" xr3:uid="{2B778205-EF3E-4251-BE81-DDFF4EA3C138}" name="9" totalsRowFunction="sum" dataDxfId="3363" totalsRowDxfId="3362" dataCellStyle="Moeda">
      <calculatedColumnFormula>SUMIFS(tabela_registros[VALOR],tabela_registros[MÊS],$AE$1,tabela_registros[DIA],investiroutrosconsolidadoago[[#Headers],[9]],tabela_registros[REGISTRO],DADOS!$N$3,tabela_registros[TIPO],DADOS!$V$3,tabela_registros[CATEGORIA],investiroutrosconsolidadoago[[#This Row],[ATUAL]])</calculatedColumnFormula>
    </tableColumn>
    <tableColumn id="11" xr3:uid="{5A93C2B5-3341-49CD-A3CB-99FD9E61405B}" name="10" totalsRowFunction="sum" dataDxfId="3361" totalsRowDxfId="3360" dataCellStyle="Moeda">
      <calculatedColumnFormula>SUMIFS(tabela_registros[VALOR],tabela_registros[MÊS],$AE$1,tabela_registros[DIA],investiroutrosconsolidadoago[[#Headers],[10]],tabela_registros[REGISTRO],DADOS!$N$3,tabela_registros[TIPO],DADOS!$V$3,tabela_registros[CATEGORIA],investiroutrosconsolidadoago[[#This Row],[ATUAL]])</calculatedColumnFormula>
    </tableColumn>
    <tableColumn id="12" xr3:uid="{C58083A0-C649-4742-A08C-D3E116FEC1CB}" name="11" totalsRowFunction="sum" dataDxfId="3359" totalsRowDxfId="3358" dataCellStyle="Moeda">
      <calculatedColumnFormula>SUMIFS(tabela_registros[VALOR],tabela_registros[MÊS],$AE$1,tabela_registros[DIA],investiroutrosconsolidadoago[[#Headers],[11]],tabela_registros[REGISTRO],DADOS!$N$3,tabela_registros[TIPO],DADOS!$V$3,tabela_registros[CATEGORIA],investiroutrosconsolidadoago[[#This Row],[ATUAL]])</calculatedColumnFormula>
    </tableColumn>
    <tableColumn id="13" xr3:uid="{9CB9E31F-48EC-4F27-AAE5-F9EC76A88846}" name="12" totalsRowFunction="sum" dataDxfId="3357" totalsRowDxfId="3356" dataCellStyle="Moeda">
      <calculatedColumnFormula>SUMIFS(tabela_registros[VALOR],tabela_registros[MÊS],$AE$1,tabela_registros[DIA],investiroutrosconsolidadoago[[#Headers],[12]],tabela_registros[REGISTRO],DADOS!$N$3,tabela_registros[TIPO],DADOS!$V$3,tabela_registros[CATEGORIA],investiroutrosconsolidadoago[[#This Row],[ATUAL]])</calculatedColumnFormula>
    </tableColumn>
    <tableColumn id="14" xr3:uid="{61E63F62-54B9-46C6-B58F-C59717B2B516}" name="13" totalsRowFunction="sum" dataDxfId="3355" totalsRowDxfId="3354" dataCellStyle="Moeda">
      <calculatedColumnFormula>SUMIFS(tabela_registros[VALOR],tabela_registros[MÊS],$AE$1,tabela_registros[DIA],investiroutrosconsolidadoago[[#Headers],[13]],tabela_registros[REGISTRO],DADOS!$N$3,tabela_registros[TIPO],DADOS!$V$3,tabela_registros[CATEGORIA],investiroutrosconsolidadoago[[#This Row],[ATUAL]])</calculatedColumnFormula>
    </tableColumn>
    <tableColumn id="15" xr3:uid="{CB6D7EF7-89E0-4C66-9531-5A51DB4DD0E5}" name="14" totalsRowFunction="sum" dataDxfId="3353" totalsRowDxfId="3352" dataCellStyle="Moeda">
      <calculatedColumnFormula>SUMIFS(tabela_registros[VALOR],tabela_registros[MÊS],$AE$1,tabela_registros[DIA],investiroutrosconsolidadoago[[#Headers],[14]],tabela_registros[REGISTRO],DADOS!$N$3,tabela_registros[TIPO],DADOS!$V$3,tabela_registros[CATEGORIA],investiroutrosconsolidadoago[[#This Row],[ATUAL]])</calculatedColumnFormula>
    </tableColumn>
    <tableColumn id="16" xr3:uid="{D545D4D4-C4FE-4AD7-B964-8F5FB6630606}" name="15" totalsRowFunction="sum" dataDxfId="3351" totalsRowDxfId="3350" dataCellStyle="Moeda">
      <calculatedColumnFormula>SUMIFS(tabela_registros[VALOR],tabela_registros[MÊS],$AE$1,tabela_registros[DIA],investiroutrosconsolidadoago[[#Headers],[15]],tabela_registros[REGISTRO],DADOS!$N$3,tabela_registros[TIPO],DADOS!$V$3,tabela_registros[CATEGORIA],investiroutrosconsolidadoago[[#This Row],[ATUAL]])</calculatedColumnFormula>
    </tableColumn>
    <tableColumn id="17" xr3:uid="{3E162C4D-A007-432A-8762-F2C714A164E4}" name="16" totalsRowFunction="sum" dataDxfId="3349" totalsRowDxfId="3348" dataCellStyle="Moeda">
      <calculatedColumnFormula>SUMIFS(tabela_registros[VALOR],tabela_registros[MÊS],$AE$1,tabela_registros[DIA],investiroutrosconsolidadoago[[#Headers],[16]],tabela_registros[REGISTRO],DADOS!$N$3,tabela_registros[TIPO],DADOS!$V$3,tabela_registros[CATEGORIA],investiroutrosconsolidadoago[[#This Row],[ATUAL]])</calculatedColumnFormula>
    </tableColumn>
    <tableColumn id="18" xr3:uid="{AF50B187-CAC3-48CA-814D-298F13FB1E6D}" name="17" totalsRowFunction="sum" dataDxfId="3347" totalsRowDxfId="3346" dataCellStyle="Moeda">
      <calculatedColumnFormula>SUMIFS(tabela_registros[VALOR],tabela_registros[MÊS],$AE$1,tabela_registros[DIA],investiroutrosconsolidadoago[[#Headers],[17]],tabela_registros[REGISTRO],DADOS!$N$3,tabela_registros[TIPO],DADOS!$V$3,tabela_registros[CATEGORIA],investiroutrosconsolidadoago[[#This Row],[ATUAL]])</calculatedColumnFormula>
    </tableColumn>
    <tableColumn id="19" xr3:uid="{1A351444-6B84-4A0C-9DE8-F0FD3D0F9746}" name="18" totalsRowFunction="sum" dataDxfId="3345" totalsRowDxfId="3344" dataCellStyle="Moeda">
      <calculatedColumnFormula>SUMIFS(tabela_registros[VALOR],tabela_registros[MÊS],$AE$1,tabela_registros[DIA],investiroutrosconsolidadoago[[#Headers],[18]],tabela_registros[REGISTRO],DADOS!$N$3,tabela_registros[TIPO],DADOS!$V$3,tabela_registros[CATEGORIA],investiroutrosconsolidadoago[[#This Row],[ATUAL]])</calculatedColumnFormula>
    </tableColumn>
    <tableColumn id="20" xr3:uid="{AC36F12A-E978-408C-9B12-3DB3C4900B30}" name="19" totalsRowFunction="sum" dataDxfId="3343" totalsRowDxfId="3342" dataCellStyle="Moeda">
      <calculatedColumnFormula>SUMIFS(tabela_registros[VALOR],tabela_registros[MÊS],$AE$1,tabela_registros[DIA],investiroutrosconsolidadoago[[#Headers],[19]],tabela_registros[REGISTRO],DADOS!$N$3,tabela_registros[TIPO],DADOS!$V$3,tabela_registros[CATEGORIA],investiroutrosconsolidadoago[[#This Row],[ATUAL]])</calculatedColumnFormula>
    </tableColumn>
    <tableColumn id="21" xr3:uid="{E9312296-0C29-4342-9457-277F02597EED}" name="20" totalsRowFunction="sum" dataDxfId="3341" totalsRowDxfId="3340" dataCellStyle="Moeda">
      <calculatedColumnFormula>SUMIFS(tabela_registros[VALOR],tabela_registros[MÊS],$AE$1,tabela_registros[DIA],investiroutrosconsolidadoago[[#Headers],[20]],tabela_registros[REGISTRO],DADOS!$N$3,tabela_registros[TIPO],DADOS!$V$3,tabela_registros[CATEGORIA],investiroutrosconsolidadoago[[#This Row],[ATUAL]])</calculatedColumnFormula>
    </tableColumn>
    <tableColumn id="22" xr3:uid="{9D1FD715-3258-4049-8878-2716975521AE}" name="21" totalsRowFunction="sum" dataDxfId="3339" totalsRowDxfId="3338" dataCellStyle="Moeda">
      <calculatedColumnFormula>SUMIFS(tabela_registros[VALOR],tabela_registros[MÊS],$AE$1,tabela_registros[DIA],investiroutrosconsolidadoago[[#Headers],[21]],tabela_registros[REGISTRO],DADOS!$N$3,tabela_registros[TIPO],DADOS!$V$3,tabela_registros[CATEGORIA],investiroutrosconsolidadoago[[#This Row],[ATUAL]])</calculatedColumnFormula>
    </tableColumn>
    <tableColumn id="23" xr3:uid="{C21F84CD-C3DE-497C-BB95-B296B9617670}" name="22" totalsRowFunction="sum" dataDxfId="3337" totalsRowDxfId="3336" dataCellStyle="Moeda">
      <calculatedColumnFormula>SUMIFS(tabela_registros[VALOR],tabela_registros[MÊS],$AE$1,tabela_registros[DIA],investiroutrosconsolidadoago[[#Headers],[22]],tabela_registros[REGISTRO],DADOS!$N$3,tabela_registros[TIPO],DADOS!$V$3,tabela_registros[CATEGORIA],investiroutrosconsolidadoago[[#This Row],[ATUAL]])</calculatedColumnFormula>
    </tableColumn>
    <tableColumn id="24" xr3:uid="{B7F40356-CEF8-499E-9ACA-8EC4BEC0EAD6}" name="23" totalsRowFunction="sum" dataDxfId="3335" totalsRowDxfId="3334" dataCellStyle="Moeda">
      <calculatedColumnFormula>SUMIFS(tabela_registros[VALOR],tabela_registros[MÊS],$AE$1,tabela_registros[DIA],investiroutrosconsolidadoago[[#Headers],[23]],tabela_registros[REGISTRO],DADOS!$N$3,tabela_registros[TIPO],DADOS!$V$3,tabela_registros[CATEGORIA],investiroutrosconsolidadoago[[#This Row],[ATUAL]])</calculatedColumnFormula>
    </tableColumn>
    <tableColumn id="25" xr3:uid="{87BD1E58-DDEE-4CF9-9933-88580106A629}" name="24" totalsRowFunction="sum" dataDxfId="3333" totalsRowDxfId="3332" dataCellStyle="Moeda">
      <calculatedColumnFormula>SUMIFS(tabela_registros[VALOR],tabela_registros[MÊS],$AE$1,tabela_registros[DIA],investiroutrosconsolidadoago[[#Headers],[24]],tabela_registros[REGISTRO],DADOS!$N$3,tabela_registros[TIPO],DADOS!$V$3,tabela_registros[CATEGORIA],investiroutrosconsolidadoago[[#This Row],[ATUAL]])</calculatedColumnFormula>
    </tableColumn>
    <tableColumn id="26" xr3:uid="{FC45E54B-C560-42ED-9969-1A1A98E315C0}" name="25" totalsRowFunction="sum" dataDxfId="3331" totalsRowDxfId="3330" dataCellStyle="Moeda">
      <calculatedColumnFormula>SUMIFS(tabela_registros[VALOR],tabela_registros[MÊS],$AE$1,tabela_registros[DIA],investiroutrosconsolidadoago[[#Headers],[25]],tabela_registros[REGISTRO],DADOS!$N$3,tabela_registros[TIPO],DADOS!$V$3,tabela_registros[CATEGORIA],investiroutrosconsolidadoago[[#This Row],[ATUAL]])</calculatedColumnFormula>
    </tableColumn>
    <tableColumn id="27" xr3:uid="{B325B22B-D9C9-48C8-A926-FE459092D30B}" name="26" totalsRowFunction="sum" dataDxfId="3329" totalsRowDxfId="3328" dataCellStyle="Moeda">
      <calculatedColumnFormula>SUMIFS(tabela_registros[VALOR],tabela_registros[MÊS],$AE$1,tabela_registros[DIA],investiroutrosconsolidadoago[[#Headers],[26]],tabela_registros[REGISTRO],DADOS!$N$3,tabela_registros[TIPO],DADOS!$V$3,tabela_registros[CATEGORIA],investiroutrosconsolidadoago[[#This Row],[ATUAL]])</calculatedColumnFormula>
    </tableColumn>
    <tableColumn id="28" xr3:uid="{CD8B2153-3F32-4D85-8D08-4B630F5D4B88}" name="27" totalsRowFunction="sum" dataDxfId="3327" totalsRowDxfId="3326" dataCellStyle="Moeda">
      <calculatedColumnFormula>SUMIFS(tabela_registros[VALOR],tabela_registros[MÊS],$AE$1,tabela_registros[DIA],investiroutrosconsolidadoago[[#Headers],[27]],tabela_registros[REGISTRO],DADOS!$N$3,tabela_registros[TIPO],DADOS!$V$3,tabela_registros[CATEGORIA],investiroutrosconsolidadoago[[#This Row],[ATUAL]])</calculatedColumnFormula>
    </tableColumn>
    <tableColumn id="29" xr3:uid="{1D8980D7-7BB6-4722-B90B-F538C7E7AB0F}" name="28" totalsRowFunction="sum" dataDxfId="3325" totalsRowDxfId="3324" dataCellStyle="Moeda">
      <calculatedColumnFormula>SUMIFS(tabela_registros[VALOR],tabela_registros[MÊS],$AE$1,tabela_registros[DIA],investiroutrosconsolidadoago[[#Headers],[28]],tabela_registros[REGISTRO],DADOS!$N$3,tabela_registros[TIPO],DADOS!$V$3,tabela_registros[CATEGORIA],investiroutrosconsolidadoago[[#This Row],[ATUAL]])</calculatedColumnFormula>
    </tableColumn>
    <tableColumn id="30" xr3:uid="{FEDE79BC-8A68-40E7-8DD4-E0AF2D2903EE}" name="29" totalsRowFunction="sum" dataDxfId="3323" totalsRowDxfId="3322" dataCellStyle="Moeda">
      <calculatedColumnFormula>SUMIFS(tabela_registros[VALOR],tabela_registros[MÊS],$AE$1,tabela_registros[DIA],investiroutrosconsolidadoago[[#Headers],[29]],tabela_registros[REGISTRO],DADOS!$N$3,tabela_registros[TIPO],DADOS!$V$3,tabela_registros[CATEGORIA],investiroutrosconsolidadoago[[#This Row],[ATUAL]])</calculatedColumnFormula>
    </tableColumn>
    <tableColumn id="31" xr3:uid="{6FFC3511-11E9-48BD-816D-8B236FC282CE}" name="30" totalsRowFunction="sum" dataDxfId="3321" totalsRowDxfId="3320" dataCellStyle="Moeda">
      <calculatedColumnFormula>SUMIFS(tabela_registros[VALOR],tabela_registros[MÊS],$AE$1,tabela_registros[DIA],investiroutrosconsolidadoago[[#Headers],[30]],tabela_registros[REGISTRO],DADOS!$N$3,tabela_registros[TIPO],DADOS!$V$3,tabela_registros[CATEGORIA],investiroutrosconsolidadoago[[#This Row],[ATUAL]])</calculatedColumnFormula>
    </tableColumn>
    <tableColumn id="32" xr3:uid="{0F1517A0-D6CF-42FA-B6E4-1FCDBE5C2885}" name="31" totalsRowFunction="sum" dataDxfId="3319" totalsRowDxfId="3318" dataCellStyle="Moeda">
      <calculatedColumnFormula>SUMIFS(tabela_registros[VALOR],tabela_registros[MÊS],$AE$1,tabela_registros[DIA],investiroutrosconsolidadoago[[#Headers],[31]],tabela_registros[REGISTRO],DADOS!$N$3,tabela_registros[TIPO],DADOS!$V$3,tabela_registros[CATEGORIA],investiroutrosconsolidadoago[[#This Row],[ATUAL]])</calculatedColumnFormula>
    </tableColumn>
    <tableColumn id="33" xr3:uid="{D0B0B9FB-12C5-4AD3-9101-25C340F66D15}" name="TOTAL (R$)" totalsRowFunction="sum" dataDxfId="3317" dataCellStyle="Moeda">
      <calculatedColumnFormula>SUM(investiroutrosconsolidadoago[[#This Row],[1]:[31]])</calculatedColumnFormula>
    </tableColumn>
  </tableColumns>
  <tableStyleInfo name="TABELAS RESULTADOS" showFirstColumn="0" showLastColumn="0" showRowStripes="1" showColumnStripes="0"/>
</table>
</file>

<file path=xl/tables/table10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5" xr:uid="{F5134919-FEF0-40DC-8719-1423F95B362F}" name="reservafixaconsolidadoago" displayName="reservafixaconsolidadoago" ref="C167:AJ178" headerRowDxfId="3316" dataDxfId="3315" totalsRowDxfId="3314">
  <autoFilter ref="C167:AJ178" xr:uid="{CDBD73CF-1633-4509-BA0C-4B73FF7E50BA}"/>
  <tableColumns count="34">
    <tableColumn id="1" xr3:uid="{53405626-3A78-40CD-9D38-86442403FF47}" name="ATUAL" totalsRowLabel="SALDO" dataDxfId="3313"/>
    <tableColumn id="34" xr3:uid="{64B0D8E8-91E6-4F8B-880D-E1C3DB221D28}" name="Coluna1" dataDxfId="3312" totalsRowDxfId="3311">
      <calculatedColumnFormula>IF(reservafixaconsolidadoago[[#This Row],[TOTAL (R$)]]=0,"",IF(OR(reservafixaconsolidadoago[[#This Row],[TOTAL (R$)]]=LARGE($AJ$168:$AJ$177,1),reservafixaconsolidadoago[[#This Row],[TOTAL (R$)]]=LARGE($AJ$168:$AJ$177,2)),DADOS!$I$11,""))</calculatedColumnFormula>
    </tableColumn>
    <tableColumn id="2" xr3:uid="{B47E20C2-BF98-4908-BA6F-38FB3875D147}" name="1" totalsRowFunction="sum" dataDxfId="3310" dataCellStyle="Moeda"/>
    <tableColumn id="3" xr3:uid="{2AB964E3-30F1-4936-9ADD-0FB4800A1027}" name="2" totalsRowFunction="sum" dataDxfId="3309" dataCellStyle="Moeda">
      <calculatedColumnFormula>SUMIFS(tabela_registros[VALOR],tabela_registros[MÊS],$AE$1,tabela_registros[DIA],reservafixaconsolidadoago[[#Headers],[2]],tabela_registros[REGISTRO],DADOS!$N$3,tabela_registros[TIPO],DADOS!$V$3,tabela_registros[CATEGORIA],reservafixaconsolidadoago[[#This Row],[ATUAL]])</calculatedColumnFormula>
    </tableColumn>
    <tableColumn id="4" xr3:uid="{1F8B43BF-E381-4E2F-93D0-CF002681C738}" name="3" totalsRowFunction="sum" dataDxfId="3308" totalsRowDxfId="3307" dataCellStyle="Moeda">
      <calculatedColumnFormula>SUMIFS(tabela_registros[VALOR],tabela_registros[MÊS],$AE$1,tabela_registros[DIA],reservafixaconsolidadoago[[#Headers],[3]],tabela_registros[REGISTRO],DADOS!$N$3,tabela_registros[TIPO],DADOS!$V$3,tabela_registros[CATEGORIA],reservafixaconsolidadoago[[#This Row],[ATUAL]])</calculatedColumnFormula>
    </tableColumn>
    <tableColumn id="5" xr3:uid="{D700E3B3-854A-468D-BA91-0928673432D9}" name="4" totalsRowFunction="sum" dataDxfId="3306" totalsRowDxfId="3305" dataCellStyle="Moeda">
      <calculatedColumnFormula>SUMIFS(tabela_registros[VALOR],tabela_registros[MÊS],$AE$1,tabela_registros[DIA],reservafixaconsolidadoago[[#Headers],[4]],tabela_registros[REGISTRO],DADOS!$N$3,tabela_registros[TIPO],DADOS!$V$3,tabela_registros[CATEGORIA],reservafixaconsolidadoago[[#This Row],[ATUAL]])</calculatedColumnFormula>
    </tableColumn>
    <tableColumn id="6" xr3:uid="{08589827-8BE3-415D-8C88-68E506299DEC}" name="5" totalsRowFunction="sum" dataDxfId="3304" totalsRowDxfId="3303" dataCellStyle="Moeda">
      <calculatedColumnFormula>SUMIFS(tabela_registros[VALOR],tabela_registros[MÊS],$AE$1,tabela_registros[DIA],reservafixaconsolidadoago[[#Headers],[5]],tabela_registros[REGISTRO],DADOS!$N$3,tabela_registros[TIPO],DADOS!$V$3,tabela_registros[CATEGORIA],reservafixaconsolidadoago[[#This Row],[ATUAL]])</calculatedColumnFormula>
    </tableColumn>
    <tableColumn id="7" xr3:uid="{627B4AF6-3A94-4DFF-BD3A-EF5ACC4A2A26}" name="6" totalsRowFunction="sum" dataDxfId="3302" totalsRowDxfId="3301" dataCellStyle="Moeda">
      <calculatedColumnFormula>SUMIFS(tabela_registros[VALOR],tabela_registros[MÊS],$AE$1,tabela_registros[DIA],reservafixaconsolidadoago[[#Headers],[6]],tabela_registros[REGISTRO],DADOS!$N$3,tabela_registros[TIPO],DADOS!$V$3,tabela_registros[CATEGORIA],reservafixaconsolidadoago[[#This Row],[ATUAL]])</calculatedColumnFormula>
    </tableColumn>
    <tableColumn id="8" xr3:uid="{44322414-F637-4E52-99CE-354C651F0269}" name="7" totalsRowFunction="sum" dataDxfId="3300" totalsRowDxfId="3299" dataCellStyle="Moeda">
      <calculatedColumnFormula>SUMIFS(tabela_registros[VALOR],tabela_registros[MÊS],$AE$1,tabela_registros[DIA],reservafixaconsolidadoago[[#Headers],[7]],tabela_registros[REGISTRO],DADOS!$N$3,tabela_registros[TIPO],DADOS!$V$3,tabela_registros[CATEGORIA],reservafixaconsolidadoago[[#This Row],[ATUAL]])</calculatedColumnFormula>
    </tableColumn>
    <tableColumn id="9" xr3:uid="{1CE172CC-6AF6-45F3-94D4-D2ED917A67F4}" name="8" totalsRowFunction="sum" dataDxfId="3298" totalsRowDxfId="3297" dataCellStyle="Moeda">
      <calculatedColumnFormula>SUMIFS(tabela_registros[VALOR],tabela_registros[MÊS],$AE$1,tabela_registros[DIA],reservafixaconsolidadoago[[#Headers],[8]],tabela_registros[REGISTRO],DADOS!$N$3,tabela_registros[TIPO],DADOS!$V$3,tabela_registros[CATEGORIA],reservafixaconsolidadoago[[#This Row],[ATUAL]])</calculatedColumnFormula>
    </tableColumn>
    <tableColumn id="10" xr3:uid="{4F6E2B59-C688-4EBC-8FBA-4FFAA91B8954}" name="9" totalsRowFunction="sum" dataDxfId="3296" totalsRowDxfId="3295" dataCellStyle="Moeda">
      <calculatedColumnFormula>SUMIFS(tabela_registros[VALOR],tabela_registros[MÊS],$AE$1,tabela_registros[DIA],reservafixaconsolidadoago[[#Headers],[9]],tabela_registros[REGISTRO],DADOS!$N$3,tabela_registros[TIPO],DADOS!$V$3,tabela_registros[CATEGORIA],reservafixaconsolidadoago[[#This Row],[ATUAL]])</calculatedColumnFormula>
    </tableColumn>
    <tableColumn id="11" xr3:uid="{A127A774-D90E-47D9-B7CC-27569F94F14E}" name="10" totalsRowFunction="sum" dataDxfId="3294" totalsRowDxfId="3293" dataCellStyle="Moeda">
      <calculatedColumnFormula>SUMIFS(tabela_registros[VALOR],tabela_registros[MÊS],$AE$1,tabela_registros[DIA],reservafixaconsolidadoago[[#Headers],[10]],tabela_registros[REGISTRO],DADOS!$N$3,tabela_registros[TIPO],DADOS!$V$3,tabela_registros[CATEGORIA],reservafixaconsolidadoago[[#This Row],[ATUAL]])</calculatedColumnFormula>
    </tableColumn>
    <tableColumn id="12" xr3:uid="{34114D3D-A744-49B6-9449-517EF9282501}" name="11" totalsRowFunction="sum" dataDxfId="3292" totalsRowDxfId="3291" dataCellStyle="Moeda">
      <calculatedColumnFormula>SUMIFS(tabela_registros[VALOR],tabela_registros[MÊS],$AE$1,tabela_registros[DIA],reservafixaconsolidadoago[[#Headers],[11]],tabela_registros[REGISTRO],DADOS!$N$3,tabela_registros[TIPO],DADOS!$V$3,tabela_registros[CATEGORIA],reservafixaconsolidadoago[[#This Row],[ATUAL]])</calculatedColumnFormula>
    </tableColumn>
    <tableColumn id="13" xr3:uid="{D366D6A5-06A8-43FD-BEA5-D5C2D557E7FC}" name="12" totalsRowFunction="sum" dataDxfId="3290" totalsRowDxfId="3289" dataCellStyle="Moeda">
      <calculatedColumnFormula>SUMIFS(tabela_registros[VALOR],tabela_registros[MÊS],$AE$1,tabela_registros[DIA],reservafixaconsolidadoago[[#Headers],[12]],tabela_registros[REGISTRO],DADOS!$N$3,tabela_registros[TIPO],DADOS!$V$3,tabela_registros[CATEGORIA],reservafixaconsolidadoago[[#This Row],[ATUAL]])</calculatedColumnFormula>
    </tableColumn>
    <tableColumn id="14" xr3:uid="{1E895527-C72F-4A1D-8F67-BE07BA4E31AE}" name="13" totalsRowFunction="sum" dataDxfId="3288" totalsRowDxfId="3287" dataCellStyle="Moeda">
      <calculatedColumnFormula>SUMIFS(tabela_registros[VALOR],tabela_registros[MÊS],$AE$1,tabela_registros[DIA],reservafixaconsolidadoago[[#Headers],[13]],tabela_registros[REGISTRO],DADOS!$N$3,tabela_registros[TIPO],DADOS!$V$3,tabela_registros[CATEGORIA],reservafixaconsolidadoago[[#This Row],[ATUAL]])</calculatedColumnFormula>
    </tableColumn>
    <tableColumn id="15" xr3:uid="{4B0EC5D2-23E6-4FB0-851E-635AAB674295}" name="14" totalsRowFunction="sum" dataDxfId="3286" totalsRowDxfId="3285" dataCellStyle="Moeda">
      <calculatedColumnFormula>SUMIFS(tabela_registros[VALOR],tabela_registros[MÊS],$AE$1,tabela_registros[DIA],reservafixaconsolidadoago[[#Headers],[14]],tabela_registros[REGISTRO],DADOS!$N$3,tabela_registros[TIPO],DADOS!$V$3,tabela_registros[CATEGORIA],reservafixaconsolidadoago[[#This Row],[ATUAL]])</calculatedColumnFormula>
    </tableColumn>
    <tableColumn id="16" xr3:uid="{65DA5C0A-6BAC-4737-A237-4EBC327454FA}" name="15" totalsRowFunction="sum" dataDxfId="3284" totalsRowDxfId="3283" dataCellStyle="Moeda">
      <calculatedColumnFormula>SUMIFS(tabela_registros[VALOR],tabela_registros[MÊS],$AE$1,tabela_registros[DIA],reservafixaconsolidadoago[[#Headers],[15]],tabela_registros[REGISTRO],DADOS!$N$3,tabela_registros[TIPO],DADOS!$V$3,tabela_registros[CATEGORIA],reservafixaconsolidadoago[[#This Row],[ATUAL]])</calculatedColumnFormula>
    </tableColumn>
    <tableColumn id="17" xr3:uid="{41041F8C-394E-4DE2-84D3-0A0D926EA833}" name="16" totalsRowFunction="sum" dataDxfId="3282" totalsRowDxfId="3281" dataCellStyle="Moeda">
      <calculatedColumnFormula>SUMIFS(tabela_registros[VALOR],tabela_registros[MÊS],$AE$1,tabela_registros[DIA],reservafixaconsolidadoago[[#Headers],[16]],tabela_registros[REGISTRO],DADOS!$N$3,tabela_registros[TIPO],DADOS!$V$3,tabela_registros[CATEGORIA],reservafixaconsolidadoago[[#This Row],[ATUAL]])</calculatedColumnFormula>
    </tableColumn>
    <tableColumn id="18" xr3:uid="{0DBCA2C8-B4AF-4EB4-85C1-36DFAC4B0E0D}" name="17" totalsRowFunction="sum" dataDxfId="3280" totalsRowDxfId="3279" dataCellStyle="Moeda">
      <calculatedColumnFormula>SUMIFS(tabela_registros[VALOR],tabela_registros[MÊS],$AE$1,tabela_registros[DIA],reservafixaconsolidadoago[[#Headers],[17]],tabela_registros[REGISTRO],DADOS!$N$3,tabela_registros[TIPO],DADOS!$V$3,tabela_registros[CATEGORIA],reservafixaconsolidadoago[[#This Row],[ATUAL]])</calculatedColumnFormula>
    </tableColumn>
    <tableColumn id="19" xr3:uid="{AACA41A8-F822-4BF6-A6C9-7434603D0A91}" name="18" totalsRowFunction="sum" dataDxfId="3278" totalsRowDxfId="3277" dataCellStyle="Moeda">
      <calculatedColumnFormula>SUMIFS(tabela_registros[VALOR],tabela_registros[MÊS],$AE$1,tabela_registros[DIA],reservafixaconsolidadoago[[#Headers],[18]],tabela_registros[REGISTRO],DADOS!$N$3,tabela_registros[TIPO],DADOS!$V$3,tabela_registros[CATEGORIA],reservafixaconsolidadoago[[#This Row],[ATUAL]])</calculatedColumnFormula>
    </tableColumn>
    <tableColumn id="20" xr3:uid="{05E3ED0D-E168-4ADD-A31C-B33375B7139E}" name="19" totalsRowFunction="sum" dataDxfId="3276" totalsRowDxfId="3275" dataCellStyle="Moeda">
      <calculatedColumnFormula>SUMIFS(tabela_registros[VALOR],tabela_registros[MÊS],$AE$1,tabela_registros[DIA],reservafixaconsolidadoago[[#Headers],[19]],tabela_registros[REGISTRO],DADOS!$N$3,tabela_registros[TIPO],DADOS!$V$3,tabela_registros[CATEGORIA],reservafixaconsolidadoago[[#This Row],[ATUAL]])</calculatedColumnFormula>
    </tableColumn>
    <tableColumn id="21" xr3:uid="{6E9CD611-54A2-449D-A12D-48B226D52B59}" name="20" totalsRowFunction="sum" dataDxfId="3274" totalsRowDxfId="3273" dataCellStyle="Moeda">
      <calculatedColumnFormula>SUMIFS(tabela_registros[VALOR],tabela_registros[MÊS],$AE$1,tabela_registros[DIA],reservafixaconsolidadoago[[#Headers],[20]],tabela_registros[REGISTRO],DADOS!$N$3,tabela_registros[TIPO],DADOS!$V$3,tabela_registros[CATEGORIA],reservafixaconsolidadoago[[#This Row],[ATUAL]])</calculatedColumnFormula>
    </tableColumn>
    <tableColumn id="22" xr3:uid="{03403D98-29E4-4E3E-9FC3-85B31B1E7649}" name="21" totalsRowFunction="sum" dataDxfId="3272" totalsRowDxfId="3271" dataCellStyle="Moeda">
      <calculatedColumnFormula>SUMIFS(tabela_registros[VALOR],tabela_registros[MÊS],$AE$1,tabela_registros[DIA],reservafixaconsolidadoago[[#Headers],[21]],tabela_registros[REGISTRO],DADOS!$N$3,tabela_registros[TIPO],DADOS!$V$3,tabela_registros[CATEGORIA],reservafixaconsolidadoago[[#This Row],[ATUAL]])</calculatedColumnFormula>
    </tableColumn>
    <tableColumn id="23" xr3:uid="{B5229E7A-E98A-4C0D-9C59-2C3B5BE3F5A2}" name="22" totalsRowFunction="sum" dataDxfId="3270" totalsRowDxfId="3269" dataCellStyle="Moeda">
      <calculatedColumnFormula>SUMIFS(tabela_registros[VALOR],tabela_registros[MÊS],$AE$1,tabela_registros[DIA],reservafixaconsolidadoago[[#Headers],[22]],tabela_registros[REGISTRO],DADOS!$N$3,tabela_registros[TIPO],DADOS!$V$3,tabela_registros[CATEGORIA],reservafixaconsolidadoago[[#This Row],[ATUAL]])</calculatedColumnFormula>
    </tableColumn>
    <tableColumn id="24" xr3:uid="{8BA4C3E5-AAAA-4A1C-B6CA-576216FFDF91}" name="23" totalsRowFunction="sum" dataDxfId="3268" totalsRowDxfId="3267" dataCellStyle="Moeda">
      <calculatedColumnFormula>SUMIFS(tabela_registros[VALOR],tabela_registros[MÊS],$AE$1,tabela_registros[DIA],reservafixaconsolidadoago[[#Headers],[23]],tabela_registros[REGISTRO],DADOS!$N$3,tabela_registros[TIPO],DADOS!$V$3,tabela_registros[CATEGORIA],reservafixaconsolidadoago[[#This Row],[ATUAL]])</calculatedColumnFormula>
    </tableColumn>
    <tableColumn id="25" xr3:uid="{8F95321C-18CE-4636-BDD3-BA5F05F8557E}" name="24" totalsRowFunction="sum" dataDxfId="3266" totalsRowDxfId="3265" dataCellStyle="Moeda">
      <calculatedColumnFormula>SUMIFS(tabela_registros[VALOR],tabela_registros[MÊS],$AE$1,tabela_registros[DIA],reservafixaconsolidadoago[[#Headers],[24]],tabela_registros[REGISTRO],DADOS!$N$3,tabela_registros[TIPO],DADOS!$V$3,tabela_registros[CATEGORIA],reservafixaconsolidadoago[[#This Row],[ATUAL]])</calculatedColumnFormula>
    </tableColumn>
    <tableColumn id="26" xr3:uid="{F6C48921-35A8-4454-9758-DC05D32C9D2F}" name="25" totalsRowFunction="sum" dataDxfId="3264" totalsRowDxfId="3263" dataCellStyle="Moeda">
      <calculatedColumnFormula>SUMIFS(tabela_registros[VALOR],tabela_registros[MÊS],$AE$1,tabela_registros[DIA],reservafixaconsolidadoago[[#Headers],[25]],tabela_registros[REGISTRO],DADOS!$N$3,tabela_registros[TIPO],DADOS!$V$3,tabela_registros[CATEGORIA],reservafixaconsolidadoago[[#This Row],[ATUAL]])</calculatedColumnFormula>
    </tableColumn>
    <tableColumn id="27" xr3:uid="{CD0D4B07-4F60-4CEC-8614-11FD1F46275A}" name="26" totalsRowFunction="sum" dataDxfId="3262" totalsRowDxfId="3261" dataCellStyle="Moeda">
      <calculatedColumnFormula>SUMIFS(tabela_registros[VALOR],tabela_registros[MÊS],$AE$1,tabela_registros[DIA],reservafixaconsolidadoago[[#Headers],[26]],tabela_registros[REGISTRO],DADOS!$N$3,tabela_registros[TIPO],DADOS!$V$3,tabela_registros[CATEGORIA],reservafixaconsolidadoago[[#This Row],[ATUAL]])</calculatedColumnFormula>
    </tableColumn>
    <tableColumn id="28" xr3:uid="{7D7CA89E-7A07-46B0-BE23-CB8DF9FC35D2}" name="27" totalsRowFunction="sum" dataDxfId="3260" totalsRowDxfId="3259" dataCellStyle="Moeda">
      <calculatedColumnFormula>SUMIFS(tabela_registros[VALOR],tabela_registros[MÊS],$AE$1,tabela_registros[DIA],reservafixaconsolidadoago[[#Headers],[27]],tabela_registros[REGISTRO],DADOS!$N$3,tabela_registros[TIPO],DADOS!$V$3,tabela_registros[CATEGORIA],reservafixaconsolidadoago[[#This Row],[ATUAL]])</calculatedColumnFormula>
    </tableColumn>
    <tableColumn id="29" xr3:uid="{251B0372-4454-4E03-8FAC-E3A871028A61}" name="28" totalsRowFunction="sum" dataDxfId="3258" totalsRowDxfId="3257" dataCellStyle="Moeda">
      <calculatedColumnFormula>SUMIFS(tabela_registros[VALOR],tabela_registros[MÊS],$AE$1,tabela_registros[DIA],reservafixaconsolidadoago[[#Headers],[28]],tabela_registros[REGISTRO],DADOS!$N$3,tabela_registros[TIPO],DADOS!$V$3,tabela_registros[CATEGORIA],reservafixaconsolidadoago[[#This Row],[ATUAL]])</calculatedColumnFormula>
    </tableColumn>
    <tableColumn id="30" xr3:uid="{C11EAA22-0204-4E98-8F30-F1EF12353F54}" name="29" totalsRowFunction="sum" dataDxfId="3256" totalsRowDxfId="3255" dataCellStyle="Moeda">
      <calculatedColumnFormula>SUMIFS(tabela_registros[VALOR],tabela_registros[MÊS],$AE$1,tabela_registros[DIA],reservafixaconsolidadoago[[#Headers],[29]],tabela_registros[REGISTRO],DADOS!$N$3,tabela_registros[TIPO],DADOS!$V$3,tabela_registros[CATEGORIA],reservafixaconsolidadoago[[#This Row],[ATUAL]])</calculatedColumnFormula>
    </tableColumn>
    <tableColumn id="31" xr3:uid="{3FBAE695-9F31-40DF-B5C5-F70D471AABEC}" name="30" totalsRowFunction="sum" dataDxfId="3254" totalsRowDxfId="3253" dataCellStyle="Moeda">
      <calculatedColumnFormula>SUMIFS(tabela_registros[VALOR],tabela_registros[MÊS],$AE$1,tabela_registros[DIA],reservafixaconsolidadoago[[#Headers],[30]],tabela_registros[REGISTRO],DADOS!$N$3,tabela_registros[TIPO],DADOS!$V$3,tabela_registros[CATEGORIA],reservafixaconsolidadoago[[#This Row],[ATUAL]])</calculatedColumnFormula>
    </tableColumn>
    <tableColumn id="32" xr3:uid="{56DF3E8A-5A7C-4B07-A06D-FDFE5CC3D45E}" name="31" totalsRowFunction="sum" dataDxfId="3252" totalsRowDxfId="3251" dataCellStyle="Moeda">
      <calculatedColumnFormula>SUMIFS(tabela_registros[VALOR],tabela_registros[MÊS],$AE$1,tabela_registros[DIA],reservafixaconsolidadoago[[#Headers],[31]],tabela_registros[REGISTRO],DADOS!$N$3,tabela_registros[TIPO],DADOS!$V$3,tabela_registros[CATEGORIA],reservafixaconsolidadoago[[#This Row],[ATUAL]])</calculatedColumnFormula>
    </tableColumn>
    <tableColumn id="33" xr3:uid="{5DFC207D-6EC5-4712-A57A-C525EDEF4427}" name="TOTAL (R$)" totalsRowFunction="sum" dataDxfId="3250" dataCellStyle="Moeda">
      <calculatedColumnFormula>SUM(reservafixaconsolidadoago[[#This Row],[1]:[31]])</calculatedColumnFormula>
    </tableColumn>
  </tableColumns>
  <tableStyleInfo name="TABELAS RESULTADOS" showFirstColumn="0" showLastColumn="0" showRowStripes="1" showColumnStripes="0"/>
</table>
</file>

<file path=xl/tables/table10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6" xr:uid="{F89B23A5-919F-4FB6-BB76-CDEDFDA90A1E}" name="reservavariáveisconsolidadoago" displayName="reservavariáveisconsolidadoago" ref="C186:AJ197" headerRowDxfId="3249" dataDxfId="3248" totalsRowDxfId="3247">
  <autoFilter ref="C186:AJ197" xr:uid="{D1B0BC4A-55A7-40F2-94A1-407E95E214F4}"/>
  <tableColumns count="34">
    <tableColumn id="1" xr3:uid="{291D862B-DCEA-4C7B-8294-DEB6091E0AFB}" name="ATUAL" totalsRowLabel="SALDO" dataDxfId="3246"/>
    <tableColumn id="34" xr3:uid="{9C89055B-166F-41CB-B6CA-5B5D661B463D}" name="Coluna1" dataDxfId="3245" totalsRowDxfId="3244">
      <calculatedColumnFormula>IF(reservavariáveisconsolidadoago[[#This Row],[TOTAL (R$)]]=0,"",IF(OR(reservavariáveisconsolidadoago[[#This Row],[TOTAL (R$)]]=LARGE($AJ$187:$AJ$196,1),reservavariáveisconsolidadoago[[#This Row],[TOTAL (R$)]]=LARGE($AJ$187:$AJ$196,2)),DADOS!$I$11,""))</calculatedColumnFormula>
    </tableColumn>
    <tableColumn id="2" xr3:uid="{75D11687-D2FB-42D3-BAA7-39097A593AAA}" name="1" totalsRowFunction="sum" dataDxfId="3243" dataCellStyle="Moeda"/>
    <tableColumn id="3" xr3:uid="{43864F76-9C5C-4F27-B352-41C831AFC160}" name="2" totalsRowFunction="sum" dataDxfId="3242" dataCellStyle="Moeda">
      <calculatedColumnFormula>SUMIFS(tabela_registros[VALOR],tabela_registros[MÊS],$AE$1,tabela_registros[DIA],reservavariáveisconsolidadoago[[#Headers],[2]],tabela_registros[REGISTRO],DADOS!$N$3,tabela_registros[TIPO],DADOS!$V$3,tabela_registros[CATEGORIA],reservavariáveisconsolidadoago[[#This Row],[ATUAL]])</calculatedColumnFormula>
    </tableColumn>
    <tableColumn id="4" xr3:uid="{FFC71E9A-30A6-4BBF-986C-993465E31931}" name="3" totalsRowFunction="sum" dataDxfId="3241" totalsRowDxfId="3240" dataCellStyle="Moeda">
      <calculatedColumnFormula>SUMIFS(tabela_registros[VALOR],tabela_registros[MÊS],$AE$1,tabela_registros[DIA],reservavariáveisconsolidadoago[[#Headers],[3]],tabela_registros[REGISTRO],DADOS!$N$3,tabela_registros[TIPO],DADOS!$V$3,tabela_registros[CATEGORIA],reservavariáveisconsolidadoago[[#This Row],[ATUAL]])</calculatedColumnFormula>
    </tableColumn>
    <tableColumn id="5" xr3:uid="{A1405936-79E9-448E-A798-C706109FC739}" name="4" totalsRowFunction="sum" dataDxfId="3239" totalsRowDxfId="3238" dataCellStyle="Moeda">
      <calculatedColumnFormula>SUMIFS(tabela_registros[VALOR],tabela_registros[MÊS],$AE$1,tabela_registros[DIA],reservavariáveisconsolidadoago[[#Headers],[4]],tabela_registros[REGISTRO],DADOS!$N$3,tabela_registros[TIPO],DADOS!$V$3,tabela_registros[CATEGORIA],reservavariáveisconsolidadoago[[#This Row],[ATUAL]])</calculatedColumnFormula>
    </tableColumn>
    <tableColumn id="6" xr3:uid="{9B0551D8-95FD-483F-B6AD-0962D2A9263A}" name="5" totalsRowFunction="sum" dataDxfId="3237" totalsRowDxfId="3236" dataCellStyle="Moeda">
      <calculatedColumnFormula>SUMIFS(tabela_registros[VALOR],tabela_registros[MÊS],$AE$1,tabela_registros[DIA],reservavariáveisconsolidadoago[[#Headers],[5]],tabela_registros[REGISTRO],DADOS!$N$3,tabela_registros[TIPO],DADOS!$V$3,tabela_registros[CATEGORIA],reservavariáveisconsolidadoago[[#This Row],[ATUAL]])</calculatedColumnFormula>
    </tableColumn>
    <tableColumn id="7" xr3:uid="{D492E292-F06E-4F07-9622-299A7A1CA068}" name="6" totalsRowFunction="sum" dataDxfId="3235" totalsRowDxfId="3234" dataCellStyle="Moeda">
      <calculatedColumnFormula>SUMIFS(tabela_registros[VALOR],tabela_registros[MÊS],$AE$1,tabela_registros[DIA],reservavariáveisconsolidadoago[[#Headers],[6]],tabela_registros[REGISTRO],DADOS!$N$3,tabela_registros[TIPO],DADOS!$V$3,tabela_registros[CATEGORIA],reservavariáveisconsolidadoago[[#This Row],[ATUAL]])</calculatedColumnFormula>
    </tableColumn>
    <tableColumn id="8" xr3:uid="{1DA11B66-F0A4-490A-B7ED-D70B0E93938C}" name="7" totalsRowFunction="sum" dataDxfId="3233" totalsRowDxfId="3232" dataCellStyle="Moeda">
      <calculatedColumnFormula>SUMIFS(tabela_registros[VALOR],tabela_registros[MÊS],$AE$1,tabela_registros[DIA],reservavariáveisconsolidadoago[[#Headers],[7]],tabela_registros[REGISTRO],DADOS!$N$3,tabela_registros[TIPO],DADOS!$V$3,tabela_registros[CATEGORIA],reservavariáveisconsolidadoago[[#This Row],[ATUAL]])</calculatedColumnFormula>
    </tableColumn>
    <tableColumn id="9" xr3:uid="{CE9697BD-D062-4CFA-92B4-AAF80D03A0DF}" name="8" totalsRowFunction="sum" dataDxfId="3231" totalsRowDxfId="3230" dataCellStyle="Moeda">
      <calculatedColumnFormula>SUMIFS(tabela_registros[VALOR],tabela_registros[MÊS],$AE$1,tabela_registros[DIA],reservavariáveisconsolidadoago[[#Headers],[8]],tabela_registros[REGISTRO],DADOS!$N$3,tabela_registros[TIPO],DADOS!$V$3,tabela_registros[CATEGORIA],reservavariáveisconsolidadoago[[#This Row],[ATUAL]])</calculatedColumnFormula>
    </tableColumn>
    <tableColumn id="10" xr3:uid="{4C0D63AA-AAB6-4611-9563-EE802705880B}" name="9" totalsRowFunction="sum" dataDxfId="3229" totalsRowDxfId="3228" dataCellStyle="Moeda">
      <calculatedColumnFormula>SUMIFS(tabela_registros[VALOR],tabela_registros[MÊS],$AE$1,tabela_registros[DIA],reservavariáveisconsolidadoago[[#Headers],[9]],tabela_registros[REGISTRO],DADOS!$N$3,tabela_registros[TIPO],DADOS!$V$3,tabela_registros[CATEGORIA],reservavariáveisconsolidadoago[[#This Row],[ATUAL]])</calculatedColumnFormula>
    </tableColumn>
    <tableColumn id="11" xr3:uid="{EC140F10-394A-449E-8107-802AAFE0C45D}" name="10" totalsRowFunction="sum" dataDxfId="3227" totalsRowDxfId="3226" dataCellStyle="Moeda">
      <calculatedColumnFormula>SUMIFS(tabela_registros[VALOR],tabela_registros[MÊS],$AE$1,tabela_registros[DIA],reservavariáveisconsolidadoago[[#Headers],[10]],tabela_registros[REGISTRO],DADOS!$N$3,tabela_registros[TIPO],DADOS!$V$3,tabela_registros[CATEGORIA],reservavariáveisconsolidadoago[[#This Row],[ATUAL]])</calculatedColumnFormula>
    </tableColumn>
    <tableColumn id="12" xr3:uid="{9FB6311A-75DA-4EB9-B807-A6261D080198}" name="11" totalsRowFunction="sum" dataDxfId="3225" totalsRowDxfId="3224" dataCellStyle="Moeda">
      <calculatedColumnFormula>SUMIFS(tabela_registros[VALOR],tabela_registros[MÊS],$AE$1,tabela_registros[DIA],reservavariáveisconsolidadoago[[#Headers],[11]],tabela_registros[REGISTRO],DADOS!$N$3,tabela_registros[TIPO],DADOS!$V$3,tabela_registros[CATEGORIA],reservavariáveisconsolidadoago[[#This Row],[ATUAL]])</calculatedColumnFormula>
    </tableColumn>
    <tableColumn id="13" xr3:uid="{5A46C8BF-871E-492A-B4E4-6C63573FA0BD}" name="12" totalsRowFunction="sum" dataDxfId="3223" totalsRowDxfId="3222" dataCellStyle="Moeda">
      <calculatedColumnFormula>SUMIFS(tabela_registros[VALOR],tabela_registros[MÊS],$AE$1,tabela_registros[DIA],reservavariáveisconsolidadoago[[#Headers],[12]],tabela_registros[REGISTRO],DADOS!$N$3,tabela_registros[TIPO],DADOS!$V$3,tabela_registros[CATEGORIA],reservavariáveisconsolidadoago[[#This Row],[ATUAL]])</calculatedColumnFormula>
    </tableColumn>
    <tableColumn id="14" xr3:uid="{4FEB1DA9-61B9-467F-B2E2-B6D082132357}" name="13" totalsRowFunction="sum" dataDxfId="3221" totalsRowDxfId="3220" dataCellStyle="Moeda">
      <calculatedColumnFormula>SUMIFS(tabela_registros[VALOR],tabela_registros[MÊS],$AE$1,tabela_registros[DIA],reservavariáveisconsolidadoago[[#Headers],[13]],tabela_registros[REGISTRO],DADOS!$N$3,tabela_registros[TIPO],DADOS!$V$3,tabela_registros[CATEGORIA],reservavariáveisconsolidadoago[[#This Row],[ATUAL]])</calculatedColumnFormula>
    </tableColumn>
    <tableColumn id="15" xr3:uid="{A4D89D01-78DB-4FE8-AED1-C2462E4AF0DF}" name="14" totalsRowFunction="sum" dataDxfId="3219" totalsRowDxfId="3218" dataCellStyle="Moeda">
      <calculatedColumnFormula>SUMIFS(tabela_registros[VALOR],tabela_registros[MÊS],$AE$1,tabela_registros[DIA],reservavariáveisconsolidadoago[[#Headers],[14]],tabela_registros[REGISTRO],DADOS!$N$3,tabela_registros[TIPO],DADOS!$V$3,tabela_registros[CATEGORIA],reservavariáveisconsolidadoago[[#This Row],[ATUAL]])</calculatedColumnFormula>
    </tableColumn>
    <tableColumn id="16" xr3:uid="{3C042D00-E23C-4BEA-B65E-F8F45C92C991}" name="15" totalsRowFunction="sum" dataDxfId="3217" totalsRowDxfId="3216" dataCellStyle="Moeda">
      <calculatedColumnFormula>SUMIFS(tabela_registros[VALOR],tabela_registros[MÊS],$AE$1,tabela_registros[DIA],reservavariáveisconsolidadoago[[#Headers],[15]],tabela_registros[REGISTRO],DADOS!$N$3,tabela_registros[TIPO],DADOS!$V$3,tabela_registros[CATEGORIA],reservavariáveisconsolidadoago[[#This Row],[ATUAL]])</calculatedColumnFormula>
    </tableColumn>
    <tableColumn id="17" xr3:uid="{FB42D08C-344E-4EA2-A6F1-09F50F7D4A07}" name="16" totalsRowFunction="sum" dataDxfId="3215" totalsRowDxfId="3214" dataCellStyle="Moeda">
      <calculatedColumnFormula>SUMIFS(tabela_registros[VALOR],tabela_registros[MÊS],$AE$1,tabela_registros[DIA],reservavariáveisconsolidadoago[[#Headers],[16]],tabela_registros[REGISTRO],DADOS!$N$3,tabela_registros[TIPO],DADOS!$V$3,tabela_registros[CATEGORIA],reservavariáveisconsolidadoago[[#This Row],[ATUAL]])</calculatedColumnFormula>
    </tableColumn>
    <tableColumn id="18" xr3:uid="{86339DBC-A50D-4407-903F-771F9DCB1899}" name="17" totalsRowFunction="sum" dataDxfId="3213" totalsRowDxfId="3212" dataCellStyle="Moeda">
      <calculatedColumnFormula>SUMIFS(tabela_registros[VALOR],tabela_registros[MÊS],$AE$1,tabela_registros[DIA],reservavariáveisconsolidadoago[[#Headers],[17]],tabela_registros[REGISTRO],DADOS!$N$3,tabela_registros[TIPO],DADOS!$V$3,tabela_registros[CATEGORIA],reservavariáveisconsolidadoago[[#This Row],[ATUAL]])</calculatedColumnFormula>
    </tableColumn>
    <tableColumn id="19" xr3:uid="{728E21C2-7328-41C4-9684-09E09C25696B}" name="18" totalsRowFunction="sum" dataDxfId="3211" totalsRowDxfId="3210" dataCellStyle="Moeda">
      <calculatedColumnFormula>SUMIFS(tabela_registros[VALOR],tabela_registros[MÊS],$AE$1,tabela_registros[DIA],reservavariáveisconsolidadoago[[#Headers],[18]],tabela_registros[REGISTRO],DADOS!$N$3,tabela_registros[TIPO],DADOS!$V$3,tabela_registros[CATEGORIA],reservavariáveisconsolidadoago[[#This Row],[ATUAL]])</calculatedColumnFormula>
    </tableColumn>
    <tableColumn id="20" xr3:uid="{6F61DF8B-53BB-4D37-B34E-A2812F671C83}" name="19" totalsRowFunction="sum" dataDxfId="3209" totalsRowDxfId="3208" dataCellStyle="Moeda">
      <calculatedColumnFormula>SUMIFS(tabela_registros[VALOR],tabela_registros[MÊS],$AE$1,tabela_registros[DIA],reservavariáveisconsolidadoago[[#Headers],[19]],tabela_registros[REGISTRO],DADOS!$N$3,tabela_registros[TIPO],DADOS!$V$3,tabela_registros[CATEGORIA],reservavariáveisconsolidadoago[[#This Row],[ATUAL]])</calculatedColumnFormula>
    </tableColumn>
    <tableColumn id="21" xr3:uid="{D67871E5-E00C-4A07-8582-F04F046B478C}" name="20" totalsRowFunction="sum" dataDxfId="3207" totalsRowDxfId="3206" dataCellStyle="Moeda">
      <calculatedColumnFormula>SUMIFS(tabela_registros[VALOR],tabela_registros[MÊS],$AE$1,tabela_registros[DIA],reservavariáveisconsolidadoago[[#Headers],[20]],tabela_registros[REGISTRO],DADOS!$N$3,tabela_registros[TIPO],DADOS!$V$3,tabela_registros[CATEGORIA],reservavariáveisconsolidadoago[[#This Row],[ATUAL]])</calculatedColumnFormula>
    </tableColumn>
    <tableColumn id="22" xr3:uid="{D0C91036-F5E7-4CB6-8B14-85D77AD060FB}" name="21" totalsRowFunction="sum" dataDxfId="3205" totalsRowDxfId="3204" dataCellStyle="Moeda">
      <calculatedColumnFormula>SUMIFS(tabela_registros[VALOR],tabela_registros[MÊS],$AE$1,tabela_registros[DIA],reservavariáveisconsolidadoago[[#Headers],[21]],tabela_registros[REGISTRO],DADOS!$N$3,tabela_registros[TIPO],DADOS!$V$3,tabela_registros[CATEGORIA],reservavariáveisconsolidadoago[[#This Row],[ATUAL]])</calculatedColumnFormula>
    </tableColumn>
    <tableColumn id="23" xr3:uid="{A63F2C5C-B8FE-4C1B-B707-B71366FF6D2F}" name="22" totalsRowFunction="sum" dataDxfId="3203" totalsRowDxfId="3202" dataCellStyle="Moeda">
      <calculatedColumnFormula>SUMIFS(tabela_registros[VALOR],tabela_registros[MÊS],$AE$1,tabela_registros[DIA],reservavariáveisconsolidadoago[[#Headers],[22]],tabela_registros[REGISTRO],DADOS!$N$3,tabela_registros[TIPO],DADOS!$V$3,tabela_registros[CATEGORIA],reservavariáveisconsolidadoago[[#This Row],[ATUAL]])</calculatedColumnFormula>
    </tableColumn>
    <tableColumn id="24" xr3:uid="{2D267EA1-10E9-484B-9BF5-8EB53BA63502}" name="23" totalsRowFunction="sum" dataDxfId="3201" totalsRowDxfId="3200" dataCellStyle="Moeda">
      <calculatedColumnFormula>SUMIFS(tabela_registros[VALOR],tabela_registros[MÊS],$AE$1,tabela_registros[DIA],reservavariáveisconsolidadoago[[#Headers],[23]],tabela_registros[REGISTRO],DADOS!$N$3,tabela_registros[TIPO],DADOS!$V$3,tabela_registros[CATEGORIA],reservavariáveisconsolidadoago[[#This Row],[ATUAL]])</calculatedColumnFormula>
    </tableColumn>
    <tableColumn id="25" xr3:uid="{C1C1A927-6A1D-41E5-BD95-882FD58C3870}" name="24" totalsRowFunction="sum" dataDxfId="3199" totalsRowDxfId="3198" dataCellStyle="Moeda">
      <calculatedColumnFormula>SUMIFS(tabela_registros[VALOR],tabela_registros[MÊS],$AE$1,tabela_registros[DIA],reservavariáveisconsolidadoago[[#Headers],[24]],tabela_registros[REGISTRO],DADOS!$N$3,tabela_registros[TIPO],DADOS!$V$3,tabela_registros[CATEGORIA],reservavariáveisconsolidadoago[[#This Row],[ATUAL]])</calculatedColumnFormula>
    </tableColumn>
    <tableColumn id="26" xr3:uid="{93BAAB50-1763-4157-B2D6-CF7962B64E41}" name="25" totalsRowFunction="sum" dataDxfId="3197" totalsRowDxfId="3196" dataCellStyle="Moeda">
      <calculatedColumnFormula>SUMIFS(tabela_registros[VALOR],tabela_registros[MÊS],$AE$1,tabela_registros[DIA],reservavariáveisconsolidadoago[[#Headers],[25]],tabela_registros[REGISTRO],DADOS!$N$3,tabela_registros[TIPO],DADOS!$V$3,tabela_registros[CATEGORIA],reservavariáveisconsolidadoago[[#This Row],[ATUAL]])</calculatedColumnFormula>
    </tableColumn>
    <tableColumn id="27" xr3:uid="{03D7EDDC-DF2C-450D-AFF7-CA4D2FBA0EB6}" name="26" totalsRowFunction="sum" dataDxfId="3195" totalsRowDxfId="3194" dataCellStyle="Moeda">
      <calculatedColumnFormula>SUMIFS(tabela_registros[VALOR],tabela_registros[MÊS],$AE$1,tabela_registros[DIA],reservavariáveisconsolidadoago[[#Headers],[26]],tabela_registros[REGISTRO],DADOS!$N$3,tabela_registros[TIPO],DADOS!$V$3,tabela_registros[CATEGORIA],reservavariáveisconsolidadoago[[#This Row],[ATUAL]])</calculatedColumnFormula>
    </tableColumn>
    <tableColumn id="28" xr3:uid="{2F47144E-03B1-4483-B5EB-B1041D99E7AD}" name="27" totalsRowFunction="sum" dataDxfId="3193" totalsRowDxfId="3192" dataCellStyle="Moeda">
      <calculatedColumnFormula>SUMIFS(tabela_registros[VALOR],tabela_registros[MÊS],$AE$1,tabela_registros[DIA],reservavariáveisconsolidadoago[[#Headers],[27]],tabela_registros[REGISTRO],DADOS!$N$3,tabela_registros[TIPO],DADOS!$V$3,tabela_registros[CATEGORIA],reservavariáveisconsolidadoago[[#This Row],[ATUAL]])</calculatedColumnFormula>
    </tableColumn>
    <tableColumn id="29" xr3:uid="{4FB868DC-91D1-4A40-917A-8FA114605B8E}" name="28" totalsRowFunction="sum" dataDxfId="3191" totalsRowDxfId="3190" dataCellStyle="Moeda">
      <calculatedColumnFormula>SUMIFS(tabela_registros[VALOR],tabela_registros[MÊS],$AE$1,tabela_registros[DIA],reservavariáveisconsolidadoago[[#Headers],[28]],tabela_registros[REGISTRO],DADOS!$N$3,tabela_registros[TIPO],DADOS!$V$3,tabela_registros[CATEGORIA],reservavariáveisconsolidadoago[[#This Row],[ATUAL]])</calculatedColumnFormula>
    </tableColumn>
    <tableColumn id="30" xr3:uid="{8E9340BD-6E4D-4C10-A94E-A934548F8DD0}" name="29" totalsRowFunction="sum" dataDxfId="3189" totalsRowDxfId="3188" dataCellStyle="Moeda">
      <calculatedColumnFormula>SUMIFS(tabela_registros[VALOR],tabela_registros[MÊS],$AE$1,tabela_registros[DIA],reservavariáveisconsolidadoago[[#Headers],[29]],tabela_registros[REGISTRO],DADOS!$N$3,tabela_registros[TIPO],DADOS!$V$3,tabela_registros[CATEGORIA],reservavariáveisconsolidadoago[[#This Row],[ATUAL]])</calculatedColumnFormula>
    </tableColumn>
    <tableColumn id="31" xr3:uid="{A953F5D6-ADF3-4672-BD2F-E0BA2F011ED0}" name="30" totalsRowFunction="sum" dataDxfId="3187" totalsRowDxfId="3186" dataCellStyle="Moeda">
      <calculatedColumnFormula>SUMIFS(tabela_registros[VALOR],tabela_registros[MÊS],$AE$1,tabela_registros[DIA],reservavariáveisconsolidadoago[[#Headers],[30]],tabela_registros[REGISTRO],DADOS!$N$3,tabela_registros[TIPO],DADOS!$V$3,tabela_registros[CATEGORIA],reservavariáveisconsolidadoago[[#This Row],[ATUAL]])</calculatedColumnFormula>
    </tableColumn>
    <tableColumn id="32" xr3:uid="{94A4B195-5640-4B8C-B4B2-81028003FD3D}" name="31" totalsRowFunction="sum" dataDxfId="3185" totalsRowDxfId="3184" dataCellStyle="Moeda">
      <calculatedColumnFormula>SUMIFS(tabela_registros[VALOR],tabela_registros[MÊS],$AE$1,tabela_registros[DIA],reservavariáveisconsolidadoago[[#Headers],[31]],tabela_registros[REGISTRO],DADOS!$N$3,tabela_registros[TIPO],DADOS!$V$3,tabela_registros[CATEGORIA],reservavariáveisconsolidadoago[[#This Row],[ATUAL]])</calculatedColumnFormula>
    </tableColumn>
    <tableColumn id="33" xr3:uid="{531A7520-036D-43D0-9A3A-542FF8C5F84B}" name="TOTAL (R$)" totalsRowFunction="sum" dataDxfId="3183" dataCellStyle="Moeda">
      <calculatedColumnFormula>SUM(reservavariáveisconsolidadoago[[#This Row],[1]:[31]])</calculatedColumnFormula>
    </tableColumn>
  </tableColumns>
  <tableStyleInfo name="TABELAS RESULTADOS" showFirstColumn="0" showLastColumn="0" showRowStripes="1" showColumnStripes="0"/>
</table>
</file>

<file path=xl/tables/table10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7" xr:uid="{50170BCF-910D-4C38-A584-3DFFE836C5C7}" name="reservaoutrosconsolidadoago" displayName="reservaoutrosconsolidadoago" ref="C205:AJ214" headerRowDxfId="3182" dataDxfId="3181" totalsRowDxfId="3180">
  <autoFilter ref="C205:AJ214" xr:uid="{9335CBAF-4490-44EE-A508-E6F2F3B6C6F1}"/>
  <tableColumns count="34">
    <tableColumn id="1" xr3:uid="{943980E4-1180-42D1-8650-1666F87C09D9}" name="ATUAL" totalsRowLabel="SALDO" dataDxfId="3179"/>
    <tableColumn id="34" xr3:uid="{1C04BF19-B4E6-4B37-85AB-407317967CBB}" name="Coluna1" dataDxfId="3178" totalsRowDxfId="3177">
      <calculatedColumnFormula>IF(reservaoutrosconsolidadoago[[#This Row],[TOTAL (R$)]]=0,"",IF(OR(reservaoutrosconsolidadoago[[#This Row],[TOTAL (R$)]]=LARGE($AJ$206:$AJ$213,1),reservaoutrosconsolidadoago[[#This Row],[TOTAL (R$)]]=LARGE($AJ$206:$AJ$213,2)),DADOS!$I$11,""))</calculatedColumnFormula>
    </tableColumn>
    <tableColumn id="2" xr3:uid="{E562DBAF-112B-4B12-9D0F-5BDC46BDAB2F}" name="1" totalsRowFunction="sum" dataDxfId="3176" dataCellStyle="Moeda"/>
    <tableColumn id="3" xr3:uid="{0CCA344E-7BEA-49FC-B9C9-62540C36CDA7}" name="2" totalsRowFunction="sum" dataDxfId="3175" dataCellStyle="Moeda">
      <calculatedColumnFormula>SUMIFS(tabela_registros[VALOR],tabela_registros[MÊS],$AE$1,tabela_registros[DIA],reservaoutrosconsolidadoago[[#Headers],[2]],tabela_registros[REGISTRO],DADOS!$N$3,tabela_registros[TIPO],DADOS!$V$3,tabela_registros[CATEGORIA],reservaoutrosconsolidadoago[[#This Row],[ATUAL]])</calculatedColumnFormula>
    </tableColumn>
    <tableColumn id="4" xr3:uid="{DA62C1DA-D3ED-404A-9CEF-7CE18599BCDA}" name="3" totalsRowFunction="sum" dataDxfId="3174" totalsRowDxfId="3173" dataCellStyle="Moeda">
      <calculatedColumnFormula>SUMIFS(tabela_registros[VALOR],tabela_registros[MÊS],$AE$1,tabela_registros[DIA],reservaoutrosconsolidadoago[[#Headers],[3]],tabela_registros[REGISTRO],DADOS!$N$3,tabela_registros[TIPO],DADOS!$V$3,tabela_registros[CATEGORIA],reservaoutrosconsolidadoago[[#This Row],[ATUAL]])</calculatedColumnFormula>
    </tableColumn>
    <tableColumn id="5" xr3:uid="{A9732779-CCD9-47BF-92A5-4916B52574E4}" name="4" totalsRowFunction="sum" dataDxfId="3172" totalsRowDxfId="3171" dataCellStyle="Moeda">
      <calculatedColumnFormula>SUMIFS(tabela_registros[VALOR],tabela_registros[MÊS],$AE$1,tabela_registros[DIA],reservaoutrosconsolidadoago[[#Headers],[4]],tabela_registros[REGISTRO],DADOS!$N$3,tabela_registros[TIPO],DADOS!$V$3,tabela_registros[CATEGORIA],reservaoutrosconsolidadoago[[#This Row],[ATUAL]])</calculatedColumnFormula>
    </tableColumn>
    <tableColumn id="6" xr3:uid="{84384D76-0CCF-44FE-AE15-824958B1106C}" name="5" totalsRowFunction="sum" dataDxfId="3170" totalsRowDxfId="3169" dataCellStyle="Moeda">
      <calculatedColumnFormula>SUMIFS(tabela_registros[VALOR],tabela_registros[MÊS],$AE$1,tabela_registros[DIA],reservaoutrosconsolidadoago[[#Headers],[5]],tabela_registros[REGISTRO],DADOS!$N$3,tabela_registros[TIPO],DADOS!$V$3,tabela_registros[CATEGORIA],reservaoutrosconsolidadoago[[#This Row],[ATUAL]])</calculatedColumnFormula>
    </tableColumn>
    <tableColumn id="7" xr3:uid="{739A328E-A06B-4115-BC3E-314962B04DC2}" name="6" totalsRowFunction="sum" dataDxfId="3168" totalsRowDxfId="3167" dataCellStyle="Moeda">
      <calculatedColumnFormula>SUMIFS(tabela_registros[VALOR],tabela_registros[MÊS],$AE$1,tabela_registros[DIA],reservaoutrosconsolidadoago[[#Headers],[6]],tabela_registros[REGISTRO],DADOS!$N$3,tabela_registros[TIPO],DADOS!$V$3,tabela_registros[CATEGORIA],reservaoutrosconsolidadoago[[#This Row],[ATUAL]])</calculatedColumnFormula>
    </tableColumn>
    <tableColumn id="8" xr3:uid="{82A03D99-5369-4143-956B-DB67CE644E12}" name="7" totalsRowFunction="sum" dataDxfId="3166" totalsRowDxfId="3165" dataCellStyle="Moeda">
      <calculatedColumnFormula>SUMIFS(tabela_registros[VALOR],tabela_registros[MÊS],$AE$1,tabela_registros[DIA],reservaoutrosconsolidadoago[[#Headers],[7]],tabela_registros[REGISTRO],DADOS!$N$3,tabela_registros[TIPO],DADOS!$V$3,tabela_registros[CATEGORIA],reservaoutrosconsolidadoago[[#This Row],[ATUAL]])</calculatedColumnFormula>
    </tableColumn>
    <tableColumn id="9" xr3:uid="{A9229F9A-8F4F-4531-A150-94DBF77BE810}" name="8" totalsRowFunction="sum" dataDxfId="3164" totalsRowDxfId="3163" dataCellStyle="Moeda">
      <calculatedColumnFormula>SUMIFS(tabela_registros[VALOR],tabela_registros[MÊS],$AE$1,tabela_registros[DIA],reservaoutrosconsolidadoago[[#Headers],[8]],tabela_registros[REGISTRO],DADOS!$N$3,tabela_registros[TIPO],DADOS!$V$3,tabela_registros[CATEGORIA],reservaoutrosconsolidadoago[[#This Row],[ATUAL]])</calculatedColumnFormula>
    </tableColumn>
    <tableColumn id="10" xr3:uid="{92BC5392-95AB-46CC-ABDB-1C4118BE9FCE}" name="9" totalsRowFunction="sum" dataDxfId="3162" totalsRowDxfId="3161" dataCellStyle="Moeda">
      <calculatedColumnFormula>SUMIFS(tabela_registros[VALOR],tabela_registros[MÊS],$AE$1,tabela_registros[DIA],reservaoutrosconsolidadoago[[#Headers],[9]],tabela_registros[REGISTRO],DADOS!$N$3,tabela_registros[TIPO],DADOS!$V$3,tabela_registros[CATEGORIA],reservaoutrosconsolidadoago[[#This Row],[ATUAL]])</calculatedColumnFormula>
    </tableColumn>
    <tableColumn id="11" xr3:uid="{C18DBB85-08C6-484B-BCB5-B84EED7A7123}" name="10" totalsRowFunction="sum" dataDxfId="3160" totalsRowDxfId="3159" dataCellStyle="Moeda">
      <calculatedColumnFormula>SUMIFS(tabela_registros[VALOR],tabela_registros[MÊS],$AE$1,tabela_registros[DIA],reservaoutrosconsolidadoago[[#Headers],[10]],tabela_registros[REGISTRO],DADOS!$N$3,tabela_registros[TIPO],DADOS!$V$3,tabela_registros[CATEGORIA],reservaoutrosconsolidadoago[[#This Row],[ATUAL]])</calculatedColumnFormula>
    </tableColumn>
    <tableColumn id="12" xr3:uid="{475B93E8-3CA6-42CC-96CB-AA93372A82FF}" name="11" totalsRowFunction="sum" dataDxfId="3158" totalsRowDxfId="3157" dataCellStyle="Moeda">
      <calculatedColumnFormula>SUMIFS(tabela_registros[VALOR],tabela_registros[MÊS],$AE$1,tabela_registros[DIA],reservaoutrosconsolidadoago[[#Headers],[11]],tabela_registros[REGISTRO],DADOS!$N$3,tabela_registros[TIPO],DADOS!$V$3,tabela_registros[CATEGORIA],reservaoutrosconsolidadoago[[#This Row],[ATUAL]])</calculatedColumnFormula>
    </tableColumn>
    <tableColumn id="13" xr3:uid="{EAA859FB-336D-410B-A369-7919849AFC86}" name="12" totalsRowFunction="sum" dataDxfId="3156" totalsRowDxfId="3155" dataCellStyle="Moeda">
      <calculatedColumnFormula>SUMIFS(tabela_registros[VALOR],tabela_registros[MÊS],$AE$1,tabela_registros[DIA],reservaoutrosconsolidadoago[[#Headers],[12]],tabela_registros[REGISTRO],DADOS!$N$3,tabela_registros[TIPO],DADOS!$V$3,tabela_registros[CATEGORIA],reservaoutrosconsolidadoago[[#This Row],[ATUAL]])</calculatedColumnFormula>
    </tableColumn>
    <tableColumn id="14" xr3:uid="{CF1F9503-2E09-4C9B-9207-51625F4D7130}" name="13" totalsRowFunction="sum" dataDxfId="3154" totalsRowDxfId="3153" dataCellStyle="Moeda">
      <calculatedColumnFormula>SUMIFS(tabela_registros[VALOR],tabela_registros[MÊS],$AE$1,tabela_registros[DIA],reservaoutrosconsolidadoago[[#Headers],[13]],tabela_registros[REGISTRO],DADOS!$N$3,tabela_registros[TIPO],DADOS!$V$3,tabela_registros[CATEGORIA],reservaoutrosconsolidadoago[[#This Row],[ATUAL]])</calculatedColumnFormula>
    </tableColumn>
    <tableColumn id="15" xr3:uid="{790A683C-6CF9-4C1C-8037-8841C1ED5A29}" name="14" totalsRowFunction="sum" dataDxfId="3152" totalsRowDxfId="3151" dataCellStyle="Moeda">
      <calculatedColumnFormula>SUMIFS(tabela_registros[VALOR],tabela_registros[MÊS],$AE$1,tabela_registros[DIA],reservaoutrosconsolidadoago[[#Headers],[14]],tabela_registros[REGISTRO],DADOS!$N$3,tabela_registros[TIPO],DADOS!$V$3,tabela_registros[CATEGORIA],reservaoutrosconsolidadoago[[#This Row],[ATUAL]])</calculatedColumnFormula>
    </tableColumn>
    <tableColumn id="16" xr3:uid="{E544269A-87CC-4FCF-B5DE-87AD0DD558BA}" name="15" totalsRowFunction="sum" dataDxfId="3150" totalsRowDxfId="3149" dataCellStyle="Moeda">
      <calculatedColumnFormula>SUMIFS(tabela_registros[VALOR],tabela_registros[MÊS],$AE$1,tabela_registros[DIA],reservaoutrosconsolidadoago[[#Headers],[15]],tabela_registros[REGISTRO],DADOS!$N$3,tabela_registros[TIPO],DADOS!$V$3,tabela_registros[CATEGORIA],reservaoutrosconsolidadoago[[#This Row],[ATUAL]])</calculatedColumnFormula>
    </tableColumn>
    <tableColumn id="17" xr3:uid="{A45D3302-DFD5-41FE-864B-15DCFF679FF4}" name="16" totalsRowFunction="sum" dataDxfId="3148" totalsRowDxfId="3147" dataCellStyle="Moeda">
      <calculatedColumnFormula>SUMIFS(tabela_registros[VALOR],tabela_registros[MÊS],$AE$1,tabela_registros[DIA],reservaoutrosconsolidadoago[[#Headers],[16]],tabela_registros[REGISTRO],DADOS!$N$3,tabela_registros[TIPO],DADOS!$V$3,tabela_registros[CATEGORIA],reservaoutrosconsolidadoago[[#This Row],[ATUAL]])</calculatedColumnFormula>
    </tableColumn>
    <tableColumn id="18" xr3:uid="{BC04C995-B360-4F60-8ADC-E683D786CAAB}" name="17" totalsRowFunction="sum" dataDxfId="3146" totalsRowDxfId="3145" dataCellStyle="Moeda">
      <calculatedColumnFormula>SUMIFS(tabela_registros[VALOR],tabela_registros[MÊS],$AE$1,tabela_registros[DIA],reservaoutrosconsolidadoago[[#Headers],[17]],tabela_registros[REGISTRO],DADOS!$N$3,tabela_registros[TIPO],DADOS!$V$3,tabela_registros[CATEGORIA],reservaoutrosconsolidadoago[[#This Row],[ATUAL]])</calculatedColumnFormula>
    </tableColumn>
    <tableColumn id="19" xr3:uid="{21388854-FF28-4890-90A4-AD1C24BCB530}" name="18" totalsRowFunction="sum" dataDxfId="3144" totalsRowDxfId="3143" dataCellStyle="Moeda">
      <calculatedColumnFormula>SUMIFS(tabela_registros[VALOR],tabela_registros[MÊS],$AE$1,tabela_registros[DIA],reservaoutrosconsolidadoago[[#Headers],[18]],tabela_registros[REGISTRO],DADOS!$N$3,tabela_registros[TIPO],DADOS!$V$3,tabela_registros[CATEGORIA],reservaoutrosconsolidadoago[[#This Row],[ATUAL]])</calculatedColumnFormula>
    </tableColumn>
    <tableColumn id="20" xr3:uid="{FF1BF955-238E-4E35-9EB6-F7612427CC57}" name="19" totalsRowFunction="sum" dataDxfId="3142" totalsRowDxfId="3141" dataCellStyle="Moeda">
      <calculatedColumnFormula>SUMIFS(tabela_registros[VALOR],tabela_registros[MÊS],$AE$1,tabela_registros[DIA],reservaoutrosconsolidadoago[[#Headers],[19]],tabela_registros[REGISTRO],DADOS!$N$3,tabela_registros[TIPO],DADOS!$V$3,tabela_registros[CATEGORIA],reservaoutrosconsolidadoago[[#This Row],[ATUAL]])</calculatedColumnFormula>
    </tableColumn>
    <tableColumn id="21" xr3:uid="{F8CC58B0-66E6-46DE-B45C-A074B1EC982A}" name="20" totalsRowFunction="sum" dataDxfId="3140" totalsRowDxfId="3139" dataCellStyle="Moeda">
      <calculatedColumnFormula>SUMIFS(tabela_registros[VALOR],tabela_registros[MÊS],$AE$1,tabela_registros[DIA],reservaoutrosconsolidadoago[[#Headers],[20]],tabela_registros[REGISTRO],DADOS!$N$3,tabela_registros[TIPO],DADOS!$V$3,tabela_registros[CATEGORIA],reservaoutrosconsolidadoago[[#This Row],[ATUAL]])</calculatedColumnFormula>
    </tableColumn>
    <tableColumn id="22" xr3:uid="{DE667DA6-F874-4ABD-AC86-23E8BFBA06E7}" name="21" totalsRowFunction="sum" dataDxfId="3138" totalsRowDxfId="3137" dataCellStyle="Moeda">
      <calculatedColumnFormula>SUMIFS(tabela_registros[VALOR],tabela_registros[MÊS],$AE$1,tabela_registros[DIA],reservaoutrosconsolidadoago[[#Headers],[21]],tabela_registros[REGISTRO],DADOS!$N$3,tabela_registros[TIPO],DADOS!$V$3,tabela_registros[CATEGORIA],reservaoutrosconsolidadoago[[#This Row],[ATUAL]])</calculatedColumnFormula>
    </tableColumn>
    <tableColumn id="23" xr3:uid="{AF564D38-5631-44EF-8AFC-CA8ACE722541}" name="22" totalsRowFunction="sum" dataDxfId="3136" totalsRowDxfId="3135" dataCellStyle="Moeda">
      <calculatedColumnFormula>SUMIFS(tabela_registros[VALOR],tabela_registros[MÊS],$AE$1,tabela_registros[DIA],reservaoutrosconsolidadoago[[#Headers],[22]],tabela_registros[REGISTRO],DADOS!$N$3,tabela_registros[TIPO],DADOS!$V$3,tabela_registros[CATEGORIA],reservaoutrosconsolidadoago[[#This Row],[ATUAL]])</calculatedColumnFormula>
    </tableColumn>
    <tableColumn id="24" xr3:uid="{3E1256A3-FAF4-498D-8A7F-715F52D73EFC}" name="23" totalsRowFunction="sum" dataDxfId="3134" totalsRowDxfId="3133" dataCellStyle="Moeda">
      <calculatedColumnFormula>SUMIFS(tabela_registros[VALOR],tabela_registros[MÊS],$AE$1,tabela_registros[DIA],reservaoutrosconsolidadoago[[#Headers],[23]],tabela_registros[REGISTRO],DADOS!$N$3,tabela_registros[TIPO],DADOS!$V$3,tabela_registros[CATEGORIA],reservaoutrosconsolidadoago[[#This Row],[ATUAL]])</calculatedColumnFormula>
    </tableColumn>
    <tableColumn id="25" xr3:uid="{3DDA8830-2012-4E08-9569-5C493F100000}" name="24" totalsRowFunction="sum" dataDxfId="3132" totalsRowDxfId="3131" dataCellStyle="Moeda">
      <calculatedColumnFormula>SUMIFS(tabela_registros[VALOR],tabela_registros[MÊS],$AE$1,tabela_registros[DIA],reservaoutrosconsolidadoago[[#Headers],[24]],tabela_registros[REGISTRO],DADOS!$N$3,tabela_registros[TIPO],DADOS!$V$3,tabela_registros[CATEGORIA],reservaoutrosconsolidadoago[[#This Row],[ATUAL]])</calculatedColumnFormula>
    </tableColumn>
    <tableColumn id="26" xr3:uid="{1CAC4272-EA49-443C-996A-4D3364A11B0D}" name="25" totalsRowFunction="sum" dataDxfId="3130" totalsRowDxfId="3129" dataCellStyle="Moeda">
      <calculatedColumnFormula>SUMIFS(tabela_registros[VALOR],tabela_registros[MÊS],$AE$1,tabela_registros[DIA],reservaoutrosconsolidadoago[[#Headers],[25]],tabela_registros[REGISTRO],DADOS!$N$3,tabela_registros[TIPO],DADOS!$V$3,tabela_registros[CATEGORIA],reservaoutrosconsolidadoago[[#This Row],[ATUAL]])</calculatedColumnFormula>
    </tableColumn>
    <tableColumn id="27" xr3:uid="{6342A955-CE7E-498F-8560-3DC346DAAB71}" name="26" totalsRowFunction="sum" dataDxfId="3128" totalsRowDxfId="3127" dataCellStyle="Moeda">
      <calculatedColumnFormula>SUMIFS(tabela_registros[VALOR],tabela_registros[MÊS],$AE$1,tabela_registros[DIA],reservaoutrosconsolidadoago[[#Headers],[26]],tabela_registros[REGISTRO],DADOS!$N$3,tabela_registros[TIPO],DADOS!$V$3,tabela_registros[CATEGORIA],reservaoutrosconsolidadoago[[#This Row],[ATUAL]])</calculatedColumnFormula>
    </tableColumn>
    <tableColumn id="28" xr3:uid="{7AC54C8C-C474-42FB-A473-A944A7F81E0B}" name="27" totalsRowFunction="sum" dataDxfId="3126" totalsRowDxfId="3125" dataCellStyle="Moeda">
      <calculatedColumnFormula>SUMIFS(tabela_registros[VALOR],tabela_registros[MÊS],$AE$1,tabela_registros[DIA],reservaoutrosconsolidadoago[[#Headers],[27]],tabela_registros[REGISTRO],DADOS!$N$3,tabela_registros[TIPO],DADOS!$V$3,tabela_registros[CATEGORIA],reservaoutrosconsolidadoago[[#This Row],[ATUAL]])</calculatedColumnFormula>
    </tableColumn>
    <tableColumn id="29" xr3:uid="{DDA6E35F-766C-4231-9484-BF97B7B09AF5}" name="28" totalsRowFunction="sum" dataDxfId="3124" totalsRowDxfId="3123" dataCellStyle="Moeda">
      <calculatedColumnFormula>SUMIFS(tabela_registros[VALOR],tabela_registros[MÊS],$AE$1,tabela_registros[DIA],reservaoutrosconsolidadoago[[#Headers],[28]],tabela_registros[REGISTRO],DADOS!$N$3,tabela_registros[TIPO],DADOS!$V$3,tabela_registros[CATEGORIA],reservaoutrosconsolidadoago[[#This Row],[ATUAL]])</calculatedColumnFormula>
    </tableColumn>
    <tableColumn id="30" xr3:uid="{A7B1ADF9-1F7A-425A-B59D-A6A3E69B5344}" name="29" totalsRowFunction="sum" dataDxfId="3122" totalsRowDxfId="3121" dataCellStyle="Moeda">
      <calculatedColumnFormula>SUMIFS(tabela_registros[VALOR],tabela_registros[MÊS],$AE$1,tabela_registros[DIA],reservaoutrosconsolidadoago[[#Headers],[29]],tabela_registros[REGISTRO],DADOS!$N$3,tabela_registros[TIPO],DADOS!$V$3,tabela_registros[CATEGORIA],reservaoutrosconsolidadoago[[#This Row],[ATUAL]])</calculatedColumnFormula>
    </tableColumn>
    <tableColumn id="31" xr3:uid="{5A861858-A076-439C-9D00-406EA66CAAE3}" name="30" totalsRowFunction="sum" dataDxfId="3120" totalsRowDxfId="3119" dataCellStyle="Moeda">
      <calculatedColumnFormula>SUMIFS(tabela_registros[VALOR],tabela_registros[MÊS],$AE$1,tabela_registros[DIA],reservaoutrosconsolidadoago[[#Headers],[30]],tabela_registros[REGISTRO],DADOS!$N$3,tabela_registros[TIPO],DADOS!$V$3,tabela_registros[CATEGORIA],reservaoutrosconsolidadoago[[#This Row],[ATUAL]])</calculatedColumnFormula>
    </tableColumn>
    <tableColumn id="32" xr3:uid="{34F657FB-E3BC-4CF4-8314-5C7F889BBBA9}" name="31" totalsRowFunction="sum" dataDxfId="3118" totalsRowDxfId="3117" dataCellStyle="Moeda">
      <calculatedColumnFormula>SUMIFS(tabela_registros[VALOR],tabela_registros[MÊS],$AE$1,tabela_registros[DIA],reservaoutrosconsolidadoago[[#Headers],[31]],tabela_registros[REGISTRO],DADOS!$N$3,tabela_registros[TIPO],DADOS!$V$3,tabela_registros[CATEGORIA],reservaoutrosconsolidadoago[[#This Row],[ATUAL]])</calculatedColumnFormula>
    </tableColumn>
    <tableColumn id="33" xr3:uid="{46A89868-5580-4A1D-91AE-C260FC8F4CC1}" name="TOTAL (R$)" totalsRowFunction="sum" dataDxfId="3116" dataCellStyle="Moeda">
      <calculatedColumnFormula>SUM(reservaoutrosconsolidadoago[[#This Row],[1]:[31]])</calculatedColumnFormula>
    </tableColumn>
  </tableColumns>
  <tableStyleInfo name="TABELAS RESULTADOS" showFirstColumn="0" showLastColumn="0" showRowStripes="1" showColumnStripes="0"/>
</table>
</file>

<file path=xl/tables/table1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4" xr:uid="{8B3214A4-C4AB-4F51-B637-CD9241FE3B67}" name="despesafixaconsolidadoset" displayName="despesafixaconsolidadoset" ref="C36:AJ51" headerRowDxfId="3115" dataDxfId="3114" totalsRowDxfId="3113">
  <autoFilter ref="C36:AJ51" xr:uid="{5ADEFF0A-DF5A-4FC5-A9EC-68EEC14B5F43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  <filterColumn colId="25" hiddenButton="1"/>
    <filterColumn colId="26" hiddenButton="1"/>
    <filterColumn colId="27" hiddenButton="1"/>
    <filterColumn colId="28" hiddenButton="1"/>
    <filterColumn colId="29" hiddenButton="1"/>
    <filterColumn colId="30" hiddenButton="1"/>
    <filterColumn colId="31" hiddenButton="1"/>
    <filterColumn colId="32" hiddenButton="1"/>
    <filterColumn colId="33" hiddenButton="1"/>
  </autoFilter>
  <tableColumns count="34">
    <tableColumn id="1" xr3:uid="{C8439AA8-4B76-4FC7-977E-D81149789945}" name="DESPESA FIXA" totalsRowLabel="Total" dataDxfId="3112"/>
    <tableColumn id="42" xr3:uid="{9BC6D4F0-C066-4F33-B121-42DC62E2EC41}" name="Coluna1" dataDxfId="3111">
      <calculatedColumnFormula>IF(despesafixaconsolidadoset[[#This Row],[TOTAL]]=0,"",IF(OR(despesafixaconsolidadoset[[#This Row],[TOTAL]]=SMALL($AJ$37:$AJ$50,1),despesafixaconsolidadoset[[#This Row],[TOTAL]]=SMALL($AJ$37:$AJ$50,2),despesafixaconsolidadoset[[#This Row],[TOTAL]]=SMALL($AJ$37:$AJ$50,3),despesafixaconsolidadoset[[#This Row],[TOTAL]]=SMALL($AJ$37:$AJ$50,4),despesafixaconsolidadoset[[#This Row],[TOTAL]]=SMALL($AJ$37:$AJ$50,5)),DADOS!$I$8,""))</calculatedColumnFormula>
    </tableColumn>
    <tableColumn id="18" xr3:uid="{D33BBC74-E773-4D03-8020-33E15A72562F}" name="1" totalsRowFunction="sum" dataDxfId="3110" dataCellStyle="Moeda">
      <calculatedColumnFormula>SUMIFS(tabela_registros[VALOR],tabela_registros[MÊS],$AE$1,tabela_registros[DIA],jantotal[[#Headers],[1]],tabela_registros[REGISTRO],DADOS!$N$4,tabela_registros[TIPO],DADOS!$P$3,tabela_registros[CATEGORIA],despesafixaconsolidadoset[[#This Row],[DESPESA FIXA]])</calculatedColumnFormula>
    </tableColumn>
    <tableColumn id="19" xr3:uid="{C86028D5-0DE4-45F7-80DA-41279185CC2D}" name="2" totalsRowFunction="sum" dataDxfId="3109" dataCellStyle="Moeda">
      <calculatedColumnFormula>SUMIFS(tabela_registros[VALOR],tabela_registros[MÊS],$AE$1,tabela_registros[DIA],jantotal[[#Headers],[2]],tabela_registros[REGISTRO],DADOS!$N$4,tabela_registros[TIPO],DADOS!$P$3,tabela_registros[CATEGORIA],despesafixaconsolidadoset[[#This Row],[DESPESA FIXA]])</calculatedColumnFormula>
    </tableColumn>
    <tableColumn id="20" xr3:uid="{A757580E-7F72-4D75-A9EA-316D7863079C}" name="3" totalsRowFunction="sum" dataDxfId="3108" totalsRowDxfId="3107" dataCellStyle="Moeda">
      <calculatedColumnFormula>SUMIFS(tabela_registros[VALOR],tabela_registros[MÊS],$AE$1,tabela_registros[DIA],jantotal[[#Headers],[3]],tabela_registros[REGISTRO],DADOS!$N$4,tabela_registros[TIPO],DADOS!$P$3,tabela_registros[CATEGORIA],despesafixaconsolidadoset[[#This Row],[DESPESA FIXA]])</calculatedColumnFormula>
    </tableColumn>
    <tableColumn id="21" xr3:uid="{0C69BDB5-DC85-44A8-B36B-E4993922C825}" name="4" totalsRowFunction="sum" dataDxfId="3106" totalsRowDxfId="3105" dataCellStyle="Moeda">
      <calculatedColumnFormula>SUMIFS(tabela_registros[VALOR],tabela_registros[MÊS],$AE$1,tabela_registros[DIA],jantotal[[#Headers],[4]],tabela_registros[REGISTRO],DADOS!$N$4,tabela_registros[TIPO],DADOS!$P$3,tabela_registros[CATEGORIA],despesafixaconsolidadoset[[#This Row],[DESPESA FIXA]])</calculatedColumnFormula>
    </tableColumn>
    <tableColumn id="22" xr3:uid="{5CA567FF-EA72-420E-93FF-D99FD95898D6}" name="5" totalsRowFunction="sum" dataDxfId="3104" totalsRowDxfId="3103" dataCellStyle="Moeda">
      <calculatedColumnFormula>SUMIFS(tabela_registros[VALOR],tabela_registros[MÊS],$AE$1,tabela_registros[DIA],jantotal[[#Headers],[5]],tabela_registros[REGISTRO],DADOS!$N$4,tabela_registros[TIPO],DADOS!$P$3,tabela_registros[CATEGORIA],despesafixaconsolidadoset[[#This Row],[DESPESA FIXA]])</calculatedColumnFormula>
    </tableColumn>
    <tableColumn id="23" xr3:uid="{015826D4-E47A-40D5-9944-F4679C9CAD8B}" name="6" totalsRowFunction="sum" dataDxfId="3102" totalsRowDxfId="3101" dataCellStyle="Moeda">
      <calculatedColumnFormula>SUMIFS(tabela_registros[VALOR],tabela_registros[MÊS],$AE$1,tabela_registros[DIA],jantotal[[#Headers],[6]],tabela_registros[REGISTRO],DADOS!$N$4,tabela_registros[TIPO],DADOS!$P$3,tabela_registros[CATEGORIA],despesafixaconsolidadoset[[#This Row],[DESPESA FIXA]])</calculatedColumnFormula>
    </tableColumn>
    <tableColumn id="24" xr3:uid="{BAD74EB7-703E-4DB3-B9C5-2863C31CF82F}" name="7" totalsRowFunction="sum" dataDxfId="3100" totalsRowDxfId="3099" dataCellStyle="Moeda">
      <calculatedColumnFormula>SUMIFS(tabela_registros[VALOR],tabela_registros[MÊS],$AE$1,tabela_registros[DIA],jantotal[[#Headers],[7]],tabela_registros[REGISTRO],DADOS!$N$4,tabela_registros[TIPO],DADOS!$P$3,tabela_registros[CATEGORIA],despesafixaconsolidadoset[[#This Row],[DESPESA FIXA]])</calculatedColumnFormula>
    </tableColumn>
    <tableColumn id="25" xr3:uid="{6D60DD7A-015B-4F8F-B475-ABCCEE6B997B}" name="8" totalsRowFunction="sum" dataDxfId="3098" totalsRowDxfId="3097" dataCellStyle="Moeda">
      <calculatedColumnFormula>SUMIFS(tabela_registros[VALOR],tabela_registros[MÊS],$AE$1,tabela_registros[DIA],jantotal[[#Headers],[8]],tabela_registros[REGISTRO],DADOS!$N$4,tabela_registros[TIPO],DADOS!$P$3,tabela_registros[CATEGORIA],despesafixaconsolidadoset[[#This Row],[DESPESA FIXA]])</calculatedColumnFormula>
    </tableColumn>
    <tableColumn id="26" xr3:uid="{61170D58-C64F-4A82-83E1-8CCAD70E5C55}" name="9" totalsRowFunction="sum" dataDxfId="3096" totalsRowDxfId="3095" dataCellStyle="Moeda">
      <calculatedColumnFormula>SUMIFS(tabela_registros[VALOR],tabela_registros[MÊS],$AE$1,tabela_registros[DIA],jantotal[[#Headers],[9]],tabela_registros[REGISTRO],DADOS!$N$4,tabela_registros[TIPO],DADOS!$P$3,tabela_registros[CATEGORIA],despesafixaconsolidadoset[[#This Row],[DESPESA FIXA]])</calculatedColumnFormula>
    </tableColumn>
    <tableColumn id="27" xr3:uid="{77DD8B15-9644-4C94-9581-26EF2D36B218}" name="10" totalsRowFunction="sum" dataDxfId="3094" totalsRowDxfId="3093" dataCellStyle="Moeda">
      <calculatedColumnFormula>SUMIFS(tabela_registros[VALOR],tabela_registros[MÊS],$AE$1,tabela_registros[DIA],jantotal[[#Headers],[10]],tabela_registros[REGISTRO],DADOS!$N$4,tabela_registros[TIPO],DADOS!$P$3,tabela_registros[CATEGORIA],despesafixaconsolidadoset[[#This Row],[DESPESA FIXA]])</calculatedColumnFormula>
    </tableColumn>
    <tableColumn id="28" xr3:uid="{1A601518-9BCE-485A-B6D3-E23FEE3589F9}" name="11" totalsRowFunction="sum" dataDxfId="3092" totalsRowDxfId="3091" dataCellStyle="Moeda">
      <calculatedColumnFormula>SUMIFS(tabela_registros[VALOR],tabela_registros[MÊS],$AE$1,tabela_registros[DIA],jantotal[[#Headers],[11]],tabela_registros[REGISTRO],DADOS!$N$4,tabela_registros[TIPO],DADOS!$P$3,tabela_registros[CATEGORIA],despesafixaconsolidadoset[[#This Row],[DESPESA FIXA]])</calculatedColumnFormula>
    </tableColumn>
    <tableColumn id="29" xr3:uid="{145111AD-11FD-4237-AB0C-59AFD6EABF6D}" name="12" totalsRowFunction="sum" dataDxfId="3090" totalsRowDxfId="3089" dataCellStyle="Moeda">
      <calculatedColumnFormula>SUMIFS(tabela_registros[VALOR],tabela_registros[MÊS],$AE$1,tabela_registros[DIA],jantotal[[#Headers],[12]],tabela_registros[REGISTRO],DADOS!$N$4,tabela_registros[TIPO],DADOS!$P$3,tabela_registros[CATEGORIA],despesafixaconsolidadoset[[#This Row],[DESPESA FIXA]])</calculatedColumnFormula>
    </tableColumn>
    <tableColumn id="30" xr3:uid="{CE549DF8-B085-4128-9552-6A0461876413}" name="13" totalsRowFunction="sum" dataDxfId="3088" totalsRowDxfId="3087" dataCellStyle="Moeda">
      <calculatedColumnFormula>SUMIFS(tabela_registros[VALOR],tabela_registros[MÊS],$AE$1,tabela_registros[DIA],jantotal[[#Headers],[13]],tabela_registros[REGISTRO],DADOS!$N$4,tabela_registros[TIPO],DADOS!$P$3,tabela_registros[CATEGORIA],despesafixaconsolidadoset[[#This Row],[DESPESA FIXA]])</calculatedColumnFormula>
    </tableColumn>
    <tableColumn id="31" xr3:uid="{2F6A47F0-D705-4CFA-AAC2-2F45F5C6ADF5}" name="14" totalsRowFunction="sum" dataDxfId="3086" totalsRowDxfId="3085" dataCellStyle="Moeda">
      <calculatedColumnFormula>SUMIFS(tabela_registros[VALOR],tabela_registros[MÊS],$AE$1,tabela_registros[DIA],jantotal[[#Headers],[14]],tabela_registros[REGISTRO],DADOS!$N$4,tabela_registros[TIPO],DADOS!$P$3,tabela_registros[CATEGORIA],despesafixaconsolidadoset[[#This Row],[DESPESA FIXA]])</calculatedColumnFormula>
    </tableColumn>
    <tableColumn id="32" xr3:uid="{D629F54C-7D3F-494C-86E6-1BF89ABD2069}" name="15" totalsRowFunction="sum" dataDxfId="3084" totalsRowDxfId="3083" dataCellStyle="Moeda">
      <calculatedColumnFormula>SUMIFS(tabela_registros[VALOR],tabela_registros[MÊS],$AE$1,tabela_registros[DIA],jantotal[[#Headers],[15]],tabela_registros[REGISTRO],DADOS!$N$4,tabela_registros[TIPO],DADOS!$P$3,tabela_registros[CATEGORIA],despesafixaconsolidadoset[[#This Row],[DESPESA FIXA]])</calculatedColumnFormula>
    </tableColumn>
    <tableColumn id="33" xr3:uid="{BEF6BA6B-FD34-49E7-ABE6-6F370D301980}" name="16" totalsRowFunction="sum" dataDxfId="3082" totalsRowDxfId="3081" dataCellStyle="Moeda">
      <calculatedColumnFormula>SUMIFS(tabela_registros[VALOR],tabela_registros[MÊS],$AE$1,tabela_registros[DIA],jantotal[[#Headers],[16]],tabela_registros[REGISTRO],DADOS!$N$4,tabela_registros[TIPO],DADOS!$P$3,tabela_registros[CATEGORIA],despesafixaconsolidadoset[[#This Row],[DESPESA FIXA]])</calculatedColumnFormula>
    </tableColumn>
    <tableColumn id="34" xr3:uid="{FB17F963-84B8-4481-8C8A-8783862048DA}" name="17" totalsRowFunction="sum" dataDxfId="3080" totalsRowDxfId="3079" dataCellStyle="Moeda">
      <calculatedColumnFormula>SUMIFS(tabela_registros[VALOR],tabela_registros[MÊS],$AE$1,tabela_registros[DIA],jantotal[[#Headers],[17]],tabela_registros[REGISTRO],DADOS!$N$4,tabela_registros[TIPO],DADOS!$P$3,tabela_registros[CATEGORIA],despesafixaconsolidadoset[[#This Row],[DESPESA FIXA]])</calculatedColumnFormula>
    </tableColumn>
    <tableColumn id="35" xr3:uid="{E1D93971-035C-4046-A42D-6FF7047960B1}" name="18" totalsRowFunction="sum" dataDxfId="3078" totalsRowDxfId="3077" dataCellStyle="Moeda">
      <calculatedColumnFormula>SUMIFS(tabela_registros[VALOR],tabela_registros[MÊS],$AE$1,tabela_registros[DIA],jantotal[[#Headers],[18]],tabela_registros[REGISTRO],DADOS!$N$4,tabela_registros[TIPO],DADOS!$P$3,tabela_registros[CATEGORIA],despesafixaconsolidadoset[[#This Row],[DESPESA FIXA]])</calculatedColumnFormula>
    </tableColumn>
    <tableColumn id="36" xr3:uid="{31DA2C82-76CC-4506-9882-8FF5E5C03785}" name="19" totalsRowFunction="sum" dataDxfId="3076" totalsRowDxfId="3075" dataCellStyle="Moeda">
      <calculatedColumnFormula>SUMIFS(tabela_registros[VALOR],tabela_registros[MÊS],$AE$1,tabela_registros[DIA],jantotal[[#Headers],[19]],tabela_registros[REGISTRO],DADOS!$N$4,tabela_registros[TIPO],DADOS!$P$3,tabela_registros[CATEGORIA],despesafixaconsolidadoset[[#This Row],[DESPESA FIXA]])</calculatedColumnFormula>
    </tableColumn>
    <tableColumn id="37" xr3:uid="{5AE74E73-3620-4622-91FF-6202684083AA}" name="20" totalsRowFunction="sum" dataDxfId="3074" totalsRowDxfId="3073" dataCellStyle="Moeda">
      <calculatedColumnFormula>SUMIFS(tabela_registros[VALOR],tabela_registros[MÊS],$AE$1,tabela_registros[DIA],jantotal[[#Headers],[20]],tabela_registros[REGISTRO],DADOS!$N$4,tabela_registros[TIPO],DADOS!$P$3,tabela_registros[CATEGORIA],despesafixaconsolidadoset[[#This Row],[DESPESA FIXA]])</calculatedColumnFormula>
    </tableColumn>
    <tableColumn id="38" xr3:uid="{3DC00AAD-EA72-4BF7-A889-58EBCB6CF581}" name="21" totalsRowFunction="sum" dataDxfId="3072" totalsRowDxfId="3071" dataCellStyle="Moeda">
      <calculatedColumnFormula>SUMIFS(tabela_registros[VALOR],tabela_registros[MÊS],$AE$1,tabela_registros[DIA],jantotal[[#Headers],[21]],tabela_registros[REGISTRO],DADOS!$N$4,tabela_registros[TIPO],DADOS!$P$3,tabela_registros[CATEGORIA],despesafixaconsolidadoset[[#This Row],[DESPESA FIXA]])</calculatedColumnFormula>
    </tableColumn>
    <tableColumn id="39" xr3:uid="{00C7808F-C844-4F27-9CA8-253A434C766B}" name="22" totalsRowFunction="sum" dataDxfId="3070" totalsRowDxfId="3069" dataCellStyle="Moeda">
      <calculatedColumnFormula>SUMIFS(tabela_registros[VALOR],tabela_registros[MÊS],$AE$1,tabela_registros[DIA],jantotal[[#Headers],[22]],tabela_registros[REGISTRO],DADOS!$N$4,tabela_registros[TIPO],DADOS!$P$3,tabela_registros[CATEGORIA],despesafixaconsolidadoset[[#This Row],[DESPESA FIXA]])</calculatedColumnFormula>
    </tableColumn>
    <tableColumn id="40" xr3:uid="{B013F168-34FF-4EB7-940F-73EF73E86720}" name="23" totalsRowFunction="sum" dataDxfId="3068" totalsRowDxfId="3067" dataCellStyle="Moeda">
      <calculatedColumnFormula>SUMIFS(tabela_registros[VALOR],tabela_registros[MÊS],$AE$1,tabela_registros[DIA],jantotal[[#Headers],[23]],tabela_registros[REGISTRO],DADOS!$N$4,tabela_registros[TIPO],DADOS!$P$3,tabela_registros[CATEGORIA],despesafixaconsolidadoset[[#This Row],[DESPESA FIXA]])</calculatedColumnFormula>
    </tableColumn>
    <tableColumn id="41" xr3:uid="{029D4490-5B6C-4B10-BCFF-22BBD5DE8110}" name="24" totalsRowFunction="sum" dataDxfId="3066" totalsRowDxfId="3065" dataCellStyle="Moeda">
      <calculatedColumnFormula>SUMIFS(tabela_registros[VALOR],tabela_registros[MÊS],$AE$1,tabela_registros[DIA],jantotal[[#Headers],[24]],tabela_registros[REGISTRO],DADOS!$N$4,tabela_registros[TIPO],DADOS!$P$3,tabela_registros[CATEGORIA],despesafixaconsolidadoset[[#This Row],[DESPESA FIXA]])</calculatedColumnFormula>
    </tableColumn>
    <tableColumn id="12" xr3:uid="{384B33E1-6095-4618-9AA0-83B174ADBCDF}" name="25" totalsRowFunction="sum" dataDxfId="3064" totalsRowDxfId="3063" dataCellStyle="Moeda">
      <calculatedColumnFormula>SUMIFS(tabela_registros[VALOR],tabela_registros[MÊS],$AE$1,tabela_registros[DIA],jantotal[[#Headers],[25]],tabela_registros[REGISTRO],DADOS!$N$4,tabela_registros[TIPO],DADOS!$P$3,tabela_registros[CATEGORIA],despesafixaconsolidadoset[[#This Row],[DESPESA FIXA]])</calculatedColumnFormula>
    </tableColumn>
    <tableColumn id="13" xr3:uid="{10FC10F9-F00A-4777-86D0-95A165276334}" name="26" totalsRowFunction="sum" dataDxfId="3062" totalsRowDxfId="3061" dataCellStyle="Moeda">
      <calculatedColumnFormula>SUMIFS(tabela_registros[VALOR],tabela_registros[MÊS],$AE$1,tabela_registros[DIA],jantotal[[#Headers],[26]],tabela_registros[REGISTRO],DADOS!$N$4,tabela_registros[TIPO],DADOS!$P$3,tabela_registros[CATEGORIA],despesafixaconsolidadoset[[#This Row],[DESPESA FIXA]])</calculatedColumnFormula>
    </tableColumn>
    <tableColumn id="14" xr3:uid="{671F24C9-4852-4F97-987B-DA5991F2C94E}" name="27" totalsRowFunction="sum" dataDxfId="3060" totalsRowDxfId="3059" dataCellStyle="Moeda">
      <calculatedColumnFormula>SUMIFS(tabela_registros[VALOR],tabela_registros[MÊS],$AE$1,tabela_registros[DIA],jantotal[[#Headers],[27]],tabela_registros[REGISTRO],DADOS!$N$4,tabela_registros[TIPO],DADOS!$P$3,tabela_registros[CATEGORIA],despesafixaconsolidadoset[[#This Row],[DESPESA FIXA]])</calculatedColumnFormula>
    </tableColumn>
    <tableColumn id="15" xr3:uid="{63B68782-D3FF-442A-8051-5C3AC56899A8}" name="28" totalsRowFunction="sum" dataDxfId="3058" totalsRowDxfId="3057" dataCellStyle="Moeda">
      <calculatedColumnFormula>SUMIFS(tabela_registros[VALOR],tabela_registros[MÊS],$AE$1,tabela_registros[DIA],jantotal[[#Headers],[28]],tabela_registros[REGISTRO],DADOS!$N$4,tabela_registros[TIPO],DADOS!$P$3,tabela_registros[CATEGORIA],despesafixaconsolidadoset[[#This Row],[DESPESA FIXA]])</calculatedColumnFormula>
    </tableColumn>
    <tableColumn id="16" xr3:uid="{BCD13B9A-052F-4673-B2F0-8410729FAFDD}" name="29" totalsRowFunction="sum" dataDxfId="3056" totalsRowDxfId="3055" dataCellStyle="Moeda">
      <calculatedColumnFormula>SUMIFS(tabela_registros[VALOR],tabela_registros[MÊS],$AE$1,tabela_registros[DIA],jantotal[[#Headers],[29]],tabela_registros[REGISTRO],DADOS!$N$4,tabela_registros[TIPO],DADOS!$P$3,tabela_registros[CATEGORIA],despesafixaconsolidadoset[[#This Row],[DESPESA FIXA]])</calculatedColumnFormula>
    </tableColumn>
    <tableColumn id="17" xr3:uid="{5E955395-004E-46A3-8A1F-20611AF0F9A2}" name="30" totalsRowFunction="sum" dataDxfId="3054" totalsRowDxfId="3053" dataCellStyle="Moeda">
      <calculatedColumnFormula>SUMIFS(tabela_registros[VALOR],tabela_registros[MÊS],$AE$1,tabela_registros[DIA],jantotal[[#Headers],[30]],tabela_registros[REGISTRO],DADOS!$N$4,tabela_registros[TIPO],DADOS!$P$3,tabela_registros[CATEGORIA],despesafixaconsolidadoset[[#This Row],[DESPESA FIXA]])</calculatedColumnFormula>
    </tableColumn>
    <tableColumn id="9" xr3:uid="{BCEBAD5B-02C1-4D61-B8FF-EFE50755005A}" name="31" totalsRowFunction="sum" dataDxfId="3052" totalsRowDxfId="3051" dataCellStyle="Moeda">
      <calculatedColumnFormula>SUMIFS(tabela_registros[VALOR],tabela_registros[MÊS],$AE$1,tabela_registros[DIA],jantotal[[#Headers],[31]],tabela_registros[REGISTRO],DADOS!$N$4,tabela_registros[TIPO],DADOS!$P$3,tabela_registros[CATEGORIA],despesafixaconsolidadoset[[#This Row],[DESPESA FIXA]])</calculatedColumnFormula>
    </tableColumn>
    <tableColumn id="5" xr3:uid="{EE757B50-EF17-4A32-8971-321D160F243E}" name="TOTAL" totalsRowFunction="sum" dataDxfId="3050" dataCellStyle="Moeda">
      <calculatedColumnFormula>SUM(despesafixaconsolidadoset[[#This Row],[1]:[31]])</calculatedColumnFormula>
    </tableColumn>
  </tableColumns>
  <tableStyleInfo name="TABELAS RESULTADOS" showFirstColumn="0" showLastColumn="1" showRowStripes="1" showColumnStripes="0"/>
</table>
</file>

<file path=xl/tables/table1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5" xr:uid="{2E74B457-4D48-444A-8C4E-6ADF0BAC9FF3}" name="despesavariávelconsolidadoset" displayName="despesavariávelconsolidadoset" ref="C59:AJ73" headerRowDxfId="3049" dataDxfId="3048" totalsRowDxfId="3047" dataCellStyle="Moeda">
  <autoFilter ref="C59:AJ73" xr:uid="{07DB3A1D-DBCD-42BC-96FE-46512EDE2C70}"/>
  <tableColumns count="34">
    <tableColumn id="1" xr3:uid="{B8E35E07-B9BD-44F5-9A85-1F67C6ABD65A}" name="DESPESA VARIÁVEL" totalsRowLabel="Total" dataDxfId="3046" totalsRowDxfId="3045">
      <calculatedColumnFormula>DADOS!T3</calculatedColumnFormula>
    </tableColumn>
    <tableColumn id="54" xr3:uid="{701171D5-3B6B-4DF9-826F-BBF1406615CB}" name="Coluna1" dataDxfId="3044" totalsRowDxfId="3043">
      <calculatedColumnFormula>IF(despesavariávelconsolidadoset[[#This Row],[TOTAL]]=0,"",IF(OR(despesavariávelconsolidadoset[[#This Row],[TOTAL]]=SMALL(despesavariávelconsolidadoset[TOTAL],1),despesavariávelconsolidadoset[[#This Row],[TOTAL]]=SMALL(despesavariávelconsolidadoset[TOTAL],2),despesavariávelconsolidadoset[[#This Row],[TOTAL]]=SMALL(despesavariávelconsolidadoset[TOTAL],3),despesavariávelconsolidadoset[[#This Row],[TOTAL]]=SMALL(despesavariávelconsolidadoset[TOTAL],4),despesavariávelconsolidadoset[[#This Row],[TOTAL]]=SMALL(despesavariávelconsolidadoset[TOTAL],5)),DADOS!$I$8,""))</calculatedColumnFormula>
    </tableColumn>
    <tableColumn id="30" xr3:uid="{FAC8C0F0-FB33-40C2-B614-8675F922B8E1}" name="1" totalsRowFunction="sum" dataDxfId="3042">
      <calculatedColumnFormula>SUMIFS(tabela_registros[VALOR],tabela_registros[MÊS],$AE$1,tabela_registros[DIA],jantotal[[#Headers],[1]],tabela_registros[REGISTRO],DADOS!$N$4,tabela_registros[TIPO],DADOS!$P$4,tabela_registros[CATEGORIA],despesavariávelconsolidadoset[[#This Row],[DESPESA VARIÁVEL]])</calculatedColumnFormula>
    </tableColumn>
    <tableColumn id="31" xr3:uid="{1B53BBB9-DC44-480D-A77A-CA461006313D}" name="2" totalsRowFunction="sum" dataDxfId="3041">
      <calculatedColumnFormula>SUMIFS(tabela_registros[VALOR],tabela_registros[MÊS],$AE$1,tabela_registros[DIA],jantotal[[#Headers],[2]],tabela_registros[REGISTRO],DADOS!$N$4,tabela_registros[TIPO],DADOS!$P$4,tabela_registros[CATEGORIA],despesavariávelconsolidadoset[[#This Row],[DESPESA VARIÁVEL]])</calculatedColumnFormula>
    </tableColumn>
    <tableColumn id="32" xr3:uid="{E5F90880-DA76-4804-B849-697C700D9B48}" name="3" totalsRowFunction="sum" dataDxfId="3040">
      <calculatedColumnFormula>SUMIFS(tabela_registros[VALOR],tabela_registros[MÊS],$AE$1,tabela_registros[DIA],jantotal[[#Headers],[3]],tabela_registros[REGISTRO],DADOS!$N$4,tabela_registros[TIPO],DADOS!$P$4,tabela_registros[CATEGORIA],despesavariávelconsolidadoset[[#This Row],[DESPESA VARIÁVEL]])</calculatedColumnFormula>
    </tableColumn>
    <tableColumn id="33" xr3:uid="{29B5E503-B81C-41E6-8F99-826C635F9250}" name="4" totalsRowFunction="sum" dataDxfId="3039">
      <calculatedColumnFormula>SUMIFS(tabela_registros[VALOR],tabela_registros[MÊS],$AE$1,tabela_registros[DIA],jantotal[[#Headers],[4]],tabela_registros[REGISTRO],DADOS!$N$4,tabela_registros[TIPO],DADOS!$P$4,tabela_registros[CATEGORIA],despesavariávelconsolidadoset[[#This Row],[DESPESA VARIÁVEL]])</calculatedColumnFormula>
    </tableColumn>
    <tableColumn id="34" xr3:uid="{7E5CEED0-F3D1-4EA1-B1F8-3F99E7C444AB}" name="5" totalsRowFunction="sum" dataDxfId="3038">
      <calculatedColumnFormula>SUMIFS(tabela_registros[VALOR],tabela_registros[MÊS],$AE$1,tabela_registros[DIA],jantotal[[#Headers],[5]],tabela_registros[REGISTRO],DADOS!$N$4,tabela_registros[TIPO],DADOS!$P$4,tabela_registros[CATEGORIA],despesavariávelconsolidadoset[[#This Row],[DESPESA VARIÁVEL]])</calculatedColumnFormula>
    </tableColumn>
    <tableColumn id="35" xr3:uid="{FCA533D9-9CE5-450B-8C75-1500585E5802}" name="6" totalsRowFunction="sum" dataDxfId="3037">
      <calculatedColumnFormula>SUMIFS(tabela_registros[VALOR],tabela_registros[MÊS],$AE$1,tabela_registros[DIA],jantotal[[#Headers],[6]],tabela_registros[REGISTRO],DADOS!$N$4,tabela_registros[TIPO],DADOS!$P$4,tabela_registros[CATEGORIA],despesavariávelconsolidadoset[[#This Row],[DESPESA VARIÁVEL]])</calculatedColumnFormula>
    </tableColumn>
    <tableColumn id="36" xr3:uid="{4D27D7F9-DAEE-4164-901A-1F541FE9C69B}" name="7" totalsRowFunction="sum" dataDxfId="3036">
      <calculatedColumnFormula>SUMIFS(tabela_registros[VALOR],tabela_registros[MÊS],$AE$1,tabela_registros[DIA],jantotal[[#Headers],[7]],tabela_registros[REGISTRO],DADOS!$N$4,tabela_registros[TIPO],DADOS!$P$4,tabela_registros[CATEGORIA],despesavariávelconsolidadoset[[#This Row],[DESPESA VARIÁVEL]])</calculatedColumnFormula>
    </tableColumn>
    <tableColumn id="37" xr3:uid="{B3DB7C67-236D-45A7-A3F6-254ACD71ADA7}" name="8" totalsRowFunction="sum" dataDxfId="3035">
      <calculatedColumnFormula>SUMIFS(tabela_registros[VALOR],tabela_registros[MÊS],$AE$1,tabela_registros[DIA],jantotal[[#Headers],[8]],tabela_registros[REGISTRO],DADOS!$N$4,tabela_registros[TIPO],DADOS!$P$4,tabela_registros[CATEGORIA],despesavariávelconsolidadoset[[#This Row],[DESPESA VARIÁVEL]])</calculatedColumnFormula>
    </tableColumn>
    <tableColumn id="38" xr3:uid="{367E0F29-A02D-4A0D-9F26-D1F91146DA2F}" name="9" totalsRowFunction="sum" dataDxfId="3034">
      <calculatedColumnFormula>SUMIFS(tabela_registros[VALOR],tabela_registros[MÊS],$AE$1,tabela_registros[DIA],jantotal[[#Headers],[9]],tabela_registros[REGISTRO],DADOS!$N$4,tabela_registros[TIPO],DADOS!$P$4,tabela_registros[CATEGORIA],despesavariávelconsolidadoset[[#This Row],[DESPESA VARIÁVEL]])</calculatedColumnFormula>
    </tableColumn>
    <tableColumn id="39" xr3:uid="{40EE7E0D-C042-4E40-9797-479DA5540DB7}" name="10" totalsRowFunction="sum" dataDxfId="3033">
      <calculatedColumnFormula>SUMIFS(tabela_registros[VALOR],tabela_registros[MÊS],$AE$1,tabela_registros[DIA],jantotal[[#Headers],[10]],tabela_registros[REGISTRO],DADOS!$N$4,tabela_registros[TIPO],DADOS!$P$4,tabela_registros[CATEGORIA],despesavariávelconsolidadoset[[#This Row],[DESPESA VARIÁVEL]])</calculatedColumnFormula>
    </tableColumn>
    <tableColumn id="40" xr3:uid="{9E743F6F-3A18-4203-8724-F7D420CE0A9C}" name="11" totalsRowFunction="sum" dataDxfId="3032">
      <calculatedColumnFormula>SUMIFS(tabela_registros[VALOR],tabela_registros[MÊS],$AE$1,tabela_registros[DIA],jantotal[[#Headers],[11]],tabela_registros[REGISTRO],DADOS!$N$4,tabela_registros[TIPO],DADOS!$P$4,tabela_registros[CATEGORIA],despesavariávelconsolidadoset[[#This Row],[DESPESA VARIÁVEL]])</calculatedColumnFormula>
    </tableColumn>
    <tableColumn id="41" xr3:uid="{E9F4159E-A8E3-4A27-A8CD-E0078CA23BF1}" name="12" totalsRowFunction="sum" dataDxfId="3031">
      <calculatedColumnFormula>SUMIFS(tabela_registros[VALOR],tabela_registros[MÊS],$AE$1,tabela_registros[DIA],jantotal[[#Headers],[12]],tabela_registros[REGISTRO],DADOS!$N$4,tabela_registros[TIPO],DADOS!$P$4,tabela_registros[CATEGORIA],despesavariávelconsolidadoset[[#This Row],[DESPESA VARIÁVEL]])</calculatedColumnFormula>
    </tableColumn>
    <tableColumn id="42" xr3:uid="{AF07D037-0E9F-4ECC-B7C9-BB074C3ED79D}" name="13" totalsRowFunction="sum" dataDxfId="3030">
      <calculatedColumnFormula>SUMIFS(tabela_registros[VALOR],tabela_registros[MÊS],$AE$1,tabela_registros[DIA],jantotal[[#Headers],[13]],tabela_registros[REGISTRO],DADOS!$N$4,tabela_registros[TIPO],DADOS!$P$4,tabela_registros[CATEGORIA],despesavariávelconsolidadoset[[#This Row],[DESPESA VARIÁVEL]])</calculatedColumnFormula>
    </tableColumn>
    <tableColumn id="43" xr3:uid="{D6639664-1756-4A33-A3C5-6184139D947A}" name="14" totalsRowFunction="sum" dataDxfId="3029">
      <calculatedColumnFormula>SUMIFS(tabela_registros[VALOR],tabela_registros[MÊS],$AE$1,tabela_registros[DIA],jantotal[[#Headers],[14]],tabela_registros[REGISTRO],DADOS!$N$4,tabela_registros[TIPO],DADOS!$P$4,tabela_registros[CATEGORIA],despesavariávelconsolidadoset[[#This Row],[DESPESA VARIÁVEL]])</calculatedColumnFormula>
    </tableColumn>
    <tableColumn id="44" xr3:uid="{91BB1EDB-72B7-4F14-9D63-BBFE1C94F28D}" name="15" totalsRowFunction="sum" dataDxfId="3028">
      <calculatedColumnFormula>SUMIFS(tabela_registros[VALOR],tabela_registros[MÊS],$AE$1,tabela_registros[DIA],jantotal[[#Headers],[15]],tabela_registros[REGISTRO],DADOS!$N$4,tabela_registros[TIPO],DADOS!$P$4,tabela_registros[CATEGORIA],despesavariávelconsolidadoset[[#This Row],[DESPESA VARIÁVEL]])</calculatedColumnFormula>
    </tableColumn>
    <tableColumn id="45" xr3:uid="{37DD1A00-A616-4F5E-82D5-3E2FE731CA5F}" name="16" totalsRowFunction="sum" dataDxfId="3027">
      <calculatedColumnFormula>SUMIFS(tabela_registros[VALOR],tabela_registros[MÊS],$AE$1,tabela_registros[DIA],jantotal[[#Headers],[16]],tabela_registros[REGISTRO],DADOS!$N$4,tabela_registros[TIPO],DADOS!$P$4,tabela_registros[CATEGORIA],despesavariávelconsolidadoset[[#This Row],[DESPESA VARIÁVEL]])</calculatedColumnFormula>
    </tableColumn>
    <tableColumn id="46" xr3:uid="{A5EA023C-2196-405B-8DCF-26BE2F0287C0}" name="17" totalsRowFunction="sum" dataDxfId="3026">
      <calculatedColumnFormula>SUMIFS(tabela_registros[VALOR],tabela_registros[MÊS],$AE$1,tabela_registros[DIA],jantotal[[#Headers],[17]],tabela_registros[REGISTRO],DADOS!$N$4,tabela_registros[TIPO],DADOS!$P$4,tabela_registros[CATEGORIA],despesavariávelconsolidadoset[[#This Row],[DESPESA VARIÁVEL]])</calculatedColumnFormula>
    </tableColumn>
    <tableColumn id="47" xr3:uid="{F694DF52-26F6-4FAF-84AF-DF19730CC0D5}" name="18" totalsRowFunction="sum" dataDxfId="3025">
      <calculatedColumnFormula>SUMIFS(tabela_registros[VALOR],tabela_registros[MÊS],$AE$1,tabela_registros[DIA],jantotal[[#Headers],[18]],tabela_registros[REGISTRO],DADOS!$N$4,tabela_registros[TIPO],DADOS!$P$4,tabela_registros[CATEGORIA],despesavariávelconsolidadoset[[#This Row],[DESPESA VARIÁVEL]])</calculatedColumnFormula>
    </tableColumn>
    <tableColumn id="48" xr3:uid="{CD2C4004-61E0-4D0E-AC85-A7D20B9609DE}" name="19" totalsRowFunction="sum" dataDxfId="3024">
      <calculatedColumnFormula>SUMIFS(tabela_registros[VALOR],tabela_registros[MÊS],$AE$1,tabela_registros[DIA],jantotal[[#Headers],[19]],tabela_registros[REGISTRO],DADOS!$N$4,tabela_registros[TIPO],DADOS!$P$4,tabela_registros[CATEGORIA],despesavariávelconsolidadoset[[#This Row],[DESPESA VARIÁVEL]])</calculatedColumnFormula>
    </tableColumn>
    <tableColumn id="49" xr3:uid="{3BD09ED6-B345-4E42-9F55-7A100E5A97ED}" name="20" totalsRowFunction="sum" dataDxfId="3023">
      <calculatedColumnFormula>SUMIFS(tabela_registros[VALOR],tabela_registros[MÊS],$AE$1,tabela_registros[DIA],jantotal[[#Headers],[20]],tabela_registros[REGISTRO],DADOS!$N$4,tabela_registros[TIPO],DADOS!$P$4,tabela_registros[CATEGORIA],despesavariávelconsolidadoset[[#This Row],[DESPESA VARIÁVEL]])</calculatedColumnFormula>
    </tableColumn>
    <tableColumn id="50" xr3:uid="{D0A482BE-DD7D-491B-93DA-9576F4180D92}" name="21" totalsRowFunction="sum" dataDxfId="3022">
      <calculatedColumnFormula>SUMIFS(tabela_registros[VALOR],tabela_registros[MÊS],$AE$1,tabela_registros[DIA],jantotal[[#Headers],[21]],tabela_registros[REGISTRO],DADOS!$N$4,tabela_registros[TIPO],DADOS!$P$4,tabela_registros[CATEGORIA],despesavariávelconsolidadoset[[#This Row],[DESPESA VARIÁVEL]])</calculatedColumnFormula>
    </tableColumn>
    <tableColumn id="51" xr3:uid="{E59B5328-0FB1-4C12-9A0E-FB2EF7D35F08}" name="22" totalsRowFunction="sum" dataDxfId="3021">
      <calculatedColumnFormula>SUMIFS(tabela_registros[VALOR],tabela_registros[MÊS],$AE$1,tabela_registros[DIA],jantotal[[#Headers],[22]],tabela_registros[REGISTRO],DADOS!$N$4,tabela_registros[TIPO],DADOS!$P$4,tabela_registros[CATEGORIA],despesavariávelconsolidadoset[[#This Row],[DESPESA VARIÁVEL]])</calculatedColumnFormula>
    </tableColumn>
    <tableColumn id="52" xr3:uid="{CAFA5C4D-36C8-4672-91EF-252A57B8E21B}" name="23" totalsRowFunction="sum" dataDxfId="3020">
      <calculatedColumnFormula>SUMIFS(tabela_registros[VALOR],tabela_registros[MÊS],$AE$1,tabela_registros[DIA],jantotal[[#Headers],[23]],tabela_registros[REGISTRO],DADOS!$N$4,tabela_registros[TIPO],DADOS!$P$4,tabela_registros[CATEGORIA],despesavariávelconsolidadoset[[#This Row],[DESPESA VARIÁVEL]])</calculatedColumnFormula>
    </tableColumn>
    <tableColumn id="53" xr3:uid="{FF5C0E29-26C3-4301-8DC2-7A411C32F004}" name="24" totalsRowFunction="sum" dataDxfId="3019">
      <calculatedColumnFormula>SUMIFS(tabela_registros[VALOR],tabela_registros[MÊS],$AE$1,tabela_registros[DIA],jantotal[[#Headers],[24]],tabela_registros[REGISTRO],DADOS!$N$4,tabela_registros[TIPO],DADOS!$P$4,tabela_registros[CATEGORIA],despesavariávelconsolidadoset[[#This Row],[DESPESA VARIÁVEL]])</calculatedColumnFormula>
    </tableColumn>
    <tableColumn id="18" xr3:uid="{B6EEB853-8400-4A0B-BA39-90A156DBAF03}" name="25" totalsRowFunction="sum" dataDxfId="3018">
      <calculatedColumnFormula>SUMIFS(tabela_registros[VALOR],tabela_registros[MÊS],$AE$1,tabela_registros[DIA],jantotal[[#Headers],[25]],tabela_registros[REGISTRO],DADOS!$N$4,tabela_registros[TIPO],DADOS!$P$4,tabela_registros[CATEGORIA],despesavariávelconsolidadoset[[#This Row],[DESPESA VARIÁVEL]])</calculatedColumnFormula>
    </tableColumn>
    <tableColumn id="19" xr3:uid="{5E414DCF-4285-4F70-AD6D-431398259C13}" name="26" totalsRowFunction="sum" dataDxfId="3017">
      <calculatedColumnFormula>SUMIFS(tabela_registros[VALOR],tabela_registros[MÊS],$AE$1,tabela_registros[DIA],jantotal[[#Headers],[26]],tabela_registros[REGISTRO],DADOS!$N$4,tabela_registros[TIPO],DADOS!$P$4,tabela_registros[CATEGORIA],despesavariávelconsolidadoset[[#This Row],[DESPESA VARIÁVEL]])</calculatedColumnFormula>
    </tableColumn>
    <tableColumn id="20" xr3:uid="{2BCC48B2-A894-4B65-93C8-362F5888D9AD}" name="27" totalsRowFunction="sum" dataDxfId="3016">
      <calculatedColumnFormula>SUMIFS(tabela_registros[VALOR],tabela_registros[MÊS],$AE$1,tabela_registros[DIA],jantotal[[#Headers],[27]],tabela_registros[REGISTRO],DADOS!$N$4,tabela_registros[TIPO],DADOS!$P$4,tabela_registros[CATEGORIA],despesavariávelconsolidadoset[[#This Row],[DESPESA VARIÁVEL]])</calculatedColumnFormula>
    </tableColumn>
    <tableColumn id="21" xr3:uid="{C5584F13-6E02-4A2E-8836-68FD96D6F701}" name="28" totalsRowFunction="sum" dataDxfId="3015">
      <calculatedColumnFormula>SUMIFS(tabela_registros[VALOR],tabela_registros[MÊS],$AE$1,tabela_registros[DIA],jantotal[[#Headers],[28]],tabela_registros[REGISTRO],DADOS!$N$4,tabela_registros[TIPO],DADOS!$P$4,tabela_registros[CATEGORIA],despesavariávelconsolidadoset[[#This Row],[DESPESA VARIÁVEL]])</calculatedColumnFormula>
    </tableColumn>
    <tableColumn id="22" xr3:uid="{A3607767-9668-41BF-A8CB-7A441CAACF6A}" name="29" totalsRowFunction="sum" dataDxfId="3014">
      <calculatedColumnFormula>SUMIFS(tabela_registros[VALOR],tabela_registros[MÊS],$AE$1,tabela_registros[DIA],jantotal[[#Headers],[29]],tabela_registros[REGISTRO],DADOS!$N$4,tabela_registros[TIPO],DADOS!$P$4,tabela_registros[CATEGORIA],despesavariávelconsolidadoset[[#This Row],[DESPESA VARIÁVEL]])</calculatedColumnFormula>
    </tableColumn>
    <tableColumn id="23" xr3:uid="{77B904DE-374F-4563-A1C9-E451BA59381C}" name="30" totalsRowFunction="sum" dataDxfId="3013">
      <calculatedColumnFormula>SUMIFS(tabela_registros[VALOR],tabela_registros[MÊS],$AE$1,tabela_registros[DIA],jantotal[[#Headers],[30]],tabela_registros[REGISTRO],DADOS!$N$4,tabela_registros[TIPO],DADOS!$P$4,tabela_registros[CATEGORIA],despesavariávelconsolidadoset[[#This Row],[DESPESA VARIÁVEL]])</calculatedColumnFormula>
    </tableColumn>
    <tableColumn id="24" xr3:uid="{42C567C9-3260-46A5-A612-7776F5930835}" name="31" totalsRowFunction="sum" dataDxfId="3012">
      <calculatedColumnFormula>SUMIFS(tabela_registros[VALOR],tabela_registros[MÊS],$AE$1,tabela_registros[DIA],jantotal[[#Headers],[31]],tabela_registros[REGISTRO],DADOS!$N$4,tabela_registros[TIPO],DADOS!$P$4,tabela_registros[CATEGORIA],despesavariávelconsolidadoset[[#This Row],[DESPESA VARIÁVEL]])</calculatedColumnFormula>
    </tableColumn>
    <tableColumn id="3" xr3:uid="{8F015ADA-1873-479A-B6FF-A333B2FE127C}" name="TOTAL" totalsRowFunction="sum" dataDxfId="3011" dataCellStyle="Moeda">
      <calculatedColumnFormula>-SUMIFS(tabela_registros[VALOR],tabela_registros[REGISTRO],DADOS!$N$4,tabela_registros[TIPO],despesavariável[[#Headers],[DESPESA VARIÁVEL]],tabela_registros[CATEGORIA],despesavariávelconsolidadoset[[#This Row],[DESPESA VARIÁVEL]])</calculatedColumnFormula>
    </tableColumn>
  </tableColumns>
  <tableStyleInfo name="TABELAS RESULTADOS" showFirstColumn="0" showLastColumn="1" showRowStripes="1" showColumnStripes="0"/>
</table>
</file>

<file path=xl/tables/table1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6" xr:uid="{BF217C4D-217A-457C-AE56-3002EA5BA575}" name="setinvestir2158708294106118130" displayName="setinvestir2158708294106118130" ref="C24:AJ28" totalsRowCount="1" headerRowDxfId="3010" dataDxfId="3009" totalsRowDxfId="3007" tableBorderDxfId="3008" dataCellStyle="Moeda">
  <autoFilter ref="C24:AJ27" xr:uid="{6A49DC70-6E60-45C7-9126-6CFF5D88342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  <filterColumn colId="25" hiddenButton="1"/>
    <filterColumn colId="26" hiddenButton="1"/>
    <filterColumn colId="27" hiddenButton="1"/>
    <filterColumn colId="28" hiddenButton="1"/>
    <filterColumn colId="29" hiddenButton="1"/>
    <filterColumn colId="30" hiddenButton="1"/>
    <filterColumn colId="31" hiddenButton="1"/>
    <filterColumn colId="32" hiddenButton="1"/>
    <filterColumn colId="33" hiddenButton="1"/>
  </autoFilter>
  <tableColumns count="34">
    <tableColumn id="1" xr3:uid="{CF2E6F34-0F5F-47C7-9B8F-E2F1DCB339C1}" name="ATUAL" totalsRowLabel="SALDO" dataDxfId="3006"/>
    <tableColumn id="34" xr3:uid="{5D87DDDA-F55F-4612-B18F-A99A18E37986}" name="Coluna1" dataDxfId="3005"/>
    <tableColumn id="2" xr3:uid="{3D1D1984-3966-4B64-8F07-63A46FF7E325}" name="1" totalsRowFunction="sum" dataDxfId="3004" totalsRowDxfId="3003" dataCellStyle="Moeda"/>
    <tableColumn id="3" xr3:uid="{06E34246-A8E8-43D1-85E9-A43C68D3F608}" name="2" totalsRowFunction="sum" dataDxfId="3002" totalsRowDxfId="3001" dataCellStyle="Moeda"/>
    <tableColumn id="4" xr3:uid="{E1CD0952-BB44-4670-AACD-2EC5A5B1B374}" name="3" totalsRowFunction="sum" dataDxfId="3000" totalsRowDxfId="2999" dataCellStyle="Moeda"/>
    <tableColumn id="5" xr3:uid="{E627A913-A871-4599-8324-14181D49FDAC}" name="4" totalsRowFunction="sum" dataDxfId="2998" totalsRowDxfId="2997" dataCellStyle="Moeda"/>
    <tableColumn id="6" xr3:uid="{F3E898D6-B14B-4C54-BBEE-7A9E60D6673B}" name="5" totalsRowFunction="sum" dataDxfId="2996" totalsRowDxfId="2995" dataCellStyle="Moeda"/>
    <tableColumn id="7" xr3:uid="{D44B6810-265F-4DFA-A97A-016D0D76C87F}" name="6" totalsRowFunction="sum" dataDxfId="2994" totalsRowDxfId="2993" dataCellStyle="Moeda"/>
    <tableColumn id="8" xr3:uid="{0C875EE4-00FE-49DE-9862-00D41ABC723E}" name="7" totalsRowFunction="sum" dataDxfId="2992" totalsRowDxfId="2991" dataCellStyle="Moeda"/>
    <tableColumn id="9" xr3:uid="{7A88FCBA-5C96-4804-A0FE-ED2196E34C9A}" name="8" totalsRowFunction="sum" dataDxfId="2990" totalsRowDxfId="2989" dataCellStyle="Moeda"/>
    <tableColumn id="10" xr3:uid="{7908C47F-D7ED-45A3-A89C-F5C28B201D35}" name="9" totalsRowFunction="sum" dataDxfId="2988" totalsRowDxfId="2987" dataCellStyle="Moeda"/>
    <tableColumn id="11" xr3:uid="{F232F040-B0DB-429A-9F13-45CAA5A3DF97}" name="10" totalsRowFunction="sum" dataDxfId="2986" totalsRowDxfId="2985" dataCellStyle="Moeda"/>
    <tableColumn id="12" xr3:uid="{5316916D-0F8C-4955-8B96-79A2C25377EE}" name="11" totalsRowFunction="sum" dataDxfId="2984" totalsRowDxfId="2983" dataCellStyle="Moeda"/>
    <tableColumn id="13" xr3:uid="{55AFC989-2E4F-405E-BD3E-9C97A69F4701}" name="12" totalsRowFunction="sum" dataDxfId="2982" totalsRowDxfId="2981" dataCellStyle="Moeda"/>
    <tableColumn id="14" xr3:uid="{1BEC7707-E026-4C82-89FA-C429CFDA9E93}" name="13" totalsRowFunction="sum" dataDxfId="2980" totalsRowDxfId="2979" dataCellStyle="Moeda"/>
    <tableColumn id="15" xr3:uid="{2F1FC23F-E872-4C95-89A7-2F4D31DA3FB1}" name="14" totalsRowFunction="sum" dataDxfId="2978" totalsRowDxfId="2977" dataCellStyle="Moeda"/>
    <tableColumn id="16" xr3:uid="{6A4D5AC1-29F4-4066-ACFB-E00692981AA8}" name="15" totalsRowFunction="sum" dataDxfId="2976" totalsRowDxfId="2975" dataCellStyle="Moeda"/>
    <tableColumn id="17" xr3:uid="{E9A10996-3163-4D8C-9D00-710221B06D8C}" name="16" totalsRowFunction="sum" dataDxfId="2974" totalsRowDxfId="2973" dataCellStyle="Moeda"/>
    <tableColumn id="18" xr3:uid="{F9243AD0-B19E-46E3-8D3D-3204DFE67312}" name="17" totalsRowFunction="sum" dataDxfId="2972" totalsRowDxfId="2971" dataCellStyle="Moeda"/>
    <tableColumn id="19" xr3:uid="{753E1948-6FE3-4E8B-BA1D-6305F2C9347A}" name="18" totalsRowFunction="sum" dataDxfId="2970" totalsRowDxfId="2969" dataCellStyle="Moeda"/>
    <tableColumn id="20" xr3:uid="{CA21A7BC-1065-48F6-84B2-7C3E4E825C94}" name="19" totalsRowFunction="sum" dataDxfId="2968" totalsRowDxfId="2967" dataCellStyle="Moeda"/>
    <tableColumn id="21" xr3:uid="{811E030B-CBF1-41D2-B0DF-D8CA6F6AF641}" name="20" totalsRowFunction="sum" dataDxfId="2966" totalsRowDxfId="2965" dataCellStyle="Moeda"/>
    <tableColumn id="22" xr3:uid="{CF493CA9-9645-4DD6-9E97-94519E1444C6}" name="21" totalsRowFunction="sum" dataDxfId="2964" totalsRowDxfId="2963" dataCellStyle="Moeda"/>
    <tableColumn id="23" xr3:uid="{2968343B-8DE4-4DEA-85D9-19D4A3BDD9DB}" name="22" totalsRowFunction="sum" dataDxfId="2962" totalsRowDxfId="2961" dataCellStyle="Moeda"/>
    <tableColumn id="24" xr3:uid="{E81DAC7B-FE5A-4F8C-A546-CFB15EDE6C3E}" name="23" totalsRowFunction="sum" dataDxfId="2960" totalsRowDxfId="2959" dataCellStyle="Moeda"/>
    <tableColumn id="25" xr3:uid="{958729C6-2AF0-47C8-BA8E-214030108CBF}" name="24" totalsRowFunction="sum" dataDxfId="2958" totalsRowDxfId="2957" dataCellStyle="Moeda"/>
    <tableColumn id="26" xr3:uid="{2FCB996F-9E6C-4D5E-A8C5-3B2C2EB43D0F}" name="25" totalsRowFunction="sum" dataDxfId="2956" totalsRowDxfId="2955" dataCellStyle="Moeda"/>
    <tableColumn id="27" xr3:uid="{9D2D7B4C-6425-46C6-9C6F-3BDF0E14C958}" name="26" totalsRowFunction="sum" dataDxfId="2954" totalsRowDxfId="2953" dataCellStyle="Moeda"/>
    <tableColumn id="28" xr3:uid="{8B6C9CEF-9556-4098-93A3-9109CFB06961}" name="27" totalsRowFunction="sum" dataDxfId="2952" totalsRowDxfId="2951" dataCellStyle="Moeda"/>
    <tableColumn id="29" xr3:uid="{5EF9E647-8F35-4498-8363-0E9B5F69E3C5}" name="28" totalsRowFunction="sum" dataDxfId="2950" totalsRowDxfId="2949" dataCellStyle="Moeda"/>
    <tableColumn id="30" xr3:uid="{F8A79530-1AF2-4C25-9C53-8CAA335C98C9}" name="29" totalsRowFunction="sum" dataDxfId="2948" totalsRowDxfId="2947" dataCellStyle="Moeda"/>
    <tableColumn id="31" xr3:uid="{8434D276-2C5E-4846-A030-3066E56088FB}" name="30" totalsRowFunction="sum" dataDxfId="2946" totalsRowDxfId="2945" dataCellStyle="Moeda"/>
    <tableColumn id="32" xr3:uid="{1DB81F98-44B5-4A68-88D7-5A7EA556D133}" name="31" totalsRowFunction="sum" dataDxfId="2944" totalsRowDxfId="2943" dataCellStyle="Moeda"/>
    <tableColumn id="33" xr3:uid="{D63F7C17-F2E9-4F08-AB36-937EED14FCA4}" name="TOTAL (R$)" totalsRowFunction="sum" dataDxfId="2942" totalsRowDxfId="2941" dataCellStyle="Moeda">
      <calculatedColumnFormula>SUM(E25:AI25)</calculatedColumnFormula>
    </tableColumn>
  </tableColumns>
  <tableStyleInfo name="TABELAS RESULTADOS" showFirstColumn="0" showLastColumn="0" showRowStripes="1" showColumnStripes="0"/>
</table>
</file>

<file path=xl/tables/table1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7" xr:uid="{DC55329A-2585-4084-A6E3-4812FA3D0547}" name="settotal3059718395107119131" displayName="settotal3059718395107119131" ref="C13:AJ16" headerRowDxfId="2940" dataDxfId="2939" totalsRowDxfId="2938">
  <autoFilter ref="C13:AJ16" xr:uid="{8F80C188-90EF-4EEA-8266-E1F416435B21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  <filterColumn colId="25" hiddenButton="1"/>
    <filterColumn colId="26" hiddenButton="1"/>
    <filterColumn colId="27" hiddenButton="1"/>
    <filterColumn colId="28" hiddenButton="1"/>
    <filterColumn colId="29" hiddenButton="1"/>
    <filterColumn colId="30" hiddenButton="1"/>
    <filterColumn colId="31" hiddenButton="1"/>
    <filterColumn colId="32" hiddenButton="1"/>
    <filterColumn colId="33" hiddenButton="1"/>
  </autoFilter>
  <tableColumns count="34">
    <tableColumn id="1" xr3:uid="{7B835FB0-811C-48B6-B6FD-14A7036EDC5D}" name="ATUAL" totalsRowLabel="SALDO" dataDxfId="2937"/>
    <tableColumn id="34" xr3:uid="{C912877E-C9C9-4722-AED3-3DD05015F9BD}" name="Coluna1" dataDxfId="2936"/>
    <tableColumn id="2" xr3:uid="{4D72A69D-E415-491F-903E-3F41A9A00A46}" name="1" totalsRowFunction="sum" dataDxfId="2935" dataCellStyle="Moeda"/>
    <tableColumn id="3" xr3:uid="{B9BFAF35-EFA6-43BA-B141-45A4F0853698}" name="2" totalsRowFunction="sum" dataDxfId="2934" totalsRowDxfId="2933" dataCellStyle="Moeda"/>
    <tableColumn id="4" xr3:uid="{5D9D4C6E-4C97-402F-89CD-B6FCB5035E98}" name="3" totalsRowFunction="sum" dataDxfId="2932" totalsRowDxfId="2931" dataCellStyle="Moeda"/>
    <tableColumn id="5" xr3:uid="{725E856B-1A76-4589-A756-B8B0C73B9191}" name="4" totalsRowFunction="sum" dataDxfId="2930" totalsRowDxfId="2929" dataCellStyle="Moeda"/>
    <tableColumn id="6" xr3:uid="{4E03C617-B735-4154-ABA0-5B0C9BBCFB0A}" name="5" totalsRowFunction="sum" dataDxfId="2928" totalsRowDxfId="2927" dataCellStyle="Moeda"/>
    <tableColumn id="7" xr3:uid="{29B3E70F-BB64-4828-B3EC-F35478E7E9C4}" name="6" totalsRowFunction="sum" dataDxfId="2926" totalsRowDxfId="2925" dataCellStyle="Moeda"/>
    <tableColumn id="8" xr3:uid="{5ABA33C4-71E5-4D02-BF1A-033D25632999}" name="7" totalsRowFunction="sum" dataDxfId="2924" totalsRowDxfId="2923" dataCellStyle="Moeda"/>
    <tableColumn id="9" xr3:uid="{F708C8E0-519E-4C70-8DED-4676D49832D4}" name="8" totalsRowFunction="sum" dataDxfId="2922" totalsRowDxfId="2921" dataCellStyle="Moeda"/>
    <tableColumn id="10" xr3:uid="{82DFC64A-BEFE-4A91-8AEC-548675035782}" name="9" totalsRowFunction="sum" dataDxfId="2920" totalsRowDxfId="2919" dataCellStyle="Moeda"/>
    <tableColumn id="11" xr3:uid="{FBF0D252-96E5-4AF6-BB67-A8DA6CAF83D8}" name="10" totalsRowFunction="sum" dataDxfId="2918" totalsRowDxfId="2917" dataCellStyle="Moeda"/>
    <tableColumn id="12" xr3:uid="{D99DFF35-E4FA-4C40-863A-B60E9E117D7D}" name="11" totalsRowFunction="sum" dataDxfId="2916" totalsRowDxfId="2915" dataCellStyle="Moeda"/>
    <tableColumn id="13" xr3:uid="{F35E78AA-29EA-4890-8AB5-968F57CB8AD3}" name="12" totalsRowFunction="sum" dataDxfId="2914" totalsRowDxfId="2913" dataCellStyle="Moeda"/>
    <tableColumn id="14" xr3:uid="{8DF4C41A-5D13-4548-8FCB-3C3ECF20D190}" name="13" totalsRowFunction="sum" dataDxfId="2912" totalsRowDxfId="2911" dataCellStyle="Moeda"/>
    <tableColumn id="15" xr3:uid="{3C624DAC-65AC-447C-922D-8155948098AA}" name="14" totalsRowFunction="sum" dataDxfId="2910" totalsRowDxfId="2909" dataCellStyle="Moeda"/>
    <tableColumn id="16" xr3:uid="{ADB505EE-BCE4-4A70-9AFF-23E58F894F1C}" name="15" totalsRowFunction="sum" dataDxfId="2908" totalsRowDxfId="2907" dataCellStyle="Moeda"/>
    <tableColumn id="17" xr3:uid="{E345B8EC-44CB-421C-839E-7568B3F5D116}" name="16" totalsRowFunction="sum" dataDxfId="2906" totalsRowDxfId="2905" dataCellStyle="Moeda"/>
    <tableColumn id="18" xr3:uid="{BCB75EA8-CD31-45D5-98DA-4D4672220093}" name="17" totalsRowFunction="sum" dataDxfId="2904" totalsRowDxfId="2903" dataCellStyle="Moeda"/>
    <tableColumn id="19" xr3:uid="{457682DE-9454-41DE-85E1-6D73EAA4627F}" name="18" totalsRowFunction="sum" dataDxfId="2902" totalsRowDxfId="2901" dataCellStyle="Moeda"/>
    <tableColumn id="20" xr3:uid="{47533243-1AB6-421A-B66E-52F99E4518E9}" name="19" totalsRowFunction="sum" dataDxfId="2900" totalsRowDxfId="2899" dataCellStyle="Moeda"/>
    <tableColumn id="21" xr3:uid="{898453B3-6015-41B0-BEB6-CDDCBCE9EE2A}" name="20" totalsRowFunction="sum" dataDxfId="2898" totalsRowDxfId="2897" dataCellStyle="Moeda"/>
    <tableColumn id="22" xr3:uid="{3B6656D8-0A68-4AFA-9A47-579C55D59D9C}" name="21" totalsRowFunction="sum" dataDxfId="2896" totalsRowDxfId="2895" dataCellStyle="Moeda"/>
    <tableColumn id="23" xr3:uid="{F3786F1E-AA29-4B7C-9229-A504D353255C}" name="22" totalsRowFunction="sum" dataDxfId="2894" totalsRowDxfId="2893" dataCellStyle="Moeda"/>
    <tableColumn id="24" xr3:uid="{201B4A4C-9FF1-4A42-BA85-8BD91E1A62B4}" name="23" totalsRowFunction="sum" dataDxfId="2892" totalsRowDxfId="2891" dataCellStyle="Moeda"/>
    <tableColumn id="25" xr3:uid="{D01B28CA-B7CF-4B31-BD74-6305E1C8F028}" name="24" totalsRowFunction="sum" dataDxfId="2890" totalsRowDxfId="2889" dataCellStyle="Moeda"/>
    <tableColumn id="26" xr3:uid="{DE01D830-BF21-4BBC-AF50-90F66D30EEFB}" name="25" totalsRowFunction="sum" dataDxfId="2888" totalsRowDxfId="2887" dataCellStyle="Moeda"/>
    <tableColumn id="27" xr3:uid="{C8C496F7-CBBF-4267-BA98-8FFB433217CE}" name="26" totalsRowFunction="sum" dataDxfId="2886" totalsRowDxfId="2885" dataCellStyle="Moeda"/>
    <tableColumn id="28" xr3:uid="{C6CD70C0-C11B-4374-BE97-D69F4F792899}" name="27" totalsRowFunction="sum" dataDxfId="2884" totalsRowDxfId="2883" dataCellStyle="Moeda"/>
    <tableColumn id="29" xr3:uid="{0D96BBEB-DA0F-4E32-AA45-083EC7293DBD}" name="28" totalsRowFunction="sum" dataDxfId="2882" totalsRowDxfId="2881" dataCellStyle="Moeda"/>
    <tableColumn id="30" xr3:uid="{958E2653-DB2A-464E-8F01-0D669E0B69E9}" name="29" totalsRowFunction="sum" dataDxfId="2880" totalsRowDxfId="2879" dataCellStyle="Moeda"/>
    <tableColumn id="31" xr3:uid="{4B11671A-BB8F-4004-9353-2A3BC5496FB1}" name="30" totalsRowFunction="sum" dataDxfId="2878" totalsRowDxfId="2877" dataCellStyle="Moeda"/>
    <tableColumn id="32" xr3:uid="{FA465E6A-2F43-4239-989B-14DFF8959048}" name="31" totalsRowFunction="sum" dataDxfId="2876" totalsRowDxfId="2875" dataCellStyle="Moeda"/>
    <tableColumn id="33" xr3:uid="{7E29645D-21B0-4745-84E2-364E0D0949B6}" name="TOTAL (R$)" totalsRowFunction="sum" dataDxfId="2874" dataCellStyle="Moeda">
      <calculatedColumnFormula>SUM(settotal3059718395107119131[[#This Row],[1]:[31]])</calculatedColumnFormula>
    </tableColumn>
  </tableColumns>
  <tableStyleInfo name="TABELAS RESULTADOS" showFirstColumn="0" showLastColumn="0" showRowStripes="1" showColumnStripes="0"/>
</table>
</file>

<file path=xl/tables/table1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8" xr:uid="{763E4606-E0A2-4E68-BC7E-61E75E74ACD6}" name="receitasfixasconsolidadoset" displayName="receitasfixasconsolidadoset" ref="C81:AJ87" headerRowDxfId="2873" dataDxfId="2872" totalsRowDxfId="2871">
  <autoFilter ref="C81:AJ87" xr:uid="{2EA8B7CB-D602-44E1-B8DB-B71750A487C5}"/>
  <tableColumns count="34">
    <tableColumn id="1" xr3:uid="{ECB6B4A7-02E5-461D-853E-BACE332C8633}" name="ATUAL" totalsRowLabel="SALDO" dataDxfId="2870"/>
    <tableColumn id="34" xr3:uid="{B5210017-8DCC-44A3-A230-088906F61308}" name="Coluna1" dataDxfId="2869">
      <calculatedColumnFormula>IF(receitasfixasconsolidadoset[[#This Row],[TOTAL (R$)]]=0,"",IF(OR(receitasfixasconsolidadoset[[#This Row],[TOTAL (R$)]]=LARGE($AJ$82:$AJ$86,1),receitasfixasconsolidadoset[[#This Row],[TOTAL (R$)]]=LARGE($AJ$82:$AJ$86,2)),DADOS!$I$9,""))</calculatedColumnFormula>
    </tableColumn>
    <tableColumn id="2" xr3:uid="{FC2AA382-618A-4BBC-A26F-7BB165A1FF9F}" name="1" totalsRowFunction="sum" dataDxfId="2868" dataCellStyle="Moeda"/>
    <tableColumn id="3" xr3:uid="{43DAE7E9-553B-4560-A72F-B64507FB8780}" name="2" totalsRowFunction="sum" dataDxfId="2867" dataCellStyle="Moeda">
      <calculatedColumnFormula>SUMIFS(tabela_registros[VALOR],tabela_registros[MÊS],$AE$1,tabela_registros[DIA],receitasfixasconsolidadoset[[#Headers],[2]],tabela_registros[REGISTRO],DADOS!$N$3,tabela_registros[TIPO],DADOS!$V$3,tabela_registros[CATEGORIA],receitasfixasconsolidadoset[[#This Row],[ATUAL]])</calculatedColumnFormula>
    </tableColumn>
    <tableColumn id="4" xr3:uid="{739BE233-682E-4845-9C45-DA452BA8F9E1}" name="3" totalsRowFunction="sum" dataDxfId="2866" totalsRowDxfId="2865" dataCellStyle="Moeda">
      <calculatedColumnFormula>SUMIFS(tabela_registros[VALOR],tabela_registros[MÊS],$AE$1,tabela_registros[DIA],receitasfixasconsolidadoset[[#Headers],[3]],tabela_registros[REGISTRO],DADOS!$N$3,tabela_registros[TIPO],DADOS!$V$3,tabela_registros[CATEGORIA],receitasfixasconsolidadoset[[#This Row],[ATUAL]])</calculatedColumnFormula>
    </tableColumn>
    <tableColumn id="5" xr3:uid="{4C00AC1B-DDD0-497F-9F69-3EE5CAF7638F}" name="4" totalsRowFunction="sum" dataDxfId="2864" totalsRowDxfId="2863" dataCellStyle="Moeda">
      <calculatedColumnFormula>SUMIFS(tabela_registros[VALOR],tabela_registros[MÊS],$AE$1,tabela_registros[DIA],receitasfixasconsolidadoset[[#Headers],[4]],tabela_registros[REGISTRO],DADOS!$N$3,tabela_registros[TIPO],DADOS!$V$3,tabela_registros[CATEGORIA],receitasfixasconsolidadoset[[#This Row],[ATUAL]])</calculatedColumnFormula>
    </tableColumn>
    <tableColumn id="6" xr3:uid="{4E36F094-91AF-421A-A08E-BA26EC3CE6BF}" name="5" totalsRowFunction="sum" dataDxfId="2862" totalsRowDxfId="2861" dataCellStyle="Moeda">
      <calculatedColumnFormula>SUMIFS(tabela_registros[VALOR],tabela_registros[MÊS],$AE$1,tabela_registros[DIA],receitasfixasconsolidadoset[[#Headers],[5]],tabela_registros[REGISTRO],DADOS!$N$3,tabela_registros[TIPO],DADOS!$V$3,tabela_registros[CATEGORIA],receitasfixasconsolidadoset[[#This Row],[ATUAL]])</calculatedColumnFormula>
    </tableColumn>
    <tableColumn id="7" xr3:uid="{02E2C8CF-BAD7-40A2-8784-FBE863D246A9}" name="6" totalsRowFunction="sum" dataDxfId="2860" totalsRowDxfId="2859" dataCellStyle="Moeda">
      <calculatedColumnFormula>SUMIFS(tabela_registros[VALOR],tabela_registros[MÊS],$AE$1,tabela_registros[DIA],receitasfixasconsolidadoset[[#Headers],[6]],tabela_registros[REGISTRO],DADOS!$N$3,tabela_registros[TIPO],DADOS!$V$3,tabela_registros[CATEGORIA],receitasfixasconsolidadoset[[#This Row],[ATUAL]])</calculatedColumnFormula>
    </tableColumn>
    <tableColumn id="8" xr3:uid="{1703BC05-9A79-43C9-AA7A-170A20A47543}" name="7" totalsRowFunction="sum" dataDxfId="2858" totalsRowDxfId="2857" dataCellStyle="Moeda">
      <calculatedColumnFormula>SUMIFS(tabela_registros[VALOR],tabela_registros[MÊS],$AE$1,tabela_registros[DIA],receitasfixasconsolidadoset[[#Headers],[7]],tabela_registros[REGISTRO],DADOS!$N$3,tabela_registros[TIPO],DADOS!$V$3,tabela_registros[CATEGORIA],receitasfixasconsolidadoset[[#This Row],[ATUAL]])</calculatedColumnFormula>
    </tableColumn>
    <tableColumn id="9" xr3:uid="{1AD14DA5-D040-43EC-BA03-4FB47177B08E}" name="8" totalsRowFunction="sum" dataDxfId="2856" totalsRowDxfId="2855" dataCellStyle="Moeda">
      <calculatedColumnFormula>SUMIFS(tabela_registros[VALOR],tabela_registros[MÊS],$AE$1,tabela_registros[DIA],receitasfixasconsolidadoset[[#Headers],[8]],tabela_registros[REGISTRO],DADOS!$N$3,tabela_registros[TIPO],DADOS!$V$3,tabela_registros[CATEGORIA],receitasfixasconsolidadoset[[#This Row],[ATUAL]])</calculatedColumnFormula>
    </tableColumn>
    <tableColumn id="10" xr3:uid="{B8CE3F52-2D4B-463D-A1A8-E3FCC15FA131}" name="9" totalsRowFunction="sum" dataDxfId="2854" totalsRowDxfId="2853" dataCellStyle="Moeda">
      <calculatedColumnFormula>SUMIFS(tabela_registros[VALOR],tabela_registros[MÊS],$AE$1,tabela_registros[DIA],receitasfixasconsolidadoset[[#Headers],[9]],tabela_registros[REGISTRO],DADOS!$N$3,tabela_registros[TIPO],DADOS!$V$3,tabela_registros[CATEGORIA],receitasfixasconsolidadoset[[#This Row],[ATUAL]])</calculatedColumnFormula>
    </tableColumn>
    <tableColumn id="11" xr3:uid="{4B5F1337-43E4-4EFE-A559-DD915F961C5A}" name="10" totalsRowFunction="sum" dataDxfId="2852" totalsRowDxfId="2851" dataCellStyle="Moeda">
      <calculatedColumnFormula>SUMIFS(tabela_registros[VALOR],tabela_registros[MÊS],$AE$1,tabela_registros[DIA],receitasfixasconsolidadoset[[#Headers],[10]],tabela_registros[REGISTRO],DADOS!$N$3,tabela_registros[TIPO],DADOS!$V$3,tabela_registros[CATEGORIA],receitasfixasconsolidadoset[[#This Row],[ATUAL]])</calculatedColumnFormula>
    </tableColumn>
    <tableColumn id="12" xr3:uid="{6483C97F-314C-4D9F-9A19-940C8B6218A3}" name="11" totalsRowFunction="sum" dataDxfId="2850" totalsRowDxfId="2849" dataCellStyle="Moeda">
      <calculatedColumnFormula>SUMIFS(tabela_registros[VALOR],tabela_registros[MÊS],$AE$1,tabela_registros[DIA],receitasfixasconsolidadoset[[#Headers],[11]],tabela_registros[REGISTRO],DADOS!$N$3,tabela_registros[TIPO],DADOS!$V$3,tabela_registros[CATEGORIA],receitasfixasconsolidadoset[[#This Row],[ATUAL]])</calculatedColumnFormula>
    </tableColumn>
    <tableColumn id="13" xr3:uid="{98365F21-ED33-40D5-B5E6-A847D8504252}" name="12" totalsRowFunction="sum" dataDxfId="2848" totalsRowDxfId="2847" dataCellStyle="Moeda">
      <calculatedColumnFormula>SUMIFS(tabela_registros[VALOR],tabela_registros[MÊS],$AE$1,tabela_registros[DIA],receitasfixasconsolidadoset[[#Headers],[12]],tabela_registros[REGISTRO],DADOS!$N$3,tabela_registros[TIPO],DADOS!$V$3,tabela_registros[CATEGORIA],receitasfixasconsolidadoset[[#This Row],[ATUAL]])</calculatedColumnFormula>
    </tableColumn>
    <tableColumn id="14" xr3:uid="{085AE832-D050-42D1-88E2-39597226E818}" name="13" totalsRowFunction="sum" dataDxfId="2846" totalsRowDxfId="2845" dataCellStyle="Moeda">
      <calculatedColumnFormula>SUMIFS(tabela_registros[VALOR],tabela_registros[MÊS],$AE$1,tabela_registros[DIA],receitasfixasconsolidadoset[[#Headers],[13]],tabela_registros[REGISTRO],DADOS!$N$3,tabela_registros[TIPO],DADOS!$V$3,tabela_registros[CATEGORIA],receitasfixasconsolidadoset[[#This Row],[ATUAL]])</calculatedColumnFormula>
    </tableColumn>
    <tableColumn id="15" xr3:uid="{DE2C1194-6F76-4A19-B2F7-8AFC3A7DFAD5}" name="14" totalsRowFunction="sum" dataDxfId="2844" totalsRowDxfId="2843" dataCellStyle="Moeda">
      <calculatedColumnFormula>SUMIFS(tabela_registros[VALOR],tabela_registros[MÊS],$AE$1,tabela_registros[DIA],receitasfixasconsolidadoset[[#Headers],[14]],tabela_registros[REGISTRO],DADOS!$N$3,tabela_registros[TIPO],DADOS!$V$3,tabela_registros[CATEGORIA],receitasfixasconsolidadoset[[#This Row],[ATUAL]])</calculatedColumnFormula>
    </tableColumn>
    <tableColumn id="16" xr3:uid="{B38309D2-C916-4802-9D59-EB763ABAE931}" name="15" totalsRowFunction="sum" dataDxfId="2842" totalsRowDxfId="2841" dataCellStyle="Moeda">
      <calculatedColumnFormula>SUMIFS(tabela_registros[VALOR],tabela_registros[MÊS],$AE$1,tabela_registros[DIA],receitasfixasconsolidadoset[[#Headers],[15]],tabela_registros[REGISTRO],DADOS!$N$3,tabela_registros[TIPO],DADOS!$V$3,tabela_registros[CATEGORIA],receitasfixasconsolidadoset[[#This Row],[ATUAL]])</calculatedColumnFormula>
    </tableColumn>
    <tableColumn id="17" xr3:uid="{E933B7CA-1DEE-43EE-B100-7D965AFACAB5}" name="16" totalsRowFunction="sum" dataDxfId="2840" totalsRowDxfId="2839" dataCellStyle="Moeda">
      <calculatedColumnFormula>SUMIFS(tabela_registros[VALOR],tabela_registros[MÊS],$AE$1,tabela_registros[DIA],receitasfixasconsolidadoset[[#Headers],[16]],tabela_registros[REGISTRO],DADOS!$N$3,tabela_registros[TIPO],DADOS!$V$3,tabela_registros[CATEGORIA],receitasfixasconsolidadoset[[#This Row],[ATUAL]])</calculatedColumnFormula>
    </tableColumn>
    <tableColumn id="18" xr3:uid="{BDF6E085-2D03-4EB4-B35D-BA94BC1B7FF4}" name="17" totalsRowFunction="sum" dataDxfId="2838" totalsRowDxfId="2837" dataCellStyle="Moeda">
      <calculatedColumnFormula>SUMIFS(tabela_registros[VALOR],tabela_registros[MÊS],$AE$1,tabela_registros[DIA],receitasfixasconsolidadoset[[#Headers],[17]],tabela_registros[REGISTRO],DADOS!$N$3,tabela_registros[TIPO],DADOS!$V$3,tabela_registros[CATEGORIA],receitasfixasconsolidadoset[[#This Row],[ATUAL]])</calculatedColumnFormula>
    </tableColumn>
    <tableColumn id="19" xr3:uid="{4CAAE277-2F04-4131-A094-68688FAE9495}" name="18" totalsRowFunction="sum" dataDxfId="2836" totalsRowDxfId="2835" dataCellStyle="Moeda">
      <calculatedColumnFormula>SUMIFS(tabela_registros[VALOR],tabela_registros[MÊS],$AE$1,tabela_registros[DIA],receitasfixasconsolidadoset[[#Headers],[18]],tabela_registros[REGISTRO],DADOS!$N$3,tabela_registros[TIPO],DADOS!$V$3,tabela_registros[CATEGORIA],receitasfixasconsolidadoset[[#This Row],[ATUAL]])</calculatedColumnFormula>
    </tableColumn>
    <tableColumn id="20" xr3:uid="{9E96E316-9BA6-4A91-A540-D5D9C59DA722}" name="19" totalsRowFunction="sum" dataDxfId="2834" totalsRowDxfId="2833" dataCellStyle="Moeda">
      <calculatedColumnFormula>SUMIFS(tabela_registros[VALOR],tabela_registros[MÊS],$AE$1,tabela_registros[DIA],receitasfixasconsolidadoset[[#Headers],[19]],tabela_registros[REGISTRO],DADOS!$N$3,tabela_registros[TIPO],DADOS!$V$3,tabela_registros[CATEGORIA],receitasfixasconsolidadoset[[#This Row],[ATUAL]])</calculatedColumnFormula>
    </tableColumn>
    <tableColumn id="21" xr3:uid="{A9A8D154-0504-4D32-8435-844CCDF0FDD0}" name="20" totalsRowFunction="sum" dataDxfId="2832" totalsRowDxfId="2831" dataCellStyle="Moeda">
      <calculatedColumnFormula>SUMIFS(tabela_registros[VALOR],tabela_registros[MÊS],$AE$1,tabela_registros[DIA],receitasfixasconsolidadoset[[#Headers],[20]],tabela_registros[REGISTRO],DADOS!$N$3,tabela_registros[TIPO],DADOS!$V$3,tabela_registros[CATEGORIA],receitasfixasconsolidadoset[[#This Row],[ATUAL]])</calculatedColumnFormula>
    </tableColumn>
    <tableColumn id="22" xr3:uid="{38D377EA-A144-423B-8012-A7FD099A7C2B}" name="21" totalsRowFunction="sum" dataDxfId="2830" totalsRowDxfId="2829" dataCellStyle="Moeda">
      <calculatedColumnFormula>SUMIFS(tabela_registros[VALOR],tabela_registros[MÊS],$AE$1,tabela_registros[DIA],receitasfixasconsolidadoset[[#Headers],[21]],tabela_registros[REGISTRO],DADOS!$N$3,tabela_registros[TIPO],DADOS!$V$3,tabela_registros[CATEGORIA],receitasfixasconsolidadoset[[#This Row],[ATUAL]])</calculatedColumnFormula>
    </tableColumn>
    <tableColumn id="23" xr3:uid="{273AD6C1-D732-44B8-800D-8756F884BEB2}" name="22" totalsRowFunction="sum" dataDxfId="2828" totalsRowDxfId="2827" dataCellStyle="Moeda">
      <calculatedColumnFormula>SUMIFS(tabela_registros[VALOR],tabela_registros[MÊS],$AE$1,tabela_registros[DIA],receitasfixasconsolidadoset[[#Headers],[22]],tabela_registros[REGISTRO],DADOS!$N$3,tabela_registros[TIPO],DADOS!$V$3,tabela_registros[CATEGORIA],receitasfixasconsolidadoset[[#This Row],[ATUAL]])</calculatedColumnFormula>
    </tableColumn>
    <tableColumn id="24" xr3:uid="{D79444A1-B326-4A37-923B-3349987A72C0}" name="23" totalsRowFunction="sum" dataDxfId="2826" totalsRowDxfId="2825" dataCellStyle="Moeda">
      <calculatedColumnFormula>SUMIFS(tabela_registros[VALOR],tabela_registros[MÊS],$AE$1,tabela_registros[DIA],receitasfixasconsolidadoset[[#Headers],[23]],tabela_registros[REGISTRO],DADOS!$N$3,tabela_registros[TIPO],DADOS!$V$3,tabela_registros[CATEGORIA],receitasfixasconsolidadoset[[#This Row],[ATUAL]])</calculatedColumnFormula>
    </tableColumn>
    <tableColumn id="25" xr3:uid="{BED303DC-A01B-4263-8F75-23B3B936C650}" name="24" totalsRowFunction="sum" dataDxfId="2824" totalsRowDxfId="2823" dataCellStyle="Moeda">
      <calculatedColumnFormula>SUMIFS(tabela_registros[VALOR],tabela_registros[MÊS],$AE$1,tabela_registros[DIA],receitasfixasconsolidadoset[[#Headers],[24]],tabela_registros[REGISTRO],DADOS!$N$3,tabela_registros[TIPO],DADOS!$V$3,tabela_registros[CATEGORIA],receitasfixasconsolidadoset[[#This Row],[ATUAL]])</calculatedColumnFormula>
    </tableColumn>
    <tableColumn id="26" xr3:uid="{D7A4BEB2-C882-41D5-9A0D-72B703A4CC39}" name="25" totalsRowFunction="sum" dataDxfId="2822" totalsRowDxfId="2821" dataCellStyle="Moeda">
      <calculatedColumnFormula>SUMIFS(tabela_registros[VALOR],tabela_registros[MÊS],$AE$1,tabela_registros[DIA],receitasfixasconsolidadoset[[#Headers],[25]],tabela_registros[REGISTRO],DADOS!$N$3,tabela_registros[TIPO],DADOS!$V$3,tabela_registros[CATEGORIA],receitasfixasconsolidadoset[[#This Row],[ATUAL]])</calculatedColumnFormula>
    </tableColumn>
    <tableColumn id="27" xr3:uid="{2AF22EA0-CC84-42D4-A2DE-07E3B46440C1}" name="26" totalsRowFunction="sum" dataDxfId="2820" totalsRowDxfId="2819" dataCellStyle="Moeda">
      <calculatedColumnFormula>SUMIFS(tabela_registros[VALOR],tabela_registros[MÊS],$AE$1,tabela_registros[DIA],receitasfixasconsolidadoset[[#Headers],[26]],tabela_registros[REGISTRO],DADOS!$N$3,tabela_registros[TIPO],DADOS!$V$3,tabela_registros[CATEGORIA],receitasfixasconsolidadoset[[#This Row],[ATUAL]])</calculatedColumnFormula>
    </tableColumn>
    <tableColumn id="28" xr3:uid="{B5479061-294B-4A5F-B9E9-2BBE7120C793}" name="27" totalsRowFunction="sum" dataDxfId="2818" totalsRowDxfId="2817" dataCellStyle="Moeda">
      <calculatedColumnFormula>SUMIFS(tabela_registros[VALOR],tabela_registros[MÊS],$AE$1,tabela_registros[DIA],receitasfixasconsolidadoset[[#Headers],[27]],tabela_registros[REGISTRO],DADOS!$N$3,tabela_registros[TIPO],DADOS!$V$3,tabela_registros[CATEGORIA],receitasfixasconsolidadoset[[#This Row],[ATUAL]])</calculatedColumnFormula>
    </tableColumn>
    <tableColumn id="29" xr3:uid="{32FB040B-D76A-403A-A245-7E492B3A9BB9}" name="28" totalsRowFunction="sum" dataDxfId="2816" totalsRowDxfId="2815" dataCellStyle="Moeda">
      <calculatedColumnFormula>SUMIFS(tabela_registros[VALOR],tabela_registros[MÊS],$AE$1,tabela_registros[DIA],receitasfixasconsolidadoset[[#Headers],[28]],tabela_registros[REGISTRO],DADOS!$N$3,tabela_registros[TIPO],DADOS!$V$3,tabela_registros[CATEGORIA],receitasfixasconsolidadoset[[#This Row],[ATUAL]])</calculatedColumnFormula>
    </tableColumn>
    <tableColumn id="30" xr3:uid="{C40300CF-5C91-4CB2-A892-99952951142F}" name="29" totalsRowFunction="sum" dataDxfId="2814" totalsRowDxfId="2813" dataCellStyle="Moeda">
      <calculatedColumnFormula>SUMIFS(tabela_registros[VALOR],tabela_registros[MÊS],$AE$1,tabela_registros[DIA],receitasfixasconsolidadoset[[#Headers],[29]],tabela_registros[REGISTRO],DADOS!$N$3,tabela_registros[TIPO],DADOS!$V$3,tabela_registros[CATEGORIA],receitasfixasconsolidadoset[[#This Row],[ATUAL]])</calculatedColumnFormula>
    </tableColumn>
    <tableColumn id="31" xr3:uid="{766C3D10-35BE-4B34-80B6-FF13C72131D7}" name="30" totalsRowFunction="sum" dataDxfId="2812" totalsRowDxfId="2811" dataCellStyle="Moeda">
      <calculatedColumnFormula>SUMIFS(tabela_registros[VALOR],tabela_registros[MÊS],$AE$1,tabela_registros[DIA],receitasfixasconsolidadoset[[#Headers],[30]],tabela_registros[REGISTRO],DADOS!$N$3,tabela_registros[TIPO],DADOS!$V$3,tabela_registros[CATEGORIA],receitasfixasconsolidadoset[[#This Row],[ATUAL]])</calculatedColumnFormula>
    </tableColumn>
    <tableColumn id="32" xr3:uid="{778A97D3-769F-4DCB-B5B6-A69FC8648C7F}" name="31" totalsRowFunction="sum" dataDxfId="2810" totalsRowDxfId="2809" dataCellStyle="Moeda">
      <calculatedColumnFormula>SUMIFS(tabela_registros[VALOR],tabela_registros[MÊS],$AE$1,tabela_registros[DIA],receitasfixasconsolidadoset[[#Headers],[31]],tabela_registros[REGISTRO],DADOS!$N$3,tabela_registros[TIPO],DADOS!$V$3,tabela_registros[CATEGORIA],receitasfixasconsolidadoset[[#This Row],[ATUAL]])</calculatedColumnFormula>
    </tableColumn>
    <tableColumn id="33" xr3:uid="{E16D8C37-44DD-43FB-84DB-DD6D78716D56}" name="TOTAL (R$)" totalsRowFunction="sum" dataDxfId="2808" dataCellStyle="Moeda">
      <calculatedColumnFormula>SUM(receitasfixasconsolidadoset[[#This Row],[1]:[31]])</calculatedColumnFormula>
    </tableColumn>
  </tableColumns>
  <tableStyleInfo name="TABELAS RESULTADOS" showFirstColumn="0" showLastColumn="0" showRowStripes="1" showColumnStripes="0"/>
</table>
</file>

<file path=xl/tables/table1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9" xr:uid="{37E8E20E-DF32-4BB1-84E2-183E1E7AD6F7}" name="receitasvariáveisconsolidadoset" displayName="receitasvariáveisconsolidadoset" ref="C95:AJ104" headerRowDxfId="2807" dataDxfId="2806" totalsRowDxfId="2805">
  <autoFilter ref="C95:AJ104" xr:uid="{DEFDE68B-A97D-4ED5-9460-1E58A13A7942}"/>
  <tableColumns count="34">
    <tableColumn id="1" xr3:uid="{32C355BA-6364-414C-89CB-D529770FA114}" name="ATUAL" totalsRowLabel="SALDO" dataDxfId="2804"/>
    <tableColumn id="34" xr3:uid="{C666A247-C070-4821-A26D-8A0B1C85D09F}" name="Coluna1" dataDxfId="2803" totalsRowDxfId="2802">
      <calculatedColumnFormula>IF(receitasvariáveisconsolidadoset[[#This Row],[TOTAL (R$)]]=0,"",IF(OR(receitasvariáveisconsolidadoset[[#This Row],[TOTAL (R$)]]=LARGE($AJ$96:$AJ$103,1),receitasvariáveisconsolidadoset[[#This Row],[TOTAL (R$)]]=LARGE($AJ$96:$AJ$103,2)),DADOS!$I$9,""))</calculatedColumnFormula>
    </tableColumn>
    <tableColumn id="2" xr3:uid="{F4C29CE9-A071-4983-82C1-FBB87C9778CC}" name="1" totalsRowFunction="sum" dataDxfId="2801" dataCellStyle="Moeda"/>
    <tableColumn id="3" xr3:uid="{10B13D48-B96F-4C52-86CE-736562914961}" name="2" totalsRowFunction="sum" dataDxfId="2800" dataCellStyle="Moeda">
      <calculatedColumnFormula>SUMIFS(tabela_registros[VALOR],tabela_registros[MÊS],$AE$1,tabela_registros[DIA],receitasvariáveisconsolidadoset[[#Headers],[2]],tabela_registros[REGISTRO],DADOS!$N$3,tabela_registros[TIPO],DADOS!$V$3,tabela_registros[CATEGORIA],receitasvariáveisconsolidadoset[[#This Row],[ATUAL]])</calculatedColumnFormula>
    </tableColumn>
    <tableColumn id="4" xr3:uid="{3AB294BA-8D50-474B-9B52-96D8A27ADBE7}" name="3" totalsRowFunction="sum" dataDxfId="2799" totalsRowDxfId="2798" dataCellStyle="Moeda">
      <calculatedColumnFormula>SUMIFS(tabela_registros[VALOR],tabela_registros[MÊS],$AE$1,tabela_registros[DIA],receitasvariáveisconsolidadoset[[#Headers],[3]],tabela_registros[REGISTRO],DADOS!$N$3,tabela_registros[TIPO],DADOS!$V$3,tabela_registros[CATEGORIA],receitasvariáveisconsolidadoset[[#This Row],[ATUAL]])</calculatedColumnFormula>
    </tableColumn>
    <tableColumn id="5" xr3:uid="{22B2B751-A05C-4110-97D9-9EBD0BA71842}" name="4" totalsRowFunction="sum" dataDxfId="2797" totalsRowDxfId="2796" dataCellStyle="Moeda">
      <calculatedColumnFormula>SUMIFS(tabela_registros[VALOR],tabela_registros[MÊS],$AE$1,tabela_registros[DIA],receitasvariáveisconsolidadoset[[#Headers],[4]],tabela_registros[REGISTRO],DADOS!$N$3,tabela_registros[TIPO],DADOS!$V$3,tabela_registros[CATEGORIA],receitasvariáveisconsolidadoset[[#This Row],[ATUAL]])</calculatedColumnFormula>
    </tableColumn>
    <tableColumn id="6" xr3:uid="{F934FA0C-8254-4D6C-99FA-C03C54876D0C}" name="5" totalsRowFunction="sum" dataDxfId="2795" totalsRowDxfId="2794" dataCellStyle="Moeda">
      <calculatedColumnFormula>SUMIFS(tabela_registros[VALOR],tabela_registros[MÊS],$AE$1,tabela_registros[DIA],receitasvariáveisconsolidadoset[[#Headers],[5]],tabela_registros[REGISTRO],DADOS!$N$3,tabela_registros[TIPO],DADOS!$V$3,tabela_registros[CATEGORIA],receitasvariáveisconsolidadoset[[#This Row],[ATUAL]])</calculatedColumnFormula>
    </tableColumn>
    <tableColumn id="7" xr3:uid="{108ACBA9-9A38-4E00-A343-81E81D8E2584}" name="6" totalsRowFunction="sum" dataDxfId="2793" totalsRowDxfId="2792" dataCellStyle="Moeda">
      <calculatedColumnFormula>SUMIFS(tabela_registros[VALOR],tabela_registros[MÊS],$AE$1,tabela_registros[DIA],receitasvariáveisconsolidadoset[[#Headers],[6]],tabela_registros[REGISTRO],DADOS!$N$3,tabela_registros[TIPO],DADOS!$V$3,tabela_registros[CATEGORIA],receitasvariáveisconsolidadoset[[#This Row],[ATUAL]])</calculatedColumnFormula>
    </tableColumn>
    <tableColumn id="8" xr3:uid="{B69E220E-20D7-4A29-A97F-2246625422A3}" name="7" totalsRowFunction="sum" dataDxfId="2791" totalsRowDxfId="2790" dataCellStyle="Moeda">
      <calculatedColumnFormula>SUMIFS(tabela_registros[VALOR],tabela_registros[MÊS],$AE$1,tabela_registros[DIA],receitasvariáveisconsolidadoset[[#Headers],[7]],tabela_registros[REGISTRO],DADOS!$N$3,tabela_registros[TIPO],DADOS!$V$3,tabela_registros[CATEGORIA],receitasvariáveisconsolidadoset[[#This Row],[ATUAL]])</calculatedColumnFormula>
    </tableColumn>
    <tableColumn id="9" xr3:uid="{D1A633FF-2C98-4096-A55A-BD642BFAE437}" name="8" totalsRowFunction="sum" dataDxfId="2789" totalsRowDxfId="2788" dataCellStyle="Moeda">
      <calculatedColumnFormula>SUMIFS(tabela_registros[VALOR],tabela_registros[MÊS],$AE$1,tabela_registros[DIA],receitasvariáveisconsolidadoset[[#Headers],[8]],tabela_registros[REGISTRO],DADOS!$N$3,tabela_registros[TIPO],DADOS!$V$3,tabela_registros[CATEGORIA],receitasvariáveisconsolidadoset[[#This Row],[ATUAL]])</calculatedColumnFormula>
    </tableColumn>
    <tableColumn id="10" xr3:uid="{A72FBA53-9750-4A1D-8D31-948AB324202F}" name="9" totalsRowFunction="sum" dataDxfId="2787" totalsRowDxfId="2786" dataCellStyle="Moeda">
      <calculatedColumnFormula>SUMIFS(tabela_registros[VALOR],tabela_registros[MÊS],$AE$1,tabela_registros[DIA],receitasvariáveisconsolidadoset[[#Headers],[9]],tabela_registros[REGISTRO],DADOS!$N$3,tabela_registros[TIPO],DADOS!$V$3,tabela_registros[CATEGORIA],receitasvariáveisconsolidadoset[[#This Row],[ATUAL]])</calculatedColumnFormula>
    </tableColumn>
    <tableColumn id="11" xr3:uid="{BBC4A549-3809-4575-9409-347130FCE75A}" name="10" totalsRowFunction="sum" dataDxfId="2785" totalsRowDxfId="2784" dataCellStyle="Moeda">
      <calculatedColumnFormula>SUMIFS(tabela_registros[VALOR],tabela_registros[MÊS],$AE$1,tabela_registros[DIA],receitasvariáveisconsolidadoset[[#Headers],[10]],tabela_registros[REGISTRO],DADOS!$N$3,tabela_registros[TIPO],DADOS!$V$3,tabela_registros[CATEGORIA],receitasvariáveisconsolidadoset[[#This Row],[ATUAL]])</calculatedColumnFormula>
    </tableColumn>
    <tableColumn id="12" xr3:uid="{4340D7FE-D75C-44DA-AD3A-67068C58013D}" name="11" totalsRowFunction="sum" dataDxfId="2783" totalsRowDxfId="2782" dataCellStyle="Moeda">
      <calculatedColumnFormula>SUMIFS(tabela_registros[VALOR],tabela_registros[MÊS],$AE$1,tabela_registros[DIA],receitasvariáveisconsolidadoset[[#Headers],[11]],tabela_registros[REGISTRO],DADOS!$N$3,tabela_registros[TIPO],DADOS!$V$3,tabela_registros[CATEGORIA],receitasvariáveisconsolidadoset[[#This Row],[ATUAL]])</calculatedColumnFormula>
    </tableColumn>
    <tableColumn id="13" xr3:uid="{843B836B-EAE4-4ED0-8BA0-19510152D080}" name="12" totalsRowFunction="sum" dataDxfId="2781" totalsRowDxfId="2780" dataCellStyle="Moeda">
      <calculatedColumnFormula>SUMIFS(tabela_registros[VALOR],tabela_registros[MÊS],$AE$1,tabela_registros[DIA],receitasvariáveisconsolidadoset[[#Headers],[12]],tabela_registros[REGISTRO],DADOS!$N$3,tabela_registros[TIPO],DADOS!$V$3,tabela_registros[CATEGORIA],receitasvariáveisconsolidadoset[[#This Row],[ATUAL]])</calculatedColumnFormula>
    </tableColumn>
    <tableColumn id="14" xr3:uid="{E444A6FB-E421-4DE2-ADCC-E5608378208D}" name="13" totalsRowFunction="sum" dataDxfId="2779" totalsRowDxfId="2778" dataCellStyle="Moeda">
      <calculatedColumnFormula>SUMIFS(tabela_registros[VALOR],tabela_registros[MÊS],$AE$1,tabela_registros[DIA],receitasvariáveisconsolidadoset[[#Headers],[13]],tabela_registros[REGISTRO],DADOS!$N$3,tabela_registros[TIPO],DADOS!$V$3,tabela_registros[CATEGORIA],receitasvariáveisconsolidadoset[[#This Row],[ATUAL]])</calculatedColumnFormula>
    </tableColumn>
    <tableColumn id="15" xr3:uid="{59FC2821-4274-4FE7-B5C6-BA668D478D44}" name="14" totalsRowFunction="sum" dataDxfId="2777" totalsRowDxfId="2776" dataCellStyle="Moeda">
      <calculatedColumnFormula>SUMIFS(tabela_registros[VALOR],tabela_registros[MÊS],$AE$1,tabela_registros[DIA],receitasvariáveisconsolidadoset[[#Headers],[14]],tabela_registros[REGISTRO],DADOS!$N$3,tabela_registros[TIPO],DADOS!$V$3,tabela_registros[CATEGORIA],receitasvariáveisconsolidadoset[[#This Row],[ATUAL]])</calculatedColumnFormula>
    </tableColumn>
    <tableColumn id="16" xr3:uid="{3B6BF96A-9C15-4376-A696-9BE23BE63941}" name="15" totalsRowFunction="sum" dataDxfId="2775" totalsRowDxfId="2774" dataCellStyle="Moeda">
      <calculatedColumnFormula>SUMIFS(tabela_registros[VALOR],tabela_registros[MÊS],$AE$1,tabela_registros[DIA],receitasvariáveisconsolidadoset[[#Headers],[15]],tabela_registros[REGISTRO],DADOS!$N$3,tabela_registros[TIPO],DADOS!$V$3,tabela_registros[CATEGORIA],receitasvariáveisconsolidadoset[[#This Row],[ATUAL]])</calculatedColumnFormula>
    </tableColumn>
    <tableColumn id="17" xr3:uid="{96FC4384-628C-4B6F-8E02-2603CA6E8625}" name="16" totalsRowFunction="sum" dataDxfId="2773" totalsRowDxfId="2772" dataCellStyle="Moeda">
      <calculatedColumnFormula>SUMIFS(tabela_registros[VALOR],tabela_registros[MÊS],$AE$1,tabela_registros[DIA],receitasvariáveisconsolidadoset[[#Headers],[16]],tabela_registros[REGISTRO],DADOS!$N$3,tabela_registros[TIPO],DADOS!$V$3,tabela_registros[CATEGORIA],receitasvariáveisconsolidadoset[[#This Row],[ATUAL]])</calculatedColumnFormula>
    </tableColumn>
    <tableColumn id="18" xr3:uid="{0AEF940A-9354-4E63-AD6D-31A0C332C867}" name="17" totalsRowFunction="sum" dataDxfId="2771" totalsRowDxfId="2770" dataCellStyle="Moeda">
      <calculatedColumnFormula>SUMIFS(tabela_registros[VALOR],tabela_registros[MÊS],$AE$1,tabela_registros[DIA],receitasvariáveisconsolidadoset[[#Headers],[17]],tabela_registros[REGISTRO],DADOS!$N$3,tabela_registros[TIPO],DADOS!$V$3,tabela_registros[CATEGORIA],receitasvariáveisconsolidadoset[[#This Row],[ATUAL]])</calculatedColumnFormula>
    </tableColumn>
    <tableColumn id="19" xr3:uid="{929DD3A4-BABE-472C-B297-C5BFC35AE306}" name="18" totalsRowFunction="sum" dataDxfId="2769" totalsRowDxfId="2768" dataCellStyle="Moeda">
      <calculatedColumnFormula>SUMIFS(tabela_registros[VALOR],tabela_registros[MÊS],$AE$1,tabela_registros[DIA],receitasvariáveisconsolidadoset[[#Headers],[18]],tabela_registros[REGISTRO],DADOS!$N$3,tabela_registros[TIPO],DADOS!$V$3,tabela_registros[CATEGORIA],receitasvariáveisconsolidadoset[[#This Row],[ATUAL]])</calculatedColumnFormula>
    </tableColumn>
    <tableColumn id="20" xr3:uid="{A19EF212-6870-49CC-8A6A-430D6B6B3EDF}" name="19" totalsRowFunction="sum" dataDxfId="2767" totalsRowDxfId="2766" dataCellStyle="Moeda">
      <calculatedColumnFormula>SUMIFS(tabela_registros[VALOR],tabela_registros[MÊS],$AE$1,tabela_registros[DIA],receitasvariáveisconsolidadoset[[#Headers],[19]],tabela_registros[REGISTRO],DADOS!$N$3,tabela_registros[TIPO],DADOS!$V$3,tabela_registros[CATEGORIA],receitasvariáveisconsolidadoset[[#This Row],[ATUAL]])</calculatedColumnFormula>
    </tableColumn>
    <tableColumn id="21" xr3:uid="{44DE26AD-2158-4CC8-BD92-55E425468A7D}" name="20" totalsRowFunction="sum" dataDxfId="2765" totalsRowDxfId="2764" dataCellStyle="Moeda">
      <calculatedColumnFormula>SUMIFS(tabela_registros[VALOR],tabela_registros[MÊS],$AE$1,tabela_registros[DIA],receitasvariáveisconsolidadoset[[#Headers],[20]],tabela_registros[REGISTRO],DADOS!$N$3,tabela_registros[TIPO],DADOS!$V$3,tabela_registros[CATEGORIA],receitasvariáveisconsolidadoset[[#This Row],[ATUAL]])</calculatedColumnFormula>
    </tableColumn>
    <tableColumn id="22" xr3:uid="{25284F0B-7412-43F5-8799-E58F53D59962}" name="21" totalsRowFunction="sum" dataDxfId="2763" totalsRowDxfId="2762" dataCellStyle="Moeda">
      <calculatedColumnFormula>SUMIFS(tabela_registros[VALOR],tabela_registros[MÊS],$AE$1,tabela_registros[DIA],receitasvariáveisconsolidadoset[[#Headers],[21]],tabela_registros[REGISTRO],DADOS!$N$3,tabela_registros[TIPO],DADOS!$V$3,tabela_registros[CATEGORIA],receitasvariáveisconsolidadoset[[#This Row],[ATUAL]])</calculatedColumnFormula>
    </tableColumn>
    <tableColumn id="23" xr3:uid="{77C33F8C-B243-4087-94E6-0DC69747CD36}" name="22" totalsRowFunction="sum" dataDxfId="2761" totalsRowDxfId="2760" dataCellStyle="Moeda">
      <calculatedColumnFormula>SUMIFS(tabela_registros[VALOR],tabela_registros[MÊS],$AE$1,tabela_registros[DIA],receitasvariáveisconsolidadoset[[#Headers],[22]],tabela_registros[REGISTRO],DADOS!$N$3,tabela_registros[TIPO],DADOS!$V$3,tabela_registros[CATEGORIA],receitasvariáveisconsolidadoset[[#This Row],[ATUAL]])</calculatedColumnFormula>
    </tableColumn>
    <tableColumn id="24" xr3:uid="{22658318-ECE9-423E-8B55-F5002965252C}" name="23" totalsRowFunction="sum" dataDxfId="2759" totalsRowDxfId="2758" dataCellStyle="Moeda">
      <calculatedColumnFormula>SUMIFS(tabela_registros[VALOR],tabela_registros[MÊS],$AE$1,tabela_registros[DIA],receitasvariáveisconsolidadoset[[#Headers],[23]],tabela_registros[REGISTRO],DADOS!$N$3,tabela_registros[TIPO],DADOS!$V$3,tabela_registros[CATEGORIA],receitasvariáveisconsolidadoset[[#This Row],[ATUAL]])</calculatedColumnFormula>
    </tableColumn>
    <tableColumn id="25" xr3:uid="{F70E8E7D-C35D-4DAB-ADAF-F656F79E8487}" name="24" totalsRowFunction="sum" dataDxfId="2757" totalsRowDxfId="2756" dataCellStyle="Moeda">
      <calculatedColumnFormula>SUMIFS(tabela_registros[VALOR],tabela_registros[MÊS],$AE$1,tabela_registros[DIA],receitasvariáveisconsolidadoset[[#Headers],[24]],tabela_registros[REGISTRO],DADOS!$N$3,tabela_registros[TIPO],DADOS!$V$3,tabela_registros[CATEGORIA],receitasvariáveisconsolidadoset[[#This Row],[ATUAL]])</calculatedColumnFormula>
    </tableColumn>
    <tableColumn id="26" xr3:uid="{613D1E27-1060-4828-9F26-845D621C68BA}" name="25" totalsRowFunction="sum" dataDxfId="2755" totalsRowDxfId="2754" dataCellStyle="Moeda">
      <calculatedColumnFormula>SUMIFS(tabela_registros[VALOR],tabela_registros[MÊS],$AE$1,tabela_registros[DIA],receitasvariáveisconsolidadoset[[#Headers],[25]],tabela_registros[REGISTRO],DADOS!$N$3,tabela_registros[TIPO],DADOS!$V$3,tabela_registros[CATEGORIA],receitasvariáveisconsolidadoset[[#This Row],[ATUAL]])</calculatedColumnFormula>
    </tableColumn>
    <tableColumn id="27" xr3:uid="{3C5F3326-9146-4069-9DA2-AB25BFE74432}" name="26" totalsRowFunction="sum" dataDxfId="2753" totalsRowDxfId="2752" dataCellStyle="Moeda">
      <calculatedColumnFormula>SUMIFS(tabela_registros[VALOR],tabela_registros[MÊS],$AE$1,tabela_registros[DIA],receitasvariáveisconsolidadoset[[#Headers],[26]],tabela_registros[REGISTRO],DADOS!$N$3,tabela_registros[TIPO],DADOS!$V$3,tabela_registros[CATEGORIA],receitasvariáveisconsolidadoset[[#This Row],[ATUAL]])</calculatedColumnFormula>
    </tableColumn>
    <tableColumn id="28" xr3:uid="{E5ACAD16-FCB8-48F8-80A8-B3C636E8F081}" name="27" totalsRowFunction="sum" dataDxfId="2751" totalsRowDxfId="2750" dataCellStyle="Moeda">
      <calculatedColumnFormula>SUMIFS(tabela_registros[VALOR],tabela_registros[MÊS],$AE$1,tabela_registros[DIA],receitasvariáveisconsolidadoset[[#Headers],[27]],tabela_registros[REGISTRO],DADOS!$N$3,tabela_registros[TIPO],DADOS!$V$3,tabela_registros[CATEGORIA],receitasvariáveisconsolidadoset[[#This Row],[ATUAL]])</calculatedColumnFormula>
    </tableColumn>
    <tableColumn id="29" xr3:uid="{3BD9F6BE-970E-462D-83C0-2DD9A61431AD}" name="28" totalsRowFunction="sum" dataDxfId="2749" totalsRowDxfId="2748" dataCellStyle="Moeda">
      <calculatedColumnFormula>SUMIFS(tabela_registros[VALOR],tabela_registros[MÊS],$AE$1,tabela_registros[DIA],receitasvariáveisconsolidadoset[[#Headers],[28]],tabela_registros[REGISTRO],DADOS!$N$3,tabela_registros[TIPO],DADOS!$V$3,tabela_registros[CATEGORIA],receitasvariáveisconsolidadoset[[#This Row],[ATUAL]])</calculatedColumnFormula>
    </tableColumn>
    <tableColumn id="30" xr3:uid="{10EAD369-11F6-4F33-A5F0-224DEDAE4AE8}" name="29" totalsRowFunction="sum" dataDxfId="2747" totalsRowDxfId="2746" dataCellStyle="Moeda">
      <calculatedColumnFormula>SUMIFS(tabela_registros[VALOR],tabela_registros[MÊS],$AE$1,tabela_registros[DIA],receitasvariáveisconsolidadoset[[#Headers],[29]],tabela_registros[REGISTRO],DADOS!$N$3,tabela_registros[TIPO],DADOS!$V$3,tabela_registros[CATEGORIA],receitasvariáveisconsolidadoset[[#This Row],[ATUAL]])</calculatedColumnFormula>
    </tableColumn>
    <tableColumn id="31" xr3:uid="{6385D7CB-09E5-4E53-BF32-EA9D58C108F0}" name="30" totalsRowFunction="sum" dataDxfId="2745" totalsRowDxfId="2744" dataCellStyle="Moeda">
      <calculatedColumnFormula>SUMIFS(tabela_registros[VALOR],tabela_registros[MÊS],$AE$1,tabela_registros[DIA],receitasvariáveisconsolidadoset[[#Headers],[30]],tabela_registros[REGISTRO],DADOS!$N$3,tabela_registros[TIPO],DADOS!$V$3,tabela_registros[CATEGORIA],receitasvariáveisconsolidadoset[[#This Row],[ATUAL]])</calculatedColumnFormula>
    </tableColumn>
    <tableColumn id="32" xr3:uid="{ED9939F8-03CF-439B-9C10-2038E981325B}" name="31" totalsRowFunction="sum" dataDxfId="2743" totalsRowDxfId="2742" dataCellStyle="Moeda">
      <calculatedColumnFormula>SUMIFS(tabela_registros[VALOR],tabela_registros[MÊS],$AE$1,tabela_registros[DIA],receitasvariáveisconsolidadoset[[#Headers],[31]],tabela_registros[REGISTRO],DADOS!$N$3,tabela_registros[TIPO],DADOS!$V$3,tabela_registros[CATEGORIA],receitasvariáveisconsolidadoset[[#This Row],[ATUAL]])</calculatedColumnFormula>
    </tableColumn>
    <tableColumn id="33" xr3:uid="{978F4E5E-69AF-4F36-8DAC-FF76B4E11714}" name="TOTAL (R$)" totalsRowFunction="sum" dataDxfId="2741" dataCellStyle="Moeda">
      <calculatedColumnFormula>SUM(receitasvariáveisconsolidadoset[[#This Row],[1]:[31]])</calculatedColumnFormula>
    </tableColumn>
  </tableColumns>
  <tableStyleInfo name="TABELAS RESULTADOS" showFirstColumn="0" showLastColumn="0" showRowStripes="1" showColumnStripes="0"/>
</table>
</file>

<file path=xl/tables/table1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0" xr:uid="{D4359564-41ED-4482-9B94-AB45D5A0A429}" name="investirrendafixaconsolidadoset" displayName="investirrendafixaconsolidadoset" ref="C112:AJ123" headerRowDxfId="2740" dataDxfId="2739" totalsRowDxfId="2738">
  <autoFilter ref="C112:AJ123" xr:uid="{3BCF8FD2-4C10-4776-87A3-7B16A33417A4}"/>
  <tableColumns count="34">
    <tableColumn id="1" xr3:uid="{C9C46D62-1030-4689-83C6-8A15DDDE06BA}" name="ATUAL" totalsRowLabel="SALDO" dataDxfId="2737"/>
    <tableColumn id="34" xr3:uid="{D43CC369-2F6A-4F77-945A-AA991D479189}" name="Coluna1" dataDxfId="2736" totalsRowDxfId="2735">
      <calculatedColumnFormula>IF(investirrendafixaconsolidadoset[[#This Row],[TOTAL (R$)]]=0,"",IF(OR(investirrendafixaconsolidadoset[[#This Row],[TOTAL (R$)]]=LARGE($AJ$113:$AJ$122,1),investirrendafixaconsolidadoset[[#This Row],[TOTAL (R$)]]=LARGE($AJ$113:$AJ$122,2)),DADOS!$I$10,""))</calculatedColumnFormula>
    </tableColumn>
    <tableColumn id="2" xr3:uid="{1191EFF0-FDEA-46F0-BC7E-025607689EDD}" name="1" totalsRowFunction="sum" dataDxfId="2734" dataCellStyle="Moeda"/>
    <tableColumn id="3" xr3:uid="{E847B6E8-B3CA-4DCB-AE93-CA68AC2875AE}" name="2" totalsRowFunction="sum" dataDxfId="2733" dataCellStyle="Moeda">
      <calculatedColumnFormula>SUMIFS(tabela_registros[VALOR],tabela_registros[MÊS],$AE$1,tabela_registros[DIA],investirrendafixaconsolidadoset[[#Headers],[2]],tabela_registros[REGISTRO],DADOS!$N$3,tabela_registros[TIPO],DADOS!$V$3,tabela_registros[CATEGORIA],investirrendafixaconsolidadoset[[#This Row],[ATUAL]])</calculatedColumnFormula>
    </tableColumn>
    <tableColumn id="4" xr3:uid="{A639ED8F-F60B-4228-BB28-92F2AE99F919}" name="3" totalsRowFunction="sum" dataDxfId="2732" totalsRowDxfId="2731" dataCellStyle="Moeda">
      <calculatedColumnFormula>SUMIFS(tabela_registros[VALOR],tabela_registros[MÊS],$AE$1,tabela_registros[DIA],investirrendafixaconsolidadoset[[#Headers],[3]],tabela_registros[REGISTRO],DADOS!$N$3,tabela_registros[TIPO],DADOS!$V$3,tabela_registros[CATEGORIA],investirrendafixaconsolidadoset[[#This Row],[ATUAL]])</calculatedColumnFormula>
    </tableColumn>
    <tableColumn id="5" xr3:uid="{3A51D4EA-AC88-465E-8817-8DB139CC5B65}" name="4" totalsRowFunction="sum" dataDxfId="2730" totalsRowDxfId="2729" dataCellStyle="Moeda">
      <calculatedColumnFormula>SUMIFS(tabela_registros[VALOR],tabela_registros[MÊS],$AE$1,tabela_registros[DIA],investirrendafixaconsolidadoset[[#Headers],[4]],tabela_registros[REGISTRO],DADOS!$N$3,tabela_registros[TIPO],DADOS!$V$3,tabela_registros[CATEGORIA],investirrendafixaconsolidadoset[[#This Row],[ATUAL]])</calculatedColumnFormula>
    </tableColumn>
    <tableColumn id="6" xr3:uid="{F749F1EB-5F5C-4D4A-A08A-1853284CAFCB}" name="5" totalsRowFunction="sum" dataDxfId="2728" totalsRowDxfId="2727" dataCellStyle="Moeda">
      <calculatedColumnFormula>SUMIFS(tabela_registros[VALOR],tabela_registros[MÊS],$AE$1,tabela_registros[DIA],investirrendafixaconsolidadoset[[#Headers],[5]],tabela_registros[REGISTRO],DADOS!$N$3,tabela_registros[TIPO],DADOS!$V$3,tabela_registros[CATEGORIA],investirrendafixaconsolidadoset[[#This Row],[ATUAL]])</calculatedColumnFormula>
    </tableColumn>
    <tableColumn id="7" xr3:uid="{DA0CF82F-B03C-4B59-A404-9C31613EE13E}" name="6" totalsRowFunction="sum" dataDxfId="2726" totalsRowDxfId="2725" dataCellStyle="Moeda">
      <calculatedColumnFormula>SUMIFS(tabela_registros[VALOR],tabela_registros[MÊS],$AE$1,tabela_registros[DIA],investirrendafixaconsolidadoset[[#Headers],[6]],tabela_registros[REGISTRO],DADOS!$N$3,tabela_registros[TIPO],DADOS!$V$3,tabela_registros[CATEGORIA],investirrendafixaconsolidadoset[[#This Row],[ATUAL]])</calculatedColumnFormula>
    </tableColumn>
    <tableColumn id="8" xr3:uid="{72EE0437-9984-483F-85D3-5B8DDC517571}" name="7" totalsRowFunction="sum" dataDxfId="2724" totalsRowDxfId="2723" dataCellStyle="Moeda">
      <calculatedColumnFormula>SUMIFS(tabela_registros[VALOR],tabela_registros[MÊS],$AE$1,tabela_registros[DIA],investirrendafixaconsolidadoset[[#Headers],[7]],tabela_registros[REGISTRO],DADOS!$N$3,tabela_registros[TIPO],DADOS!$V$3,tabela_registros[CATEGORIA],investirrendafixaconsolidadoset[[#This Row],[ATUAL]])</calculatedColumnFormula>
    </tableColumn>
    <tableColumn id="9" xr3:uid="{84CCFBF9-DD56-4BAB-9B91-A223DE54C16F}" name="8" totalsRowFunction="sum" dataDxfId="2722" totalsRowDxfId="2721" dataCellStyle="Moeda">
      <calculatedColumnFormula>SUMIFS(tabela_registros[VALOR],tabela_registros[MÊS],$AE$1,tabela_registros[DIA],investirrendafixaconsolidadoset[[#Headers],[8]],tabela_registros[REGISTRO],DADOS!$N$3,tabela_registros[TIPO],DADOS!$V$3,tabela_registros[CATEGORIA],investirrendafixaconsolidadoset[[#This Row],[ATUAL]])</calculatedColumnFormula>
    </tableColumn>
    <tableColumn id="10" xr3:uid="{4CF07A2D-1940-412A-9F1E-81E81993BDD9}" name="9" totalsRowFunction="sum" dataDxfId="2720" totalsRowDxfId="2719" dataCellStyle="Moeda">
      <calculatedColumnFormula>SUMIFS(tabela_registros[VALOR],tabela_registros[MÊS],$AE$1,tabela_registros[DIA],investirrendafixaconsolidadoset[[#Headers],[9]],tabela_registros[REGISTRO],DADOS!$N$3,tabela_registros[TIPO],DADOS!$V$3,tabela_registros[CATEGORIA],investirrendafixaconsolidadoset[[#This Row],[ATUAL]])</calculatedColumnFormula>
    </tableColumn>
    <tableColumn id="11" xr3:uid="{EBF90D23-37E2-40A3-88DE-70F7BC792A1D}" name="10" totalsRowFunction="sum" dataDxfId="2718" totalsRowDxfId="2717" dataCellStyle="Moeda">
      <calculatedColumnFormula>SUMIFS(tabela_registros[VALOR],tabela_registros[MÊS],$AE$1,tabela_registros[DIA],investirrendafixaconsolidadoset[[#Headers],[10]],tabela_registros[REGISTRO],DADOS!$N$3,tabela_registros[TIPO],DADOS!$V$3,tabela_registros[CATEGORIA],investirrendafixaconsolidadoset[[#This Row],[ATUAL]])</calculatedColumnFormula>
    </tableColumn>
    <tableColumn id="12" xr3:uid="{30067B9A-FE3B-4F03-A4BF-1239F4B28831}" name="11" totalsRowFunction="sum" dataDxfId="2716" totalsRowDxfId="2715" dataCellStyle="Moeda">
      <calculatedColumnFormula>SUMIFS(tabela_registros[VALOR],tabela_registros[MÊS],$AE$1,tabela_registros[DIA],investirrendafixaconsolidadoset[[#Headers],[11]],tabela_registros[REGISTRO],DADOS!$N$3,tabela_registros[TIPO],DADOS!$V$3,tabela_registros[CATEGORIA],investirrendafixaconsolidadoset[[#This Row],[ATUAL]])</calculatedColumnFormula>
    </tableColumn>
    <tableColumn id="13" xr3:uid="{7A8080AF-67AE-4DF0-90FC-0315E93CBE92}" name="12" totalsRowFunction="sum" dataDxfId="2714" totalsRowDxfId="2713" dataCellStyle="Moeda">
      <calculatedColumnFormula>SUMIFS(tabela_registros[VALOR],tabela_registros[MÊS],$AE$1,tabela_registros[DIA],investirrendafixaconsolidadoset[[#Headers],[12]],tabela_registros[REGISTRO],DADOS!$N$3,tabela_registros[TIPO],DADOS!$V$3,tabela_registros[CATEGORIA],investirrendafixaconsolidadoset[[#This Row],[ATUAL]])</calculatedColumnFormula>
    </tableColumn>
    <tableColumn id="14" xr3:uid="{4AA6A7E2-B765-44C8-AFC5-6DB0CAED18B4}" name="13" totalsRowFunction="sum" dataDxfId="2712" totalsRowDxfId="2711" dataCellStyle="Moeda">
      <calculatedColumnFormula>SUMIFS(tabela_registros[VALOR],tabela_registros[MÊS],$AE$1,tabela_registros[DIA],investirrendafixaconsolidadoset[[#Headers],[13]],tabela_registros[REGISTRO],DADOS!$N$3,tabela_registros[TIPO],DADOS!$V$3,tabela_registros[CATEGORIA],investirrendafixaconsolidadoset[[#This Row],[ATUAL]])</calculatedColumnFormula>
    </tableColumn>
    <tableColumn id="15" xr3:uid="{F47F918C-503E-4943-8C83-54B390E6AE34}" name="14" totalsRowFunction="sum" dataDxfId="2710" totalsRowDxfId="2709" dataCellStyle="Moeda">
      <calculatedColumnFormula>SUMIFS(tabela_registros[VALOR],tabela_registros[MÊS],$AE$1,tabela_registros[DIA],investirrendafixaconsolidadoset[[#Headers],[14]],tabela_registros[REGISTRO],DADOS!$N$3,tabela_registros[TIPO],DADOS!$V$3,tabela_registros[CATEGORIA],investirrendafixaconsolidadoset[[#This Row],[ATUAL]])</calculatedColumnFormula>
    </tableColumn>
    <tableColumn id="16" xr3:uid="{A200E4B3-3171-4812-9588-52829A78E61D}" name="15" totalsRowFunction="sum" dataDxfId="2708" totalsRowDxfId="2707" dataCellStyle="Moeda">
      <calculatedColumnFormula>SUMIFS(tabela_registros[VALOR],tabela_registros[MÊS],$AE$1,tabela_registros[DIA],investirrendafixaconsolidadoset[[#Headers],[15]],tabela_registros[REGISTRO],DADOS!$N$3,tabela_registros[TIPO],DADOS!$V$3,tabela_registros[CATEGORIA],investirrendafixaconsolidadoset[[#This Row],[ATUAL]])</calculatedColumnFormula>
    </tableColumn>
    <tableColumn id="17" xr3:uid="{E87AE2D1-B851-499A-9DC8-8EF2A5321F8E}" name="16" totalsRowFunction="sum" dataDxfId="2706" totalsRowDxfId="2705" dataCellStyle="Moeda">
      <calculatedColumnFormula>SUMIFS(tabela_registros[VALOR],tabela_registros[MÊS],$AE$1,tabela_registros[DIA],investirrendafixaconsolidadoset[[#Headers],[16]],tabela_registros[REGISTRO],DADOS!$N$3,tabela_registros[TIPO],DADOS!$V$3,tabela_registros[CATEGORIA],investirrendafixaconsolidadoset[[#This Row],[ATUAL]])</calculatedColumnFormula>
    </tableColumn>
    <tableColumn id="18" xr3:uid="{2A046748-9ECA-4AAE-AD32-7B6A4C4AE119}" name="17" totalsRowFunction="sum" dataDxfId="2704" totalsRowDxfId="2703" dataCellStyle="Moeda">
      <calculatedColumnFormula>SUMIFS(tabela_registros[VALOR],tabela_registros[MÊS],$AE$1,tabela_registros[DIA],investirrendafixaconsolidadoset[[#Headers],[17]],tabela_registros[REGISTRO],DADOS!$N$3,tabela_registros[TIPO],DADOS!$V$3,tabela_registros[CATEGORIA],investirrendafixaconsolidadoset[[#This Row],[ATUAL]])</calculatedColumnFormula>
    </tableColumn>
    <tableColumn id="19" xr3:uid="{9EA37509-F7C8-4130-9A68-3B7F6347C056}" name="18" totalsRowFunction="sum" dataDxfId="2702" totalsRowDxfId="2701" dataCellStyle="Moeda">
      <calculatedColumnFormula>SUMIFS(tabela_registros[VALOR],tabela_registros[MÊS],$AE$1,tabela_registros[DIA],investirrendafixaconsolidadoset[[#Headers],[18]],tabela_registros[REGISTRO],DADOS!$N$3,tabela_registros[TIPO],DADOS!$V$3,tabela_registros[CATEGORIA],investirrendafixaconsolidadoset[[#This Row],[ATUAL]])</calculatedColumnFormula>
    </tableColumn>
    <tableColumn id="20" xr3:uid="{A0552B93-6A8A-4390-994A-54B507022AF6}" name="19" totalsRowFunction="sum" dataDxfId="2700" totalsRowDxfId="2699" dataCellStyle="Moeda">
      <calculatedColumnFormula>SUMIFS(tabela_registros[VALOR],tabela_registros[MÊS],$AE$1,tabela_registros[DIA],investirrendafixaconsolidadoset[[#Headers],[19]],tabela_registros[REGISTRO],DADOS!$N$3,tabela_registros[TIPO],DADOS!$V$3,tabela_registros[CATEGORIA],investirrendafixaconsolidadoset[[#This Row],[ATUAL]])</calculatedColumnFormula>
    </tableColumn>
    <tableColumn id="21" xr3:uid="{C5E0358C-1FBA-424D-8049-72544FCD0E2F}" name="20" totalsRowFunction="sum" dataDxfId="2698" totalsRowDxfId="2697" dataCellStyle="Moeda">
      <calculatedColumnFormula>SUMIFS(tabela_registros[VALOR],tabela_registros[MÊS],$AE$1,tabela_registros[DIA],investirrendafixaconsolidadoset[[#Headers],[20]],tabela_registros[REGISTRO],DADOS!$N$3,tabela_registros[TIPO],DADOS!$V$3,tabela_registros[CATEGORIA],investirrendafixaconsolidadoset[[#This Row],[ATUAL]])</calculatedColumnFormula>
    </tableColumn>
    <tableColumn id="22" xr3:uid="{C8D69727-1A62-4197-914F-A0807E7CE527}" name="21" totalsRowFunction="sum" dataDxfId="2696" totalsRowDxfId="2695" dataCellStyle="Moeda">
      <calculatedColumnFormula>SUMIFS(tabela_registros[VALOR],tabela_registros[MÊS],$AE$1,tabela_registros[DIA],investirrendafixaconsolidadoset[[#Headers],[21]],tabela_registros[REGISTRO],DADOS!$N$3,tabela_registros[TIPO],DADOS!$V$3,tabela_registros[CATEGORIA],investirrendafixaconsolidadoset[[#This Row],[ATUAL]])</calculatedColumnFormula>
    </tableColumn>
    <tableColumn id="23" xr3:uid="{A3AE52F4-C2FF-483F-B707-C45BD8F98B8D}" name="22" totalsRowFunction="sum" dataDxfId="2694" totalsRowDxfId="2693" dataCellStyle="Moeda">
      <calculatedColumnFormula>SUMIFS(tabela_registros[VALOR],tabela_registros[MÊS],$AE$1,tabela_registros[DIA],investirrendafixaconsolidadoset[[#Headers],[22]],tabela_registros[REGISTRO],DADOS!$N$3,tabela_registros[TIPO],DADOS!$V$3,tabela_registros[CATEGORIA],investirrendafixaconsolidadoset[[#This Row],[ATUAL]])</calculatedColumnFormula>
    </tableColumn>
    <tableColumn id="24" xr3:uid="{ABF3EF2C-3BB5-4B22-B1F0-22D4987BDC64}" name="23" totalsRowFunction="sum" dataDxfId="2692" totalsRowDxfId="2691" dataCellStyle="Moeda">
      <calculatedColumnFormula>SUMIFS(tabela_registros[VALOR],tabela_registros[MÊS],$AE$1,tabela_registros[DIA],investirrendafixaconsolidadoset[[#Headers],[23]],tabela_registros[REGISTRO],DADOS!$N$3,tabela_registros[TIPO],DADOS!$V$3,tabela_registros[CATEGORIA],investirrendafixaconsolidadoset[[#This Row],[ATUAL]])</calculatedColumnFormula>
    </tableColumn>
    <tableColumn id="25" xr3:uid="{DF1A5181-0E9F-42BF-B18B-A8C7198B3696}" name="24" totalsRowFunction="sum" dataDxfId="2690" totalsRowDxfId="2689" dataCellStyle="Moeda">
      <calculatedColumnFormula>SUMIFS(tabela_registros[VALOR],tabela_registros[MÊS],$AE$1,tabela_registros[DIA],investirrendafixaconsolidadoset[[#Headers],[24]],tabela_registros[REGISTRO],DADOS!$N$3,tabela_registros[TIPO],DADOS!$V$3,tabela_registros[CATEGORIA],investirrendafixaconsolidadoset[[#This Row],[ATUAL]])</calculatedColumnFormula>
    </tableColumn>
    <tableColumn id="26" xr3:uid="{F9993750-5256-460F-81E2-07561679F194}" name="25" totalsRowFunction="sum" dataDxfId="2688" totalsRowDxfId="2687" dataCellStyle="Moeda">
      <calculatedColumnFormula>SUMIFS(tabela_registros[VALOR],tabela_registros[MÊS],$AE$1,tabela_registros[DIA],investirrendafixaconsolidadoset[[#Headers],[25]],tabela_registros[REGISTRO],DADOS!$N$3,tabela_registros[TIPO],DADOS!$V$3,tabela_registros[CATEGORIA],investirrendafixaconsolidadoset[[#This Row],[ATUAL]])</calculatedColumnFormula>
    </tableColumn>
    <tableColumn id="27" xr3:uid="{80063543-24ED-40A2-8151-43A5C9B0080B}" name="26" totalsRowFunction="sum" dataDxfId="2686" totalsRowDxfId="2685" dataCellStyle="Moeda">
      <calculatedColumnFormula>SUMIFS(tabela_registros[VALOR],tabela_registros[MÊS],$AE$1,tabela_registros[DIA],investirrendafixaconsolidadoset[[#Headers],[26]],tabela_registros[REGISTRO],DADOS!$N$3,tabela_registros[TIPO],DADOS!$V$3,tabela_registros[CATEGORIA],investirrendafixaconsolidadoset[[#This Row],[ATUAL]])</calculatedColumnFormula>
    </tableColumn>
    <tableColumn id="28" xr3:uid="{2119E51B-567B-45A2-B0B9-76864FD90119}" name="27" totalsRowFunction="sum" dataDxfId="2684" totalsRowDxfId="2683" dataCellStyle="Moeda">
      <calculatedColumnFormula>SUMIFS(tabela_registros[VALOR],tabela_registros[MÊS],$AE$1,tabela_registros[DIA],investirrendafixaconsolidadoset[[#Headers],[27]],tabela_registros[REGISTRO],DADOS!$N$3,tabela_registros[TIPO],DADOS!$V$3,tabela_registros[CATEGORIA],investirrendafixaconsolidadoset[[#This Row],[ATUAL]])</calculatedColumnFormula>
    </tableColumn>
    <tableColumn id="29" xr3:uid="{AE580CDB-AD87-443C-8305-6F40C955EC28}" name="28" totalsRowFunction="sum" dataDxfId="2682" totalsRowDxfId="2681" dataCellStyle="Moeda">
      <calculatedColumnFormula>SUMIFS(tabela_registros[VALOR],tabela_registros[MÊS],$AE$1,tabela_registros[DIA],investirrendafixaconsolidadoset[[#Headers],[28]],tabela_registros[REGISTRO],DADOS!$N$3,tabela_registros[TIPO],DADOS!$V$3,tabela_registros[CATEGORIA],investirrendafixaconsolidadoset[[#This Row],[ATUAL]])</calculatedColumnFormula>
    </tableColumn>
    <tableColumn id="30" xr3:uid="{8135B3CC-A908-4A40-826A-26DEC2FAAF4C}" name="29" totalsRowFunction="sum" dataDxfId="2680" totalsRowDxfId="2679" dataCellStyle="Moeda">
      <calculatedColumnFormula>SUMIFS(tabela_registros[VALOR],tabela_registros[MÊS],$AE$1,tabela_registros[DIA],investirrendafixaconsolidadoset[[#Headers],[29]],tabela_registros[REGISTRO],DADOS!$N$3,tabela_registros[TIPO],DADOS!$V$3,tabela_registros[CATEGORIA],investirrendafixaconsolidadoset[[#This Row],[ATUAL]])</calculatedColumnFormula>
    </tableColumn>
    <tableColumn id="31" xr3:uid="{906EA199-7DE1-4BC8-B91A-ACA8F6B0A6A8}" name="30" totalsRowFunction="sum" dataDxfId="2678" totalsRowDxfId="2677" dataCellStyle="Moeda">
      <calculatedColumnFormula>SUMIFS(tabela_registros[VALOR],tabela_registros[MÊS],$AE$1,tabela_registros[DIA],investirrendafixaconsolidadoset[[#Headers],[30]],tabela_registros[REGISTRO],DADOS!$N$3,tabela_registros[TIPO],DADOS!$V$3,tabela_registros[CATEGORIA],investirrendafixaconsolidadoset[[#This Row],[ATUAL]])</calculatedColumnFormula>
    </tableColumn>
    <tableColumn id="32" xr3:uid="{37948B67-0844-4424-935C-AF0FDB43109A}" name="31" totalsRowFunction="sum" dataDxfId="2676" totalsRowDxfId="2675" dataCellStyle="Moeda">
      <calculatedColumnFormula>SUMIFS(tabela_registros[VALOR],tabela_registros[MÊS],$AE$1,tabela_registros[DIA],investirrendafixaconsolidadoset[[#Headers],[31]],tabela_registros[REGISTRO],DADOS!$N$3,tabela_registros[TIPO],DADOS!$V$3,tabela_registros[CATEGORIA],investirrendafixaconsolidadoset[[#This Row],[ATUAL]])</calculatedColumnFormula>
    </tableColumn>
    <tableColumn id="33" xr3:uid="{D347738C-DE91-4B43-8856-763E1C36254D}" name="TOTAL (R$)" totalsRowFunction="sum" dataDxfId="2674" dataCellStyle="Moeda">
      <calculatedColumnFormula>SUM(investirrendafixaconsolidadoset[[#This Row],[1]:[31]])</calculatedColumnFormula>
    </tableColumn>
  </tableColumns>
  <tableStyleInfo name="TABELAS RESULTADOS" showFirstColumn="0" showLastColumn="0" showRowStripes="1" showColumnStripes="0"/>
</table>
</file>

<file path=xl/tables/table1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1" xr:uid="{D0344117-62C5-4AB5-B61A-911126A54B81}" name="investirrendavariávelconsolidadoset" displayName="investirrendavariávelconsolidadoset" ref="C131:AJ142" headerRowDxfId="2673" dataDxfId="2672" totalsRowDxfId="2671">
  <autoFilter ref="C131:AJ142" xr:uid="{08F8225F-86FE-4857-B00A-7406490FE1C1}"/>
  <tableColumns count="34">
    <tableColumn id="1" xr3:uid="{03632DD4-2416-4DA3-93A2-4F321162F4EB}" name="ATUAL" totalsRowLabel="SALDO" dataDxfId="2670"/>
    <tableColumn id="34" xr3:uid="{8053646A-20EC-4437-B303-873A21DBAFD1}" name="Coluna1" dataDxfId="2669" totalsRowDxfId="2668">
      <calculatedColumnFormula>IF(investirrendavariávelconsolidadoset[[#This Row],[TOTAL (R$)]]=0,"",IF(OR(investirrendavariávelconsolidadoset[[#This Row],[TOTAL (R$)]]=LARGE($AJ$132:$AJ$141,1),investirrendavariávelconsolidadoset[[#This Row],[TOTAL (R$)]]=LARGE($AJ$132:$AJ$141,2)),DADOS!$I$10,""))</calculatedColumnFormula>
    </tableColumn>
    <tableColumn id="2" xr3:uid="{3A02E9AE-8794-4EA6-AB86-4C75193A4413}" name="1" totalsRowFunction="sum" dataDxfId="2667" dataCellStyle="Moeda"/>
    <tableColumn id="3" xr3:uid="{3FB6F3FB-1976-4E47-85F1-7AF9CABBE369}" name="2" totalsRowFunction="sum" dataDxfId="2666" dataCellStyle="Moeda">
      <calculatedColumnFormula>SUMIFS(tabela_registros[VALOR],tabela_registros[MÊS],$AE$1,tabela_registros[DIA],investirrendavariávelconsolidadoset[[#Headers],[2]],tabela_registros[REGISTRO],DADOS!$N$3,tabela_registros[TIPO],DADOS!$V$3,tabela_registros[CATEGORIA],investirrendavariávelconsolidadoset[[#This Row],[ATUAL]])</calculatedColumnFormula>
    </tableColumn>
    <tableColumn id="4" xr3:uid="{C48A74D2-2DE2-48CE-A387-60FF41266D7D}" name="3" totalsRowFunction="sum" dataDxfId="2665" totalsRowDxfId="2664" dataCellStyle="Moeda">
      <calculatedColumnFormula>SUMIFS(tabela_registros[VALOR],tabela_registros[MÊS],$AE$1,tabela_registros[DIA],investirrendavariávelconsolidadoset[[#Headers],[3]],tabela_registros[REGISTRO],DADOS!$N$3,tabela_registros[TIPO],DADOS!$V$3,tabela_registros[CATEGORIA],investirrendavariávelconsolidadoset[[#This Row],[ATUAL]])</calculatedColumnFormula>
    </tableColumn>
    <tableColumn id="5" xr3:uid="{1AE966EA-88F7-4E4F-AA64-D355D5C40766}" name="4" totalsRowFunction="sum" dataDxfId="2663" totalsRowDxfId="2662" dataCellStyle="Moeda">
      <calculatedColumnFormula>SUMIFS(tabela_registros[VALOR],tabela_registros[MÊS],$AE$1,tabela_registros[DIA],investirrendavariávelconsolidadoset[[#Headers],[4]],tabela_registros[REGISTRO],DADOS!$N$3,tabela_registros[TIPO],DADOS!$V$3,tabela_registros[CATEGORIA],investirrendavariávelconsolidadoset[[#This Row],[ATUAL]])</calculatedColumnFormula>
    </tableColumn>
    <tableColumn id="6" xr3:uid="{46F0855B-B1CF-4B16-AB0B-675480193C87}" name="5" totalsRowFunction="sum" dataDxfId="2661" totalsRowDxfId="2660" dataCellStyle="Moeda">
      <calculatedColumnFormula>SUMIFS(tabela_registros[VALOR],tabela_registros[MÊS],$AE$1,tabela_registros[DIA],investirrendavariávelconsolidadoset[[#Headers],[5]],tabela_registros[REGISTRO],DADOS!$N$3,tabela_registros[TIPO],DADOS!$V$3,tabela_registros[CATEGORIA],investirrendavariávelconsolidadoset[[#This Row],[ATUAL]])</calculatedColumnFormula>
    </tableColumn>
    <tableColumn id="7" xr3:uid="{1816CD66-284C-4B27-A545-43BE91945D0C}" name="6" totalsRowFunction="sum" dataDxfId="2659" totalsRowDxfId="2658" dataCellStyle="Moeda">
      <calculatedColumnFormula>SUMIFS(tabela_registros[VALOR],tabela_registros[MÊS],$AE$1,tabela_registros[DIA],investirrendavariávelconsolidadoset[[#Headers],[6]],tabela_registros[REGISTRO],DADOS!$N$3,tabela_registros[TIPO],DADOS!$V$3,tabela_registros[CATEGORIA],investirrendavariávelconsolidadoset[[#This Row],[ATUAL]])</calculatedColumnFormula>
    </tableColumn>
    <tableColumn id="8" xr3:uid="{140308FF-69C5-4262-BA4F-C8FAF4A28CDE}" name="7" totalsRowFunction="sum" dataDxfId="2657" totalsRowDxfId="2656" dataCellStyle="Moeda">
      <calculatedColumnFormula>SUMIFS(tabela_registros[VALOR],tabela_registros[MÊS],$AE$1,tabela_registros[DIA],investirrendavariávelconsolidadoset[[#Headers],[7]],tabela_registros[REGISTRO],DADOS!$N$3,tabela_registros[TIPO],DADOS!$V$3,tabela_registros[CATEGORIA],investirrendavariávelconsolidadoset[[#This Row],[ATUAL]])</calculatedColumnFormula>
    </tableColumn>
    <tableColumn id="9" xr3:uid="{CC4DF10C-32FF-460B-B4AB-EF0C44B9B443}" name="8" totalsRowFunction="sum" dataDxfId="2655" totalsRowDxfId="2654" dataCellStyle="Moeda">
      <calculatedColumnFormula>SUMIFS(tabela_registros[VALOR],tabela_registros[MÊS],$AE$1,tabela_registros[DIA],investirrendavariávelconsolidadoset[[#Headers],[8]],tabela_registros[REGISTRO],DADOS!$N$3,tabela_registros[TIPO],DADOS!$V$3,tabela_registros[CATEGORIA],investirrendavariávelconsolidadoset[[#This Row],[ATUAL]])</calculatedColumnFormula>
    </tableColumn>
    <tableColumn id="10" xr3:uid="{C6654260-BAF1-4B30-AC48-3C140B71684B}" name="9" totalsRowFunction="sum" dataDxfId="2653" totalsRowDxfId="2652" dataCellStyle="Moeda">
      <calculatedColumnFormula>SUMIFS(tabela_registros[VALOR],tabela_registros[MÊS],$AE$1,tabela_registros[DIA],investirrendavariávelconsolidadoset[[#Headers],[9]],tabela_registros[REGISTRO],DADOS!$N$3,tabela_registros[TIPO],DADOS!$V$3,tabela_registros[CATEGORIA],investirrendavariávelconsolidadoset[[#This Row],[ATUAL]])</calculatedColumnFormula>
    </tableColumn>
    <tableColumn id="11" xr3:uid="{20B7CA48-3D99-4BB8-B3F8-AD3A765F682C}" name="10" totalsRowFunction="sum" dataDxfId="2651" totalsRowDxfId="2650" dataCellStyle="Moeda">
      <calculatedColumnFormula>SUMIFS(tabela_registros[VALOR],tabela_registros[MÊS],$AE$1,tabela_registros[DIA],investirrendavariávelconsolidadoset[[#Headers],[10]],tabela_registros[REGISTRO],DADOS!$N$3,tabela_registros[TIPO],DADOS!$V$3,tabela_registros[CATEGORIA],investirrendavariávelconsolidadoset[[#This Row],[ATUAL]])</calculatedColumnFormula>
    </tableColumn>
    <tableColumn id="12" xr3:uid="{4E12E35C-E1CD-4968-B870-A837296625F8}" name="11" totalsRowFunction="sum" dataDxfId="2649" totalsRowDxfId="2648" dataCellStyle="Moeda">
      <calculatedColumnFormula>SUMIFS(tabela_registros[VALOR],tabela_registros[MÊS],$AE$1,tabela_registros[DIA],investirrendavariávelconsolidadoset[[#Headers],[11]],tabela_registros[REGISTRO],DADOS!$N$3,tabela_registros[TIPO],DADOS!$V$3,tabela_registros[CATEGORIA],investirrendavariávelconsolidadoset[[#This Row],[ATUAL]])</calculatedColumnFormula>
    </tableColumn>
    <tableColumn id="13" xr3:uid="{4D274A18-5B9A-4C96-88BE-9A238628AEFE}" name="12" totalsRowFunction="sum" dataDxfId="2647" totalsRowDxfId="2646" dataCellStyle="Moeda">
      <calculatedColumnFormula>SUMIFS(tabela_registros[VALOR],tabela_registros[MÊS],$AE$1,tabela_registros[DIA],investirrendavariávelconsolidadoset[[#Headers],[12]],tabela_registros[REGISTRO],DADOS!$N$3,tabela_registros[TIPO],DADOS!$V$3,tabela_registros[CATEGORIA],investirrendavariávelconsolidadoset[[#This Row],[ATUAL]])</calculatedColumnFormula>
    </tableColumn>
    <tableColumn id="14" xr3:uid="{95F78743-2E96-43F3-9435-EC350D98A909}" name="13" totalsRowFunction="sum" dataDxfId="2645" totalsRowDxfId="2644" dataCellStyle="Moeda">
      <calculatedColumnFormula>SUMIFS(tabela_registros[VALOR],tabela_registros[MÊS],$AE$1,tabela_registros[DIA],investirrendavariávelconsolidadoset[[#Headers],[13]],tabela_registros[REGISTRO],DADOS!$N$3,tabela_registros[TIPO],DADOS!$V$3,tabela_registros[CATEGORIA],investirrendavariávelconsolidadoset[[#This Row],[ATUAL]])</calculatedColumnFormula>
    </tableColumn>
    <tableColumn id="15" xr3:uid="{1E33D59C-B6BD-46BB-9CA4-52D51C1E646E}" name="14" totalsRowFunction="sum" dataDxfId="2643" totalsRowDxfId="2642" dataCellStyle="Moeda">
      <calculatedColumnFormula>SUMIFS(tabela_registros[VALOR],tabela_registros[MÊS],$AE$1,tabela_registros[DIA],investirrendavariávelconsolidadoset[[#Headers],[14]],tabela_registros[REGISTRO],DADOS!$N$3,tabela_registros[TIPO],DADOS!$V$3,tabela_registros[CATEGORIA],investirrendavariávelconsolidadoset[[#This Row],[ATUAL]])</calculatedColumnFormula>
    </tableColumn>
    <tableColumn id="16" xr3:uid="{3958A78A-CE8E-49E2-9F3C-2675E51B876B}" name="15" totalsRowFunction="sum" dataDxfId="2641" totalsRowDxfId="2640" dataCellStyle="Moeda">
      <calculatedColumnFormula>SUMIFS(tabela_registros[VALOR],tabela_registros[MÊS],$AE$1,tabela_registros[DIA],investirrendavariávelconsolidadoset[[#Headers],[15]],tabela_registros[REGISTRO],DADOS!$N$3,tabela_registros[TIPO],DADOS!$V$3,tabela_registros[CATEGORIA],investirrendavariávelconsolidadoset[[#This Row],[ATUAL]])</calculatedColumnFormula>
    </tableColumn>
    <tableColumn id="17" xr3:uid="{2A48B6C3-F0C8-4632-B4FB-8EFA1C50C729}" name="16" totalsRowFunction="sum" dataDxfId="2639" totalsRowDxfId="2638" dataCellStyle="Moeda">
      <calculatedColumnFormula>SUMIFS(tabela_registros[VALOR],tabela_registros[MÊS],$AE$1,tabela_registros[DIA],investirrendavariávelconsolidadoset[[#Headers],[16]],tabela_registros[REGISTRO],DADOS!$N$3,tabela_registros[TIPO],DADOS!$V$3,tabela_registros[CATEGORIA],investirrendavariávelconsolidadoset[[#This Row],[ATUAL]])</calculatedColumnFormula>
    </tableColumn>
    <tableColumn id="18" xr3:uid="{4406BA3F-E4E1-4178-8C99-5F8E9895F77B}" name="17" totalsRowFunction="sum" dataDxfId="2637" totalsRowDxfId="2636" dataCellStyle="Moeda">
      <calculatedColumnFormula>SUMIFS(tabela_registros[VALOR],tabela_registros[MÊS],$AE$1,tabela_registros[DIA],investirrendavariávelconsolidadoset[[#Headers],[17]],tabela_registros[REGISTRO],DADOS!$N$3,tabela_registros[TIPO],DADOS!$V$3,tabela_registros[CATEGORIA],investirrendavariávelconsolidadoset[[#This Row],[ATUAL]])</calculatedColumnFormula>
    </tableColumn>
    <tableColumn id="19" xr3:uid="{8BE82BA8-F8AB-46A8-954D-7B355D3CC536}" name="18" totalsRowFunction="sum" dataDxfId="2635" totalsRowDxfId="2634" dataCellStyle="Moeda">
      <calculatedColumnFormula>SUMIFS(tabela_registros[VALOR],tabela_registros[MÊS],$AE$1,tabela_registros[DIA],investirrendavariávelconsolidadoset[[#Headers],[18]],tabela_registros[REGISTRO],DADOS!$N$3,tabela_registros[TIPO],DADOS!$V$3,tabela_registros[CATEGORIA],investirrendavariávelconsolidadoset[[#This Row],[ATUAL]])</calculatedColumnFormula>
    </tableColumn>
    <tableColumn id="20" xr3:uid="{7C12B241-AE9D-4CFE-A3F5-855BB3080DDC}" name="19" totalsRowFunction="sum" dataDxfId="2633" totalsRowDxfId="2632" dataCellStyle="Moeda">
      <calculatedColumnFormula>SUMIFS(tabela_registros[VALOR],tabela_registros[MÊS],$AE$1,tabela_registros[DIA],investirrendavariávelconsolidadoset[[#Headers],[19]],tabela_registros[REGISTRO],DADOS!$N$3,tabela_registros[TIPO],DADOS!$V$3,tabela_registros[CATEGORIA],investirrendavariávelconsolidadoset[[#This Row],[ATUAL]])</calculatedColumnFormula>
    </tableColumn>
    <tableColumn id="21" xr3:uid="{F7460837-4824-4E1A-B1C6-6FC8BFA02781}" name="20" totalsRowFunction="sum" dataDxfId="2631" totalsRowDxfId="2630" dataCellStyle="Moeda">
      <calculatedColumnFormula>SUMIFS(tabela_registros[VALOR],tabela_registros[MÊS],$AE$1,tabela_registros[DIA],investirrendavariávelconsolidadoset[[#Headers],[20]],tabela_registros[REGISTRO],DADOS!$N$3,tabela_registros[TIPO],DADOS!$V$3,tabela_registros[CATEGORIA],investirrendavariávelconsolidadoset[[#This Row],[ATUAL]])</calculatedColumnFormula>
    </tableColumn>
    <tableColumn id="22" xr3:uid="{062E922E-58AF-4798-8776-CCABF18CC535}" name="21" totalsRowFunction="sum" dataDxfId="2629" totalsRowDxfId="2628" dataCellStyle="Moeda">
      <calculatedColumnFormula>SUMIFS(tabela_registros[VALOR],tabela_registros[MÊS],$AE$1,tabela_registros[DIA],investirrendavariávelconsolidadoset[[#Headers],[21]],tabela_registros[REGISTRO],DADOS!$N$3,tabela_registros[TIPO],DADOS!$V$3,tabela_registros[CATEGORIA],investirrendavariávelconsolidadoset[[#This Row],[ATUAL]])</calculatedColumnFormula>
    </tableColumn>
    <tableColumn id="23" xr3:uid="{ACC1B21C-C61C-41CB-B294-CCC22F9C3AE0}" name="22" totalsRowFunction="sum" dataDxfId="2627" totalsRowDxfId="2626" dataCellStyle="Moeda">
      <calculatedColumnFormula>SUMIFS(tabela_registros[VALOR],tabela_registros[MÊS],$AE$1,tabela_registros[DIA],investirrendavariávelconsolidadoset[[#Headers],[22]],tabela_registros[REGISTRO],DADOS!$N$3,tabela_registros[TIPO],DADOS!$V$3,tabela_registros[CATEGORIA],investirrendavariávelconsolidadoset[[#This Row],[ATUAL]])</calculatedColumnFormula>
    </tableColumn>
    <tableColumn id="24" xr3:uid="{C82A5CF8-38AC-4FAE-AFD5-A9BC670EA301}" name="23" totalsRowFunction="sum" dataDxfId="2625" totalsRowDxfId="2624" dataCellStyle="Moeda">
      <calculatedColumnFormula>SUMIFS(tabela_registros[VALOR],tabela_registros[MÊS],$AE$1,tabela_registros[DIA],investirrendavariávelconsolidadoset[[#Headers],[23]],tabela_registros[REGISTRO],DADOS!$N$3,tabela_registros[TIPO],DADOS!$V$3,tabela_registros[CATEGORIA],investirrendavariávelconsolidadoset[[#This Row],[ATUAL]])</calculatedColumnFormula>
    </tableColumn>
    <tableColumn id="25" xr3:uid="{72A73B91-E810-4EAB-BAD2-4758D91295D1}" name="24" totalsRowFunction="sum" dataDxfId="2623" totalsRowDxfId="2622" dataCellStyle="Moeda">
      <calculatedColumnFormula>SUMIFS(tabela_registros[VALOR],tabela_registros[MÊS],$AE$1,tabela_registros[DIA],investirrendavariávelconsolidadoset[[#Headers],[24]],tabela_registros[REGISTRO],DADOS!$N$3,tabela_registros[TIPO],DADOS!$V$3,tabela_registros[CATEGORIA],investirrendavariávelconsolidadoset[[#This Row],[ATUAL]])</calculatedColumnFormula>
    </tableColumn>
    <tableColumn id="26" xr3:uid="{2F70ECE2-FF04-40B0-B4C2-2797F30D1EC6}" name="25" totalsRowFunction="sum" dataDxfId="2621" totalsRowDxfId="2620" dataCellStyle="Moeda">
      <calculatedColumnFormula>SUMIFS(tabela_registros[VALOR],tabela_registros[MÊS],$AE$1,tabela_registros[DIA],investirrendavariávelconsolidadoset[[#Headers],[25]],tabela_registros[REGISTRO],DADOS!$N$3,tabela_registros[TIPO],DADOS!$V$3,tabela_registros[CATEGORIA],investirrendavariávelconsolidadoset[[#This Row],[ATUAL]])</calculatedColumnFormula>
    </tableColumn>
    <tableColumn id="27" xr3:uid="{E7C6E17F-0122-4EEA-A502-AF13F0C3B833}" name="26" totalsRowFunction="sum" dataDxfId="2619" totalsRowDxfId="2618" dataCellStyle="Moeda">
      <calculatedColumnFormula>SUMIFS(tabela_registros[VALOR],tabela_registros[MÊS],$AE$1,tabela_registros[DIA],investirrendavariávelconsolidadoset[[#Headers],[26]],tabela_registros[REGISTRO],DADOS!$N$3,tabela_registros[TIPO],DADOS!$V$3,tabela_registros[CATEGORIA],investirrendavariávelconsolidadoset[[#This Row],[ATUAL]])</calculatedColumnFormula>
    </tableColumn>
    <tableColumn id="28" xr3:uid="{7E685EB5-0950-4A3C-90B5-03145423A2E9}" name="27" totalsRowFunction="sum" dataDxfId="2617" totalsRowDxfId="2616" dataCellStyle="Moeda">
      <calculatedColumnFormula>SUMIFS(tabela_registros[VALOR],tabela_registros[MÊS],$AE$1,tabela_registros[DIA],investirrendavariávelconsolidadoset[[#Headers],[27]],tabela_registros[REGISTRO],DADOS!$N$3,tabela_registros[TIPO],DADOS!$V$3,tabela_registros[CATEGORIA],investirrendavariávelconsolidadoset[[#This Row],[ATUAL]])</calculatedColumnFormula>
    </tableColumn>
    <tableColumn id="29" xr3:uid="{65821A99-15F5-45A2-AD47-D5D1FF65B173}" name="28" totalsRowFunction="sum" dataDxfId="2615" totalsRowDxfId="2614" dataCellStyle="Moeda">
      <calculatedColumnFormula>SUMIFS(tabela_registros[VALOR],tabela_registros[MÊS],$AE$1,tabela_registros[DIA],investirrendavariávelconsolidadoset[[#Headers],[28]],tabela_registros[REGISTRO],DADOS!$N$3,tabela_registros[TIPO],DADOS!$V$3,tabela_registros[CATEGORIA],investirrendavariávelconsolidadoset[[#This Row],[ATUAL]])</calculatedColumnFormula>
    </tableColumn>
    <tableColumn id="30" xr3:uid="{5B4EC41D-666E-4126-B725-4EECF1342454}" name="29" totalsRowFunction="sum" dataDxfId="2613" totalsRowDxfId="2612" dataCellStyle="Moeda">
      <calculatedColumnFormula>SUMIFS(tabela_registros[VALOR],tabela_registros[MÊS],$AE$1,tabela_registros[DIA],investirrendavariávelconsolidadoset[[#Headers],[29]],tabela_registros[REGISTRO],DADOS!$N$3,tabela_registros[TIPO],DADOS!$V$3,tabela_registros[CATEGORIA],investirrendavariávelconsolidadoset[[#This Row],[ATUAL]])</calculatedColumnFormula>
    </tableColumn>
    <tableColumn id="31" xr3:uid="{C83B295D-FC3C-4F55-B2A6-5A8F352EA4CA}" name="30" totalsRowFunction="sum" dataDxfId="2611" totalsRowDxfId="2610" dataCellStyle="Moeda">
      <calculatedColumnFormula>SUMIFS(tabela_registros[VALOR],tabela_registros[MÊS],$AE$1,tabela_registros[DIA],investirrendavariávelconsolidadoset[[#Headers],[30]],tabela_registros[REGISTRO],DADOS!$N$3,tabela_registros[TIPO],DADOS!$V$3,tabela_registros[CATEGORIA],investirrendavariávelconsolidadoset[[#This Row],[ATUAL]])</calculatedColumnFormula>
    </tableColumn>
    <tableColumn id="32" xr3:uid="{BCD1A488-8C97-4E2E-8717-FECCFC42BD65}" name="31" totalsRowFunction="sum" dataDxfId="2609" totalsRowDxfId="2608" dataCellStyle="Moeda">
      <calculatedColumnFormula>SUMIFS(tabela_registros[VALOR],tabela_registros[MÊS],$AE$1,tabela_registros[DIA],investirrendavariávelconsolidadoset[[#Headers],[31]],tabela_registros[REGISTRO],DADOS!$N$3,tabela_registros[TIPO],DADOS!$V$3,tabela_registros[CATEGORIA],investirrendavariávelconsolidadoset[[#This Row],[ATUAL]])</calculatedColumnFormula>
    </tableColumn>
    <tableColumn id="33" xr3:uid="{0319EAAF-B19F-4E29-93E6-3515D191273B}" name="TOTAL (R$)" totalsRowFunction="sum" dataDxfId="2607" dataCellStyle="Moeda">
      <calculatedColumnFormula>SUM(investirrendavariávelconsolidadoset[[#This Row],[1]:[31]])</calculatedColumnFormula>
    </tableColumn>
  </tableColumns>
  <tableStyleInfo name="TABELAS RESULTADOS" showFirstColumn="0" showLastColumn="0" showRowStripes="1" showColumnStripes="0"/>
</table>
</file>

<file path=xl/tables/table1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2" xr:uid="{51F49B80-E9F1-49ED-BCC5-E570A618F6A5}" name="investiroutrosconsolidadoset" displayName="investiroutrosconsolidadoset" ref="C150:AJ159" headerRowDxfId="2606" dataDxfId="2605" totalsRowDxfId="2604">
  <autoFilter ref="C150:AJ159" xr:uid="{6183CEF1-477D-4448-9404-9007701FBB5F}"/>
  <tableColumns count="34">
    <tableColumn id="1" xr3:uid="{F7B3C04F-C878-45E9-A92B-86CF67BF563C}" name="ATUAL" totalsRowLabel="SALDO" dataDxfId="2603"/>
    <tableColumn id="34" xr3:uid="{A0F3B578-B639-4C4B-B2F8-3B539486B90D}" name="Coluna1" dataDxfId="2602" totalsRowDxfId="2601">
      <calculatedColumnFormula>IF(investiroutrosconsolidadoset[[#This Row],[TOTAL (R$)]]=0,"",IF(OR(investiroutrosconsolidadoset[[#This Row],[TOTAL (R$)]]=LARGE($AJ$151:$AJ$158,1),investiroutrosconsolidadoset[[#This Row],[TOTAL (R$)]]=LARGE($AJ$151:$AJ$158,2)),DADOS!$I$10,""))</calculatedColumnFormula>
    </tableColumn>
    <tableColumn id="2" xr3:uid="{60358BDF-56F9-4F2B-8482-518834261221}" name="1" totalsRowFunction="sum" dataDxfId="2600" dataCellStyle="Moeda"/>
    <tableColumn id="3" xr3:uid="{710D98FC-BD06-49D1-AC73-B785CCACAA1A}" name="2" totalsRowFunction="sum" dataDxfId="2599" dataCellStyle="Moeda">
      <calculatedColumnFormula>SUMIFS(tabela_registros[VALOR],tabela_registros[MÊS],$AE$1,tabela_registros[DIA],investiroutrosconsolidadoset[[#Headers],[2]],tabela_registros[REGISTRO],DADOS!$N$3,tabela_registros[TIPO],DADOS!$V$3,tabela_registros[CATEGORIA],investiroutrosconsolidadoset[[#This Row],[ATUAL]])</calculatedColumnFormula>
    </tableColumn>
    <tableColumn id="4" xr3:uid="{EB99B769-4DD2-4B51-AAD3-34A2A6FAD42A}" name="3" totalsRowFunction="sum" dataDxfId="2598" totalsRowDxfId="2597" dataCellStyle="Moeda">
      <calculatedColumnFormula>SUMIFS(tabela_registros[VALOR],tabela_registros[MÊS],$AE$1,tabela_registros[DIA],investiroutrosconsolidadoset[[#Headers],[3]],tabela_registros[REGISTRO],DADOS!$N$3,tabela_registros[TIPO],DADOS!$V$3,tabela_registros[CATEGORIA],investiroutrosconsolidadoset[[#This Row],[ATUAL]])</calculatedColumnFormula>
    </tableColumn>
    <tableColumn id="5" xr3:uid="{734A70ED-C901-4075-A92B-79BD0F5DEC23}" name="4" totalsRowFunction="sum" dataDxfId="2596" totalsRowDxfId="2595" dataCellStyle="Moeda">
      <calculatedColumnFormula>SUMIFS(tabela_registros[VALOR],tabela_registros[MÊS],$AE$1,tabela_registros[DIA],investiroutrosconsolidadoset[[#Headers],[4]],tabela_registros[REGISTRO],DADOS!$N$3,tabela_registros[TIPO],DADOS!$V$3,tabela_registros[CATEGORIA],investiroutrosconsolidadoset[[#This Row],[ATUAL]])</calculatedColumnFormula>
    </tableColumn>
    <tableColumn id="6" xr3:uid="{FCB96BDE-5EC8-4803-B0B7-0FAAB8BB3CBB}" name="5" totalsRowFunction="sum" dataDxfId="2594" totalsRowDxfId="2593" dataCellStyle="Moeda">
      <calculatedColumnFormula>SUMIFS(tabela_registros[VALOR],tabela_registros[MÊS],$AE$1,tabela_registros[DIA],investiroutrosconsolidadoset[[#Headers],[5]],tabela_registros[REGISTRO],DADOS!$N$3,tabela_registros[TIPO],DADOS!$V$3,tabela_registros[CATEGORIA],investiroutrosconsolidadoset[[#This Row],[ATUAL]])</calculatedColumnFormula>
    </tableColumn>
    <tableColumn id="7" xr3:uid="{6F8606AE-A7D6-4DFB-A95E-0BCF421E526F}" name="6" totalsRowFunction="sum" dataDxfId="2592" totalsRowDxfId="2591" dataCellStyle="Moeda">
      <calculatedColumnFormula>SUMIFS(tabela_registros[VALOR],tabela_registros[MÊS],$AE$1,tabela_registros[DIA],investiroutrosconsolidadoset[[#Headers],[6]],tabela_registros[REGISTRO],DADOS!$N$3,tabela_registros[TIPO],DADOS!$V$3,tabela_registros[CATEGORIA],investiroutrosconsolidadoset[[#This Row],[ATUAL]])</calculatedColumnFormula>
    </tableColumn>
    <tableColumn id="8" xr3:uid="{C628CCB7-F388-45B0-9072-6B65705F18E9}" name="7" totalsRowFunction="sum" dataDxfId="2590" totalsRowDxfId="2589" dataCellStyle="Moeda">
      <calculatedColumnFormula>SUMIFS(tabela_registros[VALOR],tabela_registros[MÊS],$AE$1,tabela_registros[DIA],investiroutrosconsolidadoset[[#Headers],[7]],tabela_registros[REGISTRO],DADOS!$N$3,tabela_registros[TIPO],DADOS!$V$3,tabela_registros[CATEGORIA],investiroutrosconsolidadoset[[#This Row],[ATUAL]])</calculatedColumnFormula>
    </tableColumn>
    <tableColumn id="9" xr3:uid="{D754D98F-FF2A-4301-A1C1-3E71034C09CB}" name="8" totalsRowFunction="sum" dataDxfId="2588" totalsRowDxfId="2587" dataCellStyle="Moeda">
      <calculatedColumnFormula>SUMIFS(tabela_registros[VALOR],tabela_registros[MÊS],$AE$1,tabela_registros[DIA],investiroutrosconsolidadoset[[#Headers],[8]],tabela_registros[REGISTRO],DADOS!$N$3,tabela_registros[TIPO],DADOS!$V$3,tabela_registros[CATEGORIA],investiroutrosconsolidadoset[[#This Row],[ATUAL]])</calculatedColumnFormula>
    </tableColumn>
    <tableColumn id="10" xr3:uid="{CAC03B9B-A372-43E3-A623-E620AE8752FC}" name="9" totalsRowFunction="sum" dataDxfId="2586" totalsRowDxfId="2585" dataCellStyle="Moeda">
      <calculatedColumnFormula>SUMIFS(tabela_registros[VALOR],tabela_registros[MÊS],$AE$1,tabela_registros[DIA],investiroutrosconsolidadoset[[#Headers],[9]],tabela_registros[REGISTRO],DADOS!$N$3,tabela_registros[TIPO],DADOS!$V$3,tabela_registros[CATEGORIA],investiroutrosconsolidadoset[[#This Row],[ATUAL]])</calculatedColumnFormula>
    </tableColumn>
    <tableColumn id="11" xr3:uid="{4E506E32-FC00-4C15-AD38-F401A2F4B9B6}" name="10" totalsRowFunction="sum" dataDxfId="2584" totalsRowDxfId="2583" dataCellStyle="Moeda">
      <calculatedColumnFormula>SUMIFS(tabela_registros[VALOR],tabela_registros[MÊS],$AE$1,tabela_registros[DIA],investiroutrosconsolidadoset[[#Headers],[10]],tabela_registros[REGISTRO],DADOS!$N$3,tabela_registros[TIPO],DADOS!$V$3,tabela_registros[CATEGORIA],investiroutrosconsolidadoset[[#This Row],[ATUAL]])</calculatedColumnFormula>
    </tableColumn>
    <tableColumn id="12" xr3:uid="{7112F095-9161-4BBB-B4A2-9739F0B56F17}" name="11" totalsRowFunction="sum" dataDxfId="2582" totalsRowDxfId="2581" dataCellStyle="Moeda">
      <calculatedColumnFormula>SUMIFS(tabela_registros[VALOR],tabela_registros[MÊS],$AE$1,tabela_registros[DIA],investiroutrosconsolidadoset[[#Headers],[11]],tabela_registros[REGISTRO],DADOS!$N$3,tabela_registros[TIPO],DADOS!$V$3,tabela_registros[CATEGORIA],investiroutrosconsolidadoset[[#This Row],[ATUAL]])</calculatedColumnFormula>
    </tableColumn>
    <tableColumn id="13" xr3:uid="{C55F5BBE-885B-48D3-9C76-35D46903B5BD}" name="12" totalsRowFunction="sum" dataDxfId="2580" totalsRowDxfId="2579" dataCellStyle="Moeda">
      <calculatedColumnFormula>SUMIFS(tabela_registros[VALOR],tabela_registros[MÊS],$AE$1,tabela_registros[DIA],investiroutrosconsolidadoset[[#Headers],[12]],tabela_registros[REGISTRO],DADOS!$N$3,tabela_registros[TIPO],DADOS!$V$3,tabela_registros[CATEGORIA],investiroutrosconsolidadoset[[#This Row],[ATUAL]])</calculatedColumnFormula>
    </tableColumn>
    <tableColumn id="14" xr3:uid="{507CBD2C-E069-4962-B10A-B76593A48372}" name="13" totalsRowFunction="sum" dataDxfId="2578" totalsRowDxfId="2577" dataCellStyle="Moeda">
      <calculatedColumnFormula>SUMIFS(tabela_registros[VALOR],tabela_registros[MÊS],$AE$1,tabela_registros[DIA],investiroutrosconsolidadoset[[#Headers],[13]],tabela_registros[REGISTRO],DADOS!$N$3,tabela_registros[TIPO],DADOS!$V$3,tabela_registros[CATEGORIA],investiroutrosconsolidadoset[[#This Row],[ATUAL]])</calculatedColumnFormula>
    </tableColumn>
    <tableColumn id="15" xr3:uid="{C6502B49-B8D3-495B-B56F-9F43F8E76FD7}" name="14" totalsRowFunction="sum" dataDxfId="2576" totalsRowDxfId="2575" dataCellStyle="Moeda">
      <calculatedColumnFormula>SUMIFS(tabela_registros[VALOR],tabela_registros[MÊS],$AE$1,tabela_registros[DIA],investiroutrosconsolidadoset[[#Headers],[14]],tabela_registros[REGISTRO],DADOS!$N$3,tabela_registros[TIPO],DADOS!$V$3,tabela_registros[CATEGORIA],investiroutrosconsolidadoset[[#This Row],[ATUAL]])</calculatedColumnFormula>
    </tableColumn>
    <tableColumn id="16" xr3:uid="{7A5A9B05-6750-4263-8B6C-A1BA92DCB498}" name="15" totalsRowFunction="sum" dataDxfId="2574" totalsRowDxfId="2573" dataCellStyle="Moeda">
      <calculatedColumnFormula>SUMIFS(tabela_registros[VALOR],tabela_registros[MÊS],$AE$1,tabela_registros[DIA],investiroutrosconsolidadoset[[#Headers],[15]],tabela_registros[REGISTRO],DADOS!$N$3,tabela_registros[TIPO],DADOS!$V$3,tabela_registros[CATEGORIA],investiroutrosconsolidadoset[[#This Row],[ATUAL]])</calculatedColumnFormula>
    </tableColumn>
    <tableColumn id="17" xr3:uid="{EFC65084-5B49-4272-B52A-B4112F35D008}" name="16" totalsRowFunction="sum" dataDxfId="2572" totalsRowDxfId="2571" dataCellStyle="Moeda">
      <calculatedColumnFormula>SUMIFS(tabela_registros[VALOR],tabela_registros[MÊS],$AE$1,tabela_registros[DIA],investiroutrosconsolidadoset[[#Headers],[16]],tabela_registros[REGISTRO],DADOS!$N$3,tabela_registros[TIPO],DADOS!$V$3,tabela_registros[CATEGORIA],investiroutrosconsolidadoset[[#This Row],[ATUAL]])</calculatedColumnFormula>
    </tableColumn>
    <tableColumn id="18" xr3:uid="{523D6AA5-E395-470E-9045-4888078E52CF}" name="17" totalsRowFunction="sum" dataDxfId="2570" totalsRowDxfId="2569" dataCellStyle="Moeda">
      <calculatedColumnFormula>SUMIFS(tabela_registros[VALOR],tabela_registros[MÊS],$AE$1,tabela_registros[DIA],investiroutrosconsolidadoset[[#Headers],[17]],tabela_registros[REGISTRO],DADOS!$N$3,tabela_registros[TIPO],DADOS!$V$3,tabela_registros[CATEGORIA],investiroutrosconsolidadoset[[#This Row],[ATUAL]])</calculatedColumnFormula>
    </tableColumn>
    <tableColumn id="19" xr3:uid="{F591E925-BD2A-4E97-90C6-64C8EF4630FB}" name="18" totalsRowFunction="sum" dataDxfId="2568" totalsRowDxfId="2567" dataCellStyle="Moeda">
      <calculatedColumnFormula>SUMIFS(tabela_registros[VALOR],tabela_registros[MÊS],$AE$1,tabela_registros[DIA],investiroutrosconsolidadoset[[#Headers],[18]],tabela_registros[REGISTRO],DADOS!$N$3,tabela_registros[TIPO],DADOS!$V$3,tabela_registros[CATEGORIA],investiroutrosconsolidadoset[[#This Row],[ATUAL]])</calculatedColumnFormula>
    </tableColumn>
    <tableColumn id="20" xr3:uid="{57144A58-6B40-442A-8EE1-F457D014F995}" name="19" totalsRowFunction="sum" dataDxfId="2566" totalsRowDxfId="2565" dataCellStyle="Moeda">
      <calculatedColumnFormula>SUMIFS(tabela_registros[VALOR],tabela_registros[MÊS],$AE$1,tabela_registros[DIA],investiroutrosconsolidadoset[[#Headers],[19]],tabela_registros[REGISTRO],DADOS!$N$3,tabela_registros[TIPO],DADOS!$V$3,tabela_registros[CATEGORIA],investiroutrosconsolidadoset[[#This Row],[ATUAL]])</calculatedColumnFormula>
    </tableColumn>
    <tableColumn id="21" xr3:uid="{BB44F34C-0262-4E1A-9A66-69E86935049D}" name="20" totalsRowFunction="sum" dataDxfId="2564" totalsRowDxfId="2563" dataCellStyle="Moeda">
      <calculatedColumnFormula>SUMIFS(tabela_registros[VALOR],tabela_registros[MÊS],$AE$1,tabela_registros[DIA],investiroutrosconsolidadoset[[#Headers],[20]],tabela_registros[REGISTRO],DADOS!$N$3,tabela_registros[TIPO],DADOS!$V$3,tabela_registros[CATEGORIA],investiroutrosconsolidadoset[[#This Row],[ATUAL]])</calculatedColumnFormula>
    </tableColumn>
    <tableColumn id="22" xr3:uid="{638A7BC2-ED68-4F1E-9CBE-DA4D8957D004}" name="21" totalsRowFunction="sum" dataDxfId="2562" totalsRowDxfId="2561" dataCellStyle="Moeda">
      <calculatedColumnFormula>SUMIFS(tabela_registros[VALOR],tabela_registros[MÊS],$AE$1,tabela_registros[DIA],investiroutrosconsolidadoset[[#Headers],[21]],tabela_registros[REGISTRO],DADOS!$N$3,tabela_registros[TIPO],DADOS!$V$3,tabela_registros[CATEGORIA],investiroutrosconsolidadoset[[#This Row],[ATUAL]])</calculatedColumnFormula>
    </tableColumn>
    <tableColumn id="23" xr3:uid="{B69AD290-47F8-4E75-8EDF-F49ECC2F6312}" name="22" totalsRowFunction="sum" dataDxfId="2560" totalsRowDxfId="2559" dataCellStyle="Moeda">
      <calculatedColumnFormula>SUMIFS(tabela_registros[VALOR],tabela_registros[MÊS],$AE$1,tabela_registros[DIA],investiroutrosconsolidadoset[[#Headers],[22]],tabela_registros[REGISTRO],DADOS!$N$3,tabela_registros[TIPO],DADOS!$V$3,tabela_registros[CATEGORIA],investiroutrosconsolidadoset[[#This Row],[ATUAL]])</calculatedColumnFormula>
    </tableColumn>
    <tableColumn id="24" xr3:uid="{FB21EBD1-28EF-4066-82AD-172D541CEA77}" name="23" totalsRowFunction="sum" dataDxfId="2558" totalsRowDxfId="2557" dataCellStyle="Moeda">
      <calculatedColumnFormula>SUMIFS(tabela_registros[VALOR],tabela_registros[MÊS],$AE$1,tabela_registros[DIA],investiroutrosconsolidadoset[[#Headers],[23]],tabela_registros[REGISTRO],DADOS!$N$3,tabela_registros[TIPO],DADOS!$V$3,tabela_registros[CATEGORIA],investiroutrosconsolidadoset[[#This Row],[ATUAL]])</calculatedColumnFormula>
    </tableColumn>
    <tableColumn id="25" xr3:uid="{9D95B166-8A2C-4474-B05C-8226EBE58D15}" name="24" totalsRowFunction="sum" dataDxfId="2556" totalsRowDxfId="2555" dataCellStyle="Moeda">
      <calculatedColumnFormula>SUMIFS(tabela_registros[VALOR],tabela_registros[MÊS],$AE$1,tabela_registros[DIA],investiroutrosconsolidadoset[[#Headers],[24]],tabela_registros[REGISTRO],DADOS!$N$3,tabela_registros[TIPO],DADOS!$V$3,tabela_registros[CATEGORIA],investiroutrosconsolidadoset[[#This Row],[ATUAL]])</calculatedColumnFormula>
    </tableColumn>
    <tableColumn id="26" xr3:uid="{0B9669A2-D177-43EB-84E7-D3C2C45ECE97}" name="25" totalsRowFunction="sum" dataDxfId="2554" totalsRowDxfId="2553" dataCellStyle="Moeda">
      <calculatedColumnFormula>SUMIFS(tabela_registros[VALOR],tabela_registros[MÊS],$AE$1,tabela_registros[DIA],investiroutrosconsolidadoset[[#Headers],[25]],tabela_registros[REGISTRO],DADOS!$N$3,tabela_registros[TIPO],DADOS!$V$3,tabela_registros[CATEGORIA],investiroutrosconsolidadoset[[#This Row],[ATUAL]])</calculatedColumnFormula>
    </tableColumn>
    <tableColumn id="27" xr3:uid="{BE76F726-E6AE-4D8C-9FD1-71EEA61A2C7A}" name="26" totalsRowFunction="sum" dataDxfId="2552" totalsRowDxfId="2551" dataCellStyle="Moeda">
      <calculatedColumnFormula>SUMIFS(tabela_registros[VALOR],tabela_registros[MÊS],$AE$1,tabela_registros[DIA],investiroutrosconsolidadoset[[#Headers],[26]],tabela_registros[REGISTRO],DADOS!$N$3,tabela_registros[TIPO],DADOS!$V$3,tabela_registros[CATEGORIA],investiroutrosconsolidadoset[[#This Row],[ATUAL]])</calculatedColumnFormula>
    </tableColumn>
    <tableColumn id="28" xr3:uid="{47C5A81E-DCB7-40F3-B2B5-E4F55562BEEC}" name="27" totalsRowFunction="sum" dataDxfId="2550" totalsRowDxfId="2549" dataCellStyle="Moeda">
      <calculatedColumnFormula>SUMIFS(tabela_registros[VALOR],tabela_registros[MÊS],$AE$1,tabela_registros[DIA],investiroutrosconsolidadoset[[#Headers],[27]],tabela_registros[REGISTRO],DADOS!$N$3,tabela_registros[TIPO],DADOS!$V$3,tabela_registros[CATEGORIA],investiroutrosconsolidadoset[[#This Row],[ATUAL]])</calculatedColumnFormula>
    </tableColumn>
    <tableColumn id="29" xr3:uid="{8E845928-8F21-4560-BA35-BBA6FED8575B}" name="28" totalsRowFunction="sum" dataDxfId="2548" totalsRowDxfId="2547" dataCellStyle="Moeda">
      <calculatedColumnFormula>SUMIFS(tabela_registros[VALOR],tabela_registros[MÊS],$AE$1,tabela_registros[DIA],investiroutrosconsolidadoset[[#Headers],[28]],tabela_registros[REGISTRO],DADOS!$N$3,tabela_registros[TIPO],DADOS!$V$3,tabela_registros[CATEGORIA],investiroutrosconsolidadoset[[#This Row],[ATUAL]])</calculatedColumnFormula>
    </tableColumn>
    <tableColumn id="30" xr3:uid="{ABF505A5-40A5-4438-8DB6-BCB4F45DC09C}" name="29" totalsRowFunction="sum" dataDxfId="2546" totalsRowDxfId="2545" dataCellStyle="Moeda">
      <calculatedColumnFormula>SUMIFS(tabela_registros[VALOR],tabela_registros[MÊS],$AE$1,tabela_registros[DIA],investiroutrosconsolidadoset[[#Headers],[29]],tabela_registros[REGISTRO],DADOS!$N$3,tabela_registros[TIPO],DADOS!$V$3,tabela_registros[CATEGORIA],investiroutrosconsolidadoset[[#This Row],[ATUAL]])</calculatedColumnFormula>
    </tableColumn>
    <tableColumn id="31" xr3:uid="{85271AF2-77C7-4F35-9718-81AA6BEBC8AD}" name="30" totalsRowFunction="sum" dataDxfId="2544" totalsRowDxfId="2543" dataCellStyle="Moeda">
      <calculatedColumnFormula>SUMIFS(tabela_registros[VALOR],tabela_registros[MÊS],$AE$1,tabela_registros[DIA],investiroutrosconsolidadoset[[#Headers],[30]],tabela_registros[REGISTRO],DADOS!$N$3,tabela_registros[TIPO],DADOS!$V$3,tabela_registros[CATEGORIA],investiroutrosconsolidadoset[[#This Row],[ATUAL]])</calculatedColumnFormula>
    </tableColumn>
    <tableColumn id="32" xr3:uid="{A19D1F7F-577F-4567-BF89-71AC3C27C0D6}" name="31" totalsRowFunction="sum" dataDxfId="2542" totalsRowDxfId="2541" dataCellStyle="Moeda">
      <calculatedColumnFormula>SUMIFS(tabela_registros[VALOR],tabela_registros[MÊS],$AE$1,tabela_registros[DIA],investiroutrosconsolidadoset[[#Headers],[31]],tabela_registros[REGISTRO],DADOS!$N$3,tabela_registros[TIPO],DADOS!$V$3,tabela_registros[CATEGORIA],investiroutrosconsolidadoset[[#This Row],[ATUAL]])</calculatedColumnFormula>
    </tableColumn>
    <tableColumn id="33" xr3:uid="{2CE63465-E930-4BCF-80B4-984980317804}" name="TOTAL (R$)" totalsRowFunction="sum" dataDxfId="2540" dataCellStyle="Moeda">
      <calculatedColumnFormula>SUM(investiroutrosconsolidadoset[[#This Row],[1]:[31]])</calculatedColumnFormula>
    </tableColumn>
  </tableColumns>
  <tableStyleInfo name="TABELAS RESULTADOS" showFirstColumn="0" showLastColumn="0" showRowStripes="1" showColumnStripes="0"/>
</table>
</file>

<file path=xl/tables/table1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3" xr:uid="{01154587-153D-4920-B184-D40784B430AF}" name="reservafixaconsolidadoset" displayName="reservafixaconsolidadoset" ref="C167:AJ178" headerRowDxfId="2539" dataDxfId="2538" totalsRowDxfId="2537">
  <autoFilter ref="C167:AJ178" xr:uid="{CDBD73CF-1633-4509-BA0C-4B73FF7E50BA}"/>
  <tableColumns count="34">
    <tableColumn id="1" xr3:uid="{94C6B4CD-149A-45D2-9566-3EC2A6DDFF3F}" name="ATUAL" totalsRowLabel="SALDO" dataDxfId="2536"/>
    <tableColumn id="34" xr3:uid="{9E81D4A8-331B-46CA-AF5F-C26FCE0D6591}" name="Coluna1" dataDxfId="2535" totalsRowDxfId="2534">
      <calculatedColumnFormula>IF(reservafixaconsolidadoset[[#This Row],[TOTAL (R$)]]=0,"",IF(OR(reservafixaconsolidadoset[[#This Row],[TOTAL (R$)]]=LARGE($AJ$168:$AJ$177,1),reservafixaconsolidadoset[[#This Row],[TOTAL (R$)]]=LARGE($AJ$168:$AJ$177,2)),DADOS!$I$11,""))</calculatedColumnFormula>
    </tableColumn>
    <tableColumn id="2" xr3:uid="{A2465003-F30B-4339-81E9-DCC414BD54D6}" name="1" totalsRowFunction="sum" dataDxfId="2533" dataCellStyle="Moeda"/>
    <tableColumn id="3" xr3:uid="{C45FA233-9266-47B7-A576-9B08884A89A2}" name="2" totalsRowFunction="sum" dataDxfId="2532" dataCellStyle="Moeda">
      <calculatedColumnFormula>SUMIFS(tabela_registros[VALOR],tabela_registros[MÊS],$AE$1,tabela_registros[DIA],reservafixaconsolidadoset[[#Headers],[2]],tabela_registros[REGISTRO],DADOS!$N$3,tabela_registros[TIPO],DADOS!$V$3,tabela_registros[CATEGORIA],reservafixaconsolidadoset[[#This Row],[ATUAL]])</calculatedColumnFormula>
    </tableColumn>
    <tableColumn id="4" xr3:uid="{8249BCFC-549F-431E-92EE-7C4BE60C9996}" name="3" totalsRowFunction="sum" dataDxfId="2531" totalsRowDxfId="2530" dataCellStyle="Moeda">
      <calculatedColumnFormula>SUMIFS(tabela_registros[VALOR],tabela_registros[MÊS],$AE$1,tabela_registros[DIA],reservafixaconsolidadoset[[#Headers],[3]],tabela_registros[REGISTRO],DADOS!$N$3,tabela_registros[TIPO],DADOS!$V$3,tabela_registros[CATEGORIA],reservafixaconsolidadoset[[#This Row],[ATUAL]])</calculatedColumnFormula>
    </tableColumn>
    <tableColumn id="5" xr3:uid="{21C66DB7-B866-45C8-A17C-6E4A379269D3}" name="4" totalsRowFunction="sum" dataDxfId="2529" totalsRowDxfId="2528" dataCellStyle="Moeda">
      <calculatedColumnFormula>SUMIFS(tabela_registros[VALOR],tabela_registros[MÊS],$AE$1,tabela_registros[DIA],reservafixaconsolidadoset[[#Headers],[4]],tabela_registros[REGISTRO],DADOS!$N$3,tabela_registros[TIPO],DADOS!$V$3,tabela_registros[CATEGORIA],reservafixaconsolidadoset[[#This Row],[ATUAL]])</calculatedColumnFormula>
    </tableColumn>
    <tableColumn id="6" xr3:uid="{6EBAE03F-7B18-4577-B875-C15C9DE9EFA8}" name="5" totalsRowFunction="sum" dataDxfId="2527" totalsRowDxfId="2526" dataCellStyle="Moeda">
      <calculatedColumnFormula>SUMIFS(tabela_registros[VALOR],tabela_registros[MÊS],$AE$1,tabela_registros[DIA],reservafixaconsolidadoset[[#Headers],[5]],tabela_registros[REGISTRO],DADOS!$N$3,tabela_registros[TIPO],DADOS!$V$3,tabela_registros[CATEGORIA],reservafixaconsolidadoset[[#This Row],[ATUAL]])</calculatedColumnFormula>
    </tableColumn>
    <tableColumn id="7" xr3:uid="{726C9839-0897-4F82-B73B-E76D18DDBEF6}" name="6" totalsRowFunction="sum" dataDxfId="2525" totalsRowDxfId="2524" dataCellStyle="Moeda">
      <calculatedColumnFormula>SUMIFS(tabela_registros[VALOR],tabela_registros[MÊS],$AE$1,tabela_registros[DIA],reservafixaconsolidadoset[[#Headers],[6]],tabela_registros[REGISTRO],DADOS!$N$3,tabela_registros[TIPO],DADOS!$V$3,tabela_registros[CATEGORIA],reservafixaconsolidadoset[[#This Row],[ATUAL]])</calculatedColumnFormula>
    </tableColumn>
    <tableColumn id="8" xr3:uid="{6A3FC26D-5ADF-4E25-91D4-522CBEAAB09A}" name="7" totalsRowFunction="sum" dataDxfId="2523" totalsRowDxfId="2522" dataCellStyle="Moeda">
      <calculatedColumnFormula>SUMIFS(tabela_registros[VALOR],tabela_registros[MÊS],$AE$1,tabela_registros[DIA],reservafixaconsolidadoset[[#Headers],[7]],tabela_registros[REGISTRO],DADOS!$N$3,tabela_registros[TIPO],DADOS!$V$3,tabela_registros[CATEGORIA],reservafixaconsolidadoset[[#This Row],[ATUAL]])</calculatedColumnFormula>
    </tableColumn>
    <tableColumn id="9" xr3:uid="{8D40C156-0234-4E9C-A907-A1CA8D2EAC76}" name="8" totalsRowFunction="sum" dataDxfId="2521" totalsRowDxfId="2520" dataCellStyle="Moeda">
      <calculatedColumnFormula>SUMIFS(tabela_registros[VALOR],tabela_registros[MÊS],$AE$1,tabela_registros[DIA],reservafixaconsolidadoset[[#Headers],[8]],tabela_registros[REGISTRO],DADOS!$N$3,tabela_registros[TIPO],DADOS!$V$3,tabela_registros[CATEGORIA],reservafixaconsolidadoset[[#This Row],[ATUAL]])</calculatedColumnFormula>
    </tableColumn>
    <tableColumn id="10" xr3:uid="{6534F8A9-8943-4122-A3E4-5A7DEC523747}" name="9" totalsRowFunction="sum" dataDxfId="2519" totalsRowDxfId="2518" dataCellStyle="Moeda">
      <calculatedColumnFormula>SUMIFS(tabela_registros[VALOR],tabela_registros[MÊS],$AE$1,tabela_registros[DIA],reservafixaconsolidadoset[[#Headers],[9]],tabela_registros[REGISTRO],DADOS!$N$3,tabela_registros[TIPO],DADOS!$V$3,tabela_registros[CATEGORIA],reservafixaconsolidadoset[[#This Row],[ATUAL]])</calculatedColumnFormula>
    </tableColumn>
    <tableColumn id="11" xr3:uid="{C12E1142-AB27-4B87-9A8E-F399739B5142}" name="10" totalsRowFunction="sum" dataDxfId="2517" totalsRowDxfId="2516" dataCellStyle="Moeda">
      <calculatedColumnFormula>SUMIFS(tabela_registros[VALOR],tabela_registros[MÊS],$AE$1,tabela_registros[DIA],reservafixaconsolidadoset[[#Headers],[10]],tabela_registros[REGISTRO],DADOS!$N$3,tabela_registros[TIPO],DADOS!$V$3,tabela_registros[CATEGORIA],reservafixaconsolidadoset[[#This Row],[ATUAL]])</calculatedColumnFormula>
    </tableColumn>
    <tableColumn id="12" xr3:uid="{B2977786-1B24-4DA7-9BB8-F9A7FFCB264A}" name="11" totalsRowFunction="sum" dataDxfId="2515" totalsRowDxfId="2514" dataCellStyle="Moeda">
      <calculatedColumnFormula>SUMIFS(tabela_registros[VALOR],tabela_registros[MÊS],$AE$1,tabela_registros[DIA],reservafixaconsolidadoset[[#Headers],[11]],tabela_registros[REGISTRO],DADOS!$N$3,tabela_registros[TIPO],DADOS!$V$3,tabela_registros[CATEGORIA],reservafixaconsolidadoset[[#This Row],[ATUAL]])</calculatedColumnFormula>
    </tableColumn>
    <tableColumn id="13" xr3:uid="{DDA359B4-A4F7-4EEE-9D6E-743651D2D488}" name="12" totalsRowFunction="sum" dataDxfId="2513" totalsRowDxfId="2512" dataCellStyle="Moeda">
      <calculatedColumnFormula>SUMIFS(tabela_registros[VALOR],tabela_registros[MÊS],$AE$1,tabela_registros[DIA],reservafixaconsolidadoset[[#Headers],[12]],tabela_registros[REGISTRO],DADOS!$N$3,tabela_registros[TIPO],DADOS!$V$3,tabela_registros[CATEGORIA],reservafixaconsolidadoset[[#This Row],[ATUAL]])</calculatedColumnFormula>
    </tableColumn>
    <tableColumn id="14" xr3:uid="{AFCD89D8-A8AB-4B6D-AF0C-1D6A81922499}" name="13" totalsRowFunction="sum" dataDxfId="2511" totalsRowDxfId="2510" dataCellStyle="Moeda">
      <calculatedColumnFormula>SUMIFS(tabela_registros[VALOR],tabela_registros[MÊS],$AE$1,tabela_registros[DIA],reservafixaconsolidadoset[[#Headers],[13]],tabela_registros[REGISTRO],DADOS!$N$3,tabela_registros[TIPO],DADOS!$V$3,tabela_registros[CATEGORIA],reservafixaconsolidadoset[[#This Row],[ATUAL]])</calculatedColumnFormula>
    </tableColumn>
    <tableColumn id="15" xr3:uid="{73B779F5-2021-453C-A223-A5AC08042EEE}" name="14" totalsRowFunction="sum" dataDxfId="2509" totalsRowDxfId="2508" dataCellStyle="Moeda">
      <calculatedColumnFormula>SUMIFS(tabela_registros[VALOR],tabela_registros[MÊS],$AE$1,tabela_registros[DIA],reservafixaconsolidadoset[[#Headers],[14]],tabela_registros[REGISTRO],DADOS!$N$3,tabela_registros[TIPO],DADOS!$V$3,tabela_registros[CATEGORIA],reservafixaconsolidadoset[[#This Row],[ATUAL]])</calculatedColumnFormula>
    </tableColumn>
    <tableColumn id="16" xr3:uid="{063EEA8B-57B6-4A9B-8907-AB801A5D4E69}" name="15" totalsRowFunction="sum" dataDxfId="2507" totalsRowDxfId="2506" dataCellStyle="Moeda">
      <calculatedColumnFormula>SUMIFS(tabela_registros[VALOR],tabela_registros[MÊS],$AE$1,tabela_registros[DIA],reservafixaconsolidadoset[[#Headers],[15]],tabela_registros[REGISTRO],DADOS!$N$3,tabela_registros[TIPO],DADOS!$V$3,tabela_registros[CATEGORIA],reservafixaconsolidadoset[[#This Row],[ATUAL]])</calculatedColumnFormula>
    </tableColumn>
    <tableColumn id="17" xr3:uid="{2148507D-F220-4E71-8794-2ADE89F9E9DB}" name="16" totalsRowFunction="sum" dataDxfId="2505" totalsRowDxfId="2504" dataCellStyle="Moeda">
      <calculatedColumnFormula>SUMIFS(tabela_registros[VALOR],tabela_registros[MÊS],$AE$1,tabela_registros[DIA],reservafixaconsolidadoset[[#Headers],[16]],tabela_registros[REGISTRO],DADOS!$N$3,tabela_registros[TIPO],DADOS!$V$3,tabela_registros[CATEGORIA],reservafixaconsolidadoset[[#This Row],[ATUAL]])</calculatedColumnFormula>
    </tableColumn>
    <tableColumn id="18" xr3:uid="{EA2BC4B0-0C2C-49CC-A86E-CD1F8923CFD7}" name="17" totalsRowFunction="sum" dataDxfId="2503" totalsRowDxfId="2502" dataCellStyle="Moeda">
      <calculatedColumnFormula>SUMIFS(tabela_registros[VALOR],tabela_registros[MÊS],$AE$1,tabela_registros[DIA],reservafixaconsolidadoset[[#Headers],[17]],tabela_registros[REGISTRO],DADOS!$N$3,tabela_registros[TIPO],DADOS!$V$3,tabela_registros[CATEGORIA],reservafixaconsolidadoset[[#This Row],[ATUAL]])</calculatedColumnFormula>
    </tableColumn>
    <tableColumn id="19" xr3:uid="{D16781F1-E5A8-4018-8F72-6701AA995A94}" name="18" totalsRowFunction="sum" dataDxfId="2501" totalsRowDxfId="2500" dataCellStyle="Moeda">
      <calculatedColumnFormula>SUMIFS(tabela_registros[VALOR],tabela_registros[MÊS],$AE$1,tabela_registros[DIA],reservafixaconsolidadoset[[#Headers],[18]],tabela_registros[REGISTRO],DADOS!$N$3,tabela_registros[TIPO],DADOS!$V$3,tabela_registros[CATEGORIA],reservafixaconsolidadoset[[#This Row],[ATUAL]])</calculatedColumnFormula>
    </tableColumn>
    <tableColumn id="20" xr3:uid="{FAC57A1F-C19F-4FC1-A671-B9CFA85DE43F}" name="19" totalsRowFunction="sum" dataDxfId="2499" totalsRowDxfId="2498" dataCellStyle="Moeda">
      <calculatedColumnFormula>SUMIFS(tabela_registros[VALOR],tabela_registros[MÊS],$AE$1,tabela_registros[DIA],reservafixaconsolidadoset[[#Headers],[19]],tabela_registros[REGISTRO],DADOS!$N$3,tabela_registros[TIPO],DADOS!$V$3,tabela_registros[CATEGORIA],reservafixaconsolidadoset[[#This Row],[ATUAL]])</calculatedColumnFormula>
    </tableColumn>
    <tableColumn id="21" xr3:uid="{5EE039CC-FC28-48EA-A2F7-5B5B18A7A917}" name="20" totalsRowFunction="sum" dataDxfId="2497" totalsRowDxfId="2496" dataCellStyle="Moeda">
      <calculatedColumnFormula>SUMIFS(tabela_registros[VALOR],tabela_registros[MÊS],$AE$1,tabela_registros[DIA],reservafixaconsolidadoset[[#Headers],[20]],tabela_registros[REGISTRO],DADOS!$N$3,tabela_registros[TIPO],DADOS!$V$3,tabela_registros[CATEGORIA],reservafixaconsolidadoset[[#This Row],[ATUAL]])</calculatedColumnFormula>
    </tableColumn>
    <tableColumn id="22" xr3:uid="{DB918EA9-F6D8-4361-8DFC-833172E25B32}" name="21" totalsRowFunction="sum" dataDxfId="2495" totalsRowDxfId="2494" dataCellStyle="Moeda">
      <calculatedColumnFormula>SUMIFS(tabela_registros[VALOR],tabela_registros[MÊS],$AE$1,tabela_registros[DIA],reservafixaconsolidadoset[[#Headers],[21]],tabela_registros[REGISTRO],DADOS!$N$3,tabela_registros[TIPO],DADOS!$V$3,tabela_registros[CATEGORIA],reservafixaconsolidadoset[[#This Row],[ATUAL]])</calculatedColumnFormula>
    </tableColumn>
    <tableColumn id="23" xr3:uid="{C458D296-BAD8-4ADC-9F66-8E28104DF587}" name="22" totalsRowFunction="sum" dataDxfId="2493" totalsRowDxfId="2492" dataCellStyle="Moeda">
      <calculatedColumnFormula>SUMIFS(tabela_registros[VALOR],tabela_registros[MÊS],$AE$1,tabela_registros[DIA],reservafixaconsolidadoset[[#Headers],[22]],tabela_registros[REGISTRO],DADOS!$N$3,tabela_registros[TIPO],DADOS!$V$3,tabela_registros[CATEGORIA],reservafixaconsolidadoset[[#This Row],[ATUAL]])</calculatedColumnFormula>
    </tableColumn>
    <tableColumn id="24" xr3:uid="{3873F13F-4871-4CC5-BDE0-1D70D747E22C}" name="23" totalsRowFunction="sum" dataDxfId="2491" totalsRowDxfId="2490" dataCellStyle="Moeda">
      <calculatedColumnFormula>SUMIFS(tabela_registros[VALOR],tabela_registros[MÊS],$AE$1,tabela_registros[DIA],reservafixaconsolidadoset[[#Headers],[23]],tabela_registros[REGISTRO],DADOS!$N$3,tabela_registros[TIPO],DADOS!$V$3,tabela_registros[CATEGORIA],reservafixaconsolidadoset[[#This Row],[ATUAL]])</calculatedColumnFormula>
    </tableColumn>
    <tableColumn id="25" xr3:uid="{54A8DDAA-50E7-4F0A-9782-24F8AD96615A}" name="24" totalsRowFunction="sum" dataDxfId="2489" totalsRowDxfId="2488" dataCellStyle="Moeda">
      <calculatedColumnFormula>SUMIFS(tabela_registros[VALOR],tabela_registros[MÊS],$AE$1,tabela_registros[DIA],reservafixaconsolidadoset[[#Headers],[24]],tabela_registros[REGISTRO],DADOS!$N$3,tabela_registros[TIPO],DADOS!$V$3,tabela_registros[CATEGORIA],reservafixaconsolidadoset[[#This Row],[ATUAL]])</calculatedColumnFormula>
    </tableColumn>
    <tableColumn id="26" xr3:uid="{90442802-B1BA-4AC4-8F6F-47FCD44FEFFD}" name="25" totalsRowFunction="sum" dataDxfId="2487" totalsRowDxfId="2486" dataCellStyle="Moeda">
      <calculatedColumnFormula>SUMIFS(tabela_registros[VALOR],tabela_registros[MÊS],$AE$1,tabela_registros[DIA],reservafixaconsolidadoset[[#Headers],[25]],tabela_registros[REGISTRO],DADOS!$N$3,tabela_registros[TIPO],DADOS!$V$3,tabela_registros[CATEGORIA],reservafixaconsolidadoset[[#This Row],[ATUAL]])</calculatedColumnFormula>
    </tableColumn>
    <tableColumn id="27" xr3:uid="{B4210C57-7582-4105-9263-B425E6CA4048}" name="26" totalsRowFunction="sum" dataDxfId="2485" totalsRowDxfId="2484" dataCellStyle="Moeda">
      <calculatedColumnFormula>SUMIFS(tabela_registros[VALOR],tabela_registros[MÊS],$AE$1,tabela_registros[DIA],reservafixaconsolidadoset[[#Headers],[26]],tabela_registros[REGISTRO],DADOS!$N$3,tabela_registros[TIPO],DADOS!$V$3,tabela_registros[CATEGORIA],reservafixaconsolidadoset[[#This Row],[ATUAL]])</calculatedColumnFormula>
    </tableColumn>
    <tableColumn id="28" xr3:uid="{8C132FE2-C1CE-4A76-83C3-E989E149A763}" name="27" totalsRowFunction="sum" dataDxfId="2483" totalsRowDxfId="2482" dataCellStyle="Moeda">
      <calculatedColumnFormula>SUMIFS(tabela_registros[VALOR],tabela_registros[MÊS],$AE$1,tabela_registros[DIA],reservafixaconsolidadoset[[#Headers],[27]],tabela_registros[REGISTRO],DADOS!$N$3,tabela_registros[TIPO],DADOS!$V$3,tabela_registros[CATEGORIA],reservafixaconsolidadoset[[#This Row],[ATUAL]])</calculatedColumnFormula>
    </tableColumn>
    <tableColumn id="29" xr3:uid="{AAD892A9-F3D3-4E80-A3E5-E3DD6778050C}" name="28" totalsRowFunction="sum" dataDxfId="2481" totalsRowDxfId="2480" dataCellStyle="Moeda">
      <calculatedColumnFormula>SUMIFS(tabela_registros[VALOR],tabela_registros[MÊS],$AE$1,tabela_registros[DIA],reservafixaconsolidadoset[[#Headers],[28]],tabela_registros[REGISTRO],DADOS!$N$3,tabela_registros[TIPO],DADOS!$V$3,tabela_registros[CATEGORIA],reservafixaconsolidadoset[[#This Row],[ATUAL]])</calculatedColumnFormula>
    </tableColumn>
    <tableColumn id="30" xr3:uid="{BA9264FD-BA12-4DE2-B59E-F3D603077EE7}" name="29" totalsRowFunction="sum" dataDxfId="2479" totalsRowDxfId="2478" dataCellStyle="Moeda">
      <calculatedColumnFormula>SUMIFS(tabela_registros[VALOR],tabela_registros[MÊS],$AE$1,tabela_registros[DIA],reservafixaconsolidadoset[[#Headers],[29]],tabela_registros[REGISTRO],DADOS!$N$3,tabela_registros[TIPO],DADOS!$V$3,tabela_registros[CATEGORIA],reservafixaconsolidadoset[[#This Row],[ATUAL]])</calculatedColumnFormula>
    </tableColumn>
    <tableColumn id="31" xr3:uid="{E9C2EE20-63BA-46B9-8E03-8BDBCB89A2E2}" name="30" totalsRowFunction="sum" dataDxfId="2477" totalsRowDxfId="2476" dataCellStyle="Moeda">
      <calculatedColumnFormula>SUMIFS(tabela_registros[VALOR],tabela_registros[MÊS],$AE$1,tabela_registros[DIA],reservafixaconsolidadoset[[#Headers],[30]],tabela_registros[REGISTRO],DADOS!$N$3,tabela_registros[TIPO],DADOS!$V$3,tabela_registros[CATEGORIA],reservafixaconsolidadoset[[#This Row],[ATUAL]])</calculatedColumnFormula>
    </tableColumn>
    <tableColumn id="32" xr3:uid="{2779F2FF-A3A5-410C-84AF-A3DB1EC387BE}" name="31" totalsRowFunction="sum" dataDxfId="2475" totalsRowDxfId="2474" dataCellStyle="Moeda">
      <calculatedColumnFormula>SUMIFS(tabela_registros[VALOR],tabela_registros[MÊS],$AE$1,tabela_registros[DIA],reservafixaconsolidadoset[[#Headers],[31]],tabela_registros[REGISTRO],DADOS!$N$3,tabela_registros[TIPO],DADOS!$V$3,tabela_registros[CATEGORIA],reservafixaconsolidadoset[[#This Row],[ATUAL]])</calculatedColumnFormula>
    </tableColumn>
    <tableColumn id="33" xr3:uid="{0AD88467-67B9-4F43-BC11-1C69C0424039}" name="TOTAL (R$)" totalsRowFunction="sum" dataDxfId="2473" dataCellStyle="Moeda">
      <calculatedColumnFormula>SUM(reservafixaconsolidadoset[[#This Row],[1]:[31]])</calculatedColumnFormula>
    </tableColumn>
  </tableColumns>
  <tableStyleInfo name="TABELAS RESULTADOS" showFirstColumn="0" showLastColumn="0" showRowStripes="1" showColumnStripes="0"/>
</table>
</file>

<file path=xl/tables/table1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4" xr:uid="{473E77F8-6680-4A2F-8661-D2261578CC7E}" name="reservavariáveisconsolidadoset" displayName="reservavariáveisconsolidadoset" ref="C186:AJ197" headerRowDxfId="2472" dataDxfId="2471" totalsRowDxfId="2470">
  <autoFilter ref="C186:AJ197" xr:uid="{D1B0BC4A-55A7-40F2-94A1-407E95E214F4}"/>
  <tableColumns count="34">
    <tableColumn id="1" xr3:uid="{7CD8F7CF-FDD4-444C-B19D-C92FA87B9C17}" name="ATUAL" totalsRowLabel="SALDO" dataDxfId="2469"/>
    <tableColumn id="34" xr3:uid="{03B070A2-CF7F-4BF0-BAAD-A9319B336002}" name="Coluna1" dataDxfId="2468" totalsRowDxfId="2467">
      <calculatedColumnFormula>IF(reservavariáveisconsolidadoset[[#This Row],[TOTAL (R$)]]=0,"",IF(OR(reservavariáveisconsolidadoset[[#This Row],[TOTAL (R$)]]=LARGE($AJ$187:$AJ$196,1),reservavariáveisconsolidadoset[[#This Row],[TOTAL (R$)]]=LARGE($AJ$187:$AJ$196,2)),DADOS!$I$11,""))</calculatedColumnFormula>
    </tableColumn>
    <tableColumn id="2" xr3:uid="{CDC92309-7C12-403C-96BA-A3BD875A68CC}" name="1" totalsRowFunction="sum" dataDxfId="2466" dataCellStyle="Moeda"/>
    <tableColumn id="3" xr3:uid="{1749DA64-FBD3-4803-A5CE-869BD073F428}" name="2" totalsRowFunction="sum" dataDxfId="2465" dataCellStyle="Moeda">
      <calculatedColumnFormula>SUMIFS(tabela_registros[VALOR],tabela_registros[MÊS],$AE$1,tabela_registros[DIA],reservavariáveisconsolidadoset[[#Headers],[2]],tabela_registros[REGISTRO],DADOS!$N$3,tabela_registros[TIPO],DADOS!$V$3,tabela_registros[CATEGORIA],reservavariáveisconsolidadoset[[#This Row],[ATUAL]])</calculatedColumnFormula>
    </tableColumn>
    <tableColumn id="4" xr3:uid="{031B9047-AB8B-4190-AC44-848BAB052D9A}" name="3" totalsRowFunction="sum" dataDxfId="2464" totalsRowDxfId="2463" dataCellStyle="Moeda">
      <calculatedColumnFormula>SUMIFS(tabela_registros[VALOR],tabela_registros[MÊS],$AE$1,tabela_registros[DIA],reservavariáveisconsolidadoset[[#Headers],[3]],tabela_registros[REGISTRO],DADOS!$N$3,tabela_registros[TIPO],DADOS!$V$3,tabela_registros[CATEGORIA],reservavariáveisconsolidadoset[[#This Row],[ATUAL]])</calculatedColumnFormula>
    </tableColumn>
    <tableColumn id="5" xr3:uid="{F525E541-2DFF-418F-B6F3-33C56E51B6AD}" name="4" totalsRowFunction="sum" dataDxfId="2462" totalsRowDxfId="2461" dataCellStyle="Moeda">
      <calculatedColumnFormula>SUMIFS(tabela_registros[VALOR],tabela_registros[MÊS],$AE$1,tabela_registros[DIA],reservavariáveisconsolidadoset[[#Headers],[4]],tabela_registros[REGISTRO],DADOS!$N$3,tabela_registros[TIPO],DADOS!$V$3,tabela_registros[CATEGORIA],reservavariáveisconsolidadoset[[#This Row],[ATUAL]])</calculatedColumnFormula>
    </tableColumn>
    <tableColumn id="6" xr3:uid="{94899CC4-F967-4C5A-A549-C954FB9581CA}" name="5" totalsRowFunction="sum" dataDxfId="2460" totalsRowDxfId="2459" dataCellStyle="Moeda">
      <calculatedColumnFormula>SUMIFS(tabela_registros[VALOR],tabela_registros[MÊS],$AE$1,tabela_registros[DIA],reservavariáveisconsolidadoset[[#Headers],[5]],tabela_registros[REGISTRO],DADOS!$N$3,tabela_registros[TIPO],DADOS!$V$3,tabela_registros[CATEGORIA],reservavariáveisconsolidadoset[[#This Row],[ATUAL]])</calculatedColumnFormula>
    </tableColumn>
    <tableColumn id="7" xr3:uid="{027540DB-FB9C-48C8-9190-16E6DE3F490A}" name="6" totalsRowFunction="sum" dataDxfId="2458" totalsRowDxfId="2457" dataCellStyle="Moeda">
      <calculatedColumnFormula>SUMIFS(tabela_registros[VALOR],tabela_registros[MÊS],$AE$1,tabela_registros[DIA],reservavariáveisconsolidadoset[[#Headers],[6]],tabela_registros[REGISTRO],DADOS!$N$3,tabela_registros[TIPO],DADOS!$V$3,tabela_registros[CATEGORIA],reservavariáveisconsolidadoset[[#This Row],[ATUAL]])</calculatedColumnFormula>
    </tableColumn>
    <tableColumn id="8" xr3:uid="{2D01E883-38F4-42B3-B764-675D1D19AAC4}" name="7" totalsRowFunction="sum" dataDxfId="2456" totalsRowDxfId="2455" dataCellStyle="Moeda">
      <calculatedColumnFormula>SUMIFS(tabela_registros[VALOR],tabela_registros[MÊS],$AE$1,tabela_registros[DIA],reservavariáveisconsolidadoset[[#Headers],[7]],tabela_registros[REGISTRO],DADOS!$N$3,tabela_registros[TIPO],DADOS!$V$3,tabela_registros[CATEGORIA],reservavariáveisconsolidadoset[[#This Row],[ATUAL]])</calculatedColumnFormula>
    </tableColumn>
    <tableColumn id="9" xr3:uid="{AFD85546-6FF7-41F2-BD18-71B57E1D0E8F}" name="8" totalsRowFunction="sum" dataDxfId="2454" totalsRowDxfId="2453" dataCellStyle="Moeda">
      <calculatedColumnFormula>SUMIFS(tabela_registros[VALOR],tabela_registros[MÊS],$AE$1,tabela_registros[DIA],reservavariáveisconsolidadoset[[#Headers],[8]],tabela_registros[REGISTRO],DADOS!$N$3,tabela_registros[TIPO],DADOS!$V$3,tabela_registros[CATEGORIA],reservavariáveisconsolidadoset[[#This Row],[ATUAL]])</calculatedColumnFormula>
    </tableColumn>
    <tableColumn id="10" xr3:uid="{B60BDE9F-94E0-4714-BD38-52AEAE689251}" name="9" totalsRowFunction="sum" dataDxfId="2452" totalsRowDxfId="2451" dataCellStyle="Moeda">
      <calculatedColumnFormula>SUMIFS(tabela_registros[VALOR],tabela_registros[MÊS],$AE$1,tabela_registros[DIA],reservavariáveisconsolidadoset[[#Headers],[9]],tabela_registros[REGISTRO],DADOS!$N$3,tabela_registros[TIPO],DADOS!$V$3,tabela_registros[CATEGORIA],reservavariáveisconsolidadoset[[#This Row],[ATUAL]])</calculatedColumnFormula>
    </tableColumn>
    <tableColumn id="11" xr3:uid="{5DC3114E-9C64-420C-B46E-D1CEFBFD136D}" name="10" totalsRowFunction="sum" dataDxfId="2450" totalsRowDxfId="2449" dataCellStyle="Moeda">
      <calculatedColumnFormula>SUMIFS(tabela_registros[VALOR],tabela_registros[MÊS],$AE$1,tabela_registros[DIA],reservavariáveisconsolidadoset[[#Headers],[10]],tabela_registros[REGISTRO],DADOS!$N$3,tabela_registros[TIPO],DADOS!$V$3,tabela_registros[CATEGORIA],reservavariáveisconsolidadoset[[#This Row],[ATUAL]])</calculatedColumnFormula>
    </tableColumn>
    <tableColumn id="12" xr3:uid="{BD0146BC-B33E-492D-9118-666E8C8173E3}" name="11" totalsRowFunction="sum" dataDxfId="2448" totalsRowDxfId="2447" dataCellStyle="Moeda">
      <calculatedColumnFormula>SUMIFS(tabela_registros[VALOR],tabela_registros[MÊS],$AE$1,tabela_registros[DIA],reservavariáveisconsolidadoset[[#Headers],[11]],tabela_registros[REGISTRO],DADOS!$N$3,tabela_registros[TIPO],DADOS!$V$3,tabela_registros[CATEGORIA],reservavariáveisconsolidadoset[[#This Row],[ATUAL]])</calculatedColumnFormula>
    </tableColumn>
    <tableColumn id="13" xr3:uid="{4B69386C-7B6B-4545-99AA-4D4F2E49D8C3}" name="12" totalsRowFunction="sum" dataDxfId="2446" totalsRowDxfId="2445" dataCellStyle="Moeda">
      <calculatedColumnFormula>SUMIFS(tabela_registros[VALOR],tabela_registros[MÊS],$AE$1,tabela_registros[DIA],reservavariáveisconsolidadoset[[#Headers],[12]],tabela_registros[REGISTRO],DADOS!$N$3,tabela_registros[TIPO],DADOS!$V$3,tabela_registros[CATEGORIA],reservavariáveisconsolidadoset[[#This Row],[ATUAL]])</calculatedColumnFormula>
    </tableColumn>
    <tableColumn id="14" xr3:uid="{E5825A89-1EF9-40CA-802F-55ED2582BA36}" name="13" totalsRowFunction="sum" dataDxfId="2444" totalsRowDxfId="2443" dataCellStyle="Moeda">
      <calculatedColumnFormula>SUMIFS(tabela_registros[VALOR],tabela_registros[MÊS],$AE$1,tabela_registros[DIA],reservavariáveisconsolidadoset[[#Headers],[13]],tabela_registros[REGISTRO],DADOS!$N$3,tabela_registros[TIPO],DADOS!$V$3,tabela_registros[CATEGORIA],reservavariáveisconsolidadoset[[#This Row],[ATUAL]])</calculatedColumnFormula>
    </tableColumn>
    <tableColumn id="15" xr3:uid="{F2C912F6-33AB-4BBC-84E2-36590F7BAFA2}" name="14" totalsRowFunction="sum" dataDxfId="2442" totalsRowDxfId="2441" dataCellStyle="Moeda">
      <calculatedColumnFormula>SUMIFS(tabela_registros[VALOR],tabela_registros[MÊS],$AE$1,tabela_registros[DIA],reservavariáveisconsolidadoset[[#Headers],[14]],tabela_registros[REGISTRO],DADOS!$N$3,tabela_registros[TIPO],DADOS!$V$3,tabela_registros[CATEGORIA],reservavariáveisconsolidadoset[[#This Row],[ATUAL]])</calculatedColumnFormula>
    </tableColumn>
    <tableColumn id="16" xr3:uid="{D87FB05A-2DA8-4B91-AA09-F80CCCAA5B74}" name="15" totalsRowFunction="sum" dataDxfId="2440" totalsRowDxfId="2439" dataCellStyle="Moeda">
      <calculatedColumnFormula>SUMIFS(tabela_registros[VALOR],tabela_registros[MÊS],$AE$1,tabela_registros[DIA],reservavariáveisconsolidadoset[[#Headers],[15]],tabela_registros[REGISTRO],DADOS!$N$3,tabela_registros[TIPO],DADOS!$V$3,tabela_registros[CATEGORIA],reservavariáveisconsolidadoset[[#This Row],[ATUAL]])</calculatedColumnFormula>
    </tableColumn>
    <tableColumn id="17" xr3:uid="{A5DFCE56-C4B2-4020-8988-3906AEB7DC86}" name="16" totalsRowFunction="sum" dataDxfId="2438" totalsRowDxfId="2437" dataCellStyle="Moeda">
      <calculatedColumnFormula>SUMIFS(tabela_registros[VALOR],tabela_registros[MÊS],$AE$1,tabela_registros[DIA],reservavariáveisconsolidadoset[[#Headers],[16]],tabela_registros[REGISTRO],DADOS!$N$3,tabela_registros[TIPO],DADOS!$V$3,tabela_registros[CATEGORIA],reservavariáveisconsolidadoset[[#This Row],[ATUAL]])</calculatedColumnFormula>
    </tableColumn>
    <tableColumn id="18" xr3:uid="{5B2409ED-CD4F-4C95-99CE-FEAE32364939}" name="17" totalsRowFunction="sum" dataDxfId="2436" totalsRowDxfId="2435" dataCellStyle="Moeda">
      <calculatedColumnFormula>SUMIFS(tabela_registros[VALOR],tabela_registros[MÊS],$AE$1,tabela_registros[DIA],reservavariáveisconsolidadoset[[#Headers],[17]],tabela_registros[REGISTRO],DADOS!$N$3,tabela_registros[TIPO],DADOS!$V$3,tabela_registros[CATEGORIA],reservavariáveisconsolidadoset[[#This Row],[ATUAL]])</calculatedColumnFormula>
    </tableColumn>
    <tableColumn id="19" xr3:uid="{ECF4BC9C-A58E-43D4-9260-A742972257FA}" name="18" totalsRowFunction="sum" dataDxfId="2434" totalsRowDxfId="2433" dataCellStyle="Moeda">
      <calculatedColumnFormula>SUMIFS(tabela_registros[VALOR],tabela_registros[MÊS],$AE$1,tabela_registros[DIA],reservavariáveisconsolidadoset[[#Headers],[18]],tabela_registros[REGISTRO],DADOS!$N$3,tabela_registros[TIPO],DADOS!$V$3,tabela_registros[CATEGORIA],reservavariáveisconsolidadoset[[#This Row],[ATUAL]])</calculatedColumnFormula>
    </tableColumn>
    <tableColumn id="20" xr3:uid="{2A51F3EC-3A41-4011-9E63-5D30F051F76C}" name="19" totalsRowFunction="sum" dataDxfId="2432" totalsRowDxfId="2431" dataCellStyle="Moeda">
      <calculatedColumnFormula>SUMIFS(tabela_registros[VALOR],tabela_registros[MÊS],$AE$1,tabela_registros[DIA],reservavariáveisconsolidadoset[[#Headers],[19]],tabela_registros[REGISTRO],DADOS!$N$3,tabela_registros[TIPO],DADOS!$V$3,tabela_registros[CATEGORIA],reservavariáveisconsolidadoset[[#This Row],[ATUAL]])</calculatedColumnFormula>
    </tableColumn>
    <tableColumn id="21" xr3:uid="{D2E4F12C-2616-4E7E-929E-6AA87567B19B}" name="20" totalsRowFunction="sum" dataDxfId="2430" totalsRowDxfId="2429" dataCellStyle="Moeda">
      <calculatedColumnFormula>SUMIFS(tabela_registros[VALOR],tabela_registros[MÊS],$AE$1,tabela_registros[DIA],reservavariáveisconsolidadoset[[#Headers],[20]],tabela_registros[REGISTRO],DADOS!$N$3,tabela_registros[TIPO],DADOS!$V$3,tabela_registros[CATEGORIA],reservavariáveisconsolidadoset[[#This Row],[ATUAL]])</calculatedColumnFormula>
    </tableColumn>
    <tableColumn id="22" xr3:uid="{80520281-3F0F-4732-AFAC-8C63FCE5A203}" name="21" totalsRowFunction="sum" dataDxfId="2428" totalsRowDxfId="2427" dataCellStyle="Moeda">
      <calculatedColumnFormula>SUMIFS(tabela_registros[VALOR],tabela_registros[MÊS],$AE$1,tabela_registros[DIA],reservavariáveisconsolidadoset[[#Headers],[21]],tabela_registros[REGISTRO],DADOS!$N$3,tabela_registros[TIPO],DADOS!$V$3,tabela_registros[CATEGORIA],reservavariáveisconsolidadoset[[#This Row],[ATUAL]])</calculatedColumnFormula>
    </tableColumn>
    <tableColumn id="23" xr3:uid="{653B3B4E-44B7-4FE3-AF1A-C045D4B436B9}" name="22" totalsRowFunction="sum" dataDxfId="2426" totalsRowDxfId="2425" dataCellStyle="Moeda">
      <calculatedColumnFormula>SUMIFS(tabela_registros[VALOR],tabela_registros[MÊS],$AE$1,tabela_registros[DIA],reservavariáveisconsolidadoset[[#Headers],[22]],tabela_registros[REGISTRO],DADOS!$N$3,tabela_registros[TIPO],DADOS!$V$3,tabela_registros[CATEGORIA],reservavariáveisconsolidadoset[[#This Row],[ATUAL]])</calculatedColumnFormula>
    </tableColumn>
    <tableColumn id="24" xr3:uid="{DE4A7E61-73AB-4A85-9E8C-88BBEC64DD92}" name="23" totalsRowFunction="sum" dataDxfId="2424" totalsRowDxfId="2423" dataCellStyle="Moeda">
      <calculatedColumnFormula>SUMIFS(tabela_registros[VALOR],tabela_registros[MÊS],$AE$1,tabela_registros[DIA],reservavariáveisconsolidadoset[[#Headers],[23]],tabela_registros[REGISTRO],DADOS!$N$3,tabela_registros[TIPO],DADOS!$V$3,tabela_registros[CATEGORIA],reservavariáveisconsolidadoset[[#This Row],[ATUAL]])</calculatedColumnFormula>
    </tableColumn>
    <tableColumn id="25" xr3:uid="{6B89D05D-8E43-4A0F-9F74-F75117C1414E}" name="24" totalsRowFunction="sum" dataDxfId="2422" totalsRowDxfId="2421" dataCellStyle="Moeda">
      <calculatedColumnFormula>SUMIFS(tabela_registros[VALOR],tabela_registros[MÊS],$AE$1,tabela_registros[DIA],reservavariáveisconsolidadoset[[#Headers],[24]],tabela_registros[REGISTRO],DADOS!$N$3,tabela_registros[TIPO],DADOS!$V$3,tabela_registros[CATEGORIA],reservavariáveisconsolidadoset[[#This Row],[ATUAL]])</calculatedColumnFormula>
    </tableColumn>
    <tableColumn id="26" xr3:uid="{714F8506-8F97-494E-9C9C-3942C9CCC49D}" name="25" totalsRowFunction="sum" dataDxfId="2420" totalsRowDxfId="2419" dataCellStyle="Moeda">
      <calculatedColumnFormula>SUMIFS(tabela_registros[VALOR],tabela_registros[MÊS],$AE$1,tabela_registros[DIA],reservavariáveisconsolidadoset[[#Headers],[25]],tabela_registros[REGISTRO],DADOS!$N$3,tabela_registros[TIPO],DADOS!$V$3,tabela_registros[CATEGORIA],reservavariáveisconsolidadoset[[#This Row],[ATUAL]])</calculatedColumnFormula>
    </tableColumn>
    <tableColumn id="27" xr3:uid="{D30E359D-CEBE-4170-A7E9-172BB72D7CED}" name="26" totalsRowFunction="sum" dataDxfId="2418" totalsRowDxfId="2417" dataCellStyle="Moeda">
      <calculatedColumnFormula>SUMIFS(tabela_registros[VALOR],tabela_registros[MÊS],$AE$1,tabela_registros[DIA],reservavariáveisconsolidadoset[[#Headers],[26]],tabela_registros[REGISTRO],DADOS!$N$3,tabela_registros[TIPO],DADOS!$V$3,tabela_registros[CATEGORIA],reservavariáveisconsolidadoset[[#This Row],[ATUAL]])</calculatedColumnFormula>
    </tableColumn>
    <tableColumn id="28" xr3:uid="{02469F7F-9BA6-48D3-AB38-6AC6F6626E09}" name="27" totalsRowFunction="sum" dataDxfId="2416" totalsRowDxfId="2415" dataCellStyle="Moeda">
      <calculatedColumnFormula>SUMIFS(tabela_registros[VALOR],tabela_registros[MÊS],$AE$1,tabela_registros[DIA],reservavariáveisconsolidadoset[[#Headers],[27]],tabela_registros[REGISTRO],DADOS!$N$3,tabela_registros[TIPO],DADOS!$V$3,tabela_registros[CATEGORIA],reservavariáveisconsolidadoset[[#This Row],[ATUAL]])</calculatedColumnFormula>
    </tableColumn>
    <tableColumn id="29" xr3:uid="{A4517A16-6CCA-4EED-A225-AAA4241B2B65}" name="28" totalsRowFunction="sum" dataDxfId="2414" totalsRowDxfId="2413" dataCellStyle="Moeda">
      <calculatedColumnFormula>SUMIFS(tabela_registros[VALOR],tabela_registros[MÊS],$AE$1,tabela_registros[DIA],reservavariáveisconsolidadoset[[#Headers],[28]],tabela_registros[REGISTRO],DADOS!$N$3,tabela_registros[TIPO],DADOS!$V$3,tabela_registros[CATEGORIA],reservavariáveisconsolidadoset[[#This Row],[ATUAL]])</calculatedColumnFormula>
    </tableColumn>
    <tableColumn id="30" xr3:uid="{2B81158C-FEED-4990-8A89-2AD23A86EB67}" name="29" totalsRowFunction="sum" dataDxfId="2412" totalsRowDxfId="2411" dataCellStyle="Moeda">
      <calculatedColumnFormula>SUMIFS(tabela_registros[VALOR],tabela_registros[MÊS],$AE$1,tabela_registros[DIA],reservavariáveisconsolidadoset[[#Headers],[29]],tabela_registros[REGISTRO],DADOS!$N$3,tabela_registros[TIPO],DADOS!$V$3,tabela_registros[CATEGORIA],reservavariáveisconsolidadoset[[#This Row],[ATUAL]])</calculatedColumnFormula>
    </tableColumn>
    <tableColumn id="31" xr3:uid="{EB6AFCED-3A68-4FFA-90A8-310C824B5CF3}" name="30" totalsRowFunction="sum" dataDxfId="2410" totalsRowDxfId="2409" dataCellStyle="Moeda">
      <calculatedColumnFormula>SUMIFS(tabela_registros[VALOR],tabela_registros[MÊS],$AE$1,tabela_registros[DIA],reservavariáveisconsolidadoset[[#Headers],[30]],tabela_registros[REGISTRO],DADOS!$N$3,tabela_registros[TIPO],DADOS!$V$3,tabela_registros[CATEGORIA],reservavariáveisconsolidadoset[[#This Row],[ATUAL]])</calculatedColumnFormula>
    </tableColumn>
    <tableColumn id="32" xr3:uid="{3BECEEF9-3554-4532-A67F-84822E05D2A7}" name="31" totalsRowFunction="sum" dataDxfId="2408" totalsRowDxfId="2407" dataCellStyle="Moeda">
      <calculatedColumnFormula>SUMIFS(tabela_registros[VALOR],tabela_registros[MÊS],$AE$1,tabela_registros[DIA],reservavariáveisconsolidadoset[[#Headers],[31]],tabela_registros[REGISTRO],DADOS!$N$3,tabela_registros[TIPO],DADOS!$V$3,tabela_registros[CATEGORIA],reservavariáveisconsolidadoset[[#This Row],[ATUAL]])</calculatedColumnFormula>
    </tableColumn>
    <tableColumn id="33" xr3:uid="{D62D346E-EA0C-4258-95D4-FA45A7D2F680}" name="TOTAL (R$)" totalsRowFunction="sum" dataDxfId="2406" dataCellStyle="Moeda">
      <calculatedColumnFormula>SUM(reservavariáveisconsolidadoset[[#This Row],[1]:[31]])</calculatedColumnFormula>
    </tableColumn>
  </tableColumns>
  <tableStyleInfo name="TABELAS RESULTADOS" showFirstColumn="0" showLastColumn="0" showRowStripes="1" showColumnStripes="0"/>
</table>
</file>

<file path=xl/tables/table1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5" xr:uid="{FF10C9C8-4092-4407-B4D2-59406A41EA56}" name="reservaoutrosconsolidadoset" displayName="reservaoutrosconsolidadoset" ref="C205:AJ214" headerRowDxfId="2405" dataDxfId="2404" totalsRowDxfId="2403">
  <autoFilter ref="C205:AJ214" xr:uid="{9335CBAF-4490-44EE-A508-E6F2F3B6C6F1}"/>
  <tableColumns count="34">
    <tableColumn id="1" xr3:uid="{EAAA97C4-6730-4EE4-84AE-7152DFD508A4}" name="ATUAL" totalsRowLabel="SALDO" dataDxfId="2402"/>
    <tableColumn id="34" xr3:uid="{69B3F42C-4993-4E4A-AF46-8BDFB358FA07}" name="Coluna1" dataDxfId="2401" totalsRowDxfId="2400">
      <calculatedColumnFormula>IF(reservaoutrosconsolidadoset[[#This Row],[TOTAL (R$)]]=0,"",IF(OR(reservaoutrosconsolidadoset[[#This Row],[TOTAL (R$)]]=LARGE($AJ$206:$AJ$213,1),reservaoutrosconsolidadoset[[#This Row],[TOTAL (R$)]]=LARGE($AJ$206:$AJ$213,2)),DADOS!$I$11,""))</calculatedColumnFormula>
    </tableColumn>
    <tableColumn id="2" xr3:uid="{6567AF2C-5F21-4488-93BE-EBCA4E740874}" name="1" totalsRowFunction="sum" dataDxfId="2399" dataCellStyle="Moeda"/>
    <tableColumn id="3" xr3:uid="{E3FE8889-DCBF-4CF7-924C-F4F262D5BF1A}" name="2" totalsRowFunction="sum" dataDxfId="2398" dataCellStyle="Moeda">
      <calculatedColumnFormula>SUMIFS(tabela_registros[VALOR],tabela_registros[MÊS],$AE$1,tabela_registros[DIA],reservaoutrosconsolidadoset[[#Headers],[2]],tabela_registros[REGISTRO],DADOS!$N$3,tabela_registros[TIPO],DADOS!$V$3,tabela_registros[CATEGORIA],reservaoutrosconsolidadoset[[#This Row],[ATUAL]])</calculatedColumnFormula>
    </tableColumn>
    <tableColumn id="4" xr3:uid="{C50DDA10-D49E-4D35-B7BB-C1B8C64F87D8}" name="3" totalsRowFunction="sum" dataDxfId="2397" totalsRowDxfId="2396" dataCellStyle="Moeda">
      <calculatedColumnFormula>SUMIFS(tabela_registros[VALOR],tabela_registros[MÊS],$AE$1,tabela_registros[DIA],reservaoutrosconsolidadoset[[#Headers],[3]],tabela_registros[REGISTRO],DADOS!$N$3,tabela_registros[TIPO],DADOS!$V$3,tabela_registros[CATEGORIA],reservaoutrosconsolidadoset[[#This Row],[ATUAL]])</calculatedColumnFormula>
    </tableColumn>
    <tableColumn id="5" xr3:uid="{5769E77D-7E6B-42B0-A0BC-24BFD0187063}" name="4" totalsRowFunction="sum" dataDxfId="2395" totalsRowDxfId="2394" dataCellStyle="Moeda">
      <calculatedColumnFormula>SUMIFS(tabela_registros[VALOR],tabela_registros[MÊS],$AE$1,tabela_registros[DIA],reservaoutrosconsolidadoset[[#Headers],[4]],tabela_registros[REGISTRO],DADOS!$N$3,tabela_registros[TIPO],DADOS!$V$3,tabela_registros[CATEGORIA],reservaoutrosconsolidadoset[[#This Row],[ATUAL]])</calculatedColumnFormula>
    </tableColumn>
    <tableColumn id="6" xr3:uid="{DFD9B4FD-EAE9-4CC5-AE29-1D4EBFA2EC67}" name="5" totalsRowFunction="sum" dataDxfId="2393" totalsRowDxfId="2392" dataCellStyle="Moeda">
      <calculatedColumnFormula>SUMIFS(tabela_registros[VALOR],tabela_registros[MÊS],$AE$1,tabela_registros[DIA],reservaoutrosconsolidadoset[[#Headers],[5]],tabela_registros[REGISTRO],DADOS!$N$3,tabela_registros[TIPO],DADOS!$V$3,tabela_registros[CATEGORIA],reservaoutrosconsolidadoset[[#This Row],[ATUAL]])</calculatedColumnFormula>
    </tableColumn>
    <tableColumn id="7" xr3:uid="{C46CFEB2-9655-445F-9FB5-E52FDFD900D3}" name="6" totalsRowFunction="sum" dataDxfId="2391" totalsRowDxfId="2390" dataCellStyle="Moeda">
      <calculatedColumnFormula>SUMIFS(tabela_registros[VALOR],tabela_registros[MÊS],$AE$1,tabela_registros[DIA],reservaoutrosconsolidadoset[[#Headers],[6]],tabela_registros[REGISTRO],DADOS!$N$3,tabela_registros[TIPO],DADOS!$V$3,tabela_registros[CATEGORIA],reservaoutrosconsolidadoset[[#This Row],[ATUAL]])</calculatedColumnFormula>
    </tableColumn>
    <tableColumn id="8" xr3:uid="{3168CA56-07E9-4D46-A624-1DE8029B9B03}" name="7" totalsRowFunction="sum" dataDxfId="2389" totalsRowDxfId="2388" dataCellStyle="Moeda">
      <calculatedColumnFormula>SUMIFS(tabela_registros[VALOR],tabela_registros[MÊS],$AE$1,tabela_registros[DIA],reservaoutrosconsolidadoset[[#Headers],[7]],tabela_registros[REGISTRO],DADOS!$N$3,tabela_registros[TIPO],DADOS!$V$3,tabela_registros[CATEGORIA],reservaoutrosconsolidadoset[[#This Row],[ATUAL]])</calculatedColumnFormula>
    </tableColumn>
    <tableColumn id="9" xr3:uid="{BCD2838E-3CAC-4542-9C96-E1619CEA8E36}" name="8" totalsRowFunction="sum" dataDxfId="2387" totalsRowDxfId="2386" dataCellStyle="Moeda">
      <calculatedColumnFormula>SUMIFS(tabela_registros[VALOR],tabela_registros[MÊS],$AE$1,tabela_registros[DIA],reservaoutrosconsolidadoset[[#Headers],[8]],tabela_registros[REGISTRO],DADOS!$N$3,tabela_registros[TIPO],DADOS!$V$3,tabela_registros[CATEGORIA],reservaoutrosconsolidadoset[[#This Row],[ATUAL]])</calculatedColumnFormula>
    </tableColumn>
    <tableColumn id="10" xr3:uid="{5889EC01-7386-47C5-B163-754BD4F06CC9}" name="9" totalsRowFunction="sum" dataDxfId="2385" totalsRowDxfId="2384" dataCellStyle="Moeda">
      <calculatedColumnFormula>SUMIFS(tabela_registros[VALOR],tabela_registros[MÊS],$AE$1,tabela_registros[DIA],reservaoutrosconsolidadoset[[#Headers],[9]],tabela_registros[REGISTRO],DADOS!$N$3,tabela_registros[TIPO],DADOS!$V$3,tabela_registros[CATEGORIA],reservaoutrosconsolidadoset[[#This Row],[ATUAL]])</calculatedColumnFormula>
    </tableColumn>
    <tableColumn id="11" xr3:uid="{E54859A7-F268-46A7-9376-FBFCA34520A4}" name="10" totalsRowFunction="sum" dataDxfId="2383" totalsRowDxfId="2382" dataCellStyle="Moeda">
      <calculatedColumnFormula>SUMIFS(tabela_registros[VALOR],tabela_registros[MÊS],$AE$1,tabela_registros[DIA],reservaoutrosconsolidadoset[[#Headers],[10]],tabela_registros[REGISTRO],DADOS!$N$3,tabela_registros[TIPO],DADOS!$V$3,tabela_registros[CATEGORIA],reservaoutrosconsolidadoset[[#This Row],[ATUAL]])</calculatedColumnFormula>
    </tableColumn>
    <tableColumn id="12" xr3:uid="{5CF9626E-A493-4EF8-9CE2-FA330B61AF97}" name="11" totalsRowFunction="sum" dataDxfId="2381" totalsRowDxfId="2380" dataCellStyle="Moeda">
      <calculatedColumnFormula>SUMIFS(tabela_registros[VALOR],tabela_registros[MÊS],$AE$1,tabela_registros[DIA],reservaoutrosconsolidadoset[[#Headers],[11]],tabela_registros[REGISTRO],DADOS!$N$3,tabela_registros[TIPO],DADOS!$V$3,tabela_registros[CATEGORIA],reservaoutrosconsolidadoset[[#This Row],[ATUAL]])</calculatedColumnFormula>
    </tableColumn>
    <tableColumn id="13" xr3:uid="{0BBF0134-1E80-444D-8FC2-877A85345C0E}" name="12" totalsRowFunction="sum" dataDxfId="2379" totalsRowDxfId="2378" dataCellStyle="Moeda">
      <calculatedColumnFormula>SUMIFS(tabela_registros[VALOR],tabela_registros[MÊS],$AE$1,tabela_registros[DIA],reservaoutrosconsolidadoset[[#Headers],[12]],tabela_registros[REGISTRO],DADOS!$N$3,tabela_registros[TIPO],DADOS!$V$3,tabela_registros[CATEGORIA],reservaoutrosconsolidadoset[[#This Row],[ATUAL]])</calculatedColumnFormula>
    </tableColumn>
    <tableColumn id="14" xr3:uid="{18E1BD4C-C4FD-41D5-98C3-DA666E527C34}" name="13" totalsRowFunction="sum" dataDxfId="2377" totalsRowDxfId="2376" dataCellStyle="Moeda">
      <calculatedColumnFormula>SUMIFS(tabela_registros[VALOR],tabela_registros[MÊS],$AE$1,tabela_registros[DIA],reservaoutrosconsolidadoset[[#Headers],[13]],tabela_registros[REGISTRO],DADOS!$N$3,tabela_registros[TIPO],DADOS!$V$3,tabela_registros[CATEGORIA],reservaoutrosconsolidadoset[[#This Row],[ATUAL]])</calculatedColumnFormula>
    </tableColumn>
    <tableColumn id="15" xr3:uid="{CD18E673-6AA7-4ADB-A4E6-B60B9B9F9151}" name="14" totalsRowFunction="sum" dataDxfId="2375" totalsRowDxfId="2374" dataCellStyle="Moeda">
      <calculatedColumnFormula>SUMIFS(tabela_registros[VALOR],tabela_registros[MÊS],$AE$1,tabela_registros[DIA],reservaoutrosconsolidadoset[[#Headers],[14]],tabela_registros[REGISTRO],DADOS!$N$3,tabela_registros[TIPO],DADOS!$V$3,tabela_registros[CATEGORIA],reservaoutrosconsolidadoset[[#This Row],[ATUAL]])</calculatedColumnFormula>
    </tableColumn>
    <tableColumn id="16" xr3:uid="{342591AA-AE0C-48F5-B81C-E9872A288ACB}" name="15" totalsRowFunction="sum" dataDxfId="2373" totalsRowDxfId="2372" dataCellStyle="Moeda">
      <calculatedColumnFormula>SUMIFS(tabela_registros[VALOR],tabela_registros[MÊS],$AE$1,tabela_registros[DIA],reservaoutrosconsolidadoset[[#Headers],[15]],tabela_registros[REGISTRO],DADOS!$N$3,tabela_registros[TIPO],DADOS!$V$3,tabela_registros[CATEGORIA],reservaoutrosconsolidadoset[[#This Row],[ATUAL]])</calculatedColumnFormula>
    </tableColumn>
    <tableColumn id="17" xr3:uid="{F1282DD5-1B6E-40DA-AF1F-518F5BE17303}" name="16" totalsRowFunction="sum" dataDxfId="2371" totalsRowDxfId="2370" dataCellStyle="Moeda">
      <calculatedColumnFormula>SUMIFS(tabela_registros[VALOR],tabela_registros[MÊS],$AE$1,tabela_registros[DIA],reservaoutrosconsolidadoset[[#Headers],[16]],tabela_registros[REGISTRO],DADOS!$N$3,tabela_registros[TIPO],DADOS!$V$3,tabela_registros[CATEGORIA],reservaoutrosconsolidadoset[[#This Row],[ATUAL]])</calculatedColumnFormula>
    </tableColumn>
    <tableColumn id="18" xr3:uid="{F49F9837-C63D-4940-AA00-E46C130FA84D}" name="17" totalsRowFunction="sum" dataDxfId="2369" totalsRowDxfId="2368" dataCellStyle="Moeda">
      <calculatedColumnFormula>SUMIFS(tabela_registros[VALOR],tabela_registros[MÊS],$AE$1,tabela_registros[DIA],reservaoutrosconsolidadoset[[#Headers],[17]],tabela_registros[REGISTRO],DADOS!$N$3,tabela_registros[TIPO],DADOS!$V$3,tabela_registros[CATEGORIA],reservaoutrosconsolidadoset[[#This Row],[ATUAL]])</calculatedColumnFormula>
    </tableColumn>
    <tableColumn id="19" xr3:uid="{BBF6C440-9DED-4BAB-9F23-C9B79F62638A}" name="18" totalsRowFunction="sum" dataDxfId="2367" totalsRowDxfId="2366" dataCellStyle="Moeda">
      <calculatedColumnFormula>SUMIFS(tabela_registros[VALOR],tabela_registros[MÊS],$AE$1,tabela_registros[DIA],reservaoutrosconsolidadoset[[#Headers],[18]],tabela_registros[REGISTRO],DADOS!$N$3,tabela_registros[TIPO],DADOS!$V$3,tabela_registros[CATEGORIA],reservaoutrosconsolidadoset[[#This Row],[ATUAL]])</calculatedColumnFormula>
    </tableColumn>
    <tableColumn id="20" xr3:uid="{0F758037-E2EF-47E7-9EB4-9A032D5E16C5}" name="19" totalsRowFunction="sum" dataDxfId="2365" totalsRowDxfId="2364" dataCellStyle="Moeda">
      <calculatedColumnFormula>SUMIFS(tabela_registros[VALOR],tabela_registros[MÊS],$AE$1,tabela_registros[DIA],reservaoutrosconsolidadoset[[#Headers],[19]],tabela_registros[REGISTRO],DADOS!$N$3,tabela_registros[TIPO],DADOS!$V$3,tabela_registros[CATEGORIA],reservaoutrosconsolidadoset[[#This Row],[ATUAL]])</calculatedColumnFormula>
    </tableColumn>
    <tableColumn id="21" xr3:uid="{6F56BAB6-3734-49CD-A8E2-D486F861DF4C}" name="20" totalsRowFunction="sum" dataDxfId="2363" totalsRowDxfId="2362" dataCellStyle="Moeda">
      <calculatedColumnFormula>SUMIFS(tabela_registros[VALOR],tabela_registros[MÊS],$AE$1,tabela_registros[DIA],reservaoutrosconsolidadoset[[#Headers],[20]],tabela_registros[REGISTRO],DADOS!$N$3,tabela_registros[TIPO],DADOS!$V$3,tabela_registros[CATEGORIA],reservaoutrosconsolidadoset[[#This Row],[ATUAL]])</calculatedColumnFormula>
    </tableColumn>
    <tableColumn id="22" xr3:uid="{A4B78AE0-D3F9-4195-99E1-5EE08AC1A5FE}" name="21" totalsRowFunction="sum" dataDxfId="2361" totalsRowDxfId="2360" dataCellStyle="Moeda">
      <calculatedColumnFormula>SUMIFS(tabela_registros[VALOR],tabela_registros[MÊS],$AE$1,tabela_registros[DIA],reservaoutrosconsolidadoset[[#Headers],[21]],tabela_registros[REGISTRO],DADOS!$N$3,tabela_registros[TIPO],DADOS!$V$3,tabela_registros[CATEGORIA],reservaoutrosconsolidadoset[[#This Row],[ATUAL]])</calculatedColumnFormula>
    </tableColumn>
    <tableColumn id="23" xr3:uid="{46CDABE9-9FC4-411E-BE95-2FAC32C023BB}" name="22" totalsRowFunction="sum" dataDxfId="2359" totalsRowDxfId="2358" dataCellStyle="Moeda">
      <calculatedColumnFormula>SUMIFS(tabela_registros[VALOR],tabela_registros[MÊS],$AE$1,tabela_registros[DIA],reservaoutrosconsolidadoset[[#Headers],[22]],tabela_registros[REGISTRO],DADOS!$N$3,tabela_registros[TIPO],DADOS!$V$3,tabela_registros[CATEGORIA],reservaoutrosconsolidadoset[[#This Row],[ATUAL]])</calculatedColumnFormula>
    </tableColumn>
    <tableColumn id="24" xr3:uid="{5E97467D-BF10-4E0C-A80B-7D3915002214}" name="23" totalsRowFunction="sum" dataDxfId="2357" totalsRowDxfId="2356" dataCellStyle="Moeda">
      <calculatedColumnFormula>SUMIFS(tabela_registros[VALOR],tabela_registros[MÊS],$AE$1,tabela_registros[DIA],reservaoutrosconsolidadoset[[#Headers],[23]],tabela_registros[REGISTRO],DADOS!$N$3,tabela_registros[TIPO],DADOS!$V$3,tabela_registros[CATEGORIA],reservaoutrosconsolidadoset[[#This Row],[ATUAL]])</calculatedColumnFormula>
    </tableColumn>
    <tableColumn id="25" xr3:uid="{1CF9A2E3-044D-4C67-89BC-7AE2D34ABA51}" name="24" totalsRowFunction="sum" dataDxfId="2355" totalsRowDxfId="2354" dataCellStyle="Moeda">
      <calculatedColumnFormula>SUMIFS(tabela_registros[VALOR],tabela_registros[MÊS],$AE$1,tabela_registros[DIA],reservaoutrosconsolidadoset[[#Headers],[24]],tabela_registros[REGISTRO],DADOS!$N$3,tabela_registros[TIPO],DADOS!$V$3,tabela_registros[CATEGORIA],reservaoutrosconsolidadoset[[#This Row],[ATUAL]])</calculatedColumnFormula>
    </tableColumn>
    <tableColumn id="26" xr3:uid="{A60575E1-6E38-48E0-8F78-D451CCFFD40D}" name="25" totalsRowFunction="sum" dataDxfId="2353" totalsRowDxfId="2352" dataCellStyle="Moeda">
      <calculatedColumnFormula>SUMIFS(tabela_registros[VALOR],tabela_registros[MÊS],$AE$1,tabela_registros[DIA],reservaoutrosconsolidadoset[[#Headers],[25]],tabela_registros[REGISTRO],DADOS!$N$3,tabela_registros[TIPO],DADOS!$V$3,tabela_registros[CATEGORIA],reservaoutrosconsolidadoset[[#This Row],[ATUAL]])</calculatedColumnFormula>
    </tableColumn>
    <tableColumn id="27" xr3:uid="{650D6368-469B-45B0-950E-29D36EE8DDC8}" name="26" totalsRowFunction="sum" dataDxfId="2351" totalsRowDxfId="2350" dataCellStyle="Moeda">
      <calculatedColumnFormula>SUMIFS(tabela_registros[VALOR],tabela_registros[MÊS],$AE$1,tabela_registros[DIA],reservaoutrosconsolidadoset[[#Headers],[26]],tabela_registros[REGISTRO],DADOS!$N$3,tabela_registros[TIPO],DADOS!$V$3,tabela_registros[CATEGORIA],reservaoutrosconsolidadoset[[#This Row],[ATUAL]])</calculatedColumnFormula>
    </tableColumn>
    <tableColumn id="28" xr3:uid="{FF45B93B-0505-4872-B169-CD7ABF53234A}" name="27" totalsRowFunction="sum" dataDxfId="2349" totalsRowDxfId="2348" dataCellStyle="Moeda">
      <calculatedColumnFormula>SUMIFS(tabela_registros[VALOR],tabela_registros[MÊS],$AE$1,tabela_registros[DIA],reservaoutrosconsolidadoset[[#Headers],[27]],tabela_registros[REGISTRO],DADOS!$N$3,tabela_registros[TIPO],DADOS!$V$3,tabela_registros[CATEGORIA],reservaoutrosconsolidadoset[[#This Row],[ATUAL]])</calculatedColumnFormula>
    </tableColumn>
    <tableColumn id="29" xr3:uid="{4D48C581-15F6-434F-ACFB-D8070E5D73AC}" name="28" totalsRowFunction="sum" dataDxfId="2347" totalsRowDxfId="2346" dataCellStyle="Moeda">
      <calculatedColumnFormula>SUMIFS(tabela_registros[VALOR],tabela_registros[MÊS],$AE$1,tabela_registros[DIA],reservaoutrosconsolidadoset[[#Headers],[28]],tabela_registros[REGISTRO],DADOS!$N$3,tabela_registros[TIPO],DADOS!$V$3,tabela_registros[CATEGORIA],reservaoutrosconsolidadoset[[#This Row],[ATUAL]])</calculatedColumnFormula>
    </tableColumn>
    <tableColumn id="30" xr3:uid="{648BC868-92FB-4928-9CDD-B00E73FE27E1}" name="29" totalsRowFunction="sum" dataDxfId="2345" totalsRowDxfId="2344" dataCellStyle="Moeda">
      <calculatedColumnFormula>SUMIFS(tabela_registros[VALOR],tabela_registros[MÊS],$AE$1,tabela_registros[DIA],reservaoutrosconsolidadoset[[#Headers],[29]],tabela_registros[REGISTRO],DADOS!$N$3,tabela_registros[TIPO],DADOS!$V$3,tabela_registros[CATEGORIA],reservaoutrosconsolidadoset[[#This Row],[ATUAL]])</calculatedColumnFormula>
    </tableColumn>
    <tableColumn id="31" xr3:uid="{3DAB1725-D2AD-4A77-B1B1-54DA03B765C7}" name="30" totalsRowFunction="sum" dataDxfId="2343" totalsRowDxfId="2342" dataCellStyle="Moeda">
      <calculatedColumnFormula>SUMIFS(tabela_registros[VALOR],tabela_registros[MÊS],$AE$1,tabela_registros[DIA],reservaoutrosconsolidadoset[[#Headers],[30]],tabela_registros[REGISTRO],DADOS!$N$3,tabela_registros[TIPO],DADOS!$V$3,tabela_registros[CATEGORIA],reservaoutrosconsolidadoset[[#This Row],[ATUAL]])</calculatedColumnFormula>
    </tableColumn>
    <tableColumn id="32" xr3:uid="{1ED28D82-95D4-43FC-984F-C114C0823CE4}" name="31" totalsRowFunction="sum" dataDxfId="2341" totalsRowDxfId="2340" dataCellStyle="Moeda">
      <calculatedColumnFormula>SUMIFS(tabela_registros[VALOR],tabela_registros[MÊS],$AE$1,tabela_registros[DIA],reservaoutrosconsolidadoset[[#Headers],[31]],tabela_registros[REGISTRO],DADOS!$N$3,tabela_registros[TIPO],DADOS!$V$3,tabela_registros[CATEGORIA],reservaoutrosconsolidadoset[[#This Row],[ATUAL]])</calculatedColumnFormula>
    </tableColumn>
    <tableColumn id="33" xr3:uid="{EF01CBD5-6513-4295-A2CA-1A0B21905D5C}" name="TOTAL (R$)" totalsRowFunction="sum" dataDxfId="2339" dataCellStyle="Moeda">
      <calculatedColumnFormula>SUM(reservaoutrosconsolidadoset[[#This Row],[1]:[31]])</calculatedColumnFormula>
    </tableColumn>
  </tableColumns>
  <tableStyleInfo name="TABELAS RESULTADOS" showFirstColumn="0" showLastColumn="0" showRowStripes="1" showColumnStripes="0"/>
</table>
</file>

<file path=xl/tables/table1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2" xr:uid="{9DBD7EEB-F5F0-465B-BA9B-43D998054639}" name="despesafixaconsolidadoout" displayName="despesafixaconsolidadoout" ref="C36:AJ51" headerRowDxfId="2338" dataDxfId="2337" totalsRowDxfId="2336">
  <autoFilter ref="C36:AJ51" xr:uid="{5ADEFF0A-DF5A-4FC5-A9EC-68EEC14B5F43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  <filterColumn colId="25" hiddenButton="1"/>
    <filterColumn colId="26" hiddenButton="1"/>
    <filterColumn colId="27" hiddenButton="1"/>
    <filterColumn colId="28" hiddenButton="1"/>
    <filterColumn colId="29" hiddenButton="1"/>
    <filterColumn colId="30" hiddenButton="1"/>
    <filterColumn colId="31" hiddenButton="1"/>
    <filterColumn colId="32" hiddenButton="1"/>
    <filterColumn colId="33" hiddenButton="1"/>
  </autoFilter>
  <tableColumns count="34">
    <tableColumn id="1" xr3:uid="{30A55ACD-AFD8-4849-921B-21F6D55C476B}" name="DESPESA FIXA" totalsRowLabel="Total" dataDxfId="2335"/>
    <tableColumn id="42" xr3:uid="{76C2373F-0867-47F5-86FB-8D0320634CEA}" name="Coluna1" dataDxfId="2334">
      <calculatedColumnFormula>IF(despesafixaconsolidadoout[[#This Row],[TOTAL]]=0,"",IF(OR(despesafixaconsolidadoout[[#This Row],[TOTAL]]=SMALL($AJ$37:$AJ$50,1),despesafixaconsolidadoout[[#This Row],[TOTAL]]=SMALL($AJ$37:$AJ$50,2),despesafixaconsolidadoout[[#This Row],[TOTAL]]=SMALL($AJ$37:$AJ$50,3),despesafixaconsolidadoout[[#This Row],[TOTAL]]=SMALL($AJ$37:$AJ$50,4),despesafixaconsolidadoout[[#This Row],[TOTAL]]=SMALL($AJ$37:$AJ$50,5)),DADOS!$I$8,""))</calculatedColumnFormula>
    </tableColumn>
    <tableColumn id="18" xr3:uid="{F86848D9-F99E-41AB-B1C0-2E0F28A6BD32}" name="1" totalsRowFunction="sum" dataDxfId="2333" dataCellStyle="Moeda">
      <calculatedColumnFormula>SUMIFS(tabela_registros[VALOR],tabela_registros[MÊS],$AE$1,tabela_registros[DIA],jantotal[[#Headers],[1]],tabela_registros[REGISTRO],DADOS!$N$4,tabela_registros[TIPO],DADOS!$P$3,tabela_registros[CATEGORIA],despesafixaconsolidadoout[[#This Row],[DESPESA FIXA]])</calculatedColumnFormula>
    </tableColumn>
    <tableColumn id="19" xr3:uid="{52F21C56-4F68-4C2E-8F7F-DB384627AD3B}" name="2" totalsRowFunction="sum" dataDxfId="2332" dataCellStyle="Moeda">
      <calculatedColumnFormula>SUMIFS(tabela_registros[VALOR],tabela_registros[MÊS],$AE$1,tabela_registros[DIA],jantotal[[#Headers],[2]],tabela_registros[REGISTRO],DADOS!$N$4,tabela_registros[TIPO],DADOS!$P$3,tabela_registros[CATEGORIA],despesafixaconsolidadoout[[#This Row],[DESPESA FIXA]])</calculatedColumnFormula>
    </tableColumn>
    <tableColumn id="20" xr3:uid="{97A4DD58-5C0A-4CEB-8B55-4B1A74B3B33A}" name="3" totalsRowFunction="sum" dataDxfId="2331" totalsRowDxfId="2330" dataCellStyle="Moeda">
      <calculatedColumnFormula>SUMIFS(tabela_registros[VALOR],tabela_registros[MÊS],$AE$1,tabela_registros[DIA],jantotal[[#Headers],[3]],tabela_registros[REGISTRO],DADOS!$N$4,tabela_registros[TIPO],DADOS!$P$3,tabela_registros[CATEGORIA],despesafixaconsolidadoout[[#This Row],[DESPESA FIXA]])</calculatedColumnFormula>
    </tableColumn>
    <tableColumn id="21" xr3:uid="{6CB499F4-882E-44DA-B6DA-BA26F47A5513}" name="4" totalsRowFunction="sum" dataDxfId="2329" totalsRowDxfId="2328" dataCellStyle="Moeda">
      <calculatedColumnFormula>SUMIFS(tabela_registros[VALOR],tabela_registros[MÊS],$AE$1,tabela_registros[DIA],jantotal[[#Headers],[4]],tabela_registros[REGISTRO],DADOS!$N$4,tabela_registros[TIPO],DADOS!$P$3,tabela_registros[CATEGORIA],despesafixaconsolidadoout[[#This Row],[DESPESA FIXA]])</calculatedColumnFormula>
    </tableColumn>
    <tableColumn id="22" xr3:uid="{EA0BDD72-5EB7-4718-A4B4-D572FDDF8974}" name="5" totalsRowFunction="sum" dataDxfId="2327" totalsRowDxfId="2326" dataCellStyle="Moeda">
      <calculatedColumnFormula>SUMIFS(tabela_registros[VALOR],tabela_registros[MÊS],$AE$1,tabela_registros[DIA],jantotal[[#Headers],[5]],tabela_registros[REGISTRO],DADOS!$N$4,tabela_registros[TIPO],DADOS!$P$3,tabela_registros[CATEGORIA],despesafixaconsolidadoout[[#This Row],[DESPESA FIXA]])</calculatedColumnFormula>
    </tableColumn>
    <tableColumn id="23" xr3:uid="{FC5009F6-730F-4C6E-9445-2B7162477D80}" name="6" totalsRowFunction="sum" dataDxfId="2325" totalsRowDxfId="2324" dataCellStyle="Moeda">
      <calculatedColumnFormula>SUMIFS(tabela_registros[VALOR],tabela_registros[MÊS],$AE$1,tabela_registros[DIA],jantotal[[#Headers],[6]],tabela_registros[REGISTRO],DADOS!$N$4,tabela_registros[TIPO],DADOS!$P$3,tabela_registros[CATEGORIA],despesafixaconsolidadoout[[#This Row],[DESPESA FIXA]])</calculatedColumnFormula>
    </tableColumn>
    <tableColumn id="24" xr3:uid="{4772B6B4-03B4-4903-8FE6-3AEEDC68EA8A}" name="7" totalsRowFunction="sum" dataDxfId="2323" totalsRowDxfId="2322" dataCellStyle="Moeda">
      <calculatedColumnFormula>SUMIFS(tabela_registros[VALOR],tabela_registros[MÊS],$AE$1,tabela_registros[DIA],jantotal[[#Headers],[7]],tabela_registros[REGISTRO],DADOS!$N$4,tabela_registros[TIPO],DADOS!$P$3,tabela_registros[CATEGORIA],despesafixaconsolidadoout[[#This Row],[DESPESA FIXA]])</calculatedColumnFormula>
    </tableColumn>
    <tableColumn id="25" xr3:uid="{35E2D8E4-EEA0-4E09-9B9A-04BD25640BBD}" name="8" totalsRowFunction="sum" dataDxfId="2321" totalsRowDxfId="2320" dataCellStyle="Moeda">
      <calculatedColumnFormula>SUMIFS(tabela_registros[VALOR],tabela_registros[MÊS],$AE$1,tabela_registros[DIA],jantotal[[#Headers],[8]],tabela_registros[REGISTRO],DADOS!$N$4,tabela_registros[TIPO],DADOS!$P$3,tabela_registros[CATEGORIA],despesafixaconsolidadoout[[#This Row],[DESPESA FIXA]])</calculatedColumnFormula>
    </tableColumn>
    <tableColumn id="26" xr3:uid="{357340D5-CCC2-471C-80F6-DF4B0A1A88F6}" name="9" totalsRowFunction="sum" dataDxfId="2319" totalsRowDxfId="2318" dataCellStyle="Moeda">
      <calculatedColumnFormula>SUMIFS(tabela_registros[VALOR],tabela_registros[MÊS],$AE$1,tabela_registros[DIA],jantotal[[#Headers],[9]],tabela_registros[REGISTRO],DADOS!$N$4,tabela_registros[TIPO],DADOS!$P$3,tabela_registros[CATEGORIA],despesafixaconsolidadoout[[#This Row],[DESPESA FIXA]])</calculatedColumnFormula>
    </tableColumn>
    <tableColumn id="27" xr3:uid="{72CC80D9-A7AC-464B-8AF6-4FE1090084A4}" name="10" totalsRowFunction="sum" dataDxfId="2317" totalsRowDxfId="2316" dataCellStyle="Moeda">
      <calculatedColumnFormula>SUMIFS(tabela_registros[VALOR],tabela_registros[MÊS],$AE$1,tabela_registros[DIA],jantotal[[#Headers],[10]],tabela_registros[REGISTRO],DADOS!$N$4,tabela_registros[TIPO],DADOS!$P$3,tabela_registros[CATEGORIA],despesafixaconsolidadoout[[#This Row],[DESPESA FIXA]])</calculatedColumnFormula>
    </tableColumn>
    <tableColumn id="28" xr3:uid="{37ED4E59-4861-41D4-9B60-99416F7FE27B}" name="11" totalsRowFunction="sum" dataDxfId="2315" totalsRowDxfId="2314" dataCellStyle="Moeda">
      <calculatedColumnFormula>SUMIFS(tabela_registros[VALOR],tabela_registros[MÊS],$AE$1,tabela_registros[DIA],jantotal[[#Headers],[11]],tabela_registros[REGISTRO],DADOS!$N$4,tabela_registros[TIPO],DADOS!$P$3,tabela_registros[CATEGORIA],despesafixaconsolidadoout[[#This Row],[DESPESA FIXA]])</calculatedColumnFormula>
    </tableColumn>
    <tableColumn id="29" xr3:uid="{EFD2C085-38C8-46FF-82E2-E251FDC83A37}" name="12" totalsRowFunction="sum" dataDxfId="2313" totalsRowDxfId="2312" dataCellStyle="Moeda">
      <calculatedColumnFormula>SUMIFS(tabela_registros[VALOR],tabela_registros[MÊS],$AE$1,tabela_registros[DIA],jantotal[[#Headers],[12]],tabela_registros[REGISTRO],DADOS!$N$4,tabela_registros[TIPO],DADOS!$P$3,tabela_registros[CATEGORIA],despesafixaconsolidadoout[[#This Row],[DESPESA FIXA]])</calculatedColumnFormula>
    </tableColumn>
    <tableColumn id="30" xr3:uid="{32541985-A5F0-4912-AED9-3248A426053C}" name="13" totalsRowFunction="sum" dataDxfId="2311" totalsRowDxfId="2310" dataCellStyle="Moeda">
      <calculatedColumnFormula>SUMIFS(tabela_registros[VALOR],tabela_registros[MÊS],$AE$1,tabela_registros[DIA],jantotal[[#Headers],[13]],tabela_registros[REGISTRO],DADOS!$N$4,tabela_registros[TIPO],DADOS!$P$3,tabela_registros[CATEGORIA],despesafixaconsolidadoout[[#This Row],[DESPESA FIXA]])</calculatedColumnFormula>
    </tableColumn>
    <tableColumn id="31" xr3:uid="{893CC878-F65B-4C48-B6B6-A59FA216029E}" name="14" totalsRowFunction="sum" dataDxfId="2309" totalsRowDxfId="2308" dataCellStyle="Moeda">
      <calculatedColumnFormula>SUMIFS(tabela_registros[VALOR],tabela_registros[MÊS],$AE$1,tabela_registros[DIA],jantotal[[#Headers],[14]],tabela_registros[REGISTRO],DADOS!$N$4,tabela_registros[TIPO],DADOS!$P$3,tabela_registros[CATEGORIA],despesafixaconsolidadoout[[#This Row],[DESPESA FIXA]])</calculatedColumnFormula>
    </tableColumn>
    <tableColumn id="32" xr3:uid="{9FDF526E-5D61-4CC7-AB8B-E3A91E9E5A07}" name="15" totalsRowFunction="sum" dataDxfId="2307" totalsRowDxfId="2306" dataCellStyle="Moeda">
      <calculatedColumnFormula>SUMIFS(tabela_registros[VALOR],tabela_registros[MÊS],$AE$1,tabela_registros[DIA],jantotal[[#Headers],[15]],tabela_registros[REGISTRO],DADOS!$N$4,tabela_registros[TIPO],DADOS!$P$3,tabela_registros[CATEGORIA],despesafixaconsolidadoout[[#This Row],[DESPESA FIXA]])</calculatedColumnFormula>
    </tableColumn>
    <tableColumn id="33" xr3:uid="{A7080BB4-92CA-4627-908C-57407054B89F}" name="16" totalsRowFunction="sum" dataDxfId="2305" totalsRowDxfId="2304" dataCellStyle="Moeda">
      <calculatedColumnFormula>SUMIFS(tabela_registros[VALOR],tabela_registros[MÊS],$AE$1,tabela_registros[DIA],jantotal[[#Headers],[16]],tabela_registros[REGISTRO],DADOS!$N$4,tabela_registros[TIPO],DADOS!$P$3,tabela_registros[CATEGORIA],despesafixaconsolidadoout[[#This Row],[DESPESA FIXA]])</calculatedColumnFormula>
    </tableColumn>
    <tableColumn id="34" xr3:uid="{2723F06A-3B0E-47E6-99BB-203BAC0A10EE}" name="17" totalsRowFunction="sum" dataDxfId="2303" totalsRowDxfId="2302" dataCellStyle="Moeda">
      <calculatedColumnFormula>SUMIFS(tabela_registros[VALOR],tabela_registros[MÊS],$AE$1,tabela_registros[DIA],jantotal[[#Headers],[17]],tabela_registros[REGISTRO],DADOS!$N$4,tabela_registros[TIPO],DADOS!$P$3,tabela_registros[CATEGORIA],despesafixaconsolidadoout[[#This Row],[DESPESA FIXA]])</calculatedColumnFormula>
    </tableColumn>
    <tableColumn id="35" xr3:uid="{8D0C417A-017B-44B0-8804-FB6E698DD10B}" name="18" totalsRowFunction="sum" dataDxfId="2301" totalsRowDxfId="2300" dataCellStyle="Moeda">
      <calculatedColumnFormula>SUMIFS(tabela_registros[VALOR],tabela_registros[MÊS],$AE$1,tabela_registros[DIA],jantotal[[#Headers],[18]],tabela_registros[REGISTRO],DADOS!$N$4,tabela_registros[TIPO],DADOS!$P$3,tabela_registros[CATEGORIA],despesafixaconsolidadoout[[#This Row],[DESPESA FIXA]])</calculatedColumnFormula>
    </tableColumn>
    <tableColumn id="36" xr3:uid="{8CDA98F8-D117-4E96-93B6-E0F4338D2A1D}" name="19" totalsRowFunction="sum" dataDxfId="2299" totalsRowDxfId="2298" dataCellStyle="Moeda">
      <calculatedColumnFormula>SUMIFS(tabela_registros[VALOR],tabela_registros[MÊS],$AE$1,tabela_registros[DIA],jantotal[[#Headers],[19]],tabela_registros[REGISTRO],DADOS!$N$4,tabela_registros[TIPO],DADOS!$P$3,tabela_registros[CATEGORIA],despesafixaconsolidadoout[[#This Row],[DESPESA FIXA]])</calculatedColumnFormula>
    </tableColumn>
    <tableColumn id="37" xr3:uid="{A683DCAE-8F22-4FC2-9484-06B244DF0B16}" name="20" totalsRowFunction="sum" dataDxfId="2297" totalsRowDxfId="2296" dataCellStyle="Moeda">
      <calculatedColumnFormula>SUMIFS(tabela_registros[VALOR],tabela_registros[MÊS],$AE$1,tabela_registros[DIA],jantotal[[#Headers],[20]],tabela_registros[REGISTRO],DADOS!$N$4,tabela_registros[TIPO],DADOS!$P$3,tabela_registros[CATEGORIA],despesafixaconsolidadoout[[#This Row],[DESPESA FIXA]])</calculatedColumnFormula>
    </tableColumn>
    <tableColumn id="38" xr3:uid="{97236844-0419-43E9-BC74-1CC97D33ACEF}" name="21" totalsRowFunction="sum" dataDxfId="2295" totalsRowDxfId="2294" dataCellStyle="Moeda">
      <calculatedColumnFormula>SUMIFS(tabela_registros[VALOR],tabela_registros[MÊS],$AE$1,tabela_registros[DIA],jantotal[[#Headers],[21]],tabela_registros[REGISTRO],DADOS!$N$4,tabela_registros[TIPO],DADOS!$P$3,tabela_registros[CATEGORIA],despesafixaconsolidadoout[[#This Row],[DESPESA FIXA]])</calculatedColumnFormula>
    </tableColumn>
    <tableColumn id="39" xr3:uid="{19926570-A036-41D5-A310-934C5B11CD62}" name="22" totalsRowFunction="sum" dataDxfId="2293" totalsRowDxfId="2292" dataCellStyle="Moeda">
      <calculatedColumnFormula>SUMIFS(tabela_registros[VALOR],tabela_registros[MÊS],$AE$1,tabela_registros[DIA],jantotal[[#Headers],[22]],tabela_registros[REGISTRO],DADOS!$N$4,tabela_registros[TIPO],DADOS!$P$3,tabela_registros[CATEGORIA],despesafixaconsolidadoout[[#This Row],[DESPESA FIXA]])</calculatedColumnFormula>
    </tableColumn>
    <tableColumn id="40" xr3:uid="{EEB6253F-5B03-43D7-B5F6-743F8EC4F2C4}" name="23" totalsRowFunction="sum" dataDxfId="2291" totalsRowDxfId="2290" dataCellStyle="Moeda">
      <calculatedColumnFormula>SUMIFS(tabela_registros[VALOR],tabela_registros[MÊS],$AE$1,tabela_registros[DIA],jantotal[[#Headers],[23]],tabela_registros[REGISTRO],DADOS!$N$4,tabela_registros[TIPO],DADOS!$P$3,tabela_registros[CATEGORIA],despesafixaconsolidadoout[[#This Row],[DESPESA FIXA]])</calculatedColumnFormula>
    </tableColumn>
    <tableColumn id="41" xr3:uid="{25D6075F-81D7-4AEC-8A09-B5A3B6FFA008}" name="24" totalsRowFunction="sum" dataDxfId="2289" totalsRowDxfId="2288" dataCellStyle="Moeda">
      <calculatedColumnFormula>SUMIFS(tabela_registros[VALOR],tabela_registros[MÊS],$AE$1,tabela_registros[DIA],jantotal[[#Headers],[24]],tabela_registros[REGISTRO],DADOS!$N$4,tabela_registros[TIPO],DADOS!$P$3,tabela_registros[CATEGORIA],despesafixaconsolidadoout[[#This Row],[DESPESA FIXA]])</calculatedColumnFormula>
    </tableColumn>
    <tableColumn id="12" xr3:uid="{50D971B6-3A77-4E49-8362-0DB1B34A50AD}" name="25" totalsRowFunction="sum" dataDxfId="2287" totalsRowDxfId="2286" dataCellStyle="Moeda">
      <calculatedColumnFormula>SUMIFS(tabela_registros[VALOR],tabela_registros[MÊS],$AE$1,tabela_registros[DIA],jantotal[[#Headers],[25]],tabela_registros[REGISTRO],DADOS!$N$4,tabela_registros[TIPO],DADOS!$P$3,tabela_registros[CATEGORIA],despesafixaconsolidadoout[[#This Row],[DESPESA FIXA]])</calculatedColumnFormula>
    </tableColumn>
    <tableColumn id="13" xr3:uid="{91CE4559-FCFB-406F-876F-1CFDDA637467}" name="26" totalsRowFunction="sum" dataDxfId="2285" totalsRowDxfId="2284" dataCellStyle="Moeda">
      <calculatedColumnFormula>SUMIFS(tabela_registros[VALOR],tabela_registros[MÊS],$AE$1,tabela_registros[DIA],jantotal[[#Headers],[26]],tabela_registros[REGISTRO],DADOS!$N$4,tabela_registros[TIPO],DADOS!$P$3,tabela_registros[CATEGORIA],despesafixaconsolidadoout[[#This Row],[DESPESA FIXA]])</calculatedColumnFormula>
    </tableColumn>
    <tableColumn id="14" xr3:uid="{EB4857B3-2F22-41DE-BD27-C3384C1BDA23}" name="27" totalsRowFunction="sum" dataDxfId="2283" totalsRowDxfId="2282" dataCellStyle="Moeda">
      <calculatedColumnFormula>SUMIFS(tabela_registros[VALOR],tabela_registros[MÊS],$AE$1,tabela_registros[DIA],jantotal[[#Headers],[27]],tabela_registros[REGISTRO],DADOS!$N$4,tabela_registros[TIPO],DADOS!$P$3,tabela_registros[CATEGORIA],despesafixaconsolidadoout[[#This Row],[DESPESA FIXA]])</calculatedColumnFormula>
    </tableColumn>
    <tableColumn id="15" xr3:uid="{6848DBF1-CCCB-42F8-AA41-ACE88BB8DE8E}" name="28" totalsRowFunction="sum" dataDxfId="2281" totalsRowDxfId="2280" dataCellStyle="Moeda">
      <calculatedColumnFormula>SUMIFS(tabela_registros[VALOR],tabela_registros[MÊS],$AE$1,tabela_registros[DIA],jantotal[[#Headers],[28]],tabela_registros[REGISTRO],DADOS!$N$4,tabela_registros[TIPO],DADOS!$P$3,tabela_registros[CATEGORIA],despesafixaconsolidadoout[[#This Row],[DESPESA FIXA]])</calculatedColumnFormula>
    </tableColumn>
    <tableColumn id="16" xr3:uid="{72A0F3B4-4E23-42EB-9B12-E19F768E0EC8}" name="29" totalsRowFunction="sum" dataDxfId="2279" totalsRowDxfId="2278" dataCellStyle="Moeda">
      <calculatedColumnFormula>SUMIFS(tabela_registros[VALOR],tabela_registros[MÊS],$AE$1,tabela_registros[DIA],jantotal[[#Headers],[29]],tabela_registros[REGISTRO],DADOS!$N$4,tabela_registros[TIPO],DADOS!$P$3,tabela_registros[CATEGORIA],despesafixaconsolidadoout[[#This Row],[DESPESA FIXA]])</calculatedColumnFormula>
    </tableColumn>
    <tableColumn id="17" xr3:uid="{4A5405F1-A0CC-4F38-8388-D18AD675D281}" name="30" totalsRowFunction="sum" dataDxfId="2277" totalsRowDxfId="2276" dataCellStyle="Moeda">
      <calculatedColumnFormula>SUMIFS(tabela_registros[VALOR],tabela_registros[MÊS],$AE$1,tabela_registros[DIA],jantotal[[#Headers],[30]],tabela_registros[REGISTRO],DADOS!$N$4,tabela_registros[TIPO],DADOS!$P$3,tabela_registros[CATEGORIA],despesafixaconsolidadoout[[#This Row],[DESPESA FIXA]])</calculatedColumnFormula>
    </tableColumn>
    <tableColumn id="9" xr3:uid="{C3195D39-A637-4426-8805-D47823EFC2C6}" name="31" totalsRowFunction="sum" dataDxfId="2275" totalsRowDxfId="2274" dataCellStyle="Moeda">
      <calculatedColumnFormula>SUMIFS(tabela_registros[VALOR],tabela_registros[MÊS],$AE$1,tabela_registros[DIA],jantotal[[#Headers],[31]],tabela_registros[REGISTRO],DADOS!$N$4,tabela_registros[TIPO],DADOS!$P$3,tabela_registros[CATEGORIA],despesafixaconsolidadoout[[#This Row],[DESPESA FIXA]])</calculatedColumnFormula>
    </tableColumn>
    <tableColumn id="5" xr3:uid="{9A54C353-7C7F-47AF-A67C-91AFB37A89C4}" name="TOTAL" totalsRowFunction="sum" dataDxfId="2273" dataCellStyle="Moeda">
      <calculatedColumnFormula>SUM(despesafixaconsolidadoout[[#This Row],[1]:[31]])</calculatedColumnFormula>
    </tableColumn>
  </tableColumns>
  <tableStyleInfo name="TABELAS RESULTADOS" showFirstColumn="0" showLastColumn="1" showRowStripes="1" showColumnStripes="0"/>
</table>
</file>

<file path=xl/tables/table12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3" xr:uid="{AAA67E37-A49B-4E82-9575-9507268BDBE7}" name="despesavariávelconsolidadoout" displayName="despesavariávelconsolidadoout" ref="C59:AJ73" headerRowDxfId="2272" dataDxfId="2271" totalsRowDxfId="2270" dataCellStyle="Moeda">
  <autoFilter ref="C59:AJ73" xr:uid="{07DB3A1D-DBCD-42BC-96FE-46512EDE2C70}"/>
  <tableColumns count="34">
    <tableColumn id="1" xr3:uid="{A5A5F8B5-65AC-4D7A-85A6-27764DEEB221}" name="DESPESA VARIÁVEL" totalsRowLabel="Total" dataDxfId="2269" totalsRowDxfId="2268">
      <calculatedColumnFormula>DADOS!T3</calculatedColumnFormula>
    </tableColumn>
    <tableColumn id="54" xr3:uid="{1E71573B-BB91-4032-A6A0-4B0261F87199}" name="Coluna1" dataDxfId="2267" totalsRowDxfId="2266">
      <calculatedColumnFormula>IF(despesavariávelconsolidadoout[[#This Row],[TOTAL]]=0,"",IF(OR(despesavariávelconsolidadoout[[#This Row],[TOTAL]]=SMALL(despesavariávelconsolidadoout[TOTAL],1),despesavariávelconsolidadoout[[#This Row],[TOTAL]]=SMALL(despesavariávelconsolidadoout[TOTAL],2),despesavariávelconsolidadoout[[#This Row],[TOTAL]]=SMALL(despesavariávelconsolidadoout[TOTAL],3),despesavariávelconsolidadoout[[#This Row],[TOTAL]]=SMALL(despesavariávelconsolidadoout[TOTAL],4),despesavariávelconsolidadoout[[#This Row],[TOTAL]]=SMALL(despesavariávelconsolidadoout[TOTAL],5)),DADOS!$I$8,""))</calculatedColumnFormula>
    </tableColumn>
    <tableColumn id="30" xr3:uid="{F913DCD6-37A4-407F-A472-CF828BB195FA}" name="1" totalsRowFunction="sum" dataDxfId="2265">
      <calculatedColumnFormula>SUMIFS(tabela_registros[VALOR],tabela_registros[MÊS],$AE$1,tabela_registros[DIA],jantotal[[#Headers],[1]],tabela_registros[REGISTRO],DADOS!$N$4,tabela_registros[TIPO],DADOS!$P$4,tabela_registros[CATEGORIA],despesavariávelconsolidadoout[[#This Row],[DESPESA VARIÁVEL]])</calculatedColumnFormula>
    </tableColumn>
    <tableColumn id="31" xr3:uid="{15B19A17-8F9D-4647-8AB3-390105B76D3F}" name="2" totalsRowFunction="sum" dataDxfId="2264">
      <calculatedColumnFormula>SUMIFS(tabela_registros[VALOR],tabela_registros[MÊS],$AE$1,tabela_registros[DIA],jantotal[[#Headers],[2]],tabela_registros[REGISTRO],DADOS!$N$4,tabela_registros[TIPO],DADOS!$P$4,tabela_registros[CATEGORIA],despesavariávelconsolidadoout[[#This Row],[DESPESA VARIÁVEL]])</calculatedColumnFormula>
    </tableColumn>
    <tableColumn id="32" xr3:uid="{5AFF40B5-C7A6-4C35-8593-AA23FF782496}" name="3" totalsRowFunction="sum" dataDxfId="2263">
      <calculatedColumnFormula>SUMIFS(tabela_registros[VALOR],tabela_registros[MÊS],$AE$1,tabela_registros[DIA],jantotal[[#Headers],[3]],tabela_registros[REGISTRO],DADOS!$N$4,tabela_registros[TIPO],DADOS!$P$4,tabela_registros[CATEGORIA],despesavariávelconsolidadoout[[#This Row],[DESPESA VARIÁVEL]])</calculatedColumnFormula>
    </tableColumn>
    <tableColumn id="33" xr3:uid="{C22ECA49-4C47-4666-BBB0-D70EA554F0A9}" name="4" totalsRowFunction="sum" dataDxfId="2262">
      <calculatedColumnFormula>SUMIFS(tabela_registros[VALOR],tabela_registros[MÊS],$AE$1,tabela_registros[DIA],jantotal[[#Headers],[4]],tabela_registros[REGISTRO],DADOS!$N$4,tabela_registros[TIPO],DADOS!$P$4,tabela_registros[CATEGORIA],despesavariávelconsolidadoout[[#This Row],[DESPESA VARIÁVEL]])</calculatedColumnFormula>
    </tableColumn>
    <tableColumn id="34" xr3:uid="{C6B35409-480F-4633-B433-28BE0BDB249D}" name="5" totalsRowFunction="sum" dataDxfId="2261">
      <calculatedColumnFormula>SUMIFS(tabela_registros[VALOR],tabela_registros[MÊS],$AE$1,tabela_registros[DIA],jantotal[[#Headers],[5]],tabela_registros[REGISTRO],DADOS!$N$4,tabela_registros[TIPO],DADOS!$P$4,tabela_registros[CATEGORIA],despesavariávelconsolidadoout[[#This Row],[DESPESA VARIÁVEL]])</calculatedColumnFormula>
    </tableColumn>
    <tableColumn id="35" xr3:uid="{17187690-EF5F-4CE8-A5D8-BD710E6EBA56}" name="6" totalsRowFunction="sum" dataDxfId="2260">
      <calculatedColumnFormula>SUMIFS(tabela_registros[VALOR],tabela_registros[MÊS],$AE$1,tabela_registros[DIA],jantotal[[#Headers],[6]],tabela_registros[REGISTRO],DADOS!$N$4,tabela_registros[TIPO],DADOS!$P$4,tabela_registros[CATEGORIA],despesavariávelconsolidadoout[[#This Row],[DESPESA VARIÁVEL]])</calculatedColumnFormula>
    </tableColumn>
    <tableColumn id="36" xr3:uid="{3BD7E657-D521-49DC-8B23-AC55590A8189}" name="7" totalsRowFunction="sum" dataDxfId="2259">
      <calculatedColumnFormula>SUMIFS(tabela_registros[VALOR],tabela_registros[MÊS],$AE$1,tabela_registros[DIA],jantotal[[#Headers],[7]],tabela_registros[REGISTRO],DADOS!$N$4,tabela_registros[TIPO],DADOS!$P$4,tabela_registros[CATEGORIA],despesavariávelconsolidadoout[[#This Row],[DESPESA VARIÁVEL]])</calculatedColumnFormula>
    </tableColumn>
    <tableColumn id="37" xr3:uid="{9AFAA475-6045-471E-90B8-18B5A130B2BA}" name="8" totalsRowFunction="sum" dataDxfId="2258">
      <calculatedColumnFormula>SUMIFS(tabela_registros[VALOR],tabela_registros[MÊS],$AE$1,tabela_registros[DIA],jantotal[[#Headers],[8]],tabela_registros[REGISTRO],DADOS!$N$4,tabela_registros[TIPO],DADOS!$P$4,tabela_registros[CATEGORIA],despesavariávelconsolidadoout[[#This Row],[DESPESA VARIÁVEL]])</calculatedColumnFormula>
    </tableColumn>
    <tableColumn id="38" xr3:uid="{78E7A876-3C3F-41D6-95F8-99BEECB44BE8}" name="9" totalsRowFunction="sum" dataDxfId="2257">
      <calculatedColumnFormula>SUMIFS(tabela_registros[VALOR],tabela_registros[MÊS],$AE$1,tabela_registros[DIA],jantotal[[#Headers],[9]],tabela_registros[REGISTRO],DADOS!$N$4,tabela_registros[TIPO],DADOS!$P$4,tabela_registros[CATEGORIA],despesavariávelconsolidadoout[[#This Row],[DESPESA VARIÁVEL]])</calculatedColumnFormula>
    </tableColumn>
    <tableColumn id="39" xr3:uid="{60A1EADC-6DE4-4D97-9927-30C4041D448F}" name="10" totalsRowFunction="sum" dataDxfId="2256">
      <calculatedColumnFormula>SUMIFS(tabela_registros[VALOR],tabela_registros[MÊS],$AE$1,tabela_registros[DIA],jantotal[[#Headers],[10]],tabela_registros[REGISTRO],DADOS!$N$4,tabela_registros[TIPO],DADOS!$P$4,tabela_registros[CATEGORIA],despesavariávelconsolidadoout[[#This Row],[DESPESA VARIÁVEL]])</calculatedColumnFormula>
    </tableColumn>
    <tableColumn id="40" xr3:uid="{5D15D9C6-4E49-4707-AC1C-6E31BA0BCE5D}" name="11" totalsRowFunction="sum" dataDxfId="2255">
      <calculatedColumnFormula>SUMIFS(tabela_registros[VALOR],tabela_registros[MÊS],$AE$1,tabela_registros[DIA],jantotal[[#Headers],[11]],tabela_registros[REGISTRO],DADOS!$N$4,tabela_registros[TIPO],DADOS!$P$4,tabela_registros[CATEGORIA],despesavariávelconsolidadoout[[#This Row],[DESPESA VARIÁVEL]])</calculatedColumnFormula>
    </tableColumn>
    <tableColumn id="41" xr3:uid="{B56AB68C-15E0-4BF2-BB69-182E8CBC3F0D}" name="12" totalsRowFunction="sum" dataDxfId="2254">
      <calculatedColumnFormula>SUMIFS(tabela_registros[VALOR],tabela_registros[MÊS],$AE$1,tabela_registros[DIA],jantotal[[#Headers],[12]],tabela_registros[REGISTRO],DADOS!$N$4,tabela_registros[TIPO],DADOS!$P$4,tabela_registros[CATEGORIA],despesavariávelconsolidadoout[[#This Row],[DESPESA VARIÁVEL]])</calculatedColumnFormula>
    </tableColumn>
    <tableColumn id="42" xr3:uid="{1FC56021-DDBB-4A0C-A729-3D1EF6ACFB90}" name="13" totalsRowFunction="sum" dataDxfId="2253">
      <calculatedColumnFormula>SUMIFS(tabela_registros[VALOR],tabela_registros[MÊS],$AE$1,tabela_registros[DIA],jantotal[[#Headers],[13]],tabela_registros[REGISTRO],DADOS!$N$4,tabela_registros[TIPO],DADOS!$P$4,tabela_registros[CATEGORIA],despesavariávelconsolidadoout[[#This Row],[DESPESA VARIÁVEL]])</calculatedColumnFormula>
    </tableColumn>
    <tableColumn id="43" xr3:uid="{3B16355A-9140-4E7F-982D-69EE29ADE97D}" name="14" totalsRowFunction="sum" dataDxfId="2252">
      <calculatedColumnFormula>SUMIFS(tabela_registros[VALOR],tabela_registros[MÊS],$AE$1,tabela_registros[DIA],jantotal[[#Headers],[14]],tabela_registros[REGISTRO],DADOS!$N$4,tabela_registros[TIPO],DADOS!$P$4,tabela_registros[CATEGORIA],despesavariávelconsolidadoout[[#This Row],[DESPESA VARIÁVEL]])</calculatedColumnFormula>
    </tableColumn>
    <tableColumn id="44" xr3:uid="{0EB2AB40-5B19-4D6A-A9EB-07332204D009}" name="15" totalsRowFunction="sum" dataDxfId="2251">
      <calculatedColumnFormula>SUMIFS(tabela_registros[VALOR],tabela_registros[MÊS],$AE$1,tabela_registros[DIA],jantotal[[#Headers],[15]],tabela_registros[REGISTRO],DADOS!$N$4,tabela_registros[TIPO],DADOS!$P$4,tabela_registros[CATEGORIA],despesavariávelconsolidadoout[[#This Row],[DESPESA VARIÁVEL]])</calculatedColumnFormula>
    </tableColumn>
    <tableColumn id="45" xr3:uid="{63FCE16C-92F5-45F1-9655-CBD1CCDE77F1}" name="16" totalsRowFunction="sum" dataDxfId="2250">
      <calculatedColumnFormula>SUMIFS(tabela_registros[VALOR],tabela_registros[MÊS],$AE$1,tabela_registros[DIA],jantotal[[#Headers],[16]],tabela_registros[REGISTRO],DADOS!$N$4,tabela_registros[TIPO],DADOS!$P$4,tabela_registros[CATEGORIA],despesavariávelconsolidadoout[[#This Row],[DESPESA VARIÁVEL]])</calculatedColumnFormula>
    </tableColumn>
    <tableColumn id="46" xr3:uid="{C923E8AE-AC22-4C2D-BEE4-06F74C016D67}" name="17" totalsRowFunction="sum" dataDxfId="2249">
      <calculatedColumnFormula>SUMIFS(tabela_registros[VALOR],tabela_registros[MÊS],$AE$1,tabela_registros[DIA],jantotal[[#Headers],[17]],tabela_registros[REGISTRO],DADOS!$N$4,tabela_registros[TIPO],DADOS!$P$4,tabela_registros[CATEGORIA],despesavariávelconsolidadoout[[#This Row],[DESPESA VARIÁVEL]])</calculatedColumnFormula>
    </tableColumn>
    <tableColumn id="47" xr3:uid="{C5E477DF-FD3D-4F31-9F69-415C5DE8BAB3}" name="18" totalsRowFunction="sum" dataDxfId="2248">
      <calculatedColumnFormula>SUMIFS(tabela_registros[VALOR],tabela_registros[MÊS],$AE$1,tabela_registros[DIA],jantotal[[#Headers],[18]],tabela_registros[REGISTRO],DADOS!$N$4,tabela_registros[TIPO],DADOS!$P$4,tabela_registros[CATEGORIA],despesavariávelconsolidadoout[[#This Row],[DESPESA VARIÁVEL]])</calculatedColumnFormula>
    </tableColumn>
    <tableColumn id="48" xr3:uid="{F139DE76-4C97-406F-8021-8B14E6D6DF1F}" name="19" totalsRowFunction="sum" dataDxfId="2247">
      <calculatedColumnFormula>SUMIFS(tabela_registros[VALOR],tabela_registros[MÊS],$AE$1,tabela_registros[DIA],jantotal[[#Headers],[19]],tabela_registros[REGISTRO],DADOS!$N$4,tabela_registros[TIPO],DADOS!$P$4,tabela_registros[CATEGORIA],despesavariávelconsolidadoout[[#This Row],[DESPESA VARIÁVEL]])</calculatedColumnFormula>
    </tableColumn>
    <tableColumn id="49" xr3:uid="{6C7CF24E-DF61-4DE8-8EE4-A3D8D031D3BF}" name="20" totalsRowFunction="sum" dataDxfId="2246">
      <calculatedColumnFormula>SUMIFS(tabela_registros[VALOR],tabela_registros[MÊS],$AE$1,tabela_registros[DIA],jantotal[[#Headers],[20]],tabela_registros[REGISTRO],DADOS!$N$4,tabela_registros[TIPO],DADOS!$P$4,tabela_registros[CATEGORIA],despesavariávelconsolidadoout[[#This Row],[DESPESA VARIÁVEL]])</calculatedColumnFormula>
    </tableColumn>
    <tableColumn id="50" xr3:uid="{7EE067BD-1154-4306-AFBE-86A4C158EED0}" name="21" totalsRowFunction="sum" dataDxfId="2245">
      <calculatedColumnFormula>SUMIFS(tabela_registros[VALOR],tabela_registros[MÊS],$AE$1,tabela_registros[DIA],jantotal[[#Headers],[21]],tabela_registros[REGISTRO],DADOS!$N$4,tabela_registros[TIPO],DADOS!$P$4,tabela_registros[CATEGORIA],despesavariávelconsolidadoout[[#This Row],[DESPESA VARIÁVEL]])</calculatedColumnFormula>
    </tableColumn>
    <tableColumn id="51" xr3:uid="{D443AE96-7F02-49FD-8F07-9B9D9E9516BD}" name="22" totalsRowFunction="sum" dataDxfId="2244">
      <calculatedColumnFormula>SUMIFS(tabela_registros[VALOR],tabela_registros[MÊS],$AE$1,tabela_registros[DIA],jantotal[[#Headers],[22]],tabela_registros[REGISTRO],DADOS!$N$4,tabela_registros[TIPO],DADOS!$P$4,tabela_registros[CATEGORIA],despesavariávelconsolidadoout[[#This Row],[DESPESA VARIÁVEL]])</calculatedColumnFormula>
    </tableColumn>
    <tableColumn id="52" xr3:uid="{124C57D0-4680-4D05-B25D-4C67114CC7E4}" name="23" totalsRowFunction="sum" dataDxfId="2243">
      <calculatedColumnFormula>SUMIFS(tabela_registros[VALOR],tabela_registros[MÊS],$AE$1,tabela_registros[DIA],jantotal[[#Headers],[23]],tabela_registros[REGISTRO],DADOS!$N$4,tabela_registros[TIPO],DADOS!$P$4,tabela_registros[CATEGORIA],despesavariávelconsolidadoout[[#This Row],[DESPESA VARIÁVEL]])</calculatedColumnFormula>
    </tableColumn>
    <tableColumn id="53" xr3:uid="{B51D54E2-9E43-4B5C-9B2D-DA94D7A03A40}" name="24" totalsRowFunction="sum" dataDxfId="2242">
      <calculatedColumnFormula>SUMIFS(tabela_registros[VALOR],tabela_registros[MÊS],$AE$1,tabela_registros[DIA],jantotal[[#Headers],[24]],tabela_registros[REGISTRO],DADOS!$N$4,tabela_registros[TIPO],DADOS!$P$4,tabela_registros[CATEGORIA],despesavariávelconsolidadoout[[#This Row],[DESPESA VARIÁVEL]])</calculatedColumnFormula>
    </tableColumn>
    <tableColumn id="18" xr3:uid="{933233A2-881C-49B4-9433-5209EAEF375A}" name="25" totalsRowFunction="sum" dataDxfId="2241">
      <calculatedColumnFormula>SUMIFS(tabela_registros[VALOR],tabela_registros[MÊS],$AE$1,tabela_registros[DIA],jantotal[[#Headers],[25]],tabela_registros[REGISTRO],DADOS!$N$4,tabela_registros[TIPO],DADOS!$P$4,tabela_registros[CATEGORIA],despesavariávelconsolidadoout[[#This Row],[DESPESA VARIÁVEL]])</calculatedColumnFormula>
    </tableColumn>
    <tableColumn id="19" xr3:uid="{D56E9B71-553C-41B2-8F98-9350647C327C}" name="26" totalsRowFunction="sum" dataDxfId="2240">
      <calculatedColumnFormula>SUMIFS(tabela_registros[VALOR],tabela_registros[MÊS],$AE$1,tabela_registros[DIA],jantotal[[#Headers],[26]],tabela_registros[REGISTRO],DADOS!$N$4,tabela_registros[TIPO],DADOS!$P$4,tabela_registros[CATEGORIA],despesavariávelconsolidadoout[[#This Row],[DESPESA VARIÁVEL]])</calculatedColumnFormula>
    </tableColumn>
    <tableColumn id="20" xr3:uid="{AC11307B-B5F7-440A-B239-92952908AAF1}" name="27" totalsRowFunction="sum" dataDxfId="2239">
      <calculatedColumnFormula>SUMIFS(tabela_registros[VALOR],tabela_registros[MÊS],$AE$1,tabela_registros[DIA],jantotal[[#Headers],[27]],tabela_registros[REGISTRO],DADOS!$N$4,tabela_registros[TIPO],DADOS!$P$4,tabela_registros[CATEGORIA],despesavariávelconsolidadoout[[#This Row],[DESPESA VARIÁVEL]])</calculatedColumnFormula>
    </tableColumn>
    <tableColumn id="21" xr3:uid="{1B10E98D-6133-4C2A-9519-B4FD7CF79731}" name="28" totalsRowFunction="sum" dataDxfId="2238">
      <calculatedColumnFormula>SUMIFS(tabela_registros[VALOR],tabela_registros[MÊS],$AE$1,tabela_registros[DIA],jantotal[[#Headers],[28]],tabela_registros[REGISTRO],DADOS!$N$4,tabela_registros[TIPO],DADOS!$P$4,tabela_registros[CATEGORIA],despesavariávelconsolidadoout[[#This Row],[DESPESA VARIÁVEL]])</calculatedColumnFormula>
    </tableColumn>
    <tableColumn id="22" xr3:uid="{C3868167-7592-4570-A471-8A7C9B4042C1}" name="29" totalsRowFunction="sum" dataDxfId="2237">
      <calculatedColumnFormula>SUMIFS(tabela_registros[VALOR],tabela_registros[MÊS],$AE$1,tabela_registros[DIA],jantotal[[#Headers],[29]],tabela_registros[REGISTRO],DADOS!$N$4,tabela_registros[TIPO],DADOS!$P$4,tabela_registros[CATEGORIA],despesavariávelconsolidadoout[[#This Row],[DESPESA VARIÁVEL]])</calculatedColumnFormula>
    </tableColumn>
    <tableColumn id="23" xr3:uid="{C8CBC675-A050-4543-8C6E-6FDA8EC0CB44}" name="30" totalsRowFunction="sum" dataDxfId="2236">
      <calculatedColumnFormula>SUMIFS(tabela_registros[VALOR],tabela_registros[MÊS],$AE$1,tabela_registros[DIA],jantotal[[#Headers],[30]],tabela_registros[REGISTRO],DADOS!$N$4,tabela_registros[TIPO],DADOS!$P$4,tabela_registros[CATEGORIA],despesavariávelconsolidadoout[[#This Row],[DESPESA VARIÁVEL]])</calculatedColumnFormula>
    </tableColumn>
    <tableColumn id="24" xr3:uid="{CA246F1F-B545-4D45-B847-7F8B07456CCB}" name="31" totalsRowFunction="sum" dataDxfId="2235">
      <calculatedColumnFormula>SUMIFS(tabela_registros[VALOR],tabela_registros[MÊS],$AE$1,tabela_registros[DIA],jantotal[[#Headers],[31]],tabela_registros[REGISTRO],DADOS!$N$4,tabela_registros[TIPO],DADOS!$P$4,tabela_registros[CATEGORIA],despesavariávelconsolidadoout[[#This Row],[DESPESA VARIÁVEL]])</calculatedColumnFormula>
    </tableColumn>
    <tableColumn id="3" xr3:uid="{F07FFB18-ACE2-4958-845B-0C44E40B128F}" name="TOTAL" totalsRowFunction="sum" dataDxfId="2234" dataCellStyle="Moeda">
      <calculatedColumnFormula>-SUMIFS(tabela_registros[VALOR],tabela_registros[REGISTRO],DADOS!$N$4,tabela_registros[TIPO],despesavariável[[#Headers],[DESPESA VARIÁVEL]],tabela_registros[CATEGORIA],despesavariávelconsolidadoout[[#This Row],[DESPESA VARIÁVEL]])</calculatedColumnFormula>
    </tableColumn>
  </tableColumns>
  <tableStyleInfo name="TABELAS RESULTADOS" showFirstColumn="0" showLastColumn="1" showRowStripes="1" showColumnStripes="0"/>
</table>
</file>

<file path=xl/tables/table12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4" xr:uid="{60C47CF1-D816-48F5-B7C9-24868E5F2BBB}" name="outinvestir2158708294106118130142" displayName="outinvestir2158708294106118130142" ref="C24:AJ28" totalsRowCount="1" headerRowDxfId="2233" dataDxfId="2232" totalsRowDxfId="2230" tableBorderDxfId="2231" dataCellStyle="Moeda">
  <autoFilter ref="C24:AJ27" xr:uid="{6A49DC70-6E60-45C7-9126-6CFF5D88342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  <filterColumn colId="25" hiddenButton="1"/>
    <filterColumn colId="26" hiddenButton="1"/>
    <filterColumn colId="27" hiddenButton="1"/>
    <filterColumn colId="28" hiddenButton="1"/>
    <filterColumn colId="29" hiddenButton="1"/>
    <filterColumn colId="30" hiddenButton="1"/>
    <filterColumn colId="31" hiddenButton="1"/>
    <filterColumn colId="32" hiddenButton="1"/>
    <filterColumn colId="33" hiddenButton="1"/>
  </autoFilter>
  <tableColumns count="34">
    <tableColumn id="1" xr3:uid="{E836E4FE-03AE-4B08-A3A6-1A0CE4C0B996}" name="ATUAL" totalsRowLabel="SALDO" dataDxfId="2229"/>
    <tableColumn id="34" xr3:uid="{7CBE802B-6AA1-4DE6-B196-02CB53AC837A}" name="Coluna1" dataDxfId="2228"/>
    <tableColumn id="2" xr3:uid="{A98ED158-990A-4E6C-B24E-140BF1DD732C}" name="1" totalsRowFunction="sum" dataDxfId="2227" totalsRowDxfId="2226" dataCellStyle="Moeda"/>
    <tableColumn id="3" xr3:uid="{AE74F69B-23BB-4A66-A6C3-519E47F3914C}" name="2" totalsRowFunction="sum" dataDxfId="2225" totalsRowDxfId="2224" dataCellStyle="Moeda"/>
    <tableColumn id="4" xr3:uid="{A9519CF8-D719-4EAB-97F3-331CBAB7FC33}" name="3" totalsRowFunction="sum" dataDxfId="2223" totalsRowDxfId="2222" dataCellStyle="Moeda"/>
    <tableColumn id="5" xr3:uid="{031FBBC5-68C0-4B44-BB1D-055E12F80B98}" name="4" totalsRowFunction="sum" dataDxfId="2221" totalsRowDxfId="2220" dataCellStyle="Moeda"/>
    <tableColumn id="6" xr3:uid="{05C091DA-5FA1-4D5B-94A7-55B23BBFE159}" name="5" totalsRowFunction="sum" dataDxfId="2219" totalsRowDxfId="2218" dataCellStyle="Moeda"/>
    <tableColumn id="7" xr3:uid="{9E69AFA8-1D1E-4793-B934-B91C2B87B9F1}" name="6" totalsRowFunction="sum" dataDxfId="2217" totalsRowDxfId="2216" dataCellStyle="Moeda"/>
    <tableColumn id="8" xr3:uid="{D9D93447-0E0B-47EE-A0FD-DEB01FEF6D9C}" name="7" totalsRowFunction="sum" dataDxfId="2215" totalsRowDxfId="2214" dataCellStyle="Moeda"/>
    <tableColumn id="9" xr3:uid="{6463EB35-D30F-4821-BE11-39C823712C6D}" name="8" totalsRowFunction="sum" dataDxfId="2213" totalsRowDxfId="2212" dataCellStyle="Moeda"/>
    <tableColumn id="10" xr3:uid="{19125F5F-AF32-4E37-A983-FB411449DD46}" name="9" totalsRowFunction="sum" dataDxfId="2211" totalsRowDxfId="2210" dataCellStyle="Moeda"/>
    <tableColumn id="11" xr3:uid="{88F0EEDA-3749-491E-95DF-4B2F781F52CE}" name="10" totalsRowFunction="sum" dataDxfId="2209" totalsRowDxfId="2208" dataCellStyle="Moeda"/>
    <tableColumn id="12" xr3:uid="{CF6A4EE5-565D-4738-A24A-6496F1A91B98}" name="11" totalsRowFunction="sum" dataDxfId="2207" totalsRowDxfId="2206" dataCellStyle="Moeda"/>
    <tableColumn id="13" xr3:uid="{5AF9A06E-972A-40B6-A164-B5A4EAEEFADB}" name="12" totalsRowFunction="sum" dataDxfId="2205" totalsRowDxfId="2204" dataCellStyle="Moeda"/>
    <tableColumn id="14" xr3:uid="{BD9F9051-1A5C-4644-938F-D5DB2AE35884}" name="13" totalsRowFunction="sum" dataDxfId="2203" totalsRowDxfId="2202" dataCellStyle="Moeda"/>
    <tableColumn id="15" xr3:uid="{8E3428A6-4A2F-4838-A454-F43D35279170}" name="14" totalsRowFunction="sum" dataDxfId="2201" totalsRowDxfId="2200" dataCellStyle="Moeda"/>
    <tableColumn id="16" xr3:uid="{5A07FFAE-AABE-4D89-BCC7-6DE4A0A5B3CE}" name="15" totalsRowFunction="sum" dataDxfId="2199" totalsRowDxfId="2198" dataCellStyle="Moeda"/>
    <tableColumn id="17" xr3:uid="{6F766E7E-5476-4861-AE13-CFF1623AA4E8}" name="16" totalsRowFunction="sum" dataDxfId="2197" totalsRowDxfId="2196" dataCellStyle="Moeda"/>
    <tableColumn id="18" xr3:uid="{5E98DCB4-CCFC-4FFD-90AA-2B5CFD404A11}" name="17" totalsRowFunction="sum" dataDxfId="2195" totalsRowDxfId="2194" dataCellStyle="Moeda"/>
    <tableColumn id="19" xr3:uid="{B66D6FD9-3586-4D18-A011-1E8AFAD48172}" name="18" totalsRowFunction="sum" dataDxfId="2193" totalsRowDxfId="2192" dataCellStyle="Moeda"/>
    <tableColumn id="20" xr3:uid="{52EBDF4B-1E5A-4776-9833-1C44BA8FBE8E}" name="19" totalsRowFunction="sum" dataDxfId="2191" totalsRowDxfId="2190" dataCellStyle="Moeda"/>
    <tableColumn id="21" xr3:uid="{9738C6B4-6B04-43E0-A92A-6C0CE976FE2D}" name="20" totalsRowFunction="sum" dataDxfId="2189" totalsRowDxfId="2188" dataCellStyle="Moeda"/>
    <tableColumn id="22" xr3:uid="{F3352EA2-6398-4B99-98D7-F5DCA15E8655}" name="21" totalsRowFunction="sum" dataDxfId="2187" totalsRowDxfId="2186" dataCellStyle="Moeda"/>
    <tableColumn id="23" xr3:uid="{3ED5DD5D-D194-46A0-A6C7-23B632DD9FBD}" name="22" totalsRowFunction="sum" dataDxfId="2185" totalsRowDxfId="2184" dataCellStyle="Moeda"/>
    <tableColumn id="24" xr3:uid="{F907C67A-88EB-4A41-8C28-CA9D06DE5AC2}" name="23" totalsRowFunction="sum" dataDxfId="2183" totalsRowDxfId="2182" dataCellStyle="Moeda"/>
    <tableColumn id="25" xr3:uid="{DEF38FE2-AA0B-4703-870B-CFD73EA65620}" name="24" totalsRowFunction="sum" dataDxfId="2181" totalsRowDxfId="2180" dataCellStyle="Moeda"/>
    <tableColumn id="26" xr3:uid="{57D5C91D-F5A5-4C08-AAAE-E5A5D373A0D3}" name="25" totalsRowFunction="sum" dataDxfId="2179" totalsRowDxfId="2178" dataCellStyle="Moeda"/>
    <tableColumn id="27" xr3:uid="{F16CB78E-902E-42D1-A749-7B6F138BDA3A}" name="26" totalsRowFunction="sum" dataDxfId="2177" totalsRowDxfId="2176" dataCellStyle="Moeda"/>
    <tableColumn id="28" xr3:uid="{C863D0AB-B6A8-45BA-A36D-78230C8FDEAC}" name="27" totalsRowFunction="sum" dataDxfId="2175" totalsRowDxfId="2174" dataCellStyle="Moeda"/>
    <tableColumn id="29" xr3:uid="{01CF5406-9AA4-44BB-AB99-D102AB7BD095}" name="28" totalsRowFunction="sum" dataDxfId="2173" totalsRowDxfId="2172" dataCellStyle="Moeda"/>
    <tableColumn id="30" xr3:uid="{F1DEE9CC-8D23-4F57-B1E5-8D460DEE787D}" name="29" totalsRowFunction="sum" dataDxfId="2171" totalsRowDxfId="2170" dataCellStyle="Moeda"/>
    <tableColumn id="31" xr3:uid="{EBB26EE3-DACE-466D-9E48-1BE5164500A9}" name="30" totalsRowFunction="sum" dataDxfId="2169" totalsRowDxfId="2168" dataCellStyle="Moeda"/>
    <tableColumn id="32" xr3:uid="{D9CC5271-62B0-45B6-AC51-8E88B09488B3}" name="31" totalsRowFunction="sum" dataDxfId="2167" totalsRowDxfId="2166" dataCellStyle="Moeda"/>
    <tableColumn id="33" xr3:uid="{ABE8886F-7FCE-42E2-A3DA-D1254870249E}" name="TOTAL (R$)" totalsRowFunction="sum" dataDxfId="2165" totalsRowDxfId="2164" dataCellStyle="Moeda">
      <calculatedColumnFormula>SUM(E25:AI25)</calculatedColumnFormula>
    </tableColumn>
  </tableColumns>
  <tableStyleInfo name="TABELAS RESULTADOS" showFirstColumn="0" showLastColumn="0" showRowStripes="1" showColumnStripes="0"/>
</table>
</file>

<file path=xl/tables/table12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5" xr:uid="{9DB9F617-39FF-4ADD-8CAC-753162672EE1}" name="outtotal3059718395107119131143" displayName="outtotal3059718395107119131143" ref="C13:AJ16" headerRowDxfId="2163" dataDxfId="2162" totalsRowDxfId="2161">
  <autoFilter ref="C13:AJ16" xr:uid="{8F80C188-90EF-4EEA-8266-E1F416435B21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  <filterColumn colId="25" hiddenButton="1"/>
    <filterColumn colId="26" hiddenButton="1"/>
    <filterColumn colId="27" hiddenButton="1"/>
    <filterColumn colId="28" hiddenButton="1"/>
    <filterColumn colId="29" hiddenButton="1"/>
    <filterColumn colId="30" hiddenButton="1"/>
    <filterColumn colId="31" hiddenButton="1"/>
    <filterColumn colId="32" hiddenButton="1"/>
    <filterColumn colId="33" hiddenButton="1"/>
  </autoFilter>
  <tableColumns count="34">
    <tableColumn id="1" xr3:uid="{D06CA024-661E-4D2E-A33C-E3120D755527}" name="ATUAL" totalsRowLabel="SALDO" dataDxfId="2160"/>
    <tableColumn id="34" xr3:uid="{8A51782C-E57F-43BC-82D8-95B35D782C6B}" name="Coluna1" dataDxfId="2159"/>
    <tableColumn id="2" xr3:uid="{B6727B93-91F5-4ACB-AD44-866BA7FEDDA4}" name="1" totalsRowFunction="sum" dataDxfId="2158" dataCellStyle="Moeda"/>
    <tableColumn id="3" xr3:uid="{9545704F-80A9-4C87-B319-89A0516F8C8E}" name="2" totalsRowFunction="sum" dataDxfId="2157" totalsRowDxfId="2156" dataCellStyle="Moeda"/>
    <tableColumn id="4" xr3:uid="{B5168F94-4EC2-48C6-911A-CBE38DFC9207}" name="3" totalsRowFunction="sum" dataDxfId="2155" totalsRowDxfId="2154" dataCellStyle="Moeda"/>
    <tableColumn id="5" xr3:uid="{28CCC026-B53B-4A22-95C9-3EB5D2AAC9ED}" name="4" totalsRowFunction="sum" dataDxfId="2153" totalsRowDxfId="2152" dataCellStyle="Moeda"/>
    <tableColumn id="6" xr3:uid="{A8BF62C2-BF46-4F74-BA0A-989A472C2179}" name="5" totalsRowFunction="sum" dataDxfId="2151" totalsRowDxfId="2150" dataCellStyle="Moeda"/>
    <tableColumn id="7" xr3:uid="{14B38683-F53A-402E-AC5D-09F047EBAB70}" name="6" totalsRowFunction="sum" dataDxfId="2149" totalsRowDxfId="2148" dataCellStyle="Moeda"/>
    <tableColumn id="8" xr3:uid="{831F8AA6-5859-4F2B-A130-B578E287C9FF}" name="7" totalsRowFunction="sum" dataDxfId="2147" totalsRowDxfId="2146" dataCellStyle="Moeda"/>
    <tableColumn id="9" xr3:uid="{7BA95D95-18CB-45ED-BC29-1F89B9A9420D}" name="8" totalsRowFunction="sum" dataDxfId="2145" totalsRowDxfId="2144" dataCellStyle="Moeda"/>
    <tableColumn id="10" xr3:uid="{DC094FEE-6D5F-40A3-8E54-2BD8D485C60F}" name="9" totalsRowFunction="sum" dataDxfId="2143" totalsRowDxfId="2142" dataCellStyle="Moeda"/>
    <tableColumn id="11" xr3:uid="{6A8FC139-A232-45DC-962A-A6CEFC521A77}" name="10" totalsRowFunction="sum" dataDxfId="2141" totalsRowDxfId="2140" dataCellStyle="Moeda"/>
    <tableColumn id="12" xr3:uid="{472814B2-0B53-417F-B394-F692F3FCAC29}" name="11" totalsRowFunction="sum" dataDxfId="2139" totalsRowDxfId="2138" dataCellStyle="Moeda"/>
    <tableColumn id="13" xr3:uid="{4C9D2E97-9709-403C-88FF-E579A35EBCAA}" name="12" totalsRowFunction="sum" dataDxfId="2137" totalsRowDxfId="2136" dataCellStyle="Moeda"/>
    <tableColumn id="14" xr3:uid="{DDF7CFE7-F3AD-480C-AEA9-444B7A8195D8}" name="13" totalsRowFunction="sum" dataDxfId="2135" totalsRowDxfId="2134" dataCellStyle="Moeda"/>
    <tableColumn id="15" xr3:uid="{06B49C90-CC2C-4556-8964-D365C6A4CCFB}" name="14" totalsRowFunction="sum" dataDxfId="2133" totalsRowDxfId="2132" dataCellStyle="Moeda"/>
    <tableColumn id="16" xr3:uid="{8E3C50C3-DAEF-45BF-8FA0-2731B1C933EE}" name="15" totalsRowFunction="sum" dataDxfId="2131" totalsRowDxfId="2130" dataCellStyle="Moeda"/>
    <tableColumn id="17" xr3:uid="{38DC9B2A-A43F-46D2-9BE7-724755A6B2D1}" name="16" totalsRowFunction="sum" dataDxfId="2129" totalsRowDxfId="2128" dataCellStyle="Moeda"/>
    <tableColumn id="18" xr3:uid="{B47F8371-2EA5-4C57-9A15-D987B35676D4}" name="17" totalsRowFunction="sum" dataDxfId="2127" totalsRowDxfId="2126" dataCellStyle="Moeda"/>
    <tableColumn id="19" xr3:uid="{4FF934D1-0D6F-490E-8C56-E4809FEE9A26}" name="18" totalsRowFunction="sum" dataDxfId="2125" totalsRowDxfId="2124" dataCellStyle="Moeda"/>
    <tableColumn id="20" xr3:uid="{12BA2C63-BCA9-4574-BD32-C17B5665199C}" name="19" totalsRowFunction="sum" dataDxfId="2123" totalsRowDxfId="2122" dataCellStyle="Moeda"/>
    <tableColumn id="21" xr3:uid="{FA070DAF-3EEA-45A0-9868-550DDADF7423}" name="20" totalsRowFunction="sum" dataDxfId="2121" totalsRowDxfId="2120" dataCellStyle="Moeda"/>
    <tableColumn id="22" xr3:uid="{2B5F61BF-5881-4837-9D13-ADDF0FE534F5}" name="21" totalsRowFunction="sum" dataDxfId="2119" totalsRowDxfId="2118" dataCellStyle="Moeda"/>
    <tableColumn id="23" xr3:uid="{4AF63E99-8D86-40E4-A60C-445CC27A770E}" name="22" totalsRowFunction="sum" dataDxfId="2117" totalsRowDxfId="2116" dataCellStyle="Moeda"/>
    <tableColumn id="24" xr3:uid="{DC9B668B-2C75-47A6-9880-D4358D50B157}" name="23" totalsRowFunction="sum" dataDxfId="2115" totalsRowDxfId="2114" dataCellStyle="Moeda"/>
    <tableColumn id="25" xr3:uid="{FE8A7041-8CED-4CE9-8205-09662A554204}" name="24" totalsRowFunction="sum" dataDxfId="2113" totalsRowDxfId="2112" dataCellStyle="Moeda"/>
    <tableColumn id="26" xr3:uid="{418EA02E-09F5-4CF4-A0E8-31E6B3DE58FF}" name="25" totalsRowFunction="sum" dataDxfId="2111" totalsRowDxfId="2110" dataCellStyle="Moeda"/>
    <tableColumn id="27" xr3:uid="{7EDFF465-6073-43E1-9AA7-F2F5D6CBA512}" name="26" totalsRowFunction="sum" dataDxfId="2109" totalsRowDxfId="2108" dataCellStyle="Moeda"/>
    <tableColumn id="28" xr3:uid="{B737D6F5-4069-4D3E-A0F5-94D8B47A0899}" name="27" totalsRowFunction="sum" dataDxfId="2107" totalsRowDxfId="2106" dataCellStyle="Moeda"/>
    <tableColumn id="29" xr3:uid="{81A205DA-0CF3-4EF3-84F1-DA52E123E10C}" name="28" totalsRowFunction="sum" dataDxfId="2105" totalsRowDxfId="2104" dataCellStyle="Moeda"/>
    <tableColumn id="30" xr3:uid="{4BED6D4B-A16C-41AE-B517-7C076B6A286B}" name="29" totalsRowFunction="sum" dataDxfId="2103" totalsRowDxfId="2102" dataCellStyle="Moeda"/>
    <tableColumn id="31" xr3:uid="{E0522313-0132-4387-8A76-39726AD81F67}" name="30" totalsRowFunction="sum" dataDxfId="2101" totalsRowDxfId="2100" dataCellStyle="Moeda"/>
    <tableColumn id="32" xr3:uid="{6F0AAB45-AFE5-499E-BAF6-942726D5CFFC}" name="31" totalsRowFunction="sum" dataDxfId="2099" totalsRowDxfId="2098" dataCellStyle="Moeda"/>
    <tableColumn id="33" xr3:uid="{63FE69B8-B94C-455F-AC3A-1A45D9FECB80}" name="TOTAL (R$)" totalsRowFunction="sum" dataDxfId="2097" dataCellStyle="Moeda">
      <calculatedColumnFormula>SUM(outtotal3059718395107119131143[[#This Row],[1]:[31]])</calculatedColumnFormula>
    </tableColumn>
  </tableColumns>
  <tableStyleInfo name="TABELAS RESULTADOS" showFirstColumn="0" showLastColumn="0" showRowStripes="1" showColumnStripes="0"/>
</table>
</file>

<file path=xl/tables/table12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6" xr:uid="{B25B5FCD-333B-42E4-B5B7-D03CCFC78FB9}" name="receitasfixasconsolidadoout" displayName="receitasfixasconsolidadoout" ref="C81:AJ87" headerRowDxfId="2096" dataDxfId="2095" totalsRowDxfId="2094">
  <autoFilter ref="C81:AJ87" xr:uid="{2EA8B7CB-D602-44E1-B8DB-B71750A487C5}"/>
  <tableColumns count="34">
    <tableColumn id="1" xr3:uid="{C903C905-68DA-45C0-90E4-39182ADCC25F}" name="ATUAL" totalsRowLabel="SALDO" dataDxfId="2093"/>
    <tableColumn id="34" xr3:uid="{4149F2BD-DC6D-4DF0-9505-2B97F722D0E1}" name="Coluna1" dataDxfId="2092">
      <calculatedColumnFormula>IF(receitasfixasconsolidadoout[[#This Row],[TOTAL (R$)]]=0,"",IF(OR(receitasfixasconsolidadoout[[#This Row],[TOTAL (R$)]]=LARGE($AJ$82:$AJ$86,1),receitasfixasconsolidadoout[[#This Row],[TOTAL (R$)]]=LARGE($AJ$82:$AJ$86,2)),DADOS!$I$9,""))</calculatedColumnFormula>
    </tableColumn>
    <tableColumn id="2" xr3:uid="{2B9CA737-F788-47FA-8CF2-F7E176B6F894}" name="1" totalsRowFunction="sum" dataDxfId="2091" dataCellStyle="Moeda"/>
    <tableColumn id="3" xr3:uid="{5FF7BBFD-26E8-4A26-9279-AE7632B4CDD9}" name="2" totalsRowFunction="sum" dataDxfId="2090" dataCellStyle="Moeda">
      <calculatedColumnFormula>SUMIFS(tabela_registros[VALOR],tabela_registros[MÊS],$AE$1,tabela_registros[DIA],receitasfixasconsolidadoout[[#Headers],[2]],tabela_registros[REGISTRO],DADOS!$N$3,tabela_registros[TIPO],DADOS!$V$3,tabela_registros[CATEGORIA],receitasfixasconsolidadoout[[#This Row],[ATUAL]])</calculatedColumnFormula>
    </tableColumn>
    <tableColumn id="4" xr3:uid="{B2858549-9250-4B86-8B63-C6895BA44A5B}" name="3" totalsRowFunction="sum" dataDxfId="2089" totalsRowDxfId="2088" dataCellStyle="Moeda">
      <calculatedColumnFormula>SUMIFS(tabela_registros[VALOR],tabela_registros[MÊS],$AE$1,tabela_registros[DIA],receitasfixasconsolidadoout[[#Headers],[3]],tabela_registros[REGISTRO],DADOS!$N$3,tabela_registros[TIPO],DADOS!$V$3,tabela_registros[CATEGORIA],receitasfixasconsolidadoout[[#This Row],[ATUAL]])</calculatedColumnFormula>
    </tableColumn>
    <tableColumn id="5" xr3:uid="{E4BCF86A-1061-4FC2-BD4D-5460D6DE7EBC}" name="4" totalsRowFunction="sum" dataDxfId="2087" totalsRowDxfId="2086" dataCellStyle="Moeda">
      <calculatedColumnFormula>SUMIFS(tabela_registros[VALOR],tabela_registros[MÊS],$AE$1,tabela_registros[DIA],receitasfixasconsolidadoout[[#Headers],[4]],tabela_registros[REGISTRO],DADOS!$N$3,tabela_registros[TIPO],DADOS!$V$3,tabela_registros[CATEGORIA],receitasfixasconsolidadoout[[#This Row],[ATUAL]])</calculatedColumnFormula>
    </tableColumn>
    <tableColumn id="6" xr3:uid="{814B576A-38B0-4976-80E1-D70182FD5EC1}" name="5" totalsRowFunction="sum" dataDxfId="2085" totalsRowDxfId="2084" dataCellStyle="Moeda">
      <calculatedColumnFormula>SUMIFS(tabela_registros[VALOR],tabela_registros[MÊS],$AE$1,tabela_registros[DIA],receitasfixasconsolidadoout[[#Headers],[5]],tabela_registros[REGISTRO],DADOS!$N$3,tabela_registros[TIPO],DADOS!$V$3,tabela_registros[CATEGORIA],receitasfixasconsolidadoout[[#This Row],[ATUAL]])</calculatedColumnFormula>
    </tableColumn>
    <tableColumn id="7" xr3:uid="{1DC28EBC-CB45-4429-9EDE-E483820CE22B}" name="6" totalsRowFunction="sum" dataDxfId="2083" totalsRowDxfId="2082" dataCellStyle="Moeda">
      <calculatedColumnFormula>SUMIFS(tabela_registros[VALOR],tabela_registros[MÊS],$AE$1,tabela_registros[DIA],receitasfixasconsolidadoout[[#Headers],[6]],tabela_registros[REGISTRO],DADOS!$N$3,tabela_registros[TIPO],DADOS!$V$3,tabela_registros[CATEGORIA],receitasfixasconsolidadoout[[#This Row],[ATUAL]])</calculatedColumnFormula>
    </tableColumn>
    <tableColumn id="8" xr3:uid="{EF5C28E3-8C1D-486D-83C5-58E5D4ABEA69}" name="7" totalsRowFunction="sum" dataDxfId="2081" totalsRowDxfId="2080" dataCellStyle="Moeda">
      <calculatedColumnFormula>SUMIFS(tabela_registros[VALOR],tabela_registros[MÊS],$AE$1,tabela_registros[DIA],receitasfixasconsolidadoout[[#Headers],[7]],tabela_registros[REGISTRO],DADOS!$N$3,tabela_registros[TIPO],DADOS!$V$3,tabela_registros[CATEGORIA],receitasfixasconsolidadoout[[#This Row],[ATUAL]])</calculatedColumnFormula>
    </tableColumn>
    <tableColumn id="9" xr3:uid="{C972A09A-5936-48CF-A2E7-B5941331FF1F}" name="8" totalsRowFunction="sum" dataDxfId="2079" totalsRowDxfId="2078" dataCellStyle="Moeda">
      <calculatedColumnFormula>SUMIFS(tabela_registros[VALOR],tabela_registros[MÊS],$AE$1,tabela_registros[DIA],receitasfixasconsolidadoout[[#Headers],[8]],tabela_registros[REGISTRO],DADOS!$N$3,tabela_registros[TIPO],DADOS!$V$3,tabela_registros[CATEGORIA],receitasfixasconsolidadoout[[#This Row],[ATUAL]])</calculatedColumnFormula>
    </tableColumn>
    <tableColumn id="10" xr3:uid="{EEC61AAA-FCFD-4E82-8EEF-6D3018F9951C}" name="9" totalsRowFunction="sum" dataDxfId="2077" totalsRowDxfId="2076" dataCellStyle="Moeda">
      <calculatedColumnFormula>SUMIFS(tabela_registros[VALOR],tabela_registros[MÊS],$AE$1,tabela_registros[DIA],receitasfixasconsolidadoout[[#Headers],[9]],tabela_registros[REGISTRO],DADOS!$N$3,tabela_registros[TIPO],DADOS!$V$3,tabela_registros[CATEGORIA],receitasfixasconsolidadoout[[#This Row],[ATUAL]])</calculatedColumnFormula>
    </tableColumn>
    <tableColumn id="11" xr3:uid="{40FC3DA6-740C-458B-8EE9-247BA8604423}" name="10" totalsRowFunction="sum" dataDxfId="2075" totalsRowDxfId="2074" dataCellStyle="Moeda">
      <calculatedColumnFormula>SUMIFS(tabela_registros[VALOR],tabela_registros[MÊS],$AE$1,tabela_registros[DIA],receitasfixasconsolidadoout[[#Headers],[10]],tabela_registros[REGISTRO],DADOS!$N$3,tabela_registros[TIPO],DADOS!$V$3,tabela_registros[CATEGORIA],receitasfixasconsolidadoout[[#This Row],[ATUAL]])</calculatedColumnFormula>
    </tableColumn>
    <tableColumn id="12" xr3:uid="{C06E2AFE-3413-47F1-8F9B-328774669324}" name="11" totalsRowFunction="sum" dataDxfId="2073" totalsRowDxfId="2072" dataCellStyle="Moeda">
      <calculatedColumnFormula>SUMIFS(tabela_registros[VALOR],tabela_registros[MÊS],$AE$1,tabela_registros[DIA],receitasfixasconsolidadoout[[#Headers],[11]],tabela_registros[REGISTRO],DADOS!$N$3,tabela_registros[TIPO],DADOS!$V$3,tabela_registros[CATEGORIA],receitasfixasconsolidadoout[[#This Row],[ATUAL]])</calculatedColumnFormula>
    </tableColumn>
    <tableColumn id="13" xr3:uid="{E8720FD6-A5CE-4287-9B7B-5E1D84256209}" name="12" totalsRowFunction="sum" dataDxfId="2071" totalsRowDxfId="2070" dataCellStyle="Moeda">
      <calculatedColumnFormula>SUMIFS(tabela_registros[VALOR],tabela_registros[MÊS],$AE$1,tabela_registros[DIA],receitasfixasconsolidadoout[[#Headers],[12]],tabela_registros[REGISTRO],DADOS!$N$3,tabela_registros[TIPO],DADOS!$V$3,tabela_registros[CATEGORIA],receitasfixasconsolidadoout[[#This Row],[ATUAL]])</calculatedColumnFormula>
    </tableColumn>
    <tableColumn id="14" xr3:uid="{BDF5DFDC-E363-4B95-9C69-1A2255946E14}" name="13" totalsRowFunction="sum" dataDxfId="2069" totalsRowDxfId="2068" dataCellStyle="Moeda">
      <calculatedColumnFormula>SUMIFS(tabela_registros[VALOR],tabela_registros[MÊS],$AE$1,tabela_registros[DIA],receitasfixasconsolidadoout[[#Headers],[13]],tabela_registros[REGISTRO],DADOS!$N$3,tabela_registros[TIPO],DADOS!$V$3,tabela_registros[CATEGORIA],receitasfixasconsolidadoout[[#This Row],[ATUAL]])</calculatedColumnFormula>
    </tableColumn>
    <tableColumn id="15" xr3:uid="{A41B3E1F-EFA2-4A7D-BEB4-AD7B4C591468}" name="14" totalsRowFunction="sum" dataDxfId="2067" totalsRowDxfId="2066" dataCellStyle="Moeda">
      <calculatedColumnFormula>SUMIFS(tabela_registros[VALOR],tabela_registros[MÊS],$AE$1,tabela_registros[DIA],receitasfixasconsolidadoout[[#Headers],[14]],tabela_registros[REGISTRO],DADOS!$N$3,tabela_registros[TIPO],DADOS!$V$3,tabela_registros[CATEGORIA],receitasfixasconsolidadoout[[#This Row],[ATUAL]])</calculatedColumnFormula>
    </tableColumn>
    <tableColumn id="16" xr3:uid="{BB52C46F-AEF4-452C-BC42-953A9A09986B}" name="15" totalsRowFunction="sum" dataDxfId="2065" totalsRowDxfId="2064" dataCellStyle="Moeda">
      <calculatedColumnFormula>SUMIFS(tabela_registros[VALOR],tabela_registros[MÊS],$AE$1,tabela_registros[DIA],receitasfixasconsolidadoout[[#Headers],[15]],tabela_registros[REGISTRO],DADOS!$N$3,tabela_registros[TIPO],DADOS!$V$3,tabela_registros[CATEGORIA],receitasfixasconsolidadoout[[#This Row],[ATUAL]])</calculatedColumnFormula>
    </tableColumn>
    <tableColumn id="17" xr3:uid="{7E0B4050-0CEF-4DDD-B7C0-A86E9F9E5EC3}" name="16" totalsRowFunction="sum" dataDxfId="2063" totalsRowDxfId="2062" dataCellStyle="Moeda">
      <calculatedColumnFormula>SUMIFS(tabela_registros[VALOR],tabela_registros[MÊS],$AE$1,tabela_registros[DIA],receitasfixasconsolidadoout[[#Headers],[16]],tabela_registros[REGISTRO],DADOS!$N$3,tabela_registros[TIPO],DADOS!$V$3,tabela_registros[CATEGORIA],receitasfixasconsolidadoout[[#This Row],[ATUAL]])</calculatedColumnFormula>
    </tableColumn>
    <tableColumn id="18" xr3:uid="{D92E7FF1-011D-4520-AA15-FEE5E9C62A65}" name="17" totalsRowFunction="sum" dataDxfId="2061" totalsRowDxfId="2060" dataCellStyle="Moeda">
      <calculatedColumnFormula>SUMIFS(tabela_registros[VALOR],tabela_registros[MÊS],$AE$1,tabela_registros[DIA],receitasfixasconsolidadoout[[#Headers],[17]],tabela_registros[REGISTRO],DADOS!$N$3,tabela_registros[TIPO],DADOS!$V$3,tabela_registros[CATEGORIA],receitasfixasconsolidadoout[[#This Row],[ATUAL]])</calculatedColumnFormula>
    </tableColumn>
    <tableColumn id="19" xr3:uid="{8C2A20D9-EFA5-4F25-A7BB-1677E4BA8ED0}" name="18" totalsRowFunction="sum" dataDxfId="2059" totalsRowDxfId="2058" dataCellStyle="Moeda">
      <calculatedColumnFormula>SUMIFS(tabela_registros[VALOR],tabela_registros[MÊS],$AE$1,tabela_registros[DIA],receitasfixasconsolidadoout[[#Headers],[18]],tabela_registros[REGISTRO],DADOS!$N$3,tabela_registros[TIPO],DADOS!$V$3,tabela_registros[CATEGORIA],receitasfixasconsolidadoout[[#This Row],[ATUAL]])</calculatedColumnFormula>
    </tableColumn>
    <tableColumn id="20" xr3:uid="{5EF2268C-FAB1-46A2-A522-F60D4BE09508}" name="19" totalsRowFunction="sum" dataDxfId="2057" totalsRowDxfId="2056" dataCellStyle="Moeda">
      <calculatedColumnFormula>SUMIFS(tabela_registros[VALOR],tabela_registros[MÊS],$AE$1,tabela_registros[DIA],receitasfixasconsolidadoout[[#Headers],[19]],tabela_registros[REGISTRO],DADOS!$N$3,tabela_registros[TIPO],DADOS!$V$3,tabela_registros[CATEGORIA],receitasfixasconsolidadoout[[#This Row],[ATUAL]])</calculatedColumnFormula>
    </tableColumn>
    <tableColumn id="21" xr3:uid="{EFF71290-F429-4420-8CD1-520C59320B13}" name="20" totalsRowFunction="sum" dataDxfId="2055" totalsRowDxfId="2054" dataCellStyle="Moeda">
      <calculatedColumnFormula>SUMIFS(tabela_registros[VALOR],tabela_registros[MÊS],$AE$1,tabela_registros[DIA],receitasfixasconsolidadoout[[#Headers],[20]],tabela_registros[REGISTRO],DADOS!$N$3,tabela_registros[TIPO],DADOS!$V$3,tabela_registros[CATEGORIA],receitasfixasconsolidadoout[[#This Row],[ATUAL]])</calculatedColumnFormula>
    </tableColumn>
    <tableColumn id="22" xr3:uid="{26D58E9A-A32F-46D8-9583-63D64E12CAE4}" name="21" totalsRowFunction="sum" dataDxfId="2053" totalsRowDxfId="2052" dataCellStyle="Moeda">
      <calculatedColumnFormula>SUMIFS(tabela_registros[VALOR],tabela_registros[MÊS],$AE$1,tabela_registros[DIA],receitasfixasconsolidadoout[[#Headers],[21]],tabela_registros[REGISTRO],DADOS!$N$3,tabela_registros[TIPO],DADOS!$V$3,tabela_registros[CATEGORIA],receitasfixasconsolidadoout[[#This Row],[ATUAL]])</calculatedColumnFormula>
    </tableColumn>
    <tableColumn id="23" xr3:uid="{846216FB-2941-4335-9B13-88EF2557F954}" name="22" totalsRowFunction="sum" dataDxfId="2051" totalsRowDxfId="2050" dataCellStyle="Moeda">
      <calculatedColumnFormula>SUMIFS(tabela_registros[VALOR],tabela_registros[MÊS],$AE$1,tabela_registros[DIA],receitasfixasconsolidadoout[[#Headers],[22]],tabela_registros[REGISTRO],DADOS!$N$3,tabela_registros[TIPO],DADOS!$V$3,tabela_registros[CATEGORIA],receitasfixasconsolidadoout[[#This Row],[ATUAL]])</calculatedColumnFormula>
    </tableColumn>
    <tableColumn id="24" xr3:uid="{738B9DBA-A223-4D46-B0D6-BA46D177EFCD}" name="23" totalsRowFunction="sum" dataDxfId="2049" totalsRowDxfId="2048" dataCellStyle="Moeda">
      <calculatedColumnFormula>SUMIFS(tabela_registros[VALOR],tabela_registros[MÊS],$AE$1,tabela_registros[DIA],receitasfixasconsolidadoout[[#Headers],[23]],tabela_registros[REGISTRO],DADOS!$N$3,tabela_registros[TIPO],DADOS!$V$3,tabela_registros[CATEGORIA],receitasfixasconsolidadoout[[#This Row],[ATUAL]])</calculatedColumnFormula>
    </tableColumn>
    <tableColumn id="25" xr3:uid="{9BB3EDF5-3405-498A-8DF1-CF2340E69D73}" name="24" totalsRowFunction="sum" dataDxfId="2047" totalsRowDxfId="2046" dataCellStyle="Moeda">
      <calculatedColumnFormula>SUMIFS(tabela_registros[VALOR],tabela_registros[MÊS],$AE$1,tabela_registros[DIA],receitasfixasconsolidadoout[[#Headers],[24]],tabela_registros[REGISTRO],DADOS!$N$3,tabela_registros[TIPO],DADOS!$V$3,tabela_registros[CATEGORIA],receitasfixasconsolidadoout[[#This Row],[ATUAL]])</calculatedColumnFormula>
    </tableColumn>
    <tableColumn id="26" xr3:uid="{ECCF16AA-BE6F-4A34-8F48-A04F53F52E7D}" name="25" totalsRowFunction="sum" dataDxfId="2045" totalsRowDxfId="2044" dataCellStyle="Moeda">
      <calculatedColumnFormula>SUMIFS(tabela_registros[VALOR],tabela_registros[MÊS],$AE$1,tabela_registros[DIA],receitasfixasconsolidadoout[[#Headers],[25]],tabela_registros[REGISTRO],DADOS!$N$3,tabela_registros[TIPO],DADOS!$V$3,tabela_registros[CATEGORIA],receitasfixasconsolidadoout[[#This Row],[ATUAL]])</calculatedColumnFormula>
    </tableColumn>
    <tableColumn id="27" xr3:uid="{9078245F-60D7-458E-AAD4-4BF0FE101171}" name="26" totalsRowFunction="sum" dataDxfId="2043" totalsRowDxfId="2042" dataCellStyle="Moeda">
      <calculatedColumnFormula>SUMIFS(tabela_registros[VALOR],tabela_registros[MÊS],$AE$1,tabela_registros[DIA],receitasfixasconsolidadoout[[#Headers],[26]],tabela_registros[REGISTRO],DADOS!$N$3,tabela_registros[TIPO],DADOS!$V$3,tabela_registros[CATEGORIA],receitasfixasconsolidadoout[[#This Row],[ATUAL]])</calculatedColumnFormula>
    </tableColumn>
    <tableColumn id="28" xr3:uid="{C299B371-776A-4307-8398-A1A4D45CC422}" name="27" totalsRowFunction="sum" dataDxfId="2041" totalsRowDxfId="2040" dataCellStyle="Moeda">
      <calculatedColumnFormula>SUMIFS(tabela_registros[VALOR],tabela_registros[MÊS],$AE$1,tabela_registros[DIA],receitasfixasconsolidadoout[[#Headers],[27]],tabela_registros[REGISTRO],DADOS!$N$3,tabela_registros[TIPO],DADOS!$V$3,tabela_registros[CATEGORIA],receitasfixasconsolidadoout[[#This Row],[ATUAL]])</calculatedColumnFormula>
    </tableColumn>
    <tableColumn id="29" xr3:uid="{5C02931D-E9ED-4EFD-969D-E3ABF7AC6211}" name="28" totalsRowFunction="sum" dataDxfId="2039" totalsRowDxfId="2038" dataCellStyle="Moeda">
      <calculatedColumnFormula>SUMIFS(tabela_registros[VALOR],tabela_registros[MÊS],$AE$1,tabela_registros[DIA],receitasfixasconsolidadoout[[#Headers],[28]],tabela_registros[REGISTRO],DADOS!$N$3,tabela_registros[TIPO],DADOS!$V$3,tabela_registros[CATEGORIA],receitasfixasconsolidadoout[[#This Row],[ATUAL]])</calculatedColumnFormula>
    </tableColumn>
    <tableColumn id="30" xr3:uid="{BE393683-1FB1-4E5E-8846-22B3A20F0E98}" name="29" totalsRowFunction="sum" dataDxfId="2037" totalsRowDxfId="2036" dataCellStyle="Moeda">
      <calculatedColumnFormula>SUMIFS(tabela_registros[VALOR],tabela_registros[MÊS],$AE$1,tabela_registros[DIA],receitasfixasconsolidadoout[[#Headers],[29]],tabela_registros[REGISTRO],DADOS!$N$3,tabela_registros[TIPO],DADOS!$V$3,tabela_registros[CATEGORIA],receitasfixasconsolidadoout[[#This Row],[ATUAL]])</calculatedColumnFormula>
    </tableColumn>
    <tableColumn id="31" xr3:uid="{0FE6282E-8286-4FD3-AEE9-F79CC5A409AA}" name="30" totalsRowFunction="sum" dataDxfId="2035" totalsRowDxfId="2034" dataCellStyle="Moeda">
      <calculatedColumnFormula>SUMIFS(tabela_registros[VALOR],tabela_registros[MÊS],$AE$1,tabela_registros[DIA],receitasfixasconsolidadoout[[#Headers],[30]],tabela_registros[REGISTRO],DADOS!$N$3,tabela_registros[TIPO],DADOS!$V$3,tabela_registros[CATEGORIA],receitasfixasconsolidadoout[[#This Row],[ATUAL]])</calculatedColumnFormula>
    </tableColumn>
    <tableColumn id="32" xr3:uid="{084448D7-E5E9-446E-B148-40B840180B64}" name="31" totalsRowFunction="sum" dataDxfId="2033" totalsRowDxfId="2032" dataCellStyle="Moeda">
      <calculatedColumnFormula>SUMIFS(tabela_registros[VALOR],tabela_registros[MÊS],$AE$1,tabela_registros[DIA],receitasfixasconsolidadoout[[#Headers],[31]],tabela_registros[REGISTRO],DADOS!$N$3,tabela_registros[TIPO],DADOS!$V$3,tabela_registros[CATEGORIA],receitasfixasconsolidadoout[[#This Row],[ATUAL]])</calculatedColumnFormula>
    </tableColumn>
    <tableColumn id="33" xr3:uid="{DB863EB4-F441-4405-84B0-200373BDE10A}" name="TOTAL (R$)" totalsRowFunction="sum" dataDxfId="2031" dataCellStyle="Moeda">
      <calculatedColumnFormula>SUM(receitasfixasconsolidadoout[[#This Row],[1]:[31]])</calculatedColumnFormula>
    </tableColumn>
  </tableColumns>
  <tableStyleInfo name="TABELAS RESULTADOS" showFirstColumn="0" showLastColumn="0" showRowStripes="1" showColumnStripes="0"/>
</table>
</file>

<file path=xl/tables/table12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7" xr:uid="{674D1CA8-B047-4092-ABC1-78543DA3E1E0}" name="receitasvariáveisconsolidadoout" displayName="receitasvariáveisconsolidadoout" ref="C95:AJ104" headerRowDxfId="2030" dataDxfId="2029" totalsRowDxfId="2028">
  <autoFilter ref="C95:AJ104" xr:uid="{DEFDE68B-A97D-4ED5-9460-1E58A13A7942}"/>
  <tableColumns count="34">
    <tableColumn id="1" xr3:uid="{C1FB2795-BF60-453B-9B87-1C1E73950890}" name="ATUAL" totalsRowLabel="SALDO" dataDxfId="2027"/>
    <tableColumn id="34" xr3:uid="{4800E677-80D0-4067-8653-9DD60D32E342}" name="Coluna1" dataDxfId="2026" totalsRowDxfId="2025">
      <calculatedColumnFormula>IF(receitasvariáveisconsolidadoout[[#This Row],[TOTAL (R$)]]=0,"",IF(OR(receitasvariáveisconsolidadoout[[#This Row],[TOTAL (R$)]]=LARGE($AJ$96:$AJ$103,1),receitasvariáveisconsolidadoout[[#This Row],[TOTAL (R$)]]=LARGE($AJ$96:$AJ$103,2)),DADOS!$I$9,""))</calculatedColumnFormula>
    </tableColumn>
    <tableColumn id="2" xr3:uid="{E4BA913F-A4BD-45FF-BA80-6E78E2DB3316}" name="1" totalsRowFunction="sum" dataDxfId="2024" dataCellStyle="Moeda"/>
    <tableColumn id="3" xr3:uid="{AAF5F8AA-8CD0-439E-8705-A82BB7544E4F}" name="2" totalsRowFunction="sum" dataDxfId="2023" dataCellStyle="Moeda">
      <calculatedColumnFormula>SUMIFS(tabela_registros[VALOR],tabela_registros[MÊS],$AE$1,tabela_registros[DIA],receitasvariáveisconsolidadoout[[#Headers],[2]],tabela_registros[REGISTRO],DADOS!$N$3,tabela_registros[TIPO],DADOS!$V$3,tabela_registros[CATEGORIA],receitasvariáveisconsolidadoout[[#This Row],[ATUAL]])</calculatedColumnFormula>
    </tableColumn>
    <tableColumn id="4" xr3:uid="{57D02178-C38D-4614-A366-73B912DAAB32}" name="3" totalsRowFunction="sum" dataDxfId="2022" totalsRowDxfId="2021" dataCellStyle="Moeda">
      <calculatedColumnFormula>SUMIFS(tabela_registros[VALOR],tabela_registros[MÊS],$AE$1,tabela_registros[DIA],receitasvariáveisconsolidadoout[[#Headers],[3]],tabela_registros[REGISTRO],DADOS!$N$3,tabela_registros[TIPO],DADOS!$V$3,tabela_registros[CATEGORIA],receitasvariáveisconsolidadoout[[#This Row],[ATUAL]])</calculatedColumnFormula>
    </tableColumn>
    <tableColumn id="5" xr3:uid="{0FA1A383-6E9F-4FA9-88FD-26FA56F0A3D5}" name="4" totalsRowFunction="sum" dataDxfId="2020" totalsRowDxfId="2019" dataCellStyle="Moeda">
      <calculatedColumnFormula>SUMIFS(tabela_registros[VALOR],tabela_registros[MÊS],$AE$1,tabela_registros[DIA],receitasvariáveisconsolidadoout[[#Headers],[4]],tabela_registros[REGISTRO],DADOS!$N$3,tabela_registros[TIPO],DADOS!$V$3,tabela_registros[CATEGORIA],receitasvariáveisconsolidadoout[[#This Row],[ATUAL]])</calculatedColumnFormula>
    </tableColumn>
    <tableColumn id="6" xr3:uid="{637E5EF2-2A8B-4A35-B286-E78F6919E86E}" name="5" totalsRowFunction="sum" dataDxfId="2018" totalsRowDxfId="2017" dataCellStyle="Moeda">
      <calculatedColumnFormula>SUMIFS(tabela_registros[VALOR],tabela_registros[MÊS],$AE$1,tabela_registros[DIA],receitasvariáveisconsolidadoout[[#Headers],[5]],tabela_registros[REGISTRO],DADOS!$N$3,tabela_registros[TIPO],DADOS!$V$3,tabela_registros[CATEGORIA],receitasvariáveisconsolidadoout[[#This Row],[ATUAL]])</calculatedColumnFormula>
    </tableColumn>
    <tableColumn id="7" xr3:uid="{4ECC775B-9916-4B04-8266-152568C789B6}" name="6" totalsRowFunction="sum" dataDxfId="2016" totalsRowDxfId="2015" dataCellStyle="Moeda">
      <calculatedColumnFormula>SUMIFS(tabela_registros[VALOR],tabela_registros[MÊS],$AE$1,tabela_registros[DIA],receitasvariáveisconsolidadoout[[#Headers],[6]],tabela_registros[REGISTRO],DADOS!$N$3,tabela_registros[TIPO],DADOS!$V$3,tabela_registros[CATEGORIA],receitasvariáveisconsolidadoout[[#This Row],[ATUAL]])</calculatedColumnFormula>
    </tableColumn>
    <tableColumn id="8" xr3:uid="{BAF723E0-0FB3-495B-ADB9-3BD001E20878}" name="7" totalsRowFunction="sum" dataDxfId="2014" totalsRowDxfId="2013" dataCellStyle="Moeda">
      <calculatedColumnFormula>SUMIFS(tabela_registros[VALOR],tabela_registros[MÊS],$AE$1,tabela_registros[DIA],receitasvariáveisconsolidadoout[[#Headers],[7]],tabela_registros[REGISTRO],DADOS!$N$3,tabela_registros[TIPO],DADOS!$V$3,tabela_registros[CATEGORIA],receitasvariáveisconsolidadoout[[#This Row],[ATUAL]])</calculatedColumnFormula>
    </tableColumn>
    <tableColumn id="9" xr3:uid="{31509DC2-0972-4018-B3A6-620688F4A2CD}" name="8" totalsRowFunction="sum" dataDxfId="2012" totalsRowDxfId="2011" dataCellStyle="Moeda">
      <calculatedColumnFormula>SUMIFS(tabela_registros[VALOR],tabela_registros[MÊS],$AE$1,tabela_registros[DIA],receitasvariáveisconsolidadoout[[#Headers],[8]],tabela_registros[REGISTRO],DADOS!$N$3,tabela_registros[TIPO],DADOS!$V$3,tabela_registros[CATEGORIA],receitasvariáveisconsolidadoout[[#This Row],[ATUAL]])</calculatedColumnFormula>
    </tableColumn>
    <tableColumn id="10" xr3:uid="{D5CBDA59-EB92-4A52-A615-51DA0BCA2544}" name="9" totalsRowFunction="sum" dataDxfId="2010" totalsRowDxfId="2009" dataCellStyle="Moeda">
      <calculatedColumnFormula>SUMIFS(tabela_registros[VALOR],tabela_registros[MÊS],$AE$1,tabela_registros[DIA],receitasvariáveisconsolidadoout[[#Headers],[9]],tabela_registros[REGISTRO],DADOS!$N$3,tabela_registros[TIPO],DADOS!$V$3,tabela_registros[CATEGORIA],receitasvariáveisconsolidadoout[[#This Row],[ATUAL]])</calculatedColumnFormula>
    </tableColumn>
    <tableColumn id="11" xr3:uid="{458EB389-B9D4-4678-8617-F0392CE755CE}" name="10" totalsRowFunction="sum" dataDxfId="2008" totalsRowDxfId="2007" dataCellStyle="Moeda">
      <calculatedColumnFormula>SUMIFS(tabela_registros[VALOR],tabela_registros[MÊS],$AE$1,tabela_registros[DIA],receitasvariáveisconsolidadoout[[#Headers],[10]],tabela_registros[REGISTRO],DADOS!$N$3,tabela_registros[TIPO],DADOS!$V$3,tabela_registros[CATEGORIA],receitasvariáveisconsolidadoout[[#This Row],[ATUAL]])</calculatedColumnFormula>
    </tableColumn>
    <tableColumn id="12" xr3:uid="{00581429-CCE0-4F3B-AE36-042D332A4B32}" name="11" totalsRowFunction="sum" dataDxfId="2006" totalsRowDxfId="2005" dataCellStyle="Moeda">
      <calculatedColumnFormula>SUMIFS(tabela_registros[VALOR],tabela_registros[MÊS],$AE$1,tabela_registros[DIA],receitasvariáveisconsolidadoout[[#Headers],[11]],tabela_registros[REGISTRO],DADOS!$N$3,tabela_registros[TIPO],DADOS!$V$3,tabela_registros[CATEGORIA],receitasvariáveisconsolidadoout[[#This Row],[ATUAL]])</calculatedColumnFormula>
    </tableColumn>
    <tableColumn id="13" xr3:uid="{5BBBD26D-3221-402E-9214-2E676ECBD71B}" name="12" totalsRowFunction="sum" dataDxfId="2004" totalsRowDxfId="2003" dataCellStyle="Moeda">
      <calculatedColumnFormula>SUMIFS(tabela_registros[VALOR],tabela_registros[MÊS],$AE$1,tabela_registros[DIA],receitasvariáveisconsolidadoout[[#Headers],[12]],tabela_registros[REGISTRO],DADOS!$N$3,tabela_registros[TIPO],DADOS!$V$3,tabela_registros[CATEGORIA],receitasvariáveisconsolidadoout[[#This Row],[ATUAL]])</calculatedColumnFormula>
    </tableColumn>
    <tableColumn id="14" xr3:uid="{674BA0BE-9C4D-4A33-8350-EDAAAFA1E5CA}" name="13" totalsRowFunction="sum" dataDxfId="2002" totalsRowDxfId="2001" dataCellStyle="Moeda">
      <calculatedColumnFormula>SUMIFS(tabela_registros[VALOR],tabela_registros[MÊS],$AE$1,tabela_registros[DIA],receitasvariáveisconsolidadoout[[#Headers],[13]],tabela_registros[REGISTRO],DADOS!$N$3,tabela_registros[TIPO],DADOS!$V$3,tabela_registros[CATEGORIA],receitasvariáveisconsolidadoout[[#This Row],[ATUAL]])</calculatedColumnFormula>
    </tableColumn>
    <tableColumn id="15" xr3:uid="{666369FE-04AF-4468-9B9D-C8A32F0D3DF5}" name="14" totalsRowFunction="sum" dataDxfId="2000" totalsRowDxfId="1999" dataCellStyle="Moeda">
      <calculatedColumnFormula>SUMIFS(tabela_registros[VALOR],tabela_registros[MÊS],$AE$1,tabela_registros[DIA],receitasvariáveisconsolidadoout[[#Headers],[14]],tabela_registros[REGISTRO],DADOS!$N$3,tabela_registros[TIPO],DADOS!$V$3,tabela_registros[CATEGORIA],receitasvariáveisconsolidadoout[[#This Row],[ATUAL]])</calculatedColumnFormula>
    </tableColumn>
    <tableColumn id="16" xr3:uid="{230B67BC-E4F2-4E41-A97D-AA636EA01909}" name="15" totalsRowFunction="sum" dataDxfId="1998" totalsRowDxfId="1997" dataCellStyle="Moeda">
      <calculatedColumnFormula>SUMIFS(tabela_registros[VALOR],tabela_registros[MÊS],$AE$1,tabela_registros[DIA],receitasvariáveisconsolidadoout[[#Headers],[15]],tabela_registros[REGISTRO],DADOS!$N$3,tabela_registros[TIPO],DADOS!$V$3,tabela_registros[CATEGORIA],receitasvariáveisconsolidadoout[[#This Row],[ATUAL]])</calculatedColumnFormula>
    </tableColumn>
    <tableColumn id="17" xr3:uid="{B52D999E-E023-42E7-8CC0-E93C852B6E0A}" name="16" totalsRowFunction="sum" dataDxfId="1996" totalsRowDxfId="1995" dataCellStyle="Moeda">
      <calculatedColumnFormula>SUMIFS(tabela_registros[VALOR],tabela_registros[MÊS],$AE$1,tabela_registros[DIA],receitasvariáveisconsolidadoout[[#Headers],[16]],tabela_registros[REGISTRO],DADOS!$N$3,tabela_registros[TIPO],DADOS!$V$3,tabela_registros[CATEGORIA],receitasvariáveisconsolidadoout[[#This Row],[ATUAL]])</calculatedColumnFormula>
    </tableColumn>
    <tableColumn id="18" xr3:uid="{134AD299-10CD-49C8-B6F8-5A5C6CD2F0EE}" name="17" totalsRowFunction="sum" dataDxfId="1994" totalsRowDxfId="1993" dataCellStyle="Moeda">
      <calculatedColumnFormula>SUMIFS(tabela_registros[VALOR],tabela_registros[MÊS],$AE$1,tabela_registros[DIA],receitasvariáveisconsolidadoout[[#Headers],[17]],tabela_registros[REGISTRO],DADOS!$N$3,tabela_registros[TIPO],DADOS!$V$3,tabela_registros[CATEGORIA],receitasvariáveisconsolidadoout[[#This Row],[ATUAL]])</calculatedColumnFormula>
    </tableColumn>
    <tableColumn id="19" xr3:uid="{88A8BA02-5E7A-4C52-BFC9-FB514C29F9EB}" name="18" totalsRowFunction="sum" dataDxfId="1992" totalsRowDxfId="1991" dataCellStyle="Moeda">
      <calculatedColumnFormula>SUMIFS(tabela_registros[VALOR],tabela_registros[MÊS],$AE$1,tabela_registros[DIA],receitasvariáveisconsolidadoout[[#Headers],[18]],tabela_registros[REGISTRO],DADOS!$N$3,tabela_registros[TIPO],DADOS!$V$3,tabela_registros[CATEGORIA],receitasvariáveisconsolidadoout[[#This Row],[ATUAL]])</calculatedColumnFormula>
    </tableColumn>
    <tableColumn id="20" xr3:uid="{2B680EA7-EC76-4DF9-9D11-14E2A728833D}" name="19" totalsRowFunction="sum" dataDxfId="1990" totalsRowDxfId="1989" dataCellStyle="Moeda">
      <calculatedColumnFormula>SUMIFS(tabela_registros[VALOR],tabela_registros[MÊS],$AE$1,tabela_registros[DIA],receitasvariáveisconsolidadoout[[#Headers],[19]],tabela_registros[REGISTRO],DADOS!$N$3,tabela_registros[TIPO],DADOS!$V$3,tabela_registros[CATEGORIA],receitasvariáveisconsolidadoout[[#This Row],[ATUAL]])</calculatedColumnFormula>
    </tableColumn>
    <tableColumn id="21" xr3:uid="{18F72FE4-4835-42AB-8EA5-3F4D7857041C}" name="20" totalsRowFunction="sum" dataDxfId="1988" totalsRowDxfId="1987" dataCellStyle="Moeda">
      <calculatedColumnFormula>SUMIFS(tabela_registros[VALOR],tabela_registros[MÊS],$AE$1,tabela_registros[DIA],receitasvariáveisconsolidadoout[[#Headers],[20]],tabela_registros[REGISTRO],DADOS!$N$3,tabela_registros[TIPO],DADOS!$V$3,tabela_registros[CATEGORIA],receitasvariáveisconsolidadoout[[#This Row],[ATUAL]])</calculatedColumnFormula>
    </tableColumn>
    <tableColumn id="22" xr3:uid="{64A1418F-82BB-40F1-9776-555A39B6CEB8}" name="21" totalsRowFunction="sum" dataDxfId="1986" totalsRowDxfId="1985" dataCellStyle="Moeda">
      <calculatedColumnFormula>SUMIFS(tabela_registros[VALOR],tabela_registros[MÊS],$AE$1,tabela_registros[DIA],receitasvariáveisconsolidadoout[[#Headers],[21]],tabela_registros[REGISTRO],DADOS!$N$3,tabela_registros[TIPO],DADOS!$V$3,tabela_registros[CATEGORIA],receitasvariáveisconsolidadoout[[#This Row],[ATUAL]])</calculatedColumnFormula>
    </tableColumn>
    <tableColumn id="23" xr3:uid="{0093E5AE-E0F6-4D44-BFF3-1FA7F5BE4B41}" name="22" totalsRowFunction="sum" dataDxfId="1984" totalsRowDxfId="1983" dataCellStyle="Moeda">
      <calculatedColumnFormula>SUMIFS(tabela_registros[VALOR],tabela_registros[MÊS],$AE$1,tabela_registros[DIA],receitasvariáveisconsolidadoout[[#Headers],[22]],tabela_registros[REGISTRO],DADOS!$N$3,tabela_registros[TIPO],DADOS!$V$3,tabela_registros[CATEGORIA],receitasvariáveisconsolidadoout[[#This Row],[ATUAL]])</calculatedColumnFormula>
    </tableColumn>
    <tableColumn id="24" xr3:uid="{0B2BF663-1A87-4783-A460-0FBDBC347621}" name="23" totalsRowFunction="sum" dataDxfId="1982" totalsRowDxfId="1981" dataCellStyle="Moeda">
      <calculatedColumnFormula>SUMIFS(tabela_registros[VALOR],tabela_registros[MÊS],$AE$1,tabela_registros[DIA],receitasvariáveisconsolidadoout[[#Headers],[23]],tabela_registros[REGISTRO],DADOS!$N$3,tabela_registros[TIPO],DADOS!$V$3,tabela_registros[CATEGORIA],receitasvariáveisconsolidadoout[[#This Row],[ATUAL]])</calculatedColumnFormula>
    </tableColumn>
    <tableColumn id="25" xr3:uid="{BEB19D20-B7C9-4777-88C5-F558BF9749C9}" name="24" totalsRowFunction="sum" dataDxfId="1980" totalsRowDxfId="1979" dataCellStyle="Moeda">
      <calculatedColumnFormula>SUMIFS(tabela_registros[VALOR],tabela_registros[MÊS],$AE$1,tabela_registros[DIA],receitasvariáveisconsolidadoout[[#Headers],[24]],tabela_registros[REGISTRO],DADOS!$N$3,tabela_registros[TIPO],DADOS!$V$3,tabela_registros[CATEGORIA],receitasvariáveisconsolidadoout[[#This Row],[ATUAL]])</calculatedColumnFormula>
    </tableColumn>
    <tableColumn id="26" xr3:uid="{77A2866E-2BCD-4B4F-8BEE-AAD890B8A259}" name="25" totalsRowFunction="sum" dataDxfId="1978" totalsRowDxfId="1977" dataCellStyle="Moeda">
      <calculatedColumnFormula>SUMIFS(tabela_registros[VALOR],tabela_registros[MÊS],$AE$1,tabela_registros[DIA],receitasvariáveisconsolidadoout[[#Headers],[25]],tabela_registros[REGISTRO],DADOS!$N$3,tabela_registros[TIPO],DADOS!$V$3,tabela_registros[CATEGORIA],receitasvariáveisconsolidadoout[[#This Row],[ATUAL]])</calculatedColumnFormula>
    </tableColumn>
    <tableColumn id="27" xr3:uid="{168D58F1-3C68-47C5-9B89-FFE97C402EF6}" name="26" totalsRowFunction="sum" dataDxfId="1976" totalsRowDxfId="1975" dataCellStyle="Moeda">
      <calculatedColumnFormula>SUMIFS(tabela_registros[VALOR],tabela_registros[MÊS],$AE$1,tabela_registros[DIA],receitasvariáveisconsolidadoout[[#Headers],[26]],tabela_registros[REGISTRO],DADOS!$N$3,tabela_registros[TIPO],DADOS!$V$3,tabela_registros[CATEGORIA],receitasvariáveisconsolidadoout[[#This Row],[ATUAL]])</calculatedColumnFormula>
    </tableColumn>
    <tableColumn id="28" xr3:uid="{9CA1C5D6-33FB-4D2A-89DE-1A32CEEAC2AF}" name="27" totalsRowFunction="sum" dataDxfId="1974" totalsRowDxfId="1973" dataCellStyle="Moeda">
      <calculatedColumnFormula>SUMIFS(tabela_registros[VALOR],tabela_registros[MÊS],$AE$1,tabela_registros[DIA],receitasvariáveisconsolidadoout[[#Headers],[27]],tabela_registros[REGISTRO],DADOS!$N$3,tabela_registros[TIPO],DADOS!$V$3,tabela_registros[CATEGORIA],receitasvariáveisconsolidadoout[[#This Row],[ATUAL]])</calculatedColumnFormula>
    </tableColumn>
    <tableColumn id="29" xr3:uid="{A8CD9999-212A-435C-858D-4BAC5162A6D2}" name="28" totalsRowFunction="sum" dataDxfId="1972" totalsRowDxfId="1971" dataCellStyle="Moeda">
      <calculatedColumnFormula>SUMIFS(tabela_registros[VALOR],tabela_registros[MÊS],$AE$1,tabela_registros[DIA],receitasvariáveisconsolidadoout[[#Headers],[28]],tabela_registros[REGISTRO],DADOS!$N$3,tabela_registros[TIPO],DADOS!$V$3,tabela_registros[CATEGORIA],receitasvariáveisconsolidadoout[[#This Row],[ATUAL]])</calculatedColumnFormula>
    </tableColumn>
    <tableColumn id="30" xr3:uid="{0FAA3B01-AAA1-4EDA-800E-0CB1CAB75BE1}" name="29" totalsRowFunction="sum" dataDxfId="1970" totalsRowDxfId="1969" dataCellStyle="Moeda">
      <calculatedColumnFormula>SUMIFS(tabela_registros[VALOR],tabela_registros[MÊS],$AE$1,tabela_registros[DIA],receitasvariáveisconsolidadoout[[#Headers],[29]],tabela_registros[REGISTRO],DADOS!$N$3,tabela_registros[TIPO],DADOS!$V$3,tabela_registros[CATEGORIA],receitasvariáveisconsolidadoout[[#This Row],[ATUAL]])</calculatedColumnFormula>
    </tableColumn>
    <tableColumn id="31" xr3:uid="{4E84A1BA-504C-4FF1-BEBB-B47A6FEA4B5F}" name="30" totalsRowFunction="sum" dataDxfId="1968" totalsRowDxfId="1967" dataCellStyle="Moeda">
      <calculatedColumnFormula>SUMIFS(tabela_registros[VALOR],tabela_registros[MÊS],$AE$1,tabela_registros[DIA],receitasvariáveisconsolidadoout[[#Headers],[30]],tabela_registros[REGISTRO],DADOS!$N$3,tabela_registros[TIPO],DADOS!$V$3,tabela_registros[CATEGORIA],receitasvariáveisconsolidadoout[[#This Row],[ATUAL]])</calculatedColumnFormula>
    </tableColumn>
    <tableColumn id="32" xr3:uid="{AE26E03F-4918-439F-976F-995BE9AC2981}" name="31" totalsRowFunction="sum" dataDxfId="1966" totalsRowDxfId="1965" dataCellStyle="Moeda">
      <calculatedColumnFormula>SUMIFS(tabela_registros[VALOR],tabela_registros[MÊS],$AE$1,tabela_registros[DIA],receitasvariáveisconsolidadoout[[#Headers],[31]],tabela_registros[REGISTRO],DADOS!$N$3,tabela_registros[TIPO],DADOS!$V$3,tabela_registros[CATEGORIA],receitasvariáveisconsolidadoout[[#This Row],[ATUAL]])</calculatedColumnFormula>
    </tableColumn>
    <tableColumn id="33" xr3:uid="{58D2B2E9-1651-48BF-8E4E-4EF66AD8389D}" name="TOTAL (R$)" totalsRowFunction="sum" dataDxfId="1964" dataCellStyle="Moeda">
      <calculatedColumnFormula>SUM(receitasvariáveisconsolidadoout[[#This Row],[1]:[31]])</calculatedColumnFormula>
    </tableColumn>
  </tableColumns>
  <tableStyleInfo name="TABELAS RESULTADOS" showFirstColumn="0" showLastColumn="0" showRowStripes="1" showColumnStripes="0"/>
</table>
</file>

<file path=xl/tables/table12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8" xr:uid="{A56A545D-3045-4C56-B267-B3719B9C2330}" name="investirrendafixaconsolidadoout" displayName="investirrendafixaconsolidadoout" ref="C112:AJ123" headerRowDxfId="1963" dataDxfId="1962" totalsRowDxfId="1961">
  <autoFilter ref="C112:AJ123" xr:uid="{3BCF8FD2-4C10-4776-87A3-7B16A33417A4}"/>
  <tableColumns count="34">
    <tableColumn id="1" xr3:uid="{107C72BB-BEBA-4C1C-9C81-0635ABB1F058}" name="ATUAL" totalsRowLabel="SALDO" dataDxfId="1960"/>
    <tableColumn id="34" xr3:uid="{B5AD91CE-9129-4DA3-8663-CBA1DBD8DA02}" name="Coluna1" dataDxfId="1959" totalsRowDxfId="1958">
      <calculatedColumnFormula>IF(investirrendafixaconsolidadoout[[#This Row],[TOTAL (R$)]]=0,"",IF(OR(investirrendafixaconsolidadoout[[#This Row],[TOTAL (R$)]]=LARGE($AJ$113:$AJ$122,1),investirrendafixaconsolidadoout[[#This Row],[TOTAL (R$)]]=LARGE($AJ$113:$AJ$122,2)),DADOS!$I$10,""))</calculatedColumnFormula>
    </tableColumn>
    <tableColumn id="2" xr3:uid="{DE72F794-1F4B-4EE5-B98D-A6796A0CEB0C}" name="1" totalsRowFunction="sum" dataDxfId="1957" dataCellStyle="Moeda"/>
    <tableColumn id="3" xr3:uid="{F615C6CD-41F8-4459-84CB-56C1E746ADCC}" name="2" totalsRowFunction="sum" dataDxfId="1956" dataCellStyle="Moeda">
      <calculatedColumnFormula>SUMIFS(tabela_registros[VALOR],tabela_registros[MÊS],$AE$1,tabela_registros[DIA],investirrendafixaconsolidadoout[[#Headers],[2]],tabela_registros[REGISTRO],DADOS!$N$3,tabela_registros[TIPO],DADOS!$V$3,tabela_registros[CATEGORIA],investirrendafixaconsolidadoout[[#This Row],[ATUAL]])</calculatedColumnFormula>
    </tableColumn>
    <tableColumn id="4" xr3:uid="{74F7EE6F-37F7-463A-8B82-40C16DA0AA0F}" name="3" totalsRowFunction="sum" dataDxfId="1955" totalsRowDxfId="1954" dataCellStyle="Moeda">
      <calculatedColumnFormula>SUMIFS(tabela_registros[VALOR],tabela_registros[MÊS],$AE$1,tabela_registros[DIA],investirrendafixaconsolidadoout[[#Headers],[3]],tabela_registros[REGISTRO],DADOS!$N$3,tabela_registros[TIPO],DADOS!$V$3,tabela_registros[CATEGORIA],investirrendafixaconsolidadoout[[#This Row],[ATUAL]])</calculatedColumnFormula>
    </tableColumn>
    <tableColumn id="5" xr3:uid="{E81957C9-E832-402D-939D-2725E8C1721D}" name="4" totalsRowFunction="sum" dataDxfId="1953" totalsRowDxfId="1952" dataCellStyle="Moeda">
      <calculatedColumnFormula>SUMIFS(tabela_registros[VALOR],tabela_registros[MÊS],$AE$1,tabela_registros[DIA],investirrendafixaconsolidadoout[[#Headers],[4]],tabela_registros[REGISTRO],DADOS!$N$3,tabela_registros[TIPO],DADOS!$V$3,tabela_registros[CATEGORIA],investirrendafixaconsolidadoout[[#This Row],[ATUAL]])</calculatedColumnFormula>
    </tableColumn>
    <tableColumn id="6" xr3:uid="{72EDDC61-F1CF-48BB-A4A6-FD6F0CE37B94}" name="5" totalsRowFunction="sum" dataDxfId="1951" totalsRowDxfId="1950" dataCellStyle="Moeda">
      <calculatedColumnFormula>SUMIFS(tabela_registros[VALOR],tabela_registros[MÊS],$AE$1,tabela_registros[DIA],investirrendafixaconsolidadoout[[#Headers],[5]],tabela_registros[REGISTRO],DADOS!$N$3,tabela_registros[TIPO],DADOS!$V$3,tabela_registros[CATEGORIA],investirrendafixaconsolidadoout[[#This Row],[ATUAL]])</calculatedColumnFormula>
    </tableColumn>
    <tableColumn id="7" xr3:uid="{D94224A4-E728-41A6-9A54-969A6FC11922}" name="6" totalsRowFunction="sum" dataDxfId="1949" totalsRowDxfId="1948" dataCellStyle="Moeda">
      <calculatedColumnFormula>SUMIFS(tabela_registros[VALOR],tabela_registros[MÊS],$AE$1,tabela_registros[DIA],investirrendafixaconsolidadoout[[#Headers],[6]],tabela_registros[REGISTRO],DADOS!$N$3,tabela_registros[TIPO],DADOS!$V$3,tabela_registros[CATEGORIA],investirrendafixaconsolidadoout[[#This Row],[ATUAL]])</calculatedColumnFormula>
    </tableColumn>
    <tableColumn id="8" xr3:uid="{4F939E18-B009-4A68-B690-E2A531AF0F1C}" name="7" totalsRowFunction="sum" dataDxfId="1947" totalsRowDxfId="1946" dataCellStyle="Moeda">
      <calculatedColumnFormula>SUMIFS(tabela_registros[VALOR],tabela_registros[MÊS],$AE$1,tabela_registros[DIA],investirrendafixaconsolidadoout[[#Headers],[7]],tabela_registros[REGISTRO],DADOS!$N$3,tabela_registros[TIPO],DADOS!$V$3,tabela_registros[CATEGORIA],investirrendafixaconsolidadoout[[#This Row],[ATUAL]])</calculatedColumnFormula>
    </tableColumn>
    <tableColumn id="9" xr3:uid="{4B37D943-6024-411C-A90B-B61342CD15B0}" name="8" totalsRowFunction="sum" dataDxfId="1945" totalsRowDxfId="1944" dataCellStyle="Moeda">
      <calculatedColumnFormula>SUMIFS(tabela_registros[VALOR],tabela_registros[MÊS],$AE$1,tabela_registros[DIA],investirrendafixaconsolidadoout[[#Headers],[8]],tabela_registros[REGISTRO],DADOS!$N$3,tabela_registros[TIPO],DADOS!$V$3,tabela_registros[CATEGORIA],investirrendafixaconsolidadoout[[#This Row],[ATUAL]])</calculatedColumnFormula>
    </tableColumn>
    <tableColumn id="10" xr3:uid="{2F4C384E-F802-4B39-98EB-4CAD22353684}" name="9" totalsRowFunction="sum" dataDxfId="1943" totalsRowDxfId="1942" dataCellStyle="Moeda">
      <calculatedColumnFormula>SUMIFS(tabela_registros[VALOR],tabela_registros[MÊS],$AE$1,tabela_registros[DIA],investirrendafixaconsolidadoout[[#Headers],[9]],tabela_registros[REGISTRO],DADOS!$N$3,tabela_registros[TIPO],DADOS!$V$3,tabela_registros[CATEGORIA],investirrendafixaconsolidadoout[[#This Row],[ATUAL]])</calculatedColumnFormula>
    </tableColumn>
    <tableColumn id="11" xr3:uid="{7F46B8B5-57F1-4FC2-975E-9CB9DE443498}" name="10" totalsRowFunction="sum" dataDxfId="1941" totalsRowDxfId="1940" dataCellStyle="Moeda">
      <calculatedColumnFormula>SUMIFS(tabela_registros[VALOR],tabela_registros[MÊS],$AE$1,tabela_registros[DIA],investirrendafixaconsolidadoout[[#Headers],[10]],tabela_registros[REGISTRO],DADOS!$N$3,tabela_registros[TIPO],DADOS!$V$3,tabela_registros[CATEGORIA],investirrendafixaconsolidadoout[[#This Row],[ATUAL]])</calculatedColumnFormula>
    </tableColumn>
    <tableColumn id="12" xr3:uid="{A73C18C6-F20B-4DF5-B5B3-2E849AF6B26B}" name="11" totalsRowFunction="sum" dataDxfId="1939" totalsRowDxfId="1938" dataCellStyle="Moeda">
      <calculatedColumnFormula>SUMIFS(tabela_registros[VALOR],tabela_registros[MÊS],$AE$1,tabela_registros[DIA],investirrendafixaconsolidadoout[[#Headers],[11]],tabela_registros[REGISTRO],DADOS!$N$3,tabela_registros[TIPO],DADOS!$V$3,tabela_registros[CATEGORIA],investirrendafixaconsolidadoout[[#This Row],[ATUAL]])</calculatedColumnFormula>
    </tableColumn>
    <tableColumn id="13" xr3:uid="{B13D4477-9EA5-41BA-B565-9FA5F98501A5}" name="12" totalsRowFunction="sum" dataDxfId="1937" totalsRowDxfId="1936" dataCellStyle="Moeda">
      <calculatedColumnFormula>SUMIFS(tabela_registros[VALOR],tabela_registros[MÊS],$AE$1,tabela_registros[DIA],investirrendafixaconsolidadoout[[#Headers],[12]],tabela_registros[REGISTRO],DADOS!$N$3,tabela_registros[TIPO],DADOS!$V$3,tabela_registros[CATEGORIA],investirrendafixaconsolidadoout[[#This Row],[ATUAL]])</calculatedColumnFormula>
    </tableColumn>
    <tableColumn id="14" xr3:uid="{03824075-A9D4-4992-9FC4-6C4F37D992CE}" name="13" totalsRowFunction="sum" dataDxfId="1935" totalsRowDxfId="1934" dataCellStyle="Moeda">
      <calculatedColumnFormula>SUMIFS(tabela_registros[VALOR],tabela_registros[MÊS],$AE$1,tabela_registros[DIA],investirrendafixaconsolidadoout[[#Headers],[13]],tabela_registros[REGISTRO],DADOS!$N$3,tabela_registros[TIPO],DADOS!$V$3,tabela_registros[CATEGORIA],investirrendafixaconsolidadoout[[#This Row],[ATUAL]])</calculatedColumnFormula>
    </tableColumn>
    <tableColumn id="15" xr3:uid="{F5F83F38-D866-4104-9FCA-CC62E28F062F}" name="14" totalsRowFunction="sum" dataDxfId="1933" totalsRowDxfId="1932" dataCellStyle="Moeda">
      <calculatedColumnFormula>SUMIFS(tabela_registros[VALOR],tabela_registros[MÊS],$AE$1,tabela_registros[DIA],investirrendafixaconsolidadoout[[#Headers],[14]],tabela_registros[REGISTRO],DADOS!$N$3,tabela_registros[TIPO],DADOS!$V$3,tabela_registros[CATEGORIA],investirrendafixaconsolidadoout[[#This Row],[ATUAL]])</calculatedColumnFormula>
    </tableColumn>
    <tableColumn id="16" xr3:uid="{8BCA35B2-3F9D-48B0-9C49-138F23039135}" name="15" totalsRowFunction="sum" dataDxfId="1931" totalsRowDxfId="1930" dataCellStyle="Moeda">
      <calculatedColumnFormula>SUMIFS(tabela_registros[VALOR],tabela_registros[MÊS],$AE$1,tabela_registros[DIA],investirrendafixaconsolidadoout[[#Headers],[15]],tabela_registros[REGISTRO],DADOS!$N$3,tabela_registros[TIPO],DADOS!$V$3,tabela_registros[CATEGORIA],investirrendafixaconsolidadoout[[#This Row],[ATUAL]])</calculatedColumnFormula>
    </tableColumn>
    <tableColumn id="17" xr3:uid="{CC23C1E4-3E07-44A4-B681-2EFE0F07E339}" name="16" totalsRowFunction="sum" dataDxfId="1929" totalsRowDxfId="1928" dataCellStyle="Moeda">
      <calculatedColumnFormula>SUMIFS(tabela_registros[VALOR],tabela_registros[MÊS],$AE$1,tabela_registros[DIA],investirrendafixaconsolidadoout[[#Headers],[16]],tabela_registros[REGISTRO],DADOS!$N$3,tabela_registros[TIPO],DADOS!$V$3,tabela_registros[CATEGORIA],investirrendafixaconsolidadoout[[#This Row],[ATUAL]])</calculatedColumnFormula>
    </tableColumn>
    <tableColumn id="18" xr3:uid="{3C0CFC8E-D6E8-4541-B762-7E4EABEB53B0}" name="17" totalsRowFunction="sum" dataDxfId="1927" totalsRowDxfId="1926" dataCellStyle="Moeda">
      <calculatedColumnFormula>SUMIFS(tabela_registros[VALOR],tabela_registros[MÊS],$AE$1,tabela_registros[DIA],investirrendafixaconsolidadoout[[#Headers],[17]],tabela_registros[REGISTRO],DADOS!$N$3,tabela_registros[TIPO],DADOS!$V$3,tabela_registros[CATEGORIA],investirrendafixaconsolidadoout[[#This Row],[ATUAL]])</calculatedColumnFormula>
    </tableColumn>
    <tableColumn id="19" xr3:uid="{915013D5-65BD-4344-9D9E-DCAB35B13DB0}" name="18" totalsRowFunction="sum" dataDxfId="1925" totalsRowDxfId="1924" dataCellStyle="Moeda">
      <calculatedColumnFormula>SUMIFS(tabela_registros[VALOR],tabela_registros[MÊS],$AE$1,tabela_registros[DIA],investirrendafixaconsolidadoout[[#Headers],[18]],tabela_registros[REGISTRO],DADOS!$N$3,tabela_registros[TIPO],DADOS!$V$3,tabela_registros[CATEGORIA],investirrendafixaconsolidadoout[[#This Row],[ATUAL]])</calculatedColumnFormula>
    </tableColumn>
    <tableColumn id="20" xr3:uid="{291ABF81-5F9D-4DCF-ABFA-B7CCD967FCA9}" name="19" totalsRowFunction="sum" dataDxfId="1923" totalsRowDxfId="1922" dataCellStyle="Moeda">
      <calculatedColumnFormula>SUMIFS(tabela_registros[VALOR],tabela_registros[MÊS],$AE$1,tabela_registros[DIA],investirrendafixaconsolidadoout[[#Headers],[19]],tabela_registros[REGISTRO],DADOS!$N$3,tabela_registros[TIPO],DADOS!$V$3,tabela_registros[CATEGORIA],investirrendafixaconsolidadoout[[#This Row],[ATUAL]])</calculatedColumnFormula>
    </tableColumn>
    <tableColumn id="21" xr3:uid="{5068B0BB-F874-4858-8AF2-B7911274ACD0}" name="20" totalsRowFunction="sum" dataDxfId="1921" totalsRowDxfId="1920" dataCellStyle="Moeda">
      <calculatedColumnFormula>SUMIFS(tabela_registros[VALOR],tabela_registros[MÊS],$AE$1,tabela_registros[DIA],investirrendafixaconsolidadoout[[#Headers],[20]],tabela_registros[REGISTRO],DADOS!$N$3,tabela_registros[TIPO],DADOS!$V$3,tabela_registros[CATEGORIA],investirrendafixaconsolidadoout[[#This Row],[ATUAL]])</calculatedColumnFormula>
    </tableColumn>
    <tableColumn id="22" xr3:uid="{C48E5799-5064-40B7-AE0D-3AA65DDB4398}" name="21" totalsRowFunction="sum" dataDxfId="1919" totalsRowDxfId="1918" dataCellStyle="Moeda">
      <calculatedColumnFormula>SUMIFS(tabela_registros[VALOR],tabela_registros[MÊS],$AE$1,tabela_registros[DIA],investirrendafixaconsolidadoout[[#Headers],[21]],tabela_registros[REGISTRO],DADOS!$N$3,tabela_registros[TIPO],DADOS!$V$3,tabela_registros[CATEGORIA],investirrendafixaconsolidadoout[[#This Row],[ATUAL]])</calculatedColumnFormula>
    </tableColumn>
    <tableColumn id="23" xr3:uid="{20E67D58-AA2A-4C5E-A878-B6D4A608FEF3}" name="22" totalsRowFunction="sum" dataDxfId="1917" totalsRowDxfId="1916" dataCellStyle="Moeda">
      <calculatedColumnFormula>SUMIFS(tabela_registros[VALOR],tabela_registros[MÊS],$AE$1,tabela_registros[DIA],investirrendafixaconsolidadoout[[#Headers],[22]],tabela_registros[REGISTRO],DADOS!$N$3,tabela_registros[TIPO],DADOS!$V$3,tabela_registros[CATEGORIA],investirrendafixaconsolidadoout[[#This Row],[ATUAL]])</calculatedColumnFormula>
    </tableColumn>
    <tableColumn id="24" xr3:uid="{6E35D20D-297E-4646-820C-01A218F96F24}" name="23" totalsRowFunction="sum" dataDxfId="1915" totalsRowDxfId="1914" dataCellStyle="Moeda">
      <calculatedColumnFormula>SUMIFS(tabela_registros[VALOR],tabela_registros[MÊS],$AE$1,tabela_registros[DIA],investirrendafixaconsolidadoout[[#Headers],[23]],tabela_registros[REGISTRO],DADOS!$N$3,tabela_registros[TIPO],DADOS!$V$3,tabela_registros[CATEGORIA],investirrendafixaconsolidadoout[[#This Row],[ATUAL]])</calculatedColumnFormula>
    </tableColumn>
    <tableColumn id="25" xr3:uid="{E3E8D678-C442-40DB-8122-1BC52BC23CCC}" name="24" totalsRowFunction="sum" dataDxfId="1913" totalsRowDxfId="1912" dataCellStyle="Moeda">
      <calculatedColumnFormula>SUMIFS(tabela_registros[VALOR],tabela_registros[MÊS],$AE$1,tabela_registros[DIA],investirrendafixaconsolidadoout[[#Headers],[24]],tabela_registros[REGISTRO],DADOS!$N$3,tabela_registros[TIPO],DADOS!$V$3,tabela_registros[CATEGORIA],investirrendafixaconsolidadoout[[#This Row],[ATUAL]])</calculatedColumnFormula>
    </tableColumn>
    <tableColumn id="26" xr3:uid="{F8523EA0-5073-42B5-8EA9-DEBF313A7057}" name="25" totalsRowFunction="sum" dataDxfId="1911" totalsRowDxfId="1910" dataCellStyle="Moeda">
      <calculatedColumnFormula>SUMIFS(tabela_registros[VALOR],tabela_registros[MÊS],$AE$1,tabela_registros[DIA],investirrendafixaconsolidadoout[[#Headers],[25]],tabela_registros[REGISTRO],DADOS!$N$3,tabela_registros[TIPO],DADOS!$V$3,tabela_registros[CATEGORIA],investirrendafixaconsolidadoout[[#This Row],[ATUAL]])</calculatedColumnFormula>
    </tableColumn>
    <tableColumn id="27" xr3:uid="{14789B90-5F6C-47D5-857F-2B4BB66499FA}" name="26" totalsRowFunction="sum" dataDxfId="1909" totalsRowDxfId="1908" dataCellStyle="Moeda">
      <calculatedColumnFormula>SUMIFS(tabela_registros[VALOR],tabela_registros[MÊS],$AE$1,tabela_registros[DIA],investirrendafixaconsolidadoout[[#Headers],[26]],tabela_registros[REGISTRO],DADOS!$N$3,tabela_registros[TIPO],DADOS!$V$3,tabela_registros[CATEGORIA],investirrendafixaconsolidadoout[[#This Row],[ATUAL]])</calculatedColumnFormula>
    </tableColumn>
    <tableColumn id="28" xr3:uid="{ED58908C-C52B-449E-9C0F-451B1B591C3A}" name="27" totalsRowFunction="sum" dataDxfId="1907" totalsRowDxfId="1906" dataCellStyle="Moeda">
      <calculatedColumnFormula>SUMIFS(tabela_registros[VALOR],tabela_registros[MÊS],$AE$1,tabela_registros[DIA],investirrendafixaconsolidadoout[[#Headers],[27]],tabela_registros[REGISTRO],DADOS!$N$3,tabela_registros[TIPO],DADOS!$V$3,tabela_registros[CATEGORIA],investirrendafixaconsolidadoout[[#This Row],[ATUAL]])</calculatedColumnFormula>
    </tableColumn>
    <tableColumn id="29" xr3:uid="{017FB823-FF5B-4ABB-8C97-E92AE0563558}" name="28" totalsRowFunction="sum" dataDxfId="1905" totalsRowDxfId="1904" dataCellStyle="Moeda">
      <calculatedColumnFormula>SUMIFS(tabela_registros[VALOR],tabela_registros[MÊS],$AE$1,tabela_registros[DIA],investirrendafixaconsolidadoout[[#Headers],[28]],tabela_registros[REGISTRO],DADOS!$N$3,tabela_registros[TIPO],DADOS!$V$3,tabela_registros[CATEGORIA],investirrendafixaconsolidadoout[[#This Row],[ATUAL]])</calculatedColumnFormula>
    </tableColumn>
    <tableColumn id="30" xr3:uid="{1C9BD48A-876F-472C-9CB9-8EAC309A561F}" name="29" totalsRowFunction="sum" dataDxfId="1903" totalsRowDxfId="1902" dataCellStyle="Moeda">
      <calculatedColumnFormula>SUMIFS(tabela_registros[VALOR],tabela_registros[MÊS],$AE$1,tabela_registros[DIA],investirrendafixaconsolidadoout[[#Headers],[29]],tabela_registros[REGISTRO],DADOS!$N$3,tabela_registros[TIPO],DADOS!$V$3,tabela_registros[CATEGORIA],investirrendafixaconsolidadoout[[#This Row],[ATUAL]])</calculatedColumnFormula>
    </tableColumn>
    <tableColumn id="31" xr3:uid="{4894A245-FB05-4898-B64B-5F851FA800C5}" name="30" totalsRowFunction="sum" dataDxfId="1901" totalsRowDxfId="1900" dataCellStyle="Moeda">
      <calculatedColumnFormula>SUMIFS(tabela_registros[VALOR],tabela_registros[MÊS],$AE$1,tabela_registros[DIA],investirrendafixaconsolidadoout[[#Headers],[30]],tabela_registros[REGISTRO],DADOS!$N$3,tabela_registros[TIPO],DADOS!$V$3,tabela_registros[CATEGORIA],investirrendafixaconsolidadoout[[#This Row],[ATUAL]])</calculatedColumnFormula>
    </tableColumn>
    <tableColumn id="32" xr3:uid="{1E1638B7-6FDE-47EF-8FC1-58339041A405}" name="31" totalsRowFunction="sum" dataDxfId="1899" totalsRowDxfId="1898" dataCellStyle="Moeda">
      <calculatedColumnFormula>SUMIFS(tabela_registros[VALOR],tabela_registros[MÊS],$AE$1,tabela_registros[DIA],investirrendafixaconsolidadoout[[#Headers],[31]],tabela_registros[REGISTRO],DADOS!$N$3,tabela_registros[TIPO],DADOS!$V$3,tabela_registros[CATEGORIA],investirrendafixaconsolidadoout[[#This Row],[ATUAL]])</calculatedColumnFormula>
    </tableColumn>
    <tableColumn id="33" xr3:uid="{DE468712-E980-4A2A-8754-0667BF3EC610}" name="TOTAL (R$)" totalsRowFunction="sum" dataDxfId="1897" dataCellStyle="Moeda">
      <calculatedColumnFormula>SUM(investirrendafixaconsolidadoout[[#This Row],[1]:[31]])</calculatedColumnFormula>
    </tableColumn>
  </tableColumns>
  <tableStyleInfo name="TABELAS RESULTADOS" showFirstColumn="0" showLastColumn="0" showRowStripes="1" showColumnStripes="0"/>
</table>
</file>

<file path=xl/tables/table12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9" xr:uid="{353255BB-E45F-440B-B3E9-88D9B7C5B58C}" name="investirrendavariávelconsolidadoout" displayName="investirrendavariávelconsolidadoout" ref="C131:AJ142" headerRowDxfId="1896" dataDxfId="1895" totalsRowDxfId="1894">
  <autoFilter ref="C131:AJ142" xr:uid="{08F8225F-86FE-4857-B00A-7406490FE1C1}"/>
  <tableColumns count="34">
    <tableColumn id="1" xr3:uid="{DC9D9F95-75EA-42D0-B72E-B93DE573ABED}" name="ATUAL" totalsRowLabel="SALDO" dataDxfId="1893"/>
    <tableColumn id="34" xr3:uid="{29E1DACF-C924-4D0E-8793-825FDEB2D935}" name="Coluna1" dataDxfId="1892" totalsRowDxfId="1891">
      <calculatedColumnFormula>IF(investirrendavariávelconsolidadoout[[#This Row],[TOTAL (R$)]]=0,"",IF(OR(investirrendavariávelconsolidadoout[[#This Row],[TOTAL (R$)]]=LARGE($AJ$132:$AJ$141,1),investirrendavariávelconsolidadoout[[#This Row],[TOTAL (R$)]]=LARGE($AJ$132:$AJ$141,2)),DADOS!$I$10,""))</calculatedColumnFormula>
    </tableColumn>
    <tableColumn id="2" xr3:uid="{EE14CDF6-ED4B-4300-9835-44B1E0ABBE42}" name="1" totalsRowFunction="sum" dataDxfId="1890" dataCellStyle="Moeda"/>
    <tableColumn id="3" xr3:uid="{3EF61556-9E0C-4679-B974-3F3D8011F27F}" name="2" totalsRowFunction="sum" dataDxfId="1889" dataCellStyle="Moeda">
      <calculatedColumnFormula>SUMIFS(tabela_registros[VALOR],tabela_registros[MÊS],$AE$1,tabela_registros[DIA],investirrendavariávelconsolidadoout[[#Headers],[2]],tabela_registros[REGISTRO],DADOS!$N$3,tabela_registros[TIPO],DADOS!$V$3,tabela_registros[CATEGORIA],investirrendavariávelconsolidadoout[[#This Row],[ATUAL]])</calculatedColumnFormula>
    </tableColumn>
    <tableColumn id="4" xr3:uid="{787F9ECB-6F3A-4DAF-9E68-4E2B73426643}" name="3" totalsRowFunction="sum" dataDxfId="1888" totalsRowDxfId="1887" dataCellStyle="Moeda">
      <calculatedColumnFormula>SUMIFS(tabela_registros[VALOR],tabela_registros[MÊS],$AE$1,tabela_registros[DIA],investirrendavariávelconsolidadoout[[#Headers],[3]],tabela_registros[REGISTRO],DADOS!$N$3,tabela_registros[TIPO],DADOS!$V$3,tabela_registros[CATEGORIA],investirrendavariávelconsolidadoout[[#This Row],[ATUAL]])</calculatedColumnFormula>
    </tableColumn>
    <tableColumn id="5" xr3:uid="{EBF96A74-CD55-4EC5-BC36-6FEA7F7566A4}" name="4" totalsRowFunction="sum" dataDxfId="1886" totalsRowDxfId="1885" dataCellStyle="Moeda">
      <calculatedColumnFormula>SUMIFS(tabela_registros[VALOR],tabela_registros[MÊS],$AE$1,tabela_registros[DIA],investirrendavariávelconsolidadoout[[#Headers],[4]],tabela_registros[REGISTRO],DADOS!$N$3,tabela_registros[TIPO],DADOS!$V$3,tabela_registros[CATEGORIA],investirrendavariávelconsolidadoout[[#This Row],[ATUAL]])</calculatedColumnFormula>
    </tableColumn>
    <tableColumn id="6" xr3:uid="{1AC6C660-AC12-4F51-A0F0-B4EE5EF624A9}" name="5" totalsRowFunction="sum" dataDxfId="1884" totalsRowDxfId="1883" dataCellStyle="Moeda">
      <calculatedColumnFormula>SUMIFS(tabela_registros[VALOR],tabela_registros[MÊS],$AE$1,tabela_registros[DIA],investirrendavariávelconsolidadoout[[#Headers],[5]],tabela_registros[REGISTRO],DADOS!$N$3,tabela_registros[TIPO],DADOS!$V$3,tabela_registros[CATEGORIA],investirrendavariávelconsolidadoout[[#This Row],[ATUAL]])</calculatedColumnFormula>
    </tableColumn>
    <tableColumn id="7" xr3:uid="{0D295C90-B646-4438-A97F-A01A64C0ECA1}" name="6" totalsRowFunction="sum" dataDxfId="1882" totalsRowDxfId="1881" dataCellStyle="Moeda">
      <calculatedColumnFormula>SUMIFS(tabela_registros[VALOR],tabela_registros[MÊS],$AE$1,tabela_registros[DIA],investirrendavariávelconsolidadoout[[#Headers],[6]],tabela_registros[REGISTRO],DADOS!$N$3,tabela_registros[TIPO],DADOS!$V$3,tabela_registros[CATEGORIA],investirrendavariávelconsolidadoout[[#This Row],[ATUAL]])</calculatedColumnFormula>
    </tableColumn>
    <tableColumn id="8" xr3:uid="{BB28F269-86A2-44BC-977C-D0B29958A468}" name="7" totalsRowFunction="sum" dataDxfId="1880" totalsRowDxfId="1879" dataCellStyle="Moeda">
      <calculatedColumnFormula>SUMIFS(tabela_registros[VALOR],tabela_registros[MÊS],$AE$1,tabela_registros[DIA],investirrendavariávelconsolidadoout[[#Headers],[7]],tabela_registros[REGISTRO],DADOS!$N$3,tabela_registros[TIPO],DADOS!$V$3,tabela_registros[CATEGORIA],investirrendavariávelconsolidadoout[[#This Row],[ATUAL]])</calculatedColumnFormula>
    </tableColumn>
    <tableColumn id="9" xr3:uid="{DC87E7C1-4762-4A09-8E59-85C802B414D6}" name="8" totalsRowFunction="sum" dataDxfId="1878" totalsRowDxfId="1877" dataCellStyle="Moeda">
      <calculatedColumnFormula>SUMIFS(tabela_registros[VALOR],tabela_registros[MÊS],$AE$1,tabela_registros[DIA],investirrendavariávelconsolidadoout[[#Headers],[8]],tabela_registros[REGISTRO],DADOS!$N$3,tabela_registros[TIPO],DADOS!$V$3,tabela_registros[CATEGORIA],investirrendavariávelconsolidadoout[[#This Row],[ATUAL]])</calculatedColumnFormula>
    </tableColumn>
    <tableColumn id="10" xr3:uid="{281444CE-E771-41CB-BEB0-6E8AFD5DEE0C}" name="9" totalsRowFunction="sum" dataDxfId="1876" totalsRowDxfId="1875" dataCellStyle="Moeda">
      <calculatedColumnFormula>SUMIFS(tabela_registros[VALOR],tabela_registros[MÊS],$AE$1,tabela_registros[DIA],investirrendavariávelconsolidadoout[[#Headers],[9]],tabela_registros[REGISTRO],DADOS!$N$3,tabela_registros[TIPO],DADOS!$V$3,tabela_registros[CATEGORIA],investirrendavariávelconsolidadoout[[#This Row],[ATUAL]])</calculatedColumnFormula>
    </tableColumn>
    <tableColumn id="11" xr3:uid="{68F48A91-E8CE-458C-B8D1-603CF8E8F87C}" name="10" totalsRowFunction="sum" dataDxfId="1874" totalsRowDxfId="1873" dataCellStyle="Moeda">
      <calculatedColumnFormula>SUMIFS(tabela_registros[VALOR],tabela_registros[MÊS],$AE$1,tabela_registros[DIA],investirrendavariávelconsolidadoout[[#Headers],[10]],tabela_registros[REGISTRO],DADOS!$N$3,tabela_registros[TIPO],DADOS!$V$3,tabela_registros[CATEGORIA],investirrendavariávelconsolidadoout[[#This Row],[ATUAL]])</calculatedColumnFormula>
    </tableColumn>
    <tableColumn id="12" xr3:uid="{4AA196DA-C444-4A64-B1F5-8E34B8C84186}" name="11" totalsRowFunction="sum" dataDxfId="1872" totalsRowDxfId="1871" dataCellStyle="Moeda">
      <calculatedColumnFormula>SUMIFS(tabela_registros[VALOR],tabela_registros[MÊS],$AE$1,tabela_registros[DIA],investirrendavariávelconsolidadoout[[#Headers],[11]],tabela_registros[REGISTRO],DADOS!$N$3,tabela_registros[TIPO],DADOS!$V$3,tabela_registros[CATEGORIA],investirrendavariávelconsolidadoout[[#This Row],[ATUAL]])</calculatedColumnFormula>
    </tableColumn>
    <tableColumn id="13" xr3:uid="{1D5E5FDC-3E28-4FA9-B34D-AAF8564F5CF3}" name="12" totalsRowFunction="sum" dataDxfId="1870" totalsRowDxfId="1869" dataCellStyle="Moeda">
      <calculatedColumnFormula>SUMIFS(tabela_registros[VALOR],tabela_registros[MÊS],$AE$1,tabela_registros[DIA],investirrendavariávelconsolidadoout[[#Headers],[12]],tabela_registros[REGISTRO],DADOS!$N$3,tabela_registros[TIPO],DADOS!$V$3,tabela_registros[CATEGORIA],investirrendavariávelconsolidadoout[[#This Row],[ATUAL]])</calculatedColumnFormula>
    </tableColumn>
    <tableColumn id="14" xr3:uid="{ED41D99D-F134-4C1B-A6DB-9ECBAD09FB60}" name="13" totalsRowFunction="sum" dataDxfId="1868" totalsRowDxfId="1867" dataCellStyle="Moeda">
      <calculatedColumnFormula>SUMIFS(tabela_registros[VALOR],tabela_registros[MÊS],$AE$1,tabela_registros[DIA],investirrendavariávelconsolidadoout[[#Headers],[13]],tabela_registros[REGISTRO],DADOS!$N$3,tabela_registros[TIPO],DADOS!$V$3,tabela_registros[CATEGORIA],investirrendavariávelconsolidadoout[[#This Row],[ATUAL]])</calculatedColumnFormula>
    </tableColumn>
    <tableColumn id="15" xr3:uid="{A675F26E-D9CE-485C-B172-07577CFBDFD7}" name="14" totalsRowFunction="sum" dataDxfId="1866" totalsRowDxfId="1865" dataCellStyle="Moeda">
      <calculatedColumnFormula>SUMIFS(tabela_registros[VALOR],tabela_registros[MÊS],$AE$1,tabela_registros[DIA],investirrendavariávelconsolidadoout[[#Headers],[14]],tabela_registros[REGISTRO],DADOS!$N$3,tabela_registros[TIPO],DADOS!$V$3,tabela_registros[CATEGORIA],investirrendavariávelconsolidadoout[[#This Row],[ATUAL]])</calculatedColumnFormula>
    </tableColumn>
    <tableColumn id="16" xr3:uid="{73197278-4B6B-404F-8ACB-7C99A0A777F6}" name="15" totalsRowFunction="sum" dataDxfId="1864" totalsRowDxfId="1863" dataCellStyle="Moeda">
      <calculatedColumnFormula>SUMIFS(tabela_registros[VALOR],tabela_registros[MÊS],$AE$1,tabela_registros[DIA],investirrendavariávelconsolidadoout[[#Headers],[15]],tabela_registros[REGISTRO],DADOS!$N$3,tabela_registros[TIPO],DADOS!$V$3,tabela_registros[CATEGORIA],investirrendavariávelconsolidadoout[[#This Row],[ATUAL]])</calculatedColumnFormula>
    </tableColumn>
    <tableColumn id="17" xr3:uid="{08E12E38-2212-4242-B897-40E11C7C8FB0}" name="16" totalsRowFunction="sum" dataDxfId="1862" totalsRowDxfId="1861" dataCellStyle="Moeda">
      <calculatedColumnFormula>SUMIFS(tabela_registros[VALOR],tabela_registros[MÊS],$AE$1,tabela_registros[DIA],investirrendavariávelconsolidadoout[[#Headers],[16]],tabela_registros[REGISTRO],DADOS!$N$3,tabela_registros[TIPO],DADOS!$V$3,tabela_registros[CATEGORIA],investirrendavariávelconsolidadoout[[#This Row],[ATUAL]])</calculatedColumnFormula>
    </tableColumn>
    <tableColumn id="18" xr3:uid="{779C15B9-CB4C-49CA-A669-BA908776B63A}" name="17" totalsRowFunction="sum" dataDxfId="1860" totalsRowDxfId="1859" dataCellStyle="Moeda">
      <calculatedColumnFormula>SUMIFS(tabela_registros[VALOR],tabela_registros[MÊS],$AE$1,tabela_registros[DIA],investirrendavariávelconsolidadoout[[#Headers],[17]],tabela_registros[REGISTRO],DADOS!$N$3,tabela_registros[TIPO],DADOS!$V$3,tabela_registros[CATEGORIA],investirrendavariávelconsolidadoout[[#This Row],[ATUAL]])</calculatedColumnFormula>
    </tableColumn>
    <tableColumn id="19" xr3:uid="{56AA2AA8-791B-4486-9E15-D07A3684BE3F}" name="18" totalsRowFunction="sum" dataDxfId="1858" totalsRowDxfId="1857" dataCellStyle="Moeda">
      <calculatedColumnFormula>SUMIFS(tabela_registros[VALOR],tabela_registros[MÊS],$AE$1,tabela_registros[DIA],investirrendavariávelconsolidadoout[[#Headers],[18]],tabela_registros[REGISTRO],DADOS!$N$3,tabela_registros[TIPO],DADOS!$V$3,tabela_registros[CATEGORIA],investirrendavariávelconsolidadoout[[#This Row],[ATUAL]])</calculatedColumnFormula>
    </tableColumn>
    <tableColumn id="20" xr3:uid="{F47AD434-EA93-40CD-95AD-C8A66FEC432B}" name="19" totalsRowFunction="sum" dataDxfId="1856" totalsRowDxfId="1855" dataCellStyle="Moeda">
      <calculatedColumnFormula>SUMIFS(tabela_registros[VALOR],tabela_registros[MÊS],$AE$1,tabela_registros[DIA],investirrendavariávelconsolidadoout[[#Headers],[19]],tabela_registros[REGISTRO],DADOS!$N$3,tabela_registros[TIPO],DADOS!$V$3,tabela_registros[CATEGORIA],investirrendavariávelconsolidadoout[[#This Row],[ATUAL]])</calculatedColumnFormula>
    </tableColumn>
    <tableColumn id="21" xr3:uid="{93F96E51-1000-442B-9F71-1F6ABEE41B6A}" name="20" totalsRowFunction="sum" dataDxfId="1854" totalsRowDxfId="1853" dataCellStyle="Moeda">
      <calculatedColumnFormula>SUMIFS(tabela_registros[VALOR],tabela_registros[MÊS],$AE$1,tabela_registros[DIA],investirrendavariávelconsolidadoout[[#Headers],[20]],tabela_registros[REGISTRO],DADOS!$N$3,tabela_registros[TIPO],DADOS!$V$3,tabela_registros[CATEGORIA],investirrendavariávelconsolidadoout[[#This Row],[ATUAL]])</calculatedColumnFormula>
    </tableColumn>
    <tableColumn id="22" xr3:uid="{253AB6E4-90A7-4D30-AF20-BFCDBF237864}" name="21" totalsRowFunction="sum" dataDxfId="1852" totalsRowDxfId="1851" dataCellStyle="Moeda">
      <calculatedColumnFormula>SUMIFS(tabela_registros[VALOR],tabela_registros[MÊS],$AE$1,tabela_registros[DIA],investirrendavariávelconsolidadoout[[#Headers],[21]],tabela_registros[REGISTRO],DADOS!$N$3,tabela_registros[TIPO],DADOS!$V$3,tabela_registros[CATEGORIA],investirrendavariávelconsolidadoout[[#This Row],[ATUAL]])</calculatedColumnFormula>
    </tableColumn>
    <tableColumn id="23" xr3:uid="{BB87E65D-132C-42E7-B06E-966E52085E95}" name="22" totalsRowFunction="sum" dataDxfId="1850" totalsRowDxfId="1849" dataCellStyle="Moeda">
      <calculatedColumnFormula>SUMIFS(tabela_registros[VALOR],tabela_registros[MÊS],$AE$1,tabela_registros[DIA],investirrendavariávelconsolidadoout[[#Headers],[22]],tabela_registros[REGISTRO],DADOS!$N$3,tabela_registros[TIPO],DADOS!$V$3,tabela_registros[CATEGORIA],investirrendavariávelconsolidadoout[[#This Row],[ATUAL]])</calculatedColumnFormula>
    </tableColumn>
    <tableColumn id="24" xr3:uid="{AEADAB45-1675-4AFE-8DE0-9A3F5CD0A1D8}" name="23" totalsRowFunction="sum" dataDxfId="1848" totalsRowDxfId="1847" dataCellStyle="Moeda">
      <calculatedColumnFormula>SUMIFS(tabela_registros[VALOR],tabela_registros[MÊS],$AE$1,tabela_registros[DIA],investirrendavariávelconsolidadoout[[#Headers],[23]],tabela_registros[REGISTRO],DADOS!$N$3,tabela_registros[TIPO],DADOS!$V$3,tabela_registros[CATEGORIA],investirrendavariávelconsolidadoout[[#This Row],[ATUAL]])</calculatedColumnFormula>
    </tableColumn>
    <tableColumn id="25" xr3:uid="{652DDAB6-935E-4EF6-828D-11647C6115D1}" name="24" totalsRowFunction="sum" dataDxfId="1846" totalsRowDxfId="1845" dataCellStyle="Moeda">
      <calculatedColumnFormula>SUMIFS(tabela_registros[VALOR],tabela_registros[MÊS],$AE$1,tabela_registros[DIA],investirrendavariávelconsolidadoout[[#Headers],[24]],tabela_registros[REGISTRO],DADOS!$N$3,tabela_registros[TIPO],DADOS!$V$3,tabela_registros[CATEGORIA],investirrendavariávelconsolidadoout[[#This Row],[ATUAL]])</calculatedColumnFormula>
    </tableColumn>
    <tableColumn id="26" xr3:uid="{5212EC43-6A7B-4169-ACCF-0B016E740398}" name="25" totalsRowFunction="sum" dataDxfId="1844" totalsRowDxfId="1843" dataCellStyle="Moeda">
      <calculatedColumnFormula>SUMIFS(tabela_registros[VALOR],tabela_registros[MÊS],$AE$1,tabela_registros[DIA],investirrendavariávelconsolidadoout[[#Headers],[25]],tabela_registros[REGISTRO],DADOS!$N$3,tabela_registros[TIPO],DADOS!$V$3,tabela_registros[CATEGORIA],investirrendavariávelconsolidadoout[[#This Row],[ATUAL]])</calculatedColumnFormula>
    </tableColumn>
    <tableColumn id="27" xr3:uid="{AC72DC9A-2C54-4C7C-B85D-1C1479592F7A}" name="26" totalsRowFunction="sum" dataDxfId="1842" totalsRowDxfId="1841" dataCellStyle="Moeda">
      <calculatedColumnFormula>SUMIFS(tabela_registros[VALOR],tabela_registros[MÊS],$AE$1,tabela_registros[DIA],investirrendavariávelconsolidadoout[[#Headers],[26]],tabela_registros[REGISTRO],DADOS!$N$3,tabela_registros[TIPO],DADOS!$V$3,tabela_registros[CATEGORIA],investirrendavariávelconsolidadoout[[#This Row],[ATUAL]])</calculatedColumnFormula>
    </tableColumn>
    <tableColumn id="28" xr3:uid="{71B751B5-5BC3-4587-8F70-08F53672ACF9}" name="27" totalsRowFunction="sum" dataDxfId="1840" totalsRowDxfId="1839" dataCellStyle="Moeda">
      <calculatedColumnFormula>SUMIFS(tabela_registros[VALOR],tabela_registros[MÊS],$AE$1,tabela_registros[DIA],investirrendavariávelconsolidadoout[[#Headers],[27]],tabela_registros[REGISTRO],DADOS!$N$3,tabela_registros[TIPO],DADOS!$V$3,tabela_registros[CATEGORIA],investirrendavariávelconsolidadoout[[#This Row],[ATUAL]])</calculatedColumnFormula>
    </tableColumn>
    <tableColumn id="29" xr3:uid="{28ABC549-977E-4835-A702-10661AFF4808}" name="28" totalsRowFunction="sum" dataDxfId="1838" totalsRowDxfId="1837" dataCellStyle="Moeda">
      <calculatedColumnFormula>SUMIFS(tabela_registros[VALOR],tabela_registros[MÊS],$AE$1,tabela_registros[DIA],investirrendavariávelconsolidadoout[[#Headers],[28]],tabela_registros[REGISTRO],DADOS!$N$3,tabela_registros[TIPO],DADOS!$V$3,tabela_registros[CATEGORIA],investirrendavariávelconsolidadoout[[#This Row],[ATUAL]])</calculatedColumnFormula>
    </tableColumn>
    <tableColumn id="30" xr3:uid="{FE5833FC-441C-409E-A88A-4009673260BF}" name="29" totalsRowFunction="sum" dataDxfId="1836" totalsRowDxfId="1835" dataCellStyle="Moeda">
      <calculatedColumnFormula>SUMIFS(tabela_registros[VALOR],tabela_registros[MÊS],$AE$1,tabela_registros[DIA],investirrendavariávelconsolidadoout[[#Headers],[29]],tabela_registros[REGISTRO],DADOS!$N$3,tabela_registros[TIPO],DADOS!$V$3,tabela_registros[CATEGORIA],investirrendavariávelconsolidadoout[[#This Row],[ATUAL]])</calculatedColumnFormula>
    </tableColumn>
    <tableColumn id="31" xr3:uid="{9687A0AB-CF90-4ABC-AAAC-FB51FD319690}" name="30" totalsRowFunction="sum" dataDxfId="1834" totalsRowDxfId="1833" dataCellStyle="Moeda">
      <calculatedColumnFormula>SUMIFS(tabela_registros[VALOR],tabela_registros[MÊS],$AE$1,tabela_registros[DIA],investirrendavariávelconsolidadoout[[#Headers],[30]],tabela_registros[REGISTRO],DADOS!$N$3,tabela_registros[TIPO],DADOS!$V$3,tabela_registros[CATEGORIA],investirrendavariávelconsolidadoout[[#This Row],[ATUAL]])</calculatedColumnFormula>
    </tableColumn>
    <tableColumn id="32" xr3:uid="{3CA5C12A-6733-4D5E-87DA-18E209980425}" name="31" totalsRowFunction="sum" dataDxfId="1832" totalsRowDxfId="1831" dataCellStyle="Moeda">
      <calculatedColumnFormula>SUMIFS(tabela_registros[VALOR],tabela_registros[MÊS],$AE$1,tabela_registros[DIA],investirrendavariávelconsolidadoout[[#Headers],[31]],tabela_registros[REGISTRO],DADOS!$N$3,tabela_registros[TIPO],DADOS!$V$3,tabela_registros[CATEGORIA],investirrendavariávelconsolidadoout[[#This Row],[ATUAL]])</calculatedColumnFormula>
    </tableColumn>
    <tableColumn id="33" xr3:uid="{074B829B-93D0-468D-AB40-7A168C9E5CEA}" name="TOTAL (R$)" totalsRowFunction="sum" dataDxfId="1830" dataCellStyle="Moeda">
      <calculatedColumnFormula>SUM(investirrendavariávelconsolidadoout[[#This Row],[1]:[31]])</calculatedColumnFormula>
    </tableColumn>
  </tableColumns>
  <tableStyleInfo name="TABELAS RESULTADOS" showFirstColumn="0" showLastColumn="0" showRowStripes="1" showColumnStripes="0"/>
</table>
</file>

<file path=xl/tables/table13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0" xr:uid="{C9F85432-0C61-4209-BFC0-CCE147172A0F}" name="investiroutrosconsolidadoout" displayName="investiroutrosconsolidadoout" ref="C150:AJ159" headerRowDxfId="1829" dataDxfId="1828" totalsRowDxfId="1827">
  <autoFilter ref="C150:AJ159" xr:uid="{6183CEF1-477D-4448-9404-9007701FBB5F}"/>
  <tableColumns count="34">
    <tableColumn id="1" xr3:uid="{DCC3DBA1-AC30-467D-9A19-5772C7DD2100}" name="ATUAL" totalsRowLabel="SALDO" dataDxfId="1826"/>
    <tableColumn id="34" xr3:uid="{235E86E5-E392-4DDB-A739-BD2E488E4AD2}" name="Coluna1" dataDxfId="1825" totalsRowDxfId="1824">
      <calculatedColumnFormula>IF(investiroutrosconsolidadoout[[#This Row],[TOTAL (R$)]]=0,"",IF(OR(investiroutrosconsolidadoout[[#This Row],[TOTAL (R$)]]=LARGE($AJ$151:$AJ$158,1),investiroutrosconsolidadoout[[#This Row],[TOTAL (R$)]]=LARGE($AJ$151:$AJ$158,2)),DADOS!$I$10,""))</calculatedColumnFormula>
    </tableColumn>
    <tableColumn id="2" xr3:uid="{A7AFD4C2-8B78-4099-9536-1231C889FC4D}" name="1" totalsRowFunction="sum" dataDxfId="1823" dataCellStyle="Moeda"/>
    <tableColumn id="3" xr3:uid="{87A3DFE9-9D57-4C1D-8CFA-9B66088D4FDA}" name="2" totalsRowFunction="sum" dataDxfId="1822" dataCellStyle="Moeda">
      <calculatedColumnFormula>SUMIFS(tabela_registros[VALOR],tabela_registros[MÊS],$AE$1,tabela_registros[DIA],investiroutrosconsolidadoout[[#Headers],[2]],tabela_registros[REGISTRO],DADOS!$N$3,tabela_registros[TIPO],DADOS!$V$3,tabela_registros[CATEGORIA],investiroutrosconsolidadoout[[#This Row],[ATUAL]])</calculatedColumnFormula>
    </tableColumn>
    <tableColumn id="4" xr3:uid="{B98C6BFB-DDF1-4B33-93E2-65306FAAEF1D}" name="3" totalsRowFunction="sum" dataDxfId="1821" totalsRowDxfId="1820" dataCellStyle="Moeda">
      <calculatedColumnFormula>SUMIFS(tabela_registros[VALOR],tabela_registros[MÊS],$AE$1,tabela_registros[DIA],investiroutrosconsolidadoout[[#Headers],[3]],tabela_registros[REGISTRO],DADOS!$N$3,tabela_registros[TIPO],DADOS!$V$3,tabela_registros[CATEGORIA],investiroutrosconsolidadoout[[#This Row],[ATUAL]])</calculatedColumnFormula>
    </tableColumn>
    <tableColumn id="5" xr3:uid="{CD1B441A-EA13-4FF2-89C9-243C2020DACC}" name="4" totalsRowFunction="sum" dataDxfId="1819" totalsRowDxfId="1818" dataCellStyle="Moeda">
      <calculatedColumnFormula>SUMIFS(tabela_registros[VALOR],tabela_registros[MÊS],$AE$1,tabela_registros[DIA],investiroutrosconsolidadoout[[#Headers],[4]],tabela_registros[REGISTRO],DADOS!$N$3,tabela_registros[TIPO],DADOS!$V$3,tabela_registros[CATEGORIA],investiroutrosconsolidadoout[[#This Row],[ATUAL]])</calculatedColumnFormula>
    </tableColumn>
    <tableColumn id="6" xr3:uid="{E4924F9E-C5F3-4902-8BAF-D40807B71084}" name="5" totalsRowFunction="sum" dataDxfId="1817" totalsRowDxfId="1816" dataCellStyle="Moeda">
      <calculatedColumnFormula>SUMIFS(tabela_registros[VALOR],tabela_registros[MÊS],$AE$1,tabela_registros[DIA],investiroutrosconsolidadoout[[#Headers],[5]],tabela_registros[REGISTRO],DADOS!$N$3,tabela_registros[TIPO],DADOS!$V$3,tabela_registros[CATEGORIA],investiroutrosconsolidadoout[[#This Row],[ATUAL]])</calculatedColumnFormula>
    </tableColumn>
    <tableColumn id="7" xr3:uid="{DBDC5228-75D0-4216-B4C4-1F31337AA0DC}" name="6" totalsRowFunction="sum" dataDxfId="1815" totalsRowDxfId="1814" dataCellStyle="Moeda">
      <calculatedColumnFormula>SUMIFS(tabela_registros[VALOR],tabela_registros[MÊS],$AE$1,tabela_registros[DIA],investiroutrosconsolidadoout[[#Headers],[6]],tabela_registros[REGISTRO],DADOS!$N$3,tabela_registros[TIPO],DADOS!$V$3,tabela_registros[CATEGORIA],investiroutrosconsolidadoout[[#This Row],[ATUAL]])</calculatedColumnFormula>
    </tableColumn>
    <tableColumn id="8" xr3:uid="{21E594DF-A70E-4798-A301-A6AB7D067C34}" name="7" totalsRowFunction="sum" dataDxfId="1813" totalsRowDxfId="1812" dataCellStyle="Moeda">
      <calculatedColumnFormula>SUMIFS(tabela_registros[VALOR],tabela_registros[MÊS],$AE$1,tabela_registros[DIA],investiroutrosconsolidadoout[[#Headers],[7]],tabela_registros[REGISTRO],DADOS!$N$3,tabela_registros[TIPO],DADOS!$V$3,tabela_registros[CATEGORIA],investiroutrosconsolidadoout[[#This Row],[ATUAL]])</calculatedColumnFormula>
    </tableColumn>
    <tableColumn id="9" xr3:uid="{5A53AAF0-8AAE-489A-B553-6DD4677429AA}" name="8" totalsRowFunction="sum" dataDxfId="1811" totalsRowDxfId="1810" dataCellStyle="Moeda">
      <calculatedColumnFormula>SUMIFS(tabela_registros[VALOR],tabela_registros[MÊS],$AE$1,tabela_registros[DIA],investiroutrosconsolidadoout[[#Headers],[8]],tabela_registros[REGISTRO],DADOS!$N$3,tabela_registros[TIPO],DADOS!$V$3,tabela_registros[CATEGORIA],investiroutrosconsolidadoout[[#This Row],[ATUAL]])</calculatedColumnFormula>
    </tableColumn>
    <tableColumn id="10" xr3:uid="{CBBAE541-9D8C-4D86-8D28-8EC690E96800}" name="9" totalsRowFunction="sum" dataDxfId="1809" totalsRowDxfId="1808" dataCellStyle="Moeda">
      <calculatedColumnFormula>SUMIFS(tabela_registros[VALOR],tabela_registros[MÊS],$AE$1,tabela_registros[DIA],investiroutrosconsolidadoout[[#Headers],[9]],tabela_registros[REGISTRO],DADOS!$N$3,tabela_registros[TIPO],DADOS!$V$3,tabela_registros[CATEGORIA],investiroutrosconsolidadoout[[#This Row],[ATUAL]])</calculatedColumnFormula>
    </tableColumn>
    <tableColumn id="11" xr3:uid="{71A45AD4-982D-4229-A2C3-C8A37C270DF3}" name="10" totalsRowFunction="sum" dataDxfId="1807" totalsRowDxfId="1806" dataCellStyle="Moeda">
      <calculatedColumnFormula>SUMIFS(tabela_registros[VALOR],tabela_registros[MÊS],$AE$1,tabela_registros[DIA],investiroutrosconsolidadoout[[#Headers],[10]],tabela_registros[REGISTRO],DADOS!$N$3,tabela_registros[TIPO],DADOS!$V$3,tabela_registros[CATEGORIA],investiroutrosconsolidadoout[[#This Row],[ATUAL]])</calculatedColumnFormula>
    </tableColumn>
    <tableColumn id="12" xr3:uid="{A984837D-0DB2-4A46-8EE8-31A6654FF6F9}" name="11" totalsRowFunction="sum" dataDxfId="1805" totalsRowDxfId="1804" dataCellStyle="Moeda">
      <calculatedColumnFormula>SUMIFS(tabela_registros[VALOR],tabela_registros[MÊS],$AE$1,tabela_registros[DIA],investiroutrosconsolidadoout[[#Headers],[11]],tabela_registros[REGISTRO],DADOS!$N$3,tabela_registros[TIPO],DADOS!$V$3,tabela_registros[CATEGORIA],investiroutrosconsolidadoout[[#This Row],[ATUAL]])</calculatedColumnFormula>
    </tableColumn>
    <tableColumn id="13" xr3:uid="{ACA96FE1-6876-4916-8111-BD9AC385F496}" name="12" totalsRowFunction="sum" dataDxfId="1803" totalsRowDxfId="1802" dataCellStyle="Moeda">
      <calculatedColumnFormula>SUMIFS(tabela_registros[VALOR],tabela_registros[MÊS],$AE$1,tabela_registros[DIA],investiroutrosconsolidadoout[[#Headers],[12]],tabela_registros[REGISTRO],DADOS!$N$3,tabela_registros[TIPO],DADOS!$V$3,tabela_registros[CATEGORIA],investiroutrosconsolidadoout[[#This Row],[ATUAL]])</calculatedColumnFormula>
    </tableColumn>
    <tableColumn id="14" xr3:uid="{A039CDE4-6E05-4301-A422-8DFBCE4B4D6C}" name="13" totalsRowFunction="sum" dataDxfId="1801" totalsRowDxfId="1800" dataCellStyle="Moeda">
      <calculatedColumnFormula>SUMIFS(tabela_registros[VALOR],tabela_registros[MÊS],$AE$1,tabela_registros[DIA],investiroutrosconsolidadoout[[#Headers],[13]],tabela_registros[REGISTRO],DADOS!$N$3,tabela_registros[TIPO],DADOS!$V$3,tabela_registros[CATEGORIA],investiroutrosconsolidadoout[[#This Row],[ATUAL]])</calculatedColumnFormula>
    </tableColumn>
    <tableColumn id="15" xr3:uid="{3AC5B8C6-E401-4960-9D74-494C6DBB8E8B}" name="14" totalsRowFunction="sum" dataDxfId="1799" totalsRowDxfId="1798" dataCellStyle="Moeda">
      <calculatedColumnFormula>SUMIFS(tabela_registros[VALOR],tabela_registros[MÊS],$AE$1,tabela_registros[DIA],investiroutrosconsolidadoout[[#Headers],[14]],tabela_registros[REGISTRO],DADOS!$N$3,tabela_registros[TIPO],DADOS!$V$3,tabela_registros[CATEGORIA],investiroutrosconsolidadoout[[#This Row],[ATUAL]])</calculatedColumnFormula>
    </tableColumn>
    <tableColumn id="16" xr3:uid="{D0ACF01B-66AE-4E45-A092-22416AF762D5}" name="15" totalsRowFunction="sum" dataDxfId="1797" totalsRowDxfId="1796" dataCellStyle="Moeda">
      <calculatedColumnFormula>SUMIFS(tabela_registros[VALOR],tabela_registros[MÊS],$AE$1,tabela_registros[DIA],investiroutrosconsolidadoout[[#Headers],[15]],tabela_registros[REGISTRO],DADOS!$N$3,tabela_registros[TIPO],DADOS!$V$3,tabela_registros[CATEGORIA],investiroutrosconsolidadoout[[#This Row],[ATUAL]])</calculatedColumnFormula>
    </tableColumn>
    <tableColumn id="17" xr3:uid="{B343A3CD-05B7-42D2-9DE2-CACB9D31168A}" name="16" totalsRowFunction="sum" dataDxfId="1795" totalsRowDxfId="1794" dataCellStyle="Moeda">
      <calculatedColumnFormula>SUMIFS(tabela_registros[VALOR],tabela_registros[MÊS],$AE$1,tabela_registros[DIA],investiroutrosconsolidadoout[[#Headers],[16]],tabela_registros[REGISTRO],DADOS!$N$3,tabela_registros[TIPO],DADOS!$V$3,tabela_registros[CATEGORIA],investiroutrosconsolidadoout[[#This Row],[ATUAL]])</calculatedColumnFormula>
    </tableColumn>
    <tableColumn id="18" xr3:uid="{1A8CE7F4-CB95-4CA4-B991-EFF3E76F8C5E}" name="17" totalsRowFunction="sum" dataDxfId="1793" totalsRowDxfId="1792" dataCellStyle="Moeda">
      <calculatedColumnFormula>SUMIFS(tabela_registros[VALOR],tabela_registros[MÊS],$AE$1,tabela_registros[DIA],investiroutrosconsolidadoout[[#Headers],[17]],tabela_registros[REGISTRO],DADOS!$N$3,tabela_registros[TIPO],DADOS!$V$3,tabela_registros[CATEGORIA],investiroutrosconsolidadoout[[#This Row],[ATUAL]])</calculatedColumnFormula>
    </tableColumn>
    <tableColumn id="19" xr3:uid="{C8F64D6B-5A6F-4CAD-9871-072AD7060B72}" name="18" totalsRowFunction="sum" dataDxfId="1791" totalsRowDxfId="1790" dataCellStyle="Moeda">
      <calculatedColumnFormula>SUMIFS(tabela_registros[VALOR],tabela_registros[MÊS],$AE$1,tabela_registros[DIA],investiroutrosconsolidadoout[[#Headers],[18]],tabela_registros[REGISTRO],DADOS!$N$3,tabela_registros[TIPO],DADOS!$V$3,tabela_registros[CATEGORIA],investiroutrosconsolidadoout[[#This Row],[ATUAL]])</calculatedColumnFormula>
    </tableColumn>
    <tableColumn id="20" xr3:uid="{587D8ABD-0FEB-46DC-9B1C-DA93C502E841}" name="19" totalsRowFunction="sum" dataDxfId="1789" totalsRowDxfId="1788" dataCellStyle="Moeda">
      <calculatedColumnFormula>SUMIFS(tabela_registros[VALOR],tabela_registros[MÊS],$AE$1,tabela_registros[DIA],investiroutrosconsolidadoout[[#Headers],[19]],tabela_registros[REGISTRO],DADOS!$N$3,tabela_registros[TIPO],DADOS!$V$3,tabela_registros[CATEGORIA],investiroutrosconsolidadoout[[#This Row],[ATUAL]])</calculatedColumnFormula>
    </tableColumn>
    <tableColumn id="21" xr3:uid="{8F201B45-77B0-4FE8-BF0E-457F525A572E}" name="20" totalsRowFunction="sum" dataDxfId="1787" totalsRowDxfId="1786" dataCellStyle="Moeda">
      <calculatedColumnFormula>SUMIFS(tabela_registros[VALOR],tabela_registros[MÊS],$AE$1,tabela_registros[DIA],investiroutrosconsolidadoout[[#Headers],[20]],tabela_registros[REGISTRO],DADOS!$N$3,tabela_registros[TIPO],DADOS!$V$3,tabela_registros[CATEGORIA],investiroutrosconsolidadoout[[#This Row],[ATUAL]])</calculatedColumnFormula>
    </tableColumn>
    <tableColumn id="22" xr3:uid="{E38C6E25-5245-4DF2-8D5C-562C2646D8E4}" name="21" totalsRowFunction="sum" dataDxfId="1785" totalsRowDxfId="1784" dataCellStyle="Moeda">
      <calculatedColumnFormula>SUMIFS(tabela_registros[VALOR],tabela_registros[MÊS],$AE$1,tabela_registros[DIA],investiroutrosconsolidadoout[[#Headers],[21]],tabela_registros[REGISTRO],DADOS!$N$3,tabela_registros[TIPO],DADOS!$V$3,tabela_registros[CATEGORIA],investiroutrosconsolidadoout[[#This Row],[ATUAL]])</calculatedColumnFormula>
    </tableColumn>
    <tableColumn id="23" xr3:uid="{6C8C35CE-6BDF-402F-A634-C2D0A2BC0A6E}" name="22" totalsRowFunction="sum" dataDxfId="1783" totalsRowDxfId="1782" dataCellStyle="Moeda">
      <calculatedColumnFormula>SUMIFS(tabela_registros[VALOR],tabela_registros[MÊS],$AE$1,tabela_registros[DIA],investiroutrosconsolidadoout[[#Headers],[22]],tabela_registros[REGISTRO],DADOS!$N$3,tabela_registros[TIPO],DADOS!$V$3,tabela_registros[CATEGORIA],investiroutrosconsolidadoout[[#This Row],[ATUAL]])</calculatedColumnFormula>
    </tableColumn>
    <tableColumn id="24" xr3:uid="{DE6B1865-E2CC-464E-A5CF-19502C48BB03}" name="23" totalsRowFunction="sum" dataDxfId="1781" totalsRowDxfId="1780" dataCellStyle="Moeda">
      <calculatedColumnFormula>SUMIFS(tabela_registros[VALOR],tabela_registros[MÊS],$AE$1,tabela_registros[DIA],investiroutrosconsolidadoout[[#Headers],[23]],tabela_registros[REGISTRO],DADOS!$N$3,tabela_registros[TIPO],DADOS!$V$3,tabela_registros[CATEGORIA],investiroutrosconsolidadoout[[#This Row],[ATUAL]])</calculatedColumnFormula>
    </tableColumn>
    <tableColumn id="25" xr3:uid="{38776F9C-119C-4E72-8573-AC545F505490}" name="24" totalsRowFunction="sum" dataDxfId="1779" totalsRowDxfId="1778" dataCellStyle="Moeda">
      <calculatedColumnFormula>SUMIFS(tabela_registros[VALOR],tabela_registros[MÊS],$AE$1,tabela_registros[DIA],investiroutrosconsolidadoout[[#Headers],[24]],tabela_registros[REGISTRO],DADOS!$N$3,tabela_registros[TIPO],DADOS!$V$3,tabela_registros[CATEGORIA],investiroutrosconsolidadoout[[#This Row],[ATUAL]])</calculatedColumnFormula>
    </tableColumn>
    <tableColumn id="26" xr3:uid="{B246921A-23C6-45EA-8F29-7EC0F7EA7A16}" name="25" totalsRowFunction="sum" dataDxfId="1777" totalsRowDxfId="1776" dataCellStyle="Moeda">
      <calculatedColumnFormula>SUMIFS(tabela_registros[VALOR],tabela_registros[MÊS],$AE$1,tabela_registros[DIA],investiroutrosconsolidadoout[[#Headers],[25]],tabela_registros[REGISTRO],DADOS!$N$3,tabela_registros[TIPO],DADOS!$V$3,tabela_registros[CATEGORIA],investiroutrosconsolidadoout[[#This Row],[ATUAL]])</calculatedColumnFormula>
    </tableColumn>
    <tableColumn id="27" xr3:uid="{7BEC559D-833F-4A39-9A26-36394306CD00}" name="26" totalsRowFunction="sum" dataDxfId="1775" totalsRowDxfId="1774" dataCellStyle="Moeda">
      <calculatedColumnFormula>SUMIFS(tabela_registros[VALOR],tabela_registros[MÊS],$AE$1,tabela_registros[DIA],investiroutrosconsolidadoout[[#Headers],[26]],tabela_registros[REGISTRO],DADOS!$N$3,tabela_registros[TIPO],DADOS!$V$3,tabela_registros[CATEGORIA],investiroutrosconsolidadoout[[#This Row],[ATUAL]])</calculatedColumnFormula>
    </tableColumn>
    <tableColumn id="28" xr3:uid="{8CF8D8D6-B398-4482-99DF-2B28ACCB5F62}" name="27" totalsRowFunction="sum" dataDxfId="1773" totalsRowDxfId="1772" dataCellStyle="Moeda">
      <calculatedColumnFormula>SUMIFS(tabela_registros[VALOR],tabela_registros[MÊS],$AE$1,tabela_registros[DIA],investiroutrosconsolidadoout[[#Headers],[27]],tabela_registros[REGISTRO],DADOS!$N$3,tabela_registros[TIPO],DADOS!$V$3,tabela_registros[CATEGORIA],investiroutrosconsolidadoout[[#This Row],[ATUAL]])</calculatedColumnFormula>
    </tableColumn>
    <tableColumn id="29" xr3:uid="{C5A2D10F-A989-4151-ABC8-33D28A0345FC}" name="28" totalsRowFunction="sum" dataDxfId="1771" totalsRowDxfId="1770" dataCellStyle="Moeda">
      <calculatedColumnFormula>SUMIFS(tabela_registros[VALOR],tabela_registros[MÊS],$AE$1,tabela_registros[DIA],investiroutrosconsolidadoout[[#Headers],[28]],tabela_registros[REGISTRO],DADOS!$N$3,tabela_registros[TIPO],DADOS!$V$3,tabela_registros[CATEGORIA],investiroutrosconsolidadoout[[#This Row],[ATUAL]])</calculatedColumnFormula>
    </tableColumn>
    <tableColumn id="30" xr3:uid="{9B2709BE-52DA-442C-B5D0-FCE0D1FD569F}" name="29" totalsRowFunction="sum" dataDxfId="1769" totalsRowDxfId="1768" dataCellStyle="Moeda">
      <calculatedColumnFormula>SUMIFS(tabela_registros[VALOR],tabela_registros[MÊS],$AE$1,tabela_registros[DIA],investiroutrosconsolidadoout[[#Headers],[29]],tabela_registros[REGISTRO],DADOS!$N$3,tabela_registros[TIPO],DADOS!$V$3,tabela_registros[CATEGORIA],investiroutrosconsolidadoout[[#This Row],[ATUAL]])</calculatedColumnFormula>
    </tableColumn>
    <tableColumn id="31" xr3:uid="{80ED266C-1C2A-4835-B6B4-6AF05CF83E17}" name="30" totalsRowFunction="sum" dataDxfId="1767" totalsRowDxfId="1766" dataCellStyle="Moeda">
      <calculatedColumnFormula>SUMIFS(tabela_registros[VALOR],tabela_registros[MÊS],$AE$1,tabela_registros[DIA],investiroutrosconsolidadoout[[#Headers],[30]],tabela_registros[REGISTRO],DADOS!$N$3,tabela_registros[TIPO],DADOS!$V$3,tabela_registros[CATEGORIA],investiroutrosconsolidadoout[[#This Row],[ATUAL]])</calculatedColumnFormula>
    </tableColumn>
    <tableColumn id="32" xr3:uid="{68762E0E-4DCB-4F21-A623-8FD33B2212FE}" name="31" totalsRowFunction="sum" dataDxfId="1765" totalsRowDxfId="1764" dataCellStyle="Moeda">
      <calculatedColumnFormula>SUMIFS(tabela_registros[VALOR],tabela_registros[MÊS],$AE$1,tabela_registros[DIA],investiroutrosconsolidadoout[[#Headers],[31]],tabela_registros[REGISTRO],DADOS!$N$3,tabela_registros[TIPO],DADOS!$V$3,tabela_registros[CATEGORIA],investiroutrosconsolidadoout[[#This Row],[ATUAL]])</calculatedColumnFormula>
    </tableColumn>
    <tableColumn id="33" xr3:uid="{BD984B32-E7D6-4B21-BF39-510982B737F0}" name="TOTAL (R$)" totalsRowFunction="sum" dataDxfId="1763" dataCellStyle="Moeda">
      <calculatedColumnFormula>SUM(investiroutrosconsolidadoout[[#This Row],[1]:[31]])</calculatedColumnFormula>
    </tableColumn>
  </tableColumns>
  <tableStyleInfo name="TABELAS RESULTADOS" showFirstColumn="0" showLastColumn="0" showRowStripes="1" showColumnStripes="0"/>
</table>
</file>

<file path=xl/tables/table13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1" xr:uid="{D19A3E2D-2BAD-492D-A6FC-5E67A0723632}" name="reservafixaconsolidadoout" displayName="reservafixaconsolidadoout" ref="C167:AJ178" headerRowDxfId="1762" dataDxfId="1761" totalsRowDxfId="1760">
  <autoFilter ref="C167:AJ178" xr:uid="{CDBD73CF-1633-4509-BA0C-4B73FF7E50BA}"/>
  <tableColumns count="34">
    <tableColumn id="1" xr3:uid="{E6F7E268-C77E-4138-BEFB-0F9075F64464}" name="ATUAL" totalsRowLabel="SALDO" dataDxfId="1759"/>
    <tableColumn id="34" xr3:uid="{8E892BEF-6BBF-4F41-AC00-CED8CA0E4E39}" name="Coluna1" dataDxfId="1758" totalsRowDxfId="1757">
      <calculatedColumnFormula>IF(reservafixaconsolidadoout[[#This Row],[TOTAL (R$)]]=0,"",IF(OR(reservafixaconsolidadoout[[#This Row],[TOTAL (R$)]]=LARGE($AJ$168:$AJ$177,1),reservafixaconsolidadoout[[#This Row],[TOTAL (R$)]]=LARGE($AJ$168:$AJ$177,2)),DADOS!$I$11,""))</calculatedColumnFormula>
    </tableColumn>
    <tableColumn id="2" xr3:uid="{53B45DC9-FAC5-4068-9F71-8142AD382707}" name="1" totalsRowFunction="sum" dataDxfId="1756" dataCellStyle="Moeda"/>
    <tableColumn id="3" xr3:uid="{3102A2C9-E117-40D4-8FBB-BA4974B446AA}" name="2" totalsRowFunction="sum" dataDxfId="1755" dataCellStyle="Moeda">
      <calculatedColumnFormula>SUMIFS(tabela_registros[VALOR],tabela_registros[MÊS],$AE$1,tabela_registros[DIA],reservafixaconsolidadoout[[#Headers],[2]],tabela_registros[REGISTRO],DADOS!$N$3,tabela_registros[TIPO],DADOS!$V$3,tabela_registros[CATEGORIA],reservafixaconsolidadoout[[#This Row],[ATUAL]])</calculatedColumnFormula>
    </tableColumn>
    <tableColumn id="4" xr3:uid="{A926C732-A0C5-4456-87C3-B0956657D1B9}" name="3" totalsRowFunction="sum" dataDxfId="1754" totalsRowDxfId="1753" dataCellStyle="Moeda">
      <calculatedColumnFormula>SUMIFS(tabela_registros[VALOR],tabela_registros[MÊS],$AE$1,tabela_registros[DIA],reservafixaconsolidadoout[[#Headers],[3]],tabela_registros[REGISTRO],DADOS!$N$3,tabela_registros[TIPO],DADOS!$V$3,tabela_registros[CATEGORIA],reservafixaconsolidadoout[[#This Row],[ATUAL]])</calculatedColumnFormula>
    </tableColumn>
    <tableColumn id="5" xr3:uid="{30C9A996-A265-4737-A518-700A6CF71326}" name="4" totalsRowFunction="sum" dataDxfId="1752" totalsRowDxfId="1751" dataCellStyle="Moeda">
      <calculatedColumnFormula>SUMIFS(tabela_registros[VALOR],tabela_registros[MÊS],$AE$1,tabela_registros[DIA],reservafixaconsolidadoout[[#Headers],[4]],tabela_registros[REGISTRO],DADOS!$N$3,tabela_registros[TIPO],DADOS!$V$3,tabela_registros[CATEGORIA],reservafixaconsolidadoout[[#This Row],[ATUAL]])</calculatedColumnFormula>
    </tableColumn>
    <tableColumn id="6" xr3:uid="{B8171C6A-3B8C-43EB-BD09-B1B120D41074}" name="5" totalsRowFunction="sum" dataDxfId="1750" totalsRowDxfId="1749" dataCellStyle="Moeda">
      <calculatedColumnFormula>SUMIFS(tabela_registros[VALOR],tabela_registros[MÊS],$AE$1,tabela_registros[DIA],reservafixaconsolidadoout[[#Headers],[5]],tabela_registros[REGISTRO],DADOS!$N$3,tabela_registros[TIPO],DADOS!$V$3,tabela_registros[CATEGORIA],reservafixaconsolidadoout[[#This Row],[ATUAL]])</calculatedColumnFormula>
    </tableColumn>
    <tableColumn id="7" xr3:uid="{9C364C29-2A7A-40A1-BE43-61AD159E41F7}" name="6" totalsRowFunction="sum" dataDxfId="1748" totalsRowDxfId="1747" dataCellStyle="Moeda">
      <calculatedColumnFormula>SUMIFS(tabela_registros[VALOR],tabela_registros[MÊS],$AE$1,tabela_registros[DIA],reservafixaconsolidadoout[[#Headers],[6]],tabela_registros[REGISTRO],DADOS!$N$3,tabela_registros[TIPO],DADOS!$V$3,tabela_registros[CATEGORIA],reservafixaconsolidadoout[[#This Row],[ATUAL]])</calculatedColumnFormula>
    </tableColumn>
    <tableColumn id="8" xr3:uid="{C78B0872-B684-4C41-AAA4-297111ACF24D}" name="7" totalsRowFunction="sum" dataDxfId="1746" totalsRowDxfId="1745" dataCellStyle="Moeda">
      <calculatedColumnFormula>SUMIFS(tabela_registros[VALOR],tabela_registros[MÊS],$AE$1,tabela_registros[DIA],reservafixaconsolidadoout[[#Headers],[7]],tabela_registros[REGISTRO],DADOS!$N$3,tabela_registros[TIPO],DADOS!$V$3,tabela_registros[CATEGORIA],reservafixaconsolidadoout[[#This Row],[ATUAL]])</calculatedColumnFormula>
    </tableColumn>
    <tableColumn id="9" xr3:uid="{0163FF52-4E2F-41D6-84DA-2D4C38E457EE}" name="8" totalsRowFunction="sum" dataDxfId="1744" totalsRowDxfId="1743" dataCellStyle="Moeda">
      <calculatedColumnFormula>SUMIFS(tabela_registros[VALOR],tabela_registros[MÊS],$AE$1,tabela_registros[DIA],reservafixaconsolidadoout[[#Headers],[8]],tabela_registros[REGISTRO],DADOS!$N$3,tabela_registros[TIPO],DADOS!$V$3,tabela_registros[CATEGORIA],reservafixaconsolidadoout[[#This Row],[ATUAL]])</calculatedColumnFormula>
    </tableColumn>
    <tableColumn id="10" xr3:uid="{1B409BC7-010C-478E-985C-5C9D8D4CE5D9}" name="9" totalsRowFunction="sum" dataDxfId="1742" totalsRowDxfId="1741" dataCellStyle="Moeda">
      <calculatedColumnFormula>SUMIFS(tabela_registros[VALOR],tabela_registros[MÊS],$AE$1,tabela_registros[DIA],reservafixaconsolidadoout[[#Headers],[9]],tabela_registros[REGISTRO],DADOS!$N$3,tabela_registros[TIPO],DADOS!$V$3,tabela_registros[CATEGORIA],reservafixaconsolidadoout[[#This Row],[ATUAL]])</calculatedColumnFormula>
    </tableColumn>
    <tableColumn id="11" xr3:uid="{D5B7AB38-99D6-4EF9-A894-81B712244FA9}" name="10" totalsRowFunction="sum" dataDxfId="1740" totalsRowDxfId="1739" dataCellStyle="Moeda">
      <calculatedColumnFormula>SUMIFS(tabela_registros[VALOR],tabela_registros[MÊS],$AE$1,tabela_registros[DIA],reservafixaconsolidadoout[[#Headers],[10]],tabela_registros[REGISTRO],DADOS!$N$3,tabela_registros[TIPO],DADOS!$V$3,tabela_registros[CATEGORIA],reservafixaconsolidadoout[[#This Row],[ATUAL]])</calculatedColumnFormula>
    </tableColumn>
    <tableColumn id="12" xr3:uid="{5BEA5EA4-BAE4-48BD-932B-F9C66B5B8452}" name="11" totalsRowFunction="sum" dataDxfId="1738" totalsRowDxfId="1737" dataCellStyle="Moeda">
      <calculatedColumnFormula>SUMIFS(tabela_registros[VALOR],tabela_registros[MÊS],$AE$1,tabela_registros[DIA],reservafixaconsolidadoout[[#Headers],[11]],tabela_registros[REGISTRO],DADOS!$N$3,tabela_registros[TIPO],DADOS!$V$3,tabela_registros[CATEGORIA],reservafixaconsolidadoout[[#This Row],[ATUAL]])</calculatedColumnFormula>
    </tableColumn>
    <tableColumn id="13" xr3:uid="{4CE78EEC-A0F3-4EC6-A472-0A9ED600B262}" name="12" totalsRowFunction="sum" dataDxfId="1736" totalsRowDxfId="1735" dataCellStyle="Moeda">
      <calculatedColumnFormula>SUMIFS(tabela_registros[VALOR],tabela_registros[MÊS],$AE$1,tabela_registros[DIA],reservafixaconsolidadoout[[#Headers],[12]],tabela_registros[REGISTRO],DADOS!$N$3,tabela_registros[TIPO],DADOS!$V$3,tabela_registros[CATEGORIA],reservafixaconsolidadoout[[#This Row],[ATUAL]])</calculatedColumnFormula>
    </tableColumn>
    <tableColumn id="14" xr3:uid="{F7A5D5FB-0AE9-4AA4-9844-95F06B50D4E0}" name="13" totalsRowFunction="sum" dataDxfId="1734" totalsRowDxfId="1733" dataCellStyle="Moeda">
      <calculatedColumnFormula>SUMIFS(tabela_registros[VALOR],tabela_registros[MÊS],$AE$1,tabela_registros[DIA],reservafixaconsolidadoout[[#Headers],[13]],tabela_registros[REGISTRO],DADOS!$N$3,tabela_registros[TIPO],DADOS!$V$3,tabela_registros[CATEGORIA],reservafixaconsolidadoout[[#This Row],[ATUAL]])</calculatedColumnFormula>
    </tableColumn>
    <tableColumn id="15" xr3:uid="{B65C5122-674A-470F-8399-3C65F777959B}" name="14" totalsRowFunction="sum" dataDxfId="1732" totalsRowDxfId="1731" dataCellStyle="Moeda">
      <calculatedColumnFormula>SUMIFS(tabela_registros[VALOR],tabela_registros[MÊS],$AE$1,tabela_registros[DIA],reservafixaconsolidadoout[[#Headers],[14]],tabela_registros[REGISTRO],DADOS!$N$3,tabela_registros[TIPO],DADOS!$V$3,tabela_registros[CATEGORIA],reservafixaconsolidadoout[[#This Row],[ATUAL]])</calculatedColumnFormula>
    </tableColumn>
    <tableColumn id="16" xr3:uid="{EB322D3B-3194-4387-97D6-12611EF4B78C}" name="15" totalsRowFunction="sum" dataDxfId="1730" totalsRowDxfId="1729" dataCellStyle="Moeda">
      <calculatedColumnFormula>SUMIFS(tabela_registros[VALOR],tabela_registros[MÊS],$AE$1,tabela_registros[DIA],reservafixaconsolidadoout[[#Headers],[15]],tabela_registros[REGISTRO],DADOS!$N$3,tabela_registros[TIPO],DADOS!$V$3,tabela_registros[CATEGORIA],reservafixaconsolidadoout[[#This Row],[ATUAL]])</calculatedColumnFormula>
    </tableColumn>
    <tableColumn id="17" xr3:uid="{44489D85-5D53-42D8-B483-B0218A557560}" name="16" totalsRowFunction="sum" dataDxfId="1728" totalsRowDxfId="1727" dataCellStyle="Moeda">
      <calculatedColumnFormula>SUMIFS(tabela_registros[VALOR],tabela_registros[MÊS],$AE$1,tabela_registros[DIA],reservafixaconsolidadoout[[#Headers],[16]],tabela_registros[REGISTRO],DADOS!$N$3,tabela_registros[TIPO],DADOS!$V$3,tabela_registros[CATEGORIA],reservafixaconsolidadoout[[#This Row],[ATUAL]])</calculatedColumnFormula>
    </tableColumn>
    <tableColumn id="18" xr3:uid="{F92813FC-11D7-433C-A614-517A81551166}" name="17" totalsRowFunction="sum" dataDxfId="1726" totalsRowDxfId="1725" dataCellStyle="Moeda">
      <calculatedColumnFormula>SUMIFS(tabela_registros[VALOR],tabela_registros[MÊS],$AE$1,tabela_registros[DIA],reservafixaconsolidadoout[[#Headers],[17]],tabela_registros[REGISTRO],DADOS!$N$3,tabela_registros[TIPO],DADOS!$V$3,tabela_registros[CATEGORIA],reservafixaconsolidadoout[[#This Row],[ATUAL]])</calculatedColumnFormula>
    </tableColumn>
    <tableColumn id="19" xr3:uid="{DD48746B-5D6A-4553-87CD-4B97219C962E}" name="18" totalsRowFunction="sum" dataDxfId="1724" totalsRowDxfId="1723" dataCellStyle="Moeda">
      <calculatedColumnFormula>SUMIFS(tabela_registros[VALOR],tabela_registros[MÊS],$AE$1,tabela_registros[DIA],reservafixaconsolidadoout[[#Headers],[18]],tabela_registros[REGISTRO],DADOS!$N$3,tabela_registros[TIPO],DADOS!$V$3,tabela_registros[CATEGORIA],reservafixaconsolidadoout[[#This Row],[ATUAL]])</calculatedColumnFormula>
    </tableColumn>
    <tableColumn id="20" xr3:uid="{99D2C069-D3B8-4036-910D-396610BBE154}" name="19" totalsRowFunction="sum" dataDxfId="1722" totalsRowDxfId="1721" dataCellStyle="Moeda">
      <calculatedColumnFormula>SUMIFS(tabela_registros[VALOR],tabela_registros[MÊS],$AE$1,tabela_registros[DIA],reservafixaconsolidadoout[[#Headers],[19]],tabela_registros[REGISTRO],DADOS!$N$3,tabela_registros[TIPO],DADOS!$V$3,tabela_registros[CATEGORIA],reservafixaconsolidadoout[[#This Row],[ATUAL]])</calculatedColumnFormula>
    </tableColumn>
    <tableColumn id="21" xr3:uid="{72A47BC2-6610-4D31-AEA2-C31B8543574D}" name="20" totalsRowFunction="sum" dataDxfId="1720" totalsRowDxfId="1719" dataCellStyle="Moeda">
      <calculatedColumnFormula>SUMIFS(tabela_registros[VALOR],tabela_registros[MÊS],$AE$1,tabela_registros[DIA],reservafixaconsolidadoout[[#Headers],[20]],tabela_registros[REGISTRO],DADOS!$N$3,tabela_registros[TIPO],DADOS!$V$3,tabela_registros[CATEGORIA],reservafixaconsolidadoout[[#This Row],[ATUAL]])</calculatedColumnFormula>
    </tableColumn>
    <tableColumn id="22" xr3:uid="{58F15AEC-5C58-4A39-BE98-E427A4CE1F51}" name="21" totalsRowFunction="sum" dataDxfId="1718" totalsRowDxfId="1717" dataCellStyle="Moeda">
      <calculatedColumnFormula>SUMIFS(tabela_registros[VALOR],tabela_registros[MÊS],$AE$1,tabela_registros[DIA],reservafixaconsolidadoout[[#Headers],[21]],tabela_registros[REGISTRO],DADOS!$N$3,tabela_registros[TIPO],DADOS!$V$3,tabela_registros[CATEGORIA],reservafixaconsolidadoout[[#This Row],[ATUAL]])</calculatedColumnFormula>
    </tableColumn>
    <tableColumn id="23" xr3:uid="{739992DA-FD62-41B2-BC27-F7F3A3C70A59}" name="22" totalsRowFunction="sum" dataDxfId="1716" totalsRowDxfId="1715" dataCellStyle="Moeda">
      <calculatedColumnFormula>SUMIFS(tabela_registros[VALOR],tabela_registros[MÊS],$AE$1,tabela_registros[DIA],reservafixaconsolidadoout[[#Headers],[22]],tabela_registros[REGISTRO],DADOS!$N$3,tabela_registros[TIPO],DADOS!$V$3,tabela_registros[CATEGORIA],reservafixaconsolidadoout[[#This Row],[ATUAL]])</calculatedColumnFormula>
    </tableColumn>
    <tableColumn id="24" xr3:uid="{D60176DB-B299-4F7D-BA91-79D0A7D409D2}" name="23" totalsRowFunction="sum" dataDxfId="1714" totalsRowDxfId="1713" dataCellStyle="Moeda">
      <calculatedColumnFormula>SUMIFS(tabela_registros[VALOR],tabela_registros[MÊS],$AE$1,tabela_registros[DIA],reservafixaconsolidadoout[[#Headers],[23]],tabela_registros[REGISTRO],DADOS!$N$3,tabela_registros[TIPO],DADOS!$V$3,tabela_registros[CATEGORIA],reservafixaconsolidadoout[[#This Row],[ATUAL]])</calculatedColumnFormula>
    </tableColumn>
    <tableColumn id="25" xr3:uid="{1F6D455A-68AC-4698-8AC3-8F07AEDFC516}" name="24" totalsRowFunction="sum" dataDxfId="1712" totalsRowDxfId="1711" dataCellStyle="Moeda">
      <calculatedColumnFormula>SUMIFS(tabela_registros[VALOR],tabela_registros[MÊS],$AE$1,tabela_registros[DIA],reservafixaconsolidadoout[[#Headers],[24]],tabela_registros[REGISTRO],DADOS!$N$3,tabela_registros[TIPO],DADOS!$V$3,tabela_registros[CATEGORIA],reservafixaconsolidadoout[[#This Row],[ATUAL]])</calculatedColumnFormula>
    </tableColumn>
    <tableColumn id="26" xr3:uid="{D94C4F81-F745-4F90-BBD5-B4A62FF593D3}" name="25" totalsRowFunction="sum" dataDxfId="1710" totalsRowDxfId="1709" dataCellStyle="Moeda">
      <calculatedColumnFormula>SUMIFS(tabela_registros[VALOR],tabela_registros[MÊS],$AE$1,tabela_registros[DIA],reservafixaconsolidadoout[[#Headers],[25]],tabela_registros[REGISTRO],DADOS!$N$3,tabela_registros[TIPO],DADOS!$V$3,tabela_registros[CATEGORIA],reservafixaconsolidadoout[[#This Row],[ATUAL]])</calculatedColumnFormula>
    </tableColumn>
    <tableColumn id="27" xr3:uid="{0758C03B-F223-49E1-8573-B21828991212}" name="26" totalsRowFunction="sum" dataDxfId="1708" totalsRowDxfId="1707" dataCellStyle="Moeda">
      <calculatedColumnFormula>SUMIFS(tabela_registros[VALOR],tabela_registros[MÊS],$AE$1,tabela_registros[DIA],reservafixaconsolidadoout[[#Headers],[26]],tabela_registros[REGISTRO],DADOS!$N$3,tabela_registros[TIPO],DADOS!$V$3,tabela_registros[CATEGORIA],reservafixaconsolidadoout[[#This Row],[ATUAL]])</calculatedColumnFormula>
    </tableColumn>
    <tableColumn id="28" xr3:uid="{E5924DE5-396D-4B9B-9320-76669D1F5598}" name="27" totalsRowFunction="sum" dataDxfId="1706" totalsRowDxfId="1705" dataCellStyle="Moeda">
      <calculatedColumnFormula>SUMIFS(tabela_registros[VALOR],tabela_registros[MÊS],$AE$1,tabela_registros[DIA],reservafixaconsolidadoout[[#Headers],[27]],tabela_registros[REGISTRO],DADOS!$N$3,tabela_registros[TIPO],DADOS!$V$3,tabela_registros[CATEGORIA],reservafixaconsolidadoout[[#This Row],[ATUAL]])</calculatedColumnFormula>
    </tableColumn>
    <tableColumn id="29" xr3:uid="{DE2CE488-0D36-49B8-9529-1C17A49A768F}" name="28" totalsRowFunction="sum" dataDxfId="1704" totalsRowDxfId="1703" dataCellStyle="Moeda">
      <calculatedColumnFormula>SUMIFS(tabela_registros[VALOR],tabela_registros[MÊS],$AE$1,tabela_registros[DIA],reservafixaconsolidadoout[[#Headers],[28]],tabela_registros[REGISTRO],DADOS!$N$3,tabela_registros[TIPO],DADOS!$V$3,tabela_registros[CATEGORIA],reservafixaconsolidadoout[[#This Row],[ATUAL]])</calculatedColumnFormula>
    </tableColumn>
    <tableColumn id="30" xr3:uid="{F081F6E3-A33E-4212-B719-2895EB1EB3D8}" name="29" totalsRowFunction="sum" dataDxfId="1702" totalsRowDxfId="1701" dataCellStyle="Moeda">
      <calculatedColumnFormula>SUMIFS(tabela_registros[VALOR],tabela_registros[MÊS],$AE$1,tabela_registros[DIA],reservafixaconsolidadoout[[#Headers],[29]],tabela_registros[REGISTRO],DADOS!$N$3,tabela_registros[TIPO],DADOS!$V$3,tabela_registros[CATEGORIA],reservafixaconsolidadoout[[#This Row],[ATUAL]])</calculatedColumnFormula>
    </tableColumn>
    <tableColumn id="31" xr3:uid="{72B18DD6-7A59-4FA2-ACAC-B2B92080A4FD}" name="30" totalsRowFunction="sum" dataDxfId="1700" totalsRowDxfId="1699" dataCellStyle="Moeda">
      <calculatedColumnFormula>SUMIFS(tabela_registros[VALOR],tabela_registros[MÊS],$AE$1,tabela_registros[DIA],reservafixaconsolidadoout[[#Headers],[30]],tabela_registros[REGISTRO],DADOS!$N$3,tabela_registros[TIPO],DADOS!$V$3,tabela_registros[CATEGORIA],reservafixaconsolidadoout[[#This Row],[ATUAL]])</calculatedColumnFormula>
    </tableColumn>
    <tableColumn id="32" xr3:uid="{03620FA7-8279-4C52-9A3B-2F0D2F49937A}" name="31" totalsRowFunction="sum" dataDxfId="1698" totalsRowDxfId="1697" dataCellStyle="Moeda">
      <calculatedColumnFormula>SUMIFS(tabela_registros[VALOR],tabela_registros[MÊS],$AE$1,tabela_registros[DIA],reservafixaconsolidadoout[[#Headers],[31]],tabela_registros[REGISTRO],DADOS!$N$3,tabela_registros[TIPO],DADOS!$V$3,tabela_registros[CATEGORIA],reservafixaconsolidadoout[[#This Row],[ATUAL]])</calculatedColumnFormula>
    </tableColumn>
    <tableColumn id="33" xr3:uid="{7B318CBA-68DC-4D55-9E50-AB95FF985487}" name="TOTAL (R$)" totalsRowFunction="sum" dataDxfId="1696" dataCellStyle="Moeda">
      <calculatedColumnFormula>SUM(reservafixaconsolidadoout[[#This Row],[1]:[31]])</calculatedColumnFormula>
    </tableColumn>
  </tableColumns>
  <tableStyleInfo name="TABELAS RESULTADOS" showFirstColumn="0" showLastColumn="0" showRowStripes="1" showColumnStripes="0"/>
</table>
</file>

<file path=xl/tables/table13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2" xr:uid="{5CEBAC5E-2529-4A30-BC1F-64873752EF21}" name="reservavariáveisconsolidadoout" displayName="reservavariáveisconsolidadoout" ref="C186:AJ197" headerRowDxfId="1695" dataDxfId="1694" totalsRowDxfId="1693">
  <autoFilter ref="C186:AJ197" xr:uid="{D1B0BC4A-55A7-40F2-94A1-407E95E214F4}"/>
  <tableColumns count="34">
    <tableColumn id="1" xr3:uid="{7ECC603C-E839-4C89-8468-8C12EA7C10BF}" name="ATUAL" totalsRowLabel="SALDO" dataDxfId="1692"/>
    <tableColumn id="34" xr3:uid="{8C264274-ED36-43E7-944F-AFD8785F15F9}" name="Coluna1" dataDxfId="1691" totalsRowDxfId="1690">
      <calculatedColumnFormula>IF(reservavariáveisconsolidadoout[[#This Row],[TOTAL (R$)]]=0,"",IF(OR(reservavariáveisconsolidadoout[[#This Row],[TOTAL (R$)]]=LARGE($AJ$187:$AJ$196,1),reservavariáveisconsolidadoout[[#This Row],[TOTAL (R$)]]=LARGE($AJ$187:$AJ$196,2)),DADOS!$I$11,""))</calculatedColumnFormula>
    </tableColumn>
    <tableColumn id="2" xr3:uid="{58BD7D26-0F7C-42EF-876A-FEC2C2F7DB6B}" name="1" totalsRowFunction="sum" dataDxfId="1689" dataCellStyle="Moeda"/>
    <tableColumn id="3" xr3:uid="{3C70DC48-35F1-4CF3-B405-E7968B811EA5}" name="2" totalsRowFunction="sum" dataDxfId="1688" dataCellStyle="Moeda">
      <calculatedColumnFormula>SUMIFS(tabela_registros[VALOR],tabela_registros[MÊS],$AE$1,tabela_registros[DIA],reservavariáveisconsolidadoout[[#Headers],[2]],tabela_registros[REGISTRO],DADOS!$N$3,tabela_registros[TIPO],DADOS!$V$3,tabela_registros[CATEGORIA],reservavariáveisconsolidadoout[[#This Row],[ATUAL]])</calculatedColumnFormula>
    </tableColumn>
    <tableColumn id="4" xr3:uid="{84CB8952-2C51-4BD4-B1F0-EA66674F9B68}" name="3" totalsRowFunction="sum" dataDxfId="1687" totalsRowDxfId="1686" dataCellStyle="Moeda">
      <calculatedColumnFormula>SUMIFS(tabela_registros[VALOR],tabela_registros[MÊS],$AE$1,tabela_registros[DIA],reservavariáveisconsolidadoout[[#Headers],[3]],tabela_registros[REGISTRO],DADOS!$N$3,tabela_registros[TIPO],DADOS!$V$3,tabela_registros[CATEGORIA],reservavariáveisconsolidadoout[[#This Row],[ATUAL]])</calculatedColumnFormula>
    </tableColumn>
    <tableColumn id="5" xr3:uid="{C598CE69-F99E-48D3-9E99-183FD983A5DE}" name="4" totalsRowFunction="sum" dataDxfId="1685" totalsRowDxfId="1684" dataCellStyle="Moeda">
      <calculatedColumnFormula>SUMIFS(tabela_registros[VALOR],tabela_registros[MÊS],$AE$1,tabela_registros[DIA],reservavariáveisconsolidadoout[[#Headers],[4]],tabela_registros[REGISTRO],DADOS!$N$3,tabela_registros[TIPO],DADOS!$V$3,tabela_registros[CATEGORIA],reservavariáveisconsolidadoout[[#This Row],[ATUAL]])</calculatedColumnFormula>
    </tableColumn>
    <tableColumn id="6" xr3:uid="{35AA915E-AC1C-4E32-BEE4-FAFF297E6573}" name="5" totalsRowFunction="sum" dataDxfId="1683" totalsRowDxfId="1682" dataCellStyle="Moeda">
      <calculatedColumnFormula>SUMIFS(tabela_registros[VALOR],tabela_registros[MÊS],$AE$1,tabela_registros[DIA],reservavariáveisconsolidadoout[[#Headers],[5]],tabela_registros[REGISTRO],DADOS!$N$3,tabela_registros[TIPO],DADOS!$V$3,tabela_registros[CATEGORIA],reservavariáveisconsolidadoout[[#This Row],[ATUAL]])</calculatedColumnFormula>
    </tableColumn>
    <tableColumn id="7" xr3:uid="{5AB46858-156F-48E3-8108-0A59743C1064}" name="6" totalsRowFunction="sum" dataDxfId="1681" totalsRowDxfId="1680" dataCellStyle="Moeda">
      <calculatedColumnFormula>SUMIFS(tabela_registros[VALOR],tabela_registros[MÊS],$AE$1,tabela_registros[DIA],reservavariáveisconsolidadoout[[#Headers],[6]],tabela_registros[REGISTRO],DADOS!$N$3,tabela_registros[TIPO],DADOS!$V$3,tabela_registros[CATEGORIA],reservavariáveisconsolidadoout[[#This Row],[ATUAL]])</calculatedColumnFormula>
    </tableColumn>
    <tableColumn id="8" xr3:uid="{09A9BF5F-98BC-4BCC-BC4C-477A1BCACF8B}" name="7" totalsRowFunction="sum" dataDxfId="1679" totalsRowDxfId="1678" dataCellStyle="Moeda">
      <calculatedColumnFormula>SUMIFS(tabela_registros[VALOR],tabela_registros[MÊS],$AE$1,tabela_registros[DIA],reservavariáveisconsolidadoout[[#Headers],[7]],tabela_registros[REGISTRO],DADOS!$N$3,tabela_registros[TIPO],DADOS!$V$3,tabela_registros[CATEGORIA],reservavariáveisconsolidadoout[[#This Row],[ATUAL]])</calculatedColumnFormula>
    </tableColumn>
    <tableColumn id="9" xr3:uid="{27D07949-865B-41DC-B8DF-0E34E2E099E2}" name="8" totalsRowFunction="sum" dataDxfId="1677" totalsRowDxfId="1676" dataCellStyle="Moeda">
      <calculatedColumnFormula>SUMIFS(tabela_registros[VALOR],tabela_registros[MÊS],$AE$1,tabela_registros[DIA],reservavariáveisconsolidadoout[[#Headers],[8]],tabela_registros[REGISTRO],DADOS!$N$3,tabela_registros[TIPO],DADOS!$V$3,tabela_registros[CATEGORIA],reservavariáveisconsolidadoout[[#This Row],[ATUAL]])</calculatedColumnFormula>
    </tableColumn>
    <tableColumn id="10" xr3:uid="{8C0BB43E-D578-4861-9DBF-4841F759BF08}" name="9" totalsRowFunction="sum" dataDxfId="1675" totalsRowDxfId="1674" dataCellStyle="Moeda">
      <calculatedColumnFormula>SUMIFS(tabela_registros[VALOR],tabela_registros[MÊS],$AE$1,tabela_registros[DIA],reservavariáveisconsolidadoout[[#Headers],[9]],tabela_registros[REGISTRO],DADOS!$N$3,tabela_registros[TIPO],DADOS!$V$3,tabela_registros[CATEGORIA],reservavariáveisconsolidadoout[[#This Row],[ATUAL]])</calculatedColumnFormula>
    </tableColumn>
    <tableColumn id="11" xr3:uid="{2EF9E623-BB10-4364-85CA-9DD202672932}" name="10" totalsRowFunction="sum" dataDxfId="1673" totalsRowDxfId="1672" dataCellStyle="Moeda">
      <calculatedColumnFormula>SUMIFS(tabela_registros[VALOR],tabela_registros[MÊS],$AE$1,tabela_registros[DIA],reservavariáveisconsolidadoout[[#Headers],[10]],tabela_registros[REGISTRO],DADOS!$N$3,tabela_registros[TIPO],DADOS!$V$3,tabela_registros[CATEGORIA],reservavariáveisconsolidadoout[[#This Row],[ATUAL]])</calculatedColumnFormula>
    </tableColumn>
    <tableColumn id="12" xr3:uid="{02D9D32D-2B1F-4DF5-9D0C-F69A6C575AC3}" name="11" totalsRowFunction="sum" dataDxfId="1671" totalsRowDxfId="1670" dataCellStyle="Moeda">
      <calculatedColumnFormula>SUMIFS(tabela_registros[VALOR],tabela_registros[MÊS],$AE$1,tabela_registros[DIA],reservavariáveisconsolidadoout[[#Headers],[11]],tabela_registros[REGISTRO],DADOS!$N$3,tabela_registros[TIPO],DADOS!$V$3,tabela_registros[CATEGORIA],reservavariáveisconsolidadoout[[#This Row],[ATUAL]])</calculatedColumnFormula>
    </tableColumn>
    <tableColumn id="13" xr3:uid="{366F755B-F22C-495E-8B18-C8A0608AF75D}" name="12" totalsRowFunction="sum" dataDxfId="1669" totalsRowDxfId="1668" dataCellStyle="Moeda">
      <calculatedColumnFormula>SUMIFS(tabela_registros[VALOR],tabela_registros[MÊS],$AE$1,tabela_registros[DIA],reservavariáveisconsolidadoout[[#Headers],[12]],tabela_registros[REGISTRO],DADOS!$N$3,tabela_registros[TIPO],DADOS!$V$3,tabela_registros[CATEGORIA],reservavariáveisconsolidadoout[[#This Row],[ATUAL]])</calculatedColumnFormula>
    </tableColumn>
    <tableColumn id="14" xr3:uid="{C8BAA26E-429F-474A-84CC-EDB2914DE0C1}" name="13" totalsRowFunction="sum" dataDxfId="1667" totalsRowDxfId="1666" dataCellStyle="Moeda">
      <calculatedColumnFormula>SUMIFS(tabela_registros[VALOR],tabela_registros[MÊS],$AE$1,tabela_registros[DIA],reservavariáveisconsolidadoout[[#Headers],[13]],tabela_registros[REGISTRO],DADOS!$N$3,tabela_registros[TIPO],DADOS!$V$3,tabela_registros[CATEGORIA],reservavariáveisconsolidadoout[[#This Row],[ATUAL]])</calculatedColumnFormula>
    </tableColumn>
    <tableColumn id="15" xr3:uid="{E4A6BF3D-3A05-40BB-B1CF-750D5124695A}" name="14" totalsRowFunction="sum" dataDxfId="1665" totalsRowDxfId="1664" dataCellStyle="Moeda">
      <calculatedColumnFormula>SUMIFS(tabela_registros[VALOR],tabela_registros[MÊS],$AE$1,tabela_registros[DIA],reservavariáveisconsolidadoout[[#Headers],[14]],tabela_registros[REGISTRO],DADOS!$N$3,tabela_registros[TIPO],DADOS!$V$3,tabela_registros[CATEGORIA],reservavariáveisconsolidadoout[[#This Row],[ATUAL]])</calculatedColumnFormula>
    </tableColumn>
    <tableColumn id="16" xr3:uid="{11AC0996-B2D7-4934-B624-4BC9C7BB9ECF}" name="15" totalsRowFunction="sum" dataDxfId="1663" totalsRowDxfId="1662" dataCellStyle="Moeda">
      <calculatedColumnFormula>SUMIFS(tabela_registros[VALOR],tabela_registros[MÊS],$AE$1,tabela_registros[DIA],reservavariáveisconsolidadoout[[#Headers],[15]],tabela_registros[REGISTRO],DADOS!$N$3,tabela_registros[TIPO],DADOS!$V$3,tabela_registros[CATEGORIA],reservavariáveisconsolidadoout[[#This Row],[ATUAL]])</calculatedColumnFormula>
    </tableColumn>
    <tableColumn id="17" xr3:uid="{7673F4F4-8FAF-4682-9D8B-D95EDD05ECCC}" name="16" totalsRowFunction="sum" dataDxfId="1661" totalsRowDxfId="1660" dataCellStyle="Moeda">
      <calculatedColumnFormula>SUMIFS(tabela_registros[VALOR],tabela_registros[MÊS],$AE$1,tabela_registros[DIA],reservavariáveisconsolidadoout[[#Headers],[16]],tabela_registros[REGISTRO],DADOS!$N$3,tabela_registros[TIPO],DADOS!$V$3,tabela_registros[CATEGORIA],reservavariáveisconsolidadoout[[#This Row],[ATUAL]])</calculatedColumnFormula>
    </tableColumn>
    <tableColumn id="18" xr3:uid="{A19B5C6B-FE3E-4A1D-84B1-890A40A40E40}" name="17" totalsRowFunction="sum" dataDxfId="1659" totalsRowDxfId="1658" dataCellStyle="Moeda">
      <calculatedColumnFormula>SUMIFS(tabela_registros[VALOR],tabela_registros[MÊS],$AE$1,tabela_registros[DIA],reservavariáveisconsolidadoout[[#Headers],[17]],tabela_registros[REGISTRO],DADOS!$N$3,tabela_registros[TIPO],DADOS!$V$3,tabela_registros[CATEGORIA],reservavariáveisconsolidadoout[[#This Row],[ATUAL]])</calculatedColumnFormula>
    </tableColumn>
    <tableColumn id="19" xr3:uid="{C3BBE7A3-D086-44E9-BDBC-2F54ADFE22B0}" name="18" totalsRowFunction="sum" dataDxfId="1657" totalsRowDxfId="1656" dataCellStyle="Moeda">
      <calculatedColumnFormula>SUMIFS(tabela_registros[VALOR],tabela_registros[MÊS],$AE$1,tabela_registros[DIA],reservavariáveisconsolidadoout[[#Headers],[18]],tabela_registros[REGISTRO],DADOS!$N$3,tabela_registros[TIPO],DADOS!$V$3,tabela_registros[CATEGORIA],reservavariáveisconsolidadoout[[#This Row],[ATUAL]])</calculatedColumnFormula>
    </tableColumn>
    <tableColumn id="20" xr3:uid="{A201C52E-D18E-454F-B6BE-3E975E080EFC}" name="19" totalsRowFunction="sum" dataDxfId="1655" totalsRowDxfId="1654" dataCellStyle="Moeda">
      <calculatedColumnFormula>SUMIFS(tabela_registros[VALOR],tabela_registros[MÊS],$AE$1,tabela_registros[DIA],reservavariáveisconsolidadoout[[#Headers],[19]],tabela_registros[REGISTRO],DADOS!$N$3,tabela_registros[TIPO],DADOS!$V$3,tabela_registros[CATEGORIA],reservavariáveisconsolidadoout[[#This Row],[ATUAL]])</calculatedColumnFormula>
    </tableColumn>
    <tableColumn id="21" xr3:uid="{D8C274A2-49A7-4756-8ADD-A70F09AE2AF6}" name="20" totalsRowFunction="sum" dataDxfId="1653" totalsRowDxfId="1652" dataCellStyle="Moeda">
      <calculatedColumnFormula>SUMIFS(tabela_registros[VALOR],tabela_registros[MÊS],$AE$1,tabela_registros[DIA],reservavariáveisconsolidadoout[[#Headers],[20]],tabela_registros[REGISTRO],DADOS!$N$3,tabela_registros[TIPO],DADOS!$V$3,tabela_registros[CATEGORIA],reservavariáveisconsolidadoout[[#This Row],[ATUAL]])</calculatedColumnFormula>
    </tableColumn>
    <tableColumn id="22" xr3:uid="{76798EBD-0068-41BD-88E0-763F8A5E7CFE}" name="21" totalsRowFunction="sum" dataDxfId="1651" totalsRowDxfId="1650" dataCellStyle="Moeda">
      <calculatedColumnFormula>SUMIFS(tabela_registros[VALOR],tabela_registros[MÊS],$AE$1,tabela_registros[DIA],reservavariáveisconsolidadoout[[#Headers],[21]],tabela_registros[REGISTRO],DADOS!$N$3,tabela_registros[TIPO],DADOS!$V$3,tabela_registros[CATEGORIA],reservavariáveisconsolidadoout[[#This Row],[ATUAL]])</calculatedColumnFormula>
    </tableColumn>
    <tableColumn id="23" xr3:uid="{60D0EF9A-23AD-4597-B718-056FA3C2654B}" name="22" totalsRowFunction="sum" dataDxfId="1649" totalsRowDxfId="1648" dataCellStyle="Moeda">
      <calculatedColumnFormula>SUMIFS(tabela_registros[VALOR],tabela_registros[MÊS],$AE$1,tabela_registros[DIA],reservavariáveisconsolidadoout[[#Headers],[22]],tabela_registros[REGISTRO],DADOS!$N$3,tabela_registros[TIPO],DADOS!$V$3,tabela_registros[CATEGORIA],reservavariáveisconsolidadoout[[#This Row],[ATUAL]])</calculatedColumnFormula>
    </tableColumn>
    <tableColumn id="24" xr3:uid="{CB393893-12FD-4C75-82F9-29A9798834E9}" name="23" totalsRowFunction="sum" dataDxfId="1647" totalsRowDxfId="1646" dataCellStyle="Moeda">
      <calculatedColumnFormula>SUMIFS(tabela_registros[VALOR],tabela_registros[MÊS],$AE$1,tabela_registros[DIA],reservavariáveisconsolidadoout[[#Headers],[23]],tabela_registros[REGISTRO],DADOS!$N$3,tabela_registros[TIPO],DADOS!$V$3,tabela_registros[CATEGORIA],reservavariáveisconsolidadoout[[#This Row],[ATUAL]])</calculatedColumnFormula>
    </tableColumn>
    <tableColumn id="25" xr3:uid="{4ADABF8C-DF99-416E-82C4-7FFDD178A557}" name="24" totalsRowFunction="sum" dataDxfId="1645" totalsRowDxfId="1644" dataCellStyle="Moeda">
      <calculatedColumnFormula>SUMIFS(tabela_registros[VALOR],tabela_registros[MÊS],$AE$1,tabela_registros[DIA],reservavariáveisconsolidadoout[[#Headers],[24]],tabela_registros[REGISTRO],DADOS!$N$3,tabela_registros[TIPO],DADOS!$V$3,tabela_registros[CATEGORIA],reservavariáveisconsolidadoout[[#This Row],[ATUAL]])</calculatedColumnFormula>
    </tableColumn>
    <tableColumn id="26" xr3:uid="{5CF7A183-F5BF-4C2F-949D-375A8E0083D4}" name="25" totalsRowFunction="sum" dataDxfId="1643" totalsRowDxfId="1642" dataCellStyle="Moeda">
      <calculatedColumnFormula>SUMIFS(tabela_registros[VALOR],tabela_registros[MÊS],$AE$1,tabela_registros[DIA],reservavariáveisconsolidadoout[[#Headers],[25]],tabela_registros[REGISTRO],DADOS!$N$3,tabela_registros[TIPO],DADOS!$V$3,tabela_registros[CATEGORIA],reservavariáveisconsolidadoout[[#This Row],[ATUAL]])</calculatedColumnFormula>
    </tableColumn>
    <tableColumn id="27" xr3:uid="{CD463919-4820-4302-8AA1-51B165581BC1}" name="26" totalsRowFunction="sum" dataDxfId="1641" totalsRowDxfId="1640" dataCellStyle="Moeda">
      <calculatedColumnFormula>SUMIFS(tabela_registros[VALOR],tabela_registros[MÊS],$AE$1,tabela_registros[DIA],reservavariáveisconsolidadoout[[#Headers],[26]],tabela_registros[REGISTRO],DADOS!$N$3,tabela_registros[TIPO],DADOS!$V$3,tabela_registros[CATEGORIA],reservavariáveisconsolidadoout[[#This Row],[ATUAL]])</calculatedColumnFormula>
    </tableColumn>
    <tableColumn id="28" xr3:uid="{CE70D591-88A4-40D7-ADBC-8FFF2B0183B5}" name="27" totalsRowFunction="sum" dataDxfId="1639" totalsRowDxfId="1638" dataCellStyle="Moeda">
      <calculatedColumnFormula>SUMIFS(tabela_registros[VALOR],tabela_registros[MÊS],$AE$1,tabela_registros[DIA],reservavariáveisconsolidadoout[[#Headers],[27]],tabela_registros[REGISTRO],DADOS!$N$3,tabela_registros[TIPO],DADOS!$V$3,tabela_registros[CATEGORIA],reservavariáveisconsolidadoout[[#This Row],[ATUAL]])</calculatedColumnFormula>
    </tableColumn>
    <tableColumn id="29" xr3:uid="{5826CB9F-B6C0-410D-A961-52426654046C}" name="28" totalsRowFunction="sum" dataDxfId="1637" totalsRowDxfId="1636" dataCellStyle="Moeda">
      <calculatedColumnFormula>SUMIFS(tabela_registros[VALOR],tabela_registros[MÊS],$AE$1,tabela_registros[DIA],reservavariáveisconsolidadoout[[#Headers],[28]],tabela_registros[REGISTRO],DADOS!$N$3,tabela_registros[TIPO],DADOS!$V$3,tabela_registros[CATEGORIA],reservavariáveisconsolidadoout[[#This Row],[ATUAL]])</calculatedColumnFormula>
    </tableColumn>
    <tableColumn id="30" xr3:uid="{74B9F62C-C649-432D-83CE-B7A8647A46DE}" name="29" totalsRowFunction="sum" dataDxfId="1635" totalsRowDxfId="1634" dataCellStyle="Moeda">
      <calculatedColumnFormula>SUMIFS(tabela_registros[VALOR],tabela_registros[MÊS],$AE$1,tabela_registros[DIA],reservavariáveisconsolidadoout[[#Headers],[29]],tabela_registros[REGISTRO],DADOS!$N$3,tabela_registros[TIPO],DADOS!$V$3,tabela_registros[CATEGORIA],reservavariáveisconsolidadoout[[#This Row],[ATUAL]])</calculatedColumnFormula>
    </tableColumn>
    <tableColumn id="31" xr3:uid="{D953BD54-6CF3-48ED-9D26-EA4DC59B91F6}" name="30" totalsRowFunction="sum" dataDxfId="1633" totalsRowDxfId="1632" dataCellStyle="Moeda">
      <calculatedColumnFormula>SUMIFS(tabela_registros[VALOR],tabela_registros[MÊS],$AE$1,tabela_registros[DIA],reservavariáveisconsolidadoout[[#Headers],[30]],tabela_registros[REGISTRO],DADOS!$N$3,tabela_registros[TIPO],DADOS!$V$3,tabela_registros[CATEGORIA],reservavariáveisconsolidadoout[[#This Row],[ATUAL]])</calculatedColumnFormula>
    </tableColumn>
    <tableColumn id="32" xr3:uid="{C9212718-206F-47BE-96A8-332A402AE5C4}" name="31" totalsRowFunction="sum" dataDxfId="1631" totalsRowDxfId="1630" dataCellStyle="Moeda">
      <calculatedColumnFormula>SUMIFS(tabela_registros[VALOR],tabela_registros[MÊS],$AE$1,tabela_registros[DIA],reservavariáveisconsolidadoout[[#Headers],[31]],tabela_registros[REGISTRO],DADOS!$N$3,tabela_registros[TIPO],DADOS!$V$3,tabela_registros[CATEGORIA],reservavariáveisconsolidadoout[[#This Row],[ATUAL]])</calculatedColumnFormula>
    </tableColumn>
    <tableColumn id="33" xr3:uid="{1DC48A0B-6C45-4601-9EA4-DA194BFBA37D}" name="TOTAL (R$)" totalsRowFunction="sum" dataDxfId="1629" dataCellStyle="Moeda">
      <calculatedColumnFormula>SUM(reservavariáveisconsolidadoout[[#This Row],[1]:[31]])</calculatedColumnFormula>
    </tableColumn>
  </tableColumns>
  <tableStyleInfo name="TABELAS RESULTADOS" showFirstColumn="0" showLastColumn="0" showRowStripes="1" showColumnStripes="0"/>
</table>
</file>

<file path=xl/tables/table13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3" xr:uid="{5037103F-E346-46E4-9B85-9461FBDB2EDC}" name="reservaoutrosconsolidadoout" displayName="reservaoutrosconsolidadoout" ref="C205:AJ214" headerRowDxfId="1628" dataDxfId="1627" totalsRowDxfId="1626">
  <autoFilter ref="C205:AJ214" xr:uid="{9335CBAF-4490-44EE-A508-E6F2F3B6C6F1}"/>
  <tableColumns count="34">
    <tableColumn id="1" xr3:uid="{9AD28532-BB67-4ADD-9BA4-9BDB16E5AC80}" name="ATUAL" totalsRowLabel="SALDO" dataDxfId="1625"/>
    <tableColumn id="34" xr3:uid="{B43CA355-9981-4CA9-BB27-E8797208A1A8}" name="Coluna1" dataDxfId="1624" totalsRowDxfId="1623">
      <calculatedColumnFormula>IF(reservaoutrosconsolidadoout[[#This Row],[TOTAL (R$)]]=0,"",IF(OR(reservaoutrosconsolidadoout[[#This Row],[TOTAL (R$)]]=LARGE($AJ$206:$AJ$213,1),reservaoutrosconsolidadoout[[#This Row],[TOTAL (R$)]]=LARGE($AJ$206:$AJ$213,2)),DADOS!$I$11,""))</calculatedColumnFormula>
    </tableColumn>
    <tableColumn id="2" xr3:uid="{78B15357-F17B-4257-A02F-C1AE942F0A5C}" name="1" totalsRowFunction="sum" dataDxfId="1622" dataCellStyle="Moeda"/>
    <tableColumn id="3" xr3:uid="{50F43A46-2597-4A0D-81F0-F7027A5CF4B9}" name="2" totalsRowFunction="sum" dataDxfId="1621" dataCellStyle="Moeda">
      <calculatedColumnFormula>SUMIFS(tabela_registros[VALOR],tabela_registros[MÊS],$AE$1,tabela_registros[DIA],reservaoutrosconsolidadoout[[#Headers],[2]],tabela_registros[REGISTRO],DADOS!$N$3,tabela_registros[TIPO],DADOS!$V$3,tabela_registros[CATEGORIA],reservaoutrosconsolidadoout[[#This Row],[ATUAL]])</calculatedColumnFormula>
    </tableColumn>
    <tableColumn id="4" xr3:uid="{BFA98D98-8D5D-4F64-8965-38259FC65A48}" name="3" totalsRowFunction="sum" dataDxfId="1620" totalsRowDxfId="1619" dataCellStyle="Moeda">
      <calculatedColumnFormula>SUMIFS(tabela_registros[VALOR],tabela_registros[MÊS],$AE$1,tabela_registros[DIA],reservaoutrosconsolidadoout[[#Headers],[3]],tabela_registros[REGISTRO],DADOS!$N$3,tabela_registros[TIPO],DADOS!$V$3,tabela_registros[CATEGORIA],reservaoutrosconsolidadoout[[#This Row],[ATUAL]])</calculatedColumnFormula>
    </tableColumn>
    <tableColumn id="5" xr3:uid="{F72C6EE9-0FFC-468B-8352-88D35B44866E}" name="4" totalsRowFunction="sum" dataDxfId="1618" totalsRowDxfId="1617" dataCellStyle="Moeda">
      <calculatedColumnFormula>SUMIFS(tabela_registros[VALOR],tabela_registros[MÊS],$AE$1,tabela_registros[DIA],reservaoutrosconsolidadoout[[#Headers],[4]],tabela_registros[REGISTRO],DADOS!$N$3,tabela_registros[TIPO],DADOS!$V$3,tabela_registros[CATEGORIA],reservaoutrosconsolidadoout[[#This Row],[ATUAL]])</calculatedColumnFormula>
    </tableColumn>
    <tableColumn id="6" xr3:uid="{B27161FA-224D-4FC6-B2D4-3CD32E7E0947}" name="5" totalsRowFunction="sum" dataDxfId="1616" totalsRowDxfId="1615" dataCellStyle="Moeda">
      <calculatedColumnFormula>SUMIFS(tabela_registros[VALOR],tabela_registros[MÊS],$AE$1,tabela_registros[DIA],reservaoutrosconsolidadoout[[#Headers],[5]],tabela_registros[REGISTRO],DADOS!$N$3,tabela_registros[TIPO],DADOS!$V$3,tabela_registros[CATEGORIA],reservaoutrosconsolidadoout[[#This Row],[ATUAL]])</calculatedColumnFormula>
    </tableColumn>
    <tableColumn id="7" xr3:uid="{AA2F2500-8FE6-47C8-84B8-56EC8F85CEE4}" name="6" totalsRowFunction="sum" dataDxfId="1614" totalsRowDxfId="1613" dataCellStyle="Moeda">
      <calculatedColumnFormula>SUMIFS(tabela_registros[VALOR],tabela_registros[MÊS],$AE$1,tabela_registros[DIA],reservaoutrosconsolidadoout[[#Headers],[6]],tabela_registros[REGISTRO],DADOS!$N$3,tabela_registros[TIPO],DADOS!$V$3,tabela_registros[CATEGORIA],reservaoutrosconsolidadoout[[#This Row],[ATUAL]])</calculatedColumnFormula>
    </tableColumn>
    <tableColumn id="8" xr3:uid="{64B19522-8E8F-4AB0-A378-CD4F9618C3AC}" name="7" totalsRowFunction="sum" dataDxfId="1612" totalsRowDxfId="1611" dataCellStyle="Moeda">
      <calculatedColumnFormula>SUMIFS(tabela_registros[VALOR],tabela_registros[MÊS],$AE$1,tabela_registros[DIA],reservaoutrosconsolidadoout[[#Headers],[7]],tabela_registros[REGISTRO],DADOS!$N$3,tabela_registros[TIPO],DADOS!$V$3,tabela_registros[CATEGORIA],reservaoutrosconsolidadoout[[#This Row],[ATUAL]])</calculatedColumnFormula>
    </tableColumn>
    <tableColumn id="9" xr3:uid="{238D5888-C5C9-4425-9442-6892D23A24FC}" name="8" totalsRowFunction="sum" dataDxfId="1610" totalsRowDxfId="1609" dataCellStyle="Moeda">
      <calculatedColumnFormula>SUMIFS(tabela_registros[VALOR],tabela_registros[MÊS],$AE$1,tabela_registros[DIA],reservaoutrosconsolidadoout[[#Headers],[8]],tabela_registros[REGISTRO],DADOS!$N$3,tabela_registros[TIPO],DADOS!$V$3,tabela_registros[CATEGORIA],reservaoutrosconsolidadoout[[#This Row],[ATUAL]])</calculatedColumnFormula>
    </tableColumn>
    <tableColumn id="10" xr3:uid="{D33A1010-380F-48A0-A174-34D623F170B2}" name="9" totalsRowFunction="sum" dataDxfId="1608" totalsRowDxfId="1607" dataCellStyle="Moeda">
      <calculatedColumnFormula>SUMIFS(tabela_registros[VALOR],tabela_registros[MÊS],$AE$1,tabela_registros[DIA],reservaoutrosconsolidadoout[[#Headers],[9]],tabela_registros[REGISTRO],DADOS!$N$3,tabela_registros[TIPO],DADOS!$V$3,tabela_registros[CATEGORIA],reservaoutrosconsolidadoout[[#This Row],[ATUAL]])</calculatedColumnFormula>
    </tableColumn>
    <tableColumn id="11" xr3:uid="{C1EC265B-EAD7-4ABD-830F-71D31FAB2BC8}" name="10" totalsRowFunction="sum" dataDxfId="1606" totalsRowDxfId="1605" dataCellStyle="Moeda">
      <calculatedColumnFormula>SUMIFS(tabela_registros[VALOR],tabela_registros[MÊS],$AE$1,tabela_registros[DIA],reservaoutrosconsolidadoout[[#Headers],[10]],tabela_registros[REGISTRO],DADOS!$N$3,tabela_registros[TIPO],DADOS!$V$3,tabela_registros[CATEGORIA],reservaoutrosconsolidadoout[[#This Row],[ATUAL]])</calculatedColumnFormula>
    </tableColumn>
    <tableColumn id="12" xr3:uid="{6591572B-796E-4C79-A50C-2BAEE09DFA25}" name="11" totalsRowFunction="sum" dataDxfId="1604" totalsRowDxfId="1603" dataCellStyle="Moeda">
      <calculatedColumnFormula>SUMIFS(tabela_registros[VALOR],tabela_registros[MÊS],$AE$1,tabela_registros[DIA],reservaoutrosconsolidadoout[[#Headers],[11]],tabela_registros[REGISTRO],DADOS!$N$3,tabela_registros[TIPO],DADOS!$V$3,tabela_registros[CATEGORIA],reservaoutrosconsolidadoout[[#This Row],[ATUAL]])</calculatedColumnFormula>
    </tableColumn>
    <tableColumn id="13" xr3:uid="{63EE88F4-2E18-425B-AA11-BB9651BFEC88}" name="12" totalsRowFunction="sum" dataDxfId="1602" totalsRowDxfId="1601" dataCellStyle="Moeda">
      <calculatedColumnFormula>SUMIFS(tabela_registros[VALOR],tabela_registros[MÊS],$AE$1,tabela_registros[DIA],reservaoutrosconsolidadoout[[#Headers],[12]],tabela_registros[REGISTRO],DADOS!$N$3,tabela_registros[TIPO],DADOS!$V$3,tabela_registros[CATEGORIA],reservaoutrosconsolidadoout[[#This Row],[ATUAL]])</calculatedColumnFormula>
    </tableColumn>
    <tableColumn id="14" xr3:uid="{6DF6263D-2EDC-4DF3-9009-6079F604737A}" name="13" totalsRowFunction="sum" dataDxfId="1600" totalsRowDxfId="1599" dataCellStyle="Moeda">
      <calculatedColumnFormula>SUMIFS(tabela_registros[VALOR],tabela_registros[MÊS],$AE$1,tabela_registros[DIA],reservaoutrosconsolidadoout[[#Headers],[13]],tabela_registros[REGISTRO],DADOS!$N$3,tabela_registros[TIPO],DADOS!$V$3,tabela_registros[CATEGORIA],reservaoutrosconsolidadoout[[#This Row],[ATUAL]])</calculatedColumnFormula>
    </tableColumn>
    <tableColumn id="15" xr3:uid="{90E223C9-0295-472A-9A1A-292B99AAB85D}" name="14" totalsRowFunction="sum" dataDxfId="1598" totalsRowDxfId="1597" dataCellStyle="Moeda">
      <calculatedColumnFormula>SUMIFS(tabela_registros[VALOR],tabela_registros[MÊS],$AE$1,tabela_registros[DIA],reservaoutrosconsolidadoout[[#Headers],[14]],tabela_registros[REGISTRO],DADOS!$N$3,tabela_registros[TIPO],DADOS!$V$3,tabela_registros[CATEGORIA],reservaoutrosconsolidadoout[[#This Row],[ATUAL]])</calculatedColumnFormula>
    </tableColumn>
    <tableColumn id="16" xr3:uid="{06D100BF-A7BE-4FEC-BC03-A559C5B024FC}" name="15" totalsRowFunction="sum" dataDxfId="1596" totalsRowDxfId="1595" dataCellStyle="Moeda">
      <calculatedColumnFormula>SUMIFS(tabela_registros[VALOR],tabela_registros[MÊS],$AE$1,tabela_registros[DIA],reservaoutrosconsolidadoout[[#Headers],[15]],tabela_registros[REGISTRO],DADOS!$N$3,tabela_registros[TIPO],DADOS!$V$3,tabela_registros[CATEGORIA],reservaoutrosconsolidadoout[[#This Row],[ATUAL]])</calculatedColumnFormula>
    </tableColumn>
    <tableColumn id="17" xr3:uid="{A9DC5C00-522A-48FC-B0C2-710AAE748C19}" name="16" totalsRowFunction="sum" dataDxfId="1594" totalsRowDxfId="1593" dataCellStyle="Moeda">
      <calculatedColumnFormula>SUMIFS(tabela_registros[VALOR],tabela_registros[MÊS],$AE$1,tabela_registros[DIA],reservaoutrosconsolidadoout[[#Headers],[16]],tabela_registros[REGISTRO],DADOS!$N$3,tabela_registros[TIPO],DADOS!$V$3,tabela_registros[CATEGORIA],reservaoutrosconsolidadoout[[#This Row],[ATUAL]])</calculatedColumnFormula>
    </tableColumn>
    <tableColumn id="18" xr3:uid="{DD309A67-24F0-4147-8A81-8BEB80D2ECA2}" name="17" totalsRowFunction="sum" dataDxfId="1592" totalsRowDxfId="1591" dataCellStyle="Moeda">
      <calculatedColumnFormula>SUMIFS(tabela_registros[VALOR],tabela_registros[MÊS],$AE$1,tabela_registros[DIA],reservaoutrosconsolidadoout[[#Headers],[17]],tabela_registros[REGISTRO],DADOS!$N$3,tabela_registros[TIPO],DADOS!$V$3,tabela_registros[CATEGORIA],reservaoutrosconsolidadoout[[#This Row],[ATUAL]])</calculatedColumnFormula>
    </tableColumn>
    <tableColumn id="19" xr3:uid="{8A1C5372-7302-4BF7-97DF-19945746346A}" name="18" totalsRowFunction="sum" dataDxfId="1590" totalsRowDxfId="1589" dataCellStyle="Moeda">
      <calculatedColumnFormula>SUMIFS(tabela_registros[VALOR],tabela_registros[MÊS],$AE$1,tabela_registros[DIA],reservaoutrosconsolidadoout[[#Headers],[18]],tabela_registros[REGISTRO],DADOS!$N$3,tabela_registros[TIPO],DADOS!$V$3,tabela_registros[CATEGORIA],reservaoutrosconsolidadoout[[#This Row],[ATUAL]])</calculatedColumnFormula>
    </tableColumn>
    <tableColumn id="20" xr3:uid="{ECEE2491-261D-4EC9-B149-872F1C8961EB}" name="19" totalsRowFunction="sum" dataDxfId="1588" totalsRowDxfId="1587" dataCellStyle="Moeda">
      <calculatedColumnFormula>SUMIFS(tabela_registros[VALOR],tabela_registros[MÊS],$AE$1,tabela_registros[DIA],reservaoutrosconsolidadoout[[#Headers],[19]],tabela_registros[REGISTRO],DADOS!$N$3,tabela_registros[TIPO],DADOS!$V$3,tabela_registros[CATEGORIA],reservaoutrosconsolidadoout[[#This Row],[ATUAL]])</calculatedColumnFormula>
    </tableColumn>
    <tableColumn id="21" xr3:uid="{329260BB-6CB9-4226-8D57-4C08B8023CAA}" name="20" totalsRowFunction="sum" dataDxfId="1586" totalsRowDxfId="1585" dataCellStyle="Moeda">
      <calculatedColumnFormula>SUMIFS(tabela_registros[VALOR],tabela_registros[MÊS],$AE$1,tabela_registros[DIA],reservaoutrosconsolidadoout[[#Headers],[20]],tabela_registros[REGISTRO],DADOS!$N$3,tabela_registros[TIPO],DADOS!$V$3,tabela_registros[CATEGORIA],reservaoutrosconsolidadoout[[#This Row],[ATUAL]])</calculatedColumnFormula>
    </tableColumn>
    <tableColumn id="22" xr3:uid="{51BCBC36-1270-43D4-94A8-537AD015AC75}" name="21" totalsRowFunction="sum" dataDxfId="1584" totalsRowDxfId="1583" dataCellStyle="Moeda">
      <calculatedColumnFormula>SUMIFS(tabela_registros[VALOR],tabela_registros[MÊS],$AE$1,tabela_registros[DIA],reservaoutrosconsolidadoout[[#Headers],[21]],tabela_registros[REGISTRO],DADOS!$N$3,tabela_registros[TIPO],DADOS!$V$3,tabela_registros[CATEGORIA],reservaoutrosconsolidadoout[[#This Row],[ATUAL]])</calculatedColumnFormula>
    </tableColumn>
    <tableColumn id="23" xr3:uid="{365D28E5-3554-4C9E-98C5-683702CAC0AC}" name="22" totalsRowFunction="sum" dataDxfId="1582" totalsRowDxfId="1581" dataCellStyle="Moeda">
      <calculatedColumnFormula>SUMIFS(tabela_registros[VALOR],tabela_registros[MÊS],$AE$1,tabela_registros[DIA],reservaoutrosconsolidadoout[[#Headers],[22]],tabela_registros[REGISTRO],DADOS!$N$3,tabela_registros[TIPO],DADOS!$V$3,tabela_registros[CATEGORIA],reservaoutrosconsolidadoout[[#This Row],[ATUAL]])</calculatedColumnFormula>
    </tableColumn>
    <tableColumn id="24" xr3:uid="{4CE90EB6-876D-4C3F-9E36-CB9B59DB7143}" name="23" totalsRowFunction="sum" dataDxfId="1580" totalsRowDxfId="1579" dataCellStyle="Moeda">
      <calculatedColumnFormula>SUMIFS(tabela_registros[VALOR],tabela_registros[MÊS],$AE$1,tabela_registros[DIA],reservaoutrosconsolidadoout[[#Headers],[23]],tabela_registros[REGISTRO],DADOS!$N$3,tabela_registros[TIPO],DADOS!$V$3,tabela_registros[CATEGORIA],reservaoutrosconsolidadoout[[#This Row],[ATUAL]])</calculatedColumnFormula>
    </tableColumn>
    <tableColumn id="25" xr3:uid="{D69D4ACD-B2E5-430A-A4A1-C6151D561466}" name="24" totalsRowFunction="sum" dataDxfId="1578" totalsRowDxfId="1577" dataCellStyle="Moeda">
      <calculatedColumnFormula>SUMIFS(tabela_registros[VALOR],tabela_registros[MÊS],$AE$1,tabela_registros[DIA],reservaoutrosconsolidadoout[[#Headers],[24]],tabela_registros[REGISTRO],DADOS!$N$3,tabela_registros[TIPO],DADOS!$V$3,tabela_registros[CATEGORIA],reservaoutrosconsolidadoout[[#This Row],[ATUAL]])</calculatedColumnFormula>
    </tableColumn>
    <tableColumn id="26" xr3:uid="{ABEE37EF-7375-4565-8046-A3344F4E7E7E}" name="25" totalsRowFunction="sum" dataDxfId="1576" totalsRowDxfId="1575" dataCellStyle="Moeda">
      <calculatedColumnFormula>SUMIFS(tabela_registros[VALOR],tabela_registros[MÊS],$AE$1,tabela_registros[DIA],reservaoutrosconsolidadoout[[#Headers],[25]],tabela_registros[REGISTRO],DADOS!$N$3,tabela_registros[TIPO],DADOS!$V$3,tabela_registros[CATEGORIA],reservaoutrosconsolidadoout[[#This Row],[ATUAL]])</calculatedColumnFormula>
    </tableColumn>
    <tableColumn id="27" xr3:uid="{3BE7D039-FF26-4B44-AF3C-782F56849526}" name="26" totalsRowFunction="sum" dataDxfId="1574" totalsRowDxfId="1573" dataCellStyle="Moeda">
      <calculatedColumnFormula>SUMIFS(tabela_registros[VALOR],tabela_registros[MÊS],$AE$1,tabela_registros[DIA],reservaoutrosconsolidadoout[[#Headers],[26]],tabela_registros[REGISTRO],DADOS!$N$3,tabela_registros[TIPO],DADOS!$V$3,tabela_registros[CATEGORIA],reservaoutrosconsolidadoout[[#This Row],[ATUAL]])</calculatedColumnFormula>
    </tableColumn>
    <tableColumn id="28" xr3:uid="{CA16A355-98D2-40EE-8C01-4A9C685889D4}" name="27" totalsRowFunction="sum" dataDxfId="1572" totalsRowDxfId="1571" dataCellStyle="Moeda">
      <calculatedColumnFormula>SUMIFS(tabela_registros[VALOR],tabela_registros[MÊS],$AE$1,tabela_registros[DIA],reservaoutrosconsolidadoout[[#Headers],[27]],tabela_registros[REGISTRO],DADOS!$N$3,tabela_registros[TIPO],DADOS!$V$3,tabela_registros[CATEGORIA],reservaoutrosconsolidadoout[[#This Row],[ATUAL]])</calculatedColumnFormula>
    </tableColumn>
    <tableColumn id="29" xr3:uid="{B21FBBAB-D647-4995-ADFB-C7D116BF3432}" name="28" totalsRowFunction="sum" dataDxfId="1570" totalsRowDxfId="1569" dataCellStyle="Moeda">
      <calculatedColumnFormula>SUMIFS(tabela_registros[VALOR],tabela_registros[MÊS],$AE$1,tabela_registros[DIA],reservaoutrosconsolidadoout[[#Headers],[28]],tabela_registros[REGISTRO],DADOS!$N$3,tabela_registros[TIPO],DADOS!$V$3,tabela_registros[CATEGORIA],reservaoutrosconsolidadoout[[#This Row],[ATUAL]])</calculatedColumnFormula>
    </tableColumn>
    <tableColumn id="30" xr3:uid="{40CD55EB-96C5-4F58-85B3-E274F3669CD7}" name="29" totalsRowFunction="sum" dataDxfId="1568" totalsRowDxfId="1567" dataCellStyle="Moeda">
      <calculatedColumnFormula>SUMIFS(tabela_registros[VALOR],tabela_registros[MÊS],$AE$1,tabela_registros[DIA],reservaoutrosconsolidadoout[[#Headers],[29]],tabela_registros[REGISTRO],DADOS!$N$3,tabela_registros[TIPO],DADOS!$V$3,tabela_registros[CATEGORIA],reservaoutrosconsolidadoout[[#This Row],[ATUAL]])</calculatedColumnFormula>
    </tableColumn>
    <tableColumn id="31" xr3:uid="{10BD5E8B-CF90-4513-836B-BFD04E97669D}" name="30" totalsRowFunction="sum" dataDxfId="1566" totalsRowDxfId="1565" dataCellStyle="Moeda">
      <calculatedColumnFormula>SUMIFS(tabela_registros[VALOR],tabela_registros[MÊS],$AE$1,tabela_registros[DIA],reservaoutrosconsolidadoout[[#Headers],[30]],tabela_registros[REGISTRO],DADOS!$N$3,tabela_registros[TIPO],DADOS!$V$3,tabela_registros[CATEGORIA],reservaoutrosconsolidadoout[[#This Row],[ATUAL]])</calculatedColumnFormula>
    </tableColumn>
    <tableColumn id="32" xr3:uid="{36EE55E9-42CC-462E-A141-242348D27842}" name="31" totalsRowFunction="sum" dataDxfId="1564" totalsRowDxfId="1563" dataCellStyle="Moeda">
      <calculatedColumnFormula>SUMIFS(tabela_registros[VALOR],tabela_registros[MÊS],$AE$1,tabela_registros[DIA],reservaoutrosconsolidadoout[[#Headers],[31]],tabela_registros[REGISTRO],DADOS!$N$3,tabela_registros[TIPO],DADOS!$V$3,tabela_registros[CATEGORIA],reservaoutrosconsolidadoout[[#This Row],[ATUAL]])</calculatedColumnFormula>
    </tableColumn>
    <tableColumn id="33" xr3:uid="{BE849318-3526-4002-B059-02D2ACDB02E5}" name="TOTAL (R$)" totalsRowFunction="sum" dataDxfId="1562" dataCellStyle="Moeda">
      <calculatedColumnFormula>SUM(reservaoutrosconsolidadoout[[#This Row],[1]:[31]])</calculatedColumnFormula>
    </tableColumn>
  </tableColumns>
  <tableStyleInfo name="TABELAS RESULTADOS" showFirstColumn="0" showLastColumn="0" showRowStripes="1" showColumnStripes="0"/>
</table>
</file>

<file path=xl/tables/table13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" xr:uid="{1FD18F03-4020-42FC-A2C6-BB33399CF1AF}" name="despesafixaconsolidadonov" displayName="despesafixaconsolidadonov" ref="C36:AJ51" headerRowDxfId="1561" dataDxfId="1560" totalsRowDxfId="1559">
  <autoFilter ref="C36:AJ51" xr:uid="{5ADEFF0A-DF5A-4FC5-A9EC-68EEC14B5F43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  <filterColumn colId="25" hiddenButton="1"/>
    <filterColumn colId="26" hiddenButton="1"/>
    <filterColumn colId="27" hiddenButton="1"/>
    <filterColumn colId="28" hiddenButton="1"/>
    <filterColumn colId="29" hiddenButton="1"/>
    <filterColumn colId="30" hiddenButton="1"/>
    <filterColumn colId="31" hiddenButton="1"/>
    <filterColumn colId="32" hiddenButton="1"/>
    <filterColumn colId="33" hiddenButton="1"/>
  </autoFilter>
  <tableColumns count="34">
    <tableColumn id="1" xr3:uid="{3D4D8286-B90F-4F8F-9864-BB72ED7CC6BB}" name="DESPESA FIXA" totalsRowLabel="Total" dataDxfId="1558"/>
    <tableColumn id="42" xr3:uid="{9BF67D27-D133-40FA-B64E-FB5AEB030BA5}" name="Coluna1" dataDxfId="1557">
      <calculatedColumnFormula>IF(despesafixaconsolidadonov[[#This Row],[TOTAL]]=0,"",IF(OR(despesafixaconsolidadonov[[#This Row],[TOTAL]]=SMALL($AJ$37:$AJ$50,1),despesafixaconsolidadonov[[#This Row],[TOTAL]]=SMALL($AJ$37:$AJ$50,2),despesafixaconsolidadonov[[#This Row],[TOTAL]]=SMALL($AJ$37:$AJ$50,3),despesafixaconsolidadonov[[#This Row],[TOTAL]]=SMALL($AJ$37:$AJ$50,4),despesafixaconsolidadonov[[#This Row],[TOTAL]]=SMALL($AJ$37:$AJ$50,5)),DADOS!$I$8,""))</calculatedColumnFormula>
    </tableColumn>
    <tableColumn id="18" xr3:uid="{0F1E90FF-5087-404D-8DB2-2574D81189F7}" name="1" totalsRowFunction="sum" dataDxfId="1556" dataCellStyle="Moeda">
      <calculatedColumnFormula>SUMIFS(tabela_registros[VALOR],tabela_registros[MÊS],$AE$1,tabela_registros[DIA],jantotal[[#Headers],[1]],tabela_registros[REGISTRO],DADOS!$N$4,tabela_registros[TIPO],DADOS!$P$3,tabela_registros[CATEGORIA],despesafixaconsolidadonov[[#This Row],[DESPESA FIXA]])</calculatedColumnFormula>
    </tableColumn>
    <tableColumn id="19" xr3:uid="{5E62569A-5817-4497-996F-9AA3C14FB2B2}" name="2" totalsRowFunction="sum" dataDxfId="1555" dataCellStyle="Moeda">
      <calculatedColumnFormula>SUMIFS(tabela_registros[VALOR],tabela_registros[MÊS],$AE$1,tabela_registros[DIA],jantotal[[#Headers],[2]],tabela_registros[REGISTRO],DADOS!$N$4,tabela_registros[TIPO],DADOS!$P$3,tabela_registros[CATEGORIA],despesafixaconsolidadonov[[#This Row],[DESPESA FIXA]])</calculatedColumnFormula>
    </tableColumn>
    <tableColumn id="20" xr3:uid="{AB596247-D8E1-4D78-9AEE-4EE5BDCEF380}" name="3" totalsRowFunction="sum" dataDxfId="1554" totalsRowDxfId="1553" dataCellStyle="Moeda">
      <calculatedColumnFormula>SUMIFS(tabela_registros[VALOR],tabela_registros[MÊS],$AE$1,tabela_registros[DIA],jantotal[[#Headers],[3]],tabela_registros[REGISTRO],DADOS!$N$4,tabela_registros[TIPO],DADOS!$P$3,tabela_registros[CATEGORIA],despesafixaconsolidadonov[[#This Row],[DESPESA FIXA]])</calculatedColumnFormula>
    </tableColumn>
    <tableColumn id="21" xr3:uid="{489CD0AC-204B-4486-88EB-E811CE2038D7}" name="4" totalsRowFunction="sum" dataDxfId="1552" totalsRowDxfId="1551" dataCellStyle="Moeda">
      <calculatedColumnFormula>SUMIFS(tabela_registros[VALOR],tabela_registros[MÊS],$AE$1,tabela_registros[DIA],jantotal[[#Headers],[4]],tabela_registros[REGISTRO],DADOS!$N$4,tabela_registros[TIPO],DADOS!$P$3,tabela_registros[CATEGORIA],despesafixaconsolidadonov[[#This Row],[DESPESA FIXA]])</calculatedColumnFormula>
    </tableColumn>
    <tableColumn id="22" xr3:uid="{FBDA766D-670A-451D-B44C-D74977E8CD11}" name="5" totalsRowFunction="sum" dataDxfId="1550" totalsRowDxfId="1549" dataCellStyle="Moeda">
      <calculatedColumnFormula>SUMIFS(tabela_registros[VALOR],tabela_registros[MÊS],$AE$1,tabela_registros[DIA],jantotal[[#Headers],[5]],tabela_registros[REGISTRO],DADOS!$N$4,tabela_registros[TIPO],DADOS!$P$3,tabela_registros[CATEGORIA],despesafixaconsolidadonov[[#This Row],[DESPESA FIXA]])</calculatedColumnFormula>
    </tableColumn>
    <tableColumn id="23" xr3:uid="{A7E5FBD4-BD3F-4F71-80F5-43D1A3B0121E}" name="6" totalsRowFunction="sum" dataDxfId="1548" totalsRowDxfId="1547" dataCellStyle="Moeda">
      <calculatedColumnFormula>SUMIFS(tabela_registros[VALOR],tabela_registros[MÊS],$AE$1,tabela_registros[DIA],jantotal[[#Headers],[6]],tabela_registros[REGISTRO],DADOS!$N$4,tabela_registros[TIPO],DADOS!$P$3,tabela_registros[CATEGORIA],despesafixaconsolidadonov[[#This Row],[DESPESA FIXA]])</calculatedColumnFormula>
    </tableColumn>
    <tableColumn id="24" xr3:uid="{60196099-2E05-4F0B-9C9B-1C7D1DFF9854}" name="7" totalsRowFunction="sum" dataDxfId="1546" totalsRowDxfId="1545" dataCellStyle="Moeda">
      <calculatedColumnFormula>SUMIFS(tabela_registros[VALOR],tabela_registros[MÊS],$AE$1,tabela_registros[DIA],jantotal[[#Headers],[7]],tabela_registros[REGISTRO],DADOS!$N$4,tabela_registros[TIPO],DADOS!$P$3,tabela_registros[CATEGORIA],despesafixaconsolidadonov[[#This Row],[DESPESA FIXA]])</calculatedColumnFormula>
    </tableColumn>
    <tableColumn id="25" xr3:uid="{26CDFA87-1569-4C7F-96FA-D7A97216764E}" name="8" totalsRowFunction="sum" dataDxfId="1544" totalsRowDxfId="1543" dataCellStyle="Moeda">
      <calculatedColumnFormula>SUMIFS(tabela_registros[VALOR],tabela_registros[MÊS],$AE$1,tabela_registros[DIA],jantotal[[#Headers],[8]],tabela_registros[REGISTRO],DADOS!$N$4,tabela_registros[TIPO],DADOS!$P$3,tabela_registros[CATEGORIA],despesafixaconsolidadonov[[#This Row],[DESPESA FIXA]])</calculatedColumnFormula>
    </tableColumn>
    <tableColumn id="26" xr3:uid="{ABC7ABA4-F8B3-419E-BE41-E6D7C7F5B6CD}" name="9" totalsRowFunction="sum" dataDxfId="1542" totalsRowDxfId="1541" dataCellStyle="Moeda">
      <calculatedColumnFormula>SUMIFS(tabela_registros[VALOR],tabela_registros[MÊS],$AE$1,tabela_registros[DIA],jantotal[[#Headers],[9]],tabela_registros[REGISTRO],DADOS!$N$4,tabela_registros[TIPO],DADOS!$P$3,tabela_registros[CATEGORIA],despesafixaconsolidadonov[[#This Row],[DESPESA FIXA]])</calculatedColumnFormula>
    </tableColumn>
    <tableColumn id="27" xr3:uid="{9FBA20B2-C971-4ABC-BFB8-786876621CEA}" name="10" totalsRowFunction="sum" dataDxfId="1540" totalsRowDxfId="1539" dataCellStyle="Moeda">
      <calculatedColumnFormula>SUMIFS(tabela_registros[VALOR],tabela_registros[MÊS],$AE$1,tabela_registros[DIA],jantotal[[#Headers],[10]],tabela_registros[REGISTRO],DADOS!$N$4,tabela_registros[TIPO],DADOS!$P$3,tabela_registros[CATEGORIA],despesafixaconsolidadonov[[#This Row],[DESPESA FIXA]])</calculatedColumnFormula>
    </tableColumn>
    <tableColumn id="28" xr3:uid="{0D37DA7E-3C07-4C5A-B7BC-377452D4923A}" name="11" totalsRowFunction="sum" dataDxfId="1538" totalsRowDxfId="1537" dataCellStyle="Moeda">
      <calculatedColumnFormula>SUMIFS(tabela_registros[VALOR],tabela_registros[MÊS],$AE$1,tabela_registros[DIA],jantotal[[#Headers],[11]],tabela_registros[REGISTRO],DADOS!$N$4,tabela_registros[TIPO],DADOS!$P$3,tabela_registros[CATEGORIA],despesafixaconsolidadonov[[#This Row],[DESPESA FIXA]])</calculatedColumnFormula>
    </tableColumn>
    <tableColumn id="29" xr3:uid="{B152F614-E66A-479E-8150-7D381B1023C9}" name="12" totalsRowFunction="sum" dataDxfId="1536" totalsRowDxfId="1535" dataCellStyle="Moeda">
      <calculatedColumnFormula>SUMIFS(tabela_registros[VALOR],tabela_registros[MÊS],$AE$1,tabela_registros[DIA],jantotal[[#Headers],[12]],tabela_registros[REGISTRO],DADOS!$N$4,tabela_registros[TIPO],DADOS!$P$3,tabela_registros[CATEGORIA],despesafixaconsolidadonov[[#This Row],[DESPESA FIXA]])</calculatedColumnFormula>
    </tableColumn>
    <tableColumn id="30" xr3:uid="{1D6DB962-5468-4A32-BEF5-1D6728643AF1}" name="13" totalsRowFunction="sum" dataDxfId="1534" totalsRowDxfId="1533" dataCellStyle="Moeda">
      <calculatedColumnFormula>SUMIFS(tabela_registros[VALOR],tabela_registros[MÊS],$AE$1,tabela_registros[DIA],jantotal[[#Headers],[13]],tabela_registros[REGISTRO],DADOS!$N$4,tabela_registros[TIPO],DADOS!$P$3,tabela_registros[CATEGORIA],despesafixaconsolidadonov[[#This Row],[DESPESA FIXA]])</calculatedColumnFormula>
    </tableColumn>
    <tableColumn id="31" xr3:uid="{D43CF6C2-CB42-486F-ABC6-D2ECD6CF0FE0}" name="14" totalsRowFunction="sum" dataDxfId="1532" totalsRowDxfId="1531" dataCellStyle="Moeda">
      <calculatedColumnFormula>SUMIFS(tabela_registros[VALOR],tabela_registros[MÊS],$AE$1,tabela_registros[DIA],jantotal[[#Headers],[14]],tabela_registros[REGISTRO],DADOS!$N$4,tabela_registros[TIPO],DADOS!$P$3,tabela_registros[CATEGORIA],despesafixaconsolidadonov[[#This Row],[DESPESA FIXA]])</calculatedColumnFormula>
    </tableColumn>
    <tableColumn id="32" xr3:uid="{97BF2F07-CA76-4DF5-A7BD-24AD0FA651E5}" name="15" totalsRowFunction="sum" dataDxfId="1530" totalsRowDxfId="1529" dataCellStyle="Moeda">
      <calculatedColumnFormula>SUMIFS(tabela_registros[VALOR],tabela_registros[MÊS],$AE$1,tabela_registros[DIA],jantotal[[#Headers],[15]],tabela_registros[REGISTRO],DADOS!$N$4,tabela_registros[TIPO],DADOS!$P$3,tabela_registros[CATEGORIA],despesafixaconsolidadonov[[#This Row],[DESPESA FIXA]])</calculatedColumnFormula>
    </tableColumn>
    <tableColumn id="33" xr3:uid="{A07CD74C-DBF2-4463-91D5-27528935F06D}" name="16" totalsRowFunction="sum" dataDxfId="1528" totalsRowDxfId="1527" dataCellStyle="Moeda">
      <calculatedColumnFormula>SUMIFS(tabela_registros[VALOR],tabela_registros[MÊS],$AE$1,tabela_registros[DIA],jantotal[[#Headers],[16]],tabela_registros[REGISTRO],DADOS!$N$4,tabela_registros[TIPO],DADOS!$P$3,tabela_registros[CATEGORIA],despesafixaconsolidadonov[[#This Row],[DESPESA FIXA]])</calculatedColumnFormula>
    </tableColumn>
    <tableColumn id="34" xr3:uid="{C3C43211-89F8-4248-A38A-620FCE74209F}" name="17" totalsRowFunction="sum" dataDxfId="1526" totalsRowDxfId="1525" dataCellStyle="Moeda">
      <calculatedColumnFormula>SUMIFS(tabela_registros[VALOR],tabela_registros[MÊS],$AE$1,tabela_registros[DIA],jantotal[[#Headers],[17]],tabela_registros[REGISTRO],DADOS!$N$4,tabela_registros[TIPO],DADOS!$P$3,tabela_registros[CATEGORIA],despesafixaconsolidadonov[[#This Row],[DESPESA FIXA]])</calculatedColumnFormula>
    </tableColumn>
    <tableColumn id="35" xr3:uid="{35B5DC4C-BD5A-4F47-AAAA-69A0E4C4AB80}" name="18" totalsRowFunction="sum" dataDxfId="1524" totalsRowDxfId="1523" dataCellStyle="Moeda">
      <calculatedColumnFormula>SUMIFS(tabela_registros[VALOR],tabela_registros[MÊS],$AE$1,tabela_registros[DIA],jantotal[[#Headers],[18]],tabela_registros[REGISTRO],DADOS!$N$4,tabela_registros[TIPO],DADOS!$P$3,tabela_registros[CATEGORIA],despesafixaconsolidadonov[[#This Row],[DESPESA FIXA]])</calculatedColumnFormula>
    </tableColumn>
    <tableColumn id="36" xr3:uid="{AA1E682D-B2D4-42CB-9BAC-AAB7A7F90DAE}" name="19" totalsRowFunction="sum" dataDxfId="1522" totalsRowDxfId="1521" dataCellStyle="Moeda">
      <calculatedColumnFormula>SUMIFS(tabela_registros[VALOR],tabela_registros[MÊS],$AE$1,tabela_registros[DIA],jantotal[[#Headers],[19]],tabela_registros[REGISTRO],DADOS!$N$4,tabela_registros[TIPO],DADOS!$P$3,tabela_registros[CATEGORIA],despesafixaconsolidadonov[[#This Row],[DESPESA FIXA]])</calculatedColumnFormula>
    </tableColumn>
    <tableColumn id="37" xr3:uid="{7DAA4B19-AEB9-442B-AC25-B56C1FC1490B}" name="20" totalsRowFunction="sum" dataDxfId="1520" totalsRowDxfId="1519" dataCellStyle="Moeda">
      <calculatedColumnFormula>SUMIFS(tabela_registros[VALOR],tabela_registros[MÊS],$AE$1,tabela_registros[DIA],jantotal[[#Headers],[20]],tabela_registros[REGISTRO],DADOS!$N$4,tabela_registros[TIPO],DADOS!$P$3,tabela_registros[CATEGORIA],despesafixaconsolidadonov[[#This Row],[DESPESA FIXA]])</calculatedColumnFormula>
    </tableColumn>
    <tableColumn id="38" xr3:uid="{7DFAB526-F7B3-49C4-A057-67FF430B6F11}" name="21" totalsRowFunction="sum" dataDxfId="1518" totalsRowDxfId="1517" dataCellStyle="Moeda">
      <calculatedColumnFormula>SUMIFS(tabela_registros[VALOR],tabela_registros[MÊS],$AE$1,tabela_registros[DIA],jantotal[[#Headers],[21]],tabela_registros[REGISTRO],DADOS!$N$4,tabela_registros[TIPO],DADOS!$P$3,tabela_registros[CATEGORIA],despesafixaconsolidadonov[[#This Row],[DESPESA FIXA]])</calculatedColumnFormula>
    </tableColumn>
    <tableColumn id="39" xr3:uid="{A2F13414-DB63-439F-8837-7D12BEDA9844}" name="22" totalsRowFunction="sum" dataDxfId="1516" totalsRowDxfId="1515" dataCellStyle="Moeda">
      <calculatedColumnFormula>SUMIFS(tabela_registros[VALOR],tabela_registros[MÊS],$AE$1,tabela_registros[DIA],jantotal[[#Headers],[22]],tabela_registros[REGISTRO],DADOS!$N$4,tabela_registros[TIPO],DADOS!$P$3,tabela_registros[CATEGORIA],despesafixaconsolidadonov[[#This Row],[DESPESA FIXA]])</calculatedColumnFormula>
    </tableColumn>
    <tableColumn id="40" xr3:uid="{4A75A832-6286-433C-875E-864D1E19CEDB}" name="23" totalsRowFunction="sum" dataDxfId="1514" totalsRowDxfId="1513" dataCellStyle="Moeda">
      <calculatedColumnFormula>SUMIFS(tabela_registros[VALOR],tabela_registros[MÊS],$AE$1,tabela_registros[DIA],jantotal[[#Headers],[23]],tabela_registros[REGISTRO],DADOS!$N$4,tabela_registros[TIPO],DADOS!$P$3,tabela_registros[CATEGORIA],despesafixaconsolidadonov[[#This Row],[DESPESA FIXA]])</calculatedColumnFormula>
    </tableColumn>
    <tableColumn id="41" xr3:uid="{F1D1D1BB-30E6-4326-BED3-4355FAC3B9C2}" name="24" totalsRowFunction="sum" dataDxfId="1512" totalsRowDxfId="1511" dataCellStyle="Moeda">
      <calculatedColumnFormula>SUMIFS(tabela_registros[VALOR],tabela_registros[MÊS],$AE$1,tabela_registros[DIA],jantotal[[#Headers],[24]],tabela_registros[REGISTRO],DADOS!$N$4,tabela_registros[TIPO],DADOS!$P$3,tabela_registros[CATEGORIA],despesafixaconsolidadonov[[#This Row],[DESPESA FIXA]])</calculatedColumnFormula>
    </tableColumn>
    <tableColumn id="12" xr3:uid="{86DB389F-159C-4250-B1FA-186C324B0E4E}" name="25" totalsRowFunction="sum" dataDxfId="1510" totalsRowDxfId="1509" dataCellStyle="Moeda">
      <calculatedColumnFormula>SUMIFS(tabela_registros[VALOR],tabela_registros[MÊS],$AE$1,tabela_registros[DIA],jantotal[[#Headers],[25]],tabela_registros[REGISTRO],DADOS!$N$4,tabela_registros[TIPO],DADOS!$P$3,tabela_registros[CATEGORIA],despesafixaconsolidadonov[[#This Row],[DESPESA FIXA]])</calculatedColumnFormula>
    </tableColumn>
    <tableColumn id="13" xr3:uid="{DB78B4DA-659A-467E-8F6B-3B6DFB7112D5}" name="26" totalsRowFunction="sum" dataDxfId="1508" totalsRowDxfId="1507" dataCellStyle="Moeda">
      <calculatedColumnFormula>SUMIFS(tabela_registros[VALOR],tabela_registros[MÊS],$AE$1,tabela_registros[DIA],jantotal[[#Headers],[26]],tabela_registros[REGISTRO],DADOS!$N$4,tabela_registros[TIPO],DADOS!$P$3,tabela_registros[CATEGORIA],despesafixaconsolidadonov[[#This Row],[DESPESA FIXA]])</calculatedColumnFormula>
    </tableColumn>
    <tableColumn id="14" xr3:uid="{C424CAA4-AD6B-4482-8F48-6CE8671EC4AA}" name="27" totalsRowFunction="sum" dataDxfId="1506" totalsRowDxfId="1505" dataCellStyle="Moeda">
      <calculatedColumnFormula>SUMIFS(tabela_registros[VALOR],tabela_registros[MÊS],$AE$1,tabela_registros[DIA],jantotal[[#Headers],[27]],tabela_registros[REGISTRO],DADOS!$N$4,tabela_registros[TIPO],DADOS!$P$3,tabela_registros[CATEGORIA],despesafixaconsolidadonov[[#This Row],[DESPESA FIXA]])</calculatedColumnFormula>
    </tableColumn>
    <tableColumn id="15" xr3:uid="{C10F2CEA-BDF8-4F2B-9561-454CAB4C1D73}" name="28" totalsRowFunction="sum" dataDxfId="1504" totalsRowDxfId="1503" dataCellStyle="Moeda">
      <calculatedColumnFormula>SUMIFS(tabela_registros[VALOR],tabela_registros[MÊS],$AE$1,tabela_registros[DIA],jantotal[[#Headers],[28]],tabela_registros[REGISTRO],DADOS!$N$4,tabela_registros[TIPO],DADOS!$P$3,tabela_registros[CATEGORIA],despesafixaconsolidadonov[[#This Row],[DESPESA FIXA]])</calculatedColumnFormula>
    </tableColumn>
    <tableColumn id="16" xr3:uid="{C322D404-CCA0-41EB-84D5-9BBCC66FDECF}" name="29" totalsRowFunction="sum" dataDxfId="1502" totalsRowDxfId="1501" dataCellStyle="Moeda">
      <calculatedColumnFormula>SUMIFS(tabela_registros[VALOR],tabela_registros[MÊS],$AE$1,tabela_registros[DIA],jantotal[[#Headers],[29]],tabela_registros[REGISTRO],DADOS!$N$4,tabela_registros[TIPO],DADOS!$P$3,tabela_registros[CATEGORIA],despesafixaconsolidadonov[[#This Row],[DESPESA FIXA]])</calculatedColumnFormula>
    </tableColumn>
    <tableColumn id="17" xr3:uid="{D89913EE-1E16-4C98-BC51-0355454759B6}" name="30" totalsRowFunction="sum" dataDxfId="1500" totalsRowDxfId="1499" dataCellStyle="Moeda">
      <calculatedColumnFormula>SUMIFS(tabela_registros[VALOR],tabela_registros[MÊS],$AE$1,tabela_registros[DIA],jantotal[[#Headers],[30]],tabela_registros[REGISTRO],DADOS!$N$4,tabela_registros[TIPO],DADOS!$P$3,tabela_registros[CATEGORIA],despesafixaconsolidadonov[[#This Row],[DESPESA FIXA]])</calculatedColumnFormula>
    </tableColumn>
    <tableColumn id="9" xr3:uid="{10CAF64C-C288-4217-BF7D-70ED2674CE30}" name="31" totalsRowFunction="sum" dataDxfId="1498" totalsRowDxfId="1497" dataCellStyle="Moeda">
      <calculatedColumnFormula>SUMIFS(tabela_registros[VALOR],tabela_registros[MÊS],$AE$1,tabela_registros[DIA],jantotal[[#Headers],[31]],tabela_registros[REGISTRO],DADOS!$N$4,tabela_registros[TIPO],DADOS!$P$3,tabela_registros[CATEGORIA],despesafixaconsolidadonov[[#This Row],[DESPESA FIXA]])</calculatedColumnFormula>
    </tableColumn>
    <tableColumn id="5" xr3:uid="{BBC1852C-981C-491A-9EF0-F2988FD7F2B4}" name="TOTAL" totalsRowFunction="sum" dataDxfId="1496" dataCellStyle="Moeda">
      <calculatedColumnFormula>SUM(despesafixaconsolidadonov[[#This Row],[1]:[31]])</calculatedColumnFormula>
    </tableColumn>
  </tableColumns>
  <tableStyleInfo name="TABELAS RESULTADOS" showFirstColumn="0" showLastColumn="1" showRowStripes="1" showColumnStripes="0"/>
</table>
</file>

<file path=xl/tables/table13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" xr:uid="{FB3A7A3C-0565-499B-9131-91C18F240174}" name="despesavariávelconsolidadonov" displayName="despesavariávelconsolidadonov" ref="C59:AJ73" headerRowDxfId="1495" dataDxfId="1494" totalsRowDxfId="1493" dataCellStyle="Moeda">
  <autoFilter ref="C59:AJ73" xr:uid="{07DB3A1D-DBCD-42BC-96FE-46512EDE2C70}"/>
  <tableColumns count="34">
    <tableColumn id="1" xr3:uid="{500A6CA1-4EE1-4386-8A1C-2F0E817B9DE9}" name="DESPESA VARIÁVEL" totalsRowLabel="Total" dataDxfId="1492" totalsRowDxfId="1491">
      <calculatedColumnFormula>DADOS!T3</calculatedColumnFormula>
    </tableColumn>
    <tableColumn id="54" xr3:uid="{4A013C97-6176-4923-8BDF-16CE88DAE17F}" name="Coluna1" dataDxfId="1490" totalsRowDxfId="1489">
      <calculatedColumnFormula>IF(despesavariávelconsolidadonov[[#This Row],[TOTAL]]=0,"",IF(OR(despesavariávelconsolidadonov[[#This Row],[TOTAL]]=SMALL(despesavariávelconsolidadonov[TOTAL],1),despesavariávelconsolidadonov[[#This Row],[TOTAL]]=SMALL(despesavariávelconsolidadonov[TOTAL],2),despesavariávelconsolidadonov[[#This Row],[TOTAL]]=SMALL(despesavariávelconsolidadonov[TOTAL],3),despesavariávelconsolidadonov[[#This Row],[TOTAL]]=SMALL(despesavariávelconsolidadonov[TOTAL],4),despesavariávelconsolidadonov[[#This Row],[TOTAL]]=SMALL(despesavariávelconsolidadonov[TOTAL],5)),DADOS!$I$8,""))</calculatedColumnFormula>
    </tableColumn>
    <tableColumn id="30" xr3:uid="{612EA89D-0FDF-4B47-82E9-F77CE1D4E89F}" name="1" totalsRowFunction="sum" dataDxfId="1488">
      <calculatedColumnFormula>SUMIFS(tabela_registros[VALOR],tabela_registros[MÊS],$AE$1,tabela_registros[DIA],jantotal[[#Headers],[1]],tabela_registros[REGISTRO],DADOS!$N$4,tabela_registros[TIPO],DADOS!$P$4,tabela_registros[CATEGORIA],despesavariávelconsolidadonov[[#This Row],[DESPESA VARIÁVEL]])</calculatedColumnFormula>
    </tableColumn>
    <tableColumn id="31" xr3:uid="{9B5AA5EB-512E-4D53-8893-F1828F24C5E8}" name="2" totalsRowFunction="sum" dataDxfId="1487">
      <calculatedColumnFormula>SUMIFS(tabela_registros[VALOR],tabela_registros[MÊS],$AE$1,tabela_registros[DIA],jantotal[[#Headers],[2]],tabela_registros[REGISTRO],DADOS!$N$4,tabela_registros[TIPO],DADOS!$P$4,tabela_registros[CATEGORIA],despesavariávelconsolidadonov[[#This Row],[DESPESA VARIÁVEL]])</calculatedColumnFormula>
    </tableColumn>
    <tableColumn id="32" xr3:uid="{46F0F1BE-0D21-42A3-9AC6-5F0040B65280}" name="3" totalsRowFunction="sum" dataDxfId="1486">
      <calculatedColumnFormula>SUMIFS(tabela_registros[VALOR],tabela_registros[MÊS],$AE$1,tabela_registros[DIA],jantotal[[#Headers],[3]],tabela_registros[REGISTRO],DADOS!$N$4,tabela_registros[TIPO],DADOS!$P$4,tabela_registros[CATEGORIA],despesavariávelconsolidadonov[[#This Row],[DESPESA VARIÁVEL]])</calculatedColumnFormula>
    </tableColumn>
    <tableColumn id="33" xr3:uid="{7FCE3446-03E1-4AB3-8376-9ABC3BD5D3EE}" name="4" totalsRowFunction="sum" dataDxfId="1485">
      <calculatedColumnFormula>SUMIFS(tabela_registros[VALOR],tabela_registros[MÊS],$AE$1,tabela_registros[DIA],jantotal[[#Headers],[4]],tabela_registros[REGISTRO],DADOS!$N$4,tabela_registros[TIPO],DADOS!$P$4,tabela_registros[CATEGORIA],despesavariávelconsolidadonov[[#This Row],[DESPESA VARIÁVEL]])</calculatedColumnFormula>
    </tableColumn>
    <tableColumn id="34" xr3:uid="{A64AC78D-95F4-416A-B1EA-88AC6F694FDE}" name="5" totalsRowFunction="sum" dataDxfId="1484">
      <calculatedColumnFormula>SUMIFS(tabela_registros[VALOR],tabela_registros[MÊS],$AE$1,tabela_registros[DIA],jantotal[[#Headers],[5]],tabela_registros[REGISTRO],DADOS!$N$4,tabela_registros[TIPO],DADOS!$P$4,tabela_registros[CATEGORIA],despesavariávelconsolidadonov[[#This Row],[DESPESA VARIÁVEL]])</calculatedColumnFormula>
    </tableColumn>
    <tableColumn id="35" xr3:uid="{91948149-3951-45B2-A6B2-45F26C173A8F}" name="6" totalsRowFunction="sum" dataDxfId="1483">
      <calculatedColumnFormula>SUMIFS(tabela_registros[VALOR],tabela_registros[MÊS],$AE$1,tabela_registros[DIA],jantotal[[#Headers],[6]],tabela_registros[REGISTRO],DADOS!$N$4,tabela_registros[TIPO],DADOS!$P$4,tabela_registros[CATEGORIA],despesavariávelconsolidadonov[[#This Row],[DESPESA VARIÁVEL]])</calculatedColumnFormula>
    </tableColumn>
    <tableColumn id="36" xr3:uid="{4C0A3207-20AC-4246-BBAA-B8EE107FDFBA}" name="7" totalsRowFunction="sum" dataDxfId="1482">
      <calculatedColumnFormula>SUMIFS(tabela_registros[VALOR],tabela_registros[MÊS],$AE$1,tabela_registros[DIA],jantotal[[#Headers],[7]],tabela_registros[REGISTRO],DADOS!$N$4,tabela_registros[TIPO],DADOS!$P$4,tabela_registros[CATEGORIA],despesavariávelconsolidadonov[[#This Row],[DESPESA VARIÁVEL]])</calculatedColumnFormula>
    </tableColumn>
    <tableColumn id="37" xr3:uid="{01A5CF93-739B-4516-AD94-82234688C53E}" name="8" totalsRowFunction="sum" dataDxfId="1481">
      <calculatedColumnFormula>SUMIFS(tabela_registros[VALOR],tabela_registros[MÊS],$AE$1,tabela_registros[DIA],jantotal[[#Headers],[8]],tabela_registros[REGISTRO],DADOS!$N$4,tabela_registros[TIPO],DADOS!$P$4,tabela_registros[CATEGORIA],despesavariávelconsolidadonov[[#This Row],[DESPESA VARIÁVEL]])</calculatedColumnFormula>
    </tableColumn>
    <tableColumn id="38" xr3:uid="{5CE3B485-707E-44FA-8E8D-94EB3915D6FE}" name="9" totalsRowFunction="sum" dataDxfId="1480">
      <calculatedColumnFormula>SUMIFS(tabela_registros[VALOR],tabela_registros[MÊS],$AE$1,tabela_registros[DIA],jantotal[[#Headers],[9]],tabela_registros[REGISTRO],DADOS!$N$4,tabela_registros[TIPO],DADOS!$P$4,tabela_registros[CATEGORIA],despesavariávelconsolidadonov[[#This Row],[DESPESA VARIÁVEL]])</calculatedColumnFormula>
    </tableColumn>
    <tableColumn id="39" xr3:uid="{93031019-A884-45D8-B775-F76B9BEE90B5}" name="10" totalsRowFunction="sum" dataDxfId="1479">
      <calculatedColumnFormula>SUMIFS(tabela_registros[VALOR],tabela_registros[MÊS],$AE$1,tabela_registros[DIA],jantotal[[#Headers],[10]],tabela_registros[REGISTRO],DADOS!$N$4,tabela_registros[TIPO],DADOS!$P$4,tabela_registros[CATEGORIA],despesavariávelconsolidadonov[[#This Row],[DESPESA VARIÁVEL]])</calculatedColumnFormula>
    </tableColumn>
    <tableColumn id="40" xr3:uid="{590EE411-3C04-4028-BC2E-D7351EAFE3A8}" name="11" totalsRowFunction="sum" dataDxfId="1478">
      <calculatedColumnFormula>SUMIFS(tabela_registros[VALOR],tabela_registros[MÊS],$AE$1,tabela_registros[DIA],jantotal[[#Headers],[11]],tabela_registros[REGISTRO],DADOS!$N$4,tabela_registros[TIPO],DADOS!$P$4,tabela_registros[CATEGORIA],despesavariávelconsolidadonov[[#This Row],[DESPESA VARIÁVEL]])</calculatedColumnFormula>
    </tableColumn>
    <tableColumn id="41" xr3:uid="{338F74B0-782E-42D6-9BED-35030C7949C4}" name="12" totalsRowFunction="sum" dataDxfId="1477">
      <calculatedColumnFormula>SUMIFS(tabela_registros[VALOR],tabela_registros[MÊS],$AE$1,tabela_registros[DIA],jantotal[[#Headers],[12]],tabela_registros[REGISTRO],DADOS!$N$4,tabela_registros[TIPO],DADOS!$P$4,tabela_registros[CATEGORIA],despesavariávelconsolidadonov[[#This Row],[DESPESA VARIÁVEL]])</calculatedColumnFormula>
    </tableColumn>
    <tableColumn id="42" xr3:uid="{896A6606-0255-4FE4-8BAB-42631A28BC8D}" name="13" totalsRowFunction="sum" dataDxfId="1476">
      <calculatedColumnFormula>SUMIFS(tabela_registros[VALOR],tabela_registros[MÊS],$AE$1,tabela_registros[DIA],jantotal[[#Headers],[13]],tabela_registros[REGISTRO],DADOS!$N$4,tabela_registros[TIPO],DADOS!$P$4,tabela_registros[CATEGORIA],despesavariávelconsolidadonov[[#This Row],[DESPESA VARIÁVEL]])</calculatedColumnFormula>
    </tableColumn>
    <tableColumn id="43" xr3:uid="{2F92F5AE-3C89-4D0A-91C4-BD8C2F7BA1B3}" name="14" totalsRowFunction="sum" dataDxfId="1475">
      <calculatedColumnFormula>SUMIFS(tabela_registros[VALOR],tabela_registros[MÊS],$AE$1,tabela_registros[DIA],jantotal[[#Headers],[14]],tabela_registros[REGISTRO],DADOS!$N$4,tabela_registros[TIPO],DADOS!$P$4,tabela_registros[CATEGORIA],despesavariávelconsolidadonov[[#This Row],[DESPESA VARIÁVEL]])</calculatedColumnFormula>
    </tableColumn>
    <tableColumn id="44" xr3:uid="{E7E9F523-6321-4085-958B-7D6B15A4B14A}" name="15" totalsRowFunction="sum" dataDxfId="1474">
      <calculatedColumnFormula>SUMIFS(tabela_registros[VALOR],tabela_registros[MÊS],$AE$1,tabela_registros[DIA],jantotal[[#Headers],[15]],tabela_registros[REGISTRO],DADOS!$N$4,tabela_registros[TIPO],DADOS!$P$4,tabela_registros[CATEGORIA],despesavariávelconsolidadonov[[#This Row],[DESPESA VARIÁVEL]])</calculatedColumnFormula>
    </tableColumn>
    <tableColumn id="45" xr3:uid="{CA2A6612-425D-44BA-BEA9-06FB1B1BEF96}" name="16" totalsRowFunction="sum" dataDxfId="1473">
      <calculatedColumnFormula>SUMIFS(tabela_registros[VALOR],tabela_registros[MÊS],$AE$1,tabela_registros[DIA],jantotal[[#Headers],[16]],tabela_registros[REGISTRO],DADOS!$N$4,tabela_registros[TIPO],DADOS!$P$4,tabela_registros[CATEGORIA],despesavariávelconsolidadonov[[#This Row],[DESPESA VARIÁVEL]])</calculatedColumnFormula>
    </tableColumn>
    <tableColumn id="46" xr3:uid="{E427D469-4762-45AC-B5C5-20B37AA204DC}" name="17" totalsRowFunction="sum" dataDxfId="1472">
      <calculatedColumnFormula>SUMIFS(tabela_registros[VALOR],tabela_registros[MÊS],$AE$1,tabela_registros[DIA],jantotal[[#Headers],[17]],tabela_registros[REGISTRO],DADOS!$N$4,tabela_registros[TIPO],DADOS!$P$4,tabela_registros[CATEGORIA],despesavariávelconsolidadonov[[#This Row],[DESPESA VARIÁVEL]])</calculatedColumnFormula>
    </tableColumn>
    <tableColumn id="47" xr3:uid="{0AF1B280-C7E9-4D19-A680-78D97D52E86A}" name="18" totalsRowFunction="sum" dataDxfId="1471">
      <calculatedColumnFormula>SUMIFS(tabela_registros[VALOR],tabela_registros[MÊS],$AE$1,tabela_registros[DIA],jantotal[[#Headers],[18]],tabela_registros[REGISTRO],DADOS!$N$4,tabela_registros[TIPO],DADOS!$P$4,tabela_registros[CATEGORIA],despesavariávelconsolidadonov[[#This Row],[DESPESA VARIÁVEL]])</calculatedColumnFormula>
    </tableColumn>
    <tableColumn id="48" xr3:uid="{99D9774E-8F1D-4E1B-8CC1-BE8DFF255B14}" name="19" totalsRowFunction="sum" dataDxfId="1470">
      <calculatedColumnFormula>SUMIFS(tabela_registros[VALOR],tabela_registros[MÊS],$AE$1,tabela_registros[DIA],jantotal[[#Headers],[19]],tabela_registros[REGISTRO],DADOS!$N$4,tabela_registros[TIPO],DADOS!$P$4,tabela_registros[CATEGORIA],despesavariávelconsolidadonov[[#This Row],[DESPESA VARIÁVEL]])</calculatedColumnFormula>
    </tableColumn>
    <tableColumn id="49" xr3:uid="{53CEB4DC-4720-48E5-BE2C-5773DDCC3D70}" name="20" totalsRowFunction="sum" dataDxfId="1469">
      <calculatedColumnFormula>SUMIFS(tabela_registros[VALOR],tabela_registros[MÊS],$AE$1,tabela_registros[DIA],jantotal[[#Headers],[20]],tabela_registros[REGISTRO],DADOS!$N$4,tabela_registros[TIPO],DADOS!$P$4,tabela_registros[CATEGORIA],despesavariávelconsolidadonov[[#This Row],[DESPESA VARIÁVEL]])</calculatedColumnFormula>
    </tableColumn>
    <tableColumn id="50" xr3:uid="{0E8EC1D6-CB7E-4754-92BC-BFB532563FFD}" name="21" totalsRowFunction="sum" dataDxfId="1468">
      <calculatedColumnFormula>SUMIFS(tabela_registros[VALOR],tabela_registros[MÊS],$AE$1,tabela_registros[DIA],jantotal[[#Headers],[21]],tabela_registros[REGISTRO],DADOS!$N$4,tabela_registros[TIPO],DADOS!$P$4,tabela_registros[CATEGORIA],despesavariávelconsolidadonov[[#This Row],[DESPESA VARIÁVEL]])</calculatedColumnFormula>
    </tableColumn>
    <tableColumn id="51" xr3:uid="{B115BE02-28E2-4ADE-9AA8-D7E9DF2F65D1}" name="22" totalsRowFunction="sum" dataDxfId="1467">
      <calculatedColumnFormula>SUMIFS(tabela_registros[VALOR],tabela_registros[MÊS],$AE$1,tabela_registros[DIA],jantotal[[#Headers],[22]],tabela_registros[REGISTRO],DADOS!$N$4,tabela_registros[TIPO],DADOS!$P$4,tabela_registros[CATEGORIA],despesavariávelconsolidadonov[[#This Row],[DESPESA VARIÁVEL]])</calculatedColumnFormula>
    </tableColumn>
    <tableColumn id="52" xr3:uid="{14FED2D2-044E-4242-935A-F1CBC6BE2BC6}" name="23" totalsRowFunction="sum" dataDxfId="1466">
      <calculatedColumnFormula>SUMIFS(tabela_registros[VALOR],tabela_registros[MÊS],$AE$1,tabela_registros[DIA],jantotal[[#Headers],[23]],tabela_registros[REGISTRO],DADOS!$N$4,tabela_registros[TIPO],DADOS!$P$4,tabela_registros[CATEGORIA],despesavariávelconsolidadonov[[#This Row],[DESPESA VARIÁVEL]])</calculatedColumnFormula>
    </tableColumn>
    <tableColumn id="53" xr3:uid="{16286BD8-B478-4BEF-905D-0131BED54A79}" name="24" totalsRowFunction="sum" dataDxfId="1465">
      <calculatedColumnFormula>SUMIFS(tabela_registros[VALOR],tabela_registros[MÊS],$AE$1,tabela_registros[DIA],jantotal[[#Headers],[24]],tabela_registros[REGISTRO],DADOS!$N$4,tabela_registros[TIPO],DADOS!$P$4,tabela_registros[CATEGORIA],despesavariávelconsolidadonov[[#This Row],[DESPESA VARIÁVEL]])</calculatedColumnFormula>
    </tableColumn>
    <tableColumn id="18" xr3:uid="{B197774A-5D95-4AC9-BD58-9D14CEA88804}" name="25" totalsRowFunction="sum" dataDxfId="1464">
      <calculatedColumnFormula>SUMIFS(tabela_registros[VALOR],tabela_registros[MÊS],$AE$1,tabela_registros[DIA],jantotal[[#Headers],[25]],tabela_registros[REGISTRO],DADOS!$N$4,tabela_registros[TIPO],DADOS!$P$4,tabela_registros[CATEGORIA],despesavariávelconsolidadonov[[#This Row],[DESPESA VARIÁVEL]])</calculatedColumnFormula>
    </tableColumn>
    <tableColumn id="19" xr3:uid="{902824C4-1717-43B8-BA44-F76CDA3844E7}" name="26" totalsRowFunction="sum" dataDxfId="1463">
      <calculatedColumnFormula>SUMIFS(tabela_registros[VALOR],tabela_registros[MÊS],$AE$1,tabela_registros[DIA],jantotal[[#Headers],[26]],tabela_registros[REGISTRO],DADOS!$N$4,tabela_registros[TIPO],DADOS!$P$4,tabela_registros[CATEGORIA],despesavariávelconsolidadonov[[#This Row],[DESPESA VARIÁVEL]])</calculatedColumnFormula>
    </tableColumn>
    <tableColumn id="20" xr3:uid="{546EF2B2-5E45-4583-9495-98C259E070DC}" name="27" totalsRowFunction="sum" dataDxfId="1462">
      <calculatedColumnFormula>SUMIFS(tabela_registros[VALOR],tabela_registros[MÊS],$AE$1,tabela_registros[DIA],jantotal[[#Headers],[27]],tabela_registros[REGISTRO],DADOS!$N$4,tabela_registros[TIPO],DADOS!$P$4,tabela_registros[CATEGORIA],despesavariávelconsolidadonov[[#This Row],[DESPESA VARIÁVEL]])</calculatedColumnFormula>
    </tableColumn>
    <tableColumn id="21" xr3:uid="{F0CF4442-D084-4FCA-A5D3-9B43781FCC29}" name="28" totalsRowFunction="sum" dataDxfId="1461">
      <calculatedColumnFormula>SUMIFS(tabela_registros[VALOR],tabela_registros[MÊS],$AE$1,tabela_registros[DIA],jantotal[[#Headers],[28]],tabela_registros[REGISTRO],DADOS!$N$4,tabela_registros[TIPO],DADOS!$P$4,tabela_registros[CATEGORIA],despesavariávelconsolidadonov[[#This Row],[DESPESA VARIÁVEL]])</calculatedColumnFormula>
    </tableColumn>
    <tableColumn id="22" xr3:uid="{B80E3D08-F074-4E0A-B0D4-A8F986353C99}" name="29" totalsRowFunction="sum" dataDxfId="1460">
      <calculatedColumnFormula>SUMIFS(tabela_registros[VALOR],tabela_registros[MÊS],$AE$1,tabela_registros[DIA],jantotal[[#Headers],[29]],tabela_registros[REGISTRO],DADOS!$N$4,tabela_registros[TIPO],DADOS!$P$4,tabela_registros[CATEGORIA],despesavariávelconsolidadonov[[#This Row],[DESPESA VARIÁVEL]])</calculatedColumnFormula>
    </tableColumn>
    <tableColumn id="23" xr3:uid="{B15E612A-115A-46DE-AA8D-46E2B7696AF5}" name="30" totalsRowFunction="sum" dataDxfId="1459">
      <calculatedColumnFormula>SUMIFS(tabela_registros[VALOR],tabela_registros[MÊS],$AE$1,tabela_registros[DIA],jantotal[[#Headers],[30]],tabela_registros[REGISTRO],DADOS!$N$4,tabela_registros[TIPO],DADOS!$P$4,tabela_registros[CATEGORIA],despesavariávelconsolidadonov[[#This Row],[DESPESA VARIÁVEL]])</calculatedColumnFormula>
    </tableColumn>
    <tableColumn id="24" xr3:uid="{CD1057DB-226B-4E7E-9089-5E6FE51A9194}" name="31" totalsRowFunction="sum" dataDxfId="1458">
      <calculatedColumnFormula>SUMIFS(tabela_registros[VALOR],tabela_registros[MÊS],$AE$1,tabela_registros[DIA],jantotal[[#Headers],[31]],tabela_registros[REGISTRO],DADOS!$N$4,tabela_registros[TIPO],DADOS!$P$4,tabela_registros[CATEGORIA],despesavariávelconsolidadonov[[#This Row],[DESPESA VARIÁVEL]])</calculatedColumnFormula>
    </tableColumn>
    <tableColumn id="3" xr3:uid="{7A1F226E-3C40-497D-AC48-F226FD83B2E3}" name="TOTAL" totalsRowFunction="sum" dataDxfId="1457" dataCellStyle="Moeda">
      <calculatedColumnFormula>-SUMIFS(tabela_registros[VALOR],tabela_registros[REGISTRO],DADOS!$N$4,tabela_registros[TIPO],despesavariável[[#Headers],[DESPESA VARIÁVEL]],tabela_registros[CATEGORIA],despesavariávelconsolidadonov[[#This Row],[DESPESA VARIÁVEL]])</calculatedColumnFormula>
    </tableColumn>
  </tableColumns>
  <tableStyleInfo name="TABELAS RESULTADOS" showFirstColumn="0" showLastColumn="1" showRowStripes="1" showColumnStripes="0"/>
</table>
</file>

<file path=xl/tables/table13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2" xr:uid="{8B040092-7C7F-41D9-B79D-0AF7138C5F4E}" name="novinvestir2158708294106118130142154" displayName="novinvestir2158708294106118130142154" ref="C24:AJ28" totalsRowCount="1" headerRowDxfId="1456" dataDxfId="1455" totalsRowDxfId="1453" tableBorderDxfId="1454" dataCellStyle="Moeda">
  <autoFilter ref="C24:AJ27" xr:uid="{6A49DC70-6E60-45C7-9126-6CFF5D88342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  <filterColumn colId="25" hiddenButton="1"/>
    <filterColumn colId="26" hiddenButton="1"/>
    <filterColumn colId="27" hiddenButton="1"/>
    <filterColumn colId="28" hiddenButton="1"/>
    <filterColumn colId="29" hiddenButton="1"/>
    <filterColumn colId="30" hiddenButton="1"/>
    <filterColumn colId="31" hiddenButton="1"/>
    <filterColumn colId="32" hiddenButton="1"/>
    <filterColumn colId="33" hiddenButton="1"/>
  </autoFilter>
  <tableColumns count="34">
    <tableColumn id="1" xr3:uid="{94E18CA2-5DBA-45A6-998A-0D4EEE3E01DA}" name="ATUAL" totalsRowLabel="SALDO" dataDxfId="1452"/>
    <tableColumn id="34" xr3:uid="{AF66180E-3BC2-457A-BD38-09CFD9ADCEC7}" name="Coluna1" dataDxfId="1451"/>
    <tableColumn id="2" xr3:uid="{005C98F3-0633-4E63-8FB1-664512EB49A9}" name="1" totalsRowFunction="sum" dataDxfId="1450" totalsRowDxfId="1449" dataCellStyle="Moeda"/>
    <tableColumn id="3" xr3:uid="{4BEBBC8C-F279-42C4-918A-C622B2D4B7F4}" name="2" totalsRowFunction="sum" dataDxfId="1448" totalsRowDxfId="1447" dataCellStyle="Moeda"/>
    <tableColumn id="4" xr3:uid="{92B906CA-07BB-4870-A3CE-2F6B4F7831A3}" name="3" totalsRowFunction="sum" dataDxfId="1446" totalsRowDxfId="1445" dataCellStyle="Moeda"/>
    <tableColumn id="5" xr3:uid="{32823ACD-ACF6-4603-8B95-1DD52FCD268E}" name="4" totalsRowFunction="sum" dataDxfId="1444" totalsRowDxfId="1443" dataCellStyle="Moeda"/>
    <tableColumn id="6" xr3:uid="{4501A70F-DAEF-4C2B-B381-C80820E7B301}" name="5" totalsRowFunction="sum" dataDxfId="1442" totalsRowDxfId="1441" dataCellStyle="Moeda"/>
    <tableColumn id="7" xr3:uid="{51452281-3AB4-4A75-A802-7517451F6989}" name="6" totalsRowFunction="sum" dataDxfId="1440" totalsRowDxfId="1439" dataCellStyle="Moeda"/>
    <tableColumn id="8" xr3:uid="{387E9269-DD74-4A0C-A267-2D91BA8C963E}" name="7" totalsRowFunction="sum" dataDxfId="1438" totalsRowDxfId="1437" dataCellStyle="Moeda"/>
    <tableColumn id="9" xr3:uid="{885509A1-B28A-4E1E-AECC-D6E61ED9D426}" name="8" totalsRowFunction="sum" dataDxfId="1436" totalsRowDxfId="1435" dataCellStyle="Moeda"/>
    <tableColumn id="10" xr3:uid="{41785243-DCAD-4BCA-8686-3D164B60318A}" name="9" totalsRowFunction="sum" dataDxfId="1434" totalsRowDxfId="1433" dataCellStyle="Moeda"/>
    <tableColumn id="11" xr3:uid="{B5796A64-99AA-4DF7-B2C5-53A942387954}" name="10" totalsRowFunction="sum" dataDxfId="1432" totalsRowDxfId="1431" dataCellStyle="Moeda"/>
    <tableColumn id="12" xr3:uid="{155C0F86-290E-4526-8D16-D89511030DEE}" name="11" totalsRowFunction="sum" dataDxfId="1430" totalsRowDxfId="1429" dataCellStyle="Moeda"/>
    <tableColumn id="13" xr3:uid="{99DC8B1F-DA5F-4E46-BE1D-B9BC277B3025}" name="12" totalsRowFunction="sum" dataDxfId="1428" totalsRowDxfId="1427" dataCellStyle="Moeda"/>
    <tableColumn id="14" xr3:uid="{BE4CF25A-0A64-4901-985F-938CA1835E3C}" name="13" totalsRowFunction="sum" dataDxfId="1426" totalsRowDxfId="1425" dataCellStyle="Moeda"/>
    <tableColumn id="15" xr3:uid="{AEE8B51B-F571-4E43-85E0-8DE26F131435}" name="14" totalsRowFunction="sum" dataDxfId="1424" totalsRowDxfId="1423" dataCellStyle="Moeda"/>
    <tableColumn id="16" xr3:uid="{014D7072-1D92-41D8-9751-169993C38F67}" name="15" totalsRowFunction="sum" dataDxfId="1422" totalsRowDxfId="1421" dataCellStyle="Moeda"/>
    <tableColumn id="17" xr3:uid="{0F7F0997-E4FE-45F2-A74B-C822B39CFEC6}" name="16" totalsRowFunction="sum" dataDxfId="1420" totalsRowDxfId="1419" dataCellStyle="Moeda"/>
    <tableColumn id="18" xr3:uid="{D8D29265-8C2E-4CDB-A04C-B733C063A839}" name="17" totalsRowFunction="sum" dataDxfId="1418" totalsRowDxfId="1417" dataCellStyle="Moeda"/>
    <tableColumn id="19" xr3:uid="{D31D5C1C-8D41-4AB0-8877-5D2150F277E3}" name="18" totalsRowFunction="sum" dataDxfId="1416" totalsRowDxfId="1415" dataCellStyle="Moeda"/>
    <tableColumn id="20" xr3:uid="{8403C5E3-2612-4AF5-8B58-46081255B6F7}" name="19" totalsRowFunction="sum" dataDxfId="1414" totalsRowDxfId="1413" dataCellStyle="Moeda"/>
    <tableColumn id="21" xr3:uid="{CC6AF7DF-CE36-4A64-A6A8-C8AE771BC8F1}" name="20" totalsRowFunction="sum" dataDxfId="1412" totalsRowDxfId="1411" dataCellStyle="Moeda"/>
    <tableColumn id="22" xr3:uid="{201ABC3F-FB46-447B-9A73-50C753E69E39}" name="21" totalsRowFunction="sum" dataDxfId="1410" totalsRowDxfId="1409" dataCellStyle="Moeda"/>
    <tableColumn id="23" xr3:uid="{F343B9D5-3F58-4638-B71D-B2B7C92831F7}" name="22" totalsRowFunction="sum" dataDxfId="1408" totalsRowDxfId="1407" dataCellStyle="Moeda"/>
    <tableColumn id="24" xr3:uid="{3D36ABE3-34D8-486B-9C91-64846EDA09C5}" name="23" totalsRowFunction="sum" dataDxfId="1406" totalsRowDxfId="1405" dataCellStyle="Moeda"/>
    <tableColumn id="25" xr3:uid="{1F26C553-1818-4547-B80A-28D23B9A432D}" name="24" totalsRowFunction="sum" dataDxfId="1404" totalsRowDxfId="1403" dataCellStyle="Moeda"/>
    <tableColumn id="26" xr3:uid="{A1B9100D-F2E5-4A3C-88F5-0BEBB64F51F8}" name="25" totalsRowFunction="sum" dataDxfId="1402" totalsRowDxfId="1401" dataCellStyle="Moeda"/>
    <tableColumn id="27" xr3:uid="{2EB9AD69-FF7B-423F-9BF4-F8E952841A09}" name="26" totalsRowFunction="sum" dataDxfId="1400" totalsRowDxfId="1399" dataCellStyle="Moeda"/>
    <tableColumn id="28" xr3:uid="{05C275D8-AC73-4342-B424-754531CE41C8}" name="27" totalsRowFunction="sum" dataDxfId="1398" totalsRowDxfId="1397" dataCellStyle="Moeda"/>
    <tableColumn id="29" xr3:uid="{CC062797-8BD8-499F-9C1F-5B0DA1A1D501}" name="28" totalsRowFunction="sum" dataDxfId="1396" totalsRowDxfId="1395" dataCellStyle="Moeda"/>
    <tableColumn id="30" xr3:uid="{075AF339-B7D5-4F62-A068-0E73133D8B2F}" name="29" totalsRowFunction="sum" dataDxfId="1394" totalsRowDxfId="1393" dataCellStyle="Moeda"/>
    <tableColumn id="31" xr3:uid="{EE7E512C-C537-4DB8-98EC-1506480C02E7}" name="30" totalsRowFunction="sum" dataDxfId="1392" totalsRowDxfId="1391" dataCellStyle="Moeda"/>
    <tableColumn id="32" xr3:uid="{F01CE38C-00DB-4AAF-BBA3-331417BD6BBB}" name="31" totalsRowFunction="sum" dataDxfId="1390" totalsRowDxfId="1389" dataCellStyle="Moeda"/>
    <tableColumn id="33" xr3:uid="{6604BA6D-5D7C-4631-995B-C5101B18AAF0}" name="TOTAL (R$)" totalsRowFunction="sum" dataDxfId="1388" totalsRowDxfId="1387" dataCellStyle="Moeda">
      <calculatedColumnFormula>SUM(E25:AI25)</calculatedColumnFormula>
    </tableColumn>
  </tableColumns>
  <tableStyleInfo name="TABELAS RESULTADOS" showFirstColumn="0" showLastColumn="0" showRowStripes="1" showColumnStripes="0"/>
</table>
</file>

<file path=xl/tables/table13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3" xr:uid="{14E77C55-9100-44F1-B400-BC0F302B3B11}" name="novtotal3059718395107119131143155" displayName="novtotal3059718395107119131143155" ref="C13:AJ16" headerRowDxfId="1386" dataDxfId="1385" totalsRowDxfId="1384">
  <autoFilter ref="C13:AJ16" xr:uid="{8F80C188-90EF-4EEA-8266-E1F416435B21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  <filterColumn colId="25" hiddenButton="1"/>
    <filterColumn colId="26" hiddenButton="1"/>
    <filterColumn colId="27" hiddenButton="1"/>
    <filterColumn colId="28" hiddenButton="1"/>
    <filterColumn colId="29" hiddenButton="1"/>
    <filterColumn colId="30" hiddenButton="1"/>
    <filterColumn colId="31" hiddenButton="1"/>
    <filterColumn colId="32" hiddenButton="1"/>
    <filterColumn colId="33" hiddenButton="1"/>
  </autoFilter>
  <tableColumns count="34">
    <tableColumn id="1" xr3:uid="{69FE12AE-1655-4400-9359-4891F58DC0E6}" name="ATUAL" totalsRowLabel="SALDO" dataDxfId="1383"/>
    <tableColumn id="34" xr3:uid="{FB3F7B31-15EF-4894-8A35-7B694464E065}" name="Coluna1" dataDxfId="1382"/>
    <tableColumn id="2" xr3:uid="{F848FC76-DAD0-4332-80B0-966B846FDA22}" name="1" totalsRowFunction="sum" dataDxfId="1381" dataCellStyle="Moeda"/>
    <tableColumn id="3" xr3:uid="{1E729D3A-4292-4747-A0AA-EA7B4628E9B5}" name="2" totalsRowFunction="sum" dataDxfId="1380" totalsRowDxfId="1379" dataCellStyle="Moeda"/>
    <tableColumn id="4" xr3:uid="{FA32AB72-FA14-4889-874A-B01DD188D5AD}" name="3" totalsRowFunction="sum" dataDxfId="1378" totalsRowDxfId="1377" dataCellStyle="Moeda"/>
    <tableColumn id="5" xr3:uid="{D6F6304A-4BE0-47EE-8463-9060A7D57698}" name="4" totalsRowFunction="sum" dataDxfId="1376" totalsRowDxfId="1375" dataCellStyle="Moeda"/>
    <tableColumn id="6" xr3:uid="{6A0CC6D3-379F-4EAD-9DBF-C5C01645036C}" name="5" totalsRowFunction="sum" dataDxfId="1374" totalsRowDxfId="1373" dataCellStyle="Moeda"/>
    <tableColumn id="7" xr3:uid="{FDFCD065-E550-4753-AE7C-5D0A7CB3639C}" name="6" totalsRowFunction="sum" dataDxfId="1372" totalsRowDxfId="1371" dataCellStyle="Moeda"/>
    <tableColumn id="8" xr3:uid="{503F65A5-F3CB-4B6C-BE74-2AB33692732A}" name="7" totalsRowFunction="sum" dataDxfId="1370" totalsRowDxfId="1369" dataCellStyle="Moeda"/>
    <tableColumn id="9" xr3:uid="{A1DED4FF-7F53-4EA8-8F19-A93E68389445}" name="8" totalsRowFunction="sum" dataDxfId="1368" totalsRowDxfId="1367" dataCellStyle="Moeda"/>
    <tableColumn id="10" xr3:uid="{940AA85C-F8B7-4D73-AFA3-1B40D8646988}" name="9" totalsRowFunction="sum" dataDxfId="1366" totalsRowDxfId="1365" dataCellStyle="Moeda"/>
    <tableColumn id="11" xr3:uid="{89C537C6-E27D-42B2-8F87-1A68CF13AA2B}" name="10" totalsRowFunction="sum" dataDxfId="1364" totalsRowDxfId="1363" dataCellStyle="Moeda"/>
    <tableColumn id="12" xr3:uid="{DDF4399E-87C0-4D92-AF89-89BC07D87224}" name="11" totalsRowFunction="sum" dataDxfId="1362" totalsRowDxfId="1361" dataCellStyle="Moeda"/>
    <tableColumn id="13" xr3:uid="{B4F15C01-6C37-4295-B846-997B2E2305FA}" name="12" totalsRowFunction="sum" dataDxfId="1360" totalsRowDxfId="1359" dataCellStyle="Moeda"/>
    <tableColumn id="14" xr3:uid="{EEFE7AD4-9254-4BBA-83F4-FC98178E2D2A}" name="13" totalsRowFunction="sum" dataDxfId="1358" totalsRowDxfId="1357" dataCellStyle="Moeda"/>
    <tableColumn id="15" xr3:uid="{2ADB4113-5032-4C67-A2D1-58596DC6B3A0}" name="14" totalsRowFunction="sum" dataDxfId="1356" totalsRowDxfId="1355" dataCellStyle="Moeda"/>
    <tableColumn id="16" xr3:uid="{7650CB72-CA19-4429-9F50-F495B4B56EB3}" name="15" totalsRowFunction="sum" dataDxfId="1354" totalsRowDxfId="1353" dataCellStyle="Moeda"/>
    <tableColumn id="17" xr3:uid="{4D3A2121-04ED-4792-BF7F-EB45C0F8CEB7}" name="16" totalsRowFunction="sum" dataDxfId="1352" totalsRowDxfId="1351" dataCellStyle="Moeda"/>
    <tableColumn id="18" xr3:uid="{4956DBAE-F9EA-4D77-8A21-82EA5F8D9A6B}" name="17" totalsRowFunction="sum" dataDxfId="1350" totalsRowDxfId="1349" dataCellStyle="Moeda"/>
    <tableColumn id="19" xr3:uid="{4213BF7F-9EB7-4BC6-832E-3632558052CF}" name="18" totalsRowFunction="sum" dataDxfId="1348" totalsRowDxfId="1347" dataCellStyle="Moeda"/>
    <tableColumn id="20" xr3:uid="{C793F5D1-702A-4C3C-9698-3301AA4C5D40}" name="19" totalsRowFunction="sum" dataDxfId="1346" totalsRowDxfId="1345" dataCellStyle="Moeda"/>
    <tableColumn id="21" xr3:uid="{D44CB5A1-9494-4312-8826-9B06F51F05B1}" name="20" totalsRowFunction="sum" dataDxfId="1344" totalsRowDxfId="1343" dataCellStyle="Moeda"/>
    <tableColumn id="22" xr3:uid="{688284C4-8D80-491F-9CA9-EC2652127CB1}" name="21" totalsRowFunction="sum" dataDxfId="1342" totalsRowDxfId="1341" dataCellStyle="Moeda"/>
    <tableColumn id="23" xr3:uid="{07E3A188-3B6F-4EC9-827B-058E547F438F}" name="22" totalsRowFunction="sum" dataDxfId="1340" totalsRowDxfId="1339" dataCellStyle="Moeda"/>
    <tableColumn id="24" xr3:uid="{9D2A5131-109C-4005-A7CE-B02DB188FA50}" name="23" totalsRowFunction="sum" dataDxfId="1338" totalsRowDxfId="1337" dataCellStyle="Moeda"/>
    <tableColumn id="25" xr3:uid="{F17301A1-CC2F-48E9-BCE1-E6D89D136A79}" name="24" totalsRowFunction="sum" dataDxfId="1336" totalsRowDxfId="1335" dataCellStyle="Moeda"/>
    <tableColumn id="26" xr3:uid="{90566595-0AA2-4267-9849-857BA6E9D7C2}" name="25" totalsRowFunction="sum" dataDxfId="1334" totalsRowDxfId="1333" dataCellStyle="Moeda"/>
    <tableColumn id="27" xr3:uid="{782AB7A5-D404-4659-A133-05A394F7C84A}" name="26" totalsRowFunction="sum" dataDxfId="1332" totalsRowDxfId="1331" dataCellStyle="Moeda"/>
    <tableColumn id="28" xr3:uid="{3D8AE38E-8FC4-47AC-8B31-8A7CB77E50A2}" name="27" totalsRowFunction="sum" dataDxfId="1330" totalsRowDxfId="1329" dataCellStyle="Moeda"/>
    <tableColumn id="29" xr3:uid="{2D6ED323-CF66-4918-9BB6-470644CE8134}" name="28" totalsRowFunction="sum" dataDxfId="1328" totalsRowDxfId="1327" dataCellStyle="Moeda"/>
    <tableColumn id="30" xr3:uid="{B743239F-2E72-4415-B42D-463BC8A4F050}" name="29" totalsRowFunction="sum" dataDxfId="1326" totalsRowDxfId="1325" dataCellStyle="Moeda"/>
    <tableColumn id="31" xr3:uid="{BC2C84DC-2B9A-43E8-9300-D5CF278E6691}" name="30" totalsRowFunction="sum" dataDxfId="1324" totalsRowDxfId="1323" dataCellStyle="Moeda"/>
    <tableColumn id="32" xr3:uid="{709F48EF-E4B3-47E9-8A63-FBD1CE0A8743}" name="31" totalsRowFunction="sum" dataDxfId="1322" totalsRowDxfId="1321" dataCellStyle="Moeda"/>
    <tableColumn id="33" xr3:uid="{FD79825D-0DDE-41DE-B983-E5C822C6B592}" name="TOTAL (R$)" totalsRowFunction="sum" dataDxfId="1320" dataCellStyle="Moeda">
      <calculatedColumnFormula>SUM(novtotal3059718395107119131143155[[#This Row],[1]:[31]])</calculatedColumnFormula>
    </tableColumn>
  </tableColumns>
  <tableStyleInfo name="TABELAS RESULTADOS" showFirstColumn="0" showLastColumn="0" showRowStripes="1" showColumnStripes="0"/>
</table>
</file>

<file path=xl/tables/table13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4" xr:uid="{55C97A7C-5F00-4EB1-8038-B1782A507EF6}" name="receitasfixasconsolidadonov" displayName="receitasfixasconsolidadonov" ref="C81:AJ87" headerRowDxfId="1319" dataDxfId="1318" totalsRowDxfId="1317">
  <autoFilter ref="C81:AJ87" xr:uid="{2EA8B7CB-D602-44E1-B8DB-B71750A487C5}"/>
  <tableColumns count="34">
    <tableColumn id="1" xr3:uid="{BBA424C0-8630-4A1A-A55E-0876D5B5F9D4}" name="ATUAL" totalsRowLabel="SALDO" dataDxfId="1316"/>
    <tableColumn id="34" xr3:uid="{A496BFA5-7B48-495B-9277-D2685E2F2136}" name="Coluna1" dataDxfId="1315">
      <calculatedColumnFormula>IF(receitasfixasconsolidadonov[[#This Row],[TOTAL (R$)]]=0,"",IF(OR(receitasfixasconsolidadonov[[#This Row],[TOTAL (R$)]]=LARGE($AJ$82:$AJ$86,1),receitasfixasconsolidadonov[[#This Row],[TOTAL (R$)]]=LARGE($AJ$82:$AJ$86,2)),DADOS!$I$9,""))</calculatedColumnFormula>
    </tableColumn>
    <tableColumn id="2" xr3:uid="{502C7901-6E6A-479A-B8B7-17C609F27E35}" name="1" totalsRowFunction="sum" dataDxfId="1314" dataCellStyle="Moeda"/>
    <tableColumn id="3" xr3:uid="{43F05109-DC56-411A-A33D-26DB367173F4}" name="2" totalsRowFunction="sum" dataDxfId="1313" dataCellStyle="Moeda">
      <calculatedColumnFormula>SUMIFS(tabela_registros[VALOR],tabela_registros[MÊS],$AE$1,tabela_registros[DIA],receitasfixasconsolidadonov[[#Headers],[2]],tabela_registros[REGISTRO],DADOS!$N$3,tabela_registros[TIPO],DADOS!$V$3,tabela_registros[CATEGORIA],receitasfixasconsolidadonov[[#This Row],[ATUAL]])</calculatedColumnFormula>
    </tableColumn>
    <tableColumn id="4" xr3:uid="{3B3140C9-0A1F-4E16-B35F-03E7984F7E23}" name="3" totalsRowFunction="sum" dataDxfId="1312" totalsRowDxfId="1311" dataCellStyle="Moeda">
      <calculatedColumnFormula>SUMIFS(tabela_registros[VALOR],tabela_registros[MÊS],$AE$1,tabela_registros[DIA],receitasfixasconsolidadonov[[#Headers],[3]],tabela_registros[REGISTRO],DADOS!$N$3,tabela_registros[TIPO],DADOS!$V$3,tabela_registros[CATEGORIA],receitasfixasconsolidadonov[[#This Row],[ATUAL]])</calculatedColumnFormula>
    </tableColumn>
    <tableColumn id="5" xr3:uid="{9DA0CB40-D4E6-4DDA-8D74-4E5ACBEE8A76}" name="4" totalsRowFunction="sum" dataDxfId="1310" totalsRowDxfId="1309" dataCellStyle="Moeda">
      <calculatedColumnFormula>SUMIFS(tabela_registros[VALOR],tabela_registros[MÊS],$AE$1,tabela_registros[DIA],receitasfixasconsolidadonov[[#Headers],[4]],tabela_registros[REGISTRO],DADOS!$N$3,tabela_registros[TIPO],DADOS!$V$3,tabela_registros[CATEGORIA],receitasfixasconsolidadonov[[#This Row],[ATUAL]])</calculatedColumnFormula>
    </tableColumn>
    <tableColumn id="6" xr3:uid="{107DC8D2-920E-4700-A392-35ACBAE35E26}" name="5" totalsRowFunction="sum" dataDxfId="1308" totalsRowDxfId="1307" dataCellStyle="Moeda">
      <calculatedColumnFormula>SUMIFS(tabela_registros[VALOR],tabela_registros[MÊS],$AE$1,tabela_registros[DIA],receitasfixasconsolidadonov[[#Headers],[5]],tabela_registros[REGISTRO],DADOS!$N$3,tabela_registros[TIPO],DADOS!$V$3,tabela_registros[CATEGORIA],receitasfixasconsolidadonov[[#This Row],[ATUAL]])</calculatedColumnFormula>
    </tableColumn>
    <tableColumn id="7" xr3:uid="{53A31370-8986-4B7C-A650-265E9A4202A2}" name="6" totalsRowFunction="sum" dataDxfId="1306" totalsRowDxfId="1305" dataCellStyle="Moeda">
      <calculatedColumnFormula>SUMIFS(tabela_registros[VALOR],tabela_registros[MÊS],$AE$1,tabela_registros[DIA],receitasfixasconsolidadonov[[#Headers],[6]],tabela_registros[REGISTRO],DADOS!$N$3,tabela_registros[TIPO],DADOS!$V$3,tabela_registros[CATEGORIA],receitasfixasconsolidadonov[[#This Row],[ATUAL]])</calculatedColumnFormula>
    </tableColumn>
    <tableColumn id="8" xr3:uid="{78E5C7E1-68D8-4867-AB60-C4ADE8CC61C6}" name="7" totalsRowFunction="sum" dataDxfId="1304" totalsRowDxfId="1303" dataCellStyle="Moeda">
      <calculatedColumnFormula>SUMIFS(tabela_registros[VALOR],tabela_registros[MÊS],$AE$1,tabela_registros[DIA],receitasfixasconsolidadonov[[#Headers],[7]],tabela_registros[REGISTRO],DADOS!$N$3,tabela_registros[TIPO],DADOS!$V$3,tabela_registros[CATEGORIA],receitasfixasconsolidadonov[[#This Row],[ATUAL]])</calculatedColumnFormula>
    </tableColumn>
    <tableColumn id="9" xr3:uid="{D80B1115-30A6-4BA6-A6B9-69FD453D4CCF}" name="8" totalsRowFunction="sum" dataDxfId="1302" totalsRowDxfId="1301" dataCellStyle="Moeda">
      <calculatedColumnFormula>SUMIFS(tabela_registros[VALOR],tabela_registros[MÊS],$AE$1,tabela_registros[DIA],receitasfixasconsolidadonov[[#Headers],[8]],tabela_registros[REGISTRO],DADOS!$N$3,tabela_registros[TIPO],DADOS!$V$3,tabela_registros[CATEGORIA],receitasfixasconsolidadonov[[#This Row],[ATUAL]])</calculatedColumnFormula>
    </tableColumn>
    <tableColumn id="10" xr3:uid="{A79F1D2B-BD06-4A74-880E-C2678B8A4AAD}" name="9" totalsRowFunction="sum" dataDxfId="1300" totalsRowDxfId="1299" dataCellStyle="Moeda">
      <calculatedColumnFormula>SUMIFS(tabela_registros[VALOR],tabela_registros[MÊS],$AE$1,tabela_registros[DIA],receitasfixasconsolidadonov[[#Headers],[9]],tabela_registros[REGISTRO],DADOS!$N$3,tabela_registros[TIPO],DADOS!$V$3,tabela_registros[CATEGORIA],receitasfixasconsolidadonov[[#This Row],[ATUAL]])</calculatedColumnFormula>
    </tableColumn>
    <tableColumn id="11" xr3:uid="{49F84EEB-D463-4624-8B2F-8EF07699D4C1}" name="10" totalsRowFunction="sum" dataDxfId="1298" totalsRowDxfId="1297" dataCellStyle="Moeda">
      <calculatedColumnFormula>SUMIFS(tabela_registros[VALOR],tabela_registros[MÊS],$AE$1,tabela_registros[DIA],receitasfixasconsolidadonov[[#Headers],[10]],tabela_registros[REGISTRO],DADOS!$N$3,tabela_registros[TIPO],DADOS!$V$3,tabela_registros[CATEGORIA],receitasfixasconsolidadonov[[#This Row],[ATUAL]])</calculatedColumnFormula>
    </tableColumn>
    <tableColumn id="12" xr3:uid="{1459B802-D566-4BDF-B598-14778484708F}" name="11" totalsRowFunction="sum" dataDxfId="1296" totalsRowDxfId="1295" dataCellStyle="Moeda">
      <calculatedColumnFormula>SUMIFS(tabela_registros[VALOR],tabela_registros[MÊS],$AE$1,tabela_registros[DIA],receitasfixasconsolidadonov[[#Headers],[11]],tabela_registros[REGISTRO],DADOS!$N$3,tabela_registros[TIPO],DADOS!$V$3,tabela_registros[CATEGORIA],receitasfixasconsolidadonov[[#This Row],[ATUAL]])</calculatedColumnFormula>
    </tableColumn>
    <tableColumn id="13" xr3:uid="{C695DA25-1C9F-4894-9A91-6157748A7C90}" name="12" totalsRowFunction="sum" dataDxfId="1294" totalsRowDxfId="1293" dataCellStyle="Moeda">
      <calculatedColumnFormula>SUMIFS(tabela_registros[VALOR],tabela_registros[MÊS],$AE$1,tabela_registros[DIA],receitasfixasconsolidadonov[[#Headers],[12]],tabela_registros[REGISTRO],DADOS!$N$3,tabela_registros[TIPO],DADOS!$V$3,tabela_registros[CATEGORIA],receitasfixasconsolidadonov[[#This Row],[ATUAL]])</calculatedColumnFormula>
    </tableColumn>
    <tableColumn id="14" xr3:uid="{56A39278-2127-4887-9705-8E1C02806454}" name="13" totalsRowFunction="sum" dataDxfId="1292" totalsRowDxfId="1291" dataCellStyle="Moeda">
      <calculatedColumnFormula>SUMIFS(tabela_registros[VALOR],tabela_registros[MÊS],$AE$1,tabela_registros[DIA],receitasfixasconsolidadonov[[#Headers],[13]],tabela_registros[REGISTRO],DADOS!$N$3,tabela_registros[TIPO],DADOS!$V$3,tabela_registros[CATEGORIA],receitasfixasconsolidadonov[[#This Row],[ATUAL]])</calculatedColumnFormula>
    </tableColumn>
    <tableColumn id="15" xr3:uid="{88E63D36-5A53-4BCA-AC77-65944917C834}" name="14" totalsRowFunction="sum" dataDxfId="1290" totalsRowDxfId="1289" dataCellStyle="Moeda">
      <calculatedColumnFormula>SUMIFS(tabela_registros[VALOR],tabela_registros[MÊS],$AE$1,tabela_registros[DIA],receitasfixasconsolidadonov[[#Headers],[14]],tabela_registros[REGISTRO],DADOS!$N$3,tabela_registros[TIPO],DADOS!$V$3,tabela_registros[CATEGORIA],receitasfixasconsolidadonov[[#This Row],[ATUAL]])</calculatedColumnFormula>
    </tableColumn>
    <tableColumn id="16" xr3:uid="{17E71CA7-3CA2-423F-BC06-D0EBA5F5527F}" name="15" totalsRowFunction="sum" dataDxfId="1288" totalsRowDxfId="1287" dataCellStyle="Moeda">
      <calculatedColumnFormula>SUMIFS(tabela_registros[VALOR],tabela_registros[MÊS],$AE$1,tabela_registros[DIA],receitasfixasconsolidadonov[[#Headers],[15]],tabela_registros[REGISTRO],DADOS!$N$3,tabela_registros[TIPO],DADOS!$V$3,tabela_registros[CATEGORIA],receitasfixasconsolidadonov[[#This Row],[ATUAL]])</calculatedColumnFormula>
    </tableColumn>
    <tableColumn id="17" xr3:uid="{5135E9BE-4D92-4B60-9FC6-9764A7E38831}" name="16" totalsRowFunction="sum" dataDxfId="1286" totalsRowDxfId="1285" dataCellStyle="Moeda">
      <calculatedColumnFormula>SUMIFS(tabela_registros[VALOR],tabela_registros[MÊS],$AE$1,tabela_registros[DIA],receitasfixasconsolidadonov[[#Headers],[16]],tabela_registros[REGISTRO],DADOS!$N$3,tabela_registros[TIPO],DADOS!$V$3,tabela_registros[CATEGORIA],receitasfixasconsolidadonov[[#This Row],[ATUAL]])</calculatedColumnFormula>
    </tableColumn>
    <tableColumn id="18" xr3:uid="{82CFA38C-1735-4F7D-851B-368C77249064}" name="17" totalsRowFunction="sum" dataDxfId="1284" totalsRowDxfId="1283" dataCellStyle="Moeda">
      <calculatedColumnFormula>SUMIFS(tabela_registros[VALOR],tabela_registros[MÊS],$AE$1,tabela_registros[DIA],receitasfixasconsolidadonov[[#Headers],[17]],tabela_registros[REGISTRO],DADOS!$N$3,tabela_registros[TIPO],DADOS!$V$3,tabela_registros[CATEGORIA],receitasfixasconsolidadonov[[#This Row],[ATUAL]])</calculatedColumnFormula>
    </tableColumn>
    <tableColumn id="19" xr3:uid="{36C825AE-E053-46D3-BF00-B45DD29CC064}" name="18" totalsRowFunction="sum" dataDxfId="1282" totalsRowDxfId="1281" dataCellStyle="Moeda">
      <calculatedColumnFormula>SUMIFS(tabela_registros[VALOR],tabela_registros[MÊS],$AE$1,tabela_registros[DIA],receitasfixasconsolidadonov[[#Headers],[18]],tabela_registros[REGISTRO],DADOS!$N$3,tabela_registros[TIPO],DADOS!$V$3,tabela_registros[CATEGORIA],receitasfixasconsolidadonov[[#This Row],[ATUAL]])</calculatedColumnFormula>
    </tableColumn>
    <tableColumn id="20" xr3:uid="{685EC765-6B7F-476B-9C7B-8ECD70BD3A14}" name="19" totalsRowFunction="sum" dataDxfId="1280" totalsRowDxfId="1279" dataCellStyle="Moeda">
      <calculatedColumnFormula>SUMIFS(tabela_registros[VALOR],tabela_registros[MÊS],$AE$1,tabela_registros[DIA],receitasfixasconsolidadonov[[#Headers],[19]],tabela_registros[REGISTRO],DADOS!$N$3,tabela_registros[TIPO],DADOS!$V$3,tabela_registros[CATEGORIA],receitasfixasconsolidadonov[[#This Row],[ATUAL]])</calculatedColumnFormula>
    </tableColumn>
    <tableColumn id="21" xr3:uid="{88C63B45-4F63-4430-A5E5-C709F7DAE47B}" name="20" totalsRowFunction="sum" dataDxfId="1278" totalsRowDxfId="1277" dataCellStyle="Moeda">
      <calculatedColumnFormula>SUMIFS(tabela_registros[VALOR],tabela_registros[MÊS],$AE$1,tabela_registros[DIA],receitasfixasconsolidadonov[[#Headers],[20]],tabela_registros[REGISTRO],DADOS!$N$3,tabela_registros[TIPO],DADOS!$V$3,tabela_registros[CATEGORIA],receitasfixasconsolidadonov[[#This Row],[ATUAL]])</calculatedColumnFormula>
    </tableColumn>
    <tableColumn id="22" xr3:uid="{D3C3F33C-9CAE-4102-B85E-7CB5A631C96A}" name="21" totalsRowFunction="sum" dataDxfId="1276" totalsRowDxfId="1275" dataCellStyle="Moeda">
      <calculatedColumnFormula>SUMIFS(tabela_registros[VALOR],tabela_registros[MÊS],$AE$1,tabela_registros[DIA],receitasfixasconsolidadonov[[#Headers],[21]],tabela_registros[REGISTRO],DADOS!$N$3,tabela_registros[TIPO],DADOS!$V$3,tabela_registros[CATEGORIA],receitasfixasconsolidadonov[[#This Row],[ATUAL]])</calculatedColumnFormula>
    </tableColumn>
    <tableColumn id="23" xr3:uid="{F50D4A07-4047-417D-856B-681FE7F41E39}" name="22" totalsRowFunction="sum" dataDxfId="1274" totalsRowDxfId="1273" dataCellStyle="Moeda">
      <calculatedColumnFormula>SUMIFS(tabela_registros[VALOR],tabela_registros[MÊS],$AE$1,tabela_registros[DIA],receitasfixasconsolidadonov[[#Headers],[22]],tabela_registros[REGISTRO],DADOS!$N$3,tabela_registros[TIPO],DADOS!$V$3,tabela_registros[CATEGORIA],receitasfixasconsolidadonov[[#This Row],[ATUAL]])</calculatedColumnFormula>
    </tableColumn>
    <tableColumn id="24" xr3:uid="{C5575EB8-EC88-4BFD-9418-3ADBC56A3259}" name="23" totalsRowFunction="sum" dataDxfId="1272" totalsRowDxfId="1271" dataCellStyle="Moeda">
      <calculatedColumnFormula>SUMIFS(tabela_registros[VALOR],tabela_registros[MÊS],$AE$1,tabela_registros[DIA],receitasfixasconsolidadonov[[#Headers],[23]],tabela_registros[REGISTRO],DADOS!$N$3,tabela_registros[TIPO],DADOS!$V$3,tabela_registros[CATEGORIA],receitasfixasconsolidadonov[[#This Row],[ATUAL]])</calculatedColumnFormula>
    </tableColumn>
    <tableColumn id="25" xr3:uid="{16A31742-3C91-4DDA-B383-D78F6932DA6B}" name="24" totalsRowFunction="sum" dataDxfId="1270" totalsRowDxfId="1269" dataCellStyle="Moeda">
      <calculatedColumnFormula>SUMIFS(tabela_registros[VALOR],tabela_registros[MÊS],$AE$1,tabela_registros[DIA],receitasfixasconsolidadonov[[#Headers],[24]],tabela_registros[REGISTRO],DADOS!$N$3,tabela_registros[TIPO],DADOS!$V$3,tabela_registros[CATEGORIA],receitasfixasconsolidadonov[[#This Row],[ATUAL]])</calculatedColumnFormula>
    </tableColumn>
    <tableColumn id="26" xr3:uid="{BF5B39D2-5519-42C0-9842-4C2F04480007}" name="25" totalsRowFunction="sum" dataDxfId="1268" totalsRowDxfId="1267" dataCellStyle="Moeda">
      <calculatedColumnFormula>SUMIFS(tabela_registros[VALOR],tabela_registros[MÊS],$AE$1,tabela_registros[DIA],receitasfixasconsolidadonov[[#Headers],[25]],tabela_registros[REGISTRO],DADOS!$N$3,tabela_registros[TIPO],DADOS!$V$3,tabela_registros[CATEGORIA],receitasfixasconsolidadonov[[#This Row],[ATUAL]])</calculatedColumnFormula>
    </tableColumn>
    <tableColumn id="27" xr3:uid="{0E9C543B-DC57-45CD-BA22-B1EB692B2765}" name="26" totalsRowFunction="sum" dataDxfId="1266" totalsRowDxfId="1265" dataCellStyle="Moeda">
      <calculatedColumnFormula>SUMIFS(tabela_registros[VALOR],tabela_registros[MÊS],$AE$1,tabela_registros[DIA],receitasfixasconsolidadonov[[#Headers],[26]],tabela_registros[REGISTRO],DADOS!$N$3,tabela_registros[TIPO],DADOS!$V$3,tabela_registros[CATEGORIA],receitasfixasconsolidadonov[[#This Row],[ATUAL]])</calculatedColumnFormula>
    </tableColumn>
    <tableColumn id="28" xr3:uid="{F663E48F-3F4E-4215-9DA5-D495CC429E11}" name="27" totalsRowFunction="sum" dataDxfId="1264" totalsRowDxfId="1263" dataCellStyle="Moeda">
      <calculatedColumnFormula>SUMIFS(tabela_registros[VALOR],tabela_registros[MÊS],$AE$1,tabela_registros[DIA],receitasfixasconsolidadonov[[#Headers],[27]],tabela_registros[REGISTRO],DADOS!$N$3,tabela_registros[TIPO],DADOS!$V$3,tabela_registros[CATEGORIA],receitasfixasconsolidadonov[[#This Row],[ATUAL]])</calculatedColumnFormula>
    </tableColumn>
    <tableColumn id="29" xr3:uid="{DD80ABDA-AB58-436C-B99A-070C9B84E709}" name="28" totalsRowFunction="sum" dataDxfId="1262" totalsRowDxfId="1261" dataCellStyle="Moeda">
      <calculatedColumnFormula>SUMIFS(tabela_registros[VALOR],tabela_registros[MÊS],$AE$1,tabela_registros[DIA],receitasfixasconsolidadonov[[#Headers],[28]],tabela_registros[REGISTRO],DADOS!$N$3,tabela_registros[TIPO],DADOS!$V$3,tabela_registros[CATEGORIA],receitasfixasconsolidadonov[[#This Row],[ATUAL]])</calculatedColumnFormula>
    </tableColumn>
    <tableColumn id="30" xr3:uid="{657ADDDC-086A-4126-AA5B-989D19B3D9AD}" name="29" totalsRowFunction="sum" dataDxfId="1260" totalsRowDxfId="1259" dataCellStyle="Moeda">
      <calculatedColumnFormula>SUMIFS(tabela_registros[VALOR],tabela_registros[MÊS],$AE$1,tabela_registros[DIA],receitasfixasconsolidadonov[[#Headers],[29]],tabela_registros[REGISTRO],DADOS!$N$3,tabela_registros[TIPO],DADOS!$V$3,tabela_registros[CATEGORIA],receitasfixasconsolidadonov[[#This Row],[ATUAL]])</calculatedColumnFormula>
    </tableColumn>
    <tableColumn id="31" xr3:uid="{0E061F43-ABFD-49DD-9F60-E44978A53FF3}" name="30" totalsRowFunction="sum" dataDxfId="1258" totalsRowDxfId="1257" dataCellStyle="Moeda">
      <calculatedColumnFormula>SUMIFS(tabela_registros[VALOR],tabela_registros[MÊS],$AE$1,tabela_registros[DIA],receitasfixasconsolidadonov[[#Headers],[30]],tabela_registros[REGISTRO],DADOS!$N$3,tabela_registros[TIPO],DADOS!$V$3,tabela_registros[CATEGORIA],receitasfixasconsolidadonov[[#This Row],[ATUAL]])</calculatedColumnFormula>
    </tableColumn>
    <tableColumn id="32" xr3:uid="{E1C795DF-03E9-41A9-A8F4-A662C6B762D7}" name="31" totalsRowFunction="sum" dataDxfId="1256" totalsRowDxfId="1255" dataCellStyle="Moeda">
      <calculatedColumnFormula>SUMIFS(tabela_registros[VALOR],tabela_registros[MÊS],$AE$1,tabela_registros[DIA],receitasfixasconsolidadonov[[#Headers],[31]],tabela_registros[REGISTRO],DADOS!$N$3,tabela_registros[TIPO],DADOS!$V$3,tabela_registros[CATEGORIA],receitasfixasconsolidadonov[[#This Row],[ATUAL]])</calculatedColumnFormula>
    </tableColumn>
    <tableColumn id="33" xr3:uid="{A41179A7-A4AA-4FB9-9052-4AD3F5DAF9BF}" name="TOTAL (R$)" totalsRowFunction="sum" dataDxfId="1254" dataCellStyle="Moeda">
      <calculatedColumnFormula>SUM(receitasfixasconsolidadonov[[#This Row],[1]:[31]])</calculatedColumnFormula>
    </tableColumn>
  </tableColumns>
  <tableStyleInfo name="TABELAS RESULTADOS" showFirstColumn="0" showLastColumn="0" showRowStripes="1" showColumnStripes="0"/>
</table>
</file>

<file path=xl/tables/table13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5" xr:uid="{F26BC5EF-BA34-4E6B-8E56-C389484911F0}" name="receitasvariáveisconsolidadonov" displayName="receitasvariáveisconsolidadonov" ref="C95:AJ104" headerRowDxfId="1253" dataDxfId="1252" totalsRowDxfId="1251">
  <autoFilter ref="C95:AJ104" xr:uid="{DEFDE68B-A97D-4ED5-9460-1E58A13A7942}"/>
  <tableColumns count="34">
    <tableColumn id="1" xr3:uid="{7CA8AD10-9760-45AC-99C9-F1FED96F4BB2}" name="ATUAL" totalsRowLabel="SALDO" dataDxfId="1250"/>
    <tableColumn id="34" xr3:uid="{C22EE448-BCC8-4CAA-838D-2430C2F01842}" name="Coluna1" dataDxfId="1249" totalsRowDxfId="1248">
      <calculatedColumnFormula>IF(receitasvariáveisconsolidadonov[[#This Row],[TOTAL (R$)]]=0,"",IF(OR(receitasvariáveisconsolidadonov[[#This Row],[TOTAL (R$)]]=LARGE($AJ$96:$AJ$103,1),receitasvariáveisconsolidadonov[[#This Row],[TOTAL (R$)]]=LARGE($AJ$96:$AJ$103,2)),DADOS!$I$9,""))</calculatedColumnFormula>
    </tableColumn>
    <tableColumn id="2" xr3:uid="{8691AEB9-87E5-4DBF-9A34-680301D2B822}" name="1" totalsRowFunction="sum" dataDxfId="1247" dataCellStyle="Moeda"/>
    <tableColumn id="3" xr3:uid="{70106B7B-F8AB-4FD0-B3B6-BDFB23979948}" name="2" totalsRowFunction="sum" dataDxfId="1246" dataCellStyle="Moeda">
      <calculatedColumnFormula>SUMIFS(tabela_registros[VALOR],tabela_registros[MÊS],$AE$1,tabela_registros[DIA],receitasvariáveisconsolidadonov[[#Headers],[2]],tabela_registros[REGISTRO],DADOS!$N$3,tabela_registros[TIPO],DADOS!$V$3,tabela_registros[CATEGORIA],receitasvariáveisconsolidadonov[[#This Row],[ATUAL]])</calculatedColumnFormula>
    </tableColumn>
    <tableColumn id="4" xr3:uid="{C2DDD0B2-1B1D-4F36-9CA8-EB3FED4603DD}" name="3" totalsRowFunction="sum" dataDxfId="1245" totalsRowDxfId="1244" dataCellStyle="Moeda">
      <calculatedColumnFormula>SUMIFS(tabela_registros[VALOR],tabela_registros[MÊS],$AE$1,tabela_registros[DIA],receitasvariáveisconsolidadonov[[#Headers],[3]],tabela_registros[REGISTRO],DADOS!$N$3,tabela_registros[TIPO],DADOS!$V$3,tabela_registros[CATEGORIA],receitasvariáveisconsolidadonov[[#This Row],[ATUAL]])</calculatedColumnFormula>
    </tableColumn>
    <tableColumn id="5" xr3:uid="{67F5981B-43E7-4B25-9D76-80EE2BEE3B6D}" name="4" totalsRowFunction="sum" dataDxfId="1243" totalsRowDxfId="1242" dataCellStyle="Moeda">
      <calculatedColumnFormula>SUMIFS(tabela_registros[VALOR],tabela_registros[MÊS],$AE$1,tabela_registros[DIA],receitasvariáveisconsolidadonov[[#Headers],[4]],tabela_registros[REGISTRO],DADOS!$N$3,tabela_registros[TIPO],DADOS!$V$3,tabela_registros[CATEGORIA],receitasvariáveisconsolidadonov[[#This Row],[ATUAL]])</calculatedColumnFormula>
    </tableColumn>
    <tableColumn id="6" xr3:uid="{9887330D-177B-4B60-A00D-2E6AB0FE04CF}" name="5" totalsRowFunction="sum" dataDxfId="1241" totalsRowDxfId="1240" dataCellStyle="Moeda">
      <calculatedColumnFormula>SUMIFS(tabela_registros[VALOR],tabela_registros[MÊS],$AE$1,tabela_registros[DIA],receitasvariáveisconsolidadonov[[#Headers],[5]],tabela_registros[REGISTRO],DADOS!$N$3,tabela_registros[TIPO],DADOS!$V$3,tabela_registros[CATEGORIA],receitasvariáveisconsolidadonov[[#This Row],[ATUAL]])</calculatedColumnFormula>
    </tableColumn>
    <tableColumn id="7" xr3:uid="{A0626848-AA50-4D8C-835A-54118CBD52AC}" name="6" totalsRowFunction="sum" dataDxfId="1239" totalsRowDxfId="1238" dataCellStyle="Moeda">
      <calculatedColumnFormula>SUMIFS(tabela_registros[VALOR],tabela_registros[MÊS],$AE$1,tabela_registros[DIA],receitasvariáveisconsolidadonov[[#Headers],[6]],tabela_registros[REGISTRO],DADOS!$N$3,tabela_registros[TIPO],DADOS!$V$3,tabela_registros[CATEGORIA],receitasvariáveisconsolidadonov[[#This Row],[ATUAL]])</calculatedColumnFormula>
    </tableColumn>
    <tableColumn id="8" xr3:uid="{DD94BAE7-493E-417D-888D-D86F4C175CB1}" name="7" totalsRowFunction="sum" dataDxfId="1237" totalsRowDxfId="1236" dataCellStyle="Moeda">
      <calculatedColumnFormula>SUMIFS(tabela_registros[VALOR],tabela_registros[MÊS],$AE$1,tabela_registros[DIA],receitasvariáveisconsolidadonov[[#Headers],[7]],tabela_registros[REGISTRO],DADOS!$N$3,tabela_registros[TIPO],DADOS!$V$3,tabela_registros[CATEGORIA],receitasvariáveisconsolidadonov[[#This Row],[ATUAL]])</calculatedColumnFormula>
    </tableColumn>
    <tableColumn id="9" xr3:uid="{20BAC51A-15E2-4DBA-9176-0DA473275392}" name="8" totalsRowFunction="sum" dataDxfId="1235" totalsRowDxfId="1234" dataCellStyle="Moeda">
      <calculatedColumnFormula>SUMIFS(tabela_registros[VALOR],tabela_registros[MÊS],$AE$1,tabela_registros[DIA],receitasvariáveisconsolidadonov[[#Headers],[8]],tabela_registros[REGISTRO],DADOS!$N$3,tabela_registros[TIPO],DADOS!$V$3,tabela_registros[CATEGORIA],receitasvariáveisconsolidadonov[[#This Row],[ATUAL]])</calculatedColumnFormula>
    </tableColumn>
    <tableColumn id="10" xr3:uid="{A59AFA6C-F8F6-4127-A0F5-8306BE75345C}" name="9" totalsRowFunction="sum" dataDxfId="1233" totalsRowDxfId="1232" dataCellStyle="Moeda">
      <calculatedColumnFormula>SUMIFS(tabela_registros[VALOR],tabela_registros[MÊS],$AE$1,tabela_registros[DIA],receitasvariáveisconsolidadonov[[#Headers],[9]],tabela_registros[REGISTRO],DADOS!$N$3,tabela_registros[TIPO],DADOS!$V$3,tabela_registros[CATEGORIA],receitasvariáveisconsolidadonov[[#This Row],[ATUAL]])</calculatedColumnFormula>
    </tableColumn>
    <tableColumn id="11" xr3:uid="{6F28EDE3-EA34-4C9C-BE25-1F6FB80550E9}" name="10" totalsRowFunction="sum" dataDxfId="1231" totalsRowDxfId="1230" dataCellStyle="Moeda">
      <calculatedColumnFormula>SUMIFS(tabela_registros[VALOR],tabela_registros[MÊS],$AE$1,tabela_registros[DIA],receitasvariáveisconsolidadonov[[#Headers],[10]],tabela_registros[REGISTRO],DADOS!$N$3,tabela_registros[TIPO],DADOS!$V$3,tabela_registros[CATEGORIA],receitasvariáveisconsolidadonov[[#This Row],[ATUAL]])</calculatedColumnFormula>
    </tableColumn>
    <tableColumn id="12" xr3:uid="{EAAB44ED-8B73-414D-9E51-8CF86DE2056D}" name="11" totalsRowFunction="sum" dataDxfId="1229" totalsRowDxfId="1228" dataCellStyle="Moeda">
      <calculatedColumnFormula>SUMIFS(tabela_registros[VALOR],tabela_registros[MÊS],$AE$1,tabela_registros[DIA],receitasvariáveisconsolidadonov[[#Headers],[11]],tabela_registros[REGISTRO],DADOS!$N$3,tabela_registros[TIPO],DADOS!$V$3,tabela_registros[CATEGORIA],receitasvariáveisconsolidadonov[[#This Row],[ATUAL]])</calculatedColumnFormula>
    </tableColumn>
    <tableColumn id="13" xr3:uid="{F50A4FCA-EDFD-461E-8E0C-AE63C2C88DA1}" name="12" totalsRowFunction="sum" dataDxfId="1227" totalsRowDxfId="1226" dataCellStyle="Moeda">
      <calculatedColumnFormula>SUMIFS(tabela_registros[VALOR],tabela_registros[MÊS],$AE$1,tabela_registros[DIA],receitasvariáveisconsolidadonov[[#Headers],[12]],tabela_registros[REGISTRO],DADOS!$N$3,tabela_registros[TIPO],DADOS!$V$3,tabela_registros[CATEGORIA],receitasvariáveisconsolidadonov[[#This Row],[ATUAL]])</calculatedColumnFormula>
    </tableColumn>
    <tableColumn id="14" xr3:uid="{936CF6E2-4B72-4E09-906B-F9C06F488578}" name="13" totalsRowFunction="sum" dataDxfId="1225" totalsRowDxfId="1224" dataCellStyle="Moeda">
      <calculatedColumnFormula>SUMIFS(tabela_registros[VALOR],tabela_registros[MÊS],$AE$1,tabela_registros[DIA],receitasvariáveisconsolidadonov[[#Headers],[13]],tabela_registros[REGISTRO],DADOS!$N$3,tabela_registros[TIPO],DADOS!$V$3,tabela_registros[CATEGORIA],receitasvariáveisconsolidadonov[[#This Row],[ATUAL]])</calculatedColumnFormula>
    </tableColumn>
    <tableColumn id="15" xr3:uid="{B3F5696A-38A1-4383-8053-8E87FABA6F8A}" name="14" totalsRowFunction="sum" dataDxfId="1223" totalsRowDxfId="1222" dataCellStyle="Moeda">
      <calculatedColumnFormula>SUMIFS(tabela_registros[VALOR],tabela_registros[MÊS],$AE$1,tabela_registros[DIA],receitasvariáveisconsolidadonov[[#Headers],[14]],tabela_registros[REGISTRO],DADOS!$N$3,tabela_registros[TIPO],DADOS!$V$3,tabela_registros[CATEGORIA],receitasvariáveisconsolidadonov[[#This Row],[ATUAL]])</calculatedColumnFormula>
    </tableColumn>
    <tableColumn id="16" xr3:uid="{B819C181-961E-46E7-B67A-4FADC9C6A220}" name="15" totalsRowFunction="sum" dataDxfId="1221" totalsRowDxfId="1220" dataCellStyle="Moeda">
      <calculatedColumnFormula>SUMIFS(tabela_registros[VALOR],tabela_registros[MÊS],$AE$1,tabela_registros[DIA],receitasvariáveisconsolidadonov[[#Headers],[15]],tabela_registros[REGISTRO],DADOS!$N$3,tabela_registros[TIPO],DADOS!$V$3,tabela_registros[CATEGORIA],receitasvariáveisconsolidadonov[[#This Row],[ATUAL]])</calculatedColumnFormula>
    </tableColumn>
    <tableColumn id="17" xr3:uid="{CBC88159-089C-46E9-8317-52B63C708888}" name="16" totalsRowFunction="sum" dataDxfId="1219" totalsRowDxfId="1218" dataCellStyle="Moeda">
      <calculatedColumnFormula>SUMIFS(tabela_registros[VALOR],tabela_registros[MÊS],$AE$1,tabela_registros[DIA],receitasvariáveisconsolidadonov[[#Headers],[16]],tabela_registros[REGISTRO],DADOS!$N$3,tabela_registros[TIPO],DADOS!$V$3,tabela_registros[CATEGORIA],receitasvariáveisconsolidadonov[[#This Row],[ATUAL]])</calculatedColumnFormula>
    </tableColumn>
    <tableColumn id="18" xr3:uid="{B6BA04FC-4571-44AA-91BF-A96461494B9E}" name="17" totalsRowFunction="sum" dataDxfId="1217" totalsRowDxfId="1216" dataCellStyle="Moeda">
      <calculatedColumnFormula>SUMIFS(tabela_registros[VALOR],tabela_registros[MÊS],$AE$1,tabela_registros[DIA],receitasvariáveisconsolidadonov[[#Headers],[17]],tabela_registros[REGISTRO],DADOS!$N$3,tabela_registros[TIPO],DADOS!$V$3,tabela_registros[CATEGORIA],receitasvariáveisconsolidadonov[[#This Row],[ATUAL]])</calculatedColumnFormula>
    </tableColumn>
    <tableColumn id="19" xr3:uid="{F8ABF430-3021-46A6-A48C-12DD1D6D7A78}" name="18" totalsRowFunction="sum" dataDxfId="1215" totalsRowDxfId="1214" dataCellStyle="Moeda">
      <calculatedColumnFormula>SUMIFS(tabela_registros[VALOR],tabela_registros[MÊS],$AE$1,tabela_registros[DIA],receitasvariáveisconsolidadonov[[#Headers],[18]],tabela_registros[REGISTRO],DADOS!$N$3,tabela_registros[TIPO],DADOS!$V$3,tabela_registros[CATEGORIA],receitasvariáveisconsolidadonov[[#This Row],[ATUAL]])</calculatedColumnFormula>
    </tableColumn>
    <tableColumn id="20" xr3:uid="{804627B4-E071-4856-9A8F-DB6F4B3F2975}" name="19" totalsRowFunction="sum" dataDxfId="1213" totalsRowDxfId="1212" dataCellStyle="Moeda">
      <calculatedColumnFormula>SUMIFS(tabela_registros[VALOR],tabela_registros[MÊS],$AE$1,tabela_registros[DIA],receitasvariáveisconsolidadonov[[#Headers],[19]],tabela_registros[REGISTRO],DADOS!$N$3,tabela_registros[TIPO],DADOS!$V$3,tabela_registros[CATEGORIA],receitasvariáveisconsolidadonov[[#This Row],[ATUAL]])</calculatedColumnFormula>
    </tableColumn>
    <tableColumn id="21" xr3:uid="{BF7C9094-A736-4001-A279-4666D5E941D1}" name="20" totalsRowFunction="sum" dataDxfId="1211" totalsRowDxfId="1210" dataCellStyle="Moeda">
      <calculatedColumnFormula>SUMIFS(tabela_registros[VALOR],tabela_registros[MÊS],$AE$1,tabela_registros[DIA],receitasvariáveisconsolidadonov[[#Headers],[20]],tabela_registros[REGISTRO],DADOS!$N$3,tabela_registros[TIPO],DADOS!$V$3,tabela_registros[CATEGORIA],receitasvariáveisconsolidadonov[[#This Row],[ATUAL]])</calculatedColumnFormula>
    </tableColumn>
    <tableColumn id="22" xr3:uid="{83506525-A184-4EEC-A83B-268E36972E8F}" name="21" totalsRowFunction="sum" dataDxfId="1209" totalsRowDxfId="1208" dataCellStyle="Moeda">
      <calculatedColumnFormula>SUMIFS(tabela_registros[VALOR],tabela_registros[MÊS],$AE$1,tabela_registros[DIA],receitasvariáveisconsolidadonov[[#Headers],[21]],tabela_registros[REGISTRO],DADOS!$N$3,tabela_registros[TIPO],DADOS!$V$3,tabela_registros[CATEGORIA],receitasvariáveisconsolidadonov[[#This Row],[ATUAL]])</calculatedColumnFormula>
    </tableColumn>
    <tableColumn id="23" xr3:uid="{24509AAF-7AF4-4254-A109-04B1C1B14C2F}" name="22" totalsRowFunction="sum" dataDxfId="1207" totalsRowDxfId="1206" dataCellStyle="Moeda">
      <calculatedColumnFormula>SUMIFS(tabela_registros[VALOR],tabela_registros[MÊS],$AE$1,tabela_registros[DIA],receitasvariáveisconsolidadonov[[#Headers],[22]],tabela_registros[REGISTRO],DADOS!$N$3,tabela_registros[TIPO],DADOS!$V$3,tabela_registros[CATEGORIA],receitasvariáveisconsolidadonov[[#This Row],[ATUAL]])</calculatedColumnFormula>
    </tableColumn>
    <tableColumn id="24" xr3:uid="{3822B3AD-EAD2-4B96-A84E-A79982B760CA}" name="23" totalsRowFunction="sum" dataDxfId="1205" totalsRowDxfId="1204" dataCellStyle="Moeda">
      <calculatedColumnFormula>SUMIFS(tabela_registros[VALOR],tabela_registros[MÊS],$AE$1,tabela_registros[DIA],receitasvariáveisconsolidadonov[[#Headers],[23]],tabela_registros[REGISTRO],DADOS!$N$3,tabela_registros[TIPO],DADOS!$V$3,tabela_registros[CATEGORIA],receitasvariáveisconsolidadonov[[#This Row],[ATUAL]])</calculatedColumnFormula>
    </tableColumn>
    <tableColumn id="25" xr3:uid="{DAD4CBE5-3557-4940-8A86-C42519C96C58}" name="24" totalsRowFunction="sum" dataDxfId="1203" totalsRowDxfId="1202" dataCellStyle="Moeda">
      <calculatedColumnFormula>SUMIFS(tabela_registros[VALOR],tabela_registros[MÊS],$AE$1,tabela_registros[DIA],receitasvariáveisconsolidadonov[[#Headers],[24]],tabela_registros[REGISTRO],DADOS!$N$3,tabela_registros[TIPO],DADOS!$V$3,tabela_registros[CATEGORIA],receitasvariáveisconsolidadonov[[#This Row],[ATUAL]])</calculatedColumnFormula>
    </tableColumn>
    <tableColumn id="26" xr3:uid="{3AFDA78E-8234-4696-987C-CDA6FF8946B2}" name="25" totalsRowFunction="sum" dataDxfId="1201" totalsRowDxfId="1200" dataCellStyle="Moeda">
      <calculatedColumnFormula>SUMIFS(tabela_registros[VALOR],tabela_registros[MÊS],$AE$1,tabela_registros[DIA],receitasvariáveisconsolidadonov[[#Headers],[25]],tabela_registros[REGISTRO],DADOS!$N$3,tabela_registros[TIPO],DADOS!$V$3,tabela_registros[CATEGORIA],receitasvariáveisconsolidadonov[[#This Row],[ATUAL]])</calculatedColumnFormula>
    </tableColumn>
    <tableColumn id="27" xr3:uid="{4254D605-08BD-4DB1-B5F6-5FA6F35EA015}" name="26" totalsRowFunction="sum" dataDxfId="1199" totalsRowDxfId="1198" dataCellStyle="Moeda">
      <calculatedColumnFormula>SUMIFS(tabela_registros[VALOR],tabela_registros[MÊS],$AE$1,tabela_registros[DIA],receitasvariáveisconsolidadonov[[#Headers],[26]],tabela_registros[REGISTRO],DADOS!$N$3,tabela_registros[TIPO],DADOS!$V$3,tabela_registros[CATEGORIA],receitasvariáveisconsolidadonov[[#This Row],[ATUAL]])</calculatedColumnFormula>
    </tableColumn>
    <tableColumn id="28" xr3:uid="{A3063A77-E7E0-4A74-855A-CC2C742CE3B9}" name="27" totalsRowFunction="sum" dataDxfId="1197" totalsRowDxfId="1196" dataCellStyle="Moeda">
      <calculatedColumnFormula>SUMIFS(tabela_registros[VALOR],tabela_registros[MÊS],$AE$1,tabela_registros[DIA],receitasvariáveisconsolidadonov[[#Headers],[27]],tabela_registros[REGISTRO],DADOS!$N$3,tabela_registros[TIPO],DADOS!$V$3,tabela_registros[CATEGORIA],receitasvariáveisconsolidadonov[[#This Row],[ATUAL]])</calculatedColumnFormula>
    </tableColumn>
    <tableColumn id="29" xr3:uid="{CB06F3FB-6118-41D8-AA6D-BE9E41E21C03}" name="28" totalsRowFunction="sum" dataDxfId="1195" totalsRowDxfId="1194" dataCellStyle="Moeda">
      <calculatedColumnFormula>SUMIFS(tabela_registros[VALOR],tabela_registros[MÊS],$AE$1,tabela_registros[DIA],receitasvariáveisconsolidadonov[[#Headers],[28]],tabela_registros[REGISTRO],DADOS!$N$3,tabela_registros[TIPO],DADOS!$V$3,tabela_registros[CATEGORIA],receitasvariáveisconsolidadonov[[#This Row],[ATUAL]])</calculatedColumnFormula>
    </tableColumn>
    <tableColumn id="30" xr3:uid="{AB1C06D0-0A79-4BBF-A08D-0667D3E134B9}" name="29" totalsRowFunction="sum" dataDxfId="1193" totalsRowDxfId="1192" dataCellStyle="Moeda">
      <calculatedColumnFormula>SUMIFS(tabela_registros[VALOR],tabela_registros[MÊS],$AE$1,tabela_registros[DIA],receitasvariáveisconsolidadonov[[#Headers],[29]],tabela_registros[REGISTRO],DADOS!$N$3,tabela_registros[TIPO],DADOS!$V$3,tabela_registros[CATEGORIA],receitasvariáveisconsolidadonov[[#This Row],[ATUAL]])</calculatedColumnFormula>
    </tableColumn>
    <tableColumn id="31" xr3:uid="{1A4EEA47-54F3-43E3-8183-47E456F9CC15}" name="30" totalsRowFunction="sum" dataDxfId="1191" totalsRowDxfId="1190" dataCellStyle="Moeda">
      <calculatedColumnFormula>SUMIFS(tabela_registros[VALOR],tabela_registros[MÊS],$AE$1,tabela_registros[DIA],receitasvariáveisconsolidadonov[[#Headers],[30]],tabela_registros[REGISTRO],DADOS!$N$3,tabela_registros[TIPO],DADOS!$V$3,tabela_registros[CATEGORIA],receitasvariáveisconsolidadonov[[#This Row],[ATUAL]])</calculatedColumnFormula>
    </tableColumn>
    <tableColumn id="32" xr3:uid="{A9040FD4-EDC4-4E76-8A38-9B21FD89790A}" name="31" totalsRowFunction="sum" dataDxfId="1189" totalsRowDxfId="1188" dataCellStyle="Moeda">
      <calculatedColumnFormula>SUMIFS(tabela_registros[VALOR],tabela_registros[MÊS],$AE$1,tabela_registros[DIA],receitasvariáveisconsolidadonov[[#Headers],[31]],tabela_registros[REGISTRO],DADOS!$N$3,tabela_registros[TIPO],DADOS!$V$3,tabela_registros[CATEGORIA],receitasvariáveisconsolidadonov[[#This Row],[ATUAL]])</calculatedColumnFormula>
    </tableColumn>
    <tableColumn id="33" xr3:uid="{599B1149-2B3D-4490-93DF-42E6B102D31E}" name="TOTAL (R$)" totalsRowFunction="sum" dataDxfId="1187" dataCellStyle="Moeda">
      <calculatedColumnFormula>SUM(receitasvariáveisconsolidadonov[[#This Row],[1]:[31]])</calculatedColumnFormula>
    </tableColumn>
  </tableColumns>
  <tableStyleInfo name="TABELAS RESULTADOS" showFirstColumn="0" showLastColumn="0" showRowStripes="1" showColumnStripes="0"/>
</table>
</file>

<file path=xl/tables/table14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6" xr:uid="{3E530814-8DFC-44E2-86B8-2BE517B23E73}" name="investirrendafixaconsolidadonov" displayName="investirrendafixaconsolidadonov" ref="C112:AJ123" headerRowDxfId="1186" dataDxfId="1185" totalsRowDxfId="1184">
  <autoFilter ref="C112:AJ123" xr:uid="{3BCF8FD2-4C10-4776-87A3-7B16A33417A4}"/>
  <tableColumns count="34">
    <tableColumn id="1" xr3:uid="{367A5FE8-4F9B-4AF2-AC69-2FE225E9DF84}" name="ATUAL" totalsRowLabel="SALDO" dataDxfId="1183"/>
    <tableColumn id="34" xr3:uid="{097AB65D-346E-4A33-8DEE-843D86D805AF}" name="Coluna1" dataDxfId="1182" totalsRowDxfId="1181">
      <calculatedColumnFormula>IF(investirrendafixaconsolidadonov[[#This Row],[TOTAL (R$)]]=0,"",IF(OR(investirrendafixaconsolidadonov[[#This Row],[TOTAL (R$)]]=LARGE($AJ$113:$AJ$122,1),investirrendafixaconsolidadonov[[#This Row],[TOTAL (R$)]]=LARGE($AJ$113:$AJ$122,2)),DADOS!$I$10,""))</calculatedColumnFormula>
    </tableColumn>
    <tableColumn id="2" xr3:uid="{51E24517-317F-4A97-8AE4-F3F6EDB68CBC}" name="1" totalsRowFunction="sum" dataDxfId="1180" dataCellStyle="Moeda"/>
    <tableColumn id="3" xr3:uid="{400DD7EC-079D-44FC-8B50-307008CDB7AF}" name="2" totalsRowFunction="sum" dataDxfId="1179" dataCellStyle="Moeda">
      <calculatedColumnFormula>SUMIFS(tabela_registros[VALOR],tabela_registros[MÊS],$AE$1,tabela_registros[DIA],investirrendafixaconsolidadonov[[#Headers],[2]],tabela_registros[REGISTRO],DADOS!$N$3,tabela_registros[TIPO],DADOS!$V$3,tabela_registros[CATEGORIA],investirrendafixaconsolidadonov[[#This Row],[ATUAL]])</calculatedColumnFormula>
    </tableColumn>
    <tableColumn id="4" xr3:uid="{513A423C-3E0F-4C29-A4E8-B4DB944BD0E8}" name="3" totalsRowFunction="sum" dataDxfId="1178" totalsRowDxfId="1177" dataCellStyle="Moeda">
      <calculatedColumnFormula>SUMIFS(tabela_registros[VALOR],tabela_registros[MÊS],$AE$1,tabela_registros[DIA],investirrendafixaconsolidadonov[[#Headers],[3]],tabela_registros[REGISTRO],DADOS!$N$3,tabela_registros[TIPO],DADOS!$V$3,tabela_registros[CATEGORIA],investirrendafixaconsolidadonov[[#This Row],[ATUAL]])</calculatedColumnFormula>
    </tableColumn>
    <tableColumn id="5" xr3:uid="{E96DE5CD-40C5-48B8-8CD7-38571D2F094B}" name="4" totalsRowFunction="sum" dataDxfId="1176" totalsRowDxfId="1175" dataCellStyle="Moeda">
      <calculatedColumnFormula>SUMIFS(tabela_registros[VALOR],tabela_registros[MÊS],$AE$1,tabela_registros[DIA],investirrendafixaconsolidadonov[[#Headers],[4]],tabela_registros[REGISTRO],DADOS!$N$3,tabela_registros[TIPO],DADOS!$V$3,tabela_registros[CATEGORIA],investirrendafixaconsolidadonov[[#This Row],[ATUAL]])</calculatedColumnFormula>
    </tableColumn>
    <tableColumn id="6" xr3:uid="{460881AF-7B6A-4DED-9586-1A8AE8C217FF}" name="5" totalsRowFunction="sum" dataDxfId="1174" totalsRowDxfId="1173" dataCellStyle="Moeda">
      <calculatedColumnFormula>SUMIFS(tabela_registros[VALOR],tabela_registros[MÊS],$AE$1,tabela_registros[DIA],investirrendafixaconsolidadonov[[#Headers],[5]],tabela_registros[REGISTRO],DADOS!$N$3,tabela_registros[TIPO],DADOS!$V$3,tabela_registros[CATEGORIA],investirrendafixaconsolidadonov[[#This Row],[ATUAL]])</calculatedColumnFormula>
    </tableColumn>
    <tableColumn id="7" xr3:uid="{E4C14B65-0481-4B5D-85C8-F782B0DA9DA2}" name="6" totalsRowFunction="sum" dataDxfId="1172" totalsRowDxfId="1171" dataCellStyle="Moeda">
      <calculatedColumnFormula>SUMIFS(tabela_registros[VALOR],tabela_registros[MÊS],$AE$1,tabela_registros[DIA],investirrendafixaconsolidadonov[[#Headers],[6]],tabela_registros[REGISTRO],DADOS!$N$3,tabela_registros[TIPO],DADOS!$V$3,tabela_registros[CATEGORIA],investirrendafixaconsolidadonov[[#This Row],[ATUAL]])</calculatedColumnFormula>
    </tableColumn>
    <tableColumn id="8" xr3:uid="{B469F54E-03CE-40A4-A800-D068202EA2A4}" name="7" totalsRowFunction="sum" dataDxfId="1170" totalsRowDxfId="1169" dataCellStyle="Moeda">
      <calculatedColumnFormula>SUMIFS(tabela_registros[VALOR],tabela_registros[MÊS],$AE$1,tabela_registros[DIA],investirrendafixaconsolidadonov[[#Headers],[7]],tabela_registros[REGISTRO],DADOS!$N$3,tabela_registros[TIPO],DADOS!$V$3,tabela_registros[CATEGORIA],investirrendafixaconsolidadonov[[#This Row],[ATUAL]])</calculatedColumnFormula>
    </tableColumn>
    <tableColumn id="9" xr3:uid="{5C37116A-F829-4CF0-B909-3E4FD9ACAF42}" name="8" totalsRowFunction="sum" dataDxfId="1168" totalsRowDxfId="1167" dataCellStyle="Moeda">
      <calculatedColumnFormula>SUMIFS(tabela_registros[VALOR],tabela_registros[MÊS],$AE$1,tabela_registros[DIA],investirrendafixaconsolidadonov[[#Headers],[8]],tabela_registros[REGISTRO],DADOS!$N$3,tabela_registros[TIPO],DADOS!$V$3,tabela_registros[CATEGORIA],investirrendafixaconsolidadonov[[#This Row],[ATUAL]])</calculatedColumnFormula>
    </tableColumn>
    <tableColumn id="10" xr3:uid="{9D9343D6-2355-4148-BCBC-4781DC8420D6}" name="9" totalsRowFunction="sum" dataDxfId="1166" totalsRowDxfId="1165" dataCellStyle="Moeda">
      <calculatedColumnFormula>SUMIFS(tabela_registros[VALOR],tabela_registros[MÊS],$AE$1,tabela_registros[DIA],investirrendafixaconsolidadonov[[#Headers],[9]],tabela_registros[REGISTRO],DADOS!$N$3,tabela_registros[TIPO],DADOS!$V$3,tabela_registros[CATEGORIA],investirrendafixaconsolidadonov[[#This Row],[ATUAL]])</calculatedColumnFormula>
    </tableColumn>
    <tableColumn id="11" xr3:uid="{21A7FD91-0886-4209-BD88-DEF538FBD004}" name="10" totalsRowFunction="sum" dataDxfId="1164" totalsRowDxfId="1163" dataCellStyle="Moeda">
      <calculatedColumnFormula>SUMIFS(tabela_registros[VALOR],tabela_registros[MÊS],$AE$1,tabela_registros[DIA],investirrendafixaconsolidadonov[[#Headers],[10]],tabela_registros[REGISTRO],DADOS!$N$3,tabela_registros[TIPO],DADOS!$V$3,tabela_registros[CATEGORIA],investirrendafixaconsolidadonov[[#This Row],[ATUAL]])</calculatedColumnFormula>
    </tableColumn>
    <tableColumn id="12" xr3:uid="{A528C592-423B-418E-9551-262E59533EE0}" name="11" totalsRowFunction="sum" dataDxfId="1162" totalsRowDxfId="1161" dataCellStyle="Moeda">
      <calculatedColumnFormula>SUMIFS(tabela_registros[VALOR],tabela_registros[MÊS],$AE$1,tabela_registros[DIA],investirrendafixaconsolidadonov[[#Headers],[11]],tabela_registros[REGISTRO],DADOS!$N$3,tabela_registros[TIPO],DADOS!$V$3,tabela_registros[CATEGORIA],investirrendafixaconsolidadonov[[#This Row],[ATUAL]])</calculatedColumnFormula>
    </tableColumn>
    <tableColumn id="13" xr3:uid="{6B303FED-C2BC-4AC3-945A-A9C65DB57428}" name="12" totalsRowFunction="sum" dataDxfId="1160" totalsRowDxfId="1159" dataCellStyle="Moeda">
      <calculatedColumnFormula>SUMIFS(tabela_registros[VALOR],tabela_registros[MÊS],$AE$1,tabela_registros[DIA],investirrendafixaconsolidadonov[[#Headers],[12]],tabela_registros[REGISTRO],DADOS!$N$3,tabela_registros[TIPO],DADOS!$V$3,tabela_registros[CATEGORIA],investirrendafixaconsolidadonov[[#This Row],[ATUAL]])</calculatedColumnFormula>
    </tableColumn>
    <tableColumn id="14" xr3:uid="{470763E7-557C-428F-B01B-244AC95E0D64}" name="13" totalsRowFunction="sum" dataDxfId="1158" totalsRowDxfId="1157" dataCellStyle="Moeda">
      <calculatedColumnFormula>SUMIFS(tabela_registros[VALOR],tabela_registros[MÊS],$AE$1,tabela_registros[DIA],investirrendafixaconsolidadonov[[#Headers],[13]],tabela_registros[REGISTRO],DADOS!$N$3,tabela_registros[TIPO],DADOS!$V$3,tabela_registros[CATEGORIA],investirrendafixaconsolidadonov[[#This Row],[ATUAL]])</calculatedColumnFormula>
    </tableColumn>
    <tableColumn id="15" xr3:uid="{EF8DD999-E41E-4A00-9507-FEA95FE04CCF}" name="14" totalsRowFunction="sum" dataDxfId="1156" totalsRowDxfId="1155" dataCellStyle="Moeda">
      <calculatedColumnFormula>SUMIFS(tabela_registros[VALOR],tabela_registros[MÊS],$AE$1,tabela_registros[DIA],investirrendafixaconsolidadonov[[#Headers],[14]],tabela_registros[REGISTRO],DADOS!$N$3,tabela_registros[TIPO],DADOS!$V$3,tabela_registros[CATEGORIA],investirrendafixaconsolidadonov[[#This Row],[ATUAL]])</calculatedColumnFormula>
    </tableColumn>
    <tableColumn id="16" xr3:uid="{60505B04-AA9D-4B48-9BA5-D06526E632B5}" name="15" totalsRowFunction="sum" dataDxfId="1154" totalsRowDxfId="1153" dataCellStyle="Moeda">
      <calculatedColumnFormula>SUMIFS(tabela_registros[VALOR],tabela_registros[MÊS],$AE$1,tabela_registros[DIA],investirrendafixaconsolidadonov[[#Headers],[15]],tabela_registros[REGISTRO],DADOS!$N$3,tabela_registros[TIPO],DADOS!$V$3,tabela_registros[CATEGORIA],investirrendafixaconsolidadonov[[#This Row],[ATUAL]])</calculatedColumnFormula>
    </tableColumn>
    <tableColumn id="17" xr3:uid="{A50BA3AE-8224-47C9-A67C-36B5FD8ABBFB}" name="16" totalsRowFunction="sum" dataDxfId="1152" totalsRowDxfId="1151" dataCellStyle="Moeda">
      <calculatedColumnFormula>SUMIFS(tabela_registros[VALOR],tabela_registros[MÊS],$AE$1,tabela_registros[DIA],investirrendafixaconsolidadonov[[#Headers],[16]],tabela_registros[REGISTRO],DADOS!$N$3,tabela_registros[TIPO],DADOS!$V$3,tabela_registros[CATEGORIA],investirrendafixaconsolidadonov[[#This Row],[ATUAL]])</calculatedColumnFormula>
    </tableColumn>
    <tableColumn id="18" xr3:uid="{86F2FEEA-716C-41DD-B731-AB8FF1E7A2BF}" name="17" totalsRowFunction="sum" dataDxfId="1150" totalsRowDxfId="1149" dataCellStyle="Moeda">
      <calculatedColumnFormula>SUMIFS(tabela_registros[VALOR],tabela_registros[MÊS],$AE$1,tabela_registros[DIA],investirrendafixaconsolidadonov[[#Headers],[17]],tabela_registros[REGISTRO],DADOS!$N$3,tabela_registros[TIPO],DADOS!$V$3,tabela_registros[CATEGORIA],investirrendafixaconsolidadonov[[#This Row],[ATUAL]])</calculatedColumnFormula>
    </tableColumn>
    <tableColumn id="19" xr3:uid="{9DE2A48A-1333-4CF9-9C7D-957EAB1E2BFA}" name="18" totalsRowFunction="sum" dataDxfId="1148" totalsRowDxfId="1147" dataCellStyle="Moeda">
      <calculatedColumnFormula>SUMIFS(tabela_registros[VALOR],tabela_registros[MÊS],$AE$1,tabela_registros[DIA],investirrendafixaconsolidadonov[[#Headers],[18]],tabela_registros[REGISTRO],DADOS!$N$3,tabela_registros[TIPO],DADOS!$V$3,tabela_registros[CATEGORIA],investirrendafixaconsolidadonov[[#This Row],[ATUAL]])</calculatedColumnFormula>
    </tableColumn>
    <tableColumn id="20" xr3:uid="{15E2E0A1-747F-4CB7-855C-87EF39A685FD}" name="19" totalsRowFunction="sum" dataDxfId="1146" totalsRowDxfId="1145" dataCellStyle="Moeda">
      <calculatedColumnFormula>SUMIFS(tabela_registros[VALOR],tabela_registros[MÊS],$AE$1,tabela_registros[DIA],investirrendafixaconsolidadonov[[#Headers],[19]],tabela_registros[REGISTRO],DADOS!$N$3,tabela_registros[TIPO],DADOS!$V$3,tabela_registros[CATEGORIA],investirrendafixaconsolidadonov[[#This Row],[ATUAL]])</calculatedColumnFormula>
    </tableColumn>
    <tableColumn id="21" xr3:uid="{E7E2CD8E-3B51-4C82-B1FB-EFDECF0E75AA}" name="20" totalsRowFunction="sum" dataDxfId="1144" totalsRowDxfId="1143" dataCellStyle="Moeda">
      <calculatedColumnFormula>SUMIFS(tabela_registros[VALOR],tabela_registros[MÊS],$AE$1,tabela_registros[DIA],investirrendafixaconsolidadonov[[#Headers],[20]],tabela_registros[REGISTRO],DADOS!$N$3,tabela_registros[TIPO],DADOS!$V$3,tabela_registros[CATEGORIA],investirrendafixaconsolidadonov[[#This Row],[ATUAL]])</calculatedColumnFormula>
    </tableColumn>
    <tableColumn id="22" xr3:uid="{C985E5A3-4C53-420F-87C6-6269F0F922C4}" name="21" totalsRowFunction="sum" dataDxfId="1142" totalsRowDxfId="1141" dataCellStyle="Moeda">
      <calculatedColumnFormula>SUMIFS(tabela_registros[VALOR],tabela_registros[MÊS],$AE$1,tabela_registros[DIA],investirrendafixaconsolidadonov[[#Headers],[21]],tabela_registros[REGISTRO],DADOS!$N$3,tabela_registros[TIPO],DADOS!$V$3,tabela_registros[CATEGORIA],investirrendafixaconsolidadonov[[#This Row],[ATUAL]])</calculatedColumnFormula>
    </tableColumn>
    <tableColumn id="23" xr3:uid="{7085C560-0386-416C-AAA2-CAD2B146E32E}" name="22" totalsRowFunction="sum" dataDxfId="1140" totalsRowDxfId="1139" dataCellStyle="Moeda">
      <calculatedColumnFormula>SUMIFS(tabela_registros[VALOR],tabela_registros[MÊS],$AE$1,tabela_registros[DIA],investirrendafixaconsolidadonov[[#Headers],[22]],tabela_registros[REGISTRO],DADOS!$N$3,tabela_registros[TIPO],DADOS!$V$3,tabela_registros[CATEGORIA],investirrendafixaconsolidadonov[[#This Row],[ATUAL]])</calculatedColumnFormula>
    </tableColumn>
    <tableColumn id="24" xr3:uid="{6117ED91-DAB4-4DAE-988D-B1D2881D7051}" name="23" totalsRowFunction="sum" dataDxfId="1138" totalsRowDxfId="1137" dataCellStyle="Moeda">
      <calculatedColumnFormula>SUMIFS(tabela_registros[VALOR],tabela_registros[MÊS],$AE$1,tabela_registros[DIA],investirrendafixaconsolidadonov[[#Headers],[23]],tabela_registros[REGISTRO],DADOS!$N$3,tabela_registros[TIPO],DADOS!$V$3,tabela_registros[CATEGORIA],investirrendafixaconsolidadonov[[#This Row],[ATUAL]])</calculatedColumnFormula>
    </tableColumn>
    <tableColumn id="25" xr3:uid="{59896E76-BCFA-4CD6-AC1D-30C5DA38372E}" name="24" totalsRowFunction="sum" dataDxfId="1136" totalsRowDxfId="1135" dataCellStyle="Moeda">
      <calculatedColumnFormula>SUMIFS(tabela_registros[VALOR],tabela_registros[MÊS],$AE$1,tabela_registros[DIA],investirrendafixaconsolidadonov[[#Headers],[24]],tabela_registros[REGISTRO],DADOS!$N$3,tabela_registros[TIPO],DADOS!$V$3,tabela_registros[CATEGORIA],investirrendafixaconsolidadonov[[#This Row],[ATUAL]])</calculatedColumnFormula>
    </tableColumn>
    <tableColumn id="26" xr3:uid="{DBB9BEA4-70C8-42AF-93C8-ECA97E555AEA}" name="25" totalsRowFunction="sum" dataDxfId="1134" totalsRowDxfId="1133" dataCellStyle="Moeda">
      <calculatedColumnFormula>SUMIFS(tabela_registros[VALOR],tabela_registros[MÊS],$AE$1,tabela_registros[DIA],investirrendafixaconsolidadonov[[#Headers],[25]],tabela_registros[REGISTRO],DADOS!$N$3,tabela_registros[TIPO],DADOS!$V$3,tabela_registros[CATEGORIA],investirrendafixaconsolidadonov[[#This Row],[ATUAL]])</calculatedColumnFormula>
    </tableColumn>
    <tableColumn id="27" xr3:uid="{38338902-74B5-4FA8-9026-8A9383DB7F0B}" name="26" totalsRowFunction="sum" dataDxfId="1132" totalsRowDxfId="1131" dataCellStyle="Moeda">
      <calculatedColumnFormula>SUMIFS(tabela_registros[VALOR],tabela_registros[MÊS],$AE$1,tabela_registros[DIA],investirrendafixaconsolidadonov[[#Headers],[26]],tabela_registros[REGISTRO],DADOS!$N$3,tabela_registros[TIPO],DADOS!$V$3,tabela_registros[CATEGORIA],investirrendafixaconsolidadonov[[#This Row],[ATUAL]])</calculatedColumnFormula>
    </tableColumn>
    <tableColumn id="28" xr3:uid="{27CC21A8-CDA4-4CDD-B5E8-26048A334DB6}" name="27" totalsRowFunction="sum" dataDxfId="1130" totalsRowDxfId="1129" dataCellStyle="Moeda">
      <calculatedColumnFormula>SUMIFS(tabela_registros[VALOR],tabela_registros[MÊS],$AE$1,tabela_registros[DIA],investirrendafixaconsolidadonov[[#Headers],[27]],tabela_registros[REGISTRO],DADOS!$N$3,tabela_registros[TIPO],DADOS!$V$3,tabela_registros[CATEGORIA],investirrendafixaconsolidadonov[[#This Row],[ATUAL]])</calculatedColumnFormula>
    </tableColumn>
    <tableColumn id="29" xr3:uid="{F459BED1-C522-4CE2-952D-76A8117A90C4}" name="28" totalsRowFunction="sum" dataDxfId="1128" totalsRowDxfId="1127" dataCellStyle="Moeda">
      <calculatedColumnFormula>SUMIFS(tabela_registros[VALOR],tabela_registros[MÊS],$AE$1,tabela_registros[DIA],investirrendafixaconsolidadonov[[#Headers],[28]],tabela_registros[REGISTRO],DADOS!$N$3,tabela_registros[TIPO],DADOS!$V$3,tabela_registros[CATEGORIA],investirrendafixaconsolidadonov[[#This Row],[ATUAL]])</calculatedColumnFormula>
    </tableColumn>
    <tableColumn id="30" xr3:uid="{EF10B69B-0B33-40BA-8183-E0E4D1718402}" name="29" totalsRowFunction="sum" dataDxfId="1126" totalsRowDxfId="1125" dataCellStyle="Moeda">
      <calculatedColumnFormula>SUMIFS(tabela_registros[VALOR],tabela_registros[MÊS],$AE$1,tabela_registros[DIA],investirrendafixaconsolidadonov[[#Headers],[29]],tabela_registros[REGISTRO],DADOS!$N$3,tabela_registros[TIPO],DADOS!$V$3,tabela_registros[CATEGORIA],investirrendafixaconsolidadonov[[#This Row],[ATUAL]])</calculatedColumnFormula>
    </tableColumn>
    <tableColumn id="31" xr3:uid="{C178C72D-F9AA-43B7-8C21-2EA1D77B24A8}" name="30" totalsRowFunction="sum" dataDxfId="1124" totalsRowDxfId="1123" dataCellStyle="Moeda">
      <calculatedColumnFormula>SUMIFS(tabela_registros[VALOR],tabela_registros[MÊS],$AE$1,tabela_registros[DIA],investirrendafixaconsolidadonov[[#Headers],[30]],tabela_registros[REGISTRO],DADOS!$N$3,tabela_registros[TIPO],DADOS!$V$3,tabela_registros[CATEGORIA],investirrendafixaconsolidadonov[[#This Row],[ATUAL]])</calculatedColumnFormula>
    </tableColumn>
    <tableColumn id="32" xr3:uid="{464CD15D-2A48-4CEE-8607-440A97C3A166}" name="31" totalsRowFunction="sum" dataDxfId="1122" totalsRowDxfId="1121" dataCellStyle="Moeda">
      <calculatedColumnFormula>SUMIFS(tabela_registros[VALOR],tabela_registros[MÊS],$AE$1,tabela_registros[DIA],investirrendafixaconsolidadonov[[#Headers],[31]],tabela_registros[REGISTRO],DADOS!$N$3,tabela_registros[TIPO],DADOS!$V$3,tabela_registros[CATEGORIA],investirrendafixaconsolidadonov[[#This Row],[ATUAL]])</calculatedColumnFormula>
    </tableColumn>
    <tableColumn id="33" xr3:uid="{870ECEBA-A7D3-47BC-9B59-9C85C431B1D5}" name="TOTAL (R$)" totalsRowFunction="sum" dataDxfId="1120" dataCellStyle="Moeda">
      <calculatedColumnFormula>SUM(investirrendafixaconsolidadonov[[#This Row],[1]:[31]])</calculatedColumnFormula>
    </tableColumn>
  </tableColumns>
  <tableStyleInfo name="TABELAS RESULTADOS" showFirstColumn="0" showLastColumn="0" showRowStripes="1" showColumnStripes="0"/>
</table>
</file>

<file path=xl/tables/table14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7" xr:uid="{C00FB0E6-4183-4032-8DCC-F5C26B2C79E8}" name="investirrendavariávelconsolidadonov" displayName="investirrendavariávelconsolidadonov" ref="C131:AJ142" headerRowDxfId="1119" dataDxfId="1118" totalsRowDxfId="1117">
  <autoFilter ref="C131:AJ142" xr:uid="{08F8225F-86FE-4857-B00A-7406490FE1C1}"/>
  <tableColumns count="34">
    <tableColumn id="1" xr3:uid="{51227BD2-A979-48B7-AF12-55DDBDE9EF0E}" name="ATUAL" totalsRowLabel="SALDO" dataDxfId="1116"/>
    <tableColumn id="34" xr3:uid="{656F7ACC-D10E-49F9-880A-15960810A16B}" name="Coluna1" dataDxfId="1115" totalsRowDxfId="1114">
      <calculatedColumnFormula>IF(investirrendavariávelconsolidadonov[[#This Row],[TOTAL (R$)]]=0,"",IF(OR(investirrendavariávelconsolidadonov[[#This Row],[TOTAL (R$)]]=LARGE($AJ$132:$AJ$141,1),investirrendavariávelconsolidadonov[[#This Row],[TOTAL (R$)]]=LARGE($AJ$132:$AJ$141,2)),DADOS!$I$10,""))</calculatedColumnFormula>
    </tableColumn>
    <tableColumn id="2" xr3:uid="{9FF6DD72-542A-4F59-8989-C3E22CA10DF5}" name="1" totalsRowFunction="sum" dataDxfId="1113" dataCellStyle="Moeda"/>
    <tableColumn id="3" xr3:uid="{8A2CDD14-C770-41B0-917C-879254486BFA}" name="2" totalsRowFunction="sum" dataDxfId="1112" dataCellStyle="Moeda">
      <calculatedColumnFormula>SUMIFS(tabela_registros[VALOR],tabela_registros[MÊS],$AE$1,tabela_registros[DIA],investirrendavariávelconsolidadonov[[#Headers],[2]],tabela_registros[REGISTRO],DADOS!$N$3,tabela_registros[TIPO],DADOS!$V$3,tabela_registros[CATEGORIA],investirrendavariávelconsolidadonov[[#This Row],[ATUAL]])</calculatedColumnFormula>
    </tableColumn>
    <tableColumn id="4" xr3:uid="{47F3D03B-F873-43BB-A38F-FAF65C502BDD}" name="3" totalsRowFunction="sum" dataDxfId="1111" totalsRowDxfId="1110" dataCellStyle="Moeda">
      <calculatedColumnFormula>SUMIFS(tabela_registros[VALOR],tabela_registros[MÊS],$AE$1,tabela_registros[DIA],investirrendavariávelconsolidadonov[[#Headers],[3]],tabela_registros[REGISTRO],DADOS!$N$3,tabela_registros[TIPO],DADOS!$V$3,tabela_registros[CATEGORIA],investirrendavariávelconsolidadonov[[#This Row],[ATUAL]])</calculatedColumnFormula>
    </tableColumn>
    <tableColumn id="5" xr3:uid="{1599C4CE-D8CA-4DD2-9826-9306BD5248D0}" name="4" totalsRowFunction="sum" dataDxfId="1109" totalsRowDxfId="1108" dataCellStyle="Moeda">
      <calculatedColumnFormula>SUMIFS(tabela_registros[VALOR],tabela_registros[MÊS],$AE$1,tabela_registros[DIA],investirrendavariávelconsolidadonov[[#Headers],[4]],tabela_registros[REGISTRO],DADOS!$N$3,tabela_registros[TIPO],DADOS!$V$3,tabela_registros[CATEGORIA],investirrendavariávelconsolidadonov[[#This Row],[ATUAL]])</calculatedColumnFormula>
    </tableColumn>
    <tableColumn id="6" xr3:uid="{2EF3AF5E-8402-46AA-84B9-A8F4F0B04C26}" name="5" totalsRowFunction="sum" dataDxfId="1107" totalsRowDxfId="1106" dataCellStyle="Moeda">
      <calculatedColumnFormula>SUMIFS(tabela_registros[VALOR],tabela_registros[MÊS],$AE$1,tabela_registros[DIA],investirrendavariávelconsolidadonov[[#Headers],[5]],tabela_registros[REGISTRO],DADOS!$N$3,tabela_registros[TIPO],DADOS!$V$3,tabela_registros[CATEGORIA],investirrendavariávelconsolidadonov[[#This Row],[ATUAL]])</calculatedColumnFormula>
    </tableColumn>
    <tableColumn id="7" xr3:uid="{D8FFC427-D783-4B2C-9ADD-A1D9101683D1}" name="6" totalsRowFunction="sum" dataDxfId="1105" totalsRowDxfId="1104" dataCellStyle="Moeda">
      <calculatedColumnFormula>SUMIFS(tabela_registros[VALOR],tabela_registros[MÊS],$AE$1,tabela_registros[DIA],investirrendavariávelconsolidadonov[[#Headers],[6]],tabela_registros[REGISTRO],DADOS!$N$3,tabela_registros[TIPO],DADOS!$V$3,tabela_registros[CATEGORIA],investirrendavariávelconsolidadonov[[#This Row],[ATUAL]])</calculatedColumnFormula>
    </tableColumn>
    <tableColumn id="8" xr3:uid="{442D566E-7C2E-4214-96F8-F2C74A085BB0}" name="7" totalsRowFunction="sum" dataDxfId="1103" totalsRowDxfId="1102" dataCellStyle="Moeda">
      <calculatedColumnFormula>SUMIFS(tabela_registros[VALOR],tabela_registros[MÊS],$AE$1,tabela_registros[DIA],investirrendavariávelconsolidadonov[[#Headers],[7]],tabela_registros[REGISTRO],DADOS!$N$3,tabela_registros[TIPO],DADOS!$V$3,tabela_registros[CATEGORIA],investirrendavariávelconsolidadonov[[#This Row],[ATUAL]])</calculatedColumnFormula>
    </tableColumn>
    <tableColumn id="9" xr3:uid="{FAA0A0B7-9FA8-4677-B513-D57B932EB819}" name="8" totalsRowFunction="sum" dataDxfId="1101" totalsRowDxfId="1100" dataCellStyle="Moeda">
      <calculatedColumnFormula>SUMIFS(tabela_registros[VALOR],tabela_registros[MÊS],$AE$1,tabela_registros[DIA],investirrendavariávelconsolidadonov[[#Headers],[8]],tabela_registros[REGISTRO],DADOS!$N$3,tabela_registros[TIPO],DADOS!$V$3,tabela_registros[CATEGORIA],investirrendavariávelconsolidadonov[[#This Row],[ATUAL]])</calculatedColumnFormula>
    </tableColumn>
    <tableColumn id="10" xr3:uid="{607CF6B6-F58A-405A-B7CA-D36E7D81C27E}" name="9" totalsRowFunction="sum" dataDxfId="1099" totalsRowDxfId="1098" dataCellStyle="Moeda">
      <calculatedColumnFormula>SUMIFS(tabela_registros[VALOR],tabela_registros[MÊS],$AE$1,tabela_registros[DIA],investirrendavariávelconsolidadonov[[#Headers],[9]],tabela_registros[REGISTRO],DADOS!$N$3,tabela_registros[TIPO],DADOS!$V$3,tabela_registros[CATEGORIA],investirrendavariávelconsolidadonov[[#This Row],[ATUAL]])</calculatedColumnFormula>
    </tableColumn>
    <tableColumn id="11" xr3:uid="{E44F76A8-097E-44F7-8AFE-3F75CDF58B86}" name="10" totalsRowFunction="sum" dataDxfId="1097" totalsRowDxfId="1096" dataCellStyle="Moeda">
      <calculatedColumnFormula>SUMIFS(tabela_registros[VALOR],tabela_registros[MÊS],$AE$1,tabela_registros[DIA],investirrendavariávelconsolidadonov[[#Headers],[10]],tabela_registros[REGISTRO],DADOS!$N$3,tabela_registros[TIPO],DADOS!$V$3,tabela_registros[CATEGORIA],investirrendavariávelconsolidadonov[[#This Row],[ATUAL]])</calculatedColumnFormula>
    </tableColumn>
    <tableColumn id="12" xr3:uid="{0C454D86-DEB7-4003-AFC4-D617A217001F}" name="11" totalsRowFunction="sum" dataDxfId="1095" totalsRowDxfId="1094" dataCellStyle="Moeda">
      <calculatedColumnFormula>SUMIFS(tabela_registros[VALOR],tabela_registros[MÊS],$AE$1,tabela_registros[DIA],investirrendavariávelconsolidadonov[[#Headers],[11]],tabela_registros[REGISTRO],DADOS!$N$3,tabela_registros[TIPO],DADOS!$V$3,tabela_registros[CATEGORIA],investirrendavariávelconsolidadonov[[#This Row],[ATUAL]])</calculatedColumnFormula>
    </tableColumn>
    <tableColumn id="13" xr3:uid="{31B50B7E-EF90-44C6-9DA6-F078F4B1413A}" name="12" totalsRowFunction="sum" dataDxfId="1093" totalsRowDxfId="1092" dataCellStyle="Moeda">
      <calculatedColumnFormula>SUMIFS(tabela_registros[VALOR],tabela_registros[MÊS],$AE$1,tabela_registros[DIA],investirrendavariávelconsolidadonov[[#Headers],[12]],tabela_registros[REGISTRO],DADOS!$N$3,tabela_registros[TIPO],DADOS!$V$3,tabela_registros[CATEGORIA],investirrendavariávelconsolidadonov[[#This Row],[ATUAL]])</calculatedColumnFormula>
    </tableColumn>
    <tableColumn id="14" xr3:uid="{DB540457-38FE-49F4-80E6-4CCE282D6517}" name="13" totalsRowFunction="sum" dataDxfId="1091" totalsRowDxfId="1090" dataCellStyle="Moeda">
      <calculatedColumnFormula>SUMIFS(tabela_registros[VALOR],tabela_registros[MÊS],$AE$1,tabela_registros[DIA],investirrendavariávelconsolidadonov[[#Headers],[13]],tabela_registros[REGISTRO],DADOS!$N$3,tabela_registros[TIPO],DADOS!$V$3,tabela_registros[CATEGORIA],investirrendavariávelconsolidadonov[[#This Row],[ATUAL]])</calculatedColumnFormula>
    </tableColumn>
    <tableColumn id="15" xr3:uid="{B4CBE0FA-834C-4DD0-AC19-B1A853F8DA5D}" name="14" totalsRowFunction="sum" dataDxfId="1089" totalsRowDxfId="1088" dataCellStyle="Moeda">
      <calculatedColumnFormula>SUMIFS(tabela_registros[VALOR],tabela_registros[MÊS],$AE$1,tabela_registros[DIA],investirrendavariávelconsolidadonov[[#Headers],[14]],tabela_registros[REGISTRO],DADOS!$N$3,tabela_registros[TIPO],DADOS!$V$3,tabela_registros[CATEGORIA],investirrendavariávelconsolidadonov[[#This Row],[ATUAL]])</calculatedColumnFormula>
    </tableColumn>
    <tableColumn id="16" xr3:uid="{6F620124-D215-4E59-A784-DFA18CB2799E}" name="15" totalsRowFunction="sum" dataDxfId="1087" totalsRowDxfId="1086" dataCellStyle="Moeda">
      <calculatedColumnFormula>SUMIFS(tabela_registros[VALOR],tabela_registros[MÊS],$AE$1,tabela_registros[DIA],investirrendavariávelconsolidadonov[[#Headers],[15]],tabela_registros[REGISTRO],DADOS!$N$3,tabela_registros[TIPO],DADOS!$V$3,tabela_registros[CATEGORIA],investirrendavariávelconsolidadonov[[#This Row],[ATUAL]])</calculatedColumnFormula>
    </tableColumn>
    <tableColumn id="17" xr3:uid="{BA4E9C17-4311-4C78-86A6-F97581D73308}" name="16" totalsRowFunction="sum" dataDxfId="1085" totalsRowDxfId="1084" dataCellStyle="Moeda">
      <calculatedColumnFormula>SUMIFS(tabela_registros[VALOR],tabela_registros[MÊS],$AE$1,tabela_registros[DIA],investirrendavariávelconsolidadonov[[#Headers],[16]],tabela_registros[REGISTRO],DADOS!$N$3,tabela_registros[TIPO],DADOS!$V$3,tabela_registros[CATEGORIA],investirrendavariávelconsolidadonov[[#This Row],[ATUAL]])</calculatedColumnFormula>
    </tableColumn>
    <tableColumn id="18" xr3:uid="{D3ACD254-1AE2-44EA-B239-50D7B2E175E6}" name="17" totalsRowFunction="sum" dataDxfId="1083" totalsRowDxfId="1082" dataCellStyle="Moeda">
      <calculatedColumnFormula>SUMIFS(tabela_registros[VALOR],tabela_registros[MÊS],$AE$1,tabela_registros[DIA],investirrendavariávelconsolidadonov[[#Headers],[17]],tabela_registros[REGISTRO],DADOS!$N$3,tabela_registros[TIPO],DADOS!$V$3,tabela_registros[CATEGORIA],investirrendavariávelconsolidadonov[[#This Row],[ATUAL]])</calculatedColumnFormula>
    </tableColumn>
    <tableColumn id="19" xr3:uid="{53C946B4-D34B-4D72-B80B-6402543C2B57}" name="18" totalsRowFunction="sum" dataDxfId="1081" totalsRowDxfId="1080" dataCellStyle="Moeda">
      <calculatedColumnFormula>SUMIFS(tabela_registros[VALOR],tabela_registros[MÊS],$AE$1,tabela_registros[DIA],investirrendavariávelconsolidadonov[[#Headers],[18]],tabela_registros[REGISTRO],DADOS!$N$3,tabela_registros[TIPO],DADOS!$V$3,tabela_registros[CATEGORIA],investirrendavariávelconsolidadonov[[#This Row],[ATUAL]])</calculatedColumnFormula>
    </tableColumn>
    <tableColumn id="20" xr3:uid="{5E06B68F-9F13-41BA-BED2-A16F2C0CD799}" name="19" totalsRowFunction="sum" dataDxfId="1079" totalsRowDxfId="1078" dataCellStyle="Moeda">
      <calculatedColumnFormula>SUMIFS(tabela_registros[VALOR],tabela_registros[MÊS],$AE$1,tabela_registros[DIA],investirrendavariávelconsolidadonov[[#Headers],[19]],tabela_registros[REGISTRO],DADOS!$N$3,tabela_registros[TIPO],DADOS!$V$3,tabela_registros[CATEGORIA],investirrendavariávelconsolidadonov[[#This Row],[ATUAL]])</calculatedColumnFormula>
    </tableColumn>
    <tableColumn id="21" xr3:uid="{7C34E045-1C0C-4444-8AA1-6218A8630F3B}" name="20" totalsRowFunction="sum" dataDxfId="1077" totalsRowDxfId="1076" dataCellStyle="Moeda">
      <calculatedColumnFormula>SUMIFS(tabela_registros[VALOR],tabela_registros[MÊS],$AE$1,tabela_registros[DIA],investirrendavariávelconsolidadonov[[#Headers],[20]],tabela_registros[REGISTRO],DADOS!$N$3,tabela_registros[TIPO],DADOS!$V$3,tabela_registros[CATEGORIA],investirrendavariávelconsolidadonov[[#This Row],[ATUAL]])</calculatedColumnFormula>
    </tableColumn>
    <tableColumn id="22" xr3:uid="{486A2FBC-7DAB-405D-890F-AD5D552379B2}" name="21" totalsRowFunction="sum" dataDxfId="1075" totalsRowDxfId="1074" dataCellStyle="Moeda">
      <calculatedColumnFormula>SUMIFS(tabela_registros[VALOR],tabela_registros[MÊS],$AE$1,tabela_registros[DIA],investirrendavariávelconsolidadonov[[#Headers],[21]],tabela_registros[REGISTRO],DADOS!$N$3,tabela_registros[TIPO],DADOS!$V$3,tabela_registros[CATEGORIA],investirrendavariávelconsolidadonov[[#This Row],[ATUAL]])</calculatedColumnFormula>
    </tableColumn>
    <tableColumn id="23" xr3:uid="{28867A21-754D-4113-A167-88CFCCEC8CD5}" name="22" totalsRowFunction="sum" dataDxfId="1073" totalsRowDxfId="1072" dataCellStyle="Moeda">
      <calculatedColumnFormula>SUMIFS(tabela_registros[VALOR],tabela_registros[MÊS],$AE$1,tabela_registros[DIA],investirrendavariávelconsolidadonov[[#Headers],[22]],tabela_registros[REGISTRO],DADOS!$N$3,tabela_registros[TIPO],DADOS!$V$3,tabela_registros[CATEGORIA],investirrendavariávelconsolidadonov[[#This Row],[ATUAL]])</calculatedColumnFormula>
    </tableColumn>
    <tableColumn id="24" xr3:uid="{F27DD5BE-3AD3-41E2-9B5E-17CCF448D72B}" name="23" totalsRowFunction="sum" dataDxfId="1071" totalsRowDxfId="1070" dataCellStyle="Moeda">
      <calculatedColumnFormula>SUMIFS(tabela_registros[VALOR],tabela_registros[MÊS],$AE$1,tabela_registros[DIA],investirrendavariávelconsolidadonov[[#Headers],[23]],tabela_registros[REGISTRO],DADOS!$N$3,tabela_registros[TIPO],DADOS!$V$3,tabela_registros[CATEGORIA],investirrendavariávelconsolidadonov[[#This Row],[ATUAL]])</calculatedColumnFormula>
    </tableColumn>
    <tableColumn id="25" xr3:uid="{C1F16DE4-F7A6-48FD-A63E-73D4BAF57811}" name="24" totalsRowFunction="sum" dataDxfId="1069" totalsRowDxfId="1068" dataCellStyle="Moeda">
      <calculatedColumnFormula>SUMIFS(tabela_registros[VALOR],tabela_registros[MÊS],$AE$1,tabela_registros[DIA],investirrendavariávelconsolidadonov[[#Headers],[24]],tabela_registros[REGISTRO],DADOS!$N$3,tabela_registros[TIPO],DADOS!$V$3,tabela_registros[CATEGORIA],investirrendavariávelconsolidadonov[[#This Row],[ATUAL]])</calculatedColumnFormula>
    </tableColumn>
    <tableColumn id="26" xr3:uid="{137E7820-CCC8-48FB-BBA3-1770F924C48F}" name="25" totalsRowFunction="sum" dataDxfId="1067" totalsRowDxfId="1066" dataCellStyle="Moeda">
      <calculatedColumnFormula>SUMIFS(tabela_registros[VALOR],tabela_registros[MÊS],$AE$1,tabela_registros[DIA],investirrendavariávelconsolidadonov[[#Headers],[25]],tabela_registros[REGISTRO],DADOS!$N$3,tabela_registros[TIPO],DADOS!$V$3,tabela_registros[CATEGORIA],investirrendavariávelconsolidadonov[[#This Row],[ATUAL]])</calculatedColumnFormula>
    </tableColumn>
    <tableColumn id="27" xr3:uid="{B52E15E9-12E8-4A7F-ACAD-5D0C1DA61E68}" name="26" totalsRowFunction="sum" dataDxfId="1065" totalsRowDxfId="1064" dataCellStyle="Moeda">
      <calculatedColumnFormula>SUMIFS(tabela_registros[VALOR],tabela_registros[MÊS],$AE$1,tabela_registros[DIA],investirrendavariávelconsolidadonov[[#Headers],[26]],tabela_registros[REGISTRO],DADOS!$N$3,tabela_registros[TIPO],DADOS!$V$3,tabela_registros[CATEGORIA],investirrendavariávelconsolidadonov[[#This Row],[ATUAL]])</calculatedColumnFormula>
    </tableColumn>
    <tableColumn id="28" xr3:uid="{D79F5126-7D01-42F0-8F13-9471F6140139}" name="27" totalsRowFunction="sum" dataDxfId="1063" totalsRowDxfId="1062" dataCellStyle="Moeda">
      <calculatedColumnFormula>SUMIFS(tabela_registros[VALOR],tabela_registros[MÊS],$AE$1,tabela_registros[DIA],investirrendavariávelconsolidadonov[[#Headers],[27]],tabela_registros[REGISTRO],DADOS!$N$3,tabela_registros[TIPO],DADOS!$V$3,tabela_registros[CATEGORIA],investirrendavariávelconsolidadonov[[#This Row],[ATUAL]])</calculatedColumnFormula>
    </tableColumn>
    <tableColumn id="29" xr3:uid="{5D6A9E76-2404-4C97-9C85-C194A8A34982}" name="28" totalsRowFunction="sum" dataDxfId="1061" totalsRowDxfId="1060" dataCellStyle="Moeda">
      <calculatedColumnFormula>SUMIFS(tabela_registros[VALOR],tabela_registros[MÊS],$AE$1,tabela_registros[DIA],investirrendavariávelconsolidadonov[[#Headers],[28]],tabela_registros[REGISTRO],DADOS!$N$3,tabela_registros[TIPO],DADOS!$V$3,tabela_registros[CATEGORIA],investirrendavariávelconsolidadonov[[#This Row],[ATUAL]])</calculatedColumnFormula>
    </tableColumn>
    <tableColumn id="30" xr3:uid="{8D810FC4-FF7E-40F9-9F28-632B10616F13}" name="29" totalsRowFunction="sum" dataDxfId="1059" totalsRowDxfId="1058" dataCellStyle="Moeda">
      <calculatedColumnFormula>SUMIFS(tabela_registros[VALOR],tabela_registros[MÊS],$AE$1,tabela_registros[DIA],investirrendavariávelconsolidadonov[[#Headers],[29]],tabela_registros[REGISTRO],DADOS!$N$3,tabela_registros[TIPO],DADOS!$V$3,tabela_registros[CATEGORIA],investirrendavariávelconsolidadonov[[#This Row],[ATUAL]])</calculatedColumnFormula>
    </tableColumn>
    <tableColumn id="31" xr3:uid="{9BB9F93F-9F16-4701-851A-C6DCE0186CDF}" name="30" totalsRowFunction="sum" dataDxfId="1057" totalsRowDxfId="1056" dataCellStyle="Moeda">
      <calculatedColumnFormula>SUMIFS(tabela_registros[VALOR],tabela_registros[MÊS],$AE$1,tabela_registros[DIA],investirrendavariávelconsolidadonov[[#Headers],[30]],tabela_registros[REGISTRO],DADOS!$N$3,tabela_registros[TIPO],DADOS!$V$3,tabela_registros[CATEGORIA],investirrendavariávelconsolidadonov[[#This Row],[ATUAL]])</calculatedColumnFormula>
    </tableColumn>
    <tableColumn id="32" xr3:uid="{474AE844-7E95-48D9-AB6B-F508343BEEAB}" name="31" totalsRowFunction="sum" dataDxfId="1055" totalsRowDxfId="1054" dataCellStyle="Moeda">
      <calculatedColumnFormula>SUMIFS(tabela_registros[VALOR],tabela_registros[MÊS],$AE$1,tabela_registros[DIA],investirrendavariávelconsolidadonov[[#Headers],[31]],tabela_registros[REGISTRO],DADOS!$N$3,tabela_registros[TIPO],DADOS!$V$3,tabela_registros[CATEGORIA],investirrendavariávelconsolidadonov[[#This Row],[ATUAL]])</calculatedColumnFormula>
    </tableColumn>
    <tableColumn id="33" xr3:uid="{3DD5971F-A343-4A2A-9FAB-BF74863C1465}" name="TOTAL (R$)" totalsRowFunction="sum" dataDxfId="1053" dataCellStyle="Moeda">
      <calculatedColumnFormula>SUM(investirrendavariávelconsolidadonov[[#This Row],[1]:[31]])</calculatedColumnFormula>
    </tableColumn>
  </tableColumns>
  <tableStyleInfo name="TABELAS RESULTADOS" showFirstColumn="0" showLastColumn="0" showRowStripes="1" showColumnStripes="0"/>
</table>
</file>

<file path=xl/tables/table14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8" xr:uid="{095A38E7-B369-4DA9-A538-F114E01F7555}" name="investiroutrosconsolidadonov" displayName="investiroutrosconsolidadonov" ref="C150:AJ159" headerRowDxfId="1052" dataDxfId="1051" totalsRowDxfId="1050">
  <autoFilter ref="C150:AJ159" xr:uid="{6183CEF1-477D-4448-9404-9007701FBB5F}"/>
  <tableColumns count="34">
    <tableColumn id="1" xr3:uid="{A362A706-4C73-4582-95B6-A74234610ADA}" name="ATUAL" totalsRowLabel="SALDO" dataDxfId="1049"/>
    <tableColumn id="34" xr3:uid="{FE6025CB-6164-4EBC-8EC6-F4B754DEF0BC}" name="Coluna1" dataDxfId="1048" totalsRowDxfId="1047">
      <calculatedColumnFormula>IF(investiroutrosconsolidadonov[[#This Row],[TOTAL (R$)]]=0,"",IF(OR(investiroutrosconsolidadonov[[#This Row],[TOTAL (R$)]]=LARGE($AJ$151:$AJ$158,1),investiroutrosconsolidadonov[[#This Row],[TOTAL (R$)]]=LARGE($AJ$151:$AJ$158,2)),DADOS!$I$10,""))</calculatedColumnFormula>
    </tableColumn>
    <tableColumn id="2" xr3:uid="{39856115-0AA6-483A-9D48-8203E0D74BF9}" name="1" totalsRowFunction="sum" dataDxfId="1046" dataCellStyle="Moeda"/>
    <tableColumn id="3" xr3:uid="{1EDD92EF-1B75-4832-B767-79C3B0B34268}" name="2" totalsRowFunction="sum" dataDxfId="1045" dataCellStyle="Moeda">
      <calculatedColumnFormula>SUMIFS(tabela_registros[VALOR],tabela_registros[MÊS],$AE$1,tabela_registros[DIA],investiroutrosconsolidadonov[[#Headers],[2]],tabela_registros[REGISTRO],DADOS!$N$3,tabela_registros[TIPO],DADOS!$V$3,tabela_registros[CATEGORIA],investiroutrosconsolidadonov[[#This Row],[ATUAL]])</calculatedColumnFormula>
    </tableColumn>
    <tableColumn id="4" xr3:uid="{84A19172-09F7-4538-ADCD-B81E6CA053DA}" name="3" totalsRowFunction="sum" dataDxfId="1044" totalsRowDxfId="1043" dataCellStyle="Moeda">
      <calculatedColumnFormula>SUMIFS(tabela_registros[VALOR],tabela_registros[MÊS],$AE$1,tabela_registros[DIA],investiroutrosconsolidadonov[[#Headers],[3]],tabela_registros[REGISTRO],DADOS!$N$3,tabela_registros[TIPO],DADOS!$V$3,tabela_registros[CATEGORIA],investiroutrosconsolidadonov[[#This Row],[ATUAL]])</calculatedColumnFormula>
    </tableColumn>
    <tableColumn id="5" xr3:uid="{BE6E5E03-A97F-49BD-B1FC-AA2F4D70017C}" name="4" totalsRowFunction="sum" dataDxfId="1042" totalsRowDxfId="1041" dataCellStyle="Moeda">
      <calculatedColumnFormula>SUMIFS(tabela_registros[VALOR],tabela_registros[MÊS],$AE$1,tabela_registros[DIA],investiroutrosconsolidadonov[[#Headers],[4]],tabela_registros[REGISTRO],DADOS!$N$3,tabela_registros[TIPO],DADOS!$V$3,tabela_registros[CATEGORIA],investiroutrosconsolidadonov[[#This Row],[ATUAL]])</calculatedColumnFormula>
    </tableColumn>
    <tableColumn id="6" xr3:uid="{E9720C03-06CA-4D67-8D84-FB33DF0E5E88}" name="5" totalsRowFunction="sum" dataDxfId="1040" totalsRowDxfId="1039" dataCellStyle="Moeda">
      <calculatedColumnFormula>SUMIFS(tabela_registros[VALOR],tabela_registros[MÊS],$AE$1,tabela_registros[DIA],investiroutrosconsolidadonov[[#Headers],[5]],tabela_registros[REGISTRO],DADOS!$N$3,tabela_registros[TIPO],DADOS!$V$3,tabela_registros[CATEGORIA],investiroutrosconsolidadonov[[#This Row],[ATUAL]])</calculatedColumnFormula>
    </tableColumn>
    <tableColumn id="7" xr3:uid="{C1E29AFF-5B5E-4A5F-B0BC-65D0077FA3D1}" name="6" totalsRowFunction="sum" dataDxfId="1038" totalsRowDxfId="1037" dataCellStyle="Moeda">
      <calculatedColumnFormula>SUMIFS(tabela_registros[VALOR],tabela_registros[MÊS],$AE$1,tabela_registros[DIA],investiroutrosconsolidadonov[[#Headers],[6]],tabela_registros[REGISTRO],DADOS!$N$3,tabela_registros[TIPO],DADOS!$V$3,tabela_registros[CATEGORIA],investiroutrosconsolidadonov[[#This Row],[ATUAL]])</calculatedColumnFormula>
    </tableColumn>
    <tableColumn id="8" xr3:uid="{2D6F7CE4-58E8-4361-9C24-BC0034A09C16}" name="7" totalsRowFunction="sum" dataDxfId="1036" totalsRowDxfId="1035" dataCellStyle="Moeda">
      <calculatedColumnFormula>SUMIFS(tabela_registros[VALOR],tabela_registros[MÊS],$AE$1,tabela_registros[DIA],investiroutrosconsolidadonov[[#Headers],[7]],tabela_registros[REGISTRO],DADOS!$N$3,tabela_registros[TIPO],DADOS!$V$3,tabela_registros[CATEGORIA],investiroutrosconsolidadonov[[#This Row],[ATUAL]])</calculatedColumnFormula>
    </tableColumn>
    <tableColumn id="9" xr3:uid="{3A70CBB7-3C8F-42AB-8743-6F5F43AADD02}" name="8" totalsRowFunction="sum" dataDxfId="1034" totalsRowDxfId="1033" dataCellStyle="Moeda">
      <calculatedColumnFormula>SUMIFS(tabela_registros[VALOR],tabela_registros[MÊS],$AE$1,tabela_registros[DIA],investiroutrosconsolidadonov[[#Headers],[8]],tabela_registros[REGISTRO],DADOS!$N$3,tabela_registros[TIPO],DADOS!$V$3,tabela_registros[CATEGORIA],investiroutrosconsolidadonov[[#This Row],[ATUAL]])</calculatedColumnFormula>
    </tableColumn>
    <tableColumn id="10" xr3:uid="{C9E6CFAB-0231-4CB1-BA98-86A3E3EDCE1F}" name="9" totalsRowFunction="sum" dataDxfId="1032" totalsRowDxfId="1031" dataCellStyle="Moeda">
      <calculatedColumnFormula>SUMIFS(tabela_registros[VALOR],tabela_registros[MÊS],$AE$1,tabela_registros[DIA],investiroutrosconsolidadonov[[#Headers],[9]],tabela_registros[REGISTRO],DADOS!$N$3,tabela_registros[TIPO],DADOS!$V$3,tabela_registros[CATEGORIA],investiroutrosconsolidadonov[[#This Row],[ATUAL]])</calculatedColumnFormula>
    </tableColumn>
    <tableColumn id="11" xr3:uid="{B167A3F7-C1E0-4D47-A8DD-7DAF1D30C64E}" name="10" totalsRowFunction="sum" dataDxfId="1030" totalsRowDxfId="1029" dataCellStyle="Moeda">
      <calculatedColumnFormula>SUMIFS(tabela_registros[VALOR],tabela_registros[MÊS],$AE$1,tabela_registros[DIA],investiroutrosconsolidadonov[[#Headers],[10]],tabela_registros[REGISTRO],DADOS!$N$3,tabela_registros[TIPO],DADOS!$V$3,tabela_registros[CATEGORIA],investiroutrosconsolidadonov[[#This Row],[ATUAL]])</calculatedColumnFormula>
    </tableColumn>
    <tableColumn id="12" xr3:uid="{F7483CC7-9DEB-4312-8A47-610A8D34E5E8}" name="11" totalsRowFunction="sum" dataDxfId="1028" totalsRowDxfId="1027" dataCellStyle="Moeda">
      <calculatedColumnFormula>SUMIFS(tabela_registros[VALOR],tabela_registros[MÊS],$AE$1,tabela_registros[DIA],investiroutrosconsolidadonov[[#Headers],[11]],tabela_registros[REGISTRO],DADOS!$N$3,tabela_registros[TIPO],DADOS!$V$3,tabela_registros[CATEGORIA],investiroutrosconsolidadonov[[#This Row],[ATUAL]])</calculatedColumnFormula>
    </tableColumn>
    <tableColumn id="13" xr3:uid="{216D5F3C-EC15-4830-B403-19D6BC39C898}" name="12" totalsRowFunction="sum" dataDxfId="1026" totalsRowDxfId="1025" dataCellStyle="Moeda">
      <calculatedColumnFormula>SUMIFS(tabela_registros[VALOR],tabela_registros[MÊS],$AE$1,tabela_registros[DIA],investiroutrosconsolidadonov[[#Headers],[12]],tabela_registros[REGISTRO],DADOS!$N$3,tabela_registros[TIPO],DADOS!$V$3,tabela_registros[CATEGORIA],investiroutrosconsolidadonov[[#This Row],[ATUAL]])</calculatedColumnFormula>
    </tableColumn>
    <tableColumn id="14" xr3:uid="{DCCFDEB2-4AC6-4108-BB3E-66A08581A634}" name="13" totalsRowFunction="sum" dataDxfId="1024" totalsRowDxfId="1023" dataCellStyle="Moeda">
      <calculatedColumnFormula>SUMIFS(tabela_registros[VALOR],tabela_registros[MÊS],$AE$1,tabela_registros[DIA],investiroutrosconsolidadonov[[#Headers],[13]],tabela_registros[REGISTRO],DADOS!$N$3,tabela_registros[TIPO],DADOS!$V$3,tabela_registros[CATEGORIA],investiroutrosconsolidadonov[[#This Row],[ATUAL]])</calculatedColumnFormula>
    </tableColumn>
    <tableColumn id="15" xr3:uid="{12C6AC61-9143-4635-B7C1-131D28CBFD3A}" name="14" totalsRowFunction="sum" dataDxfId="1022" totalsRowDxfId="1021" dataCellStyle="Moeda">
      <calculatedColumnFormula>SUMIFS(tabela_registros[VALOR],tabela_registros[MÊS],$AE$1,tabela_registros[DIA],investiroutrosconsolidadonov[[#Headers],[14]],tabela_registros[REGISTRO],DADOS!$N$3,tabela_registros[TIPO],DADOS!$V$3,tabela_registros[CATEGORIA],investiroutrosconsolidadonov[[#This Row],[ATUAL]])</calculatedColumnFormula>
    </tableColumn>
    <tableColumn id="16" xr3:uid="{CA7FBCA8-92F5-4AF5-AEBE-A5D99E9AF8B7}" name="15" totalsRowFunction="sum" dataDxfId="1020" totalsRowDxfId="1019" dataCellStyle="Moeda">
      <calculatedColumnFormula>SUMIFS(tabela_registros[VALOR],tabela_registros[MÊS],$AE$1,tabela_registros[DIA],investiroutrosconsolidadonov[[#Headers],[15]],tabela_registros[REGISTRO],DADOS!$N$3,tabela_registros[TIPO],DADOS!$V$3,tabela_registros[CATEGORIA],investiroutrosconsolidadonov[[#This Row],[ATUAL]])</calculatedColumnFormula>
    </tableColumn>
    <tableColumn id="17" xr3:uid="{BACD640C-7608-4EA9-AC34-467815EF3EC2}" name="16" totalsRowFunction="sum" dataDxfId="1018" totalsRowDxfId="1017" dataCellStyle="Moeda">
      <calculatedColumnFormula>SUMIFS(tabela_registros[VALOR],tabela_registros[MÊS],$AE$1,tabela_registros[DIA],investiroutrosconsolidadonov[[#Headers],[16]],tabela_registros[REGISTRO],DADOS!$N$3,tabela_registros[TIPO],DADOS!$V$3,tabela_registros[CATEGORIA],investiroutrosconsolidadonov[[#This Row],[ATUAL]])</calculatedColumnFormula>
    </tableColumn>
    <tableColumn id="18" xr3:uid="{8A118A7D-39BB-494F-ABEC-8F0E3A58A99A}" name="17" totalsRowFunction="sum" dataDxfId="1016" totalsRowDxfId="1015" dataCellStyle="Moeda">
      <calculatedColumnFormula>SUMIFS(tabela_registros[VALOR],tabela_registros[MÊS],$AE$1,tabela_registros[DIA],investiroutrosconsolidadonov[[#Headers],[17]],tabela_registros[REGISTRO],DADOS!$N$3,tabela_registros[TIPO],DADOS!$V$3,tabela_registros[CATEGORIA],investiroutrosconsolidadonov[[#This Row],[ATUAL]])</calculatedColumnFormula>
    </tableColumn>
    <tableColumn id="19" xr3:uid="{C56C4DF7-86E1-4BA6-B3F8-4A14BC7A57DE}" name="18" totalsRowFunction="sum" dataDxfId="1014" totalsRowDxfId="1013" dataCellStyle="Moeda">
      <calculatedColumnFormula>SUMIFS(tabela_registros[VALOR],tabela_registros[MÊS],$AE$1,tabela_registros[DIA],investiroutrosconsolidadonov[[#Headers],[18]],tabela_registros[REGISTRO],DADOS!$N$3,tabela_registros[TIPO],DADOS!$V$3,tabela_registros[CATEGORIA],investiroutrosconsolidadonov[[#This Row],[ATUAL]])</calculatedColumnFormula>
    </tableColumn>
    <tableColumn id="20" xr3:uid="{E773355D-AE0F-430C-BC49-3E0A831F56F4}" name="19" totalsRowFunction="sum" dataDxfId="1012" totalsRowDxfId="1011" dataCellStyle="Moeda">
      <calculatedColumnFormula>SUMIFS(tabela_registros[VALOR],tabela_registros[MÊS],$AE$1,tabela_registros[DIA],investiroutrosconsolidadonov[[#Headers],[19]],tabela_registros[REGISTRO],DADOS!$N$3,tabela_registros[TIPO],DADOS!$V$3,tabela_registros[CATEGORIA],investiroutrosconsolidadonov[[#This Row],[ATUAL]])</calculatedColumnFormula>
    </tableColumn>
    <tableColumn id="21" xr3:uid="{15A47CD3-7236-4EB0-BF40-4344BF43886D}" name="20" totalsRowFunction="sum" dataDxfId="1010" totalsRowDxfId="1009" dataCellStyle="Moeda">
      <calculatedColumnFormula>SUMIFS(tabela_registros[VALOR],tabela_registros[MÊS],$AE$1,tabela_registros[DIA],investiroutrosconsolidadonov[[#Headers],[20]],tabela_registros[REGISTRO],DADOS!$N$3,tabela_registros[TIPO],DADOS!$V$3,tabela_registros[CATEGORIA],investiroutrosconsolidadonov[[#This Row],[ATUAL]])</calculatedColumnFormula>
    </tableColumn>
    <tableColumn id="22" xr3:uid="{7371C309-B4B9-44F9-810B-008EEBAD419C}" name="21" totalsRowFunction="sum" dataDxfId="1008" totalsRowDxfId="1007" dataCellStyle="Moeda">
      <calculatedColumnFormula>SUMIFS(tabela_registros[VALOR],tabela_registros[MÊS],$AE$1,tabela_registros[DIA],investiroutrosconsolidadonov[[#Headers],[21]],tabela_registros[REGISTRO],DADOS!$N$3,tabela_registros[TIPO],DADOS!$V$3,tabela_registros[CATEGORIA],investiroutrosconsolidadonov[[#This Row],[ATUAL]])</calculatedColumnFormula>
    </tableColumn>
    <tableColumn id="23" xr3:uid="{B196CD91-D1AB-43D3-B2F2-EC5D6A2CDBDE}" name="22" totalsRowFunction="sum" dataDxfId="1006" totalsRowDxfId="1005" dataCellStyle="Moeda">
      <calculatedColumnFormula>SUMIFS(tabela_registros[VALOR],tabela_registros[MÊS],$AE$1,tabela_registros[DIA],investiroutrosconsolidadonov[[#Headers],[22]],tabela_registros[REGISTRO],DADOS!$N$3,tabela_registros[TIPO],DADOS!$V$3,tabela_registros[CATEGORIA],investiroutrosconsolidadonov[[#This Row],[ATUAL]])</calculatedColumnFormula>
    </tableColumn>
    <tableColumn id="24" xr3:uid="{35B5F231-3181-4C2E-9967-D8820362FFA5}" name="23" totalsRowFunction="sum" dataDxfId="1004" totalsRowDxfId="1003" dataCellStyle="Moeda">
      <calculatedColumnFormula>SUMIFS(tabela_registros[VALOR],tabela_registros[MÊS],$AE$1,tabela_registros[DIA],investiroutrosconsolidadonov[[#Headers],[23]],tabela_registros[REGISTRO],DADOS!$N$3,tabela_registros[TIPO],DADOS!$V$3,tabela_registros[CATEGORIA],investiroutrosconsolidadonov[[#This Row],[ATUAL]])</calculatedColumnFormula>
    </tableColumn>
    <tableColumn id="25" xr3:uid="{EFD4F026-FC93-44D1-8AC9-AD5A11AA399E}" name="24" totalsRowFunction="sum" dataDxfId="1002" totalsRowDxfId="1001" dataCellStyle="Moeda">
      <calculatedColumnFormula>SUMIFS(tabela_registros[VALOR],tabela_registros[MÊS],$AE$1,tabela_registros[DIA],investiroutrosconsolidadonov[[#Headers],[24]],tabela_registros[REGISTRO],DADOS!$N$3,tabela_registros[TIPO],DADOS!$V$3,tabela_registros[CATEGORIA],investiroutrosconsolidadonov[[#This Row],[ATUAL]])</calculatedColumnFormula>
    </tableColumn>
    <tableColumn id="26" xr3:uid="{D2715323-D829-48FC-BDA2-4CFF57451C10}" name="25" totalsRowFunction="sum" dataDxfId="1000" totalsRowDxfId="999" dataCellStyle="Moeda">
      <calculatedColumnFormula>SUMIFS(tabela_registros[VALOR],tabela_registros[MÊS],$AE$1,tabela_registros[DIA],investiroutrosconsolidadonov[[#Headers],[25]],tabela_registros[REGISTRO],DADOS!$N$3,tabela_registros[TIPO],DADOS!$V$3,tabela_registros[CATEGORIA],investiroutrosconsolidadonov[[#This Row],[ATUAL]])</calculatedColumnFormula>
    </tableColumn>
    <tableColumn id="27" xr3:uid="{C19A052D-2AF7-4B86-B37F-A9B300D1B1EC}" name="26" totalsRowFunction="sum" dataDxfId="998" totalsRowDxfId="997" dataCellStyle="Moeda">
      <calculatedColumnFormula>SUMIFS(tabela_registros[VALOR],tabela_registros[MÊS],$AE$1,tabela_registros[DIA],investiroutrosconsolidadonov[[#Headers],[26]],tabela_registros[REGISTRO],DADOS!$N$3,tabela_registros[TIPO],DADOS!$V$3,tabela_registros[CATEGORIA],investiroutrosconsolidadonov[[#This Row],[ATUAL]])</calculatedColumnFormula>
    </tableColumn>
    <tableColumn id="28" xr3:uid="{DEF09944-2260-466A-8CF2-727EC835B44D}" name="27" totalsRowFunction="sum" dataDxfId="996" totalsRowDxfId="995" dataCellStyle="Moeda">
      <calculatedColumnFormula>SUMIFS(tabela_registros[VALOR],tabela_registros[MÊS],$AE$1,tabela_registros[DIA],investiroutrosconsolidadonov[[#Headers],[27]],tabela_registros[REGISTRO],DADOS!$N$3,tabela_registros[TIPO],DADOS!$V$3,tabela_registros[CATEGORIA],investiroutrosconsolidadonov[[#This Row],[ATUAL]])</calculatedColumnFormula>
    </tableColumn>
    <tableColumn id="29" xr3:uid="{828DB303-AC3C-44DE-B178-AEDAED413604}" name="28" totalsRowFunction="sum" dataDxfId="994" totalsRowDxfId="993" dataCellStyle="Moeda">
      <calculatedColumnFormula>SUMIFS(tabela_registros[VALOR],tabela_registros[MÊS],$AE$1,tabela_registros[DIA],investiroutrosconsolidadonov[[#Headers],[28]],tabela_registros[REGISTRO],DADOS!$N$3,tabela_registros[TIPO],DADOS!$V$3,tabela_registros[CATEGORIA],investiroutrosconsolidadonov[[#This Row],[ATUAL]])</calculatedColumnFormula>
    </tableColumn>
    <tableColumn id="30" xr3:uid="{881F4C17-A459-428A-B0A9-BF8BA493F05D}" name="29" totalsRowFunction="sum" dataDxfId="992" totalsRowDxfId="991" dataCellStyle="Moeda">
      <calculatedColumnFormula>SUMIFS(tabela_registros[VALOR],tabela_registros[MÊS],$AE$1,tabela_registros[DIA],investiroutrosconsolidadonov[[#Headers],[29]],tabela_registros[REGISTRO],DADOS!$N$3,tabela_registros[TIPO],DADOS!$V$3,tabela_registros[CATEGORIA],investiroutrosconsolidadonov[[#This Row],[ATUAL]])</calculatedColumnFormula>
    </tableColumn>
    <tableColumn id="31" xr3:uid="{73920BE5-50FC-4030-9772-19E061EDDFA5}" name="30" totalsRowFunction="sum" dataDxfId="990" totalsRowDxfId="989" dataCellStyle="Moeda">
      <calculatedColumnFormula>SUMIFS(tabela_registros[VALOR],tabela_registros[MÊS],$AE$1,tabela_registros[DIA],investiroutrosconsolidadonov[[#Headers],[30]],tabela_registros[REGISTRO],DADOS!$N$3,tabela_registros[TIPO],DADOS!$V$3,tabela_registros[CATEGORIA],investiroutrosconsolidadonov[[#This Row],[ATUAL]])</calculatedColumnFormula>
    </tableColumn>
    <tableColumn id="32" xr3:uid="{B100A966-1367-45FF-A829-C0286BF506F8}" name="31" totalsRowFunction="sum" dataDxfId="988" totalsRowDxfId="987" dataCellStyle="Moeda">
      <calculatedColumnFormula>SUMIFS(tabela_registros[VALOR],tabela_registros[MÊS],$AE$1,tabela_registros[DIA],investiroutrosconsolidadonov[[#Headers],[31]],tabela_registros[REGISTRO],DADOS!$N$3,tabela_registros[TIPO],DADOS!$V$3,tabela_registros[CATEGORIA],investiroutrosconsolidadonov[[#This Row],[ATUAL]])</calculatedColumnFormula>
    </tableColumn>
    <tableColumn id="33" xr3:uid="{EFE077A7-AF87-4F14-B3ED-D0A5BF625717}" name="TOTAL (R$)" totalsRowFunction="sum" dataDxfId="986" dataCellStyle="Moeda">
      <calculatedColumnFormula>SUM(investiroutrosconsolidadonov[[#This Row],[1]:[31]])</calculatedColumnFormula>
    </tableColumn>
  </tableColumns>
  <tableStyleInfo name="TABELAS RESULTADOS" showFirstColumn="0" showLastColumn="0" showRowStripes="1" showColumnStripes="0"/>
</table>
</file>

<file path=xl/tables/table14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9" xr:uid="{F6D3F849-A9EA-4C08-B572-B793D0D59B59}" name="reservafixaconsolidadonov" displayName="reservafixaconsolidadonov" ref="C167:AJ178" headerRowDxfId="985" dataDxfId="984" totalsRowDxfId="983">
  <autoFilter ref="C167:AJ178" xr:uid="{CDBD73CF-1633-4509-BA0C-4B73FF7E50BA}"/>
  <tableColumns count="34">
    <tableColumn id="1" xr3:uid="{91047B3E-F295-44BD-9B25-7261CB77A1E9}" name="ATUAL" totalsRowLabel="SALDO" dataDxfId="982"/>
    <tableColumn id="34" xr3:uid="{E34FCC2E-A46B-4C12-A031-C9C4F523ED76}" name="Coluna1" dataDxfId="981" totalsRowDxfId="980">
      <calculatedColumnFormula>IF(reservafixaconsolidadonov[[#This Row],[TOTAL (R$)]]=0,"",IF(OR(reservafixaconsolidadonov[[#This Row],[TOTAL (R$)]]=LARGE($AJ$168:$AJ$177,1),reservafixaconsolidadonov[[#This Row],[TOTAL (R$)]]=LARGE($AJ$168:$AJ$177,2)),DADOS!$I$11,""))</calculatedColumnFormula>
    </tableColumn>
    <tableColumn id="2" xr3:uid="{2F365FEC-49CB-4288-8624-FF1AA9F0AC90}" name="1" totalsRowFunction="sum" dataDxfId="979" dataCellStyle="Moeda"/>
    <tableColumn id="3" xr3:uid="{DEF9ED9C-1024-4C4A-BE67-C4DF4B8A1153}" name="2" totalsRowFunction="sum" dataDxfId="978" dataCellStyle="Moeda">
      <calculatedColumnFormula>SUMIFS(tabela_registros[VALOR],tabela_registros[MÊS],$AE$1,tabela_registros[DIA],reservafixaconsolidadonov[[#Headers],[2]],tabela_registros[REGISTRO],DADOS!$N$3,tabela_registros[TIPO],DADOS!$V$3,tabela_registros[CATEGORIA],reservafixaconsolidadonov[[#This Row],[ATUAL]])</calculatedColumnFormula>
    </tableColumn>
    <tableColumn id="4" xr3:uid="{F93C43BB-8173-4A5E-B335-34FFA74D8375}" name="3" totalsRowFunction="sum" dataDxfId="977" totalsRowDxfId="976" dataCellStyle="Moeda">
      <calculatedColumnFormula>SUMIFS(tabela_registros[VALOR],tabela_registros[MÊS],$AE$1,tabela_registros[DIA],reservafixaconsolidadonov[[#Headers],[3]],tabela_registros[REGISTRO],DADOS!$N$3,tabela_registros[TIPO],DADOS!$V$3,tabela_registros[CATEGORIA],reservafixaconsolidadonov[[#This Row],[ATUAL]])</calculatedColumnFormula>
    </tableColumn>
    <tableColumn id="5" xr3:uid="{C42C3667-244D-4272-A823-E4097D63AF42}" name="4" totalsRowFunction="sum" dataDxfId="975" totalsRowDxfId="974" dataCellStyle="Moeda">
      <calculatedColumnFormula>SUMIFS(tabela_registros[VALOR],tabela_registros[MÊS],$AE$1,tabela_registros[DIA],reservafixaconsolidadonov[[#Headers],[4]],tabela_registros[REGISTRO],DADOS!$N$3,tabela_registros[TIPO],DADOS!$V$3,tabela_registros[CATEGORIA],reservafixaconsolidadonov[[#This Row],[ATUAL]])</calculatedColumnFormula>
    </tableColumn>
    <tableColumn id="6" xr3:uid="{69F32BE4-19B1-4675-B7DF-A65D8E861539}" name="5" totalsRowFunction="sum" dataDxfId="973" totalsRowDxfId="972" dataCellStyle="Moeda">
      <calculatedColumnFormula>SUMIFS(tabela_registros[VALOR],tabela_registros[MÊS],$AE$1,tabela_registros[DIA],reservafixaconsolidadonov[[#Headers],[5]],tabela_registros[REGISTRO],DADOS!$N$3,tabela_registros[TIPO],DADOS!$V$3,tabela_registros[CATEGORIA],reservafixaconsolidadonov[[#This Row],[ATUAL]])</calculatedColumnFormula>
    </tableColumn>
    <tableColumn id="7" xr3:uid="{C0865115-340D-4F26-ADCD-9CD2B59A17C7}" name="6" totalsRowFunction="sum" dataDxfId="971" totalsRowDxfId="970" dataCellStyle="Moeda">
      <calculatedColumnFormula>SUMIFS(tabela_registros[VALOR],tabela_registros[MÊS],$AE$1,tabela_registros[DIA],reservafixaconsolidadonov[[#Headers],[6]],tabela_registros[REGISTRO],DADOS!$N$3,tabela_registros[TIPO],DADOS!$V$3,tabela_registros[CATEGORIA],reservafixaconsolidadonov[[#This Row],[ATUAL]])</calculatedColumnFormula>
    </tableColumn>
    <tableColumn id="8" xr3:uid="{B9B90039-5D24-41C4-832E-1F14493D34B0}" name="7" totalsRowFunction="sum" dataDxfId="969" totalsRowDxfId="968" dataCellStyle="Moeda">
      <calculatedColumnFormula>SUMIFS(tabela_registros[VALOR],tabela_registros[MÊS],$AE$1,tabela_registros[DIA],reservafixaconsolidadonov[[#Headers],[7]],tabela_registros[REGISTRO],DADOS!$N$3,tabela_registros[TIPO],DADOS!$V$3,tabela_registros[CATEGORIA],reservafixaconsolidadonov[[#This Row],[ATUAL]])</calculatedColumnFormula>
    </tableColumn>
    <tableColumn id="9" xr3:uid="{EDF34671-5F8C-431B-9BB7-EC96A109971E}" name="8" totalsRowFunction="sum" dataDxfId="967" totalsRowDxfId="966" dataCellStyle="Moeda">
      <calculatedColumnFormula>SUMIFS(tabela_registros[VALOR],tabela_registros[MÊS],$AE$1,tabela_registros[DIA],reservafixaconsolidadonov[[#Headers],[8]],tabela_registros[REGISTRO],DADOS!$N$3,tabela_registros[TIPO],DADOS!$V$3,tabela_registros[CATEGORIA],reservafixaconsolidadonov[[#This Row],[ATUAL]])</calculatedColumnFormula>
    </tableColumn>
    <tableColumn id="10" xr3:uid="{5AC9E1A9-34FE-42EF-A2D4-24DFD44E3B48}" name="9" totalsRowFunction="sum" dataDxfId="965" totalsRowDxfId="964" dataCellStyle="Moeda">
      <calculatedColumnFormula>SUMIFS(tabela_registros[VALOR],tabela_registros[MÊS],$AE$1,tabela_registros[DIA],reservafixaconsolidadonov[[#Headers],[9]],tabela_registros[REGISTRO],DADOS!$N$3,tabela_registros[TIPO],DADOS!$V$3,tabela_registros[CATEGORIA],reservafixaconsolidadonov[[#This Row],[ATUAL]])</calculatedColumnFormula>
    </tableColumn>
    <tableColumn id="11" xr3:uid="{E14D39DE-0601-4150-9E3C-BE1F7F7BB2B0}" name="10" totalsRowFunction="sum" dataDxfId="963" totalsRowDxfId="962" dataCellStyle="Moeda">
      <calculatedColumnFormula>SUMIFS(tabela_registros[VALOR],tabela_registros[MÊS],$AE$1,tabela_registros[DIA],reservafixaconsolidadonov[[#Headers],[10]],tabela_registros[REGISTRO],DADOS!$N$3,tabela_registros[TIPO],DADOS!$V$3,tabela_registros[CATEGORIA],reservafixaconsolidadonov[[#This Row],[ATUAL]])</calculatedColumnFormula>
    </tableColumn>
    <tableColumn id="12" xr3:uid="{216FFA08-928E-4796-90EE-296ACC676FA5}" name="11" totalsRowFunction="sum" dataDxfId="961" totalsRowDxfId="960" dataCellStyle="Moeda">
      <calculatedColumnFormula>SUMIFS(tabela_registros[VALOR],tabela_registros[MÊS],$AE$1,tabela_registros[DIA],reservafixaconsolidadonov[[#Headers],[11]],tabela_registros[REGISTRO],DADOS!$N$3,tabela_registros[TIPO],DADOS!$V$3,tabela_registros[CATEGORIA],reservafixaconsolidadonov[[#This Row],[ATUAL]])</calculatedColumnFormula>
    </tableColumn>
    <tableColumn id="13" xr3:uid="{0913945F-96D8-46CD-BC42-ABE486B128DE}" name="12" totalsRowFunction="sum" dataDxfId="959" totalsRowDxfId="958" dataCellStyle="Moeda">
      <calculatedColumnFormula>SUMIFS(tabela_registros[VALOR],tabela_registros[MÊS],$AE$1,tabela_registros[DIA],reservafixaconsolidadonov[[#Headers],[12]],tabela_registros[REGISTRO],DADOS!$N$3,tabela_registros[TIPO],DADOS!$V$3,tabela_registros[CATEGORIA],reservafixaconsolidadonov[[#This Row],[ATUAL]])</calculatedColumnFormula>
    </tableColumn>
    <tableColumn id="14" xr3:uid="{D495803D-434C-4AA4-8A6F-F8C3819308B2}" name="13" totalsRowFunction="sum" dataDxfId="957" totalsRowDxfId="956" dataCellStyle="Moeda">
      <calculatedColumnFormula>SUMIFS(tabela_registros[VALOR],tabela_registros[MÊS],$AE$1,tabela_registros[DIA],reservafixaconsolidadonov[[#Headers],[13]],tabela_registros[REGISTRO],DADOS!$N$3,tabela_registros[TIPO],DADOS!$V$3,tabela_registros[CATEGORIA],reservafixaconsolidadonov[[#This Row],[ATUAL]])</calculatedColumnFormula>
    </tableColumn>
    <tableColumn id="15" xr3:uid="{FFBCA0EB-037F-4F23-8578-83FE4B26DD2F}" name="14" totalsRowFunction="sum" dataDxfId="955" totalsRowDxfId="954" dataCellStyle="Moeda">
      <calculatedColumnFormula>SUMIFS(tabela_registros[VALOR],tabela_registros[MÊS],$AE$1,tabela_registros[DIA],reservafixaconsolidadonov[[#Headers],[14]],tabela_registros[REGISTRO],DADOS!$N$3,tabela_registros[TIPO],DADOS!$V$3,tabela_registros[CATEGORIA],reservafixaconsolidadonov[[#This Row],[ATUAL]])</calculatedColumnFormula>
    </tableColumn>
    <tableColumn id="16" xr3:uid="{1F80DB39-6977-4EB7-AD65-4B269ABD93AD}" name="15" totalsRowFunction="sum" dataDxfId="953" totalsRowDxfId="952" dataCellStyle="Moeda">
      <calculatedColumnFormula>SUMIFS(tabela_registros[VALOR],tabela_registros[MÊS],$AE$1,tabela_registros[DIA],reservafixaconsolidadonov[[#Headers],[15]],tabela_registros[REGISTRO],DADOS!$N$3,tabela_registros[TIPO],DADOS!$V$3,tabela_registros[CATEGORIA],reservafixaconsolidadonov[[#This Row],[ATUAL]])</calculatedColumnFormula>
    </tableColumn>
    <tableColumn id="17" xr3:uid="{FAAB79B3-0304-494F-9061-B65633D63F6C}" name="16" totalsRowFunction="sum" dataDxfId="951" totalsRowDxfId="950" dataCellStyle="Moeda">
      <calculatedColumnFormula>SUMIFS(tabela_registros[VALOR],tabela_registros[MÊS],$AE$1,tabela_registros[DIA],reservafixaconsolidadonov[[#Headers],[16]],tabela_registros[REGISTRO],DADOS!$N$3,tabela_registros[TIPO],DADOS!$V$3,tabela_registros[CATEGORIA],reservafixaconsolidadonov[[#This Row],[ATUAL]])</calculatedColumnFormula>
    </tableColumn>
    <tableColumn id="18" xr3:uid="{255EB952-FC0E-4A9E-8F39-48E3E7BCBCCD}" name="17" totalsRowFunction="sum" dataDxfId="949" totalsRowDxfId="948" dataCellStyle="Moeda">
      <calculatedColumnFormula>SUMIFS(tabela_registros[VALOR],tabela_registros[MÊS],$AE$1,tabela_registros[DIA],reservafixaconsolidadonov[[#Headers],[17]],tabela_registros[REGISTRO],DADOS!$N$3,tabela_registros[TIPO],DADOS!$V$3,tabela_registros[CATEGORIA],reservafixaconsolidadonov[[#This Row],[ATUAL]])</calculatedColumnFormula>
    </tableColumn>
    <tableColumn id="19" xr3:uid="{4601C29B-0F14-4857-99BC-F90E54EC227F}" name="18" totalsRowFunction="sum" dataDxfId="947" totalsRowDxfId="946" dataCellStyle="Moeda">
      <calculatedColumnFormula>SUMIFS(tabela_registros[VALOR],tabela_registros[MÊS],$AE$1,tabela_registros[DIA],reservafixaconsolidadonov[[#Headers],[18]],tabela_registros[REGISTRO],DADOS!$N$3,tabela_registros[TIPO],DADOS!$V$3,tabela_registros[CATEGORIA],reservafixaconsolidadonov[[#This Row],[ATUAL]])</calculatedColumnFormula>
    </tableColumn>
    <tableColumn id="20" xr3:uid="{998F5FBA-185C-4F3C-9C5C-F4FC1AE3097C}" name="19" totalsRowFunction="sum" dataDxfId="945" totalsRowDxfId="944" dataCellStyle="Moeda">
      <calculatedColumnFormula>SUMIFS(tabela_registros[VALOR],tabela_registros[MÊS],$AE$1,tabela_registros[DIA],reservafixaconsolidadonov[[#Headers],[19]],tabela_registros[REGISTRO],DADOS!$N$3,tabela_registros[TIPO],DADOS!$V$3,tabela_registros[CATEGORIA],reservafixaconsolidadonov[[#This Row],[ATUAL]])</calculatedColumnFormula>
    </tableColumn>
    <tableColumn id="21" xr3:uid="{9BB3BA64-BC9A-472F-87B4-34AEF68F6337}" name="20" totalsRowFunction="sum" dataDxfId="943" totalsRowDxfId="942" dataCellStyle="Moeda">
      <calculatedColumnFormula>SUMIFS(tabela_registros[VALOR],tabela_registros[MÊS],$AE$1,tabela_registros[DIA],reservafixaconsolidadonov[[#Headers],[20]],tabela_registros[REGISTRO],DADOS!$N$3,tabela_registros[TIPO],DADOS!$V$3,tabela_registros[CATEGORIA],reservafixaconsolidadonov[[#This Row],[ATUAL]])</calculatedColumnFormula>
    </tableColumn>
    <tableColumn id="22" xr3:uid="{C5EEF647-9D28-4B82-9BEE-5FF099063ED0}" name="21" totalsRowFunction="sum" dataDxfId="941" totalsRowDxfId="940" dataCellStyle="Moeda">
      <calculatedColumnFormula>SUMIFS(tabela_registros[VALOR],tabela_registros[MÊS],$AE$1,tabela_registros[DIA],reservafixaconsolidadonov[[#Headers],[21]],tabela_registros[REGISTRO],DADOS!$N$3,tabela_registros[TIPO],DADOS!$V$3,tabela_registros[CATEGORIA],reservafixaconsolidadonov[[#This Row],[ATUAL]])</calculatedColumnFormula>
    </tableColumn>
    <tableColumn id="23" xr3:uid="{386BF298-FD2C-4496-A0CC-E27A3A7A5752}" name="22" totalsRowFunction="sum" dataDxfId="939" totalsRowDxfId="938" dataCellStyle="Moeda">
      <calculatedColumnFormula>SUMIFS(tabela_registros[VALOR],tabela_registros[MÊS],$AE$1,tabela_registros[DIA],reservafixaconsolidadonov[[#Headers],[22]],tabela_registros[REGISTRO],DADOS!$N$3,tabela_registros[TIPO],DADOS!$V$3,tabela_registros[CATEGORIA],reservafixaconsolidadonov[[#This Row],[ATUAL]])</calculatedColumnFormula>
    </tableColumn>
    <tableColumn id="24" xr3:uid="{8354D087-9641-4E5A-BD57-0B741AE4821A}" name="23" totalsRowFunction="sum" dataDxfId="937" totalsRowDxfId="936" dataCellStyle="Moeda">
      <calculatedColumnFormula>SUMIFS(tabela_registros[VALOR],tabela_registros[MÊS],$AE$1,tabela_registros[DIA],reservafixaconsolidadonov[[#Headers],[23]],tabela_registros[REGISTRO],DADOS!$N$3,tabela_registros[TIPO],DADOS!$V$3,tabela_registros[CATEGORIA],reservafixaconsolidadonov[[#This Row],[ATUAL]])</calculatedColumnFormula>
    </tableColumn>
    <tableColumn id="25" xr3:uid="{C9579B53-BB81-4495-8CF3-B41E5B74BA1C}" name="24" totalsRowFunction="sum" dataDxfId="935" totalsRowDxfId="934" dataCellStyle="Moeda">
      <calculatedColumnFormula>SUMIFS(tabela_registros[VALOR],tabela_registros[MÊS],$AE$1,tabela_registros[DIA],reservafixaconsolidadonov[[#Headers],[24]],tabela_registros[REGISTRO],DADOS!$N$3,tabela_registros[TIPO],DADOS!$V$3,tabela_registros[CATEGORIA],reservafixaconsolidadonov[[#This Row],[ATUAL]])</calculatedColumnFormula>
    </tableColumn>
    <tableColumn id="26" xr3:uid="{D81BDC3A-E538-4A3E-878C-7F75418E0BE1}" name="25" totalsRowFunction="sum" dataDxfId="933" totalsRowDxfId="932" dataCellStyle="Moeda">
      <calculatedColumnFormula>SUMIFS(tabela_registros[VALOR],tabela_registros[MÊS],$AE$1,tabela_registros[DIA],reservafixaconsolidadonov[[#Headers],[25]],tabela_registros[REGISTRO],DADOS!$N$3,tabela_registros[TIPO],DADOS!$V$3,tabela_registros[CATEGORIA],reservafixaconsolidadonov[[#This Row],[ATUAL]])</calculatedColumnFormula>
    </tableColumn>
    <tableColumn id="27" xr3:uid="{47E0647F-FD38-4BD0-8375-A3DDBB506AD0}" name="26" totalsRowFunction="sum" dataDxfId="931" totalsRowDxfId="930" dataCellStyle="Moeda">
      <calculatedColumnFormula>SUMIFS(tabela_registros[VALOR],tabela_registros[MÊS],$AE$1,tabela_registros[DIA],reservafixaconsolidadonov[[#Headers],[26]],tabela_registros[REGISTRO],DADOS!$N$3,tabela_registros[TIPO],DADOS!$V$3,tabela_registros[CATEGORIA],reservafixaconsolidadonov[[#This Row],[ATUAL]])</calculatedColumnFormula>
    </tableColumn>
    <tableColumn id="28" xr3:uid="{6AFD19FE-8F91-4FB9-8430-C7A2C98CE89D}" name="27" totalsRowFunction="sum" dataDxfId="929" totalsRowDxfId="928" dataCellStyle="Moeda">
      <calculatedColumnFormula>SUMIFS(tabela_registros[VALOR],tabela_registros[MÊS],$AE$1,tabela_registros[DIA],reservafixaconsolidadonov[[#Headers],[27]],tabela_registros[REGISTRO],DADOS!$N$3,tabela_registros[TIPO],DADOS!$V$3,tabela_registros[CATEGORIA],reservafixaconsolidadonov[[#This Row],[ATUAL]])</calculatedColumnFormula>
    </tableColumn>
    <tableColumn id="29" xr3:uid="{44E19FE2-E5D9-4395-820E-D1EBE80F1C28}" name="28" totalsRowFunction="sum" dataDxfId="927" totalsRowDxfId="926" dataCellStyle="Moeda">
      <calculatedColumnFormula>SUMIFS(tabela_registros[VALOR],tabela_registros[MÊS],$AE$1,tabela_registros[DIA],reservafixaconsolidadonov[[#Headers],[28]],tabela_registros[REGISTRO],DADOS!$N$3,tabela_registros[TIPO],DADOS!$V$3,tabela_registros[CATEGORIA],reservafixaconsolidadonov[[#This Row],[ATUAL]])</calculatedColumnFormula>
    </tableColumn>
    <tableColumn id="30" xr3:uid="{59675374-505B-4591-9054-FFA687E26F6F}" name="29" totalsRowFunction="sum" dataDxfId="925" totalsRowDxfId="924" dataCellStyle="Moeda">
      <calculatedColumnFormula>SUMIFS(tabela_registros[VALOR],tabela_registros[MÊS],$AE$1,tabela_registros[DIA],reservafixaconsolidadonov[[#Headers],[29]],tabela_registros[REGISTRO],DADOS!$N$3,tabela_registros[TIPO],DADOS!$V$3,tabela_registros[CATEGORIA],reservafixaconsolidadonov[[#This Row],[ATUAL]])</calculatedColumnFormula>
    </tableColumn>
    <tableColumn id="31" xr3:uid="{E7D46FCD-EDB6-4A58-84EB-7B510811D10D}" name="30" totalsRowFunction="sum" dataDxfId="923" totalsRowDxfId="922" dataCellStyle="Moeda">
      <calculatedColumnFormula>SUMIFS(tabela_registros[VALOR],tabela_registros[MÊS],$AE$1,tabela_registros[DIA],reservafixaconsolidadonov[[#Headers],[30]],tabela_registros[REGISTRO],DADOS!$N$3,tabela_registros[TIPO],DADOS!$V$3,tabela_registros[CATEGORIA],reservafixaconsolidadonov[[#This Row],[ATUAL]])</calculatedColumnFormula>
    </tableColumn>
    <tableColumn id="32" xr3:uid="{D5EC25B1-9170-4D05-B491-841E69CEE2CD}" name="31" totalsRowFunction="sum" dataDxfId="921" totalsRowDxfId="920" dataCellStyle="Moeda">
      <calculatedColumnFormula>SUMIFS(tabela_registros[VALOR],tabela_registros[MÊS],$AE$1,tabela_registros[DIA],reservafixaconsolidadonov[[#Headers],[31]],tabela_registros[REGISTRO],DADOS!$N$3,tabela_registros[TIPO],DADOS!$V$3,tabela_registros[CATEGORIA],reservafixaconsolidadonov[[#This Row],[ATUAL]])</calculatedColumnFormula>
    </tableColumn>
    <tableColumn id="33" xr3:uid="{C60B7792-03EA-481B-AB95-8FDD67D88218}" name="TOTAL (R$)" totalsRowFunction="sum" dataDxfId="919" dataCellStyle="Moeda">
      <calculatedColumnFormula>SUM(reservafixaconsolidadonov[[#This Row],[1]:[31]])</calculatedColumnFormula>
    </tableColumn>
  </tableColumns>
  <tableStyleInfo name="TABELAS RESULTADOS" showFirstColumn="0" showLastColumn="0" showRowStripes="1" showColumnStripes="0"/>
</table>
</file>

<file path=xl/tables/table14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0" xr:uid="{360DC8AC-17C9-400C-8ED7-61767CDC3792}" name="reservavariáveisconsolidadonov" displayName="reservavariáveisconsolidadonov" ref="C186:AJ197" headerRowDxfId="918" dataDxfId="917" totalsRowDxfId="916">
  <autoFilter ref="C186:AJ197" xr:uid="{D1B0BC4A-55A7-40F2-94A1-407E95E214F4}"/>
  <tableColumns count="34">
    <tableColumn id="1" xr3:uid="{58F12865-67FF-4B9E-A309-AF943CF86DA6}" name="ATUAL" totalsRowLabel="SALDO" dataDxfId="915"/>
    <tableColumn id="34" xr3:uid="{313D36CD-BEE6-4F99-94CF-02A3256E633A}" name="Coluna1" dataDxfId="914" totalsRowDxfId="913">
      <calculatedColumnFormula>IF(reservavariáveisconsolidadonov[[#This Row],[TOTAL (R$)]]=0,"",IF(OR(reservavariáveisconsolidadonov[[#This Row],[TOTAL (R$)]]=LARGE($AJ$187:$AJ$196,1),reservavariáveisconsolidadonov[[#This Row],[TOTAL (R$)]]=LARGE($AJ$187:$AJ$196,2)),DADOS!$I$11,""))</calculatedColumnFormula>
    </tableColumn>
    <tableColumn id="2" xr3:uid="{65F7F80A-99F1-4F59-97F1-F63A13B182D6}" name="1" totalsRowFunction="sum" dataDxfId="912" dataCellStyle="Moeda"/>
    <tableColumn id="3" xr3:uid="{FCD82400-E225-427B-9F6D-688F36D45E24}" name="2" totalsRowFunction="sum" dataDxfId="911" dataCellStyle="Moeda">
      <calculatedColumnFormula>SUMIFS(tabela_registros[VALOR],tabela_registros[MÊS],$AE$1,tabela_registros[DIA],reservavariáveisconsolidadonov[[#Headers],[2]],tabela_registros[REGISTRO],DADOS!$N$3,tabela_registros[TIPO],DADOS!$V$3,tabela_registros[CATEGORIA],reservavariáveisconsolidadonov[[#This Row],[ATUAL]])</calculatedColumnFormula>
    </tableColumn>
    <tableColumn id="4" xr3:uid="{9E79643D-2FE2-466D-8E9C-9BFC2608E1F8}" name="3" totalsRowFunction="sum" dataDxfId="910" totalsRowDxfId="909" dataCellStyle="Moeda">
      <calculatedColumnFormula>SUMIFS(tabela_registros[VALOR],tabela_registros[MÊS],$AE$1,tabela_registros[DIA],reservavariáveisconsolidadonov[[#Headers],[3]],tabela_registros[REGISTRO],DADOS!$N$3,tabela_registros[TIPO],DADOS!$V$3,tabela_registros[CATEGORIA],reservavariáveisconsolidadonov[[#This Row],[ATUAL]])</calculatedColumnFormula>
    </tableColumn>
    <tableColumn id="5" xr3:uid="{3D6122AC-EF3F-46D2-A081-850A91F9E51E}" name="4" totalsRowFunction="sum" dataDxfId="908" totalsRowDxfId="907" dataCellStyle="Moeda">
      <calculatedColumnFormula>SUMIFS(tabela_registros[VALOR],tabela_registros[MÊS],$AE$1,tabela_registros[DIA],reservavariáveisconsolidadonov[[#Headers],[4]],tabela_registros[REGISTRO],DADOS!$N$3,tabela_registros[TIPO],DADOS!$V$3,tabela_registros[CATEGORIA],reservavariáveisconsolidadonov[[#This Row],[ATUAL]])</calculatedColumnFormula>
    </tableColumn>
    <tableColumn id="6" xr3:uid="{6C44A6B9-3D66-4C8A-9664-BD03A1ED0E92}" name="5" totalsRowFunction="sum" dataDxfId="906" totalsRowDxfId="905" dataCellStyle="Moeda">
      <calculatedColumnFormula>SUMIFS(tabela_registros[VALOR],tabela_registros[MÊS],$AE$1,tabela_registros[DIA],reservavariáveisconsolidadonov[[#Headers],[5]],tabela_registros[REGISTRO],DADOS!$N$3,tabela_registros[TIPO],DADOS!$V$3,tabela_registros[CATEGORIA],reservavariáveisconsolidadonov[[#This Row],[ATUAL]])</calculatedColumnFormula>
    </tableColumn>
    <tableColumn id="7" xr3:uid="{5F506928-A9C2-4CD3-A658-05B8A33FBDB2}" name="6" totalsRowFunction="sum" dataDxfId="904" totalsRowDxfId="903" dataCellStyle="Moeda">
      <calculatedColumnFormula>SUMIFS(tabela_registros[VALOR],tabela_registros[MÊS],$AE$1,tabela_registros[DIA],reservavariáveisconsolidadonov[[#Headers],[6]],tabela_registros[REGISTRO],DADOS!$N$3,tabela_registros[TIPO],DADOS!$V$3,tabela_registros[CATEGORIA],reservavariáveisconsolidadonov[[#This Row],[ATUAL]])</calculatedColumnFormula>
    </tableColumn>
    <tableColumn id="8" xr3:uid="{5FF613D7-6E84-40F3-B9FB-3B2A43697E1C}" name="7" totalsRowFunction="sum" dataDxfId="902" totalsRowDxfId="901" dataCellStyle="Moeda">
      <calculatedColumnFormula>SUMIFS(tabela_registros[VALOR],tabela_registros[MÊS],$AE$1,tabela_registros[DIA],reservavariáveisconsolidadonov[[#Headers],[7]],tabela_registros[REGISTRO],DADOS!$N$3,tabela_registros[TIPO],DADOS!$V$3,tabela_registros[CATEGORIA],reservavariáveisconsolidadonov[[#This Row],[ATUAL]])</calculatedColumnFormula>
    </tableColumn>
    <tableColumn id="9" xr3:uid="{EF9EAA83-D9F6-40C8-A368-E4A875A4914A}" name="8" totalsRowFunction="sum" dataDxfId="900" totalsRowDxfId="899" dataCellStyle="Moeda">
      <calculatedColumnFormula>SUMIFS(tabela_registros[VALOR],tabela_registros[MÊS],$AE$1,tabela_registros[DIA],reservavariáveisconsolidadonov[[#Headers],[8]],tabela_registros[REGISTRO],DADOS!$N$3,tabela_registros[TIPO],DADOS!$V$3,tabela_registros[CATEGORIA],reservavariáveisconsolidadonov[[#This Row],[ATUAL]])</calculatedColumnFormula>
    </tableColumn>
    <tableColumn id="10" xr3:uid="{B8BD371F-B1A9-4060-AAC1-B2EC887E32DA}" name="9" totalsRowFunction="sum" dataDxfId="898" totalsRowDxfId="897" dataCellStyle="Moeda">
      <calculatedColumnFormula>SUMIFS(tabela_registros[VALOR],tabela_registros[MÊS],$AE$1,tabela_registros[DIA],reservavariáveisconsolidadonov[[#Headers],[9]],tabela_registros[REGISTRO],DADOS!$N$3,tabela_registros[TIPO],DADOS!$V$3,tabela_registros[CATEGORIA],reservavariáveisconsolidadonov[[#This Row],[ATUAL]])</calculatedColumnFormula>
    </tableColumn>
    <tableColumn id="11" xr3:uid="{8749CAFA-338A-4B51-90C2-4AACE801F7BF}" name="10" totalsRowFunction="sum" dataDxfId="896" totalsRowDxfId="895" dataCellStyle="Moeda">
      <calculatedColumnFormula>SUMIFS(tabela_registros[VALOR],tabela_registros[MÊS],$AE$1,tabela_registros[DIA],reservavariáveisconsolidadonov[[#Headers],[10]],tabela_registros[REGISTRO],DADOS!$N$3,tabela_registros[TIPO],DADOS!$V$3,tabela_registros[CATEGORIA],reservavariáveisconsolidadonov[[#This Row],[ATUAL]])</calculatedColumnFormula>
    </tableColumn>
    <tableColumn id="12" xr3:uid="{1B98CB30-F84D-4468-A4D5-F5A74C98E871}" name="11" totalsRowFunction="sum" dataDxfId="894" totalsRowDxfId="893" dataCellStyle="Moeda">
      <calculatedColumnFormula>SUMIFS(tabela_registros[VALOR],tabela_registros[MÊS],$AE$1,tabela_registros[DIA],reservavariáveisconsolidadonov[[#Headers],[11]],tabela_registros[REGISTRO],DADOS!$N$3,tabela_registros[TIPO],DADOS!$V$3,tabela_registros[CATEGORIA],reservavariáveisconsolidadonov[[#This Row],[ATUAL]])</calculatedColumnFormula>
    </tableColumn>
    <tableColumn id="13" xr3:uid="{C4D3D05C-7EDF-4363-B762-3076DCEB7916}" name="12" totalsRowFunction="sum" dataDxfId="892" totalsRowDxfId="891" dataCellStyle="Moeda">
      <calculatedColumnFormula>SUMIFS(tabela_registros[VALOR],tabela_registros[MÊS],$AE$1,tabela_registros[DIA],reservavariáveisconsolidadonov[[#Headers],[12]],tabela_registros[REGISTRO],DADOS!$N$3,tabela_registros[TIPO],DADOS!$V$3,tabela_registros[CATEGORIA],reservavariáveisconsolidadonov[[#This Row],[ATUAL]])</calculatedColumnFormula>
    </tableColumn>
    <tableColumn id="14" xr3:uid="{D69E20BC-C07D-4336-BFCD-08A97D24F7F0}" name="13" totalsRowFunction="sum" dataDxfId="890" totalsRowDxfId="889" dataCellStyle="Moeda">
      <calculatedColumnFormula>SUMIFS(tabela_registros[VALOR],tabela_registros[MÊS],$AE$1,tabela_registros[DIA],reservavariáveisconsolidadonov[[#Headers],[13]],tabela_registros[REGISTRO],DADOS!$N$3,tabela_registros[TIPO],DADOS!$V$3,tabela_registros[CATEGORIA],reservavariáveisconsolidadonov[[#This Row],[ATUAL]])</calculatedColumnFormula>
    </tableColumn>
    <tableColumn id="15" xr3:uid="{524394E8-A593-4CCA-8BC3-D0359897F05A}" name="14" totalsRowFunction="sum" dataDxfId="888" totalsRowDxfId="887" dataCellStyle="Moeda">
      <calculatedColumnFormula>SUMIFS(tabela_registros[VALOR],tabela_registros[MÊS],$AE$1,tabela_registros[DIA],reservavariáveisconsolidadonov[[#Headers],[14]],tabela_registros[REGISTRO],DADOS!$N$3,tabela_registros[TIPO],DADOS!$V$3,tabela_registros[CATEGORIA],reservavariáveisconsolidadonov[[#This Row],[ATUAL]])</calculatedColumnFormula>
    </tableColumn>
    <tableColumn id="16" xr3:uid="{AD8F0E79-0E17-47CF-A403-7DF52B89E371}" name="15" totalsRowFunction="sum" dataDxfId="886" totalsRowDxfId="885" dataCellStyle="Moeda">
      <calculatedColumnFormula>SUMIFS(tabela_registros[VALOR],tabela_registros[MÊS],$AE$1,tabela_registros[DIA],reservavariáveisconsolidadonov[[#Headers],[15]],tabela_registros[REGISTRO],DADOS!$N$3,tabela_registros[TIPO],DADOS!$V$3,tabela_registros[CATEGORIA],reservavariáveisconsolidadonov[[#This Row],[ATUAL]])</calculatedColumnFormula>
    </tableColumn>
    <tableColumn id="17" xr3:uid="{F7863726-F3DE-43BC-9F99-C8A4A59E6F0E}" name="16" totalsRowFunction="sum" dataDxfId="884" totalsRowDxfId="883" dataCellStyle="Moeda">
      <calculatedColumnFormula>SUMIFS(tabela_registros[VALOR],tabela_registros[MÊS],$AE$1,tabela_registros[DIA],reservavariáveisconsolidadonov[[#Headers],[16]],tabela_registros[REGISTRO],DADOS!$N$3,tabela_registros[TIPO],DADOS!$V$3,tabela_registros[CATEGORIA],reservavariáveisconsolidadonov[[#This Row],[ATUAL]])</calculatedColumnFormula>
    </tableColumn>
    <tableColumn id="18" xr3:uid="{88568C69-34BA-40BD-B81F-85C5DDC6579B}" name="17" totalsRowFunction="sum" dataDxfId="882" totalsRowDxfId="881" dataCellStyle="Moeda">
      <calculatedColumnFormula>SUMIFS(tabela_registros[VALOR],tabela_registros[MÊS],$AE$1,tabela_registros[DIA],reservavariáveisconsolidadonov[[#Headers],[17]],tabela_registros[REGISTRO],DADOS!$N$3,tabela_registros[TIPO],DADOS!$V$3,tabela_registros[CATEGORIA],reservavariáveisconsolidadonov[[#This Row],[ATUAL]])</calculatedColumnFormula>
    </tableColumn>
    <tableColumn id="19" xr3:uid="{AA1A3A99-473A-4113-BD57-132FADE37C92}" name="18" totalsRowFunction="sum" dataDxfId="880" totalsRowDxfId="879" dataCellStyle="Moeda">
      <calculatedColumnFormula>SUMIFS(tabela_registros[VALOR],tabela_registros[MÊS],$AE$1,tabela_registros[DIA],reservavariáveisconsolidadonov[[#Headers],[18]],tabela_registros[REGISTRO],DADOS!$N$3,tabela_registros[TIPO],DADOS!$V$3,tabela_registros[CATEGORIA],reservavariáveisconsolidadonov[[#This Row],[ATUAL]])</calculatedColumnFormula>
    </tableColumn>
    <tableColumn id="20" xr3:uid="{57FD27AB-4C30-4496-A4F5-DDA0A081C6EE}" name="19" totalsRowFunction="sum" dataDxfId="878" totalsRowDxfId="877" dataCellStyle="Moeda">
      <calculatedColumnFormula>SUMIFS(tabela_registros[VALOR],tabela_registros[MÊS],$AE$1,tabela_registros[DIA],reservavariáveisconsolidadonov[[#Headers],[19]],tabela_registros[REGISTRO],DADOS!$N$3,tabela_registros[TIPO],DADOS!$V$3,tabela_registros[CATEGORIA],reservavariáveisconsolidadonov[[#This Row],[ATUAL]])</calculatedColumnFormula>
    </tableColumn>
    <tableColumn id="21" xr3:uid="{67EC6642-3FDA-43E1-8B7B-1B3BA7508324}" name="20" totalsRowFunction="sum" dataDxfId="876" totalsRowDxfId="875" dataCellStyle="Moeda">
      <calculatedColumnFormula>SUMIFS(tabela_registros[VALOR],tabela_registros[MÊS],$AE$1,tabela_registros[DIA],reservavariáveisconsolidadonov[[#Headers],[20]],tabela_registros[REGISTRO],DADOS!$N$3,tabela_registros[TIPO],DADOS!$V$3,tabela_registros[CATEGORIA],reservavariáveisconsolidadonov[[#This Row],[ATUAL]])</calculatedColumnFormula>
    </tableColumn>
    <tableColumn id="22" xr3:uid="{C0FB2C2F-A155-4126-AE7F-CE8EC6C0634D}" name="21" totalsRowFunction="sum" dataDxfId="874" totalsRowDxfId="873" dataCellStyle="Moeda">
      <calculatedColumnFormula>SUMIFS(tabela_registros[VALOR],tabela_registros[MÊS],$AE$1,tabela_registros[DIA],reservavariáveisconsolidadonov[[#Headers],[21]],tabela_registros[REGISTRO],DADOS!$N$3,tabela_registros[TIPO],DADOS!$V$3,tabela_registros[CATEGORIA],reservavariáveisconsolidadonov[[#This Row],[ATUAL]])</calculatedColumnFormula>
    </tableColumn>
    <tableColumn id="23" xr3:uid="{1B1CA7CE-7181-44AA-90A6-D16ADCC0793C}" name="22" totalsRowFunction="sum" dataDxfId="872" totalsRowDxfId="871" dataCellStyle="Moeda">
      <calculatedColumnFormula>SUMIFS(tabela_registros[VALOR],tabela_registros[MÊS],$AE$1,tabela_registros[DIA],reservavariáveisconsolidadonov[[#Headers],[22]],tabela_registros[REGISTRO],DADOS!$N$3,tabela_registros[TIPO],DADOS!$V$3,tabela_registros[CATEGORIA],reservavariáveisconsolidadonov[[#This Row],[ATUAL]])</calculatedColumnFormula>
    </tableColumn>
    <tableColumn id="24" xr3:uid="{9363B7F8-2531-4404-8B08-CD989C5A8172}" name="23" totalsRowFunction="sum" dataDxfId="870" totalsRowDxfId="869" dataCellStyle="Moeda">
      <calculatedColumnFormula>SUMIFS(tabela_registros[VALOR],tabela_registros[MÊS],$AE$1,tabela_registros[DIA],reservavariáveisconsolidadonov[[#Headers],[23]],tabela_registros[REGISTRO],DADOS!$N$3,tabela_registros[TIPO],DADOS!$V$3,tabela_registros[CATEGORIA],reservavariáveisconsolidadonov[[#This Row],[ATUAL]])</calculatedColumnFormula>
    </tableColumn>
    <tableColumn id="25" xr3:uid="{941EA3C3-BA32-41EB-B820-C0C0223A4349}" name="24" totalsRowFunction="sum" dataDxfId="868" totalsRowDxfId="867" dataCellStyle="Moeda">
      <calculatedColumnFormula>SUMIFS(tabela_registros[VALOR],tabela_registros[MÊS],$AE$1,tabela_registros[DIA],reservavariáveisconsolidadonov[[#Headers],[24]],tabela_registros[REGISTRO],DADOS!$N$3,tabela_registros[TIPO],DADOS!$V$3,tabela_registros[CATEGORIA],reservavariáveisconsolidadonov[[#This Row],[ATUAL]])</calculatedColumnFormula>
    </tableColumn>
    <tableColumn id="26" xr3:uid="{DB9CBF0F-9AD2-4A88-8920-87F8B9139286}" name="25" totalsRowFunction="sum" dataDxfId="866" totalsRowDxfId="865" dataCellStyle="Moeda">
      <calculatedColumnFormula>SUMIFS(tabela_registros[VALOR],tabela_registros[MÊS],$AE$1,tabela_registros[DIA],reservavariáveisconsolidadonov[[#Headers],[25]],tabela_registros[REGISTRO],DADOS!$N$3,tabela_registros[TIPO],DADOS!$V$3,tabela_registros[CATEGORIA],reservavariáveisconsolidadonov[[#This Row],[ATUAL]])</calculatedColumnFormula>
    </tableColumn>
    <tableColumn id="27" xr3:uid="{C3A50CCC-B4FB-4529-AD07-C2B82077B302}" name="26" totalsRowFunction="sum" dataDxfId="864" totalsRowDxfId="863" dataCellStyle="Moeda">
      <calculatedColumnFormula>SUMIFS(tabela_registros[VALOR],tabela_registros[MÊS],$AE$1,tabela_registros[DIA],reservavariáveisconsolidadonov[[#Headers],[26]],tabela_registros[REGISTRO],DADOS!$N$3,tabela_registros[TIPO],DADOS!$V$3,tabela_registros[CATEGORIA],reservavariáveisconsolidadonov[[#This Row],[ATUAL]])</calculatedColumnFormula>
    </tableColumn>
    <tableColumn id="28" xr3:uid="{616B473C-88AA-4128-821B-DF8E84906ACD}" name="27" totalsRowFunction="sum" dataDxfId="862" totalsRowDxfId="861" dataCellStyle="Moeda">
      <calculatedColumnFormula>SUMIFS(tabela_registros[VALOR],tabela_registros[MÊS],$AE$1,tabela_registros[DIA],reservavariáveisconsolidadonov[[#Headers],[27]],tabela_registros[REGISTRO],DADOS!$N$3,tabela_registros[TIPO],DADOS!$V$3,tabela_registros[CATEGORIA],reservavariáveisconsolidadonov[[#This Row],[ATUAL]])</calculatedColumnFormula>
    </tableColumn>
    <tableColumn id="29" xr3:uid="{A6EC2CFD-2734-458E-BBC9-6F86A4A99366}" name="28" totalsRowFunction="sum" dataDxfId="860" totalsRowDxfId="859" dataCellStyle="Moeda">
      <calculatedColumnFormula>SUMIFS(tabela_registros[VALOR],tabela_registros[MÊS],$AE$1,tabela_registros[DIA],reservavariáveisconsolidadonov[[#Headers],[28]],tabela_registros[REGISTRO],DADOS!$N$3,tabela_registros[TIPO],DADOS!$V$3,tabela_registros[CATEGORIA],reservavariáveisconsolidadonov[[#This Row],[ATUAL]])</calculatedColumnFormula>
    </tableColumn>
    <tableColumn id="30" xr3:uid="{A61F4382-64D7-4B77-B5D4-1F62B5821998}" name="29" totalsRowFunction="sum" dataDxfId="858" totalsRowDxfId="857" dataCellStyle="Moeda">
      <calculatedColumnFormula>SUMIFS(tabela_registros[VALOR],tabela_registros[MÊS],$AE$1,tabela_registros[DIA],reservavariáveisconsolidadonov[[#Headers],[29]],tabela_registros[REGISTRO],DADOS!$N$3,tabela_registros[TIPO],DADOS!$V$3,tabela_registros[CATEGORIA],reservavariáveisconsolidadonov[[#This Row],[ATUAL]])</calculatedColumnFormula>
    </tableColumn>
    <tableColumn id="31" xr3:uid="{B4A09B8F-A04C-4A00-B2EF-5BBE0E8863B2}" name="30" totalsRowFunction="sum" dataDxfId="856" totalsRowDxfId="855" dataCellStyle="Moeda">
      <calculatedColumnFormula>SUMIFS(tabela_registros[VALOR],tabela_registros[MÊS],$AE$1,tabela_registros[DIA],reservavariáveisconsolidadonov[[#Headers],[30]],tabela_registros[REGISTRO],DADOS!$N$3,tabela_registros[TIPO],DADOS!$V$3,tabela_registros[CATEGORIA],reservavariáveisconsolidadonov[[#This Row],[ATUAL]])</calculatedColumnFormula>
    </tableColumn>
    <tableColumn id="32" xr3:uid="{81E45067-9F7B-4DA4-BAD5-B15351811FB6}" name="31" totalsRowFunction="sum" dataDxfId="854" totalsRowDxfId="853" dataCellStyle="Moeda">
      <calculatedColumnFormula>SUMIFS(tabela_registros[VALOR],tabela_registros[MÊS],$AE$1,tabela_registros[DIA],reservavariáveisconsolidadonov[[#Headers],[31]],tabela_registros[REGISTRO],DADOS!$N$3,tabela_registros[TIPO],DADOS!$V$3,tabela_registros[CATEGORIA],reservavariáveisconsolidadonov[[#This Row],[ATUAL]])</calculatedColumnFormula>
    </tableColumn>
    <tableColumn id="33" xr3:uid="{B940BDAD-381D-4321-9554-E89483E747E3}" name="TOTAL (R$)" totalsRowFunction="sum" dataDxfId="852" dataCellStyle="Moeda">
      <calculatedColumnFormula>SUM(reservavariáveisconsolidadonov[[#This Row],[1]:[31]])</calculatedColumnFormula>
    </tableColumn>
  </tableColumns>
  <tableStyleInfo name="TABELAS RESULTADOS" showFirstColumn="0" showLastColumn="0" showRowStripes="1" showColumnStripes="0"/>
</table>
</file>

<file path=xl/tables/table14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1" xr:uid="{B730470A-7109-4430-94C2-EE6E12B5883B}" name="reservaoutrosconsolidadonov" displayName="reservaoutrosconsolidadonov" ref="C205:AJ214" headerRowDxfId="851" dataDxfId="850" totalsRowDxfId="849">
  <autoFilter ref="C205:AJ214" xr:uid="{9335CBAF-4490-44EE-A508-E6F2F3B6C6F1}"/>
  <tableColumns count="34">
    <tableColumn id="1" xr3:uid="{4A0E01AD-7D81-41AE-A43B-5B654C3D57BE}" name="ATUAL" totalsRowLabel="SALDO" dataDxfId="848"/>
    <tableColumn id="34" xr3:uid="{76F373E1-2AB0-4963-8715-3409F0ECE571}" name="Coluna1" dataDxfId="847" totalsRowDxfId="846">
      <calculatedColumnFormula>IF(reservaoutrosconsolidadonov[[#This Row],[TOTAL (R$)]]=0,"",IF(OR(reservaoutrosconsolidadonov[[#This Row],[TOTAL (R$)]]=LARGE($AJ$206:$AJ$213,1),reservaoutrosconsolidadonov[[#This Row],[TOTAL (R$)]]=LARGE($AJ$206:$AJ$213,2)),DADOS!$I$11,""))</calculatedColumnFormula>
    </tableColumn>
    <tableColumn id="2" xr3:uid="{F9CADB61-10E4-4DA7-8022-DE8F297EBC2D}" name="1" totalsRowFunction="sum" dataDxfId="845" dataCellStyle="Moeda"/>
    <tableColumn id="3" xr3:uid="{F581ED2B-3A37-45C3-AFCA-4EF7083669D5}" name="2" totalsRowFunction="sum" dataDxfId="844" dataCellStyle="Moeda">
      <calculatedColumnFormula>SUMIFS(tabela_registros[VALOR],tabela_registros[MÊS],$AE$1,tabela_registros[DIA],reservaoutrosconsolidadonov[[#Headers],[2]],tabela_registros[REGISTRO],DADOS!$N$3,tabela_registros[TIPO],DADOS!$V$3,tabela_registros[CATEGORIA],reservaoutrosconsolidadonov[[#This Row],[ATUAL]])</calculatedColumnFormula>
    </tableColumn>
    <tableColumn id="4" xr3:uid="{E6FD4E00-F252-47AF-8EB9-FAB85E28BBE4}" name="3" totalsRowFunction="sum" dataDxfId="843" totalsRowDxfId="842" dataCellStyle="Moeda">
      <calculatedColumnFormula>SUMIFS(tabela_registros[VALOR],tabela_registros[MÊS],$AE$1,tabela_registros[DIA],reservaoutrosconsolidadonov[[#Headers],[3]],tabela_registros[REGISTRO],DADOS!$N$3,tabela_registros[TIPO],DADOS!$V$3,tabela_registros[CATEGORIA],reservaoutrosconsolidadonov[[#This Row],[ATUAL]])</calculatedColumnFormula>
    </tableColumn>
    <tableColumn id="5" xr3:uid="{F40E0CE9-FC8E-49A7-A9A2-005F156CF445}" name="4" totalsRowFunction="sum" dataDxfId="841" totalsRowDxfId="840" dataCellStyle="Moeda">
      <calculatedColumnFormula>SUMIFS(tabela_registros[VALOR],tabela_registros[MÊS],$AE$1,tabela_registros[DIA],reservaoutrosconsolidadonov[[#Headers],[4]],tabela_registros[REGISTRO],DADOS!$N$3,tabela_registros[TIPO],DADOS!$V$3,tabela_registros[CATEGORIA],reservaoutrosconsolidadonov[[#This Row],[ATUAL]])</calculatedColumnFormula>
    </tableColumn>
    <tableColumn id="6" xr3:uid="{0455A082-7203-4C6B-AE05-139FB84B7780}" name="5" totalsRowFunction="sum" dataDxfId="839" totalsRowDxfId="838" dataCellStyle="Moeda">
      <calculatedColumnFormula>SUMIFS(tabela_registros[VALOR],tabela_registros[MÊS],$AE$1,tabela_registros[DIA],reservaoutrosconsolidadonov[[#Headers],[5]],tabela_registros[REGISTRO],DADOS!$N$3,tabela_registros[TIPO],DADOS!$V$3,tabela_registros[CATEGORIA],reservaoutrosconsolidadonov[[#This Row],[ATUAL]])</calculatedColumnFormula>
    </tableColumn>
    <tableColumn id="7" xr3:uid="{539B4452-3C9F-44DE-A711-EEE23B0A4E8A}" name="6" totalsRowFunction="sum" dataDxfId="837" totalsRowDxfId="836" dataCellStyle="Moeda">
      <calculatedColumnFormula>SUMIFS(tabela_registros[VALOR],tabela_registros[MÊS],$AE$1,tabela_registros[DIA],reservaoutrosconsolidadonov[[#Headers],[6]],tabela_registros[REGISTRO],DADOS!$N$3,tabela_registros[TIPO],DADOS!$V$3,tabela_registros[CATEGORIA],reservaoutrosconsolidadonov[[#This Row],[ATUAL]])</calculatedColumnFormula>
    </tableColumn>
    <tableColumn id="8" xr3:uid="{064E7837-8F12-4C2B-9F15-34F8FF4319B5}" name="7" totalsRowFunction="sum" dataDxfId="835" totalsRowDxfId="834" dataCellStyle="Moeda">
      <calculatedColumnFormula>SUMIFS(tabela_registros[VALOR],tabela_registros[MÊS],$AE$1,tabela_registros[DIA],reservaoutrosconsolidadonov[[#Headers],[7]],tabela_registros[REGISTRO],DADOS!$N$3,tabela_registros[TIPO],DADOS!$V$3,tabela_registros[CATEGORIA],reservaoutrosconsolidadonov[[#This Row],[ATUAL]])</calculatedColumnFormula>
    </tableColumn>
    <tableColumn id="9" xr3:uid="{56695D1D-600C-40E9-8EF6-6D8AE563EE1B}" name="8" totalsRowFunction="sum" dataDxfId="833" totalsRowDxfId="832" dataCellStyle="Moeda">
      <calculatedColumnFormula>SUMIFS(tabela_registros[VALOR],tabela_registros[MÊS],$AE$1,tabela_registros[DIA],reservaoutrosconsolidadonov[[#Headers],[8]],tabela_registros[REGISTRO],DADOS!$N$3,tabela_registros[TIPO],DADOS!$V$3,tabela_registros[CATEGORIA],reservaoutrosconsolidadonov[[#This Row],[ATUAL]])</calculatedColumnFormula>
    </tableColumn>
    <tableColumn id="10" xr3:uid="{1347A3F6-ABE2-41D4-907E-BB41720C280A}" name="9" totalsRowFunction="sum" dataDxfId="831" totalsRowDxfId="830" dataCellStyle="Moeda">
      <calculatedColumnFormula>SUMIFS(tabela_registros[VALOR],tabela_registros[MÊS],$AE$1,tabela_registros[DIA],reservaoutrosconsolidadonov[[#Headers],[9]],tabela_registros[REGISTRO],DADOS!$N$3,tabela_registros[TIPO],DADOS!$V$3,tabela_registros[CATEGORIA],reservaoutrosconsolidadonov[[#This Row],[ATUAL]])</calculatedColumnFormula>
    </tableColumn>
    <tableColumn id="11" xr3:uid="{1E93CE7D-A1DC-488E-A024-3A63821AF69D}" name="10" totalsRowFunction="sum" dataDxfId="829" totalsRowDxfId="828" dataCellStyle="Moeda">
      <calculatedColumnFormula>SUMIFS(tabela_registros[VALOR],tabela_registros[MÊS],$AE$1,tabela_registros[DIA],reservaoutrosconsolidadonov[[#Headers],[10]],tabela_registros[REGISTRO],DADOS!$N$3,tabela_registros[TIPO],DADOS!$V$3,tabela_registros[CATEGORIA],reservaoutrosconsolidadonov[[#This Row],[ATUAL]])</calculatedColumnFormula>
    </tableColumn>
    <tableColumn id="12" xr3:uid="{7FCDE5DC-671D-41C0-9BEA-EEE097E42A65}" name="11" totalsRowFunction="sum" dataDxfId="827" totalsRowDxfId="826" dataCellStyle="Moeda">
      <calculatedColumnFormula>SUMIFS(tabela_registros[VALOR],tabela_registros[MÊS],$AE$1,tabela_registros[DIA],reservaoutrosconsolidadonov[[#Headers],[11]],tabela_registros[REGISTRO],DADOS!$N$3,tabela_registros[TIPO],DADOS!$V$3,tabela_registros[CATEGORIA],reservaoutrosconsolidadonov[[#This Row],[ATUAL]])</calculatedColumnFormula>
    </tableColumn>
    <tableColumn id="13" xr3:uid="{DA287991-7D74-4477-BB22-F3455E0D7183}" name="12" totalsRowFunction="sum" dataDxfId="825" totalsRowDxfId="824" dataCellStyle="Moeda">
      <calculatedColumnFormula>SUMIFS(tabela_registros[VALOR],tabela_registros[MÊS],$AE$1,tabela_registros[DIA],reservaoutrosconsolidadonov[[#Headers],[12]],tabela_registros[REGISTRO],DADOS!$N$3,tabela_registros[TIPO],DADOS!$V$3,tabela_registros[CATEGORIA],reservaoutrosconsolidadonov[[#This Row],[ATUAL]])</calculatedColumnFormula>
    </tableColumn>
    <tableColumn id="14" xr3:uid="{EFAC95DB-E2A1-4941-919B-1088AEFF3DD7}" name="13" totalsRowFunction="sum" dataDxfId="823" totalsRowDxfId="822" dataCellStyle="Moeda">
      <calculatedColumnFormula>SUMIFS(tabela_registros[VALOR],tabela_registros[MÊS],$AE$1,tabela_registros[DIA],reservaoutrosconsolidadonov[[#Headers],[13]],tabela_registros[REGISTRO],DADOS!$N$3,tabela_registros[TIPO],DADOS!$V$3,tabela_registros[CATEGORIA],reservaoutrosconsolidadonov[[#This Row],[ATUAL]])</calculatedColumnFormula>
    </tableColumn>
    <tableColumn id="15" xr3:uid="{8658BDD5-6766-4C38-B083-B6549FC5D933}" name="14" totalsRowFunction="sum" dataDxfId="821" totalsRowDxfId="820" dataCellStyle="Moeda">
      <calculatedColumnFormula>SUMIFS(tabela_registros[VALOR],tabela_registros[MÊS],$AE$1,tabela_registros[DIA],reservaoutrosconsolidadonov[[#Headers],[14]],tabela_registros[REGISTRO],DADOS!$N$3,tabela_registros[TIPO],DADOS!$V$3,tabela_registros[CATEGORIA],reservaoutrosconsolidadonov[[#This Row],[ATUAL]])</calculatedColumnFormula>
    </tableColumn>
    <tableColumn id="16" xr3:uid="{C9CF5E62-EF63-4031-839F-6F3DC69A1201}" name="15" totalsRowFunction="sum" dataDxfId="819" totalsRowDxfId="818" dataCellStyle="Moeda">
      <calculatedColumnFormula>SUMIFS(tabela_registros[VALOR],tabela_registros[MÊS],$AE$1,tabela_registros[DIA],reservaoutrosconsolidadonov[[#Headers],[15]],tabela_registros[REGISTRO],DADOS!$N$3,tabela_registros[TIPO],DADOS!$V$3,tabela_registros[CATEGORIA],reservaoutrosconsolidadonov[[#This Row],[ATUAL]])</calculatedColumnFormula>
    </tableColumn>
    <tableColumn id="17" xr3:uid="{A4B082A5-216A-495A-8EBB-AEB73F3BC207}" name="16" totalsRowFunction="sum" dataDxfId="817" totalsRowDxfId="816" dataCellStyle="Moeda">
      <calculatedColumnFormula>SUMIFS(tabela_registros[VALOR],tabela_registros[MÊS],$AE$1,tabela_registros[DIA],reservaoutrosconsolidadonov[[#Headers],[16]],tabela_registros[REGISTRO],DADOS!$N$3,tabela_registros[TIPO],DADOS!$V$3,tabela_registros[CATEGORIA],reservaoutrosconsolidadonov[[#This Row],[ATUAL]])</calculatedColumnFormula>
    </tableColumn>
    <tableColumn id="18" xr3:uid="{35E3B5FA-13A0-47E9-BDC7-EC89D4A92B48}" name="17" totalsRowFunction="sum" dataDxfId="815" totalsRowDxfId="814" dataCellStyle="Moeda">
      <calculatedColumnFormula>SUMIFS(tabela_registros[VALOR],tabela_registros[MÊS],$AE$1,tabela_registros[DIA],reservaoutrosconsolidadonov[[#Headers],[17]],tabela_registros[REGISTRO],DADOS!$N$3,tabela_registros[TIPO],DADOS!$V$3,tabela_registros[CATEGORIA],reservaoutrosconsolidadonov[[#This Row],[ATUAL]])</calculatedColumnFormula>
    </tableColumn>
    <tableColumn id="19" xr3:uid="{F1C5AA72-CF5A-4034-993D-3FE2C3CFFCFB}" name="18" totalsRowFunction="sum" dataDxfId="813" totalsRowDxfId="812" dataCellStyle="Moeda">
      <calculatedColumnFormula>SUMIFS(tabela_registros[VALOR],tabela_registros[MÊS],$AE$1,tabela_registros[DIA],reservaoutrosconsolidadonov[[#Headers],[18]],tabela_registros[REGISTRO],DADOS!$N$3,tabela_registros[TIPO],DADOS!$V$3,tabela_registros[CATEGORIA],reservaoutrosconsolidadonov[[#This Row],[ATUAL]])</calculatedColumnFormula>
    </tableColumn>
    <tableColumn id="20" xr3:uid="{5C0A3CB6-7835-4C9E-A006-7B4FE5DA6332}" name="19" totalsRowFunction="sum" dataDxfId="811" totalsRowDxfId="810" dataCellStyle="Moeda">
      <calculatedColumnFormula>SUMIFS(tabela_registros[VALOR],tabela_registros[MÊS],$AE$1,tabela_registros[DIA],reservaoutrosconsolidadonov[[#Headers],[19]],tabela_registros[REGISTRO],DADOS!$N$3,tabela_registros[TIPO],DADOS!$V$3,tabela_registros[CATEGORIA],reservaoutrosconsolidadonov[[#This Row],[ATUAL]])</calculatedColumnFormula>
    </tableColumn>
    <tableColumn id="21" xr3:uid="{F1644976-E364-4D10-8E82-ED2E763537FA}" name="20" totalsRowFunction="sum" dataDxfId="809" totalsRowDxfId="808" dataCellStyle="Moeda">
      <calculatedColumnFormula>SUMIFS(tabela_registros[VALOR],tabela_registros[MÊS],$AE$1,tabela_registros[DIA],reservaoutrosconsolidadonov[[#Headers],[20]],tabela_registros[REGISTRO],DADOS!$N$3,tabela_registros[TIPO],DADOS!$V$3,tabela_registros[CATEGORIA],reservaoutrosconsolidadonov[[#This Row],[ATUAL]])</calculatedColumnFormula>
    </tableColumn>
    <tableColumn id="22" xr3:uid="{8CAF5DB6-4F0F-4AB2-AE70-86695FFCBCAE}" name="21" totalsRowFunction="sum" dataDxfId="807" totalsRowDxfId="806" dataCellStyle="Moeda">
      <calculatedColumnFormula>SUMIFS(tabela_registros[VALOR],tabela_registros[MÊS],$AE$1,tabela_registros[DIA],reservaoutrosconsolidadonov[[#Headers],[21]],tabela_registros[REGISTRO],DADOS!$N$3,tabela_registros[TIPO],DADOS!$V$3,tabela_registros[CATEGORIA],reservaoutrosconsolidadonov[[#This Row],[ATUAL]])</calculatedColumnFormula>
    </tableColumn>
    <tableColumn id="23" xr3:uid="{05B0DE11-9AC9-4486-B046-8F1A19197407}" name="22" totalsRowFunction="sum" dataDxfId="805" totalsRowDxfId="804" dataCellStyle="Moeda">
      <calculatedColumnFormula>SUMIFS(tabela_registros[VALOR],tabela_registros[MÊS],$AE$1,tabela_registros[DIA],reservaoutrosconsolidadonov[[#Headers],[22]],tabela_registros[REGISTRO],DADOS!$N$3,tabela_registros[TIPO],DADOS!$V$3,tabela_registros[CATEGORIA],reservaoutrosconsolidadonov[[#This Row],[ATUAL]])</calculatedColumnFormula>
    </tableColumn>
    <tableColumn id="24" xr3:uid="{B9EACA9F-4C18-484F-908C-8A9EE9F20AD7}" name="23" totalsRowFunction="sum" dataDxfId="803" totalsRowDxfId="802" dataCellStyle="Moeda">
      <calculatedColumnFormula>SUMIFS(tabela_registros[VALOR],tabela_registros[MÊS],$AE$1,tabela_registros[DIA],reservaoutrosconsolidadonov[[#Headers],[23]],tabela_registros[REGISTRO],DADOS!$N$3,tabela_registros[TIPO],DADOS!$V$3,tabela_registros[CATEGORIA],reservaoutrosconsolidadonov[[#This Row],[ATUAL]])</calculatedColumnFormula>
    </tableColumn>
    <tableColumn id="25" xr3:uid="{0860B47A-4E66-4EC4-8A92-35DB55324760}" name="24" totalsRowFunction="sum" dataDxfId="801" totalsRowDxfId="800" dataCellStyle="Moeda">
      <calculatedColumnFormula>SUMIFS(tabela_registros[VALOR],tabela_registros[MÊS],$AE$1,tabela_registros[DIA],reservaoutrosconsolidadonov[[#Headers],[24]],tabela_registros[REGISTRO],DADOS!$N$3,tabela_registros[TIPO],DADOS!$V$3,tabela_registros[CATEGORIA],reservaoutrosconsolidadonov[[#This Row],[ATUAL]])</calculatedColumnFormula>
    </tableColumn>
    <tableColumn id="26" xr3:uid="{CD364246-5BC6-47FC-BF1E-4CDF0648F1FE}" name="25" totalsRowFunction="sum" dataDxfId="799" totalsRowDxfId="798" dataCellStyle="Moeda">
      <calculatedColumnFormula>SUMIFS(tabela_registros[VALOR],tabela_registros[MÊS],$AE$1,tabela_registros[DIA],reservaoutrosconsolidadonov[[#Headers],[25]],tabela_registros[REGISTRO],DADOS!$N$3,tabela_registros[TIPO],DADOS!$V$3,tabela_registros[CATEGORIA],reservaoutrosconsolidadonov[[#This Row],[ATUAL]])</calculatedColumnFormula>
    </tableColumn>
    <tableColumn id="27" xr3:uid="{4DFE458B-55FF-4F60-8192-73EC6F657C30}" name="26" totalsRowFunction="sum" dataDxfId="797" totalsRowDxfId="796" dataCellStyle="Moeda">
      <calculatedColumnFormula>SUMIFS(tabela_registros[VALOR],tabela_registros[MÊS],$AE$1,tabela_registros[DIA],reservaoutrosconsolidadonov[[#Headers],[26]],tabela_registros[REGISTRO],DADOS!$N$3,tabela_registros[TIPO],DADOS!$V$3,tabela_registros[CATEGORIA],reservaoutrosconsolidadonov[[#This Row],[ATUAL]])</calculatedColumnFormula>
    </tableColumn>
    <tableColumn id="28" xr3:uid="{ECD51C09-FEDC-4E46-A7A7-5BB83656AEC1}" name="27" totalsRowFunction="sum" dataDxfId="795" totalsRowDxfId="794" dataCellStyle="Moeda">
      <calculatedColumnFormula>SUMIFS(tabela_registros[VALOR],tabela_registros[MÊS],$AE$1,tabela_registros[DIA],reservaoutrosconsolidadonov[[#Headers],[27]],tabela_registros[REGISTRO],DADOS!$N$3,tabela_registros[TIPO],DADOS!$V$3,tabela_registros[CATEGORIA],reservaoutrosconsolidadonov[[#This Row],[ATUAL]])</calculatedColumnFormula>
    </tableColumn>
    <tableColumn id="29" xr3:uid="{EEEEB7D3-BA76-4550-85FD-CA2142443EB8}" name="28" totalsRowFunction="sum" dataDxfId="793" totalsRowDxfId="792" dataCellStyle="Moeda">
      <calculatedColumnFormula>SUMIFS(tabela_registros[VALOR],tabela_registros[MÊS],$AE$1,tabela_registros[DIA],reservaoutrosconsolidadonov[[#Headers],[28]],tabela_registros[REGISTRO],DADOS!$N$3,tabela_registros[TIPO],DADOS!$V$3,tabela_registros[CATEGORIA],reservaoutrosconsolidadonov[[#This Row],[ATUAL]])</calculatedColumnFormula>
    </tableColumn>
    <tableColumn id="30" xr3:uid="{CE6F2168-35FD-49DE-9056-96BBACDADB84}" name="29" totalsRowFunction="sum" dataDxfId="791" totalsRowDxfId="790" dataCellStyle="Moeda">
      <calculatedColumnFormula>SUMIFS(tabela_registros[VALOR],tabela_registros[MÊS],$AE$1,tabela_registros[DIA],reservaoutrosconsolidadonov[[#Headers],[29]],tabela_registros[REGISTRO],DADOS!$N$3,tabela_registros[TIPO],DADOS!$V$3,tabela_registros[CATEGORIA],reservaoutrosconsolidadonov[[#This Row],[ATUAL]])</calculatedColumnFormula>
    </tableColumn>
    <tableColumn id="31" xr3:uid="{0F4C1744-033A-4B56-A88E-4659F4245218}" name="30" totalsRowFunction="sum" dataDxfId="789" totalsRowDxfId="788" dataCellStyle="Moeda">
      <calculatedColumnFormula>SUMIFS(tabela_registros[VALOR],tabela_registros[MÊS],$AE$1,tabela_registros[DIA],reservaoutrosconsolidadonov[[#Headers],[30]],tabela_registros[REGISTRO],DADOS!$N$3,tabela_registros[TIPO],DADOS!$V$3,tabela_registros[CATEGORIA],reservaoutrosconsolidadonov[[#This Row],[ATUAL]])</calculatedColumnFormula>
    </tableColumn>
    <tableColumn id="32" xr3:uid="{6EA0EB8A-0F7E-43DB-B94D-722E0055E863}" name="31" totalsRowFunction="sum" dataDxfId="787" totalsRowDxfId="786" dataCellStyle="Moeda">
      <calculatedColumnFormula>SUMIFS(tabela_registros[VALOR],tabela_registros[MÊS],$AE$1,tabela_registros[DIA],reservaoutrosconsolidadonov[[#Headers],[31]],tabela_registros[REGISTRO],DADOS!$N$3,tabela_registros[TIPO],DADOS!$V$3,tabela_registros[CATEGORIA],reservaoutrosconsolidadonov[[#This Row],[ATUAL]])</calculatedColumnFormula>
    </tableColumn>
    <tableColumn id="33" xr3:uid="{1263A45B-95FB-47CF-AF37-F43055095A30}" name="TOTAL (R$)" totalsRowFunction="sum" dataDxfId="785" dataCellStyle="Moeda">
      <calculatedColumnFormula>SUM(reservaoutrosconsolidadonov[[#This Row],[1]:[31]])</calculatedColumnFormula>
    </tableColumn>
  </tableColumns>
  <tableStyleInfo name="TABELAS RESULTADOS" showFirstColumn="0" showLastColumn="0" showRowStripes="1" showColumnStripes="0"/>
</table>
</file>

<file path=xl/tables/table14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A850DA67-F591-4CF2-941D-9C3A7CE123E8}" name="despesafixaconsolidadodez" displayName="despesafixaconsolidadodez" ref="C36:AJ51" headerRowDxfId="784" dataDxfId="783" totalsRowDxfId="782">
  <autoFilter ref="C36:AJ51" xr:uid="{5ADEFF0A-DF5A-4FC5-A9EC-68EEC14B5F43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  <filterColumn colId="25" hiddenButton="1"/>
    <filterColumn colId="26" hiddenButton="1"/>
    <filterColumn colId="27" hiddenButton="1"/>
    <filterColumn colId="28" hiddenButton="1"/>
    <filterColumn colId="29" hiddenButton="1"/>
    <filterColumn colId="30" hiddenButton="1"/>
    <filterColumn colId="31" hiddenButton="1"/>
    <filterColumn colId="32" hiddenButton="1"/>
    <filterColumn colId="33" hiddenButton="1"/>
  </autoFilter>
  <tableColumns count="34">
    <tableColumn id="1" xr3:uid="{5A34145E-5092-4F87-8C41-61A52725F215}" name="DESPESA FIXA" totalsRowLabel="Total" dataDxfId="781"/>
    <tableColumn id="42" xr3:uid="{7DFFB186-D242-4810-97F8-434D9673B81B}" name="Coluna1" dataDxfId="780">
      <calculatedColumnFormula>IF(despesafixaconsolidadodez[[#This Row],[TOTAL]]=0,"",IF(OR(despesafixaconsolidadodez[[#This Row],[TOTAL]]=SMALL($AJ$37:$AJ$50,1),despesafixaconsolidadodez[[#This Row],[TOTAL]]=SMALL($AJ$37:$AJ$50,2),despesafixaconsolidadodez[[#This Row],[TOTAL]]=SMALL($AJ$37:$AJ$50,3),despesafixaconsolidadodez[[#This Row],[TOTAL]]=SMALL($AJ$37:$AJ$50,4),despesafixaconsolidadodez[[#This Row],[TOTAL]]=SMALL($AJ$37:$AJ$50,5)),DADOS!$I$8,""))</calculatedColumnFormula>
    </tableColumn>
    <tableColumn id="18" xr3:uid="{665B2A59-A923-48A0-B8AA-C00D546AF617}" name="1" totalsRowFunction="sum" dataDxfId="779" dataCellStyle="Moeda">
      <calculatedColumnFormula>SUMIFS(tabela_registros[VALOR],tabela_registros[MÊS],$AE$1,tabela_registros[DIA],jantotal[[#Headers],[1]],tabela_registros[REGISTRO],DADOS!$N$4,tabela_registros[TIPO],DADOS!$P$3,tabela_registros[CATEGORIA],despesafixaconsolidadodez[[#This Row],[DESPESA FIXA]])</calculatedColumnFormula>
    </tableColumn>
    <tableColumn id="19" xr3:uid="{6C38C460-B2D2-40B8-968D-A77CF2D1C3E6}" name="2" totalsRowFunction="sum" dataDxfId="778" dataCellStyle="Moeda">
      <calculatedColumnFormula>SUMIFS(tabela_registros[VALOR],tabela_registros[MÊS],$AE$1,tabela_registros[DIA],jantotal[[#Headers],[2]],tabela_registros[REGISTRO],DADOS!$N$4,tabela_registros[TIPO],DADOS!$P$3,tabela_registros[CATEGORIA],despesafixaconsolidadodez[[#This Row],[DESPESA FIXA]])</calculatedColumnFormula>
    </tableColumn>
    <tableColumn id="20" xr3:uid="{6083EAC1-F35B-4FF0-BE4F-2FDBEEB29947}" name="3" totalsRowFunction="sum" dataDxfId="777" totalsRowDxfId="776" dataCellStyle="Moeda">
      <calculatedColumnFormula>SUMIFS(tabela_registros[VALOR],tabela_registros[MÊS],$AE$1,tabela_registros[DIA],jantotal[[#Headers],[3]],tabela_registros[REGISTRO],DADOS!$N$4,tabela_registros[TIPO],DADOS!$P$3,tabela_registros[CATEGORIA],despesafixaconsolidadodez[[#This Row],[DESPESA FIXA]])</calculatedColumnFormula>
    </tableColumn>
    <tableColumn id="21" xr3:uid="{BFA615B8-9E15-4628-946D-3FA9FA461BA4}" name="4" totalsRowFunction="sum" dataDxfId="775" totalsRowDxfId="774" dataCellStyle="Moeda">
      <calculatedColumnFormula>SUMIFS(tabela_registros[VALOR],tabela_registros[MÊS],$AE$1,tabela_registros[DIA],jantotal[[#Headers],[4]],tabela_registros[REGISTRO],DADOS!$N$4,tabela_registros[TIPO],DADOS!$P$3,tabela_registros[CATEGORIA],despesafixaconsolidadodez[[#This Row],[DESPESA FIXA]])</calculatedColumnFormula>
    </tableColumn>
    <tableColumn id="22" xr3:uid="{A21F1B36-ADC9-4CA2-9CA0-1ECC97017C94}" name="5" totalsRowFunction="sum" dataDxfId="773" totalsRowDxfId="772" dataCellStyle="Moeda">
      <calculatedColumnFormula>SUMIFS(tabela_registros[VALOR],tabela_registros[MÊS],$AE$1,tabela_registros[DIA],jantotal[[#Headers],[5]],tabela_registros[REGISTRO],DADOS!$N$4,tabela_registros[TIPO],DADOS!$P$3,tabela_registros[CATEGORIA],despesafixaconsolidadodez[[#This Row],[DESPESA FIXA]])</calculatedColumnFormula>
    </tableColumn>
    <tableColumn id="23" xr3:uid="{2771DC2E-B48E-4B59-829F-195E2E44CFDE}" name="6" totalsRowFunction="sum" dataDxfId="771" totalsRowDxfId="770" dataCellStyle="Moeda">
      <calculatedColumnFormula>SUMIFS(tabela_registros[VALOR],tabela_registros[MÊS],$AE$1,tabela_registros[DIA],jantotal[[#Headers],[6]],tabela_registros[REGISTRO],DADOS!$N$4,tabela_registros[TIPO],DADOS!$P$3,tabela_registros[CATEGORIA],despesafixaconsolidadodez[[#This Row],[DESPESA FIXA]])</calculatedColumnFormula>
    </tableColumn>
    <tableColumn id="24" xr3:uid="{B4644CB3-2251-4A1D-BFEA-6271A8895916}" name="7" totalsRowFunction="sum" dataDxfId="769" totalsRowDxfId="768" dataCellStyle="Moeda">
      <calculatedColumnFormula>SUMIFS(tabela_registros[VALOR],tabela_registros[MÊS],$AE$1,tabela_registros[DIA],jantotal[[#Headers],[7]],tabela_registros[REGISTRO],DADOS!$N$4,tabela_registros[TIPO],DADOS!$P$3,tabela_registros[CATEGORIA],despesafixaconsolidadodez[[#This Row],[DESPESA FIXA]])</calculatedColumnFormula>
    </tableColumn>
    <tableColumn id="25" xr3:uid="{81ED77F6-3767-4747-8DCF-910861418C5B}" name="8" totalsRowFunction="sum" dataDxfId="767" totalsRowDxfId="766" dataCellStyle="Moeda">
      <calculatedColumnFormula>SUMIFS(tabela_registros[VALOR],tabela_registros[MÊS],$AE$1,tabela_registros[DIA],jantotal[[#Headers],[8]],tabela_registros[REGISTRO],DADOS!$N$4,tabela_registros[TIPO],DADOS!$P$3,tabela_registros[CATEGORIA],despesafixaconsolidadodez[[#This Row],[DESPESA FIXA]])</calculatedColumnFormula>
    </tableColumn>
    <tableColumn id="26" xr3:uid="{B485097F-592D-453E-9A56-7ECE71603995}" name="9" totalsRowFunction="sum" dataDxfId="765" totalsRowDxfId="764" dataCellStyle="Moeda">
      <calculatedColumnFormula>SUMIFS(tabela_registros[VALOR],tabela_registros[MÊS],$AE$1,tabela_registros[DIA],jantotal[[#Headers],[9]],tabela_registros[REGISTRO],DADOS!$N$4,tabela_registros[TIPO],DADOS!$P$3,tabela_registros[CATEGORIA],despesafixaconsolidadodez[[#This Row],[DESPESA FIXA]])</calculatedColumnFormula>
    </tableColumn>
    <tableColumn id="27" xr3:uid="{0C853992-4D70-468E-BAC2-3235CE1BBA4C}" name="10" totalsRowFunction="sum" dataDxfId="763" totalsRowDxfId="762" dataCellStyle="Moeda">
      <calculatedColumnFormula>SUMIFS(tabela_registros[VALOR],tabela_registros[MÊS],$AE$1,tabela_registros[DIA],jantotal[[#Headers],[10]],tabela_registros[REGISTRO],DADOS!$N$4,tabela_registros[TIPO],DADOS!$P$3,tabela_registros[CATEGORIA],despesafixaconsolidadodez[[#This Row],[DESPESA FIXA]])</calculatedColumnFormula>
    </tableColumn>
    <tableColumn id="28" xr3:uid="{7FFC2A1A-1A7B-465A-A600-ECC0B70B6C48}" name="11" totalsRowFunction="sum" dataDxfId="761" totalsRowDxfId="760" dataCellStyle="Moeda">
      <calculatedColumnFormula>SUMIFS(tabela_registros[VALOR],tabela_registros[MÊS],$AE$1,tabela_registros[DIA],jantotal[[#Headers],[11]],tabela_registros[REGISTRO],DADOS!$N$4,tabela_registros[TIPO],DADOS!$P$3,tabela_registros[CATEGORIA],despesafixaconsolidadodez[[#This Row],[DESPESA FIXA]])</calculatedColumnFormula>
    </tableColumn>
    <tableColumn id="29" xr3:uid="{A23C8B81-D3C0-40FC-A1D1-1BAC84380C8C}" name="12" totalsRowFunction="sum" dataDxfId="759" totalsRowDxfId="758" dataCellStyle="Moeda">
      <calculatedColumnFormula>SUMIFS(tabela_registros[VALOR],tabela_registros[MÊS],$AE$1,tabela_registros[DIA],jantotal[[#Headers],[12]],tabela_registros[REGISTRO],DADOS!$N$4,tabela_registros[TIPO],DADOS!$P$3,tabela_registros[CATEGORIA],despesafixaconsolidadodez[[#This Row],[DESPESA FIXA]])</calculatedColumnFormula>
    </tableColumn>
    <tableColumn id="30" xr3:uid="{076072D8-E484-468B-9749-498D13924DE2}" name="13" totalsRowFunction="sum" dataDxfId="757" totalsRowDxfId="756" dataCellStyle="Moeda">
      <calculatedColumnFormula>SUMIFS(tabela_registros[VALOR],tabela_registros[MÊS],$AE$1,tabela_registros[DIA],jantotal[[#Headers],[13]],tabela_registros[REGISTRO],DADOS!$N$4,tabela_registros[TIPO],DADOS!$P$3,tabela_registros[CATEGORIA],despesafixaconsolidadodez[[#This Row],[DESPESA FIXA]])</calculatedColumnFormula>
    </tableColumn>
    <tableColumn id="31" xr3:uid="{9BD8179E-8E23-440E-863A-340A543622D4}" name="14" totalsRowFunction="sum" dataDxfId="755" totalsRowDxfId="754" dataCellStyle="Moeda">
      <calculatedColumnFormula>SUMIFS(tabela_registros[VALOR],tabela_registros[MÊS],$AE$1,tabela_registros[DIA],jantotal[[#Headers],[14]],tabela_registros[REGISTRO],DADOS!$N$4,tabela_registros[TIPO],DADOS!$P$3,tabela_registros[CATEGORIA],despesafixaconsolidadodez[[#This Row],[DESPESA FIXA]])</calculatedColumnFormula>
    </tableColumn>
    <tableColumn id="32" xr3:uid="{6A5AB08B-8156-4D11-B499-CB5E10109515}" name="15" totalsRowFunction="sum" dataDxfId="753" totalsRowDxfId="752" dataCellStyle="Moeda">
      <calculatedColumnFormula>SUMIFS(tabela_registros[VALOR],tabela_registros[MÊS],$AE$1,tabela_registros[DIA],jantotal[[#Headers],[15]],tabela_registros[REGISTRO],DADOS!$N$4,tabela_registros[TIPO],DADOS!$P$3,tabela_registros[CATEGORIA],despesafixaconsolidadodez[[#This Row],[DESPESA FIXA]])</calculatedColumnFormula>
    </tableColumn>
    <tableColumn id="33" xr3:uid="{5DABE6D2-B952-4FC9-879C-90CC9BE42748}" name="16" totalsRowFunction="sum" dataDxfId="751" totalsRowDxfId="750" dataCellStyle="Moeda">
      <calculatedColumnFormula>SUMIFS(tabela_registros[VALOR],tabela_registros[MÊS],$AE$1,tabela_registros[DIA],jantotal[[#Headers],[16]],tabela_registros[REGISTRO],DADOS!$N$4,tabela_registros[TIPO],DADOS!$P$3,tabela_registros[CATEGORIA],despesafixaconsolidadodez[[#This Row],[DESPESA FIXA]])</calculatedColumnFormula>
    </tableColumn>
    <tableColumn id="34" xr3:uid="{5E68DEB6-D213-444B-927E-CCDE0B0CEC51}" name="17" totalsRowFunction="sum" dataDxfId="749" totalsRowDxfId="748" dataCellStyle="Moeda">
      <calculatedColumnFormula>SUMIFS(tabela_registros[VALOR],tabela_registros[MÊS],$AE$1,tabela_registros[DIA],jantotal[[#Headers],[17]],tabela_registros[REGISTRO],DADOS!$N$4,tabela_registros[TIPO],DADOS!$P$3,tabela_registros[CATEGORIA],despesafixaconsolidadodez[[#This Row],[DESPESA FIXA]])</calculatedColumnFormula>
    </tableColumn>
    <tableColumn id="35" xr3:uid="{0F3FC6E8-5E21-4CEF-9569-67A12607A7D8}" name="18" totalsRowFunction="sum" dataDxfId="747" totalsRowDxfId="746" dataCellStyle="Moeda">
      <calculatedColumnFormula>SUMIFS(tabela_registros[VALOR],tabela_registros[MÊS],$AE$1,tabela_registros[DIA],jantotal[[#Headers],[18]],tabela_registros[REGISTRO],DADOS!$N$4,tabela_registros[TIPO],DADOS!$P$3,tabela_registros[CATEGORIA],despesafixaconsolidadodez[[#This Row],[DESPESA FIXA]])</calculatedColumnFormula>
    </tableColumn>
    <tableColumn id="36" xr3:uid="{933E8771-A12F-43F3-8446-F89BDD320E85}" name="19" totalsRowFunction="sum" dataDxfId="745" totalsRowDxfId="744" dataCellStyle="Moeda">
      <calculatedColumnFormula>SUMIFS(tabela_registros[VALOR],tabela_registros[MÊS],$AE$1,tabela_registros[DIA],jantotal[[#Headers],[19]],tabela_registros[REGISTRO],DADOS!$N$4,tabela_registros[TIPO],DADOS!$P$3,tabela_registros[CATEGORIA],despesafixaconsolidadodez[[#This Row],[DESPESA FIXA]])</calculatedColumnFormula>
    </tableColumn>
    <tableColumn id="37" xr3:uid="{11E2D538-CA76-4491-AC1C-A03C2E574D72}" name="20" totalsRowFunction="sum" dataDxfId="743" totalsRowDxfId="742" dataCellStyle="Moeda">
      <calculatedColumnFormula>SUMIFS(tabela_registros[VALOR],tabela_registros[MÊS],$AE$1,tabela_registros[DIA],jantotal[[#Headers],[20]],tabela_registros[REGISTRO],DADOS!$N$4,tabela_registros[TIPO],DADOS!$P$3,tabela_registros[CATEGORIA],despesafixaconsolidadodez[[#This Row],[DESPESA FIXA]])</calculatedColumnFormula>
    </tableColumn>
    <tableColumn id="38" xr3:uid="{297343B7-C772-4E24-9379-7676D42D815A}" name="21" totalsRowFunction="sum" dataDxfId="741" totalsRowDxfId="740" dataCellStyle="Moeda">
      <calculatedColumnFormula>SUMIFS(tabela_registros[VALOR],tabela_registros[MÊS],$AE$1,tabela_registros[DIA],jantotal[[#Headers],[21]],tabela_registros[REGISTRO],DADOS!$N$4,tabela_registros[TIPO],DADOS!$P$3,tabela_registros[CATEGORIA],despesafixaconsolidadodez[[#This Row],[DESPESA FIXA]])</calculatedColumnFormula>
    </tableColumn>
    <tableColumn id="39" xr3:uid="{D170B2B3-2BDB-4AFB-BF7C-37B72CA00A6C}" name="22" totalsRowFunction="sum" dataDxfId="739" totalsRowDxfId="738" dataCellStyle="Moeda">
      <calculatedColumnFormula>SUMIFS(tabela_registros[VALOR],tabela_registros[MÊS],$AE$1,tabela_registros[DIA],jantotal[[#Headers],[22]],tabela_registros[REGISTRO],DADOS!$N$4,tabela_registros[TIPO],DADOS!$P$3,tabela_registros[CATEGORIA],despesafixaconsolidadodez[[#This Row],[DESPESA FIXA]])</calculatedColumnFormula>
    </tableColumn>
    <tableColumn id="40" xr3:uid="{4AB48682-155D-4527-8BAB-FB2E809E23F7}" name="23" totalsRowFunction="sum" dataDxfId="737" totalsRowDxfId="736" dataCellStyle="Moeda">
      <calculatedColumnFormula>SUMIFS(tabela_registros[VALOR],tabela_registros[MÊS],$AE$1,tabela_registros[DIA],jantotal[[#Headers],[23]],tabela_registros[REGISTRO],DADOS!$N$4,tabela_registros[TIPO],DADOS!$P$3,tabela_registros[CATEGORIA],despesafixaconsolidadodez[[#This Row],[DESPESA FIXA]])</calculatedColumnFormula>
    </tableColumn>
    <tableColumn id="41" xr3:uid="{C8ABB402-BECA-448B-B7CE-329D411D0EC3}" name="24" totalsRowFunction="sum" dataDxfId="735" totalsRowDxfId="734" dataCellStyle="Moeda">
      <calculatedColumnFormula>SUMIFS(tabela_registros[VALOR],tabela_registros[MÊS],$AE$1,tabela_registros[DIA],jantotal[[#Headers],[24]],tabela_registros[REGISTRO],DADOS!$N$4,tabela_registros[TIPO],DADOS!$P$3,tabela_registros[CATEGORIA],despesafixaconsolidadodez[[#This Row],[DESPESA FIXA]])</calculatedColumnFormula>
    </tableColumn>
    <tableColumn id="12" xr3:uid="{E3F06890-1B2C-4A08-A14A-B7DA6F05456C}" name="25" totalsRowFunction="sum" dataDxfId="733" totalsRowDxfId="732" dataCellStyle="Moeda">
      <calculatedColumnFormula>SUMIFS(tabela_registros[VALOR],tabela_registros[MÊS],$AE$1,tabela_registros[DIA],jantotal[[#Headers],[25]],tabela_registros[REGISTRO],DADOS!$N$4,tabela_registros[TIPO],DADOS!$P$3,tabela_registros[CATEGORIA],despesafixaconsolidadodez[[#This Row],[DESPESA FIXA]])</calculatedColumnFormula>
    </tableColumn>
    <tableColumn id="13" xr3:uid="{A8CDEF57-8BD3-43CA-9CEE-B85A4AF24F5B}" name="26" totalsRowFunction="sum" dataDxfId="731" totalsRowDxfId="730" dataCellStyle="Moeda">
      <calculatedColumnFormula>SUMIFS(tabela_registros[VALOR],tabela_registros[MÊS],$AE$1,tabela_registros[DIA],jantotal[[#Headers],[26]],tabela_registros[REGISTRO],DADOS!$N$4,tabela_registros[TIPO],DADOS!$P$3,tabela_registros[CATEGORIA],despesafixaconsolidadodez[[#This Row],[DESPESA FIXA]])</calculatedColumnFormula>
    </tableColumn>
    <tableColumn id="14" xr3:uid="{256A9CF3-A5C0-4750-868E-CCAFE4268361}" name="27" totalsRowFunction="sum" dataDxfId="729" totalsRowDxfId="728" dataCellStyle="Moeda">
      <calculatedColumnFormula>SUMIFS(tabela_registros[VALOR],tabela_registros[MÊS],$AE$1,tabela_registros[DIA],jantotal[[#Headers],[27]],tabela_registros[REGISTRO],DADOS!$N$4,tabela_registros[TIPO],DADOS!$P$3,tabela_registros[CATEGORIA],despesafixaconsolidadodez[[#This Row],[DESPESA FIXA]])</calculatedColumnFormula>
    </tableColumn>
    <tableColumn id="15" xr3:uid="{51A9EF1D-BFE3-467B-86B5-740F9811C5F8}" name="28" totalsRowFunction="sum" dataDxfId="727" totalsRowDxfId="726" dataCellStyle="Moeda">
      <calculatedColumnFormula>SUMIFS(tabela_registros[VALOR],tabela_registros[MÊS],$AE$1,tabela_registros[DIA],jantotal[[#Headers],[28]],tabela_registros[REGISTRO],DADOS!$N$4,tabela_registros[TIPO],DADOS!$P$3,tabela_registros[CATEGORIA],despesafixaconsolidadodez[[#This Row],[DESPESA FIXA]])</calculatedColumnFormula>
    </tableColumn>
    <tableColumn id="16" xr3:uid="{F56F4FB9-B52F-409B-B67F-AE44FCAD23B7}" name="29" totalsRowFunction="sum" dataDxfId="725" totalsRowDxfId="724" dataCellStyle="Moeda">
      <calculatedColumnFormula>SUMIFS(tabela_registros[VALOR],tabela_registros[MÊS],$AE$1,tabela_registros[DIA],jantotal[[#Headers],[29]],tabela_registros[REGISTRO],DADOS!$N$4,tabela_registros[TIPO],DADOS!$P$3,tabela_registros[CATEGORIA],despesafixaconsolidadodez[[#This Row],[DESPESA FIXA]])</calculatedColumnFormula>
    </tableColumn>
    <tableColumn id="17" xr3:uid="{A644510D-2E39-4E12-9A3F-5AD4E527FFB3}" name="30" totalsRowFunction="sum" dataDxfId="723" totalsRowDxfId="722" dataCellStyle="Moeda">
      <calculatedColumnFormula>SUMIFS(tabela_registros[VALOR],tabela_registros[MÊS],$AE$1,tabela_registros[DIA],jantotal[[#Headers],[30]],tabela_registros[REGISTRO],DADOS!$N$4,tabela_registros[TIPO],DADOS!$P$3,tabela_registros[CATEGORIA],despesafixaconsolidadodez[[#This Row],[DESPESA FIXA]])</calculatedColumnFormula>
    </tableColumn>
    <tableColumn id="9" xr3:uid="{E4BAFDF8-0CD2-4724-990E-9909A762B199}" name="31" totalsRowFunction="sum" dataDxfId="721" totalsRowDxfId="720" dataCellStyle="Moeda">
      <calculatedColumnFormula>SUMIFS(tabela_registros[VALOR],tabela_registros[MÊS],$AE$1,tabela_registros[DIA],jantotal[[#Headers],[31]],tabela_registros[REGISTRO],DADOS!$N$4,tabela_registros[TIPO],DADOS!$P$3,tabela_registros[CATEGORIA],despesafixaconsolidadodez[[#This Row],[DESPESA FIXA]])</calculatedColumnFormula>
    </tableColumn>
    <tableColumn id="5" xr3:uid="{235B71AE-3920-4E97-AA8D-229BD7606C89}" name="TOTAL" totalsRowFunction="sum" dataDxfId="719" dataCellStyle="Moeda">
      <calculatedColumnFormula>SUM(despesafixaconsolidadodez[[#This Row],[1]:[31]])</calculatedColumnFormula>
    </tableColumn>
  </tableColumns>
  <tableStyleInfo name="TABELAS RESULTADOS" showFirstColumn="0" showLastColumn="1" showRowStripes="1" showColumnStripes="0"/>
</table>
</file>

<file path=xl/tables/table14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D077C02D-0D0D-4F1A-A718-20669077929A}" name="despesavariávelconsolidadodez" displayName="despesavariávelconsolidadodez" ref="C59:AJ73" headerRowDxfId="718" dataDxfId="717" totalsRowDxfId="716" dataCellStyle="Moeda">
  <autoFilter ref="C59:AJ73" xr:uid="{07DB3A1D-DBCD-42BC-96FE-46512EDE2C70}"/>
  <tableColumns count="34">
    <tableColumn id="1" xr3:uid="{ACEC068A-07CF-4DFA-8A0C-9198E5A81771}" name="DESPESA VARIÁVEL" totalsRowLabel="Total" dataDxfId="715" totalsRowDxfId="714">
      <calculatedColumnFormula>DADOS!T3</calculatedColumnFormula>
    </tableColumn>
    <tableColumn id="54" xr3:uid="{79035AF7-B7E4-4D79-AB62-375B86A141E3}" name="Coluna1" dataDxfId="713" totalsRowDxfId="712">
      <calculatedColumnFormula>IF(despesavariávelconsolidadodez[[#This Row],[TOTAL]]=0,"",IF(OR(despesavariávelconsolidadodez[[#This Row],[TOTAL]]=SMALL(despesavariávelconsolidadodez[TOTAL],1),despesavariávelconsolidadodez[[#This Row],[TOTAL]]=SMALL(despesavariávelconsolidadodez[TOTAL],2),despesavariávelconsolidadodez[[#This Row],[TOTAL]]=SMALL(despesavariávelconsolidadodez[TOTAL],3),despesavariávelconsolidadodez[[#This Row],[TOTAL]]=SMALL(despesavariávelconsolidadodez[TOTAL],4),despesavariávelconsolidadodez[[#This Row],[TOTAL]]=SMALL(despesavariávelconsolidadodez[TOTAL],5)),DADOS!$I$8,""))</calculatedColumnFormula>
    </tableColumn>
    <tableColumn id="30" xr3:uid="{FA0C0613-5F8A-4999-B060-78E27421367F}" name="1" totalsRowFunction="sum" dataDxfId="711">
      <calculatedColumnFormula>SUMIFS(tabela_registros[VALOR],tabela_registros[MÊS],$AE$1,tabela_registros[DIA],jantotal[[#Headers],[1]],tabela_registros[REGISTRO],DADOS!$N$4,tabela_registros[TIPO],DADOS!$P$4,tabela_registros[CATEGORIA],despesavariávelconsolidadodez[[#This Row],[DESPESA VARIÁVEL]])</calculatedColumnFormula>
    </tableColumn>
    <tableColumn id="31" xr3:uid="{8AD73F0B-F371-485C-9636-1FF0F600444F}" name="2" totalsRowFunction="sum" dataDxfId="710">
      <calculatedColumnFormula>SUMIFS(tabela_registros[VALOR],tabela_registros[MÊS],$AE$1,tabela_registros[DIA],jantotal[[#Headers],[2]],tabela_registros[REGISTRO],DADOS!$N$4,tabela_registros[TIPO],DADOS!$P$4,tabela_registros[CATEGORIA],despesavariávelconsolidadodez[[#This Row],[DESPESA VARIÁVEL]])</calculatedColumnFormula>
    </tableColumn>
    <tableColumn id="32" xr3:uid="{BD5FC17E-212C-4329-835A-79889D48739B}" name="3" totalsRowFunction="sum" dataDxfId="709">
      <calculatedColumnFormula>SUMIFS(tabela_registros[VALOR],tabela_registros[MÊS],$AE$1,tabela_registros[DIA],jantotal[[#Headers],[3]],tabela_registros[REGISTRO],DADOS!$N$4,tabela_registros[TIPO],DADOS!$P$4,tabela_registros[CATEGORIA],despesavariávelconsolidadodez[[#This Row],[DESPESA VARIÁVEL]])</calculatedColumnFormula>
    </tableColumn>
    <tableColumn id="33" xr3:uid="{C86C1621-7C4A-4FCE-8386-272788020D57}" name="4" totalsRowFunction="sum" dataDxfId="708">
      <calculatedColumnFormula>SUMIFS(tabela_registros[VALOR],tabela_registros[MÊS],$AE$1,tabela_registros[DIA],jantotal[[#Headers],[4]],tabela_registros[REGISTRO],DADOS!$N$4,tabela_registros[TIPO],DADOS!$P$4,tabela_registros[CATEGORIA],despesavariávelconsolidadodez[[#This Row],[DESPESA VARIÁVEL]])</calculatedColumnFormula>
    </tableColumn>
    <tableColumn id="34" xr3:uid="{C3B9A767-898F-494D-A69B-C92C7985AF2B}" name="5" totalsRowFunction="sum" dataDxfId="707">
      <calculatedColumnFormula>SUMIFS(tabela_registros[VALOR],tabela_registros[MÊS],$AE$1,tabela_registros[DIA],jantotal[[#Headers],[5]],tabela_registros[REGISTRO],DADOS!$N$4,tabela_registros[TIPO],DADOS!$P$4,tabela_registros[CATEGORIA],despesavariávelconsolidadodez[[#This Row],[DESPESA VARIÁVEL]])</calculatedColumnFormula>
    </tableColumn>
    <tableColumn id="35" xr3:uid="{59EBA882-0B41-482E-B1EF-D76AD8C19025}" name="6" totalsRowFunction="sum" dataDxfId="706">
      <calculatedColumnFormula>SUMIFS(tabela_registros[VALOR],tabela_registros[MÊS],$AE$1,tabela_registros[DIA],jantotal[[#Headers],[6]],tabela_registros[REGISTRO],DADOS!$N$4,tabela_registros[TIPO],DADOS!$P$4,tabela_registros[CATEGORIA],despesavariávelconsolidadodez[[#This Row],[DESPESA VARIÁVEL]])</calculatedColumnFormula>
    </tableColumn>
    <tableColumn id="36" xr3:uid="{22B31C1F-D0D7-4CC5-9BC6-3767E5305257}" name="7" totalsRowFunction="sum" dataDxfId="705">
      <calculatedColumnFormula>SUMIFS(tabela_registros[VALOR],tabela_registros[MÊS],$AE$1,tabela_registros[DIA],jantotal[[#Headers],[7]],tabela_registros[REGISTRO],DADOS!$N$4,tabela_registros[TIPO],DADOS!$P$4,tabela_registros[CATEGORIA],despesavariávelconsolidadodez[[#This Row],[DESPESA VARIÁVEL]])</calculatedColumnFormula>
    </tableColumn>
    <tableColumn id="37" xr3:uid="{BB7AD770-1B10-4D14-B998-6FC4D02EAD48}" name="8" totalsRowFunction="sum" dataDxfId="704">
      <calculatedColumnFormula>SUMIFS(tabela_registros[VALOR],tabela_registros[MÊS],$AE$1,tabela_registros[DIA],jantotal[[#Headers],[8]],tabela_registros[REGISTRO],DADOS!$N$4,tabela_registros[TIPO],DADOS!$P$4,tabela_registros[CATEGORIA],despesavariávelconsolidadodez[[#This Row],[DESPESA VARIÁVEL]])</calculatedColumnFormula>
    </tableColumn>
    <tableColumn id="38" xr3:uid="{588D7C46-D12C-401C-AE9B-5BA7E41E3B6D}" name="9" totalsRowFunction="sum" dataDxfId="703">
      <calculatedColumnFormula>SUMIFS(tabela_registros[VALOR],tabela_registros[MÊS],$AE$1,tabela_registros[DIA],jantotal[[#Headers],[9]],tabela_registros[REGISTRO],DADOS!$N$4,tabela_registros[TIPO],DADOS!$P$4,tabela_registros[CATEGORIA],despesavariávelconsolidadodez[[#This Row],[DESPESA VARIÁVEL]])</calculatedColumnFormula>
    </tableColumn>
    <tableColumn id="39" xr3:uid="{EA2C4EF7-A325-4CC8-8F63-EC915E97FB28}" name="10" totalsRowFunction="sum" dataDxfId="702">
      <calculatedColumnFormula>SUMIFS(tabela_registros[VALOR],tabela_registros[MÊS],$AE$1,tabela_registros[DIA],jantotal[[#Headers],[10]],tabela_registros[REGISTRO],DADOS!$N$4,tabela_registros[TIPO],DADOS!$P$4,tabela_registros[CATEGORIA],despesavariávelconsolidadodez[[#This Row],[DESPESA VARIÁVEL]])</calculatedColumnFormula>
    </tableColumn>
    <tableColumn id="40" xr3:uid="{39E58C46-1610-478C-81C5-4FDC34058E7E}" name="11" totalsRowFunction="sum" dataDxfId="701">
      <calculatedColumnFormula>SUMIFS(tabela_registros[VALOR],tabela_registros[MÊS],$AE$1,tabela_registros[DIA],jantotal[[#Headers],[11]],tabela_registros[REGISTRO],DADOS!$N$4,tabela_registros[TIPO],DADOS!$P$4,tabela_registros[CATEGORIA],despesavariávelconsolidadodez[[#This Row],[DESPESA VARIÁVEL]])</calculatedColumnFormula>
    </tableColumn>
    <tableColumn id="41" xr3:uid="{73C8C9FB-3DFB-4240-A44E-1E9894069780}" name="12" totalsRowFunction="sum" dataDxfId="700">
      <calculatedColumnFormula>SUMIFS(tabela_registros[VALOR],tabela_registros[MÊS],$AE$1,tabela_registros[DIA],jantotal[[#Headers],[12]],tabela_registros[REGISTRO],DADOS!$N$4,tabela_registros[TIPO],DADOS!$P$4,tabela_registros[CATEGORIA],despesavariávelconsolidadodez[[#This Row],[DESPESA VARIÁVEL]])</calculatedColumnFormula>
    </tableColumn>
    <tableColumn id="42" xr3:uid="{A0412DD4-EAF9-45BE-888D-E881145EB153}" name="13" totalsRowFunction="sum" dataDxfId="699">
      <calculatedColumnFormula>SUMIFS(tabela_registros[VALOR],tabela_registros[MÊS],$AE$1,tabela_registros[DIA],jantotal[[#Headers],[13]],tabela_registros[REGISTRO],DADOS!$N$4,tabela_registros[TIPO],DADOS!$P$4,tabela_registros[CATEGORIA],despesavariávelconsolidadodez[[#This Row],[DESPESA VARIÁVEL]])</calculatedColumnFormula>
    </tableColumn>
    <tableColumn id="43" xr3:uid="{B82F5785-7CC2-41E7-873C-829268396397}" name="14" totalsRowFunction="sum" dataDxfId="698">
      <calculatedColumnFormula>SUMIFS(tabela_registros[VALOR],tabela_registros[MÊS],$AE$1,tabela_registros[DIA],jantotal[[#Headers],[14]],tabela_registros[REGISTRO],DADOS!$N$4,tabela_registros[TIPO],DADOS!$P$4,tabela_registros[CATEGORIA],despesavariávelconsolidadodez[[#This Row],[DESPESA VARIÁVEL]])</calculatedColumnFormula>
    </tableColumn>
    <tableColumn id="44" xr3:uid="{8925445A-6CBD-4AE1-879D-57BB3B1CDB51}" name="15" totalsRowFunction="sum" dataDxfId="697">
      <calculatedColumnFormula>SUMIFS(tabela_registros[VALOR],tabela_registros[MÊS],$AE$1,tabela_registros[DIA],jantotal[[#Headers],[15]],tabela_registros[REGISTRO],DADOS!$N$4,tabela_registros[TIPO],DADOS!$P$4,tabela_registros[CATEGORIA],despesavariávelconsolidadodez[[#This Row],[DESPESA VARIÁVEL]])</calculatedColumnFormula>
    </tableColumn>
    <tableColumn id="45" xr3:uid="{96A218A8-CBA5-4DF2-AFD1-1D5EFBF09555}" name="16" totalsRowFunction="sum" dataDxfId="696">
      <calculatedColumnFormula>SUMIFS(tabela_registros[VALOR],tabela_registros[MÊS],$AE$1,tabela_registros[DIA],jantotal[[#Headers],[16]],tabela_registros[REGISTRO],DADOS!$N$4,tabela_registros[TIPO],DADOS!$P$4,tabela_registros[CATEGORIA],despesavariávelconsolidadodez[[#This Row],[DESPESA VARIÁVEL]])</calculatedColumnFormula>
    </tableColumn>
    <tableColumn id="46" xr3:uid="{FF76DC5A-828B-4B2E-9C61-D359B705798A}" name="17" totalsRowFunction="sum" dataDxfId="695">
      <calculatedColumnFormula>SUMIFS(tabela_registros[VALOR],tabela_registros[MÊS],$AE$1,tabela_registros[DIA],jantotal[[#Headers],[17]],tabela_registros[REGISTRO],DADOS!$N$4,tabela_registros[TIPO],DADOS!$P$4,tabela_registros[CATEGORIA],despesavariávelconsolidadodez[[#This Row],[DESPESA VARIÁVEL]])</calculatedColumnFormula>
    </tableColumn>
    <tableColumn id="47" xr3:uid="{7EC658E4-A09B-48EF-AE1B-4AC7537F34FD}" name="18" totalsRowFunction="sum" dataDxfId="694">
      <calculatedColumnFormula>SUMIFS(tabela_registros[VALOR],tabela_registros[MÊS],$AE$1,tabela_registros[DIA],jantotal[[#Headers],[18]],tabela_registros[REGISTRO],DADOS!$N$4,tabela_registros[TIPO],DADOS!$P$4,tabela_registros[CATEGORIA],despesavariávelconsolidadodez[[#This Row],[DESPESA VARIÁVEL]])</calculatedColumnFormula>
    </tableColumn>
    <tableColumn id="48" xr3:uid="{78099129-8BC7-461D-94C4-FEDEBE9A9F4F}" name="19" totalsRowFunction="sum" dataDxfId="693">
      <calculatedColumnFormula>SUMIFS(tabela_registros[VALOR],tabela_registros[MÊS],$AE$1,tabela_registros[DIA],jantotal[[#Headers],[19]],tabela_registros[REGISTRO],DADOS!$N$4,tabela_registros[TIPO],DADOS!$P$4,tabela_registros[CATEGORIA],despesavariávelconsolidadodez[[#This Row],[DESPESA VARIÁVEL]])</calculatedColumnFormula>
    </tableColumn>
    <tableColumn id="49" xr3:uid="{9C33117F-70CC-44EC-9117-6316531FDA9E}" name="20" totalsRowFunction="sum" dataDxfId="692">
      <calculatedColumnFormula>SUMIFS(tabela_registros[VALOR],tabela_registros[MÊS],$AE$1,tabela_registros[DIA],jantotal[[#Headers],[20]],tabela_registros[REGISTRO],DADOS!$N$4,tabela_registros[TIPO],DADOS!$P$4,tabela_registros[CATEGORIA],despesavariávelconsolidadodez[[#This Row],[DESPESA VARIÁVEL]])</calculatedColumnFormula>
    </tableColumn>
    <tableColumn id="50" xr3:uid="{F227A6C9-C404-4A39-BE34-B25FC9C0CDC4}" name="21" totalsRowFunction="sum" dataDxfId="691">
      <calculatedColumnFormula>SUMIFS(tabela_registros[VALOR],tabela_registros[MÊS],$AE$1,tabela_registros[DIA],jantotal[[#Headers],[21]],tabela_registros[REGISTRO],DADOS!$N$4,tabela_registros[TIPO],DADOS!$P$4,tabela_registros[CATEGORIA],despesavariávelconsolidadodez[[#This Row],[DESPESA VARIÁVEL]])</calculatedColumnFormula>
    </tableColumn>
    <tableColumn id="51" xr3:uid="{48789347-A01C-43D7-A0F6-287258F080E8}" name="22" totalsRowFunction="sum" dataDxfId="690">
      <calculatedColumnFormula>SUMIFS(tabela_registros[VALOR],tabela_registros[MÊS],$AE$1,tabela_registros[DIA],jantotal[[#Headers],[22]],tabela_registros[REGISTRO],DADOS!$N$4,tabela_registros[TIPO],DADOS!$P$4,tabela_registros[CATEGORIA],despesavariávelconsolidadodez[[#This Row],[DESPESA VARIÁVEL]])</calculatedColumnFormula>
    </tableColumn>
    <tableColumn id="52" xr3:uid="{D0D8AF77-B7B6-4298-BA0E-A29F8A36C2D7}" name="23" totalsRowFunction="sum" dataDxfId="689">
      <calculatedColumnFormula>SUMIFS(tabela_registros[VALOR],tabela_registros[MÊS],$AE$1,tabela_registros[DIA],jantotal[[#Headers],[23]],tabela_registros[REGISTRO],DADOS!$N$4,tabela_registros[TIPO],DADOS!$P$4,tabela_registros[CATEGORIA],despesavariávelconsolidadodez[[#This Row],[DESPESA VARIÁVEL]])</calculatedColumnFormula>
    </tableColumn>
    <tableColumn id="53" xr3:uid="{485DFD82-0FB4-4262-883C-7EBE24122973}" name="24" totalsRowFunction="sum" dataDxfId="688">
      <calculatedColumnFormula>SUMIFS(tabela_registros[VALOR],tabela_registros[MÊS],$AE$1,tabela_registros[DIA],jantotal[[#Headers],[24]],tabela_registros[REGISTRO],DADOS!$N$4,tabela_registros[TIPO],DADOS!$P$4,tabela_registros[CATEGORIA],despesavariávelconsolidadodez[[#This Row],[DESPESA VARIÁVEL]])</calculatedColumnFormula>
    </tableColumn>
    <tableColumn id="18" xr3:uid="{43DF8BF6-0CD6-4A2A-89A6-C7A20D7FE220}" name="25" totalsRowFunction="sum" dataDxfId="687">
      <calculatedColumnFormula>SUMIFS(tabela_registros[VALOR],tabela_registros[MÊS],$AE$1,tabela_registros[DIA],jantotal[[#Headers],[25]],tabela_registros[REGISTRO],DADOS!$N$4,tabela_registros[TIPO],DADOS!$P$4,tabela_registros[CATEGORIA],despesavariávelconsolidadodez[[#This Row],[DESPESA VARIÁVEL]])</calculatedColumnFormula>
    </tableColumn>
    <tableColumn id="19" xr3:uid="{EC360FC9-B69F-458B-BBC1-1542366EC7DF}" name="26" totalsRowFunction="sum" dataDxfId="686">
      <calculatedColumnFormula>SUMIFS(tabela_registros[VALOR],tabela_registros[MÊS],$AE$1,tabela_registros[DIA],jantotal[[#Headers],[26]],tabela_registros[REGISTRO],DADOS!$N$4,tabela_registros[TIPO],DADOS!$P$4,tabela_registros[CATEGORIA],despesavariávelconsolidadodez[[#This Row],[DESPESA VARIÁVEL]])</calculatedColumnFormula>
    </tableColumn>
    <tableColumn id="20" xr3:uid="{1D542502-167D-498B-BB3A-9C8FE51EDD35}" name="27" totalsRowFunction="sum" dataDxfId="685">
      <calculatedColumnFormula>SUMIFS(tabela_registros[VALOR],tabela_registros[MÊS],$AE$1,tabela_registros[DIA],jantotal[[#Headers],[27]],tabela_registros[REGISTRO],DADOS!$N$4,tabela_registros[TIPO],DADOS!$P$4,tabela_registros[CATEGORIA],despesavariávelconsolidadodez[[#This Row],[DESPESA VARIÁVEL]])</calculatedColumnFormula>
    </tableColumn>
    <tableColumn id="21" xr3:uid="{3E208294-9AC6-47C9-B2C6-16854247E0D7}" name="28" totalsRowFunction="sum" dataDxfId="684">
      <calculatedColumnFormula>SUMIFS(tabela_registros[VALOR],tabela_registros[MÊS],$AE$1,tabela_registros[DIA],jantotal[[#Headers],[28]],tabela_registros[REGISTRO],DADOS!$N$4,tabela_registros[TIPO],DADOS!$P$4,tabela_registros[CATEGORIA],despesavariávelconsolidadodez[[#This Row],[DESPESA VARIÁVEL]])</calculatedColumnFormula>
    </tableColumn>
    <tableColumn id="22" xr3:uid="{2F1964E1-8BC4-43D9-9B11-CB43D52EA478}" name="29" totalsRowFunction="sum" dataDxfId="683">
      <calculatedColumnFormula>SUMIFS(tabela_registros[VALOR],tabela_registros[MÊS],$AE$1,tabela_registros[DIA],jantotal[[#Headers],[29]],tabela_registros[REGISTRO],DADOS!$N$4,tabela_registros[TIPO],DADOS!$P$4,tabela_registros[CATEGORIA],despesavariávelconsolidadodez[[#This Row],[DESPESA VARIÁVEL]])</calculatedColumnFormula>
    </tableColumn>
    <tableColumn id="23" xr3:uid="{4AA22A7A-4B85-4570-BFEA-2CE75E7809F1}" name="30" totalsRowFunction="sum" dataDxfId="682">
      <calculatedColumnFormula>SUMIFS(tabela_registros[VALOR],tabela_registros[MÊS],$AE$1,tabela_registros[DIA],jantotal[[#Headers],[30]],tabela_registros[REGISTRO],DADOS!$N$4,tabela_registros[TIPO],DADOS!$P$4,tabela_registros[CATEGORIA],despesavariávelconsolidadodez[[#This Row],[DESPESA VARIÁVEL]])</calculatedColumnFormula>
    </tableColumn>
    <tableColumn id="24" xr3:uid="{A1B2C6A2-AC2A-4A5A-85D5-8EC7311FD67A}" name="31" totalsRowFunction="sum" dataDxfId="681">
      <calculatedColumnFormula>SUMIFS(tabela_registros[VALOR],tabela_registros[MÊS],$AE$1,tabela_registros[DIA],jantotal[[#Headers],[31]],tabela_registros[REGISTRO],DADOS!$N$4,tabela_registros[TIPO],DADOS!$P$4,tabela_registros[CATEGORIA],despesavariávelconsolidadodez[[#This Row],[DESPESA VARIÁVEL]])</calculatedColumnFormula>
    </tableColumn>
    <tableColumn id="3" xr3:uid="{07C1A74F-C8E8-4A8A-8551-6A1C229A6B16}" name="TOTAL" totalsRowFunction="sum" dataDxfId="680" dataCellStyle="Moeda">
      <calculatedColumnFormula>-SUMIFS(tabela_registros[VALOR],tabela_registros[REGISTRO],DADOS!$N$4,tabela_registros[TIPO],despesavariável[[#Headers],[DESPESA VARIÁVEL]],tabela_registros[CATEGORIA],despesavariávelconsolidadodez[[#This Row],[DESPESA VARIÁVEL]])</calculatedColumnFormula>
    </tableColumn>
  </tableColumns>
  <tableStyleInfo name="TABELAS RESULTADOS" showFirstColumn="0" showLastColumn="1" showRowStripes="1" showColumnStripes="0"/>
</table>
</file>

<file path=xl/tables/table14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2C664961-F152-4ADF-A33A-BE95E81389C6}" name="dezinvestir2158708294106118130142154166" displayName="dezinvestir2158708294106118130142154166" ref="C24:AJ28" totalsRowCount="1" headerRowDxfId="679" dataDxfId="678" totalsRowDxfId="676" tableBorderDxfId="677" dataCellStyle="Moeda">
  <autoFilter ref="C24:AJ27" xr:uid="{6A49DC70-6E60-45C7-9126-6CFF5D88342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  <filterColumn colId="25" hiddenButton="1"/>
    <filterColumn colId="26" hiddenButton="1"/>
    <filterColumn colId="27" hiddenButton="1"/>
    <filterColumn colId="28" hiddenButton="1"/>
    <filterColumn colId="29" hiddenButton="1"/>
    <filterColumn colId="30" hiddenButton="1"/>
    <filterColumn colId="31" hiddenButton="1"/>
    <filterColumn colId="32" hiddenButton="1"/>
    <filterColumn colId="33" hiddenButton="1"/>
  </autoFilter>
  <tableColumns count="34">
    <tableColumn id="1" xr3:uid="{FC250C82-E332-4AB4-9C4F-45E68258AE19}" name="ATUAL" totalsRowLabel="SALDO" dataDxfId="675"/>
    <tableColumn id="34" xr3:uid="{AC043DB3-EA60-4C1D-A4F3-8273A53E037C}" name="Coluna1" dataDxfId="674"/>
    <tableColumn id="2" xr3:uid="{6D6DB72E-BCE3-4429-86EF-DDD761CBAE1C}" name="1" totalsRowFunction="sum" dataDxfId="673" totalsRowDxfId="672" dataCellStyle="Moeda"/>
    <tableColumn id="3" xr3:uid="{0E74454A-4645-4638-95C5-CD9F50E207EA}" name="2" totalsRowFunction="sum" dataDxfId="671" totalsRowDxfId="670" dataCellStyle="Moeda"/>
    <tableColumn id="4" xr3:uid="{1B9CD548-A8B4-4032-A75B-C5AB612434C0}" name="3" totalsRowFunction="sum" dataDxfId="669" totalsRowDxfId="668" dataCellStyle="Moeda"/>
    <tableColumn id="5" xr3:uid="{C5C737F5-302B-455B-9428-6B49401FD2F9}" name="4" totalsRowFunction="sum" dataDxfId="667" totalsRowDxfId="666" dataCellStyle="Moeda"/>
    <tableColumn id="6" xr3:uid="{9A34DF71-02E7-4311-833C-52BF4B7A9171}" name="5" totalsRowFunction="sum" dataDxfId="665" totalsRowDxfId="664" dataCellStyle="Moeda"/>
    <tableColumn id="7" xr3:uid="{3C1A7DEC-57DC-406D-AFD8-FBB46ABA08B1}" name="6" totalsRowFunction="sum" dataDxfId="663" totalsRowDxfId="662" dataCellStyle="Moeda"/>
    <tableColumn id="8" xr3:uid="{DE9DEAE0-5D85-4772-AE12-79167AB5C164}" name="7" totalsRowFunction="sum" dataDxfId="661" totalsRowDxfId="660" dataCellStyle="Moeda"/>
    <tableColumn id="9" xr3:uid="{6FB49AD3-7E3D-4890-9F4D-A0E246F76C2B}" name="8" totalsRowFunction="sum" dataDxfId="659" totalsRowDxfId="658" dataCellStyle="Moeda"/>
    <tableColumn id="10" xr3:uid="{EBDD68D2-51DC-49E3-BE52-5A8D8801D4AA}" name="9" totalsRowFunction="sum" dataDxfId="657" totalsRowDxfId="656" dataCellStyle="Moeda"/>
    <tableColumn id="11" xr3:uid="{FBD29373-0064-4C1D-857E-7ECA6A5962F1}" name="10" totalsRowFunction="sum" dataDxfId="655" totalsRowDxfId="654" dataCellStyle="Moeda"/>
    <tableColumn id="12" xr3:uid="{52F6E76D-22CC-4A9D-B40B-8EEB88AB03BE}" name="11" totalsRowFunction="sum" dataDxfId="653" totalsRowDxfId="652" dataCellStyle="Moeda"/>
    <tableColumn id="13" xr3:uid="{B2A47B8A-810D-4811-B7D7-329F90390CE1}" name="12" totalsRowFunction="sum" dataDxfId="651" totalsRowDxfId="650" dataCellStyle="Moeda"/>
    <tableColumn id="14" xr3:uid="{80578D88-0416-4737-8946-7110A2E4595D}" name="13" totalsRowFunction="sum" dataDxfId="649" totalsRowDxfId="648" dataCellStyle="Moeda"/>
    <tableColumn id="15" xr3:uid="{C92961E8-C085-4A88-ADA2-9DD5D38E0B67}" name="14" totalsRowFunction="sum" dataDxfId="647" totalsRowDxfId="646" dataCellStyle="Moeda"/>
    <tableColumn id="16" xr3:uid="{F2A79831-C8FA-4DE2-B163-076A6EFE97E3}" name="15" totalsRowFunction="sum" dataDxfId="645" totalsRowDxfId="644" dataCellStyle="Moeda"/>
    <tableColumn id="17" xr3:uid="{B6965507-DEB0-4EC4-978D-D4FC649B8DBD}" name="16" totalsRowFunction="sum" dataDxfId="643" totalsRowDxfId="642" dataCellStyle="Moeda"/>
    <tableColumn id="18" xr3:uid="{CC0A4BB5-7865-42C6-8997-D68D9811337A}" name="17" totalsRowFunction="sum" dataDxfId="641" totalsRowDxfId="640" dataCellStyle="Moeda"/>
    <tableColumn id="19" xr3:uid="{2C539B61-9124-45B0-A287-3432779B372B}" name="18" totalsRowFunction="sum" dataDxfId="639" totalsRowDxfId="638" dataCellStyle="Moeda"/>
    <tableColumn id="20" xr3:uid="{B3EDB007-D355-444E-99D7-01F775BBA7C4}" name="19" totalsRowFunction="sum" dataDxfId="637" totalsRowDxfId="636" dataCellStyle="Moeda"/>
    <tableColumn id="21" xr3:uid="{55D0F4C0-3A02-43FC-91DE-BA89662E564E}" name="20" totalsRowFunction="sum" dataDxfId="635" totalsRowDxfId="634" dataCellStyle="Moeda"/>
    <tableColumn id="22" xr3:uid="{6D1C4A1E-579C-4819-8582-D981AC18E750}" name="21" totalsRowFunction="sum" dataDxfId="633" totalsRowDxfId="632" dataCellStyle="Moeda"/>
    <tableColumn id="23" xr3:uid="{798561A6-7FAB-42B9-B467-345FA53345C7}" name="22" totalsRowFunction="sum" dataDxfId="631" totalsRowDxfId="630" dataCellStyle="Moeda"/>
    <tableColumn id="24" xr3:uid="{A2A89BED-4E02-4C24-B9C6-F694952B9034}" name="23" totalsRowFunction="sum" dataDxfId="629" totalsRowDxfId="628" dataCellStyle="Moeda"/>
    <tableColumn id="25" xr3:uid="{34DC5CCC-26A9-419A-BDEC-A677A6D69AD2}" name="24" totalsRowFunction="sum" dataDxfId="627" totalsRowDxfId="626" dataCellStyle="Moeda"/>
    <tableColumn id="26" xr3:uid="{77A8C7FF-7B3D-4877-BF24-D08D08C75B41}" name="25" totalsRowFunction="sum" dataDxfId="625" totalsRowDxfId="624" dataCellStyle="Moeda"/>
    <tableColumn id="27" xr3:uid="{21319461-C415-42AC-91AB-A66EA75A971C}" name="26" totalsRowFunction="sum" dataDxfId="623" totalsRowDxfId="622" dataCellStyle="Moeda"/>
    <tableColumn id="28" xr3:uid="{C1A7275D-6322-48E4-855D-98CA920C1C02}" name="27" totalsRowFunction="sum" dataDxfId="621" totalsRowDxfId="620" dataCellStyle="Moeda"/>
    <tableColumn id="29" xr3:uid="{05BD14A8-894B-485F-B488-36825FD06EFF}" name="28" totalsRowFunction="sum" dataDxfId="619" totalsRowDxfId="618" dataCellStyle="Moeda"/>
    <tableColumn id="30" xr3:uid="{B277B58A-0C89-4EA7-9127-3EC58B93576C}" name="29" totalsRowFunction="sum" dataDxfId="617" totalsRowDxfId="616" dataCellStyle="Moeda"/>
    <tableColumn id="31" xr3:uid="{2D5AF35C-5626-4899-9274-22CD1CD2AC22}" name="30" totalsRowFunction="sum" dataDxfId="615" totalsRowDxfId="614" dataCellStyle="Moeda"/>
    <tableColumn id="32" xr3:uid="{95F3B75C-D80B-42F8-9C68-F4DC8F3E1EA3}" name="31" totalsRowFunction="sum" dataDxfId="613" totalsRowDxfId="612" dataCellStyle="Moeda"/>
    <tableColumn id="33" xr3:uid="{C101FA5B-9C1D-4500-81A3-A7A184677F8A}" name="TOTAL (R$)" totalsRowFunction="sum" dataDxfId="611" totalsRowDxfId="610" dataCellStyle="Moeda">
      <calculatedColumnFormula>SUM(E25:AI25)</calculatedColumnFormula>
    </tableColumn>
  </tableColumns>
  <tableStyleInfo name="TABELAS RESULTADOS" showFirstColumn="0" showLastColumn="0" showRowStripes="1" showColumnStripes="0"/>
</table>
</file>

<file path=xl/tables/table14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" xr:uid="{23B96D74-3C09-4D56-977E-CDB01EBD5A14}" name="deztotal3059718395107119131143155167" displayName="deztotal3059718395107119131143155167" ref="C13:AJ16" headerRowDxfId="609" dataDxfId="608" totalsRowDxfId="607">
  <autoFilter ref="C13:AJ16" xr:uid="{8F80C188-90EF-4EEA-8266-E1F416435B21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  <filterColumn colId="25" hiddenButton="1"/>
    <filterColumn colId="26" hiddenButton="1"/>
    <filterColumn colId="27" hiddenButton="1"/>
    <filterColumn colId="28" hiddenButton="1"/>
    <filterColumn colId="29" hiddenButton="1"/>
    <filterColumn colId="30" hiddenButton="1"/>
    <filterColumn colId="31" hiddenButton="1"/>
    <filterColumn colId="32" hiddenButton="1"/>
    <filterColumn colId="33" hiddenButton="1"/>
  </autoFilter>
  <tableColumns count="34">
    <tableColumn id="1" xr3:uid="{0621BC9F-CFEC-4C11-B652-E03B413980BA}" name="ATUAL" totalsRowLabel="SALDO" dataDxfId="606"/>
    <tableColumn id="34" xr3:uid="{8194DCC2-3D95-48D0-9A22-9F12504F1EAE}" name="Coluna1" dataDxfId="605"/>
    <tableColumn id="2" xr3:uid="{12D7945B-6B69-4B3F-A828-82C556E83B59}" name="1" totalsRowFunction="sum" dataDxfId="604" dataCellStyle="Moeda"/>
    <tableColumn id="3" xr3:uid="{265B2342-E3A1-4B55-9EE0-53EC2BEF77C4}" name="2" totalsRowFunction="sum" dataDxfId="603" totalsRowDxfId="602" dataCellStyle="Moeda"/>
    <tableColumn id="4" xr3:uid="{6BFC64F0-DCE8-46FA-8BE3-BFCB19EE4E5F}" name="3" totalsRowFunction="sum" dataDxfId="601" totalsRowDxfId="600" dataCellStyle="Moeda"/>
    <tableColumn id="5" xr3:uid="{E40144BB-DA90-4CC4-A376-F86419573245}" name="4" totalsRowFunction="sum" dataDxfId="599" totalsRowDxfId="598" dataCellStyle="Moeda"/>
    <tableColumn id="6" xr3:uid="{748BF200-EA05-4ED2-8F3A-CD3C8536DA6B}" name="5" totalsRowFunction="sum" dataDxfId="597" totalsRowDxfId="596" dataCellStyle="Moeda"/>
    <tableColumn id="7" xr3:uid="{0CFC2670-CCCB-4B33-9CF9-ACC2EA5CAB9B}" name="6" totalsRowFunction="sum" dataDxfId="595" totalsRowDxfId="594" dataCellStyle="Moeda"/>
    <tableColumn id="8" xr3:uid="{7F65F7B4-AE04-4C26-8DC8-32647C872BB2}" name="7" totalsRowFunction="sum" dataDxfId="593" totalsRowDxfId="592" dataCellStyle="Moeda"/>
    <tableColumn id="9" xr3:uid="{ECDD9FB0-1EF3-4652-8F80-0C999B7D6077}" name="8" totalsRowFunction="sum" dataDxfId="591" totalsRowDxfId="590" dataCellStyle="Moeda"/>
    <tableColumn id="10" xr3:uid="{4EF5DDF4-F381-489D-B32B-E7E0C8F8A85A}" name="9" totalsRowFunction="sum" dataDxfId="589" totalsRowDxfId="588" dataCellStyle="Moeda"/>
    <tableColumn id="11" xr3:uid="{CB896D12-59AE-4A88-A062-C4111FE547C6}" name="10" totalsRowFunction="sum" dataDxfId="587" totalsRowDxfId="586" dataCellStyle="Moeda"/>
    <tableColumn id="12" xr3:uid="{D0E1AF91-F2F0-4805-9020-EF57F19A8D4B}" name="11" totalsRowFunction="sum" dataDxfId="585" totalsRowDxfId="584" dataCellStyle="Moeda"/>
    <tableColumn id="13" xr3:uid="{F6E9BCF1-439D-4C2A-AC41-9C731BBA4346}" name="12" totalsRowFunction="sum" dataDxfId="583" totalsRowDxfId="582" dataCellStyle="Moeda"/>
    <tableColumn id="14" xr3:uid="{F5CC2530-1DB4-48EF-9139-9E90E07DCF3A}" name="13" totalsRowFunction="sum" dataDxfId="581" totalsRowDxfId="580" dataCellStyle="Moeda"/>
    <tableColumn id="15" xr3:uid="{F59AAE81-952F-4B16-B32D-0CAA718D5926}" name="14" totalsRowFunction="sum" dataDxfId="579" totalsRowDxfId="578" dataCellStyle="Moeda"/>
    <tableColumn id="16" xr3:uid="{9E0FDF38-5FD8-4CDF-892D-CB0328A6D17A}" name="15" totalsRowFunction="sum" dataDxfId="577" totalsRowDxfId="576" dataCellStyle="Moeda"/>
    <tableColumn id="17" xr3:uid="{68330DF2-F2AD-4992-8962-B2B5F9AA0D2E}" name="16" totalsRowFunction="sum" dataDxfId="575" totalsRowDxfId="574" dataCellStyle="Moeda"/>
    <tableColumn id="18" xr3:uid="{D19DA9F3-380D-4159-A102-0AD963F1F895}" name="17" totalsRowFunction="sum" dataDxfId="573" totalsRowDxfId="572" dataCellStyle="Moeda"/>
    <tableColumn id="19" xr3:uid="{4FF8F806-1319-487E-9C21-22D496FD15C2}" name="18" totalsRowFunction="sum" dataDxfId="571" totalsRowDxfId="570" dataCellStyle="Moeda"/>
    <tableColumn id="20" xr3:uid="{E941729E-098F-4AD3-99B1-11909847B334}" name="19" totalsRowFunction="sum" dataDxfId="569" totalsRowDxfId="568" dataCellStyle="Moeda"/>
    <tableColumn id="21" xr3:uid="{84DF552A-25E6-4280-B26C-4EDEA021D2D8}" name="20" totalsRowFunction="sum" dataDxfId="567" totalsRowDxfId="566" dataCellStyle="Moeda"/>
    <tableColumn id="22" xr3:uid="{F98940A4-2937-4BFB-AD90-DA1FBD79843E}" name="21" totalsRowFunction="sum" dataDxfId="565" totalsRowDxfId="564" dataCellStyle="Moeda"/>
    <tableColumn id="23" xr3:uid="{E664C18C-F951-47D7-B140-B94C57E98749}" name="22" totalsRowFunction="sum" dataDxfId="563" totalsRowDxfId="562" dataCellStyle="Moeda"/>
    <tableColumn id="24" xr3:uid="{1AEE49CB-A346-4141-9690-78DCC8FFC96B}" name="23" totalsRowFunction="sum" dataDxfId="561" totalsRowDxfId="560" dataCellStyle="Moeda"/>
    <tableColumn id="25" xr3:uid="{F2F9BB4A-55C5-4256-8EA5-EAA2F8A75871}" name="24" totalsRowFunction="sum" dataDxfId="559" totalsRowDxfId="558" dataCellStyle="Moeda"/>
    <tableColumn id="26" xr3:uid="{57103627-CC0E-4481-902D-AFD71DD52944}" name="25" totalsRowFunction="sum" dataDxfId="557" totalsRowDxfId="556" dataCellStyle="Moeda"/>
    <tableColumn id="27" xr3:uid="{3F024AF9-030E-4D11-8878-70C338392077}" name="26" totalsRowFunction="sum" dataDxfId="555" totalsRowDxfId="554" dataCellStyle="Moeda"/>
    <tableColumn id="28" xr3:uid="{29ADEAB3-0C6A-4C15-B8C3-664DC7042728}" name="27" totalsRowFunction="sum" dataDxfId="553" totalsRowDxfId="552" dataCellStyle="Moeda"/>
    <tableColumn id="29" xr3:uid="{58088A89-24AA-495B-B1C4-875A2B695ABD}" name="28" totalsRowFunction="sum" dataDxfId="551" totalsRowDxfId="550" dataCellStyle="Moeda"/>
    <tableColumn id="30" xr3:uid="{115B316C-BEAF-4E6D-97A1-76E3FFC5163E}" name="29" totalsRowFunction="sum" dataDxfId="549" totalsRowDxfId="548" dataCellStyle="Moeda"/>
    <tableColumn id="31" xr3:uid="{6885D788-9918-42E5-8DE0-085DEEA7F24D}" name="30" totalsRowFunction="sum" dataDxfId="547" totalsRowDxfId="546" dataCellStyle="Moeda"/>
    <tableColumn id="32" xr3:uid="{30AD76E6-0D52-4880-90EA-0D2A3452926B}" name="31" totalsRowFunction="sum" dataDxfId="545" totalsRowDxfId="544" dataCellStyle="Moeda"/>
    <tableColumn id="33" xr3:uid="{56A86E48-77D3-4E2B-BB21-3E288C28091A}" name="TOTAL (R$)" totalsRowFunction="sum" dataDxfId="543" dataCellStyle="Moeda">
      <calculatedColumnFormula>SUM(deztotal3059718395107119131143155167[[#This Row],[1]:[31]])</calculatedColumnFormula>
    </tableColumn>
  </tableColumns>
  <tableStyleInfo name="TABELAS RESULTADOS" showFirstColumn="0" showLastColumn="0" showRowStripes="1" showColumnStripes="0"/>
</table>
</file>

<file path=xl/tables/table15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B697B640-3299-40E0-9B49-814BCDE98379}" name="receitasfixasconsolidadodez" displayName="receitasfixasconsolidadodez" ref="C81:AJ87" headerRowDxfId="542" dataDxfId="541" totalsRowDxfId="540">
  <autoFilter ref="C81:AJ87" xr:uid="{2EA8B7CB-D602-44E1-B8DB-B71750A487C5}"/>
  <tableColumns count="34">
    <tableColumn id="1" xr3:uid="{36AF32A4-2636-48FA-AF01-A1EE8AC318CF}" name="ATUAL" totalsRowLabel="SALDO" dataDxfId="539"/>
    <tableColumn id="34" xr3:uid="{B521707D-4009-460D-9C22-929197260D2C}" name="Coluna1" dataDxfId="538">
      <calculatedColumnFormula>IF(receitasfixasconsolidadodez[[#This Row],[TOTAL (R$)]]=0,"",IF(OR(receitasfixasconsolidadodez[[#This Row],[TOTAL (R$)]]=LARGE($AJ$82:$AJ$86,1),receitasfixasconsolidadodez[[#This Row],[TOTAL (R$)]]=LARGE($AJ$82:$AJ$86,2)),DADOS!$I$9,""))</calculatedColumnFormula>
    </tableColumn>
    <tableColumn id="2" xr3:uid="{A4E18639-B055-4DB7-B09C-102FB2439733}" name="1" totalsRowFunction="sum" dataDxfId="537" dataCellStyle="Moeda"/>
    <tableColumn id="3" xr3:uid="{6DC53AEC-3FB6-493F-BC87-6CF68668C73D}" name="2" totalsRowFunction="sum" dataDxfId="536" dataCellStyle="Moeda">
      <calculatedColumnFormula>SUMIFS(tabela_registros[VALOR],tabela_registros[MÊS],$AE$1,tabela_registros[DIA],receitasfixasconsolidadodez[[#Headers],[2]],tabela_registros[REGISTRO],DADOS!$N$3,tabela_registros[TIPO],DADOS!$V$3,tabela_registros[CATEGORIA],receitasfixasconsolidadodez[[#This Row],[ATUAL]])</calculatedColumnFormula>
    </tableColumn>
    <tableColumn id="4" xr3:uid="{94653592-67F9-4BFC-9277-BDB2A00CC99B}" name="3" totalsRowFunction="sum" dataDxfId="535" totalsRowDxfId="534" dataCellStyle="Moeda">
      <calculatedColumnFormula>SUMIFS(tabela_registros[VALOR],tabela_registros[MÊS],$AE$1,tabela_registros[DIA],receitasfixasconsolidadodez[[#Headers],[3]],tabela_registros[REGISTRO],DADOS!$N$3,tabela_registros[TIPO],DADOS!$V$3,tabela_registros[CATEGORIA],receitasfixasconsolidadodez[[#This Row],[ATUAL]])</calculatedColumnFormula>
    </tableColumn>
    <tableColumn id="5" xr3:uid="{3904F9C2-5A31-40C6-B999-20D86DBB5606}" name="4" totalsRowFunction="sum" dataDxfId="533" totalsRowDxfId="532" dataCellStyle="Moeda">
      <calculatedColumnFormula>SUMIFS(tabela_registros[VALOR],tabela_registros[MÊS],$AE$1,tabela_registros[DIA],receitasfixasconsolidadodez[[#Headers],[4]],tabela_registros[REGISTRO],DADOS!$N$3,tabela_registros[TIPO],DADOS!$V$3,tabela_registros[CATEGORIA],receitasfixasconsolidadodez[[#This Row],[ATUAL]])</calculatedColumnFormula>
    </tableColumn>
    <tableColumn id="6" xr3:uid="{A85317BD-CF51-445D-943C-02E8115B1951}" name="5" totalsRowFunction="sum" dataDxfId="531" totalsRowDxfId="530" dataCellStyle="Moeda">
      <calculatedColumnFormula>SUMIFS(tabela_registros[VALOR],tabela_registros[MÊS],$AE$1,tabela_registros[DIA],receitasfixasconsolidadodez[[#Headers],[5]],tabela_registros[REGISTRO],DADOS!$N$3,tabela_registros[TIPO],DADOS!$V$3,tabela_registros[CATEGORIA],receitasfixasconsolidadodez[[#This Row],[ATUAL]])</calculatedColumnFormula>
    </tableColumn>
    <tableColumn id="7" xr3:uid="{9B4F10F9-E9F2-4D66-88DC-3299231EB62C}" name="6" totalsRowFunction="sum" dataDxfId="529" totalsRowDxfId="528" dataCellStyle="Moeda">
      <calculatedColumnFormula>SUMIFS(tabela_registros[VALOR],tabela_registros[MÊS],$AE$1,tabela_registros[DIA],receitasfixasconsolidadodez[[#Headers],[6]],tabela_registros[REGISTRO],DADOS!$N$3,tabela_registros[TIPO],DADOS!$V$3,tabela_registros[CATEGORIA],receitasfixasconsolidadodez[[#This Row],[ATUAL]])</calculatedColumnFormula>
    </tableColumn>
    <tableColumn id="8" xr3:uid="{694E8C5E-43E0-440A-8595-1F8880C4308F}" name="7" totalsRowFunction="sum" dataDxfId="527" totalsRowDxfId="526" dataCellStyle="Moeda">
      <calculatedColumnFormula>SUMIFS(tabela_registros[VALOR],tabela_registros[MÊS],$AE$1,tabela_registros[DIA],receitasfixasconsolidadodez[[#Headers],[7]],tabela_registros[REGISTRO],DADOS!$N$3,tabela_registros[TIPO],DADOS!$V$3,tabela_registros[CATEGORIA],receitasfixasconsolidadodez[[#This Row],[ATUAL]])</calculatedColumnFormula>
    </tableColumn>
    <tableColumn id="9" xr3:uid="{19E564D0-0C64-43BA-9B03-0A1392F28DBF}" name="8" totalsRowFunction="sum" dataDxfId="525" totalsRowDxfId="524" dataCellStyle="Moeda">
      <calculatedColumnFormula>SUMIFS(tabela_registros[VALOR],tabela_registros[MÊS],$AE$1,tabela_registros[DIA],receitasfixasconsolidadodez[[#Headers],[8]],tabela_registros[REGISTRO],DADOS!$N$3,tabela_registros[TIPO],DADOS!$V$3,tabela_registros[CATEGORIA],receitasfixasconsolidadodez[[#This Row],[ATUAL]])</calculatedColumnFormula>
    </tableColumn>
    <tableColumn id="10" xr3:uid="{C2E075B3-63AD-46A0-B4DD-969A90FB9EA6}" name="9" totalsRowFunction="sum" dataDxfId="523" totalsRowDxfId="522" dataCellStyle="Moeda">
      <calculatedColumnFormula>SUMIFS(tabela_registros[VALOR],tabela_registros[MÊS],$AE$1,tabela_registros[DIA],receitasfixasconsolidadodez[[#Headers],[9]],tabela_registros[REGISTRO],DADOS!$N$3,tabela_registros[TIPO],DADOS!$V$3,tabela_registros[CATEGORIA],receitasfixasconsolidadodez[[#This Row],[ATUAL]])</calculatedColumnFormula>
    </tableColumn>
    <tableColumn id="11" xr3:uid="{4CDCBCCA-AFB7-4EE3-A550-2883C29CC0C6}" name="10" totalsRowFunction="sum" dataDxfId="521" totalsRowDxfId="520" dataCellStyle="Moeda">
      <calculatedColumnFormula>SUMIFS(tabela_registros[VALOR],tabela_registros[MÊS],$AE$1,tabela_registros[DIA],receitasfixasconsolidadodez[[#Headers],[10]],tabela_registros[REGISTRO],DADOS!$N$3,tabela_registros[TIPO],DADOS!$V$3,tabela_registros[CATEGORIA],receitasfixasconsolidadodez[[#This Row],[ATUAL]])</calculatedColumnFormula>
    </tableColumn>
    <tableColumn id="12" xr3:uid="{4D55EFF1-E8C3-4CF0-8301-3A6F25827C10}" name="11" totalsRowFunction="sum" dataDxfId="519" totalsRowDxfId="518" dataCellStyle="Moeda">
      <calculatedColumnFormula>SUMIFS(tabela_registros[VALOR],tabela_registros[MÊS],$AE$1,tabela_registros[DIA],receitasfixasconsolidadodez[[#Headers],[11]],tabela_registros[REGISTRO],DADOS!$N$3,tabela_registros[TIPO],DADOS!$V$3,tabela_registros[CATEGORIA],receitasfixasconsolidadodez[[#This Row],[ATUAL]])</calculatedColumnFormula>
    </tableColumn>
    <tableColumn id="13" xr3:uid="{4D42481E-22BD-432A-B189-E6ADA858A305}" name="12" totalsRowFunction="sum" dataDxfId="517" totalsRowDxfId="516" dataCellStyle="Moeda">
      <calculatedColumnFormula>SUMIFS(tabela_registros[VALOR],tabela_registros[MÊS],$AE$1,tabela_registros[DIA],receitasfixasconsolidadodez[[#Headers],[12]],tabela_registros[REGISTRO],DADOS!$N$3,tabela_registros[TIPO],DADOS!$V$3,tabela_registros[CATEGORIA],receitasfixasconsolidadodez[[#This Row],[ATUAL]])</calculatedColumnFormula>
    </tableColumn>
    <tableColumn id="14" xr3:uid="{53744198-9705-411F-A1C6-7C5EA9C9F19D}" name="13" totalsRowFunction="sum" dataDxfId="515" totalsRowDxfId="514" dataCellStyle="Moeda">
      <calculatedColumnFormula>SUMIFS(tabela_registros[VALOR],tabela_registros[MÊS],$AE$1,tabela_registros[DIA],receitasfixasconsolidadodez[[#Headers],[13]],tabela_registros[REGISTRO],DADOS!$N$3,tabela_registros[TIPO],DADOS!$V$3,tabela_registros[CATEGORIA],receitasfixasconsolidadodez[[#This Row],[ATUAL]])</calculatedColumnFormula>
    </tableColumn>
    <tableColumn id="15" xr3:uid="{9DCBF991-A4AE-4854-BE9F-23BBF5279073}" name="14" totalsRowFunction="sum" dataDxfId="513" totalsRowDxfId="512" dataCellStyle="Moeda">
      <calculatedColumnFormula>SUMIFS(tabela_registros[VALOR],tabela_registros[MÊS],$AE$1,tabela_registros[DIA],receitasfixasconsolidadodez[[#Headers],[14]],tabela_registros[REGISTRO],DADOS!$N$3,tabela_registros[TIPO],DADOS!$V$3,tabela_registros[CATEGORIA],receitasfixasconsolidadodez[[#This Row],[ATUAL]])</calculatedColumnFormula>
    </tableColumn>
    <tableColumn id="16" xr3:uid="{70509294-7216-4061-9FC6-C8F9023ED7C4}" name="15" totalsRowFunction="sum" dataDxfId="511" totalsRowDxfId="510" dataCellStyle="Moeda">
      <calculatedColumnFormula>SUMIFS(tabela_registros[VALOR],tabela_registros[MÊS],$AE$1,tabela_registros[DIA],receitasfixasconsolidadodez[[#Headers],[15]],tabela_registros[REGISTRO],DADOS!$N$3,tabela_registros[TIPO],DADOS!$V$3,tabela_registros[CATEGORIA],receitasfixasconsolidadodez[[#This Row],[ATUAL]])</calculatedColumnFormula>
    </tableColumn>
    <tableColumn id="17" xr3:uid="{9824C9DF-0638-4E32-A449-894A52B51DD7}" name="16" totalsRowFunction="sum" dataDxfId="509" totalsRowDxfId="508" dataCellStyle="Moeda">
      <calculatedColumnFormula>SUMIFS(tabela_registros[VALOR],tabela_registros[MÊS],$AE$1,tabela_registros[DIA],receitasfixasconsolidadodez[[#Headers],[16]],tabela_registros[REGISTRO],DADOS!$N$3,tabela_registros[TIPO],DADOS!$V$3,tabela_registros[CATEGORIA],receitasfixasconsolidadodez[[#This Row],[ATUAL]])</calculatedColumnFormula>
    </tableColumn>
    <tableColumn id="18" xr3:uid="{D00AC4E2-9DF4-4845-99D6-8DEA3C66DE2B}" name="17" totalsRowFunction="sum" dataDxfId="507" totalsRowDxfId="506" dataCellStyle="Moeda">
      <calculatedColumnFormula>SUMIFS(tabela_registros[VALOR],tabela_registros[MÊS],$AE$1,tabela_registros[DIA],receitasfixasconsolidadodez[[#Headers],[17]],tabela_registros[REGISTRO],DADOS!$N$3,tabela_registros[TIPO],DADOS!$V$3,tabela_registros[CATEGORIA],receitasfixasconsolidadodez[[#This Row],[ATUAL]])</calculatedColumnFormula>
    </tableColumn>
    <tableColumn id="19" xr3:uid="{E93E36A3-F028-4544-8303-B733997ED433}" name="18" totalsRowFunction="sum" dataDxfId="505" totalsRowDxfId="504" dataCellStyle="Moeda">
      <calculatedColumnFormula>SUMIFS(tabela_registros[VALOR],tabela_registros[MÊS],$AE$1,tabela_registros[DIA],receitasfixasconsolidadodez[[#Headers],[18]],tabela_registros[REGISTRO],DADOS!$N$3,tabela_registros[TIPO],DADOS!$V$3,tabela_registros[CATEGORIA],receitasfixasconsolidadodez[[#This Row],[ATUAL]])</calculatedColumnFormula>
    </tableColumn>
    <tableColumn id="20" xr3:uid="{11199451-7B86-4A76-931F-497B1FA30C50}" name="19" totalsRowFunction="sum" dataDxfId="503" totalsRowDxfId="502" dataCellStyle="Moeda">
      <calculatedColumnFormula>SUMIFS(tabela_registros[VALOR],tabela_registros[MÊS],$AE$1,tabela_registros[DIA],receitasfixasconsolidadodez[[#Headers],[19]],tabela_registros[REGISTRO],DADOS!$N$3,tabela_registros[TIPO],DADOS!$V$3,tabela_registros[CATEGORIA],receitasfixasconsolidadodez[[#This Row],[ATUAL]])</calculatedColumnFormula>
    </tableColumn>
    <tableColumn id="21" xr3:uid="{BB7ED332-3E9A-4CF3-89DA-86E5086EB9BE}" name="20" totalsRowFunction="sum" dataDxfId="501" totalsRowDxfId="500" dataCellStyle="Moeda">
      <calculatedColumnFormula>SUMIFS(tabela_registros[VALOR],tabela_registros[MÊS],$AE$1,tabela_registros[DIA],receitasfixasconsolidadodez[[#Headers],[20]],tabela_registros[REGISTRO],DADOS!$N$3,tabela_registros[TIPO],DADOS!$V$3,tabela_registros[CATEGORIA],receitasfixasconsolidadodez[[#This Row],[ATUAL]])</calculatedColumnFormula>
    </tableColumn>
    <tableColumn id="22" xr3:uid="{57EF5D0F-0A89-401A-A1A6-E915BD07B8B2}" name="21" totalsRowFunction="sum" dataDxfId="499" totalsRowDxfId="498" dataCellStyle="Moeda">
      <calculatedColumnFormula>SUMIFS(tabela_registros[VALOR],tabela_registros[MÊS],$AE$1,tabela_registros[DIA],receitasfixasconsolidadodez[[#Headers],[21]],tabela_registros[REGISTRO],DADOS!$N$3,tabela_registros[TIPO],DADOS!$V$3,tabela_registros[CATEGORIA],receitasfixasconsolidadodez[[#This Row],[ATUAL]])</calculatedColumnFormula>
    </tableColumn>
    <tableColumn id="23" xr3:uid="{CCF7B7A5-742C-450C-A074-52E755178A5F}" name="22" totalsRowFunction="sum" dataDxfId="497" totalsRowDxfId="496" dataCellStyle="Moeda">
      <calculatedColumnFormula>SUMIFS(tabela_registros[VALOR],tabela_registros[MÊS],$AE$1,tabela_registros[DIA],receitasfixasconsolidadodez[[#Headers],[22]],tabela_registros[REGISTRO],DADOS!$N$3,tabela_registros[TIPO],DADOS!$V$3,tabela_registros[CATEGORIA],receitasfixasconsolidadodez[[#This Row],[ATUAL]])</calculatedColumnFormula>
    </tableColumn>
    <tableColumn id="24" xr3:uid="{9FA3604F-2551-40DE-A00B-3B1E24D45CE7}" name="23" totalsRowFunction="sum" dataDxfId="495" totalsRowDxfId="494" dataCellStyle="Moeda">
      <calculatedColumnFormula>SUMIFS(tabela_registros[VALOR],tabela_registros[MÊS],$AE$1,tabela_registros[DIA],receitasfixasconsolidadodez[[#Headers],[23]],tabela_registros[REGISTRO],DADOS!$N$3,tabela_registros[TIPO],DADOS!$V$3,tabela_registros[CATEGORIA],receitasfixasconsolidadodez[[#This Row],[ATUAL]])</calculatedColumnFormula>
    </tableColumn>
    <tableColumn id="25" xr3:uid="{EFBC433B-4167-4003-8A78-537B6DA7046A}" name="24" totalsRowFunction="sum" dataDxfId="493" totalsRowDxfId="492" dataCellStyle="Moeda">
      <calculatedColumnFormula>SUMIFS(tabela_registros[VALOR],tabela_registros[MÊS],$AE$1,tabela_registros[DIA],receitasfixasconsolidadodez[[#Headers],[24]],tabela_registros[REGISTRO],DADOS!$N$3,tabela_registros[TIPO],DADOS!$V$3,tabela_registros[CATEGORIA],receitasfixasconsolidadodez[[#This Row],[ATUAL]])</calculatedColumnFormula>
    </tableColumn>
    <tableColumn id="26" xr3:uid="{F884DABD-BB04-4118-A68B-5E55EBE277D8}" name="25" totalsRowFunction="sum" dataDxfId="491" totalsRowDxfId="490" dataCellStyle="Moeda">
      <calculatedColumnFormula>SUMIFS(tabela_registros[VALOR],tabela_registros[MÊS],$AE$1,tabela_registros[DIA],receitasfixasconsolidadodez[[#Headers],[25]],tabela_registros[REGISTRO],DADOS!$N$3,tabela_registros[TIPO],DADOS!$V$3,tabela_registros[CATEGORIA],receitasfixasconsolidadodez[[#This Row],[ATUAL]])</calculatedColumnFormula>
    </tableColumn>
    <tableColumn id="27" xr3:uid="{C0E5859B-B243-4E75-869A-1D9722F6D95C}" name="26" totalsRowFunction="sum" dataDxfId="489" totalsRowDxfId="488" dataCellStyle="Moeda">
      <calculatedColumnFormula>SUMIFS(tabela_registros[VALOR],tabela_registros[MÊS],$AE$1,tabela_registros[DIA],receitasfixasconsolidadodez[[#Headers],[26]],tabela_registros[REGISTRO],DADOS!$N$3,tabela_registros[TIPO],DADOS!$V$3,tabela_registros[CATEGORIA],receitasfixasconsolidadodez[[#This Row],[ATUAL]])</calculatedColumnFormula>
    </tableColumn>
    <tableColumn id="28" xr3:uid="{15C67C84-8C30-427F-824D-5E8528493472}" name="27" totalsRowFunction="sum" dataDxfId="487" totalsRowDxfId="486" dataCellStyle="Moeda">
      <calculatedColumnFormula>SUMIFS(tabela_registros[VALOR],tabela_registros[MÊS],$AE$1,tabela_registros[DIA],receitasfixasconsolidadodez[[#Headers],[27]],tabela_registros[REGISTRO],DADOS!$N$3,tabela_registros[TIPO],DADOS!$V$3,tabela_registros[CATEGORIA],receitasfixasconsolidadodez[[#This Row],[ATUAL]])</calculatedColumnFormula>
    </tableColumn>
    <tableColumn id="29" xr3:uid="{93D4DE4B-307D-4DC4-94A4-8477E69AE6B3}" name="28" totalsRowFunction="sum" dataDxfId="485" totalsRowDxfId="484" dataCellStyle="Moeda">
      <calculatedColumnFormula>SUMIFS(tabela_registros[VALOR],tabela_registros[MÊS],$AE$1,tabela_registros[DIA],receitasfixasconsolidadodez[[#Headers],[28]],tabela_registros[REGISTRO],DADOS!$N$3,tabela_registros[TIPO],DADOS!$V$3,tabela_registros[CATEGORIA],receitasfixasconsolidadodez[[#This Row],[ATUAL]])</calculatedColumnFormula>
    </tableColumn>
    <tableColumn id="30" xr3:uid="{95E9832A-4A9F-4DD5-A8B4-D9D500AE266C}" name="29" totalsRowFunction="sum" dataDxfId="483" totalsRowDxfId="482" dataCellStyle="Moeda">
      <calculatedColumnFormula>SUMIFS(tabela_registros[VALOR],tabela_registros[MÊS],$AE$1,tabela_registros[DIA],receitasfixasconsolidadodez[[#Headers],[29]],tabela_registros[REGISTRO],DADOS!$N$3,tabela_registros[TIPO],DADOS!$V$3,tabela_registros[CATEGORIA],receitasfixasconsolidadodez[[#This Row],[ATUAL]])</calculatedColumnFormula>
    </tableColumn>
    <tableColumn id="31" xr3:uid="{6B976746-BD9F-4119-9C06-A02083655B24}" name="30" totalsRowFunction="sum" dataDxfId="481" totalsRowDxfId="480" dataCellStyle="Moeda">
      <calculatedColumnFormula>SUMIFS(tabela_registros[VALOR],tabela_registros[MÊS],$AE$1,tabela_registros[DIA],receitasfixasconsolidadodez[[#Headers],[30]],tabela_registros[REGISTRO],DADOS!$N$3,tabela_registros[TIPO],DADOS!$V$3,tabela_registros[CATEGORIA],receitasfixasconsolidadodez[[#This Row],[ATUAL]])</calculatedColumnFormula>
    </tableColumn>
    <tableColumn id="32" xr3:uid="{6959890A-707F-4DC3-9E37-B323F1A56AF0}" name="31" totalsRowFunction="sum" dataDxfId="479" totalsRowDxfId="478" dataCellStyle="Moeda">
      <calculatedColumnFormula>SUMIFS(tabela_registros[VALOR],tabela_registros[MÊS],$AE$1,tabela_registros[DIA],receitasfixasconsolidadodez[[#Headers],[31]],tabela_registros[REGISTRO],DADOS!$N$3,tabela_registros[TIPO],DADOS!$V$3,tabela_registros[CATEGORIA],receitasfixasconsolidadodez[[#This Row],[ATUAL]])</calculatedColumnFormula>
    </tableColumn>
    <tableColumn id="33" xr3:uid="{1D3F9838-F6E7-46F6-A108-3E819AA7C10B}" name="TOTAL (R$)" totalsRowFunction="sum" dataDxfId="477" dataCellStyle="Moeda">
      <calculatedColumnFormula>SUM(receitasfixasconsolidadodez[[#This Row],[1]:[31]])</calculatedColumnFormula>
    </tableColumn>
  </tableColumns>
  <tableStyleInfo name="TABELAS RESULTADOS" showFirstColumn="0" showLastColumn="0" showRowStripes="1" showColumnStripes="0"/>
</table>
</file>

<file path=xl/tables/table15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" xr:uid="{B82B002F-1F4F-4BDB-9EDA-DF422814B78E}" name="receitasvariáveisconsolidadodez" displayName="receitasvariáveisconsolidadodez" ref="C95:AJ104" headerRowDxfId="476" dataDxfId="475" totalsRowDxfId="474">
  <autoFilter ref="C95:AJ104" xr:uid="{DEFDE68B-A97D-4ED5-9460-1E58A13A7942}"/>
  <tableColumns count="34">
    <tableColumn id="1" xr3:uid="{74C16264-B5BE-4F21-895C-1E70FE814DCB}" name="ATUAL" totalsRowLabel="SALDO" dataDxfId="473"/>
    <tableColumn id="34" xr3:uid="{43CFFDBB-9235-42C6-AACA-A315BCC6F12B}" name="Coluna1" dataDxfId="472" totalsRowDxfId="471">
      <calculatedColumnFormula>IF(receitasvariáveisconsolidadodez[[#This Row],[TOTAL (R$)]]=0,"",IF(OR(receitasvariáveisconsolidadodez[[#This Row],[TOTAL (R$)]]=LARGE($AJ$96:$AJ$103,1),receitasvariáveisconsolidadodez[[#This Row],[TOTAL (R$)]]=LARGE($AJ$96:$AJ$103,2)),DADOS!$I$9,""))</calculatedColumnFormula>
    </tableColumn>
    <tableColumn id="2" xr3:uid="{2D65A5E5-4E18-473F-BB10-B8F3250A1E54}" name="1" totalsRowFunction="sum" dataDxfId="470" dataCellStyle="Moeda"/>
    <tableColumn id="3" xr3:uid="{AAE0D3AC-C25E-4EDC-85CB-F9767D40CD7F}" name="2" totalsRowFunction="sum" dataDxfId="469" dataCellStyle="Moeda">
      <calculatedColumnFormula>SUMIFS(tabela_registros[VALOR],tabela_registros[MÊS],$AE$1,tabela_registros[DIA],receitasvariáveisconsolidadodez[[#Headers],[2]],tabela_registros[REGISTRO],DADOS!$N$3,tabela_registros[TIPO],DADOS!$V$3,tabela_registros[CATEGORIA],receitasvariáveisconsolidadodez[[#This Row],[ATUAL]])</calculatedColumnFormula>
    </tableColumn>
    <tableColumn id="4" xr3:uid="{594D7AF3-C6C2-4B5D-A756-72928681FE6C}" name="3" totalsRowFunction="sum" dataDxfId="468" totalsRowDxfId="467" dataCellStyle="Moeda">
      <calculatedColumnFormula>SUMIFS(tabela_registros[VALOR],tabela_registros[MÊS],$AE$1,tabela_registros[DIA],receitasvariáveisconsolidadodez[[#Headers],[3]],tabela_registros[REGISTRO],DADOS!$N$3,tabela_registros[TIPO],DADOS!$V$3,tabela_registros[CATEGORIA],receitasvariáveisconsolidadodez[[#This Row],[ATUAL]])</calculatedColumnFormula>
    </tableColumn>
    <tableColumn id="5" xr3:uid="{E325E7E2-0242-454F-AD21-877913B7CCFA}" name="4" totalsRowFunction="sum" dataDxfId="466" totalsRowDxfId="465" dataCellStyle="Moeda">
      <calculatedColumnFormula>SUMIFS(tabela_registros[VALOR],tabela_registros[MÊS],$AE$1,tabela_registros[DIA],receitasvariáveisconsolidadodez[[#Headers],[4]],tabela_registros[REGISTRO],DADOS!$N$3,tabela_registros[TIPO],DADOS!$V$3,tabela_registros[CATEGORIA],receitasvariáveisconsolidadodez[[#This Row],[ATUAL]])</calculatedColumnFormula>
    </tableColumn>
    <tableColumn id="6" xr3:uid="{C39D3AC1-7C38-421F-9199-E046B56A657F}" name="5" totalsRowFunction="sum" dataDxfId="464" totalsRowDxfId="463" dataCellStyle="Moeda">
      <calculatedColumnFormula>SUMIFS(tabela_registros[VALOR],tabela_registros[MÊS],$AE$1,tabela_registros[DIA],receitasvariáveisconsolidadodez[[#Headers],[5]],tabela_registros[REGISTRO],DADOS!$N$3,tabela_registros[TIPO],DADOS!$V$3,tabela_registros[CATEGORIA],receitasvariáveisconsolidadodez[[#This Row],[ATUAL]])</calculatedColumnFormula>
    </tableColumn>
    <tableColumn id="7" xr3:uid="{F664DCDC-5A6D-4992-859C-83AB2E1233B7}" name="6" totalsRowFunction="sum" dataDxfId="462" totalsRowDxfId="461" dataCellStyle="Moeda">
      <calculatedColumnFormula>SUMIFS(tabela_registros[VALOR],tabela_registros[MÊS],$AE$1,tabela_registros[DIA],receitasvariáveisconsolidadodez[[#Headers],[6]],tabela_registros[REGISTRO],DADOS!$N$3,tabela_registros[TIPO],DADOS!$V$3,tabela_registros[CATEGORIA],receitasvariáveisconsolidadodez[[#This Row],[ATUAL]])</calculatedColumnFormula>
    </tableColumn>
    <tableColumn id="8" xr3:uid="{501940D5-2210-43DE-B1A2-835637A054E7}" name="7" totalsRowFunction="sum" dataDxfId="460" totalsRowDxfId="459" dataCellStyle="Moeda">
      <calculatedColumnFormula>SUMIFS(tabela_registros[VALOR],tabela_registros[MÊS],$AE$1,tabela_registros[DIA],receitasvariáveisconsolidadodez[[#Headers],[7]],tabela_registros[REGISTRO],DADOS!$N$3,tabela_registros[TIPO],DADOS!$V$3,tabela_registros[CATEGORIA],receitasvariáveisconsolidadodez[[#This Row],[ATUAL]])</calculatedColumnFormula>
    </tableColumn>
    <tableColumn id="9" xr3:uid="{995A5F18-6831-41F4-9FF2-8AEC8A5FE806}" name="8" totalsRowFunction="sum" dataDxfId="458" totalsRowDxfId="457" dataCellStyle="Moeda">
      <calculatedColumnFormula>SUMIFS(tabela_registros[VALOR],tabela_registros[MÊS],$AE$1,tabela_registros[DIA],receitasvariáveisconsolidadodez[[#Headers],[8]],tabela_registros[REGISTRO],DADOS!$N$3,tabela_registros[TIPO],DADOS!$V$3,tabela_registros[CATEGORIA],receitasvariáveisconsolidadodez[[#This Row],[ATUAL]])</calculatedColumnFormula>
    </tableColumn>
    <tableColumn id="10" xr3:uid="{D591F41C-2F77-47C7-9C56-90442B3DB6CF}" name="9" totalsRowFunction="sum" dataDxfId="456" totalsRowDxfId="455" dataCellStyle="Moeda">
      <calculatedColumnFormula>SUMIFS(tabela_registros[VALOR],tabela_registros[MÊS],$AE$1,tabela_registros[DIA],receitasvariáveisconsolidadodez[[#Headers],[9]],tabela_registros[REGISTRO],DADOS!$N$3,tabela_registros[TIPO],DADOS!$V$3,tabela_registros[CATEGORIA],receitasvariáveisconsolidadodez[[#This Row],[ATUAL]])</calculatedColumnFormula>
    </tableColumn>
    <tableColumn id="11" xr3:uid="{91826045-1348-43EE-941C-5787C25F86EE}" name="10" totalsRowFunction="sum" dataDxfId="454" totalsRowDxfId="453" dataCellStyle="Moeda">
      <calculatedColumnFormula>SUMIFS(tabela_registros[VALOR],tabela_registros[MÊS],$AE$1,tabela_registros[DIA],receitasvariáveisconsolidadodez[[#Headers],[10]],tabela_registros[REGISTRO],DADOS!$N$3,tabela_registros[TIPO],DADOS!$V$3,tabela_registros[CATEGORIA],receitasvariáveisconsolidadodez[[#This Row],[ATUAL]])</calculatedColumnFormula>
    </tableColumn>
    <tableColumn id="12" xr3:uid="{7551D1AF-6598-416E-A713-7D47FDC50E9C}" name="11" totalsRowFunction="sum" dataDxfId="452" totalsRowDxfId="451" dataCellStyle="Moeda">
      <calculatedColumnFormula>SUMIFS(tabela_registros[VALOR],tabela_registros[MÊS],$AE$1,tabela_registros[DIA],receitasvariáveisconsolidadodez[[#Headers],[11]],tabela_registros[REGISTRO],DADOS!$N$3,tabela_registros[TIPO],DADOS!$V$3,tabela_registros[CATEGORIA],receitasvariáveisconsolidadodez[[#This Row],[ATUAL]])</calculatedColumnFormula>
    </tableColumn>
    <tableColumn id="13" xr3:uid="{474E5F8C-622A-493F-B722-11118C586C69}" name="12" totalsRowFunction="sum" dataDxfId="450" totalsRowDxfId="449" dataCellStyle="Moeda">
      <calculatedColumnFormula>SUMIFS(tabela_registros[VALOR],tabela_registros[MÊS],$AE$1,tabela_registros[DIA],receitasvariáveisconsolidadodez[[#Headers],[12]],tabela_registros[REGISTRO],DADOS!$N$3,tabela_registros[TIPO],DADOS!$V$3,tabela_registros[CATEGORIA],receitasvariáveisconsolidadodez[[#This Row],[ATUAL]])</calculatedColumnFormula>
    </tableColumn>
    <tableColumn id="14" xr3:uid="{11FFBF94-B3AD-498F-890B-28150AD8F1E6}" name="13" totalsRowFunction="sum" dataDxfId="448" totalsRowDxfId="447" dataCellStyle="Moeda">
      <calculatedColumnFormula>SUMIFS(tabela_registros[VALOR],tabela_registros[MÊS],$AE$1,tabela_registros[DIA],receitasvariáveisconsolidadodez[[#Headers],[13]],tabela_registros[REGISTRO],DADOS!$N$3,tabela_registros[TIPO],DADOS!$V$3,tabela_registros[CATEGORIA],receitasvariáveisconsolidadodez[[#This Row],[ATUAL]])</calculatedColumnFormula>
    </tableColumn>
    <tableColumn id="15" xr3:uid="{2B1A2D2B-1E13-46EC-BCBD-29C390E85A3C}" name="14" totalsRowFunction="sum" dataDxfId="446" totalsRowDxfId="445" dataCellStyle="Moeda">
      <calculatedColumnFormula>SUMIFS(tabela_registros[VALOR],tabela_registros[MÊS],$AE$1,tabela_registros[DIA],receitasvariáveisconsolidadodez[[#Headers],[14]],tabela_registros[REGISTRO],DADOS!$N$3,tabela_registros[TIPO],DADOS!$V$3,tabela_registros[CATEGORIA],receitasvariáveisconsolidadodez[[#This Row],[ATUAL]])</calculatedColumnFormula>
    </tableColumn>
    <tableColumn id="16" xr3:uid="{3B51BF9A-6425-4F32-984C-14DB6A044887}" name="15" totalsRowFunction="sum" dataDxfId="444" totalsRowDxfId="443" dataCellStyle="Moeda">
      <calculatedColumnFormula>SUMIFS(tabela_registros[VALOR],tabela_registros[MÊS],$AE$1,tabela_registros[DIA],receitasvariáveisconsolidadodez[[#Headers],[15]],tabela_registros[REGISTRO],DADOS!$N$3,tabela_registros[TIPO],DADOS!$V$3,tabela_registros[CATEGORIA],receitasvariáveisconsolidadodez[[#This Row],[ATUAL]])</calculatedColumnFormula>
    </tableColumn>
    <tableColumn id="17" xr3:uid="{A0497823-83C6-405B-944D-82EA11E16892}" name="16" totalsRowFunction="sum" dataDxfId="442" totalsRowDxfId="441" dataCellStyle="Moeda">
      <calculatedColumnFormula>SUMIFS(tabela_registros[VALOR],tabela_registros[MÊS],$AE$1,tabela_registros[DIA],receitasvariáveisconsolidadodez[[#Headers],[16]],tabela_registros[REGISTRO],DADOS!$N$3,tabela_registros[TIPO],DADOS!$V$3,tabela_registros[CATEGORIA],receitasvariáveisconsolidadodez[[#This Row],[ATUAL]])</calculatedColumnFormula>
    </tableColumn>
    <tableColumn id="18" xr3:uid="{28D7D2F3-1362-49FF-BEE6-9E6311CCF6AE}" name="17" totalsRowFunction="sum" dataDxfId="440" totalsRowDxfId="439" dataCellStyle="Moeda">
      <calculatedColumnFormula>SUMIFS(tabela_registros[VALOR],tabela_registros[MÊS],$AE$1,tabela_registros[DIA],receitasvariáveisconsolidadodez[[#Headers],[17]],tabela_registros[REGISTRO],DADOS!$N$3,tabela_registros[TIPO],DADOS!$V$3,tabela_registros[CATEGORIA],receitasvariáveisconsolidadodez[[#This Row],[ATUAL]])</calculatedColumnFormula>
    </tableColumn>
    <tableColumn id="19" xr3:uid="{A4D8A3E4-F86C-4927-8C4D-73D9396FB3D4}" name="18" totalsRowFunction="sum" dataDxfId="438" totalsRowDxfId="437" dataCellStyle="Moeda">
      <calculatedColumnFormula>SUMIFS(tabela_registros[VALOR],tabela_registros[MÊS],$AE$1,tabela_registros[DIA],receitasvariáveisconsolidadodez[[#Headers],[18]],tabela_registros[REGISTRO],DADOS!$N$3,tabela_registros[TIPO],DADOS!$V$3,tabela_registros[CATEGORIA],receitasvariáveisconsolidadodez[[#This Row],[ATUAL]])</calculatedColumnFormula>
    </tableColumn>
    <tableColumn id="20" xr3:uid="{B725E376-64D3-4371-B211-31E584BCC058}" name="19" totalsRowFunction="sum" dataDxfId="436" totalsRowDxfId="435" dataCellStyle="Moeda">
      <calculatedColumnFormula>SUMIFS(tabela_registros[VALOR],tabela_registros[MÊS],$AE$1,tabela_registros[DIA],receitasvariáveisconsolidadodez[[#Headers],[19]],tabela_registros[REGISTRO],DADOS!$N$3,tabela_registros[TIPO],DADOS!$V$3,tabela_registros[CATEGORIA],receitasvariáveisconsolidadodez[[#This Row],[ATUAL]])</calculatedColumnFormula>
    </tableColumn>
    <tableColumn id="21" xr3:uid="{FF3051F1-21A6-4E02-9CC6-DAB19D71732F}" name="20" totalsRowFunction="sum" dataDxfId="434" totalsRowDxfId="433" dataCellStyle="Moeda">
      <calculatedColumnFormula>SUMIFS(tabela_registros[VALOR],tabela_registros[MÊS],$AE$1,tabela_registros[DIA],receitasvariáveisconsolidadodez[[#Headers],[20]],tabela_registros[REGISTRO],DADOS!$N$3,tabela_registros[TIPO],DADOS!$V$3,tabela_registros[CATEGORIA],receitasvariáveisconsolidadodez[[#This Row],[ATUAL]])</calculatedColumnFormula>
    </tableColumn>
    <tableColumn id="22" xr3:uid="{83CA7332-ACD1-4E19-BC82-F4FCF9EEE9CD}" name="21" totalsRowFunction="sum" dataDxfId="432" totalsRowDxfId="431" dataCellStyle="Moeda">
      <calculatedColumnFormula>SUMIFS(tabela_registros[VALOR],tabela_registros[MÊS],$AE$1,tabela_registros[DIA],receitasvariáveisconsolidadodez[[#Headers],[21]],tabela_registros[REGISTRO],DADOS!$N$3,tabela_registros[TIPO],DADOS!$V$3,tabela_registros[CATEGORIA],receitasvariáveisconsolidadodez[[#This Row],[ATUAL]])</calculatedColumnFormula>
    </tableColumn>
    <tableColumn id="23" xr3:uid="{D3129EBC-27F8-4595-8E21-500AAFBD0012}" name="22" totalsRowFunction="sum" dataDxfId="430" totalsRowDxfId="429" dataCellStyle="Moeda">
      <calculatedColumnFormula>SUMIFS(tabela_registros[VALOR],tabela_registros[MÊS],$AE$1,tabela_registros[DIA],receitasvariáveisconsolidadodez[[#Headers],[22]],tabela_registros[REGISTRO],DADOS!$N$3,tabela_registros[TIPO],DADOS!$V$3,tabela_registros[CATEGORIA],receitasvariáveisconsolidadodez[[#This Row],[ATUAL]])</calculatedColumnFormula>
    </tableColumn>
    <tableColumn id="24" xr3:uid="{F598DF92-707C-47C2-9345-140C72F1D25B}" name="23" totalsRowFunction="sum" dataDxfId="428" totalsRowDxfId="427" dataCellStyle="Moeda">
      <calculatedColumnFormula>SUMIFS(tabela_registros[VALOR],tabela_registros[MÊS],$AE$1,tabela_registros[DIA],receitasvariáveisconsolidadodez[[#Headers],[23]],tabela_registros[REGISTRO],DADOS!$N$3,tabela_registros[TIPO],DADOS!$V$3,tabela_registros[CATEGORIA],receitasvariáveisconsolidadodez[[#This Row],[ATUAL]])</calculatedColumnFormula>
    </tableColumn>
    <tableColumn id="25" xr3:uid="{72C89E50-ACBF-484F-B57B-3216F0EDCF4F}" name="24" totalsRowFunction="sum" dataDxfId="426" totalsRowDxfId="425" dataCellStyle="Moeda">
      <calculatedColumnFormula>SUMIFS(tabela_registros[VALOR],tabela_registros[MÊS],$AE$1,tabela_registros[DIA],receitasvariáveisconsolidadodez[[#Headers],[24]],tabela_registros[REGISTRO],DADOS!$N$3,tabela_registros[TIPO],DADOS!$V$3,tabela_registros[CATEGORIA],receitasvariáveisconsolidadodez[[#This Row],[ATUAL]])</calculatedColumnFormula>
    </tableColumn>
    <tableColumn id="26" xr3:uid="{CF6EC6BF-1EF2-493F-BC01-9F89E9C4D126}" name="25" totalsRowFunction="sum" dataDxfId="424" totalsRowDxfId="423" dataCellStyle="Moeda">
      <calculatedColumnFormula>SUMIFS(tabela_registros[VALOR],tabela_registros[MÊS],$AE$1,tabela_registros[DIA],receitasvariáveisconsolidadodez[[#Headers],[25]],tabela_registros[REGISTRO],DADOS!$N$3,tabela_registros[TIPO],DADOS!$V$3,tabela_registros[CATEGORIA],receitasvariáveisconsolidadodez[[#This Row],[ATUAL]])</calculatedColumnFormula>
    </tableColumn>
    <tableColumn id="27" xr3:uid="{44052DA1-E0D2-465E-977E-A993D185B4C8}" name="26" totalsRowFunction="sum" dataDxfId="422" totalsRowDxfId="421" dataCellStyle="Moeda">
      <calculatedColumnFormula>SUMIFS(tabela_registros[VALOR],tabela_registros[MÊS],$AE$1,tabela_registros[DIA],receitasvariáveisconsolidadodez[[#Headers],[26]],tabela_registros[REGISTRO],DADOS!$N$3,tabela_registros[TIPO],DADOS!$V$3,tabela_registros[CATEGORIA],receitasvariáveisconsolidadodez[[#This Row],[ATUAL]])</calculatedColumnFormula>
    </tableColumn>
    <tableColumn id="28" xr3:uid="{19C19E14-6833-465A-AE4E-42D0409957E6}" name="27" totalsRowFunction="sum" dataDxfId="420" totalsRowDxfId="419" dataCellStyle="Moeda">
      <calculatedColumnFormula>SUMIFS(tabela_registros[VALOR],tabela_registros[MÊS],$AE$1,tabela_registros[DIA],receitasvariáveisconsolidadodez[[#Headers],[27]],tabela_registros[REGISTRO],DADOS!$N$3,tabela_registros[TIPO],DADOS!$V$3,tabela_registros[CATEGORIA],receitasvariáveisconsolidadodez[[#This Row],[ATUAL]])</calculatedColumnFormula>
    </tableColumn>
    <tableColumn id="29" xr3:uid="{86FC7A13-F227-4CD0-A32E-A5032037E88F}" name="28" totalsRowFunction="sum" dataDxfId="418" totalsRowDxfId="417" dataCellStyle="Moeda">
      <calculatedColumnFormula>SUMIFS(tabela_registros[VALOR],tabela_registros[MÊS],$AE$1,tabela_registros[DIA],receitasvariáveisconsolidadodez[[#Headers],[28]],tabela_registros[REGISTRO],DADOS!$N$3,tabela_registros[TIPO],DADOS!$V$3,tabela_registros[CATEGORIA],receitasvariáveisconsolidadodez[[#This Row],[ATUAL]])</calculatedColumnFormula>
    </tableColumn>
    <tableColumn id="30" xr3:uid="{5107F54C-191C-4774-AB94-178F3BB5ABAC}" name="29" totalsRowFunction="sum" dataDxfId="416" totalsRowDxfId="415" dataCellStyle="Moeda">
      <calculatedColumnFormula>SUMIFS(tabela_registros[VALOR],tabela_registros[MÊS],$AE$1,tabela_registros[DIA],receitasvariáveisconsolidadodez[[#Headers],[29]],tabela_registros[REGISTRO],DADOS!$N$3,tabela_registros[TIPO],DADOS!$V$3,tabela_registros[CATEGORIA],receitasvariáveisconsolidadodez[[#This Row],[ATUAL]])</calculatedColumnFormula>
    </tableColumn>
    <tableColumn id="31" xr3:uid="{DD4E47CA-8032-452F-8619-95470B4C6D99}" name="30" totalsRowFunction="sum" dataDxfId="414" totalsRowDxfId="413" dataCellStyle="Moeda">
      <calculatedColumnFormula>SUMIFS(tabela_registros[VALOR],tabela_registros[MÊS],$AE$1,tabela_registros[DIA],receitasvariáveisconsolidadodez[[#Headers],[30]],tabela_registros[REGISTRO],DADOS!$N$3,tabela_registros[TIPO],DADOS!$V$3,tabela_registros[CATEGORIA],receitasvariáveisconsolidadodez[[#This Row],[ATUAL]])</calculatedColumnFormula>
    </tableColumn>
    <tableColumn id="32" xr3:uid="{47DEA1F8-C0B3-4AD1-8E6A-3DA21E01EE28}" name="31" totalsRowFunction="sum" dataDxfId="412" totalsRowDxfId="411" dataCellStyle="Moeda">
      <calculatedColumnFormula>SUMIFS(tabela_registros[VALOR],tabela_registros[MÊS],$AE$1,tabela_registros[DIA],receitasvariáveisconsolidadodez[[#Headers],[31]],tabela_registros[REGISTRO],DADOS!$N$3,tabela_registros[TIPO],DADOS!$V$3,tabela_registros[CATEGORIA],receitasvariáveisconsolidadodez[[#This Row],[ATUAL]])</calculatedColumnFormula>
    </tableColumn>
    <tableColumn id="33" xr3:uid="{E1557E94-CD14-4D62-8FA3-53391ADAFBF9}" name="TOTAL (R$)" totalsRowFunction="sum" dataDxfId="410" dataCellStyle="Moeda">
      <calculatedColumnFormula>SUM(receitasvariáveisconsolidadodez[[#This Row],[1]:[31]])</calculatedColumnFormula>
    </tableColumn>
  </tableColumns>
  <tableStyleInfo name="TABELAS RESULTADOS" showFirstColumn="0" showLastColumn="0" showRowStripes="1" showColumnStripes="0"/>
</table>
</file>

<file path=xl/tables/table15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" xr:uid="{0C1AB689-2B0B-4DD5-AD85-5334FB20CCF1}" name="investirrendafixaconsolidadodez" displayName="investirrendafixaconsolidadodez" ref="C112:AJ123" headerRowDxfId="409" dataDxfId="408" totalsRowDxfId="407">
  <autoFilter ref="C112:AJ123" xr:uid="{3BCF8FD2-4C10-4776-87A3-7B16A33417A4}"/>
  <tableColumns count="34">
    <tableColumn id="1" xr3:uid="{3B0883EF-C46E-4AAF-B4AD-5AED8CAB16E7}" name="ATUAL" totalsRowLabel="SALDO" dataDxfId="406"/>
    <tableColumn id="34" xr3:uid="{FFFBB9F5-A954-4539-BF54-B094C9FFAE50}" name="Coluna1" dataDxfId="405" totalsRowDxfId="404">
      <calculatedColumnFormula>IF(investirrendafixaconsolidadodez[[#This Row],[TOTAL (R$)]]=0,"",IF(OR(investirrendafixaconsolidadodez[[#This Row],[TOTAL (R$)]]=LARGE($AJ$113:$AJ$122,1),investirrendafixaconsolidadodez[[#This Row],[TOTAL (R$)]]=LARGE($AJ$113:$AJ$122,2)),DADOS!$I$10,""))</calculatedColumnFormula>
    </tableColumn>
    <tableColumn id="2" xr3:uid="{25D22D3D-CEF3-47B7-9556-4437110E5BE3}" name="1" totalsRowFunction="sum" dataDxfId="403" dataCellStyle="Moeda"/>
    <tableColumn id="3" xr3:uid="{1612E691-5FAF-4D0D-8087-55D3EC3A28BF}" name="2" totalsRowFunction="sum" dataDxfId="402" dataCellStyle="Moeda">
      <calculatedColumnFormula>SUMIFS(tabela_registros[VALOR],tabela_registros[MÊS],$AE$1,tabela_registros[DIA],investirrendafixaconsolidadodez[[#Headers],[2]],tabela_registros[REGISTRO],DADOS!$N$3,tabela_registros[TIPO],DADOS!$V$3,tabela_registros[CATEGORIA],investirrendafixaconsolidadodez[[#This Row],[ATUAL]])</calculatedColumnFormula>
    </tableColumn>
    <tableColumn id="4" xr3:uid="{D1B3C662-F534-487E-BF5E-1B86DA03AEA8}" name="3" totalsRowFunction="sum" dataDxfId="401" totalsRowDxfId="400" dataCellStyle="Moeda">
      <calculatedColumnFormula>SUMIFS(tabela_registros[VALOR],tabela_registros[MÊS],$AE$1,tabela_registros[DIA],investirrendafixaconsolidadodez[[#Headers],[3]],tabela_registros[REGISTRO],DADOS!$N$3,tabela_registros[TIPO],DADOS!$V$3,tabela_registros[CATEGORIA],investirrendafixaconsolidadodez[[#This Row],[ATUAL]])</calculatedColumnFormula>
    </tableColumn>
    <tableColumn id="5" xr3:uid="{82D3C860-975B-4F97-BEC4-A2684475F65B}" name="4" totalsRowFunction="sum" dataDxfId="399" totalsRowDxfId="398" dataCellStyle="Moeda">
      <calculatedColumnFormula>SUMIFS(tabela_registros[VALOR],tabela_registros[MÊS],$AE$1,tabela_registros[DIA],investirrendafixaconsolidadodez[[#Headers],[4]],tabela_registros[REGISTRO],DADOS!$N$3,tabela_registros[TIPO],DADOS!$V$3,tabela_registros[CATEGORIA],investirrendafixaconsolidadodez[[#This Row],[ATUAL]])</calculatedColumnFormula>
    </tableColumn>
    <tableColumn id="6" xr3:uid="{28514ABF-D427-405B-BD24-133AE910221E}" name="5" totalsRowFunction="sum" dataDxfId="397" totalsRowDxfId="396" dataCellStyle="Moeda">
      <calculatedColumnFormula>SUMIFS(tabela_registros[VALOR],tabela_registros[MÊS],$AE$1,tabela_registros[DIA],investirrendafixaconsolidadodez[[#Headers],[5]],tabela_registros[REGISTRO],DADOS!$N$3,tabela_registros[TIPO],DADOS!$V$3,tabela_registros[CATEGORIA],investirrendafixaconsolidadodez[[#This Row],[ATUAL]])</calculatedColumnFormula>
    </tableColumn>
    <tableColumn id="7" xr3:uid="{698C219C-ADF1-447C-AE76-2522D830CF52}" name="6" totalsRowFunction="sum" dataDxfId="395" totalsRowDxfId="394" dataCellStyle="Moeda">
      <calculatedColumnFormula>SUMIFS(tabela_registros[VALOR],tabela_registros[MÊS],$AE$1,tabela_registros[DIA],investirrendafixaconsolidadodez[[#Headers],[6]],tabela_registros[REGISTRO],DADOS!$N$3,tabela_registros[TIPO],DADOS!$V$3,tabela_registros[CATEGORIA],investirrendafixaconsolidadodez[[#This Row],[ATUAL]])</calculatedColumnFormula>
    </tableColumn>
    <tableColumn id="8" xr3:uid="{A2D11A6B-839B-42C3-B2BB-6DFDFA167F90}" name="7" totalsRowFunction="sum" dataDxfId="393" totalsRowDxfId="392" dataCellStyle="Moeda">
      <calculatedColumnFormula>SUMIFS(tabela_registros[VALOR],tabela_registros[MÊS],$AE$1,tabela_registros[DIA],investirrendafixaconsolidadodez[[#Headers],[7]],tabela_registros[REGISTRO],DADOS!$N$3,tabela_registros[TIPO],DADOS!$V$3,tabela_registros[CATEGORIA],investirrendafixaconsolidadodez[[#This Row],[ATUAL]])</calculatedColumnFormula>
    </tableColumn>
    <tableColumn id="9" xr3:uid="{1FF8C3FC-B9B3-47CC-AEE4-D019BB43EA55}" name="8" totalsRowFunction="sum" dataDxfId="391" totalsRowDxfId="390" dataCellStyle="Moeda">
      <calculatedColumnFormula>SUMIFS(tabela_registros[VALOR],tabela_registros[MÊS],$AE$1,tabela_registros[DIA],investirrendafixaconsolidadodez[[#Headers],[8]],tabela_registros[REGISTRO],DADOS!$N$3,tabela_registros[TIPO],DADOS!$V$3,tabela_registros[CATEGORIA],investirrendafixaconsolidadodez[[#This Row],[ATUAL]])</calculatedColumnFormula>
    </tableColumn>
    <tableColumn id="10" xr3:uid="{B83E1FC2-3818-46DD-8711-43B9209CE754}" name="9" totalsRowFunction="sum" dataDxfId="389" totalsRowDxfId="388" dataCellStyle="Moeda">
      <calculatedColumnFormula>SUMIFS(tabela_registros[VALOR],tabela_registros[MÊS],$AE$1,tabela_registros[DIA],investirrendafixaconsolidadodez[[#Headers],[9]],tabela_registros[REGISTRO],DADOS!$N$3,tabela_registros[TIPO],DADOS!$V$3,tabela_registros[CATEGORIA],investirrendafixaconsolidadodez[[#This Row],[ATUAL]])</calculatedColumnFormula>
    </tableColumn>
    <tableColumn id="11" xr3:uid="{70403AA4-C354-4805-9F3B-ABC4FD814ACE}" name="10" totalsRowFunction="sum" dataDxfId="387" totalsRowDxfId="386" dataCellStyle="Moeda">
      <calculatedColumnFormula>SUMIFS(tabela_registros[VALOR],tabela_registros[MÊS],$AE$1,tabela_registros[DIA],investirrendafixaconsolidadodez[[#Headers],[10]],tabela_registros[REGISTRO],DADOS!$N$3,tabela_registros[TIPO],DADOS!$V$3,tabela_registros[CATEGORIA],investirrendafixaconsolidadodez[[#This Row],[ATUAL]])</calculatedColumnFormula>
    </tableColumn>
    <tableColumn id="12" xr3:uid="{54FBD2CA-0D40-4DEA-9136-3BA4769C09FB}" name="11" totalsRowFunction="sum" dataDxfId="385" totalsRowDxfId="384" dataCellStyle="Moeda">
      <calculatedColumnFormula>SUMIFS(tabela_registros[VALOR],tabela_registros[MÊS],$AE$1,tabela_registros[DIA],investirrendafixaconsolidadodez[[#Headers],[11]],tabela_registros[REGISTRO],DADOS!$N$3,tabela_registros[TIPO],DADOS!$V$3,tabela_registros[CATEGORIA],investirrendafixaconsolidadodez[[#This Row],[ATUAL]])</calculatedColumnFormula>
    </tableColumn>
    <tableColumn id="13" xr3:uid="{2A26AD1F-06F4-4B38-87FD-89DEB2E7230A}" name="12" totalsRowFunction="sum" dataDxfId="383" totalsRowDxfId="382" dataCellStyle="Moeda">
      <calculatedColumnFormula>SUMIFS(tabela_registros[VALOR],tabela_registros[MÊS],$AE$1,tabela_registros[DIA],investirrendafixaconsolidadodez[[#Headers],[12]],tabela_registros[REGISTRO],DADOS!$N$3,tabela_registros[TIPO],DADOS!$V$3,tabela_registros[CATEGORIA],investirrendafixaconsolidadodez[[#This Row],[ATUAL]])</calculatedColumnFormula>
    </tableColumn>
    <tableColumn id="14" xr3:uid="{98F80A88-8233-454C-8451-B8BB2BA971B0}" name="13" totalsRowFunction="sum" dataDxfId="381" totalsRowDxfId="380" dataCellStyle="Moeda">
      <calculatedColumnFormula>SUMIFS(tabela_registros[VALOR],tabela_registros[MÊS],$AE$1,tabela_registros[DIA],investirrendafixaconsolidadodez[[#Headers],[13]],tabela_registros[REGISTRO],DADOS!$N$3,tabela_registros[TIPO],DADOS!$V$3,tabela_registros[CATEGORIA],investirrendafixaconsolidadodez[[#This Row],[ATUAL]])</calculatedColumnFormula>
    </tableColumn>
    <tableColumn id="15" xr3:uid="{DF8B145D-26E0-454F-95B7-C598FB98A87F}" name="14" totalsRowFunction="sum" dataDxfId="379" totalsRowDxfId="378" dataCellStyle="Moeda">
      <calculatedColumnFormula>SUMIFS(tabela_registros[VALOR],tabela_registros[MÊS],$AE$1,tabela_registros[DIA],investirrendafixaconsolidadodez[[#Headers],[14]],tabela_registros[REGISTRO],DADOS!$N$3,tabela_registros[TIPO],DADOS!$V$3,tabela_registros[CATEGORIA],investirrendafixaconsolidadodez[[#This Row],[ATUAL]])</calculatedColumnFormula>
    </tableColumn>
    <tableColumn id="16" xr3:uid="{394AB3FC-2571-4B8B-ABEF-D139989F28B8}" name="15" totalsRowFunction="sum" dataDxfId="377" totalsRowDxfId="376" dataCellStyle="Moeda">
      <calculatedColumnFormula>SUMIFS(tabela_registros[VALOR],tabela_registros[MÊS],$AE$1,tabela_registros[DIA],investirrendafixaconsolidadodez[[#Headers],[15]],tabela_registros[REGISTRO],DADOS!$N$3,tabela_registros[TIPO],DADOS!$V$3,tabela_registros[CATEGORIA],investirrendafixaconsolidadodez[[#This Row],[ATUAL]])</calculatedColumnFormula>
    </tableColumn>
    <tableColumn id="17" xr3:uid="{5CE9EC92-4F43-4354-8604-369C277D3350}" name="16" totalsRowFunction="sum" dataDxfId="375" totalsRowDxfId="374" dataCellStyle="Moeda">
      <calculatedColumnFormula>SUMIFS(tabela_registros[VALOR],tabela_registros[MÊS],$AE$1,tabela_registros[DIA],investirrendafixaconsolidadodez[[#Headers],[16]],tabela_registros[REGISTRO],DADOS!$N$3,tabela_registros[TIPO],DADOS!$V$3,tabela_registros[CATEGORIA],investirrendafixaconsolidadodez[[#This Row],[ATUAL]])</calculatedColumnFormula>
    </tableColumn>
    <tableColumn id="18" xr3:uid="{EEA331AF-1822-4C49-8CFE-28AD245E11A5}" name="17" totalsRowFunction="sum" dataDxfId="373" totalsRowDxfId="372" dataCellStyle="Moeda">
      <calculatedColumnFormula>SUMIFS(tabela_registros[VALOR],tabela_registros[MÊS],$AE$1,tabela_registros[DIA],investirrendafixaconsolidadodez[[#Headers],[17]],tabela_registros[REGISTRO],DADOS!$N$3,tabela_registros[TIPO],DADOS!$V$3,tabela_registros[CATEGORIA],investirrendafixaconsolidadodez[[#This Row],[ATUAL]])</calculatedColumnFormula>
    </tableColumn>
    <tableColumn id="19" xr3:uid="{CEC8DDDE-99A8-47CA-8E72-848E9D0341F2}" name="18" totalsRowFunction="sum" dataDxfId="371" totalsRowDxfId="370" dataCellStyle="Moeda">
      <calculatedColumnFormula>SUMIFS(tabela_registros[VALOR],tabela_registros[MÊS],$AE$1,tabela_registros[DIA],investirrendafixaconsolidadodez[[#Headers],[18]],tabela_registros[REGISTRO],DADOS!$N$3,tabela_registros[TIPO],DADOS!$V$3,tabela_registros[CATEGORIA],investirrendafixaconsolidadodez[[#This Row],[ATUAL]])</calculatedColumnFormula>
    </tableColumn>
    <tableColumn id="20" xr3:uid="{6C293AAF-5010-414E-94B0-A1335083AC66}" name="19" totalsRowFunction="sum" dataDxfId="369" totalsRowDxfId="368" dataCellStyle="Moeda">
      <calculatedColumnFormula>SUMIFS(tabela_registros[VALOR],tabela_registros[MÊS],$AE$1,tabela_registros[DIA],investirrendafixaconsolidadodez[[#Headers],[19]],tabela_registros[REGISTRO],DADOS!$N$3,tabela_registros[TIPO],DADOS!$V$3,tabela_registros[CATEGORIA],investirrendafixaconsolidadodez[[#This Row],[ATUAL]])</calculatedColumnFormula>
    </tableColumn>
    <tableColumn id="21" xr3:uid="{60908928-0D8F-4A87-B492-3D283529CCB6}" name="20" totalsRowFunction="sum" dataDxfId="367" totalsRowDxfId="366" dataCellStyle="Moeda">
      <calculatedColumnFormula>SUMIFS(tabela_registros[VALOR],tabela_registros[MÊS],$AE$1,tabela_registros[DIA],investirrendafixaconsolidadodez[[#Headers],[20]],tabela_registros[REGISTRO],DADOS!$N$3,tabela_registros[TIPO],DADOS!$V$3,tabela_registros[CATEGORIA],investirrendafixaconsolidadodez[[#This Row],[ATUAL]])</calculatedColumnFormula>
    </tableColumn>
    <tableColumn id="22" xr3:uid="{001F0117-B323-4DF8-B6DE-0F07DA4796B9}" name="21" totalsRowFunction="sum" dataDxfId="365" totalsRowDxfId="364" dataCellStyle="Moeda">
      <calculatedColumnFormula>SUMIFS(tabela_registros[VALOR],tabela_registros[MÊS],$AE$1,tabela_registros[DIA],investirrendafixaconsolidadodez[[#Headers],[21]],tabela_registros[REGISTRO],DADOS!$N$3,tabela_registros[TIPO],DADOS!$V$3,tabela_registros[CATEGORIA],investirrendafixaconsolidadodez[[#This Row],[ATUAL]])</calculatedColumnFormula>
    </tableColumn>
    <tableColumn id="23" xr3:uid="{2AFA5E70-EB1C-4078-83FB-6DED87D7F5B1}" name="22" totalsRowFunction="sum" dataDxfId="363" totalsRowDxfId="362" dataCellStyle="Moeda">
      <calculatedColumnFormula>SUMIFS(tabela_registros[VALOR],tabela_registros[MÊS],$AE$1,tabela_registros[DIA],investirrendafixaconsolidadodez[[#Headers],[22]],tabela_registros[REGISTRO],DADOS!$N$3,tabela_registros[TIPO],DADOS!$V$3,tabela_registros[CATEGORIA],investirrendafixaconsolidadodez[[#This Row],[ATUAL]])</calculatedColumnFormula>
    </tableColumn>
    <tableColumn id="24" xr3:uid="{1EC3910A-994F-4549-90C4-5FA6AFDE982D}" name="23" totalsRowFunction="sum" dataDxfId="361" totalsRowDxfId="360" dataCellStyle="Moeda">
      <calculatedColumnFormula>SUMIFS(tabela_registros[VALOR],tabela_registros[MÊS],$AE$1,tabela_registros[DIA],investirrendafixaconsolidadodez[[#Headers],[23]],tabela_registros[REGISTRO],DADOS!$N$3,tabela_registros[TIPO],DADOS!$V$3,tabela_registros[CATEGORIA],investirrendafixaconsolidadodez[[#This Row],[ATUAL]])</calculatedColumnFormula>
    </tableColumn>
    <tableColumn id="25" xr3:uid="{869EBC03-4CAF-4A4B-9C97-62E37228F614}" name="24" totalsRowFunction="sum" dataDxfId="359" totalsRowDxfId="358" dataCellStyle="Moeda">
      <calculatedColumnFormula>SUMIFS(tabela_registros[VALOR],tabela_registros[MÊS],$AE$1,tabela_registros[DIA],investirrendafixaconsolidadodez[[#Headers],[24]],tabela_registros[REGISTRO],DADOS!$N$3,tabela_registros[TIPO],DADOS!$V$3,tabela_registros[CATEGORIA],investirrendafixaconsolidadodez[[#This Row],[ATUAL]])</calculatedColumnFormula>
    </tableColumn>
    <tableColumn id="26" xr3:uid="{31602159-A450-4D54-B9AF-FD08B776106C}" name="25" totalsRowFunction="sum" dataDxfId="357" totalsRowDxfId="356" dataCellStyle="Moeda">
      <calculatedColumnFormula>SUMIFS(tabela_registros[VALOR],tabela_registros[MÊS],$AE$1,tabela_registros[DIA],investirrendafixaconsolidadodez[[#Headers],[25]],tabela_registros[REGISTRO],DADOS!$N$3,tabela_registros[TIPO],DADOS!$V$3,tabela_registros[CATEGORIA],investirrendafixaconsolidadodez[[#This Row],[ATUAL]])</calculatedColumnFormula>
    </tableColumn>
    <tableColumn id="27" xr3:uid="{B6419E2E-1147-4DD5-B42D-0223AA4FF638}" name="26" totalsRowFunction="sum" dataDxfId="355" totalsRowDxfId="354" dataCellStyle="Moeda">
      <calculatedColumnFormula>SUMIFS(tabela_registros[VALOR],tabela_registros[MÊS],$AE$1,tabela_registros[DIA],investirrendafixaconsolidadodez[[#Headers],[26]],tabela_registros[REGISTRO],DADOS!$N$3,tabela_registros[TIPO],DADOS!$V$3,tabela_registros[CATEGORIA],investirrendafixaconsolidadodez[[#This Row],[ATUAL]])</calculatedColumnFormula>
    </tableColumn>
    <tableColumn id="28" xr3:uid="{F3ABC196-1C83-41D0-832B-F4D8153E19CA}" name="27" totalsRowFunction="sum" dataDxfId="353" totalsRowDxfId="352" dataCellStyle="Moeda">
      <calculatedColumnFormula>SUMIFS(tabela_registros[VALOR],tabela_registros[MÊS],$AE$1,tabela_registros[DIA],investirrendafixaconsolidadodez[[#Headers],[27]],tabela_registros[REGISTRO],DADOS!$N$3,tabela_registros[TIPO],DADOS!$V$3,tabela_registros[CATEGORIA],investirrendafixaconsolidadodez[[#This Row],[ATUAL]])</calculatedColumnFormula>
    </tableColumn>
    <tableColumn id="29" xr3:uid="{3822E513-EA63-4C7D-BD6A-B6A2B318DEB3}" name="28" totalsRowFunction="sum" dataDxfId="351" totalsRowDxfId="350" dataCellStyle="Moeda">
      <calculatedColumnFormula>SUMIFS(tabela_registros[VALOR],tabela_registros[MÊS],$AE$1,tabela_registros[DIA],investirrendafixaconsolidadodez[[#Headers],[28]],tabela_registros[REGISTRO],DADOS!$N$3,tabela_registros[TIPO],DADOS!$V$3,tabela_registros[CATEGORIA],investirrendafixaconsolidadodez[[#This Row],[ATUAL]])</calculatedColumnFormula>
    </tableColumn>
    <tableColumn id="30" xr3:uid="{D61C6D36-6DFE-4DEF-B2E2-94E63B83880A}" name="29" totalsRowFunction="sum" dataDxfId="349" totalsRowDxfId="348" dataCellStyle="Moeda">
      <calculatedColumnFormula>SUMIFS(tabela_registros[VALOR],tabela_registros[MÊS],$AE$1,tabela_registros[DIA],investirrendafixaconsolidadodez[[#Headers],[29]],tabela_registros[REGISTRO],DADOS!$N$3,tabela_registros[TIPO],DADOS!$V$3,tabela_registros[CATEGORIA],investirrendafixaconsolidadodez[[#This Row],[ATUAL]])</calculatedColumnFormula>
    </tableColumn>
    <tableColumn id="31" xr3:uid="{AA9FB40C-889A-4805-91FF-9C80F57B5F53}" name="30" totalsRowFunction="sum" dataDxfId="347" totalsRowDxfId="346" dataCellStyle="Moeda">
      <calculatedColumnFormula>SUMIFS(tabela_registros[VALOR],tabela_registros[MÊS],$AE$1,tabela_registros[DIA],investirrendafixaconsolidadodez[[#Headers],[30]],tabela_registros[REGISTRO],DADOS!$N$3,tabela_registros[TIPO],DADOS!$V$3,tabela_registros[CATEGORIA],investirrendafixaconsolidadodez[[#This Row],[ATUAL]])</calculatedColumnFormula>
    </tableColumn>
    <tableColumn id="32" xr3:uid="{13F6A37A-758C-4CB3-A089-16B979D83930}" name="31" totalsRowFunction="sum" dataDxfId="345" totalsRowDxfId="344" dataCellStyle="Moeda">
      <calculatedColumnFormula>SUMIFS(tabela_registros[VALOR],tabela_registros[MÊS],$AE$1,tabela_registros[DIA],investirrendafixaconsolidadodez[[#Headers],[31]],tabela_registros[REGISTRO],DADOS!$N$3,tabela_registros[TIPO],DADOS!$V$3,tabela_registros[CATEGORIA],investirrendafixaconsolidadodez[[#This Row],[ATUAL]])</calculatedColumnFormula>
    </tableColumn>
    <tableColumn id="33" xr3:uid="{3CE6AB40-52DD-42C3-97D4-11D6E31A7394}" name="TOTAL (R$)" totalsRowFunction="sum" dataDxfId="343" dataCellStyle="Moeda">
      <calculatedColumnFormula>SUM(investirrendafixaconsolidadodez[[#This Row],[1]:[31]])</calculatedColumnFormula>
    </tableColumn>
  </tableColumns>
  <tableStyleInfo name="TABELAS RESULTADOS" showFirstColumn="0" showLastColumn="0" showRowStripes="1" showColumnStripes="0"/>
</table>
</file>

<file path=xl/tables/table15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" xr:uid="{D40FE899-65D6-4F19-AFF4-26DB57DB1DD2}" name="investirrendavariávelconsolidadodez" displayName="investirrendavariávelconsolidadodez" ref="C131:AJ142" headerRowDxfId="342" dataDxfId="341" totalsRowDxfId="340">
  <autoFilter ref="C131:AJ142" xr:uid="{08F8225F-86FE-4857-B00A-7406490FE1C1}"/>
  <tableColumns count="34">
    <tableColumn id="1" xr3:uid="{CFCD9222-C7C3-448B-B7A9-05925A44AD7B}" name="ATUAL" totalsRowLabel="SALDO" dataDxfId="339"/>
    <tableColumn id="34" xr3:uid="{DA0D0F64-B598-4082-99E5-DEA0F5190303}" name="Coluna1" dataDxfId="338" totalsRowDxfId="337">
      <calculatedColumnFormula>IF(investirrendavariávelconsolidadodez[[#This Row],[TOTAL (R$)]]=0,"",IF(OR(investirrendavariávelconsolidadodez[[#This Row],[TOTAL (R$)]]=LARGE($AJ$132:$AJ$141,1),investirrendavariávelconsolidadodez[[#This Row],[TOTAL (R$)]]=LARGE($AJ$132:$AJ$141,2)),DADOS!$I$10,""))</calculatedColumnFormula>
    </tableColumn>
    <tableColumn id="2" xr3:uid="{54CA8B07-8A76-477B-84FA-89BA40756F95}" name="1" totalsRowFunction="sum" dataDxfId="336" dataCellStyle="Moeda"/>
    <tableColumn id="3" xr3:uid="{93702038-4733-40C7-A3B4-E37A014D5801}" name="2" totalsRowFunction="sum" dataDxfId="335" dataCellStyle="Moeda">
      <calculatedColumnFormula>SUMIFS(tabela_registros[VALOR],tabela_registros[MÊS],$AE$1,tabela_registros[DIA],investirrendavariávelconsolidadodez[[#Headers],[2]],tabela_registros[REGISTRO],DADOS!$N$3,tabela_registros[TIPO],DADOS!$V$3,tabela_registros[CATEGORIA],investirrendavariávelconsolidadodez[[#This Row],[ATUAL]])</calculatedColumnFormula>
    </tableColumn>
    <tableColumn id="4" xr3:uid="{C71AA83B-C675-4565-AB10-3D22F610C12F}" name="3" totalsRowFunction="sum" dataDxfId="334" totalsRowDxfId="333" dataCellStyle="Moeda">
      <calculatedColumnFormula>SUMIFS(tabela_registros[VALOR],tabela_registros[MÊS],$AE$1,tabela_registros[DIA],investirrendavariávelconsolidadodez[[#Headers],[3]],tabela_registros[REGISTRO],DADOS!$N$3,tabela_registros[TIPO],DADOS!$V$3,tabela_registros[CATEGORIA],investirrendavariávelconsolidadodez[[#This Row],[ATUAL]])</calculatedColumnFormula>
    </tableColumn>
    <tableColumn id="5" xr3:uid="{7246415B-58B6-4EEA-A848-E450B8CFF7CB}" name="4" totalsRowFunction="sum" dataDxfId="332" totalsRowDxfId="331" dataCellStyle="Moeda">
      <calculatedColumnFormula>SUMIFS(tabela_registros[VALOR],tabela_registros[MÊS],$AE$1,tabela_registros[DIA],investirrendavariávelconsolidadodez[[#Headers],[4]],tabela_registros[REGISTRO],DADOS!$N$3,tabela_registros[TIPO],DADOS!$V$3,tabela_registros[CATEGORIA],investirrendavariávelconsolidadodez[[#This Row],[ATUAL]])</calculatedColumnFormula>
    </tableColumn>
    <tableColumn id="6" xr3:uid="{0BD7A860-32B3-4DFC-A80C-1D956AC50C65}" name="5" totalsRowFunction="sum" dataDxfId="330" totalsRowDxfId="329" dataCellStyle="Moeda">
      <calculatedColumnFormula>SUMIFS(tabela_registros[VALOR],tabela_registros[MÊS],$AE$1,tabela_registros[DIA],investirrendavariávelconsolidadodez[[#Headers],[5]],tabela_registros[REGISTRO],DADOS!$N$3,tabela_registros[TIPO],DADOS!$V$3,tabela_registros[CATEGORIA],investirrendavariávelconsolidadodez[[#This Row],[ATUAL]])</calculatedColumnFormula>
    </tableColumn>
    <tableColumn id="7" xr3:uid="{15107560-8026-48CD-9FDF-38755998277E}" name="6" totalsRowFunction="sum" dataDxfId="328" totalsRowDxfId="327" dataCellStyle="Moeda">
      <calculatedColumnFormula>SUMIFS(tabela_registros[VALOR],tabela_registros[MÊS],$AE$1,tabela_registros[DIA],investirrendavariávelconsolidadodez[[#Headers],[6]],tabela_registros[REGISTRO],DADOS!$N$3,tabela_registros[TIPO],DADOS!$V$3,tabela_registros[CATEGORIA],investirrendavariávelconsolidadodez[[#This Row],[ATUAL]])</calculatedColumnFormula>
    </tableColumn>
    <tableColumn id="8" xr3:uid="{C12D919F-5B11-467A-BC2D-0BFA24BF0D0D}" name="7" totalsRowFunction="sum" dataDxfId="326" totalsRowDxfId="325" dataCellStyle="Moeda">
      <calculatedColumnFormula>SUMIFS(tabela_registros[VALOR],tabela_registros[MÊS],$AE$1,tabela_registros[DIA],investirrendavariávelconsolidadodez[[#Headers],[7]],tabela_registros[REGISTRO],DADOS!$N$3,tabela_registros[TIPO],DADOS!$V$3,tabela_registros[CATEGORIA],investirrendavariávelconsolidadodez[[#This Row],[ATUAL]])</calculatedColumnFormula>
    </tableColumn>
    <tableColumn id="9" xr3:uid="{7D79323F-3658-4B5A-8FEB-A06FA29C3152}" name="8" totalsRowFunction="sum" dataDxfId="324" totalsRowDxfId="323" dataCellStyle="Moeda">
      <calculatedColumnFormula>SUMIFS(tabela_registros[VALOR],tabela_registros[MÊS],$AE$1,tabela_registros[DIA],investirrendavariávelconsolidadodez[[#Headers],[8]],tabela_registros[REGISTRO],DADOS!$N$3,tabela_registros[TIPO],DADOS!$V$3,tabela_registros[CATEGORIA],investirrendavariávelconsolidadodez[[#This Row],[ATUAL]])</calculatedColumnFormula>
    </tableColumn>
    <tableColumn id="10" xr3:uid="{033ED418-BBF4-4DB9-99A1-7BABD9014112}" name="9" totalsRowFunction="sum" dataDxfId="322" totalsRowDxfId="321" dataCellStyle="Moeda">
      <calculatedColumnFormula>SUMIFS(tabela_registros[VALOR],tabela_registros[MÊS],$AE$1,tabela_registros[DIA],investirrendavariávelconsolidadodez[[#Headers],[9]],tabela_registros[REGISTRO],DADOS!$N$3,tabela_registros[TIPO],DADOS!$V$3,tabela_registros[CATEGORIA],investirrendavariávelconsolidadodez[[#This Row],[ATUAL]])</calculatedColumnFormula>
    </tableColumn>
    <tableColumn id="11" xr3:uid="{D2B98AB1-B43C-43AA-934B-49A0F7F989E3}" name="10" totalsRowFunction="sum" dataDxfId="320" totalsRowDxfId="319" dataCellStyle="Moeda">
      <calculatedColumnFormula>SUMIFS(tabela_registros[VALOR],tabela_registros[MÊS],$AE$1,tabela_registros[DIA],investirrendavariávelconsolidadodez[[#Headers],[10]],tabela_registros[REGISTRO],DADOS!$N$3,tabela_registros[TIPO],DADOS!$V$3,tabela_registros[CATEGORIA],investirrendavariávelconsolidadodez[[#This Row],[ATUAL]])</calculatedColumnFormula>
    </tableColumn>
    <tableColumn id="12" xr3:uid="{3A7D16E2-BB4E-4ACF-94E3-5222612D5385}" name="11" totalsRowFunction="sum" dataDxfId="318" totalsRowDxfId="317" dataCellStyle="Moeda">
      <calculatedColumnFormula>SUMIFS(tabela_registros[VALOR],tabela_registros[MÊS],$AE$1,tabela_registros[DIA],investirrendavariávelconsolidadodez[[#Headers],[11]],tabela_registros[REGISTRO],DADOS!$N$3,tabela_registros[TIPO],DADOS!$V$3,tabela_registros[CATEGORIA],investirrendavariávelconsolidadodez[[#This Row],[ATUAL]])</calculatedColumnFormula>
    </tableColumn>
    <tableColumn id="13" xr3:uid="{875F8B94-F235-4912-9E58-C3A5B0FDD95C}" name="12" totalsRowFunction="sum" dataDxfId="316" totalsRowDxfId="315" dataCellStyle="Moeda">
      <calculatedColumnFormula>SUMIFS(tabela_registros[VALOR],tabela_registros[MÊS],$AE$1,tabela_registros[DIA],investirrendavariávelconsolidadodez[[#Headers],[12]],tabela_registros[REGISTRO],DADOS!$N$3,tabela_registros[TIPO],DADOS!$V$3,tabela_registros[CATEGORIA],investirrendavariávelconsolidadodez[[#This Row],[ATUAL]])</calculatedColumnFormula>
    </tableColumn>
    <tableColumn id="14" xr3:uid="{27D86530-871D-4407-9AA3-C67AF5C668DD}" name="13" totalsRowFunction="sum" dataDxfId="314" totalsRowDxfId="313" dataCellStyle="Moeda">
      <calculatedColumnFormula>SUMIFS(tabela_registros[VALOR],tabela_registros[MÊS],$AE$1,tabela_registros[DIA],investirrendavariávelconsolidadodez[[#Headers],[13]],tabela_registros[REGISTRO],DADOS!$N$3,tabela_registros[TIPO],DADOS!$V$3,tabela_registros[CATEGORIA],investirrendavariávelconsolidadodez[[#This Row],[ATUAL]])</calculatedColumnFormula>
    </tableColumn>
    <tableColumn id="15" xr3:uid="{ADE81E2C-D14C-48E6-9346-877D906A7A84}" name="14" totalsRowFunction="sum" dataDxfId="312" totalsRowDxfId="311" dataCellStyle="Moeda">
      <calculatedColumnFormula>SUMIFS(tabela_registros[VALOR],tabela_registros[MÊS],$AE$1,tabela_registros[DIA],investirrendavariávelconsolidadodez[[#Headers],[14]],tabela_registros[REGISTRO],DADOS!$N$3,tabela_registros[TIPO],DADOS!$V$3,tabela_registros[CATEGORIA],investirrendavariávelconsolidadodez[[#This Row],[ATUAL]])</calculatedColumnFormula>
    </tableColumn>
    <tableColumn id="16" xr3:uid="{E62BF0C5-0D3E-4112-9C81-0353DBEFD13C}" name="15" totalsRowFunction="sum" dataDxfId="310" totalsRowDxfId="309" dataCellStyle="Moeda">
      <calculatedColumnFormula>SUMIFS(tabela_registros[VALOR],tabela_registros[MÊS],$AE$1,tabela_registros[DIA],investirrendavariávelconsolidadodez[[#Headers],[15]],tabela_registros[REGISTRO],DADOS!$N$3,tabela_registros[TIPO],DADOS!$V$3,tabela_registros[CATEGORIA],investirrendavariávelconsolidadodez[[#This Row],[ATUAL]])</calculatedColumnFormula>
    </tableColumn>
    <tableColumn id="17" xr3:uid="{21F28D33-BD86-4BB7-AC44-1EB71BA76676}" name="16" totalsRowFunction="sum" dataDxfId="308" totalsRowDxfId="307" dataCellStyle="Moeda">
      <calculatedColumnFormula>SUMIFS(tabela_registros[VALOR],tabela_registros[MÊS],$AE$1,tabela_registros[DIA],investirrendavariávelconsolidadodez[[#Headers],[16]],tabela_registros[REGISTRO],DADOS!$N$3,tabela_registros[TIPO],DADOS!$V$3,tabela_registros[CATEGORIA],investirrendavariávelconsolidadodez[[#This Row],[ATUAL]])</calculatedColumnFormula>
    </tableColumn>
    <tableColumn id="18" xr3:uid="{2C0879A0-5046-498C-B8DD-148C68FD4998}" name="17" totalsRowFunction="sum" dataDxfId="306" totalsRowDxfId="305" dataCellStyle="Moeda">
      <calculatedColumnFormula>SUMIFS(tabela_registros[VALOR],tabela_registros[MÊS],$AE$1,tabela_registros[DIA],investirrendavariávelconsolidadodez[[#Headers],[17]],tabela_registros[REGISTRO],DADOS!$N$3,tabela_registros[TIPO],DADOS!$V$3,tabela_registros[CATEGORIA],investirrendavariávelconsolidadodez[[#This Row],[ATUAL]])</calculatedColumnFormula>
    </tableColumn>
    <tableColumn id="19" xr3:uid="{B9348893-0A02-4998-8E30-8C7A64EBA091}" name="18" totalsRowFunction="sum" dataDxfId="304" totalsRowDxfId="303" dataCellStyle="Moeda">
      <calculatedColumnFormula>SUMIFS(tabela_registros[VALOR],tabela_registros[MÊS],$AE$1,tabela_registros[DIA],investirrendavariávelconsolidadodez[[#Headers],[18]],tabela_registros[REGISTRO],DADOS!$N$3,tabela_registros[TIPO],DADOS!$V$3,tabela_registros[CATEGORIA],investirrendavariávelconsolidadodez[[#This Row],[ATUAL]])</calculatedColumnFormula>
    </tableColumn>
    <tableColumn id="20" xr3:uid="{65ABCC84-E3C9-45D3-B3E6-8E56CFCE931F}" name="19" totalsRowFunction="sum" dataDxfId="302" totalsRowDxfId="301" dataCellStyle="Moeda">
      <calculatedColumnFormula>SUMIFS(tabela_registros[VALOR],tabela_registros[MÊS],$AE$1,tabela_registros[DIA],investirrendavariávelconsolidadodez[[#Headers],[19]],tabela_registros[REGISTRO],DADOS!$N$3,tabela_registros[TIPO],DADOS!$V$3,tabela_registros[CATEGORIA],investirrendavariávelconsolidadodez[[#This Row],[ATUAL]])</calculatedColumnFormula>
    </tableColumn>
    <tableColumn id="21" xr3:uid="{5915C1D1-2F20-41F7-BE0B-8FD96C956880}" name="20" totalsRowFunction="sum" dataDxfId="300" totalsRowDxfId="299" dataCellStyle="Moeda">
      <calculatedColumnFormula>SUMIFS(tabela_registros[VALOR],tabela_registros[MÊS],$AE$1,tabela_registros[DIA],investirrendavariávelconsolidadodez[[#Headers],[20]],tabela_registros[REGISTRO],DADOS!$N$3,tabela_registros[TIPO],DADOS!$V$3,tabela_registros[CATEGORIA],investirrendavariávelconsolidadodez[[#This Row],[ATUAL]])</calculatedColumnFormula>
    </tableColumn>
    <tableColumn id="22" xr3:uid="{192837C1-5157-4245-94FB-28E2A6372865}" name="21" totalsRowFunction="sum" dataDxfId="298" totalsRowDxfId="297" dataCellStyle="Moeda">
      <calculatedColumnFormula>SUMIFS(tabela_registros[VALOR],tabela_registros[MÊS],$AE$1,tabela_registros[DIA],investirrendavariávelconsolidadodez[[#Headers],[21]],tabela_registros[REGISTRO],DADOS!$N$3,tabela_registros[TIPO],DADOS!$V$3,tabela_registros[CATEGORIA],investirrendavariávelconsolidadodez[[#This Row],[ATUAL]])</calculatedColumnFormula>
    </tableColumn>
    <tableColumn id="23" xr3:uid="{1DE66A60-EEC5-47AC-BAF7-B49032FA3B83}" name="22" totalsRowFunction="sum" dataDxfId="296" totalsRowDxfId="295" dataCellStyle="Moeda">
      <calculatedColumnFormula>SUMIFS(tabela_registros[VALOR],tabela_registros[MÊS],$AE$1,tabela_registros[DIA],investirrendavariávelconsolidadodez[[#Headers],[22]],tabela_registros[REGISTRO],DADOS!$N$3,tabela_registros[TIPO],DADOS!$V$3,tabela_registros[CATEGORIA],investirrendavariávelconsolidadodez[[#This Row],[ATUAL]])</calculatedColumnFormula>
    </tableColumn>
    <tableColumn id="24" xr3:uid="{80BA00B4-F2DC-4415-B8E9-86B01E6622F1}" name="23" totalsRowFunction="sum" dataDxfId="294" totalsRowDxfId="293" dataCellStyle="Moeda">
      <calculatedColumnFormula>SUMIFS(tabela_registros[VALOR],tabela_registros[MÊS],$AE$1,tabela_registros[DIA],investirrendavariávelconsolidadodez[[#Headers],[23]],tabela_registros[REGISTRO],DADOS!$N$3,tabela_registros[TIPO],DADOS!$V$3,tabela_registros[CATEGORIA],investirrendavariávelconsolidadodez[[#This Row],[ATUAL]])</calculatedColumnFormula>
    </tableColumn>
    <tableColumn id="25" xr3:uid="{B6720990-3B5C-49A4-B0D3-10733187A086}" name="24" totalsRowFunction="sum" dataDxfId="292" totalsRowDxfId="291" dataCellStyle="Moeda">
      <calculatedColumnFormula>SUMIFS(tabela_registros[VALOR],tabela_registros[MÊS],$AE$1,tabela_registros[DIA],investirrendavariávelconsolidadodez[[#Headers],[24]],tabela_registros[REGISTRO],DADOS!$N$3,tabela_registros[TIPO],DADOS!$V$3,tabela_registros[CATEGORIA],investirrendavariávelconsolidadodez[[#This Row],[ATUAL]])</calculatedColumnFormula>
    </tableColumn>
    <tableColumn id="26" xr3:uid="{97F63F76-B8C4-44B3-A379-C5DC295B7671}" name="25" totalsRowFunction="sum" dataDxfId="290" totalsRowDxfId="289" dataCellStyle="Moeda">
      <calculatedColumnFormula>SUMIFS(tabela_registros[VALOR],tabela_registros[MÊS],$AE$1,tabela_registros[DIA],investirrendavariávelconsolidadodez[[#Headers],[25]],tabela_registros[REGISTRO],DADOS!$N$3,tabela_registros[TIPO],DADOS!$V$3,tabela_registros[CATEGORIA],investirrendavariávelconsolidadodez[[#This Row],[ATUAL]])</calculatedColumnFormula>
    </tableColumn>
    <tableColumn id="27" xr3:uid="{35208B45-123C-4866-BF21-D9BB836727C4}" name="26" totalsRowFunction="sum" dataDxfId="288" totalsRowDxfId="287" dataCellStyle="Moeda">
      <calculatedColumnFormula>SUMIFS(tabela_registros[VALOR],tabela_registros[MÊS],$AE$1,tabela_registros[DIA],investirrendavariávelconsolidadodez[[#Headers],[26]],tabela_registros[REGISTRO],DADOS!$N$3,tabela_registros[TIPO],DADOS!$V$3,tabela_registros[CATEGORIA],investirrendavariávelconsolidadodez[[#This Row],[ATUAL]])</calculatedColumnFormula>
    </tableColumn>
    <tableColumn id="28" xr3:uid="{6A97E88A-4363-4B4E-B8EE-B4C2D80C38C2}" name="27" totalsRowFunction="sum" dataDxfId="286" totalsRowDxfId="285" dataCellStyle="Moeda">
      <calculatedColumnFormula>SUMIFS(tabela_registros[VALOR],tabela_registros[MÊS],$AE$1,tabela_registros[DIA],investirrendavariávelconsolidadodez[[#Headers],[27]],tabela_registros[REGISTRO],DADOS!$N$3,tabela_registros[TIPO],DADOS!$V$3,tabela_registros[CATEGORIA],investirrendavariávelconsolidadodez[[#This Row],[ATUAL]])</calculatedColumnFormula>
    </tableColumn>
    <tableColumn id="29" xr3:uid="{2650AFE7-5256-40E9-83E4-AB0B9CFA8058}" name="28" totalsRowFunction="sum" dataDxfId="284" totalsRowDxfId="283" dataCellStyle="Moeda">
      <calculatedColumnFormula>SUMIFS(tabela_registros[VALOR],tabela_registros[MÊS],$AE$1,tabela_registros[DIA],investirrendavariávelconsolidadodez[[#Headers],[28]],tabela_registros[REGISTRO],DADOS!$N$3,tabela_registros[TIPO],DADOS!$V$3,tabela_registros[CATEGORIA],investirrendavariávelconsolidadodez[[#This Row],[ATUAL]])</calculatedColumnFormula>
    </tableColumn>
    <tableColumn id="30" xr3:uid="{BEB76CA1-F3A4-4744-AB10-C1285EB907B0}" name="29" totalsRowFunction="sum" dataDxfId="282" totalsRowDxfId="281" dataCellStyle="Moeda">
      <calculatedColumnFormula>SUMIFS(tabela_registros[VALOR],tabela_registros[MÊS],$AE$1,tabela_registros[DIA],investirrendavariávelconsolidadodez[[#Headers],[29]],tabela_registros[REGISTRO],DADOS!$N$3,tabela_registros[TIPO],DADOS!$V$3,tabela_registros[CATEGORIA],investirrendavariávelconsolidadodez[[#This Row],[ATUAL]])</calculatedColumnFormula>
    </tableColumn>
    <tableColumn id="31" xr3:uid="{75483932-F656-4DAF-885D-1D5F042FA380}" name="30" totalsRowFunction="sum" dataDxfId="280" totalsRowDxfId="279" dataCellStyle="Moeda">
      <calculatedColumnFormula>SUMIFS(tabela_registros[VALOR],tabela_registros[MÊS],$AE$1,tabela_registros[DIA],investirrendavariávelconsolidadodez[[#Headers],[30]],tabela_registros[REGISTRO],DADOS!$N$3,tabela_registros[TIPO],DADOS!$V$3,tabela_registros[CATEGORIA],investirrendavariávelconsolidadodez[[#This Row],[ATUAL]])</calculatedColumnFormula>
    </tableColumn>
    <tableColumn id="32" xr3:uid="{1C977516-6775-4DB0-8FEA-826194239EC9}" name="31" totalsRowFunction="sum" dataDxfId="278" totalsRowDxfId="277" dataCellStyle="Moeda">
      <calculatedColumnFormula>SUMIFS(tabela_registros[VALOR],tabela_registros[MÊS],$AE$1,tabela_registros[DIA],investirrendavariávelconsolidadodez[[#Headers],[31]],tabela_registros[REGISTRO],DADOS!$N$3,tabela_registros[TIPO],DADOS!$V$3,tabela_registros[CATEGORIA],investirrendavariávelconsolidadodez[[#This Row],[ATUAL]])</calculatedColumnFormula>
    </tableColumn>
    <tableColumn id="33" xr3:uid="{C575488E-6DCA-453F-8569-42BE868399A2}" name="TOTAL (R$)" totalsRowFunction="sum" dataDxfId="276" dataCellStyle="Moeda">
      <calculatedColumnFormula>SUM(investirrendavariávelconsolidadodez[[#This Row],[1]:[31]])</calculatedColumnFormula>
    </tableColumn>
  </tableColumns>
  <tableStyleInfo name="TABELAS RESULTADOS" showFirstColumn="0" showLastColumn="0" showRowStripes="1" showColumnStripes="0"/>
</table>
</file>

<file path=xl/tables/table15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6" xr:uid="{DCD04160-0792-4444-996C-9EDA7F2DAFFB}" name="investiroutrosconsolidadodez" displayName="investiroutrosconsolidadodez" ref="C150:AJ159" headerRowDxfId="275" dataDxfId="274" totalsRowDxfId="273">
  <autoFilter ref="C150:AJ159" xr:uid="{6183CEF1-477D-4448-9404-9007701FBB5F}"/>
  <tableColumns count="34">
    <tableColumn id="1" xr3:uid="{C57CDB66-400C-4243-9EE7-DB3A47FD8053}" name="ATUAL" totalsRowLabel="SALDO" dataDxfId="272"/>
    <tableColumn id="34" xr3:uid="{083A0214-8709-4C4D-9D2F-A0C194BAB0D8}" name="Coluna1" dataDxfId="271" totalsRowDxfId="270">
      <calculatedColumnFormula>IF(investiroutrosconsolidadodez[[#This Row],[TOTAL (R$)]]=0,"",IF(OR(investiroutrosconsolidadodez[[#This Row],[TOTAL (R$)]]=LARGE($AJ$151:$AJ$158,1),investiroutrosconsolidadodez[[#This Row],[TOTAL (R$)]]=LARGE($AJ$151:$AJ$158,2)),DADOS!$I$10,""))</calculatedColumnFormula>
    </tableColumn>
    <tableColumn id="2" xr3:uid="{950DCE44-ECE4-4A53-835F-F6355DCC9B6B}" name="1" totalsRowFunction="sum" dataDxfId="269" dataCellStyle="Moeda"/>
    <tableColumn id="3" xr3:uid="{67E447AD-2A04-45EC-93B2-4729ECA76E25}" name="2" totalsRowFunction="sum" dataDxfId="268" dataCellStyle="Moeda">
      <calculatedColumnFormula>SUMIFS(tabela_registros[VALOR],tabela_registros[MÊS],$AE$1,tabela_registros[DIA],investiroutrosconsolidadodez[[#Headers],[2]],tabela_registros[REGISTRO],DADOS!$N$3,tabela_registros[TIPO],DADOS!$V$3,tabela_registros[CATEGORIA],investiroutrosconsolidadodez[[#This Row],[ATUAL]])</calculatedColumnFormula>
    </tableColumn>
    <tableColumn id="4" xr3:uid="{2CD5A9D5-2681-4AA4-A0E3-85B138AEEBB8}" name="3" totalsRowFunction="sum" dataDxfId="267" totalsRowDxfId="266" dataCellStyle="Moeda">
      <calculatedColumnFormula>SUMIFS(tabela_registros[VALOR],tabela_registros[MÊS],$AE$1,tabela_registros[DIA],investiroutrosconsolidadodez[[#Headers],[3]],tabela_registros[REGISTRO],DADOS!$N$3,tabela_registros[TIPO],DADOS!$V$3,tabela_registros[CATEGORIA],investiroutrosconsolidadodez[[#This Row],[ATUAL]])</calculatedColumnFormula>
    </tableColumn>
    <tableColumn id="5" xr3:uid="{57145C62-93CB-40AB-BC45-56A70A4B16F2}" name="4" totalsRowFunction="sum" dataDxfId="265" totalsRowDxfId="264" dataCellStyle="Moeda">
      <calculatedColumnFormula>SUMIFS(tabela_registros[VALOR],tabela_registros[MÊS],$AE$1,tabela_registros[DIA],investiroutrosconsolidadodez[[#Headers],[4]],tabela_registros[REGISTRO],DADOS!$N$3,tabela_registros[TIPO],DADOS!$V$3,tabela_registros[CATEGORIA],investiroutrosconsolidadodez[[#This Row],[ATUAL]])</calculatedColumnFormula>
    </tableColumn>
    <tableColumn id="6" xr3:uid="{1ACA40D0-E4E7-4B01-BF9B-1A1F94F73AC0}" name="5" totalsRowFunction="sum" dataDxfId="263" totalsRowDxfId="262" dataCellStyle="Moeda">
      <calculatedColumnFormula>SUMIFS(tabela_registros[VALOR],tabela_registros[MÊS],$AE$1,tabela_registros[DIA],investiroutrosconsolidadodez[[#Headers],[5]],tabela_registros[REGISTRO],DADOS!$N$3,tabela_registros[TIPO],DADOS!$V$3,tabela_registros[CATEGORIA],investiroutrosconsolidadodez[[#This Row],[ATUAL]])</calculatedColumnFormula>
    </tableColumn>
    <tableColumn id="7" xr3:uid="{8728641F-5D53-48D8-8E5D-7C8DCE35ABD6}" name="6" totalsRowFunction="sum" dataDxfId="261" totalsRowDxfId="260" dataCellStyle="Moeda">
      <calculatedColumnFormula>SUMIFS(tabela_registros[VALOR],tabela_registros[MÊS],$AE$1,tabela_registros[DIA],investiroutrosconsolidadodez[[#Headers],[6]],tabela_registros[REGISTRO],DADOS!$N$3,tabela_registros[TIPO],DADOS!$V$3,tabela_registros[CATEGORIA],investiroutrosconsolidadodez[[#This Row],[ATUAL]])</calculatedColumnFormula>
    </tableColumn>
    <tableColumn id="8" xr3:uid="{AC43BB5F-EAF3-4117-94F0-0DA03573B5A2}" name="7" totalsRowFunction="sum" dataDxfId="259" totalsRowDxfId="258" dataCellStyle="Moeda">
      <calculatedColumnFormula>SUMIFS(tabela_registros[VALOR],tabela_registros[MÊS],$AE$1,tabela_registros[DIA],investiroutrosconsolidadodez[[#Headers],[7]],tabela_registros[REGISTRO],DADOS!$N$3,tabela_registros[TIPO],DADOS!$V$3,tabela_registros[CATEGORIA],investiroutrosconsolidadodez[[#This Row],[ATUAL]])</calculatedColumnFormula>
    </tableColumn>
    <tableColumn id="9" xr3:uid="{70152298-1AFD-4B9C-BF08-19F2BF8E1081}" name="8" totalsRowFunction="sum" dataDxfId="257" totalsRowDxfId="256" dataCellStyle="Moeda">
      <calculatedColumnFormula>SUMIFS(tabela_registros[VALOR],tabela_registros[MÊS],$AE$1,tabela_registros[DIA],investiroutrosconsolidadodez[[#Headers],[8]],tabela_registros[REGISTRO],DADOS!$N$3,tabela_registros[TIPO],DADOS!$V$3,tabela_registros[CATEGORIA],investiroutrosconsolidadodez[[#This Row],[ATUAL]])</calculatedColumnFormula>
    </tableColumn>
    <tableColumn id="10" xr3:uid="{791EE54D-8580-4D74-AA8C-127AAAC2D37A}" name="9" totalsRowFunction="sum" dataDxfId="255" totalsRowDxfId="254" dataCellStyle="Moeda">
      <calculatedColumnFormula>SUMIFS(tabela_registros[VALOR],tabela_registros[MÊS],$AE$1,tabela_registros[DIA],investiroutrosconsolidadodez[[#Headers],[9]],tabela_registros[REGISTRO],DADOS!$N$3,tabela_registros[TIPO],DADOS!$V$3,tabela_registros[CATEGORIA],investiroutrosconsolidadodez[[#This Row],[ATUAL]])</calculatedColumnFormula>
    </tableColumn>
    <tableColumn id="11" xr3:uid="{D2222643-1751-4F22-A496-B9CFAF7F8327}" name="10" totalsRowFunction="sum" dataDxfId="253" totalsRowDxfId="252" dataCellStyle="Moeda">
      <calculatedColumnFormula>SUMIFS(tabela_registros[VALOR],tabela_registros[MÊS],$AE$1,tabela_registros[DIA],investiroutrosconsolidadodez[[#Headers],[10]],tabela_registros[REGISTRO],DADOS!$N$3,tabela_registros[TIPO],DADOS!$V$3,tabela_registros[CATEGORIA],investiroutrosconsolidadodez[[#This Row],[ATUAL]])</calculatedColumnFormula>
    </tableColumn>
    <tableColumn id="12" xr3:uid="{8ED2A87D-E468-4B94-9AFB-A20D87040D6A}" name="11" totalsRowFunction="sum" dataDxfId="251" totalsRowDxfId="250" dataCellStyle="Moeda">
      <calculatedColumnFormula>SUMIFS(tabela_registros[VALOR],tabela_registros[MÊS],$AE$1,tabela_registros[DIA],investiroutrosconsolidadodez[[#Headers],[11]],tabela_registros[REGISTRO],DADOS!$N$3,tabela_registros[TIPO],DADOS!$V$3,tabela_registros[CATEGORIA],investiroutrosconsolidadodez[[#This Row],[ATUAL]])</calculatedColumnFormula>
    </tableColumn>
    <tableColumn id="13" xr3:uid="{8B97530B-67C9-4BAD-BFD0-9407AFFA447A}" name="12" totalsRowFunction="sum" dataDxfId="249" totalsRowDxfId="248" dataCellStyle="Moeda">
      <calculatedColumnFormula>SUMIFS(tabela_registros[VALOR],tabela_registros[MÊS],$AE$1,tabela_registros[DIA],investiroutrosconsolidadodez[[#Headers],[12]],tabela_registros[REGISTRO],DADOS!$N$3,tabela_registros[TIPO],DADOS!$V$3,tabela_registros[CATEGORIA],investiroutrosconsolidadodez[[#This Row],[ATUAL]])</calculatedColumnFormula>
    </tableColumn>
    <tableColumn id="14" xr3:uid="{A76CA905-59F9-47F0-A1C5-2833912A04DE}" name="13" totalsRowFunction="sum" dataDxfId="247" totalsRowDxfId="246" dataCellStyle="Moeda">
      <calculatedColumnFormula>SUMIFS(tabela_registros[VALOR],tabela_registros[MÊS],$AE$1,tabela_registros[DIA],investiroutrosconsolidadodez[[#Headers],[13]],tabela_registros[REGISTRO],DADOS!$N$3,tabela_registros[TIPO],DADOS!$V$3,tabela_registros[CATEGORIA],investiroutrosconsolidadodez[[#This Row],[ATUAL]])</calculatedColumnFormula>
    </tableColumn>
    <tableColumn id="15" xr3:uid="{2CD80C14-17DB-4859-840D-FACF5CC58B5C}" name="14" totalsRowFunction="sum" dataDxfId="245" totalsRowDxfId="244" dataCellStyle="Moeda">
      <calculatedColumnFormula>SUMIFS(tabela_registros[VALOR],tabela_registros[MÊS],$AE$1,tabela_registros[DIA],investiroutrosconsolidadodez[[#Headers],[14]],tabela_registros[REGISTRO],DADOS!$N$3,tabela_registros[TIPO],DADOS!$V$3,tabela_registros[CATEGORIA],investiroutrosconsolidadodez[[#This Row],[ATUAL]])</calculatedColumnFormula>
    </tableColumn>
    <tableColumn id="16" xr3:uid="{B95794E9-31F3-437D-A4E2-896E88924001}" name="15" totalsRowFunction="sum" dataDxfId="243" totalsRowDxfId="242" dataCellStyle="Moeda">
      <calculatedColumnFormula>SUMIFS(tabela_registros[VALOR],tabela_registros[MÊS],$AE$1,tabela_registros[DIA],investiroutrosconsolidadodez[[#Headers],[15]],tabela_registros[REGISTRO],DADOS!$N$3,tabela_registros[TIPO],DADOS!$V$3,tabela_registros[CATEGORIA],investiroutrosconsolidadodez[[#This Row],[ATUAL]])</calculatedColumnFormula>
    </tableColumn>
    <tableColumn id="17" xr3:uid="{91DB943C-8513-4E42-A8B6-CF63CC3C0546}" name="16" totalsRowFunction="sum" dataDxfId="241" totalsRowDxfId="240" dataCellStyle="Moeda">
      <calculatedColumnFormula>SUMIFS(tabela_registros[VALOR],tabela_registros[MÊS],$AE$1,tabela_registros[DIA],investiroutrosconsolidadodez[[#Headers],[16]],tabela_registros[REGISTRO],DADOS!$N$3,tabela_registros[TIPO],DADOS!$V$3,tabela_registros[CATEGORIA],investiroutrosconsolidadodez[[#This Row],[ATUAL]])</calculatedColumnFormula>
    </tableColumn>
    <tableColumn id="18" xr3:uid="{B3624C14-9715-4A54-9E41-18B141AF656B}" name="17" totalsRowFunction="sum" dataDxfId="239" totalsRowDxfId="238" dataCellStyle="Moeda">
      <calculatedColumnFormula>SUMIFS(tabela_registros[VALOR],tabela_registros[MÊS],$AE$1,tabela_registros[DIA],investiroutrosconsolidadodez[[#Headers],[17]],tabela_registros[REGISTRO],DADOS!$N$3,tabela_registros[TIPO],DADOS!$V$3,tabela_registros[CATEGORIA],investiroutrosconsolidadodez[[#This Row],[ATUAL]])</calculatedColumnFormula>
    </tableColumn>
    <tableColumn id="19" xr3:uid="{2D9E063B-6BA9-49C6-9327-609F431F4B2C}" name="18" totalsRowFunction="sum" dataDxfId="237" totalsRowDxfId="236" dataCellStyle="Moeda">
      <calculatedColumnFormula>SUMIFS(tabela_registros[VALOR],tabela_registros[MÊS],$AE$1,tabela_registros[DIA],investiroutrosconsolidadodez[[#Headers],[18]],tabela_registros[REGISTRO],DADOS!$N$3,tabela_registros[TIPO],DADOS!$V$3,tabela_registros[CATEGORIA],investiroutrosconsolidadodez[[#This Row],[ATUAL]])</calculatedColumnFormula>
    </tableColumn>
    <tableColumn id="20" xr3:uid="{D3D1D62C-80EF-425C-BBC5-03A2E991AB16}" name="19" totalsRowFunction="sum" dataDxfId="235" totalsRowDxfId="234" dataCellStyle="Moeda">
      <calculatedColumnFormula>SUMIFS(tabela_registros[VALOR],tabela_registros[MÊS],$AE$1,tabela_registros[DIA],investiroutrosconsolidadodez[[#Headers],[19]],tabela_registros[REGISTRO],DADOS!$N$3,tabela_registros[TIPO],DADOS!$V$3,tabela_registros[CATEGORIA],investiroutrosconsolidadodez[[#This Row],[ATUAL]])</calculatedColumnFormula>
    </tableColumn>
    <tableColumn id="21" xr3:uid="{1AA8B219-E8E4-4C08-A31E-600DFB4AB6F6}" name="20" totalsRowFunction="sum" dataDxfId="233" totalsRowDxfId="232" dataCellStyle="Moeda">
      <calculatedColumnFormula>SUMIFS(tabela_registros[VALOR],tabela_registros[MÊS],$AE$1,tabela_registros[DIA],investiroutrosconsolidadodez[[#Headers],[20]],tabela_registros[REGISTRO],DADOS!$N$3,tabela_registros[TIPO],DADOS!$V$3,tabela_registros[CATEGORIA],investiroutrosconsolidadodez[[#This Row],[ATUAL]])</calculatedColumnFormula>
    </tableColumn>
    <tableColumn id="22" xr3:uid="{DB798581-2682-4061-A7B3-6E3D625DB1AD}" name="21" totalsRowFunction="sum" dataDxfId="231" totalsRowDxfId="230" dataCellStyle="Moeda">
      <calculatedColumnFormula>SUMIFS(tabela_registros[VALOR],tabela_registros[MÊS],$AE$1,tabela_registros[DIA],investiroutrosconsolidadodez[[#Headers],[21]],tabela_registros[REGISTRO],DADOS!$N$3,tabela_registros[TIPO],DADOS!$V$3,tabela_registros[CATEGORIA],investiroutrosconsolidadodez[[#This Row],[ATUAL]])</calculatedColumnFormula>
    </tableColumn>
    <tableColumn id="23" xr3:uid="{63090F95-5A39-4FE4-BE11-A3AE39F2C731}" name="22" totalsRowFunction="sum" dataDxfId="229" totalsRowDxfId="228" dataCellStyle="Moeda">
      <calculatedColumnFormula>SUMIFS(tabela_registros[VALOR],tabela_registros[MÊS],$AE$1,tabela_registros[DIA],investiroutrosconsolidadodez[[#Headers],[22]],tabela_registros[REGISTRO],DADOS!$N$3,tabela_registros[TIPO],DADOS!$V$3,tabela_registros[CATEGORIA],investiroutrosconsolidadodez[[#This Row],[ATUAL]])</calculatedColumnFormula>
    </tableColumn>
    <tableColumn id="24" xr3:uid="{CB379161-5F6F-4682-8661-99D853217E50}" name="23" totalsRowFunction="sum" dataDxfId="227" totalsRowDxfId="226" dataCellStyle="Moeda">
      <calculatedColumnFormula>SUMIFS(tabela_registros[VALOR],tabela_registros[MÊS],$AE$1,tabela_registros[DIA],investiroutrosconsolidadodez[[#Headers],[23]],tabela_registros[REGISTRO],DADOS!$N$3,tabela_registros[TIPO],DADOS!$V$3,tabela_registros[CATEGORIA],investiroutrosconsolidadodez[[#This Row],[ATUAL]])</calculatedColumnFormula>
    </tableColumn>
    <tableColumn id="25" xr3:uid="{7990866B-04A2-4FAE-943E-451E20B9A044}" name="24" totalsRowFunction="sum" dataDxfId="225" totalsRowDxfId="224" dataCellStyle="Moeda">
      <calculatedColumnFormula>SUMIFS(tabela_registros[VALOR],tabela_registros[MÊS],$AE$1,tabela_registros[DIA],investiroutrosconsolidadodez[[#Headers],[24]],tabela_registros[REGISTRO],DADOS!$N$3,tabela_registros[TIPO],DADOS!$V$3,tabela_registros[CATEGORIA],investiroutrosconsolidadodez[[#This Row],[ATUAL]])</calculatedColumnFormula>
    </tableColumn>
    <tableColumn id="26" xr3:uid="{FC11D103-7FE0-490F-8C2F-62C1F424C39B}" name="25" totalsRowFunction="sum" dataDxfId="223" totalsRowDxfId="222" dataCellStyle="Moeda">
      <calculatedColumnFormula>SUMIFS(tabela_registros[VALOR],tabela_registros[MÊS],$AE$1,tabela_registros[DIA],investiroutrosconsolidadodez[[#Headers],[25]],tabela_registros[REGISTRO],DADOS!$N$3,tabela_registros[TIPO],DADOS!$V$3,tabela_registros[CATEGORIA],investiroutrosconsolidadodez[[#This Row],[ATUAL]])</calculatedColumnFormula>
    </tableColumn>
    <tableColumn id="27" xr3:uid="{9BAA3AA0-A536-4766-A050-7D5DB0820AE9}" name="26" totalsRowFunction="sum" dataDxfId="221" totalsRowDxfId="220" dataCellStyle="Moeda">
      <calculatedColumnFormula>SUMIFS(tabela_registros[VALOR],tabela_registros[MÊS],$AE$1,tabela_registros[DIA],investiroutrosconsolidadodez[[#Headers],[26]],tabela_registros[REGISTRO],DADOS!$N$3,tabela_registros[TIPO],DADOS!$V$3,tabela_registros[CATEGORIA],investiroutrosconsolidadodez[[#This Row],[ATUAL]])</calculatedColumnFormula>
    </tableColumn>
    <tableColumn id="28" xr3:uid="{52961ED4-1398-4E4F-B4DB-EB66F6E09B2A}" name="27" totalsRowFunction="sum" dataDxfId="219" totalsRowDxfId="218" dataCellStyle="Moeda">
      <calculatedColumnFormula>SUMIFS(tabela_registros[VALOR],tabela_registros[MÊS],$AE$1,tabela_registros[DIA],investiroutrosconsolidadodez[[#Headers],[27]],tabela_registros[REGISTRO],DADOS!$N$3,tabela_registros[TIPO],DADOS!$V$3,tabela_registros[CATEGORIA],investiroutrosconsolidadodez[[#This Row],[ATUAL]])</calculatedColumnFormula>
    </tableColumn>
    <tableColumn id="29" xr3:uid="{84F8EC08-69EF-42CD-9613-8EBC3BF66D2A}" name="28" totalsRowFunction="sum" dataDxfId="217" totalsRowDxfId="216" dataCellStyle="Moeda">
      <calculatedColumnFormula>SUMIFS(tabela_registros[VALOR],tabela_registros[MÊS],$AE$1,tabela_registros[DIA],investiroutrosconsolidadodez[[#Headers],[28]],tabela_registros[REGISTRO],DADOS!$N$3,tabela_registros[TIPO],DADOS!$V$3,tabela_registros[CATEGORIA],investiroutrosconsolidadodez[[#This Row],[ATUAL]])</calculatedColumnFormula>
    </tableColumn>
    <tableColumn id="30" xr3:uid="{116491C7-3D1A-4991-8730-B7C3647EBF94}" name="29" totalsRowFunction="sum" dataDxfId="215" totalsRowDxfId="214" dataCellStyle="Moeda">
      <calculatedColumnFormula>SUMIFS(tabela_registros[VALOR],tabela_registros[MÊS],$AE$1,tabela_registros[DIA],investiroutrosconsolidadodez[[#Headers],[29]],tabela_registros[REGISTRO],DADOS!$N$3,tabela_registros[TIPO],DADOS!$V$3,tabela_registros[CATEGORIA],investiroutrosconsolidadodez[[#This Row],[ATUAL]])</calculatedColumnFormula>
    </tableColumn>
    <tableColumn id="31" xr3:uid="{0DCF5001-AF26-4308-987C-110C086B2D8E}" name="30" totalsRowFunction="sum" dataDxfId="213" totalsRowDxfId="212" dataCellStyle="Moeda">
      <calculatedColumnFormula>SUMIFS(tabela_registros[VALOR],tabela_registros[MÊS],$AE$1,tabela_registros[DIA],investiroutrosconsolidadodez[[#Headers],[30]],tabela_registros[REGISTRO],DADOS!$N$3,tabela_registros[TIPO],DADOS!$V$3,tabela_registros[CATEGORIA],investiroutrosconsolidadodez[[#This Row],[ATUAL]])</calculatedColumnFormula>
    </tableColumn>
    <tableColumn id="32" xr3:uid="{EB5BC335-0D15-4962-879C-6F0489F06EF4}" name="31" totalsRowFunction="sum" dataDxfId="211" totalsRowDxfId="210" dataCellStyle="Moeda">
      <calculatedColumnFormula>SUMIFS(tabela_registros[VALOR],tabela_registros[MÊS],$AE$1,tabela_registros[DIA],investiroutrosconsolidadodez[[#Headers],[31]],tabela_registros[REGISTRO],DADOS!$N$3,tabela_registros[TIPO],DADOS!$V$3,tabela_registros[CATEGORIA],investiroutrosconsolidadodez[[#This Row],[ATUAL]])</calculatedColumnFormula>
    </tableColumn>
    <tableColumn id="33" xr3:uid="{710505C3-6E74-4FB3-B722-97D3E611723E}" name="TOTAL (R$)" totalsRowFunction="sum" dataDxfId="209" dataCellStyle="Moeda">
      <calculatedColumnFormula>SUM(investiroutrosconsolidadodez[[#This Row],[1]:[31]])</calculatedColumnFormula>
    </tableColumn>
  </tableColumns>
  <tableStyleInfo name="TABELAS RESULTADOS" showFirstColumn="0" showLastColumn="0" showRowStripes="1" showColumnStripes="0"/>
</table>
</file>

<file path=xl/tables/table15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" xr:uid="{D133ED49-7425-4CA4-9102-45FEADB8100A}" name="reservafixaconsolidadodez" displayName="reservafixaconsolidadodez" ref="C167:AJ178" headerRowDxfId="208" dataDxfId="207" totalsRowDxfId="206">
  <autoFilter ref="C167:AJ178" xr:uid="{CDBD73CF-1633-4509-BA0C-4B73FF7E50BA}"/>
  <tableColumns count="34">
    <tableColumn id="1" xr3:uid="{874589B3-15F7-4B54-8E76-6AF33430682C}" name="ATUAL" totalsRowLabel="SALDO" dataDxfId="205"/>
    <tableColumn id="34" xr3:uid="{ABAC6D83-F386-4AF8-8114-F4C5B088A67D}" name="Coluna1" dataDxfId="204" totalsRowDxfId="203">
      <calculatedColumnFormula>IF(reservafixaconsolidadodez[[#This Row],[TOTAL (R$)]]=0,"",IF(OR(reservafixaconsolidadodez[[#This Row],[TOTAL (R$)]]=LARGE($AJ$168:$AJ$177,1),reservafixaconsolidadodez[[#This Row],[TOTAL (R$)]]=LARGE($AJ$168:$AJ$177,2)),DADOS!$I$11,""))</calculatedColumnFormula>
    </tableColumn>
    <tableColumn id="2" xr3:uid="{A63581B5-93A4-473B-8FBC-74E7FC0961EE}" name="1" totalsRowFunction="sum" dataDxfId="202" dataCellStyle="Moeda"/>
    <tableColumn id="3" xr3:uid="{1FA256BF-502C-421B-9797-8397B2A43850}" name="2" totalsRowFunction="sum" dataDxfId="201" dataCellStyle="Moeda">
      <calculatedColumnFormula>SUMIFS(tabela_registros[VALOR],tabela_registros[MÊS],$AE$1,tabela_registros[DIA],reservafixaconsolidadodez[[#Headers],[2]],tabela_registros[REGISTRO],DADOS!$N$3,tabela_registros[TIPO],DADOS!$V$3,tabela_registros[CATEGORIA],reservafixaconsolidadodez[[#This Row],[ATUAL]])</calculatedColumnFormula>
    </tableColumn>
    <tableColumn id="4" xr3:uid="{F8B6D7D9-50EE-425E-A655-82CE6C1F19DC}" name="3" totalsRowFunction="sum" dataDxfId="200" totalsRowDxfId="199" dataCellStyle="Moeda">
      <calculatedColumnFormula>SUMIFS(tabela_registros[VALOR],tabela_registros[MÊS],$AE$1,tabela_registros[DIA],reservafixaconsolidadodez[[#Headers],[3]],tabela_registros[REGISTRO],DADOS!$N$3,tabela_registros[TIPO],DADOS!$V$3,tabela_registros[CATEGORIA],reservafixaconsolidadodez[[#This Row],[ATUAL]])</calculatedColumnFormula>
    </tableColumn>
    <tableColumn id="5" xr3:uid="{76A87277-E8FD-40A0-8B90-66568E0F3B9D}" name="4" totalsRowFunction="sum" dataDxfId="198" totalsRowDxfId="197" dataCellStyle="Moeda">
      <calculatedColumnFormula>SUMIFS(tabela_registros[VALOR],tabela_registros[MÊS],$AE$1,tabela_registros[DIA],reservafixaconsolidadodez[[#Headers],[4]],tabela_registros[REGISTRO],DADOS!$N$3,tabela_registros[TIPO],DADOS!$V$3,tabela_registros[CATEGORIA],reservafixaconsolidadodez[[#This Row],[ATUAL]])</calculatedColumnFormula>
    </tableColumn>
    <tableColumn id="6" xr3:uid="{7573EA5C-D9B3-44F9-A449-05784C3EFBCA}" name="5" totalsRowFunction="sum" dataDxfId="196" totalsRowDxfId="195" dataCellStyle="Moeda">
      <calculatedColumnFormula>SUMIFS(tabela_registros[VALOR],tabela_registros[MÊS],$AE$1,tabela_registros[DIA],reservafixaconsolidadodez[[#Headers],[5]],tabela_registros[REGISTRO],DADOS!$N$3,tabela_registros[TIPO],DADOS!$V$3,tabela_registros[CATEGORIA],reservafixaconsolidadodez[[#This Row],[ATUAL]])</calculatedColumnFormula>
    </tableColumn>
    <tableColumn id="7" xr3:uid="{07D12437-A643-45E9-9F70-BC6D3F252BB6}" name="6" totalsRowFunction="sum" dataDxfId="194" totalsRowDxfId="193" dataCellStyle="Moeda">
      <calculatedColumnFormula>SUMIFS(tabela_registros[VALOR],tabela_registros[MÊS],$AE$1,tabela_registros[DIA],reservafixaconsolidadodez[[#Headers],[6]],tabela_registros[REGISTRO],DADOS!$N$3,tabela_registros[TIPO],DADOS!$V$3,tabela_registros[CATEGORIA],reservafixaconsolidadodez[[#This Row],[ATUAL]])</calculatedColumnFormula>
    </tableColumn>
    <tableColumn id="8" xr3:uid="{2BE66DAF-1537-4906-99FF-8E6253D289CF}" name="7" totalsRowFunction="sum" dataDxfId="192" totalsRowDxfId="191" dataCellStyle="Moeda">
      <calculatedColumnFormula>SUMIFS(tabela_registros[VALOR],tabela_registros[MÊS],$AE$1,tabela_registros[DIA],reservafixaconsolidadodez[[#Headers],[7]],tabela_registros[REGISTRO],DADOS!$N$3,tabela_registros[TIPO],DADOS!$V$3,tabela_registros[CATEGORIA],reservafixaconsolidadodez[[#This Row],[ATUAL]])</calculatedColumnFormula>
    </tableColumn>
    <tableColumn id="9" xr3:uid="{B2AEF384-492D-4DBF-AFDA-5229460F9588}" name="8" totalsRowFunction="sum" dataDxfId="190" totalsRowDxfId="189" dataCellStyle="Moeda">
      <calculatedColumnFormula>SUMIFS(tabela_registros[VALOR],tabela_registros[MÊS],$AE$1,tabela_registros[DIA],reservafixaconsolidadodez[[#Headers],[8]],tabela_registros[REGISTRO],DADOS!$N$3,tabela_registros[TIPO],DADOS!$V$3,tabela_registros[CATEGORIA],reservafixaconsolidadodez[[#This Row],[ATUAL]])</calculatedColumnFormula>
    </tableColumn>
    <tableColumn id="10" xr3:uid="{3400B351-6F84-4DA4-A77A-BA0F6A405D0F}" name="9" totalsRowFunction="sum" dataDxfId="188" totalsRowDxfId="187" dataCellStyle="Moeda">
      <calculatedColumnFormula>SUMIFS(tabela_registros[VALOR],tabela_registros[MÊS],$AE$1,tabela_registros[DIA],reservafixaconsolidadodez[[#Headers],[9]],tabela_registros[REGISTRO],DADOS!$N$3,tabela_registros[TIPO],DADOS!$V$3,tabela_registros[CATEGORIA],reservafixaconsolidadodez[[#This Row],[ATUAL]])</calculatedColumnFormula>
    </tableColumn>
    <tableColumn id="11" xr3:uid="{CFF33604-32F7-415A-8DD4-A39240CAA805}" name="10" totalsRowFunction="sum" dataDxfId="186" totalsRowDxfId="185" dataCellStyle="Moeda">
      <calculatedColumnFormula>SUMIFS(tabela_registros[VALOR],tabela_registros[MÊS],$AE$1,tabela_registros[DIA],reservafixaconsolidadodez[[#Headers],[10]],tabela_registros[REGISTRO],DADOS!$N$3,tabela_registros[TIPO],DADOS!$V$3,tabela_registros[CATEGORIA],reservafixaconsolidadodez[[#This Row],[ATUAL]])</calculatedColumnFormula>
    </tableColumn>
    <tableColumn id="12" xr3:uid="{5CC276D9-63F7-4EB2-911A-F61DEDCE902B}" name="11" totalsRowFunction="sum" dataDxfId="184" totalsRowDxfId="183" dataCellStyle="Moeda">
      <calculatedColumnFormula>SUMIFS(tabela_registros[VALOR],tabela_registros[MÊS],$AE$1,tabela_registros[DIA],reservafixaconsolidadodez[[#Headers],[11]],tabela_registros[REGISTRO],DADOS!$N$3,tabela_registros[TIPO],DADOS!$V$3,tabela_registros[CATEGORIA],reservafixaconsolidadodez[[#This Row],[ATUAL]])</calculatedColumnFormula>
    </tableColumn>
    <tableColumn id="13" xr3:uid="{AC3CF382-CDCC-4929-B3D5-E80CA36FA2E1}" name="12" totalsRowFunction="sum" dataDxfId="182" totalsRowDxfId="181" dataCellStyle="Moeda">
      <calculatedColumnFormula>SUMIFS(tabela_registros[VALOR],tabela_registros[MÊS],$AE$1,tabela_registros[DIA],reservafixaconsolidadodez[[#Headers],[12]],tabela_registros[REGISTRO],DADOS!$N$3,tabela_registros[TIPO],DADOS!$V$3,tabela_registros[CATEGORIA],reservafixaconsolidadodez[[#This Row],[ATUAL]])</calculatedColumnFormula>
    </tableColumn>
    <tableColumn id="14" xr3:uid="{24171B3F-5FA8-4F98-8B74-61EDD7E4BB39}" name="13" totalsRowFunction="sum" dataDxfId="180" totalsRowDxfId="179" dataCellStyle="Moeda">
      <calculatedColumnFormula>SUMIFS(tabela_registros[VALOR],tabela_registros[MÊS],$AE$1,tabela_registros[DIA],reservafixaconsolidadodez[[#Headers],[13]],tabela_registros[REGISTRO],DADOS!$N$3,tabela_registros[TIPO],DADOS!$V$3,tabela_registros[CATEGORIA],reservafixaconsolidadodez[[#This Row],[ATUAL]])</calculatedColumnFormula>
    </tableColumn>
    <tableColumn id="15" xr3:uid="{13CD4B5A-018A-4E69-9E18-779F25B5C5F7}" name="14" totalsRowFunction="sum" dataDxfId="178" totalsRowDxfId="177" dataCellStyle="Moeda">
      <calculatedColumnFormula>SUMIFS(tabela_registros[VALOR],tabela_registros[MÊS],$AE$1,tabela_registros[DIA],reservafixaconsolidadodez[[#Headers],[14]],tabela_registros[REGISTRO],DADOS!$N$3,tabela_registros[TIPO],DADOS!$V$3,tabela_registros[CATEGORIA],reservafixaconsolidadodez[[#This Row],[ATUAL]])</calculatedColumnFormula>
    </tableColumn>
    <tableColumn id="16" xr3:uid="{C704044E-887C-4495-AF7C-CB94C0B7DEC9}" name="15" totalsRowFunction="sum" dataDxfId="176" totalsRowDxfId="175" dataCellStyle="Moeda">
      <calculatedColumnFormula>SUMIFS(tabela_registros[VALOR],tabela_registros[MÊS],$AE$1,tabela_registros[DIA],reservafixaconsolidadodez[[#Headers],[15]],tabela_registros[REGISTRO],DADOS!$N$3,tabela_registros[TIPO],DADOS!$V$3,tabela_registros[CATEGORIA],reservafixaconsolidadodez[[#This Row],[ATUAL]])</calculatedColumnFormula>
    </tableColumn>
    <tableColumn id="17" xr3:uid="{3AB9192B-61FE-4277-B30B-554B3AC79DB8}" name="16" totalsRowFunction="sum" dataDxfId="174" totalsRowDxfId="173" dataCellStyle="Moeda">
      <calculatedColumnFormula>SUMIFS(tabela_registros[VALOR],tabela_registros[MÊS],$AE$1,tabela_registros[DIA],reservafixaconsolidadodez[[#Headers],[16]],tabela_registros[REGISTRO],DADOS!$N$3,tabela_registros[TIPO],DADOS!$V$3,tabela_registros[CATEGORIA],reservafixaconsolidadodez[[#This Row],[ATUAL]])</calculatedColumnFormula>
    </tableColumn>
    <tableColumn id="18" xr3:uid="{12861D63-FA7B-40C0-A762-AF0175D4E8C7}" name="17" totalsRowFunction="sum" dataDxfId="172" totalsRowDxfId="171" dataCellStyle="Moeda">
      <calculatedColumnFormula>SUMIFS(tabela_registros[VALOR],tabela_registros[MÊS],$AE$1,tabela_registros[DIA],reservafixaconsolidadodez[[#Headers],[17]],tabela_registros[REGISTRO],DADOS!$N$3,tabela_registros[TIPO],DADOS!$V$3,tabela_registros[CATEGORIA],reservafixaconsolidadodez[[#This Row],[ATUAL]])</calculatedColumnFormula>
    </tableColumn>
    <tableColumn id="19" xr3:uid="{7F47916C-5A40-42C6-BE43-5EA18992CAB4}" name="18" totalsRowFunction="sum" dataDxfId="170" totalsRowDxfId="169" dataCellStyle="Moeda">
      <calculatedColumnFormula>SUMIFS(tabela_registros[VALOR],tabela_registros[MÊS],$AE$1,tabela_registros[DIA],reservafixaconsolidadodez[[#Headers],[18]],tabela_registros[REGISTRO],DADOS!$N$3,tabela_registros[TIPO],DADOS!$V$3,tabela_registros[CATEGORIA],reservafixaconsolidadodez[[#This Row],[ATUAL]])</calculatedColumnFormula>
    </tableColumn>
    <tableColumn id="20" xr3:uid="{6CB724B2-43E5-41CE-8788-F546D1D9B44C}" name="19" totalsRowFunction="sum" dataDxfId="168" totalsRowDxfId="167" dataCellStyle="Moeda">
      <calculatedColumnFormula>SUMIFS(tabela_registros[VALOR],tabela_registros[MÊS],$AE$1,tabela_registros[DIA],reservafixaconsolidadodez[[#Headers],[19]],tabela_registros[REGISTRO],DADOS!$N$3,tabela_registros[TIPO],DADOS!$V$3,tabela_registros[CATEGORIA],reservafixaconsolidadodez[[#This Row],[ATUAL]])</calculatedColumnFormula>
    </tableColumn>
    <tableColumn id="21" xr3:uid="{4A9465C0-9D32-4EDC-AB30-B8ACFA414853}" name="20" totalsRowFunction="sum" dataDxfId="166" totalsRowDxfId="165" dataCellStyle="Moeda">
      <calculatedColumnFormula>SUMIFS(tabela_registros[VALOR],tabela_registros[MÊS],$AE$1,tabela_registros[DIA],reservafixaconsolidadodez[[#Headers],[20]],tabela_registros[REGISTRO],DADOS!$N$3,tabela_registros[TIPO],DADOS!$V$3,tabela_registros[CATEGORIA],reservafixaconsolidadodez[[#This Row],[ATUAL]])</calculatedColumnFormula>
    </tableColumn>
    <tableColumn id="22" xr3:uid="{6D8C9F38-9E18-4C42-BF4E-67995763E0E8}" name="21" totalsRowFunction="sum" dataDxfId="164" totalsRowDxfId="163" dataCellStyle="Moeda">
      <calculatedColumnFormula>SUMIFS(tabela_registros[VALOR],tabela_registros[MÊS],$AE$1,tabela_registros[DIA],reservafixaconsolidadodez[[#Headers],[21]],tabela_registros[REGISTRO],DADOS!$N$3,tabela_registros[TIPO],DADOS!$V$3,tabela_registros[CATEGORIA],reservafixaconsolidadodez[[#This Row],[ATUAL]])</calculatedColumnFormula>
    </tableColumn>
    <tableColumn id="23" xr3:uid="{46AB641E-4F1C-4804-8FDF-87952B1C98C2}" name="22" totalsRowFunction="sum" dataDxfId="162" totalsRowDxfId="161" dataCellStyle="Moeda">
      <calculatedColumnFormula>SUMIFS(tabela_registros[VALOR],tabela_registros[MÊS],$AE$1,tabela_registros[DIA],reservafixaconsolidadodez[[#Headers],[22]],tabela_registros[REGISTRO],DADOS!$N$3,tabela_registros[TIPO],DADOS!$V$3,tabela_registros[CATEGORIA],reservafixaconsolidadodez[[#This Row],[ATUAL]])</calculatedColumnFormula>
    </tableColumn>
    <tableColumn id="24" xr3:uid="{B12C4849-4309-4206-A050-C057A848A1BE}" name="23" totalsRowFunction="sum" dataDxfId="160" totalsRowDxfId="159" dataCellStyle="Moeda">
      <calculatedColumnFormula>SUMIFS(tabela_registros[VALOR],tabela_registros[MÊS],$AE$1,tabela_registros[DIA],reservafixaconsolidadodez[[#Headers],[23]],tabela_registros[REGISTRO],DADOS!$N$3,tabela_registros[TIPO],DADOS!$V$3,tabela_registros[CATEGORIA],reservafixaconsolidadodez[[#This Row],[ATUAL]])</calculatedColumnFormula>
    </tableColumn>
    <tableColumn id="25" xr3:uid="{F586B469-1B31-4985-9502-D248E955951B}" name="24" totalsRowFunction="sum" dataDxfId="158" totalsRowDxfId="157" dataCellStyle="Moeda">
      <calculatedColumnFormula>SUMIFS(tabela_registros[VALOR],tabela_registros[MÊS],$AE$1,tabela_registros[DIA],reservafixaconsolidadodez[[#Headers],[24]],tabela_registros[REGISTRO],DADOS!$N$3,tabela_registros[TIPO],DADOS!$V$3,tabela_registros[CATEGORIA],reservafixaconsolidadodez[[#This Row],[ATUAL]])</calculatedColumnFormula>
    </tableColumn>
    <tableColumn id="26" xr3:uid="{1526C1C9-75A9-44D9-8E52-88CEEF99CC93}" name="25" totalsRowFunction="sum" dataDxfId="156" totalsRowDxfId="155" dataCellStyle="Moeda">
      <calculatedColumnFormula>SUMIFS(tabela_registros[VALOR],tabela_registros[MÊS],$AE$1,tabela_registros[DIA],reservafixaconsolidadodez[[#Headers],[25]],tabela_registros[REGISTRO],DADOS!$N$3,tabela_registros[TIPO],DADOS!$V$3,tabela_registros[CATEGORIA],reservafixaconsolidadodez[[#This Row],[ATUAL]])</calculatedColumnFormula>
    </tableColumn>
    <tableColumn id="27" xr3:uid="{451079EA-D819-457B-BA2F-503D9EDD7271}" name="26" totalsRowFunction="sum" dataDxfId="154" totalsRowDxfId="153" dataCellStyle="Moeda">
      <calculatedColumnFormula>SUMIFS(tabela_registros[VALOR],tabela_registros[MÊS],$AE$1,tabela_registros[DIA],reservafixaconsolidadodez[[#Headers],[26]],tabela_registros[REGISTRO],DADOS!$N$3,tabela_registros[TIPO],DADOS!$V$3,tabela_registros[CATEGORIA],reservafixaconsolidadodez[[#This Row],[ATUAL]])</calculatedColumnFormula>
    </tableColumn>
    <tableColumn id="28" xr3:uid="{4F04ED6F-1514-4DB2-94C3-AE9B04E4995E}" name="27" totalsRowFunction="sum" dataDxfId="152" totalsRowDxfId="151" dataCellStyle="Moeda">
      <calculatedColumnFormula>SUMIFS(tabela_registros[VALOR],tabela_registros[MÊS],$AE$1,tabela_registros[DIA],reservafixaconsolidadodez[[#Headers],[27]],tabela_registros[REGISTRO],DADOS!$N$3,tabela_registros[TIPO],DADOS!$V$3,tabela_registros[CATEGORIA],reservafixaconsolidadodez[[#This Row],[ATUAL]])</calculatedColumnFormula>
    </tableColumn>
    <tableColumn id="29" xr3:uid="{2959C6E7-8547-4D15-8E94-45ECC469C49B}" name="28" totalsRowFunction="sum" dataDxfId="150" totalsRowDxfId="149" dataCellStyle="Moeda">
      <calculatedColumnFormula>SUMIFS(tabela_registros[VALOR],tabela_registros[MÊS],$AE$1,tabela_registros[DIA],reservafixaconsolidadodez[[#Headers],[28]],tabela_registros[REGISTRO],DADOS!$N$3,tabela_registros[TIPO],DADOS!$V$3,tabela_registros[CATEGORIA],reservafixaconsolidadodez[[#This Row],[ATUAL]])</calculatedColumnFormula>
    </tableColumn>
    <tableColumn id="30" xr3:uid="{568AFDA7-63E8-4E52-8B67-F1D7FA0801D2}" name="29" totalsRowFunction="sum" dataDxfId="148" totalsRowDxfId="147" dataCellStyle="Moeda">
      <calculatedColumnFormula>SUMIFS(tabela_registros[VALOR],tabela_registros[MÊS],$AE$1,tabela_registros[DIA],reservafixaconsolidadodez[[#Headers],[29]],tabela_registros[REGISTRO],DADOS!$N$3,tabela_registros[TIPO],DADOS!$V$3,tabela_registros[CATEGORIA],reservafixaconsolidadodez[[#This Row],[ATUAL]])</calculatedColumnFormula>
    </tableColumn>
    <tableColumn id="31" xr3:uid="{13E8D113-6920-4AFE-B798-C832D626685C}" name="30" totalsRowFunction="sum" dataDxfId="146" totalsRowDxfId="145" dataCellStyle="Moeda">
      <calculatedColumnFormula>SUMIFS(tabela_registros[VALOR],tabela_registros[MÊS],$AE$1,tabela_registros[DIA],reservafixaconsolidadodez[[#Headers],[30]],tabela_registros[REGISTRO],DADOS!$N$3,tabela_registros[TIPO],DADOS!$V$3,tabela_registros[CATEGORIA],reservafixaconsolidadodez[[#This Row],[ATUAL]])</calculatedColumnFormula>
    </tableColumn>
    <tableColumn id="32" xr3:uid="{110C60E1-8F0E-4436-BA84-196FC0B8110C}" name="31" totalsRowFunction="sum" dataDxfId="144" totalsRowDxfId="143" dataCellStyle="Moeda">
      <calculatedColumnFormula>SUMIFS(tabela_registros[VALOR],tabela_registros[MÊS],$AE$1,tabela_registros[DIA],reservafixaconsolidadodez[[#Headers],[31]],tabela_registros[REGISTRO],DADOS!$N$3,tabela_registros[TIPO],DADOS!$V$3,tabela_registros[CATEGORIA],reservafixaconsolidadodez[[#This Row],[ATUAL]])</calculatedColumnFormula>
    </tableColumn>
    <tableColumn id="33" xr3:uid="{F20B93C8-7C02-454D-BDAE-81D8EC32A996}" name="TOTAL (R$)" totalsRowFunction="sum" dataDxfId="142" dataCellStyle="Moeda">
      <calculatedColumnFormula>SUM(reservafixaconsolidadodez[[#This Row],[1]:[31]])</calculatedColumnFormula>
    </tableColumn>
  </tableColumns>
  <tableStyleInfo name="TABELAS RESULTADOS" showFirstColumn="0" showLastColumn="0" showRowStripes="1" showColumnStripes="0"/>
</table>
</file>

<file path=xl/tables/table15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" xr:uid="{71700528-61F4-4FA9-BE46-55D5FE896225}" name="reservavariáveisconsolidadodez" displayName="reservavariáveisconsolidadodez" ref="C186:AJ197" headerRowDxfId="141" dataDxfId="140" totalsRowDxfId="139">
  <autoFilter ref="C186:AJ197" xr:uid="{D1B0BC4A-55A7-40F2-94A1-407E95E214F4}"/>
  <tableColumns count="34">
    <tableColumn id="1" xr3:uid="{4B6603D5-117D-47F9-87D8-D6C3FBA6403A}" name="ATUAL" totalsRowLabel="SALDO" dataDxfId="138"/>
    <tableColumn id="34" xr3:uid="{044B8E1C-3DAD-46A2-B81C-D17570AF99E6}" name="Coluna1" dataDxfId="137" totalsRowDxfId="136">
      <calculatedColumnFormula>IF(reservavariáveisconsolidadodez[[#This Row],[TOTAL (R$)]]=0,"",IF(OR(reservavariáveisconsolidadodez[[#This Row],[TOTAL (R$)]]=LARGE($AJ$187:$AJ$196,1),reservavariáveisconsolidadodez[[#This Row],[TOTAL (R$)]]=LARGE($AJ$187:$AJ$196,2)),DADOS!$I$11,""))</calculatedColumnFormula>
    </tableColumn>
    <tableColumn id="2" xr3:uid="{C4182131-A6C4-4B1F-BF35-DD76642B2982}" name="1" totalsRowFunction="sum" dataDxfId="135" dataCellStyle="Moeda"/>
    <tableColumn id="3" xr3:uid="{1301C7F3-1397-4013-B611-D8F81792B32F}" name="2" totalsRowFunction="sum" dataDxfId="134" dataCellStyle="Moeda">
      <calculatedColumnFormula>SUMIFS(tabela_registros[VALOR],tabela_registros[MÊS],$AE$1,tabela_registros[DIA],reservavariáveisconsolidadodez[[#Headers],[2]],tabela_registros[REGISTRO],DADOS!$N$3,tabela_registros[TIPO],DADOS!$V$3,tabela_registros[CATEGORIA],reservavariáveisconsolidadodez[[#This Row],[ATUAL]])</calculatedColumnFormula>
    </tableColumn>
    <tableColumn id="4" xr3:uid="{49395276-4B79-430C-B365-B8B71A4E44A8}" name="3" totalsRowFunction="sum" dataDxfId="133" totalsRowDxfId="132" dataCellStyle="Moeda">
      <calculatedColumnFormula>SUMIFS(tabela_registros[VALOR],tabela_registros[MÊS],$AE$1,tabela_registros[DIA],reservavariáveisconsolidadodez[[#Headers],[3]],tabela_registros[REGISTRO],DADOS!$N$3,tabela_registros[TIPO],DADOS!$V$3,tabela_registros[CATEGORIA],reservavariáveisconsolidadodez[[#This Row],[ATUAL]])</calculatedColumnFormula>
    </tableColumn>
    <tableColumn id="5" xr3:uid="{4FF5BE67-A8F9-4E59-86D0-C673266948E5}" name="4" totalsRowFunction="sum" dataDxfId="131" totalsRowDxfId="130" dataCellStyle="Moeda">
      <calculatedColumnFormula>SUMIFS(tabela_registros[VALOR],tabela_registros[MÊS],$AE$1,tabela_registros[DIA],reservavariáveisconsolidadodez[[#Headers],[4]],tabela_registros[REGISTRO],DADOS!$N$3,tabela_registros[TIPO],DADOS!$V$3,tabela_registros[CATEGORIA],reservavariáveisconsolidadodez[[#This Row],[ATUAL]])</calculatedColumnFormula>
    </tableColumn>
    <tableColumn id="6" xr3:uid="{269B68DC-37F4-4C73-A882-2DC2A6A75107}" name="5" totalsRowFunction="sum" dataDxfId="129" totalsRowDxfId="128" dataCellStyle="Moeda">
      <calculatedColumnFormula>SUMIFS(tabela_registros[VALOR],tabela_registros[MÊS],$AE$1,tabela_registros[DIA],reservavariáveisconsolidadodez[[#Headers],[5]],tabela_registros[REGISTRO],DADOS!$N$3,tabela_registros[TIPO],DADOS!$V$3,tabela_registros[CATEGORIA],reservavariáveisconsolidadodez[[#This Row],[ATUAL]])</calculatedColumnFormula>
    </tableColumn>
    <tableColumn id="7" xr3:uid="{657C5A13-F9FF-4BA9-94A2-4E4B6F55A369}" name="6" totalsRowFunction="sum" dataDxfId="127" totalsRowDxfId="126" dataCellStyle="Moeda">
      <calculatedColumnFormula>SUMIFS(tabela_registros[VALOR],tabela_registros[MÊS],$AE$1,tabela_registros[DIA],reservavariáveisconsolidadodez[[#Headers],[6]],tabela_registros[REGISTRO],DADOS!$N$3,tabela_registros[TIPO],DADOS!$V$3,tabela_registros[CATEGORIA],reservavariáveisconsolidadodez[[#This Row],[ATUAL]])</calculatedColumnFormula>
    </tableColumn>
    <tableColumn id="8" xr3:uid="{2677567A-8EDA-4A6D-87FB-4A4ABD6006D1}" name="7" totalsRowFunction="sum" dataDxfId="125" totalsRowDxfId="124" dataCellStyle="Moeda">
      <calculatedColumnFormula>SUMIFS(tabela_registros[VALOR],tabela_registros[MÊS],$AE$1,tabela_registros[DIA],reservavariáveisconsolidadodez[[#Headers],[7]],tabela_registros[REGISTRO],DADOS!$N$3,tabela_registros[TIPO],DADOS!$V$3,tabela_registros[CATEGORIA],reservavariáveisconsolidadodez[[#This Row],[ATUAL]])</calculatedColumnFormula>
    </tableColumn>
    <tableColumn id="9" xr3:uid="{E3F2DEA2-4CA6-4CFC-B5F4-9DF292DC15FD}" name="8" totalsRowFunction="sum" dataDxfId="123" totalsRowDxfId="122" dataCellStyle="Moeda">
      <calculatedColumnFormula>SUMIFS(tabela_registros[VALOR],tabela_registros[MÊS],$AE$1,tabela_registros[DIA],reservavariáveisconsolidadodez[[#Headers],[8]],tabela_registros[REGISTRO],DADOS!$N$3,tabela_registros[TIPO],DADOS!$V$3,tabela_registros[CATEGORIA],reservavariáveisconsolidadodez[[#This Row],[ATUAL]])</calculatedColumnFormula>
    </tableColumn>
    <tableColumn id="10" xr3:uid="{6A4276A7-ADE1-47FF-A017-5B308CA04340}" name="9" totalsRowFunction="sum" dataDxfId="121" totalsRowDxfId="120" dataCellStyle="Moeda">
      <calculatedColumnFormula>SUMIFS(tabela_registros[VALOR],tabela_registros[MÊS],$AE$1,tabela_registros[DIA],reservavariáveisconsolidadodez[[#Headers],[9]],tabela_registros[REGISTRO],DADOS!$N$3,tabela_registros[TIPO],DADOS!$V$3,tabela_registros[CATEGORIA],reservavariáveisconsolidadodez[[#This Row],[ATUAL]])</calculatedColumnFormula>
    </tableColumn>
    <tableColumn id="11" xr3:uid="{D2B49D49-0BE7-4A00-88FC-19BD44213067}" name="10" totalsRowFunction="sum" dataDxfId="119" totalsRowDxfId="118" dataCellStyle="Moeda">
      <calculatedColumnFormula>SUMIFS(tabela_registros[VALOR],tabela_registros[MÊS],$AE$1,tabela_registros[DIA],reservavariáveisconsolidadodez[[#Headers],[10]],tabela_registros[REGISTRO],DADOS!$N$3,tabela_registros[TIPO],DADOS!$V$3,tabela_registros[CATEGORIA],reservavariáveisconsolidadodez[[#This Row],[ATUAL]])</calculatedColumnFormula>
    </tableColumn>
    <tableColumn id="12" xr3:uid="{BA5F1C06-8934-4BF9-A3A2-6A6FA2AFAAEB}" name="11" totalsRowFunction="sum" dataDxfId="117" totalsRowDxfId="116" dataCellStyle="Moeda">
      <calculatedColumnFormula>SUMIFS(tabela_registros[VALOR],tabela_registros[MÊS],$AE$1,tabela_registros[DIA],reservavariáveisconsolidadodez[[#Headers],[11]],tabela_registros[REGISTRO],DADOS!$N$3,tabela_registros[TIPO],DADOS!$V$3,tabela_registros[CATEGORIA],reservavariáveisconsolidadodez[[#This Row],[ATUAL]])</calculatedColumnFormula>
    </tableColumn>
    <tableColumn id="13" xr3:uid="{F9D4F1D0-8DAB-4CB6-A434-0FC2A362F62A}" name="12" totalsRowFunction="sum" dataDxfId="115" totalsRowDxfId="114" dataCellStyle="Moeda">
      <calculatedColumnFormula>SUMIFS(tabela_registros[VALOR],tabela_registros[MÊS],$AE$1,tabela_registros[DIA],reservavariáveisconsolidadodez[[#Headers],[12]],tabela_registros[REGISTRO],DADOS!$N$3,tabela_registros[TIPO],DADOS!$V$3,tabela_registros[CATEGORIA],reservavariáveisconsolidadodez[[#This Row],[ATUAL]])</calculatedColumnFormula>
    </tableColumn>
    <tableColumn id="14" xr3:uid="{376C67EB-CB02-4038-9D5E-58C165DB6933}" name="13" totalsRowFunction="sum" dataDxfId="113" totalsRowDxfId="112" dataCellStyle="Moeda">
      <calculatedColumnFormula>SUMIFS(tabela_registros[VALOR],tabela_registros[MÊS],$AE$1,tabela_registros[DIA],reservavariáveisconsolidadodez[[#Headers],[13]],tabela_registros[REGISTRO],DADOS!$N$3,tabela_registros[TIPO],DADOS!$V$3,tabela_registros[CATEGORIA],reservavariáveisconsolidadodez[[#This Row],[ATUAL]])</calculatedColumnFormula>
    </tableColumn>
    <tableColumn id="15" xr3:uid="{19AC4C88-DA55-47F1-B915-19E1DF186FC1}" name="14" totalsRowFunction="sum" dataDxfId="111" totalsRowDxfId="110" dataCellStyle="Moeda">
      <calculatedColumnFormula>SUMIFS(tabela_registros[VALOR],tabela_registros[MÊS],$AE$1,tabela_registros[DIA],reservavariáveisconsolidadodez[[#Headers],[14]],tabela_registros[REGISTRO],DADOS!$N$3,tabela_registros[TIPO],DADOS!$V$3,tabela_registros[CATEGORIA],reservavariáveisconsolidadodez[[#This Row],[ATUAL]])</calculatedColumnFormula>
    </tableColumn>
    <tableColumn id="16" xr3:uid="{ECF1E577-F410-4A24-8FBE-CDEDAD26E63F}" name="15" totalsRowFunction="sum" dataDxfId="109" totalsRowDxfId="108" dataCellStyle="Moeda">
      <calculatedColumnFormula>SUMIFS(tabela_registros[VALOR],tabela_registros[MÊS],$AE$1,tabela_registros[DIA],reservavariáveisconsolidadodez[[#Headers],[15]],tabela_registros[REGISTRO],DADOS!$N$3,tabela_registros[TIPO],DADOS!$V$3,tabela_registros[CATEGORIA],reservavariáveisconsolidadodez[[#This Row],[ATUAL]])</calculatedColumnFormula>
    </tableColumn>
    <tableColumn id="17" xr3:uid="{36466A72-3547-483D-88C9-0248B7BDCF20}" name="16" totalsRowFunction="sum" dataDxfId="107" totalsRowDxfId="106" dataCellStyle="Moeda">
      <calculatedColumnFormula>SUMIFS(tabela_registros[VALOR],tabela_registros[MÊS],$AE$1,tabela_registros[DIA],reservavariáveisconsolidadodez[[#Headers],[16]],tabela_registros[REGISTRO],DADOS!$N$3,tabela_registros[TIPO],DADOS!$V$3,tabela_registros[CATEGORIA],reservavariáveisconsolidadodez[[#This Row],[ATUAL]])</calculatedColumnFormula>
    </tableColumn>
    <tableColumn id="18" xr3:uid="{3747D9F6-D486-4F5D-822B-DDE1F1267E40}" name="17" totalsRowFunction="sum" dataDxfId="105" totalsRowDxfId="104" dataCellStyle="Moeda">
      <calculatedColumnFormula>SUMIFS(tabela_registros[VALOR],tabela_registros[MÊS],$AE$1,tabela_registros[DIA],reservavariáveisconsolidadodez[[#Headers],[17]],tabela_registros[REGISTRO],DADOS!$N$3,tabela_registros[TIPO],DADOS!$V$3,tabela_registros[CATEGORIA],reservavariáveisconsolidadodez[[#This Row],[ATUAL]])</calculatedColumnFormula>
    </tableColumn>
    <tableColumn id="19" xr3:uid="{7F41E57D-4830-4450-9A29-14197889D8DE}" name="18" totalsRowFunction="sum" dataDxfId="103" totalsRowDxfId="102" dataCellStyle="Moeda">
      <calculatedColumnFormula>SUMIFS(tabela_registros[VALOR],tabela_registros[MÊS],$AE$1,tabela_registros[DIA],reservavariáveisconsolidadodez[[#Headers],[18]],tabela_registros[REGISTRO],DADOS!$N$3,tabela_registros[TIPO],DADOS!$V$3,tabela_registros[CATEGORIA],reservavariáveisconsolidadodez[[#This Row],[ATUAL]])</calculatedColumnFormula>
    </tableColumn>
    <tableColumn id="20" xr3:uid="{B619BA83-6203-4FED-98AC-950FE1C3A28D}" name="19" totalsRowFunction="sum" dataDxfId="101" totalsRowDxfId="100" dataCellStyle="Moeda">
      <calculatedColumnFormula>SUMIFS(tabela_registros[VALOR],tabela_registros[MÊS],$AE$1,tabela_registros[DIA],reservavariáveisconsolidadodez[[#Headers],[19]],tabela_registros[REGISTRO],DADOS!$N$3,tabela_registros[TIPO],DADOS!$V$3,tabela_registros[CATEGORIA],reservavariáveisconsolidadodez[[#This Row],[ATUAL]])</calculatedColumnFormula>
    </tableColumn>
    <tableColumn id="21" xr3:uid="{6C68BF6A-273B-4C10-8A8C-D5DAF44A5CC5}" name="20" totalsRowFunction="sum" dataDxfId="99" totalsRowDxfId="98" dataCellStyle="Moeda">
      <calculatedColumnFormula>SUMIFS(tabela_registros[VALOR],tabela_registros[MÊS],$AE$1,tabela_registros[DIA],reservavariáveisconsolidadodez[[#Headers],[20]],tabela_registros[REGISTRO],DADOS!$N$3,tabela_registros[TIPO],DADOS!$V$3,tabela_registros[CATEGORIA],reservavariáveisconsolidadodez[[#This Row],[ATUAL]])</calculatedColumnFormula>
    </tableColumn>
    <tableColumn id="22" xr3:uid="{87768FC9-649F-4E07-8EDF-6BF65E8C2508}" name="21" totalsRowFunction="sum" dataDxfId="97" totalsRowDxfId="96" dataCellStyle="Moeda">
      <calculatedColumnFormula>SUMIFS(tabela_registros[VALOR],tabela_registros[MÊS],$AE$1,tabela_registros[DIA],reservavariáveisconsolidadodez[[#Headers],[21]],tabela_registros[REGISTRO],DADOS!$N$3,tabela_registros[TIPO],DADOS!$V$3,tabela_registros[CATEGORIA],reservavariáveisconsolidadodez[[#This Row],[ATUAL]])</calculatedColumnFormula>
    </tableColumn>
    <tableColumn id="23" xr3:uid="{A7A49838-BA6A-4479-B817-2EA2A7395317}" name="22" totalsRowFunction="sum" dataDxfId="95" totalsRowDxfId="94" dataCellStyle="Moeda">
      <calculatedColumnFormula>SUMIFS(tabela_registros[VALOR],tabela_registros[MÊS],$AE$1,tabela_registros[DIA],reservavariáveisconsolidadodez[[#Headers],[22]],tabela_registros[REGISTRO],DADOS!$N$3,tabela_registros[TIPO],DADOS!$V$3,tabela_registros[CATEGORIA],reservavariáveisconsolidadodez[[#This Row],[ATUAL]])</calculatedColumnFormula>
    </tableColumn>
    <tableColumn id="24" xr3:uid="{85B359E0-1D6D-471B-8C95-42FD90840D90}" name="23" totalsRowFunction="sum" dataDxfId="93" totalsRowDxfId="92" dataCellStyle="Moeda">
      <calculatedColumnFormula>SUMIFS(tabela_registros[VALOR],tabela_registros[MÊS],$AE$1,tabela_registros[DIA],reservavariáveisconsolidadodez[[#Headers],[23]],tabela_registros[REGISTRO],DADOS!$N$3,tabela_registros[TIPO],DADOS!$V$3,tabela_registros[CATEGORIA],reservavariáveisconsolidadodez[[#This Row],[ATUAL]])</calculatedColumnFormula>
    </tableColumn>
    <tableColumn id="25" xr3:uid="{5769BACE-969D-4971-99DA-726ABBB0ADC9}" name="24" totalsRowFunction="sum" dataDxfId="91" totalsRowDxfId="90" dataCellStyle="Moeda">
      <calculatedColumnFormula>SUMIFS(tabela_registros[VALOR],tabela_registros[MÊS],$AE$1,tabela_registros[DIA],reservavariáveisconsolidadodez[[#Headers],[24]],tabela_registros[REGISTRO],DADOS!$N$3,tabela_registros[TIPO],DADOS!$V$3,tabela_registros[CATEGORIA],reservavariáveisconsolidadodez[[#This Row],[ATUAL]])</calculatedColumnFormula>
    </tableColumn>
    <tableColumn id="26" xr3:uid="{50142505-460A-44C6-8C80-838986EE6E68}" name="25" totalsRowFunction="sum" dataDxfId="89" totalsRowDxfId="88" dataCellStyle="Moeda">
      <calculatedColumnFormula>SUMIFS(tabela_registros[VALOR],tabela_registros[MÊS],$AE$1,tabela_registros[DIA],reservavariáveisconsolidadodez[[#Headers],[25]],tabela_registros[REGISTRO],DADOS!$N$3,tabela_registros[TIPO],DADOS!$V$3,tabela_registros[CATEGORIA],reservavariáveisconsolidadodez[[#This Row],[ATUAL]])</calculatedColumnFormula>
    </tableColumn>
    <tableColumn id="27" xr3:uid="{B87C708A-BB93-40C8-9E1A-113B3D284E05}" name="26" totalsRowFunction="sum" dataDxfId="87" totalsRowDxfId="86" dataCellStyle="Moeda">
      <calculatedColumnFormula>SUMIFS(tabela_registros[VALOR],tabela_registros[MÊS],$AE$1,tabela_registros[DIA],reservavariáveisconsolidadodez[[#Headers],[26]],tabela_registros[REGISTRO],DADOS!$N$3,tabela_registros[TIPO],DADOS!$V$3,tabela_registros[CATEGORIA],reservavariáveisconsolidadodez[[#This Row],[ATUAL]])</calculatedColumnFormula>
    </tableColumn>
    <tableColumn id="28" xr3:uid="{B7934DC0-BFE2-4FC4-8294-4A8E5CD5D734}" name="27" totalsRowFunction="sum" dataDxfId="85" totalsRowDxfId="84" dataCellStyle="Moeda">
      <calculatedColumnFormula>SUMIFS(tabela_registros[VALOR],tabela_registros[MÊS],$AE$1,tabela_registros[DIA],reservavariáveisconsolidadodez[[#Headers],[27]],tabela_registros[REGISTRO],DADOS!$N$3,tabela_registros[TIPO],DADOS!$V$3,tabela_registros[CATEGORIA],reservavariáveisconsolidadodez[[#This Row],[ATUAL]])</calculatedColumnFormula>
    </tableColumn>
    <tableColumn id="29" xr3:uid="{4390AFAC-32D3-4A63-862E-18B3D198FA6E}" name="28" totalsRowFunction="sum" dataDxfId="83" totalsRowDxfId="82" dataCellStyle="Moeda">
      <calculatedColumnFormula>SUMIFS(tabela_registros[VALOR],tabela_registros[MÊS],$AE$1,tabela_registros[DIA],reservavariáveisconsolidadodez[[#Headers],[28]],tabela_registros[REGISTRO],DADOS!$N$3,tabela_registros[TIPO],DADOS!$V$3,tabela_registros[CATEGORIA],reservavariáveisconsolidadodez[[#This Row],[ATUAL]])</calculatedColumnFormula>
    </tableColumn>
    <tableColumn id="30" xr3:uid="{2FA919BB-D5EA-41F2-A31E-350D7191A629}" name="29" totalsRowFunction="sum" dataDxfId="81" totalsRowDxfId="80" dataCellStyle="Moeda">
      <calculatedColumnFormula>SUMIFS(tabela_registros[VALOR],tabela_registros[MÊS],$AE$1,tabela_registros[DIA],reservavariáveisconsolidadodez[[#Headers],[29]],tabela_registros[REGISTRO],DADOS!$N$3,tabela_registros[TIPO],DADOS!$V$3,tabela_registros[CATEGORIA],reservavariáveisconsolidadodez[[#This Row],[ATUAL]])</calculatedColumnFormula>
    </tableColumn>
    <tableColumn id="31" xr3:uid="{A93E03B3-4A67-4136-8BDA-FA858CB2420C}" name="30" totalsRowFunction="sum" dataDxfId="79" totalsRowDxfId="78" dataCellStyle="Moeda">
      <calculatedColumnFormula>SUMIFS(tabela_registros[VALOR],tabela_registros[MÊS],$AE$1,tabela_registros[DIA],reservavariáveisconsolidadodez[[#Headers],[30]],tabela_registros[REGISTRO],DADOS!$N$3,tabela_registros[TIPO],DADOS!$V$3,tabela_registros[CATEGORIA],reservavariáveisconsolidadodez[[#This Row],[ATUAL]])</calculatedColumnFormula>
    </tableColumn>
    <tableColumn id="32" xr3:uid="{40A6A4AF-19C6-4B97-98FC-FDB0358F8E43}" name="31" totalsRowFunction="sum" dataDxfId="77" totalsRowDxfId="76" dataCellStyle="Moeda">
      <calculatedColumnFormula>SUMIFS(tabela_registros[VALOR],tabela_registros[MÊS],$AE$1,tabela_registros[DIA],reservavariáveisconsolidadodez[[#Headers],[31]],tabela_registros[REGISTRO],DADOS!$N$3,tabela_registros[TIPO],DADOS!$V$3,tabela_registros[CATEGORIA],reservavariáveisconsolidadodez[[#This Row],[ATUAL]])</calculatedColumnFormula>
    </tableColumn>
    <tableColumn id="33" xr3:uid="{F26E3911-4A35-460C-8C9C-D628EA18D443}" name="TOTAL (R$)" totalsRowFunction="sum" dataDxfId="75" dataCellStyle="Moeda">
      <calculatedColumnFormula>SUM(reservavariáveisconsolidadodez[[#This Row],[1]:[31]])</calculatedColumnFormula>
    </tableColumn>
  </tableColumns>
  <tableStyleInfo name="TABELAS RESULTADOS" showFirstColumn="0" showLastColumn="0" showRowStripes="1" showColumnStripes="0"/>
</table>
</file>

<file path=xl/tables/table15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" xr:uid="{66C22D22-29E5-4568-9E2A-404AFB682006}" name="reservaoutrosconsolidadodez" displayName="reservaoutrosconsolidadodez" ref="C205:AJ214" headerRowDxfId="74" dataDxfId="73" totalsRowDxfId="72">
  <autoFilter ref="C205:AJ214" xr:uid="{9335CBAF-4490-44EE-A508-E6F2F3B6C6F1}"/>
  <tableColumns count="34">
    <tableColumn id="1" xr3:uid="{72339CBA-589C-4D1D-B028-48EB7338856F}" name="ATUAL" totalsRowLabel="SALDO" dataDxfId="71"/>
    <tableColumn id="34" xr3:uid="{8BE871CF-64DC-4F7B-80CD-2072F442C567}" name="Coluna1" dataDxfId="70" totalsRowDxfId="69">
      <calculatedColumnFormula>IF(reservaoutrosconsolidadodez[[#This Row],[TOTAL (R$)]]=0,"",IF(OR(reservaoutrosconsolidadodez[[#This Row],[TOTAL (R$)]]=LARGE($AJ$206:$AJ$213,1),reservaoutrosconsolidadodez[[#This Row],[TOTAL (R$)]]=LARGE($AJ$206:$AJ$213,2)),DADOS!$I$11,""))</calculatedColumnFormula>
    </tableColumn>
    <tableColumn id="2" xr3:uid="{4BC13727-FD6D-4613-BB9A-63D6C42758A7}" name="1" totalsRowFunction="sum" dataDxfId="68" dataCellStyle="Moeda"/>
    <tableColumn id="3" xr3:uid="{4DF4C9AD-A45E-415E-8A9A-5F8915A6C7F5}" name="2" totalsRowFunction="sum" dataDxfId="67" dataCellStyle="Moeda">
      <calculatedColumnFormula>SUMIFS(tabela_registros[VALOR],tabela_registros[MÊS],$AE$1,tabela_registros[DIA],reservaoutrosconsolidadodez[[#Headers],[2]],tabela_registros[REGISTRO],DADOS!$N$3,tabela_registros[TIPO],DADOS!$V$3,tabela_registros[CATEGORIA],reservaoutrosconsolidadodez[[#This Row],[ATUAL]])</calculatedColumnFormula>
    </tableColumn>
    <tableColumn id="4" xr3:uid="{9F043AD9-B2BA-49CD-891E-F27D8B9FDF08}" name="3" totalsRowFunction="sum" dataDxfId="66" totalsRowDxfId="65" dataCellStyle="Moeda">
      <calculatedColumnFormula>SUMIFS(tabela_registros[VALOR],tabela_registros[MÊS],$AE$1,tabela_registros[DIA],reservaoutrosconsolidadodez[[#Headers],[3]],tabela_registros[REGISTRO],DADOS!$N$3,tabela_registros[TIPO],DADOS!$V$3,tabela_registros[CATEGORIA],reservaoutrosconsolidadodez[[#This Row],[ATUAL]])</calculatedColumnFormula>
    </tableColumn>
    <tableColumn id="5" xr3:uid="{CF549955-0985-4BC3-8FE3-163013ED3FB1}" name="4" totalsRowFunction="sum" dataDxfId="64" totalsRowDxfId="63" dataCellStyle="Moeda">
      <calculatedColumnFormula>SUMIFS(tabela_registros[VALOR],tabela_registros[MÊS],$AE$1,tabela_registros[DIA],reservaoutrosconsolidadodez[[#Headers],[4]],tabela_registros[REGISTRO],DADOS!$N$3,tabela_registros[TIPO],DADOS!$V$3,tabela_registros[CATEGORIA],reservaoutrosconsolidadodez[[#This Row],[ATUAL]])</calculatedColumnFormula>
    </tableColumn>
    <tableColumn id="6" xr3:uid="{7EF574AA-AC65-4E00-A781-D35AD4F983A0}" name="5" totalsRowFunction="sum" dataDxfId="62" totalsRowDxfId="61" dataCellStyle="Moeda">
      <calculatedColumnFormula>SUMIFS(tabela_registros[VALOR],tabela_registros[MÊS],$AE$1,tabela_registros[DIA],reservaoutrosconsolidadodez[[#Headers],[5]],tabela_registros[REGISTRO],DADOS!$N$3,tabela_registros[TIPO],DADOS!$V$3,tabela_registros[CATEGORIA],reservaoutrosconsolidadodez[[#This Row],[ATUAL]])</calculatedColumnFormula>
    </tableColumn>
    <tableColumn id="7" xr3:uid="{0F255727-3CC7-408B-B527-3FDCA48D716A}" name="6" totalsRowFunction="sum" dataDxfId="60" totalsRowDxfId="59" dataCellStyle="Moeda">
      <calculatedColumnFormula>SUMIFS(tabela_registros[VALOR],tabela_registros[MÊS],$AE$1,tabela_registros[DIA],reservaoutrosconsolidadodez[[#Headers],[6]],tabela_registros[REGISTRO],DADOS!$N$3,tabela_registros[TIPO],DADOS!$V$3,tabela_registros[CATEGORIA],reservaoutrosconsolidadodez[[#This Row],[ATUAL]])</calculatedColumnFormula>
    </tableColumn>
    <tableColumn id="8" xr3:uid="{A93E71DF-E5D5-4BDF-9459-34F0E2E3A1BB}" name="7" totalsRowFunction="sum" dataDxfId="58" totalsRowDxfId="57" dataCellStyle="Moeda">
      <calculatedColumnFormula>SUMIFS(tabela_registros[VALOR],tabela_registros[MÊS],$AE$1,tabela_registros[DIA],reservaoutrosconsolidadodez[[#Headers],[7]],tabela_registros[REGISTRO],DADOS!$N$3,tabela_registros[TIPO],DADOS!$V$3,tabela_registros[CATEGORIA],reservaoutrosconsolidadodez[[#This Row],[ATUAL]])</calculatedColumnFormula>
    </tableColumn>
    <tableColumn id="9" xr3:uid="{7584F8C1-0923-41BB-A822-A3A40E1D61E9}" name="8" totalsRowFunction="sum" dataDxfId="56" totalsRowDxfId="55" dataCellStyle="Moeda">
      <calculatedColumnFormula>SUMIFS(tabela_registros[VALOR],tabela_registros[MÊS],$AE$1,tabela_registros[DIA],reservaoutrosconsolidadodez[[#Headers],[8]],tabela_registros[REGISTRO],DADOS!$N$3,tabela_registros[TIPO],DADOS!$V$3,tabela_registros[CATEGORIA],reservaoutrosconsolidadodez[[#This Row],[ATUAL]])</calculatedColumnFormula>
    </tableColumn>
    <tableColumn id="10" xr3:uid="{05AA6F31-E0BD-4525-A687-554D5CDFB714}" name="9" totalsRowFunction="sum" dataDxfId="54" totalsRowDxfId="53" dataCellStyle="Moeda">
      <calculatedColumnFormula>SUMIFS(tabela_registros[VALOR],tabela_registros[MÊS],$AE$1,tabela_registros[DIA],reservaoutrosconsolidadodez[[#Headers],[9]],tabela_registros[REGISTRO],DADOS!$N$3,tabela_registros[TIPO],DADOS!$V$3,tabela_registros[CATEGORIA],reservaoutrosconsolidadodez[[#This Row],[ATUAL]])</calculatedColumnFormula>
    </tableColumn>
    <tableColumn id="11" xr3:uid="{294F7F37-DF9D-45AF-8EEC-E9F069470E1D}" name="10" totalsRowFunction="sum" dataDxfId="52" totalsRowDxfId="51" dataCellStyle="Moeda">
      <calculatedColumnFormula>SUMIFS(tabela_registros[VALOR],tabela_registros[MÊS],$AE$1,tabela_registros[DIA],reservaoutrosconsolidadodez[[#Headers],[10]],tabela_registros[REGISTRO],DADOS!$N$3,tabela_registros[TIPO],DADOS!$V$3,tabela_registros[CATEGORIA],reservaoutrosconsolidadodez[[#This Row],[ATUAL]])</calculatedColumnFormula>
    </tableColumn>
    <tableColumn id="12" xr3:uid="{C4425706-7D0E-464E-AED4-B7B738896FE0}" name="11" totalsRowFunction="sum" dataDxfId="50" totalsRowDxfId="49" dataCellStyle="Moeda">
      <calculatedColumnFormula>SUMIFS(tabela_registros[VALOR],tabela_registros[MÊS],$AE$1,tabela_registros[DIA],reservaoutrosconsolidadodez[[#Headers],[11]],tabela_registros[REGISTRO],DADOS!$N$3,tabela_registros[TIPO],DADOS!$V$3,tabela_registros[CATEGORIA],reservaoutrosconsolidadodez[[#This Row],[ATUAL]])</calculatedColumnFormula>
    </tableColumn>
    <tableColumn id="13" xr3:uid="{9E641760-29F8-4294-9764-BB850AEADCB2}" name="12" totalsRowFunction="sum" dataDxfId="48" totalsRowDxfId="47" dataCellStyle="Moeda">
      <calculatedColumnFormula>SUMIFS(tabela_registros[VALOR],tabela_registros[MÊS],$AE$1,tabela_registros[DIA],reservaoutrosconsolidadodez[[#Headers],[12]],tabela_registros[REGISTRO],DADOS!$N$3,tabela_registros[TIPO],DADOS!$V$3,tabela_registros[CATEGORIA],reservaoutrosconsolidadodez[[#This Row],[ATUAL]])</calculatedColumnFormula>
    </tableColumn>
    <tableColumn id="14" xr3:uid="{DA5C3286-36EE-4D78-9A82-304CCC6DB343}" name="13" totalsRowFunction="sum" dataDxfId="46" totalsRowDxfId="45" dataCellStyle="Moeda">
      <calculatedColumnFormula>SUMIFS(tabela_registros[VALOR],tabela_registros[MÊS],$AE$1,tabela_registros[DIA],reservaoutrosconsolidadodez[[#Headers],[13]],tabela_registros[REGISTRO],DADOS!$N$3,tabela_registros[TIPO],DADOS!$V$3,tabela_registros[CATEGORIA],reservaoutrosconsolidadodez[[#This Row],[ATUAL]])</calculatedColumnFormula>
    </tableColumn>
    <tableColumn id="15" xr3:uid="{21BEFE68-1DC3-4F7D-BE34-62FF885F4F4A}" name="14" totalsRowFunction="sum" dataDxfId="44" totalsRowDxfId="43" dataCellStyle="Moeda">
      <calculatedColumnFormula>SUMIFS(tabela_registros[VALOR],tabela_registros[MÊS],$AE$1,tabela_registros[DIA],reservaoutrosconsolidadodez[[#Headers],[14]],tabela_registros[REGISTRO],DADOS!$N$3,tabela_registros[TIPO],DADOS!$V$3,tabela_registros[CATEGORIA],reservaoutrosconsolidadodez[[#This Row],[ATUAL]])</calculatedColumnFormula>
    </tableColumn>
    <tableColumn id="16" xr3:uid="{D2C7A6CB-DB4D-476D-9F04-240CB943BF08}" name="15" totalsRowFunction="sum" dataDxfId="42" totalsRowDxfId="41" dataCellStyle="Moeda">
      <calculatedColumnFormula>SUMIFS(tabela_registros[VALOR],tabela_registros[MÊS],$AE$1,tabela_registros[DIA],reservaoutrosconsolidadodez[[#Headers],[15]],tabela_registros[REGISTRO],DADOS!$N$3,tabela_registros[TIPO],DADOS!$V$3,tabela_registros[CATEGORIA],reservaoutrosconsolidadodez[[#This Row],[ATUAL]])</calculatedColumnFormula>
    </tableColumn>
    <tableColumn id="17" xr3:uid="{F573390B-4A9F-4DEB-B672-16BF36FD11D2}" name="16" totalsRowFunction="sum" dataDxfId="40" totalsRowDxfId="39" dataCellStyle="Moeda">
      <calculatedColumnFormula>SUMIFS(tabela_registros[VALOR],tabela_registros[MÊS],$AE$1,tabela_registros[DIA],reservaoutrosconsolidadodez[[#Headers],[16]],tabela_registros[REGISTRO],DADOS!$N$3,tabela_registros[TIPO],DADOS!$V$3,tabela_registros[CATEGORIA],reservaoutrosconsolidadodez[[#This Row],[ATUAL]])</calculatedColumnFormula>
    </tableColumn>
    <tableColumn id="18" xr3:uid="{A5D51D61-D89B-40BD-A9F9-50D8DD04C65A}" name="17" totalsRowFunction="sum" dataDxfId="38" totalsRowDxfId="37" dataCellStyle="Moeda">
      <calculatedColumnFormula>SUMIFS(tabela_registros[VALOR],tabela_registros[MÊS],$AE$1,tabela_registros[DIA],reservaoutrosconsolidadodez[[#Headers],[17]],tabela_registros[REGISTRO],DADOS!$N$3,tabela_registros[TIPO],DADOS!$V$3,tabela_registros[CATEGORIA],reservaoutrosconsolidadodez[[#This Row],[ATUAL]])</calculatedColumnFormula>
    </tableColumn>
    <tableColumn id="19" xr3:uid="{00EB6FE8-3981-4827-A9FE-5C3C0C7453BA}" name="18" totalsRowFunction="sum" dataDxfId="36" totalsRowDxfId="35" dataCellStyle="Moeda">
      <calculatedColumnFormula>SUMIFS(tabela_registros[VALOR],tabela_registros[MÊS],$AE$1,tabela_registros[DIA],reservaoutrosconsolidadodez[[#Headers],[18]],tabela_registros[REGISTRO],DADOS!$N$3,tabela_registros[TIPO],DADOS!$V$3,tabela_registros[CATEGORIA],reservaoutrosconsolidadodez[[#This Row],[ATUAL]])</calculatedColumnFormula>
    </tableColumn>
    <tableColumn id="20" xr3:uid="{638E1F07-2BB5-48AF-ABAD-7DB79E527B6F}" name="19" totalsRowFunction="sum" dataDxfId="34" totalsRowDxfId="33" dataCellStyle="Moeda">
      <calculatedColumnFormula>SUMIFS(tabela_registros[VALOR],tabela_registros[MÊS],$AE$1,tabela_registros[DIA],reservaoutrosconsolidadodez[[#Headers],[19]],tabela_registros[REGISTRO],DADOS!$N$3,tabela_registros[TIPO],DADOS!$V$3,tabela_registros[CATEGORIA],reservaoutrosconsolidadodez[[#This Row],[ATUAL]])</calculatedColumnFormula>
    </tableColumn>
    <tableColumn id="21" xr3:uid="{1798EC57-23D2-4A2F-A814-BAD74D136730}" name="20" totalsRowFunction="sum" dataDxfId="32" totalsRowDxfId="31" dataCellStyle="Moeda">
      <calculatedColumnFormula>SUMIFS(tabela_registros[VALOR],tabela_registros[MÊS],$AE$1,tabela_registros[DIA],reservaoutrosconsolidadodez[[#Headers],[20]],tabela_registros[REGISTRO],DADOS!$N$3,tabela_registros[TIPO],DADOS!$V$3,tabela_registros[CATEGORIA],reservaoutrosconsolidadodez[[#This Row],[ATUAL]])</calculatedColumnFormula>
    </tableColumn>
    <tableColumn id="22" xr3:uid="{CE244501-FC3A-443F-9C18-590CF7A3749F}" name="21" totalsRowFunction="sum" dataDxfId="30" totalsRowDxfId="29" dataCellStyle="Moeda">
      <calculatedColumnFormula>SUMIFS(tabela_registros[VALOR],tabela_registros[MÊS],$AE$1,tabela_registros[DIA],reservaoutrosconsolidadodez[[#Headers],[21]],tabela_registros[REGISTRO],DADOS!$N$3,tabela_registros[TIPO],DADOS!$V$3,tabela_registros[CATEGORIA],reservaoutrosconsolidadodez[[#This Row],[ATUAL]])</calculatedColumnFormula>
    </tableColumn>
    <tableColumn id="23" xr3:uid="{3AFC2FD8-4AC6-4C9D-9BBE-09839889D40B}" name="22" totalsRowFunction="sum" dataDxfId="28" totalsRowDxfId="27" dataCellStyle="Moeda">
      <calculatedColumnFormula>SUMIFS(tabela_registros[VALOR],tabela_registros[MÊS],$AE$1,tabela_registros[DIA],reservaoutrosconsolidadodez[[#Headers],[22]],tabela_registros[REGISTRO],DADOS!$N$3,tabela_registros[TIPO],DADOS!$V$3,tabela_registros[CATEGORIA],reservaoutrosconsolidadodez[[#This Row],[ATUAL]])</calculatedColumnFormula>
    </tableColumn>
    <tableColumn id="24" xr3:uid="{B55975A2-EC69-4486-AA50-4EBFD9DBD784}" name="23" totalsRowFunction="sum" dataDxfId="26" totalsRowDxfId="25" dataCellStyle="Moeda">
      <calculatedColumnFormula>SUMIFS(tabela_registros[VALOR],tabela_registros[MÊS],$AE$1,tabela_registros[DIA],reservaoutrosconsolidadodez[[#Headers],[23]],tabela_registros[REGISTRO],DADOS!$N$3,tabela_registros[TIPO],DADOS!$V$3,tabela_registros[CATEGORIA],reservaoutrosconsolidadodez[[#This Row],[ATUAL]])</calculatedColumnFormula>
    </tableColumn>
    <tableColumn id="25" xr3:uid="{8CB10D49-C872-451B-B100-E2CE69C727E5}" name="24" totalsRowFunction="sum" dataDxfId="24" totalsRowDxfId="23" dataCellStyle="Moeda">
      <calculatedColumnFormula>SUMIFS(tabela_registros[VALOR],tabela_registros[MÊS],$AE$1,tabela_registros[DIA],reservaoutrosconsolidadodez[[#Headers],[24]],tabela_registros[REGISTRO],DADOS!$N$3,tabela_registros[TIPO],DADOS!$V$3,tabela_registros[CATEGORIA],reservaoutrosconsolidadodez[[#This Row],[ATUAL]])</calculatedColumnFormula>
    </tableColumn>
    <tableColumn id="26" xr3:uid="{7FB3CDA7-0A99-498E-B424-5053E5C44127}" name="25" totalsRowFunction="sum" dataDxfId="22" totalsRowDxfId="21" dataCellStyle="Moeda">
      <calculatedColumnFormula>SUMIFS(tabela_registros[VALOR],tabela_registros[MÊS],$AE$1,tabela_registros[DIA],reservaoutrosconsolidadodez[[#Headers],[25]],tabela_registros[REGISTRO],DADOS!$N$3,tabela_registros[TIPO],DADOS!$V$3,tabela_registros[CATEGORIA],reservaoutrosconsolidadodez[[#This Row],[ATUAL]])</calculatedColumnFormula>
    </tableColumn>
    <tableColumn id="27" xr3:uid="{4AB41CE5-44B1-49BA-98A5-0F43C37D2CC4}" name="26" totalsRowFunction="sum" dataDxfId="20" totalsRowDxfId="19" dataCellStyle="Moeda">
      <calculatedColumnFormula>SUMIFS(tabela_registros[VALOR],tabela_registros[MÊS],$AE$1,tabela_registros[DIA],reservaoutrosconsolidadodez[[#Headers],[26]],tabela_registros[REGISTRO],DADOS!$N$3,tabela_registros[TIPO],DADOS!$V$3,tabela_registros[CATEGORIA],reservaoutrosconsolidadodez[[#This Row],[ATUAL]])</calculatedColumnFormula>
    </tableColumn>
    <tableColumn id="28" xr3:uid="{83EF0D3A-ABD8-44CA-988E-AD56A3471BD7}" name="27" totalsRowFunction="sum" dataDxfId="18" totalsRowDxfId="17" dataCellStyle="Moeda">
      <calculatedColumnFormula>SUMIFS(tabela_registros[VALOR],tabela_registros[MÊS],$AE$1,tabela_registros[DIA],reservaoutrosconsolidadodez[[#Headers],[27]],tabela_registros[REGISTRO],DADOS!$N$3,tabela_registros[TIPO],DADOS!$V$3,tabela_registros[CATEGORIA],reservaoutrosconsolidadodez[[#This Row],[ATUAL]])</calculatedColumnFormula>
    </tableColumn>
    <tableColumn id="29" xr3:uid="{95A3B12D-7DED-4C5D-B7B5-73BE80CD8A88}" name="28" totalsRowFunction="sum" dataDxfId="16" totalsRowDxfId="15" dataCellStyle="Moeda">
      <calculatedColumnFormula>SUMIFS(tabela_registros[VALOR],tabela_registros[MÊS],$AE$1,tabela_registros[DIA],reservaoutrosconsolidadodez[[#Headers],[28]],tabela_registros[REGISTRO],DADOS!$N$3,tabela_registros[TIPO],DADOS!$V$3,tabela_registros[CATEGORIA],reservaoutrosconsolidadodez[[#This Row],[ATUAL]])</calculatedColumnFormula>
    </tableColumn>
    <tableColumn id="30" xr3:uid="{A9B38B1C-25E4-4737-9708-8EC3510C9CD4}" name="29" totalsRowFunction="sum" dataDxfId="14" totalsRowDxfId="13" dataCellStyle="Moeda">
      <calculatedColumnFormula>SUMIFS(tabela_registros[VALOR],tabela_registros[MÊS],$AE$1,tabela_registros[DIA],reservaoutrosconsolidadodez[[#Headers],[29]],tabela_registros[REGISTRO],DADOS!$N$3,tabela_registros[TIPO],DADOS!$V$3,tabela_registros[CATEGORIA],reservaoutrosconsolidadodez[[#This Row],[ATUAL]])</calculatedColumnFormula>
    </tableColumn>
    <tableColumn id="31" xr3:uid="{AF2768E6-5352-4B5B-9388-2295C2B7F6B2}" name="30" totalsRowFunction="sum" dataDxfId="12" totalsRowDxfId="11" dataCellStyle="Moeda">
      <calculatedColumnFormula>SUMIFS(tabela_registros[VALOR],tabela_registros[MÊS],$AE$1,tabela_registros[DIA],reservaoutrosconsolidadodez[[#Headers],[30]],tabela_registros[REGISTRO],DADOS!$N$3,tabela_registros[TIPO],DADOS!$V$3,tabela_registros[CATEGORIA],reservaoutrosconsolidadodez[[#This Row],[ATUAL]])</calculatedColumnFormula>
    </tableColumn>
    <tableColumn id="32" xr3:uid="{18E4AE92-44FF-4818-914B-86C5AED24581}" name="31" totalsRowFunction="sum" dataDxfId="10" totalsRowDxfId="9" dataCellStyle="Moeda">
      <calculatedColumnFormula>SUMIFS(tabela_registros[VALOR],tabela_registros[MÊS],$AE$1,tabela_registros[DIA],reservaoutrosconsolidadodez[[#Headers],[31]],tabela_registros[REGISTRO],DADOS!$N$3,tabela_registros[TIPO],DADOS!$V$3,tabela_registros[CATEGORIA],reservaoutrosconsolidadodez[[#This Row],[ATUAL]])</calculatedColumnFormula>
    </tableColumn>
    <tableColumn id="33" xr3:uid="{48E1A4F2-7AAE-4A9A-8024-7AF0565A8433}" name="TOTAL (R$)" totalsRowFunction="sum" dataDxfId="8" dataCellStyle="Moeda">
      <calculatedColumnFormula>SUM(reservaoutrosconsolidadodez[[#This Row],[1]:[31]])</calculatedColumnFormula>
    </tableColumn>
  </tableColumns>
  <tableStyleInfo name="TABELAS RESULTADOS" showFirstColumn="0" showLastColumn="0" showRowStripes="1" showColumnStripes="0"/>
</table>
</file>

<file path=xl/tables/table15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EE79152-7D79-4CE9-B780-E7012A68F7D9}" name="despesafixa" displayName="despesafixa" ref="R2:R16" totalsRowShown="0">
  <autoFilter ref="R2:R16" xr:uid="{27F42C30-AFA2-4C91-9B42-980DC9F83DDD}"/>
  <sortState xmlns:xlrd2="http://schemas.microsoft.com/office/spreadsheetml/2017/richdata2" ref="R3:R16">
    <sortCondition ref="R2:R16"/>
  </sortState>
  <tableColumns count="1">
    <tableColumn id="1" xr3:uid="{4917E8F5-9BC8-4131-8E73-8CD2AFD45A14}" name="DESPESA FIXA"/>
  </tableColumns>
  <tableStyleInfo name="TableStyleMedium10" showFirstColumn="0" showLastColumn="0" showRowStripes="1" showColumnStripes="0"/>
</table>
</file>

<file path=xl/tables/table15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33B72C97-7187-4772-9C21-283975A32FC6}" name="despesavariável" displayName="despesavariável" ref="T2:T15" totalsRowShown="0" tableBorderDxfId="5">
  <autoFilter ref="T2:T15" xr:uid="{4F83060A-B50E-4A6B-8755-4EA15B9D2CB8}"/>
  <sortState xmlns:xlrd2="http://schemas.microsoft.com/office/spreadsheetml/2017/richdata2" ref="T3:T14">
    <sortCondition ref="T2:T14"/>
  </sortState>
  <tableColumns count="1">
    <tableColumn id="1" xr3:uid="{AC445ABE-5844-41FB-87C5-4AD23A45D234}" name="DESPESA VARIÁVEL"/>
  </tableColumns>
  <tableStyleInfo name="TableStyleMedium10" showFirstColumn="0" showLastColumn="0" showRowStripes="1" showColumnStripes="0"/>
</table>
</file>

<file path=xl/tables/table16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85CEE48A-390F-4079-B57D-0A6CCA611B2A}" name="▲entrada" displayName="▲entrada" ref="V2:V4" totalsRowShown="0">
  <autoFilter ref="V2:V4" xr:uid="{81F704C4-CE28-49DE-A7EF-8822DF610FCD}"/>
  <sortState xmlns:xlrd2="http://schemas.microsoft.com/office/spreadsheetml/2017/richdata2" ref="V3:V4">
    <sortCondition ref="V2:V4"/>
  </sortState>
  <tableColumns count="1">
    <tableColumn id="1" xr3:uid="{1BBD7412-F0A8-4149-AD00-9CC7FAA76F0A}" name="ENTRADA"/>
  </tableColumns>
  <tableStyleInfo name="TableStyleMedium14" showFirstColumn="0" showLastColumn="0" showRowStripes="1" showColumnStripes="0"/>
</table>
</file>

<file path=xl/tables/table16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4C6DEDB8-A869-4865-8FB3-1E11C980735D}" name="receitafixa" displayName="receitafixa" ref="X2:X7" totalsRowShown="0">
  <autoFilter ref="X2:X7" xr:uid="{E229D228-CA9A-4A26-94B3-3816CC61134D}"/>
  <sortState xmlns:xlrd2="http://schemas.microsoft.com/office/spreadsheetml/2017/richdata2" ref="X3:X12">
    <sortCondition ref="X2:X12"/>
  </sortState>
  <tableColumns count="1">
    <tableColumn id="1" xr3:uid="{3E13D098-515D-4C49-93C6-579DFCD66EA7}" name="RECEITA FIXA"/>
  </tableColumns>
  <tableStyleInfo name="TableStyleMedium14" showFirstColumn="0" showLastColumn="0" showRowStripes="1" showColumnStripes="0"/>
</table>
</file>

<file path=xl/tables/table16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DB4462B6-1455-4AB4-B716-77FEA03BECE6}" name="receitavariável" displayName="receitavariável" ref="Z2:Z10" totalsRowShown="0" tableBorderDxfId="4">
  <autoFilter ref="Z2:Z10" xr:uid="{005FE4A2-7075-4938-B7BC-B78019243A29}"/>
  <sortState xmlns:xlrd2="http://schemas.microsoft.com/office/spreadsheetml/2017/richdata2" ref="Z3:Z12">
    <sortCondition ref="Z2:Z12"/>
  </sortState>
  <tableColumns count="1">
    <tableColumn id="1" xr3:uid="{D346D410-131B-491C-80D8-50FBE2181A2D}" name="RECEITA VARIÁVEL"/>
  </tableColumns>
  <tableStyleInfo name="TableStyleMedium14" showFirstColumn="0" showLastColumn="0" showRowStripes="1" showColumnStripes="0"/>
</table>
</file>

<file path=xl/tables/table16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175E33E7-F98A-48E5-BC25-A32DE7DEFB02}" name="investimento" displayName="investimento" ref="AB2:AB5" totalsRowShown="0">
  <autoFilter ref="AB2:AB5" xr:uid="{51855962-1D89-4864-AA8E-2A7B986D3303}"/>
  <tableColumns count="1">
    <tableColumn id="1" xr3:uid="{53565CCF-30C9-4FD7-87A6-06D5FB671875}" name="INVESTIMENTO"/>
  </tableColumns>
  <tableStyleInfo name="TableStyleMedium2" showFirstColumn="0" showLastColumn="0" showRowStripes="1" showColumnStripes="0"/>
</table>
</file>

<file path=xl/tables/table16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F21920C7-3F37-4A73-AD44-B2525C71AA3E}" name="rendafixa" displayName="rendafixa" ref="AD2:AD12" totalsRowShown="0">
  <autoFilter ref="AD2:AD12" xr:uid="{DA0D5E10-4A16-4761-8FD0-C7208D663CC8}"/>
  <sortState xmlns:xlrd2="http://schemas.microsoft.com/office/spreadsheetml/2017/richdata2" ref="AD3:AD12">
    <sortCondition ref="AD2:AD12"/>
  </sortState>
  <tableColumns count="1">
    <tableColumn id="1" xr3:uid="{39AC56CC-9168-4A36-86DA-7026E682157A}" name="RENDA FIXA"/>
  </tableColumns>
  <tableStyleInfo name="TableStyleMedium2" showFirstColumn="0" showLastColumn="0" showRowStripes="1" showColumnStripes="0"/>
</table>
</file>

<file path=xl/tables/table16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A612F673-BE4C-48EB-95A6-F59E70038B9F}" name="rendavariável" displayName="rendavariável" ref="AF2:AF12" totalsRowShown="0" tableBorderDxfId="3">
  <autoFilter ref="AF2:AF12" xr:uid="{AFC7F0A8-1CD8-4392-9681-49A5C7DD050E}"/>
  <sortState xmlns:xlrd2="http://schemas.microsoft.com/office/spreadsheetml/2017/richdata2" ref="AF3:AF12">
    <sortCondition ref="AF2:AF12"/>
  </sortState>
  <tableColumns count="1">
    <tableColumn id="1" xr3:uid="{9D88C062-B219-4D16-A95F-8B88697697CB}" name="RENDA VARIÁVEL"/>
  </tableColumns>
  <tableStyleInfo name="TableStyleMedium2" showFirstColumn="0" showLastColumn="0" showRowStripes="1" showColumnStripes="0"/>
</table>
</file>

<file path=xl/tables/table16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C610E065-735F-4462-A78C-DE426C24B03F}" name="registros" displayName="registros" ref="N2:N6" totalsRowShown="0">
  <autoFilter ref="N2:N6" xr:uid="{A33D72E3-604E-46DB-B0B8-D6AF468506D4}"/>
  <tableColumns count="1">
    <tableColumn id="1" xr3:uid="{1AF83CFE-2B51-4EB3-AFF6-6680DEC78F3D}" name="REGISTRO"/>
  </tableColumns>
  <tableStyleInfo name="TableStyleMedium2" showFirstColumn="0" showLastColumn="0" showRowStripes="1" showColumnStripes="0"/>
</table>
</file>

<file path=xl/tables/table16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47743FE6-A7B6-4D6B-9E8B-B7EF9124C288}" name="formato" displayName="formato" ref="L2:L8" totalsRowShown="0">
  <autoFilter ref="L2:L8" xr:uid="{F63C5116-597A-44B9-BCF5-C9A80A160004}"/>
  <tableColumns count="1">
    <tableColumn id="1" xr3:uid="{F69C264F-F437-4D5C-86D0-04382F2321B0}" name="FORMATO"/>
  </tableColumns>
  <tableStyleInfo name="TableStyleMedium2" showFirstColumn="0" showLastColumn="0" showRowStripes="1" showColumnStripes="0"/>
</table>
</file>

<file path=xl/tables/table16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161893E-AB29-4833-BB2C-729D016480F9}" name="▼saída" displayName="▼saída" ref="P2:P4" totalsRowShown="0">
  <autoFilter ref="P2:P4" xr:uid="{B47113CC-8AA3-48ED-BA5B-CAF835F621D9}"/>
  <tableColumns count="1">
    <tableColumn id="1" xr3:uid="{CC1D55DF-2D35-4812-AA12-D42442C5B1B6}" name="SAÍDA"/>
  </tableColumns>
  <tableStyleInfo name="TableStyleMedium10" showFirstColumn="0" showLastColumn="0" showRowStripes="1" showColumnStripes="0"/>
</table>
</file>

<file path=xl/tables/table16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316A54C-1F26-450E-BBAF-69B4CD5DD473}" name="outros" displayName="outros" ref="AH2:AH10" totalsRowShown="0" tableBorderDxfId="2">
  <autoFilter ref="AH2:AH10" xr:uid="{B0683804-DBC5-4171-AF5F-0462E9EBD1B1}"/>
  <sortState xmlns:xlrd2="http://schemas.microsoft.com/office/spreadsheetml/2017/richdata2" ref="AH3:AH12">
    <sortCondition ref="AH2:AH12"/>
  </sortState>
  <tableColumns count="1">
    <tableColumn id="1" xr3:uid="{D2767729-BC6E-4532-BC78-2DE1B827EBC4}" name="OUTROS INVESTIMENTOS"/>
  </tableColumns>
  <tableStyleInfo name="TableStyleMedium2" showFirstColumn="0" showLastColumn="0" showRowStripes="1" showColumnStripes="0"/>
</table>
</file>

<file path=xl/tables/table17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3E7EF290-6D02-4CC6-A6B1-2A8B2A36099D}" name="Tabela14" displayName="Tabela14" ref="J2:J4" totalsRowShown="0">
  <autoFilter ref="J2:J4" xr:uid="{8E9E3ABC-A801-40F7-A98F-11C69BAEF483}"/>
  <tableColumns count="1">
    <tableColumn id="1" xr3:uid="{AE805F59-D2DA-414F-B17E-74EFE26F4305}" name="SITUAÇÃO"/>
  </tableColumns>
  <tableStyleInfo name="TableStyleMedium2" showFirstColumn="0" showLastColumn="0" showRowStripes="1" showColumnStripes="0"/>
</table>
</file>

<file path=xl/tables/table17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8D749FEB-61C8-44C7-907F-174EE2113AEC}" name="reserva" displayName="reserva" ref="AJ2:AJ5" totalsRowShown="0">
  <autoFilter ref="AJ2:AJ5" xr:uid="{5C88C958-2372-4209-987B-C95AA17D2585}"/>
  <tableColumns count="1">
    <tableColumn id="1" xr3:uid="{55336E6D-55E1-4CDF-950D-32BAAF343185}" name="RESERVA"/>
  </tableColumns>
  <tableStyleInfo name="TableStyleMedium2" showFirstColumn="0" showLastColumn="0" showRowStripes="1" showColumnStripes="0"/>
</table>
</file>

<file path=xl/tables/table17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2C689CAC-FACA-472F-8175-2BADF476B1AC}" name="reservarendafixa" displayName="reservarendafixa" ref="AL2:AL12" totalsRowShown="0">
  <autoFilter ref="AL2:AL12" xr:uid="{247CD0C6-1B96-4C3A-B33D-6A4218159235}"/>
  <sortState xmlns:xlrd2="http://schemas.microsoft.com/office/spreadsheetml/2017/richdata2" ref="AL3:AL12">
    <sortCondition ref="AL3:AL13"/>
  </sortState>
  <tableColumns count="1">
    <tableColumn id="1" xr3:uid="{7F6DB14A-D318-4BD4-9A35-1E74F47F9F69}" name="RESERVA RENDA FIXA"/>
  </tableColumns>
  <tableStyleInfo name="TableStyleMedium2" showFirstColumn="0" showLastColumn="0" showRowStripes="1" showColumnStripes="0"/>
</table>
</file>

<file path=xl/tables/table17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EB46E741-F50C-49D5-AE79-C7A165C9F748}" name="reservarendavariável" displayName="reservarendavariável" ref="AN2:AN12" totalsRowShown="0" tableBorderDxfId="1">
  <autoFilter ref="AN2:AN12" xr:uid="{430605E1-7871-483F-9306-2364A115521D}"/>
  <sortState xmlns:xlrd2="http://schemas.microsoft.com/office/spreadsheetml/2017/richdata2" ref="AN3:AN12">
    <sortCondition ref="AN3:AN13"/>
  </sortState>
  <tableColumns count="1">
    <tableColumn id="1" xr3:uid="{9D2E47BE-18FE-42F5-8BBF-8537F54635D4}" name="RESERVA RENDA VARIÁVEL"/>
  </tableColumns>
  <tableStyleInfo name="TableStyleMedium2" showFirstColumn="0" showLastColumn="0" showRowStripes="1" showColumnStripes="0"/>
</table>
</file>

<file path=xl/tables/table17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AD127657-CEB5-4291-9D04-5885BCE9B426}" name="reservaoutros" displayName="reservaoutros" ref="AP2:AP10" totalsRowShown="0" tableBorderDxfId="0">
  <autoFilter ref="AP2:AP10" xr:uid="{93B94E24-7833-4F8A-AB7E-41B9138A40F3}"/>
  <sortState xmlns:xlrd2="http://schemas.microsoft.com/office/spreadsheetml/2017/richdata2" ref="AP3:AP12">
    <sortCondition ref="AP3:AP13"/>
  </sortState>
  <tableColumns count="1">
    <tableColumn id="1" xr3:uid="{DAF8736E-3A37-4D07-A285-4B6A054AEE92}" name="RESERVA OUTROS INVESTIMENTOS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eme/themeOverride1.xml><?xml version="1.0" encoding="utf-8"?>
<a:themeOverride xmlns:a="http://schemas.openxmlformats.org/drawingml/2006/main">
  <a:clrScheme name="PLANILHA DE GASTOS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023160"/>
    </a:accent1>
    <a:accent2>
      <a:srgbClr val="034A90"/>
    </a:accent2>
    <a:accent3>
      <a:srgbClr val="48A1FA"/>
    </a:accent3>
    <a:accent4>
      <a:srgbClr val="85C0FB"/>
    </a:accent4>
    <a:accent5>
      <a:srgbClr val="C2DFFD"/>
    </a:accent5>
    <a:accent6>
      <a:srgbClr val="E6F2FE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.xml><?xml version="1.0" encoding="utf-8"?>
<a:themeOverride xmlns:a="http://schemas.openxmlformats.org/drawingml/2006/main">
  <a:clrScheme name="PLANILHA DE GASTOS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023160"/>
    </a:accent1>
    <a:accent2>
      <a:srgbClr val="034A90"/>
    </a:accent2>
    <a:accent3>
      <a:srgbClr val="48A1FA"/>
    </a:accent3>
    <a:accent4>
      <a:srgbClr val="85C0FB"/>
    </a:accent4>
    <a:accent5>
      <a:srgbClr val="C2DFFD"/>
    </a:accent5>
    <a:accent6>
      <a:srgbClr val="E6F2FE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13" Type="http://schemas.openxmlformats.org/officeDocument/2006/relationships/table" Target="../tables/table13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12" Type="http://schemas.openxmlformats.org/officeDocument/2006/relationships/table" Target="../tables/table12.xml"/><Relationship Id="rId2" Type="http://schemas.openxmlformats.org/officeDocument/2006/relationships/table" Target="../tables/table2.xml"/><Relationship Id="rId1" Type="http://schemas.openxmlformats.org/officeDocument/2006/relationships/drawing" Target="../drawings/drawing4.xml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table" Target="../tables/table20.xml"/><Relationship Id="rId13" Type="http://schemas.openxmlformats.org/officeDocument/2006/relationships/table" Target="../tables/table25.xml"/><Relationship Id="rId3" Type="http://schemas.openxmlformats.org/officeDocument/2006/relationships/table" Target="../tables/table15.xml"/><Relationship Id="rId7" Type="http://schemas.openxmlformats.org/officeDocument/2006/relationships/table" Target="../tables/table19.xml"/><Relationship Id="rId12" Type="http://schemas.openxmlformats.org/officeDocument/2006/relationships/table" Target="../tables/table24.xml"/><Relationship Id="rId2" Type="http://schemas.openxmlformats.org/officeDocument/2006/relationships/table" Target="../tables/table14.xml"/><Relationship Id="rId1" Type="http://schemas.openxmlformats.org/officeDocument/2006/relationships/drawing" Target="../drawings/drawing5.xml"/><Relationship Id="rId6" Type="http://schemas.openxmlformats.org/officeDocument/2006/relationships/table" Target="../tables/table18.xml"/><Relationship Id="rId11" Type="http://schemas.openxmlformats.org/officeDocument/2006/relationships/table" Target="../tables/table23.xml"/><Relationship Id="rId5" Type="http://schemas.openxmlformats.org/officeDocument/2006/relationships/table" Target="../tables/table17.xml"/><Relationship Id="rId10" Type="http://schemas.openxmlformats.org/officeDocument/2006/relationships/table" Target="../tables/table22.xml"/><Relationship Id="rId4" Type="http://schemas.openxmlformats.org/officeDocument/2006/relationships/table" Target="../tables/table16.xml"/><Relationship Id="rId9" Type="http://schemas.openxmlformats.org/officeDocument/2006/relationships/table" Target="../tables/table21.xm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table" Target="../tables/table32.xml"/><Relationship Id="rId13" Type="http://schemas.openxmlformats.org/officeDocument/2006/relationships/table" Target="../tables/table37.xml"/><Relationship Id="rId3" Type="http://schemas.openxmlformats.org/officeDocument/2006/relationships/table" Target="../tables/table27.xml"/><Relationship Id="rId7" Type="http://schemas.openxmlformats.org/officeDocument/2006/relationships/table" Target="../tables/table31.xml"/><Relationship Id="rId12" Type="http://schemas.openxmlformats.org/officeDocument/2006/relationships/table" Target="../tables/table36.xml"/><Relationship Id="rId2" Type="http://schemas.openxmlformats.org/officeDocument/2006/relationships/table" Target="../tables/table26.xml"/><Relationship Id="rId1" Type="http://schemas.openxmlformats.org/officeDocument/2006/relationships/drawing" Target="../drawings/drawing6.xml"/><Relationship Id="rId6" Type="http://schemas.openxmlformats.org/officeDocument/2006/relationships/table" Target="../tables/table30.xml"/><Relationship Id="rId11" Type="http://schemas.openxmlformats.org/officeDocument/2006/relationships/table" Target="../tables/table35.xml"/><Relationship Id="rId5" Type="http://schemas.openxmlformats.org/officeDocument/2006/relationships/table" Target="../tables/table29.xml"/><Relationship Id="rId10" Type="http://schemas.openxmlformats.org/officeDocument/2006/relationships/table" Target="../tables/table34.xml"/><Relationship Id="rId4" Type="http://schemas.openxmlformats.org/officeDocument/2006/relationships/table" Target="../tables/table28.xml"/><Relationship Id="rId9" Type="http://schemas.openxmlformats.org/officeDocument/2006/relationships/table" Target="../tables/table33.xm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table" Target="../tables/table44.xml"/><Relationship Id="rId13" Type="http://schemas.openxmlformats.org/officeDocument/2006/relationships/table" Target="../tables/table49.xml"/><Relationship Id="rId3" Type="http://schemas.openxmlformats.org/officeDocument/2006/relationships/table" Target="../tables/table39.xml"/><Relationship Id="rId7" Type="http://schemas.openxmlformats.org/officeDocument/2006/relationships/table" Target="../tables/table43.xml"/><Relationship Id="rId12" Type="http://schemas.openxmlformats.org/officeDocument/2006/relationships/table" Target="../tables/table48.xml"/><Relationship Id="rId2" Type="http://schemas.openxmlformats.org/officeDocument/2006/relationships/table" Target="../tables/table38.xml"/><Relationship Id="rId1" Type="http://schemas.openxmlformats.org/officeDocument/2006/relationships/drawing" Target="../drawings/drawing7.xml"/><Relationship Id="rId6" Type="http://schemas.openxmlformats.org/officeDocument/2006/relationships/table" Target="../tables/table42.xml"/><Relationship Id="rId11" Type="http://schemas.openxmlformats.org/officeDocument/2006/relationships/table" Target="../tables/table47.xml"/><Relationship Id="rId5" Type="http://schemas.openxmlformats.org/officeDocument/2006/relationships/table" Target="../tables/table41.xml"/><Relationship Id="rId10" Type="http://schemas.openxmlformats.org/officeDocument/2006/relationships/table" Target="../tables/table46.xml"/><Relationship Id="rId4" Type="http://schemas.openxmlformats.org/officeDocument/2006/relationships/table" Target="../tables/table40.xml"/><Relationship Id="rId9" Type="http://schemas.openxmlformats.org/officeDocument/2006/relationships/table" Target="../tables/table45.xm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table" Target="../tables/table56.xml"/><Relationship Id="rId13" Type="http://schemas.openxmlformats.org/officeDocument/2006/relationships/table" Target="../tables/table61.xml"/><Relationship Id="rId3" Type="http://schemas.openxmlformats.org/officeDocument/2006/relationships/table" Target="../tables/table51.xml"/><Relationship Id="rId7" Type="http://schemas.openxmlformats.org/officeDocument/2006/relationships/table" Target="../tables/table55.xml"/><Relationship Id="rId12" Type="http://schemas.openxmlformats.org/officeDocument/2006/relationships/table" Target="../tables/table60.xml"/><Relationship Id="rId2" Type="http://schemas.openxmlformats.org/officeDocument/2006/relationships/table" Target="../tables/table50.xml"/><Relationship Id="rId1" Type="http://schemas.openxmlformats.org/officeDocument/2006/relationships/drawing" Target="../drawings/drawing8.xml"/><Relationship Id="rId6" Type="http://schemas.openxmlformats.org/officeDocument/2006/relationships/table" Target="../tables/table54.xml"/><Relationship Id="rId11" Type="http://schemas.openxmlformats.org/officeDocument/2006/relationships/table" Target="../tables/table59.xml"/><Relationship Id="rId5" Type="http://schemas.openxmlformats.org/officeDocument/2006/relationships/table" Target="../tables/table53.xml"/><Relationship Id="rId10" Type="http://schemas.openxmlformats.org/officeDocument/2006/relationships/table" Target="../tables/table58.xml"/><Relationship Id="rId4" Type="http://schemas.openxmlformats.org/officeDocument/2006/relationships/table" Target="../tables/table52.xml"/><Relationship Id="rId9" Type="http://schemas.openxmlformats.org/officeDocument/2006/relationships/table" Target="../tables/table57.xml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8.xml"/><Relationship Id="rId13" Type="http://schemas.openxmlformats.org/officeDocument/2006/relationships/table" Target="../tables/table73.xml"/><Relationship Id="rId3" Type="http://schemas.openxmlformats.org/officeDocument/2006/relationships/table" Target="../tables/table63.xml"/><Relationship Id="rId7" Type="http://schemas.openxmlformats.org/officeDocument/2006/relationships/table" Target="../tables/table67.xml"/><Relationship Id="rId12" Type="http://schemas.openxmlformats.org/officeDocument/2006/relationships/table" Target="../tables/table72.xml"/><Relationship Id="rId2" Type="http://schemas.openxmlformats.org/officeDocument/2006/relationships/table" Target="../tables/table62.xml"/><Relationship Id="rId1" Type="http://schemas.openxmlformats.org/officeDocument/2006/relationships/drawing" Target="../drawings/drawing9.xml"/><Relationship Id="rId6" Type="http://schemas.openxmlformats.org/officeDocument/2006/relationships/table" Target="../tables/table66.xml"/><Relationship Id="rId11" Type="http://schemas.openxmlformats.org/officeDocument/2006/relationships/table" Target="../tables/table71.xml"/><Relationship Id="rId5" Type="http://schemas.openxmlformats.org/officeDocument/2006/relationships/table" Target="../tables/table65.xml"/><Relationship Id="rId10" Type="http://schemas.openxmlformats.org/officeDocument/2006/relationships/table" Target="../tables/table70.xml"/><Relationship Id="rId4" Type="http://schemas.openxmlformats.org/officeDocument/2006/relationships/table" Target="../tables/table64.xml"/><Relationship Id="rId9" Type="http://schemas.openxmlformats.org/officeDocument/2006/relationships/table" Target="../tables/table69.xml"/></Relationships>
</file>

<file path=xl/worksheets/_rels/sheet10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0.xml"/><Relationship Id="rId13" Type="http://schemas.openxmlformats.org/officeDocument/2006/relationships/table" Target="../tables/table85.xml"/><Relationship Id="rId3" Type="http://schemas.openxmlformats.org/officeDocument/2006/relationships/table" Target="../tables/table75.xml"/><Relationship Id="rId7" Type="http://schemas.openxmlformats.org/officeDocument/2006/relationships/table" Target="../tables/table79.xml"/><Relationship Id="rId12" Type="http://schemas.openxmlformats.org/officeDocument/2006/relationships/table" Target="../tables/table84.xml"/><Relationship Id="rId2" Type="http://schemas.openxmlformats.org/officeDocument/2006/relationships/table" Target="../tables/table74.xml"/><Relationship Id="rId1" Type="http://schemas.openxmlformats.org/officeDocument/2006/relationships/drawing" Target="../drawings/drawing10.xml"/><Relationship Id="rId6" Type="http://schemas.openxmlformats.org/officeDocument/2006/relationships/table" Target="../tables/table78.xml"/><Relationship Id="rId11" Type="http://schemas.openxmlformats.org/officeDocument/2006/relationships/table" Target="../tables/table83.xml"/><Relationship Id="rId5" Type="http://schemas.openxmlformats.org/officeDocument/2006/relationships/table" Target="../tables/table77.xml"/><Relationship Id="rId10" Type="http://schemas.openxmlformats.org/officeDocument/2006/relationships/table" Target="../tables/table82.xml"/><Relationship Id="rId4" Type="http://schemas.openxmlformats.org/officeDocument/2006/relationships/table" Target="../tables/table76.xml"/><Relationship Id="rId9" Type="http://schemas.openxmlformats.org/officeDocument/2006/relationships/table" Target="../tables/table81.xml"/></Relationships>
</file>

<file path=xl/worksheets/_rels/sheet1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92.xml"/><Relationship Id="rId13" Type="http://schemas.openxmlformats.org/officeDocument/2006/relationships/table" Target="../tables/table97.xml"/><Relationship Id="rId3" Type="http://schemas.openxmlformats.org/officeDocument/2006/relationships/table" Target="../tables/table87.xml"/><Relationship Id="rId7" Type="http://schemas.openxmlformats.org/officeDocument/2006/relationships/table" Target="../tables/table91.xml"/><Relationship Id="rId12" Type="http://schemas.openxmlformats.org/officeDocument/2006/relationships/table" Target="../tables/table96.xml"/><Relationship Id="rId2" Type="http://schemas.openxmlformats.org/officeDocument/2006/relationships/table" Target="../tables/table86.xml"/><Relationship Id="rId1" Type="http://schemas.openxmlformats.org/officeDocument/2006/relationships/drawing" Target="../drawings/drawing11.xml"/><Relationship Id="rId6" Type="http://schemas.openxmlformats.org/officeDocument/2006/relationships/table" Target="../tables/table90.xml"/><Relationship Id="rId11" Type="http://schemas.openxmlformats.org/officeDocument/2006/relationships/table" Target="../tables/table95.xml"/><Relationship Id="rId5" Type="http://schemas.openxmlformats.org/officeDocument/2006/relationships/table" Target="../tables/table89.xml"/><Relationship Id="rId10" Type="http://schemas.openxmlformats.org/officeDocument/2006/relationships/table" Target="../tables/table94.xml"/><Relationship Id="rId4" Type="http://schemas.openxmlformats.org/officeDocument/2006/relationships/table" Target="../tables/table88.xml"/><Relationship Id="rId9" Type="http://schemas.openxmlformats.org/officeDocument/2006/relationships/table" Target="../tables/table93.xml"/></Relationships>
</file>

<file path=xl/worksheets/_rels/sheet1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104.xml"/><Relationship Id="rId13" Type="http://schemas.openxmlformats.org/officeDocument/2006/relationships/table" Target="../tables/table109.xml"/><Relationship Id="rId3" Type="http://schemas.openxmlformats.org/officeDocument/2006/relationships/table" Target="../tables/table99.xml"/><Relationship Id="rId7" Type="http://schemas.openxmlformats.org/officeDocument/2006/relationships/table" Target="../tables/table103.xml"/><Relationship Id="rId12" Type="http://schemas.openxmlformats.org/officeDocument/2006/relationships/table" Target="../tables/table108.xml"/><Relationship Id="rId2" Type="http://schemas.openxmlformats.org/officeDocument/2006/relationships/table" Target="../tables/table98.xml"/><Relationship Id="rId1" Type="http://schemas.openxmlformats.org/officeDocument/2006/relationships/drawing" Target="../drawings/drawing12.xml"/><Relationship Id="rId6" Type="http://schemas.openxmlformats.org/officeDocument/2006/relationships/table" Target="../tables/table102.xml"/><Relationship Id="rId11" Type="http://schemas.openxmlformats.org/officeDocument/2006/relationships/table" Target="../tables/table107.xml"/><Relationship Id="rId5" Type="http://schemas.openxmlformats.org/officeDocument/2006/relationships/table" Target="../tables/table101.xml"/><Relationship Id="rId10" Type="http://schemas.openxmlformats.org/officeDocument/2006/relationships/table" Target="../tables/table106.xml"/><Relationship Id="rId4" Type="http://schemas.openxmlformats.org/officeDocument/2006/relationships/table" Target="../tables/table100.xml"/><Relationship Id="rId9" Type="http://schemas.openxmlformats.org/officeDocument/2006/relationships/table" Target="../tables/table105.xml"/></Relationships>
</file>

<file path=xl/worksheets/_rels/sheet13.xml.rels><?xml version="1.0" encoding="UTF-8" standalone="yes"?>
<Relationships xmlns="http://schemas.openxmlformats.org/package/2006/relationships"><Relationship Id="rId8" Type="http://schemas.openxmlformats.org/officeDocument/2006/relationships/table" Target="../tables/table116.xml"/><Relationship Id="rId13" Type="http://schemas.openxmlformats.org/officeDocument/2006/relationships/table" Target="../tables/table121.xml"/><Relationship Id="rId3" Type="http://schemas.openxmlformats.org/officeDocument/2006/relationships/table" Target="../tables/table111.xml"/><Relationship Id="rId7" Type="http://schemas.openxmlformats.org/officeDocument/2006/relationships/table" Target="../tables/table115.xml"/><Relationship Id="rId12" Type="http://schemas.openxmlformats.org/officeDocument/2006/relationships/table" Target="../tables/table120.xml"/><Relationship Id="rId2" Type="http://schemas.openxmlformats.org/officeDocument/2006/relationships/table" Target="../tables/table110.xml"/><Relationship Id="rId1" Type="http://schemas.openxmlformats.org/officeDocument/2006/relationships/drawing" Target="../drawings/drawing13.xml"/><Relationship Id="rId6" Type="http://schemas.openxmlformats.org/officeDocument/2006/relationships/table" Target="../tables/table114.xml"/><Relationship Id="rId11" Type="http://schemas.openxmlformats.org/officeDocument/2006/relationships/table" Target="../tables/table119.xml"/><Relationship Id="rId5" Type="http://schemas.openxmlformats.org/officeDocument/2006/relationships/table" Target="../tables/table113.xml"/><Relationship Id="rId10" Type="http://schemas.openxmlformats.org/officeDocument/2006/relationships/table" Target="../tables/table118.xml"/><Relationship Id="rId4" Type="http://schemas.openxmlformats.org/officeDocument/2006/relationships/table" Target="../tables/table112.xml"/><Relationship Id="rId9" Type="http://schemas.openxmlformats.org/officeDocument/2006/relationships/table" Target="../tables/table117.xml"/></Relationships>
</file>

<file path=xl/worksheets/_rels/sheet14.xml.rels><?xml version="1.0" encoding="UTF-8" standalone="yes"?>
<Relationships xmlns="http://schemas.openxmlformats.org/package/2006/relationships"><Relationship Id="rId8" Type="http://schemas.openxmlformats.org/officeDocument/2006/relationships/table" Target="../tables/table128.xml"/><Relationship Id="rId13" Type="http://schemas.openxmlformats.org/officeDocument/2006/relationships/table" Target="../tables/table133.xml"/><Relationship Id="rId3" Type="http://schemas.openxmlformats.org/officeDocument/2006/relationships/table" Target="../tables/table123.xml"/><Relationship Id="rId7" Type="http://schemas.openxmlformats.org/officeDocument/2006/relationships/table" Target="../tables/table127.xml"/><Relationship Id="rId12" Type="http://schemas.openxmlformats.org/officeDocument/2006/relationships/table" Target="../tables/table132.xml"/><Relationship Id="rId2" Type="http://schemas.openxmlformats.org/officeDocument/2006/relationships/table" Target="../tables/table122.xml"/><Relationship Id="rId1" Type="http://schemas.openxmlformats.org/officeDocument/2006/relationships/drawing" Target="../drawings/drawing14.xml"/><Relationship Id="rId6" Type="http://schemas.openxmlformats.org/officeDocument/2006/relationships/table" Target="../tables/table126.xml"/><Relationship Id="rId11" Type="http://schemas.openxmlformats.org/officeDocument/2006/relationships/table" Target="../tables/table131.xml"/><Relationship Id="rId5" Type="http://schemas.openxmlformats.org/officeDocument/2006/relationships/table" Target="../tables/table125.xml"/><Relationship Id="rId10" Type="http://schemas.openxmlformats.org/officeDocument/2006/relationships/table" Target="../tables/table130.xml"/><Relationship Id="rId4" Type="http://schemas.openxmlformats.org/officeDocument/2006/relationships/table" Target="../tables/table124.xml"/><Relationship Id="rId9" Type="http://schemas.openxmlformats.org/officeDocument/2006/relationships/table" Target="../tables/table129.xml"/></Relationships>
</file>

<file path=xl/worksheets/_rels/sheet15.xml.rels><?xml version="1.0" encoding="UTF-8" standalone="yes"?>
<Relationships xmlns="http://schemas.openxmlformats.org/package/2006/relationships"><Relationship Id="rId8" Type="http://schemas.openxmlformats.org/officeDocument/2006/relationships/table" Target="../tables/table140.xml"/><Relationship Id="rId13" Type="http://schemas.openxmlformats.org/officeDocument/2006/relationships/table" Target="../tables/table145.xml"/><Relationship Id="rId3" Type="http://schemas.openxmlformats.org/officeDocument/2006/relationships/table" Target="../tables/table135.xml"/><Relationship Id="rId7" Type="http://schemas.openxmlformats.org/officeDocument/2006/relationships/table" Target="../tables/table139.xml"/><Relationship Id="rId12" Type="http://schemas.openxmlformats.org/officeDocument/2006/relationships/table" Target="../tables/table144.xml"/><Relationship Id="rId2" Type="http://schemas.openxmlformats.org/officeDocument/2006/relationships/table" Target="../tables/table134.xml"/><Relationship Id="rId1" Type="http://schemas.openxmlformats.org/officeDocument/2006/relationships/drawing" Target="../drawings/drawing15.xml"/><Relationship Id="rId6" Type="http://schemas.openxmlformats.org/officeDocument/2006/relationships/table" Target="../tables/table138.xml"/><Relationship Id="rId11" Type="http://schemas.openxmlformats.org/officeDocument/2006/relationships/table" Target="../tables/table143.xml"/><Relationship Id="rId5" Type="http://schemas.openxmlformats.org/officeDocument/2006/relationships/table" Target="../tables/table137.xml"/><Relationship Id="rId10" Type="http://schemas.openxmlformats.org/officeDocument/2006/relationships/table" Target="../tables/table142.xml"/><Relationship Id="rId4" Type="http://schemas.openxmlformats.org/officeDocument/2006/relationships/table" Target="../tables/table136.xml"/><Relationship Id="rId9" Type="http://schemas.openxmlformats.org/officeDocument/2006/relationships/table" Target="../tables/table141.xml"/></Relationships>
</file>

<file path=xl/worksheets/_rels/sheet16.xml.rels><?xml version="1.0" encoding="UTF-8" standalone="yes"?>
<Relationships xmlns="http://schemas.openxmlformats.org/package/2006/relationships"><Relationship Id="rId8" Type="http://schemas.openxmlformats.org/officeDocument/2006/relationships/table" Target="../tables/table152.xml"/><Relationship Id="rId13" Type="http://schemas.openxmlformats.org/officeDocument/2006/relationships/table" Target="../tables/table157.xml"/><Relationship Id="rId3" Type="http://schemas.openxmlformats.org/officeDocument/2006/relationships/table" Target="../tables/table147.xml"/><Relationship Id="rId7" Type="http://schemas.openxmlformats.org/officeDocument/2006/relationships/table" Target="../tables/table151.xml"/><Relationship Id="rId12" Type="http://schemas.openxmlformats.org/officeDocument/2006/relationships/table" Target="../tables/table156.xml"/><Relationship Id="rId2" Type="http://schemas.openxmlformats.org/officeDocument/2006/relationships/table" Target="../tables/table146.xml"/><Relationship Id="rId1" Type="http://schemas.openxmlformats.org/officeDocument/2006/relationships/drawing" Target="../drawings/drawing16.xml"/><Relationship Id="rId6" Type="http://schemas.openxmlformats.org/officeDocument/2006/relationships/table" Target="../tables/table150.xml"/><Relationship Id="rId11" Type="http://schemas.openxmlformats.org/officeDocument/2006/relationships/table" Target="../tables/table155.xml"/><Relationship Id="rId5" Type="http://schemas.openxmlformats.org/officeDocument/2006/relationships/table" Target="../tables/table149.xml"/><Relationship Id="rId10" Type="http://schemas.openxmlformats.org/officeDocument/2006/relationships/table" Target="../tables/table154.xml"/><Relationship Id="rId4" Type="http://schemas.openxmlformats.org/officeDocument/2006/relationships/table" Target="../tables/table148.xml"/><Relationship Id="rId9" Type="http://schemas.openxmlformats.org/officeDocument/2006/relationships/table" Target="../tables/table153.x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3.bin"/></Relationships>
</file>

<file path=xl/worksheets/_rels/sheet18.xml.rels><?xml version="1.0" encoding="UTF-8" standalone="yes"?>
<Relationships xmlns="http://schemas.openxmlformats.org/package/2006/relationships"><Relationship Id="rId8" Type="http://schemas.openxmlformats.org/officeDocument/2006/relationships/table" Target="../tables/table163.xml"/><Relationship Id="rId13" Type="http://schemas.openxmlformats.org/officeDocument/2006/relationships/table" Target="../tables/table168.xml"/><Relationship Id="rId18" Type="http://schemas.openxmlformats.org/officeDocument/2006/relationships/table" Target="../tables/table173.xml"/><Relationship Id="rId3" Type="http://schemas.openxmlformats.org/officeDocument/2006/relationships/table" Target="../tables/table158.xml"/><Relationship Id="rId7" Type="http://schemas.openxmlformats.org/officeDocument/2006/relationships/table" Target="../tables/table162.xml"/><Relationship Id="rId12" Type="http://schemas.openxmlformats.org/officeDocument/2006/relationships/table" Target="../tables/table167.xml"/><Relationship Id="rId17" Type="http://schemas.openxmlformats.org/officeDocument/2006/relationships/table" Target="../tables/table172.xml"/><Relationship Id="rId2" Type="http://schemas.openxmlformats.org/officeDocument/2006/relationships/drawing" Target="../drawings/drawing18.xml"/><Relationship Id="rId16" Type="http://schemas.openxmlformats.org/officeDocument/2006/relationships/table" Target="../tables/table171.xml"/><Relationship Id="rId1" Type="http://schemas.openxmlformats.org/officeDocument/2006/relationships/printerSettings" Target="../printerSettings/printerSettings4.bin"/><Relationship Id="rId6" Type="http://schemas.openxmlformats.org/officeDocument/2006/relationships/table" Target="../tables/table161.xml"/><Relationship Id="rId11" Type="http://schemas.openxmlformats.org/officeDocument/2006/relationships/table" Target="../tables/table166.xml"/><Relationship Id="rId5" Type="http://schemas.openxmlformats.org/officeDocument/2006/relationships/table" Target="../tables/table160.xml"/><Relationship Id="rId15" Type="http://schemas.openxmlformats.org/officeDocument/2006/relationships/table" Target="../tables/table170.xml"/><Relationship Id="rId10" Type="http://schemas.openxmlformats.org/officeDocument/2006/relationships/table" Target="../tables/table165.xml"/><Relationship Id="rId19" Type="http://schemas.openxmlformats.org/officeDocument/2006/relationships/table" Target="../tables/table174.xml"/><Relationship Id="rId4" Type="http://schemas.openxmlformats.org/officeDocument/2006/relationships/table" Target="../tables/table159.xml"/><Relationship Id="rId9" Type="http://schemas.openxmlformats.org/officeDocument/2006/relationships/table" Target="../tables/table164.xml"/><Relationship Id="rId14" Type="http://schemas.openxmlformats.org/officeDocument/2006/relationships/table" Target="../tables/table16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11B4AC-FEF1-4327-AEF9-27138C2408D9}">
  <sheetPr codeName="Planilha2">
    <tabColor theme="1" tint="0.499984740745262"/>
  </sheetPr>
  <dimension ref="F3:Q16"/>
  <sheetViews>
    <sheetView showGridLines="0" showRowColHeaders="0" tabSelected="1" topLeftCell="A2" zoomScale="115" zoomScaleNormal="115" workbookViewId="0">
      <selection activeCell="D24" sqref="D24"/>
    </sheetView>
  </sheetViews>
  <sheetFormatPr defaultColWidth="9.109375" defaultRowHeight="14.4" x14ac:dyDescent="0.3"/>
  <cols>
    <col min="1" max="9" width="9.109375" style="84"/>
    <col min="10" max="10" width="31" style="84" bestFit="1" customWidth="1"/>
    <col min="11" max="11" width="16.5546875" style="84" customWidth="1"/>
    <col min="12" max="16384" width="9.109375" style="84"/>
  </cols>
  <sheetData>
    <row r="3" spans="6:17" ht="15" customHeight="1" x14ac:dyDescent="0.3">
      <c r="F3" s="236" t="s">
        <v>272</v>
      </c>
      <c r="G3" s="236"/>
      <c r="H3" s="236"/>
      <c r="I3" s="236"/>
      <c r="J3" s="236"/>
      <c r="K3" s="236"/>
      <c r="L3" s="236"/>
    </row>
    <row r="4" spans="6:17" ht="15" customHeight="1" x14ac:dyDescent="0.3">
      <c r="F4" s="236"/>
      <c r="G4" s="236"/>
      <c r="H4" s="236"/>
      <c r="I4" s="236"/>
      <c r="J4" s="236"/>
      <c r="K4" s="236"/>
      <c r="L4" s="236"/>
    </row>
    <row r="5" spans="6:17" ht="15" customHeight="1" x14ac:dyDescent="0.3">
      <c r="F5" s="236"/>
      <c r="G5" s="236"/>
      <c r="H5" s="236"/>
      <c r="I5" s="236"/>
      <c r="J5" s="236"/>
      <c r="K5" s="236"/>
      <c r="L5" s="236"/>
    </row>
    <row r="6" spans="6:17" ht="15" customHeight="1" x14ac:dyDescent="0.3">
      <c r="F6" s="236"/>
      <c r="G6" s="236"/>
      <c r="H6" s="236"/>
      <c r="I6" s="236"/>
      <c r="J6" s="236"/>
      <c r="K6" s="236"/>
      <c r="L6" s="236"/>
    </row>
    <row r="7" spans="6:17" ht="15" customHeight="1" x14ac:dyDescent="0.3">
      <c r="F7" s="236"/>
      <c r="G7" s="236"/>
      <c r="H7" s="236"/>
      <c r="I7" s="236"/>
      <c r="J7" s="236"/>
      <c r="K7" s="236"/>
      <c r="L7" s="236"/>
    </row>
    <row r="8" spans="6:17" ht="15" customHeight="1" x14ac:dyDescent="0.3">
      <c r="F8" s="236"/>
      <c r="G8" s="236"/>
      <c r="H8" s="236"/>
      <c r="I8" s="236"/>
      <c r="J8" s="236"/>
      <c r="K8" s="236"/>
      <c r="L8" s="236"/>
      <c r="Q8" s="86"/>
    </row>
    <row r="9" spans="6:17" ht="15" customHeight="1" x14ac:dyDescent="0.3">
      <c r="F9" s="236"/>
      <c r="G9" s="236"/>
      <c r="H9" s="236"/>
      <c r="I9" s="236"/>
      <c r="J9" s="236"/>
      <c r="K9" s="236"/>
      <c r="L9" s="236"/>
      <c r="Q9" s="86"/>
    </row>
    <row r="10" spans="6:17" ht="15" customHeight="1" x14ac:dyDescent="0.3">
      <c r="F10" s="236"/>
      <c r="G10" s="236"/>
      <c r="H10" s="236"/>
      <c r="I10" s="236"/>
      <c r="J10" s="236"/>
      <c r="K10" s="236"/>
      <c r="L10" s="236"/>
    </row>
    <row r="11" spans="6:17" ht="15" customHeight="1" x14ac:dyDescent="0.3">
      <c r="F11" s="236"/>
      <c r="G11" s="236"/>
      <c r="H11" s="236"/>
      <c r="I11" s="236"/>
      <c r="J11" s="236"/>
      <c r="K11" s="236"/>
      <c r="L11" s="236"/>
    </row>
    <row r="12" spans="6:17" ht="15" customHeight="1" x14ac:dyDescent="0.3">
      <c r="F12" s="236"/>
      <c r="G12" s="236"/>
      <c r="H12" s="236"/>
      <c r="I12" s="236"/>
      <c r="J12" s="236"/>
      <c r="K12" s="236"/>
      <c r="L12" s="236"/>
    </row>
    <row r="13" spans="6:17" ht="15" customHeight="1" x14ac:dyDescent="0.3">
      <c r="F13" s="236"/>
      <c r="G13" s="236"/>
      <c r="H13" s="236"/>
      <c r="I13" s="236"/>
      <c r="J13" s="236"/>
      <c r="K13" s="236"/>
      <c r="L13" s="236"/>
    </row>
    <row r="14" spans="6:17" x14ac:dyDescent="0.3">
      <c r="K14" s="87"/>
    </row>
    <row r="15" spans="6:17" x14ac:dyDescent="0.3">
      <c r="K15" s="87"/>
      <c r="L15" s="86"/>
    </row>
    <row r="16" spans="6:17" x14ac:dyDescent="0.3">
      <c r="K16" s="86"/>
      <c r="L16" s="86"/>
    </row>
  </sheetData>
  <sheetProtection algorithmName="SHA-512" hashValue="cTIsNK0zuM0xwJtHDMc0+na89pW+GcoMExOUcf+cssdUiCEwYTwS+ydAOl6hsTdgJ4/R4v6d2/Zv8xvtwzt15A==" saltValue="gR+uB4GtCCDz3i8e1MO2KA==" spinCount="100000" sheet="1" objects="1" scenarios="1" selectLockedCells="1" selectUnlockedCells="1"/>
  <mergeCells count="1">
    <mergeCell ref="F3:L13"/>
  </mergeCell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E2319C-A017-4E00-A748-C0436B423DDA}">
  <sheetPr codeName="Planilha1">
    <tabColor theme="1" tint="0.14999847407452621"/>
  </sheetPr>
  <dimension ref="B1:R31"/>
  <sheetViews>
    <sheetView showGridLines="0" showRowColHeaders="0" topLeftCell="A11" zoomScaleNormal="100" workbookViewId="0">
      <selection activeCell="F17" sqref="F17"/>
    </sheetView>
  </sheetViews>
  <sheetFormatPr defaultColWidth="15.109375" defaultRowHeight="14.4" x14ac:dyDescent="0.3"/>
  <cols>
    <col min="1" max="1" width="8.6640625" style="84" customWidth="1"/>
    <col min="2" max="2" width="3.33203125" style="84" customWidth="1"/>
    <col min="3" max="3" width="3.88671875" style="84" customWidth="1"/>
    <col min="4" max="4" width="36.33203125" style="84" bestFit="1" customWidth="1"/>
    <col min="5" max="5" width="3.33203125" style="84" customWidth="1"/>
    <col min="6" max="6" width="15.109375" style="84" customWidth="1"/>
    <col min="7" max="7" width="3.33203125" style="84" customWidth="1"/>
    <col min="8" max="9" width="3.88671875" style="84" customWidth="1"/>
    <col min="10" max="10" width="34.44140625" style="84" bestFit="1" customWidth="1"/>
    <col min="11" max="11" width="2.5546875" style="84" customWidth="1"/>
    <col min="12" max="12" width="7.44140625" style="84" customWidth="1"/>
    <col min="13" max="13" width="2.5546875" style="84" customWidth="1"/>
    <col min="14" max="14" width="7.44140625" style="84" customWidth="1"/>
    <col min="15" max="15" width="3.88671875" style="84" customWidth="1"/>
    <col min="16" max="16384" width="15.109375" style="84"/>
  </cols>
  <sheetData>
    <row r="1" spans="2:18" x14ac:dyDescent="0.3">
      <c r="Q1" s="107"/>
      <c r="R1" s="107"/>
    </row>
    <row r="2" spans="2:18" ht="15" customHeight="1" x14ac:dyDescent="0.3">
      <c r="B2" s="105"/>
      <c r="C2" s="105"/>
      <c r="D2" s="105"/>
      <c r="H2" s="105"/>
      <c r="I2" s="105"/>
      <c r="Q2" s="109"/>
      <c r="R2" s="109"/>
    </row>
    <row r="3" spans="2:18" ht="15" customHeight="1" x14ac:dyDescent="0.3">
      <c r="B3" s="105"/>
      <c r="C3" s="105"/>
      <c r="D3" s="238" t="s">
        <v>253</v>
      </c>
      <c r="E3" s="238"/>
      <c r="F3" s="238"/>
      <c r="G3" s="238"/>
      <c r="H3" s="238"/>
      <c r="I3" s="238"/>
      <c r="J3" s="161"/>
      <c r="Q3" s="109">
        <f>IFERROR(VLOOKUP($F$15,DADOS!$B$3:$C$14,2,FALSE),0)</f>
        <v>1</v>
      </c>
      <c r="R3" s="109"/>
    </row>
    <row r="4" spans="2:18" ht="15" customHeight="1" x14ac:dyDescent="0.3">
      <c r="B4" s="105"/>
      <c r="C4" s="105"/>
      <c r="D4" s="238"/>
      <c r="E4" s="238"/>
      <c r="F4" s="238"/>
      <c r="G4" s="238"/>
      <c r="H4" s="238"/>
      <c r="I4" s="238"/>
      <c r="J4" s="161"/>
      <c r="Q4" s="109">
        <v>1.2</v>
      </c>
      <c r="R4" s="109"/>
    </row>
    <row r="5" spans="2:18" ht="15" customHeight="1" x14ac:dyDescent="0.3">
      <c r="B5" s="105"/>
      <c r="C5" s="105"/>
      <c r="D5" s="238"/>
      <c r="E5" s="238"/>
      <c r="F5" s="238"/>
      <c r="G5" s="238"/>
      <c r="H5" s="238"/>
      <c r="I5" s="238"/>
      <c r="J5" s="161"/>
      <c r="Q5" s="110">
        <v>120</v>
      </c>
      <c r="R5" s="109" t="s">
        <v>19</v>
      </c>
    </row>
    <row r="6" spans="2:18" ht="15" customHeight="1" x14ac:dyDescent="0.3">
      <c r="B6" s="105"/>
      <c r="C6" s="105"/>
      <c r="D6" s="238"/>
      <c r="E6" s="238"/>
      <c r="F6" s="238"/>
      <c r="G6" s="238"/>
      <c r="H6" s="238"/>
      <c r="I6" s="238"/>
      <c r="J6" s="161"/>
      <c r="Q6" s="107"/>
      <c r="R6" s="107"/>
    </row>
    <row r="7" spans="2:18" ht="15" customHeight="1" x14ac:dyDescent="0.3">
      <c r="B7" s="105"/>
      <c r="C7" s="105"/>
      <c r="D7" s="238"/>
      <c r="E7" s="238"/>
      <c r="F7" s="238"/>
      <c r="G7" s="238"/>
      <c r="H7" s="238"/>
      <c r="I7" s="238"/>
      <c r="J7" s="161"/>
      <c r="Q7" s="107"/>
      <c r="R7" s="107"/>
    </row>
    <row r="8" spans="2:18" ht="15" customHeight="1" x14ac:dyDescent="0.3">
      <c r="B8" s="105"/>
      <c r="C8" s="105"/>
      <c r="D8" s="105"/>
      <c r="H8" s="105"/>
      <c r="I8" s="105"/>
      <c r="Q8" s="107"/>
      <c r="R8" s="107"/>
    </row>
    <row r="10" spans="2:18" ht="18" x14ac:dyDescent="0.35">
      <c r="J10" s="237" t="s">
        <v>254</v>
      </c>
      <c r="K10" s="237"/>
      <c r="L10" s="237"/>
      <c r="M10" s="237"/>
      <c r="N10" s="237"/>
    </row>
    <row r="11" spans="2:18" ht="15" thickBot="1" x14ac:dyDescent="0.35"/>
    <row r="12" spans="2:18" ht="15" thickBot="1" x14ac:dyDescent="0.35">
      <c r="B12" s="148"/>
      <c r="C12" s="148"/>
      <c r="D12" s="148"/>
      <c r="E12" s="148"/>
      <c r="F12" s="148"/>
      <c r="G12" s="148"/>
      <c r="I12" s="144"/>
      <c r="J12" s="148"/>
      <c r="K12" s="148"/>
      <c r="L12" s="148"/>
      <c r="M12" s="148"/>
      <c r="N12" s="148"/>
      <c r="O12" s="151"/>
      <c r="Q12" s="108"/>
    </row>
    <row r="13" spans="2:18" ht="27" customHeight="1" thickBot="1" x14ac:dyDescent="0.35">
      <c r="B13" s="1"/>
      <c r="C13" s="149" t="s">
        <v>252</v>
      </c>
      <c r="D13" s="1"/>
      <c r="E13" s="1"/>
      <c r="F13" s="212">
        <v>350</v>
      </c>
      <c r="G13" s="145"/>
      <c r="I13" s="145"/>
      <c r="J13" s="159" t="s">
        <v>12</v>
      </c>
      <c r="K13" s="156"/>
      <c r="L13" s="106">
        <f>IF('⚙️'!$F$17="","",IF('⚙️'!$F$17=DADOS!$I$3,DADOS!$H$15/100,$N$13/100))</f>
        <v>0.4</v>
      </c>
      <c r="M13" s="160" t="s">
        <v>20</v>
      </c>
      <c r="N13" s="213">
        <v>40</v>
      </c>
      <c r="O13" s="157"/>
    </row>
    <row r="14" spans="2:18" ht="15" thickBot="1" x14ac:dyDescent="0.35">
      <c r="B14" s="1"/>
      <c r="C14" s="150"/>
      <c r="D14" s="150"/>
      <c r="E14" s="150"/>
      <c r="F14" s="150"/>
      <c r="G14" s="150"/>
      <c r="I14" s="145"/>
      <c r="J14" s="154"/>
      <c r="K14" s="1"/>
      <c r="L14" s="1"/>
      <c r="M14" s="158"/>
      <c r="N14" s="1"/>
      <c r="O14" s="152"/>
    </row>
    <row r="15" spans="2:18" ht="27" customHeight="1" thickBot="1" x14ac:dyDescent="0.35">
      <c r="B15" s="1"/>
      <c r="C15" s="149" t="s">
        <v>251</v>
      </c>
      <c r="D15" s="1"/>
      <c r="E15" s="1"/>
      <c r="F15" s="212" t="s">
        <v>141</v>
      </c>
      <c r="G15" s="145"/>
      <c r="I15" s="145"/>
      <c r="J15" s="159" t="s">
        <v>18</v>
      </c>
      <c r="K15" s="156"/>
      <c r="L15" s="106">
        <f>IF('⚙️'!$F$17="","",IF('⚙️'!$F$17=DADOS!$I$3,DADOS!$H$16/100,$N$15/100))</f>
        <v>0.05</v>
      </c>
      <c r="M15" s="160" t="s">
        <v>20</v>
      </c>
      <c r="N15" s="213">
        <v>5</v>
      </c>
      <c r="O15" s="157"/>
    </row>
    <row r="16" spans="2:18" ht="15" thickBot="1" x14ac:dyDescent="0.35">
      <c r="B16" s="1"/>
      <c r="C16" s="150"/>
      <c r="D16" s="150"/>
      <c r="E16" s="150"/>
      <c r="F16" s="150"/>
      <c r="G16" s="150"/>
      <c r="I16" s="146"/>
      <c r="J16" s="154"/>
      <c r="K16" s="1"/>
      <c r="L16" s="1"/>
      <c r="M16" s="158"/>
      <c r="N16" s="1"/>
      <c r="O16" s="152"/>
    </row>
    <row r="17" spans="2:16" ht="27" customHeight="1" thickBot="1" x14ac:dyDescent="0.35">
      <c r="B17" s="1"/>
      <c r="C17" s="149" t="s">
        <v>255</v>
      </c>
      <c r="D17" s="1"/>
      <c r="E17" s="165"/>
      <c r="F17" s="212" t="s">
        <v>155</v>
      </c>
      <c r="G17" s="146"/>
      <c r="I17" s="146"/>
      <c r="J17" s="159" t="s">
        <v>17</v>
      </c>
      <c r="K17" s="156"/>
      <c r="L17" s="106">
        <f>IF('⚙️'!$F$17="","",IF('⚙️'!$F$17=DADOS!$I$3,DADOS!$H$17/100,$N$17/100))</f>
        <v>0.2</v>
      </c>
      <c r="M17" s="160" t="s">
        <v>20</v>
      </c>
      <c r="N17" s="213">
        <v>20</v>
      </c>
      <c r="O17" s="157"/>
    </row>
    <row r="18" spans="2:16" ht="15" thickBot="1" x14ac:dyDescent="0.35">
      <c r="B18" s="153"/>
      <c r="C18" s="153"/>
      <c r="D18" s="153"/>
      <c r="E18" s="153"/>
      <c r="F18" s="153"/>
      <c r="G18" s="153"/>
      <c r="I18" s="146"/>
      <c r="J18" s="154"/>
      <c r="K18" s="1"/>
      <c r="L18" s="1"/>
      <c r="M18" s="158"/>
      <c r="N18" s="1"/>
      <c r="O18" s="152"/>
    </row>
    <row r="19" spans="2:16" ht="27" customHeight="1" thickBot="1" x14ac:dyDescent="0.35">
      <c r="C19" s="85"/>
      <c r="D19" s="85"/>
      <c r="H19" s="85"/>
      <c r="I19" s="146"/>
      <c r="J19" s="159" t="s">
        <v>16</v>
      </c>
      <c r="K19" s="156"/>
      <c r="L19" s="106">
        <f>IF('⚙️'!$F$17="","",IF('⚙️'!$F$17=DADOS!$I$3,DADOS!$H$18/100,$N$19/100))</f>
        <v>0.15</v>
      </c>
      <c r="M19" s="160" t="s">
        <v>20</v>
      </c>
      <c r="N19" s="213">
        <v>15</v>
      </c>
      <c r="O19" s="157"/>
    </row>
    <row r="20" spans="2:16" ht="15" thickBot="1" x14ac:dyDescent="0.35">
      <c r="C20" s="85"/>
      <c r="D20" s="85"/>
      <c r="H20" s="85"/>
      <c r="I20" s="146"/>
      <c r="J20" s="154"/>
      <c r="K20" s="1"/>
      <c r="L20" s="1"/>
      <c r="M20" s="158"/>
      <c r="N20" s="1"/>
      <c r="O20" s="152"/>
    </row>
    <row r="21" spans="2:16" ht="27" customHeight="1" thickBot="1" x14ac:dyDescent="0.35">
      <c r="C21" s="85"/>
      <c r="D21" s="85"/>
      <c r="H21" s="85"/>
      <c r="I21" s="146"/>
      <c r="J21" s="159" t="s">
        <v>8</v>
      </c>
      <c r="K21" s="156"/>
      <c r="L21" s="106">
        <f>IF('⚙️'!$F$17="","",IF('⚙️'!$F$17=DADOS!$I$3,DADOS!$H$19/100,$N$21/100))</f>
        <v>0.1</v>
      </c>
      <c r="M21" s="160" t="s">
        <v>20</v>
      </c>
      <c r="N21" s="213">
        <v>10</v>
      </c>
      <c r="O21" s="157"/>
    </row>
    <row r="22" spans="2:16" ht="15" thickBot="1" x14ac:dyDescent="0.35">
      <c r="C22" s="85"/>
      <c r="D22" s="85"/>
      <c r="H22" s="85"/>
      <c r="I22" s="146"/>
      <c r="J22" s="154"/>
      <c r="K22" s="1"/>
      <c r="L22" s="1"/>
      <c r="M22" s="158"/>
      <c r="N22" s="1"/>
      <c r="O22" s="152"/>
    </row>
    <row r="23" spans="2:16" ht="27" customHeight="1" thickBot="1" x14ac:dyDescent="0.35">
      <c r="C23" s="85"/>
      <c r="D23" s="85"/>
      <c r="H23" s="85"/>
      <c r="I23" s="146"/>
      <c r="J23" s="159" t="s">
        <v>7</v>
      </c>
      <c r="K23" s="156"/>
      <c r="L23" s="106">
        <f>IF('⚙️'!$F$17="","",IF('⚙️'!$F$17=DADOS!$I$3,DADOS!$H$20/100,$N$23/100))</f>
        <v>0.1</v>
      </c>
      <c r="M23" s="160" t="s">
        <v>20</v>
      </c>
      <c r="N23" s="213">
        <v>10</v>
      </c>
      <c r="O23" s="157"/>
    </row>
    <row r="24" spans="2:16" ht="15" thickBot="1" x14ac:dyDescent="0.35">
      <c r="C24" s="85"/>
      <c r="D24" s="85"/>
      <c r="H24" s="85"/>
      <c r="I24" s="146"/>
      <c r="J24" s="154"/>
      <c r="K24" s="1"/>
      <c r="L24" s="1"/>
      <c r="M24" s="158"/>
      <c r="N24" s="1"/>
      <c r="O24" s="152"/>
    </row>
    <row r="25" spans="2:16" ht="27" customHeight="1" thickBot="1" x14ac:dyDescent="0.35">
      <c r="C25" s="85"/>
      <c r="D25" s="85"/>
      <c r="H25" s="85"/>
      <c r="I25" s="146"/>
      <c r="J25" s="163" t="s">
        <v>19</v>
      </c>
      <c r="K25" s="156"/>
      <c r="L25" s="164">
        <f>SUM(L23,L21,L19,L17,L15,L13)</f>
        <v>1</v>
      </c>
      <c r="M25" s="160" t="s">
        <v>20</v>
      </c>
      <c r="N25" s="162">
        <f>SUM(N23,N21,N19,N17,N15,N13)</f>
        <v>100</v>
      </c>
      <c r="O25" s="157"/>
    </row>
    <row r="26" spans="2:16" ht="15" thickBot="1" x14ac:dyDescent="0.35">
      <c r="C26" s="85"/>
      <c r="D26" s="85"/>
      <c r="E26" s="85"/>
      <c r="F26" s="85"/>
      <c r="G26" s="85"/>
      <c r="H26" s="85"/>
      <c r="I26" s="147"/>
      <c r="J26" s="153"/>
      <c r="K26" s="153"/>
      <c r="L26" s="153"/>
      <c r="M26" s="153"/>
      <c r="N26" s="153"/>
      <c r="O26" s="155"/>
      <c r="P26" s="85"/>
    </row>
    <row r="27" spans="2:16" x14ac:dyDescent="0.3">
      <c r="C27" s="85"/>
      <c r="D27" s="85"/>
      <c r="E27" s="85"/>
      <c r="F27" s="85"/>
      <c r="G27" s="85"/>
      <c r="H27" s="85"/>
      <c r="I27" s="85"/>
      <c r="O27" s="85"/>
    </row>
    <row r="28" spans="2:16" x14ac:dyDescent="0.3">
      <c r="O28" s="85"/>
    </row>
    <row r="29" spans="2:16" x14ac:dyDescent="0.3">
      <c r="O29" s="85"/>
    </row>
    <row r="30" spans="2:16" x14ac:dyDescent="0.3">
      <c r="O30" s="85"/>
      <c r="P30" s="85"/>
    </row>
    <row r="31" spans="2:16" x14ac:dyDescent="0.3">
      <c r="O31" s="85"/>
      <c r="P31" s="85"/>
    </row>
  </sheetData>
  <sheetProtection algorithmName="SHA-512" hashValue="LSMmgzu3KwABw7HlJ+BKDjrrdnhHSYl8h3O6pF6cNmAMNMXQ7eTWDVxJ05iPJyb7evIczaAX3u93A6UoZZOSXQ==" saltValue="9fx8dYAR2Ox7aw7oECJZJQ==" spinCount="100000" sheet="1" objects="1" scenarios="1" selectLockedCells="1"/>
  <mergeCells count="2">
    <mergeCell ref="J10:N10"/>
    <mergeCell ref="D3:I7"/>
  </mergeCells>
  <pageMargins left="0.511811024" right="0.511811024" top="0.78740157499999996" bottom="0.78740157499999996" header="0.31496062000000002" footer="0.31496062000000002"/>
  <pageSetup paperSize="9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26" id="{0BFB423E-93CB-49A3-B88A-CBA5836B6253}">
            <xm:f>$F$17=DADOS!$I$2</xm:f>
            <x14:dxf>
              <font>
                <color theme="0"/>
              </font>
              <fill>
                <patternFill>
                  <bgColor theme="0"/>
                </patternFill>
              </fill>
              <border>
                <left style="thin">
                  <color theme="0"/>
                </left>
                <right style="thin">
                  <color theme="0"/>
                </right>
                <top style="thin">
                  <color theme="0"/>
                </top>
                <bottom style="thin">
                  <color theme="0"/>
                </bottom>
              </border>
            </x14:dxf>
          </x14:cfRule>
          <xm:sqref>L13:L25</xm:sqref>
        </x14:conditionalFormatting>
        <x14:conditionalFormatting xmlns:xm="http://schemas.microsoft.com/office/excel/2006/main">
          <x14:cfRule type="expression" priority="27" id="{CC152B9C-B3B0-418D-90BC-7E2E37AA152F}">
            <xm:f>$F$17=DADOS!$I$3</xm:f>
            <x14:dxf>
              <font>
                <color theme="0"/>
              </font>
              <fill>
                <patternFill>
                  <bgColor theme="0"/>
                </patternFill>
              </fill>
              <border>
                <left style="thin">
                  <color theme="0"/>
                </left>
                <right style="thin">
                  <color theme="0"/>
                </right>
                <top style="thin">
                  <color theme="0"/>
                </top>
                <bottom style="thin">
                  <color theme="0"/>
                </bottom>
                <vertical/>
                <horizontal/>
              </border>
            </x14:dxf>
          </x14:cfRule>
          <xm:sqref>M13:N25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54644D77-D244-42A8-B7FE-99F39C1225DD}">
          <x14:formula1>
            <xm:f>DADOS!$B$3:$B$14</xm:f>
          </x14:formula1>
          <xm:sqref>F15</xm:sqref>
        </x14:dataValidation>
        <x14:dataValidation type="list" allowBlank="1" showInputMessage="1" showErrorMessage="1" xr:uid="{02665023-FFDE-4092-B82A-60FAA55382BF}">
          <x14:formula1>
            <xm:f>DADOS!$I$2:$I$3</xm:f>
          </x14:formula1>
          <xm:sqref>F17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424B4F-0918-48F5-8DC1-8EAD39F7866E}">
  <sheetPr codeName="Planilha3">
    <tabColor theme="1" tint="0.14999847407452621"/>
  </sheetPr>
  <dimension ref="A1:BB80"/>
  <sheetViews>
    <sheetView showGridLines="0" showRowColHeaders="0" zoomScale="90" zoomScaleNormal="90" workbookViewId="0">
      <pane ySplit="6" topLeftCell="A69" activePane="bottomLeft" state="frozen"/>
      <selection activeCell="D24" sqref="D24"/>
      <selection pane="bottomLeft" activeCell="K78" sqref="K78"/>
    </sheetView>
  </sheetViews>
  <sheetFormatPr defaultColWidth="0" defaultRowHeight="27" customHeight="1" x14ac:dyDescent="0.3"/>
  <cols>
    <col min="1" max="1" width="4.5546875" style="224" customWidth="1"/>
    <col min="2" max="2" width="10.109375" style="203" hidden="1" customWidth="1"/>
    <col min="3" max="3" width="18.5546875" style="215" hidden="1" customWidth="1"/>
    <col min="4" max="4" width="14" style="214" customWidth="1"/>
    <col min="5" max="5" width="20.33203125" style="215" customWidth="1"/>
    <col min="6" max="6" width="20.33203125" style="216" customWidth="1"/>
    <col min="7" max="7" width="29.33203125" style="217" bestFit="1" customWidth="1"/>
    <col min="8" max="8" width="35.33203125" style="207" customWidth="1"/>
    <col min="9" max="9" width="18.5546875" style="203" customWidth="1"/>
    <col min="10" max="10" width="18.5546875" style="207" customWidth="1"/>
    <col min="11" max="11" width="18.5546875" style="218" customWidth="1"/>
    <col min="12" max="12" width="18.5546875" style="229" customWidth="1"/>
    <col min="13" max="13" width="9.109375" style="222" customWidth="1"/>
    <col min="14" max="16384" width="9.109375" style="218" hidden="1"/>
  </cols>
  <sheetData>
    <row r="1" spans="1:13" s="235" customFormat="1" ht="14.4" x14ac:dyDescent="0.3">
      <c r="A1" s="84"/>
      <c r="B1" s="84"/>
      <c r="C1" s="84"/>
      <c r="D1" s="84"/>
      <c r="E1" s="84"/>
      <c r="F1" s="84"/>
      <c r="G1" s="84"/>
      <c r="H1" s="84"/>
      <c r="I1" s="84"/>
      <c r="J1" s="84"/>
      <c r="K1" s="230"/>
      <c r="L1" s="230"/>
      <c r="M1" s="230"/>
    </row>
    <row r="2" spans="1:13" s="235" customFormat="1" ht="18.75" customHeight="1" x14ac:dyDescent="0.3">
      <c r="A2" s="231"/>
      <c r="B2" s="84"/>
      <c r="C2" s="84"/>
      <c r="D2" s="239" t="s">
        <v>250</v>
      </c>
      <c r="E2" s="239"/>
      <c r="F2" s="84"/>
      <c r="G2" s="84"/>
      <c r="H2" s="232"/>
      <c r="I2" s="84"/>
      <c r="J2" s="84"/>
      <c r="K2" s="230"/>
      <c r="L2" s="233"/>
      <c r="M2" s="233"/>
    </row>
    <row r="3" spans="1:13" s="235" customFormat="1" ht="18.75" customHeight="1" x14ac:dyDescent="0.3">
      <c r="A3" s="231"/>
      <c r="B3" s="84"/>
      <c r="C3" s="84"/>
      <c r="D3" s="239"/>
      <c r="E3" s="239"/>
      <c r="F3" s="84"/>
      <c r="G3" s="84"/>
      <c r="H3" s="232"/>
      <c r="I3" s="84"/>
      <c r="J3" s="84"/>
      <c r="K3" s="230"/>
      <c r="L3" s="233"/>
      <c r="M3" s="233"/>
    </row>
    <row r="4" spans="1:13" s="235" customFormat="1" ht="18.75" customHeight="1" x14ac:dyDescent="0.3">
      <c r="A4" s="231"/>
      <c r="B4" s="84"/>
      <c r="C4" s="84"/>
      <c r="D4" s="239"/>
      <c r="E4" s="239"/>
      <c r="F4" s="84"/>
      <c r="G4" s="84"/>
      <c r="H4" s="232"/>
      <c r="I4" s="84"/>
      <c r="J4" s="84"/>
      <c r="K4" s="230"/>
      <c r="L4" s="234" t="s">
        <v>22</v>
      </c>
      <c r="M4" s="233"/>
    </row>
    <row r="5" spans="1:13" s="235" customFormat="1" ht="16.5" customHeight="1" x14ac:dyDescent="0.3">
      <c r="A5" s="84"/>
      <c r="B5" s="84"/>
      <c r="C5" s="84"/>
      <c r="D5" s="84"/>
      <c r="E5" s="84"/>
      <c r="F5" s="84"/>
      <c r="G5" s="84"/>
      <c r="H5" s="84"/>
      <c r="I5" s="84"/>
      <c r="J5" s="84"/>
      <c r="K5" s="84"/>
      <c r="L5" s="230"/>
      <c r="M5" s="233"/>
    </row>
    <row r="6" spans="1:13" s="223" customFormat="1" ht="36" customHeight="1" x14ac:dyDescent="0.3">
      <c r="A6" s="221"/>
      <c r="B6" s="203" t="s">
        <v>249</v>
      </c>
      <c r="C6" s="203" t="s">
        <v>215</v>
      </c>
      <c r="D6" s="227" t="s">
        <v>248</v>
      </c>
      <c r="E6" s="220" t="s">
        <v>152</v>
      </c>
      <c r="F6" s="219" t="s">
        <v>163</v>
      </c>
      <c r="G6" s="219" t="s">
        <v>142</v>
      </c>
      <c r="H6" s="219" t="s">
        <v>247</v>
      </c>
      <c r="I6" s="219" t="s">
        <v>246</v>
      </c>
      <c r="J6" s="219" t="s">
        <v>153</v>
      </c>
      <c r="K6" s="219" t="s">
        <v>154</v>
      </c>
      <c r="L6" s="219" t="s">
        <v>277</v>
      </c>
      <c r="M6" s="222"/>
    </row>
    <row r="7" spans="1:13" ht="27" customHeight="1" x14ac:dyDescent="0.3">
      <c r="B7" s="225">
        <f>DAY(tabela_registros[[#This Row],[DATA 
REGISTRO]])</f>
        <v>1</v>
      </c>
      <c r="C7" s="225">
        <f>MONTH(tabela_registros[[#This Row],[DATA 
REGISTRO]])</f>
        <v>1</v>
      </c>
      <c r="D7" s="209">
        <v>43831</v>
      </c>
      <c r="E7" s="204" t="s">
        <v>102</v>
      </c>
      <c r="F7" s="204" t="s">
        <v>110</v>
      </c>
      <c r="G7" s="204" t="s">
        <v>42</v>
      </c>
      <c r="H7" s="204" t="s">
        <v>260</v>
      </c>
      <c r="I7" s="205">
        <v>356</v>
      </c>
      <c r="J7" s="206" t="s">
        <v>134</v>
      </c>
      <c r="K7" s="206" t="s">
        <v>118</v>
      </c>
      <c r="L7" s="208">
        <v>43923</v>
      </c>
    </row>
    <row r="8" spans="1:13" ht="27" customHeight="1" x14ac:dyDescent="0.3">
      <c r="B8" s="225">
        <f>DAY(tabela_registros[[#This Row],[DATA 
REGISTRO]])</f>
        <v>2</v>
      </c>
      <c r="C8" s="225">
        <f>MONTH(tabela_registros[[#This Row],[DATA 
REGISTRO]])</f>
        <v>1</v>
      </c>
      <c r="D8" s="209">
        <v>43832</v>
      </c>
      <c r="E8" s="204" t="s">
        <v>102</v>
      </c>
      <c r="F8" s="204" t="s">
        <v>126</v>
      </c>
      <c r="G8" s="204" t="s">
        <v>52</v>
      </c>
      <c r="H8" s="204" t="s">
        <v>257</v>
      </c>
      <c r="I8" s="205">
        <v>254</v>
      </c>
      <c r="J8" s="206" t="s">
        <v>134</v>
      </c>
      <c r="K8" s="206" t="s">
        <v>118</v>
      </c>
      <c r="L8" s="208">
        <v>44136</v>
      </c>
    </row>
    <row r="9" spans="1:13" ht="27" customHeight="1" x14ac:dyDescent="0.3">
      <c r="B9" s="225">
        <f>DAY(tabela_registros[[#This Row],[DATA 
REGISTRO]])</f>
        <v>3</v>
      </c>
      <c r="C9" s="225">
        <f>MONTH(tabela_registros[[#This Row],[DATA 
REGISTRO]])</f>
        <v>1</v>
      </c>
      <c r="D9" s="209">
        <v>43833</v>
      </c>
      <c r="E9" s="204" t="s">
        <v>89</v>
      </c>
      <c r="F9" s="204" t="s">
        <v>126</v>
      </c>
      <c r="G9" s="204" t="s">
        <v>125</v>
      </c>
      <c r="H9" s="204" t="s">
        <v>258</v>
      </c>
      <c r="I9" s="205">
        <v>25</v>
      </c>
      <c r="J9" s="206" t="s">
        <v>134</v>
      </c>
      <c r="K9" s="206" t="s">
        <v>135</v>
      </c>
      <c r="L9" s="208">
        <v>43988</v>
      </c>
    </row>
    <row r="10" spans="1:13" ht="27" customHeight="1" x14ac:dyDescent="0.3">
      <c r="B10" s="225">
        <f>DAY(tabela_registros[[#This Row],[DATA 
REGISTRO]])</f>
        <v>4</v>
      </c>
      <c r="C10" s="225">
        <f>MONTH(tabela_registros[[#This Row],[DATA 
REGISTRO]])</f>
        <v>1</v>
      </c>
      <c r="D10" s="209">
        <v>43834</v>
      </c>
      <c r="E10" s="204" t="s">
        <v>89</v>
      </c>
      <c r="F10" s="204" t="s">
        <v>126</v>
      </c>
      <c r="G10" s="204" t="s">
        <v>96</v>
      </c>
      <c r="H10" s="204" t="s">
        <v>259</v>
      </c>
      <c r="I10" s="205">
        <v>38</v>
      </c>
      <c r="J10" s="206" t="s">
        <v>134</v>
      </c>
      <c r="K10" s="206" t="s">
        <v>135</v>
      </c>
      <c r="L10" s="208">
        <v>43989</v>
      </c>
    </row>
    <row r="11" spans="1:13" ht="27" customHeight="1" x14ac:dyDescent="0.3">
      <c r="B11" s="225">
        <f>DAY(tabela_registros[[#This Row],[DATA 
REGISTRO]])</f>
        <v>15</v>
      </c>
      <c r="C11" s="225">
        <f>MONTH(tabela_registros[[#This Row],[DATA 
REGISTRO]])</f>
        <v>8</v>
      </c>
      <c r="D11" s="209">
        <v>44058</v>
      </c>
      <c r="E11" s="204" t="s">
        <v>133</v>
      </c>
      <c r="F11" s="204" t="s">
        <v>113</v>
      </c>
      <c r="G11" s="204" t="s">
        <v>54</v>
      </c>
      <c r="H11" s="204" t="s">
        <v>261</v>
      </c>
      <c r="I11" s="205">
        <v>45</v>
      </c>
      <c r="J11" s="206" t="s">
        <v>134</v>
      </c>
      <c r="K11" s="206" t="s">
        <v>118</v>
      </c>
      <c r="L11" s="208">
        <v>43990</v>
      </c>
    </row>
    <row r="12" spans="1:13" ht="27" customHeight="1" x14ac:dyDescent="0.3">
      <c r="B12" s="225">
        <f>DAY(tabela_registros[[#This Row],[DATA 
REGISTRO]])</f>
        <v>6</v>
      </c>
      <c r="C12" s="225">
        <f>MONTH(tabela_registros[[#This Row],[DATA 
REGISTRO]])</f>
        <v>1</v>
      </c>
      <c r="D12" s="209">
        <v>43836</v>
      </c>
      <c r="E12" s="204" t="s">
        <v>89</v>
      </c>
      <c r="F12" s="204" t="s">
        <v>126</v>
      </c>
      <c r="G12" s="204" t="s">
        <v>37</v>
      </c>
      <c r="H12" s="204" t="s">
        <v>262</v>
      </c>
      <c r="I12" s="205">
        <v>150</v>
      </c>
      <c r="J12" s="206" t="s">
        <v>134</v>
      </c>
      <c r="K12" s="206" t="s">
        <v>118</v>
      </c>
      <c r="L12" s="208">
        <v>43991</v>
      </c>
    </row>
    <row r="13" spans="1:13" ht="27" customHeight="1" x14ac:dyDescent="0.3">
      <c r="B13" s="225">
        <f>DAY(tabela_registros[[#This Row],[DATA 
REGISTRO]])</f>
        <v>7</v>
      </c>
      <c r="C13" s="225">
        <f>MONTH(tabela_registros[[#This Row],[DATA 
REGISTRO]])</f>
        <v>1</v>
      </c>
      <c r="D13" s="209">
        <v>43837</v>
      </c>
      <c r="E13" s="204" t="s">
        <v>117</v>
      </c>
      <c r="F13" s="204" t="s">
        <v>132</v>
      </c>
      <c r="G13" s="204" t="s">
        <v>131</v>
      </c>
      <c r="H13" s="204" t="s">
        <v>263</v>
      </c>
      <c r="I13" s="205">
        <v>89</v>
      </c>
      <c r="J13" s="206" t="s">
        <v>134</v>
      </c>
      <c r="K13" s="206" t="s">
        <v>135</v>
      </c>
      <c r="L13" s="208">
        <v>43922</v>
      </c>
    </row>
    <row r="14" spans="1:13" ht="27" customHeight="1" x14ac:dyDescent="0.3">
      <c r="B14" s="225">
        <f>DAY(tabela_registros[[#This Row],[DATA 
REGISTRO]])</f>
        <v>8</v>
      </c>
      <c r="C14" s="225">
        <f>MONTH(tabela_registros[[#This Row],[DATA 
REGISTRO]])</f>
        <v>1</v>
      </c>
      <c r="D14" s="209">
        <v>43838</v>
      </c>
      <c r="E14" s="204" t="s">
        <v>117</v>
      </c>
      <c r="F14" s="204" t="s">
        <v>116</v>
      </c>
      <c r="G14" s="204" t="s">
        <v>130</v>
      </c>
      <c r="H14" s="204" t="s">
        <v>264</v>
      </c>
      <c r="I14" s="205">
        <v>144.57142857142901</v>
      </c>
      <c r="J14" s="206" t="s">
        <v>134</v>
      </c>
      <c r="K14" s="206" t="s">
        <v>118</v>
      </c>
      <c r="L14" s="208">
        <v>43924</v>
      </c>
    </row>
    <row r="15" spans="1:13" ht="27" customHeight="1" x14ac:dyDescent="0.3">
      <c r="B15" s="225">
        <f>DAY(tabela_registros[[#This Row],[DATA 
REGISTRO]])</f>
        <v>9</v>
      </c>
      <c r="C15" s="225">
        <f>MONTH(tabela_registros[[#This Row],[DATA 
REGISTRO]])</f>
        <v>1</v>
      </c>
      <c r="D15" s="209">
        <v>43839</v>
      </c>
      <c r="E15" s="204" t="s">
        <v>117</v>
      </c>
      <c r="F15" s="204" t="s">
        <v>116</v>
      </c>
      <c r="G15" s="204" t="s">
        <v>65</v>
      </c>
      <c r="H15" s="204" t="s">
        <v>265</v>
      </c>
      <c r="I15" s="205">
        <v>137.21428571428601</v>
      </c>
      <c r="J15" s="206" t="s">
        <v>134</v>
      </c>
      <c r="K15" s="206" t="s">
        <v>118</v>
      </c>
      <c r="L15" s="208">
        <v>43926</v>
      </c>
    </row>
    <row r="16" spans="1:13" ht="27" customHeight="1" x14ac:dyDescent="0.3">
      <c r="B16" s="225">
        <f>DAY(tabela_registros[[#This Row],[DATA 
REGISTRO]])</f>
        <v>10</v>
      </c>
      <c r="C16" s="225">
        <f>MONTH(tabela_registros[[#This Row],[DATA 
REGISTRO]])</f>
        <v>1</v>
      </c>
      <c r="D16" s="209">
        <v>43840</v>
      </c>
      <c r="E16" s="204" t="s">
        <v>133</v>
      </c>
      <c r="F16" s="204" t="s">
        <v>129</v>
      </c>
      <c r="G16" s="204" t="s">
        <v>128</v>
      </c>
      <c r="H16" s="204" t="s">
        <v>266</v>
      </c>
      <c r="I16" s="205">
        <v>129.857142857143</v>
      </c>
      <c r="J16" s="206" t="s">
        <v>134</v>
      </c>
      <c r="K16" s="206" t="s">
        <v>118</v>
      </c>
      <c r="L16" s="208">
        <v>43928</v>
      </c>
    </row>
    <row r="17" spans="2:12" ht="27" customHeight="1" x14ac:dyDescent="0.3">
      <c r="B17" s="225">
        <f>DAY(tabela_registros[[#This Row],[DATA 
REGISTRO]])</f>
        <v>11</v>
      </c>
      <c r="C17" s="225">
        <f>MONTH(tabela_registros[[#This Row],[DATA 
REGISTRO]])</f>
        <v>1</v>
      </c>
      <c r="D17" s="209">
        <v>43841</v>
      </c>
      <c r="E17" s="204" t="s">
        <v>133</v>
      </c>
      <c r="F17" s="204" t="s">
        <v>113</v>
      </c>
      <c r="G17" s="204" t="s">
        <v>111</v>
      </c>
      <c r="H17" s="204" t="s">
        <v>267</v>
      </c>
      <c r="I17" s="205">
        <v>122.5</v>
      </c>
      <c r="J17" s="206" t="s">
        <v>134</v>
      </c>
      <c r="K17" s="206" t="s">
        <v>135</v>
      </c>
      <c r="L17" s="208">
        <v>43927</v>
      </c>
    </row>
    <row r="18" spans="2:12" ht="27" customHeight="1" x14ac:dyDescent="0.3">
      <c r="B18" s="225">
        <f>DAY(tabela_registros[[#This Row],[DATA 
REGISTRO]])</f>
        <v>12</v>
      </c>
      <c r="C18" s="225">
        <f>MONTH(tabela_registros[[#This Row],[DATA 
REGISTRO]])</f>
        <v>2</v>
      </c>
      <c r="D18" s="209">
        <v>43873</v>
      </c>
      <c r="E18" s="204" t="s">
        <v>117</v>
      </c>
      <c r="F18" s="204" t="s">
        <v>132</v>
      </c>
      <c r="G18" s="204" t="s">
        <v>56</v>
      </c>
      <c r="H18" s="204" t="s">
        <v>268</v>
      </c>
      <c r="I18" s="205">
        <v>115.142857142857</v>
      </c>
      <c r="J18" s="206" t="s">
        <v>134</v>
      </c>
      <c r="K18" s="206" t="s">
        <v>135</v>
      </c>
      <c r="L18" s="208">
        <v>43929</v>
      </c>
    </row>
    <row r="19" spans="2:12" ht="27" customHeight="1" x14ac:dyDescent="0.3">
      <c r="B19" s="225">
        <f>DAY(tabela_registros[[#This Row],[DATA 
REGISTRO]])</f>
        <v>13</v>
      </c>
      <c r="C19" s="225">
        <f>MONTH(tabela_registros[[#This Row],[DATA 
REGISTRO]])</f>
        <v>1</v>
      </c>
      <c r="D19" s="209">
        <v>43843</v>
      </c>
      <c r="E19" s="204" t="s">
        <v>117</v>
      </c>
      <c r="F19" s="204" t="s">
        <v>132</v>
      </c>
      <c r="G19" s="204" t="s">
        <v>39</v>
      </c>
      <c r="H19" s="204" t="s">
        <v>245</v>
      </c>
      <c r="I19" s="205">
        <v>107.78571428571399</v>
      </c>
      <c r="J19" s="206" t="s">
        <v>276</v>
      </c>
      <c r="K19" s="206" t="s">
        <v>118</v>
      </c>
      <c r="L19" s="208">
        <v>43952</v>
      </c>
    </row>
    <row r="20" spans="2:12" ht="27" customHeight="1" x14ac:dyDescent="0.3">
      <c r="B20" s="225">
        <f>DAY(tabela_registros[[#This Row],[DATA 
REGISTRO]])</f>
        <v>14</v>
      </c>
      <c r="C20" s="225">
        <f>MONTH(tabela_registros[[#This Row],[DATA 
REGISTRO]])</f>
        <v>1</v>
      </c>
      <c r="D20" s="209">
        <v>43844</v>
      </c>
      <c r="E20" s="204" t="s">
        <v>117</v>
      </c>
      <c r="F20" s="204" t="s">
        <v>132</v>
      </c>
      <c r="G20" s="204" t="s">
        <v>101</v>
      </c>
      <c r="H20" s="204" t="s">
        <v>244</v>
      </c>
      <c r="I20" s="205">
        <v>100.428571428571</v>
      </c>
      <c r="J20" s="206" t="s">
        <v>276</v>
      </c>
      <c r="K20" s="206" t="s">
        <v>135</v>
      </c>
      <c r="L20" s="208">
        <v>43953</v>
      </c>
    </row>
    <row r="21" spans="2:12" ht="27" customHeight="1" x14ac:dyDescent="0.3">
      <c r="B21" s="225">
        <f>DAY(tabela_registros[[#This Row],[DATA 
REGISTRO]])</f>
        <v>15</v>
      </c>
      <c r="C21" s="225">
        <f>MONTH(tabela_registros[[#This Row],[DATA 
REGISTRO]])</f>
        <v>1</v>
      </c>
      <c r="D21" s="209">
        <v>43845</v>
      </c>
      <c r="E21" s="204" t="s">
        <v>89</v>
      </c>
      <c r="F21" s="204" t="s">
        <v>110</v>
      </c>
      <c r="G21" s="204" t="s">
        <v>108</v>
      </c>
      <c r="H21" s="204" t="s">
        <v>256</v>
      </c>
      <c r="I21" s="205">
        <v>600</v>
      </c>
      <c r="J21" s="206" t="s">
        <v>276</v>
      </c>
      <c r="K21" s="206" t="s">
        <v>118</v>
      </c>
      <c r="L21" s="208">
        <v>43954</v>
      </c>
    </row>
    <row r="22" spans="2:12" ht="27" customHeight="1" x14ac:dyDescent="0.3">
      <c r="B22" s="225">
        <f>DAY(tabela_registros[[#This Row],[DATA 
REGISTRO]])</f>
        <v>16</v>
      </c>
      <c r="C22" s="225">
        <f>MONTH(tabela_registros[[#This Row],[DATA 
REGISTRO]])</f>
        <v>1</v>
      </c>
      <c r="D22" s="209">
        <v>43846</v>
      </c>
      <c r="E22" s="204" t="s">
        <v>117</v>
      </c>
      <c r="F22" s="204" t="s">
        <v>116</v>
      </c>
      <c r="G22" s="204" t="s">
        <v>28</v>
      </c>
      <c r="H22" s="204" t="s">
        <v>243</v>
      </c>
      <c r="I22" s="205">
        <v>85.714285714285595</v>
      </c>
      <c r="J22" s="206" t="s">
        <v>276</v>
      </c>
      <c r="K22" s="206" t="s">
        <v>118</v>
      </c>
      <c r="L22" s="208">
        <v>43955</v>
      </c>
    </row>
    <row r="23" spans="2:12" ht="27" customHeight="1" x14ac:dyDescent="0.3">
      <c r="B23" s="225">
        <f>DAY(tabela_registros[[#This Row],[DATA 
REGISTRO]])</f>
        <v>17</v>
      </c>
      <c r="C23" s="225">
        <f>MONTH(tabela_registros[[#This Row],[DATA 
REGISTRO]])</f>
        <v>1</v>
      </c>
      <c r="D23" s="209">
        <v>43847</v>
      </c>
      <c r="E23" s="204" t="s">
        <v>117</v>
      </c>
      <c r="F23" s="204" t="s">
        <v>116</v>
      </c>
      <c r="G23" s="204" t="s">
        <v>55</v>
      </c>
      <c r="H23" s="204" t="s">
        <v>242</v>
      </c>
      <c r="I23" s="205">
        <v>200</v>
      </c>
      <c r="J23" s="206" t="s">
        <v>276</v>
      </c>
      <c r="K23" s="206" t="s">
        <v>135</v>
      </c>
      <c r="L23" s="208">
        <v>43956</v>
      </c>
    </row>
    <row r="24" spans="2:12" ht="27" customHeight="1" x14ac:dyDescent="0.3">
      <c r="B24" s="225">
        <f>DAY(tabela_registros[[#This Row],[DATA 
REGISTRO]])</f>
        <v>18</v>
      </c>
      <c r="C24" s="225">
        <f>MONTH(tabela_registros[[#This Row],[DATA 
REGISTRO]])</f>
        <v>1</v>
      </c>
      <c r="D24" s="209">
        <v>43848</v>
      </c>
      <c r="E24" s="204" t="s">
        <v>117</v>
      </c>
      <c r="F24" s="204" t="s">
        <v>116</v>
      </c>
      <c r="G24" s="204" t="s">
        <v>100</v>
      </c>
      <c r="H24" s="204" t="s">
        <v>241</v>
      </c>
      <c r="I24" s="205">
        <v>150</v>
      </c>
      <c r="J24" s="206" t="s">
        <v>275</v>
      </c>
      <c r="K24" s="206" t="s">
        <v>135</v>
      </c>
      <c r="L24" s="208">
        <v>43925</v>
      </c>
    </row>
    <row r="25" spans="2:12" ht="27" customHeight="1" x14ac:dyDescent="0.3">
      <c r="B25" s="225">
        <f>DAY(tabela_registros[[#This Row],[DATA 
REGISTRO]])</f>
        <v>19</v>
      </c>
      <c r="C25" s="225">
        <f>MONTH(tabela_registros[[#This Row],[DATA 
REGISTRO]])</f>
        <v>1</v>
      </c>
      <c r="D25" s="209">
        <v>43849</v>
      </c>
      <c r="E25" s="204" t="s">
        <v>117</v>
      </c>
      <c r="F25" s="204" t="s">
        <v>116</v>
      </c>
      <c r="G25" s="204" t="s">
        <v>55</v>
      </c>
      <c r="H25" s="204" t="s">
        <v>240</v>
      </c>
      <c r="I25" s="205">
        <v>63.642857142856599</v>
      </c>
      <c r="J25" s="206" t="s">
        <v>275</v>
      </c>
      <c r="K25" s="206" t="s">
        <v>135</v>
      </c>
      <c r="L25" s="208">
        <v>43992</v>
      </c>
    </row>
    <row r="26" spans="2:12" ht="27" customHeight="1" x14ac:dyDescent="0.3">
      <c r="B26" s="225">
        <f>DAY(tabela_registros[[#This Row],[DATA 
REGISTRO]])</f>
        <v>20</v>
      </c>
      <c r="C26" s="225">
        <f>MONTH(tabela_registros[[#This Row],[DATA 
REGISTRO]])</f>
        <v>1</v>
      </c>
      <c r="D26" s="209">
        <v>43850</v>
      </c>
      <c r="E26" s="204" t="s">
        <v>117</v>
      </c>
      <c r="F26" s="204" t="s">
        <v>116</v>
      </c>
      <c r="G26" s="204" t="s">
        <v>44</v>
      </c>
      <c r="H26" s="204" t="s">
        <v>239</v>
      </c>
      <c r="I26" s="205">
        <v>56.285714285714597</v>
      </c>
      <c r="J26" s="206" t="s">
        <v>275</v>
      </c>
      <c r="K26" s="206" t="s">
        <v>118</v>
      </c>
      <c r="L26" s="208">
        <v>43993</v>
      </c>
    </row>
    <row r="27" spans="2:12" ht="27" customHeight="1" x14ac:dyDescent="0.3">
      <c r="B27" s="225">
        <f>DAY(tabela_registros[[#This Row],[DATA 
REGISTRO]])</f>
        <v>21</v>
      </c>
      <c r="C27" s="225">
        <f>MONTH(tabela_registros[[#This Row],[DATA 
REGISTRO]])</f>
        <v>1</v>
      </c>
      <c r="D27" s="209">
        <v>43851</v>
      </c>
      <c r="E27" s="204" t="s">
        <v>117</v>
      </c>
      <c r="F27" s="204" t="s">
        <v>116</v>
      </c>
      <c r="G27" s="204" t="s">
        <v>25</v>
      </c>
      <c r="H27" s="204" t="s">
        <v>238</v>
      </c>
      <c r="I27" s="205">
        <v>48.928571428571601</v>
      </c>
      <c r="J27" s="206" t="s">
        <v>275</v>
      </c>
      <c r="K27" s="206" t="s">
        <v>135</v>
      </c>
      <c r="L27" s="208">
        <v>43994</v>
      </c>
    </row>
    <row r="28" spans="2:12" ht="27" customHeight="1" x14ac:dyDescent="0.3">
      <c r="B28" s="225">
        <f>DAY(tabela_registros[[#This Row],[DATA 
REGISTRO]])</f>
        <v>22</v>
      </c>
      <c r="C28" s="225">
        <f>MONTH(tabela_registros[[#This Row],[DATA 
REGISTRO]])</f>
        <v>1</v>
      </c>
      <c r="D28" s="209">
        <v>43852</v>
      </c>
      <c r="E28" s="204" t="s">
        <v>117</v>
      </c>
      <c r="F28" s="204" t="s">
        <v>116</v>
      </c>
      <c r="G28" s="204" t="s">
        <v>38</v>
      </c>
      <c r="H28" s="204" t="s">
        <v>237</v>
      </c>
      <c r="I28" s="205">
        <v>41.571428571428598</v>
      </c>
      <c r="J28" s="206" t="s">
        <v>275</v>
      </c>
      <c r="K28" s="206" t="s">
        <v>118</v>
      </c>
      <c r="L28" s="208">
        <v>43995</v>
      </c>
    </row>
    <row r="29" spans="2:12" ht="27" customHeight="1" x14ac:dyDescent="0.3">
      <c r="B29" s="225">
        <f>DAY(tabela_registros[[#This Row],[DATA 
REGISTRO]])</f>
        <v>23</v>
      </c>
      <c r="C29" s="225">
        <f>MONTH(tabela_registros[[#This Row],[DATA 
REGISTRO]])</f>
        <v>1</v>
      </c>
      <c r="D29" s="209">
        <v>43853</v>
      </c>
      <c r="E29" s="204" t="s">
        <v>102</v>
      </c>
      <c r="F29" s="204" t="s">
        <v>126</v>
      </c>
      <c r="G29" s="204" t="s">
        <v>125</v>
      </c>
      <c r="H29" s="204" t="s">
        <v>235</v>
      </c>
      <c r="I29" s="205">
        <v>34.214285714285602</v>
      </c>
      <c r="J29" s="206" t="s">
        <v>90</v>
      </c>
      <c r="K29" s="206" t="s">
        <v>118</v>
      </c>
      <c r="L29" s="208">
        <v>43990</v>
      </c>
    </row>
    <row r="30" spans="2:12" ht="27" customHeight="1" x14ac:dyDescent="0.3">
      <c r="B30" s="225">
        <f>DAY(tabela_registros[[#This Row],[DATA 
REGISTRO]])</f>
        <v>24</v>
      </c>
      <c r="C30" s="225">
        <f>MONTH(tabela_registros[[#This Row],[DATA 
REGISTRO]])</f>
        <v>1</v>
      </c>
      <c r="D30" s="209">
        <v>43854</v>
      </c>
      <c r="E30" s="204" t="s">
        <v>89</v>
      </c>
      <c r="F30" s="204" t="s">
        <v>126</v>
      </c>
      <c r="G30" s="204" t="s">
        <v>84</v>
      </c>
      <c r="H30" s="204" t="s">
        <v>235</v>
      </c>
      <c r="I30" s="205">
        <v>211</v>
      </c>
      <c r="J30" s="206" t="s">
        <v>90</v>
      </c>
      <c r="K30" s="206" t="s">
        <v>118</v>
      </c>
      <c r="L30" s="208">
        <v>43991</v>
      </c>
    </row>
    <row r="31" spans="2:12" ht="27" customHeight="1" x14ac:dyDescent="0.3">
      <c r="B31" s="225">
        <f>DAY(tabela_registros[[#This Row],[DATA 
REGISTRO]])</f>
        <v>25</v>
      </c>
      <c r="C31" s="225">
        <f>MONTH(tabela_registros[[#This Row],[DATA 
REGISTRO]])</f>
        <v>1</v>
      </c>
      <c r="D31" s="209">
        <v>43855</v>
      </c>
      <c r="E31" s="204" t="s">
        <v>102</v>
      </c>
      <c r="F31" s="204" t="s">
        <v>110</v>
      </c>
      <c r="G31" s="204" t="s">
        <v>62</v>
      </c>
      <c r="H31" s="204" t="s">
        <v>235</v>
      </c>
      <c r="I31" s="205">
        <v>19.499999999999599</v>
      </c>
      <c r="J31" s="206" t="s">
        <v>90</v>
      </c>
      <c r="K31" s="206" t="s">
        <v>135</v>
      </c>
      <c r="L31" s="208">
        <v>43992</v>
      </c>
    </row>
    <row r="32" spans="2:12" ht="27" customHeight="1" x14ac:dyDescent="0.3">
      <c r="B32" s="225">
        <f>DAY(tabela_registros[[#This Row],[DATA 
REGISTRO]])</f>
        <v>26</v>
      </c>
      <c r="C32" s="225">
        <f>MONTH(tabela_registros[[#This Row],[DATA 
REGISTRO]])</f>
        <v>1</v>
      </c>
      <c r="D32" s="209">
        <v>43856</v>
      </c>
      <c r="E32" s="204" t="s">
        <v>102</v>
      </c>
      <c r="F32" s="204" t="s">
        <v>110</v>
      </c>
      <c r="G32" s="204" t="s">
        <v>124</v>
      </c>
      <c r="H32" s="204" t="s">
        <v>235</v>
      </c>
      <c r="I32" s="205">
        <v>12.142857142856601</v>
      </c>
      <c r="J32" s="206" t="s">
        <v>90</v>
      </c>
      <c r="K32" s="206" t="s">
        <v>118</v>
      </c>
      <c r="L32" s="208">
        <v>43993</v>
      </c>
    </row>
    <row r="33" spans="2:12" ht="27" customHeight="1" x14ac:dyDescent="0.3">
      <c r="B33" s="225">
        <f>DAY(tabela_registros[[#This Row],[DATA 
REGISTRO]])</f>
        <v>27</v>
      </c>
      <c r="C33" s="225">
        <f>MONTH(tabela_registros[[#This Row],[DATA 
REGISTRO]])</f>
        <v>1</v>
      </c>
      <c r="D33" s="209">
        <v>43857</v>
      </c>
      <c r="E33" s="204" t="s">
        <v>102</v>
      </c>
      <c r="F33" s="204" t="s">
        <v>110</v>
      </c>
      <c r="G33" s="204" t="s">
        <v>36</v>
      </c>
      <c r="H33" s="204" t="s">
        <v>235</v>
      </c>
      <c r="I33" s="205">
        <v>4.7857142857145902</v>
      </c>
      <c r="J33" s="206" t="s">
        <v>90</v>
      </c>
      <c r="K33" s="206" t="s">
        <v>135</v>
      </c>
      <c r="L33" s="208">
        <v>43994</v>
      </c>
    </row>
    <row r="34" spans="2:12" ht="27" customHeight="1" x14ac:dyDescent="0.3">
      <c r="B34" s="225">
        <f>DAY(tabela_registros[[#This Row],[DATA 
REGISTRO]])</f>
        <v>28</v>
      </c>
      <c r="C34" s="225">
        <f>MONTH(tabela_registros[[#This Row],[DATA 
REGISTRO]])</f>
        <v>1</v>
      </c>
      <c r="D34" s="209">
        <v>43858</v>
      </c>
      <c r="E34" s="204" t="s">
        <v>102</v>
      </c>
      <c r="F34" s="204" t="s">
        <v>110</v>
      </c>
      <c r="G34" s="204" t="s">
        <v>73</v>
      </c>
      <c r="H34" s="204" t="s">
        <v>235</v>
      </c>
      <c r="I34" s="205">
        <v>50</v>
      </c>
      <c r="J34" s="206" t="s">
        <v>90</v>
      </c>
      <c r="K34" s="206" t="s">
        <v>118</v>
      </c>
      <c r="L34" s="208">
        <v>43995</v>
      </c>
    </row>
    <row r="35" spans="2:12" ht="27" customHeight="1" x14ac:dyDescent="0.3">
      <c r="B35" s="225">
        <f>DAY(tabela_registros[[#This Row],[DATA 
REGISTRO]])</f>
        <v>29</v>
      </c>
      <c r="C35" s="225">
        <f>MONTH(tabela_registros[[#This Row],[DATA 
REGISTRO]])</f>
        <v>1</v>
      </c>
      <c r="D35" s="209">
        <v>43859</v>
      </c>
      <c r="E35" s="204" t="s">
        <v>133</v>
      </c>
      <c r="F35" s="204" t="s">
        <v>129</v>
      </c>
      <c r="G35" s="204" t="s">
        <v>128</v>
      </c>
      <c r="H35" s="204" t="s">
        <v>234</v>
      </c>
      <c r="I35" s="205">
        <v>300</v>
      </c>
      <c r="J35" s="206" t="s">
        <v>134</v>
      </c>
      <c r="K35" s="206" t="s">
        <v>118</v>
      </c>
      <c r="L35" s="208">
        <v>43929</v>
      </c>
    </row>
    <row r="36" spans="2:12" ht="27" customHeight="1" x14ac:dyDescent="0.3">
      <c r="B36" s="225">
        <f>DAY(tabela_registros[[#This Row],[DATA 
REGISTRO]])</f>
        <v>30</v>
      </c>
      <c r="C36" s="225">
        <f>MONTH(tabela_registros[[#This Row],[DATA 
REGISTRO]])</f>
        <v>1</v>
      </c>
      <c r="D36" s="209">
        <v>43860</v>
      </c>
      <c r="E36" s="204" t="s">
        <v>133</v>
      </c>
      <c r="F36" s="204" t="s">
        <v>129</v>
      </c>
      <c r="G36" s="204" t="s">
        <v>130</v>
      </c>
      <c r="H36" s="204" t="s">
        <v>233</v>
      </c>
      <c r="I36" s="205">
        <v>62</v>
      </c>
      <c r="J36" s="206" t="s">
        <v>134</v>
      </c>
      <c r="K36" s="206" t="s">
        <v>118</v>
      </c>
      <c r="L36" s="208">
        <v>43952</v>
      </c>
    </row>
    <row r="37" spans="2:12" ht="27" customHeight="1" x14ac:dyDescent="0.3">
      <c r="B37" s="225">
        <f>DAY(tabela_registros[[#This Row],[DATA 
REGISTRO]])</f>
        <v>31</v>
      </c>
      <c r="C37" s="225">
        <f>MONTH(tabela_registros[[#This Row],[DATA 
REGISTRO]])</f>
        <v>1</v>
      </c>
      <c r="D37" s="209">
        <v>43861</v>
      </c>
      <c r="E37" s="204" t="s">
        <v>133</v>
      </c>
      <c r="F37" s="204" t="s">
        <v>129</v>
      </c>
      <c r="G37" s="204" t="s">
        <v>100</v>
      </c>
      <c r="H37" s="204" t="s">
        <v>232</v>
      </c>
      <c r="I37" s="205">
        <v>68</v>
      </c>
      <c r="J37" s="206" t="s">
        <v>134</v>
      </c>
      <c r="K37" s="206" t="s">
        <v>135</v>
      </c>
      <c r="L37" s="208">
        <v>43956</v>
      </c>
    </row>
    <row r="38" spans="2:12" ht="27" customHeight="1" x14ac:dyDescent="0.3">
      <c r="B38" s="225">
        <f>DAY(tabela_registros[[#This Row],[DATA 
REGISTRO]])</f>
        <v>4</v>
      </c>
      <c r="C38" s="225">
        <f>MONTH(tabela_registros[[#This Row],[DATA 
REGISTRO]])</f>
        <v>1</v>
      </c>
      <c r="D38" s="209">
        <v>43834</v>
      </c>
      <c r="E38" s="204" t="s">
        <v>133</v>
      </c>
      <c r="F38" s="204" t="s">
        <v>129</v>
      </c>
      <c r="G38" s="204" t="s">
        <v>112</v>
      </c>
      <c r="H38" s="204" t="s">
        <v>232</v>
      </c>
      <c r="I38" s="205">
        <v>250</v>
      </c>
      <c r="J38" s="206" t="s">
        <v>90</v>
      </c>
      <c r="K38" s="206" t="s">
        <v>135</v>
      </c>
      <c r="L38" s="208">
        <v>43953</v>
      </c>
    </row>
    <row r="39" spans="2:12" ht="27" customHeight="1" x14ac:dyDescent="0.3">
      <c r="B39" s="225">
        <f>DAY(tabela_registros[[#This Row],[DATA 
REGISTRO]])</f>
        <v>16</v>
      </c>
      <c r="C39" s="225">
        <f>MONTH(tabela_registros[[#This Row],[DATA 
REGISTRO]])</f>
        <v>3</v>
      </c>
      <c r="D39" s="209">
        <v>43906</v>
      </c>
      <c r="E39" s="204" t="s">
        <v>133</v>
      </c>
      <c r="F39" s="204" t="s">
        <v>129</v>
      </c>
      <c r="G39" s="204" t="s">
        <v>99</v>
      </c>
      <c r="H39" s="204" t="s">
        <v>234</v>
      </c>
      <c r="I39" s="205">
        <v>80</v>
      </c>
      <c r="J39" s="206" t="s">
        <v>134</v>
      </c>
      <c r="K39" s="206" t="s">
        <v>118</v>
      </c>
      <c r="L39" s="208">
        <v>44136</v>
      </c>
    </row>
    <row r="40" spans="2:12" ht="27" customHeight="1" x14ac:dyDescent="0.3">
      <c r="B40" s="225">
        <f>DAY(tabela_registros[[#This Row],[DATA 
REGISTRO]])</f>
        <v>2</v>
      </c>
      <c r="C40" s="225">
        <f>MONTH(tabela_registros[[#This Row],[DATA 
REGISTRO]])</f>
        <v>2</v>
      </c>
      <c r="D40" s="209">
        <v>43863</v>
      </c>
      <c r="E40" s="204" t="s">
        <v>89</v>
      </c>
      <c r="F40" s="204" t="s">
        <v>97</v>
      </c>
      <c r="G40" s="204" t="s">
        <v>82</v>
      </c>
      <c r="H40" s="204" t="s">
        <v>234</v>
      </c>
      <c r="I40" s="205">
        <v>86</v>
      </c>
      <c r="J40" s="206" t="s">
        <v>134</v>
      </c>
      <c r="K40" s="206" t="s">
        <v>135</v>
      </c>
      <c r="L40" s="208">
        <v>43954</v>
      </c>
    </row>
    <row r="41" spans="2:12" ht="27" customHeight="1" x14ac:dyDescent="0.3">
      <c r="B41" s="225">
        <f>DAY(tabela_registros[[#This Row],[DATA 
REGISTRO]])</f>
        <v>17</v>
      </c>
      <c r="C41" s="225">
        <f>MONTH(tabela_registros[[#This Row],[DATA 
REGISTRO]])</f>
        <v>3</v>
      </c>
      <c r="D41" s="209">
        <v>43907</v>
      </c>
      <c r="E41" s="204" t="s">
        <v>133</v>
      </c>
      <c r="F41" s="204" t="s">
        <v>129</v>
      </c>
      <c r="G41" s="204" t="s">
        <v>128</v>
      </c>
      <c r="H41" s="204" t="s">
        <v>236</v>
      </c>
      <c r="I41" s="205">
        <v>92</v>
      </c>
      <c r="J41" s="206" t="s">
        <v>90</v>
      </c>
      <c r="K41" s="206" t="s">
        <v>118</v>
      </c>
      <c r="L41" s="208">
        <v>43988</v>
      </c>
    </row>
    <row r="42" spans="2:12" ht="27" customHeight="1" x14ac:dyDescent="0.3">
      <c r="B42" s="225">
        <f>DAY(tabela_registros[[#This Row],[DATA 
REGISTRO]])</f>
        <v>18</v>
      </c>
      <c r="C42" s="225">
        <f>MONTH(tabela_registros[[#This Row],[DATA 
REGISTRO]])</f>
        <v>3</v>
      </c>
      <c r="D42" s="209">
        <v>43908</v>
      </c>
      <c r="E42" s="204" t="s">
        <v>133</v>
      </c>
      <c r="F42" s="204" t="s">
        <v>129</v>
      </c>
      <c r="G42" s="204" t="s">
        <v>25</v>
      </c>
      <c r="H42" s="204" t="s">
        <v>233</v>
      </c>
      <c r="I42" s="205">
        <v>98</v>
      </c>
      <c r="J42" s="206" t="s">
        <v>90</v>
      </c>
      <c r="K42" s="206" t="s">
        <v>135</v>
      </c>
      <c r="L42" s="208">
        <v>43955</v>
      </c>
    </row>
    <row r="43" spans="2:12" ht="27" customHeight="1" x14ac:dyDescent="0.3">
      <c r="B43" s="225">
        <f>DAY(tabela_registros[[#This Row],[DATA 
REGISTRO]])</f>
        <v>18</v>
      </c>
      <c r="C43" s="225">
        <f>MONTH(tabela_registros[[#This Row],[DATA 
REGISTRO]])</f>
        <v>3</v>
      </c>
      <c r="D43" s="209">
        <v>43908</v>
      </c>
      <c r="E43" s="204" t="s">
        <v>133</v>
      </c>
      <c r="F43" s="204" t="s">
        <v>129</v>
      </c>
      <c r="G43" s="204" t="s">
        <v>25</v>
      </c>
      <c r="H43" s="204" t="s">
        <v>235</v>
      </c>
      <c r="I43" s="205">
        <v>104</v>
      </c>
      <c r="J43" s="206" t="s">
        <v>90</v>
      </c>
      <c r="K43" s="206" t="s">
        <v>135</v>
      </c>
      <c r="L43" s="208">
        <v>43989</v>
      </c>
    </row>
    <row r="44" spans="2:12" ht="27" customHeight="1" x14ac:dyDescent="0.3">
      <c r="B44" s="225">
        <f>DAY(tabela_registros[[#This Row],[DATA 
REGISTRO]])</f>
        <v>2</v>
      </c>
      <c r="C44" s="225">
        <f>MONTH(tabela_registros[[#This Row],[DATA 
REGISTRO]])</f>
        <v>2</v>
      </c>
      <c r="D44" s="209">
        <v>43863</v>
      </c>
      <c r="E44" s="204" t="s">
        <v>102</v>
      </c>
      <c r="F44" s="204" t="s">
        <v>110</v>
      </c>
      <c r="G44" s="204" t="s">
        <v>108</v>
      </c>
      <c r="H44" s="204" t="s">
        <v>235</v>
      </c>
      <c r="I44" s="205">
        <v>110</v>
      </c>
      <c r="J44" s="206" t="s">
        <v>90</v>
      </c>
      <c r="K44" s="206" t="s">
        <v>118</v>
      </c>
      <c r="L44" s="208">
        <v>43990</v>
      </c>
    </row>
    <row r="45" spans="2:12" ht="27" customHeight="1" x14ac:dyDescent="0.3">
      <c r="B45" s="225">
        <f>DAY(tabela_registros[[#This Row],[DATA 
REGISTRO]])</f>
        <v>2</v>
      </c>
      <c r="C45" s="225">
        <f>MONTH(tabela_registros[[#This Row],[DATA 
REGISTRO]])</f>
        <v>2</v>
      </c>
      <c r="D45" s="209">
        <v>43863</v>
      </c>
      <c r="E45" s="204" t="s">
        <v>102</v>
      </c>
      <c r="F45" s="204" t="s">
        <v>110</v>
      </c>
      <c r="G45" s="204" t="s">
        <v>83</v>
      </c>
      <c r="H45" s="204" t="s">
        <v>235</v>
      </c>
      <c r="I45" s="205">
        <v>116</v>
      </c>
      <c r="J45" s="206" t="s">
        <v>90</v>
      </c>
      <c r="K45" s="206" t="s">
        <v>118</v>
      </c>
      <c r="L45" s="208">
        <v>43991</v>
      </c>
    </row>
    <row r="46" spans="2:12" ht="27" customHeight="1" x14ac:dyDescent="0.3">
      <c r="B46" s="225">
        <f>DAY(tabela_registros[[#This Row],[DATA 
REGISTRO]])</f>
        <v>2</v>
      </c>
      <c r="C46" s="225">
        <f>MONTH(tabela_registros[[#This Row],[DATA 
REGISTRO]])</f>
        <v>2</v>
      </c>
      <c r="D46" s="209">
        <v>43863</v>
      </c>
      <c r="E46" s="204" t="s">
        <v>102</v>
      </c>
      <c r="F46" s="204" t="s">
        <v>110</v>
      </c>
      <c r="G46" s="204" t="s">
        <v>83</v>
      </c>
      <c r="H46" s="204" t="s">
        <v>235</v>
      </c>
      <c r="I46" s="205">
        <v>122</v>
      </c>
      <c r="J46" s="206" t="s">
        <v>134</v>
      </c>
      <c r="K46" s="206" t="s">
        <v>135</v>
      </c>
      <c r="L46" s="208">
        <v>43992</v>
      </c>
    </row>
    <row r="47" spans="2:12" ht="27" customHeight="1" x14ac:dyDescent="0.3">
      <c r="B47" s="225">
        <f>DAY(tabela_registros[[#This Row],[DATA 
REGISTRO]])</f>
        <v>2</v>
      </c>
      <c r="C47" s="225">
        <f>MONTH(tabela_registros[[#This Row],[DATA 
REGISTRO]])</f>
        <v>2</v>
      </c>
      <c r="D47" s="209">
        <v>43863</v>
      </c>
      <c r="E47" s="204" t="s">
        <v>102</v>
      </c>
      <c r="F47" s="204" t="s">
        <v>110</v>
      </c>
      <c r="G47" s="204" t="s">
        <v>95</v>
      </c>
      <c r="H47" s="204" t="s">
        <v>235</v>
      </c>
      <c r="I47" s="205">
        <v>128</v>
      </c>
      <c r="J47" s="206" t="s">
        <v>134</v>
      </c>
      <c r="K47" s="206" t="s">
        <v>118</v>
      </c>
      <c r="L47" s="208">
        <v>43993</v>
      </c>
    </row>
    <row r="48" spans="2:12" ht="27" customHeight="1" x14ac:dyDescent="0.3">
      <c r="B48" s="225">
        <f>DAY(tabela_registros[[#This Row],[DATA 
REGISTRO]])</f>
        <v>2</v>
      </c>
      <c r="C48" s="225">
        <f>MONTH(tabela_registros[[#This Row],[DATA 
REGISTRO]])</f>
        <v>2</v>
      </c>
      <c r="D48" s="209">
        <v>43863</v>
      </c>
      <c r="E48" s="204" t="s">
        <v>102</v>
      </c>
      <c r="F48" s="204" t="s">
        <v>110</v>
      </c>
      <c r="G48" s="204" t="s">
        <v>108</v>
      </c>
      <c r="H48" s="204" t="s">
        <v>235</v>
      </c>
      <c r="I48" s="205">
        <v>134</v>
      </c>
      <c r="J48" s="206" t="s">
        <v>90</v>
      </c>
      <c r="K48" s="206" t="s">
        <v>135</v>
      </c>
      <c r="L48" s="208">
        <v>43994</v>
      </c>
    </row>
    <row r="49" spans="2:12" ht="27" customHeight="1" x14ac:dyDescent="0.3">
      <c r="B49" s="225">
        <f>DAY(tabela_registros[[#This Row],[DATA 
REGISTRO]])</f>
        <v>2</v>
      </c>
      <c r="C49" s="225">
        <f>MONTH(tabela_registros[[#This Row],[DATA 
REGISTRO]])</f>
        <v>2</v>
      </c>
      <c r="D49" s="209">
        <v>43863</v>
      </c>
      <c r="E49" s="204" t="s">
        <v>102</v>
      </c>
      <c r="F49" s="204" t="s">
        <v>110</v>
      </c>
      <c r="G49" s="204" t="s">
        <v>73</v>
      </c>
      <c r="H49" s="204" t="s">
        <v>235</v>
      </c>
      <c r="I49" s="205">
        <v>140</v>
      </c>
      <c r="J49" s="206" t="s">
        <v>90</v>
      </c>
      <c r="K49" s="206" t="s">
        <v>118</v>
      </c>
      <c r="L49" s="208">
        <v>43995</v>
      </c>
    </row>
    <row r="50" spans="2:12" ht="27" customHeight="1" x14ac:dyDescent="0.3">
      <c r="B50" s="225">
        <f>DAY(tabela_registros[[#This Row],[DATA 
REGISTRO]])</f>
        <v>2</v>
      </c>
      <c r="C50" s="225">
        <f>MONTH(tabela_registros[[#This Row],[DATA 
REGISTRO]])</f>
        <v>2</v>
      </c>
      <c r="D50" s="209">
        <v>43863</v>
      </c>
      <c r="E50" s="204" t="s">
        <v>102</v>
      </c>
      <c r="F50" s="204" t="s">
        <v>110</v>
      </c>
      <c r="G50" s="204" t="s">
        <v>52</v>
      </c>
      <c r="H50" s="204" t="s">
        <v>235</v>
      </c>
      <c r="I50" s="205">
        <v>146</v>
      </c>
      <c r="J50" s="206" t="s">
        <v>90</v>
      </c>
      <c r="K50" s="206" t="s">
        <v>118</v>
      </c>
      <c r="L50" s="208">
        <v>43989</v>
      </c>
    </row>
    <row r="51" spans="2:12" ht="27" customHeight="1" x14ac:dyDescent="0.3">
      <c r="B51" s="225">
        <f>DAY(tabela_registros[[#This Row],[DATA 
REGISTRO]])</f>
        <v>1</v>
      </c>
      <c r="C51" s="225">
        <f>MONTH(tabela_registros[[#This Row],[DATA 
REGISTRO]])</f>
        <v>4</v>
      </c>
      <c r="D51" s="209">
        <v>43922</v>
      </c>
      <c r="E51" s="204" t="s">
        <v>133</v>
      </c>
      <c r="F51" s="204" t="s">
        <v>129</v>
      </c>
      <c r="G51" s="204" t="s">
        <v>86</v>
      </c>
      <c r="H51" s="204" t="s">
        <v>234</v>
      </c>
      <c r="I51" s="205">
        <v>152</v>
      </c>
      <c r="J51" s="206" t="s">
        <v>275</v>
      </c>
      <c r="K51" s="206" t="s">
        <v>118</v>
      </c>
      <c r="L51" s="208">
        <v>43926</v>
      </c>
    </row>
    <row r="52" spans="2:12" ht="27" customHeight="1" x14ac:dyDescent="0.3">
      <c r="B52" s="225">
        <f>DAY(tabela_registros[[#This Row],[DATA 
REGISTRO]])</f>
        <v>2</v>
      </c>
      <c r="C52" s="225">
        <f>MONTH(tabela_registros[[#This Row],[DATA 
REGISTRO]])</f>
        <v>4</v>
      </c>
      <c r="D52" s="209">
        <v>43923</v>
      </c>
      <c r="E52" s="204" t="s">
        <v>133</v>
      </c>
      <c r="F52" s="204" t="s">
        <v>129</v>
      </c>
      <c r="G52" s="204" t="s">
        <v>128</v>
      </c>
      <c r="H52" s="204" t="s">
        <v>233</v>
      </c>
      <c r="I52" s="205">
        <v>158</v>
      </c>
      <c r="J52" s="206" t="s">
        <v>275</v>
      </c>
      <c r="K52" s="206" t="s">
        <v>118</v>
      </c>
      <c r="L52" s="208">
        <v>43927</v>
      </c>
    </row>
    <row r="53" spans="2:12" ht="27" customHeight="1" x14ac:dyDescent="0.3">
      <c r="B53" s="225">
        <f>DAY(tabela_registros[[#This Row],[DATA 
REGISTRO]])</f>
        <v>2</v>
      </c>
      <c r="C53" s="225">
        <f>MONTH(tabela_registros[[#This Row],[DATA 
REGISTRO]])</f>
        <v>2</v>
      </c>
      <c r="D53" s="209">
        <v>43863</v>
      </c>
      <c r="E53" s="204" t="s">
        <v>102</v>
      </c>
      <c r="F53" s="204" t="s">
        <v>110</v>
      </c>
      <c r="G53" s="204" t="s">
        <v>83</v>
      </c>
      <c r="H53" s="204" t="s">
        <v>235</v>
      </c>
      <c r="I53" s="205">
        <v>164</v>
      </c>
      <c r="J53" s="206" t="s">
        <v>275</v>
      </c>
      <c r="K53" s="206" t="s">
        <v>135</v>
      </c>
      <c r="L53" s="208">
        <v>43989</v>
      </c>
    </row>
    <row r="54" spans="2:12" ht="27" customHeight="1" x14ac:dyDescent="0.3">
      <c r="B54" s="225">
        <f>DAY(tabela_registros[[#This Row],[DATA 
REGISTRO]])</f>
        <v>2</v>
      </c>
      <c r="C54" s="225">
        <f>MONTH(tabela_registros[[#This Row],[DATA 
REGISTRO]])</f>
        <v>2</v>
      </c>
      <c r="D54" s="209">
        <v>43863</v>
      </c>
      <c r="E54" s="204" t="s">
        <v>102</v>
      </c>
      <c r="F54" s="204" t="s">
        <v>110</v>
      </c>
      <c r="G54" s="204" t="s">
        <v>83</v>
      </c>
      <c r="H54" s="204" t="s">
        <v>235</v>
      </c>
      <c r="I54" s="205">
        <v>170</v>
      </c>
      <c r="J54" s="206" t="s">
        <v>276</v>
      </c>
      <c r="K54" s="206" t="s">
        <v>118</v>
      </c>
      <c r="L54" s="208">
        <v>43990</v>
      </c>
    </row>
    <row r="55" spans="2:12" ht="27" customHeight="1" x14ac:dyDescent="0.3">
      <c r="B55" s="225">
        <f>DAY(tabela_registros[[#This Row],[DATA 
REGISTRO]])</f>
        <v>2</v>
      </c>
      <c r="C55" s="225">
        <f>MONTH(tabela_registros[[#This Row],[DATA 
REGISTRO]])</f>
        <v>2</v>
      </c>
      <c r="D55" s="209">
        <v>43863</v>
      </c>
      <c r="E55" s="204" t="s">
        <v>102</v>
      </c>
      <c r="F55" s="204" t="s">
        <v>97</v>
      </c>
      <c r="G55" s="204" t="s">
        <v>123</v>
      </c>
      <c r="H55" s="204" t="s">
        <v>235</v>
      </c>
      <c r="I55" s="205">
        <v>176</v>
      </c>
      <c r="J55" s="206" t="s">
        <v>134</v>
      </c>
      <c r="K55" s="206" t="s">
        <v>118</v>
      </c>
      <c r="L55" s="208">
        <v>43993</v>
      </c>
    </row>
    <row r="56" spans="2:12" ht="27" customHeight="1" x14ac:dyDescent="0.3">
      <c r="B56" s="225">
        <f>DAY(tabela_registros[[#This Row],[DATA 
REGISTRO]])</f>
        <v>2</v>
      </c>
      <c r="C56" s="225">
        <f>MONTH(tabela_registros[[#This Row],[DATA 
REGISTRO]])</f>
        <v>2</v>
      </c>
      <c r="D56" s="209">
        <v>43863</v>
      </c>
      <c r="E56" s="204" t="s">
        <v>102</v>
      </c>
      <c r="F56" s="204" t="s">
        <v>97</v>
      </c>
      <c r="G56" s="204" t="s">
        <v>61</v>
      </c>
      <c r="H56" s="204" t="s">
        <v>235</v>
      </c>
      <c r="I56" s="205">
        <v>182</v>
      </c>
      <c r="J56" s="206" t="s">
        <v>90</v>
      </c>
      <c r="K56" s="206" t="s">
        <v>135</v>
      </c>
      <c r="L56" s="208">
        <v>43994</v>
      </c>
    </row>
    <row r="57" spans="2:12" ht="27" customHeight="1" x14ac:dyDescent="0.3">
      <c r="B57" s="225">
        <f>DAY(tabela_registros[[#This Row],[DATA 
REGISTRO]])</f>
        <v>16</v>
      </c>
      <c r="C57" s="225">
        <f>MONTH(tabela_registros[[#This Row],[DATA 
REGISTRO]])</f>
        <v>5</v>
      </c>
      <c r="D57" s="209">
        <v>43967</v>
      </c>
      <c r="E57" s="204" t="s">
        <v>133</v>
      </c>
      <c r="F57" s="204" t="s">
        <v>129</v>
      </c>
      <c r="G57" s="204" t="s">
        <v>99</v>
      </c>
      <c r="H57" s="204" t="s">
        <v>232</v>
      </c>
      <c r="I57" s="205">
        <v>230</v>
      </c>
      <c r="J57" s="206" t="s">
        <v>90</v>
      </c>
      <c r="K57" s="206" t="s">
        <v>118</v>
      </c>
      <c r="L57" s="208">
        <v>43928</v>
      </c>
    </row>
    <row r="58" spans="2:12" ht="27" customHeight="1" x14ac:dyDescent="0.3">
      <c r="B58" s="225">
        <f>DAY(tabela_registros[[#This Row],[DATA 
REGISTRO]])</f>
        <v>1</v>
      </c>
      <c r="C58" s="225">
        <f>MONTH(tabela_registros[[#This Row],[DATA 
REGISTRO]])</f>
        <v>7</v>
      </c>
      <c r="D58" s="209">
        <v>44013</v>
      </c>
      <c r="E58" s="204" t="s">
        <v>117</v>
      </c>
      <c r="F58" s="204" t="s">
        <v>116</v>
      </c>
      <c r="G58" s="204" t="s">
        <v>28</v>
      </c>
      <c r="H58" s="204" t="s">
        <v>233</v>
      </c>
      <c r="I58" s="205">
        <v>236</v>
      </c>
      <c r="J58" s="206" t="s">
        <v>90</v>
      </c>
      <c r="K58" s="206" t="s">
        <v>135</v>
      </c>
      <c r="L58" s="208">
        <v>44075</v>
      </c>
    </row>
    <row r="59" spans="2:12" ht="27" customHeight="1" x14ac:dyDescent="0.3">
      <c r="B59" s="225">
        <f>DAY(tabela_registros[[#This Row],[DATA 
REGISTRO]])</f>
        <v>2</v>
      </c>
      <c r="C59" s="225">
        <f>MONTH(tabela_registros[[#This Row],[DATA 
REGISTRO]])</f>
        <v>7</v>
      </c>
      <c r="D59" s="209">
        <v>44014</v>
      </c>
      <c r="E59" s="204" t="s">
        <v>117</v>
      </c>
      <c r="F59" s="204" t="s">
        <v>116</v>
      </c>
      <c r="G59" s="204" t="s">
        <v>31</v>
      </c>
      <c r="H59" s="204" t="s">
        <v>232</v>
      </c>
      <c r="I59" s="205">
        <v>248</v>
      </c>
      <c r="J59" s="206" t="s">
        <v>90</v>
      </c>
      <c r="K59" s="206" t="s">
        <v>135</v>
      </c>
      <c r="L59" s="208">
        <v>43922</v>
      </c>
    </row>
    <row r="60" spans="2:12" ht="27" customHeight="1" x14ac:dyDescent="0.3">
      <c r="B60" s="225">
        <f>DAY(tabela_registros[[#This Row],[DATA 
REGISTRO]])</f>
        <v>3</v>
      </c>
      <c r="C60" s="225">
        <f>MONTH(tabela_registros[[#This Row],[DATA 
REGISTRO]])</f>
        <v>7</v>
      </c>
      <c r="D60" s="209">
        <v>44015</v>
      </c>
      <c r="E60" s="204" t="s">
        <v>117</v>
      </c>
      <c r="F60" s="204" t="s">
        <v>116</v>
      </c>
      <c r="G60" s="204" t="s">
        <v>27</v>
      </c>
      <c r="H60" s="204" t="s">
        <v>234</v>
      </c>
      <c r="I60" s="205">
        <v>254</v>
      </c>
      <c r="J60" s="206" t="s">
        <v>90</v>
      </c>
      <c r="K60" s="206" t="s">
        <v>118</v>
      </c>
      <c r="L60" s="208">
        <v>43923</v>
      </c>
    </row>
    <row r="61" spans="2:12" ht="27" customHeight="1" x14ac:dyDescent="0.3">
      <c r="B61" s="225">
        <f>DAY(tabela_registros[[#This Row],[DATA 
REGISTRO]])</f>
        <v>4</v>
      </c>
      <c r="C61" s="225">
        <f>MONTH(tabela_registros[[#This Row],[DATA 
REGISTRO]])</f>
        <v>7</v>
      </c>
      <c r="D61" s="209">
        <v>44016</v>
      </c>
      <c r="E61" s="204" t="s">
        <v>117</v>
      </c>
      <c r="F61" s="204" t="s">
        <v>116</v>
      </c>
      <c r="G61" s="204" t="s">
        <v>25</v>
      </c>
      <c r="H61" s="204" t="s">
        <v>233</v>
      </c>
      <c r="I61" s="205">
        <v>260</v>
      </c>
      <c r="J61" s="206" t="s">
        <v>90</v>
      </c>
      <c r="K61" s="206" t="s">
        <v>135</v>
      </c>
      <c r="L61" s="208">
        <v>43924</v>
      </c>
    </row>
    <row r="62" spans="2:12" ht="27" customHeight="1" x14ac:dyDescent="0.3">
      <c r="B62" s="225">
        <f>DAY(tabela_registros[[#This Row],[DATA 
REGISTRO]])</f>
        <v>5</v>
      </c>
      <c r="C62" s="225">
        <f>MONTH(tabela_registros[[#This Row],[DATA 
REGISTRO]])</f>
        <v>7</v>
      </c>
      <c r="D62" s="209">
        <v>44017</v>
      </c>
      <c r="E62" s="204" t="s">
        <v>133</v>
      </c>
      <c r="F62" s="204" t="s">
        <v>129</v>
      </c>
      <c r="G62" s="204" t="s">
        <v>112</v>
      </c>
      <c r="H62" s="204" t="s">
        <v>232</v>
      </c>
      <c r="I62" s="205">
        <v>266</v>
      </c>
      <c r="J62" s="206" t="s">
        <v>90</v>
      </c>
      <c r="K62" s="206" t="s">
        <v>118</v>
      </c>
      <c r="L62" s="208">
        <v>43925</v>
      </c>
    </row>
    <row r="63" spans="2:12" ht="27" customHeight="1" x14ac:dyDescent="0.3">
      <c r="B63" s="225">
        <f>DAY(tabela_registros[[#This Row],[DATA 
REGISTRO]])</f>
        <v>3</v>
      </c>
      <c r="C63" s="225">
        <f>MONTH(tabela_registros[[#This Row],[DATA 
REGISTRO]])</f>
        <v>4</v>
      </c>
      <c r="D63" s="209">
        <v>43924</v>
      </c>
      <c r="E63" s="204" t="s">
        <v>117</v>
      </c>
      <c r="F63" s="204" t="s">
        <v>116</v>
      </c>
      <c r="G63" s="204" t="s">
        <v>75</v>
      </c>
      <c r="H63" s="204" t="s">
        <v>231</v>
      </c>
      <c r="I63" s="205">
        <v>450</v>
      </c>
      <c r="J63" s="206" t="s">
        <v>90</v>
      </c>
      <c r="K63" s="206" t="s">
        <v>135</v>
      </c>
      <c r="L63" s="208">
        <v>43963</v>
      </c>
    </row>
    <row r="64" spans="2:12" ht="27" customHeight="1" x14ac:dyDescent="0.3">
      <c r="B64" s="225">
        <f>DAY(tabela_registros[[#This Row],[DATA 
REGISTRO]])</f>
        <v>3</v>
      </c>
      <c r="C64" s="225">
        <f>MONTH(tabela_registros[[#This Row],[DATA 
REGISTRO]])</f>
        <v>5</v>
      </c>
      <c r="D64" s="209">
        <v>43954</v>
      </c>
      <c r="E64" s="204" t="s">
        <v>133</v>
      </c>
      <c r="F64" s="204" t="s">
        <v>113</v>
      </c>
      <c r="G64" s="204" t="s">
        <v>54</v>
      </c>
      <c r="H64" s="204" t="s">
        <v>270</v>
      </c>
      <c r="I64" s="205">
        <v>326</v>
      </c>
      <c r="J64" s="206" t="s">
        <v>269</v>
      </c>
      <c r="K64" s="206" t="s">
        <v>135</v>
      </c>
      <c r="L64" s="208">
        <v>43956</v>
      </c>
    </row>
    <row r="65" spans="2:54" ht="27" customHeight="1" x14ac:dyDescent="0.3">
      <c r="B65" s="225">
        <f>DAY(tabela_registros[[#This Row],[DATA 
REGISTRO]])</f>
        <v>8</v>
      </c>
      <c r="C65" s="225">
        <f>MONTH(tabela_registros[[#This Row],[DATA 
REGISTRO]])</f>
        <v>10</v>
      </c>
      <c r="D65" s="209">
        <v>44112</v>
      </c>
      <c r="E65" s="204" t="s">
        <v>117</v>
      </c>
      <c r="F65" s="204" t="s">
        <v>116</v>
      </c>
      <c r="G65" s="210" t="s">
        <v>55</v>
      </c>
      <c r="H65" s="204" t="s">
        <v>271</v>
      </c>
      <c r="I65" s="211">
        <v>20</v>
      </c>
      <c r="J65" s="206" t="s">
        <v>134</v>
      </c>
      <c r="K65" s="206" t="s">
        <v>135</v>
      </c>
      <c r="L65" s="208">
        <v>44112</v>
      </c>
    </row>
    <row r="66" spans="2:54" ht="27" customHeight="1" x14ac:dyDescent="0.3">
      <c r="B66" s="225">
        <f>DAY(tabela_registros[[#This Row],[DATA 
REGISTRO]])</f>
        <v>1</v>
      </c>
      <c r="C66" s="225">
        <f>MONTH(tabela_registros[[#This Row],[DATA 
REGISTRO]])</f>
        <v>3</v>
      </c>
      <c r="D66" s="209">
        <v>43891</v>
      </c>
      <c r="E66" s="204" t="s">
        <v>133</v>
      </c>
      <c r="F66" s="204" t="s">
        <v>129</v>
      </c>
      <c r="G66" s="210" t="s">
        <v>99</v>
      </c>
      <c r="H66" s="204" t="s">
        <v>273</v>
      </c>
      <c r="I66" s="211">
        <v>50</v>
      </c>
      <c r="J66" s="206" t="s">
        <v>134</v>
      </c>
      <c r="K66" s="206" t="s">
        <v>118</v>
      </c>
      <c r="L66" s="208">
        <v>43891</v>
      </c>
    </row>
    <row r="67" spans="2:54" ht="27" customHeight="1" x14ac:dyDescent="0.3">
      <c r="B67" s="225">
        <f>DAY(tabela_registros[[#This Row],[DATA 
REGISTRO]])</f>
        <v>2</v>
      </c>
      <c r="C67" s="225">
        <f>MONTH(tabela_registros[[#This Row],[DATA 
REGISTRO]])</f>
        <v>10</v>
      </c>
      <c r="D67" s="209">
        <v>44106</v>
      </c>
      <c r="E67" s="204" t="s">
        <v>117</v>
      </c>
      <c r="F67" s="204" t="s">
        <v>132</v>
      </c>
      <c r="G67" s="210" t="s">
        <v>88</v>
      </c>
      <c r="H67" s="204" t="s">
        <v>274</v>
      </c>
      <c r="I67" s="211">
        <v>69.900000000000006</v>
      </c>
      <c r="J67" s="206" t="s">
        <v>276</v>
      </c>
      <c r="K67" s="206" t="s">
        <v>118</v>
      </c>
      <c r="L67" s="208">
        <v>44119</v>
      </c>
    </row>
    <row r="68" spans="2:54" ht="27" customHeight="1" x14ac:dyDescent="0.3">
      <c r="B68" s="225">
        <f>DAY(tabela_registros[[#This Row],[DATA 
REGISTRO]])</f>
        <v>20</v>
      </c>
      <c r="C68" s="225">
        <f>MONTH(tabela_registros[[#This Row],[DATA 
REGISTRO]])</f>
        <v>8</v>
      </c>
      <c r="D68" s="209">
        <v>44063</v>
      </c>
      <c r="E68" s="204" t="s">
        <v>133</v>
      </c>
      <c r="F68" s="204" t="s">
        <v>129</v>
      </c>
      <c r="G68" s="210" t="s">
        <v>86</v>
      </c>
      <c r="H68" s="204" t="s">
        <v>273</v>
      </c>
      <c r="I68" s="211">
        <v>2000</v>
      </c>
      <c r="J68" s="206" t="s">
        <v>90</v>
      </c>
      <c r="K68" s="206" t="s">
        <v>135</v>
      </c>
      <c r="L68" s="208">
        <v>44094</v>
      </c>
    </row>
    <row r="69" spans="2:54" ht="27" customHeight="1" x14ac:dyDescent="0.3">
      <c r="B69" s="225">
        <f>DAY(tabela_registros[[#This Row],[DATA 
REGISTRO]])</f>
        <v>21</v>
      </c>
      <c r="C69" s="225">
        <f>MONTH(tabela_registros[[#This Row],[DATA 
REGISTRO]])</f>
        <v>8</v>
      </c>
      <c r="D69" s="209">
        <v>44064</v>
      </c>
      <c r="E69" s="204" t="s">
        <v>133</v>
      </c>
      <c r="F69" s="204" t="s">
        <v>113</v>
      </c>
      <c r="G69" s="210" t="s">
        <v>85</v>
      </c>
      <c r="H69" s="204" t="s">
        <v>236</v>
      </c>
      <c r="I69" s="211">
        <v>420</v>
      </c>
      <c r="J69" s="206" t="s">
        <v>90</v>
      </c>
      <c r="K69" s="206" t="s">
        <v>118</v>
      </c>
      <c r="L69" s="208">
        <v>44064</v>
      </c>
      <c r="X69" s="226"/>
    </row>
    <row r="70" spans="2:54" ht="27" customHeight="1" x14ac:dyDescent="0.3">
      <c r="B70" s="225">
        <f>DAY(tabela_registros[[#This Row],[DATA 
REGISTRO]])</f>
        <v>20</v>
      </c>
      <c r="C70" s="225">
        <f>MONTH(tabela_registros[[#This Row],[DATA 
REGISTRO]])</f>
        <v>3</v>
      </c>
      <c r="D70" s="209">
        <v>43910</v>
      </c>
      <c r="E70" s="204" t="s">
        <v>117</v>
      </c>
      <c r="F70" s="204" t="s">
        <v>132</v>
      </c>
      <c r="G70" s="210" t="s">
        <v>115</v>
      </c>
      <c r="H70" s="204" t="s">
        <v>278</v>
      </c>
      <c r="I70" s="211">
        <v>352</v>
      </c>
      <c r="J70" s="206" t="s">
        <v>275</v>
      </c>
      <c r="K70" s="206" t="s">
        <v>118</v>
      </c>
      <c r="L70" s="208">
        <v>43910</v>
      </c>
    </row>
    <row r="71" spans="2:54" ht="27" customHeight="1" x14ac:dyDescent="0.3">
      <c r="B71" s="225">
        <f>DAY(tabela_registros[[#This Row],[DATA 
REGISTRO]])</f>
        <v>1</v>
      </c>
      <c r="C71" s="225">
        <f>MONTH(tabela_registros[[#This Row],[DATA 
REGISTRO]])</f>
        <v>2</v>
      </c>
      <c r="D71" s="209">
        <v>43862</v>
      </c>
      <c r="E71" s="204" t="s">
        <v>133</v>
      </c>
      <c r="F71" s="204" t="s">
        <v>129</v>
      </c>
      <c r="G71" s="210" t="s">
        <v>99</v>
      </c>
      <c r="H71" s="204" t="s">
        <v>278</v>
      </c>
      <c r="I71" s="211">
        <v>474</v>
      </c>
      <c r="J71" s="206" t="s">
        <v>269</v>
      </c>
      <c r="K71" s="206" t="s">
        <v>135</v>
      </c>
      <c r="L71" s="208">
        <v>43863</v>
      </c>
    </row>
    <row r="72" spans="2:54" ht="27" customHeight="1" x14ac:dyDescent="0.3">
      <c r="B72" s="225">
        <f>DAY(tabela_registros[[#This Row],[DATA 
REGISTRO]])</f>
        <v>12</v>
      </c>
      <c r="C72" s="225">
        <f>MONTH(tabela_registros[[#This Row],[DATA 
REGISTRO]])</f>
        <v>4</v>
      </c>
      <c r="D72" s="209">
        <v>43933</v>
      </c>
      <c r="E72" s="204" t="s">
        <v>117</v>
      </c>
      <c r="F72" s="204" t="s">
        <v>132</v>
      </c>
      <c r="G72" s="210" t="s">
        <v>131</v>
      </c>
      <c r="H72" s="204" t="s">
        <v>279</v>
      </c>
      <c r="I72" s="211">
        <v>125</v>
      </c>
      <c r="J72" s="206" t="s">
        <v>90</v>
      </c>
      <c r="K72" s="206" t="s">
        <v>118</v>
      </c>
      <c r="L72" s="208">
        <v>43933</v>
      </c>
    </row>
    <row r="73" spans="2:54" ht="27" customHeight="1" x14ac:dyDescent="0.3">
      <c r="B73" s="225">
        <f>DAY(tabela_registros[[#This Row],[DATA 
REGISTRO]])</f>
        <v>15</v>
      </c>
      <c r="C73" s="225">
        <f>MONTH(tabela_registros[[#This Row],[DATA 
REGISTRO]])</f>
        <v>8</v>
      </c>
      <c r="D73" s="209">
        <v>44058</v>
      </c>
      <c r="E73" s="204" t="s">
        <v>133</v>
      </c>
      <c r="F73" s="204" t="s">
        <v>113</v>
      </c>
      <c r="G73" s="210" t="s">
        <v>85</v>
      </c>
      <c r="H73" s="204" t="s">
        <v>236</v>
      </c>
      <c r="I73" s="211">
        <v>148</v>
      </c>
      <c r="J73" s="206" t="s">
        <v>76</v>
      </c>
      <c r="K73" s="206" t="s">
        <v>135</v>
      </c>
      <c r="L73" s="208">
        <v>44063</v>
      </c>
    </row>
    <row r="74" spans="2:54" ht="27" customHeight="1" x14ac:dyDescent="0.3">
      <c r="B74" s="225">
        <f>DAY(tabela_registros[[#This Row],[DATA 
REGISTRO]])</f>
        <v>27</v>
      </c>
      <c r="C74" s="225">
        <f>MONTH(tabela_registros[[#This Row],[DATA 
REGISTRO]])</f>
        <v>10</v>
      </c>
      <c r="D74" s="209">
        <v>44131</v>
      </c>
      <c r="E74" s="204" t="s">
        <v>102</v>
      </c>
      <c r="F74" s="204" t="s">
        <v>126</v>
      </c>
      <c r="G74" s="210" t="s">
        <v>125</v>
      </c>
      <c r="H74" s="204" t="s">
        <v>258</v>
      </c>
      <c r="I74" s="211">
        <v>451</v>
      </c>
      <c r="J74" s="206" t="s">
        <v>269</v>
      </c>
      <c r="K74" s="206" t="s">
        <v>118</v>
      </c>
      <c r="L74" s="208">
        <v>44158</v>
      </c>
    </row>
    <row r="75" spans="2:54" ht="27" customHeight="1" x14ac:dyDescent="0.3">
      <c r="B75" s="225">
        <f>DAY(tabela_registros[[#This Row],[DATA 
REGISTRO]])</f>
        <v>1</v>
      </c>
      <c r="C75" s="225">
        <f>MONTH(tabela_registros[[#This Row],[DATA 
REGISTRO]])</f>
        <v>1</v>
      </c>
      <c r="D75" s="209">
        <v>43831</v>
      </c>
      <c r="E75" s="204" t="s">
        <v>89</v>
      </c>
      <c r="F75" s="204" t="s">
        <v>126</v>
      </c>
      <c r="G75" s="210" t="s">
        <v>125</v>
      </c>
      <c r="H75" s="204" t="s">
        <v>258</v>
      </c>
      <c r="I75" s="211">
        <v>1478</v>
      </c>
      <c r="J75" s="206" t="s">
        <v>76</v>
      </c>
      <c r="K75" s="206" t="s">
        <v>135</v>
      </c>
      <c r="L75" s="208">
        <v>43862</v>
      </c>
    </row>
    <row r="76" spans="2:54" ht="27" customHeight="1" x14ac:dyDescent="0.3">
      <c r="B76" s="225">
        <f>DAY(tabela_registros[[#This Row],[DATA 
REGISTRO]])</f>
        <v>29</v>
      </c>
      <c r="C76" s="225">
        <f>MONTH(tabela_registros[[#This Row],[DATA 
REGISTRO]])</f>
        <v>11</v>
      </c>
      <c r="D76" s="209">
        <v>44894</v>
      </c>
      <c r="E76" s="204" t="s">
        <v>117</v>
      </c>
      <c r="F76" s="204" t="s">
        <v>132</v>
      </c>
      <c r="G76" s="210" t="s">
        <v>56</v>
      </c>
      <c r="H76" s="204" t="s">
        <v>280</v>
      </c>
      <c r="I76" s="211">
        <v>140</v>
      </c>
      <c r="J76" s="206" t="s">
        <v>269</v>
      </c>
      <c r="K76" s="207" t="s">
        <v>118</v>
      </c>
      <c r="L76" s="228">
        <v>44885</v>
      </c>
    </row>
    <row r="80" spans="2:54" ht="27" customHeight="1" x14ac:dyDescent="0.3">
      <c r="BB80" s="226"/>
    </row>
  </sheetData>
  <sheetProtection selectLockedCells="1" autoFilter="0"/>
  <mergeCells count="1">
    <mergeCell ref="D2:E4"/>
  </mergeCells>
  <conditionalFormatting sqref="B6:C6 B76:L1048576 B7:J76">
    <cfRule type="containsBlanks" dxfId="9622" priority="54">
      <formula>LEN(TRIM(B6))=0</formula>
    </cfRule>
  </conditionalFormatting>
  <conditionalFormatting sqref="K7:K75">
    <cfRule type="containsBlanks" dxfId="9621" priority="18">
      <formula>LEN(TRIM(K7))=0</formula>
    </cfRule>
  </conditionalFormatting>
  <conditionalFormatting sqref="L7:L75">
    <cfRule type="containsBlanks" dxfId="9620" priority="9">
      <formula>LEN(TRIM(L7))=0</formula>
    </cfRule>
  </conditionalFormatting>
  <dataValidations count="5">
    <dataValidation type="list" allowBlank="1" showInputMessage="1" showErrorMessage="1" promptTitle="ANTES DE PREENCHER" prompt="ESCOLHA O &quot;REGISTRO&quot;" sqref="F7:F76" xr:uid="{096DC0F5-B711-480E-A753-C0F225CE041E}">
      <formula1>INDIRECT(SUBSTITUTE(E7," ",""))</formula1>
    </dataValidation>
    <dataValidation type="list" allowBlank="1" showInputMessage="1" showErrorMessage="1" promptTitle="ANTES DE PREENCHER" prompt="ESCOLHA O &quot;TIPO&quot;" sqref="G7:G76" xr:uid="{B62D703B-778E-4D6F-9209-39E892984B8B}">
      <formula1>INDIRECT(SUBSTITUTE(F7," ",""))</formula1>
    </dataValidation>
    <dataValidation allowBlank="1" showInputMessage="1" showErrorMessage="1" promptTitle="ANTES DE PREENCHER" prompt="USAR SEMPRE VALORES POSITIVOS, MESMO PARA DESPESAS." sqref="I7:I76" xr:uid="{07ADC6C3-C172-479F-8507-4512E7DF0E89}"/>
    <dataValidation allowBlank="1" showInputMessage="1" showErrorMessage="1" promptTitle="COMECE POR AQUI" prompt="SEMPRE NO FORMATO_x000a_DIA / MÊS" sqref="D7:D76" xr:uid="{A13B2247-030E-46EB-8362-627A5CCAB78C}"/>
    <dataValidation type="list" allowBlank="1" showInputMessage="1" showErrorMessage="1" errorTitle="Formato de registro incorreto" error="Utilize um dos registros da lista ou edite a lista principal de registros." promptTitle="ANTES DE PREENCHER" prompt="PREENCHA A DATA DO REGISTRO" sqref="E7:E76" xr:uid="{A6D60267-02B6-4B1A-8A0C-5785C2C7180A}">
      <formula1>INDIRECT("registros[REGISTRO]")</formula1>
    </dataValidation>
  </dataValidations>
  <hyperlinks>
    <hyperlink ref="L4" location="ANUAL!A1" display="ANUAL" xr:uid="{D9E4B2FA-F0BC-43F1-885F-BC2E706E094B}"/>
  </hyperlinks>
  <pageMargins left="0.511811024" right="0.511811024" top="0.78740157499999996" bottom="0.78740157499999996" header="0.31496062000000002" footer="0.31496062000000002"/>
  <pageSetup paperSize="9" orientation="portrait" r:id="rId1"/>
  <drawing r:id="rId2"/>
  <tableParts count="1">
    <tablePart r:id="rId3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ellIs" priority="41" operator="equal" id="{DFFE88C3-90AE-4FB8-A211-2A5007FF80FA}">
            <xm:f>DADOS!$N$5</xm:f>
            <x14:dxf>
              <font>
                <b/>
                <i val="0"/>
                <color rgb="FF0070C0"/>
              </font>
            </x14:dxf>
          </x14:cfRule>
          <x14:cfRule type="cellIs" priority="42" operator="equal" id="{FB15EBFF-DBF1-4077-80E1-3F21BBB85D56}">
            <xm:f>DADOS!$N$3</xm:f>
            <x14:dxf>
              <font>
                <b/>
                <i val="0"/>
                <color rgb="FF00B050"/>
              </font>
            </x14:dxf>
          </x14:cfRule>
          <x14:cfRule type="cellIs" priority="43" operator="equal" id="{93F173D4-F5EB-4292-A10C-F8B6DA17B585}">
            <xm:f>DADOS!$N$4</xm:f>
            <x14:dxf>
              <font>
                <b/>
                <i val="0"/>
                <color rgb="FFC00000"/>
              </font>
            </x14:dxf>
          </x14:cfRule>
          <xm:sqref>C65:C1048576 E7:E76</xm:sqref>
        </x14:conditionalFormatting>
        <x14:conditionalFormatting xmlns:xm="http://schemas.microsoft.com/office/excel/2006/main">
          <x14:cfRule type="expression" priority="44" id="{EAF85DDB-1C67-4714-9B2E-2ECB6BDF2399}">
            <xm:f>$C65=DADOS!#REF!</xm:f>
            <x14:dxf>
              <font>
                <color rgb="FFA825AB"/>
              </font>
            </x14:dxf>
          </x14:cfRule>
          <x14:cfRule type="expression" priority="45" id="{32D38EAA-F3E4-4184-9D44-41449D331C90}">
            <xm:f>$C65=DADOS!#REF!</xm:f>
            <x14:dxf>
              <font>
                <color theme="4"/>
              </font>
            </x14:dxf>
          </x14:cfRule>
          <x14:cfRule type="expression" priority="46" id="{6D33AE55-3834-496B-AD17-73463E86E8E8}">
            <xm:f>$C65=DADOS!#REF!</xm:f>
            <x14:dxf>
              <font>
                <color theme="9"/>
              </font>
            </x14:dxf>
          </x14:cfRule>
          <x14:cfRule type="expression" priority="47" id="{4636EEF2-EBA9-4393-9547-810DF22E2ACB}">
            <xm:f>$C65=DADOS!#REF!</xm:f>
            <x14:dxf>
              <font>
                <color rgb="FFC00000"/>
              </font>
            </x14:dxf>
          </x14:cfRule>
          <xm:sqref>D65:J1048576</xm:sqref>
        </x14:conditionalFormatting>
        <x14:conditionalFormatting xmlns:xm="http://schemas.microsoft.com/office/excel/2006/main">
          <x14:cfRule type="cellIs" priority="48" operator="equal" id="{0DD4DFED-262F-4122-959B-5D74BF48CF3F}">
            <xm:f>DADOS!#REF!</xm:f>
            <x14:dxf>
              <font>
                <strike/>
              </font>
            </x14:dxf>
          </x14:cfRule>
          <xm:sqref>L76:L1048576</xm:sqref>
        </x14:conditionalFormatting>
        <x14:conditionalFormatting xmlns:xm="http://schemas.microsoft.com/office/excel/2006/main">
          <x14:cfRule type="cellIs" priority="53" operator="equal" id="{E5A8D82D-972B-49A3-8A4A-CE23A1887B25}">
            <xm:f>DADOS!$N$6</xm:f>
            <x14:dxf>
              <font>
                <b/>
                <i val="0"/>
                <color rgb="FFA825AB"/>
              </font>
            </x14:dxf>
          </x14:cfRule>
          <xm:sqref>E7:E1048576</xm:sqref>
        </x14:conditionalFormatting>
        <x14:conditionalFormatting xmlns:xm="http://schemas.microsoft.com/office/excel/2006/main">
          <x14:cfRule type="expression" priority="50" id="{D2068196-F5E6-4CB6-93C5-19C093EBE175}">
            <xm:f>$E7=DADOS!$N$5</xm:f>
            <x14:dxf>
              <font>
                <b/>
                <i val="0"/>
                <color rgb="FF0070C0"/>
              </font>
            </x14:dxf>
          </x14:cfRule>
          <xm:sqref>D7:D1048576 F7:J76</xm:sqref>
        </x14:conditionalFormatting>
        <x14:conditionalFormatting xmlns:xm="http://schemas.microsoft.com/office/excel/2006/main">
          <x14:cfRule type="expression" priority="49" id="{17368EBC-8101-4C11-A1EA-E8CFDD0DC6E7}">
            <xm:f>$E7=DADOS!$N$6</xm:f>
            <x14:dxf>
              <font>
                <b/>
                <i val="0"/>
                <color rgb="FFA825AB"/>
              </font>
            </x14:dxf>
          </x14:cfRule>
          <x14:cfRule type="expression" priority="51" id="{56FED54B-66AD-49A5-94DA-461336599068}">
            <xm:f>$E7=DADOS!$N$3</xm:f>
            <x14:dxf>
              <font>
                <b/>
                <i val="0"/>
                <color rgb="FF00B050"/>
              </font>
            </x14:dxf>
          </x14:cfRule>
          <x14:cfRule type="expression" priority="52" id="{B673386B-1C18-4A70-A38A-BD89667DC0FD}">
            <xm:f>$E7=DADOS!$N$4</xm:f>
            <x14:dxf>
              <font>
                <b/>
                <i val="0"/>
                <color rgb="FFC00000"/>
              </font>
            </x14:dxf>
          </x14:cfRule>
          <xm:sqref>D7:D1048576 F76:L1048576 F7:J76</xm:sqref>
        </x14:conditionalFormatting>
        <x14:conditionalFormatting xmlns:xm="http://schemas.microsoft.com/office/excel/2006/main">
          <x14:cfRule type="expression" priority="10" id="{161747C8-3AA9-46EB-A845-281C6C48B91A}">
            <xm:f>$C64=DADOS!#REF!</xm:f>
            <x14:dxf>
              <font>
                <color rgb="FFA825AB"/>
              </font>
            </x14:dxf>
          </x14:cfRule>
          <x14:cfRule type="expression" priority="11" id="{D0C34366-FBB0-4FE6-9060-DD6D4421803C}">
            <xm:f>$C64=DADOS!#REF!</xm:f>
            <x14:dxf>
              <font>
                <color theme="4"/>
              </font>
            </x14:dxf>
          </x14:cfRule>
          <x14:cfRule type="expression" priority="12" id="{55041A75-2181-4BDF-B182-FB923088D13C}">
            <xm:f>$C64=DADOS!#REF!</xm:f>
            <x14:dxf>
              <font>
                <color theme="9"/>
              </font>
            </x14:dxf>
          </x14:cfRule>
          <x14:cfRule type="expression" priority="13" id="{71C17AA8-C71C-4FF8-8149-40663610BA2B}">
            <xm:f>$C64=DADOS!#REF!</xm:f>
            <x14:dxf>
              <font>
                <color rgb="FFC00000"/>
              </font>
            </x14:dxf>
          </x14:cfRule>
          <xm:sqref>K64:K75</xm:sqref>
        </x14:conditionalFormatting>
        <x14:conditionalFormatting xmlns:xm="http://schemas.microsoft.com/office/excel/2006/main">
          <x14:cfRule type="expression" priority="15" id="{EF2D1F86-C297-42ED-8037-61824DBB266D}">
            <xm:f>$E7=DADOS!$N$5</xm:f>
            <x14:dxf>
              <font>
                <b/>
                <i val="0"/>
                <color rgb="FF0070C0"/>
              </font>
            </x14:dxf>
          </x14:cfRule>
          <xm:sqref>K7:K75</xm:sqref>
        </x14:conditionalFormatting>
        <x14:conditionalFormatting xmlns:xm="http://schemas.microsoft.com/office/excel/2006/main">
          <x14:cfRule type="expression" priority="14" id="{A4527B42-62A7-4812-A26F-3D0253805BA0}">
            <xm:f>$E7=DADOS!$N$6</xm:f>
            <x14:dxf>
              <font>
                <b/>
                <i val="0"/>
                <color rgb="FFA825AB"/>
              </font>
            </x14:dxf>
          </x14:cfRule>
          <x14:cfRule type="expression" priority="16" id="{131D9FF0-0EB6-4FE8-A55E-A52B58EB5B7C}">
            <xm:f>$E7=DADOS!$N$3</xm:f>
            <x14:dxf>
              <font>
                <b/>
                <i val="0"/>
                <color rgb="FF00B050"/>
              </font>
            </x14:dxf>
          </x14:cfRule>
          <x14:cfRule type="expression" priority="17" id="{BD9610B0-2DAA-47AB-973F-2B179811D69D}">
            <xm:f>$E7=DADOS!$N$4</xm:f>
            <x14:dxf>
              <font>
                <b/>
                <i val="0"/>
                <color rgb="FFC00000"/>
              </font>
            </x14:dxf>
          </x14:cfRule>
          <xm:sqref>K7:K75</xm:sqref>
        </x14:conditionalFormatting>
        <x14:conditionalFormatting xmlns:xm="http://schemas.microsoft.com/office/excel/2006/main">
          <x14:cfRule type="expression" priority="1" id="{9145FF3D-B32B-41B5-AC3F-6BB0DD3E70DE}">
            <xm:f>$C64=DADOS!#REF!</xm:f>
            <x14:dxf>
              <font>
                <color rgb="FFA825AB"/>
              </font>
            </x14:dxf>
          </x14:cfRule>
          <x14:cfRule type="expression" priority="2" id="{A935B25F-6A73-44FB-A938-7406711A7781}">
            <xm:f>$C64=DADOS!#REF!</xm:f>
            <x14:dxf>
              <font>
                <color theme="4"/>
              </font>
            </x14:dxf>
          </x14:cfRule>
          <x14:cfRule type="expression" priority="3" id="{92417084-230B-432B-A8DA-D1B7D4541DB1}">
            <xm:f>$C64=DADOS!#REF!</xm:f>
            <x14:dxf>
              <font>
                <color theme="9"/>
              </font>
            </x14:dxf>
          </x14:cfRule>
          <x14:cfRule type="expression" priority="4" id="{B22332BB-FC9D-44FB-9ED8-37A6210AD199}">
            <xm:f>$C64=DADOS!#REF!</xm:f>
            <x14:dxf>
              <font>
                <color rgb="FFC00000"/>
              </font>
            </x14:dxf>
          </x14:cfRule>
          <xm:sqref>L64:L75</xm:sqref>
        </x14:conditionalFormatting>
        <x14:conditionalFormatting xmlns:xm="http://schemas.microsoft.com/office/excel/2006/main">
          <x14:cfRule type="expression" priority="6" id="{FC9BC173-5B37-4DEB-82D8-695FE9065D1E}">
            <xm:f>$E7=DADOS!$N$5</xm:f>
            <x14:dxf>
              <font>
                <b/>
                <i val="0"/>
                <color rgb="FF0070C0"/>
              </font>
            </x14:dxf>
          </x14:cfRule>
          <xm:sqref>L7:L75</xm:sqref>
        </x14:conditionalFormatting>
        <x14:conditionalFormatting xmlns:xm="http://schemas.microsoft.com/office/excel/2006/main">
          <x14:cfRule type="expression" priority="5" id="{6965EE9A-5F50-4B1B-9E1C-D8A3489AEB1C}">
            <xm:f>$E7=DADOS!$N$6</xm:f>
            <x14:dxf>
              <font>
                <b/>
                <i val="0"/>
                <color rgb="FFA825AB"/>
              </font>
            </x14:dxf>
          </x14:cfRule>
          <x14:cfRule type="expression" priority="7" id="{717C416A-678C-4A2E-A5A6-18E871A1F033}">
            <xm:f>$E7=DADOS!$N$3</xm:f>
            <x14:dxf>
              <font>
                <b/>
                <i val="0"/>
                <color rgb="FF00B050"/>
              </font>
            </x14:dxf>
          </x14:cfRule>
          <x14:cfRule type="expression" priority="8" id="{A7311932-8307-487C-9CFE-02A41149F31E}">
            <xm:f>$E7=DADOS!$N$4</xm:f>
            <x14:dxf>
              <font>
                <b/>
                <i val="0"/>
                <color rgb="FFC00000"/>
              </font>
            </x14:dxf>
          </x14:cfRule>
          <xm:sqref>L7:L75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3E3FE87A-4987-4B54-9AC9-00E231EFE3CC}">
          <x14:formula1>
            <xm:f>DADOS!$L$3:$L$8</xm:f>
          </x14:formula1>
          <xm:sqref>J7:J76</xm:sqref>
        </x14:dataValidation>
        <x14:dataValidation type="list" allowBlank="1" showInputMessage="1" showErrorMessage="1" xr:uid="{1A0F670A-805B-4F73-A887-CF984939BD4F}">
          <x14:formula1>
            <xm:f>DADOS!$J$3:$J$4</xm:f>
          </x14:formula1>
          <xm:sqref>K7:K76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433F9E-5770-4C59-B954-A2AAAA7F0EF9}">
  <sheetPr codeName="Planilha4">
    <tabColor rgb="FFFFEBAB"/>
  </sheetPr>
  <dimension ref="A1:AZ217"/>
  <sheetViews>
    <sheetView showGridLines="0" showRowColHeaders="0" showZeros="0" zoomScale="85" zoomScaleNormal="85" workbookViewId="0">
      <pane xSplit="3" ySplit="6" topLeftCell="D154" activePane="bottomRight" state="frozen"/>
      <selection activeCell="D24" sqref="D24"/>
      <selection pane="topRight" activeCell="D24" sqref="D24"/>
      <selection pane="bottomLeft" activeCell="D24" sqref="D24"/>
      <selection pane="bottomRight" activeCell="D24" sqref="D24"/>
    </sheetView>
  </sheetViews>
  <sheetFormatPr defaultColWidth="4.44140625" defaultRowHeight="12" zeroHeight="1" x14ac:dyDescent="0.25"/>
  <cols>
    <col min="1" max="1" width="2.109375" style="4" customWidth="1"/>
    <col min="2" max="2" width="1.5546875" style="4" customWidth="1"/>
    <col min="3" max="3" width="29.33203125" style="4" bestFit="1" customWidth="1"/>
    <col min="4" max="4" width="4.6640625" style="4" customWidth="1"/>
    <col min="5" max="17" width="9.5546875" style="4" customWidth="1"/>
    <col min="18" max="18" width="1.5546875" style="4" customWidth="1"/>
    <col min="19" max="19" width="6.5546875" style="4" customWidth="1"/>
    <col min="20" max="26" width="5.5546875" style="4" customWidth="1"/>
    <col min="27" max="33" width="5.5546875" style="131" customWidth="1"/>
    <col min="34" max="34" width="5.5546875" style="143" customWidth="1"/>
    <col min="35" max="35" width="9.5546875" style="131" customWidth="1"/>
    <col min="36" max="36" width="1.44140625" style="131" customWidth="1"/>
    <col min="37" max="37" width="11.33203125" style="131" customWidth="1"/>
    <col min="38" max="39" width="4.44140625" style="131" customWidth="1"/>
    <col min="40" max="46" width="6.5546875" style="131" customWidth="1"/>
    <col min="47" max="16384" width="4.44140625" style="131"/>
  </cols>
  <sheetData>
    <row r="1" spans="1:44" ht="8.25" hidden="1" customHeight="1" thickBot="1" x14ac:dyDescent="0.3">
      <c r="A1" s="80" t="s">
        <v>141</v>
      </c>
      <c r="B1" s="80"/>
      <c r="C1" s="80"/>
      <c r="D1" s="79"/>
      <c r="E1" s="4" t="s">
        <v>197</v>
      </c>
      <c r="F1" s="4" t="s">
        <v>196</v>
      </c>
      <c r="G1" s="4" t="s">
        <v>195</v>
      </c>
      <c r="H1" s="4" t="s">
        <v>194</v>
      </c>
      <c r="I1" s="4" t="s">
        <v>193</v>
      </c>
      <c r="J1" s="4" t="s">
        <v>192</v>
      </c>
      <c r="K1" s="4" t="s">
        <v>191</v>
      </c>
      <c r="L1" s="4" t="s">
        <v>190</v>
      </c>
      <c r="M1" s="4" t="s">
        <v>189</v>
      </c>
      <c r="N1" s="4" t="s">
        <v>188</v>
      </c>
      <c r="O1" s="4" t="s">
        <v>187</v>
      </c>
      <c r="P1" s="4" t="s">
        <v>186</v>
      </c>
      <c r="AC1" s="131" t="s">
        <v>215</v>
      </c>
      <c r="AD1" s="131">
        <v>1</v>
      </c>
      <c r="AG1" s="131" t="s">
        <v>214</v>
      </c>
      <c r="AH1" s="132">
        <f>IF('⚙️'!$Q$3=$AD$1,'⚙️'!$F$13,"")</f>
        <v>350</v>
      </c>
      <c r="AI1" s="131" t="s">
        <v>213</v>
      </c>
      <c r="AJ1" s="132">
        <f>IF('⚙️'!$Q$3=$AD$1,'🏠'!$Q$8,"")</f>
        <v>0</v>
      </c>
      <c r="AK1" s="131" t="s">
        <v>212</v>
      </c>
      <c r="AL1" s="132">
        <f>IF('⚙️'!$Q$3=$AD$1,'🏠'!$Q$9,"")</f>
        <v>0</v>
      </c>
    </row>
    <row r="2" spans="1:44" ht="15.75" customHeight="1" thickTop="1" x14ac:dyDescent="0.25">
      <c r="A2" s="77"/>
      <c r="B2" s="77"/>
      <c r="C2" s="245" t="s">
        <v>22</v>
      </c>
      <c r="D2" s="2"/>
      <c r="E2" s="2"/>
      <c r="F2" s="2"/>
      <c r="G2" s="71"/>
      <c r="H2" s="2"/>
      <c r="I2" s="2"/>
      <c r="J2" s="71"/>
      <c r="K2" s="2"/>
      <c r="L2" s="2"/>
      <c r="M2" s="71"/>
      <c r="N2" s="2"/>
      <c r="O2" s="2"/>
      <c r="P2" s="2"/>
      <c r="Q2" s="2"/>
      <c r="R2" s="2"/>
      <c r="S2" s="71"/>
      <c r="T2" s="71"/>
      <c r="U2" s="71"/>
      <c r="V2" s="71"/>
      <c r="W2" s="71"/>
      <c r="X2" s="71"/>
      <c r="Y2" s="71"/>
      <c r="Z2" s="71"/>
      <c r="AA2" s="71"/>
      <c r="AB2" s="71"/>
      <c r="AC2" s="71"/>
      <c r="AD2" s="133"/>
      <c r="AE2" s="133"/>
      <c r="AF2" s="133"/>
      <c r="AG2" s="133"/>
      <c r="AH2" s="133"/>
      <c r="AI2" s="133"/>
      <c r="AJ2" s="133"/>
      <c r="AK2" s="133"/>
      <c r="AL2" s="132"/>
    </row>
    <row r="3" spans="1:44" s="135" customFormat="1" ht="18" customHeight="1" x14ac:dyDescent="0.25">
      <c r="A3" s="72"/>
      <c r="B3" s="72"/>
      <c r="C3" s="246"/>
      <c r="D3" s="2"/>
      <c r="E3" s="243" t="s">
        <v>211</v>
      </c>
      <c r="F3" s="243"/>
      <c r="G3" s="71"/>
      <c r="H3" s="243" t="s">
        <v>210</v>
      </c>
      <c r="I3" s="243"/>
      <c r="J3" s="71"/>
      <c r="K3" s="243" t="s">
        <v>209</v>
      </c>
      <c r="L3" s="243"/>
      <c r="M3" s="71"/>
      <c r="N3" s="243" t="s">
        <v>208</v>
      </c>
      <c r="O3" s="243"/>
      <c r="P3" s="71"/>
      <c r="Q3" s="243" t="s">
        <v>207</v>
      </c>
      <c r="R3" s="243"/>
      <c r="S3" s="243"/>
      <c r="T3" s="71"/>
      <c r="U3" s="71"/>
      <c r="V3" s="244" t="s">
        <v>23</v>
      </c>
      <c r="W3" s="244"/>
      <c r="X3" s="244" t="s">
        <v>24</v>
      </c>
      <c r="Y3" s="244"/>
      <c r="Z3" s="71"/>
      <c r="AA3" s="71"/>
      <c r="AB3" s="71"/>
      <c r="AC3" s="71"/>
      <c r="AD3" s="133"/>
      <c r="AE3" s="241"/>
      <c r="AF3" s="241"/>
      <c r="AG3" s="134"/>
      <c r="AH3" s="134"/>
      <c r="AI3" s="134"/>
      <c r="AJ3" s="133"/>
      <c r="AK3" s="133"/>
    </row>
    <row r="4" spans="1:44" s="135" customFormat="1" ht="18" customHeight="1" x14ac:dyDescent="0.25">
      <c r="A4" s="72"/>
      <c r="B4" s="72"/>
      <c r="C4" s="246"/>
      <c r="D4" s="2"/>
      <c r="E4" s="242">
        <f>$Q$16</f>
        <v>2430.1714285714288</v>
      </c>
      <c r="F4" s="242"/>
      <c r="G4" s="71"/>
      <c r="H4" s="242">
        <f>Q14</f>
        <v>5575.3571428571431</v>
      </c>
      <c r="I4" s="242"/>
      <c r="J4" s="71"/>
      <c r="K4" s="242">
        <f>Q15</f>
        <v>3495.1857142857143</v>
      </c>
      <c r="L4" s="242"/>
      <c r="M4" s="71"/>
      <c r="N4" s="242">
        <f>Q25</f>
        <v>2769.6428571428564</v>
      </c>
      <c r="O4" s="242"/>
      <c r="P4" s="71"/>
      <c r="Q4" s="242">
        <f>Q26</f>
        <v>2588</v>
      </c>
      <c r="R4" s="242"/>
      <c r="S4" s="242"/>
      <c r="T4" s="71"/>
      <c r="U4" s="83"/>
      <c r="V4" s="244"/>
      <c r="W4" s="244"/>
      <c r="X4" s="244"/>
      <c r="Y4" s="244"/>
      <c r="Z4" s="71"/>
      <c r="AA4" s="71"/>
      <c r="AB4" s="71"/>
      <c r="AC4" s="71"/>
      <c r="AD4" s="133"/>
      <c r="AE4" s="241"/>
      <c r="AF4" s="241"/>
      <c r="AG4" s="134"/>
      <c r="AH4" s="134"/>
      <c r="AI4" s="134"/>
      <c r="AJ4" s="133"/>
      <c r="AK4" s="133"/>
    </row>
    <row r="5" spans="1:44" ht="11.25" customHeight="1" x14ac:dyDescent="0.25">
      <c r="A5" s="72"/>
      <c r="B5" s="72"/>
      <c r="C5" s="246"/>
      <c r="D5" s="2"/>
      <c r="E5" s="2"/>
      <c r="F5" s="2"/>
      <c r="G5" s="71"/>
      <c r="H5" s="2"/>
      <c r="I5" s="2"/>
      <c r="J5" s="71"/>
      <c r="K5" s="2"/>
      <c r="L5" s="2"/>
      <c r="M5" s="71"/>
      <c r="N5" s="2"/>
      <c r="O5" s="2"/>
      <c r="P5" s="2"/>
      <c r="Q5" s="2"/>
      <c r="R5" s="2"/>
      <c r="S5" s="71"/>
      <c r="T5" s="71"/>
      <c r="U5" s="83"/>
      <c r="V5" s="244"/>
      <c r="W5" s="244"/>
      <c r="X5" s="244"/>
      <c r="Y5" s="244"/>
      <c r="Z5" s="71"/>
      <c r="AA5" s="71"/>
      <c r="AB5" s="71"/>
      <c r="AC5" s="71"/>
      <c r="AD5" s="133"/>
      <c r="AE5" s="133"/>
      <c r="AF5" s="133"/>
      <c r="AG5" s="133"/>
      <c r="AH5" s="133"/>
      <c r="AI5" s="133"/>
      <c r="AJ5" s="133"/>
      <c r="AK5" s="133"/>
    </row>
    <row r="6" spans="1:44" ht="13.5" customHeight="1" thickBot="1" x14ac:dyDescent="0.3">
      <c r="A6" s="68"/>
      <c r="B6" s="68"/>
      <c r="C6" s="247"/>
      <c r="D6" s="15"/>
      <c r="E6" s="67" t="s">
        <v>230</v>
      </c>
      <c r="F6" s="67" t="s">
        <v>229</v>
      </c>
      <c r="G6" s="66" t="s">
        <v>216</v>
      </c>
      <c r="H6" s="66" t="s">
        <v>228</v>
      </c>
      <c r="I6" s="67" t="s">
        <v>227</v>
      </c>
      <c r="J6" s="67" t="s">
        <v>226</v>
      </c>
      <c r="K6" s="66" t="s">
        <v>225</v>
      </c>
      <c r="L6" s="66" t="s">
        <v>224</v>
      </c>
      <c r="M6" s="67" t="s">
        <v>223</v>
      </c>
      <c r="N6" s="67" t="s">
        <v>222</v>
      </c>
      <c r="O6" s="66" t="s">
        <v>221</v>
      </c>
      <c r="P6" s="66" t="s">
        <v>220</v>
      </c>
      <c r="Q6" s="71"/>
      <c r="R6" s="71"/>
      <c r="S6" s="71"/>
      <c r="T6" s="71"/>
      <c r="U6" s="71"/>
      <c r="V6" s="71"/>
      <c r="W6" s="71"/>
      <c r="X6" s="71"/>
      <c r="Y6" s="71"/>
      <c r="Z6" s="71"/>
      <c r="AA6" s="71"/>
      <c r="AB6" s="71"/>
      <c r="AC6" s="71"/>
      <c r="AD6" s="133"/>
      <c r="AE6" s="133"/>
      <c r="AF6" s="133"/>
      <c r="AG6" s="133"/>
      <c r="AH6" s="133"/>
      <c r="AI6" s="133"/>
      <c r="AJ6" s="133"/>
      <c r="AK6" s="133"/>
    </row>
    <row r="7" spans="1:44" ht="12.6" thickTop="1" x14ac:dyDescent="0.25">
      <c r="E7" s="37"/>
      <c r="AH7" s="131"/>
    </row>
    <row r="8" spans="1:44" x14ac:dyDescent="0.25">
      <c r="S8" s="81"/>
      <c r="T8" s="81"/>
      <c r="U8" s="81"/>
      <c r="V8" s="81"/>
      <c r="W8" s="81"/>
      <c r="X8" s="81"/>
      <c r="Y8" s="81"/>
      <c r="Z8" s="81"/>
      <c r="AH8" s="131"/>
    </row>
    <row r="9" spans="1:44" x14ac:dyDescent="0.25">
      <c r="S9" s="81"/>
      <c r="T9" s="81"/>
      <c r="U9" s="81"/>
      <c r="V9" s="81"/>
      <c r="W9" s="81"/>
      <c r="X9" s="81"/>
      <c r="Y9" s="81"/>
      <c r="Z9" s="81"/>
      <c r="AH9" s="131"/>
    </row>
    <row r="10" spans="1:44" ht="39.75" customHeight="1" x14ac:dyDescent="0.7">
      <c r="C10" s="36"/>
      <c r="E10" s="240"/>
      <c r="F10" s="240"/>
      <c r="G10" s="240"/>
      <c r="H10" s="240"/>
      <c r="I10" s="240"/>
      <c r="J10" s="240"/>
      <c r="K10" s="240"/>
      <c r="L10" s="240"/>
      <c r="M10" s="240"/>
      <c r="N10" s="240"/>
      <c r="O10" s="240"/>
      <c r="P10" s="240"/>
      <c r="Q10" s="32" t="s">
        <v>19</v>
      </c>
      <c r="R10" s="82"/>
      <c r="S10" s="81"/>
      <c r="T10" s="81"/>
      <c r="U10" s="81"/>
      <c r="V10" s="81"/>
      <c r="W10" s="81"/>
      <c r="X10" s="81"/>
      <c r="Y10" s="81"/>
      <c r="Z10" s="81"/>
      <c r="AH10" s="131"/>
      <c r="AN10" s="136"/>
    </row>
    <row r="11" spans="1:44" ht="12.6" thickBot="1" x14ac:dyDescent="0.3">
      <c r="Q11" s="34" t="s">
        <v>202</v>
      </c>
      <c r="S11" s="81"/>
      <c r="T11" s="81"/>
      <c r="U11" s="81"/>
      <c r="V11" s="81"/>
      <c r="W11" s="81"/>
      <c r="X11" s="81"/>
      <c r="Y11" s="81"/>
      <c r="Z11" s="81"/>
      <c r="AH11" s="131"/>
      <c r="AQ11" s="131" t="s">
        <v>118</v>
      </c>
      <c r="AR11" s="131" t="s">
        <v>118</v>
      </c>
    </row>
    <row r="12" spans="1:44" ht="6.75" customHeight="1" thickTop="1" thickBot="1" x14ac:dyDescent="0.3">
      <c r="B12" s="49"/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81"/>
      <c r="T12" s="81"/>
      <c r="U12" s="81"/>
      <c r="V12" s="81"/>
      <c r="W12" s="81"/>
      <c r="X12" s="81"/>
      <c r="Y12" s="81"/>
      <c r="Z12" s="81"/>
      <c r="AH12" s="131"/>
      <c r="AO12" s="137" t="s">
        <v>118</v>
      </c>
      <c r="AP12" s="137" t="s">
        <v>201</v>
      </c>
      <c r="AQ12" s="137" t="s">
        <v>200</v>
      </c>
      <c r="AR12" s="137" t="s">
        <v>200</v>
      </c>
    </row>
    <row r="13" spans="1:44" ht="13.2" hidden="1" thickTop="1" thickBot="1" x14ac:dyDescent="0.3">
      <c r="B13" s="2"/>
      <c r="C13" s="31" t="s">
        <v>199</v>
      </c>
      <c r="D13" s="30" t="s">
        <v>198</v>
      </c>
      <c r="E13" s="30" t="s">
        <v>197</v>
      </c>
      <c r="F13" s="30" t="s">
        <v>196</v>
      </c>
      <c r="G13" s="30" t="s">
        <v>195</v>
      </c>
      <c r="H13" s="30" t="s">
        <v>194</v>
      </c>
      <c r="I13" s="30" t="s">
        <v>193</v>
      </c>
      <c r="J13" s="30" t="s">
        <v>192</v>
      </c>
      <c r="K13" s="30" t="s">
        <v>191</v>
      </c>
      <c r="L13" s="30" t="s">
        <v>190</v>
      </c>
      <c r="M13" s="30" t="s">
        <v>189</v>
      </c>
      <c r="N13" s="30" t="s">
        <v>188</v>
      </c>
      <c r="O13" s="30" t="s">
        <v>187</v>
      </c>
      <c r="P13" s="30" t="s">
        <v>186</v>
      </c>
      <c r="Q13" s="29" t="s">
        <v>166</v>
      </c>
      <c r="R13" s="49"/>
      <c r="S13" s="81"/>
      <c r="T13" s="81"/>
      <c r="U13" s="81"/>
      <c r="V13" s="81">
        <v>5555</v>
      </c>
      <c r="W13" s="81"/>
      <c r="X13" s="81"/>
      <c r="Y13" s="81"/>
      <c r="Z13" s="81"/>
      <c r="AH13" s="131"/>
    </row>
    <row r="14" spans="1:44" ht="19.5" customHeight="1" thickTop="1" thickBot="1" x14ac:dyDescent="0.3">
      <c r="B14" s="49"/>
      <c r="C14" s="61" t="s">
        <v>206</v>
      </c>
      <c r="D14" s="60"/>
      <c r="E14" s="88">
        <f>jantotal[[#This Row],[TOTAL (R$)]]</f>
        <v>932.357142857143</v>
      </c>
      <c r="F14" s="88">
        <f>fevtotal30[[#This Row],[TOTAL (R$)]]</f>
        <v>474</v>
      </c>
      <c r="G14" s="88">
        <f>martotal3059[[#This Row],[TOTAL (R$)]]</f>
        <v>424</v>
      </c>
      <c r="H14" s="88">
        <f>abrtotal305971[[#This Row],[TOTAL (R$)]]</f>
        <v>310</v>
      </c>
      <c r="I14" s="88">
        <f>maitotal30597183[[#This Row],[TOTAL (R$)]]</f>
        <v>556</v>
      </c>
      <c r="J14" s="88">
        <f>juntotal3059718395[[#This Row],[TOTAL (R$)]]</f>
        <v>0</v>
      </c>
      <c r="K14" s="88">
        <f>jultotal3059718395107[[#This Row],[TOTAL (R$)]]</f>
        <v>266</v>
      </c>
      <c r="L14" s="88">
        <f>agototal3059718395107119[[#This Row],[TOTAL (R$)]]</f>
        <v>2613</v>
      </c>
      <c r="M14" s="88">
        <f>settotal3059718395107119131[[#This Row],[TOTAL (R$)]]</f>
        <v>0</v>
      </c>
      <c r="N14" s="88">
        <f>outtotal3059718395107119131143[[#This Row],[TOTAL (R$)]]</f>
        <v>0</v>
      </c>
      <c r="O14" s="88">
        <f>novtotal3059718395107119131143155[[#This Row],[TOTAL (R$)]]</f>
        <v>0</v>
      </c>
      <c r="P14" s="89">
        <f>deztotal3059718395107119131143155167[[#This Row],[TOTAL (R$)]]</f>
        <v>0</v>
      </c>
      <c r="Q14" s="90">
        <f>SUM(anualtotal39[[#This Row],[1]:[12]])</f>
        <v>5575.3571428571431</v>
      </c>
      <c r="R14" s="49"/>
      <c r="S14" s="81"/>
      <c r="T14" s="81"/>
      <c r="U14" s="81"/>
      <c r="V14" s="81"/>
      <c r="W14" s="81"/>
      <c r="X14" s="81"/>
      <c r="Y14" s="81"/>
      <c r="Z14" s="81"/>
      <c r="AH14" s="131"/>
      <c r="AO14" s="138" t="e">
        <f>SUMIFS(tabela_registros[VALOR],tabela_registros[MÊS],$AE$1,tabela_registros[REGISTRO],DADOS!$N$3,#REF!,DADOS!$J$4)</f>
        <v>#REF!</v>
      </c>
      <c r="AP14" s="138" t="e">
        <f>SUMIFS(tabela_registros[VALOR],tabela_registros[MÊS],$AE$1,tabela_registros[REGISTRO],DADOS!$N$3,#REF!,DADOS!$J$3)</f>
        <v>#REF!</v>
      </c>
      <c r="AQ14" s="139" t="e">
        <f>(AO14*$AQ$16)/$AO$16</f>
        <v>#REF!</v>
      </c>
      <c r="AR14" s="139" t="e">
        <f>(AP14*$AQ$16)/$AP$16</f>
        <v>#REF!</v>
      </c>
    </row>
    <row r="15" spans="1:44" ht="18" customHeight="1" thickTop="1" thickBot="1" x14ac:dyDescent="0.3">
      <c r="B15" s="49"/>
      <c r="C15" s="61" t="s">
        <v>205</v>
      </c>
      <c r="D15" s="60"/>
      <c r="E15" s="91">
        <f>jantotal[[#This Row],[TOTAL (R$)]]</f>
        <v>1225.1428571428571</v>
      </c>
      <c r="F15" s="91">
        <f>fevtotal30[[#This Row],[TOTAL (R$)]]</f>
        <v>115.142857142857</v>
      </c>
      <c r="G15" s="91">
        <f>martotal3059[[#This Row],[TOTAL (R$)]]</f>
        <v>352</v>
      </c>
      <c r="H15" s="91">
        <f>abrtotal305971[[#This Row],[TOTAL (R$)]]</f>
        <v>575</v>
      </c>
      <c r="I15" s="91">
        <f>maitotal30597183[[#This Row],[TOTAL (R$)]]</f>
        <v>0</v>
      </c>
      <c r="J15" s="91">
        <f>juntotal3059718395[[#This Row],[TOTAL (R$)]]</f>
        <v>0</v>
      </c>
      <c r="K15" s="91">
        <f>jultotal3059718395107[[#This Row],[TOTAL (R$)]]</f>
        <v>998</v>
      </c>
      <c r="L15" s="91">
        <f>agototal3059718395107119[[#This Row],[TOTAL (R$)]]</f>
        <v>0</v>
      </c>
      <c r="M15" s="91">
        <f>settotal3059718395107119131[[#This Row],[TOTAL (R$)]]</f>
        <v>0</v>
      </c>
      <c r="N15" s="91">
        <f>outtotal3059718395107119131143[[#This Row],[TOTAL (R$)]]</f>
        <v>89.9</v>
      </c>
      <c r="O15" s="91">
        <f>novtotal3059718395107119131143155[[#This Row],[TOTAL (R$)]]</f>
        <v>140</v>
      </c>
      <c r="P15" s="92">
        <f>deztotal3059718395107119131143155167[[#This Row],[TOTAL (R$)]]</f>
        <v>0</v>
      </c>
      <c r="Q15" s="93">
        <f>SUM(anualtotal39[[#This Row],[1]:[12]])</f>
        <v>3495.1857142857143</v>
      </c>
      <c r="R15" s="49"/>
      <c r="S15" s="81"/>
      <c r="T15" s="81"/>
      <c r="U15" s="81"/>
      <c r="V15" s="81"/>
      <c r="W15" s="81"/>
      <c r="X15" s="81"/>
      <c r="Y15" s="81"/>
      <c r="Z15" s="81"/>
      <c r="AH15" s="131"/>
      <c r="AO15" s="138" t="e">
        <f>SUMIFS(tabela_registros[VALOR],tabela_registros[MÊS],$AE$1,tabela_registros[REGISTRO],DADOS!$N$4,#REF!,DADOS!$J$4)</f>
        <v>#REF!</v>
      </c>
      <c r="AP15" s="138" t="e">
        <f>SUMIFS(tabela_registros[VALOR],tabela_registros[MÊS],$AE$1,tabela_registros[REGISTRO],DADOS!$N$4,#REF!,DADOS!$J$3)</f>
        <v>#REF!</v>
      </c>
      <c r="AQ15" s="139" t="e">
        <f>(AO15*$AQ$16)/$AO$16</f>
        <v>#REF!</v>
      </c>
      <c r="AR15" s="139" t="e">
        <f>(AP15*$AQ$16)/$AP$16</f>
        <v>#REF!</v>
      </c>
    </row>
    <row r="16" spans="1:44" s="140" customFormat="1" ht="21" customHeight="1" thickTop="1" thickBot="1" x14ac:dyDescent="0.3">
      <c r="A16" s="16"/>
      <c r="B16" s="52"/>
      <c r="C16" s="57" t="s">
        <v>204</v>
      </c>
      <c r="D16" s="63"/>
      <c r="E16" s="55">
        <f>jantotal[[#This Row],[TOTAL (R$)]]</f>
        <v>57.21428571428595</v>
      </c>
      <c r="F16" s="54">
        <f>fevtotal30[[#This Row],[TOTAL (R$)]]+anualtotal39[[#This Row],[1]]</f>
        <v>416.07142857142895</v>
      </c>
      <c r="G16" s="54">
        <f>martotal3059[[#This Row],[TOTAL (R$)]]+anualtotal39[[#This Row],[2]]</f>
        <v>488.07142857142895</v>
      </c>
      <c r="H16" s="54">
        <f>abrtotal305971[[#This Row],[TOTAL (R$)]]+anualtotal39[[#This Row],[3]]</f>
        <v>223.07142857142895</v>
      </c>
      <c r="I16" s="54">
        <f>maitotal30597183[[#This Row],[TOTAL (R$)]]+anualtotal39[[#This Row],[4]]</f>
        <v>779.0714285714289</v>
      </c>
      <c r="J16" s="54">
        <f>juntotal3059718395[[#This Row],[TOTAL (R$)]]+anualtotal39[[#This Row],[5]]</f>
        <v>779.0714285714289</v>
      </c>
      <c r="K16" s="54">
        <f>jultotal3059718395107[[#This Row],[TOTAL (R$)]]+anualtotal39[[#This Row],[6]]</f>
        <v>47.071428571428896</v>
      </c>
      <c r="L16" s="54">
        <f>agototal3059718395107119[[#This Row],[TOTAL (R$)]]+anualtotal39[[#This Row],[7]]</f>
        <v>2660.0714285714289</v>
      </c>
      <c r="M16" s="54">
        <f>settotal3059718395107119131[[#This Row],[TOTAL (R$)]]+anualtotal39[[#This Row],[8]]</f>
        <v>2660.0714285714289</v>
      </c>
      <c r="N16" s="54">
        <f>outtotal3059718395107119131143[[#This Row],[TOTAL (R$)]]+anualtotal39[[#This Row],[9]]</f>
        <v>2570.1714285714288</v>
      </c>
      <c r="O16" s="54">
        <f>novtotal3059718395107119131143155[[#This Row],[TOTAL (R$)]]+anualtotal39[[#This Row],[10]]</f>
        <v>2430.1714285714288</v>
      </c>
      <c r="P16" s="62">
        <f>deztotal3059718395107119131143155167[[#This Row],[TOTAL (R$)]]+anualtotal39[[#This Row],[11]]</f>
        <v>2430.1714285714288</v>
      </c>
      <c r="Q16" s="53">
        <f>anualtotal39[[#This Row],[12]]</f>
        <v>2430.1714285714288</v>
      </c>
      <c r="R16" s="52"/>
      <c r="S16" s="81"/>
      <c r="T16" s="81"/>
      <c r="U16" s="81"/>
      <c r="V16" s="81"/>
      <c r="W16" s="81"/>
      <c r="X16" s="81"/>
      <c r="Y16" s="81"/>
      <c r="Z16" s="81"/>
      <c r="AA16" s="131"/>
      <c r="AB16" s="131"/>
      <c r="AC16" s="131"/>
      <c r="AD16" s="131"/>
      <c r="AE16" s="131"/>
      <c r="AF16" s="131"/>
      <c r="AG16" s="131"/>
      <c r="AH16" s="131"/>
      <c r="AI16" s="131"/>
      <c r="AJ16" s="131"/>
      <c r="AK16" s="131"/>
      <c r="AO16" s="141" t="e">
        <f>SUM(AO14:AO15)</f>
        <v>#REF!</v>
      </c>
      <c r="AP16" s="141" t="e">
        <f>SUM(AP14:AP15)</f>
        <v>#REF!</v>
      </c>
      <c r="AQ16" s="142">
        <v>1</v>
      </c>
      <c r="AR16" s="142">
        <v>1</v>
      </c>
    </row>
    <row r="17" spans="1:51" ht="6.75" customHeight="1" thickTop="1" thickBot="1" x14ac:dyDescent="0.3">
      <c r="B17" s="49"/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81"/>
      <c r="T17" s="81"/>
      <c r="U17" s="81"/>
      <c r="V17" s="81"/>
      <c r="W17" s="81"/>
      <c r="X17" s="81"/>
      <c r="Y17" s="81"/>
      <c r="Z17" s="81"/>
      <c r="AH17" s="131"/>
    </row>
    <row r="18" spans="1:51" ht="12.6" thickTop="1" x14ac:dyDescent="0.25">
      <c r="C18" s="46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81"/>
      <c r="T18" s="81"/>
      <c r="U18" s="81"/>
      <c r="V18" s="81"/>
      <c r="W18" s="81"/>
      <c r="X18" s="81"/>
      <c r="Y18" s="81"/>
      <c r="Z18" s="81"/>
      <c r="AH18" s="131"/>
    </row>
    <row r="19" spans="1:51" x14ac:dyDescent="0.25">
      <c r="C19" s="46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81"/>
      <c r="T19" s="81"/>
      <c r="U19" s="81"/>
      <c r="V19" s="81"/>
      <c r="W19" s="81"/>
      <c r="X19" s="81"/>
      <c r="Y19" s="81"/>
      <c r="Z19" s="81"/>
      <c r="AH19" s="131"/>
    </row>
    <row r="20" spans="1:51" x14ac:dyDescent="0.25">
      <c r="A20" s="46"/>
      <c r="B20" s="46"/>
      <c r="C20" s="46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81"/>
      <c r="T20" s="81"/>
      <c r="U20" s="81"/>
      <c r="V20" s="81"/>
      <c r="W20" s="81"/>
      <c r="X20" s="81"/>
      <c r="Y20" s="81"/>
      <c r="Z20" s="81"/>
      <c r="AH20" s="131"/>
    </row>
    <row r="21" spans="1:51" ht="39.75" customHeight="1" x14ac:dyDescent="0.25">
      <c r="A21" s="46"/>
      <c r="B21" s="46"/>
      <c r="C21" s="46"/>
      <c r="E21" s="240"/>
      <c r="F21" s="240"/>
      <c r="G21" s="240"/>
      <c r="H21" s="240"/>
      <c r="I21" s="240"/>
      <c r="J21" s="240"/>
      <c r="K21" s="240"/>
      <c r="L21" s="240"/>
      <c r="M21" s="240"/>
      <c r="N21" s="240"/>
      <c r="O21" s="240"/>
      <c r="P21" s="240"/>
      <c r="Q21" s="32" t="s">
        <v>19</v>
      </c>
      <c r="R21" s="82"/>
      <c r="S21" s="81"/>
      <c r="T21" s="81"/>
      <c r="U21" s="81"/>
      <c r="V21" s="81"/>
      <c r="W21" s="81"/>
      <c r="X21" s="81"/>
      <c r="Y21" s="81"/>
      <c r="Z21" s="81"/>
      <c r="AH21" s="131"/>
    </row>
    <row r="22" spans="1:51" ht="11.25" customHeight="1" thickBot="1" x14ac:dyDescent="0.75">
      <c r="C22" s="36"/>
      <c r="Q22" s="34" t="s">
        <v>202</v>
      </c>
      <c r="S22" s="81"/>
      <c r="T22" s="81"/>
      <c r="U22" s="81"/>
      <c r="V22" s="81"/>
      <c r="W22" s="81"/>
      <c r="X22" s="81"/>
      <c r="Y22" s="81"/>
      <c r="Z22" s="81"/>
      <c r="AH22" s="131"/>
    </row>
    <row r="23" spans="1:51" ht="6.75" customHeight="1" thickTop="1" thickBot="1" x14ac:dyDescent="0.3">
      <c r="B23" s="49"/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81"/>
      <c r="T23" s="81"/>
      <c r="U23" s="81"/>
      <c r="V23" s="81"/>
      <c r="W23" s="81"/>
      <c r="X23" s="81"/>
      <c r="Y23" s="81"/>
      <c r="Z23" s="81"/>
      <c r="AH23" s="131"/>
      <c r="AO23" s="137" t="s">
        <v>118</v>
      </c>
      <c r="AP23" s="137" t="s">
        <v>201</v>
      </c>
      <c r="AQ23" s="137" t="s">
        <v>200</v>
      </c>
    </row>
    <row r="24" spans="1:51" ht="13.2" hidden="1" thickTop="1" thickBot="1" x14ac:dyDescent="0.3">
      <c r="B24" s="2"/>
      <c r="C24" s="30" t="s">
        <v>199</v>
      </c>
      <c r="D24" s="49" t="s">
        <v>198</v>
      </c>
      <c r="E24" s="30" t="s">
        <v>197</v>
      </c>
      <c r="F24" s="30" t="s">
        <v>196</v>
      </c>
      <c r="G24" s="30" t="s">
        <v>195</v>
      </c>
      <c r="H24" s="30" t="s">
        <v>194</v>
      </c>
      <c r="I24" s="30" t="s">
        <v>193</v>
      </c>
      <c r="J24" s="30" t="s">
        <v>192</v>
      </c>
      <c r="K24" s="30" t="s">
        <v>191</v>
      </c>
      <c r="L24" s="30" t="s">
        <v>190</v>
      </c>
      <c r="M24" s="30" t="s">
        <v>189</v>
      </c>
      <c r="N24" s="30" t="s">
        <v>188</v>
      </c>
      <c r="O24" s="30" t="s">
        <v>187</v>
      </c>
      <c r="P24" s="30" t="s">
        <v>186</v>
      </c>
      <c r="Q24" s="29" t="s">
        <v>166</v>
      </c>
      <c r="R24" s="49"/>
      <c r="S24" s="81"/>
      <c r="T24" s="81"/>
      <c r="U24" s="81"/>
      <c r="V24" s="81"/>
      <c r="W24" s="81"/>
      <c r="X24" s="81"/>
      <c r="Y24" s="81"/>
      <c r="Z24" s="81"/>
      <c r="AC24" s="131" t="s">
        <v>7</v>
      </c>
      <c r="AD24" s="131" t="e">
        <f>-#REF!</f>
        <v>#REF!</v>
      </c>
      <c r="AH24" s="131"/>
    </row>
    <row r="25" spans="1:51" ht="19.5" customHeight="1" thickTop="1" thickBot="1" x14ac:dyDescent="0.3">
      <c r="B25" s="49"/>
      <c r="C25" s="61" t="s">
        <v>7</v>
      </c>
      <c r="D25" s="60"/>
      <c r="E25" s="88">
        <f>janinvestir[[#This Row],[TOTAL (R$)]]</f>
        <v>730.64285714285631</v>
      </c>
      <c r="F25" s="88">
        <f>fevinvestir21[[#This Row],[TOTAL (R$)]]</f>
        <v>1588</v>
      </c>
      <c r="G25" s="88">
        <f>marinvestir2158[[#This Row],[TOTAL (R$)]]</f>
        <v>0</v>
      </c>
      <c r="H25" s="88">
        <f>abrinvestir215870[[#This Row],[TOTAL (R$)]]</f>
        <v>0</v>
      </c>
      <c r="I25" s="88">
        <f>maiinvestir21587082[[#This Row],[TOTAL (R$)]]</f>
        <v>0</v>
      </c>
      <c r="J25" s="88">
        <f>juninvestir2158708294[[#This Row],[TOTAL (R$)]]</f>
        <v>0</v>
      </c>
      <c r="K25" s="88">
        <f>julinvestir2158708294106[[#This Row],[TOTAL (R$)]]</f>
        <v>0</v>
      </c>
      <c r="L25" s="88">
        <f>agoinvestir2158708294106118[[#This Row],[TOTAL (R$)]]</f>
        <v>0</v>
      </c>
      <c r="M25" s="88">
        <f>setinvestir2158708294106118130[[#This Row],[TOTAL (R$)]]</f>
        <v>0</v>
      </c>
      <c r="N25" s="88">
        <f>outinvestir2158708294106118130142[[#This Row],[TOTAL (R$)]]</f>
        <v>451</v>
      </c>
      <c r="O25" s="88">
        <f>novinvestir2158708294106118130142154[[#This Row],[TOTAL (R$)]]</f>
        <v>0</v>
      </c>
      <c r="P25" s="89">
        <f>dezinvestir2158708294106118130142154166[[#This Row],[TOTAL (R$)]]</f>
        <v>0</v>
      </c>
      <c r="Q25" s="90">
        <f>SUM(E25:P25)</f>
        <v>2769.6428571428564</v>
      </c>
      <c r="R25" s="49"/>
      <c r="S25" s="81"/>
      <c r="T25" s="81"/>
      <c r="U25" s="81"/>
      <c r="V25" s="81"/>
      <c r="W25" s="81"/>
      <c r="X25" s="81"/>
      <c r="Y25" s="81"/>
      <c r="Z25" s="81"/>
      <c r="AH25" s="131"/>
      <c r="AO25" s="138" t="e">
        <f>SUMIFS(tabela_registros[VALOR],tabela_registros[MÊS],$AE$1,tabela_registros[REGISTRO],DADOS!$N$5,#REF!,DADOS!$J$4)</f>
        <v>#REF!</v>
      </c>
      <c r="AP25" s="138" t="e">
        <f>SUMIFS(tabela_registros[VALOR],tabela_registros[MÊS],$AE$1,tabela_registros[REGISTRO],DADOS!$N$5,#REF!,DADOS!$J$3)</f>
        <v>#REF!</v>
      </c>
      <c r="AQ25" s="139">
        <f>(anualinvestir38[[#This Row],[TOTAL (R$)]]*$AQ$27)/$Q$27</f>
        <v>0.51695175116989067</v>
      </c>
    </row>
    <row r="26" spans="1:51" ht="18" customHeight="1" thickTop="1" thickBot="1" x14ac:dyDescent="0.3">
      <c r="B26" s="49"/>
      <c r="C26" s="59" t="s">
        <v>8</v>
      </c>
      <c r="D26" s="58"/>
      <c r="E26" s="91">
        <f>janinvestir[[#This Row],[TOTAL (R$)]]</f>
        <v>2502</v>
      </c>
      <c r="F26" s="91">
        <f>fevinvestir21[[#This Row],[TOTAL (R$)]]</f>
        <v>86</v>
      </c>
      <c r="G26" s="91">
        <f>marinvestir2158[[#This Row],[TOTAL (R$)]]</f>
        <v>0</v>
      </c>
      <c r="H26" s="91">
        <f>abrinvestir215870[[#This Row],[TOTAL (R$)]]</f>
        <v>0</v>
      </c>
      <c r="I26" s="91">
        <f>maiinvestir21587082[[#This Row],[TOTAL (R$)]]</f>
        <v>0</v>
      </c>
      <c r="J26" s="91">
        <f>juninvestir2158708294[[#This Row],[TOTAL (R$)]]</f>
        <v>0</v>
      </c>
      <c r="K26" s="91">
        <f>julinvestir2158708294106[[#This Row],[TOTAL (R$)]]</f>
        <v>0</v>
      </c>
      <c r="L26" s="91">
        <f>agoinvestir2158708294106118[[#This Row],[TOTAL (R$)]]</f>
        <v>0</v>
      </c>
      <c r="M26" s="91">
        <f>setinvestir2158708294106118130[[#This Row],[TOTAL (R$)]]</f>
        <v>0</v>
      </c>
      <c r="N26" s="91">
        <f>outinvestir2158708294106118130142[[#This Row],[TOTAL (R$)]]</f>
        <v>0</v>
      </c>
      <c r="O26" s="91">
        <f>novinvestir2158708294106118130142154[[#This Row],[TOTAL (R$)]]</f>
        <v>0</v>
      </c>
      <c r="P26" s="92">
        <f>dezinvestir2158708294106118130142154166[[#This Row],[TOTAL (R$)]]</f>
        <v>0</v>
      </c>
      <c r="Q26" s="93">
        <f>SUM(E26:P26)</f>
        <v>2588</v>
      </c>
      <c r="R26" s="49"/>
      <c r="S26" s="81"/>
      <c r="T26" s="81"/>
      <c r="U26" s="81"/>
      <c r="V26" s="81"/>
      <c r="W26" s="81"/>
      <c r="X26" s="81"/>
      <c r="Y26" s="81"/>
      <c r="Z26" s="81"/>
      <c r="AH26" s="131"/>
      <c r="AO26" s="138" t="e">
        <f>SUMIFS(tabela_registros[VALOR],tabela_registros[MÊS],$AE$1,tabela_registros[REGISTRO],DADOS!$N$6,#REF!,DADOS!$J$4)</f>
        <v>#REF!</v>
      </c>
      <c r="AP26" s="138" t="e">
        <f>SUMIFS(tabela_registros[VALOR],tabela_registros[MÊS],$AE$1,tabela_registros[REGISTRO],DADOS!$N$6,#REF!,DADOS!$J$3)</f>
        <v>#REF!</v>
      </c>
      <c r="AQ26" s="139">
        <f>(anualinvestir38[[#This Row],[TOTAL (R$)]]*$AQ$27)/$Q$27</f>
        <v>0.48304824883010922</v>
      </c>
    </row>
    <row r="27" spans="1:51" s="140" customFormat="1" ht="21" customHeight="1" thickTop="1" thickBot="1" x14ac:dyDescent="0.3">
      <c r="A27" s="16"/>
      <c r="B27" s="52"/>
      <c r="C27" s="57" t="s">
        <v>19</v>
      </c>
      <c r="D27" s="56"/>
      <c r="E27" s="55">
        <f>janinvestir[[#This Row],[TOTAL (R$)]]</f>
        <v>3232.6428571428564</v>
      </c>
      <c r="F27" s="54">
        <f>fevinvestir21[[#This Row],[TOTAL (R$)]]+anualinvestir38[[#This Row],[1]]</f>
        <v>4906.6428571428569</v>
      </c>
      <c r="G27" s="54">
        <f>marinvestir2158[[#This Row],[TOTAL (R$)]]+anualinvestir38[[#This Row],[2]]</f>
        <v>4906.6428571428569</v>
      </c>
      <c r="H27" s="54">
        <f>abrinvestir215870[[#This Row],[TOTAL (R$)]]+anualinvestir38[[#This Row],[3]]</f>
        <v>4906.6428571428569</v>
      </c>
      <c r="I27" s="54">
        <f>maiinvestir21587082[[#This Row],[TOTAL (R$)]]+anualinvestir38[[#This Row],[4]]</f>
        <v>4906.6428571428569</v>
      </c>
      <c r="J27" s="54">
        <f>juninvestir2158708294[[#This Row],[TOTAL (R$)]]+anualinvestir38[[#This Row],[5]]</f>
        <v>4906.6428571428569</v>
      </c>
      <c r="K27" s="54">
        <f>julinvestir2158708294106[[#This Row],[TOTAL (R$)]]+anualinvestir38[[#This Row],[6]]</f>
        <v>4906.6428571428569</v>
      </c>
      <c r="L27" s="54">
        <f>agoinvestir2158708294106118[[#This Row],[TOTAL (R$)]]+anualinvestir38[[#This Row],[7]]</f>
        <v>4906.6428571428569</v>
      </c>
      <c r="M27" s="54">
        <f>setinvestir2158708294106118130[[#This Row],[TOTAL (R$)]]+anualinvestir38[[#This Row],[8]]</f>
        <v>4906.6428571428569</v>
      </c>
      <c r="N27" s="54">
        <f>outinvestir2158708294106118130142[[#This Row],[TOTAL (R$)]]+anualinvestir38[[#This Row],[9]]</f>
        <v>5357.6428571428569</v>
      </c>
      <c r="O27" s="54">
        <f>novinvestir2158708294106118130142154[[#This Row],[TOTAL (R$)]]+anualinvestir38[[#This Row],[10]]</f>
        <v>5357.6428571428569</v>
      </c>
      <c r="P27" s="62">
        <f>dezinvestir2158708294106118130142154166[[#This Row],[TOTAL (R$)]]+anualinvestir38[[#This Row],[11]]</f>
        <v>5357.6428571428569</v>
      </c>
      <c r="Q27" s="53">
        <f>anualinvestir38[[#This Row],[12]]</f>
        <v>5357.6428571428569</v>
      </c>
      <c r="R27" s="52"/>
      <c r="S27" s="81"/>
      <c r="T27" s="81"/>
      <c r="U27" s="81"/>
      <c r="V27" s="81"/>
      <c r="W27" s="81"/>
      <c r="X27" s="81"/>
      <c r="Y27" s="81"/>
      <c r="Z27" s="81"/>
      <c r="AA27" s="131"/>
      <c r="AB27" s="131"/>
      <c r="AC27" s="131"/>
      <c r="AD27" s="131"/>
      <c r="AE27" s="131"/>
      <c r="AF27" s="131"/>
      <c r="AG27" s="131"/>
      <c r="AH27" s="131"/>
      <c r="AI27" s="131"/>
      <c r="AJ27" s="131"/>
      <c r="AK27" s="131"/>
      <c r="AO27" s="141" t="e">
        <f>SUM(AO25:AO26)</f>
        <v>#REF!</v>
      </c>
      <c r="AP27" s="141" t="e">
        <f>SUM(AP25:AP26)</f>
        <v>#REF!</v>
      </c>
      <c r="AQ27" s="142">
        <v>1</v>
      </c>
      <c r="AS27" s="131"/>
      <c r="AT27" s="131"/>
      <c r="AU27" s="131"/>
      <c r="AV27" s="131"/>
      <c r="AW27" s="131"/>
      <c r="AX27" s="131"/>
      <c r="AY27" s="131"/>
    </row>
    <row r="28" spans="1:51" ht="6.75" hidden="1" customHeight="1" thickTop="1" thickBot="1" x14ac:dyDescent="0.35">
      <c r="B28" s="49"/>
      <c r="C28" t="s">
        <v>204</v>
      </c>
      <c r="D28"/>
      <c r="E28" s="51">
        <f>SUBTOTAL(109,anualinvestir38[1])</f>
        <v>6465.2857142857129</v>
      </c>
      <c r="F28" s="51">
        <f>SUBTOTAL(109,anualinvestir38[2])</f>
        <v>6580.6428571428569</v>
      </c>
      <c r="G28" s="51">
        <f>SUBTOTAL(109,anualinvestir38[3])</f>
        <v>4906.6428571428569</v>
      </c>
      <c r="H28" s="51">
        <f>SUBTOTAL(109,anualinvestir38[4])</f>
        <v>4906.6428571428569</v>
      </c>
      <c r="I28" s="51">
        <f>SUBTOTAL(109,anualinvestir38[5])</f>
        <v>4906.6428571428569</v>
      </c>
      <c r="J28" s="51">
        <f>SUBTOTAL(109,anualinvestir38[6])</f>
        <v>4906.6428571428569</v>
      </c>
      <c r="K28" s="51">
        <f>SUBTOTAL(109,anualinvestir38[7])</f>
        <v>4906.6428571428569</v>
      </c>
      <c r="L28" s="51">
        <f>SUBTOTAL(109,anualinvestir38[8])</f>
        <v>4906.6428571428569</v>
      </c>
      <c r="M28" s="51">
        <f>SUBTOTAL(109,anualinvestir38[9])</f>
        <v>4906.6428571428569</v>
      </c>
      <c r="N28" s="51">
        <f>SUBTOTAL(109,anualinvestir38[10])</f>
        <v>5808.6428571428569</v>
      </c>
      <c r="O28" s="51">
        <f>SUBTOTAL(109,anualinvestir38[11])</f>
        <v>5357.6428571428569</v>
      </c>
      <c r="P28" s="51">
        <f>SUBTOTAL(109,anualinvestir38[12])</f>
        <v>5357.6428571428569</v>
      </c>
      <c r="Q28" s="51">
        <f>SUBTOTAL(109,anualinvestir38[TOTAL (R$)])</f>
        <v>10715.285714285714</v>
      </c>
      <c r="R28" s="49"/>
      <c r="S28" s="81"/>
      <c r="T28" s="81"/>
      <c r="U28" s="81"/>
      <c r="V28" s="81"/>
      <c r="W28" s="81"/>
      <c r="X28" s="81"/>
      <c r="Y28" s="81"/>
      <c r="Z28" s="81"/>
      <c r="AH28" s="131"/>
    </row>
    <row r="29" spans="1:51" ht="6.75" customHeight="1" thickTop="1" thickBot="1" x14ac:dyDescent="0.3">
      <c r="B29" s="49"/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81"/>
      <c r="T29" s="81"/>
      <c r="U29" s="81"/>
      <c r="V29" s="81"/>
      <c r="W29" s="81"/>
      <c r="X29" s="81"/>
      <c r="Y29" s="81"/>
      <c r="Z29" s="81"/>
      <c r="AH29" s="131"/>
    </row>
    <row r="30" spans="1:51" ht="12.6" thickTop="1" x14ac:dyDescent="0.25">
      <c r="C30" s="46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81"/>
      <c r="T30" s="81"/>
      <c r="U30" s="81"/>
      <c r="V30" s="81"/>
      <c r="W30" s="81"/>
      <c r="X30" s="81"/>
      <c r="Y30" s="81"/>
      <c r="Z30" s="81"/>
      <c r="AH30" s="131"/>
    </row>
    <row r="31" spans="1:51" x14ac:dyDescent="0.25">
      <c r="C31" s="46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81"/>
      <c r="T31" s="81"/>
      <c r="U31" s="81"/>
      <c r="V31" s="81"/>
      <c r="W31" s="81"/>
      <c r="X31" s="81"/>
      <c r="Y31" s="81"/>
      <c r="Z31" s="81"/>
      <c r="AH31" s="131"/>
    </row>
    <row r="32" spans="1:51" x14ac:dyDescent="0.25">
      <c r="C32" s="46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81"/>
      <c r="T32" s="81"/>
      <c r="U32" s="81"/>
      <c r="V32" s="81"/>
      <c r="W32" s="81"/>
      <c r="X32" s="81"/>
      <c r="Y32" s="81"/>
      <c r="Z32" s="81"/>
      <c r="AH32" s="131"/>
    </row>
    <row r="33" spans="2:43" ht="39.75" customHeight="1" x14ac:dyDescent="0.25">
      <c r="C33" s="46"/>
      <c r="E33" s="240"/>
      <c r="F33" s="240"/>
      <c r="G33" s="240"/>
      <c r="H33" s="240"/>
      <c r="I33" s="240"/>
      <c r="J33" s="240"/>
      <c r="K33" s="240"/>
      <c r="L33" s="240"/>
      <c r="M33" s="240"/>
      <c r="N33" s="240"/>
      <c r="O33" s="240"/>
      <c r="P33" s="240"/>
      <c r="Q33" s="32" t="s">
        <v>19</v>
      </c>
      <c r="R33" s="82"/>
      <c r="S33" s="81"/>
      <c r="T33" s="81"/>
      <c r="U33" s="81"/>
      <c r="V33" s="81"/>
      <c r="W33" s="81"/>
      <c r="X33" s="81"/>
      <c r="Y33" s="81"/>
      <c r="Z33" s="81"/>
      <c r="AH33" s="131"/>
    </row>
    <row r="34" spans="2:43" ht="11.25" customHeight="1" thickBot="1" x14ac:dyDescent="0.75">
      <c r="C34" s="36"/>
      <c r="Q34" s="34" t="s">
        <v>202</v>
      </c>
      <c r="S34" s="81"/>
      <c r="T34" s="81"/>
      <c r="U34" s="81"/>
      <c r="V34" s="81"/>
      <c r="W34" s="81"/>
      <c r="X34" s="81"/>
      <c r="Y34" s="81"/>
      <c r="Z34" s="81"/>
      <c r="AH34" s="131"/>
    </row>
    <row r="35" spans="2:43" ht="6.75" customHeight="1" thickTop="1" thickBot="1" x14ac:dyDescent="0.3">
      <c r="B35" s="33"/>
      <c r="C35" s="45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33"/>
      <c r="S35" s="81"/>
      <c r="T35" s="81"/>
      <c r="U35" s="81"/>
      <c r="V35" s="81"/>
      <c r="W35" s="81"/>
      <c r="X35" s="81"/>
      <c r="Y35" s="81"/>
      <c r="Z35" s="81"/>
      <c r="AH35" s="131"/>
      <c r="AO35" s="137" t="s">
        <v>118</v>
      </c>
      <c r="AP35" s="137" t="s">
        <v>201</v>
      </c>
      <c r="AQ35" s="137" t="s">
        <v>200</v>
      </c>
    </row>
    <row r="36" spans="2:43" ht="12.6" hidden="1" thickBot="1" x14ac:dyDescent="0.3">
      <c r="B36" s="2"/>
      <c r="C36" s="31" t="s">
        <v>132</v>
      </c>
      <c r="D36" s="30" t="s">
        <v>198</v>
      </c>
      <c r="E36" s="30" t="s">
        <v>197</v>
      </c>
      <c r="F36" s="30" t="s">
        <v>196</v>
      </c>
      <c r="G36" s="30" t="s">
        <v>195</v>
      </c>
      <c r="H36" s="30" t="s">
        <v>194</v>
      </c>
      <c r="I36" s="30" t="s">
        <v>193</v>
      </c>
      <c r="J36" s="30" t="s">
        <v>192</v>
      </c>
      <c r="K36" s="30" t="s">
        <v>191</v>
      </c>
      <c r="L36" s="30" t="s">
        <v>190</v>
      </c>
      <c r="M36" s="30" t="s">
        <v>189</v>
      </c>
      <c r="N36" s="30" t="s">
        <v>188</v>
      </c>
      <c r="O36" s="30" t="s">
        <v>187</v>
      </c>
      <c r="P36" s="30" t="s">
        <v>186</v>
      </c>
      <c r="Q36" s="42" t="s">
        <v>19</v>
      </c>
      <c r="R36" s="28" t="s">
        <v>203</v>
      </c>
      <c r="S36" s="81" t="s">
        <v>219</v>
      </c>
      <c r="T36" s="81"/>
      <c r="U36" s="81"/>
      <c r="V36" s="81"/>
      <c r="W36" s="81"/>
      <c r="X36" s="81"/>
      <c r="Y36" s="81"/>
      <c r="Z36" s="81"/>
      <c r="AB36" s="131" t="s">
        <v>218</v>
      </c>
      <c r="AH36" s="131"/>
    </row>
    <row r="37" spans="2:43" ht="19.5" customHeight="1" thickTop="1" thickBot="1" x14ac:dyDescent="0.3">
      <c r="B37" s="28"/>
      <c r="C37" s="27" t="str">
        <f>DADOS!$R$3</f>
        <v>💧 ÁGUA</v>
      </c>
      <c r="D37" s="26" t="str">
        <f>IF(despesafixaconsolidadoanual[[#This Row],[TOTAL]]=0,"",IF(OR(despesafixaconsolidadoanual[[#This Row],[TOTAL]]=LARGE($Q$37:$Q$50,1),despesafixaconsolidadoanual[[#This Row],[TOTAL]]=LARGE($Q$37:$Q$50,2),despesafixaconsolidadoanual[[#This Row],[TOTAL]]=LARGE($Q$37:$Q$50,3),despesafixaconsolidadoanual[[#This Row],[TOTAL]]=LARGE($Q$37:$Q$50,4),despesafixaconsolidadoanual[[#This Row],[TOTAL]]=LARGE($Q$37:$Q$50,5)),DADOS!$I$8,""))</f>
        <v>💣</v>
      </c>
      <c r="E37" s="94">
        <f>despesafixaconsolidado[[#This Row],[TOTAL]]</f>
        <v>89</v>
      </c>
      <c r="F37" s="88">
        <f>despesafixaconsolidadofev[[#This Row],[TOTAL]]</f>
        <v>0</v>
      </c>
      <c r="G37" s="88">
        <f>despesafixaconsolidadomar[[#This Row],[TOTAL]]</f>
        <v>0</v>
      </c>
      <c r="H37" s="88">
        <f>despesafixaconsolidadoabr[[#This Row],[TOTAL]]</f>
        <v>125</v>
      </c>
      <c r="I37" s="88">
        <f>despesafixaconsolidadomai[[#This Row],[TOTAL]]</f>
        <v>0</v>
      </c>
      <c r="J37" s="88">
        <f>despesafixaconsolidadojun[[#This Row],[TOTAL]]</f>
        <v>0</v>
      </c>
      <c r="K37" s="88">
        <f>despesafixaconsolidadojul[[#This Row],[TOTAL]]</f>
        <v>0</v>
      </c>
      <c r="L37" s="88">
        <f>despesafixaconsolidadoago[[#This Row],[TOTAL]]</f>
        <v>0</v>
      </c>
      <c r="M37" s="88">
        <f>despesafixaconsolidadoset[[#This Row],[TOTAL]]</f>
        <v>0</v>
      </c>
      <c r="N37" s="88">
        <f>despesafixaconsolidadoout[[#This Row],[TOTAL]]</f>
        <v>0</v>
      </c>
      <c r="O37" s="88">
        <f>despesafixaconsolidadonov[[#This Row],[TOTAL]]</f>
        <v>0</v>
      </c>
      <c r="P37" s="88">
        <f>despesafixaconsolidadodez[[#This Row],[TOTAL]]</f>
        <v>0</v>
      </c>
      <c r="Q37" s="95">
        <f>SUM(despesafixaconsolidadoanual[[#This Row],[1]:[12]])</f>
        <v>214</v>
      </c>
      <c r="R37" s="28"/>
      <c r="S37" s="81"/>
      <c r="T37" s="81"/>
      <c r="U37" s="81"/>
      <c r="V37" s="81"/>
      <c r="W37" s="81"/>
      <c r="X37" s="81"/>
      <c r="Y37" s="81"/>
      <c r="Z37" s="81"/>
      <c r="AH37" s="131"/>
      <c r="AO37" s="138" t="e">
        <f>SUMIFS(tabela_registros[VALOR],tabela_registros[MÊS],$AE$1,tabela_registros[REGISTRO],DADOS!$N$4,tabela_registros[TIPO],DADOS!$P$3,tabela_registros[CATEGORIA],despesafixaconsolidadodez[[#This Row],[DESPESA FIXA]],#REF!,DADOS!$J$4)</f>
        <v>#REF!</v>
      </c>
      <c r="AP37" s="138" t="e">
        <f>SUMIFS(tabela_registros[VALOR],tabela_registros[MÊS],$AE$1,tabela_registros[REGISTRO],DADOS!$N$4,tabela_registros[TIPO],DADOS!$P$3,tabela_registros[CATEGORIA],despesafixaconsolidadodez[[#This Row],[DESPESA FIXA]],#REF!,DADOS!$J$3)</f>
        <v>#REF!</v>
      </c>
      <c r="AQ37" s="139">
        <f>(despesafixaconsolidadoanual[[#This Row],[TOTAL]]*$AQ$51)/$Q$51</f>
        <v>0.19467692467640502</v>
      </c>
    </row>
    <row r="38" spans="2:43" ht="18" customHeight="1" thickTop="1" thickBot="1" x14ac:dyDescent="0.3">
      <c r="B38" s="28"/>
      <c r="C38" s="27" t="str">
        <f>DADOS!$R$4</f>
        <v>🐶 ANIMAIS DE ESTIMAÇÃO</v>
      </c>
      <c r="D38" s="26" t="str">
        <f>IF(despesafixaconsolidadoanual[[#This Row],[TOTAL]]=0,"",IF(OR(despesafixaconsolidadoanual[[#This Row],[TOTAL]]=LARGE($Q$37:$Q$50,1),despesafixaconsolidadoanual[[#This Row],[TOTAL]]=LARGE($Q$37:$Q$50,2),despesafixaconsolidadoanual[[#This Row],[TOTAL]]=LARGE($Q$37:$Q$50,3),despesafixaconsolidadoanual[[#This Row],[TOTAL]]=LARGE($Q$37:$Q$50,4),despesafixaconsolidadoanual[[#This Row],[TOTAL]]=LARGE($Q$37:$Q$50,5)),DADOS!$I$8,""))</f>
        <v>💣</v>
      </c>
      <c r="E38" s="96">
        <f>despesafixaconsolidado[[#This Row],[TOTAL]]</f>
        <v>0</v>
      </c>
      <c r="F38" s="91">
        <f>despesafixaconsolidadofev[[#This Row],[TOTAL]]</f>
        <v>0</v>
      </c>
      <c r="G38" s="91">
        <f>despesafixaconsolidadomar[[#This Row],[TOTAL]]</f>
        <v>352</v>
      </c>
      <c r="H38" s="91">
        <f>despesafixaconsolidadoabr[[#This Row],[TOTAL]]</f>
        <v>0</v>
      </c>
      <c r="I38" s="91">
        <f>despesafixaconsolidadomai[[#This Row],[TOTAL]]</f>
        <v>0</v>
      </c>
      <c r="J38" s="91">
        <f>despesafixaconsolidadojun[[#This Row],[TOTAL]]</f>
        <v>0</v>
      </c>
      <c r="K38" s="91">
        <f>despesafixaconsolidadojul[[#This Row],[TOTAL]]</f>
        <v>0</v>
      </c>
      <c r="L38" s="91">
        <f>despesafixaconsolidadoago[[#This Row],[TOTAL]]</f>
        <v>0</v>
      </c>
      <c r="M38" s="91">
        <f>despesafixaconsolidadoset[[#This Row],[TOTAL]]</f>
        <v>0</v>
      </c>
      <c r="N38" s="91">
        <f>despesafixaconsolidadoout[[#This Row],[TOTAL]]</f>
        <v>0</v>
      </c>
      <c r="O38" s="91">
        <f>despesafixaconsolidadonov[[#This Row],[TOTAL]]</f>
        <v>0</v>
      </c>
      <c r="P38" s="91">
        <f>despesafixaconsolidadodez[[#This Row],[TOTAL]]</f>
        <v>0</v>
      </c>
      <c r="Q38" s="97">
        <f>SUM(despesafixaconsolidadoanual[[#This Row],[1]:[12]])</f>
        <v>352</v>
      </c>
      <c r="R38" s="28"/>
      <c r="S38" s="81"/>
      <c r="T38" s="81"/>
      <c r="U38" s="81"/>
      <c r="V38" s="81"/>
      <c r="W38" s="81"/>
      <c r="X38" s="81"/>
      <c r="Y38" s="81"/>
      <c r="Z38" s="81"/>
      <c r="AH38" s="131"/>
      <c r="AO38" s="138" t="e">
        <f>SUMIFS(tabela_registros[VALOR],tabela_registros[MÊS],$AE$1,tabela_registros[REGISTRO],DADOS!$N$4,tabela_registros[TIPO],DADOS!$P$3,tabela_registros[CATEGORIA],despesafixaconsolidadodez[[#This Row],[DESPESA FIXA]],#REF!,DADOS!$J$4)</f>
        <v>#REF!</v>
      </c>
      <c r="AP38" s="138" t="e">
        <f>SUMIFS(tabela_registros[VALOR],tabela_registros[MÊS],$AE$1,tabela_registros[REGISTRO],DADOS!$N$4,tabela_registros[TIPO],DADOS!$P$3,tabela_registros[CATEGORIA],despesafixaconsolidadodez[[#This Row],[DESPESA FIXA]],#REF!,DADOS!$J$3)</f>
        <v>#REF!</v>
      </c>
      <c r="AQ38" s="139">
        <f>(despesafixaconsolidadoanual[[#This Row],[TOTAL]]*$AQ$51)/$Q$51</f>
        <v>0.32021624993502135</v>
      </c>
    </row>
    <row r="39" spans="2:43" ht="18" customHeight="1" thickTop="1" thickBot="1" x14ac:dyDescent="0.3">
      <c r="B39" s="28"/>
      <c r="C39" s="27" t="str">
        <f>DADOS!$R$5</f>
        <v>🔖 ASSINATURAS E SERVIÇOS</v>
      </c>
      <c r="D39" s="26" t="str">
        <f>IF(despesafixaconsolidadoanual[[#This Row],[TOTAL]]=0,"",IF(OR(despesafixaconsolidadoanual[[#This Row],[TOTAL]]=LARGE($Q$37:$Q$50,1),despesafixaconsolidadoanual[[#This Row],[TOTAL]]=LARGE($Q$37:$Q$50,2),despesafixaconsolidadoanual[[#This Row],[TOTAL]]=LARGE($Q$37:$Q$50,3),despesafixaconsolidadoanual[[#This Row],[TOTAL]]=LARGE($Q$37:$Q$50,4),despesafixaconsolidadoanual[[#This Row],[TOTAL]]=LARGE($Q$37:$Q$50,5)),DADOS!$I$8,""))</f>
        <v>💣</v>
      </c>
      <c r="E39" s="96">
        <f>despesafixaconsolidado[[#This Row],[TOTAL]]</f>
        <v>100.428571428571</v>
      </c>
      <c r="F39" s="91">
        <f>despesafixaconsolidadofev[[#This Row],[TOTAL]]</f>
        <v>0</v>
      </c>
      <c r="G39" s="91">
        <f>despesafixaconsolidadomar[[#This Row],[TOTAL]]</f>
        <v>0</v>
      </c>
      <c r="H39" s="91">
        <f>despesafixaconsolidadoabr[[#This Row],[TOTAL]]</f>
        <v>0</v>
      </c>
      <c r="I39" s="91">
        <f>despesafixaconsolidadomai[[#This Row],[TOTAL]]</f>
        <v>0</v>
      </c>
      <c r="J39" s="91">
        <f>despesafixaconsolidadojun[[#This Row],[TOTAL]]</f>
        <v>0</v>
      </c>
      <c r="K39" s="91">
        <f>despesafixaconsolidadojul[[#This Row],[TOTAL]]</f>
        <v>0</v>
      </c>
      <c r="L39" s="91">
        <f>despesafixaconsolidadoago[[#This Row],[TOTAL]]</f>
        <v>0</v>
      </c>
      <c r="M39" s="91">
        <f>despesafixaconsolidadoset[[#This Row],[TOTAL]]</f>
        <v>0</v>
      </c>
      <c r="N39" s="91">
        <f>despesafixaconsolidadoout[[#This Row],[TOTAL]]</f>
        <v>0</v>
      </c>
      <c r="O39" s="91">
        <f>despesafixaconsolidadonov[[#This Row],[TOTAL]]</f>
        <v>0</v>
      </c>
      <c r="P39" s="91">
        <f>despesafixaconsolidadodez[[#This Row],[TOTAL]]</f>
        <v>0</v>
      </c>
      <c r="Q39" s="97">
        <f>SUM(despesafixaconsolidadoanual[[#This Row],[1]:[12]])</f>
        <v>100.428571428571</v>
      </c>
      <c r="R39" s="28"/>
      <c r="S39" s="81"/>
      <c r="T39" s="81"/>
      <c r="U39" s="81"/>
      <c r="V39" s="81"/>
      <c r="W39" s="81"/>
      <c r="X39" s="81"/>
      <c r="Y39" s="81"/>
      <c r="Z39" s="81"/>
      <c r="AH39" s="131"/>
      <c r="AO39" s="138" t="e">
        <f>SUMIFS(tabela_registros[VALOR],tabela_registros[MÊS],$AE$1,tabela_registros[REGISTRO],DADOS!$N$4,tabela_registros[TIPO],DADOS!$P$3,tabela_registros[CATEGORIA],despesafixaconsolidadodez[[#This Row],[DESPESA FIXA]],#REF!,DADOS!$J$4)</f>
        <v>#REF!</v>
      </c>
      <c r="AP39" s="138" t="e">
        <f>SUMIFS(tabela_registros[VALOR],tabela_registros[MÊS],$AE$1,tabela_registros[REGISTRO],DADOS!$N$4,tabela_registros[TIPO],DADOS!$P$3,tabela_registros[CATEGORIA],despesafixaconsolidadodez[[#This Row],[DESPESA FIXA]],#REF!,DADOS!$J$3)</f>
        <v>#REF!</v>
      </c>
      <c r="AQ39" s="139">
        <f>(despesafixaconsolidadoanual[[#This Row],[TOTAL]]*$AQ$51)/$Q$51</f>
        <v>9.1360399230648967E-2</v>
      </c>
    </row>
    <row r="40" spans="2:43" ht="18" customHeight="1" thickTop="1" thickBot="1" x14ac:dyDescent="0.3">
      <c r="B40" s="28"/>
      <c r="C40" s="27" t="str">
        <f>DADOS!$R$6</f>
        <v>📱 CELULAR</v>
      </c>
      <c r="D40" s="26" t="str">
        <f>IF(despesafixaconsolidadoanual[[#This Row],[TOTAL]]=0,"",IF(OR(despesafixaconsolidadoanual[[#This Row],[TOTAL]]=LARGE($Q$37:$Q$50,1),despesafixaconsolidadoanual[[#This Row],[TOTAL]]=LARGE($Q$37:$Q$50,2),despesafixaconsolidadoanual[[#This Row],[TOTAL]]=LARGE($Q$37:$Q$50,3),despesafixaconsolidadoanual[[#This Row],[TOTAL]]=LARGE($Q$37:$Q$50,4),despesafixaconsolidadoanual[[#This Row],[TOTAL]]=LARGE($Q$37:$Q$50,5)),DADOS!$I$8,""))</f>
        <v/>
      </c>
      <c r="E40" s="96">
        <f>despesafixaconsolidado[[#This Row],[TOTAL]]</f>
        <v>0</v>
      </c>
      <c r="F40" s="91">
        <f>despesafixaconsolidadofev[[#This Row],[TOTAL]]</f>
        <v>0</v>
      </c>
      <c r="G40" s="91">
        <f>despesafixaconsolidadomar[[#This Row],[TOTAL]]</f>
        <v>0</v>
      </c>
      <c r="H40" s="91">
        <f>despesafixaconsolidadoabr[[#This Row],[TOTAL]]</f>
        <v>0</v>
      </c>
      <c r="I40" s="91">
        <f>despesafixaconsolidadomai[[#This Row],[TOTAL]]</f>
        <v>0</v>
      </c>
      <c r="J40" s="91">
        <f>despesafixaconsolidadojun[[#This Row],[TOTAL]]</f>
        <v>0</v>
      </c>
      <c r="K40" s="91">
        <f>despesafixaconsolidadojul[[#This Row],[TOTAL]]</f>
        <v>0</v>
      </c>
      <c r="L40" s="91">
        <f>despesafixaconsolidadoago[[#This Row],[TOTAL]]</f>
        <v>0</v>
      </c>
      <c r="M40" s="91">
        <f>despesafixaconsolidadoset[[#This Row],[TOTAL]]</f>
        <v>0</v>
      </c>
      <c r="N40" s="91">
        <f>despesafixaconsolidadoout[[#This Row],[TOTAL]]</f>
        <v>69.900000000000006</v>
      </c>
      <c r="O40" s="91">
        <f>despesafixaconsolidadonov[[#This Row],[TOTAL]]</f>
        <v>0</v>
      </c>
      <c r="P40" s="91">
        <f>despesafixaconsolidadodez[[#This Row],[TOTAL]]</f>
        <v>0</v>
      </c>
      <c r="Q40" s="97">
        <f>SUM(despesafixaconsolidadoanual[[#This Row],[1]:[12]])</f>
        <v>69.900000000000006</v>
      </c>
      <c r="R40" s="28"/>
      <c r="S40" s="81"/>
      <c r="T40" s="81"/>
      <c r="U40" s="81"/>
      <c r="V40" s="81"/>
      <c r="W40" s="81"/>
      <c r="X40" s="81"/>
      <c r="Y40" s="81"/>
      <c r="Z40" s="81"/>
      <c r="AH40" s="131"/>
      <c r="AO40" s="138" t="e">
        <f>SUMIFS(tabela_registros[VALOR],tabela_registros[MÊS],$AE$1,tabela_registros[REGISTRO],DADOS!$N$4,tabela_registros[TIPO],DADOS!$P$3,tabela_registros[CATEGORIA],despesafixaconsolidadodez[[#This Row],[DESPESA FIXA]],#REF!,DADOS!$J$4)</f>
        <v>#REF!</v>
      </c>
      <c r="AP40" s="138" t="e">
        <f>SUMIFS(tabela_registros[VALOR],tabela_registros[MÊS],$AE$1,tabela_registros[REGISTRO],DADOS!$N$4,tabela_registros[TIPO],DADOS!$P$3,tabela_registros[CATEGORIA],despesafixaconsolidadodez[[#This Row],[DESPESA FIXA]],#REF!,DADOS!$J$3)</f>
        <v>#REF!</v>
      </c>
      <c r="AQ40" s="139">
        <f>(despesafixaconsolidadoanual[[#This Row],[TOTAL]]*$AQ$51)/$Q$51</f>
        <v>6.3588397359255672E-2</v>
      </c>
    </row>
    <row r="41" spans="2:43" ht="18" customHeight="1" thickTop="1" thickBot="1" x14ac:dyDescent="0.3">
      <c r="B41" s="28"/>
      <c r="C41" s="27" t="str">
        <f>DADOS!$R$7</f>
        <v>📖 EDUCAÇÃO</v>
      </c>
      <c r="D41" s="26" t="str">
        <f>IF(despesafixaconsolidadoanual[[#This Row],[TOTAL]]=0,"",IF(OR(despesafixaconsolidadoanual[[#This Row],[TOTAL]]=LARGE($Q$37:$Q$50,1),despesafixaconsolidadoanual[[#This Row],[TOTAL]]=LARGE($Q$37:$Q$50,2),despesafixaconsolidadoanual[[#This Row],[TOTAL]]=LARGE($Q$37:$Q$50,3),despesafixaconsolidadoanual[[#This Row],[TOTAL]]=LARGE($Q$37:$Q$50,4),despesafixaconsolidadoanual[[#This Row],[TOTAL]]=LARGE($Q$37:$Q$50,5)),DADOS!$I$8,""))</f>
        <v/>
      </c>
      <c r="E41" s="96">
        <f>despesafixaconsolidado[[#This Row],[TOTAL]]</f>
        <v>0</v>
      </c>
      <c r="F41" s="91">
        <f>despesafixaconsolidadofev[[#This Row],[TOTAL]]</f>
        <v>0</v>
      </c>
      <c r="G41" s="91">
        <f>despesafixaconsolidadomar[[#This Row],[TOTAL]]</f>
        <v>0</v>
      </c>
      <c r="H41" s="91">
        <f>despesafixaconsolidadoabr[[#This Row],[TOTAL]]</f>
        <v>0</v>
      </c>
      <c r="I41" s="91">
        <f>despesafixaconsolidadomai[[#This Row],[TOTAL]]</f>
        <v>0</v>
      </c>
      <c r="J41" s="91">
        <f>despesafixaconsolidadojun[[#This Row],[TOTAL]]</f>
        <v>0</v>
      </c>
      <c r="K41" s="91">
        <f>despesafixaconsolidadojul[[#This Row],[TOTAL]]</f>
        <v>0</v>
      </c>
      <c r="L41" s="91">
        <f>despesafixaconsolidadoago[[#This Row],[TOTAL]]</f>
        <v>0</v>
      </c>
      <c r="M41" s="91">
        <f>despesafixaconsolidadoset[[#This Row],[TOTAL]]</f>
        <v>0</v>
      </c>
      <c r="N41" s="91">
        <f>despesafixaconsolidadoout[[#This Row],[TOTAL]]</f>
        <v>0</v>
      </c>
      <c r="O41" s="91">
        <f>despesafixaconsolidadonov[[#This Row],[TOTAL]]</f>
        <v>0</v>
      </c>
      <c r="P41" s="91">
        <f>despesafixaconsolidadodez[[#This Row],[TOTAL]]</f>
        <v>0</v>
      </c>
      <c r="Q41" s="97">
        <f>SUM(despesafixaconsolidadoanual[[#This Row],[1]:[12]])</f>
        <v>0</v>
      </c>
      <c r="R41" s="28"/>
      <c r="S41" s="81"/>
      <c r="T41" s="81"/>
      <c r="U41" s="81"/>
      <c r="V41" s="81"/>
      <c r="W41" s="81"/>
      <c r="X41" s="81"/>
      <c r="Y41" s="81"/>
      <c r="Z41" s="81"/>
      <c r="AH41" s="131"/>
      <c r="AO41" s="138" t="e">
        <f>SUMIFS(tabela_registros[VALOR],tabela_registros[MÊS],$AE$1,tabela_registros[REGISTRO],DADOS!$N$4,tabela_registros[TIPO],DADOS!$P$3,tabela_registros[CATEGORIA],despesafixaconsolidadodez[[#This Row],[DESPESA FIXA]],#REF!,DADOS!$J$4)</f>
        <v>#REF!</v>
      </c>
      <c r="AP41" s="138" t="e">
        <f>SUMIFS(tabela_registros[VALOR],tabela_registros[MÊS],$AE$1,tabela_registros[REGISTRO],DADOS!$N$4,tabela_registros[TIPO],DADOS!$P$3,tabela_registros[CATEGORIA],despesafixaconsolidadodez[[#This Row],[DESPESA FIXA]],#REF!,DADOS!$J$3)</f>
        <v>#REF!</v>
      </c>
      <c r="AQ41" s="139">
        <f>(despesafixaconsolidadoanual[[#This Row],[TOTAL]]*$AQ$51)/$Q$51</f>
        <v>0</v>
      </c>
    </row>
    <row r="42" spans="2:43" ht="18" customHeight="1" thickTop="1" thickBot="1" x14ac:dyDescent="0.3">
      <c r="B42" s="28"/>
      <c r="C42" s="27" t="str">
        <f>DADOS!$R$8</f>
        <v>🏦 EMPRÉSTIMO</v>
      </c>
      <c r="D42" s="26" t="str">
        <f>IF(despesafixaconsolidadoanual[[#This Row],[TOTAL]]=0,"",IF(OR(despesafixaconsolidadoanual[[#This Row],[TOTAL]]=LARGE($Q$37:$Q$50,1),despesafixaconsolidadoanual[[#This Row],[TOTAL]]=LARGE($Q$37:$Q$50,2),despesafixaconsolidadoanual[[#This Row],[TOTAL]]=LARGE($Q$37:$Q$50,3),despesafixaconsolidadoanual[[#This Row],[TOTAL]]=LARGE($Q$37:$Q$50,4),despesafixaconsolidadoanual[[#This Row],[TOTAL]]=LARGE($Q$37:$Q$50,5)),DADOS!$I$8,""))</f>
        <v/>
      </c>
      <c r="E42" s="96">
        <f>despesafixaconsolidado[[#This Row],[TOTAL]]</f>
        <v>0</v>
      </c>
      <c r="F42" s="91">
        <f>despesafixaconsolidadofev[[#This Row],[TOTAL]]</f>
        <v>0</v>
      </c>
      <c r="G42" s="91">
        <f>despesafixaconsolidadomar[[#This Row],[TOTAL]]</f>
        <v>0</v>
      </c>
      <c r="H42" s="91">
        <f>despesafixaconsolidadoabr[[#This Row],[TOTAL]]</f>
        <v>0</v>
      </c>
      <c r="I42" s="91">
        <f>despesafixaconsolidadomai[[#This Row],[TOTAL]]</f>
        <v>0</v>
      </c>
      <c r="J42" s="91">
        <f>despesafixaconsolidadojun[[#This Row],[TOTAL]]</f>
        <v>0</v>
      </c>
      <c r="K42" s="91">
        <f>despesafixaconsolidadojul[[#This Row],[TOTAL]]</f>
        <v>0</v>
      </c>
      <c r="L42" s="91">
        <f>despesafixaconsolidadoago[[#This Row],[TOTAL]]</f>
        <v>0</v>
      </c>
      <c r="M42" s="91">
        <f>despesafixaconsolidadoset[[#This Row],[TOTAL]]</f>
        <v>0</v>
      </c>
      <c r="N42" s="91">
        <f>despesafixaconsolidadoout[[#This Row],[TOTAL]]</f>
        <v>0</v>
      </c>
      <c r="O42" s="91">
        <f>despesafixaconsolidadonov[[#This Row],[TOTAL]]</f>
        <v>0</v>
      </c>
      <c r="P42" s="91">
        <f>despesafixaconsolidadodez[[#This Row],[TOTAL]]</f>
        <v>0</v>
      </c>
      <c r="Q42" s="97">
        <f>SUM(despesafixaconsolidadoanual[[#This Row],[1]:[12]])</f>
        <v>0</v>
      </c>
      <c r="R42" s="28"/>
      <c r="S42" s="81"/>
      <c r="T42" s="81"/>
      <c r="U42" s="81"/>
      <c r="V42" s="81"/>
      <c r="W42" s="81"/>
      <c r="X42" s="81"/>
      <c r="Y42" s="81"/>
      <c r="Z42" s="81"/>
      <c r="AH42" s="131"/>
      <c r="AO42" s="138" t="e">
        <f>SUMIFS(tabela_registros[VALOR],tabela_registros[MÊS],$AE$1,tabela_registros[REGISTRO],DADOS!$N$4,tabela_registros[TIPO],DADOS!$P$3,tabela_registros[CATEGORIA],despesafixaconsolidadodez[[#This Row],[DESPESA FIXA]],#REF!,DADOS!$J$4)</f>
        <v>#REF!</v>
      </c>
      <c r="AP42" s="138" t="e">
        <f>SUMIFS(tabela_registros[VALOR],tabela_registros[MÊS],$AE$1,tabela_registros[REGISTRO],DADOS!$N$4,tabela_registros[TIPO],DADOS!$P$3,tabela_registros[CATEGORIA],despesafixaconsolidadodez[[#This Row],[DESPESA FIXA]],#REF!,DADOS!$J$3)</f>
        <v>#REF!</v>
      </c>
      <c r="AQ42" s="139">
        <f>(despesafixaconsolidadoanual[[#This Row],[TOTAL]]*$AQ$51)/$Q$51</f>
        <v>0</v>
      </c>
    </row>
    <row r="43" spans="2:43" ht="18" customHeight="1" thickTop="1" thickBot="1" x14ac:dyDescent="0.3">
      <c r="B43" s="28"/>
      <c r="C43" s="27" t="str">
        <f>DADOS!$R$9</f>
        <v>💡 ENERGIA</v>
      </c>
      <c r="D43" s="26" t="str">
        <f>IF(despesafixaconsolidadoanual[[#This Row],[TOTAL]]=0,"",IF(OR(despesafixaconsolidadoanual[[#This Row],[TOTAL]]=LARGE($Q$37:$Q$50,1),despesafixaconsolidadoanual[[#This Row],[TOTAL]]=LARGE($Q$37:$Q$50,2),despesafixaconsolidadoanual[[#This Row],[TOTAL]]=LARGE($Q$37:$Q$50,3),despesafixaconsolidadoanual[[#This Row],[TOTAL]]=LARGE($Q$37:$Q$50,4),despesafixaconsolidadoanual[[#This Row],[TOTAL]]=LARGE($Q$37:$Q$50,5)),DADOS!$I$8,""))</f>
        <v>💣</v>
      </c>
      <c r="E43" s="96">
        <f>despesafixaconsolidado[[#This Row],[TOTAL]]</f>
        <v>0</v>
      </c>
      <c r="F43" s="91">
        <f>despesafixaconsolidadofev[[#This Row],[TOTAL]]</f>
        <v>115.142857142857</v>
      </c>
      <c r="G43" s="91">
        <f>despesafixaconsolidadomar[[#This Row],[TOTAL]]</f>
        <v>0</v>
      </c>
      <c r="H43" s="91">
        <f>despesafixaconsolidadoabr[[#This Row],[TOTAL]]</f>
        <v>0</v>
      </c>
      <c r="I43" s="91">
        <f>despesafixaconsolidadomai[[#This Row],[TOTAL]]</f>
        <v>0</v>
      </c>
      <c r="J43" s="91">
        <f>despesafixaconsolidadojun[[#This Row],[TOTAL]]</f>
        <v>0</v>
      </c>
      <c r="K43" s="91">
        <f>despesafixaconsolidadojul[[#This Row],[TOTAL]]</f>
        <v>0</v>
      </c>
      <c r="L43" s="91">
        <f>despesafixaconsolidadoago[[#This Row],[TOTAL]]</f>
        <v>0</v>
      </c>
      <c r="M43" s="91">
        <f>despesafixaconsolidadoset[[#This Row],[TOTAL]]</f>
        <v>0</v>
      </c>
      <c r="N43" s="91">
        <f>despesafixaconsolidadoout[[#This Row],[TOTAL]]</f>
        <v>0</v>
      </c>
      <c r="O43" s="91">
        <f>despesafixaconsolidadonov[[#This Row],[TOTAL]]</f>
        <v>140</v>
      </c>
      <c r="P43" s="91">
        <f>despesafixaconsolidadodez[[#This Row],[TOTAL]]</f>
        <v>0</v>
      </c>
      <c r="Q43" s="97">
        <f>SUM(despesafixaconsolidadoanual[[#This Row],[1]:[12]])</f>
        <v>255.142857142857</v>
      </c>
      <c r="R43" s="28"/>
      <c r="S43" s="81"/>
      <c r="T43" s="81"/>
      <c r="U43" s="81"/>
      <c r="V43" s="81"/>
      <c r="W43" s="81"/>
      <c r="X43" s="81"/>
      <c r="Y43" s="81"/>
      <c r="Z43" s="81"/>
      <c r="AH43" s="131"/>
      <c r="AO43" s="138" t="e">
        <f>SUMIFS(tabela_registros[VALOR],tabela_registros[MÊS],$AE$1,tabela_registros[REGISTRO],DADOS!$N$4,tabela_registros[TIPO],DADOS!$P$3,tabela_registros[CATEGORIA],despesafixaconsolidadodez[[#This Row],[DESPESA FIXA]],#REF!,DADOS!$J$4)</f>
        <v>#REF!</v>
      </c>
      <c r="AP43" s="138" t="e">
        <f>SUMIFS(tabela_registros[VALOR],tabela_registros[MÊS],$AE$1,tabela_registros[REGISTRO],DADOS!$N$4,tabela_registros[TIPO],DADOS!$P$3,tabela_registros[CATEGORIA],despesafixaconsolidadodez[[#This Row],[DESPESA FIXA]],#REF!,DADOS!$J$3)</f>
        <v>#REF!</v>
      </c>
      <c r="AQ43" s="139">
        <f>(despesafixaconsolidadoanual[[#This Row],[TOTAL]]*$AQ$51)/$Q$51</f>
        <v>0.23210479804543335</v>
      </c>
    </row>
    <row r="44" spans="2:43" ht="18" customHeight="1" thickTop="1" thickBot="1" x14ac:dyDescent="0.3">
      <c r="B44" s="28"/>
      <c r="C44" s="27" t="str">
        <f>DADOS!$R$10</f>
        <v>👨‍👩‍👧 FAMÍLIA</v>
      </c>
      <c r="D44" s="26" t="str">
        <f>IF(despesafixaconsolidadoanual[[#This Row],[TOTAL]]=0,"",IF(OR(despesafixaconsolidadoanual[[#This Row],[TOTAL]]=LARGE($Q$37:$Q$50,1),despesafixaconsolidadoanual[[#This Row],[TOTAL]]=LARGE($Q$37:$Q$50,2),despesafixaconsolidadoanual[[#This Row],[TOTAL]]=LARGE($Q$37:$Q$50,3),despesafixaconsolidadoanual[[#This Row],[TOTAL]]=LARGE($Q$37:$Q$50,4),despesafixaconsolidadoanual[[#This Row],[TOTAL]]=LARGE($Q$37:$Q$50,5)),DADOS!$I$8,""))</f>
        <v/>
      </c>
      <c r="E44" s="96">
        <f>despesafixaconsolidado[[#This Row],[TOTAL]]</f>
        <v>0</v>
      </c>
      <c r="F44" s="91">
        <f>despesafixaconsolidadofev[[#This Row],[TOTAL]]</f>
        <v>0</v>
      </c>
      <c r="G44" s="91">
        <f>despesafixaconsolidadomar[[#This Row],[TOTAL]]</f>
        <v>0</v>
      </c>
      <c r="H44" s="91">
        <f>despesafixaconsolidadoabr[[#This Row],[TOTAL]]</f>
        <v>0</v>
      </c>
      <c r="I44" s="91">
        <f>despesafixaconsolidadomai[[#This Row],[TOTAL]]</f>
        <v>0</v>
      </c>
      <c r="J44" s="91">
        <f>despesafixaconsolidadojun[[#This Row],[TOTAL]]</f>
        <v>0</v>
      </c>
      <c r="K44" s="91">
        <f>despesafixaconsolidadojul[[#This Row],[TOTAL]]</f>
        <v>0</v>
      </c>
      <c r="L44" s="91">
        <f>despesafixaconsolidadoago[[#This Row],[TOTAL]]</f>
        <v>0</v>
      </c>
      <c r="M44" s="91">
        <f>despesafixaconsolidadoset[[#This Row],[TOTAL]]</f>
        <v>0</v>
      </c>
      <c r="N44" s="91">
        <f>despesafixaconsolidadoout[[#This Row],[TOTAL]]</f>
        <v>0</v>
      </c>
      <c r="O44" s="91">
        <f>despesafixaconsolidadonov[[#This Row],[TOTAL]]</f>
        <v>0</v>
      </c>
      <c r="P44" s="91">
        <f>despesafixaconsolidadodez[[#This Row],[TOTAL]]</f>
        <v>0</v>
      </c>
      <c r="Q44" s="97">
        <f>SUM(despesafixaconsolidadoanual[[#This Row],[1]:[12]])</f>
        <v>0</v>
      </c>
      <c r="R44" s="28"/>
      <c r="S44" s="81"/>
      <c r="T44" s="81"/>
      <c r="U44" s="81"/>
      <c r="V44" s="81"/>
      <c r="W44" s="81"/>
      <c r="X44" s="81"/>
      <c r="Y44" s="81"/>
      <c r="Z44" s="81"/>
      <c r="AH44" s="131"/>
      <c r="AO44" s="138" t="e">
        <f>SUMIFS(tabela_registros[VALOR],tabela_registros[MÊS],$AE$1,tabela_registros[REGISTRO],DADOS!$N$4,tabela_registros[TIPO],DADOS!$P$3,tabela_registros[CATEGORIA],despesafixaconsolidadodez[[#This Row],[DESPESA FIXA]],#REF!,DADOS!$J$4)</f>
        <v>#REF!</v>
      </c>
      <c r="AP44" s="138" t="e">
        <f>SUMIFS(tabela_registros[VALOR],tabela_registros[MÊS],$AE$1,tabela_registros[REGISTRO],DADOS!$N$4,tabela_registros[TIPO],DADOS!$P$3,tabela_registros[CATEGORIA],despesafixaconsolidadodez[[#This Row],[DESPESA FIXA]],#REF!,DADOS!$J$3)</f>
        <v>#REF!</v>
      </c>
      <c r="AQ44" s="139">
        <f>(despesafixaconsolidadoanual[[#This Row],[TOTAL]]*$AQ$51)/$Q$51</f>
        <v>0</v>
      </c>
    </row>
    <row r="45" spans="2:43" ht="18" customHeight="1" thickTop="1" thickBot="1" x14ac:dyDescent="0.3">
      <c r="B45" s="28"/>
      <c r="C45" s="27" t="str">
        <f>DADOS!$R$11</f>
        <v>🔢 IMPOSTOS</v>
      </c>
      <c r="D45" s="26" t="str">
        <f>IF(despesafixaconsolidadoanual[[#This Row],[TOTAL]]=0,"",IF(OR(despesafixaconsolidadoanual[[#This Row],[TOTAL]]=LARGE($Q$37:$Q$50,1),despesafixaconsolidadoanual[[#This Row],[TOTAL]]=LARGE($Q$37:$Q$50,2),despesafixaconsolidadoanual[[#This Row],[TOTAL]]=LARGE($Q$37:$Q$50,3),despesafixaconsolidadoanual[[#This Row],[TOTAL]]=LARGE($Q$37:$Q$50,4),despesafixaconsolidadoanual[[#This Row],[TOTAL]]=LARGE($Q$37:$Q$50,5)),DADOS!$I$8,""))</f>
        <v>💣</v>
      </c>
      <c r="E45" s="96">
        <f>despesafixaconsolidado[[#This Row],[TOTAL]]</f>
        <v>107.78571428571399</v>
      </c>
      <c r="F45" s="91">
        <f>despesafixaconsolidadofev[[#This Row],[TOTAL]]</f>
        <v>0</v>
      </c>
      <c r="G45" s="91">
        <f>despesafixaconsolidadomar[[#This Row],[TOTAL]]</f>
        <v>0</v>
      </c>
      <c r="H45" s="91">
        <f>despesafixaconsolidadoabr[[#This Row],[TOTAL]]</f>
        <v>0</v>
      </c>
      <c r="I45" s="91">
        <f>despesafixaconsolidadomai[[#This Row],[TOTAL]]</f>
        <v>0</v>
      </c>
      <c r="J45" s="91">
        <f>despesafixaconsolidadojun[[#This Row],[TOTAL]]</f>
        <v>0</v>
      </c>
      <c r="K45" s="91">
        <f>despesafixaconsolidadojul[[#This Row],[TOTAL]]</f>
        <v>0</v>
      </c>
      <c r="L45" s="91">
        <f>despesafixaconsolidadoago[[#This Row],[TOTAL]]</f>
        <v>0</v>
      </c>
      <c r="M45" s="91">
        <f>despesafixaconsolidadoset[[#This Row],[TOTAL]]</f>
        <v>0</v>
      </c>
      <c r="N45" s="91">
        <f>despesafixaconsolidadoout[[#This Row],[TOTAL]]</f>
        <v>0</v>
      </c>
      <c r="O45" s="91">
        <f>despesafixaconsolidadonov[[#This Row],[TOTAL]]</f>
        <v>0</v>
      </c>
      <c r="P45" s="91">
        <f>despesafixaconsolidadodez[[#This Row],[TOTAL]]</f>
        <v>0</v>
      </c>
      <c r="Q45" s="97">
        <f>SUM(despesafixaconsolidadoanual[[#This Row],[1]:[12]])</f>
        <v>107.78571428571399</v>
      </c>
      <c r="R45" s="28"/>
      <c r="S45" s="81"/>
      <c r="T45" s="81"/>
      <c r="U45" s="81"/>
      <c r="V45" s="81"/>
      <c r="W45" s="81"/>
      <c r="X45" s="81"/>
      <c r="Y45" s="81"/>
      <c r="Z45" s="81"/>
      <c r="AH45" s="131"/>
      <c r="AO45" s="138" t="e">
        <f>SUMIFS(tabela_registros[VALOR],tabela_registros[MÊS],$AE$1,tabela_registros[REGISTRO],DADOS!$N$4,tabela_registros[TIPO],DADOS!$P$3,tabela_registros[CATEGORIA],despesafixaconsolidadodez[[#This Row],[DESPESA FIXA]],#REF!,DADOS!$J$4)</f>
        <v>#REF!</v>
      </c>
      <c r="AP45" s="138" t="e">
        <f>SUMIFS(tabela_registros[VALOR],tabela_registros[MÊS],$AE$1,tabela_registros[REGISTRO],DADOS!$N$4,tabela_registros[TIPO],DADOS!$P$3,tabela_registros[CATEGORIA],despesafixaconsolidadodez[[#This Row],[DESPESA FIXA]],#REF!,DADOS!$J$3)</f>
        <v>#REF!</v>
      </c>
      <c r="AQ45" s="139">
        <f>(despesafixaconsolidadoanual[[#This Row],[TOTAL]]*$AQ$51)/$Q$51</f>
        <v>9.8053230753235771E-2</v>
      </c>
    </row>
    <row r="46" spans="2:43" ht="18" customHeight="1" thickTop="1" thickBot="1" x14ac:dyDescent="0.3">
      <c r="B46" s="28"/>
      <c r="C46" s="27" t="str">
        <f>DADOS!$R$12</f>
        <v>🖱️ INTERNET</v>
      </c>
      <c r="D46" s="26" t="str">
        <f>IF(despesafixaconsolidadoanual[[#This Row],[TOTAL]]=0,"",IF(OR(despesafixaconsolidadoanual[[#This Row],[TOTAL]]=LARGE($Q$37:$Q$50,1),despesafixaconsolidadoanual[[#This Row],[TOTAL]]=LARGE($Q$37:$Q$50,2),despesafixaconsolidadoanual[[#This Row],[TOTAL]]=LARGE($Q$37:$Q$50,3),despesafixaconsolidadoanual[[#This Row],[TOTAL]]=LARGE($Q$37:$Q$50,4),despesafixaconsolidadoanual[[#This Row],[TOTAL]]=LARGE($Q$37:$Q$50,5)),DADOS!$I$8,""))</f>
        <v/>
      </c>
      <c r="E46" s="96">
        <f>despesafixaconsolidado[[#This Row],[TOTAL]]</f>
        <v>0</v>
      </c>
      <c r="F46" s="91">
        <f>despesafixaconsolidadofev[[#This Row],[TOTAL]]</f>
        <v>0</v>
      </c>
      <c r="G46" s="91">
        <f>despesafixaconsolidadomar[[#This Row],[TOTAL]]</f>
        <v>0</v>
      </c>
      <c r="H46" s="91">
        <f>despesafixaconsolidadoabr[[#This Row],[TOTAL]]</f>
        <v>0</v>
      </c>
      <c r="I46" s="91">
        <f>despesafixaconsolidadomai[[#This Row],[TOTAL]]</f>
        <v>0</v>
      </c>
      <c r="J46" s="91">
        <f>despesafixaconsolidadojun[[#This Row],[TOTAL]]</f>
        <v>0</v>
      </c>
      <c r="K46" s="91">
        <f>despesafixaconsolidadojul[[#This Row],[TOTAL]]</f>
        <v>0</v>
      </c>
      <c r="L46" s="91">
        <f>despesafixaconsolidadoago[[#This Row],[TOTAL]]</f>
        <v>0</v>
      </c>
      <c r="M46" s="91">
        <f>despesafixaconsolidadoset[[#This Row],[TOTAL]]</f>
        <v>0</v>
      </c>
      <c r="N46" s="91">
        <f>despesafixaconsolidadoout[[#This Row],[TOTAL]]</f>
        <v>0</v>
      </c>
      <c r="O46" s="91">
        <f>despesafixaconsolidadonov[[#This Row],[TOTAL]]</f>
        <v>0</v>
      </c>
      <c r="P46" s="91">
        <f>despesafixaconsolidadodez[[#This Row],[TOTAL]]</f>
        <v>0</v>
      </c>
      <c r="Q46" s="97">
        <f>SUM(despesafixaconsolidadoanual[[#This Row],[1]:[12]])</f>
        <v>0</v>
      </c>
      <c r="R46" s="28"/>
      <c r="S46" s="81"/>
      <c r="T46" s="81"/>
      <c r="U46" s="81"/>
      <c r="V46" s="81"/>
      <c r="W46" s="81"/>
      <c r="X46" s="81"/>
      <c r="Y46" s="81"/>
      <c r="Z46" s="81"/>
      <c r="AH46" s="131"/>
      <c r="AO46" s="138" t="e">
        <f>SUMIFS(tabela_registros[VALOR],tabela_registros[MÊS],$AE$1,tabela_registros[REGISTRO],DADOS!$N$4,tabela_registros[TIPO],DADOS!$P$3,tabela_registros[CATEGORIA],despesafixaconsolidadodez[[#This Row],[DESPESA FIXA]],#REF!,DADOS!$J$4)</f>
        <v>#REF!</v>
      </c>
      <c r="AP46" s="138" t="e">
        <f>SUMIFS(tabela_registros[VALOR],tabela_registros[MÊS],$AE$1,tabela_registros[REGISTRO],DADOS!$N$4,tabela_registros[TIPO],DADOS!$P$3,tabela_registros[CATEGORIA],despesafixaconsolidadodez[[#This Row],[DESPESA FIXA]],#REF!,DADOS!$J$3)</f>
        <v>#REF!</v>
      </c>
      <c r="AQ46" s="139">
        <f>(despesafixaconsolidadoanual[[#This Row],[TOTAL]]*$AQ$51)/$Q$51</f>
        <v>0</v>
      </c>
    </row>
    <row r="47" spans="2:43" ht="18" customHeight="1" thickTop="1" thickBot="1" x14ac:dyDescent="0.3">
      <c r="B47" s="28"/>
      <c r="C47" s="27" t="str">
        <f>DADOS!$R$13</f>
        <v>🏠 MORADIA</v>
      </c>
      <c r="D47" s="26" t="str">
        <f>IF(despesafixaconsolidadoanual[[#This Row],[TOTAL]]=0,"",IF(OR(despesafixaconsolidadoanual[[#This Row],[TOTAL]]=LARGE($Q$37:$Q$50,1),despesafixaconsolidadoanual[[#This Row],[TOTAL]]=LARGE($Q$37:$Q$50,2),despesafixaconsolidadoanual[[#This Row],[TOTAL]]=LARGE($Q$37:$Q$50,3),despesafixaconsolidadoanual[[#This Row],[TOTAL]]=LARGE($Q$37:$Q$50,4),despesafixaconsolidadoanual[[#This Row],[TOTAL]]=LARGE($Q$37:$Q$50,5)),DADOS!$I$8,""))</f>
        <v/>
      </c>
      <c r="E47" s="96">
        <f>despesafixaconsolidado[[#This Row],[TOTAL]]</f>
        <v>0</v>
      </c>
      <c r="F47" s="91">
        <f>despesafixaconsolidadofev[[#This Row],[TOTAL]]</f>
        <v>0</v>
      </c>
      <c r="G47" s="91">
        <f>despesafixaconsolidadomar[[#This Row],[TOTAL]]</f>
        <v>0</v>
      </c>
      <c r="H47" s="91">
        <f>despesafixaconsolidadoabr[[#This Row],[TOTAL]]</f>
        <v>0</v>
      </c>
      <c r="I47" s="91">
        <f>despesafixaconsolidadomai[[#This Row],[TOTAL]]</f>
        <v>0</v>
      </c>
      <c r="J47" s="91">
        <f>despesafixaconsolidadojun[[#This Row],[TOTAL]]</f>
        <v>0</v>
      </c>
      <c r="K47" s="91">
        <f>despesafixaconsolidadojul[[#This Row],[TOTAL]]</f>
        <v>0</v>
      </c>
      <c r="L47" s="91">
        <f>despesafixaconsolidadoago[[#This Row],[TOTAL]]</f>
        <v>0</v>
      </c>
      <c r="M47" s="91">
        <f>despesafixaconsolidadoset[[#This Row],[TOTAL]]</f>
        <v>0</v>
      </c>
      <c r="N47" s="91">
        <f>despesafixaconsolidadoout[[#This Row],[TOTAL]]</f>
        <v>0</v>
      </c>
      <c r="O47" s="91">
        <f>despesafixaconsolidadonov[[#This Row],[TOTAL]]</f>
        <v>0</v>
      </c>
      <c r="P47" s="91">
        <f>despesafixaconsolidadodez[[#This Row],[TOTAL]]</f>
        <v>0</v>
      </c>
      <c r="Q47" s="97">
        <f>SUM(despesafixaconsolidadoanual[[#This Row],[1]:[12]])</f>
        <v>0</v>
      </c>
      <c r="R47" s="28"/>
      <c r="S47" s="81"/>
      <c r="T47" s="81"/>
      <c r="U47" s="81"/>
      <c r="V47" s="81"/>
      <c r="W47" s="81"/>
      <c r="X47" s="81"/>
      <c r="Y47" s="81"/>
      <c r="Z47" s="81"/>
      <c r="AH47" s="131"/>
      <c r="AO47" s="138" t="e">
        <f>SUMIFS(tabela_registros[VALOR],tabela_registros[MÊS],$AE$1,tabela_registros[REGISTRO],DADOS!$N$4,tabela_registros[TIPO],DADOS!$P$3,tabela_registros[CATEGORIA],despesafixaconsolidadodez[[#This Row],[DESPESA FIXA]],#REF!,DADOS!$J$4)</f>
        <v>#REF!</v>
      </c>
      <c r="AP47" s="138" t="e">
        <f>SUMIFS(tabela_registros[VALOR],tabela_registros[MÊS],$AE$1,tabela_registros[REGISTRO],DADOS!$N$4,tabela_registros[TIPO],DADOS!$P$3,tabela_registros[CATEGORIA],despesafixaconsolidadodez[[#This Row],[DESPESA FIXA]],#REF!,DADOS!$J$3)</f>
        <v>#REF!</v>
      </c>
      <c r="AQ47" s="139">
        <f>(despesafixaconsolidadoanual[[#This Row],[TOTAL]]*$AQ$51)/$Q$51</f>
        <v>0</v>
      </c>
    </row>
    <row r="48" spans="2:43" ht="18" customHeight="1" thickTop="1" thickBot="1" x14ac:dyDescent="0.3">
      <c r="B48" s="28"/>
      <c r="C48" s="27" t="str">
        <f>DADOS!$R$14</f>
        <v>💊 SAÚDE</v>
      </c>
      <c r="D48" s="26" t="str">
        <f>IF(despesafixaconsolidadoanual[[#This Row],[TOTAL]]=0,"",IF(OR(despesafixaconsolidadoanual[[#This Row],[TOTAL]]=LARGE($Q$37:$Q$50,1),despesafixaconsolidadoanual[[#This Row],[TOTAL]]=LARGE($Q$37:$Q$50,2),despesafixaconsolidadoanual[[#This Row],[TOTAL]]=LARGE($Q$37:$Q$50,3),despesafixaconsolidadoanual[[#This Row],[TOTAL]]=LARGE($Q$37:$Q$50,4),despesafixaconsolidadoanual[[#This Row],[TOTAL]]=LARGE($Q$37:$Q$50,5)),DADOS!$I$8,""))</f>
        <v/>
      </c>
      <c r="E48" s="96">
        <f>despesafixaconsolidado[[#This Row],[TOTAL]]</f>
        <v>0</v>
      </c>
      <c r="F48" s="91">
        <f>despesafixaconsolidadofev[[#This Row],[TOTAL]]</f>
        <v>0</v>
      </c>
      <c r="G48" s="91">
        <f>despesafixaconsolidadomar[[#This Row],[TOTAL]]</f>
        <v>0</v>
      </c>
      <c r="H48" s="91">
        <f>despesafixaconsolidadoabr[[#This Row],[TOTAL]]</f>
        <v>0</v>
      </c>
      <c r="I48" s="91">
        <f>despesafixaconsolidadomai[[#This Row],[TOTAL]]</f>
        <v>0</v>
      </c>
      <c r="J48" s="91">
        <f>despesafixaconsolidadojun[[#This Row],[TOTAL]]</f>
        <v>0</v>
      </c>
      <c r="K48" s="91">
        <f>despesafixaconsolidadojul[[#This Row],[TOTAL]]</f>
        <v>0</v>
      </c>
      <c r="L48" s="91">
        <f>despesafixaconsolidadoago[[#This Row],[TOTAL]]</f>
        <v>0</v>
      </c>
      <c r="M48" s="91">
        <f>despesafixaconsolidadoset[[#This Row],[TOTAL]]</f>
        <v>0</v>
      </c>
      <c r="N48" s="91">
        <f>despesafixaconsolidadoout[[#This Row],[TOTAL]]</f>
        <v>0</v>
      </c>
      <c r="O48" s="91">
        <f>despesafixaconsolidadonov[[#This Row],[TOTAL]]</f>
        <v>0</v>
      </c>
      <c r="P48" s="91">
        <f>despesafixaconsolidadodez[[#This Row],[TOTAL]]</f>
        <v>0</v>
      </c>
      <c r="Q48" s="97">
        <f>SUM(despesafixaconsolidadoanual[[#This Row],[1]:[12]])</f>
        <v>0</v>
      </c>
      <c r="R48" s="28"/>
      <c r="S48" s="81"/>
      <c r="T48" s="81"/>
      <c r="U48" s="81"/>
      <c r="V48" s="81"/>
      <c r="W48" s="81"/>
      <c r="X48" s="81"/>
      <c r="Y48" s="81"/>
      <c r="Z48" s="81"/>
      <c r="AH48" s="131"/>
      <c r="AO48" s="138" t="e">
        <f>SUMIFS(tabela_registros[VALOR],tabela_registros[MÊS],$AE$1,tabela_registros[REGISTRO],DADOS!$N$4,tabela_registros[TIPO],DADOS!$P$3,tabela_registros[CATEGORIA],despesafixaconsolidadodez[[#This Row],[DESPESA FIXA]],#REF!,DADOS!$J$4)</f>
        <v>#REF!</v>
      </c>
      <c r="AP48" s="138" t="e">
        <f>SUMIFS(tabela_registros[VALOR],tabela_registros[MÊS],$AE$1,tabela_registros[REGISTRO],DADOS!$N$4,tabela_registros[TIPO],DADOS!$P$3,tabela_registros[CATEGORIA],despesafixaconsolidadodez[[#This Row],[DESPESA FIXA]],#REF!,DADOS!$J$3)</f>
        <v>#REF!</v>
      </c>
      <c r="AQ48" s="139">
        <f>(despesafixaconsolidadoanual[[#This Row],[TOTAL]]*$AQ$51)/$Q$51</f>
        <v>0</v>
      </c>
    </row>
    <row r="49" spans="1:52" ht="18" customHeight="1" thickTop="1" thickBot="1" x14ac:dyDescent="0.3">
      <c r="B49" s="28"/>
      <c r="C49" s="27" t="str">
        <f>DADOS!$R$15</f>
        <v>📞 TELEFONE</v>
      </c>
      <c r="D49" s="26" t="str">
        <f>IF(despesafixaconsolidadoanual[[#This Row],[TOTAL]]=0,"",IF(OR(despesafixaconsolidadoanual[[#This Row],[TOTAL]]=LARGE($Q$37:$Q$50,1),despesafixaconsolidadoanual[[#This Row],[TOTAL]]=LARGE($Q$37:$Q$50,2),despesafixaconsolidadoanual[[#This Row],[TOTAL]]=LARGE($Q$37:$Q$50,3),despesafixaconsolidadoanual[[#This Row],[TOTAL]]=LARGE($Q$37:$Q$50,4),despesafixaconsolidadoanual[[#This Row],[TOTAL]]=LARGE($Q$37:$Q$50,5)),DADOS!$I$8,""))</f>
        <v/>
      </c>
      <c r="E49" s="96">
        <f>despesafixaconsolidado[[#This Row],[TOTAL]]</f>
        <v>0</v>
      </c>
      <c r="F49" s="91">
        <f>despesafixaconsolidadofev[[#This Row],[TOTAL]]</f>
        <v>0</v>
      </c>
      <c r="G49" s="91">
        <f>despesafixaconsolidadomar[[#This Row],[TOTAL]]</f>
        <v>0</v>
      </c>
      <c r="H49" s="91">
        <f>despesafixaconsolidadoabr[[#This Row],[TOTAL]]</f>
        <v>0</v>
      </c>
      <c r="I49" s="91">
        <f>despesafixaconsolidadomai[[#This Row],[TOTAL]]</f>
        <v>0</v>
      </c>
      <c r="J49" s="91">
        <f>despesafixaconsolidadojun[[#This Row],[TOTAL]]</f>
        <v>0</v>
      </c>
      <c r="K49" s="91">
        <f>despesafixaconsolidadojul[[#This Row],[TOTAL]]</f>
        <v>0</v>
      </c>
      <c r="L49" s="91">
        <f>despesafixaconsolidadoago[[#This Row],[TOTAL]]</f>
        <v>0</v>
      </c>
      <c r="M49" s="91">
        <f>despesafixaconsolidadoset[[#This Row],[TOTAL]]</f>
        <v>0</v>
      </c>
      <c r="N49" s="91">
        <f>despesafixaconsolidadoout[[#This Row],[TOTAL]]</f>
        <v>0</v>
      </c>
      <c r="O49" s="91">
        <f>despesafixaconsolidadonov[[#This Row],[TOTAL]]</f>
        <v>0</v>
      </c>
      <c r="P49" s="91">
        <f>despesafixaconsolidadodez[[#This Row],[TOTAL]]</f>
        <v>0</v>
      </c>
      <c r="Q49" s="97">
        <f>SUM(despesafixaconsolidadoanual[[#This Row],[1]:[12]])</f>
        <v>0</v>
      </c>
      <c r="R49" s="28"/>
      <c r="S49" s="81"/>
      <c r="T49" s="81"/>
      <c r="U49" s="81"/>
      <c r="V49" s="81"/>
      <c r="W49" s="81"/>
      <c r="X49" s="81"/>
      <c r="Y49" s="81"/>
      <c r="Z49" s="81"/>
      <c r="AH49" s="131"/>
      <c r="AO49" s="138" t="e">
        <f>SUMIFS(tabela_registros[VALOR],tabela_registros[MÊS],$AE$1,tabela_registros[REGISTRO],DADOS!$N$4,tabela_registros[TIPO],DADOS!$P$3,tabela_registros[CATEGORIA],despesafixaconsolidadodez[[#This Row],[DESPESA FIXA]],#REF!,DADOS!$J$4)</f>
        <v>#REF!</v>
      </c>
      <c r="AP49" s="138" t="e">
        <f>SUMIFS(tabela_registros[VALOR],tabela_registros[MÊS],$AE$1,tabela_registros[REGISTRO],DADOS!$N$4,tabela_registros[TIPO],DADOS!$P$3,tabela_registros[CATEGORIA],despesafixaconsolidadodez[[#This Row],[DESPESA FIXA]],#REF!,DADOS!$J$3)</f>
        <v>#REF!</v>
      </c>
      <c r="AQ49" s="139">
        <f>(despesafixaconsolidadoanual[[#This Row],[TOTAL]]*$AQ$51)/$Q$51</f>
        <v>0</v>
      </c>
    </row>
    <row r="50" spans="1:52" ht="18" customHeight="1" thickTop="1" thickBot="1" x14ac:dyDescent="0.3">
      <c r="B50" s="28"/>
      <c r="C50" s="27" t="str">
        <f>DADOS!$R$16</f>
        <v>📎 OUTROS</v>
      </c>
      <c r="D50" s="26" t="str">
        <f>IF(despesafixaconsolidadoanual[[#This Row],[TOTAL]]=0,"",IF(OR(despesafixaconsolidadoanual[[#This Row],[TOTAL]]=LARGE($Q$37:$Q$50,1),despesafixaconsolidadoanual[[#This Row],[TOTAL]]=LARGE($Q$37:$Q$50,2),despesafixaconsolidadoanual[[#This Row],[TOTAL]]=LARGE($Q$37:$Q$50,3),despesafixaconsolidadoanual[[#This Row],[TOTAL]]=LARGE($Q$37:$Q$50,4),despesafixaconsolidadoanual[[#This Row],[TOTAL]]=LARGE($Q$37:$Q$50,5)),DADOS!$I$8,""))</f>
        <v/>
      </c>
      <c r="E50" s="98">
        <f>despesafixaconsolidado[[#This Row],[TOTAL]]</f>
        <v>0</v>
      </c>
      <c r="F50" s="99">
        <f>despesafixaconsolidadofev[[#This Row],[TOTAL]]</f>
        <v>0</v>
      </c>
      <c r="G50" s="99">
        <f>despesafixaconsolidadomar[[#This Row],[TOTAL]]</f>
        <v>0</v>
      </c>
      <c r="H50" s="99">
        <f>despesafixaconsolidadoabr[[#This Row],[TOTAL]]</f>
        <v>0</v>
      </c>
      <c r="I50" s="99">
        <f>despesafixaconsolidadomai[[#This Row],[TOTAL]]</f>
        <v>0</v>
      </c>
      <c r="J50" s="99">
        <f>despesafixaconsolidadojun[[#This Row],[TOTAL]]</f>
        <v>0</v>
      </c>
      <c r="K50" s="99">
        <f>despesafixaconsolidadojul[[#This Row],[TOTAL]]</f>
        <v>0</v>
      </c>
      <c r="L50" s="99">
        <f>despesafixaconsolidadoago[[#This Row],[TOTAL]]</f>
        <v>0</v>
      </c>
      <c r="M50" s="99">
        <f>despesafixaconsolidadoset[[#This Row],[TOTAL]]</f>
        <v>0</v>
      </c>
      <c r="N50" s="99">
        <f>despesafixaconsolidadoout[[#This Row],[TOTAL]]</f>
        <v>0</v>
      </c>
      <c r="O50" s="99">
        <f>despesafixaconsolidadonov[[#This Row],[TOTAL]]</f>
        <v>0</v>
      </c>
      <c r="P50" s="99">
        <f>despesafixaconsolidadodez[[#This Row],[TOTAL]]</f>
        <v>0</v>
      </c>
      <c r="Q50" s="97">
        <f>SUM(despesafixaconsolidadoanual[[#This Row],[1]:[12]])</f>
        <v>0</v>
      </c>
      <c r="R50" s="28"/>
      <c r="S50" s="81"/>
      <c r="T50" s="81"/>
      <c r="U50" s="81"/>
      <c r="V50" s="81"/>
      <c r="W50" s="81"/>
      <c r="X50" s="81"/>
      <c r="Y50" s="81"/>
      <c r="Z50" s="81"/>
      <c r="AH50" s="131"/>
      <c r="AN50" s="131" t="s">
        <v>165</v>
      </c>
      <c r="AO50" s="138" t="e">
        <f>SUMIFS(tabela_registros[VALOR],tabela_registros[MÊS],$AE$1,tabela_registros[REGISTRO],DADOS!$N$4,tabela_registros[TIPO],DADOS!$P$3,tabela_registros[CATEGORIA],despesafixaconsolidadodez[[#This Row],[DESPESA FIXA]],#REF!,DADOS!$J$4)</f>
        <v>#REF!</v>
      </c>
      <c r="AP50" s="138" t="e">
        <f>SUMIFS(tabela_registros[VALOR],tabela_registros[MÊS],$AE$1,tabela_registros[REGISTRO],DADOS!$N$4,tabela_registros[TIPO],DADOS!$P$3,tabela_registros[CATEGORIA],despesafixaconsolidadodez[[#This Row],[DESPESA FIXA]],#REF!,DADOS!$J$3)</f>
        <v>#REF!</v>
      </c>
      <c r="AQ50" s="139">
        <f>(despesafixaconsolidadoanual[[#This Row],[TOTAL]]*$AQ$51)/$Q$51</f>
        <v>0</v>
      </c>
    </row>
    <row r="51" spans="1:52" s="140" customFormat="1" ht="21" customHeight="1" thickTop="1" thickBot="1" x14ac:dyDescent="0.3">
      <c r="A51" s="16"/>
      <c r="B51" s="24"/>
      <c r="C51" s="23" t="s">
        <v>19</v>
      </c>
      <c r="D51" s="41" t="str">
        <f>IF(despesafixaconsolidadoanual[[#This Row],[TOTAL]]=0,"",IF(OR(despesafixaconsolidadoanual[[#This Row],[TOTAL]]=SMALL($Q$37:$Q$50,1),despesafixaconsolidadoanual[[#This Row],[TOTAL]]=SMALL($Q$37:$Q$50,2),despesafixaconsolidadoanual[[#This Row],[TOTAL]]=SMALL($Q$37:$Q$50,3),despesafixaconsolidadoanual[[#This Row],[TOTAL]]=SMALL($Q$37:$Q$50,4),despesafixaconsolidadoanual[[#This Row],[TOTAL]]=SMALL($Q$37:$Q$50,5)),DADOS!$I$8,""))</f>
        <v/>
      </c>
      <c r="E51" s="21">
        <f>despesafixaconsolidado[[#This Row],[TOTAL]]</f>
        <v>297.21428571428498</v>
      </c>
      <c r="F51" s="20">
        <f>despesafixaconsolidadofev[[#This Row],[TOTAL]]+despesafixaconsolidadoanual[[#This Row],[1]]</f>
        <v>412.35714285714198</v>
      </c>
      <c r="G51" s="20">
        <f>despesafixaconsolidadomar[[#This Row],[TOTAL]]+despesafixaconsolidadoanual[[#This Row],[2]]</f>
        <v>764.35714285714198</v>
      </c>
      <c r="H51" s="20">
        <f>despesafixaconsolidadoabr[[#This Row],[TOTAL]]+despesafixaconsolidadoanual[[#This Row],[3]]</f>
        <v>889.35714285714198</v>
      </c>
      <c r="I51" s="20">
        <f>despesafixaconsolidadomai[[#This Row],[TOTAL]]+despesafixaconsolidadoanual[[#This Row],[4]]</f>
        <v>889.35714285714198</v>
      </c>
      <c r="J51" s="20">
        <f>despesafixaconsolidadojun[[#This Row],[TOTAL]]+despesafixaconsolidadoanual[[#This Row],[5]]</f>
        <v>889.35714285714198</v>
      </c>
      <c r="K51" s="20">
        <f>despesafixaconsolidadojul[[#This Row],[TOTAL]]+despesafixaconsolidadoanual[[#This Row],[6]]</f>
        <v>889.35714285714198</v>
      </c>
      <c r="L51" s="20">
        <f>despesafixaconsolidadoago[[#This Row],[TOTAL]]+despesafixaconsolidadoanual[[#This Row],[7]]</f>
        <v>889.35714285714198</v>
      </c>
      <c r="M51" s="20">
        <f>despesafixaconsolidadoset[[#This Row],[TOTAL]]+despesafixaconsolidadoanual[[#This Row],[8]]</f>
        <v>889.35714285714198</v>
      </c>
      <c r="N51" s="20">
        <f>despesafixaconsolidadoout[[#This Row],[TOTAL]]+despesafixaconsolidadoanual[[#This Row],[9]]</f>
        <v>959.25714285714196</v>
      </c>
      <c r="O51" s="20">
        <f>despesafixaconsolidadonov[[#This Row],[TOTAL]]+despesafixaconsolidadoanual[[#This Row],[10]]</f>
        <v>1099.2571428571418</v>
      </c>
      <c r="P51" s="20">
        <f>despesafixaconsolidadodez[[#This Row],[TOTAL]]+despesafixaconsolidadoanual[[#This Row],[11]]</f>
        <v>1099.2571428571418</v>
      </c>
      <c r="Q51" s="18">
        <f>despesafixaconsolidadoanual[[#This Row],[12]]</f>
        <v>1099.2571428571418</v>
      </c>
      <c r="R51" s="17"/>
      <c r="S51" s="81"/>
      <c r="T51" s="81"/>
      <c r="U51" s="81"/>
      <c r="V51" s="81"/>
      <c r="W51" s="81"/>
      <c r="X51" s="81"/>
      <c r="Y51" s="81"/>
      <c r="Z51" s="81"/>
      <c r="AA51" s="131"/>
      <c r="AB51" s="131"/>
      <c r="AC51" s="131"/>
      <c r="AD51" s="131"/>
      <c r="AE51" s="131"/>
      <c r="AF51" s="131"/>
      <c r="AG51" s="131"/>
      <c r="AH51" s="131"/>
      <c r="AI51" s="131"/>
      <c r="AJ51" s="131"/>
      <c r="AN51" s="142">
        <f>despesafixaconsolidadoanual[[#This Row],[TOTAL]]/$Q$15</f>
        <v>0.31450607570413153</v>
      </c>
      <c r="AO51" s="141" t="e">
        <f>SUM(AO37:AO50)</f>
        <v>#REF!</v>
      </c>
      <c r="AP51" s="141" t="e">
        <f>SUM(AP37:AP50)</f>
        <v>#REF!</v>
      </c>
      <c r="AQ51" s="139">
        <f>1</f>
        <v>1</v>
      </c>
      <c r="AR51" s="131"/>
      <c r="AS51" s="131"/>
      <c r="AT51" s="131"/>
      <c r="AU51" s="131"/>
      <c r="AV51" s="131"/>
      <c r="AW51" s="131"/>
      <c r="AX51" s="131"/>
      <c r="AY51" s="131"/>
      <c r="AZ51" s="131"/>
    </row>
    <row r="52" spans="1:52" ht="6.75" customHeight="1" thickTop="1" thickBot="1" x14ac:dyDescent="0.3">
      <c r="B52" s="15"/>
      <c r="C52" s="40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15"/>
      <c r="S52" s="81"/>
      <c r="T52" s="81"/>
      <c r="U52" s="81"/>
      <c r="V52" s="81"/>
      <c r="W52" s="81"/>
      <c r="X52" s="81"/>
      <c r="Y52" s="81"/>
      <c r="Z52" s="81"/>
      <c r="AH52" s="131"/>
    </row>
    <row r="53" spans="1:52" ht="12.6" thickTop="1" x14ac:dyDescent="0.25">
      <c r="C53" s="46"/>
      <c r="D53" s="47"/>
      <c r="E53" s="47"/>
      <c r="F53" s="47"/>
      <c r="G53" s="47"/>
      <c r="H53" s="47"/>
      <c r="I53" s="47"/>
      <c r="J53" s="47"/>
      <c r="K53" s="47"/>
      <c r="L53" s="47"/>
      <c r="M53" s="47"/>
      <c r="N53" s="47"/>
      <c r="O53" s="47"/>
      <c r="P53" s="47"/>
      <c r="Q53" s="47"/>
      <c r="R53" s="47"/>
      <c r="S53" s="81"/>
      <c r="T53" s="81"/>
      <c r="U53" s="81"/>
      <c r="V53" s="81"/>
      <c r="W53" s="81"/>
      <c r="X53" s="81"/>
      <c r="Y53" s="81"/>
      <c r="Z53" s="81"/>
      <c r="AH53" s="131"/>
    </row>
    <row r="54" spans="1:52" x14ac:dyDescent="0.25">
      <c r="C54" s="46"/>
      <c r="D54" s="47"/>
      <c r="E54" s="47"/>
      <c r="F54" s="47"/>
      <c r="G54" s="47"/>
      <c r="H54" s="47"/>
      <c r="I54" s="47"/>
      <c r="J54" s="47"/>
      <c r="K54" s="47"/>
      <c r="L54" s="47"/>
      <c r="M54" s="47"/>
      <c r="N54" s="47"/>
      <c r="O54" s="47"/>
      <c r="P54" s="47"/>
      <c r="Q54" s="47"/>
      <c r="R54" s="47"/>
      <c r="S54" s="81"/>
      <c r="T54" s="81"/>
      <c r="U54" s="81"/>
      <c r="V54" s="81"/>
      <c r="W54" s="81"/>
      <c r="X54" s="81"/>
      <c r="Y54" s="81"/>
      <c r="Z54" s="81"/>
      <c r="AH54" s="131"/>
    </row>
    <row r="55" spans="1:52" x14ac:dyDescent="0.25">
      <c r="C55" s="46"/>
      <c r="D55" s="47"/>
      <c r="E55" s="47"/>
      <c r="F55" s="47"/>
      <c r="G55" s="47"/>
      <c r="H55" s="47"/>
      <c r="I55" s="47"/>
      <c r="J55" s="47"/>
      <c r="K55" s="47"/>
      <c r="L55" s="47"/>
      <c r="M55" s="47"/>
      <c r="N55" s="47"/>
      <c r="O55" s="47"/>
      <c r="P55" s="47"/>
      <c r="Q55" s="47"/>
      <c r="R55" s="47"/>
      <c r="S55" s="81"/>
      <c r="T55" s="81"/>
      <c r="U55" s="81"/>
      <c r="V55" s="81"/>
      <c r="W55" s="81"/>
      <c r="X55" s="81"/>
      <c r="Y55" s="81"/>
      <c r="Z55" s="81"/>
      <c r="AH55" s="131"/>
    </row>
    <row r="56" spans="1:52" ht="39.75" customHeight="1" x14ac:dyDescent="0.25">
      <c r="C56" s="46"/>
      <c r="E56" s="240"/>
      <c r="F56" s="240"/>
      <c r="G56" s="240"/>
      <c r="H56" s="240"/>
      <c r="I56" s="240"/>
      <c r="J56" s="240"/>
      <c r="K56" s="240"/>
      <c r="L56" s="240"/>
      <c r="M56" s="240"/>
      <c r="N56" s="240"/>
      <c r="O56" s="240"/>
      <c r="P56" s="240"/>
      <c r="Q56" s="32" t="s">
        <v>19</v>
      </c>
      <c r="R56" s="82"/>
      <c r="S56" s="81"/>
      <c r="T56" s="81"/>
      <c r="U56" s="81"/>
      <c r="V56" s="81"/>
      <c r="W56" s="81"/>
      <c r="X56" s="81"/>
      <c r="Y56" s="81"/>
      <c r="Z56" s="81"/>
      <c r="AH56" s="131"/>
    </row>
    <row r="57" spans="1:52" ht="11.25" customHeight="1" thickBot="1" x14ac:dyDescent="0.75">
      <c r="C57" s="36"/>
      <c r="Q57" s="34" t="s">
        <v>202</v>
      </c>
      <c r="S57" s="81"/>
      <c r="T57" s="81"/>
      <c r="U57" s="81"/>
      <c r="V57" s="81"/>
      <c r="W57" s="81"/>
      <c r="X57" s="81"/>
      <c r="Y57" s="81"/>
      <c r="Z57" s="81"/>
      <c r="AH57" s="131"/>
    </row>
    <row r="58" spans="1:52" ht="6.75" customHeight="1" thickTop="1" thickBot="1" x14ac:dyDescent="0.3">
      <c r="B58" s="33"/>
      <c r="C58" s="45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33"/>
      <c r="S58" s="81"/>
      <c r="T58" s="81"/>
      <c r="U58" s="81"/>
      <c r="V58" s="81"/>
      <c r="W58" s="81"/>
      <c r="X58" s="81"/>
      <c r="Y58" s="81"/>
      <c r="Z58" s="81"/>
      <c r="AH58" s="131"/>
      <c r="AO58" s="137" t="s">
        <v>118</v>
      </c>
      <c r="AP58" s="137" t="s">
        <v>201</v>
      </c>
      <c r="AQ58" s="137" t="s">
        <v>200</v>
      </c>
    </row>
    <row r="59" spans="1:52" ht="12.6" hidden="1" thickBot="1" x14ac:dyDescent="0.3">
      <c r="B59" s="2"/>
      <c r="C59" s="31" t="s">
        <v>116</v>
      </c>
      <c r="D59" s="30" t="s">
        <v>198</v>
      </c>
      <c r="E59" s="30" t="s">
        <v>197</v>
      </c>
      <c r="F59" s="30" t="s">
        <v>196</v>
      </c>
      <c r="G59" s="30" t="s">
        <v>195</v>
      </c>
      <c r="H59" s="30" t="s">
        <v>194</v>
      </c>
      <c r="I59" s="30" t="s">
        <v>193</v>
      </c>
      <c r="J59" s="30" t="s">
        <v>192</v>
      </c>
      <c r="K59" s="30" t="s">
        <v>191</v>
      </c>
      <c r="L59" s="30" t="s">
        <v>190</v>
      </c>
      <c r="M59" s="30" t="s">
        <v>189</v>
      </c>
      <c r="N59" s="30" t="s">
        <v>188</v>
      </c>
      <c r="O59" s="30" t="s">
        <v>187</v>
      </c>
      <c r="P59" s="30" t="s">
        <v>186</v>
      </c>
      <c r="Q59" s="42" t="s">
        <v>19</v>
      </c>
      <c r="R59" s="28" t="s">
        <v>203</v>
      </c>
      <c r="S59" s="81" t="s">
        <v>217</v>
      </c>
      <c r="T59" s="81"/>
      <c r="U59" s="81"/>
      <c r="V59" s="81"/>
      <c r="W59" s="81"/>
      <c r="X59" s="81"/>
      <c r="Y59" s="81"/>
      <c r="Z59" s="81"/>
      <c r="AH59" s="131"/>
    </row>
    <row r="60" spans="1:52" ht="19.5" customHeight="1" thickTop="1" thickBot="1" x14ac:dyDescent="0.3">
      <c r="B60" s="28"/>
      <c r="C60" s="27" t="str">
        <f>DADOS!$T$3</f>
        <v>🍕 ALIMENTAÇÃO</v>
      </c>
      <c r="D60" s="26" t="str">
        <f>IF(despesavariávelconsolidadoanual[[#This Row],[TOTAL]]=0,"",IF(OR(despesavariávelconsolidadoanual[[#This Row],[TOTAL]]=LARGE($Q$60:$Q$72,1),despesavariávelconsolidadoanual[[#This Row],[TOTAL]]=LARGE($Q$60:$Q$72,2),despesavariávelconsolidadoanual[[#This Row],[TOTAL]]=LARGE($Q$60:$Q$72,3),despesavariávelconsolidadoanual[[#This Row],[TOTAL]]=LARGE($Q$60:$Q$72,4),despesavariávelconsolidadoanual[[#This Row],[TOTAL]]=LARGE($Q$60:$Q$72,5)),DADOS!$I$8,""))</f>
        <v/>
      </c>
      <c r="E60" s="94">
        <f>despesavariávelconsolidado[[#This Row],[TOTAL]]</f>
        <v>144.57142857142901</v>
      </c>
      <c r="F60" s="88">
        <f>despesavariávelconsolidadofev[[#This Row],[TOTAL]]</f>
        <v>0</v>
      </c>
      <c r="G60" s="88">
        <f>despesavariávelconsolidadomar[[#This Row],[TOTAL]]</f>
        <v>0</v>
      </c>
      <c r="H60" s="88">
        <f>despesavariávelconsolidadoabr[[#This Row],[TOTAL]]</f>
        <v>0</v>
      </c>
      <c r="I60" s="88">
        <f>despesavariávelconsolidadomai[[#This Row],[TOTAL]]</f>
        <v>0</v>
      </c>
      <c r="J60" s="88">
        <f>despesavariávelconsolidadojun[[#This Row],[TOTAL]]</f>
        <v>0</v>
      </c>
      <c r="K60" s="88">
        <f>despesavariávelconsolidadojul[[#This Row],[TOTAL]]</f>
        <v>0</v>
      </c>
      <c r="L60" s="88">
        <f>despesavariávelconsolidadoago[[#This Row],[TOTAL]]</f>
        <v>0</v>
      </c>
      <c r="M60" s="88">
        <f>despesavariávelconsolidadoset[[#This Row],[TOTAL]]</f>
        <v>0</v>
      </c>
      <c r="N60" s="88">
        <f>despesavariávelconsolidadoout[[#This Row],[TOTAL]]</f>
        <v>0</v>
      </c>
      <c r="O60" s="88">
        <f>despesavariávelconsolidadonov[[#This Row],[TOTAL]]</f>
        <v>0</v>
      </c>
      <c r="P60" s="88">
        <f>despesavariávelconsolidadodez[[#This Row],[TOTAL]]</f>
        <v>0</v>
      </c>
      <c r="Q60" s="95">
        <f>SUM(despesavariávelconsolidadoanual[[#This Row],[1]:[12]])</f>
        <v>144.57142857142901</v>
      </c>
      <c r="R60" s="28"/>
      <c r="S60" s="81"/>
      <c r="T60" s="81"/>
      <c r="U60" s="81"/>
      <c r="V60" s="81"/>
      <c r="W60" s="81"/>
      <c r="X60" s="81"/>
      <c r="Y60" s="81"/>
      <c r="Z60" s="81"/>
      <c r="AH60" s="131"/>
      <c r="AO60" s="138" t="e">
        <f>SUMIFS(tabela_registros[VALOR],tabela_registros[MÊS],$AE$1,tabela_registros[REGISTRO],DADOS!$N$4,tabela_registros[TIPO],DADOS!$P$4,tabela_registros[CATEGORIA],despesavariávelconsolidadodez[[#This Row],[DESPESA VARIÁVEL]],#REF!,DADOS!$J$4)</f>
        <v>#REF!</v>
      </c>
      <c r="AP60" s="138" t="e">
        <f>SUMIFS(tabela_registros[VALOR],tabela_registros[MÊS],$AE$1,tabela_registros[REGISTRO],DADOS!$N$4,tabela_registros[TIPO],DADOS!$P$4,tabela_registros[CATEGORIA],despesavariávelconsolidadodez[[#This Row],[DESPESA VARIÁVEL]],#REF!,DADOS!$J$3)</f>
        <v>#REF!</v>
      </c>
      <c r="AQ60" s="139">
        <f>(despesavariávelconsolidadoanual[[#This Row],[TOTAL]]*$AQ$73)/$Q$73</f>
        <v>6.034045851593494E-2</v>
      </c>
    </row>
    <row r="61" spans="1:52" ht="18" customHeight="1" thickTop="1" thickBot="1" x14ac:dyDescent="0.3">
      <c r="B61" s="28"/>
      <c r="C61" s="27" t="str">
        <f>DADOS!$T$4</f>
        <v>💳 CARTÃO DE CRÉDITO</v>
      </c>
      <c r="D61" s="26" t="str">
        <f>IF(despesavariávelconsolidadoanual[[#This Row],[TOTAL]]=0,"",IF(OR(despesavariávelconsolidadoanual[[#This Row],[TOTAL]]=LARGE($Q$60:$Q$72,1),despesavariávelconsolidadoanual[[#This Row],[TOTAL]]=LARGE($Q$60:$Q$72,2),despesavariávelconsolidadoanual[[#This Row],[TOTAL]]=LARGE($Q$60:$Q$72,3),despesavariávelconsolidadoanual[[#This Row],[TOTAL]]=LARGE($Q$60:$Q$72,4),despesavariávelconsolidadoanual[[#This Row],[TOTAL]]=LARGE($Q$60:$Q$72,5)),DADOS!$I$8,""))</f>
        <v/>
      </c>
      <c r="E61" s="96">
        <f>despesavariávelconsolidado[[#This Row],[TOTAL]]</f>
        <v>0</v>
      </c>
      <c r="F61" s="91">
        <f>despesavariávelconsolidadofev[[#This Row],[TOTAL]]</f>
        <v>0</v>
      </c>
      <c r="G61" s="91">
        <f>despesavariávelconsolidadomar[[#This Row],[TOTAL]]</f>
        <v>0</v>
      </c>
      <c r="H61" s="91">
        <f>despesavariávelconsolidadoabr[[#This Row],[TOTAL]]</f>
        <v>0</v>
      </c>
      <c r="I61" s="91">
        <f>despesavariávelconsolidadomai[[#This Row],[TOTAL]]</f>
        <v>0</v>
      </c>
      <c r="J61" s="91">
        <f>despesavariávelconsolidadojun[[#This Row],[TOTAL]]</f>
        <v>0</v>
      </c>
      <c r="K61" s="91">
        <f>despesavariávelconsolidadojul[[#This Row],[TOTAL]]</f>
        <v>0</v>
      </c>
      <c r="L61" s="91">
        <f>despesavariávelconsolidadoago[[#This Row],[TOTAL]]</f>
        <v>0</v>
      </c>
      <c r="M61" s="91">
        <f>despesavariávelconsolidadoset[[#This Row],[TOTAL]]</f>
        <v>0</v>
      </c>
      <c r="N61" s="91">
        <f>despesavariávelconsolidadoout[[#This Row],[TOTAL]]</f>
        <v>0</v>
      </c>
      <c r="O61" s="91">
        <f>despesavariávelconsolidadonov[[#This Row],[TOTAL]]</f>
        <v>0</v>
      </c>
      <c r="P61" s="91">
        <f>despesavariávelconsolidadodez[[#This Row],[TOTAL]]</f>
        <v>0</v>
      </c>
      <c r="Q61" s="97">
        <f>SUM(despesavariávelconsolidadoanual[[#This Row],[1]:[12]])</f>
        <v>0</v>
      </c>
      <c r="R61" s="28"/>
      <c r="S61" s="81"/>
      <c r="T61" s="81"/>
      <c r="U61" s="81"/>
      <c r="V61" s="81"/>
      <c r="W61" s="81"/>
      <c r="X61" s="81"/>
      <c r="Y61" s="81"/>
      <c r="Z61" s="81"/>
      <c r="AH61" s="131"/>
      <c r="AO61" s="138" t="e">
        <f>SUMIFS(tabela_registros[VALOR],tabela_registros[MÊS],$AE$1,tabela_registros[REGISTRO],DADOS!$N$4,tabela_registros[TIPO],DADOS!$P$4,tabela_registros[CATEGORIA],despesavariávelconsolidadodez[[#This Row],[DESPESA VARIÁVEL]],#REF!,DADOS!$J$4)</f>
        <v>#REF!</v>
      </c>
      <c r="AP61" s="138" t="e">
        <f>SUMIFS(tabela_registros[VALOR],tabela_registros[MÊS],$AE$1,tabela_registros[REGISTRO],DADOS!$N$4,tabela_registros[TIPO],DADOS!$P$4,tabela_registros[CATEGORIA],despesavariávelconsolidadodez[[#This Row],[DESPESA VARIÁVEL]],#REF!,DADOS!$J$3)</f>
        <v>#REF!</v>
      </c>
      <c r="AQ61" s="139">
        <f>(despesavariávelconsolidadoanual[[#This Row],[TOTAL]]*$AQ$73)/$Q$73</f>
        <v>0</v>
      </c>
    </row>
    <row r="62" spans="1:52" ht="18" customHeight="1" thickTop="1" thickBot="1" x14ac:dyDescent="0.3">
      <c r="B62" s="28"/>
      <c r="C62" s="27" t="str">
        <f>DADOS!$T$5</f>
        <v>✍️ CHEQUE ESPECIAL</v>
      </c>
      <c r="D62" s="26" t="str">
        <f>IF(despesavariávelconsolidadoanual[[#This Row],[TOTAL]]=0,"",IF(OR(despesavariávelconsolidadoanual[[#This Row],[TOTAL]]=LARGE($Q$60:$Q$72,1),despesavariávelconsolidadoanual[[#This Row],[TOTAL]]=LARGE($Q$60:$Q$72,2),despesavariávelconsolidadoanual[[#This Row],[TOTAL]]=LARGE($Q$60:$Q$72,3),despesavariávelconsolidadoanual[[#This Row],[TOTAL]]=LARGE($Q$60:$Q$72,4),despesavariávelconsolidadoanual[[#This Row],[TOTAL]]=LARGE($Q$60:$Q$72,5)),DADOS!$I$8,""))</f>
        <v/>
      </c>
      <c r="E62" s="96">
        <f>despesavariávelconsolidado[[#This Row],[TOTAL]]</f>
        <v>150</v>
      </c>
      <c r="F62" s="91">
        <f>despesavariávelconsolidadofev[[#This Row],[TOTAL]]</f>
        <v>0</v>
      </c>
      <c r="G62" s="91">
        <f>despesavariávelconsolidadomar[[#This Row],[TOTAL]]</f>
        <v>0</v>
      </c>
      <c r="H62" s="91">
        <f>despesavariávelconsolidadoabr[[#This Row],[TOTAL]]</f>
        <v>0</v>
      </c>
      <c r="I62" s="91">
        <f>despesavariávelconsolidadomai[[#This Row],[TOTAL]]</f>
        <v>0</v>
      </c>
      <c r="J62" s="91">
        <f>despesavariávelconsolidadojun[[#This Row],[TOTAL]]</f>
        <v>0</v>
      </c>
      <c r="K62" s="91">
        <f>despesavariávelconsolidadojul[[#This Row],[TOTAL]]</f>
        <v>0</v>
      </c>
      <c r="L62" s="91">
        <f>despesavariávelconsolidadoago[[#This Row],[TOTAL]]</f>
        <v>0</v>
      </c>
      <c r="M62" s="91">
        <f>despesavariávelconsolidadoset[[#This Row],[TOTAL]]</f>
        <v>0</v>
      </c>
      <c r="N62" s="91">
        <f>despesavariávelconsolidadoout[[#This Row],[TOTAL]]</f>
        <v>0</v>
      </c>
      <c r="O62" s="91">
        <f>despesavariávelconsolidadonov[[#This Row],[TOTAL]]</f>
        <v>0</v>
      </c>
      <c r="P62" s="91">
        <f>despesavariávelconsolidadodez[[#This Row],[TOTAL]]</f>
        <v>0</v>
      </c>
      <c r="Q62" s="97">
        <f>SUM(despesavariávelconsolidadoanual[[#This Row],[1]:[12]])</f>
        <v>150</v>
      </c>
      <c r="R62" s="28"/>
      <c r="S62" s="81"/>
      <c r="T62" s="81"/>
      <c r="U62" s="81"/>
      <c r="V62" s="81"/>
      <c r="W62" s="81"/>
      <c r="X62" s="81"/>
      <c r="Y62" s="81"/>
      <c r="Z62" s="81"/>
      <c r="AH62" s="131"/>
      <c r="AO62" s="138" t="e">
        <f>SUMIFS(tabela_registros[VALOR],tabela_registros[MÊS],$AE$1,tabela_registros[REGISTRO],DADOS!$N$4,tabela_registros[TIPO],DADOS!$P$4,tabela_registros[CATEGORIA],despesavariávelconsolidadodez[[#This Row],[DESPESA VARIÁVEL]],#REF!,DADOS!$J$4)</f>
        <v>#REF!</v>
      </c>
      <c r="AP62" s="138" t="e">
        <f>SUMIFS(tabela_registros[VALOR],tabela_registros[MÊS],$AE$1,tabela_registros[REGISTRO],DADOS!$N$4,tabela_registros[TIPO],DADOS!$P$4,tabela_registros[CATEGORIA],despesavariávelconsolidadodez[[#This Row],[DESPESA VARIÁVEL]],#REF!,DADOS!$J$3)</f>
        <v>#REF!</v>
      </c>
      <c r="AQ62" s="139">
        <f>(despesavariávelconsolidadoanual[[#This Row],[TOTAL]]*$AQ$73)/$Q$73</f>
        <v>6.2606206958232699E-2</v>
      </c>
    </row>
    <row r="63" spans="1:52" ht="18" customHeight="1" thickTop="1" thickBot="1" x14ac:dyDescent="0.3">
      <c r="B63" s="28"/>
      <c r="C63" s="27" t="str">
        <f>DADOS!$T$6</f>
        <v>💄 CUIDADOS PESSOAIS</v>
      </c>
      <c r="D63" s="26" t="str">
        <f>IF(despesavariávelconsolidadoanual[[#This Row],[TOTAL]]=0,"",IF(OR(despesavariávelconsolidadoanual[[#This Row],[TOTAL]]=LARGE($Q$60:$Q$72,1),despesavariávelconsolidadoanual[[#This Row],[TOTAL]]=LARGE($Q$60:$Q$72,2),despesavariávelconsolidadoanual[[#This Row],[TOTAL]]=LARGE($Q$60:$Q$72,3),despesavariávelconsolidadoanual[[#This Row],[TOTAL]]=LARGE($Q$60:$Q$72,4),despesavariávelconsolidadoanual[[#This Row],[TOTAL]]=LARGE($Q$60:$Q$72,5)),DADOS!$I$8,""))</f>
        <v/>
      </c>
      <c r="E63" s="96">
        <f>despesavariávelconsolidado[[#This Row],[TOTAL]]</f>
        <v>0</v>
      </c>
      <c r="F63" s="91">
        <f>despesavariávelconsolidadofev[[#This Row],[TOTAL]]</f>
        <v>0</v>
      </c>
      <c r="G63" s="91">
        <f>despesavariávelconsolidadomar[[#This Row],[TOTAL]]</f>
        <v>0</v>
      </c>
      <c r="H63" s="91">
        <f>despesavariávelconsolidadoabr[[#This Row],[TOTAL]]</f>
        <v>0</v>
      </c>
      <c r="I63" s="91">
        <f>despesavariávelconsolidadomai[[#This Row],[TOTAL]]</f>
        <v>0</v>
      </c>
      <c r="J63" s="91">
        <f>despesavariávelconsolidadojun[[#This Row],[TOTAL]]</f>
        <v>0</v>
      </c>
      <c r="K63" s="91">
        <f>despesavariávelconsolidadojul[[#This Row],[TOTAL]]</f>
        <v>0</v>
      </c>
      <c r="L63" s="91">
        <f>despesavariávelconsolidadoago[[#This Row],[TOTAL]]</f>
        <v>0</v>
      </c>
      <c r="M63" s="91">
        <f>despesavariávelconsolidadoset[[#This Row],[TOTAL]]</f>
        <v>0</v>
      </c>
      <c r="N63" s="91">
        <f>despesavariávelconsolidadoout[[#This Row],[TOTAL]]</f>
        <v>0</v>
      </c>
      <c r="O63" s="91">
        <f>despesavariávelconsolidadonov[[#This Row],[TOTAL]]</f>
        <v>0</v>
      </c>
      <c r="P63" s="91">
        <f>despesavariávelconsolidadodez[[#This Row],[TOTAL]]</f>
        <v>0</v>
      </c>
      <c r="Q63" s="97">
        <f>SUM(despesavariávelconsolidadoanual[[#This Row],[1]:[12]])</f>
        <v>0</v>
      </c>
      <c r="R63" s="28"/>
      <c r="S63" s="81"/>
      <c r="T63" s="81"/>
      <c r="U63" s="81"/>
      <c r="V63" s="81"/>
      <c r="W63" s="81"/>
      <c r="X63" s="81"/>
      <c r="Y63" s="81"/>
      <c r="Z63" s="81"/>
      <c r="AH63" s="131"/>
      <c r="AO63" s="138" t="e">
        <f>SUMIFS(tabela_registros[VALOR],tabela_registros[MÊS],$AE$1,tabela_registros[REGISTRO],DADOS!$N$4,tabela_registros[TIPO],DADOS!$P$4,tabela_registros[CATEGORIA],despesavariávelconsolidadodez[[#This Row],[DESPESA VARIÁVEL]],#REF!,DADOS!$J$4)</f>
        <v>#REF!</v>
      </c>
      <c r="AP63" s="138" t="e">
        <f>SUMIFS(tabela_registros[VALOR],tabela_registros[MÊS],$AE$1,tabela_registros[REGISTRO],DADOS!$N$4,tabela_registros[TIPO],DADOS!$P$4,tabela_registros[CATEGORIA],despesavariávelconsolidadodez[[#This Row],[DESPESA VARIÁVEL]],#REF!,DADOS!$J$3)</f>
        <v>#REF!</v>
      </c>
      <c r="AQ63" s="139">
        <f>(despesavariávelconsolidadoanual[[#This Row],[TOTAL]]*$AQ$73)/$Q$73</f>
        <v>0</v>
      </c>
    </row>
    <row r="64" spans="1:52" ht="18" customHeight="1" thickTop="1" thickBot="1" x14ac:dyDescent="0.3">
      <c r="B64" s="28"/>
      <c r="C64" s="27" t="str">
        <f>DADOS!$T$7</f>
        <v>🤝 DOAÇÃO</v>
      </c>
      <c r="D64" s="26" t="str">
        <f>IF(despesavariávelconsolidadoanual[[#This Row],[TOTAL]]=0,"",IF(OR(despesavariávelconsolidadoanual[[#This Row],[TOTAL]]=LARGE($Q$60:$Q$72,1),despesavariávelconsolidadoanual[[#This Row],[TOTAL]]=LARGE($Q$60:$Q$72,2),despesavariávelconsolidadoanual[[#This Row],[TOTAL]]=LARGE($Q$60:$Q$72,3),despesavariávelconsolidadoanual[[#This Row],[TOTAL]]=LARGE($Q$60:$Q$72,4),despesavariávelconsolidadoanual[[#This Row],[TOTAL]]=LARGE($Q$60:$Q$72,5)),DADOS!$I$8,""))</f>
        <v>💣</v>
      </c>
      <c r="E64" s="96">
        <f>despesavariávelconsolidado[[#This Row],[TOTAL]]</f>
        <v>0</v>
      </c>
      <c r="F64" s="91">
        <f>despesavariávelconsolidadofev[[#This Row],[TOTAL]]</f>
        <v>0</v>
      </c>
      <c r="G64" s="91">
        <f>despesavariávelconsolidadomar[[#This Row],[TOTAL]]</f>
        <v>0</v>
      </c>
      <c r="H64" s="91">
        <f>despesavariávelconsolidadoabr[[#This Row],[TOTAL]]</f>
        <v>450</v>
      </c>
      <c r="I64" s="91">
        <f>despesavariávelconsolidadomai[[#This Row],[TOTAL]]</f>
        <v>0</v>
      </c>
      <c r="J64" s="91">
        <f>despesavariávelconsolidadojun[[#This Row],[TOTAL]]</f>
        <v>0</v>
      </c>
      <c r="K64" s="91">
        <f>despesavariávelconsolidadojul[[#This Row],[TOTAL]]</f>
        <v>0</v>
      </c>
      <c r="L64" s="91">
        <f>despesavariávelconsolidadoago[[#This Row],[TOTAL]]</f>
        <v>0</v>
      </c>
      <c r="M64" s="91">
        <f>despesavariávelconsolidadoset[[#This Row],[TOTAL]]</f>
        <v>0</v>
      </c>
      <c r="N64" s="91">
        <f>despesavariávelconsolidadoout[[#This Row],[TOTAL]]</f>
        <v>0</v>
      </c>
      <c r="O64" s="91">
        <f>despesavariávelconsolidadonov[[#This Row],[TOTAL]]</f>
        <v>0</v>
      </c>
      <c r="P64" s="91">
        <f>despesavariávelconsolidadodez[[#This Row],[TOTAL]]</f>
        <v>0</v>
      </c>
      <c r="Q64" s="97">
        <f>SUM(despesavariávelconsolidadoanual[[#This Row],[1]:[12]])</f>
        <v>450</v>
      </c>
      <c r="R64" s="28"/>
      <c r="S64" s="81"/>
      <c r="T64" s="81"/>
      <c r="U64" s="81"/>
      <c r="V64" s="81"/>
      <c r="W64" s="81"/>
      <c r="X64" s="81"/>
      <c r="Y64" s="81"/>
      <c r="Z64" s="81"/>
      <c r="AH64" s="131"/>
      <c r="AO64" s="138" t="e">
        <f>SUMIFS(tabela_registros[VALOR],tabela_registros[MÊS],$AE$1,tabela_registros[REGISTRO],DADOS!$N$4,tabela_registros[TIPO],DADOS!$P$4,tabela_registros[CATEGORIA],despesavariávelconsolidadodez[[#This Row],[DESPESA VARIÁVEL]],#REF!,DADOS!$J$4)</f>
        <v>#REF!</v>
      </c>
      <c r="AP64" s="138" t="e">
        <f>SUMIFS(tabela_registros[VALOR],tabela_registros[MÊS],$AE$1,tabela_registros[REGISTRO],DADOS!$N$4,tabela_registros[TIPO],DADOS!$P$4,tabela_registros[CATEGORIA],despesavariávelconsolidadodez[[#This Row],[DESPESA VARIÁVEL]],#REF!,DADOS!$J$3)</f>
        <v>#REF!</v>
      </c>
      <c r="AQ64" s="139">
        <f>(despesavariávelconsolidadoanual[[#This Row],[TOTAL]]*$AQ$73)/$Q$73</f>
        <v>0.18781862087469811</v>
      </c>
    </row>
    <row r="65" spans="1:43" ht="18" customHeight="1" thickTop="1" thickBot="1" x14ac:dyDescent="0.3">
      <c r="B65" s="28"/>
      <c r="C65" s="27" t="str">
        <f>DADOS!$T$8</f>
        <v>📖 EDUCAÇÃO</v>
      </c>
      <c r="D65" s="26" t="str">
        <f>IF(despesavariávelconsolidadoanual[[#This Row],[TOTAL]]=0,"",IF(OR(despesavariávelconsolidadoanual[[#This Row],[TOTAL]]=LARGE($Q$60:$Q$72,1),despesavariávelconsolidadoanual[[#This Row],[TOTAL]]=LARGE($Q$60:$Q$72,2),despesavariávelconsolidadoanual[[#This Row],[TOTAL]]=LARGE($Q$60:$Q$72,3),despesavariávelconsolidadoanual[[#This Row],[TOTAL]]=LARGE($Q$60:$Q$72,4),despesavariávelconsolidadoanual[[#This Row],[TOTAL]]=LARGE($Q$60:$Q$72,5)),DADOS!$I$8,""))</f>
        <v/>
      </c>
      <c r="E65" s="96">
        <f>despesavariávelconsolidado[[#This Row],[TOTAL]]</f>
        <v>137.21428571428601</v>
      </c>
      <c r="F65" s="91">
        <f>despesavariávelconsolidadofev[[#This Row],[TOTAL]]</f>
        <v>0</v>
      </c>
      <c r="G65" s="91">
        <f>despesavariávelconsolidadomar[[#This Row],[TOTAL]]</f>
        <v>0</v>
      </c>
      <c r="H65" s="91">
        <f>despesavariávelconsolidadoabr[[#This Row],[TOTAL]]</f>
        <v>0</v>
      </c>
      <c r="I65" s="91">
        <f>despesavariávelconsolidadomai[[#This Row],[TOTAL]]</f>
        <v>0</v>
      </c>
      <c r="J65" s="91">
        <f>despesavariávelconsolidadojun[[#This Row],[TOTAL]]</f>
        <v>0</v>
      </c>
      <c r="K65" s="91">
        <f>despesavariávelconsolidadojul[[#This Row],[TOTAL]]</f>
        <v>0</v>
      </c>
      <c r="L65" s="91">
        <f>despesavariávelconsolidadoago[[#This Row],[TOTAL]]</f>
        <v>0</v>
      </c>
      <c r="M65" s="91">
        <f>despesavariávelconsolidadoset[[#This Row],[TOTAL]]</f>
        <v>0</v>
      </c>
      <c r="N65" s="91">
        <f>despesavariávelconsolidadoout[[#This Row],[TOTAL]]</f>
        <v>0</v>
      </c>
      <c r="O65" s="91">
        <f>despesavariávelconsolidadonov[[#This Row],[TOTAL]]</f>
        <v>0</v>
      </c>
      <c r="P65" s="91">
        <f>despesavariávelconsolidadodez[[#This Row],[TOTAL]]</f>
        <v>0</v>
      </c>
      <c r="Q65" s="97">
        <f>SUM(despesavariávelconsolidadoanual[[#This Row],[1]:[12]])</f>
        <v>137.21428571428601</v>
      </c>
      <c r="R65" s="28"/>
      <c r="S65" s="81"/>
      <c r="T65" s="81"/>
      <c r="U65" s="81"/>
      <c r="V65" s="81"/>
      <c r="W65" s="81"/>
      <c r="X65" s="81"/>
      <c r="Y65" s="81"/>
      <c r="Z65" s="81"/>
      <c r="AH65" s="131"/>
      <c r="AO65" s="138" t="e">
        <f>SUMIFS(tabela_registros[VALOR],tabela_registros[MÊS],$AE$1,tabela_registros[REGISTRO],DADOS!$N$4,tabela_registros[TIPO],DADOS!$P$4,tabela_registros[CATEGORIA],despesavariávelconsolidadodez[[#This Row],[DESPESA VARIÁVEL]],#REF!,DADOS!$J$4)</f>
        <v>#REF!</v>
      </c>
      <c r="AP65" s="138" t="e">
        <f>SUMIFS(tabela_registros[VALOR],tabela_registros[MÊS],$AE$1,tabela_registros[REGISTRO],DADOS!$N$4,tabela_registros[TIPO],DADOS!$P$4,tabela_registros[CATEGORIA],despesavariávelconsolidadodez[[#This Row],[DESPESA VARIÁVEL]],#REF!,DADOS!$J$3)</f>
        <v>#REF!</v>
      </c>
      <c r="AQ65" s="139">
        <f>(despesavariávelconsolidadoanual[[#This Row],[TOTAL]]*$AQ$73)/$Q$73</f>
        <v>5.7269773127031083E-2</v>
      </c>
    </row>
    <row r="66" spans="1:43" ht="18" customHeight="1" thickTop="1" thickBot="1" x14ac:dyDescent="0.3">
      <c r="B66" s="28"/>
      <c r="C66" s="27" t="str">
        <f>DADOS!$T$9</f>
        <v>🎭 LAZER</v>
      </c>
      <c r="D66" s="26" t="str">
        <f>IF(despesavariávelconsolidadoanual[[#This Row],[TOTAL]]=0,"",IF(OR(despesavariávelconsolidadoanual[[#This Row],[TOTAL]]=LARGE($Q$60:$Q$72,1),despesavariávelconsolidadoanual[[#This Row],[TOTAL]]=LARGE($Q$60:$Q$72,2),despesavariávelconsolidadoanual[[#This Row],[TOTAL]]=LARGE($Q$60:$Q$72,3),despesavariávelconsolidadoanual[[#This Row],[TOTAL]]=LARGE($Q$60:$Q$72,4),despesavariávelconsolidadoanual[[#This Row],[TOTAL]]=LARGE($Q$60:$Q$72,5)),DADOS!$I$8,""))</f>
        <v>💣</v>
      </c>
      <c r="E66" s="96">
        <f>despesavariávelconsolidado[[#This Row],[TOTAL]]</f>
        <v>263.6428571428566</v>
      </c>
      <c r="F66" s="91">
        <f>despesavariávelconsolidadofev[[#This Row],[TOTAL]]</f>
        <v>0</v>
      </c>
      <c r="G66" s="91">
        <f>despesavariávelconsolidadomar[[#This Row],[TOTAL]]</f>
        <v>0</v>
      </c>
      <c r="H66" s="91">
        <f>despesavariávelconsolidadoabr[[#This Row],[TOTAL]]</f>
        <v>0</v>
      </c>
      <c r="I66" s="91">
        <f>despesavariávelconsolidadomai[[#This Row],[TOTAL]]</f>
        <v>0</v>
      </c>
      <c r="J66" s="91">
        <f>despesavariávelconsolidadojun[[#This Row],[TOTAL]]</f>
        <v>0</v>
      </c>
      <c r="K66" s="91">
        <f>despesavariávelconsolidadojul[[#This Row],[TOTAL]]</f>
        <v>0</v>
      </c>
      <c r="L66" s="91">
        <f>despesavariávelconsolidadoago[[#This Row],[TOTAL]]</f>
        <v>0</v>
      </c>
      <c r="M66" s="91">
        <f>despesavariávelconsolidadoset[[#This Row],[TOTAL]]</f>
        <v>0</v>
      </c>
      <c r="N66" s="91">
        <f>despesavariávelconsolidadoout[[#This Row],[TOTAL]]</f>
        <v>20</v>
      </c>
      <c r="O66" s="91">
        <f>despesavariávelconsolidadonov[[#This Row],[TOTAL]]</f>
        <v>0</v>
      </c>
      <c r="P66" s="91">
        <f>despesavariávelconsolidadodez[[#This Row],[TOTAL]]</f>
        <v>0</v>
      </c>
      <c r="Q66" s="97">
        <f>SUM(despesavariávelconsolidadoanual[[#This Row],[1]:[12]])</f>
        <v>283.6428571428566</v>
      </c>
      <c r="R66" s="28"/>
      <c r="S66" s="81"/>
      <c r="T66" s="81"/>
      <c r="U66" s="81"/>
      <c r="V66" s="81"/>
      <c r="W66" s="81"/>
      <c r="X66" s="81"/>
      <c r="Y66" s="81"/>
      <c r="Z66" s="81"/>
      <c r="AH66" s="131"/>
      <c r="AO66" s="138" t="e">
        <f>SUMIFS(tabela_registros[VALOR],tabela_registros[MÊS],$AE$1,tabela_registros[REGISTRO],DADOS!$N$4,tabela_registros[TIPO],DADOS!$P$4,tabela_registros[CATEGORIA],despesavariávelconsolidadodez[[#This Row],[DESPESA VARIÁVEL]],#REF!,DADOS!$J$4)</f>
        <v>#REF!</v>
      </c>
      <c r="AP66" s="138" t="e">
        <f>SUMIFS(tabela_registros[VALOR],tabela_registros[MÊS],$AE$1,tabela_registros[REGISTRO],DADOS!$N$4,tabela_registros[TIPO],DADOS!$P$4,tabela_registros[CATEGORIA],despesavariávelconsolidadodez[[#This Row],[DESPESA VARIÁVEL]],#REF!,DADOS!$J$3)</f>
        <v>#REF!</v>
      </c>
      <c r="AQ66" s="139">
        <f>(despesavariávelconsolidadoanual[[#This Row],[TOTAL]]*$AQ$73)/$Q$73</f>
        <v>0.11838535611006742</v>
      </c>
    </row>
    <row r="67" spans="1:43" ht="18" customHeight="1" thickTop="1" thickBot="1" x14ac:dyDescent="0.3">
      <c r="B67" s="28"/>
      <c r="C67" s="27" t="str">
        <f>DADOS!$T$10</f>
        <v>🛒 MERCADO</v>
      </c>
      <c r="D67" s="26" t="str">
        <f>IF(despesavariávelconsolidadoanual[[#This Row],[TOTAL]]=0,"",IF(OR(despesavariávelconsolidadoanual[[#This Row],[TOTAL]]=LARGE($Q$60:$Q$72,1),despesavariávelconsolidadoanual[[#This Row],[TOTAL]]=LARGE($Q$60:$Q$72,2),despesavariávelconsolidadoanual[[#This Row],[TOTAL]]=LARGE($Q$60:$Q$72,3),despesavariávelconsolidadoanual[[#This Row],[TOTAL]]=LARGE($Q$60:$Q$72,4),despesavariávelconsolidadoanual[[#This Row],[TOTAL]]=LARGE($Q$60:$Q$72,5)),DADOS!$I$8,""))</f>
        <v/>
      </c>
      <c r="E67" s="96">
        <f>despesavariávelconsolidado[[#This Row],[TOTAL]]</f>
        <v>56.285714285714597</v>
      </c>
      <c r="F67" s="91">
        <f>despesavariávelconsolidadofev[[#This Row],[TOTAL]]</f>
        <v>0</v>
      </c>
      <c r="G67" s="91">
        <f>despesavariávelconsolidadomar[[#This Row],[TOTAL]]</f>
        <v>0</v>
      </c>
      <c r="H67" s="91">
        <f>despesavariávelconsolidadoabr[[#This Row],[TOTAL]]</f>
        <v>0</v>
      </c>
      <c r="I67" s="91">
        <f>despesavariávelconsolidadomai[[#This Row],[TOTAL]]</f>
        <v>0</v>
      </c>
      <c r="J67" s="91">
        <f>despesavariávelconsolidadojun[[#This Row],[TOTAL]]</f>
        <v>0</v>
      </c>
      <c r="K67" s="91">
        <f>despesavariávelconsolidadojul[[#This Row],[TOTAL]]</f>
        <v>0</v>
      </c>
      <c r="L67" s="91">
        <f>despesavariávelconsolidadoago[[#This Row],[TOTAL]]</f>
        <v>0</v>
      </c>
      <c r="M67" s="91">
        <f>despesavariávelconsolidadoset[[#This Row],[TOTAL]]</f>
        <v>0</v>
      </c>
      <c r="N67" s="91">
        <f>despesavariávelconsolidadoout[[#This Row],[TOTAL]]</f>
        <v>0</v>
      </c>
      <c r="O67" s="91">
        <f>despesavariávelconsolidadonov[[#This Row],[TOTAL]]</f>
        <v>0</v>
      </c>
      <c r="P67" s="91">
        <f>despesavariávelconsolidadodez[[#This Row],[TOTAL]]</f>
        <v>0</v>
      </c>
      <c r="Q67" s="97">
        <f>SUM(despesavariávelconsolidadoanual[[#This Row],[1]:[12]])</f>
        <v>56.285714285714597</v>
      </c>
      <c r="R67" s="28"/>
      <c r="S67" s="81"/>
      <c r="T67" s="81"/>
      <c r="U67" s="81"/>
      <c r="V67" s="81"/>
      <c r="W67" s="81"/>
      <c r="X67" s="81"/>
      <c r="Y67" s="81"/>
      <c r="Z67" s="81"/>
      <c r="AH67" s="131"/>
      <c r="AO67" s="138" t="e">
        <f>SUMIFS(tabela_registros[VALOR],tabela_registros[MÊS],$AE$1,tabela_registros[REGISTRO],DADOS!$N$4,tabela_registros[TIPO],DADOS!$P$4,tabela_registros[CATEGORIA],despesavariávelconsolidadodez[[#This Row],[DESPESA VARIÁVEL]],#REF!,DADOS!$J$4)</f>
        <v>#REF!</v>
      </c>
      <c r="AP67" s="138" t="e">
        <f>SUMIFS(tabela_registros[VALOR],tabela_registros[MÊS],$AE$1,tabela_registros[REGISTRO],DADOS!$N$4,tabela_registros[TIPO],DADOS!$P$4,tabela_registros[CATEGORIA],despesavariávelconsolidadodez[[#This Row],[DESPESA VARIÁVEL]],#REF!,DADOS!$J$3)</f>
        <v>#REF!</v>
      </c>
      <c r="AQ67" s="139">
        <f>(despesavariávelconsolidadoanual[[#This Row],[TOTAL]]*$AQ$73)/$Q$73</f>
        <v>2.3492233849089352E-2</v>
      </c>
    </row>
    <row r="68" spans="1:43" ht="18" customHeight="1" thickTop="1" thickBot="1" x14ac:dyDescent="0.3">
      <c r="B68" s="28"/>
      <c r="C68" s="27" t="str">
        <f>DADOS!$T$11</f>
        <v>🎁 PRESENTES</v>
      </c>
      <c r="D68" s="26" t="str">
        <f>IF(despesavariávelconsolidadoanual[[#This Row],[TOTAL]]=0,"",IF(OR(despesavariávelconsolidadoanual[[#This Row],[TOTAL]]=LARGE($Q$60:$Q$72,1),despesavariávelconsolidadoanual[[#This Row],[TOTAL]]=LARGE($Q$60:$Q$72,2),despesavariávelconsolidadoanual[[#This Row],[TOTAL]]=LARGE($Q$60:$Q$72,3),despesavariávelconsolidadoanual[[#This Row],[TOTAL]]=LARGE($Q$60:$Q$72,4),despesavariávelconsolidadoanual[[#This Row],[TOTAL]]=LARGE($Q$60:$Q$72,5)),DADOS!$I$8,""))</f>
        <v/>
      </c>
      <c r="E68" s="96">
        <f>despesavariávelconsolidado[[#This Row],[TOTAL]]</f>
        <v>41.571428571428598</v>
      </c>
      <c r="F68" s="91">
        <f>despesavariávelconsolidadofev[[#This Row],[TOTAL]]</f>
        <v>0</v>
      </c>
      <c r="G68" s="91">
        <f>despesavariávelconsolidadomar[[#This Row],[TOTAL]]</f>
        <v>0</v>
      </c>
      <c r="H68" s="91">
        <f>despesavariávelconsolidadoabr[[#This Row],[TOTAL]]</f>
        <v>0</v>
      </c>
      <c r="I68" s="91">
        <f>despesavariávelconsolidadomai[[#This Row],[TOTAL]]</f>
        <v>0</v>
      </c>
      <c r="J68" s="91">
        <f>despesavariávelconsolidadojun[[#This Row],[TOTAL]]</f>
        <v>0</v>
      </c>
      <c r="K68" s="91">
        <f>despesavariávelconsolidadojul[[#This Row],[TOTAL]]</f>
        <v>0</v>
      </c>
      <c r="L68" s="91">
        <f>despesavariávelconsolidadoago[[#This Row],[TOTAL]]</f>
        <v>0</v>
      </c>
      <c r="M68" s="91">
        <f>despesavariávelconsolidadoset[[#This Row],[TOTAL]]</f>
        <v>0</v>
      </c>
      <c r="N68" s="91">
        <f>despesavariávelconsolidadoout[[#This Row],[TOTAL]]</f>
        <v>0</v>
      </c>
      <c r="O68" s="91">
        <f>despesavariávelconsolidadonov[[#This Row],[TOTAL]]</f>
        <v>0</v>
      </c>
      <c r="P68" s="91">
        <f>despesavariávelconsolidadodez[[#This Row],[TOTAL]]</f>
        <v>0</v>
      </c>
      <c r="Q68" s="97">
        <f>SUM(despesavariávelconsolidadoanual[[#This Row],[1]:[12]])</f>
        <v>41.571428571428598</v>
      </c>
      <c r="R68" s="28"/>
      <c r="S68" s="81"/>
      <c r="T68" s="81"/>
      <c r="U68" s="81"/>
      <c r="V68" s="81"/>
      <c r="W68" s="81"/>
      <c r="X68" s="81"/>
      <c r="Y68" s="81"/>
      <c r="Z68" s="81"/>
      <c r="AH68" s="131"/>
      <c r="AO68" s="138" t="e">
        <f>SUMIFS(tabela_registros[VALOR],tabela_registros[MÊS],$AE$1,tabela_registros[REGISTRO],DADOS!$N$4,tabela_registros[TIPO],DADOS!$P$4,tabela_registros[CATEGORIA],despesavariávelconsolidadodez[[#This Row],[DESPESA VARIÁVEL]],#REF!,DADOS!$J$4)</f>
        <v>#REF!</v>
      </c>
      <c r="AP68" s="138" t="e">
        <f>SUMIFS(tabela_registros[VALOR],tabela_registros[MÊS],$AE$1,tabela_registros[REGISTRO],DADOS!$N$4,tabela_registros[TIPO],DADOS!$P$4,tabela_registros[CATEGORIA],despesavariávelconsolidadodez[[#This Row],[DESPESA VARIÁVEL]],#REF!,DADOS!$J$3)</f>
        <v>#REF!</v>
      </c>
      <c r="AQ68" s="139">
        <f>(despesavariávelconsolidadoanual[[#This Row],[TOTAL]]*$AQ$73)/$Q$73</f>
        <v>1.7350863071281645E-2</v>
      </c>
    </row>
    <row r="69" spans="1:43" ht="18" customHeight="1" thickTop="1" thickBot="1" x14ac:dyDescent="0.3">
      <c r="B69" s="28"/>
      <c r="C69" s="27" t="str">
        <f>DADOS!$T$12</f>
        <v>💊 SAÚDE</v>
      </c>
      <c r="D69" s="26" t="str">
        <f>IF(despesavariávelconsolidadoanual[[#This Row],[TOTAL]]=0,"",IF(OR(despesavariávelconsolidadoanual[[#This Row],[TOTAL]]=LARGE($Q$60:$Q$72,1),despesavariávelconsolidadoanual[[#This Row],[TOTAL]]=LARGE($Q$60:$Q$72,2),despesavariávelconsolidadoanual[[#This Row],[TOTAL]]=LARGE($Q$60:$Q$72,3),despesavariávelconsolidadoanual[[#This Row],[TOTAL]]=LARGE($Q$60:$Q$72,4),despesavariávelconsolidadoanual[[#This Row],[TOTAL]]=LARGE($Q$60:$Q$72,5)),DADOS!$I$8,""))</f>
        <v>💣</v>
      </c>
      <c r="E69" s="96">
        <f>despesavariávelconsolidado[[#This Row],[TOTAL]]</f>
        <v>85.714285714285595</v>
      </c>
      <c r="F69" s="91">
        <f>despesavariávelconsolidadofev[[#This Row],[TOTAL]]</f>
        <v>0</v>
      </c>
      <c r="G69" s="91">
        <f>despesavariávelconsolidadomar[[#This Row],[TOTAL]]</f>
        <v>0</v>
      </c>
      <c r="H69" s="91">
        <f>despesavariávelconsolidadoabr[[#This Row],[TOTAL]]</f>
        <v>0</v>
      </c>
      <c r="I69" s="91">
        <f>despesavariávelconsolidadomai[[#This Row],[TOTAL]]</f>
        <v>0</v>
      </c>
      <c r="J69" s="91">
        <f>despesavariávelconsolidadojun[[#This Row],[TOTAL]]</f>
        <v>0</v>
      </c>
      <c r="K69" s="91">
        <f>despesavariávelconsolidadojul[[#This Row],[TOTAL]]</f>
        <v>236</v>
      </c>
      <c r="L69" s="91">
        <f>despesavariávelconsolidadoago[[#This Row],[TOTAL]]</f>
        <v>0</v>
      </c>
      <c r="M69" s="91">
        <f>despesavariávelconsolidadoset[[#This Row],[TOTAL]]</f>
        <v>0</v>
      </c>
      <c r="N69" s="91">
        <f>despesavariávelconsolidadoout[[#This Row],[TOTAL]]</f>
        <v>0</v>
      </c>
      <c r="O69" s="91">
        <f>despesavariávelconsolidadonov[[#This Row],[TOTAL]]</f>
        <v>0</v>
      </c>
      <c r="P69" s="91">
        <f>despesavariávelconsolidadodez[[#This Row],[TOTAL]]</f>
        <v>0</v>
      </c>
      <c r="Q69" s="97">
        <f>SUM(despesavariávelconsolidadoanual[[#This Row],[1]:[12]])</f>
        <v>321.71428571428561</v>
      </c>
      <c r="R69" s="28"/>
      <c r="S69" s="81"/>
      <c r="T69" s="81"/>
      <c r="U69" s="81"/>
      <c r="V69" s="81"/>
      <c r="W69" s="81"/>
      <c r="X69" s="81"/>
      <c r="Y69" s="81"/>
      <c r="Z69" s="81"/>
      <c r="AH69" s="131"/>
      <c r="AO69" s="138" t="e">
        <f>SUMIFS(tabela_registros[VALOR],tabela_registros[MÊS],$AE$1,tabela_registros[REGISTRO],DADOS!$N$4,tabela_registros[TIPO],DADOS!$P$4,tabela_registros[CATEGORIA],despesavariávelconsolidadodez[[#This Row],[DESPESA VARIÁVEL]],#REF!,DADOS!$J$4)</f>
        <v>#REF!</v>
      </c>
      <c r="AP69" s="138" t="e">
        <f>SUMIFS(tabela_registros[VALOR],tabela_registros[MÊS],$AE$1,tabela_registros[REGISTRO],DADOS!$N$4,tabela_registros[TIPO],DADOS!$P$4,tabela_registros[CATEGORIA],despesavariávelconsolidadodez[[#This Row],[DESPESA VARIÁVEL]],#REF!,DADOS!$J$3)</f>
        <v>#REF!</v>
      </c>
      <c r="AQ69" s="139">
        <f>(despesavariávelconsolidadoanual[[#This Row],[TOTAL]]*$AQ$73)/$Q$73</f>
        <v>0.13427540768565713</v>
      </c>
    </row>
    <row r="70" spans="1:43" ht="18" customHeight="1" thickTop="1" thickBot="1" x14ac:dyDescent="0.3">
      <c r="B70" s="28"/>
      <c r="C70" s="27" t="str">
        <f>DADOS!$T$13</f>
        <v>🚍 TRANSPORTE</v>
      </c>
      <c r="D70" s="26" t="str">
        <f>IF(despesavariávelconsolidadoanual[[#This Row],[TOTAL]]=0,"",IF(OR(despesavariávelconsolidadoanual[[#This Row],[TOTAL]]=LARGE($Q$60:$Q$72,1),despesavariávelconsolidadoanual[[#This Row],[TOTAL]]=LARGE($Q$60:$Q$72,2),despesavariávelconsolidadoanual[[#This Row],[TOTAL]]=LARGE($Q$60:$Q$72,3),despesavariávelconsolidadoanual[[#This Row],[TOTAL]]=LARGE($Q$60:$Q$72,4),despesavariávelconsolidadoanual[[#This Row],[TOTAL]]=LARGE($Q$60:$Q$72,5)),DADOS!$I$8,""))</f>
        <v/>
      </c>
      <c r="E70" s="96">
        <f>despesavariávelconsolidado[[#This Row],[TOTAL]]</f>
        <v>0</v>
      </c>
      <c r="F70" s="91">
        <f>despesavariávelconsolidadofev[[#This Row],[TOTAL]]</f>
        <v>0</v>
      </c>
      <c r="G70" s="91">
        <f>despesavariávelconsolidadomar[[#This Row],[TOTAL]]</f>
        <v>0</v>
      </c>
      <c r="H70" s="91">
        <f>despesavariávelconsolidadoabr[[#This Row],[TOTAL]]</f>
        <v>0</v>
      </c>
      <c r="I70" s="91">
        <f>despesavariávelconsolidadomai[[#This Row],[TOTAL]]</f>
        <v>0</v>
      </c>
      <c r="J70" s="91">
        <f>despesavariávelconsolidadojun[[#This Row],[TOTAL]]</f>
        <v>0</v>
      </c>
      <c r="K70" s="91">
        <f>despesavariávelconsolidadojul[[#This Row],[TOTAL]]</f>
        <v>248</v>
      </c>
      <c r="L70" s="91">
        <f>despesavariávelconsolidadoago[[#This Row],[TOTAL]]</f>
        <v>0</v>
      </c>
      <c r="M70" s="91">
        <f>despesavariávelconsolidadoset[[#This Row],[TOTAL]]</f>
        <v>0</v>
      </c>
      <c r="N70" s="91">
        <f>despesavariávelconsolidadoout[[#This Row],[TOTAL]]</f>
        <v>0</v>
      </c>
      <c r="O70" s="91">
        <f>despesavariávelconsolidadonov[[#This Row],[TOTAL]]</f>
        <v>0</v>
      </c>
      <c r="P70" s="91">
        <f>despesavariávelconsolidadodez[[#This Row],[TOTAL]]</f>
        <v>0</v>
      </c>
      <c r="Q70" s="97">
        <f>SUM(despesavariávelconsolidadoanual[[#This Row],[1]:[12]])</f>
        <v>248</v>
      </c>
      <c r="R70" s="28"/>
      <c r="S70" s="81"/>
      <c r="T70" s="81"/>
      <c r="U70" s="81"/>
      <c r="V70" s="81"/>
      <c r="W70" s="81"/>
      <c r="X70" s="81"/>
      <c r="Y70" s="81"/>
      <c r="Z70" s="81"/>
      <c r="AH70" s="131"/>
      <c r="AO70" s="138" t="e">
        <f>SUMIFS(tabela_registros[VALOR],tabela_registros[MÊS],$AE$1,tabela_registros[REGISTRO],DADOS!$N$4,tabela_registros[TIPO],DADOS!$P$4,tabela_registros[CATEGORIA],despesavariávelconsolidadodez[[#This Row],[DESPESA VARIÁVEL]],#REF!,DADOS!$J$4)</f>
        <v>#REF!</v>
      </c>
      <c r="AP70" s="138" t="e">
        <f>SUMIFS(tabela_registros[VALOR],tabela_registros[MÊS],$AE$1,tabela_registros[REGISTRO],DADOS!$N$4,tabela_registros[TIPO],DADOS!$P$4,tabela_registros[CATEGORIA],despesavariávelconsolidadodez[[#This Row],[DESPESA VARIÁVEL]],#REF!,DADOS!$J$3)</f>
        <v>#REF!</v>
      </c>
      <c r="AQ70" s="139">
        <f>(despesavariávelconsolidadoanual[[#This Row],[TOTAL]]*$AQ$73)/$Q$73</f>
        <v>0.1035089288376114</v>
      </c>
    </row>
    <row r="71" spans="1:43" ht="18" customHeight="1" thickTop="1" thickBot="1" x14ac:dyDescent="0.3">
      <c r="B71" s="28"/>
      <c r="C71" s="27" t="str">
        <f>DADOS!$T$14</f>
        <v>🛍️ VESTUÁRIO</v>
      </c>
      <c r="D71" s="26" t="str">
        <f>IF(despesavariávelconsolidadoanual[[#This Row],[TOTAL]]=0,"",IF(OR(despesavariávelconsolidadoanual[[#This Row],[TOTAL]]=LARGE($Q$60:$Q$72,1),despesavariávelconsolidadoanual[[#This Row],[TOTAL]]=LARGE($Q$60:$Q$72,2),despesavariávelconsolidadoanual[[#This Row],[TOTAL]]=LARGE($Q$60:$Q$72,3),despesavariávelconsolidadoanual[[#This Row],[TOTAL]]=LARGE($Q$60:$Q$72,4),despesavariávelconsolidadoanual[[#This Row],[TOTAL]]=LARGE($Q$60:$Q$72,5)),DADOS!$I$8,""))</f>
        <v>💣</v>
      </c>
      <c r="E71" s="96">
        <f>despesavariávelconsolidado[[#This Row],[TOTAL]]</f>
        <v>0</v>
      </c>
      <c r="F71" s="91">
        <f>despesavariávelconsolidadofev[[#This Row],[TOTAL]]</f>
        <v>0</v>
      </c>
      <c r="G71" s="91">
        <f>despesavariávelconsolidadomar[[#This Row],[TOTAL]]</f>
        <v>0</v>
      </c>
      <c r="H71" s="91">
        <f>despesavariávelconsolidadoabr[[#This Row],[TOTAL]]</f>
        <v>0</v>
      </c>
      <c r="I71" s="91">
        <f>despesavariávelconsolidadomai[[#This Row],[TOTAL]]</f>
        <v>0</v>
      </c>
      <c r="J71" s="91">
        <f>despesavariávelconsolidadojun[[#This Row],[TOTAL]]</f>
        <v>0</v>
      </c>
      <c r="K71" s="91">
        <f>despesavariávelconsolidadojul[[#This Row],[TOTAL]]</f>
        <v>254</v>
      </c>
      <c r="L71" s="91">
        <f>despesavariávelconsolidadoago[[#This Row],[TOTAL]]</f>
        <v>0</v>
      </c>
      <c r="M71" s="91">
        <f>despesavariávelconsolidadoset[[#This Row],[TOTAL]]</f>
        <v>0</v>
      </c>
      <c r="N71" s="91">
        <f>despesavariávelconsolidadoout[[#This Row],[TOTAL]]</f>
        <v>0</v>
      </c>
      <c r="O71" s="91">
        <f>despesavariávelconsolidadonov[[#This Row],[TOTAL]]</f>
        <v>0</v>
      </c>
      <c r="P71" s="91">
        <f>despesavariávelconsolidadodez[[#This Row],[TOTAL]]</f>
        <v>0</v>
      </c>
      <c r="Q71" s="97">
        <f>SUM(despesavariávelconsolidadoanual[[#This Row],[1]:[12]])</f>
        <v>254</v>
      </c>
      <c r="R71" s="28"/>
      <c r="S71" s="81"/>
      <c r="T71" s="81"/>
      <c r="U71" s="81"/>
      <c r="V71" s="81"/>
      <c r="W71" s="81"/>
      <c r="X71" s="81"/>
      <c r="Y71" s="81"/>
      <c r="Z71" s="81"/>
      <c r="AH71" s="131"/>
      <c r="AO71" s="138" t="e">
        <f>SUMIFS(tabela_registros[VALOR],tabela_registros[MÊS],$AE$1,tabela_registros[REGISTRO],DADOS!$N$4,tabela_registros[TIPO],DADOS!$P$4,tabela_registros[CATEGORIA],despesavariávelconsolidadodez[[#This Row],[DESPESA VARIÁVEL]],#REF!,DADOS!$J$4)</f>
        <v>#REF!</v>
      </c>
      <c r="AP71" s="138" t="e">
        <f>SUMIFS(tabela_registros[VALOR],tabela_registros[MÊS],$AE$1,tabela_registros[REGISTRO],DADOS!$N$4,tabela_registros[TIPO],DADOS!$P$4,tabela_registros[CATEGORIA],despesavariávelconsolidadodez[[#This Row],[DESPESA VARIÁVEL]],#REF!,DADOS!$J$3)</f>
        <v>#REF!</v>
      </c>
      <c r="AQ71" s="139">
        <f>(despesavariávelconsolidadoanual[[#This Row],[TOTAL]]*$AQ$73)/$Q$73</f>
        <v>0.1060131771159407</v>
      </c>
    </row>
    <row r="72" spans="1:43" ht="18" customHeight="1" thickTop="1" thickBot="1" x14ac:dyDescent="0.3">
      <c r="B72" s="28"/>
      <c r="C72" s="27" t="str">
        <f>DADOS!$T$15</f>
        <v>📎 OUTROS</v>
      </c>
      <c r="D72" s="26" t="str">
        <f>IF(despesavariávelconsolidadoanual[[#This Row],[TOTAL]]=0,"",IF(OR(despesavariávelconsolidadoanual[[#This Row],[TOTAL]]=LARGE($Q$60:$Q$72,1),despesavariávelconsolidadoanual[[#This Row],[TOTAL]]=LARGE($Q$60:$Q$72,2),despesavariávelconsolidadoanual[[#This Row],[TOTAL]]=LARGE($Q$60:$Q$72,3),despesavariávelconsolidadoanual[[#This Row],[TOTAL]]=LARGE($Q$60:$Q$72,4),despesavariávelconsolidadoanual[[#This Row],[TOTAL]]=LARGE($Q$60:$Q$72,5)),DADOS!$I$8,""))</f>
        <v>💣</v>
      </c>
      <c r="E72" s="96">
        <f>despesavariávelconsolidado[[#This Row],[TOTAL]]</f>
        <v>48.928571428571601</v>
      </c>
      <c r="F72" s="91">
        <f>despesavariávelconsolidadofev[[#This Row],[TOTAL]]</f>
        <v>0</v>
      </c>
      <c r="G72" s="91">
        <f>despesavariávelconsolidadomar[[#This Row],[TOTAL]]</f>
        <v>0</v>
      </c>
      <c r="H72" s="91">
        <f>despesavariávelconsolidadoabr[[#This Row],[TOTAL]]</f>
        <v>0</v>
      </c>
      <c r="I72" s="91">
        <f>despesavariávelconsolidadomai[[#This Row],[TOTAL]]</f>
        <v>0</v>
      </c>
      <c r="J72" s="91">
        <f>despesavariávelconsolidadojun[[#This Row],[TOTAL]]</f>
        <v>0</v>
      </c>
      <c r="K72" s="91">
        <f>despesavariávelconsolidadojul[[#This Row],[TOTAL]]</f>
        <v>260</v>
      </c>
      <c r="L72" s="91">
        <f>despesavariávelconsolidadoago[[#This Row],[TOTAL]]</f>
        <v>0</v>
      </c>
      <c r="M72" s="91">
        <f>despesavariávelconsolidadoset[[#This Row],[TOTAL]]</f>
        <v>0</v>
      </c>
      <c r="N72" s="91">
        <f>despesavariávelconsolidadoout[[#This Row],[TOTAL]]</f>
        <v>0</v>
      </c>
      <c r="O72" s="91">
        <f>despesavariávelconsolidadonov[[#This Row],[TOTAL]]</f>
        <v>0</v>
      </c>
      <c r="P72" s="91">
        <f>despesavariávelconsolidadodez[[#This Row],[TOTAL]]</f>
        <v>0</v>
      </c>
      <c r="Q72" s="97">
        <f>SUM(despesavariávelconsolidadoanual[[#This Row],[1]:[12]])</f>
        <v>308.92857142857162</v>
      </c>
      <c r="R72" s="28"/>
      <c r="S72" s="81"/>
      <c r="T72" s="81"/>
      <c r="U72" s="81"/>
      <c r="V72" s="81"/>
      <c r="W72" s="81"/>
      <c r="X72" s="81"/>
      <c r="Y72" s="81"/>
      <c r="Z72" s="81"/>
      <c r="AH72" s="131"/>
      <c r="AN72" s="131" t="s">
        <v>165</v>
      </c>
      <c r="AO72" s="138" t="e">
        <f>SUMIFS(tabela_registros[VALOR],tabela_registros[MÊS],$AE$1,tabela_registros[REGISTRO],DADOS!$N$4,tabela_registros[TIPO],DADOS!$P$4,tabela_registros[CATEGORIA],despesavariávelconsolidadodez[[#This Row],[DESPESA VARIÁVEL]],#REF!,DADOS!$J$4)</f>
        <v>#REF!</v>
      </c>
      <c r="AP72" s="138" t="e">
        <f>SUMIFS(tabela_registros[VALOR],tabela_registros[MÊS],$AE$1,tabela_registros[REGISTRO],DADOS!$N$4,tabela_registros[TIPO],DADOS!$P$4,tabela_registros[CATEGORIA],despesavariávelconsolidadodez[[#This Row],[DESPESA VARIÁVEL]],#REF!,DADOS!$J$3)</f>
        <v>#REF!</v>
      </c>
      <c r="AQ72" s="139">
        <f>(despesavariávelconsolidadoanual[[#This Row],[TOTAL]]*$AQ$73)/$Q$73</f>
        <v>0.12893897385445552</v>
      </c>
    </row>
    <row r="73" spans="1:43" s="140" customFormat="1" ht="21" customHeight="1" thickTop="1" thickBot="1" x14ac:dyDescent="0.3">
      <c r="A73" s="16"/>
      <c r="B73" s="24"/>
      <c r="C73" s="23" t="s">
        <v>19</v>
      </c>
      <c r="D73" s="41" t="str">
        <f>IF(despesavariávelconsolidadoanual[[#This Row],[TOTAL]]=0,"",IF(OR(despesavariávelconsolidadoanual[[#This Row],[TOTAL]]=SMALL(despesavariávelconsolidadoanual[TOTAL],1),despesavariávelconsolidadoanual[[#This Row],[TOTAL]]=SMALL(despesavariávelconsolidadoanual[TOTAL],2),despesavariávelconsolidadoanual[[#This Row],[TOTAL]]=SMALL(despesavariávelconsolidadoanual[TOTAL],3),despesavariávelconsolidadoanual[[#This Row],[TOTAL]]=SMALL(despesavariávelconsolidadoanual[TOTAL],4),despesavariávelconsolidadoanual[[#This Row],[TOTAL]]=SMALL(despesavariávelconsolidadoanual[TOTAL],5)),DADOS!$I$8,""))</f>
        <v/>
      </c>
      <c r="E73" s="21">
        <f>despesavariávelconsolidado[[#This Row],[TOTAL]]</f>
        <v>927.92857142857201</v>
      </c>
      <c r="F73" s="20">
        <f>despesavariávelconsolidadofev[[#This Row],[TOTAL]]+despesavariávelconsolidadoanual[[#This Row],[1]]</f>
        <v>927.92857142857201</v>
      </c>
      <c r="G73" s="20">
        <f>despesavariávelconsolidadomar[[#This Row],[TOTAL]]+despesavariávelconsolidadoanual[[#This Row],[2]]</f>
        <v>927.92857142857201</v>
      </c>
      <c r="H73" s="20">
        <f>despesavariávelconsolidadoabr[[#This Row],[TOTAL]]+despesavariávelconsolidadoanual[[#This Row],[3]]</f>
        <v>1377.928571428572</v>
      </c>
      <c r="I73" s="20">
        <f>despesavariávelconsolidadomai[[#This Row],[TOTAL]]+despesavariávelconsolidadoanual[[#This Row],[4]]</f>
        <v>1377.928571428572</v>
      </c>
      <c r="J73" s="20">
        <f>despesavariávelconsolidadojun[[#This Row],[TOTAL]]+despesavariávelconsolidadoanual[[#This Row],[5]]</f>
        <v>1377.928571428572</v>
      </c>
      <c r="K73" s="20">
        <f>despesavariávelconsolidadojul[[#This Row],[TOTAL]]+despesavariávelconsolidadoanual[[#This Row],[6]]</f>
        <v>2375.928571428572</v>
      </c>
      <c r="L73" s="20">
        <f>despesavariávelconsolidadoago[[#This Row],[TOTAL]]+despesavariávelconsolidadoanual[[#This Row],[7]]</f>
        <v>2375.928571428572</v>
      </c>
      <c r="M73" s="20">
        <f>despesavariávelconsolidadoset[[#This Row],[TOTAL]]+despesavariávelconsolidadoanual[[#This Row],[8]]</f>
        <v>2375.928571428572</v>
      </c>
      <c r="N73" s="20">
        <f>despesavariávelconsolidadoout[[#This Row],[TOTAL]]+despesavariávelconsolidadoanual[[#This Row],[9]]</f>
        <v>2395.928571428572</v>
      </c>
      <c r="O73" s="20">
        <f>despesavariávelconsolidadonov[[#This Row],[TOTAL]]+despesavariávelconsolidadoanual[[#This Row],[10]]</f>
        <v>2395.928571428572</v>
      </c>
      <c r="P73" s="20">
        <f>despesavariávelconsolidadodez[[#This Row],[TOTAL]]+despesavariávelconsolidadoanual[[#This Row],[11]]</f>
        <v>2395.928571428572</v>
      </c>
      <c r="Q73" s="18">
        <f>despesavariávelconsolidadoanual[[#This Row],[12]]</f>
        <v>2395.928571428572</v>
      </c>
      <c r="R73" s="17"/>
      <c r="S73" s="81"/>
      <c r="T73" s="81"/>
      <c r="U73" s="81"/>
      <c r="V73" s="81"/>
      <c r="W73" s="81"/>
      <c r="X73" s="81"/>
      <c r="Y73" s="81"/>
      <c r="Z73" s="81"/>
      <c r="AA73" s="131"/>
      <c r="AB73" s="131"/>
      <c r="AC73" s="131"/>
      <c r="AD73" s="131"/>
      <c r="AE73" s="131"/>
      <c r="AF73" s="131"/>
      <c r="AG73" s="131"/>
      <c r="AH73" s="131"/>
      <c r="AI73" s="131"/>
      <c r="AJ73" s="131"/>
      <c r="AK73" s="131"/>
      <c r="AN73" s="142">
        <f>despesavariávelconsolidadoanual[[#This Row],[TOTAL]]/$Q$15</f>
        <v>0.68549392429586831</v>
      </c>
      <c r="AO73" s="141" t="e">
        <f>SUM(AO60:AO72)</f>
        <v>#REF!</v>
      </c>
      <c r="AP73" s="141" t="e">
        <f>SUM(AP60:AP72)</f>
        <v>#REF!</v>
      </c>
      <c r="AQ73" s="139">
        <f>1</f>
        <v>1</v>
      </c>
    </row>
    <row r="74" spans="1:43" ht="6.75" customHeight="1" thickTop="1" thickBot="1" x14ac:dyDescent="0.3">
      <c r="B74" s="15"/>
      <c r="C74" s="40"/>
      <c r="D74" s="39"/>
      <c r="E74" s="39"/>
      <c r="F74" s="39"/>
      <c r="G74" s="39"/>
      <c r="H74" s="39"/>
      <c r="I74" s="39"/>
      <c r="J74" s="39"/>
      <c r="K74" s="39"/>
      <c r="L74" s="39"/>
      <c r="M74" s="39"/>
      <c r="N74" s="39"/>
      <c r="O74" s="39"/>
      <c r="P74" s="39"/>
      <c r="Q74" s="39"/>
      <c r="R74" s="15"/>
      <c r="S74" s="81"/>
      <c r="T74" s="81"/>
      <c r="U74" s="81"/>
      <c r="V74" s="81"/>
      <c r="W74" s="81"/>
      <c r="X74" s="81"/>
      <c r="Y74" s="81"/>
      <c r="Z74" s="81"/>
      <c r="AH74" s="131"/>
    </row>
    <row r="75" spans="1:43" ht="12.6" thickTop="1" x14ac:dyDescent="0.25">
      <c r="E75" s="37"/>
      <c r="S75" s="81"/>
      <c r="T75" s="81"/>
      <c r="U75" s="81"/>
      <c r="V75" s="81"/>
      <c r="W75" s="81"/>
      <c r="X75" s="81"/>
      <c r="Y75" s="81"/>
      <c r="Z75" s="81"/>
      <c r="AH75" s="131"/>
    </row>
    <row r="76" spans="1:43" x14ac:dyDescent="0.25">
      <c r="S76" s="81"/>
      <c r="T76" s="81"/>
      <c r="U76" s="81"/>
      <c r="V76" s="81"/>
      <c r="W76" s="81"/>
      <c r="X76" s="81"/>
      <c r="Y76" s="81"/>
      <c r="Z76" s="81"/>
      <c r="AH76" s="131"/>
    </row>
    <row r="77" spans="1:43" x14ac:dyDescent="0.25">
      <c r="S77" s="81"/>
      <c r="T77" s="81"/>
      <c r="U77" s="81"/>
      <c r="V77" s="81"/>
      <c r="W77" s="81"/>
      <c r="X77" s="81"/>
      <c r="Y77" s="81"/>
      <c r="Z77" s="81"/>
      <c r="AH77" s="131"/>
    </row>
    <row r="78" spans="1:43" ht="39.75" customHeight="1" x14ac:dyDescent="0.7">
      <c r="C78" s="36"/>
      <c r="E78" s="240"/>
      <c r="F78" s="240"/>
      <c r="G78" s="240"/>
      <c r="H78" s="240"/>
      <c r="I78" s="240"/>
      <c r="J78" s="240"/>
      <c r="K78" s="240"/>
      <c r="L78" s="240"/>
      <c r="M78" s="240"/>
      <c r="N78" s="240"/>
      <c r="O78" s="240"/>
      <c r="P78" s="240"/>
      <c r="Q78" s="32" t="s">
        <v>19</v>
      </c>
      <c r="R78" s="82"/>
      <c r="S78" s="81"/>
      <c r="T78" s="81"/>
      <c r="U78" s="81"/>
      <c r="V78" s="81"/>
      <c r="W78" s="81"/>
      <c r="X78" s="81"/>
      <c r="Y78" s="81"/>
      <c r="Z78" s="81"/>
      <c r="AH78" s="131"/>
    </row>
    <row r="79" spans="1:43" ht="12.6" thickBot="1" x14ac:dyDescent="0.3">
      <c r="B79" s="35"/>
      <c r="Q79" s="34" t="s">
        <v>202</v>
      </c>
      <c r="S79" s="81"/>
      <c r="T79" s="81"/>
      <c r="U79" s="81"/>
      <c r="V79" s="81"/>
      <c r="W79" s="81"/>
      <c r="X79" s="81"/>
      <c r="Y79" s="81"/>
      <c r="Z79" s="81"/>
      <c r="AH79" s="131"/>
    </row>
    <row r="80" spans="1:43" ht="6.75" customHeight="1" thickTop="1" thickBot="1" x14ac:dyDescent="0.3">
      <c r="B80" s="2"/>
      <c r="C80" s="14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1"/>
      <c r="S80" s="81"/>
      <c r="T80" s="81"/>
      <c r="U80" s="81"/>
      <c r="V80" s="81"/>
      <c r="W80" s="81"/>
      <c r="X80" s="81"/>
      <c r="Y80" s="81"/>
      <c r="Z80" s="81"/>
      <c r="AH80" s="131"/>
      <c r="AO80" s="137" t="s">
        <v>118</v>
      </c>
      <c r="AP80" s="137" t="s">
        <v>201</v>
      </c>
      <c r="AQ80" s="137" t="s">
        <v>200</v>
      </c>
    </row>
    <row r="81" spans="1:43" ht="13.2" hidden="1" thickTop="1" thickBot="1" x14ac:dyDescent="0.3">
      <c r="B81" s="2"/>
      <c r="C81" s="31" t="s">
        <v>199</v>
      </c>
      <c r="D81" s="30" t="s">
        <v>198</v>
      </c>
      <c r="E81" s="30" t="s">
        <v>197</v>
      </c>
      <c r="F81" s="30" t="s">
        <v>196</v>
      </c>
      <c r="G81" s="30" t="s">
        <v>195</v>
      </c>
      <c r="H81" s="30" t="s">
        <v>194</v>
      </c>
      <c r="I81" s="30" t="s">
        <v>193</v>
      </c>
      <c r="J81" s="30" t="s">
        <v>192</v>
      </c>
      <c r="K81" s="30" t="s">
        <v>191</v>
      </c>
      <c r="L81" s="30" t="s">
        <v>190</v>
      </c>
      <c r="M81" s="30" t="s">
        <v>189</v>
      </c>
      <c r="N81" s="30" t="s">
        <v>188</v>
      </c>
      <c r="O81" s="30" t="s">
        <v>187</v>
      </c>
      <c r="P81" s="30" t="s">
        <v>186</v>
      </c>
      <c r="Q81" s="29" t="s">
        <v>166</v>
      </c>
      <c r="R81" s="28"/>
      <c r="S81" s="81"/>
      <c r="T81" s="81"/>
      <c r="U81" s="81"/>
      <c r="V81" s="81">
        <v>5555</v>
      </c>
      <c r="W81" s="81"/>
      <c r="X81" s="81"/>
      <c r="Y81" s="81"/>
      <c r="Z81" s="81"/>
      <c r="AH81" s="131"/>
    </row>
    <row r="82" spans="1:43" ht="19.5" customHeight="1" thickTop="1" thickBot="1" x14ac:dyDescent="0.3">
      <c r="B82" s="28"/>
      <c r="C82" s="27" t="str">
        <f>DADOS!$X$3</f>
        <v>💵 ALUGUEL</v>
      </c>
      <c r="D82" s="26" t="str">
        <f>IF(receitasfixasconsolidadoanual[[#This Row],[TOTAL (R$)]]=0,"",IF(OR(receitasfixasconsolidadoanual[[#This Row],[TOTAL (R$)]]=LARGE($Q$82:$Q$86,1),receitasfixasconsolidadoanual[[#This Row],[TOTAL (R$)]]=LARGE($Q$82:$Q$86,2)),DADOS!$I$9,""))</f>
        <v/>
      </c>
      <c r="E82" s="94">
        <f>receitasfixasconsolidado[[#This Row],[TOTAL (R$)]]</f>
        <v>429.857142857143</v>
      </c>
      <c r="F82" s="88">
        <f>receitasfixasconsolidadofev[[#This Row],[TOTAL (R$)]]</f>
        <v>0</v>
      </c>
      <c r="G82" s="88">
        <f>receitasfixasconsolidadomar[[#This Row],[TOTAL (R$)]]</f>
        <v>92</v>
      </c>
      <c r="H82" s="88">
        <f>receitasfixasconsolidadoabr[[#This Row],[TOTAL (R$)]]</f>
        <v>158</v>
      </c>
      <c r="I82" s="88">
        <f>receitasfixasconsolidadomai[[#This Row],[TOTAL (R$)]]</f>
        <v>0</v>
      </c>
      <c r="J82" s="88">
        <f>receitasfixasconsolidadojun[[#This Row],[TOTAL (R$)]]</f>
        <v>0</v>
      </c>
      <c r="K82" s="88">
        <f>receitasfixasconsolidadojul[[#This Row],[TOTAL (R$)]]</f>
        <v>0</v>
      </c>
      <c r="L82" s="88">
        <f>receitasfixasconsolidadoago[[#This Row],[TOTAL (R$)]]</f>
        <v>0</v>
      </c>
      <c r="M82" s="88">
        <f>receitasfixasconsolidadoset[[#This Row],[TOTAL (R$)]]</f>
        <v>0</v>
      </c>
      <c r="N82" s="88">
        <f>receitasfixasconsolidadoout[[#This Row],[TOTAL (R$)]]</f>
        <v>0</v>
      </c>
      <c r="O82" s="88">
        <f>receitasfixasconsolidadonov[[#This Row],[TOTAL (R$)]]</f>
        <v>0</v>
      </c>
      <c r="P82" s="88">
        <f>receitasfixasconsolidadodez[[#This Row],[TOTAL (R$)]]</f>
        <v>0</v>
      </c>
      <c r="Q82" s="97">
        <f>SUM(receitasfixasconsolidadoanual[[#This Row],[1]:[12]])</f>
        <v>679.857142857143</v>
      </c>
      <c r="R82" s="25"/>
      <c r="S82" s="81"/>
      <c r="T82" s="81"/>
      <c r="U82" s="81"/>
      <c r="V82" s="81"/>
      <c r="W82" s="81"/>
      <c r="X82" s="81"/>
      <c r="Y82" s="81"/>
      <c r="Z82" s="81"/>
      <c r="AH82" s="131"/>
      <c r="AO82" s="138" t="e">
        <f>SUMIFS(tabela_registros[VALOR],tabela_registros[MÊS],$AE$1,tabela_registros[REGISTRO],DADOS!$N$3,tabela_registros[TIPO],DADOS!$V$3,tabela_registros[CATEGORIA],receitasfixasconsolidadodez[[#This Row],[ATUAL]],#REF!,DADOS!$J$4)</f>
        <v>#REF!</v>
      </c>
      <c r="AP82" s="138" t="e">
        <f>SUMIFS(tabela_registros[VALOR],tabela_registros[MÊS],$AE$1,tabela_registros[REGISTRO],DADOS!$N$3,tabela_registros[TIPO],DADOS!$V$3,tabela_registros[CATEGORIA],receitasfixasconsolidadodez[[#This Row],[ATUAL]],#REF!,DADOS!$J$3)</f>
        <v>#REF!</v>
      </c>
      <c r="AQ82" s="139">
        <f>(receitasfixasconsolidadoanual[[#This Row],[TOTAL (R$)]]*$AQ$87)/$Q$87</f>
        <v>0.15508195652882331</v>
      </c>
    </row>
    <row r="83" spans="1:43" ht="19.5" customHeight="1" thickTop="1" thickBot="1" x14ac:dyDescent="0.3">
      <c r="B83" s="28"/>
      <c r="C83" s="27" t="str">
        <f>DADOS!$X$4</f>
        <v>💸APOSENTADORIA</v>
      </c>
      <c r="D83" s="26" t="str">
        <f>IF(receitasfixasconsolidadoanual[[#This Row],[TOTAL (R$)]]=0,"",IF(OR(receitasfixasconsolidadoanual[[#This Row],[TOTAL (R$)]]=LARGE($Q$82:$Q$86,1),receitasfixasconsolidadoanual[[#This Row],[TOTAL (R$)]]=LARGE($Q$82:$Q$86,2)),DADOS!$I$9,""))</f>
        <v/>
      </c>
      <c r="E83" s="96">
        <f>receitasfixasconsolidado[[#This Row],[TOTAL (R$)]]</f>
        <v>250</v>
      </c>
      <c r="F83" s="91">
        <f>receitasfixasconsolidadofev[[#This Row],[TOTAL (R$)]]</f>
        <v>0</v>
      </c>
      <c r="G83" s="91">
        <f>receitasfixasconsolidadomar[[#This Row],[TOTAL (R$)]]</f>
        <v>0</v>
      </c>
      <c r="H83" s="91">
        <f>receitasfixasconsolidadoabr[[#This Row],[TOTAL (R$)]]</f>
        <v>0</v>
      </c>
      <c r="I83" s="91">
        <f>receitasfixasconsolidadomai[[#This Row],[TOTAL (R$)]]</f>
        <v>0</v>
      </c>
      <c r="J83" s="91">
        <f>receitasfixasconsolidadojun[[#This Row],[TOTAL (R$)]]</f>
        <v>0</v>
      </c>
      <c r="K83" s="91">
        <f>receitasfixasconsolidadojul[[#This Row],[TOTAL (R$)]]</f>
        <v>266</v>
      </c>
      <c r="L83" s="91">
        <f>receitasfixasconsolidadoago[[#This Row],[TOTAL (R$)]]</f>
        <v>0</v>
      </c>
      <c r="M83" s="91">
        <f>receitasfixasconsolidadoset[[#This Row],[TOTAL (R$)]]</f>
        <v>0</v>
      </c>
      <c r="N83" s="91">
        <f>receitasfixasconsolidadoout[[#This Row],[TOTAL (R$)]]</f>
        <v>0</v>
      </c>
      <c r="O83" s="91">
        <f>receitasfixasconsolidadonov[[#This Row],[TOTAL (R$)]]</f>
        <v>0</v>
      </c>
      <c r="P83" s="91">
        <f>receitasfixasconsolidadodez[[#This Row],[TOTAL (R$)]]</f>
        <v>0</v>
      </c>
      <c r="Q83" s="97">
        <f>SUM(receitasfixasconsolidadoanual[[#This Row],[1]:[12]])</f>
        <v>516</v>
      </c>
      <c r="R83" s="25"/>
      <c r="S83" s="81"/>
      <c r="T83" s="81"/>
      <c r="U83" s="81"/>
      <c r="V83" s="81"/>
      <c r="W83" s="81"/>
      <c r="X83" s="81"/>
      <c r="Y83" s="81"/>
      <c r="Z83" s="81"/>
      <c r="AH83" s="131"/>
      <c r="AO83" s="138" t="e">
        <f>SUMIFS(tabela_registros[VALOR],tabela_registros[MÊS],$AE$1,tabela_registros[REGISTRO],DADOS!$N$3,tabela_registros[TIPO],DADOS!$V$3,tabela_registros[CATEGORIA],receitasfixasconsolidadodez[[#This Row],[ATUAL]],#REF!,DADOS!$J$4)</f>
        <v>#REF!</v>
      </c>
      <c r="AP83" s="138" t="e">
        <f>SUMIFS(tabela_registros[VALOR],tabela_registros[MÊS],$AE$1,tabela_registros[REGISTRO],DADOS!$N$3,tabela_registros[TIPO],DADOS!$V$3,tabela_registros[CATEGORIA],receitasfixasconsolidadodez[[#This Row],[ATUAL]],#REF!,DADOS!$J$3)</f>
        <v>#REF!</v>
      </c>
      <c r="AQ83" s="139">
        <f>(receitasfixasconsolidadoanual[[#This Row],[TOTAL (R$)]]*$AQ$87)/$Q$87</f>
        <v>0.11770456545116824</v>
      </c>
    </row>
    <row r="84" spans="1:43" ht="19.5" customHeight="1" thickTop="1" thickBot="1" x14ac:dyDescent="0.3">
      <c r="B84" s="28"/>
      <c r="C84" s="27" t="str">
        <f>DADOS!$X$5</f>
        <v>🎀 MESADA</v>
      </c>
      <c r="D84" s="26" t="str">
        <f>IF(receitasfixasconsolidadoanual[[#This Row],[TOTAL (R$)]]=0,"",IF(OR(receitasfixasconsolidadoanual[[#This Row],[TOTAL (R$)]]=LARGE($Q$82:$Q$86,1),receitasfixasconsolidadoanual[[#This Row],[TOTAL (R$)]]=LARGE($Q$82:$Q$86,2)),DADOS!$I$9,""))</f>
        <v>🐄</v>
      </c>
      <c r="E84" s="96">
        <f>receitasfixasconsolidado[[#This Row],[TOTAL (R$)]]</f>
        <v>0</v>
      </c>
      <c r="F84" s="91">
        <f>receitasfixasconsolidadofev[[#This Row],[TOTAL (R$)]]</f>
        <v>474</v>
      </c>
      <c r="G84" s="91">
        <f>receitasfixasconsolidadomar[[#This Row],[TOTAL (R$)]]</f>
        <v>130</v>
      </c>
      <c r="H84" s="91">
        <f>receitasfixasconsolidadoabr[[#This Row],[TOTAL (R$)]]</f>
        <v>0</v>
      </c>
      <c r="I84" s="91">
        <f>receitasfixasconsolidadomai[[#This Row],[TOTAL (R$)]]</f>
        <v>230</v>
      </c>
      <c r="J84" s="91">
        <f>receitasfixasconsolidadojun[[#This Row],[TOTAL (R$)]]</f>
        <v>0</v>
      </c>
      <c r="K84" s="91">
        <f>receitasfixasconsolidadojul[[#This Row],[TOTAL (R$)]]</f>
        <v>0</v>
      </c>
      <c r="L84" s="91">
        <f>receitasfixasconsolidadoago[[#This Row],[TOTAL (R$)]]</f>
        <v>0</v>
      </c>
      <c r="M84" s="91">
        <f>receitasfixasconsolidadoset[[#This Row],[TOTAL (R$)]]</f>
        <v>0</v>
      </c>
      <c r="N84" s="91">
        <f>receitasfixasconsolidadoout[[#This Row],[TOTAL (R$)]]</f>
        <v>0</v>
      </c>
      <c r="O84" s="91">
        <f>receitasfixasconsolidadonov[[#This Row],[TOTAL (R$)]]</f>
        <v>0</v>
      </c>
      <c r="P84" s="91">
        <f>receitasfixasconsolidadodez[[#This Row],[TOTAL (R$)]]</f>
        <v>0</v>
      </c>
      <c r="Q84" s="97">
        <f>SUM(receitasfixasconsolidadoanual[[#This Row],[1]:[12]])</f>
        <v>834</v>
      </c>
      <c r="R84" s="25"/>
      <c r="S84" s="81"/>
      <c r="T84" s="81"/>
      <c r="U84" s="81"/>
      <c r="V84" s="81"/>
      <c r="W84" s="81"/>
      <c r="X84" s="81"/>
      <c r="Y84" s="81"/>
      <c r="Z84" s="81"/>
      <c r="AH84" s="131"/>
      <c r="AO84" s="138" t="e">
        <f>SUMIFS(tabela_registros[VALOR],tabela_registros[MÊS],$AE$1,tabela_registros[REGISTRO],DADOS!$N$3,tabela_registros[TIPO],DADOS!$V$3,tabela_registros[CATEGORIA],receitasfixasconsolidadodez[[#This Row],[ATUAL]],#REF!,DADOS!$J$4)</f>
        <v>#REF!</v>
      </c>
      <c r="AP84" s="138" t="e">
        <f>SUMIFS(tabela_registros[VALOR],tabela_registros[MÊS],$AE$1,tabela_registros[REGISTRO],DADOS!$N$3,tabela_registros[TIPO],DADOS!$V$3,tabela_registros[CATEGORIA],receitasfixasconsolidadodez[[#This Row],[ATUAL]],#REF!,DADOS!$J$3)</f>
        <v>#REF!</v>
      </c>
      <c r="AQ84" s="139">
        <f>(receitasfixasconsolidadoanual[[#This Row],[TOTAL (R$)]]*$AQ$87)/$Q$87</f>
        <v>0.19024342555479518</v>
      </c>
    </row>
    <row r="85" spans="1:43" ht="19.5" customHeight="1" thickTop="1" thickBot="1" x14ac:dyDescent="0.3">
      <c r="B85" s="28"/>
      <c r="C85" s="27" t="str">
        <f>DADOS!$X$6</f>
        <v>💰 SALÁRIO</v>
      </c>
      <c r="D85" s="26" t="str">
        <f>IF(receitasfixasconsolidadoanual[[#This Row],[TOTAL (R$)]]=0,"",IF(OR(receitasfixasconsolidadoanual[[#This Row],[TOTAL (R$)]]=LARGE($Q$82:$Q$86,1),receitasfixasconsolidadoanual[[#This Row],[TOTAL (R$)]]=LARGE($Q$82:$Q$86,2)),DADOS!$I$9,""))</f>
        <v>🐄</v>
      </c>
      <c r="E85" s="96">
        <f>receitasfixasconsolidado[[#This Row],[TOTAL (R$)]]</f>
        <v>0</v>
      </c>
      <c r="F85" s="91">
        <f>receitasfixasconsolidadofev[[#This Row],[TOTAL (R$)]]</f>
        <v>0</v>
      </c>
      <c r="G85" s="91">
        <f>receitasfixasconsolidadomar[[#This Row],[TOTAL (R$)]]</f>
        <v>0</v>
      </c>
      <c r="H85" s="91">
        <f>receitasfixasconsolidadoabr[[#This Row],[TOTAL (R$)]]</f>
        <v>152</v>
      </c>
      <c r="I85" s="91">
        <f>receitasfixasconsolidadomai[[#This Row],[TOTAL (R$)]]</f>
        <v>0</v>
      </c>
      <c r="J85" s="91">
        <f>receitasfixasconsolidadojun[[#This Row],[TOTAL (R$)]]</f>
        <v>0</v>
      </c>
      <c r="K85" s="91">
        <f>receitasfixasconsolidadojul[[#This Row],[TOTAL (R$)]]</f>
        <v>0</v>
      </c>
      <c r="L85" s="91">
        <f>receitasfixasconsolidadoago[[#This Row],[TOTAL (R$)]]</f>
        <v>2000</v>
      </c>
      <c r="M85" s="91">
        <f>receitasfixasconsolidadoset[[#This Row],[TOTAL (R$)]]</f>
        <v>0</v>
      </c>
      <c r="N85" s="91">
        <f>receitasfixasconsolidadoout[[#This Row],[TOTAL (R$)]]</f>
        <v>0</v>
      </c>
      <c r="O85" s="91">
        <f>receitasfixasconsolidadonov[[#This Row],[TOTAL (R$)]]</f>
        <v>0</v>
      </c>
      <c r="P85" s="91">
        <f>receitasfixasconsolidadodez[[#This Row],[TOTAL (R$)]]</f>
        <v>0</v>
      </c>
      <c r="Q85" s="97">
        <f>SUM(receitasfixasconsolidadoanual[[#This Row],[1]:[12]])</f>
        <v>2152</v>
      </c>
      <c r="R85" s="25"/>
      <c r="S85" s="81"/>
      <c r="T85" s="81"/>
      <c r="U85" s="81"/>
      <c r="V85" s="81"/>
      <c r="W85" s="81"/>
      <c r="X85" s="81"/>
      <c r="Y85" s="81"/>
      <c r="Z85" s="81"/>
      <c r="AH85" s="131"/>
      <c r="AO85" s="138" t="e">
        <f>SUMIFS(tabela_registros[VALOR],tabela_registros[MÊS],$AE$1,tabela_registros[REGISTRO],DADOS!$N$3,tabela_registros[TIPO],DADOS!$V$3,tabela_registros[CATEGORIA],receitasfixasconsolidadodez[[#This Row],[ATUAL]],#REF!,DADOS!$J$4)</f>
        <v>#REF!</v>
      </c>
      <c r="AP85" s="138" t="e">
        <f>SUMIFS(tabela_registros[VALOR],tabela_registros[MÊS],$AE$1,tabela_registros[REGISTRO],DADOS!$N$3,tabela_registros[TIPO],DADOS!$V$3,tabela_registros[CATEGORIA],receitasfixasconsolidadodez[[#This Row],[ATUAL]],#REF!,DADOS!$J$3)</f>
        <v>#REF!</v>
      </c>
      <c r="AQ85" s="139">
        <f>(receitasfixasconsolidadoanual[[#This Row],[TOTAL (R$)]]*$AQ$87)/$Q$87</f>
        <v>0.49089190862580245</v>
      </c>
    </row>
    <row r="86" spans="1:43" ht="18" customHeight="1" thickTop="1" thickBot="1" x14ac:dyDescent="0.3">
      <c r="B86" s="28"/>
      <c r="C86" s="27" t="str">
        <f>DADOS!$X$7</f>
        <v>📎 OUTROS</v>
      </c>
      <c r="D86" s="26" t="str">
        <f>IF(receitasfixasconsolidadoanual[[#This Row],[TOTAL (R$)]]=0,"",IF(OR(receitasfixasconsolidadoanual[[#This Row],[TOTAL (R$)]]=LARGE($Q$82:$Q$86,1),receitasfixasconsolidadoanual[[#This Row],[TOTAL (R$)]]=LARGE($Q$82:$Q$86,2)),DADOS!$I$9,""))</f>
        <v/>
      </c>
      <c r="E86" s="96">
        <f>receitasfixasconsolidado[[#This Row],[TOTAL (R$)]]</f>
        <v>0</v>
      </c>
      <c r="F86" s="91">
        <f>receitasfixasconsolidadofev[[#This Row],[TOTAL (R$)]]</f>
        <v>0</v>
      </c>
      <c r="G86" s="91">
        <f>receitasfixasconsolidadomar[[#This Row],[TOTAL (R$)]]</f>
        <v>202</v>
      </c>
      <c r="H86" s="91">
        <f>receitasfixasconsolidadoabr[[#This Row],[TOTAL (R$)]]</f>
        <v>0</v>
      </c>
      <c r="I86" s="91">
        <f>receitasfixasconsolidadomai[[#This Row],[TOTAL (R$)]]</f>
        <v>0</v>
      </c>
      <c r="J86" s="91">
        <f>receitasfixasconsolidadojun[[#This Row],[TOTAL (R$)]]</f>
        <v>0</v>
      </c>
      <c r="K86" s="91">
        <f>receitasfixasconsolidadojul[[#This Row],[TOTAL (R$)]]</f>
        <v>0</v>
      </c>
      <c r="L86" s="91">
        <f>receitasfixasconsolidadoago[[#This Row],[TOTAL (R$)]]</f>
        <v>0</v>
      </c>
      <c r="M86" s="91">
        <f>receitasfixasconsolidadoset[[#This Row],[TOTAL (R$)]]</f>
        <v>0</v>
      </c>
      <c r="N86" s="91">
        <f>receitasfixasconsolidadoout[[#This Row],[TOTAL (R$)]]</f>
        <v>0</v>
      </c>
      <c r="O86" s="91">
        <f>receitasfixasconsolidadonov[[#This Row],[TOTAL (R$)]]</f>
        <v>0</v>
      </c>
      <c r="P86" s="91">
        <f>receitasfixasconsolidadodez[[#This Row],[TOTAL (R$)]]</f>
        <v>0</v>
      </c>
      <c r="Q86" s="97">
        <f>SUM(receitasfixasconsolidadoanual[[#This Row],[1]:[12]])</f>
        <v>202</v>
      </c>
      <c r="R86" s="25"/>
      <c r="S86" s="81"/>
      <c r="T86" s="81"/>
      <c r="U86" s="81"/>
      <c r="V86" s="81"/>
      <c r="W86" s="81"/>
      <c r="X86" s="81"/>
      <c r="Y86" s="81"/>
      <c r="Z86" s="81"/>
      <c r="AH86" s="131"/>
      <c r="AN86" s="131" t="s">
        <v>165</v>
      </c>
      <c r="AO86" s="138" t="e">
        <f>SUMIFS(tabela_registros[VALOR],tabela_registros[MÊS],$AE$1,tabela_registros[REGISTRO],DADOS!$N$3,tabela_registros[TIPO],DADOS!$V$3,tabela_registros[CATEGORIA],receitasfixasconsolidadodez[[#This Row],[ATUAL]],#REF!,DADOS!$J$4)</f>
        <v>#REF!</v>
      </c>
      <c r="AP86" s="138" t="e">
        <f>SUMIFS(tabela_registros[VALOR],tabela_registros[MÊS],$AE$1,tabela_registros[REGISTRO],DADOS!$N$3,tabela_registros[TIPO],DADOS!$V$3,tabela_registros[CATEGORIA],receitasfixasconsolidadodez[[#This Row],[ATUAL]],#REF!,DADOS!$J$3)</f>
        <v>#REF!</v>
      </c>
      <c r="AQ86" s="139">
        <f>(receitasfixasconsolidadoanual[[#This Row],[TOTAL (R$)]]*$AQ$87)/$Q$87</f>
        <v>4.6078143839410821E-2</v>
      </c>
    </row>
    <row r="87" spans="1:43" s="140" customFormat="1" ht="21" customHeight="1" thickTop="1" thickBot="1" x14ac:dyDescent="0.3">
      <c r="A87" s="16"/>
      <c r="B87" s="24"/>
      <c r="C87" s="23" t="s">
        <v>19</v>
      </c>
      <c r="D87" s="22"/>
      <c r="E87" s="21">
        <f>receitasfixasconsolidado[[#This Row],[TOTAL (R$)]]</f>
        <v>679.857142857143</v>
      </c>
      <c r="F87" s="20">
        <f>receitasfixasconsolidadofev[[#This Row],[TOTAL (R$)]]+receitasfixasconsolidadoanual[[#This Row],[1]]</f>
        <v>1153.8571428571431</v>
      </c>
      <c r="G87" s="20">
        <f>receitasfixasconsolidadomar[[#This Row],[TOTAL (R$)]]+receitasfixasconsolidadoanual[[#This Row],[2]]</f>
        <v>1577.8571428571431</v>
      </c>
      <c r="H87" s="20">
        <f>receitasfixasconsolidadoabr[[#This Row],[TOTAL (R$)]]+receitasfixasconsolidadoanual[[#This Row],[3]]</f>
        <v>1887.8571428571431</v>
      </c>
      <c r="I87" s="20">
        <f>receitasfixasconsolidadomai[[#This Row],[TOTAL (R$)]]+receitasfixasconsolidadoanual[[#This Row],[4]]</f>
        <v>2117.8571428571431</v>
      </c>
      <c r="J87" s="20">
        <f>receitasfixasconsolidadojun[[#This Row],[TOTAL (R$)]]+receitasfixasconsolidadoanual[[#This Row],[5]]</f>
        <v>2117.8571428571431</v>
      </c>
      <c r="K87" s="20">
        <f>receitasfixasconsolidadojul[[#This Row],[TOTAL (R$)]]+receitasfixasconsolidadoanual[[#This Row],[6]]</f>
        <v>2383.8571428571431</v>
      </c>
      <c r="L87" s="20">
        <f>receitasfixasconsolidadoago[[#This Row],[TOTAL (R$)]]+receitasfixasconsolidadoanual[[#This Row],[7]]</f>
        <v>4383.8571428571431</v>
      </c>
      <c r="M87" s="20">
        <f>receitasfixasconsolidadoset[[#This Row],[TOTAL (R$)]]+receitasfixasconsolidadoanual[[#This Row],[8]]</f>
        <v>4383.8571428571431</v>
      </c>
      <c r="N87" s="20">
        <f>receitasfixasconsolidadoout[[#This Row],[TOTAL (R$)]]+receitasfixasconsolidadoanual[[#This Row],[9]]</f>
        <v>4383.8571428571431</v>
      </c>
      <c r="O87" s="20">
        <f>receitasfixasconsolidadonov[[#This Row],[TOTAL (R$)]]+receitasfixasconsolidadoanual[[#This Row],[10]]</f>
        <v>4383.8571428571431</v>
      </c>
      <c r="P87" s="20">
        <f>receitasfixasconsolidadodez[[#This Row],[TOTAL (R$)]]+receitasfixasconsolidadoanual[[#This Row],[11]]</f>
        <v>4383.8571428571431</v>
      </c>
      <c r="Q87" s="18">
        <f>receitasfixasconsolidadoanual[[#This Row],[12]]</f>
        <v>4383.8571428571431</v>
      </c>
      <c r="R87" s="17"/>
      <c r="S87" s="81"/>
      <c r="T87" s="81"/>
      <c r="U87" s="81"/>
      <c r="V87" s="81"/>
      <c r="W87" s="81"/>
      <c r="X87" s="81"/>
      <c r="Y87" s="81"/>
      <c r="Z87" s="81"/>
      <c r="AA87" s="131"/>
      <c r="AB87" s="131"/>
      <c r="AC87" s="131"/>
      <c r="AD87" s="131"/>
      <c r="AE87" s="131"/>
      <c r="AF87" s="131"/>
      <c r="AG87" s="131"/>
      <c r="AH87" s="131"/>
      <c r="AI87" s="131"/>
      <c r="AJ87" s="131"/>
      <c r="AK87" s="131"/>
      <c r="AN87" s="142">
        <f>Q87/$Q$14</f>
        <v>0.78629171737877135</v>
      </c>
      <c r="AO87" s="141" t="e">
        <f>SUM(AO82:AO86)</f>
        <v>#REF!</v>
      </c>
      <c r="AP87" s="141" t="e">
        <f>SUM(AP82:AP86)</f>
        <v>#REF!</v>
      </c>
      <c r="AQ87" s="139">
        <f>1</f>
        <v>1</v>
      </c>
    </row>
    <row r="88" spans="1:43" ht="6.75" customHeight="1" thickTop="1" thickBot="1" x14ac:dyDescent="0.3">
      <c r="B88" s="15"/>
      <c r="C88" s="14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1"/>
      <c r="S88" s="81"/>
      <c r="T88" s="81"/>
      <c r="U88" s="81"/>
      <c r="V88" s="81"/>
      <c r="W88" s="81"/>
      <c r="X88" s="81"/>
      <c r="Y88" s="81"/>
      <c r="Z88" s="81"/>
      <c r="AH88" s="131"/>
    </row>
    <row r="89" spans="1:43" ht="12.6" thickTop="1" x14ac:dyDescent="0.25">
      <c r="E89" s="37"/>
      <c r="S89" s="81"/>
      <c r="T89" s="81"/>
      <c r="U89" s="81"/>
      <c r="V89" s="81"/>
      <c r="W89" s="81"/>
      <c r="X89" s="81"/>
      <c r="Y89" s="81"/>
      <c r="Z89" s="81"/>
      <c r="AH89" s="131"/>
    </row>
    <row r="90" spans="1:43" x14ac:dyDescent="0.25">
      <c r="S90" s="81"/>
      <c r="T90" s="81"/>
      <c r="U90" s="81"/>
      <c r="V90" s="81"/>
      <c r="W90" s="81"/>
      <c r="X90" s="81"/>
      <c r="Y90" s="81"/>
      <c r="Z90" s="81"/>
      <c r="AH90" s="131"/>
    </row>
    <row r="91" spans="1:43" x14ac:dyDescent="0.25">
      <c r="S91" s="81"/>
      <c r="T91" s="81"/>
      <c r="U91" s="81"/>
      <c r="V91" s="81"/>
      <c r="W91" s="81"/>
      <c r="X91" s="81"/>
      <c r="Y91" s="81"/>
      <c r="Z91" s="81"/>
      <c r="AH91" s="131"/>
    </row>
    <row r="92" spans="1:43" ht="39.75" customHeight="1" x14ac:dyDescent="0.7">
      <c r="C92" s="36"/>
      <c r="E92" s="240"/>
      <c r="F92" s="240"/>
      <c r="G92" s="240"/>
      <c r="H92" s="240"/>
      <c r="I92" s="240"/>
      <c r="J92" s="240"/>
      <c r="K92" s="240"/>
      <c r="L92" s="240"/>
      <c r="M92" s="240"/>
      <c r="N92" s="240"/>
      <c r="O92" s="240"/>
      <c r="P92" s="240"/>
      <c r="Q92" s="32" t="s">
        <v>19</v>
      </c>
      <c r="R92" s="82"/>
      <c r="S92" s="81"/>
      <c r="T92" s="81"/>
      <c r="U92" s="81"/>
      <c r="V92" s="81"/>
      <c r="W92" s="81"/>
      <c r="X92" s="81"/>
      <c r="Y92" s="81"/>
      <c r="Z92" s="81"/>
      <c r="AH92" s="131"/>
    </row>
    <row r="93" spans="1:43" ht="12.6" thickBot="1" x14ac:dyDescent="0.3">
      <c r="B93" s="35"/>
      <c r="Q93" s="34" t="s">
        <v>202</v>
      </c>
      <c r="S93" s="81"/>
      <c r="T93" s="81"/>
      <c r="U93" s="81"/>
      <c r="V93" s="81"/>
      <c r="W93" s="81"/>
      <c r="X93" s="81"/>
      <c r="Y93" s="81"/>
      <c r="Z93" s="81"/>
      <c r="AH93" s="131"/>
    </row>
    <row r="94" spans="1:43" ht="6.75" customHeight="1" thickTop="1" thickBot="1" x14ac:dyDescent="0.3">
      <c r="B94" s="2"/>
      <c r="C94" s="14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1"/>
      <c r="S94" s="81"/>
      <c r="T94" s="81"/>
      <c r="U94" s="81"/>
      <c r="V94" s="81"/>
      <c r="W94" s="81"/>
      <c r="X94" s="81"/>
      <c r="Y94" s="81"/>
      <c r="Z94" s="81"/>
      <c r="AH94" s="131"/>
      <c r="AO94" s="137" t="s">
        <v>118</v>
      </c>
      <c r="AP94" s="137" t="s">
        <v>201</v>
      </c>
      <c r="AQ94" s="137" t="s">
        <v>200</v>
      </c>
    </row>
    <row r="95" spans="1:43" ht="13.2" hidden="1" thickTop="1" thickBot="1" x14ac:dyDescent="0.3">
      <c r="B95" s="2"/>
      <c r="C95" s="31" t="s">
        <v>199</v>
      </c>
      <c r="D95" s="30" t="s">
        <v>198</v>
      </c>
      <c r="E95" s="30" t="s">
        <v>197</v>
      </c>
      <c r="F95" s="30" t="s">
        <v>196</v>
      </c>
      <c r="G95" s="30" t="s">
        <v>195</v>
      </c>
      <c r="H95" s="30" t="s">
        <v>194</v>
      </c>
      <c r="I95" s="30" t="s">
        <v>193</v>
      </c>
      <c r="J95" s="30" t="s">
        <v>192</v>
      </c>
      <c r="K95" s="30" t="s">
        <v>191</v>
      </c>
      <c r="L95" s="30" t="s">
        <v>190</v>
      </c>
      <c r="M95" s="30" t="s">
        <v>189</v>
      </c>
      <c r="N95" s="30" t="s">
        <v>188</v>
      </c>
      <c r="O95" s="30" t="s">
        <v>187</v>
      </c>
      <c r="P95" s="30" t="s">
        <v>186</v>
      </c>
      <c r="Q95" s="29" t="s">
        <v>166</v>
      </c>
      <c r="R95" s="28"/>
      <c r="S95" s="81"/>
      <c r="T95" s="81"/>
      <c r="U95" s="81"/>
      <c r="V95" s="81">
        <v>5555</v>
      </c>
      <c r="W95" s="81"/>
      <c r="X95" s="81"/>
      <c r="Y95" s="81"/>
      <c r="Z95" s="81"/>
      <c r="AH95" s="131"/>
    </row>
    <row r="96" spans="1:43" ht="19.5" customHeight="1" thickTop="1" thickBot="1" x14ac:dyDescent="0.3">
      <c r="B96" s="28"/>
      <c r="C96" s="27" t="str">
        <f>DADOS!$Z$3</f>
        <v>🏅 BÔNUS</v>
      </c>
      <c r="D96" s="26" t="str">
        <f>IF(receitasvariáveisconsolidadoanual[[#This Row],[TOTAL (R$)]]=0,"",IF(OR(receitasvariáveisconsolidadoanual[[#This Row],[TOTAL (R$)]]=LARGE($Q$96:$Q$103,1),receitasvariáveisconsolidadoanual[[#This Row],[TOTAL (R$)]]=LARGE($Q$96:$Q$103,2)),DADOS!$I$9,""))</f>
        <v/>
      </c>
      <c r="E96" s="96">
        <f>receitasvariáveisconsolidado28[[#This Row],[TOTAL (R$)]]</f>
        <v>0</v>
      </c>
      <c r="F96" s="91">
        <f>receitasvariáveisconsolidadofev[[#This Row],[TOTAL (R$)]]</f>
        <v>0</v>
      </c>
      <c r="G96" s="91">
        <f>receitasvariáveisconsolidadomar[[#This Row],[TOTAL (R$)]]</f>
        <v>0</v>
      </c>
      <c r="H96" s="91">
        <f>receitasvariáveisconsolidadoabr[[#This Row],[TOTAL (R$)]]</f>
        <v>0</v>
      </c>
      <c r="I96" s="91">
        <f>receitasvariáveisconsolidadomai[[#This Row],[TOTAL (R$)]]</f>
        <v>0</v>
      </c>
      <c r="J96" s="91">
        <f>receitasvariáveisconsolidadojun[[#This Row],[TOTAL (R$)]]</f>
        <v>0</v>
      </c>
      <c r="K96" s="91">
        <f>receitasvariáveisconsolidadojul[[#This Row],[TOTAL (R$)]]</f>
        <v>0</v>
      </c>
      <c r="L96" s="91">
        <f>receitasvariáveisconsolidadoago[[#This Row],[TOTAL (R$)]]</f>
        <v>0</v>
      </c>
      <c r="M96" s="91">
        <f>receitasvariáveisconsolidadoset[[#This Row],[TOTAL (R$)]]</f>
        <v>0</v>
      </c>
      <c r="N96" s="91">
        <f>receitasvariáveisconsolidadoout[[#This Row],[TOTAL (R$)]]</f>
        <v>0</v>
      </c>
      <c r="O96" s="91">
        <f>receitasvariáveisconsolidadonov[[#This Row],[TOTAL (R$)]]</f>
        <v>0</v>
      </c>
      <c r="P96" s="91">
        <f>receitasvariáveisconsolidadodez[[#This Row],[TOTAL (R$)]]</f>
        <v>0</v>
      </c>
      <c r="Q96" s="97">
        <f>SUM(receitasvariáveisconsolidadoanual[[#This Row],[1]:[12]])</f>
        <v>0</v>
      </c>
      <c r="R96" s="25"/>
      <c r="S96" s="81"/>
      <c r="T96" s="81"/>
      <c r="U96" s="81"/>
      <c r="V96" s="81"/>
      <c r="W96" s="81"/>
      <c r="X96" s="81"/>
      <c r="Y96" s="81"/>
      <c r="Z96" s="81"/>
      <c r="AH96" s="131"/>
      <c r="AO96" s="138" t="e">
        <f>SUMIFS(tabela_registros[VALOR],tabela_registros[MÊS],$AE$1,tabela_registros[REGISTRO],DADOS!$N$3,tabela_registros[TIPO],DADOS!$V$4,tabela_registros[CATEGORIA],receitasvariáveisconsolidadodez[[#This Row],[ATUAL]],#REF!,DADOS!$J$4)</f>
        <v>#REF!</v>
      </c>
      <c r="AP96" s="138" t="e">
        <f>SUMIFS(tabela_registros[VALOR],tabela_registros[MÊS],$AE$1,tabela_registros[REGISTRO],DADOS!$N$3,tabela_registros[TIPO],DADOS!$V$4,tabela_registros[CATEGORIA],receitasvariáveisconsolidadodez[[#This Row],[ATUAL]],#REF!,DADOS!$J$3)</f>
        <v>#REF!</v>
      </c>
      <c r="AQ96" s="139">
        <f>(receitasvariáveisconsolidadoanual[[#This Row],[TOTAL (R$)]]*$AQ$104)/$Q$104</f>
        <v>0</v>
      </c>
    </row>
    <row r="97" spans="1:43" ht="19.5" customHeight="1" thickTop="1" thickBot="1" x14ac:dyDescent="0.3">
      <c r="B97" s="28"/>
      <c r="C97" s="27" t="str">
        <f>DADOS!$Z$4</f>
        <v>🤑 COMISSÃO</v>
      </c>
      <c r="D97" s="26" t="str">
        <f>IF(receitasvariáveisconsolidadoanual[[#This Row],[TOTAL (R$)]]=0,"",IF(OR(receitasvariáveisconsolidadoanual[[#This Row],[TOTAL (R$)]]=LARGE($Q$96:$Q$103,1),receitasvariáveisconsolidadoanual[[#This Row],[TOTAL (R$)]]=LARGE($Q$96:$Q$103,2)),DADOS!$I$9,""))</f>
        <v/>
      </c>
      <c r="E97" s="96">
        <f>receitasvariáveisconsolidado28[[#This Row],[TOTAL (R$)]]</f>
        <v>122.5</v>
      </c>
      <c r="F97" s="91">
        <f>receitasvariáveisconsolidadofev[[#This Row],[TOTAL (R$)]]</f>
        <v>0</v>
      </c>
      <c r="G97" s="91">
        <f>receitasvariáveisconsolidadomar[[#This Row],[TOTAL (R$)]]</f>
        <v>0</v>
      </c>
      <c r="H97" s="91">
        <f>receitasvariáveisconsolidadoabr[[#This Row],[TOTAL (R$)]]</f>
        <v>0</v>
      </c>
      <c r="I97" s="91">
        <f>receitasvariáveisconsolidadomai[[#This Row],[TOTAL (R$)]]</f>
        <v>0</v>
      </c>
      <c r="J97" s="91">
        <f>receitasvariáveisconsolidadojun[[#This Row],[TOTAL (R$)]]</f>
        <v>0</v>
      </c>
      <c r="K97" s="91">
        <f>receitasvariáveisconsolidadojul[[#This Row],[TOTAL (R$)]]</f>
        <v>0</v>
      </c>
      <c r="L97" s="91">
        <f>receitasvariáveisconsolidadoago[[#This Row],[TOTAL (R$)]]</f>
        <v>0</v>
      </c>
      <c r="M97" s="91">
        <f>receitasvariáveisconsolidadoset[[#This Row],[TOTAL (R$)]]</f>
        <v>0</v>
      </c>
      <c r="N97" s="91">
        <f>receitasvariáveisconsolidadoout[[#This Row],[TOTAL (R$)]]</f>
        <v>0</v>
      </c>
      <c r="O97" s="91">
        <f>receitasvariáveisconsolidadonov[[#This Row],[TOTAL (R$)]]</f>
        <v>0</v>
      </c>
      <c r="P97" s="91">
        <f>receitasvariáveisconsolidadodez[[#This Row],[TOTAL (R$)]]</f>
        <v>0</v>
      </c>
      <c r="Q97" s="97">
        <f>SUM(receitasvariáveisconsolidadoanual[[#This Row],[1]:[12]])</f>
        <v>122.5</v>
      </c>
      <c r="R97" s="25"/>
      <c r="S97" s="81"/>
      <c r="T97" s="81"/>
      <c r="U97" s="81"/>
      <c r="V97" s="81"/>
      <c r="W97" s="81"/>
      <c r="X97" s="81"/>
      <c r="Y97" s="81"/>
      <c r="Z97" s="81"/>
      <c r="AH97" s="131"/>
      <c r="AO97" s="138" t="e">
        <f>SUMIFS(tabela_registros[VALOR],tabela_registros[MÊS],$AE$1,tabela_registros[REGISTRO],DADOS!$N$3,tabela_registros[TIPO],DADOS!$V$4,tabela_registros[CATEGORIA],receitasvariáveisconsolidadodez[[#This Row],[ATUAL]],#REF!,DADOS!$J$4)</f>
        <v>#REF!</v>
      </c>
      <c r="AP97" s="138" t="e">
        <f>SUMIFS(tabela_registros[VALOR],tabela_registros[MÊS],$AE$1,tabela_registros[REGISTRO],DADOS!$N$3,tabela_registros[TIPO],DADOS!$V$4,tabela_registros[CATEGORIA],receitasvariáveisconsolidadodez[[#This Row],[ATUAL]],#REF!,DADOS!$J$3)</f>
        <v>#REF!</v>
      </c>
      <c r="AQ97" s="139">
        <f>(receitasvariáveisconsolidadoanual[[#This Row],[TOTAL (R$)]]*$AQ$104)/$Q$104</f>
        <v>0.11540273198304286</v>
      </c>
    </row>
    <row r="98" spans="1:43" ht="19.5" customHeight="1" thickTop="1" thickBot="1" x14ac:dyDescent="0.3">
      <c r="B98" s="28"/>
      <c r="C98" s="27" t="str">
        <f>DADOS!$Z$5</f>
        <v>🎗️ HERANÇA</v>
      </c>
      <c r="D98" s="26" t="str">
        <f>IF(receitasvariáveisconsolidadoanual[[#This Row],[TOTAL (R$)]]=0,"",IF(OR(receitasvariáveisconsolidadoanual[[#This Row],[TOTAL (R$)]]=LARGE($Q$96:$Q$103,1),receitasvariáveisconsolidadoanual[[#This Row],[TOTAL (R$)]]=LARGE($Q$96:$Q$103,2)),DADOS!$I$9,""))</f>
        <v/>
      </c>
      <c r="E98" s="96">
        <f>receitasvariáveisconsolidado28[[#This Row],[TOTAL (R$)]]</f>
        <v>0</v>
      </c>
      <c r="F98" s="91">
        <f>receitasvariáveisconsolidadofev[[#This Row],[TOTAL (R$)]]</f>
        <v>0</v>
      </c>
      <c r="G98" s="91">
        <f>receitasvariáveisconsolidadomar[[#This Row],[TOTAL (R$)]]</f>
        <v>0</v>
      </c>
      <c r="H98" s="91">
        <f>receitasvariáveisconsolidadoabr[[#This Row],[TOTAL (R$)]]</f>
        <v>0</v>
      </c>
      <c r="I98" s="91">
        <f>receitasvariáveisconsolidadomai[[#This Row],[TOTAL (R$)]]</f>
        <v>0</v>
      </c>
      <c r="J98" s="91">
        <f>receitasvariáveisconsolidadojun[[#This Row],[TOTAL (R$)]]</f>
        <v>0</v>
      </c>
      <c r="K98" s="91">
        <f>receitasvariáveisconsolidadojul[[#This Row],[TOTAL (R$)]]</f>
        <v>0</v>
      </c>
      <c r="L98" s="91">
        <f>receitasvariáveisconsolidadoago[[#This Row],[TOTAL (R$)]]</f>
        <v>0</v>
      </c>
      <c r="M98" s="91">
        <f>receitasvariáveisconsolidadoset[[#This Row],[TOTAL (R$)]]</f>
        <v>0</v>
      </c>
      <c r="N98" s="91">
        <f>receitasvariáveisconsolidadoout[[#This Row],[TOTAL (R$)]]</f>
        <v>0</v>
      </c>
      <c r="O98" s="91">
        <f>receitasvariáveisconsolidadonov[[#This Row],[TOTAL (R$)]]</f>
        <v>0</v>
      </c>
      <c r="P98" s="91">
        <f>receitasvariáveisconsolidadodez[[#This Row],[TOTAL (R$)]]</f>
        <v>0</v>
      </c>
      <c r="Q98" s="97">
        <f>SUM(receitasvariáveisconsolidadoanual[[#This Row],[1]:[12]])</f>
        <v>0</v>
      </c>
      <c r="R98" s="25"/>
      <c r="S98" s="81"/>
      <c r="T98" s="81"/>
      <c r="U98" s="81"/>
      <c r="V98" s="81"/>
      <c r="W98" s="81"/>
      <c r="X98" s="81"/>
      <c r="Y98" s="81"/>
      <c r="Z98" s="81"/>
      <c r="AH98" s="131"/>
      <c r="AO98" s="138" t="e">
        <f>SUMIFS(tabela_registros[VALOR],tabela_registros[MÊS],$AE$1,tabela_registros[REGISTRO],DADOS!$N$3,tabela_registros[TIPO],DADOS!$V$4,tabela_registros[CATEGORIA],receitasvariáveisconsolidadodez[[#This Row],[ATUAL]],#REF!,DADOS!$J$4)</f>
        <v>#REF!</v>
      </c>
      <c r="AP98" s="138" t="e">
        <f>SUMIFS(tabela_registros[VALOR],tabela_registros[MÊS],$AE$1,tabela_registros[REGISTRO],DADOS!$N$3,tabela_registros[TIPO],DADOS!$V$4,tabela_registros[CATEGORIA],receitasvariáveisconsolidadodez[[#This Row],[ATUAL]],#REF!,DADOS!$J$3)</f>
        <v>#REF!</v>
      </c>
      <c r="AQ98" s="139">
        <f>(receitasvariáveisconsolidadoanual[[#This Row],[TOTAL (R$)]]*$AQ$104)/$Q$104</f>
        <v>0</v>
      </c>
    </row>
    <row r="99" spans="1:43" ht="19.5" customHeight="1" thickTop="1" thickBot="1" x14ac:dyDescent="0.3">
      <c r="B99" s="28"/>
      <c r="C99" s="27" t="str">
        <f>DADOS!$Z$6</f>
        <v>💲 INVESTIMENTOS</v>
      </c>
      <c r="D99" s="26" t="str">
        <f>IF(receitasvariáveisconsolidadoanual[[#This Row],[TOTAL (R$)]]=0,"",IF(OR(receitasvariáveisconsolidadoanual[[#This Row],[TOTAL (R$)]]=LARGE($Q$96:$Q$103,1),receitasvariáveisconsolidadoanual[[#This Row],[TOTAL (R$)]]=LARGE($Q$96:$Q$103,2)),DADOS!$I$9,""))</f>
        <v>🐄</v>
      </c>
      <c r="E99" s="96">
        <f>receitasvariáveisconsolidado28[[#This Row],[TOTAL (R$)]]</f>
        <v>0</v>
      </c>
      <c r="F99" s="91">
        <f>receitasvariáveisconsolidadofev[[#This Row],[TOTAL (R$)]]</f>
        <v>0</v>
      </c>
      <c r="G99" s="91">
        <f>receitasvariáveisconsolidadomar[[#This Row],[TOTAL (R$)]]</f>
        <v>0</v>
      </c>
      <c r="H99" s="91">
        <f>receitasvariáveisconsolidadoabr[[#This Row],[TOTAL (R$)]]</f>
        <v>0</v>
      </c>
      <c r="I99" s="91">
        <f>receitasvariáveisconsolidadomai[[#This Row],[TOTAL (R$)]]</f>
        <v>0</v>
      </c>
      <c r="J99" s="91">
        <f>receitasvariáveisconsolidadojun[[#This Row],[TOTAL (R$)]]</f>
        <v>0</v>
      </c>
      <c r="K99" s="91">
        <f>receitasvariáveisconsolidadojul[[#This Row],[TOTAL (R$)]]</f>
        <v>0</v>
      </c>
      <c r="L99" s="91">
        <f>receitasvariáveisconsolidadoago[[#This Row],[TOTAL (R$)]]</f>
        <v>568</v>
      </c>
      <c r="M99" s="91">
        <f>receitasvariáveisconsolidadoset[[#This Row],[TOTAL (R$)]]</f>
        <v>0</v>
      </c>
      <c r="N99" s="91">
        <f>receitasvariáveisconsolidadoout[[#This Row],[TOTAL (R$)]]</f>
        <v>0</v>
      </c>
      <c r="O99" s="91">
        <f>receitasvariáveisconsolidadonov[[#This Row],[TOTAL (R$)]]</f>
        <v>0</v>
      </c>
      <c r="P99" s="91">
        <f>receitasvariáveisconsolidadodez[[#This Row],[TOTAL (R$)]]</f>
        <v>0</v>
      </c>
      <c r="Q99" s="97">
        <f>SUM(receitasvariáveisconsolidadoanual[[#This Row],[1]:[12]])</f>
        <v>568</v>
      </c>
      <c r="R99" s="25"/>
      <c r="S99" s="81"/>
      <c r="T99" s="81"/>
      <c r="U99" s="81"/>
      <c r="V99" s="81"/>
      <c r="W99" s="81"/>
      <c r="X99" s="81"/>
      <c r="Y99" s="81"/>
      <c r="Z99" s="81"/>
      <c r="AH99" s="131"/>
      <c r="AO99" s="138" t="e">
        <f>SUMIFS(tabela_registros[VALOR],tabela_registros[MÊS],$AE$1,tabela_registros[REGISTRO],DADOS!$N$3,tabela_registros[TIPO],DADOS!$V$4,tabela_registros[CATEGORIA],receitasvariáveisconsolidadodez[[#This Row],[ATUAL]],#REF!,DADOS!$J$4)</f>
        <v>#REF!</v>
      </c>
      <c r="AP99" s="138" t="e">
        <f>SUMIFS(tabela_registros[VALOR],tabela_registros[MÊS],$AE$1,tabela_registros[REGISTRO],DADOS!$N$3,tabela_registros[TIPO],DADOS!$V$4,tabela_registros[CATEGORIA],receitasvariáveisconsolidadodez[[#This Row],[ATUAL]],#REF!,DADOS!$J$3)</f>
        <v>#REF!</v>
      </c>
      <c r="AQ99" s="139">
        <f>(receitasvariáveisconsolidadoanual[[#This Row],[TOTAL (R$)]]*$AQ$104)/$Q$104</f>
        <v>0.53509185115402735</v>
      </c>
    </row>
    <row r="100" spans="1:43" ht="19.5" customHeight="1" thickTop="1" thickBot="1" x14ac:dyDescent="0.3">
      <c r="B100" s="28"/>
      <c r="C100" s="27" t="str">
        <f>DADOS!$Z$7</f>
        <v>🧾 NOTA DE SERVIÇO</v>
      </c>
      <c r="D100" s="26" t="str">
        <f>IF(receitasvariáveisconsolidadoanual[[#This Row],[TOTAL (R$)]]=0,"",IF(OR(receitasvariáveisconsolidadoanual[[#This Row],[TOTAL (R$)]]=LARGE($Q$96:$Q$103,1),receitasvariáveisconsolidadoanual[[#This Row],[TOTAL (R$)]]=LARGE($Q$96:$Q$103,2)),DADOS!$I$9,""))</f>
        <v/>
      </c>
      <c r="E100" s="96">
        <f>receitasvariáveisconsolidado28[[#This Row],[TOTAL (R$)]]</f>
        <v>0</v>
      </c>
      <c r="F100" s="91">
        <f>receitasvariáveisconsolidadofev[[#This Row],[TOTAL (R$)]]</f>
        <v>0</v>
      </c>
      <c r="G100" s="91">
        <f>receitasvariáveisconsolidadomar[[#This Row],[TOTAL (R$)]]</f>
        <v>0</v>
      </c>
      <c r="H100" s="91">
        <f>receitasvariáveisconsolidadoabr[[#This Row],[TOTAL (R$)]]</f>
        <v>0</v>
      </c>
      <c r="I100" s="91">
        <f>receitasvariáveisconsolidadomai[[#This Row],[TOTAL (R$)]]</f>
        <v>0</v>
      </c>
      <c r="J100" s="91">
        <f>receitasvariáveisconsolidadojun[[#This Row],[TOTAL (R$)]]</f>
        <v>0</v>
      </c>
      <c r="K100" s="91">
        <f>receitasvariáveisconsolidadojul[[#This Row],[TOTAL (R$)]]</f>
        <v>0</v>
      </c>
      <c r="L100" s="91">
        <f>receitasvariáveisconsolidadoago[[#This Row],[TOTAL (R$)]]</f>
        <v>0</v>
      </c>
      <c r="M100" s="91">
        <f>receitasvariáveisconsolidadoset[[#This Row],[TOTAL (R$)]]</f>
        <v>0</v>
      </c>
      <c r="N100" s="91">
        <f>receitasvariáveisconsolidadoout[[#This Row],[TOTAL (R$)]]</f>
        <v>0</v>
      </c>
      <c r="O100" s="91">
        <f>receitasvariáveisconsolidadonov[[#This Row],[TOTAL (R$)]]</f>
        <v>0</v>
      </c>
      <c r="P100" s="91">
        <f>receitasvariáveisconsolidadodez[[#This Row],[TOTAL (R$)]]</f>
        <v>0</v>
      </c>
      <c r="Q100" s="97">
        <f>SUM(receitasvariáveisconsolidadoanual[[#This Row],[1]:[12]])</f>
        <v>0</v>
      </c>
      <c r="R100" s="25"/>
      <c r="S100" s="81"/>
      <c r="T100" s="81"/>
      <c r="U100" s="81"/>
      <c r="V100" s="81"/>
      <c r="W100" s="81"/>
      <c r="X100" s="81"/>
      <c r="Y100" s="81"/>
      <c r="Z100" s="81"/>
      <c r="AH100" s="131"/>
      <c r="AO100" s="138" t="e">
        <f>SUMIFS(tabela_registros[VALOR],tabela_registros[MÊS],$AE$1,tabela_registros[REGISTRO],DADOS!$N$3,tabela_registros[TIPO],DADOS!$V$4,tabela_registros[CATEGORIA],receitasvariáveisconsolidadodez[[#This Row],[ATUAL]],#REF!,DADOS!$J$4)</f>
        <v>#REF!</v>
      </c>
      <c r="AP100" s="138" t="e">
        <f>SUMIFS(tabela_registros[VALOR],tabela_registros[MÊS],$AE$1,tabela_registros[REGISTRO],DADOS!$N$3,tabela_registros[TIPO],DADOS!$V$4,tabela_registros[CATEGORIA],receitasvariáveisconsolidadodez[[#This Row],[ATUAL]],#REF!,DADOS!$J$3)</f>
        <v>#REF!</v>
      </c>
      <c r="AQ100" s="139">
        <f>(receitasvariáveisconsolidadoanual[[#This Row],[TOTAL (R$)]]*$AQ$104)/$Q$104</f>
        <v>0</v>
      </c>
    </row>
    <row r="101" spans="1:43" ht="19.5" customHeight="1" thickTop="1" thickBot="1" x14ac:dyDescent="0.3">
      <c r="B101" s="28"/>
      <c r="C101" s="27" t="str">
        <f>DADOS!$Z$8</f>
        <v>🎁 PRESENTE</v>
      </c>
      <c r="D101" s="26" t="str">
        <f>IF(receitasvariáveisconsolidadoanual[[#This Row],[TOTAL (R$)]]=0,"",IF(OR(receitasvariáveisconsolidadoanual[[#This Row],[TOTAL (R$)]]=LARGE($Q$96:$Q$103,1),receitasvariáveisconsolidadoanual[[#This Row],[TOTAL (R$)]]=LARGE($Q$96:$Q$103,2)),DADOS!$I$9,""))</f>
        <v/>
      </c>
      <c r="E101" s="96">
        <f>receitasvariáveisconsolidado28[[#This Row],[TOTAL (R$)]]</f>
        <v>0</v>
      </c>
      <c r="F101" s="91">
        <f>receitasvariáveisconsolidadofev[[#This Row],[TOTAL (R$)]]</f>
        <v>0</v>
      </c>
      <c r="G101" s="91">
        <f>receitasvariáveisconsolidadomar[[#This Row],[TOTAL (R$)]]</f>
        <v>0</v>
      </c>
      <c r="H101" s="91">
        <f>receitasvariáveisconsolidadoabr[[#This Row],[TOTAL (R$)]]</f>
        <v>0</v>
      </c>
      <c r="I101" s="91">
        <f>receitasvariáveisconsolidadomai[[#This Row],[TOTAL (R$)]]</f>
        <v>0</v>
      </c>
      <c r="J101" s="91">
        <f>receitasvariáveisconsolidadojun[[#This Row],[TOTAL (R$)]]</f>
        <v>0</v>
      </c>
      <c r="K101" s="91">
        <f>receitasvariáveisconsolidadojul[[#This Row],[TOTAL (R$)]]</f>
        <v>0</v>
      </c>
      <c r="L101" s="91">
        <f>receitasvariáveisconsolidadoago[[#This Row],[TOTAL (R$)]]</f>
        <v>0</v>
      </c>
      <c r="M101" s="91">
        <f>receitasvariáveisconsolidadoset[[#This Row],[TOTAL (R$)]]</f>
        <v>0</v>
      </c>
      <c r="N101" s="91">
        <f>receitasvariáveisconsolidadoout[[#This Row],[TOTAL (R$)]]</f>
        <v>0</v>
      </c>
      <c r="O101" s="91">
        <f>receitasvariáveisconsolidadonov[[#This Row],[TOTAL (R$)]]</f>
        <v>0</v>
      </c>
      <c r="P101" s="91">
        <f>receitasvariáveisconsolidadodez[[#This Row],[TOTAL (R$)]]</f>
        <v>0</v>
      </c>
      <c r="Q101" s="97">
        <f>SUM(receitasvariáveisconsolidadoanual[[#This Row],[1]:[12]])</f>
        <v>0</v>
      </c>
      <c r="R101" s="25"/>
      <c r="S101" s="81"/>
      <c r="T101" s="81"/>
      <c r="U101" s="81"/>
      <c r="V101" s="81"/>
      <c r="W101" s="81"/>
      <c r="X101" s="81"/>
      <c r="Y101" s="81"/>
      <c r="Z101" s="81"/>
      <c r="AH101" s="131"/>
      <c r="AO101" s="138" t="e">
        <f>SUMIFS(tabela_registros[VALOR],tabela_registros[MÊS],$AE$1,tabela_registros[REGISTRO],DADOS!$N$3,tabela_registros[TIPO],DADOS!$V$4,tabela_registros[CATEGORIA],receitasvariáveisconsolidadodez[[#This Row],[ATUAL]],#REF!,DADOS!$J$4)</f>
        <v>#REF!</v>
      </c>
      <c r="AP101" s="138" t="e">
        <f>SUMIFS(tabela_registros[VALOR],tabela_registros[MÊS],$AE$1,tabela_registros[REGISTRO],DADOS!$N$3,tabela_registros[TIPO],DADOS!$V$4,tabela_registros[CATEGORIA],receitasvariáveisconsolidadodez[[#This Row],[ATUAL]],#REF!,DADOS!$J$3)</f>
        <v>#REF!</v>
      </c>
      <c r="AQ101" s="139">
        <f>(receitasvariáveisconsolidadoanual[[#This Row],[TOTAL (R$)]]*$AQ$104)/$Q$104</f>
        <v>0</v>
      </c>
    </row>
    <row r="102" spans="1:43" ht="19.5" customHeight="1" thickTop="1" thickBot="1" x14ac:dyDescent="0.3">
      <c r="B102" s="28"/>
      <c r="C102" s="27" t="str">
        <f>DADOS!$Z$9</f>
        <v>👷‍♀️ TRABALHO TEMPORÁRIO</v>
      </c>
      <c r="D102" s="26" t="str">
        <f>IF(receitasvariáveisconsolidadoanual[[#This Row],[TOTAL (R$)]]=0,"",IF(OR(receitasvariáveisconsolidadoanual[[#This Row],[TOTAL (R$)]]=LARGE($Q$96:$Q$103,1),receitasvariáveisconsolidadoanual[[#This Row],[TOTAL (R$)]]=LARGE($Q$96:$Q$103,2)),DADOS!$I$9,""))</f>
        <v>🐄</v>
      </c>
      <c r="E102" s="96">
        <f>receitasvariáveisconsolidado28[[#This Row],[TOTAL (R$)]]</f>
        <v>0</v>
      </c>
      <c r="F102" s="91">
        <f>receitasvariáveisconsolidadofev[[#This Row],[TOTAL (R$)]]</f>
        <v>0</v>
      </c>
      <c r="G102" s="91">
        <f>receitasvariáveisconsolidadomar[[#This Row],[TOTAL (R$)]]</f>
        <v>0</v>
      </c>
      <c r="H102" s="91">
        <f>receitasvariáveisconsolidadoabr[[#This Row],[TOTAL (R$)]]</f>
        <v>0</v>
      </c>
      <c r="I102" s="91">
        <f>receitasvariáveisconsolidadomai[[#This Row],[TOTAL (R$)]]</f>
        <v>326</v>
      </c>
      <c r="J102" s="91">
        <f>receitasvariáveisconsolidadojun[[#This Row],[TOTAL (R$)]]</f>
        <v>0</v>
      </c>
      <c r="K102" s="91">
        <f>receitasvariáveisconsolidadojul[[#This Row],[TOTAL (R$)]]</f>
        <v>0</v>
      </c>
      <c r="L102" s="91">
        <f>receitasvariáveisconsolidadoago[[#This Row],[TOTAL (R$)]]</f>
        <v>45</v>
      </c>
      <c r="M102" s="91">
        <f>receitasvariáveisconsolidadoset[[#This Row],[TOTAL (R$)]]</f>
        <v>0</v>
      </c>
      <c r="N102" s="91">
        <f>receitasvariáveisconsolidadoout[[#This Row],[TOTAL (R$)]]</f>
        <v>0</v>
      </c>
      <c r="O102" s="91">
        <f>receitasvariáveisconsolidadonov[[#This Row],[TOTAL (R$)]]</f>
        <v>0</v>
      </c>
      <c r="P102" s="91">
        <f>receitasvariáveisconsolidadodez[[#This Row],[TOTAL (R$)]]</f>
        <v>0</v>
      </c>
      <c r="Q102" s="97">
        <f>SUM(receitasvariáveisconsolidadoanual[[#This Row],[1]:[12]])</f>
        <v>371</v>
      </c>
      <c r="R102" s="25"/>
      <c r="S102" s="81"/>
      <c r="T102" s="81"/>
      <c r="U102" s="81"/>
      <c r="V102" s="81"/>
      <c r="W102" s="81"/>
      <c r="X102" s="81"/>
      <c r="Y102" s="81"/>
      <c r="Z102" s="81"/>
      <c r="AH102" s="131"/>
      <c r="AO102" s="138" t="e">
        <f>SUMIFS(tabela_registros[VALOR],tabela_registros[MÊS],$AE$1,tabela_registros[REGISTRO],DADOS!$N$3,tabela_registros[TIPO],DADOS!$V$4,tabela_registros[CATEGORIA],receitasvariáveisconsolidadodez[[#This Row],[ATUAL]],#REF!,DADOS!$J$4)</f>
        <v>#REF!</v>
      </c>
      <c r="AP102" s="138" t="e">
        <f>SUMIFS(tabela_registros[VALOR],tabela_registros[MÊS],$AE$1,tabela_registros[REGISTRO],DADOS!$N$3,tabela_registros[TIPO],DADOS!$V$4,tabela_registros[CATEGORIA],receitasvariáveisconsolidadodez[[#This Row],[ATUAL]],#REF!,DADOS!$J$3)</f>
        <v>#REF!</v>
      </c>
      <c r="AQ102" s="139">
        <f>(receitasvariáveisconsolidadoanual[[#This Row],[TOTAL (R$)]]*$AQ$104)/$Q$104</f>
        <v>0.3495054168629298</v>
      </c>
    </row>
    <row r="103" spans="1:43" ht="18" customHeight="1" thickTop="1" thickBot="1" x14ac:dyDescent="0.3">
      <c r="B103" s="28"/>
      <c r="C103" s="27" t="str">
        <f>DADOS!$Z$10</f>
        <v>📎 OUTROS</v>
      </c>
      <c r="D103" s="26" t="str">
        <f>IF(receitasvariáveisconsolidadoanual[[#This Row],[TOTAL (R$)]]=0,"",IF(OR(receitasvariáveisconsolidadoanual[[#This Row],[TOTAL (R$)]]=LARGE($Q$96:$Q$103,1),receitasvariáveisconsolidadoanual[[#This Row],[TOTAL (R$)]]=LARGE($Q$96:$Q$103,2)),DADOS!$I$9,""))</f>
        <v/>
      </c>
      <c r="E103" s="96">
        <f>receitasvariáveisconsolidado28[[#This Row],[TOTAL (R$)]]</f>
        <v>0</v>
      </c>
      <c r="F103" s="91">
        <f>receitasvariáveisconsolidadofev[[#This Row],[TOTAL (R$)]]</f>
        <v>0</v>
      </c>
      <c r="G103" s="91">
        <f>receitasvariáveisconsolidadomar[[#This Row],[TOTAL (R$)]]</f>
        <v>0</v>
      </c>
      <c r="H103" s="91">
        <f>receitasvariáveisconsolidadoabr[[#This Row],[TOTAL (R$)]]</f>
        <v>0</v>
      </c>
      <c r="I103" s="91">
        <f>receitasvariáveisconsolidadomai[[#This Row],[TOTAL (R$)]]</f>
        <v>0</v>
      </c>
      <c r="J103" s="91">
        <f>receitasvariáveisconsolidadojun[[#This Row],[TOTAL (R$)]]</f>
        <v>0</v>
      </c>
      <c r="K103" s="91">
        <f>receitasvariáveisconsolidadojul[[#This Row],[TOTAL (R$)]]</f>
        <v>0</v>
      </c>
      <c r="L103" s="91">
        <f>receitasvariáveisconsolidadoago[[#This Row],[TOTAL (R$)]]</f>
        <v>0</v>
      </c>
      <c r="M103" s="91">
        <f>receitasvariáveisconsolidadoset[[#This Row],[TOTAL (R$)]]</f>
        <v>0</v>
      </c>
      <c r="N103" s="91">
        <f>receitasvariáveisconsolidadoout[[#This Row],[TOTAL (R$)]]</f>
        <v>0</v>
      </c>
      <c r="O103" s="91">
        <f>receitasvariáveisconsolidadonov[[#This Row],[TOTAL (R$)]]</f>
        <v>0</v>
      </c>
      <c r="P103" s="91">
        <f>receitasvariáveisconsolidadodez[[#This Row],[TOTAL (R$)]]</f>
        <v>0</v>
      </c>
      <c r="Q103" s="97">
        <f>SUM(receitasvariáveisconsolidadoanual[[#This Row],[1]:[12]])</f>
        <v>0</v>
      </c>
      <c r="R103" s="25"/>
      <c r="S103" s="81"/>
      <c r="T103" s="81"/>
      <c r="U103" s="81"/>
      <c r="V103" s="81"/>
      <c r="W103" s="81"/>
      <c r="X103" s="81"/>
      <c r="Y103" s="81"/>
      <c r="Z103" s="81"/>
      <c r="AH103" s="131"/>
      <c r="AN103" s="131" t="s">
        <v>165</v>
      </c>
      <c r="AO103" s="138" t="e">
        <f>SUMIFS(tabela_registros[VALOR],tabela_registros[MÊS],$AE$1,tabela_registros[REGISTRO],DADOS!$N$3,tabela_registros[TIPO],DADOS!$V$4,tabela_registros[CATEGORIA],receitasvariáveisconsolidadodez[[#This Row],[ATUAL]],#REF!,DADOS!$J$4)</f>
        <v>#REF!</v>
      </c>
      <c r="AP103" s="138" t="e">
        <f>SUMIFS(tabela_registros[VALOR],tabela_registros[MÊS],$AE$1,tabela_registros[REGISTRO],DADOS!$N$3,tabela_registros[TIPO],DADOS!$V$4,tabela_registros[CATEGORIA],receitasvariáveisconsolidadodez[[#This Row],[ATUAL]],#REF!,DADOS!$J$3)</f>
        <v>#REF!</v>
      </c>
      <c r="AQ103" s="139">
        <f>(receitasvariáveisconsolidadoanual[[#This Row],[TOTAL (R$)]]*$AQ$104)/$Q$104</f>
        <v>0</v>
      </c>
    </row>
    <row r="104" spans="1:43" s="140" customFormat="1" ht="21" customHeight="1" thickTop="1" thickBot="1" x14ac:dyDescent="0.3">
      <c r="A104" s="16"/>
      <c r="B104" s="24"/>
      <c r="C104" s="23" t="s">
        <v>19</v>
      </c>
      <c r="D104" s="22"/>
      <c r="E104" s="21">
        <f>receitasvariáveisconsolidado28[[#This Row],[TOTAL (R$)]]</f>
        <v>122.5</v>
      </c>
      <c r="F104" s="20">
        <f>receitasvariáveisconsolidadofev[[#This Row],[TOTAL (R$)]]+receitasvariáveisconsolidadoanual[[#This Row],[1]]</f>
        <v>122.5</v>
      </c>
      <c r="G104" s="20">
        <f>receitasvariáveisconsolidadomar[[#This Row],[TOTAL (R$)]]+receitasvariáveisconsolidadoanual[[#This Row],[2]]</f>
        <v>122.5</v>
      </c>
      <c r="H104" s="20">
        <f>receitasvariáveisconsolidadoabr[[#This Row],[TOTAL (R$)]]+receitasvariáveisconsolidadoanual[[#This Row],[3]]</f>
        <v>122.5</v>
      </c>
      <c r="I104" s="20">
        <f>receitasvariáveisconsolidadomai[[#This Row],[TOTAL (R$)]]+receitasvariáveisconsolidadoanual[[#This Row],[4]]</f>
        <v>448.5</v>
      </c>
      <c r="J104" s="20">
        <f>receitasvariáveisconsolidadojun[[#This Row],[TOTAL (R$)]]+receitasvariáveisconsolidadoanual[[#This Row],[5]]</f>
        <v>448.5</v>
      </c>
      <c r="K104" s="20">
        <f>receitasvariáveisconsolidadojul[[#This Row],[TOTAL (R$)]]+receitasvariáveisconsolidadoanual[[#This Row],[6]]</f>
        <v>448.5</v>
      </c>
      <c r="L104" s="20">
        <f>receitasvariáveisconsolidadoago[[#This Row],[TOTAL (R$)]]+receitasvariáveisconsolidadoanual[[#This Row],[7]]</f>
        <v>1061.5</v>
      </c>
      <c r="M104" s="20">
        <f>receitasvariáveisconsolidadoset[[#This Row],[TOTAL (R$)]]+receitasvariáveisconsolidadoanual[[#This Row],[8]]</f>
        <v>1061.5</v>
      </c>
      <c r="N104" s="20">
        <f>receitasvariáveisconsolidadoout[[#This Row],[TOTAL (R$)]]+receitasvariáveisconsolidadoanual[[#This Row],[9]]</f>
        <v>1061.5</v>
      </c>
      <c r="O104" s="20">
        <f>receitasvariáveisconsolidadonov[[#This Row],[TOTAL (R$)]]+receitasvariáveisconsolidadoanual[[#This Row],[10]]</f>
        <v>1061.5</v>
      </c>
      <c r="P104" s="20">
        <f>receitasvariáveisconsolidadodez[[#This Row],[TOTAL (R$)]]+receitasvariáveisconsolidadoanual[[#This Row],[11]]</f>
        <v>1061.5</v>
      </c>
      <c r="Q104" s="18">
        <f>receitasvariáveisconsolidadoanual[[#This Row],[12]]</f>
        <v>1061.5</v>
      </c>
      <c r="R104" s="17"/>
      <c r="S104" s="81"/>
      <c r="T104" s="81"/>
      <c r="U104" s="81"/>
      <c r="V104" s="81"/>
      <c r="W104" s="81"/>
      <c r="X104" s="81"/>
      <c r="Y104" s="81"/>
      <c r="Z104" s="81"/>
      <c r="AA104" s="131"/>
      <c r="AB104" s="131"/>
      <c r="AC104" s="131"/>
      <c r="AD104" s="131"/>
      <c r="AE104" s="131"/>
      <c r="AF104" s="131"/>
      <c r="AG104" s="131"/>
      <c r="AH104" s="131"/>
      <c r="AI104" s="131"/>
      <c r="AJ104" s="131"/>
      <c r="AK104" s="131"/>
      <c r="AN104" s="142">
        <f>Q104/$Q$14</f>
        <v>0.19039139068605471</v>
      </c>
      <c r="AO104" s="141" t="e">
        <f>SUM(AO96:AO103)</f>
        <v>#REF!</v>
      </c>
      <c r="AP104" s="141" t="e">
        <f>SUM(AP96:AP103)</f>
        <v>#REF!</v>
      </c>
      <c r="AQ104" s="139">
        <f>1</f>
        <v>1</v>
      </c>
    </row>
    <row r="105" spans="1:43" ht="6.75" customHeight="1" thickTop="1" thickBot="1" x14ac:dyDescent="0.3">
      <c r="B105" s="15"/>
      <c r="C105" s="14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1"/>
      <c r="S105" s="81"/>
      <c r="T105" s="81"/>
      <c r="U105" s="81"/>
      <c r="V105" s="81"/>
      <c r="W105" s="81"/>
      <c r="X105" s="81"/>
      <c r="Y105" s="81"/>
      <c r="Z105" s="81"/>
      <c r="AH105" s="131"/>
    </row>
    <row r="106" spans="1:43" ht="12.6" thickTop="1" x14ac:dyDescent="0.25">
      <c r="E106" s="37"/>
      <c r="S106" s="81"/>
      <c r="T106" s="81"/>
      <c r="U106" s="81"/>
      <c r="V106" s="81"/>
      <c r="W106" s="81"/>
      <c r="X106" s="81"/>
      <c r="Y106" s="81"/>
      <c r="Z106" s="81"/>
      <c r="AH106" s="131"/>
    </row>
    <row r="107" spans="1:43" x14ac:dyDescent="0.25">
      <c r="S107" s="81"/>
      <c r="T107" s="81"/>
      <c r="U107" s="81"/>
      <c r="V107" s="81"/>
      <c r="W107" s="81"/>
      <c r="X107" s="81"/>
      <c r="Y107" s="81"/>
      <c r="Z107" s="81"/>
      <c r="AH107" s="131"/>
    </row>
    <row r="108" spans="1:43" x14ac:dyDescent="0.25">
      <c r="S108" s="81"/>
      <c r="T108" s="81"/>
      <c r="U108" s="81"/>
      <c r="V108" s="81"/>
      <c r="W108" s="81"/>
      <c r="X108" s="81"/>
      <c r="Y108" s="81"/>
      <c r="Z108" s="81"/>
      <c r="AH108" s="131"/>
    </row>
    <row r="109" spans="1:43" ht="39.75" customHeight="1" x14ac:dyDescent="0.7">
      <c r="C109" s="36"/>
      <c r="E109" s="240"/>
      <c r="F109" s="240"/>
      <c r="G109" s="240"/>
      <c r="H109" s="240"/>
      <c r="I109" s="240"/>
      <c r="J109" s="240"/>
      <c r="K109" s="240"/>
      <c r="L109" s="240"/>
      <c r="M109" s="240"/>
      <c r="N109" s="240"/>
      <c r="O109" s="240"/>
      <c r="P109" s="240"/>
      <c r="Q109" s="32" t="s">
        <v>19</v>
      </c>
      <c r="R109" s="82"/>
      <c r="S109" s="81"/>
      <c r="T109" s="81"/>
      <c r="U109" s="81"/>
      <c r="V109" s="81"/>
      <c r="W109" s="81"/>
      <c r="X109" s="81"/>
      <c r="Y109" s="81"/>
      <c r="Z109" s="81"/>
      <c r="AH109" s="131"/>
    </row>
    <row r="110" spans="1:43" ht="12.6" thickBot="1" x14ac:dyDescent="0.3">
      <c r="B110" s="35"/>
      <c r="Q110" s="34" t="s">
        <v>202</v>
      </c>
      <c r="S110" s="81"/>
      <c r="T110" s="81"/>
      <c r="U110" s="81"/>
      <c r="V110" s="81"/>
      <c r="W110" s="81"/>
      <c r="X110" s="81"/>
      <c r="Y110" s="81"/>
      <c r="Z110" s="81"/>
      <c r="AH110" s="131"/>
    </row>
    <row r="111" spans="1:43" ht="6.75" customHeight="1" thickTop="1" thickBot="1" x14ac:dyDescent="0.3">
      <c r="B111" s="2"/>
      <c r="C111" s="14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1"/>
      <c r="S111" s="81"/>
      <c r="T111" s="81"/>
      <c r="U111" s="81"/>
      <c r="V111" s="81"/>
      <c r="W111" s="81"/>
      <c r="X111" s="81"/>
      <c r="Y111" s="81"/>
      <c r="Z111" s="81"/>
      <c r="AH111" s="131"/>
      <c r="AO111" s="137" t="s">
        <v>118</v>
      </c>
      <c r="AP111" s="137" t="s">
        <v>201</v>
      </c>
      <c r="AQ111" s="137" t="s">
        <v>200</v>
      </c>
    </row>
    <row r="112" spans="1:43" ht="13.2" hidden="1" thickTop="1" thickBot="1" x14ac:dyDescent="0.3">
      <c r="B112" s="2"/>
      <c r="C112" s="31" t="s">
        <v>199</v>
      </c>
      <c r="D112" s="30" t="s">
        <v>198</v>
      </c>
      <c r="E112" s="30" t="s">
        <v>197</v>
      </c>
      <c r="F112" s="30" t="s">
        <v>196</v>
      </c>
      <c r="G112" s="30" t="s">
        <v>195</v>
      </c>
      <c r="H112" s="30" t="s">
        <v>194</v>
      </c>
      <c r="I112" s="30" t="s">
        <v>193</v>
      </c>
      <c r="J112" s="30" t="s">
        <v>192</v>
      </c>
      <c r="K112" s="30" t="s">
        <v>191</v>
      </c>
      <c r="L112" s="30" t="s">
        <v>190</v>
      </c>
      <c r="M112" s="30" t="s">
        <v>189</v>
      </c>
      <c r="N112" s="30" t="s">
        <v>188</v>
      </c>
      <c r="O112" s="30" t="s">
        <v>187</v>
      </c>
      <c r="P112" s="30" t="s">
        <v>186</v>
      </c>
      <c r="Q112" s="29" t="s">
        <v>166</v>
      </c>
      <c r="R112" s="28"/>
      <c r="S112" s="81"/>
      <c r="T112" s="81"/>
      <c r="U112" s="81"/>
      <c r="V112" s="81">
        <v>5555</v>
      </c>
      <c r="W112" s="81"/>
      <c r="X112" s="81"/>
      <c r="Y112" s="81"/>
      <c r="Z112" s="81"/>
      <c r="AH112" s="131"/>
    </row>
    <row r="113" spans="1:43" ht="19.5" customHeight="1" thickTop="1" thickBot="1" x14ac:dyDescent="0.3">
      <c r="B113" s="28"/>
      <c r="C113" s="27" t="str">
        <f>DADOS!$AD$3</f>
        <v>📝 CDB</v>
      </c>
      <c r="D113" s="26" t="str">
        <f>IF(investirrendafixaconsolidadoanual[[#This Row],[TOTAL (R$)]]=0,"",IF(OR(investirrendafixaconsolidadoanual[[#This Row],[TOTAL (R$)]]=LARGE($Q$113:$Q$122,1),investirrendafixaconsolidadoanual[[#This Row],[TOTAL (R$)]]=LARGE($Q$113:$Q$122,2)),DADOS!$I$10,""))</f>
        <v>💎</v>
      </c>
      <c r="E113" s="96">
        <f>investirrendafixaconsolidado2829[[#This Row],[TOTAL (R$)]]</f>
        <v>34.214285714285602</v>
      </c>
      <c r="F113" s="91">
        <f>investirrendafixaconsolidadofev[[#This Row],[TOTAL (R$)]]</f>
        <v>0</v>
      </c>
      <c r="G113" s="91">
        <f>investirrendafixaconsolidadomar[[#This Row],[TOTAL (R$)]]</f>
        <v>0</v>
      </c>
      <c r="H113" s="91">
        <f>investirrendafixaconsolidadoabr[[#This Row],[TOTAL (R$)]]</f>
        <v>0</v>
      </c>
      <c r="I113" s="91">
        <f>investirrendafixaconsolidadomai[[#This Row],[TOTAL (R$)]]</f>
        <v>0</v>
      </c>
      <c r="J113" s="91">
        <f>investirrendafixaconsolidadojun[[#This Row],[TOTAL (R$)]]</f>
        <v>0</v>
      </c>
      <c r="K113" s="91">
        <f>investirrendafixaconsolidadojul[[#This Row],[TOTAL (R$)]]</f>
        <v>0</v>
      </c>
      <c r="L113" s="91">
        <f>investirrendafixaconsolidadoago[[#This Row],[TOTAL (R$)]]</f>
        <v>0</v>
      </c>
      <c r="M113" s="91">
        <f>investirrendafixaconsolidadoset[[#This Row],[TOTAL (R$)]]</f>
        <v>0</v>
      </c>
      <c r="N113" s="91">
        <f>investirrendafixaconsolidadoout[[#This Row],[TOTAL (R$)]]</f>
        <v>451</v>
      </c>
      <c r="O113" s="91">
        <f>investirrendafixaconsolidadonov[[#This Row],[TOTAL (R$)]]</f>
        <v>0</v>
      </c>
      <c r="P113" s="91">
        <f>investirrendafixaconsolidadodez[[#This Row],[TOTAL (R$)]]</f>
        <v>0</v>
      </c>
      <c r="Q113" s="97">
        <f>SUM(investirrendafixaconsolidadoanual[[#This Row],[1]:[12]])</f>
        <v>485.21428571428561</v>
      </c>
      <c r="R113" s="25"/>
      <c r="S113" s="81"/>
      <c r="T113" s="81"/>
      <c r="U113" s="81"/>
      <c r="V113" s="81"/>
      <c r="W113" s="81"/>
      <c r="X113" s="81"/>
      <c r="Y113" s="81"/>
      <c r="Z113" s="81"/>
      <c r="AH113" s="131"/>
      <c r="AO113" s="138" t="e">
        <f>SUMIFS(tabela_registros[VALOR],tabela_registros[MÊS],$AE$1,tabela_registros[REGISTRO],DADOS!$N$5,tabela_registros[TIPO],DADOS!$AB$3,tabela_registros[CATEGORIA],investirrendafixaconsolidadodez[[#This Row],[ATUAL]],#REF!,DADOS!$J$4)</f>
        <v>#REF!</v>
      </c>
      <c r="AP113" s="138" t="e">
        <f>SUMIFS(tabela_registros[VALOR],tabela_registros[MÊS],$AE$1,tabela_registros[REGISTRO],DADOS!$N$5,tabela_registros[TIPO],DADOS!$AB$3,tabela_registros[CATEGORIA],investirrendafixaconsolidadodez[[#This Row],[ATUAL]],#REF!,DADOS!$J$3)</f>
        <v>#REF!</v>
      </c>
      <c r="AQ113" s="139">
        <f>(investirrendafixaconsolidadoanual[[#This Row],[TOTAL (R$)]]*$AQ$123)/$Q$123</f>
        <v>0.65639192192482365</v>
      </c>
    </row>
    <row r="114" spans="1:43" ht="19.5" customHeight="1" thickTop="1" thickBot="1" x14ac:dyDescent="0.3">
      <c r="B114" s="28"/>
      <c r="C114" s="27" t="str">
        <f>DADOS!$AD$4</f>
        <v>📝 CRA</v>
      </c>
      <c r="D114" s="26" t="str">
        <f>IF(investirrendafixaconsolidadoanual[[#This Row],[TOTAL (R$)]]=0,"",IF(OR(investirrendafixaconsolidadoanual[[#This Row],[TOTAL (R$)]]=LARGE($Q$113:$Q$122,1),investirrendafixaconsolidadoanual[[#This Row],[TOTAL (R$)]]=LARGE($Q$113:$Q$122,2)),DADOS!$I$10,""))</f>
        <v/>
      </c>
      <c r="E114" s="96">
        <f>investirrendafixaconsolidado2829[[#This Row],[TOTAL (R$)]]</f>
        <v>0</v>
      </c>
      <c r="F114" s="91">
        <f>investirrendafixaconsolidadofev[[#This Row],[TOTAL (R$)]]</f>
        <v>0</v>
      </c>
      <c r="G114" s="91">
        <f>investirrendafixaconsolidadomar[[#This Row],[TOTAL (R$)]]</f>
        <v>0</v>
      </c>
      <c r="H114" s="91">
        <f>investirrendafixaconsolidadoabr[[#This Row],[TOTAL (R$)]]</f>
        <v>0</v>
      </c>
      <c r="I114" s="91">
        <f>investirrendafixaconsolidadomai[[#This Row],[TOTAL (R$)]]</f>
        <v>0</v>
      </c>
      <c r="J114" s="91">
        <f>investirrendafixaconsolidadojun[[#This Row],[TOTAL (R$)]]</f>
        <v>0</v>
      </c>
      <c r="K114" s="91">
        <f>investirrendafixaconsolidadojul[[#This Row],[TOTAL (R$)]]</f>
        <v>0</v>
      </c>
      <c r="L114" s="91">
        <f>investirrendafixaconsolidadoago[[#This Row],[TOTAL (R$)]]</f>
        <v>0</v>
      </c>
      <c r="M114" s="91">
        <f>investirrendafixaconsolidadoset[[#This Row],[TOTAL (R$)]]</f>
        <v>0</v>
      </c>
      <c r="N114" s="91">
        <f>investirrendafixaconsolidadoout[[#This Row],[TOTAL (R$)]]</f>
        <v>0</v>
      </c>
      <c r="O114" s="91">
        <f>investirrendafixaconsolidadonov[[#This Row],[TOTAL (R$)]]</f>
        <v>0</v>
      </c>
      <c r="P114" s="91">
        <f>investirrendafixaconsolidadodez[[#This Row],[TOTAL (R$)]]</f>
        <v>0</v>
      </c>
      <c r="Q114" s="97">
        <f>SUM(investirrendafixaconsolidadoanual[[#This Row],[1]:[12]])</f>
        <v>0</v>
      </c>
      <c r="R114" s="25"/>
      <c r="S114" s="81"/>
      <c r="T114" s="81"/>
      <c r="U114" s="81"/>
      <c r="V114" s="81"/>
      <c r="W114" s="81"/>
      <c r="X114" s="81"/>
      <c r="Y114" s="81"/>
      <c r="Z114" s="81"/>
      <c r="AH114" s="131"/>
      <c r="AO114" s="138" t="e">
        <f>SUMIFS(tabela_registros[VALOR],tabela_registros[MÊS],$AE$1,tabela_registros[REGISTRO],DADOS!$N$5,tabela_registros[TIPO],DADOS!$AB$3,tabela_registros[CATEGORIA],investirrendafixaconsolidadodez[[#This Row],[ATUAL]],#REF!,DADOS!$J$4)</f>
        <v>#REF!</v>
      </c>
      <c r="AP114" s="138" t="e">
        <f>SUMIFS(tabela_registros[VALOR],tabela_registros[MÊS],$AE$1,tabela_registros[REGISTRO],DADOS!$N$5,tabela_registros[TIPO],DADOS!$AB$3,tabela_registros[CATEGORIA],investirrendafixaconsolidadodez[[#This Row],[ATUAL]],#REF!,DADOS!$J$3)</f>
        <v>#REF!</v>
      </c>
      <c r="AQ114" s="139">
        <f>(investirrendafixaconsolidadoanual[[#This Row],[TOTAL (R$)]]*$AQ$123)/$Q$123</f>
        <v>0</v>
      </c>
    </row>
    <row r="115" spans="1:43" ht="19.5" customHeight="1" thickTop="1" thickBot="1" x14ac:dyDescent="0.3">
      <c r="B115" s="28"/>
      <c r="C115" s="27" t="str">
        <f>DADOS!$AD$5</f>
        <v>📝 CRI</v>
      </c>
      <c r="D115" s="26" t="str">
        <f>IF(investirrendafixaconsolidadoanual[[#This Row],[TOTAL (R$)]]=0,"",IF(OR(investirrendafixaconsolidadoanual[[#This Row],[TOTAL (R$)]]=LARGE($Q$113:$Q$122,1),investirrendafixaconsolidadoanual[[#This Row],[TOTAL (R$)]]=LARGE($Q$113:$Q$122,2)),DADOS!$I$10,""))</f>
        <v/>
      </c>
      <c r="E115" s="96">
        <f>investirrendafixaconsolidado2829[[#This Row],[TOTAL (R$)]]</f>
        <v>0</v>
      </c>
      <c r="F115" s="91">
        <f>investirrendafixaconsolidadofev[[#This Row],[TOTAL (R$)]]</f>
        <v>0</v>
      </c>
      <c r="G115" s="91">
        <f>investirrendafixaconsolidadomar[[#This Row],[TOTAL (R$)]]</f>
        <v>0</v>
      </c>
      <c r="H115" s="91">
        <f>investirrendafixaconsolidadoabr[[#This Row],[TOTAL (R$)]]</f>
        <v>0</v>
      </c>
      <c r="I115" s="91">
        <f>investirrendafixaconsolidadomai[[#This Row],[TOTAL (R$)]]</f>
        <v>0</v>
      </c>
      <c r="J115" s="91">
        <f>investirrendafixaconsolidadojun[[#This Row],[TOTAL (R$)]]</f>
        <v>0</v>
      </c>
      <c r="K115" s="91">
        <f>investirrendafixaconsolidadojul[[#This Row],[TOTAL (R$)]]</f>
        <v>0</v>
      </c>
      <c r="L115" s="91">
        <f>investirrendafixaconsolidadoago[[#This Row],[TOTAL (R$)]]</f>
        <v>0</v>
      </c>
      <c r="M115" s="91">
        <f>investirrendafixaconsolidadoset[[#This Row],[TOTAL (R$)]]</f>
        <v>0</v>
      </c>
      <c r="N115" s="91">
        <f>investirrendafixaconsolidadoout[[#This Row],[TOTAL (R$)]]</f>
        <v>0</v>
      </c>
      <c r="O115" s="91">
        <f>investirrendafixaconsolidadonov[[#This Row],[TOTAL (R$)]]</f>
        <v>0</v>
      </c>
      <c r="P115" s="91">
        <f>investirrendafixaconsolidadodez[[#This Row],[TOTAL (R$)]]</f>
        <v>0</v>
      </c>
      <c r="Q115" s="97">
        <f>SUM(investirrendafixaconsolidadoanual[[#This Row],[1]:[12]])</f>
        <v>0</v>
      </c>
      <c r="R115" s="25"/>
      <c r="S115" s="81"/>
      <c r="T115" s="81"/>
      <c r="U115" s="81"/>
      <c r="V115" s="81"/>
      <c r="W115" s="81"/>
      <c r="X115" s="81"/>
      <c r="Y115" s="81"/>
      <c r="Z115" s="81"/>
      <c r="AH115" s="131"/>
      <c r="AO115" s="138" t="e">
        <f>SUMIFS(tabela_registros[VALOR],tabela_registros[MÊS],$AE$1,tabela_registros[REGISTRO],DADOS!$N$5,tabela_registros[TIPO],DADOS!$AB$3,tabela_registros[CATEGORIA],investirrendafixaconsolidadodez[[#This Row],[ATUAL]],#REF!,DADOS!$J$4)</f>
        <v>#REF!</v>
      </c>
      <c r="AP115" s="138" t="e">
        <f>SUMIFS(tabela_registros[VALOR],tabela_registros[MÊS],$AE$1,tabela_registros[REGISTRO],DADOS!$N$5,tabela_registros[TIPO],DADOS!$AB$3,tabela_registros[CATEGORIA],investirrendafixaconsolidadodez[[#This Row],[ATUAL]],#REF!,DADOS!$J$3)</f>
        <v>#REF!</v>
      </c>
      <c r="AQ115" s="139">
        <f>(investirrendafixaconsolidadoanual[[#This Row],[TOTAL (R$)]]*$AQ$123)/$Q$123</f>
        <v>0</v>
      </c>
    </row>
    <row r="116" spans="1:43" ht="19.5" customHeight="1" thickTop="1" thickBot="1" x14ac:dyDescent="0.3">
      <c r="B116" s="28"/>
      <c r="C116" s="27" t="str">
        <f>DADOS!$AD$6</f>
        <v>📝 DEBÊNTURE</v>
      </c>
      <c r="D116" s="26" t="str">
        <f>IF(investirrendafixaconsolidadoanual[[#This Row],[TOTAL (R$)]]=0,"",IF(OR(investirrendafixaconsolidadoanual[[#This Row],[TOTAL (R$)]]=LARGE($Q$113:$Q$122,1),investirrendafixaconsolidadoanual[[#This Row],[TOTAL (R$)]]=LARGE($Q$113:$Q$122,2)),DADOS!$I$10,""))</f>
        <v/>
      </c>
      <c r="E116" s="96">
        <f>investirrendafixaconsolidado2829[[#This Row],[TOTAL (R$)]]</f>
        <v>0</v>
      </c>
      <c r="F116" s="91">
        <f>investirrendafixaconsolidadofev[[#This Row],[TOTAL (R$)]]</f>
        <v>0</v>
      </c>
      <c r="G116" s="91">
        <f>investirrendafixaconsolidadomar[[#This Row],[TOTAL (R$)]]</f>
        <v>0</v>
      </c>
      <c r="H116" s="91">
        <f>investirrendafixaconsolidadoabr[[#This Row],[TOTAL (R$)]]</f>
        <v>0</v>
      </c>
      <c r="I116" s="91">
        <f>investirrendafixaconsolidadomai[[#This Row],[TOTAL (R$)]]</f>
        <v>0</v>
      </c>
      <c r="J116" s="91">
        <f>investirrendafixaconsolidadojun[[#This Row],[TOTAL (R$)]]</f>
        <v>0</v>
      </c>
      <c r="K116" s="91">
        <f>investirrendafixaconsolidadojul[[#This Row],[TOTAL (R$)]]</f>
        <v>0</v>
      </c>
      <c r="L116" s="91">
        <f>investirrendafixaconsolidadoago[[#This Row],[TOTAL (R$)]]</f>
        <v>0</v>
      </c>
      <c r="M116" s="91">
        <f>investirrendafixaconsolidadoset[[#This Row],[TOTAL (R$)]]</f>
        <v>0</v>
      </c>
      <c r="N116" s="91">
        <f>investirrendafixaconsolidadoout[[#This Row],[TOTAL (R$)]]</f>
        <v>0</v>
      </c>
      <c r="O116" s="91">
        <f>investirrendafixaconsolidadonov[[#This Row],[TOTAL (R$)]]</f>
        <v>0</v>
      </c>
      <c r="P116" s="91">
        <f>investirrendafixaconsolidadodez[[#This Row],[TOTAL (R$)]]</f>
        <v>0</v>
      </c>
      <c r="Q116" s="97">
        <f>SUM(investirrendafixaconsolidadoanual[[#This Row],[1]:[12]])</f>
        <v>0</v>
      </c>
      <c r="R116" s="25"/>
      <c r="S116" s="81"/>
      <c r="T116" s="81"/>
      <c r="U116" s="81"/>
      <c r="V116" s="81"/>
      <c r="W116" s="81"/>
      <c r="X116" s="81"/>
      <c r="Y116" s="81"/>
      <c r="Z116" s="81"/>
      <c r="AH116" s="131"/>
      <c r="AO116" s="138" t="e">
        <f>SUMIFS(tabela_registros[VALOR],tabela_registros[MÊS],$AE$1,tabela_registros[REGISTRO],DADOS!$N$5,tabela_registros[TIPO],DADOS!$AB$3,tabela_registros[CATEGORIA],investirrendafixaconsolidadodez[[#This Row],[ATUAL]],#REF!,DADOS!$J$4)</f>
        <v>#REF!</v>
      </c>
      <c r="AP116" s="138" t="e">
        <f>SUMIFS(tabela_registros[VALOR],tabela_registros[MÊS],$AE$1,tabela_registros[REGISTRO],DADOS!$N$5,tabela_registros[TIPO],DADOS!$AB$3,tabela_registros[CATEGORIA],investirrendafixaconsolidadodez[[#This Row],[ATUAL]],#REF!,DADOS!$J$3)</f>
        <v>#REF!</v>
      </c>
      <c r="AQ116" s="139">
        <f>(investirrendafixaconsolidadoanual[[#This Row],[TOTAL (R$)]]*$AQ$123)/$Q$123</f>
        <v>0</v>
      </c>
    </row>
    <row r="117" spans="1:43" ht="19.5" customHeight="1" thickTop="1" thickBot="1" x14ac:dyDescent="0.3">
      <c r="B117" s="28"/>
      <c r="C117" s="27" t="str">
        <f>DADOS!$AD$7</f>
        <v>📝 EXTERIOR</v>
      </c>
      <c r="D117" s="26" t="str">
        <f>IF(investirrendafixaconsolidadoanual[[#This Row],[TOTAL (R$)]]=0,"",IF(OR(investirrendafixaconsolidadoanual[[#This Row],[TOTAL (R$)]]=LARGE($Q$113:$Q$122,1),investirrendafixaconsolidadoanual[[#This Row],[TOTAL (R$)]]=LARGE($Q$113:$Q$122,2)),DADOS!$I$10,""))</f>
        <v>💎</v>
      </c>
      <c r="E117" s="96">
        <f>investirrendafixaconsolidado2829[[#This Row],[TOTAL (R$)]]</f>
        <v>254</v>
      </c>
      <c r="F117" s="91">
        <f>investirrendafixaconsolidadofev[[#This Row],[TOTAL (R$)]]</f>
        <v>0</v>
      </c>
      <c r="G117" s="91">
        <f>investirrendafixaconsolidadomar[[#This Row],[TOTAL (R$)]]</f>
        <v>0</v>
      </c>
      <c r="H117" s="91">
        <f>investirrendafixaconsolidadoabr[[#This Row],[TOTAL (R$)]]</f>
        <v>0</v>
      </c>
      <c r="I117" s="91">
        <f>investirrendafixaconsolidadomai[[#This Row],[TOTAL (R$)]]</f>
        <v>0</v>
      </c>
      <c r="J117" s="91">
        <f>investirrendafixaconsolidadojun[[#This Row],[TOTAL (R$)]]</f>
        <v>0</v>
      </c>
      <c r="K117" s="91">
        <f>investirrendafixaconsolidadojul[[#This Row],[TOTAL (R$)]]</f>
        <v>0</v>
      </c>
      <c r="L117" s="91">
        <f>investirrendafixaconsolidadoago[[#This Row],[TOTAL (R$)]]</f>
        <v>0</v>
      </c>
      <c r="M117" s="91">
        <f>investirrendafixaconsolidadoset[[#This Row],[TOTAL (R$)]]</f>
        <v>0</v>
      </c>
      <c r="N117" s="91">
        <f>investirrendafixaconsolidadoout[[#This Row],[TOTAL (R$)]]</f>
        <v>0</v>
      </c>
      <c r="O117" s="91">
        <f>investirrendafixaconsolidadonov[[#This Row],[TOTAL (R$)]]</f>
        <v>0</v>
      </c>
      <c r="P117" s="91">
        <f>investirrendafixaconsolidadodez[[#This Row],[TOTAL (R$)]]</f>
        <v>0</v>
      </c>
      <c r="Q117" s="97">
        <f>SUM(investirrendafixaconsolidadoanual[[#This Row],[1]:[12]])</f>
        <v>254</v>
      </c>
      <c r="R117" s="25"/>
      <c r="S117" s="81"/>
      <c r="T117" s="81"/>
      <c r="U117" s="81"/>
      <c r="V117" s="81"/>
      <c r="W117" s="81"/>
      <c r="X117" s="81"/>
      <c r="Y117" s="81"/>
      <c r="Z117" s="81"/>
      <c r="AH117" s="131"/>
      <c r="AO117" s="138" t="e">
        <f>SUMIFS(tabela_registros[VALOR],tabela_registros[MÊS],$AE$1,tabela_registros[REGISTRO],DADOS!$N$5,tabela_registros[TIPO],DADOS!$AB$3,tabela_registros[CATEGORIA],investirrendafixaconsolidadodez[[#This Row],[ATUAL]],#REF!,DADOS!$J$4)</f>
        <v>#REF!</v>
      </c>
      <c r="AP117" s="138" t="e">
        <f>SUMIFS(tabela_registros[VALOR],tabela_registros[MÊS],$AE$1,tabela_registros[REGISTRO],DADOS!$N$5,tabela_registros[TIPO],DADOS!$AB$3,tabela_registros[CATEGORIA],investirrendafixaconsolidadodez[[#This Row],[ATUAL]],#REF!,DADOS!$J$3)</f>
        <v>#REF!</v>
      </c>
      <c r="AQ117" s="139">
        <f>(investirrendafixaconsolidadoanual[[#This Row],[TOTAL (R$)]]*$AQ$123)/$Q$123</f>
        <v>0.3436080780751764</v>
      </c>
    </row>
    <row r="118" spans="1:43" ht="19.5" customHeight="1" thickTop="1" thickBot="1" x14ac:dyDescent="0.3">
      <c r="B118" s="28"/>
      <c r="C118" s="27" t="str">
        <f>DADOS!$AD$8</f>
        <v>📝 LC</v>
      </c>
      <c r="D118" s="26" t="str">
        <f>IF(investirrendafixaconsolidadoanual[[#This Row],[TOTAL (R$)]]=0,"",IF(OR(investirrendafixaconsolidadoanual[[#This Row],[TOTAL (R$)]]=LARGE($Q$113:$Q$122,1),investirrendafixaconsolidadoanual[[#This Row],[TOTAL (R$)]]=LARGE($Q$113:$Q$122,2)),DADOS!$I$10,""))</f>
        <v/>
      </c>
      <c r="E118" s="96">
        <f>investirrendafixaconsolidado2829[[#This Row],[TOTAL (R$)]]</f>
        <v>0</v>
      </c>
      <c r="F118" s="91">
        <f>investirrendafixaconsolidadofev[[#This Row],[TOTAL (R$)]]</f>
        <v>0</v>
      </c>
      <c r="G118" s="91">
        <f>investirrendafixaconsolidadomar[[#This Row],[TOTAL (R$)]]</f>
        <v>0</v>
      </c>
      <c r="H118" s="91">
        <f>investirrendafixaconsolidadoabr[[#This Row],[TOTAL (R$)]]</f>
        <v>0</v>
      </c>
      <c r="I118" s="91">
        <f>investirrendafixaconsolidadomai[[#This Row],[TOTAL (R$)]]</f>
        <v>0</v>
      </c>
      <c r="J118" s="91">
        <f>investirrendafixaconsolidadojun[[#This Row],[TOTAL (R$)]]</f>
        <v>0</v>
      </c>
      <c r="K118" s="91">
        <f>investirrendafixaconsolidadojul[[#This Row],[TOTAL (R$)]]</f>
        <v>0</v>
      </c>
      <c r="L118" s="91">
        <f>investirrendafixaconsolidadoago[[#This Row],[TOTAL (R$)]]</f>
        <v>0</v>
      </c>
      <c r="M118" s="91">
        <f>investirrendafixaconsolidadoset[[#This Row],[TOTAL (R$)]]</f>
        <v>0</v>
      </c>
      <c r="N118" s="91">
        <f>investirrendafixaconsolidadoout[[#This Row],[TOTAL (R$)]]</f>
        <v>0</v>
      </c>
      <c r="O118" s="91">
        <f>investirrendafixaconsolidadonov[[#This Row],[TOTAL (R$)]]</f>
        <v>0</v>
      </c>
      <c r="P118" s="91">
        <f>investirrendafixaconsolidadodez[[#This Row],[TOTAL (R$)]]</f>
        <v>0</v>
      </c>
      <c r="Q118" s="97">
        <f>SUM(investirrendafixaconsolidadoanual[[#This Row],[1]:[12]])</f>
        <v>0</v>
      </c>
      <c r="R118" s="25"/>
      <c r="S118" s="81"/>
      <c r="T118" s="81"/>
      <c r="U118" s="81"/>
      <c r="V118" s="81"/>
      <c r="W118" s="81"/>
      <c r="X118" s="81"/>
      <c r="Y118" s="81"/>
      <c r="Z118" s="81"/>
      <c r="AH118" s="131"/>
      <c r="AO118" s="138" t="e">
        <f>SUMIFS(tabela_registros[VALOR],tabela_registros[MÊS],$AE$1,tabela_registros[REGISTRO],DADOS!$N$5,tabela_registros[TIPO],DADOS!$AB$3,tabela_registros[CATEGORIA],investirrendafixaconsolidadodez[[#This Row],[ATUAL]],#REF!,DADOS!$J$4)</f>
        <v>#REF!</v>
      </c>
      <c r="AP118" s="138" t="e">
        <f>SUMIFS(tabela_registros[VALOR],tabela_registros[MÊS],$AE$1,tabela_registros[REGISTRO],DADOS!$N$5,tabela_registros[TIPO],DADOS!$AB$3,tabela_registros[CATEGORIA],investirrendafixaconsolidadodez[[#This Row],[ATUAL]],#REF!,DADOS!$J$3)</f>
        <v>#REF!</v>
      </c>
      <c r="AQ118" s="139">
        <f>(investirrendafixaconsolidadoanual[[#This Row],[TOTAL (R$)]]*$AQ$123)/$Q$123</f>
        <v>0</v>
      </c>
    </row>
    <row r="119" spans="1:43" ht="19.5" customHeight="1" thickTop="1" thickBot="1" x14ac:dyDescent="0.3">
      <c r="B119" s="28"/>
      <c r="C119" s="27" t="str">
        <f>DADOS!$AD$9</f>
        <v>📝 LCA</v>
      </c>
      <c r="D119" s="26" t="str">
        <f>IF(investirrendafixaconsolidadoanual[[#This Row],[TOTAL (R$)]]=0,"",IF(OR(investirrendafixaconsolidadoanual[[#This Row],[TOTAL (R$)]]=LARGE($Q$113:$Q$122,1),investirrendafixaconsolidadoanual[[#This Row],[TOTAL (R$)]]=LARGE($Q$113:$Q$122,2)),DADOS!$I$10,""))</f>
        <v/>
      </c>
      <c r="E119" s="96">
        <f>investirrendafixaconsolidado2829[[#This Row],[TOTAL (R$)]]</f>
        <v>0</v>
      </c>
      <c r="F119" s="91">
        <f>investirrendafixaconsolidadofev[[#This Row],[TOTAL (R$)]]</f>
        <v>0</v>
      </c>
      <c r="G119" s="91">
        <f>investirrendafixaconsolidadomar[[#This Row],[TOTAL (R$)]]</f>
        <v>0</v>
      </c>
      <c r="H119" s="91">
        <f>investirrendafixaconsolidadoabr[[#This Row],[TOTAL (R$)]]</f>
        <v>0</v>
      </c>
      <c r="I119" s="91">
        <f>investirrendafixaconsolidadomai[[#This Row],[TOTAL (R$)]]</f>
        <v>0</v>
      </c>
      <c r="J119" s="91">
        <f>investirrendafixaconsolidadojun[[#This Row],[TOTAL (R$)]]</f>
        <v>0</v>
      </c>
      <c r="K119" s="91">
        <f>investirrendafixaconsolidadojul[[#This Row],[TOTAL (R$)]]</f>
        <v>0</v>
      </c>
      <c r="L119" s="91">
        <f>investirrendafixaconsolidadoago[[#This Row],[TOTAL (R$)]]</f>
        <v>0</v>
      </c>
      <c r="M119" s="91">
        <f>investirrendafixaconsolidadoset[[#This Row],[TOTAL (R$)]]</f>
        <v>0</v>
      </c>
      <c r="N119" s="91">
        <f>investirrendafixaconsolidadoout[[#This Row],[TOTAL (R$)]]</f>
        <v>0</v>
      </c>
      <c r="O119" s="91">
        <f>investirrendafixaconsolidadonov[[#This Row],[TOTAL (R$)]]</f>
        <v>0</v>
      </c>
      <c r="P119" s="91">
        <f>investirrendafixaconsolidadodez[[#This Row],[TOTAL (R$)]]</f>
        <v>0</v>
      </c>
      <c r="Q119" s="97">
        <f>SUM(investirrendafixaconsolidadoanual[[#This Row],[1]:[12]])</f>
        <v>0</v>
      </c>
      <c r="R119" s="25"/>
      <c r="S119" s="81"/>
      <c r="T119" s="81"/>
      <c r="U119" s="81"/>
      <c r="V119" s="81"/>
      <c r="W119" s="81"/>
      <c r="X119" s="81"/>
      <c r="Y119" s="81"/>
      <c r="Z119" s="81"/>
      <c r="AH119" s="131"/>
      <c r="AO119" s="138" t="e">
        <f>SUMIFS(tabela_registros[VALOR],tabela_registros[MÊS],$AE$1,tabela_registros[REGISTRO],DADOS!$N$5,tabela_registros[TIPO],DADOS!$AB$3,tabela_registros[CATEGORIA],investirrendafixaconsolidadodez[[#This Row],[ATUAL]],#REF!,DADOS!$J$4)</f>
        <v>#REF!</v>
      </c>
      <c r="AP119" s="138" t="e">
        <f>SUMIFS(tabela_registros[VALOR],tabela_registros[MÊS],$AE$1,tabela_registros[REGISTRO],DADOS!$N$5,tabela_registros[TIPO],DADOS!$AB$3,tabela_registros[CATEGORIA],investirrendafixaconsolidadodez[[#This Row],[ATUAL]],#REF!,DADOS!$J$3)</f>
        <v>#REF!</v>
      </c>
      <c r="AQ119" s="139">
        <f>(investirrendafixaconsolidadoanual[[#This Row],[TOTAL (R$)]]*$AQ$123)/$Q$123</f>
        <v>0</v>
      </c>
    </row>
    <row r="120" spans="1:43" ht="19.5" customHeight="1" thickTop="1" thickBot="1" x14ac:dyDescent="0.3">
      <c r="B120" s="28"/>
      <c r="C120" s="27" t="str">
        <f>DADOS!$AD$10</f>
        <v>📝 LCI</v>
      </c>
      <c r="D120" s="26" t="str">
        <f>IF(investirrendafixaconsolidadoanual[[#This Row],[TOTAL (R$)]]=0,"",IF(OR(investirrendafixaconsolidadoanual[[#This Row],[TOTAL (R$)]]=LARGE($Q$113:$Q$122,1),investirrendafixaconsolidadoanual[[#This Row],[TOTAL (R$)]]=LARGE($Q$113:$Q$122,2)),DADOS!$I$10,""))</f>
        <v/>
      </c>
      <c r="E120" s="96">
        <f>investirrendafixaconsolidado2829[[#This Row],[TOTAL (R$)]]</f>
        <v>0</v>
      </c>
      <c r="F120" s="91">
        <f>investirrendafixaconsolidadofev[[#This Row],[TOTAL (R$)]]</f>
        <v>0</v>
      </c>
      <c r="G120" s="91">
        <f>investirrendafixaconsolidadomar[[#This Row],[TOTAL (R$)]]</f>
        <v>0</v>
      </c>
      <c r="H120" s="91">
        <f>investirrendafixaconsolidadoabr[[#This Row],[TOTAL (R$)]]</f>
        <v>0</v>
      </c>
      <c r="I120" s="91">
        <f>investirrendafixaconsolidadomai[[#This Row],[TOTAL (R$)]]</f>
        <v>0</v>
      </c>
      <c r="J120" s="91">
        <f>investirrendafixaconsolidadojun[[#This Row],[TOTAL (R$)]]</f>
        <v>0</v>
      </c>
      <c r="K120" s="91">
        <f>investirrendafixaconsolidadojul[[#This Row],[TOTAL (R$)]]</f>
        <v>0</v>
      </c>
      <c r="L120" s="91">
        <f>investirrendafixaconsolidadoago[[#This Row],[TOTAL (R$)]]</f>
        <v>0</v>
      </c>
      <c r="M120" s="91">
        <f>investirrendafixaconsolidadoset[[#This Row],[TOTAL (R$)]]</f>
        <v>0</v>
      </c>
      <c r="N120" s="91">
        <f>investirrendafixaconsolidadoout[[#This Row],[TOTAL (R$)]]</f>
        <v>0</v>
      </c>
      <c r="O120" s="91">
        <f>investirrendafixaconsolidadonov[[#This Row],[TOTAL (R$)]]</f>
        <v>0</v>
      </c>
      <c r="P120" s="91">
        <f>investirrendafixaconsolidadodez[[#This Row],[TOTAL (R$)]]</f>
        <v>0</v>
      </c>
      <c r="Q120" s="97">
        <f>SUM(investirrendafixaconsolidadoanual[[#This Row],[1]:[12]])</f>
        <v>0</v>
      </c>
      <c r="R120" s="25"/>
      <c r="S120" s="81"/>
      <c r="T120" s="81"/>
      <c r="U120" s="81"/>
      <c r="V120" s="81"/>
      <c r="W120" s="81"/>
      <c r="X120" s="81"/>
      <c r="Y120" s="81"/>
      <c r="Z120" s="81"/>
      <c r="AH120" s="131"/>
      <c r="AO120" s="138" t="e">
        <f>SUMIFS(tabela_registros[VALOR],tabela_registros[MÊS],$AE$1,tabela_registros[REGISTRO],DADOS!$N$5,tabela_registros[TIPO],DADOS!$AB$3,tabela_registros[CATEGORIA],investirrendafixaconsolidadodez[[#This Row],[ATUAL]],#REF!,DADOS!$J$4)</f>
        <v>#REF!</v>
      </c>
      <c r="AP120" s="138" t="e">
        <f>SUMIFS(tabela_registros[VALOR],tabela_registros[MÊS],$AE$1,tabela_registros[REGISTRO],DADOS!$N$5,tabela_registros[TIPO],DADOS!$AB$3,tabela_registros[CATEGORIA],investirrendafixaconsolidadodez[[#This Row],[ATUAL]],#REF!,DADOS!$J$3)</f>
        <v>#REF!</v>
      </c>
      <c r="AQ120" s="139">
        <f>(investirrendafixaconsolidadoanual[[#This Row],[TOTAL (R$)]]*$AQ$123)/$Q$123</f>
        <v>0</v>
      </c>
    </row>
    <row r="121" spans="1:43" ht="19.5" customHeight="1" thickTop="1" thickBot="1" x14ac:dyDescent="0.3">
      <c r="B121" s="28"/>
      <c r="C121" s="27" t="str">
        <f>DADOS!$AD$11</f>
        <v>📝 TESOURO DIRETO</v>
      </c>
      <c r="D121" s="26" t="str">
        <f>IF(investirrendafixaconsolidadoanual[[#This Row],[TOTAL (R$)]]=0,"",IF(OR(investirrendafixaconsolidadoanual[[#This Row],[TOTAL (R$)]]=LARGE($Q$113:$Q$122,1),investirrendafixaconsolidadoanual[[#This Row],[TOTAL (R$)]]=LARGE($Q$113:$Q$122,2)),DADOS!$I$10,""))</f>
        <v/>
      </c>
      <c r="E121" s="96">
        <f>investirrendafixaconsolidado2829[[#This Row],[TOTAL (R$)]]</f>
        <v>0</v>
      </c>
      <c r="F121" s="91">
        <f>investirrendafixaconsolidadofev[[#This Row],[TOTAL (R$)]]</f>
        <v>0</v>
      </c>
      <c r="G121" s="91">
        <f>investirrendafixaconsolidadomar[[#This Row],[TOTAL (R$)]]</f>
        <v>0</v>
      </c>
      <c r="H121" s="91">
        <f>investirrendafixaconsolidadoabr[[#This Row],[TOTAL (R$)]]</f>
        <v>0</v>
      </c>
      <c r="I121" s="91">
        <f>investirrendafixaconsolidadomai[[#This Row],[TOTAL (R$)]]</f>
        <v>0</v>
      </c>
      <c r="J121" s="91">
        <f>investirrendafixaconsolidadojun[[#This Row],[TOTAL (R$)]]</f>
        <v>0</v>
      </c>
      <c r="K121" s="91">
        <f>investirrendafixaconsolidadojul[[#This Row],[TOTAL (R$)]]</f>
        <v>0</v>
      </c>
      <c r="L121" s="91">
        <f>investirrendafixaconsolidadoago[[#This Row],[TOTAL (R$)]]</f>
        <v>0</v>
      </c>
      <c r="M121" s="91">
        <f>investirrendafixaconsolidadoset[[#This Row],[TOTAL (R$)]]</f>
        <v>0</v>
      </c>
      <c r="N121" s="91">
        <f>investirrendafixaconsolidadoout[[#This Row],[TOTAL (R$)]]</f>
        <v>0</v>
      </c>
      <c r="O121" s="91">
        <f>investirrendafixaconsolidadonov[[#This Row],[TOTAL (R$)]]</f>
        <v>0</v>
      </c>
      <c r="P121" s="91">
        <f>investirrendafixaconsolidadodez[[#This Row],[TOTAL (R$)]]</f>
        <v>0</v>
      </c>
      <c r="Q121" s="97">
        <f>SUM(investirrendafixaconsolidadoanual[[#This Row],[1]:[12]])</f>
        <v>0</v>
      </c>
      <c r="R121" s="25"/>
      <c r="S121" s="81"/>
      <c r="T121" s="81"/>
      <c r="U121" s="81"/>
      <c r="V121" s="81"/>
      <c r="W121" s="81"/>
      <c r="X121" s="81"/>
      <c r="Y121" s="81"/>
      <c r="Z121" s="81"/>
      <c r="AH121" s="131"/>
      <c r="AO121" s="138" t="e">
        <f>SUMIFS(tabela_registros[VALOR],tabela_registros[MÊS],$AE$1,tabela_registros[REGISTRO],DADOS!$N$5,tabela_registros[TIPO],DADOS!$AB$3,tabela_registros[CATEGORIA],investirrendafixaconsolidadodez[[#This Row],[ATUAL]],#REF!,DADOS!$J$4)</f>
        <v>#REF!</v>
      </c>
      <c r="AP121" s="138" t="e">
        <f>SUMIFS(tabela_registros[VALOR],tabela_registros[MÊS],$AE$1,tabela_registros[REGISTRO],DADOS!$N$5,tabela_registros[TIPO],DADOS!$AB$3,tabela_registros[CATEGORIA],investirrendafixaconsolidadodez[[#This Row],[ATUAL]],#REF!,DADOS!$J$3)</f>
        <v>#REF!</v>
      </c>
      <c r="AQ121" s="139">
        <f>(investirrendafixaconsolidadoanual[[#This Row],[TOTAL (R$)]]*$AQ$123)/$Q$123</f>
        <v>0</v>
      </c>
    </row>
    <row r="122" spans="1:43" ht="19.5" customHeight="1" thickTop="1" thickBot="1" x14ac:dyDescent="0.3">
      <c r="B122" s="28"/>
      <c r="C122" s="27" t="str">
        <f>DADOS!$AD$12</f>
        <v>📎 OUTROS</v>
      </c>
      <c r="D122" s="26" t="str">
        <f>IF(investirrendafixaconsolidadoanual[[#This Row],[TOTAL (R$)]]=0,"",IF(OR(investirrendafixaconsolidadoanual[[#This Row],[TOTAL (R$)]]=LARGE($Q$113:$Q$122,1),investirrendafixaconsolidadoanual[[#This Row],[TOTAL (R$)]]=LARGE($Q$113:$Q$122,2)),DADOS!$I$10,""))</f>
        <v/>
      </c>
      <c r="E122" s="96">
        <f>investirrendafixaconsolidado2829[[#This Row],[TOTAL (R$)]]</f>
        <v>0</v>
      </c>
      <c r="F122" s="91">
        <f>investirrendafixaconsolidadofev[[#This Row],[TOTAL (R$)]]</f>
        <v>0</v>
      </c>
      <c r="G122" s="91">
        <f>investirrendafixaconsolidadomar[[#This Row],[TOTAL (R$)]]</f>
        <v>0</v>
      </c>
      <c r="H122" s="91">
        <f>investirrendafixaconsolidadoabr[[#This Row],[TOTAL (R$)]]</f>
        <v>0</v>
      </c>
      <c r="I122" s="91">
        <f>investirrendafixaconsolidadomai[[#This Row],[TOTAL (R$)]]</f>
        <v>0</v>
      </c>
      <c r="J122" s="91">
        <f>investirrendafixaconsolidadojun[[#This Row],[TOTAL (R$)]]</f>
        <v>0</v>
      </c>
      <c r="K122" s="91">
        <f>investirrendafixaconsolidadojul[[#This Row],[TOTAL (R$)]]</f>
        <v>0</v>
      </c>
      <c r="L122" s="91">
        <f>investirrendafixaconsolidadoago[[#This Row],[TOTAL (R$)]]</f>
        <v>0</v>
      </c>
      <c r="M122" s="91">
        <f>investirrendafixaconsolidadoset[[#This Row],[TOTAL (R$)]]</f>
        <v>0</v>
      </c>
      <c r="N122" s="91">
        <f>investirrendafixaconsolidadoout[[#This Row],[TOTAL (R$)]]</f>
        <v>0</v>
      </c>
      <c r="O122" s="91">
        <f>investirrendafixaconsolidadonov[[#This Row],[TOTAL (R$)]]</f>
        <v>0</v>
      </c>
      <c r="P122" s="91">
        <f>investirrendafixaconsolidadodez[[#This Row],[TOTAL (R$)]]</f>
        <v>0</v>
      </c>
      <c r="Q122" s="97">
        <f>SUM(investirrendafixaconsolidadoanual[[#This Row],[1]:[12]])</f>
        <v>0</v>
      </c>
      <c r="R122" s="25"/>
      <c r="S122" s="81"/>
      <c r="T122" s="81"/>
      <c r="U122" s="81"/>
      <c r="V122" s="81"/>
      <c r="W122" s="81"/>
      <c r="X122" s="81"/>
      <c r="Y122" s="81"/>
      <c r="Z122" s="81"/>
      <c r="AH122" s="131"/>
      <c r="AN122" s="131" t="s">
        <v>165</v>
      </c>
      <c r="AO122" s="138" t="e">
        <f>SUMIFS(tabela_registros[VALOR],tabela_registros[MÊS],$AE$1,tabela_registros[REGISTRO],DADOS!$N$5,tabela_registros[TIPO],DADOS!$AB$3,tabela_registros[CATEGORIA],investirrendafixaconsolidadodez[[#This Row],[ATUAL]],#REF!,DADOS!$J$4)</f>
        <v>#REF!</v>
      </c>
      <c r="AP122" s="138" t="e">
        <f>SUMIFS(tabela_registros[VALOR],tabela_registros[MÊS],$AE$1,tabela_registros[REGISTRO],DADOS!$N$5,tabela_registros[TIPO],DADOS!$AB$3,tabela_registros[CATEGORIA],investirrendafixaconsolidadodez[[#This Row],[ATUAL]],#REF!,DADOS!$J$3)</f>
        <v>#REF!</v>
      </c>
      <c r="AQ122" s="139">
        <f>(investirrendafixaconsolidadoanual[[#This Row],[TOTAL (R$)]]*$AQ$123)/$Q$123</f>
        <v>0</v>
      </c>
    </row>
    <row r="123" spans="1:43" s="140" customFormat="1" ht="21" customHeight="1" thickTop="1" thickBot="1" x14ac:dyDescent="0.3">
      <c r="A123" s="16"/>
      <c r="B123" s="24"/>
      <c r="C123" s="23" t="s">
        <v>19</v>
      </c>
      <c r="D123" s="22"/>
      <c r="E123" s="21">
        <f>investirrendafixaconsolidado2829[[#This Row],[TOTAL (R$)]]</f>
        <v>288.21428571428561</v>
      </c>
      <c r="F123" s="20">
        <f>investirrendafixaconsolidadofev[[#This Row],[TOTAL (R$)]]+investirrendafixaconsolidadoanual[[#This Row],[1]]</f>
        <v>288.21428571428561</v>
      </c>
      <c r="G123" s="20">
        <f>investirrendafixaconsolidadomar[[#This Row],[TOTAL (R$)]]+investirrendafixaconsolidadoanual[[#This Row],[2]]</f>
        <v>288.21428571428561</v>
      </c>
      <c r="H123" s="20">
        <f>investirrendafixaconsolidadoabr[[#This Row],[TOTAL (R$)]]+investirrendafixaconsolidadoanual[[#This Row],[3]]</f>
        <v>288.21428571428561</v>
      </c>
      <c r="I123" s="20">
        <f>investirrendafixaconsolidadomai[[#This Row],[TOTAL (R$)]]+investirrendafixaconsolidadoanual[[#This Row],[4]]</f>
        <v>288.21428571428561</v>
      </c>
      <c r="J123" s="20">
        <f>investirrendafixaconsolidadojun[[#This Row],[TOTAL (R$)]]+investirrendafixaconsolidadoanual[[#This Row],[5]]</f>
        <v>288.21428571428561</v>
      </c>
      <c r="K123" s="20">
        <f>investirrendafixaconsolidadojul[[#This Row],[TOTAL (R$)]]+investirrendafixaconsolidadoanual[[#This Row],[6]]</f>
        <v>288.21428571428561</v>
      </c>
      <c r="L123" s="20">
        <f>investirrendafixaconsolidadoago[[#This Row],[TOTAL (R$)]]+investirrendafixaconsolidadoanual[[#This Row],[7]]</f>
        <v>288.21428571428561</v>
      </c>
      <c r="M123" s="20">
        <f>investirrendafixaconsolidadoset[[#This Row],[TOTAL (R$)]]+investirrendafixaconsolidadoanual[[#This Row],[8]]</f>
        <v>288.21428571428561</v>
      </c>
      <c r="N123" s="20">
        <f>investirrendafixaconsolidadoout[[#This Row],[TOTAL (R$)]]+investirrendafixaconsolidadoanual[[#This Row],[9]]</f>
        <v>739.21428571428555</v>
      </c>
      <c r="O123" s="20">
        <f>investirrendafixaconsolidadonov[[#This Row],[TOTAL (R$)]]+investirrendafixaconsolidadoanual[[#This Row],[10]]</f>
        <v>739.21428571428555</v>
      </c>
      <c r="P123" s="20">
        <f>investirrendafixaconsolidadodez[[#This Row],[TOTAL (R$)]]+investirrendafixaconsolidadoanual[[#This Row],[11]]</f>
        <v>739.21428571428555</v>
      </c>
      <c r="Q123" s="18">
        <f>investirrendafixaconsolidadoanual[[#This Row],[12]]</f>
        <v>739.21428571428555</v>
      </c>
      <c r="R123" s="17"/>
      <c r="S123" s="81"/>
      <c r="T123" s="81"/>
      <c r="U123" s="81"/>
      <c r="V123" s="81"/>
      <c r="W123" s="81"/>
      <c r="X123" s="81"/>
      <c r="Y123" s="81"/>
      <c r="Z123" s="81"/>
      <c r="AA123" s="131"/>
      <c r="AB123" s="131"/>
      <c r="AC123" s="131"/>
      <c r="AD123" s="131"/>
      <c r="AE123" s="131"/>
      <c r="AF123" s="131"/>
      <c r="AG123" s="131"/>
      <c r="AH123" s="131"/>
      <c r="AI123" s="131"/>
      <c r="AJ123" s="131"/>
      <c r="AK123" s="131"/>
      <c r="AN123" s="142">
        <f>investirrendafixaconsolidadoanual[[#This Row],[TOTAL (R$)]]/$Q$25</f>
        <v>0.26689877498388137</v>
      </c>
      <c r="AO123" s="141" t="e">
        <f>SUM(AO113:AO122)</f>
        <v>#REF!</v>
      </c>
      <c r="AP123" s="141" t="e">
        <f>SUM(AP113:AP122)</f>
        <v>#REF!</v>
      </c>
      <c r="AQ123" s="139">
        <f>1</f>
        <v>1</v>
      </c>
    </row>
    <row r="124" spans="1:43" ht="6.75" customHeight="1" thickTop="1" thickBot="1" x14ac:dyDescent="0.3">
      <c r="B124" s="15"/>
      <c r="C124" s="14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1"/>
      <c r="S124" s="81"/>
      <c r="T124" s="81"/>
      <c r="U124" s="81"/>
      <c r="V124" s="81"/>
      <c r="W124" s="81"/>
      <c r="X124" s="81"/>
      <c r="Y124" s="81"/>
      <c r="Z124" s="81"/>
      <c r="AH124" s="131"/>
    </row>
    <row r="125" spans="1:43" ht="12.6" thickTop="1" x14ac:dyDescent="0.25">
      <c r="E125" s="37"/>
      <c r="S125" s="81"/>
      <c r="T125" s="81"/>
      <c r="U125" s="81"/>
      <c r="V125" s="81"/>
      <c r="W125" s="81"/>
      <c r="X125" s="81"/>
      <c r="Y125" s="81"/>
      <c r="Z125" s="81"/>
      <c r="AH125" s="131"/>
    </row>
    <row r="126" spans="1:43" x14ac:dyDescent="0.25">
      <c r="S126" s="81"/>
      <c r="T126" s="81"/>
      <c r="U126" s="81"/>
      <c r="V126" s="81"/>
      <c r="W126" s="81"/>
      <c r="X126" s="81"/>
      <c r="Y126" s="81"/>
      <c r="Z126" s="81"/>
      <c r="AH126" s="131"/>
    </row>
    <row r="127" spans="1:43" x14ac:dyDescent="0.25">
      <c r="S127" s="81"/>
      <c r="T127" s="81"/>
      <c r="U127" s="81"/>
      <c r="V127" s="81"/>
      <c r="W127" s="81"/>
      <c r="X127" s="81"/>
      <c r="Y127" s="81"/>
      <c r="Z127" s="81"/>
      <c r="AH127" s="131"/>
    </row>
    <row r="128" spans="1:43" ht="39.75" customHeight="1" x14ac:dyDescent="0.7">
      <c r="C128" s="36"/>
      <c r="E128" s="240"/>
      <c r="F128" s="240"/>
      <c r="G128" s="240"/>
      <c r="H128" s="240"/>
      <c r="I128" s="240"/>
      <c r="J128" s="240"/>
      <c r="K128" s="240"/>
      <c r="L128" s="240"/>
      <c r="M128" s="240"/>
      <c r="N128" s="240"/>
      <c r="O128" s="240"/>
      <c r="P128" s="240"/>
      <c r="Q128" s="32" t="s">
        <v>19</v>
      </c>
      <c r="R128" s="82"/>
      <c r="S128" s="81"/>
      <c r="T128" s="81"/>
      <c r="U128" s="81"/>
      <c r="V128" s="81"/>
      <c r="W128" s="81"/>
      <c r="X128" s="81"/>
      <c r="Y128" s="81"/>
      <c r="Z128" s="81"/>
      <c r="AH128" s="131"/>
    </row>
    <row r="129" spans="1:43" ht="12.6" thickBot="1" x14ac:dyDescent="0.3">
      <c r="B129" s="35"/>
      <c r="Q129" s="34" t="s">
        <v>202</v>
      </c>
      <c r="S129" s="81"/>
      <c r="T129" s="81"/>
      <c r="U129" s="81"/>
      <c r="V129" s="81"/>
      <c r="W129" s="81"/>
      <c r="X129" s="81"/>
      <c r="Y129" s="81"/>
      <c r="Z129" s="81"/>
      <c r="AH129" s="131"/>
    </row>
    <row r="130" spans="1:43" ht="6.75" customHeight="1" thickTop="1" thickBot="1" x14ac:dyDescent="0.3">
      <c r="B130" s="2"/>
      <c r="C130" s="14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1"/>
      <c r="S130" s="81"/>
      <c r="T130" s="81"/>
      <c r="U130" s="81"/>
      <c r="V130" s="81"/>
      <c r="W130" s="81"/>
      <c r="X130" s="81"/>
      <c r="Y130" s="81"/>
      <c r="Z130" s="81"/>
      <c r="AH130" s="131"/>
      <c r="AO130" s="137" t="s">
        <v>118</v>
      </c>
      <c r="AP130" s="137" t="s">
        <v>201</v>
      </c>
      <c r="AQ130" s="137" t="s">
        <v>200</v>
      </c>
    </row>
    <row r="131" spans="1:43" ht="13.2" hidden="1" thickTop="1" thickBot="1" x14ac:dyDescent="0.3">
      <c r="B131" s="2"/>
      <c r="C131" s="31" t="s">
        <v>199</v>
      </c>
      <c r="D131" s="30" t="s">
        <v>198</v>
      </c>
      <c r="E131" s="30" t="s">
        <v>197</v>
      </c>
      <c r="F131" s="30" t="s">
        <v>196</v>
      </c>
      <c r="G131" s="30" t="s">
        <v>195</v>
      </c>
      <c r="H131" s="30" t="s">
        <v>194</v>
      </c>
      <c r="I131" s="30" t="s">
        <v>193</v>
      </c>
      <c r="J131" s="30" t="s">
        <v>192</v>
      </c>
      <c r="K131" s="30" t="s">
        <v>191</v>
      </c>
      <c r="L131" s="30" t="s">
        <v>190</v>
      </c>
      <c r="M131" s="30" t="s">
        <v>189</v>
      </c>
      <c r="N131" s="30" t="s">
        <v>188</v>
      </c>
      <c r="O131" s="30" t="s">
        <v>187</v>
      </c>
      <c r="P131" s="30" t="s">
        <v>186</v>
      </c>
      <c r="Q131" s="29" t="s">
        <v>166</v>
      </c>
      <c r="R131" s="28"/>
      <c r="S131" s="81"/>
      <c r="T131" s="81"/>
      <c r="U131" s="81"/>
      <c r="V131" s="81">
        <v>5555</v>
      </c>
      <c r="W131" s="81"/>
      <c r="X131" s="81"/>
      <c r="Y131" s="81"/>
      <c r="Z131" s="81"/>
      <c r="AH131" s="131"/>
    </row>
    <row r="132" spans="1:43" ht="19.5" customHeight="1" thickTop="1" thickBot="1" x14ac:dyDescent="0.3">
      <c r="B132" s="28"/>
      <c r="C132" s="27" t="str">
        <f>DADOS!$AF$3</f>
        <v>📝 AÇÃO</v>
      </c>
      <c r="D132" s="26" t="str">
        <f>IF(investirrendavariávelconsolidadoanual[[#This Row],[TOTAL (R$)]]=0,"",IF(OR(investirrendavariávelconsolidadoanual[[#This Row],[TOTAL (R$)]]=LARGE($Q$132:$Q$141,1),investirrendavariávelconsolidadoanual[[#This Row],[TOTAL (R$)]]=LARGE($Q$132:$Q$141,2)),DADOS!$I$10,""))</f>
        <v/>
      </c>
      <c r="E132" s="96">
        <f>investirrendavariávelconsolidado282931[[#This Row],[TOTAL (R$)]]</f>
        <v>12.142857142856601</v>
      </c>
      <c r="F132" s="91">
        <f>investirrendavariávelconsolidadofev[[#This Row],[TOTAL (R$)]]</f>
        <v>0</v>
      </c>
      <c r="G132" s="91">
        <f>investirrendavariávelconsolidadomar[[#This Row],[TOTAL (R$)]]</f>
        <v>0</v>
      </c>
      <c r="H132" s="91">
        <f>investirrendavariávelconsolidadoabr[[#This Row],[TOTAL (R$)]]</f>
        <v>0</v>
      </c>
      <c r="I132" s="91">
        <f>investirrendavariávelconsolidadomai[[#This Row],[TOTAL (R$)]]</f>
        <v>0</v>
      </c>
      <c r="J132" s="91">
        <f>investirrendavariávelconsolidadojun[[#This Row],[TOTAL (R$)]]</f>
        <v>0</v>
      </c>
      <c r="K132" s="91">
        <f>investirrendavariávelconsolidadojul[[#This Row],[TOTAL (R$)]]</f>
        <v>0</v>
      </c>
      <c r="L132" s="91">
        <f>investirrendavariávelconsolidadoago[[#This Row],[TOTAL (R$)]]</f>
        <v>0</v>
      </c>
      <c r="M132" s="91">
        <f>investirrendavariávelconsolidadoset[[#This Row],[TOTAL (R$)]]</f>
        <v>0</v>
      </c>
      <c r="N132" s="91">
        <f>investirrendavariávelconsolidadoout[[#This Row],[TOTAL (R$)]]</f>
        <v>0</v>
      </c>
      <c r="O132" s="91">
        <f>investirrendavariávelconsolidadonov[[#This Row],[TOTAL (R$)]]</f>
        <v>0</v>
      </c>
      <c r="P132" s="91">
        <f>investirrendavariávelconsolidadodez[[#This Row],[TOTAL (R$)]]</f>
        <v>0</v>
      </c>
      <c r="Q132" s="97">
        <f>SUM(investirrendavariávelconsolidadoanual[[#This Row],[1]:[12]])</f>
        <v>12.142857142856601</v>
      </c>
      <c r="R132" s="25"/>
      <c r="S132" s="81"/>
      <c r="T132" s="81"/>
      <c r="U132" s="81"/>
      <c r="V132" s="81"/>
      <c r="W132" s="81"/>
      <c r="X132" s="81"/>
      <c r="Y132" s="81"/>
      <c r="Z132" s="81"/>
      <c r="AH132" s="131"/>
      <c r="AO132" s="138" t="e">
        <f>SUMIFS(tabela_registros[VALOR],tabela_registros[MÊS],$AE$1,tabela_registros[REGISTRO],DADOS!$N$5,tabela_registros[TIPO],DADOS!$AB$4,tabela_registros[CATEGORIA],investirrendavariávelconsolidadodez[[#This Row],[ATUAL]],#REF!,DADOS!$J$4)</f>
        <v>#REF!</v>
      </c>
      <c r="AP132" s="138" t="e">
        <f>SUMIFS(tabela_registros[VALOR],tabela_registros[MÊS],$AE$1,tabela_registros[REGISTRO],DADOS!$N$5,tabela_registros[TIPO],DADOS!$AB$4,tabela_registros[CATEGORIA],investirrendavariávelconsolidadodez[[#This Row],[ATUAL]],#REF!,DADOS!$J$3)</f>
        <v>#REF!</v>
      </c>
      <c r="AQ132" s="139">
        <f>(investirrendavariávelconsolidadoanual[[#This Row],[TOTAL (R$)]]*$AQ$142)/$Q$142</f>
        <v>7.2606133082767782E-3</v>
      </c>
    </row>
    <row r="133" spans="1:43" ht="19.5" customHeight="1" thickTop="1" thickBot="1" x14ac:dyDescent="0.3">
      <c r="B133" s="28"/>
      <c r="C133" s="27" t="str">
        <f>DADOS!$AF$4</f>
        <v>📝 COMÓDITE</v>
      </c>
      <c r="D133" s="26" t="str">
        <f>IF(investirrendavariávelconsolidadoanual[[#This Row],[TOTAL (R$)]]=0,"",IF(OR(investirrendavariávelconsolidadoanual[[#This Row],[TOTAL (R$)]]=LARGE($Q$132:$Q$141,1),investirrendavariávelconsolidadoanual[[#This Row],[TOTAL (R$)]]=LARGE($Q$132:$Q$141,2)),DADOS!$I$10,""))</f>
        <v/>
      </c>
      <c r="E133" s="96">
        <f>investirrendavariávelconsolidado282931[[#This Row],[TOTAL (R$)]]</f>
        <v>0</v>
      </c>
      <c r="F133" s="91">
        <f>investirrendavariávelconsolidadofev[[#This Row],[TOTAL (R$)]]</f>
        <v>244</v>
      </c>
      <c r="G133" s="91">
        <f>investirrendavariávelconsolidadomar[[#This Row],[TOTAL (R$)]]</f>
        <v>0</v>
      </c>
      <c r="H133" s="91">
        <f>investirrendavariávelconsolidadoabr[[#This Row],[TOTAL (R$)]]</f>
        <v>0</v>
      </c>
      <c r="I133" s="91">
        <f>investirrendavariávelconsolidadomai[[#This Row],[TOTAL (R$)]]</f>
        <v>0</v>
      </c>
      <c r="J133" s="91">
        <f>investirrendavariávelconsolidadojun[[#This Row],[TOTAL (R$)]]</f>
        <v>0</v>
      </c>
      <c r="K133" s="91">
        <f>investirrendavariávelconsolidadojul[[#This Row],[TOTAL (R$)]]</f>
        <v>0</v>
      </c>
      <c r="L133" s="91">
        <f>investirrendavariávelconsolidadoago[[#This Row],[TOTAL (R$)]]</f>
        <v>0</v>
      </c>
      <c r="M133" s="91">
        <f>investirrendavariávelconsolidadoset[[#This Row],[TOTAL (R$)]]</f>
        <v>0</v>
      </c>
      <c r="N133" s="91">
        <f>investirrendavariávelconsolidadoout[[#This Row],[TOTAL (R$)]]</f>
        <v>0</v>
      </c>
      <c r="O133" s="91">
        <f>investirrendavariávelconsolidadonov[[#This Row],[TOTAL (R$)]]</f>
        <v>0</v>
      </c>
      <c r="P133" s="91">
        <f>investirrendavariávelconsolidadodez[[#This Row],[TOTAL (R$)]]</f>
        <v>0</v>
      </c>
      <c r="Q133" s="97">
        <f>SUM(investirrendavariávelconsolidadoanual[[#This Row],[1]:[12]])</f>
        <v>244</v>
      </c>
      <c r="R133" s="25"/>
      <c r="S133" s="81"/>
      <c r="T133" s="81"/>
      <c r="U133" s="81"/>
      <c r="V133" s="81"/>
      <c r="W133" s="81"/>
      <c r="X133" s="81"/>
      <c r="Y133" s="81"/>
      <c r="Z133" s="81"/>
      <c r="AH133" s="131"/>
      <c r="AO133" s="138" t="e">
        <f>SUMIFS(tabela_registros[VALOR],tabela_registros[MÊS],$AE$1,tabela_registros[REGISTRO],DADOS!$N$5,tabela_registros[TIPO],DADOS!$AB$4,tabela_registros[CATEGORIA],investirrendavariávelconsolidadodez[[#This Row],[ATUAL]],#REF!,DADOS!$J$4)</f>
        <v>#REF!</v>
      </c>
      <c r="AP133" s="138" t="e">
        <f>SUMIFS(tabela_registros[VALOR],tabela_registros[MÊS],$AE$1,tabela_registros[REGISTRO],DADOS!$N$5,tabela_registros[TIPO],DADOS!$AB$4,tabela_registros[CATEGORIA],investirrendavariávelconsolidadodez[[#This Row],[ATUAL]],#REF!,DADOS!$J$3)</f>
        <v>#REF!</v>
      </c>
      <c r="AQ133" s="139">
        <f>(investirrendavariávelconsolidadoanual[[#This Row],[TOTAL (R$)]]*$AQ$142)/$Q$142</f>
        <v>0.14589561800632106</v>
      </c>
    </row>
    <row r="134" spans="1:43" ht="19.5" customHeight="1" thickTop="1" thickBot="1" x14ac:dyDescent="0.3">
      <c r="B134" s="28"/>
      <c r="C134" s="27" t="str">
        <f>DADOS!$AF$5</f>
        <v>📝 CONTRATO DE FUTUROS</v>
      </c>
      <c r="D134" s="26" t="str">
        <f>IF(investirrendavariávelconsolidadoanual[[#This Row],[TOTAL (R$)]]=0,"",IF(OR(investirrendavariávelconsolidadoanual[[#This Row],[TOTAL (R$)]]=LARGE($Q$132:$Q$141,1),investirrendavariávelconsolidadoanual[[#This Row],[TOTAL (R$)]]=LARGE($Q$132:$Q$141,2)),DADOS!$I$10,""))</f>
        <v/>
      </c>
      <c r="E134" s="96">
        <f>investirrendavariávelconsolidado282931[[#This Row],[TOTAL (R$)]]</f>
        <v>0</v>
      </c>
      <c r="F134" s="91">
        <f>investirrendavariávelconsolidadofev[[#This Row],[TOTAL (R$)]]</f>
        <v>128</v>
      </c>
      <c r="G134" s="91">
        <f>investirrendavariávelconsolidadomar[[#This Row],[TOTAL (R$)]]</f>
        <v>0</v>
      </c>
      <c r="H134" s="91">
        <f>investirrendavariávelconsolidadoabr[[#This Row],[TOTAL (R$)]]</f>
        <v>0</v>
      </c>
      <c r="I134" s="91">
        <f>investirrendavariávelconsolidadomai[[#This Row],[TOTAL (R$)]]</f>
        <v>0</v>
      </c>
      <c r="J134" s="91">
        <f>investirrendavariávelconsolidadojun[[#This Row],[TOTAL (R$)]]</f>
        <v>0</v>
      </c>
      <c r="K134" s="91">
        <f>investirrendavariávelconsolidadojul[[#This Row],[TOTAL (R$)]]</f>
        <v>0</v>
      </c>
      <c r="L134" s="91">
        <f>investirrendavariávelconsolidadoago[[#This Row],[TOTAL (R$)]]</f>
        <v>0</v>
      </c>
      <c r="M134" s="91">
        <f>investirrendavariávelconsolidadoset[[#This Row],[TOTAL (R$)]]</f>
        <v>0</v>
      </c>
      <c r="N134" s="91">
        <f>investirrendavariávelconsolidadoout[[#This Row],[TOTAL (R$)]]</f>
        <v>0</v>
      </c>
      <c r="O134" s="91">
        <f>investirrendavariávelconsolidadonov[[#This Row],[TOTAL (R$)]]</f>
        <v>0</v>
      </c>
      <c r="P134" s="91">
        <f>investirrendavariávelconsolidadodez[[#This Row],[TOTAL (R$)]]</f>
        <v>0</v>
      </c>
      <c r="Q134" s="97">
        <f>SUM(investirrendavariávelconsolidadoanual[[#This Row],[1]:[12]])</f>
        <v>128</v>
      </c>
      <c r="R134" s="25"/>
      <c r="S134" s="81"/>
      <c r="T134" s="81"/>
      <c r="U134" s="81"/>
      <c r="V134" s="81"/>
      <c r="W134" s="81"/>
      <c r="X134" s="81"/>
      <c r="Y134" s="81"/>
      <c r="Z134" s="81"/>
      <c r="AH134" s="131"/>
      <c r="AO134" s="138" t="e">
        <f>SUMIFS(tabela_registros[VALOR],tabela_registros[MÊS],$AE$1,tabela_registros[REGISTRO],DADOS!$N$5,tabela_registros[TIPO],DADOS!$AB$4,tabela_registros[CATEGORIA],investirrendavariávelconsolidadodez[[#This Row],[ATUAL]],#REF!,DADOS!$J$4)</f>
        <v>#REF!</v>
      </c>
      <c r="AP134" s="138" t="e">
        <f>SUMIFS(tabela_registros[VALOR],tabela_registros[MÊS],$AE$1,tabela_registros[REGISTRO],DADOS!$N$5,tabela_registros[TIPO],DADOS!$AB$4,tabela_registros[CATEGORIA],investirrendavariávelconsolidadodez[[#This Row],[ATUAL]],#REF!,DADOS!$J$3)</f>
        <v>#REF!</v>
      </c>
      <c r="AQ134" s="139">
        <f>(investirrendavariávelconsolidadoanual[[#This Row],[TOTAL (R$)]]*$AQ$142)/$Q$142</f>
        <v>7.6535406167250394E-2</v>
      </c>
    </row>
    <row r="135" spans="1:43" ht="19.5" customHeight="1" thickTop="1" thickBot="1" x14ac:dyDescent="0.3">
      <c r="B135" s="28"/>
      <c r="C135" s="27" t="str">
        <f>DADOS!$AF$6</f>
        <v>📝 CONTRATO DE OPÇÕES</v>
      </c>
      <c r="D135" s="26" t="str">
        <f>IF(investirrendavariávelconsolidadoanual[[#This Row],[TOTAL (R$)]]=0,"",IF(OR(investirrendavariávelconsolidadoanual[[#This Row],[TOTAL (R$)]]=LARGE($Q$132:$Q$141,1),investirrendavariávelconsolidadoanual[[#This Row],[TOTAL (R$)]]=LARGE($Q$132:$Q$141,2)),DADOS!$I$10,""))</f>
        <v>💎</v>
      </c>
      <c r="E135" s="96">
        <f>investirrendavariávelconsolidado282931[[#This Row],[TOTAL (R$)]]</f>
        <v>0</v>
      </c>
      <c r="F135" s="91">
        <f>investirrendavariávelconsolidadofev[[#This Row],[TOTAL (R$)]]</f>
        <v>572</v>
      </c>
      <c r="G135" s="91">
        <f>investirrendavariávelconsolidadomar[[#This Row],[TOTAL (R$)]]</f>
        <v>0</v>
      </c>
      <c r="H135" s="91">
        <f>investirrendavariávelconsolidadoabr[[#This Row],[TOTAL (R$)]]</f>
        <v>0</v>
      </c>
      <c r="I135" s="91">
        <f>investirrendavariávelconsolidadomai[[#This Row],[TOTAL (R$)]]</f>
        <v>0</v>
      </c>
      <c r="J135" s="91">
        <f>investirrendavariávelconsolidadojun[[#This Row],[TOTAL (R$)]]</f>
        <v>0</v>
      </c>
      <c r="K135" s="91">
        <f>investirrendavariávelconsolidadojul[[#This Row],[TOTAL (R$)]]</f>
        <v>0</v>
      </c>
      <c r="L135" s="91">
        <f>investirrendavariávelconsolidadoago[[#This Row],[TOTAL (R$)]]</f>
        <v>0</v>
      </c>
      <c r="M135" s="91">
        <f>investirrendavariávelconsolidadoset[[#This Row],[TOTAL (R$)]]</f>
        <v>0</v>
      </c>
      <c r="N135" s="91">
        <f>investirrendavariávelconsolidadoout[[#This Row],[TOTAL (R$)]]</f>
        <v>0</v>
      </c>
      <c r="O135" s="91">
        <f>investirrendavariávelconsolidadonov[[#This Row],[TOTAL (R$)]]</f>
        <v>0</v>
      </c>
      <c r="P135" s="91">
        <f>investirrendavariávelconsolidadodez[[#This Row],[TOTAL (R$)]]</f>
        <v>0</v>
      </c>
      <c r="Q135" s="97">
        <f>SUM(investirrendavariávelconsolidadoanual[[#This Row],[1]:[12]])</f>
        <v>572</v>
      </c>
      <c r="R135" s="25"/>
      <c r="S135" s="81"/>
      <c r="T135" s="81"/>
      <c r="U135" s="81"/>
      <c r="V135" s="81"/>
      <c r="W135" s="81"/>
      <c r="X135" s="81"/>
      <c r="Y135" s="81"/>
      <c r="Z135" s="81"/>
      <c r="AH135" s="131"/>
      <c r="AO135" s="138" t="e">
        <f>SUMIFS(tabela_registros[VALOR],tabela_registros[MÊS],$AE$1,tabela_registros[REGISTRO],DADOS!$N$5,tabela_registros[TIPO],DADOS!$AB$4,tabela_registros[CATEGORIA],investirrendavariávelconsolidadodez[[#This Row],[ATUAL]],#REF!,DADOS!$J$4)</f>
        <v>#REF!</v>
      </c>
      <c r="AP135" s="138" t="e">
        <f>SUMIFS(tabela_registros[VALOR],tabela_registros[MÊS],$AE$1,tabela_registros[REGISTRO],DADOS!$N$5,tabela_registros[TIPO],DADOS!$AB$4,tabela_registros[CATEGORIA],investirrendavariávelconsolidadodez[[#This Row],[ATUAL]],#REF!,DADOS!$J$3)</f>
        <v>#REF!</v>
      </c>
      <c r="AQ135" s="139">
        <f>(investirrendavariávelconsolidadoanual[[#This Row],[TOTAL (R$)]]*$AQ$142)/$Q$142</f>
        <v>0.3420175963099002</v>
      </c>
    </row>
    <row r="136" spans="1:43" ht="19.5" customHeight="1" thickTop="1" thickBot="1" x14ac:dyDescent="0.3">
      <c r="B136" s="28"/>
      <c r="C136" s="27" t="str">
        <f>DADOS!$AF$7</f>
        <v>📝 CRIPTOMOEDA</v>
      </c>
      <c r="D136" s="26" t="str">
        <f>IF(investirrendavariávelconsolidadoanual[[#This Row],[TOTAL (R$)]]=0,"",IF(OR(investirrendavariávelconsolidadoanual[[#This Row],[TOTAL (R$)]]=LARGE($Q$132:$Q$141,1),investirrendavariávelconsolidadoanual[[#This Row],[TOTAL (R$)]]=LARGE($Q$132:$Q$141,2)),DADOS!$I$10,""))</f>
        <v/>
      </c>
      <c r="E136" s="96">
        <f>investirrendavariávelconsolidado282931[[#This Row],[TOTAL (R$)]]</f>
        <v>50</v>
      </c>
      <c r="F136" s="91">
        <f>investirrendavariávelconsolidadofev[[#This Row],[TOTAL (R$)]]</f>
        <v>140</v>
      </c>
      <c r="G136" s="91">
        <f>investirrendavariávelconsolidadomar[[#This Row],[TOTAL (R$)]]</f>
        <v>0</v>
      </c>
      <c r="H136" s="91">
        <f>investirrendavariávelconsolidadoabr[[#This Row],[TOTAL (R$)]]</f>
        <v>0</v>
      </c>
      <c r="I136" s="91">
        <f>investirrendavariávelconsolidadomai[[#This Row],[TOTAL (R$)]]</f>
        <v>0</v>
      </c>
      <c r="J136" s="91">
        <f>investirrendavariávelconsolidadojun[[#This Row],[TOTAL (R$)]]</f>
        <v>0</v>
      </c>
      <c r="K136" s="91">
        <f>investirrendavariávelconsolidadojul[[#This Row],[TOTAL (R$)]]</f>
        <v>0</v>
      </c>
      <c r="L136" s="91">
        <f>investirrendavariávelconsolidadoago[[#This Row],[TOTAL (R$)]]</f>
        <v>0</v>
      </c>
      <c r="M136" s="91">
        <f>investirrendavariávelconsolidadoset[[#This Row],[TOTAL (R$)]]</f>
        <v>0</v>
      </c>
      <c r="N136" s="91">
        <f>investirrendavariávelconsolidadoout[[#This Row],[TOTAL (R$)]]</f>
        <v>0</v>
      </c>
      <c r="O136" s="91">
        <f>investirrendavariávelconsolidadonov[[#This Row],[TOTAL (R$)]]</f>
        <v>0</v>
      </c>
      <c r="P136" s="91">
        <f>investirrendavariávelconsolidadodez[[#This Row],[TOTAL (R$)]]</f>
        <v>0</v>
      </c>
      <c r="Q136" s="97">
        <f>SUM(investirrendavariávelconsolidadoanual[[#This Row],[1]:[12]])</f>
        <v>190</v>
      </c>
      <c r="R136" s="25"/>
      <c r="S136" s="81"/>
      <c r="T136" s="81"/>
      <c r="U136" s="81"/>
      <c r="V136" s="81"/>
      <c r="W136" s="81"/>
      <c r="X136" s="81"/>
      <c r="Y136" s="81"/>
      <c r="Z136" s="81"/>
      <c r="AH136" s="131"/>
      <c r="AO136" s="138" t="e">
        <f>SUMIFS(tabela_registros[VALOR],tabela_registros[MÊS],$AE$1,tabela_registros[REGISTRO],DADOS!$N$5,tabela_registros[TIPO],DADOS!$AB$4,tabela_registros[CATEGORIA],investirrendavariávelconsolidadodez[[#This Row],[ATUAL]],#REF!,DADOS!$J$4)</f>
        <v>#REF!</v>
      </c>
      <c r="AP136" s="138" t="e">
        <f>SUMIFS(tabela_registros[VALOR],tabela_registros[MÊS],$AE$1,tabela_registros[REGISTRO],DADOS!$N$5,tabela_registros[TIPO],DADOS!$AB$4,tabela_registros[CATEGORIA],investirrendavariávelconsolidadodez[[#This Row],[ATUAL]],#REF!,DADOS!$J$3)</f>
        <v>#REF!</v>
      </c>
      <c r="AQ136" s="139">
        <f>(investirrendavariávelconsolidadoanual[[#This Row],[TOTAL (R$)]]*$AQ$142)/$Q$142</f>
        <v>0.11360724352951231</v>
      </c>
    </row>
    <row r="137" spans="1:43" ht="19.5" customHeight="1" thickTop="1" thickBot="1" x14ac:dyDescent="0.3">
      <c r="B137" s="28"/>
      <c r="C137" s="27" t="str">
        <f>DADOS!$AF$8</f>
        <v>📝 ETF</v>
      </c>
      <c r="D137" s="26" t="str">
        <f>IF(investirrendavariávelconsolidadoanual[[#This Row],[TOTAL (R$)]]=0,"",IF(OR(investirrendavariávelconsolidadoanual[[#This Row],[TOTAL (R$)]]=LARGE($Q$132:$Q$141,1),investirrendavariávelconsolidadoanual[[#This Row],[TOTAL (R$)]]=LARGE($Q$132:$Q$141,2)),DADOS!$I$10,""))</f>
        <v/>
      </c>
      <c r="E137" s="96">
        <f>investirrendavariávelconsolidado282931[[#This Row],[TOTAL (R$)]]</f>
        <v>19.499999999999599</v>
      </c>
      <c r="F137" s="91">
        <f>investirrendavariávelconsolidadofev[[#This Row],[TOTAL (R$)]]</f>
        <v>0</v>
      </c>
      <c r="G137" s="91">
        <f>investirrendavariávelconsolidadomar[[#This Row],[TOTAL (R$)]]</f>
        <v>0</v>
      </c>
      <c r="H137" s="91">
        <f>investirrendavariávelconsolidadoabr[[#This Row],[TOTAL (R$)]]</f>
        <v>0</v>
      </c>
      <c r="I137" s="91">
        <f>investirrendavariávelconsolidadomai[[#This Row],[TOTAL (R$)]]</f>
        <v>0</v>
      </c>
      <c r="J137" s="91">
        <f>investirrendavariávelconsolidadojun[[#This Row],[TOTAL (R$)]]</f>
        <v>0</v>
      </c>
      <c r="K137" s="91">
        <f>investirrendavariávelconsolidadojul[[#This Row],[TOTAL (R$)]]</f>
        <v>0</v>
      </c>
      <c r="L137" s="91">
        <f>investirrendavariávelconsolidadoago[[#This Row],[TOTAL (R$)]]</f>
        <v>0</v>
      </c>
      <c r="M137" s="91">
        <f>investirrendavariávelconsolidadoset[[#This Row],[TOTAL (R$)]]</f>
        <v>0</v>
      </c>
      <c r="N137" s="91">
        <f>investirrendavariávelconsolidadoout[[#This Row],[TOTAL (R$)]]</f>
        <v>0</v>
      </c>
      <c r="O137" s="91">
        <f>investirrendavariávelconsolidadonov[[#This Row],[TOTAL (R$)]]</f>
        <v>0</v>
      </c>
      <c r="P137" s="91">
        <f>investirrendavariávelconsolidadodez[[#This Row],[TOTAL (R$)]]</f>
        <v>0</v>
      </c>
      <c r="Q137" s="97">
        <f>SUM(investirrendavariávelconsolidadoanual[[#This Row],[1]:[12]])</f>
        <v>19.499999999999599</v>
      </c>
      <c r="R137" s="25"/>
      <c r="S137" s="81"/>
      <c r="T137" s="81"/>
      <c r="U137" s="81"/>
      <c r="V137" s="81"/>
      <c r="W137" s="81"/>
      <c r="X137" s="81"/>
      <c r="Y137" s="81"/>
      <c r="Z137" s="81"/>
      <c r="AH137" s="131"/>
      <c r="AO137" s="138" t="e">
        <f>SUMIFS(tabela_registros[VALOR],tabela_registros[MÊS],$AE$1,tabela_registros[REGISTRO],DADOS!$N$5,tabela_registros[TIPO],DADOS!$AB$4,tabela_registros[CATEGORIA],investirrendavariávelconsolidadodez[[#This Row],[ATUAL]],#REF!,DADOS!$J$4)</f>
        <v>#REF!</v>
      </c>
      <c r="AP137" s="138" t="e">
        <f>SUMIFS(tabela_registros[VALOR],tabela_registros[MÊS],$AE$1,tabela_registros[REGISTRO],DADOS!$N$5,tabela_registros[TIPO],DADOS!$AB$4,tabela_registros[CATEGORIA],investirrendavariávelconsolidadodez[[#This Row],[ATUAL]],#REF!,DADOS!$J$3)</f>
        <v>#REF!</v>
      </c>
      <c r="AQ137" s="139">
        <f>(investirrendavariávelconsolidadoanual[[#This Row],[TOTAL (R$)]]*$AQ$142)/$Q$142</f>
        <v>1.1659690783291814E-2</v>
      </c>
    </row>
    <row r="138" spans="1:43" ht="19.5" customHeight="1" thickTop="1" thickBot="1" x14ac:dyDescent="0.3">
      <c r="B138" s="28"/>
      <c r="C138" s="27" t="str">
        <f>DADOS!$AF$9</f>
        <v>📝 EXTERIOR</v>
      </c>
      <c r="D138" s="26" t="str">
        <f>IF(investirrendavariávelconsolidadoanual[[#This Row],[TOTAL (R$)]]=0,"",IF(OR(investirrendavariávelconsolidadoanual[[#This Row],[TOTAL (R$)]]=LARGE($Q$132:$Q$141,1),investirrendavariávelconsolidadoanual[[#This Row],[TOTAL (R$)]]=LARGE($Q$132:$Q$141,2)),DADOS!$I$10,""))</f>
        <v/>
      </c>
      <c r="E138" s="96">
        <f>investirrendavariávelconsolidado282931[[#This Row],[TOTAL (R$)]]</f>
        <v>0</v>
      </c>
      <c r="F138" s="91">
        <f>investirrendavariávelconsolidadofev[[#This Row],[TOTAL (R$)]]</f>
        <v>146</v>
      </c>
      <c r="G138" s="91">
        <f>investirrendavariávelconsolidadomar[[#This Row],[TOTAL (R$)]]</f>
        <v>0</v>
      </c>
      <c r="H138" s="91">
        <f>investirrendavariávelconsolidadoabr[[#This Row],[TOTAL (R$)]]</f>
        <v>0</v>
      </c>
      <c r="I138" s="91">
        <f>investirrendavariávelconsolidadomai[[#This Row],[TOTAL (R$)]]</f>
        <v>0</v>
      </c>
      <c r="J138" s="91">
        <f>investirrendavariávelconsolidadojun[[#This Row],[TOTAL (R$)]]</f>
        <v>0</v>
      </c>
      <c r="K138" s="91">
        <f>investirrendavariávelconsolidadojul[[#This Row],[TOTAL (R$)]]</f>
        <v>0</v>
      </c>
      <c r="L138" s="91">
        <f>investirrendavariávelconsolidadoago[[#This Row],[TOTAL (R$)]]</f>
        <v>0</v>
      </c>
      <c r="M138" s="91">
        <f>investirrendavariávelconsolidadoset[[#This Row],[TOTAL (R$)]]</f>
        <v>0</v>
      </c>
      <c r="N138" s="91">
        <f>investirrendavariávelconsolidadoout[[#This Row],[TOTAL (R$)]]</f>
        <v>0</v>
      </c>
      <c r="O138" s="91">
        <f>investirrendavariávelconsolidadonov[[#This Row],[TOTAL (R$)]]</f>
        <v>0</v>
      </c>
      <c r="P138" s="91">
        <f>investirrendavariávelconsolidadodez[[#This Row],[TOTAL (R$)]]</f>
        <v>0</v>
      </c>
      <c r="Q138" s="97">
        <f>SUM(investirrendavariávelconsolidadoanual[[#This Row],[1]:[12]])</f>
        <v>146</v>
      </c>
      <c r="R138" s="25"/>
      <c r="S138" s="81"/>
      <c r="T138" s="81"/>
      <c r="U138" s="81"/>
      <c r="V138" s="81"/>
      <c r="W138" s="81"/>
      <c r="X138" s="81"/>
      <c r="Y138" s="81"/>
      <c r="Z138" s="81"/>
      <c r="AH138" s="131"/>
      <c r="AO138" s="138" t="e">
        <f>SUMIFS(tabela_registros[VALOR],tabela_registros[MÊS],$AE$1,tabela_registros[REGISTRO],DADOS!$N$5,tabela_registros[TIPO],DADOS!$AB$4,tabela_registros[CATEGORIA],investirrendavariávelconsolidadodez[[#This Row],[ATUAL]],#REF!,DADOS!$J$4)</f>
        <v>#REF!</v>
      </c>
      <c r="AP138" s="138" t="e">
        <f>SUMIFS(tabela_registros[VALOR],tabela_registros[MÊS],$AE$1,tabela_registros[REGISTRO],DADOS!$N$5,tabela_registros[TIPO],DADOS!$AB$4,tabela_registros[CATEGORIA],investirrendavariávelconsolidadodez[[#This Row],[ATUAL]],#REF!,DADOS!$J$3)</f>
        <v>#REF!</v>
      </c>
      <c r="AQ138" s="139">
        <f>(investirrendavariávelconsolidadoanual[[#This Row],[TOTAL (R$)]]*$AQ$142)/$Q$142</f>
        <v>8.7298197659519988E-2</v>
      </c>
    </row>
    <row r="139" spans="1:43" ht="19.5" customHeight="1" thickTop="1" thickBot="1" x14ac:dyDescent="0.3">
      <c r="B139" s="28"/>
      <c r="C139" s="27" t="str">
        <f>DADOS!$AF$10</f>
        <v>📝 FII</v>
      </c>
      <c r="D139" s="26" t="str">
        <f>IF(investirrendavariávelconsolidadoanual[[#This Row],[TOTAL (R$)]]=0,"",IF(OR(investirrendavariávelconsolidadoanual[[#This Row],[TOTAL (R$)]]=LARGE($Q$132:$Q$141,1),investirrendavariávelconsolidadoanual[[#This Row],[TOTAL (R$)]]=LARGE($Q$132:$Q$141,2)),DADOS!$I$10,""))</f>
        <v>💎</v>
      </c>
      <c r="E139" s="96">
        <f>investirrendavariávelconsolidado282931[[#This Row],[TOTAL (R$)]]</f>
        <v>356</v>
      </c>
      <c r="F139" s="91">
        <f>investirrendavariávelconsolidadofev[[#This Row],[TOTAL (R$)]]</f>
        <v>0</v>
      </c>
      <c r="G139" s="91">
        <f>investirrendavariávelconsolidadomar[[#This Row],[TOTAL (R$)]]</f>
        <v>0</v>
      </c>
      <c r="H139" s="91">
        <f>investirrendavariávelconsolidadoabr[[#This Row],[TOTAL (R$)]]</f>
        <v>0</v>
      </c>
      <c r="I139" s="91">
        <f>investirrendavariávelconsolidadomai[[#This Row],[TOTAL (R$)]]</f>
        <v>0</v>
      </c>
      <c r="J139" s="91">
        <f>investirrendavariávelconsolidadojun[[#This Row],[TOTAL (R$)]]</f>
        <v>0</v>
      </c>
      <c r="K139" s="91">
        <f>investirrendavariávelconsolidadojul[[#This Row],[TOTAL (R$)]]</f>
        <v>0</v>
      </c>
      <c r="L139" s="91">
        <f>investirrendavariávelconsolidadoago[[#This Row],[TOTAL (R$)]]</f>
        <v>0</v>
      </c>
      <c r="M139" s="91">
        <f>investirrendavariávelconsolidadoset[[#This Row],[TOTAL (R$)]]</f>
        <v>0</v>
      </c>
      <c r="N139" s="91">
        <f>investirrendavariávelconsolidadoout[[#This Row],[TOTAL (R$)]]</f>
        <v>0</v>
      </c>
      <c r="O139" s="91">
        <f>investirrendavariávelconsolidadonov[[#This Row],[TOTAL (R$)]]</f>
        <v>0</v>
      </c>
      <c r="P139" s="91">
        <f>investirrendavariávelconsolidadodez[[#This Row],[TOTAL (R$)]]</f>
        <v>0</v>
      </c>
      <c r="Q139" s="97">
        <f>SUM(investirrendavariávelconsolidadoanual[[#This Row],[1]:[12]])</f>
        <v>356</v>
      </c>
      <c r="R139" s="25"/>
      <c r="S139" s="81"/>
      <c r="T139" s="81"/>
      <c r="U139" s="81"/>
      <c r="V139" s="81"/>
      <c r="W139" s="81"/>
      <c r="X139" s="81"/>
      <c r="Y139" s="81"/>
      <c r="Z139" s="81"/>
      <c r="AH139" s="131"/>
      <c r="AO139" s="138" t="e">
        <f>SUMIFS(tabela_registros[VALOR],tabela_registros[MÊS],$AE$1,tabela_registros[REGISTRO],DADOS!$N$5,tabela_registros[TIPO],DADOS!$AB$4,tabela_registros[CATEGORIA],investirrendavariávelconsolidadodez[[#This Row],[ATUAL]],#REF!,DADOS!$J$4)</f>
        <v>#REF!</v>
      </c>
      <c r="AP139" s="138" t="e">
        <f>SUMIFS(tabela_registros[VALOR],tabela_registros[MÊS],$AE$1,tabela_registros[REGISTRO],DADOS!$N$5,tabela_registros[TIPO],DADOS!$AB$4,tabela_registros[CATEGORIA],investirrendavariávelconsolidadodez[[#This Row],[ATUAL]],#REF!,DADOS!$J$3)</f>
        <v>#REF!</v>
      </c>
      <c r="AQ139" s="139">
        <f>(investirrendavariávelconsolidadoanual[[#This Row],[TOTAL (R$)]]*$AQ$142)/$Q$142</f>
        <v>0.21286409840266518</v>
      </c>
    </row>
    <row r="140" spans="1:43" ht="19.5" customHeight="1" thickTop="1" thickBot="1" x14ac:dyDescent="0.3">
      <c r="B140" s="28"/>
      <c r="C140" s="27" t="str">
        <f>DADOS!$AF$11</f>
        <v>📝 MOEDA</v>
      </c>
      <c r="D140" s="26" t="str">
        <f>IF(investirrendavariávelconsolidadoanual[[#This Row],[TOTAL (R$)]]=0,"",IF(OR(investirrendavariávelconsolidadoanual[[#This Row],[TOTAL (R$)]]=LARGE($Q$132:$Q$141,1),investirrendavariávelconsolidadoanual[[#This Row],[TOTAL (R$)]]=LARGE($Q$132:$Q$141,2)),DADOS!$I$10,""))</f>
        <v/>
      </c>
      <c r="E140" s="96">
        <f>investirrendavariávelconsolidado282931[[#This Row],[TOTAL (R$)]]</f>
        <v>4.7857142857145902</v>
      </c>
      <c r="F140" s="91">
        <f>investirrendavariávelconsolidadofev[[#This Row],[TOTAL (R$)]]</f>
        <v>0</v>
      </c>
      <c r="G140" s="91">
        <f>investirrendavariávelconsolidadomar[[#This Row],[TOTAL (R$)]]</f>
        <v>0</v>
      </c>
      <c r="H140" s="91">
        <f>investirrendavariávelconsolidadoabr[[#This Row],[TOTAL (R$)]]</f>
        <v>0</v>
      </c>
      <c r="I140" s="91">
        <f>investirrendavariávelconsolidadomai[[#This Row],[TOTAL (R$)]]</f>
        <v>0</v>
      </c>
      <c r="J140" s="91">
        <f>investirrendavariávelconsolidadojun[[#This Row],[TOTAL (R$)]]</f>
        <v>0</v>
      </c>
      <c r="K140" s="91">
        <f>investirrendavariávelconsolidadojul[[#This Row],[TOTAL (R$)]]</f>
        <v>0</v>
      </c>
      <c r="L140" s="91">
        <f>investirrendavariávelconsolidadoago[[#This Row],[TOTAL (R$)]]</f>
        <v>0</v>
      </c>
      <c r="M140" s="91">
        <f>investirrendavariávelconsolidadoset[[#This Row],[TOTAL (R$)]]</f>
        <v>0</v>
      </c>
      <c r="N140" s="91">
        <f>investirrendavariávelconsolidadoout[[#This Row],[TOTAL (R$)]]</f>
        <v>0</v>
      </c>
      <c r="O140" s="91">
        <f>investirrendavariávelconsolidadonov[[#This Row],[TOTAL (R$)]]</f>
        <v>0</v>
      </c>
      <c r="P140" s="91">
        <f>investirrendavariávelconsolidadodez[[#This Row],[TOTAL (R$)]]</f>
        <v>0</v>
      </c>
      <c r="Q140" s="97">
        <f>SUM(investirrendavariávelconsolidadoanual[[#This Row],[1]:[12]])</f>
        <v>4.7857142857145902</v>
      </c>
      <c r="R140" s="25"/>
      <c r="S140" s="81"/>
      <c r="T140" s="81"/>
      <c r="U140" s="81"/>
      <c r="V140" s="81"/>
      <c r="W140" s="81"/>
      <c r="X140" s="81"/>
      <c r="Y140" s="81"/>
      <c r="Z140" s="81"/>
      <c r="AH140" s="131"/>
      <c r="AO140" s="138" t="e">
        <f>SUMIFS(tabela_registros[VALOR],tabela_registros[MÊS],$AE$1,tabela_registros[REGISTRO],DADOS!$N$5,tabela_registros[TIPO],DADOS!$AB$4,tabela_registros[CATEGORIA],investirrendavariávelconsolidadodez[[#This Row],[ATUAL]],#REF!,DADOS!$J$4)</f>
        <v>#REF!</v>
      </c>
      <c r="AP140" s="138" t="e">
        <f>SUMIFS(tabela_registros[VALOR],tabela_registros[MÊS],$AE$1,tabela_registros[REGISTRO],DADOS!$N$5,tabela_registros[TIPO],DADOS!$AB$4,tabela_registros[CATEGORIA],investirrendavariávelconsolidadodez[[#This Row],[ATUAL]],#REF!,DADOS!$J$3)</f>
        <v>#REF!</v>
      </c>
      <c r="AQ140" s="139">
        <f>(investirrendavariávelconsolidadoanual[[#This Row],[TOTAL (R$)]]*$AQ$142)/$Q$142</f>
        <v>2.8615358332623343E-3</v>
      </c>
    </row>
    <row r="141" spans="1:43" ht="19.5" customHeight="1" thickTop="1" thickBot="1" x14ac:dyDescent="0.3">
      <c r="B141" s="28"/>
      <c r="C141" s="27" t="str">
        <f>DADOS!$AF$12</f>
        <v>📎 OUTROS</v>
      </c>
      <c r="D141" s="26" t="str">
        <f>IF(investirrendavariávelconsolidadoanual[[#This Row],[TOTAL (R$)]]=0,"",IF(OR(investirrendavariávelconsolidadoanual[[#This Row],[TOTAL (R$)]]=LARGE($Q$132:$Q$141,1),investirrendavariávelconsolidadoanual[[#This Row],[TOTAL (R$)]]=LARGE($Q$132:$Q$141,2)),DADOS!$I$10,""))</f>
        <v/>
      </c>
      <c r="E141" s="96">
        <f>investirrendavariávelconsolidado282931[[#This Row],[TOTAL (R$)]]</f>
        <v>0</v>
      </c>
      <c r="F141" s="91">
        <f>investirrendavariávelconsolidadofev[[#This Row],[TOTAL (R$)]]</f>
        <v>0</v>
      </c>
      <c r="G141" s="91">
        <f>investirrendavariávelconsolidadomar[[#This Row],[TOTAL (R$)]]</f>
        <v>0</v>
      </c>
      <c r="H141" s="91">
        <f>investirrendavariávelconsolidadoabr[[#This Row],[TOTAL (R$)]]</f>
        <v>0</v>
      </c>
      <c r="I141" s="91">
        <f>investirrendavariávelconsolidadomai[[#This Row],[TOTAL (R$)]]</f>
        <v>0</v>
      </c>
      <c r="J141" s="91">
        <f>investirrendavariávelconsolidadojun[[#This Row],[TOTAL (R$)]]</f>
        <v>0</v>
      </c>
      <c r="K141" s="91">
        <f>investirrendavariávelconsolidadojul[[#This Row],[TOTAL (R$)]]</f>
        <v>0</v>
      </c>
      <c r="L141" s="91">
        <f>investirrendavariávelconsolidadoago[[#This Row],[TOTAL (R$)]]</f>
        <v>0</v>
      </c>
      <c r="M141" s="91">
        <f>investirrendavariávelconsolidadoset[[#This Row],[TOTAL (R$)]]</f>
        <v>0</v>
      </c>
      <c r="N141" s="91">
        <f>investirrendavariávelconsolidadoout[[#This Row],[TOTAL (R$)]]</f>
        <v>0</v>
      </c>
      <c r="O141" s="91">
        <f>investirrendavariávelconsolidadonov[[#This Row],[TOTAL (R$)]]</f>
        <v>0</v>
      </c>
      <c r="P141" s="91">
        <f>investirrendavariávelconsolidadodez[[#This Row],[TOTAL (R$)]]</f>
        <v>0</v>
      </c>
      <c r="Q141" s="97">
        <f>SUM(investirrendavariávelconsolidadoanual[[#This Row],[1]:[12]])</f>
        <v>0</v>
      </c>
      <c r="R141" s="25"/>
      <c r="S141" s="81"/>
      <c r="T141" s="81"/>
      <c r="U141" s="81"/>
      <c r="V141" s="81"/>
      <c r="W141" s="81"/>
      <c r="X141" s="81"/>
      <c r="Y141" s="81"/>
      <c r="Z141" s="81"/>
      <c r="AH141" s="131"/>
      <c r="AN141" s="131" t="s">
        <v>165</v>
      </c>
      <c r="AO141" s="138" t="e">
        <f>SUMIFS(tabela_registros[VALOR],tabela_registros[MÊS],$AE$1,tabela_registros[REGISTRO],DADOS!$N$5,tabela_registros[TIPO],DADOS!$AB$4,tabela_registros[CATEGORIA],investirrendavariávelconsolidadodez[[#This Row],[ATUAL]],#REF!,DADOS!$J$4)</f>
        <v>#REF!</v>
      </c>
      <c r="AP141" s="138" t="e">
        <f>SUMIFS(tabela_registros[VALOR],tabela_registros[MÊS],$AE$1,tabela_registros[REGISTRO],DADOS!$N$5,tabela_registros[TIPO],DADOS!$AB$4,tabela_registros[CATEGORIA],investirrendavariávelconsolidadodez[[#This Row],[ATUAL]],#REF!,DADOS!$J$3)</f>
        <v>#REF!</v>
      </c>
      <c r="AQ141" s="139">
        <f>(investirrendavariávelconsolidadoanual[[#This Row],[TOTAL (R$)]]*$AQ$142)/$Q$142</f>
        <v>0</v>
      </c>
    </row>
    <row r="142" spans="1:43" s="140" customFormat="1" ht="21" customHeight="1" thickTop="1" thickBot="1" x14ac:dyDescent="0.3">
      <c r="A142" s="16"/>
      <c r="B142" s="24"/>
      <c r="C142" s="23" t="s">
        <v>19</v>
      </c>
      <c r="D142" s="22"/>
      <c r="E142" s="21">
        <f>investirrendavariávelconsolidado282931[[#This Row],[TOTAL (R$)]]</f>
        <v>442.42857142857076</v>
      </c>
      <c r="F142" s="20">
        <f>investirrendavariávelconsolidadofev[[#This Row],[TOTAL (R$)]]+investirrendavariávelconsolidadoanual[[#This Row],[1]]</f>
        <v>1672.4285714285706</v>
      </c>
      <c r="G142" s="20">
        <f>investirrendavariávelconsolidadomar[[#This Row],[TOTAL (R$)]]+investirrendavariávelconsolidadoanual[[#This Row],[2]]</f>
        <v>1672.4285714285706</v>
      </c>
      <c r="H142" s="20">
        <f>investirrendavariávelconsolidadoabr[[#This Row],[TOTAL (R$)]]+investirrendavariávelconsolidadoanual[[#This Row],[3]]</f>
        <v>1672.4285714285706</v>
      </c>
      <c r="I142" s="20">
        <f>investirrendavariávelconsolidadomai[[#This Row],[TOTAL (R$)]]+investirrendavariávelconsolidadoanual[[#This Row],[4]]</f>
        <v>1672.4285714285706</v>
      </c>
      <c r="J142" s="20">
        <f>investirrendavariávelconsolidadojun[[#This Row],[TOTAL (R$)]]+investirrendavariávelconsolidadoanual[[#This Row],[5]]</f>
        <v>1672.4285714285706</v>
      </c>
      <c r="K142" s="20">
        <f>investirrendavariávelconsolidadojul[[#This Row],[TOTAL (R$)]]+investirrendavariávelconsolidadoanual[[#This Row],[6]]</f>
        <v>1672.4285714285706</v>
      </c>
      <c r="L142" s="20">
        <f>investirrendavariávelconsolidadoago[[#This Row],[TOTAL (R$)]]+investirrendavariávelconsolidadoanual[[#This Row],[7]]</f>
        <v>1672.4285714285706</v>
      </c>
      <c r="M142" s="20">
        <f>investirrendavariávelconsolidadoset[[#This Row],[TOTAL (R$)]]+investirrendavariávelconsolidadoanual[[#This Row],[8]]</f>
        <v>1672.4285714285706</v>
      </c>
      <c r="N142" s="20">
        <f>investirrendavariávelconsolidadoout[[#This Row],[TOTAL (R$)]]+investirrendavariávelconsolidadoanual[[#This Row],[9]]</f>
        <v>1672.4285714285706</v>
      </c>
      <c r="O142" s="20">
        <f>investirrendavariávelconsolidadonov[[#This Row],[TOTAL (R$)]]+investirrendavariávelconsolidadoanual[[#This Row],[10]]</f>
        <v>1672.4285714285706</v>
      </c>
      <c r="P142" s="20">
        <f>investirrendavariávelconsolidadodez[[#This Row],[TOTAL (R$)]]+investirrendavariávelconsolidadoanual[[#This Row],[11]]</f>
        <v>1672.4285714285706</v>
      </c>
      <c r="Q142" s="18">
        <f>investirrendavariávelconsolidadoanual[[#This Row],[12]]</f>
        <v>1672.4285714285706</v>
      </c>
      <c r="R142" s="17"/>
      <c r="S142" s="81"/>
      <c r="T142" s="81"/>
      <c r="U142" s="81"/>
      <c r="V142" s="81"/>
      <c r="W142" s="81"/>
      <c r="X142" s="81"/>
      <c r="Y142" s="81"/>
      <c r="Z142" s="81"/>
      <c r="AA142" s="131"/>
      <c r="AB142" s="131"/>
      <c r="AC142" s="131"/>
      <c r="AD142" s="131"/>
      <c r="AE142" s="131"/>
      <c r="AF142" s="131"/>
      <c r="AG142" s="131"/>
      <c r="AH142" s="131"/>
      <c r="AI142" s="131"/>
      <c r="AJ142" s="131"/>
      <c r="AK142" s="131"/>
      <c r="AN142" s="142">
        <f>investirrendavariávelconsolidadoanual[[#This Row],[TOTAL (R$)]]/$Q$25</f>
        <v>0.60384268214055437</v>
      </c>
      <c r="AO142" s="141" t="e">
        <f>SUM(AO132:AO141)</f>
        <v>#REF!</v>
      </c>
      <c r="AP142" s="141" t="e">
        <f>SUM(AP132:AP141)</f>
        <v>#REF!</v>
      </c>
      <c r="AQ142" s="139">
        <f>1</f>
        <v>1</v>
      </c>
    </row>
    <row r="143" spans="1:43" ht="6.75" customHeight="1" thickTop="1" thickBot="1" x14ac:dyDescent="0.3">
      <c r="B143" s="15"/>
      <c r="C143" s="14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1"/>
      <c r="S143" s="81"/>
      <c r="T143" s="81"/>
      <c r="U143" s="81"/>
      <c r="V143" s="81"/>
      <c r="W143" s="81"/>
      <c r="X143" s="81"/>
      <c r="Y143" s="81"/>
      <c r="Z143" s="81"/>
      <c r="AH143" s="131"/>
    </row>
    <row r="144" spans="1:43" ht="12.6" thickTop="1" x14ac:dyDescent="0.25">
      <c r="E144" s="37"/>
      <c r="S144" s="81"/>
      <c r="T144" s="81"/>
      <c r="U144" s="81"/>
      <c r="V144" s="81"/>
      <c r="W144" s="81"/>
      <c r="X144" s="81"/>
      <c r="Y144" s="81"/>
      <c r="Z144" s="81"/>
      <c r="AH144" s="131"/>
    </row>
    <row r="145" spans="1:43" x14ac:dyDescent="0.25">
      <c r="S145" s="81"/>
      <c r="T145" s="81"/>
      <c r="U145" s="81"/>
      <c r="V145" s="81"/>
      <c r="W145" s="81"/>
      <c r="X145" s="81"/>
      <c r="Y145" s="81"/>
      <c r="Z145" s="81"/>
      <c r="AH145" s="131"/>
    </row>
    <row r="146" spans="1:43" x14ac:dyDescent="0.25">
      <c r="S146" s="81"/>
      <c r="T146" s="81"/>
      <c r="U146" s="81"/>
      <c r="V146" s="81"/>
      <c r="W146" s="81"/>
      <c r="X146" s="81"/>
      <c r="Y146" s="81"/>
      <c r="Z146" s="81"/>
      <c r="AH146" s="131"/>
    </row>
    <row r="147" spans="1:43" ht="39.75" customHeight="1" x14ac:dyDescent="0.7">
      <c r="C147" s="36"/>
      <c r="E147" s="240"/>
      <c r="F147" s="240"/>
      <c r="G147" s="240"/>
      <c r="H147" s="240"/>
      <c r="I147" s="240"/>
      <c r="J147" s="240"/>
      <c r="K147" s="240"/>
      <c r="L147" s="240"/>
      <c r="M147" s="240"/>
      <c r="N147" s="240"/>
      <c r="O147" s="240"/>
      <c r="P147" s="240"/>
      <c r="Q147" s="32" t="s">
        <v>19</v>
      </c>
      <c r="R147" s="82"/>
      <c r="S147" s="81"/>
      <c r="T147" s="81"/>
      <c r="U147" s="81"/>
      <c r="V147" s="81"/>
      <c r="W147" s="81"/>
      <c r="X147" s="81"/>
      <c r="Y147" s="81"/>
      <c r="Z147" s="81"/>
      <c r="AH147" s="131"/>
    </row>
    <row r="148" spans="1:43" ht="12.6" thickBot="1" x14ac:dyDescent="0.3">
      <c r="B148" s="35"/>
      <c r="Q148" s="34" t="s">
        <v>202</v>
      </c>
      <c r="S148" s="81"/>
      <c r="T148" s="81"/>
      <c r="U148" s="81"/>
      <c r="V148" s="81"/>
      <c r="W148" s="81"/>
      <c r="X148" s="81"/>
      <c r="Y148" s="81"/>
      <c r="Z148" s="81"/>
      <c r="AH148" s="131"/>
    </row>
    <row r="149" spans="1:43" ht="6.75" customHeight="1" thickTop="1" thickBot="1" x14ac:dyDescent="0.3">
      <c r="B149" s="2"/>
      <c r="C149" s="14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1"/>
      <c r="S149" s="81"/>
      <c r="T149" s="81"/>
      <c r="U149" s="81"/>
      <c r="V149" s="81"/>
      <c r="W149" s="81"/>
      <c r="X149" s="81"/>
      <c r="Y149" s="81"/>
      <c r="Z149" s="81"/>
      <c r="AH149" s="131"/>
      <c r="AO149" s="137" t="s">
        <v>118</v>
      </c>
      <c r="AP149" s="137" t="s">
        <v>201</v>
      </c>
      <c r="AQ149" s="137" t="s">
        <v>200</v>
      </c>
    </row>
    <row r="150" spans="1:43" ht="13.2" hidden="1" thickTop="1" thickBot="1" x14ac:dyDescent="0.3">
      <c r="B150" s="2"/>
      <c r="C150" s="31" t="s">
        <v>199</v>
      </c>
      <c r="D150" s="30" t="s">
        <v>198</v>
      </c>
      <c r="E150" s="30" t="s">
        <v>197</v>
      </c>
      <c r="F150" s="30" t="s">
        <v>196</v>
      </c>
      <c r="G150" s="30" t="s">
        <v>195</v>
      </c>
      <c r="H150" s="30" t="s">
        <v>194</v>
      </c>
      <c r="I150" s="30" t="s">
        <v>193</v>
      </c>
      <c r="J150" s="30" t="s">
        <v>192</v>
      </c>
      <c r="K150" s="30" t="s">
        <v>191</v>
      </c>
      <c r="L150" s="30" t="s">
        <v>190</v>
      </c>
      <c r="M150" s="30" t="s">
        <v>189</v>
      </c>
      <c r="N150" s="30" t="s">
        <v>188</v>
      </c>
      <c r="O150" s="30" t="s">
        <v>187</v>
      </c>
      <c r="P150" s="30" t="s">
        <v>186</v>
      </c>
      <c r="Q150" s="29" t="s">
        <v>166</v>
      </c>
      <c r="R150" s="28"/>
      <c r="S150" s="81"/>
      <c r="T150" s="81"/>
      <c r="U150" s="81"/>
      <c r="V150" s="81">
        <v>5555</v>
      </c>
      <c r="W150" s="81"/>
      <c r="X150" s="81"/>
      <c r="Y150" s="81"/>
      <c r="Z150" s="81"/>
      <c r="AH150" s="131"/>
    </row>
    <row r="151" spans="1:43" ht="19.5" customHeight="1" thickTop="1" thickBot="1" x14ac:dyDescent="0.3">
      <c r="B151" s="28"/>
      <c r="C151" s="27" t="str">
        <f>DADOS!$AH$3</f>
        <v>📝 COE</v>
      </c>
      <c r="D151" s="26" t="str">
        <f>IF(investiroutrosconsolidadoanual[[#This Row],[TOTAL (R$)]]=0,"",IF(OR(investiroutrosconsolidadoanual[[#This Row],[TOTAL (R$)]]=LARGE($Q$151:$Q$158,1),investiroutrosconsolidadoanual[[#This Row],[TOTAL (R$)]]=LARGE($Q$151:$Q$158,2)),DADOS!$I$10,""))</f>
        <v>💎</v>
      </c>
      <c r="E151" s="96">
        <f>investiroutrosconsolidado282932[[#This Row],[TOTAL (R$)]]</f>
        <v>0</v>
      </c>
      <c r="F151" s="91">
        <f>investiroutrosconsolidadofev[[#This Row],[TOTAL (R$)]]</f>
        <v>176</v>
      </c>
      <c r="G151" s="91">
        <f>investiroutrosconsolidadomar[[#This Row],[TOTAL (R$)]]</f>
        <v>0</v>
      </c>
      <c r="H151" s="91">
        <f>investiroutrosconsolidadoabr[[#This Row],[TOTAL (R$)]]</f>
        <v>0</v>
      </c>
      <c r="I151" s="91">
        <f>investiroutrosconsolidadomai[[#This Row],[TOTAL (R$)]]</f>
        <v>0</v>
      </c>
      <c r="J151" s="91">
        <f>investiroutrosconsolidadojun[[#This Row],[TOTAL (R$)]]</f>
        <v>0</v>
      </c>
      <c r="K151" s="91">
        <f>investiroutrosconsolidadojul[[#This Row],[TOTAL (R$)]]</f>
        <v>0</v>
      </c>
      <c r="L151" s="91">
        <f>investiroutrosconsolidadoago[[#This Row],[TOTAL (R$)]]</f>
        <v>0</v>
      </c>
      <c r="M151" s="91">
        <f>investiroutrosconsolidadoset[[#This Row],[TOTAL (R$)]]</f>
        <v>0</v>
      </c>
      <c r="N151" s="91">
        <f>investiroutrosconsolidadoout[[#This Row],[TOTAL (R$)]]</f>
        <v>0</v>
      </c>
      <c r="O151" s="91">
        <f>investiroutrosconsolidadonov[[#This Row],[TOTAL (R$)]]</f>
        <v>0</v>
      </c>
      <c r="P151" s="91">
        <f>investiroutrosconsolidadodez[[#This Row],[TOTAL (R$)]]</f>
        <v>0</v>
      </c>
      <c r="Q151" s="97">
        <f>SUM(investiroutrosconsolidadoanual[[#This Row],[1]:[12]])</f>
        <v>176</v>
      </c>
      <c r="R151" s="25"/>
      <c r="S151" s="81"/>
      <c r="T151" s="81"/>
      <c r="U151" s="81"/>
      <c r="V151" s="81"/>
      <c r="W151" s="81"/>
      <c r="X151" s="81"/>
      <c r="Y151" s="81"/>
      <c r="Z151" s="81"/>
      <c r="AH151" s="131"/>
      <c r="AO151" s="138" t="e">
        <f>SUMIFS(tabela_registros[VALOR],tabela_registros[MÊS],$AE$1,tabela_registros[REGISTRO],DADOS!$N$5,tabela_registros[TIPO],DADOS!$AB$5,tabela_registros[CATEGORIA],investiroutrosconsolidadodez[[#This Row],[ATUAL]],#REF!,DADOS!$J$4)</f>
        <v>#REF!</v>
      </c>
      <c r="AP151" s="138" t="e">
        <f>SUMIFS(tabela_registros[VALOR],tabela_registros[MÊS],$AE$1,tabela_registros[REGISTRO],DADOS!$N$5,tabela_registros[TIPO],DADOS!$AB$5,tabela_registros[CATEGORIA],investiroutrosconsolidadodez[[#This Row],[ATUAL]],#REF!,DADOS!$J$3)</f>
        <v>#REF!</v>
      </c>
      <c r="AQ151" s="139">
        <f>(investiroutrosconsolidadoanual[[#This Row],[TOTAL (R$)]]*$AQ$159)/$Q$159</f>
        <v>0.49162011173184356</v>
      </c>
    </row>
    <row r="152" spans="1:43" ht="19.5" customHeight="1" thickTop="1" thickBot="1" x14ac:dyDescent="0.3">
      <c r="B152" s="28"/>
      <c r="C152" s="27" t="str">
        <f>DADOS!$AH$4</f>
        <v>📝 FOREX</v>
      </c>
      <c r="D152" s="26" t="str">
        <f>IF(investiroutrosconsolidadoanual[[#This Row],[TOTAL (R$)]]=0,"",IF(OR(investiroutrosconsolidadoanual[[#This Row],[TOTAL (R$)]]=LARGE($Q$151:$Q$158,1),investiroutrosconsolidadoanual[[#This Row],[TOTAL (R$)]]=LARGE($Q$151:$Q$158,2)),DADOS!$I$10,""))</f>
        <v/>
      </c>
      <c r="E152" s="96">
        <f>investiroutrosconsolidado282932[[#This Row],[TOTAL (R$)]]</f>
        <v>0</v>
      </c>
      <c r="F152" s="91">
        <f>investiroutrosconsolidadofev[[#This Row],[TOTAL (R$)]]</f>
        <v>0</v>
      </c>
      <c r="G152" s="91">
        <f>investiroutrosconsolidadomar[[#This Row],[TOTAL (R$)]]</f>
        <v>0</v>
      </c>
      <c r="H152" s="91">
        <f>investiroutrosconsolidadoabr[[#This Row],[TOTAL (R$)]]</f>
        <v>0</v>
      </c>
      <c r="I152" s="91">
        <f>investiroutrosconsolidadomai[[#This Row],[TOTAL (R$)]]</f>
        <v>0</v>
      </c>
      <c r="J152" s="91">
        <f>investiroutrosconsolidadojun[[#This Row],[TOTAL (R$)]]</f>
        <v>0</v>
      </c>
      <c r="K152" s="91">
        <f>investiroutrosconsolidadojul[[#This Row],[TOTAL (R$)]]</f>
        <v>0</v>
      </c>
      <c r="L152" s="91">
        <f>investiroutrosconsolidadoago[[#This Row],[TOTAL (R$)]]</f>
        <v>0</v>
      </c>
      <c r="M152" s="91">
        <f>investiroutrosconsolidadoset[[#This Row],[TOTAL (R$)]]</f>
        <v>0</v>
      </c>
      <c r="N152" s="91">
        <f>investiroutrosconsolidadoout[[#This Row],[TOTAL (R$)]]</f>
        <v>0</v>
      </c>
      <c r="O152" s="91">
        <f>investiroutrosconsolidadonov[[#This Row],[TOTAL (R$)]]</f>
        <v>0</v>
      </c>
      <c r="P152" s="91">
        <f>investiroutrosconsolidadodez[[#This Row],[TOTAL (R$)]]</f>
        <v>0</v>
      </c>
      <c r="Q152" s="97">
        <f>SUM(investiroutrosconsolidadoanual[[#This Row],[1]:[12]])</f>
        <v>0</v>
      </c>
      <c r="R152" s="25"/>
      <c r="S152" s="81"/>
      <c r="T152" s="81"/>
      <c r="U152" s="81"/>
      <c r="V152" s="81"/>
      <c r="W152" s="81"/>
      <c r="X152" s="81"/>
      <c r="Y152" s="81"/>
      <c r="Z152" s="81"/>
      <c r="AH152" s="131"/>
      <c r="AO152" s="138" t="e">
        <f>SUMIFS(tabela_registros[VALOR],tabela_registros[MÊS],$AE$1,tabela_registros[REGISTRO],DADOS!$N$5,tabela_registros[TIPO],DADOS!$AB$5,tabela_registros[CATEGORIA],investiroutrosconsolidadodez[[#This Row],[ATUAL]],#REF!,DADOS!$J$4)</f>
        <v>#REF!</v>
      </c>
      <c r="AP152" s="138" t="e">
        <f>SUMIFS(tabela_registros[VALOR],tabela_registros[MÊS],$AE$1,tabela_registros[REGISTRO],DADOS!$N$5,tabela_registros[TIPO],DADOS!$AB$5,tabela_registros[CATEGORIA],investiroutrosconsolidadodez[[#This Row],[ATUAL]],#REF!,DADOS!$J$3)</f>
        <v>#REF!</v>
      </c>
      <c r="AQ152" s="139">
        <f>(investiroutrosconsolidadoanual[[#This Row],[TOTAL (R$)]]*$AQ$159)/$Q$159</f>
        <v>0</v>
      </c>
    </row>
    <row r="153" spans="1:43" ht="19.5" customHeight="1" thickTop="1" thickBot="1" x14ac:dyDescent="0.3">
      <c r="B153" s="28"/>
      <c r="C153" s="27" t="str">
        <f>DADOS!$AH$5</f>
        <v>📝 FUNDO DE INVESTIMENTO</v>
      </c>
      <c r="D153" s="26" t="str">
        <f>IF(investiroutrosconsolidadoanual[[#This Row],[TOTAL (R$)]]=0,"",IF(OR(investiroutrosconsolidadoanual[[#This Row],[TOTAL (R$)]]=LARGE($Q$151:$Q$158,1),investiroutrosconsolidadoanual[[#This Row],[TOTAL (R$)]]=LARGE($Q$151:$Q$158,2)),DADOS!$I$10,""))</f>
        <v/>
      </c>
      <c r="E153" s="96">
        <f>investiroutrosconsolidado282932[[#This Row],[TOTAL (R$)]]</f>
        <v>0</v>
      </c>
      <c r="F153" s="91">
        <f>investiroutrosconsolidadofev[[#This Row],[TOTAL (R$)]]</f>
        <v>0</v>
      </c>
      <c r="G153" s="91">
        <f>investiroutrosconsolidadomar[[#This Row],[TOTAL (R$)]]</f>
        <v>0</v>
      </c>
      <c r="H153" s="91">
        <f>investiroutrosconsolidadoabr[[#This Row],[TOTAL (R$)]]</f>
        <v>0</v>
      </c>
      <c r="I153" s="91">
        <f>investiroutrosconsolidadomai[[#This Row],[TOTAL (R$)]]</f>
        <v>0</v>
      </c>
      <c r="J153" s="91">
        <f>investiroutrosconsolidadojun[[#This Row],[TOTAL (R$)]]</f>
        <v>0</v>
      </c>
      <c r="K153" s="91">
        <f>investiroutrosconsolidadojul[[#This Row],[TOTAL (R$)]]</f>
        <v>0</v>
      </c>
      <c r="L153" s="91">
        <f>investiroutrosconsolidadoago[[#This Row],[TOTAL (R$)]]</f>
        <v>0</v>
      </c>
      <c r="M153" s="91">
        <f>investiroutrosconsolidadoset[[#This Row],[TOTAL (R$)]]</f>
        <v>0</v>
      </c>
      <c r="N153" s="91">
        <f>investiroutrosconsolidadoout[[#This Row],[TOTAL (R$)]]</f>
        <v>0</v>
      </c>
      <c r="O153" s="91">
        <f>investiroutrosconsolidadonov[[#This Row],[TOTAL (R$)]]</f>
        <v>0</v>
      </c>
      <c r="P153" s="91">
        <f>investiroutrosconsolidadodez[[#This Row],[TOTAL (R$)]]</f>
        <v>0</v>
      </c>
      <c r="Q153" s="97">
        <f>SUM(investiroutrosconsolidadoanual[[#This Row],[1]:[12]])</f>
        <v>0</v>
      </c>
      <c r="R153" s="25"/>
      <c r="S153" s="81"/>
      <c r="T153" s="81"/>
      <c r="U153" s="81"/>
      <c r="V153" s="81"/>
      <c r="W153" s="81"/>
      <c r="X153" s="81"/>
      <c r="Y153" s="81"/>
      <c r="Z153" s="81"/>
      <c r="AH153" s="131"/>
      <c r="AO153" s="138" t="e">
        <f>SUMIFS(tabela_registros[VALOR],tabela_registros[MÊS],$AE$1,tabela_registros[REGISTRO],DADOS!$N$5,tabela_registros[TIPO],DADOS!$AB$5,tabela_registros[CATEGORIA],investiroutrosconsolidadodez[[#This Row],[ATUAL]],#REF!,DADOS!$J$4)</f>
        <v>#REF!</v>
      </c>
      <c r="AP153" s="138" t="e">
        <f>SUMIFS(tabela_registros[VALOR],tabela_registros[MÊS],$AE$1,tabela_registros[REGISTRO],DADOS!$N$5,tabela_registros[TIPO],DADOS!$AB$5,tabela_registros[CATEGORIA],investiroutrosconsolidadodez[[#This Row],[ATUAL]],#REF!,DADOS!$J$3)</f>
        <v>#REF!</v>
      </c>
      <c r="AQ153" s="139">
        <f>(investiroutrosconsolidadoanual[[#This Row],[TOTAL (R$)]]*$AQ$159)/$Q$159</f>
        <v>0</v>
      </c>
    </row>
    <row r="154" spans="1:43" ht="19.5" customHeight="1" thickTop="1" thickBot="1" x14ac:dyDescent="0.3">
      <c r="B154" s="28"/>
      <c r="C154" s="27" t="str">
        <f>DADOS!$AH$6</f>
        <v>📝 NOVA EMPRESA</v>
      </c>
      <c r="D154" s="26" t="str">
        <f>IF(investiroutrosconsolidadoanual[[#This Row],[TOTAL (R$)]]=0,"",IF(OR(investiroutrosconsolidadoanual[[#This Row],[TOTAL (R$)]]=LARGE($Q$151:$Q$158,1),investiroutrosconsolidadoanual[[#This Row],[TOTAL (R$)]]=LARGE($Q$151:$Q$158,2)),DADOS!$I$10,""))</f>
        <v/>
      </c>
      <c r="E154" s="96">
        <f>investiroutrosconsolidado282932[[#This Row],[TOTAL (R$)]]</f>
        <v>0</v>
      </c>
      <c r="F154" s="91">
        <f>investiroutrosconsolidadofev[[#This Row],[TOTAL (R$)]]</f>
        <v>0</v>
      </c>
      <c r="G154" s="91">
        <f>investiroutrosconsolidadomar[[#This Row],[TOTAL (R$)]]</f>
        <v>0</v>
      </c>
      <c r="H154" s="91">
        <f>investiroutrosconsolidadoabr[[#This Row],[TOTAL (R$)]]</f>
        <v>0</v>
      </c>
      <c r="I154" s="91">
        <f>investiroutrosconsolidadomai[[#This Row],[TOTAL (R$)]]</f>
        <v>0</v>
      </c>
      <c r="J154" s="91">
        <f>investiroutrosconsolidadojun[[#This Row],[TOTAL (R$)]]</f>
        <v>0</v>
      </c>
      <c r="K154" s="91">
        <f>investiroutrosconsolidadojul[[#This Row],[TOTAL (R$)]]</f>
        <v>0</v>
      </c>
      <c r="L154" s="91">
        <f>investiroutrosconsolidadoago[[#This Row],[TOTAL (R$)]]</f>
        <v>0</v>
      </c>
      <c r="M154" s="91">
        <f>investiroutrosconsolidadoset[[#This Row],[TOTAL (R$)]]</f>
        <v>0</v>
      </c>
      <c r="N154" s="91">
        <f>investiroutrosconsolidadoout[[#This Row],[TOTAL (R$)]]</f>
        <v>0</v>
      </c>
      <c r="O154" s="91">
        <f>investiroutrosconsolidadonov[[#This Row],[TOTAL (R$)]]</f>
        <v>0</v>
      </c>
      <c r="P154" s="91">
        <f>investiroutrosconsolidadodez[[#This Row],[TOTAL (R$)]]</f>
        <v>0</v>
      </c>
      <c r="Q154" s="97">
        <f>SUM(investiroutrosconsolidadoanual[[#This Row],[1]:[12]])</f>
        <v>0</v>
      </c>
      <c r="R154" s="25"/>
      <c r="S154" s="81"/>
      <c r="T154" s="81"/>
      <c r="U154" s="81"/>
      <c r="V154" s="81"/>
      <c r="W154" s="81"/>
      <c r="X154" s="81"/>
      <c r="Y154" s="81"/>
      <c r="Z154" s="81"/>
      <c r="AH154" s="131"/>
      <c r="AO154" s="138" t="e">
        <f>SUMIFS(tabela_registros[VALOR],tabela_registros[MÊS],$AE$1,tabela_registros[REGISTRO],DADOS!$N$5,tabela_registros[TIPO],DADOS!$AB$5,tabela_registros[CATEGORIA],investiroutrosconsolidadodez[[#This Row],[ATUAL]],#REF!,DADOS!$J$4)</f>
        <v>#REF!</v>
      </c>
      <c r="AP154" s="138" t="e">
        <f>SUMIFS(tabela_registros[VALOR],tabela_registros[MÊS],$AE$1,tabela_registros[REGISTRO],DADOS!$N$5,tabela_registros[TIPO],DADOS!$AB$5,tabela_registros[CATEGORIA],investiroutrosconsolidadodez[[#This Row],[ATUAL]],#REF!,DADOS!$J$3)</f>
        <v>#REF!</v>
      </c>
      <c r="AQ154" s="139">
        <f>(investiroutrosconsolidadoanual[[#This Row],[TOTAL (R$)]]*$AQ$159)/$Q$159</f>
        <v>0</v>
      </c>
    </row>
    <row r="155" spans="1:43" ht="19.5" customHeight="1" thickTop="1" thickBot="1" x14ac:dyDescent="0.3">
      <c r="B155" s="28"/>
      <c r="C155" s="27" t="str">
        <f>DADOS!$AH$7</f>
        <v>📝 PEER TO COMPANY</v>
      </c>
      <c r="D155" s="26" t="str">
        <f>IF(investiroutrosconsolidadoanual[[#This Row],[TOTAL (R$)]]=0,"",IF(OR(investiroutrosconsolidadoanual[[#This Row],[TOTAL (R$)]]=LARGE($Q$151:$Q$158,1),investiroutrosconsolidadoanual[[#This Row],[TOTAL (R$)]]=LARGE($Q$151:$Q$158,2)),DADOS!$I$10,""))</f>
        <v/>
      </c>
      <c r="E155" s="96">
        <f>investiroutrosconsolidado282932[[#This Row],[TOTAL (R$)]]</f>
        <v>0</v>
      </c>
      <c r="F155" s="91">
        <f>investiroutrosconsolidadofev[[#This Row],[TOTAL (R$)]]</f>
        <v>0</v>
      </c>
      <c r="G155" s="91">
        <f>investiroutrosconsolidadomar[[#This Row],[TOTAL (R$)]]</f>
        <v>0</v>
      </c>
      <c r="H155" s="91">
        <f>investiroutrosconsolidadoabr[[#This Row],[TOTAL (R$)]]</f>
        <v>0</v>
      </c>
      <c r="I155" s="91">
        <f>investiroutrosconsolidadomai[[#This Row],[TOTAL (R$)]]</f>
        <v>0</v>
      </c>
      <c r="J155" s="91">
        <f>investiroutrosconsolidadojun[[#This Row],[TOTAL (R$)]]</f>
        <v>0</v>
      </c>
      <c r="K155" s="91">
        <f>investiroutrosconsolidadojul[[#This Row],[TOTAL (R$)]]</f>
        <v>0</v>
      </c>
      <c r="L155" s="91">
        <f>investiroutrosconsolidadoago[[#This Row],[TOTAL (R$)]]</f>
        <v>0</v>
      </c>
      <c r="M155" s="91">
        <f>investiroutrosconsolidadoset[[#This Row],[TOTAL (R$)]]</f>
        <v>0</v>
      </c>
      <c r="N155" s="91">
        <f>investiroutrosconsolidadoout[[#This Row],[TOTAL (R$)]]</f>
        <v>0</v>
      </c>
      <c r="O155" s="91">
        <f>investiroutrosconsolidadonov[[#This Row],[TOTAL (R$)]]</f>
        <v>0</v>
      </c>
      <c r="P155" s="91">
        <f>investiroutrosconsolidadodez[[#This Row],[TOTAL (R$)]]</f>
        <v>0</v>
      </c>
      <c r="Q155" s="97">
        <f>SUM(investiroutrosconsolidadoanual[[#This Row],[1]:[12]])</f>
        <v>0</v>
      </c>
      <c r="R155" s="25"/>
      <c r="S155" s="81"/>
      <c r="T155" s="81"/>
      <c r="U155" s="81"/>
      <c r="V155" s="81"/>
      <c r="W155" s="81"/>
      <c r="X155" s="81"/>
      <c r="Y155" s="81"/>
      <c r="Z155" s="81"/>
      <c r="AH155" s="131"/>
      <c r="AO155" s="138" t="e">
        <f>SUMIFS(tabela_registros[VALOR],tabela_registros[MÊS],$AE$1,tabela_registros[REGISTRO],DADOS!$N$5,tabela_registros[TIPO],DADOS!$AB$5,tabela_registros[CATEGORIA],investiroutrosconsolidadodez[[#This Row],[ATUAL]],#REF!,DADOS!$J$4)</f>
        <v>#REF!</v>
      </c>
      <c r="AP155" s="138" t="e">
        <f>SUMIFS(tabela_registros[VALOR],tabela_registros[MÊS],$AE$1,tabela_registros[REGISTRO],DADOS!$N$5,tabela_registros[TIPO],DADOS!$AB$5,tabela_registros[CATEGORIA],investiroutrosconsolidadodez[[#This Row],[ATUAL]],#REF!,DADOS!$J$3)</f>
        <v>#REF!</v>
      </c>
      <c r="AQ155" s="139">
        <f>(investiroutrosconsolidadoanual[[#This Row],[TOTAL (R$)]]*$AQ$159)/$Q$159</f>
        <v>0</v>
      </c>
    </row>
    <row r="156" spans="1:43" ht="19.5" customHeight="1" thickTop="1" thickBot="1" x14ac:dyDescent="0.3">
      <c r="B156" s="28"/>
      <c r="C156" s="27" t="str">
        <f>DADOS!$AH$8</f>
        <v>📝 PEER TO PEER</v>
      </c>
      <c r="D156" s="26" t="str">
        <f>IF(investiroutrosconsolidadoanual[[#This Row],[TOTAL (R$)]]=0,"",IF(OR(investiroutrosconsolidadoanual[[#This Row],[TOTAL (R$)]]=LARGE($Q$151:$Q$158,1),investiroutrosconsolidadoanual[[#This Row],[TOTAL (R$)]]=LARGE($Q$151:$Q$158,2)),DADOS!$I$10,""))</f>
        <v>💎</v>
      </c>
      <c r="E156" s="96">
        <f>investiroutrosconsolidado282932[[#This Row],[TOTAL (R$)]]</f>
        <v>0</v>
      </c>
      <c r="F156" s="91">
        <f>investiroutrosconsolidadofev[[#This Row],[TOTAL (R$)]]</f>
        <v>182</v>
      </c>
      <c r="G156" s="91">
        <f>investiroutrosconsolidadomar[[#This Row],[TOTAL (R$)]]</f>
        <v>0</v>
      </c>
      <c r="H156" s="91">
        <f>investiroutrosconsolidadoabr[[#This Row],[TOTAL (R$)]]</f>
        <v>0</v>
      </c>
      <c r="I156" s="91">
        <f>investiroutrosconsolidadomai[[#This Row],[TOTAL (R$)]]</f>
        <v>0</v>
      </c>
      <c r="J156" s="91">
        <f>investiroutrosconsolidadojun[[#This Row],[TOTAL (R$)]]</f>
        <v>0</v>
      </c>
      <c r="K156" s="91">
        <f>investiroutrosconsolidadojul[[#This Row],[TOTAL (R$)]]</f>
        <v>0</v>
      </c>
      <c r="L156" s="91">
        <f>investiroutrosconsolidadoago[[#This Row],[TOTAL (R$)]]</f>
        <v>0</v>
      </c>
      <c r="M156" s="91">
        <f>investiroutrosconsolidadoset[[#This Row],[TOTAL (R$)]]</f>
        <v>0</v>
      </c>
      <c r="N156" s="91">
        <f>investiroutrosconsolidadoout[[#This Row],[TOTAL (R$)]]</f>
        <v>0</v>
      </c>
      <c r="O156" s="91">
        <f>investiroutrosconsolidadonov[[#This Row],[TOTAL (R$)]]</f>
        <v>0</v>
      </c>
      <c r="P156" s="91">
        <f>investiroutrosconsolidadodez[[#This Row],[TOTAL (R$)]]</f>
        <v>0</v>
      </c>
      <c r="Q156" s="97">
        <f>SUM(investiroutrosconsolidadoanual[[#This Row],[1]:[12]])</f>
        <v>182</v>
      </c>
      <c r="R156" s="25"/>
      <c r="S156" s="81"/>
      <c r="T156" s="81"/>
      <c r="U156" s="81"/>
      <c r="V156" s="81"/>
      <c r="W156" s="81"/>
      <c r="X156" s="81"/>
      <c r="Y156" s="81"/>
      <c r="Z156" s="81"/>
      <c r="AH156" s="131"/>
      <c r="AO156" s="138" t="e">
        <f>SUMIFS(tabela_registros[VALOR],tabela_registros[MÊS],$AE$1,tabela_registros[REGISTRO],DADOS!$N$5,tabela_registros[TIPO],DADOS!$AB$5,tabela_registros[CATEGORIA],investiroutrosconsolidadodez[[#This Row],[ATUAL]],#REF!,DADOS!$J$4)</f>
        <v>#REF!</v>
      </c>
      <c r="AP156" s="138" t="e">
        <f>SUMIFS(tabela_registros[VALOR],tabela_registros[MÊS],$AE$1,tabela_registros[REGISTRO],DADOS!$N$5,tabela_registros[TIPO],DADOS!$AB$5,tabela_registros[CATEGORIA],investiroutrosconsolidadodez[[#This Row],[ATUAL]],#REF!,DADOS!$J$3)</f>
        <v>#REF!</v>
      </c>
      <c r="AQ156" s="139">
        <f>(investiroutrosconsolidadoanual[[#This Row],[TOTAL (R$)]]*$AQ$159)/$Q$159</f>
        <v>0.50837988826815639</v>
      </c>
    </row>
    <row r="157" spans="1:43" ht="19.5" customHeight="1" thickTop="1" thickBot="1" x14ac:dyDescent="0.3">
      <c r="B157" s="28"/>
      <c r="C157" s="27" t="str">
        <f>DADOS!$AH$9</f>
        <v>📝 PREVIDÊNCIA PRIVADA</v>
      </c>
      <c r="D157" s="26" t="str">
        <f>IF(investiroutrosconsolidadoanual[[#This Row],[TOTAL (R$)]]=0,"",IF(OR(investiroutrosconsolidadoanual[[#This Row],[TOTAL (R$)]]=LARGE($Q$151:$Q$158,1),investiroutrosconsolidadoanual[[#This Row],[TOTAL (R$)]]=LARGE($Q$151:$Q$158,2)),DADOS!$I$10,""))</f>
        <v/>
      </c>
      <c r="E157" s="96">
        <f>investiroutrosconsolidado282932[[#This Row],[TOTAL (R$)]]</f>
        <v>0</v>
      </c>
      <c r="F157" s="91">
        <f>investiroutrosconsolidadofev[[#This Row],[TOTAL (R$)]]</f>
        <v>0</v>
      </c>
      <c r="G157" s="91">
        <f>investiroutrosconsolidadomar[[#This Row],[TOTAL (R$)]]</f>
        <v>0</v>
      </c>
      <c r="H157" s="91">
        <f>investiroutrosconsolidadoabr[[#This Row],[TOTAL (R$)]]</f>
        <v>0</v>
      </c>
      <c r="I157" s="91">
        <f>investiroutrosconsolidadomai[[#This Row],[TOTAL (R$)]]</f>
        <v>0</v>
      </c>
      <c r="J157" s="91">
        <f>investiroutrosconsolidadojun[[#This Row],[TOTAL (R$)]]</f>
        <v>0</v>
      </c>
      <c r="K157" s="91">
        <f>investiroutrosconsolidadojul[[#This Row],[TOTAL (R$)]]</f>
        <v>0</v>
      </c>
      <c r="L157" s="91">
        <f>investiroutrosconsolidadoago[[#This Row],[TOTAL (R$)]]</f>
        <v>0</v>
      </c>
      <c r="M157" s="91">
        <f>investiroutrosconsolidadoset[[#This Row],[TOTAL (R$)]]</f>
        <v>0</v>
      </c>
      <c r="N157" s="91">
        <f>investiroutrosconsolidadoout[[#This Row],[TOTAL (R$)]]</f>
        <v>0</v>
      </c>
      <c r="O157" s="91">
        <f>investiroutrosconsolidadonov[[#This Row],[TOTAL (R$)]]</f>
        <v>0</v>
      </c>
      <c r="P157" s="91">
        <f>investiroutrosconsolidadodez[[#This Row],[TOTAL (R$)]]</f>
        <v>0</v>
      </c>
      <c r="Q157" s="97">
        <f>SUM(investiroutrosconsolidadoanual[[#This Row],[1]:[12]])</f>
        <v>0</v>
      </c>
      <c r="R157" s="25"/>
      <c r="S157" s="81"/>
      <c r="T157" s="81"/>
      <c r="U157" s="81"/>
      <c r="V157" s="81"/>
      <c r="W157" s="81"/>
      <c r="X157" s="81"/>
      <c r="Y157" s="81"/>
      <c r="Z157" s="81"/>
      <c r="AH157" s="131"/>
      <c r="AO157" s="138" t="e">
        <f>SUMIFS(tabela_registros[VALOR],tabela_registros[MÊS],$AE$1,tabela_registros[REGISTRO],DADOS!$N$5,tabela_registros[TIPO],DADOS!$AB$5,tabela_registros[CATEGORIA],investiroutrosconsolidadodez[[#This Row],[ATUAL]],#REF!,DADOS!$J$4)</f>
        <v>#REF!</v>
      </c>
      <c r="AP157" s="138" t="e">
        <f>SUMIFS(tabela_registros[VALOR],tabela_registros[MÊS],$AE$1,tabela_registros[REGISTRO],DADOS!$N$5,tabela_registros[TIPO],DADOS!$AB$5,tabela_registros[CATEGORIA],investiroutrosconsolidadodez[[#This Row],[ATUAL]],#REF!,DADOS!$J$3)</f>
        <v>#REF!</v>
      </c>
      <c r="AQ157" s="139">
        <f>(investiroutrosconsolidadoanual[[#This Row],[TOTAL (R$)]]*$AQ$159)/$Q$159</f>
        <v>0</v>
      </c>
    </row>
    <row r="158" spans="1:43" ht="19.5" customHeight="1" thickTop="1" thickBot="1" x14ac:dyDescent="0.3">
      <c r="B158" s="28"/>
      <c r="C158" s="27" t="str">
        <f>DADOS!$AH$10</f>
        <v>📎 OUTROS</v>
      </c>
      <c r="D158" s="26" t="str">
        <f>IF(investiroutrosconsolidadoanual[[#This Row],[TOTAL (R$)]]=0,"",IF(OR(investiroutrosconsolidadoanual[[#This Row],[TOTAL (R$)]]=LARGE($Q$151:$Q$158,1),investiroutrosconsolidadoanual[[#This Row],[TOTAL (R$)]]=LARGE($Q$151:$Q$158,2)),DADOS!$I$10,""))</f>
        <v/>
      </c>
      <c r="E158" s="96">
        <f>investiroutrosconsolidado282932[[#This Row],[TOTAL (R$)]]</f>
        <v>0</v>
      </c>
      <c r="F158" s="91">
        <f>investiroutrosconsolidadofev[[#This Row],[TOTAL (R$)]]</f>
        <v>0</v>
      </c>
      <c r="G158" s="91">
        <f>investiroutrosconsolidadomar[[#This Row],[TOTAL (R$)]]</f>
        <v>0</v>
      </c>
      <c r="H158" s="91">
        <f>investiroutrosconsolidadoabr[[#This Row],[TOTAL (R$)]]</f>
        <v>0</v>
      </c>
      <c r="I158" s="91">
        <f>investiroutrosconsolidadomai[[#This Row],[TOTAL (R$)]]</f>
        <v>0</v>
      </c>
      <c r="J158" s="91">
        <f>investiroutrosconsolidadojun[[#This Row],[TOTAL (R$)]]</f>
        <v>0</v>
      </c>
      <c r="K158" s="91">
        <f>investiroutrosconsolidadojul[[#This Row],[TOTAL (R$)]]</f>
        <v>0</v>
      </c>
      <c r="L158" s="91">
        <f>investiroutrosconsolidadoago[[#This Row],[TOTAL (R$)]]</f>
        <v>0</v>
      </c>
      <c r="M158" s="91">
        <f>investiroutrosconsolidadoset[[#This Row],[TOTAL (R$)]]</f>
        <v>0</v>
      </c>
      <c r="N158" s="91">
        <f>investiroutrosconsolidadoout[[#This Row],[TOTAL (R$)]]</f>
        <v>0</v>
      </c>
      <c r="O158" s="91">
        <f>investiroutrosconsolidadonov[[#This Row],[TOTAL (R$)]]</f>
        <v>0</v>
      </c>
      <c r="P158" s="91">
        <f>investiroutrosconsolidadodez[[#This Row],[TOTAL (R$)]]</f>
        <v>0</v>
      </c>
      <c r="Q158" s="97">
        <f>SUM(investiroutrosconsolidadoanual[[#This Row],[1]:[12]])</f>
        <v>0</v>
      </c>
      <c r="R158" s="25"/>
      <c r="S158" s="81"/>
      <c r="T158" s="81"/>
      <c r="U158" s="81"/>
      <c r="V158" s="81"/>
      <c r="W158" s="81"/>
      <c r="X158" s="81"/>
      <c r="Y158" s="81"/>
      <c r="Z158" s="81"/>
      <c r="AH158" s="131"/>
      <c r="AN158" s="131" t="s">
        <v>165</v>
      </c>
      <c r="AO158" s="138" t="e">
        <f>SUMIFS(tabela_registros[VALOR],tabela_registros[MÊS],$AE$1,tabela_registros[REGISTRO],DADOS!$N$5,tabela_registros[TIPO],DADOS!$AB$5,tabela_registros[CATEGORIA],investiroutrosconsolidadodez[[#This Row],[ATUAL]],#REF!,DADOS!$J$4)</f>
        <v>#REF!</v>
      </c>
      <c r="AP158" s="138" t="e">
        <f>SUMIFS(tabela_registros[VALOR],tabela_registros[MÊS],$AE$1,tabela_registros[REGISTRO],DADOS!$N$5,tabela_registros[TIPO],DADOS!$AB$5,tabela_registros[CATEGORIA],investiroutrosconsolidadodez[[#This Row],[ATUAL]],#REF!,DADOS!$J$3)</f>
        <v>#REF!</v>
      </c>
      <c r="AQ158" s="139">
        <f>(investiroutrosconsolidadoanual[[#This Row],[TOTAL (R$)]]*$AQ$159)/$Q$159</f>
        <v>0</v>
      </c>
    </row>
    <row r="159" spans="1:43" s="140" customFormat="1" ht="21" customHeight="1" thickTop="1" thickBot="1" x14ac:dyDescent="0.3">
      <c r="A159" s="16"/>
      <c r="B159" s="24"/>
      <c r="C159" s="23" t="s">
        <v>19</v>
      </c>
      <c r="D159" s="22"/>
      <c r="E159" s="21">
        <f>investiroutrosconsolidado282932[[#This Row],[TOTAL (R$)]]</f>
        <v>0</v>
      </c>
      <c r="F159" s="20">
        <f>investiroutrosconsolidadofev[[#This Row],[TOTAL (R$)]]+investiroutrosconsolidadoanual[[#This Row],[1]]</f>
        <v>358</v>
      </c>
      <c r="G159" s="20">
        <f>investiroutrosconsolidadomar[[#This Row],[TOTAL (R$)]]+investiroutrosconsolidadoanual[[#This Row],[2]]</f>
        <v>358</v>
      </c>
      <c r="H159" s="20">
        <f>investiroutrosconsolidadoabr[[#This Row],[TOTAL (R$)]]+investiroutrosconsolidadoanual[[#This Row],[3]]</f>
        <v>358</v>
      </c>
      <c r="I159" s="20">
        <f>investiroutrosconsolidadomai[[#This Row],[TOTAL (R$)]]+investiroutrosconsolidadoanual[[#This Row],[4]]</f>
        <v>358</v>
      </c>
      <c r="J159" s="20">
        <f>investiroutrosconsolidadojun[[#This Row],[TOTAL (R$)]]+investiroutrosconsolidadoanual[[#This Row],[5]]</f>
        <v>358</v>
      </c>
      <c r="K159" s="20">
        <f>investiroutrosconsolidadojul[[#This Row],[TOTAL (R$)]]+investiroutrosconsolidadoanual[[#This Row],[6]]</f>
        <v>358</v>
      </c>
      <c r="L159" s="20">
        <f>investiroutrosconsolidadoago[[#This Row],[TOTAL (R$)]]+investiroutrosconsolidadoanual[[#This Row],[7]]</f>
        <v>358</v>
      </c>
      <c r="M159" s="20">
        <f>investiroutrosconsolidadoset[[#This Row],[TOTAL (R$)]]+investiroutrosconsolidadoanual[[#This Row],[8]]</f>
        <v>358</v>
      </c>
      <c r="N159" s="20">
        <f>investiroutrosconsolidadoout[[#This Row],[TOTAL (R$)]]+investiroutrosconsolidadoanual[[#This Row],[9]]</f>
        <v>358</v>
      </c>
      <c r="O159" s="20">
        <f>investiroutrosconsolidadonov[[#This Row],[TOTAL (R$)]]+investiroutrosconsolidadoanual[[#This Row],[10]]</f>
        <v>358</v>
      </c>
      <c r="P159" s="20">
        <f>investiroutrosconsolidadodez[[#This Row],[TOTAL (R$)]]+investiroutrosconsolidadoanual[[#This Row],[11]]</f>
        <v>358</v>
      </c>
      <c r="Q159" s="18">
        <f>investiroutrosconsolidadoanual[[#This Row],[12]]</f>
        <v>358</v>
      </c>
      <c r="R159" s="17"/>
      <c r="S159" s="81"/>
      <c r="T159" s="81"/>
      <c r="U159" s="81"/>
      <c r="V159" s="81"/>
      <c r="W159" s="81"/>
      <c r="X159" s="81"/>
      <c r="Y159" s="81"/>
      <c r="Z159" s="81"/>
      <c r="AA159" s="131"/>
      <c r="AB159" s="131"/>
      <c r="AC159" s="131"/>
      <c r="AD159" s="131"/>
      <c r="AE159" s="131"/>
      <c r="AF159" s="131"/>
      <c r="AG159" s="131"/>
      <c r="AH159" s="131"/>
      <c r="AI159" s="131"/>
      <c r="AJ159" s="131"/>
      <c r="AK159" s="131"/>
      <c r="AN159" s="142">
        <f>investiroutrosconsolidadoanual[[#This Row],[TOTAL (R$)]]/$Q$25</f>
        <v>0.12925854287556418</v>
      </c>
      <c r="AO159" s="141" t="e">
        <f>SUM(AO151:AO158)</f>
        <v>#REF!</v>
      </c>
      <c r="AP159" s="141" t="e">
        <f>SUM(AP151:AP158)</f>
        <v>#REF!</v>
      </c>
      <c r="AQ159" s="139">
        <f>1</f>
        <v>1</v>
      </c>
    </row>
    <row r="160" spans="1:43" ht="6.75" customHeight="1" thickTop="1" thickBot="1" x14ac:dyDescent="0.3">
      <c r="B160" s="15"/>
      <c r="C160" s="14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1"/>
      <c r="S160" s="81"/>
      <c r="T160" s="81"/>
      <c r="U160" s="81"/>
      <c r="V160" s="81"/>
      <c r="W160" s="81"/>
      <c r="X160" s="81"/>
      <c r="Y160" s="81"/>
      <c r="Z160" s="81"/>
      <c r="AH160" s="131"/>
      <c r="AO160" s="138"/>
      <c r="AP160" s="138"/>
      <c r="AQ160" s="139"/>
    </row>
    <row r="161" spans="2:43" ht="12.6" thickTop="1" x14ac:dyDescent="0.25">
      <c r="E161" s="37"/>
      <c r="S161" s="81"/>
      <c r="T161" s="81"/>
      <c r="U161" s="81"/>
      <c r="V161" s="81"/>
      <c r="W161" s="81"/>
      <c r="X161" s="81"/>
      <c r="Y161" s="81"/>
      <c r="Z161" s="81"/>
      <c r="AH161" s="131"/>
    </row>
    <row r="162" spans="2:43" x14ac:dyDescent="0.25">
      <c r="S162" s="81"/>
      <c r="T162" s="81"/>
      <c r="U162" s="81"/>
      <c r="V162" s="81"/>
      <c r="W162" s="81"/>
      <c r="X162" s="81"/>
      <c r="Y162" s="81"/>
      <c r="Z162" s="81"/>
      <c r="AH162" s="131"/>
    </row>
    <row r="163" spans="2:43" x14ac:dyDescent="0.25">
      <c r="S163" s="81"/>
      <c r="T163" s="81"/>
      <c r="U163" s="81"/>
      <c r="V163" s="81"/>
      <c r="W163" s="81"/>
      <c r="X163" s="81"/>
      <c r="Y163" s="81"/>
      <c r="Z163" s="81"/>
      <c r="AH163" s="131"/>
    </row>
    <row r="164" spans="2:43" ht="39.75" customHeight="1" x14ac:dyDescent="0.7">
      <c r="C164" s="36"/>
      <c r="E164" s="240"/>
      <c r="F164" s="240"/>
      <c r="G164" s="240"/>
      <c r="H164" s="240"/>
      <c r="I164" s="240"/>
      <c r="J164" s="240"/>
      <c r="K164" s="240"/>
      <c r="L164" s="240"/>
      <c r="M164" s="240"/>
      <c r="N164" s="240"/>
      <c r="O164" s="240"/>
      <c r="P164" s="240"/>
      <c r="Q164" s="32" t="s">
        <v>19</v>
      </c>
      <c r="R164" s="82"/>
      <c r="S164" s="81"/>
      <c r="T164" s="81"/>
      <c r="U164" s="81"/>
      <c r="V164" s="81"/>
      <c r="W164" s="81"/>
      <c r="X164" s="81"/>
      <c r="Y164" s="81"/>
      <c r="Z164" s="81"/>
      <c r="AH164" s="131"/>
    </row>
    <row r="165" spans="2:43" ht="12.6" thickBot="1" x14ac:dyDescent="0.3">
      <c r="B165" s="35"/>
      <c r="Q165" s="34" t="s">
        <v>202</v>
      </c>
      <c r="S165" s="81"/>
      <c r="T165" s="81"/>
      <c r="U165" s="81"/>
      <c r="V165" s="81"/>
      <c r="W165" s="81"/>
      <c r="X165" s="81"/>
      <c r="Y165" s="81"/>
      <c r="Z165" s="81"/>
      <c r="AH165" s="131"/>
    </row>
    <row r="166" spans="2:43" ht="6.75" customHeight="1" thickTop="1" thickBot="1" x14ac:dyDescent="0.3">
      <c r="B166" s="2"/>
      <c r="C166" s="14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1"/>
      <c r="S166" s="81"/>
      <c r="T166" s="81"/>
      <c r="U166" s="81"/>
      <c r="V166" s="81"/>
      <c r="W166" s="81"/>
      <c r="X166" s="81"/>
      <c r="Y166" s="81"/>
      <c r="Z166" s="81"/>
      <c r="AH166" s="131"/>
      <c r="AO166" s="137" t="s">
        <v>118</v>
      </c>
      <c r="AP166" s="137" t="s">
        <v>201</v>
      </c>
      <c r="AQ166" s="137" t="s">
        <v>200</v>
      </c>
    </row>
    <row r="167" spans="2:43" ht="13.2" hidden="1" thickTop="1" thickBot="1" x14ac:dyDescent="0.3">
      <c r="B167" s="2"/>
      <c r="C167" s="31" t="s">
        <v>199</v>
      </c>
      <c r="D167" s="30" t="s">
        <v>198</v>
      </c>
      <c r="E167" s="30" t="s">
        <v>197</v>
      </c>
      <c r="F167" s="30" t="s">
        <v>196</v>
      </c>
      <c r="G167" s="30" t="s">
        <v>195</v>
      </c>
      <c r="H167" s="30" t="s">
        <v>194</v>
      </c>
      <c r="I167" s="30" t="s">
        <v>193</v>
      </c>
      <c r="J167" s="30" t="s">
        <v>192</v>
      </c>
      <c r="K167" s="30" t="s">
        <v>191</v>
      </c>
      <c r="L167" s="30" t="s">
        <v>190</v>
      </c>
      <c r="M167" s="30" t="s">
        <v>189</v>
      </c>
      <c r="N167" s="30" t="s">
        <v>188</v>
      </c>
      <c r="O167" s="30" t="s">
        <v>187</v>
      </c>
      <c r="P167" s="30" t="s">
        <v>186</v>
      </c>
      <c r="Q167" s="29" t="s">
        <v>166</v>
      </c>
      <c r="R167" s="28"/>
      <c r="S167" s="81"/>
      <c r="T167" s="81"/>
      <c r="U167" s="81"/>
      <c r="V167" s="81">
        <v>5555</v>
      </c>
      <c r="W167" s="81"/>
      <c r="X167" s="81"/>
      <c r="Y167" s="81"/>
      <c r="Z167" s="81"/>
      <c r="AH167" s="131"/>
    </row>
    <row r="168" spans="2:43" ht="19.5" customHeight="1" thickTop="1" thickBot="1" x14ac:dyDescent="0.3">
      <c r="B168" s="28"/>
      <c r="C168" s="27" t="str">
        <f>DADOS!$AL$3</f>
        <v>📝 CDB</v>
      </c>
      <c r="D168" s="26" t="str">
        <f>IF(reservafixaconsolidadoanual[[#This Row],[TOTAL (R$)]]=0,"",IF(OR(reservafixaconsolidadoanual[[#This Row],[TOTAL (R$)]]=LARGE($Q$168:$Q$177,1),reservafixaconsolidadoanual[[#This Row],[TOTAL (R$)]]=LARGE($Q$168:$Q$177,2)),DADOS!$I$11,""))</f>
        <v>🚑</v>
      </c>
      <c r="E168" s="96">
        <f>reservafixaconsolidado282933[[#This Row],[TOTAL (R$)]]</f>
        <v>1503</v>
      </c>
      <c r="F168" s="91">
        <f>reservafixaconsolidadofev[[#This Row],[TOTAL (R$)]]</f>
        <v>0</v>
      </c>
      <c r="G168" s="91">
        <f>reservafixaconsolidadomar[[#This Row],[TOTAL (R$)]]</f>
        <v>0</v>
      </c>
      <c r="H168" s="91">
        <f>reservafixaconsolidadoabr[[#This Row],[TOTAL (R$)]]</f>
        <v>0</v>
      </c>
      <c r="I168" s="91">
        <f>reservafixaconsolidadomai[[#This Row],[TOTAL (R$)]]</f>
        <v>0</v>
      </c>
      <c r="J168" s="91">
        <f>reservafixaconsolidadojun[[#This Row],[TOTAL (R$)]]</f>
        <v>0</v>
      </c>
      <c r="K168" s="91">
        <f>reservafixaconsolidadojul[[#This Row],[TOTAL (R$)]]</f>
        <v>0</v>
      </c>
      <c r="L168" s="91">
        <f>reservafixaconsolidadoago[[#This Row],[TOTAL (R$)]]</f>
        <v>0</v>
      </c>
      <c r="M168" s="91">
        <f>reservafixaconsolidadoset[[#This Row],[TOTAL (R$)]]</f>
        <v>0</v>
      </c>
      <c r="N168" s="91">
        <f>reservafixaconsolidadoout[[#This Row],[TOTAL (R$)]]</f>
        <v>0</v>
      </c>
      <c r="O168" s="91">
        <f>reservafixaconsolidadonov[[#This Row],[TOTAL (R$)]]</f>
        <v>0</v>
      </c>
      <c r="P168" s="91">
        <f>reservafixaconsolidadodez[[#This Row],[TOTAL (R$)]]</f>
        <v>0</v>
      </c>
      <c r="Q168" s="97">
        <f>SUM(reservafixaconsolidadoanual[[#This Row],[1]:[12]])</f>
        <v>1503</v>
      </c>
      <c r="R168" s="25"/>
      <c r="S168" s="81"/>
      <c r="T168" s="81"/>
      <c r="U168" s="81"/>
      <c r="V168" s="81"/>
      <c r="W168" s="81"/>
      <c r="X168" s="81"/>
      <c r="Y168" s="81"/>
      <c r="Z168" s="81"/>
      <c r="AH168" s="131"/>
      <c r="AO168" s="138" t="e">
        <f>SUMIFS(tabela_registros[VALOR],tabela_registros[MÊS],$AE$1,tabela_registros[REGISTRO],DADOS!$N$6,tabela_registros[TIPO],DADOS!$AJ$3,tabela_registros[CATEGORIA],reservafixaconsolidadodez[[#This Row],[ATUAL]],#REF!,DADOS!$J$4)</f>
        <v>#REF!</v>
      </c>
      <c r="AP168" s="138" t="e">
        <f>SUMIFS(tabela_registros[VALOR],tabela_registros[MÊS],$AE$1,tabela_registros[REGISTRO],DADOS!$N$6,tabela_registros[TIPO],DADOS!$AJ$3,tabela_registros[CATEGORIA],reservafixaconsolidadodez[[#This Row],[ATUAL]],#REF!,DADOS!$J$3)</f>
        <v>#REF!</v>
      </c>
      <c r="AQ168" s="139">
        <f>(reservafixaconsolidadoanual[[#This Row],[TOTAL (R$)]]*$AQ$178)/$Q$178</f>
        <v>0.79022082018927442</v>
      </c>
    </row>
    <row r="169" spans="2:43" ht="19.5" customHeight="1" thickTop="1" thickBot="1" x14ac:dyDescent="0.3">
      <c r="B169" s="28"/>
      <c r="C169" s="27" t="str">
        <f>DADOS!$AL$4</f>
        <v>📝 CRA</v>
      </c>
      <c r="D169" s="26" t="str">
        <f>IF(reservafixaconsolidadoanual[[#This Row],[TOTAL (R$)]]=0,"",IF(OR(reservafixaconsolidadoanual[[#This Row],[TOTAL (R$)]]=LARGE($Q$168:$Q$177,1),reservafixaconsolidadoanual[[#This Row],[TOTAL (R$)]]=LARGE($Q$168:$Q$177,2)),DADOS!$I$11,""))</f>
        <v/>
      </c>
      <c r="E169" s="96">
        <f>reservafixaconsolidado282933[[#This Row],[TOTAL (R$)]]</f>
        <v>0</v>
      </c>
      <c r="F169" s="91">
        <f>reservafixaconsolidadofev[[#This Row],[TOTAL (R$)]]</f>
        <v>0</v>
      </c>
      <c r="G169" s="91">
        <f>reservafixaconsolidadomar[[#This Row],[TOTAL (R$)]]</f>
        <v>0</v>
      </c>
      <c r="H169" s="91">
        <f>reservafixaconsolidadoabr[[#This Row],[TOTAL (R$)]]</f>
        <v>0</v>
      </c>
      <c r="I169" s="91">
        <f>reservafixaconsolidadomai[[#This Row],[TOTAL (R$)]]</f>
        <v>0</v>
      </c>
      <c r="J169" s="91">
        <f>reservafixaconsolidadojun[[#This Row],[TOTAL (R$)]]</f>
        <v>0</v>
      </c>
      <c r="K169" s="91">
        <f>reservafixaconsolidadojul[[#This Row],[TOTAL (R$)]]</f>
        <v>0</v>
      </c>
      <c r="L169" s="91">
        <f>reservafixaconsolidadoago[[#This Row],[TOTAL (R$)]]</f>
        <v>0</v>
      </c>
      <c r="M169" s="91">
        <f>reservafixaconsolidadoset[[#This Row],[TOTAL (R$)]]</f>
        <v>0</v>
      </c>
      <c r="N169" s="91">
        <f>reservafixaconsolidadoout[[#This Row],[TOTAL (R$)]]</f>
        <v>0</v>
      </c>
      <c r="O169" s="91">
        <f>reservafixaconsolidadonov[[#This Row],[TOTAL (R$)]]</f>
        <v>0</v>
      </c>
      <c r="P169" s="91">
        <f>reservafixaconsolidadodez[[#This Row],[TOTAL (R$)]]</f>
        <v>0</v>
      </c>
      <c r="Q169" s="97">
        <f>SUM(reservafixaconsolidadoanual[[#This Row],[1]:[12]])</f>
        <v>0</v>
      </c>
      <c r="R169" s="25"/>
      <c r="S169" s="81"/>
      <c r="T169" s="81"/>
      <c r="U169" s="81"/>
      <c r="V169" s="81"/>
      <c r="W169" s="81"/>
      <c r="X169" s="81"/>
      <c r="Y169" s="81"/>
      <c r="Z169" s="81"/>
      <c r="AH169" s="131"/>
      <c r="AO169" s="138" t="e">
        <f>SUMIFS(tabela_registros[VALOR],tabela_registros[MÊS],$AE$1,tabela_registros[REGISTRO],DADOS!$N$6,tabela_registros[TIPO],DADOS!$AJ$3,tabela_registros[CATEGORIA],reservafixaconsolidadodez[[#This Row],[ATUAL]],#REF!,DADOS!$J$4)</f>
        <v>#REF!</v>
      </c>
      <c r="AP169" s="138" t="e">
        <f>SUMIFS(tabela_registros[VALOR],tabela_registros[MÊS],$AE$1,tabela_registros[REGISTRO],DADOS!$N$6,tabela_registros[TIPO],DADOS!$AJ$3,tabela_registros[CATEGORIA],reservafixaconsolidadodez[[#This Row],[ATUAL]],#REF!,DADOS!$J$3)</f>
        <v>#REF!</v>
      </c>
      <c r="AQ169" s="139">
        <f>(reservafixaconsolidadoanual[[#This Row],[TOTAL (R$)]]*$AQ$178)/$Q$178</f>
        <v>0</v>
      </c>
    </row>
    <row r="170" spans="2:43" ht="19.5" customHeight="1" thickTop="1" thickBot="1" x14ac:dyDescent="0.3">
      <c r="B170" s="28"/>
      <c r="C170" s="27" t="str">
        <f>DADOS!$AL$5</f>
        <v>📝 CRI</v>
      </c>
      <c r="D170" s="26" t="str">
        <f>IF(reservafixaconsolidadoanual[[#This Row],[TOTAL (R$)]]=0,"",IF(OR(reservafixaconsolidadoanual[[#This Row],[TOTAL (R$)]]=LARGE($Q$168:$Q$177,1),reservafixaconsolidadoanual[[#This Row],[TOTAL (R$)]]=LARGE($Q$168:$Q$177,2)),DADOS!$I$11,""))</f>
        <v/>
      </c>
      <c r="E170" s="96">
        <f>reservafixaconsolidado282933[[#This Row],[TOTAL (R$)]]</f>
        <v>38</v>
      </c>
      <c r="F170" s="91">
        <f>reservafixaconsolidadofev[[#This Row],[TOTAL (R$)]]</f>
        <v>0</v>
      </c>
      <c r="G170" s="91">
        <f>reservafixaconsolidadomar[[#This Row],[TOTAL (R$)]]</f>
        <v>0</v>
      </c>
      <c r="H170" s="91">
        <f>reservafixaconsolidadoabr[[#This Row],[TOTAL (R$)]]</f>
        <v>0</v>
      </c>
      <c r="I170" s="91">
        <f>reservafixaconsolidadomai[[#This Row],[TOTAL (R$)]]</f>
        <v>0</v>
      </c>
      <c r="J170" s="91">
        <f>reservafixaconsolidadojun[[#This Row],[TOTAL (R$)]]</f>
        <v>0</v>
      </c>
      <c r="K170" s="91">
        <f>reservafixaconsolidadojul[[#This Row],[TOTAL (R$)]]</f>
        <v>0</v>
      </c>
      <c r="L170" s="91">
        <f>reservafixaconsolidadoago[[#This Row],[TOTAL (R$)]]</f>
        <v>0</v>
      </c>
      <c r="M170" s="91">
        <f>reservafixaconsolidadoset[[#This Row],[TOTAL (R$)]]</f>
        <v>0</v>
      </c>
      <c r="N170" s="91">
        <f>reservafixaconsolidadoout[[#This Row],[TOTAL (R$)]]</f>
        <v>0</v>
      </c>
      <c r="O170" s="91">
        <f>reservafixaconsolidadonov[[#This Row],[TOTAL (R$)]]</f>
        <v>0</v>
      </c>
      <c r="P170" s="91">
        <f>reservafixaconsolidadodez[[#This Row],[TOTAL (R$)]]</f>
        <v>0</v>
      </c>
      <c r="Q170" s="97">
        <f>SUM(reservafixaconsolidadoanual[[#This Row],[1]:[12]])</f>
        <v>38</v>
      </c>
      <c r="R170" s="25"/>
      <c r="S170" s="81"/>
      <c r="T170" s="81"/>
      <c r="U170" s="81"/>
      <c r="V170" s="81"/>
      <c r="W170" s="81"/>
      <c r="X170" s="81"/>
      <c r="Y170" s="81"/>
      <c r="Z170" s="81"/>
      <c r="AH170" s="131"/>
      <c r="AO170" s="138" t="e">
        <f>SUMIFS(tabela_registros[VALOR],tabela_registros[MÊS],$AE$1,tabela_registros[REGISTRO],DADOS!$N$6,tabela_registros[TIPO],DADOS!$AJ$3,tabela_registros[CATEGORIA],reservafixaconsolidadodez[[#This Row],[ATUAL]],#REF!,DADOS!$J$4)</f>
        <v>#REF!</v>
      </c>
      <c r="AP170" s="138" t="e">
        <f>SUMIFS(tabela_registros[VALOR],tabela_registros[MÊS],$AE$1,tabela_registros[REGISTRO],DADOS!$N$6,tabela_registros[TIPO],DADOS!$AJ$3,tabela_registros[CATEGORIA],reservafixaconsolidadodez[[#This Row],[ATUAL]],#REF!,DADOS!$J$3)</f>
        <v>#REF!</v>
      </c>
      <c r="AQ170" s="139">
        <f>(reservafixaconsolidadoanual[[#This Row],[TOTAL (R$)]]*$AQ$178)/$Q$178</f>
        <v>1.9978969505783387E-2</v>
      </c>
    </row>
    <row r="171" spans="2:43" ht="19.5" customHeight="1" thickTop="1" thickBot="1" x14ac:dyDescent="0.3">
      <c r="B171" s="28"/>
      <c r="C171" s="27" t="str">
        <f>DADOS!$AL$6</f>
        <v>📝 DEBÊNTURE</v>
      </c>
      <c r="D171" s="26" t="str">
        <f>IF(reservafixaconsolidadoanual[[#This Row],[TOTAL (R$)]]=0,"",IF(OR(reservafixaconsolidadoanual[[#This Row],[TOTAL (R$)]]=LARGE($Q$168:$Q$177,1),reservafixaconsolidadoanual[[#This Row],[TOTAL (R$)]]=LARGE($Q$168:$Q$177,2)),DADOS!$I$11,""))</f>
        <v>🚑</v>
      </c>
      <c r="E171" s="96">
        <f>reservafixaconsolidado282933[[#This Row],[TOTAL (R$)]]</f>
        <v>211</v>
      </c>
      <c r="F171" s="91">
        <f>reservafixaconsolidadofev[[#This Row],[TOTAL (R$)]]</f>
        <v>0</v>
      </c>
      <c r="G171" s="91">
        <f>reservafixaconsolidadomar[[#This Row],[TOTAL (R$)]]</f>
        <v>0</v>
      </c>
      <c r="H171" s="91">
        <f>reservafixaconsolidadoabr[[#This Row],[TOTAL (R$)]]</f>
        <v>0</v>
      </c>
      <c r="I171" s="91">
        <f>reservafixaconsolidadomai[[#This Row],[TOTAL (R$)]]</f>
        <v>0</v>
      </c>
      <c r="J171" s="91">
        <f>reservafixaconsolidadojun[[#This Row],[TOTAL (R$)]]</f>
        <v>0</v>
      </c>
      <c r="K171" s="91">
        <f>reservafixaconsolidadojul[[#This Row],[TOTAL (R$)]]</f>
        <v>0</v>
      </c>
      <c r="L171" s="91">
        <f>reservafixaconsolidadoago[[#This Row],[TOTAL (R$)]]</f>
        <v>0</v>
      </c>
      <c r="M171" s="91">
        <f>reservafixaconsolidadoset[[#This Row],[TOTAL (R$)]]</f>
        <v>0</v>
      </c>
      <c r="N171" s="91">
        <f>reservafixaconsolidadoout[[#This Row],[TOTAL (R$)]]</f>
        <v>0</v>
      </c>
      <c r="O171" s="91">
        <f>reservafixaconsolidadonov[[#This Row],[TOTAL (R$)]]</f>
        <v>0</v>
      </c>
      <c r="P171" s="91">
        <f>reservafixaconsolidadodez[[#This Row],[TOTAL (R$)]]</f>
        <v>0</v>
      </c>
      <c r="Q171" s="97">
        <f>SUM(reservafixaconsolidadoanual[[#This Row],[1]:[12]])</f>
        <v>211</v>
      </c>
      <c r="R171" s="25"/>
      <c r="S171" s="81"/>
      <c r="T171" s="81"/>
      <c r="U171" s="81"/>
      <c r="V171" s="81"/>
      <c r="W171" s="81"/>
      <c r="X171" s="81"/>
      <c r="Y171" s="81"/>
      <c r="Z171" s="81"/>
      <c r="AH171" s="131"/>
      <c r="AO171" s="138" t="e">
        <f>SUMIFS(tabela_registros[VALOR],tabela_registros[MÊS],$AE$1,tabela_registros[REGISTRO],DADOS!$N$6,tabela_registros[TIPO],DADOS!$AJ$3,tabela_registros[CATEGORIA],reservafixaconsolidadodez[[#This Row],[ATUAL]],#REF!,DADOS!$J$4)</f>
        <v>#REF!</v>
      </c>
      <c r="AP171" s="138" t="e">
        <f>SUMIFS(tabela_registros[VALOR],tabela_registros[MÊS],$AE$1,tabela_registros[REGISTRO],DADOS!$N$6,tabela_registros[TIPO],DADOS!$AJ$3,tabela_registros[CATEGORIA],reservafixaconsolidadodez[[#This Row],[ATUAL]],#REF!,DADOS!$J$3)</f>
        <v>#REF!</v>
      </c>
      <c r="AQ171" s="139">
        <f>(reservafixaconsolidadoanual[[#This Row],[TOTAL (R$)]]*$AQ$178)/$Q$178</f>
        <v>0.11093585699263933</v>
      </c>
    </row>
    <row r="172" spans="2:43" ht="19.5" customHeight="1" thickTop="1" thickBot="1" x14ac:dyDescent="0.3">
      <c r="B172" s="28"/>
      <c r="C172" s="27" t="str">
        <f>DADOS!$AL$7</f>
        <v>📝 EXTERIOR</v>
      </c>
      <c r="D172" s="26" t="str">
        <f>IF(reservafixaconsolidadoanual[[#This Row],[TOTAL (R$)]]=0,"",IF(OR(reservafixaconsolidadoanual[[#This Row],[TOTAL (R$)]]=LARGE($Q$168:$Q$177,1),reservafixaconsolidadoanual[[#This Row],[TOTAL (R$)]]=LARGE($Q$168:$Q$177,2)),DADOS!$I$11,""))</f>
        <v/>
      </c>
      <c r="E172" s="96">
        <f>reservafixaconsolidado282933[[#This Row],[TOTAL (R$)]]</f>
        <v>0</v>
      </c>
      <c r="F172" s="91">
        <f>reservafixaconsolidadofev[[#This Row],[TOTAL (R$)]]</f>
        <v>0</v>
      </c>
      <c r="G172" s="91">
        <f>reservafixaconsolidadomar[[#This Row],[TOTAL (R$)]]</f>
        <v>0</v>
      </c>
      <c r="H172" s="91">
        <f>reservafixaconsolidadoabr[[#This Row],[TOTAL (R$)]]</f>
        <v>0</v>
      </c>
      <c r="I172" s="91">
        <f>reservafixaconsolidadomai[[#This Row],[TOTAL (R$)]]</f>
        <v>0</v>
      </c>
      <c r="J172" s="91">
        <f>reservafixaconsolidadojun[[#This Row],[TOTAL (R$)]]</f>
        <v>0</v>
      </c>
      <c r="K172" s="91">
        <f>reservafixaconsolidadojul[[#This Row],[TOTAL (R$)]]</f>
        <v>0</v>
      </c>
      <c r="L172" s="91">
        <f>reservafixaconsolidadoago[[#This Row],[TOTAL (R$)]]</f>
        <v>0</v>
      </c>
      <c r="M172" s="91">
        <f>reservafixaconsolidadoset[[#This Row],[TOTAL (R$)]]</f>
        <v>0</v>
      </c>
      <c r="N172" s="91">
        <f>reservafixaconsolidadoout[[#This Row],[TOTAL (R$)]]</f>
        <v>0</v>
      </c>
      <c r="O172" s="91">
        <f>reservafixaconsolidadonov[[#This Row],[TOTAL (R$)]]</f>
        <v>0</v>
      </c>
      <c r="P172" s="91">
        <f>reservafixaconsolidadodez[[#This Row],[TOTAL (R$)]]</f>
        <v>0</v>
      </c>
      <c r="Q172" s="97">
        <f>SUM(reservafixaconsolidadoanual[[#This Row],[1]:[12]])</f>
        <v>0</v>
      </c>
      <c r="R172" s="25"/>
      <c r="S172" s="81"/>
      <c r="T172" s="81"/>
      <c r="U172" s="81"/>
      <c r="V172" s="81"/>
      <c r="W172" s="81"/>
      <c r="X172" s="81"/>
      <c r="Y172" s="81"/>
      <c r="Z172" s="81"/>
      <c r="AH172" s="131"/>
      <c r="AO172" s="138" t="e">
        <f>SUMIFS(tabela_registros[VALOR],tabela_registros[MÊS],$AE$1,tabela_registros[REGISTRO],DADOS!$N$6,tabela_registros[TIPO],DADOS!$AJ$3,tabela_registros[CATEGORIA],reservafixaconsolidadodez[[#This Row],[ATUAL]],#REF!,DADOS!$J$4)</f>
        <v>#REF!</v>
      </c>
      <c r="AP172" s="138" t="e">
        <f>SUMIFS(tabela_registros[VALOR],tabela_registros[MÊS],$AE$1,tabela_registros[REGISTRO],DADOS!$N$6,tabela_registros[TIPO],DADOS!$AJ$3,tabela_registros[CATEGORIA],reservafixaconsolidadodez[[#This Row],[ATUAL]],#REF!,DADOS!$J$3)</f>
        <v>#REF!</v>
      </c>
      <c r="AQ172" s="139">
        <f>(reservafixaconsolidadoanual[[#This Row],[TOTAL (R$)]]*$AQ$178)/$Q$178</f>
        <v>0</v>
      </c>
    </row>
    <row r="173" spans="2:43" ht="19.5" customHeight="1" thickTop="1" thickBot="1" x14ac:dyDescent="0.3">
      <c r="B173" s="28"/>
      <c r="C173" s="27" t="str">
        <f>DADOS!$AL$8</f>
        <v>📝 LC</v>
      </c>
      <c r="D173" s="26" t="str">
        <f>IF(reservafixaconsolidadoanual[[#This Row],[TOTAL (R$)]]=0,"",IF(OR(reservafixaconsolidadoanual[[#This Row],[TOTAL (R$)]]=LARGE($Q$168:$Q$177,1),reservafixaconsolidadoanual[[#This Row],[TOTAL (R$)]]=LARGE($Q$168:$Q$177,2)),DADOS!$I$11,""))</f>
        <v/>
      </c>
      <c r="E173" s="96">
        <f>reservafixaconsolidado282933[[#This Row],[TOTAL (R$)]]</f>
        <v>0</v>
      </c>
      <c r="F173" s="91">
        <f>reservafixaconsolidadofev[[#This Row],[TOTAL (R$)]]</f>
        <v>0</v>
      </c>
      <c r="G173" s="91">
        <f>reservafixaconsolidadomar[[#This Row],[TOTAL (R$)]]</f>
        <v>0</v>
      </c>
      <c r="H173" s="91">
        <f>reservafixaconsolidadoabr[[#This Row],[TOTAL (R$)]]</f>
        <v>0</v>
      </c>
      <c r="I173" s="91">
        <f>reservafixaconsolidadomai[[#This Row],[TOTAL (R$)]]</f>
        <v>0</v>
      </c>
      <c r="J173" s="91">
        <f>reservafixaconsolidadojun[[#This Row],[TOTAL (R$)]]</f>
        <v>0</v>
      </c>
      <c r="K173" s="91">
        <f>reservafixaconsolidadojul[[#This Row],[TOTAL (R$)]]</f>
        <v>0</v>
      </c>
      <c r="L173" s="91">
        <f>reservafixaconsolidadoago[[#This Row],[TOTAL (R$)]]</f>
        <v>0</v>
      </c>
      <c r="M173" s="91">
        <f>reservafixaconsolidadoset[[#This Row],[TOTAL (R$)]]</f>
        <v>0</v>
      </c>
      <c r="N173" s="91">
        <f>reservafixaconsolidadoout[[#This Row],[TOTAL (R$)]]</f>
        <v>0</v>
      </c>
      <c r="O173" s="91">
        <f>reservafixaconsolidadonov[[#This Row],[TOTAL (R$)]]</f>
        <v>0</v>
      </c>
      <c r="P173" s="91">
        <f>reservafixaconsolidadodez[[#This Row],[TOTAL (R$)]]</f>
        <v>0</v>
      </c>
      <c r="Q173" s="97">
        <f>SUM(reservafixaconsolidadoanual[[#This Row],[1]:[12]])</f>
        <v>0</v>
      </c>
      <c r="R173" s="25"/>
      <c r="S173" s="81"/>
      <c r="T173" s="81"/>
      <c r="U173" s="81"/>
      <c r="V173" s="81"/>
      <c r="W173" s="81"/>
      <c r="X173" s="81"/>
      <c r="Y173" s="81"/>
      <c r="Z173" s="81"/>
      <c r="AH173" s="131"/>
      <c r="AO173" s="138" t="e">
        <f>SUMIFS(tabela_registros[VALOR],tabela_registros[MÊS],$AE$1,tabela_registros[REGISTRO],DADOS!$N$6,tabela_registros[TIPO],DADOS!$AJ$3,tabela_registros[CATEGORIA],reservafixaconsolidadodez[[#This Row],[ATUAL]],#REF!,DADOS!$J$4)</f>
        <v>#REF!</v>
      </c>
      <c r="AP173" s="138" t="e">
        <f>SUMIFS(tabela_registros[VALOR],tabela_registros[MÊS],$AE$1,tabela_registros[REGISTRO],DADOS!$N$6,tabela_registros[TIPO],DADOS!$AJ$3,tabela_registros[CATEGORIA],reservafixaconsolidadodez[[#This Row],[ATUAL]],#REF!,DADOS!$J$3)</f>
        <v>#REF!</v>
      </c>
      <c r="AQ173" s="139">
        <f>(reservafixaconsolidadoanual[[#This Row],[TOTAL (R$)]]*$AQ$178)/$Q$178</f>
        <v>0</v>
      </c>
    </row>
    <row r="174" spans="2:43" ht="19.5" customHeight="1" thickTop="1" thickBot="1" x14ac:dyDescent="0.3">
      <c r="B174" s="28"/>
      <c r="C174" s="27" t="str">
        <f>DADOS!$AL$9</f>
        <v>📝 LCA</v>
      </c>
      <c r="D174" s="26" t="str">
        <f>IF(reservafixaconsolidadoanual[[#This Row],[TOTAL (R$)]]=0,"",IF(OR(reservafixaconsolidadoanual[[#This Row],[TOTAL (R$)]]=LARGE($Q$168:$Q$177,1),reservafixaconsolidadoanual[[#This Row],[TOTAL (R$)]]=LARGE($Q$168:$Q$177,2)),DADOS!$I$11,""))</f>
        <v/>
      </c>
      <c r="E174" s="96">
        <f>reservafixaconsolidado282933[[#This Row],[TOTAL (R$)]]</f>
        <v>0</v>
      </c>
      <c r="F174" s="91">
        <f>reservafixaconsolidadofev[[#This Row],[TOTAL (R$)]]</f>
        <v>0</v>
      </c>
      <c r="G174" s="91">
        <f>reservafixaconsolidadomar[[#This Row],[TOTAL (R$)]]</f>
        <v>0</v>
      </c>
      <c r="H174" s="91">
        <f>reservafixaconsolidadoabr[[#This Row],[TOTAL (R$)]]</f>
        <v>0</v>
      </c>
      <c r="I174" s="91">
        <f>reservafixaconsolidadomai[[#This Row],[TOTAL (R$)]]</f>
        <v>0</v>
      </c>
      <c r="J174" s="91">
        <f>reservafixaconsolidadojun[[#This Row],[TOTAL (R$)]]</f>
        <v>0</v>
      </c>
      <c r="K174" s="91">
        <f>reservafixaconsolidadojul[[#This Row],[TOTAL (R$)]]</f>
        <v>0</v>
      </c>
      <c r="L174" s="91">
        <f>reservafixaconsolidadoago[[#This Row],[TOTAL (R$)]]</f>
        <v>0</v>
      </c>
      <c r="M174" s="91">
        <f>reservafixaconsolidadoset[[#This Row],[TOTAL (R$)]]</f>
        <v>0</v>
      </c>
      <c r="N174" s="91">
        <f>reservafixaconsolidadoout[[#This Row],[TOTAL (R$)]]</f>
        <v>0</v>
      </c>
      <c r="O174" s="91">
        <f>reservafixaconsolidadonov[[#This Row],[TOTAL (R$)]]</f>
        <v>0</v>
      </c>
      <c r="P174" s="91">
        <f>reservafixaconsolidadodez[[#This Row],[TOTAL (R$)]]</f>
        <v>0</v>
      </c>
      <c r="Q174" s="97">
        <f>SUM(reservafixaconsolidadoanual[[#This Row],[1]:[12]])</f>
        <v>0</v>
      </c>
      <c r="R174" s="25"/>
      <c r="S174" s="81"/>
      <c r="T174" s="81"/>
      <c r="U174" s="81"/>
      <c r="V174" s="81"/>
      <c r="W174" s="81"/>
      <c r="X174" s="81"/>
      <c r="Y174" s="81"/>
      <c r="Z174" s="81"/>
      <c r="AH174" s="131"/>
      <c r="AO174" s="138" t="e">
        <f>SUMIFS(tabela_registros[VALOR],tabela_registros[MÊS],$AE$1,tabela_registros[REGISTRO],DADOS!$N$6,tabela_registros[TIPO],DADOS!$AJ$3,tabela_registros[CATEGORIA],reservafixaconsolidadodez[[#This Row],[ATUAL]],#REF!,DADOS!$J$4)</f>
        <v>#REF!</v>
      </c>
      <c r="AP174" s="138" t="e">
        <f>SUMIFS(tabela_registros[VALOR],tabela_registros[MÊS],$AE$1,tabela_registros[REGISTRO],DADOS!$N$6,tabela_registros[TIPO],DADOS!$AJ$3,tabela_registros[CATEGORIA],reservafixaconsolidadodez[[#This Row],[ATUAL]],#REF!,DADOS!$J$3)</f>
        <v>#REF!</v>
      </c>
      <c r="AQ174" s="139">
        <f>(reservafixaconsolidadoanual[[#This Row],[TOTAL (R$)]]*$AQ$178)/$Q$178</f>
        <v>0</v>
      </c>
    </row>
    <row r="175" spans="2:43" ht="19.5" customHeight="1" thickTop="1" thickBot="1" x14ac:dyDescent="0.3">
      <c r="B175" s="28"/>
      <c r="C175" s="27" t="str">
        <f>DADOS!$AL$10</f>
        <v>📝 LCI</v>
      </c>
      <c r="D175" s="26" t="str">
        <f>IF(reservafixaconsolidadoanual[[#This Row],[TOTAL (R$)]]=0,"",IF(OR(reservafixaconsolidadoanual[[#This Row],[TOTAL (R$)]]=LARGE($Q$168:$Q$177,1),reservafixaconsolidadoanual[[#This Row],[TOTAL (R$)]]=LARGE($Q$168:$Q$177,2)),DADOS!$I$11,""))</f>
        <v/>
      </c>
      <c r="E175" s="96">
        <f>reservafixaconsolidado282933[[#This Row],[TOTAL (R$)]]</f>
        <v>0</v>
      </c>
      <c r="F175" s="91">
        <f>reservafixaconsolidadofev[[#This Row],[TOTAL (R$)]]</f>
        <v>0</v>
      </c>
      <c r="G175" s="91">
        <f>reservafixaconsolidadomar[[#This Row],[TOTAL (R$)]]</f>
        <v>0</v>
      </c>
      <c r="H175" s="91">
        <f>reservafixaconsolidadoabr[[#This Row],[TOTAL (R$)]]</f>
        <v>0</v>
      </c>
      <c r="I175" s="91">
        <f>reservafixaconsolidadomai[[#This Row],[TOTAL (R$)]]</f>
        <v>0</v>
      </c>
      <c r="J175" s="91">
        <f>reservafixaconsolidadojun[[#This Row],[TOTAL (R$)]]</f>
        <v>0</v>
      </c>
      <c r="K175" s="91">
        <f>reservafixaconsolidadojul[[#This Row],[TOTAL (R$)]]</f>
        <v>0</v>
      </c>
      <c r="L175" s="91">
        <f>reservafixaconsolidadoago[[#This Row],[TOTAL (R$)]]</f>
        <v>0</v>
      </c>
      <c r="M175" s="91">
        <f>reservafixaconsolidadoset[[#This Row],[TOTAL (R$)]]</f>
        <v>0</v>
      </c>
      <c r="N175" s="91">
        <f>reservafixaconsolidadoout[[#This Row],[TOTAL (R$)]]</f>
        <v>0</v>
      </c>
      <c r="O175" s="91">
        <f>reservafixaconsolidadonov[[#This Row],[TOTAL (R$)]]</f>
        <v>0</v>
      </c>
      <c r="P175" s="91">
        <f>reservafixaconsolidadodez[[#This Row],[TOTAL (R$)]]</f>
        <v>0</v>
      </c>
      <c r="Q175" s="97">
        <f>SUM(reservafixaconsolidadoanual[[#This Row],[1]:[12]])</f>
        <v>0</v>
      </c>
      <c r="R175" s="25"/>
      <c r="S175" s="81"/>
      <c r="T175" s="81"/>
      <c r="U175" s="81"/>
      <c r="V175" s="81"/>
      <c r="W175" s="81"/>
      <c r="X175" s="81"/>
      <c r="Y175" s="81"/>
      <c r="Z175" s="81"/>
      <c r="AH175" s="131"/>
      <c r="AO175" s="138" t="e">
        <f>SUMIFS(tabela_registros[VALOR],tabela_registros[MÊS],$AE$1,tabela_registros[REGISTRO],DADOS!$N$6,tabela_registros[TIPO],DADOS!$AJ$3,tabela_registros[CATEGORIA],reservafixaconsolidadodez[[#This Row],[ATUAL]],#REF!,DADOS!$J$4)</f>
        <v>#REF!</v>
      </c>
      <c r="AP175" s="138" t="e">
        <f>SUMIFS(tabela_registros[VALOR],tabela_registros[MÊS],$AE$1,tabela_registros[REGISTRO],DADOS!$N$6,tabela_registros[TIPO],DADOS!$AJ$3,tabela_registros[CATEGORIA],reservafixaconsolidadodez[[#This Row],[ATUAL]],#REF!,DADOS!$J$3)</f>
        <v>#REF!</v>
      </c>
      <c r="AQ175" s="139">
        <f>(reservafixaconsolidadoanual[[#This Row],[TOTAL (R$)]]*$AQ$178)/$Q$178</f>
        <v>0</v>
      </c>
    </row>
    <row r="176" spans="2:43" ht="19.5" customHeight="1" thickTop="1" thickBot="1" x14ac:dyDescent="0.3">
      <c r="B176" s="28"/>
      <c r="C176" s="27" t="str">
        <f>DADOS!$AL$11</f>
        <v>📝 TESOURO DIRETO</v>
      </c>
      <c r="D176" s="26" t="str">
        <f>IF(reservafixaconsolidadoanual[[#This Row],[TOTAL (R$)]]=0,"",IF(OR(reservafixaconsolidadoanual[[#This Row],[TOTAL (R$)]]=LARGE($Q$168:$Q$177,1),reservafixaconsolidadoanual[[#This Row],[TOTAL (R$)]]=LARGE($Q$168:$Q$177,2)),DADOS!$I$11,""))</f>
        <v/>
      </c>
      <c r="E176" s="96">
        <f>reservafixaconsolidado282933[[#This Row],[TOTAL (R$)]]</f>
        <v>150</v>
      </c>
      <c r="F176" s="91">
        <f>reservafixaconsolidadofev[[#This Row],[TOTAL (R$)]]</f>
        <v>0</v>
      </c>
      <c r="G176" s="91">
        <f>reservafixaconsolidadomar[[#This Row],[TOTAL (R$)]]</f>
        <v>0</v>
      </c>
      <c r="H176" s="91">
        <f>reservafixaconsolidadoabr[[#This Row],[TOTAL (R$)]]</f>
        <v>0</v>
      </c>
      <c r="I176" s="91">
        <f>reservafixaconsolidadomai[[#This Row],[TOTAL (R$)]]</f>
        <v>0</v>
      </c>
      <c r="J176" s="91">
        <f>reservafixaconsolidadojun[[#This Row],[TOTAL (R$)]]</f>
        <v>0</v>
      </c>
      <c r="K176" s="91">
        <f>reservafixaconsolidadojul[[#This Row],[TOTAL (R$)]]</f>
        <v>0</v>
      </c>
      <c r="L176" s="91">
        <f>reservafixaconsolidadoago[[#This Row],[TOTAL (R$)]]</f>
        <v>0</v>
      </c>
      <c r="M176" s="91">
        <f>reservafixaconsolidadoset[[#This Row],[TOTAL (R$)]]</f>
        <v>0</v>
      </c>
      <c r="N176" s="91">
        <f>reservafixaconsolidadoout[[#This Row],[TOTAL (R$)]]</f>
        <v>0</v>
      </c>
      <c r="O176" s="91">
        <f>reservafixaconsolidadonov[[#This Row],[TOTAL (R$)]]</f>
        <v>0</v>
      </c>
      <c r="P176" s="91">
        <f>reservafixaconsolidadodez[[#This Row],[TOTAL (R$)]]</f>
        <v>0</v>
      </c>
      <c r="Q176" s="97">
        <f>SUM(reservafixaconsolidadoanual[[#This Row],[1]:[12]])</f>
        <v>150</v>
      </c>
      <c r="R176" s="25"/>
      <c r="S176" s="81"/>
      <c r="T176" s="81"/>
      <c r="U176" s="81"/>
      <c r="V176" s="81"/>
      <c r="W176" s="81"/>
      <c r="X176" s="81"/>
      <c r="Y176" s="81"/>
      <c r="Z176" s="81"/>
      <c r="AH176" s="131"/>
      <c r="AO176" s="138" t="e">
        <f>SUMIFS(tabela_registros[VALOR],tabela_registros[MÊS],$AE$1,tabela_registros[REGISTRO],DADOS!$N$6,tabela_registros[TIPO],DADOS!$AJ$3,tabela_registros[CATEGORIA],reservafixaconsolidadodez[[#This Row],[ATUAL]],#REF!,DADOS!$J$4)</f>
        <v>#REF!</v>
      </c>
      <c r="AP176" s="138" t="e">
        <f>SUMIFS(tabela_registros[VALOR],tabela_registros[MÊS],$AE$1,tabela_registros[REGISTRO],DADOS!$N$6,tabela_registros[TIPO],DADOS!$AJ$3,tabela_registros[CATEGORIA],reservafixaconsolidadodez[[#This Row],[ATUAL]],#REF!,DADOS!$J$3)</f>
        <v>#REF!</v>
      </c>
      <c r="AQ176" s="139">
        <f>(reservafixaconsolidadoanual[[#This Row],[TOTAL (R$)]]*$AQ$178)/$Q$178</f>
        <v>7.8864353312302835E-2</v>
      </c>
    </row>
    <row r="177" spans="1:43" ht="19.5" customHeight="1" thickTop="1" thickBot="1" x14ac:dyDescent="0.3">
      <c r="B177" s="28"/>
      <c r="C177" s="27" t="str">
        <f>DADOS!$AL$12</f>
        <v>📎 OUTROS</v>
      </c>
      <c r="D177" s="26" t="str">
        <f>IF(reservafixaconsolidadoanual[[#This Row],[TOTAL (R$)]]=0,"",IF(OR(reservafixaconsolidadoanual[[#This Row],[TOTAL (R$)]]=LARGE($Q$168:$Q$177,1),reservafixaconsolidadoanual[[#This Row],[TOTAL (R$)]]=LARGE($Q$168:$Q$177,2)),DADOS!$I$11,""))</f>
        <v/>
      </c>
      <c r="E177" s="96">
        <f>reservafixaconsolidado282933[[#This Row],[TOTAL (R$)]]</f>
        <v>0</v>
      </c>
      <c r="F177" s="91">
        <f>reservafixaconsolidadofev[[#This Row],[TOTAL (R$)]]</f>
        <v>0</v>
      </c>
      <c r="G177" s="91">
        <f>reservafixaconsolidadomar[[#This Row],[TOTAL (R$)]]</f>
        <v>0</v>
      </c>
      <c r="H177" s="91">
        <f>reservafixaconsolidadoabr[[#This Row],[TOTAL (R$)]]</f>
        <v>0</v>
      </c>
      <c r="I177" s="91">
        <f>reservafixaconsolidadomai[[#This Row],[TOTAL (R$)]]</f>
        <v>0</v>
      </c>
      <c r="J177" s="91">
        <f>reservafixaconsolidadojun[[#This Row],[TOTAL (R$)]]</f>
        <v>0</v>
      </c>
      <c r="K177" s="91">
        <f>reservafixaconsolidadojul[[#This Row],[TOTAL (R$)]]</f>
        <v>0</v>
      </c>
      <c r="L177" s="91">
        <f>reservafixaconsolidadoago[[#This Row],[TOTAL (R$)]]</f>
        <v>0</v>
      </c>
      <c r="M177" s="91">
        <f>reservafixaconsolidadoset[[#This Row],[TOTAL (R$)]]</f>
        <v>0</v>
      </c>
      <c r="N177" s="91">
        <f>reservafixaconsolidadoout[[#This Row],[TOTAL (R$)]]</f>
        <v>0</v>
      </c>
      <c r="O177" s="91">
        <f>reservafixaconsolidadonov[[#This Row],[TOTAL (R$)]]</f>
        <v>0</v>
      </c>
      <c r="P177" s="91">
        <f>reservafixaconsolidadodez[[#This Row],[TOTAL (R$)]]</f>
        <v>0</v>
      </c>
      <c r="Q177" s="97">
        <f>SUM(reservafixaconsolidadoanual[[#This Row],[1]:[12]])</f>
        <v>0</v>
      </c>
      <c r="R177" s="25"/>
      <c r="S177" s="81"/>
      <c r="T177" s="81"/>
      <c r="U177" s="81"/>
      <c r="V177" s="81"/>
      <c r="W177" s="81"/>
      <c r="X177" s="81"/>
      <c r="Y177" s="81"/>
      <c r="Z177" s="81"/>
      <c r="AH177" s="131"/>
      <c r="AN177" s="131" t="s">
        <v>165</v>
      </c>
      <c r="AO177" s="138" t="e">
        <f>SUMIFS(tabela_registros[VALOR],tabela_registros[MÊS],$AE$1,tabela_registros[REGISTRO],DADOS!$N$6,tabela_registros[TIPO],DADOS!$AJ$3,tabela_registros[CATEGORIA],reservafixaconsolidadodez[[#This Row],[ATUAL]],#REF!,DADOS!$J$4)</f>
        <v>#REF!</v>
      </c>
      <c r="AP177" s="138" t="e">
        <f>SUMIFS(tabela_registros[VALOR],tabela_registros[MÊS],$AE$1,tabela_registros[REGISTRO],DADOS!$N$6,tabela_registros[TIPO],DADOS!$AJ$3,tabela_registros[CATEGORIA],reservafixaconsolidadodez[[#This Row],[ATUAL]],#REF!,DADOS!$J$3)</f>
        <v>#REF!</v>
      </c>
      <c r="AQ177" s="139">
        <f>(reservafixaconsolidadoanual[[#This Row],[TOTAL (R$)]]*$AQ$178)/$Q$178</f>
        <v>0</v>
      </c>
    </row>
    <row r="178" spans="1:43" s="140" customFormat="1" ht="21" customHeight="1" thickTop="1" thickBot="1" x14ac:dyDescent="0.3">
      <c r="A178" s="16"/>
      <c r="B178" s="24"/>
      <c r="C178" s="23" t="s">
        <v>19</v>
      </c>
      <c r="D178" s="22"/>
      <c r="E178" s="21">
        <f>reservafixaconsolidado282933[[#This Row],[TOTAL (R$)]]</f>
        <v>1902</v>
      </c>
      <c r="F178" s="20">
        <f>reservafixaconsolidadofev[[#This Row],[TOTAL (R$)]]+reservafixaconsolidadoanual[[#This Row],[1]]</f>
        <v>1902</v>
      </c>
      <c r="G178" s="20">
        <f>reservafixaconsolidadomar[[#This Row],[TOTAL (R$)]]+reservafixaconsolidadoanual[[#This Row],[2]]</f>
        <v>1902</v>
      </c>
      <c r="H178" s="20">
        <f>reservafixaconsolidadoabr[[#This Row],[TOTAL (R$)]]+reservafixaconsolidadoanual[[#This Row],[3]]</f>
        <v>1902</v>
      </c>
      <c r="I178" s="20">
        <f>reservafixaconsolidadomai[[#This Row],[TOTAL (R$)]]+reservafixaconsolidadoanual[[#This Row],[4]]</f>
        <v>1902</v>
      </c>
      <c r="J178" s="20">
        <f>reservafixaconsolidadojun[[#This Row],[TOTAL (R$)]]+reservafixaconsolidadoanual[[#This Row],[5]]</f>
        <v>1902</v>
      </c>
      <c r="K178" s="20">
        <f>reservafixaconsolidadojul[[#This Row],[TOTAL (R$)]]+reservafixaconsolidadoanual[[#This Row],[6]]</f>
        <v>1902</v>
      </c>
      <c r="L178" s="20">
        <f>reservafixaconsolidadoago[[#This Row],[TOTAL (R$)]]+reservafixaconsolidadoanual[[#This Row],[7]]</f>
        <v>1902</v>
      </c>
      <c r="M178" s="20">
        <f>reservafixaconsolidadoset[[#This Row],[TOTAL (R$)]]+reservafixaconsolidadoanual[[#This Row],[8]]</f>
        <v>1902</v>
      </c>
      <c r="N178" s="20">
        <f>reservafixaconsolidadoout[[#This Row],[TOTAL (R$)]]+reservafixaconsolidadoanual[[#This Row],[9]]</f>
        <v>1902</v>
      </c>
      <c r="O178" s="20">
        <f>reservafixaconsolidadonov[[#This Row],[TOTAL (R$)]]+reservafixaconsolidadoanual[[#This Row],[10]]</f>
        <v>1902</v>
      </c>
      <c r="P178" s="20">
        <f>reservafixaconsolidadodez[[#This Row],[TOTAL (R$)]]+reservafixaconsolidadoanual[[#This Row],[11]]</f>
        <v>1902</v>
      </c>
      <c r="Q178" s="18">
        <f>reservafixaconsolidadoanual[[#This Row],[12]]</f>
        <v>1902</v>
      </c>
      <c r="R178" s="17"/>
      <c r="S178" s="81"/>
      <c r="T178" s="81"/>
      <c r="U178" s="81"/>
      <c r="V178" s="81"/>
      <c r="W178" s="81"/>
      <c r="X178" s="81"/>
      <c r="Y178" s="81"/>
      <c r="Z178" s="81"/>
      <c r="AA178" s="131"/>
      <c r="AB178" s="131"/>
      <c r="AC178" s="131"/>
      <c r="AD178" s="131"/>
      <c r="AE178" s="131"/>
      <c r="AF178" s="131"/>
      <c r="AG178" s="131"/>
      <c r="AH178" s="131"/>
      <c r="AI178" s="131"/>
      <c r="AJ178" s="131"/>
      <c r="AK178" s="131"/>
      <c r="AN178" s="142">
        <f>reservafixaconsolidadoanual[[#This Row],[TOTAL (R$)]]/$Q$26</f>
        <v>0.7349304482225657</v>
      </c>
      <c r="AO178" s="141" t="e">
        <f>SUM(AO168:AO177)</f>
        <v>#REF!</v>
      </c>
      <c r="AP178" s="141" t="e">
        <f>SUM(AP168:AP177)</f>
        <v>#REF!</v>
      </c>
      <c r="AQ178" s="139">
        <f>1</f>
        <v>1</v>
      </c>
    </row>
    <row r="179" spans="1:43" ht="6.75" customHeight="1" thickTop="1" thickBot="1" x14ac:dyDescent="0.3">
      <c r="B179" s="15"/>
      <c r="C179" s="14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1"/>
      <c r="S179" s="81"/>
      <c r="T179" s="81"/>
      <c r="U179" s="81"/>
      <c r="V179" s="81"/>
      <c r="W179" s="81"/>
      <c r="X179" s="81"/>
      <c r="Y179" s="81"/>
      <c r="Z179" s="81"/>
      <c r="AH179" s="131"/>
    </row>
    <row r="180" spans="1:43" ht="12.6" thickTop="1" x14ac:dyDescent="0.25">
      <c r="E180" s="37"/>
      <c r="S180" s="81"/>
      <c r="T180" s="81"/>
      <c r="U180" s="81"/>
      <c r="V180" s="81"/>
      <c r="W180" s="81"/>
      <c r="X180" s="81"/>
      <c r="Y180" s="81"/>
      <c r="Z180" s="81"/>
      <c r="AH180" s="131"/>
    </row>
    <row r="181" spans="1:43" x14ac:dyDescent="0.25">
      <c r="S181" s="81"/>
      <c r="T181" s="81"/>
      <c r="U181" s="81"/>
      <c r="V181" s="81"/>
      <c r="W181" s="81"/>
      <c r="X181" s="81"/>
      <c r="Y181" s="81"/>
      <c r="Z181" s="81"/>
      <c r="AH181" s="131"/>
    </row>
    <row r="182" spans="1:43" x14ac:dyDescent="0.25">
      <c r="S182" s="81"/>
      <c r="T182" s="81"/>
      <c r="U182" s="81"/>
      <c r="V182" s="81"/>
      <c r="W182" s="81"/>
      <c r="X182" s="81"/>
      <c r="Y182" s="81"/>
      <c r="Z182" s="81"/>
      <c r="AH182" s="131"/>
    </row>
    <row r="183" spans="1:43" ht="39.75" customHeight="1" x14ac:dyDescent="0.7">
      <c r="C183" s="36"/>
      <c r="E183" s="240"/>
      <c r="F183" s="240"/>
      <c r="G183" s="240"/>
      <c r="H183" s="240"/>
      <c r="I183" s="240"/>
      <c r="J183" s="240"/>
      <c r="K183" s="240"/>
      <c r="L183" s="240"/>
      <c r="M183" s="240"/>
      <c r="N183" s="240"/>
      <c r="O183" s="240"/>
      <c r="P183" s="240"/>
      <c r="Q183" s="32" t="s">
        <v>19</v>
      </c>
      <c r="R183" s="82"/>
      <c r="S183" s="81"/>
      <c r="T183" s="81"/>
      <c r="U183" s="81"/>
      <c r="V183" s="81"/>
      <c r="W183" s="81"/>
      <c r="X183" s="81"/>
      <c r="Y183" s="81"/>
      <c r="Z183" s="81"/>
      <c r="AH183" s="131"/>
    </row>
    <row r="184" spans="1:43" ht="12.6" thickBot="1" x14ac:dyDescent="0.3">
      <c r="B184" s="35"/>
      <c r="Q184" s="34" t="s">
        <v>202</v>
      </c>
      <c r="S184" s="81"/>
      <c r="T184" s="81"/>
      <c r="U184" s="81"/>
      <c r="V184" s="81"/>
      <c r="W184" s="81"/>
      <c r="X184" s="81"/>
      <c r="Y184" s="81"/>
      <c r="Z184" s="81"/>
      <c r="AH184" s="131"/>
    </row>
    <row r="185" spans="1:43" ht="6.75" customHeight="1" thickTop="1" thickBot="1" x14ac:dyDescent="0.3">
      <c r="B185" s="2"/>
      <c r="C185" s="14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1"/>
      <c r="S185" s="81"/>
      <c r="T185" s="81"/>
      <c r="U185" s="81"/>
      <c r="V185" s="81"/>
      <c r="W185" s="81"/>
      <c r="X185" s="81"/>
      <c r="Y185" s="81"/>
      <c r="Z185" s="81"/>
      <c r="AH185" s="131"/>
      <c r="AO185" s="137" t="s">
        <v>118</v>
      </c>
      <c r="AP185" s="137" t="s">
        <v>201</v>
      </c>
      <c r="AQ185" s="137" t="s">
        <v>200</v>
      </c>
    </row>
    <row r="186" spans="1:43" ht="13.2" hidden="1" thickTop="1" thickBot="1" x14ac:dyDescent="0.3">
      <c r="B186" s="2"/>
      <c r="C186" s="31" t="s">
        <v>199</v>
      </c>
      <c r="D186" s="30" t="s">
        <v>198</v>
      </c>
      <c r="E186" s="30" t="s">
        <v>197</v>
      </c>
      <c r="F186" s="30" t="s">
        <v>196</v>
      </c>
      <c r="G186" s="30" t="s">
        <v>195</v>
      </c>
      <c r="H186" s="30" t="s">
        <v>194</v>
      </c>
      <c r="I186" s="30" t="s">
        <v>193</v>
      </c>
      <c r="J186" s="30" t="s">
        <v>192</v>
      </c>
      <c r="K186" s="30" t="s">
        <v>191</v>
      </c>
      <c r="L186" s="30" t="s">
        <v>190</v>
      </c>
      <c r="M186" s="30" t="s">
        <v>189</v>
      </c>
      <c r="N186" s="30" t="s">
        <v>188</v>
      </c>
      <c r="O186" s="30" t="s">
        <v>187</v>
      </c>
      <c r="P186" s="30" t="s">
        <v>186</v>
      </c>
      <c r="Q186" s="29" t="s">
        <v>166</v>
      </c>
      <c r="R186" s="28"/>
      <c r="S186" s="81"/>
      <c r="T186" s="81"/>
      <c r="U186" s="81"/>
      <c r="V186" s="81">
        <v>5555</v>
      </c>
      <c r="W186" s="81"/>
      <c r="X186" s="81"/>
      <c r="Y186" s="81"/>
      <c r="Z186" s="81"/>
      <c r="AH186" s="131"/>
    </row>
    <row r="187" spans="1:43" ht="19.5" customHeight="1" thickTop="1" thickBot="1" x14ac:dyDescent="0.3">
      <c r="B187" s="28"/>
      <c r="C187" s="27" t="str">
        <f>DADOS!$AN$3</f>
        <v>📝 AÇÃO</v>
      </c>
      <c r="D187" s="26" t="str">
        <f>IF(reservavariáveisconsolidadoanual[[#This Row],[TOTAL (R$)]]=0,"",IF(OR(reservavariáveisconsolidadoanual[[#This Row],[TOTAL (R$)]]=LARGE($Q$187:$Q$196,1),reservavariáveisconsolidadoanual[[#This Row],[TOTAL (R$)]]=LARGE($Q$187:$Q$196,2)),DADOS!$I$11,""))</f>
        <v/>
      </c>
      <c r="E187" s="96">
        <f>reservavariáveisconsolidado282934[[#This Row],[TOTAL (R$)]]</f>
        <v>0</v>
      </c>
      <c r="F187" s="91">
        <f>reservavariáveisconsolidadofev[[#This Row],[TOTAL (R$)]]</f>
        <v>0</v>
      </c>
      <c r="G187" s="91">
        <f>reservavariáveisconsolidadomar[[#This Row],[TOTAL (R$)]]</f>
        <v>0</v>
      </c>
      <c r="H187" s="91">
        <f>reservavariáveisconsolidadoabr[[#This Row],[TOTAL (R$)]]</f>
        <v>0</v>
      </c>
      <c r="I187" s="91">
        <f>reservavariáveisconsolidadomai[[#This Row],[TOTAL (R$)]]</f>
        <v>0</v>
      </c>
      <c r="J187" s="91">
        <f>reservavariáveisconsolidadojun[[#This Row],[TOTAL (R$)]]</f>
        <v>0</v>
      </c>
      <c r="K187" s="91">
        <f>reservavariáveisconsolidadojul[[#This Row],[TOTAL (R$)]]</f>
        <v>0</v>
      </c>
      <c r="L187" s="91">
        <f>reservavariáveisconsolidadoago[[#This Row],[TOTAL (R$)]]</f>
        <v>0</v>
      </c>
      <c r="M187" s="91">
        <f>reservavariáveisconsolidadoset[[#This Row],[TOTAL (R$)]]</f>
        <v>0</v>
      </c>
      <c r="N187" s="91">
        <f>reservavariáveisconsolidadoout[[#This Row],[TOTAL (R$)]]</f>
        <v>0</v>
      </c>
      <c r="O187" s="91">
        <f>reservavariáveisconsolidadonov[[#This Row],[TOTAL (R$)]]</f>
        <v>0</v>
      </c>
      <c r="P187" s="91">
        <f>reservavariáveisconsolidadodez[[#This Row],[TOTAL (R$)]]</f>
        <v>0</v>
      </c>
      <c r="Q187" s="97">
        <f>SUM(reservavariáveisconsolidadoanual[[#This Row],[1]:[12]])</f>
        <v>0</v>
      </c>
      <c r="R187" s="25"/>
      <c r="S187" s="81"/>
      <c r="T187" s="81"/>
      <c r="U187" s="81"/>
      <c r="V187" s="81"/>
      <c r="W187" s="81"/>
      <c r="X187" s="81"/>
      <c r="Y187" s="81"/>
      <c r="Z187" s="81"/>
      <c r="AH187" s="131"/>
      <c r="AO187" s="138" t="e">
        <f>SUMIFS(tabela_registros[VALOR],tabela_registros[MÊS],$AE$1,tabela_registros[REGISTRO],DADOS!$N$6,tabela_registros[TIPO],DADOS!$AJ$4,tabela_registros[CATEGORIA],reservavariáveisconsolidadodez[[#This Row],[ATUAL]],#REF!,DADOS!$J$4)</f>
        <v>#REF!</v>
      </c>
      <c r="AP187" s="138" t="e">
        <f>SUMIFS(tabela_registros[VALOR],tabela_registros[MÊS],$AE$1,tabela_registros[REGISTRO],DADOS!$N$6,tabela_registros[TIPO],DADOS!$AJ$4,tabela_registros[CATEGORIA],reservavariáveisconsolidadodez[[#This Row],[ATUAL]],#REF!,DADOS!$J$3)</f>
        <v>#REF!</v>
      </c>
      <c r="AQ187" s="139">
        <f>(reservavariáveisconsolidadoanual[[#This Row],[TOTAL (R$)]]*$AQ$197)/$Q$197</f>
        <v>0</v>
      </c>
    </row>
    <row r="188" spans="1:43" ht="19.5" customHeight="1" thickTop="1" thickBot="1" x14ac:dyDescent="0.3">
      <c r="B188" s="28"/>
      <c r="C188" s="27" t="str">
        <f>DADOS!$AN$4</f>
        <v>📝 COMÓDITE</v>
      </c>
      <c r="D188" s="26" t="str">
        <f>IF(reservavariáveisconsolidadoanual[[#This Row],[TOTAL (R$)]]=0,"",IF(OR(reservavariáveisconsolidadoanual[[#This Row],[TOTAL (R$)]]=LARGE($Q$187:$Q$196,1),reservavariáveisconsolidadoanual[[#This Row],[TOTAL (R$)]]=LARGE($Q$187:$Q$196,2)),DADOS!$I$11,""))</f>
        <v>🚑</v>
      </c>
      <c r="E188" s="96">
        <f>reservavariáveisconsolidado282934[[#This Row],[TOTAL (R$)]]</f>
        <v>600</v>
      </c>
      <c r="F188" s="91">
        <f>reservavariáveisconsolidadofev[[#This Row],[TOTAL (R$)]]</f>
        <v>0</v>
      </c>
      <c r="G188" s="91">
        <f>reservavariáveisconsolidadomar[[#This Row],[TOTAL (R$)]]</f>
        <v>0</v>
      </c>
      <c r="H188" s="91">
        <f>reservavariáveisconsolidadoabr[[#This Row],[TOTAL (R$)]]</f>
        <v>0</v>
      </c>
      <c r="I188" s="91">
        <f>reservavariáveisconsolidadomai[[#This Row],[TOTAL (R$)]]</f>
        <v>0</v>
      </c>
      <c r="J188" s="91">
        <f>reservavariáveisconsolidadojun[[#This Row],[TOTAL (R$)]]</f>
        <v>0</v>
      </c>
      <c r="K188" s="91">
        <f>reservavariáveisconsolidadojul[[#This Row],[TOTAL (R$)]]</f>
        <v>0</v>
      </c>
      <c r="L188" s="91">
        <f>reservavariáveisconsolidadoago[[#This Row],[TOTAL (R$)]]</f>
        <v>0</v>
      </c>
      <c r="M188" s="91">
        <f>reservavariáveisconsolidadoset[[#This Row],[TOTAL (R$)]]</f>
        <v>0</v>
      </c>
      <c r="N188" s="91">
        <f>reservavariáveisconsolidadoout[[#This Row],[TOTAL (R$)]]</f>
        <v>0</v>
      </c>
      <c r="O188" s="91">
        <f>reservavariáveisconsolidadonov[[#This Row],[TOTAL (R$)]]</f>
        <v>0</v>
      </c>
      <c r="P188" s="91">
        <f>reservavariáveisconsolidadodez[[#This Row],[TOTAL (R$)]]</f>
        <v>0</v>
      </c>
      <c r="Q188" s="97">
        <f>SUM(reservavariáveisconsolidadoanual[[#This Row],[1]:[12]])</f>
        <v>600</v>
      </c>
      <c r="R188" s="25"/>
      <c r="S188" s="81"/>
      <c r="T188" s="81"/>
      <c r="U188" s="81"/>
      <c r="V188" s="81"/>
      <c r="W188" s="81"/>
      <c r="X188" s="81"/>
      <c r="Y188" s="81"/>
      <c r="Z188" s="81"/>
      <c r="AH188" s="131"/>
      <c r="AO188" s="138" t="e">
        <f>SUMIFS(tabela_registros[VALOR],tabela_registros[MÊS],$AE$1,tabela_registros[REGISTRO],DADOS!$N$6,tabela_registros[TIPO],DADOS!$AJ$4,tabela_registros[CATEGORIA],reservavariáveisconsolidadodez[[#This Row],[ATUAL]],#REF!,DADOS!$J$4)</f>
        <v>#REF!</v>
      </c>
      <c r="AP188" s="138" t="e">
        <f>SUMIFS(tabela_registros[VALOR],tabela_registros[MÊS],$AE$1,tabela_registros[REGISTRO],DADOS!$N$6,tabela_registros[TIPO],DADOS!$AJ$4,tabela_registros[CATEGORIA],reservavariáveisconsolidadodez[[#This Row],[ATUAL]],#REF!,DADOS!$J$3)</f>
        <v>#REF!</v>
      </c>
      <c r="AQ188" s="139">
        <f>(reservavariáveisconsolidadoanual[[#This Row],[TOTAL (R$)]]*$AQ$197)/$Q$197</f>
        <v>1</v>
      </c>
    </row>
    <row r="189" spans="1:43" ht="19.5" customHeight="1" thickTop="1" thickBot="1" x14ac:dyDescent="0.3">
      <c r="B189" s="28"/>
      <c r="C189" s="27" t="str">
        <f>DADOS!$AN$5</f>
        <v>📝 CONTRATO DE FUTUROS</v>
      </c>
      <c r="D189" s="26" t="str">
        <f>IF(reservavariáveisconsolidadoanual[[#This Row],[TOTAL (R$)]]=0,"",IF(OR(reservavariáveisconsolidadoanual[[#This Row],[TOTAL (R$)]]=LARGE($Q$187:$Q$196,1),reservavariáveisconsolidadoanual[[#This Row],[TOTAL (R$)]]=LARGE($Q$187:$Q$196,2)),DADOS!$I$11,""))</f>
        <v/>
      </c>
      <c r="E189" s="96">
        <f>reservavariáveisconsolidado282934[[#This Row],[TOTAL (R$)]]</f>
        <v>0</v>
      </c>
      <c r="F189" s="91">
        <f>reservavariáveisconsolidadofev[[#This Row],[TOTAL (R$)]]</f>
        <v>0</v>
      </c>
      <c r="G189" s="91">
        <f>reservavariáveisconsolidadomar[[#This Row],[TOTAL (R$)]]</f>
        <v>0</v>
      </c>
      <c r="H189" s="91">
        <f>reservavariáveisconsolidadoabr[[#This Row],[TOTAL (R$)]]</f>
        <v>0</v>
      </c>
      <c r="I189" s="91">
        <f>reservavariáveisconsolidadomai[[#This Row],[TOTAL (R$)]]</f>
        <v>0</v>
      </c>
      <c r="J189" s="91">
        <f>reservavariáveisconsolidadojun[[#This Row],[TOTAL (R$)]]</f>
        <v>0</v>
      </c>
      <c r="K189" s="91">
        <f>reservavariáveisconsolidadojul[[#This Row],[TOTAL (R$)]]</f>
        <v>0</v>
      </c>
      <c r="L189" s="91">
        <f>reservavariáveisconsolidadoago[[#This Row],[TOTAL (R$)]]</f>
        <v>0</v>
      </c>
      <c r="M189" s="91">
        <f>reservavariáveisconsolidadoset[[#This Row],[TOTAL (R$)]]</f>
        <v>0</v>
      </c>
      <c r="N189" s="91">
        <f>reservavariáveisconsolidadoout[[#This Row],[TOTAL (R$)]]</f>
        <v>0</v>
      </c>
      <c r="O189" s="91">
        <f>reservavariáveisconsolidadonov[[#This Row],[TOTAL (R$)]]</f>
        <v>0</v>
      </c>
      <c r="P189" s="91">
        <f>reservavariáveisconsolidadodez[[#This Row],[TOTAL (R$)]]</f>
        <v>0</v>
      </c>
      <c r="Q189" s="97">
        <f>SUM(reservavariáveisconsolidadoanual[[#This Row],[1]:[12]])</f>
        <v>0</v>
      </c>
      <c r="R189" s="25"/>
      <c r="S189" s="81"/>
      <c r="T189" s="81"/>
      <c r="U189" s="81"/>
      <c r="V189" s="81"/>
      <c r="W189" s="81"/>
      <c r="X189" s="81"/>
      <c r="Y189" s="81"/>
      <c r="Z189" s="81"/>
      <c r="AH189" s="131"/>
      <c r="AO189" s="138" t="e">
        <f>SUMIFS(tabela_registros[VALOR],tabela_registros[MÊS],$AE$1,tabela_registros[REGISTRO],DADOS!$N$6,tabela_registros[TIPO],DADOS!$AJ$4,tabela_registros[CATEGORIA],reservavariáveisconsolidadodez[[#This Row],[ATUAL]],#REF!,DADOS!$J$4)</f>
        <v>#REF!</v>
      </c>
      <c r="AP189" s="138" t="e">
        <f>SUMIFS(tabela_registros[VALOR],tabela_registros[MÊS],$AE$1,tabela_registros[REGISTRO],DADOS!$N$6,tabela_registros[TIPO],DADOS!$AJ$4,tabela_registros[CATEGORIA],reservavariáveisconsolidadodez[[#This Row],[ATUAL]],#REF!,DADOS!$J$3)</f>
        <v>#REF!</v>
      </c>
      <c r="AQ189" s="139">
        <f>(reservavariáveisconsolidadoanual[[#This Row],[TOTAL (R$)]]*$AQ$197)/$Q$197</f>
        <v>0</v>
      </c>
    </row>
    <row r="190" spans="1:43" ht="19.5" customHeight="1" thickTop="1" thickBot="1" x14ac:dyDescent="0.3">
      <c r="B190" s="28"/>
      <c r="C190" s="27" t="str">
        <f>DADOS!$AN$6</f>
        <v>📝 CONTRATO DE OPÇÕES</v>
      </c>
      <c r="D190" s="26" t="str">
        <f>IF(reservavariáveisconsolidadoanual[[#This Row],[TOTAL (R$)]]=0,"",IF(OR(reservavariáveisconsolidadoanual[[#This Row],[TOTAL (R$)]]=LARGE($Q$187:$Q$196,1),reservavariáveisconsolidadoanual[[#This Row],[TOTAL (R$)]]=LARGE($Q$187:$Q$196,2)),DADOS!$I$11,""))</f>
        <v/>
      </c>
      <c r="E190" s="96">
        <f>reservavariáveisconsolidado282934[[#This Row],[TOTAL (R$)]]</f>
        <v>0</v>
      </c>
      <c r="F190" s="91">
        <f>reservavariáveisconsolidadofev[[#This Row],[TOTAL (R$)]]</f>
        <v>0</v>
      </c>
      <c r="G190" s="91">
        <f>reservavariáveisconsolidadomar[[#This Row],[TOTAL (R$)]]</f>
        <v>0</v>
      </c>
      <c r="H190" s="91">
        <f>reservavariáveisconsolidadoabr[[#This Row],[TOTAL (R$)]]</f>
        <v>0</v>
      </c>
      <c r="I190" s="91">
        <f>reservavariáveisconsolidadomai[[#This Row],[TOTAL (R$)]]</f>
        <v>0</v>
      </c>
      <c r="J190" s="91">
        <f>reservavariáveisconsolidadojun[[#This Row],[TOTAL (R$)]]</f>
        <v>0</v>
      </c>
      <c r="K190" s="91">
        <f>reservavariáveisconsolidadojul[[#This Row],[TOTAL (R$)]]</f>
        <v>0</v>
      </c>
      <c r="L190" s="91">
        <f>reservavariáveisconsolidadoago[[#This Row],[TOTAL (R$)]]</f>
        <v>0</v>
      </c>
      <c r="M190" s="91">
        <f>reservavariáveisconsolidadoset[[#This Row],[TOTAL (R$)]]</f>
        <v>0</v>
      </c>
      <c r="N190" s="91">
        <f>reservavariáveisconsolidadoout[[#This Row],[TOTAL (R$)]]</f>
        <v>0</v>
      </c>
      <c r="O190" s="91">
        <f>reservavariáveisconsolidadonov[[#This Row],[TOTAL (R$)]]</f>
        <v>0</v>
      </c>
      <c r="P190" s="91">
        <f>reservavariáveisconsolidadodez[[#This Row],[TOTAL (R$)]]</f>
        <v>0</v>
      </c>
      <c r="Q190" s="97">
        <f>SUM(reservavariáveisconsolidadoanual[[#This Row],[1]:[12]])</f>
        <v>0</v>
      </c>
      <c r="R190" s="25"/>
      <c r="S190" s="81"/>
      <c r="T190" s="81"/>
      <c r="U190" s="81"/>
      <c r="V190" s="81"/>
      <c r="W190" s="81"/>
      <c r="X190" s="81"/>
      <c r="Y190" s="81"/>
      <c r="Z190" s="81"/>
      <c r="AH190" s="131"/>
      <c r="AO190" s="138" t="e">
        <f>SUMIFS(tabela_registros[VALOR],tabela_registros[MÊS],$AE$1,tabela_registros[REGISTRO],DADOS!$N$6,tabela_registros[TIPO],DADOS!$AJ$4,tabela_registros[CATEGORIA],reservavariáveisconsolidadodez[[#This Row],[ATUAL]],#REF!,DADOS!$J$4)</f>
        <v>#REF!</v>
      </c>
      <c r="AP190" s="138" t="e">
        <f>SUMIFS(tabela_registros[VALOR],tabela_registros[MÊS],$AE$1,tabela_registros[REGISTRO],DADOS!$N$6,tabela_registros[TIPO],DADOS!$AJ$4,tabela_registros[CATEGORIA],reservavariáveisconsolidadodez[[#This Row],[ATUAL]],#REF!,DADOS!$J$3)</f>
        <v>#REF!</v>
      </c>
      <c r="AQ190" s="139">
        <f>(reservavariáveisconsolidadoanual[[#This Row],[TOTAL (R$)]]*$AQ$197)/$Q$197</f>
        <v>0</v>
      </c>
    </row>
    <row r="191" spans="1:43" ht="19.5" customHeight="1" thickTop="1" thickBot="1" x14ac:dyDescent="0.3">
      <c r="B191" s="28"/>
      <c r="C191" s="27" t="str">
        <f>DADOS!$AN$7</f>
        <v>📝 CRIPTOMOEDA</v>
      </c>
      <c r="D191" s="26" t="str">
        <f>IF(reservavariáveisconsolidadoanual[[#This Row],[TOTAL (R$)]]=0,"",IF(OR(reservavariáveisconsolidadoanual[[#This Row],[TOTAL (R$)]]=LARGE($Q$187:$Q$196,1),reservavariáveisconsolidadoanual[[#This Row],[TOTAL (R$)]]=LARGE($Q$187:$Q$196,2)),DADOS!$I$11,""))</f>
        <v/>
      </c>
      <c r="E191" s="96">
        <f>reservavariáveisconsolidado282934[[#This Row],[TOTAL (R$)]]</f>
        <v>0</v>
      </c>
      <c r="F191" s="91">
        <f>reservavariáveisconsolidadofev[[#This Row],[TOTAL (R$)]]</f>
        <v>0</v>
      </c>
      <c r="G191" s="91">
        <f>reservavariáveisconsolidadomar[[#This Row],[TOTAL (R$)]]</f>
        <v>0</v>
      </c>
      <c r="H191" s="91">
        <f>reservavariáveisconsolidadoabr[[#This Row],[TOTAL (R$)]]</f>
        <v>0</v>
      </c>
      <c r="I191" s="91">
        <f>reservavariáveisconsolidadomai[[#This Row],[TOTAL (R$)]]</f>
        <v>0</v>
      </c>
      <c r="J191" s="91">
        <f>reservavariáveisconsolidadojun[[#This Row],[TOTAL (R$)]]</f>
        <v>0</v>
      </c>
      <c r="K191" s="91">
        <f>reservavariáveisconsolidadojul[[#This Row],[TOTAL (R$)]]</f>
        <v>0</v>
      </c>
      <c r="L191" s="91">
        <f>reservavariáveisconsolidadoago[[#This Row],[TOTAL (R$)]]</f>
        <v>0</v>
      </c>
      <c r="M191" s="91">
        <f>reservavariáveisconsolidadoset[[#This Row],[TOTAL (R$)]]</f>
        <v>0</v>
      </c>
      <c r="N191" s="91">
        <f>reservavariáveisconsolidadoout[[#This Row],[TOTAL (R$)]]</f>
        <v>0</v>
      </c>
      <c r="O191" s="91">
        <f>reservavariáveisconsolidadonov[[#This Row],[TOTAL (R$)]]</f>
        <v>0</v>
      </c>
      <c r="P191" s="91">
        <f>reservavariáveisconsolidadodez[[#This Row],[TOTAL (R$)]]</f>
        <v>0</v>
      </c>
      <c r="Q191" s="97">
        <f>SUM(reservavariáveisconsolidadoanual[[#This Row],[1]:[12]])</f>
        <v>0</v>
      </c>
      <c r="R191" s="25"/>
      <c r="S191" s="81"/>
      <c r="T191" s="81"/>
      <c r="U191" s="81"/>
      <c r="V191" s="81"/>
      <c r="W191" s="81"/>
      <c r="X191" s="81"/>
      <c r="Y191" s="81"/>
      <c r="Z191" s="81"/>
      <c r="AH191" s="131"/>
      <c r="AO191" s="138" t="e">
        <f>SUMIFS(tabela_registros[VALOR],tabela_registros[MÊS],$AE$1,tabela_registros[REGISTRO],DADOS!$N$6,tabela_registros[TIPO],DADOS!$AJ$4,tabela_registros[CATEGORIA],reservavariáveisconsolidadodez[[#This Row],[ATUAL]],#REF!,DADOS!$J$4)</f>
        <v>#REF!</v>
      </c>
      <c r="AP191" s="138" t="e">
        <f>SUMIFS(tabela_registros[VALOR],tabela_registros[MÊS],$AE$1,tabela_registros[REGISTRO],DADOS!$N$6,tabela_registros[TIPO],DADOS!$AJ$4,tabela_registros[CATEGORIA],reservavariáveisconsolidadodez[[#This Row],[ATUAL]],#REF!,DADOS!$J$3)</f>
        <v>#REF!</v>
      </c>
      <c r="AQ191" s="139">
        <f>(reservavariáveisconsolidadoanual[[#This Row],[TOTAL (R$)]]*$AQ$197)/$Q$197</f>
        <v>0</v>
      </c>
    </row>
    <row r="192" spans="1:43" ht="19.5" customHeight="1" thickTop="1" thickBot="1" x14ac:dyDescent="0.3">
      <c r="B192" s="28"/>
      <c r="C192" s="27" t="str">
        <f>DADOS!$AN$8</f>
        <v>📝 ETF</v>
      </c>
      <c r="D192" s="26" t="str">
        <f>IF(reservavariáveisconsolidadoanual[[#This Row],[TOTAL (R$)]]=0,"",IF(OR(reservavariáveisconsolidadoanual[[#This Row],[TOTAL (R$)]]=LARGE($Q$187:$Q$196,1),reservavariáveisconsolidadoanual[[#This Row],[TOTAL (R$)]]=LARGE($Q$187:$Q$196,2)),DADOS!$I$11,""))</f>
        <v/>
      </c>
      <c r="E192" s="96">
        <f>reservavariáveisconsolidado282934[[#This Row],[TOTAL (R$)]]</f>
        <v>0</v>
      </c>
      <c r="F192" s="91">
        <f>reservavariáveisconsolidadofev[[#This Row],[TOTAL (R$)]]</f>
        <v>0</v>
      </c>
      <c r="G192" s="91">
        <f>reservavariáveisconsolidadomar[[#This Row],[TOTAL (R$)]]</f>
        <v>0</v>
      </c>
      <c r="H192" s="91">
        <f>reservavariáveisconsolidadoabr[[#This Row],[TOTAL (R$)]]</f>
        <v>0</v>
      </c>
      <c r="I192" s="91">
        <f>reservavariáveisconsolidadomai[[#This Row],[TOTAL (R$)]]</f>
        <v>0</v>
      </c>
      <c r="J192" s="91">
        <f>reservavariáveisconsolidadojun[[#This Row],[TOTAL (R$)]]</f>
        <v>0</v>
      </c>
      <c r="K192" s="91">
        <f>reservavariáveisconsolidadojul[[#This Row],[TOTAL (R$)]]</f>
        <v>0</v>
      </c>
      <c r="L192" s="91">
        <f>reservavariáveisconsolidadoago[[#This Row],[TOTAL (R$)]]</f>
        <v>0</v>
      </c>
      <c r="M192" s="91">
        <f>reservavariáveisconsolidadoset[[#This Row],[TOTAL (R$)]]</f>
        <v>0</v>
      </c>
      <c r="N192" s="91">
        <f>reservavariáveisconsolidadoout[[#This Row],[TOTAL (R$)]]</f>
        <v>0</v>
      </c>
      <c r="O192" s="91">
        <f>reservavariáveisconsolidadonov[[#This Row],[TOTAL (R$)]]</f>
        <v>0</v>
      </c>
      <c r="P192" s="91">
        <f>reservavariáveisconsolidadodez[[#This Row],[TOTAL (R$)]]</f>
        <v>0</v>
      </c>
      <c r="Q192" s="97">
        <f>SUM(reservavariáveisconsolidadoanual[[#This Row],[1]:[12]])</f>
        <v>0</v>
      </c>
      <c r="R192" s="25"/>
      <c r="S192" s="81"/>
      <c r="T192" s="81"/>
      <c r="U192" s="81"/>
      <c r="V192" s="81"/>
      <c r="W192" s="81"/>
      <c r="X192" s="81"/>
      <c r="Y192" s="81"/>
      <c r="Z192" s="81"/>
      <c r="AH192" s="131"/>
      <c r="AO192" s="138" t="e">
        <f>SUMIFS(tabela_registros[VALOR],tabela_registros[MÊS],$AE$1,tabela_registros[REGISTRO],DADOS!$N$6,tabela_registros[TIPO],DADOS!$AJ$4,tabela_registros[CATEGORIA],reservavariáveisconsolidadodez[[#This Row],[ATUAL]],#REF!,DADOS!$J$4)</f>
        <v>#REF!</v>
      </c>
      <c r="AP192" s="138" t="e">
        <f>SUMIFS(tabela_registros[VALOR],tabela_registros[MÊS],$AE$1,tabela_registros[REGISTRO],DADOS!$N$6,tabela_registros[TIPO],DADOS!$AJ$4,tabela_registros[CATEGORIA],reservavariáveisconsolidadodez[[#This Row],[ATUAL]],#REF!,DADOS!$J$3)</f>
        <v>#REF!</v>
      </c>
      <c r="AQ192" s="139">
        <f>(reservavariáveisconsolidadoanual[[#This Row],[TOTAL (R$)]]*$AQ$197)/$Q$197</f>
        <v>0</v>
      </c>
    </row>
    <row r="193" spans="1:43" ht="19.5" customHeight="1" thickTop="1" thickBot="1" x14ac:dyDescent="0.3">
      <c r="B193" s="28"/>
      <c r="C193" s="27" t="str">
        <f>DADOS!$AN$9</f>
        <v>📝 EXTERIOR</v>
      </c>
      <c r="D193" s="26" t="str">
        <f>IF(reservavariáveisconsolidadoanual[[#This Row],[TOTAL (R$)]]=0,"",IF(OR(reservavariáveisconsolidadoanual[[#This Row],[TOTAL (R$)]]=LARGE($Q$187:$Q$196,1),reservavariáveisconsolidadoanual[[#This Row],[TOTAL (R$)]]=LARGE($Q$187:$Q$196,2)),DADOS!$I$11,""))</f>
        <v/>
      </c>
      <c r="E193" s="96">
        <f>reservavariáveisconsolidado282934[[#This Row],[TOTAL (R$)]]</f>
        <v>0</v>
      </c>
      <c r="F193" s="91">
        <f>reservavariáveisconsolidadofev[[#This Row],[TOTAL (R$)]]</f>
        <v>0</v>
      </c>
      <c r="G193" s="91">
        <f>reservavariáveisconsolidadomar[[#This Row],[TOTAL (R$)]]</f>
        <v>0</v>
      </c>
      <c r="H193" s="91">
        <f>reservavariáveisconsolidadoabr[[#This Row],[TOTAL (R$)]]</f>
        <v>0</v>
      </c>
      <c r="I193" s="91">
        <f>reservavariáveisconsolidadomai[[#This Row],[TOTAL (R$)]]</f>
        <v>0</v>
      </c>
      <c r="J193" s="91">
        <f>reservavariáveisconsolidadojun[[#This Row],[TOTAL (R$)]]</f>
        <v>0</v>
      </c>
      <c r="K193" s="91">
        <f>reservavariáveisconsolidadojul[[#This Row],[TOTAL (R$)]]</f>
        <v>0</v>
      </c>
      <c r="L193" s="91">
        <f>reservavariáveisconsolidadoago[[#This Row],[TOTAL (R$)]]</f>
        <v>0</v>
      </c>
      <c r="M193" s="91">
        <f>reservavariáveisconsolidadoset[[#This Row],[TOTAL (R$)]]</f>
        <v>0</v>
      </c>
      <c r="N193" s="91">
        <f>reservavariáveisconsolidadoout[[#This Row],[TOTAL (R$)]]</f>
        <v>0</v>
      </c>
      <c r="O193" s="91">
        <f>reservavariáveisconsolidadonov[[#This Row],[TOTAL (R$)]]</f>
        <v>0</v>
      </c>
      <c r="P193" s="91">
        <f>reservavariáveisconsolidadodez[[#This Row],[TOTAL (R$)]]</f>
        <v>0</v>
      </c>
      <c r="Q193" s="97">
        <f>SUM(reservavariáveisconsolidadoanual[[#This Row],[1]:[12]])</f>
        <v>0</v>
      </c>
      <c r="R193" s="25"/>
      <c r="S193" s="81"/>
      <c r="T193" s="81"/>
      <c r="U193" s="81"/>
      <c r="V193" s="81"/>
      <c r="W193" s="81"/>
      <c r="X193" s="81"/>
      <c r="Y193" s="81"/>
      <c r="Z193" s="81"/>
      <c r="AH193" s="131"/>
      <c r="AO193" s="138" t="e">
        <f>SUMIFS(tabela_registros[VALOR],tabela_registros[MÊS],$AE$1,tabela_registros[REGISTRO],DADOS!$N$6,tabela_registros[TIPO],DADOS!$AJ$4,tabela_registros[CATEGORIA],reservavariáveisconsolidadodez[[#This Row],[ATUAL]],#REF!,DADOS!$J$4)</f>
        <v>#REF!</v>
      </c>
      <c r="AP193" s="138" t="e">
        <f>SUMIFS(tabela_registros[VALOR],tabela_registros[MÊS],$AE$1,tabela_registros[REGISTRO],DADOS!$N$6,tabela_registros[TIPO],DADOS!$AJ$4,tabela_registros[CATEGORIA],reservavariáveisconsolidadodez[[#This Row],[ATUAL]],#REF!,DADOS!$J$3)</f>
        <v>#REF!</v>
      </c>
      <c r="AQ193" s="139">
        <f>(reservavariáveisconsolidadoanual[[#This Row],[TOTAL (R$)]]*$AQ$197)/$Q$197</f>
        <v>0</v>
      </c>
    </row>
    <row r="194" spans="1:43" ht="19.5" customHeight="1" thickTop="1" thickBot="1" x14ac:dyDescent="0.3">
      <c r="B194" s="28"/>
      <c r="C194" s="27" t="str">
        <f>DADOS!$AN$10</f>
        <v>📝 FII</v>
      </c>
      <c r="D194" s="26" t="str">
        <f>IF(reservavariáveisconsolidadoanual[[#This Row],[TOTAL (R$)]]=0,"",IF(OR(reservavariáveisconsolidadoanual[[#This Row],[TOTAL (R$)]]=LARGE($Q$187:$Q$196,1),reservavariáveisconsolidadoanual[[#This Row],[TOTAL (R$)]]=LARGE($Q$187:$Q$196,2)),DADOS!$I$11,""))</f>
        <v/>
      </c>
      <c r="E194" s="96">
        <f>reservavariáveisconsolidado282934[[#This Row],[TOTAL (R$)]]</f>
        <v>0</v>
      </c>
      <c r="F194" s="91">
        <f>reservavariáveisconsolidadofev[[#This Row],[TOTAL (R$)]]</f>
        <v>0</v>
      </c>
      <c r="G194" s="91">
        <f>reservavariáveisconsolidadomar[[#This Row],[TOTAL (R$)]]</f>
        <v>0</v>
      </c>
      <c r="H194" s="91">
        <f>reservavariáveisconsolidadoabr[[#This Row],[TOTAL (R$)]]</f>
        <v>0</v>
      </c>
      <c r="I194" s="91">
        <f>reservavariáveisconsolidadomai[[#This Row],[TOTAL (R$)]]</f>
        <v>0</v>
      </c>
      <c r="J194" s="91">
        <f>reservavariáveisconsolidadojun[[#This Row],[TOTAL (R$)]]</f>
        <v>0</v>
      </c>
      <c r="K194" s="91">
        <f>reservavariáveisconsolidadojul[[#This Row],[TOTAL (R$)]]</f>
        <v>0</v>
      </c>
      <c r="L194" s="91">
        <f>reservavariáveisconsolidadoago[[#This Row],[TOTAL (R$)]]</f>
        <v>0</v>
      </c>
      <c r="M194" s="91">
        <f>reservavariáveisconsolidadoset[[#This Row],[TOTAL (R$)]]</f>
        <v>0</v>
      </c>
      <c r="N194" s="91">
        <f>reservavariáveisconsolidadoout[[#This Row],[TOTAL (R$)]]</f>
        <v>0</v>
      </c>
      <c r="O194" s="91">
        <f>reservavariáveisconsolidadonov[[#This Row],[TOTAL (R$)]]</f>
        <v>0</v>
      </c>
      <c r="P194" s="91">
        <f>reservavariáveisconsolidadodez[[#This Row],[TOTAL (R$)]]</f>
        <v>0</v>
      </c>
      <c r="Q194" s="97">
        <f>SUM(reservavariáveisconsolidadoanual[[#This Row],[1]:[12]])</f>
        <v>0</v>
      </c>
      <c r="R194" s="25"/>
      <c r="S194" s="81"/>
      <c r="T194" s="81"/>
      <c r="U194" s="81"/>
      <c r="V194" s="81"/>
      <c r="W194" s="81"/>
      <c r="X194" s="81"/>
      <c r="Y194" s="81"/>
      <c r="Z194" s="81"/>
      <c r="AH194" s="131"/>
      <c r="AO194" s="138" t="e">
        <f>SUMIFS(tabela_registros[VALOR],tabela_registros[MÊS],$AE$1,tabela_registros[REGISTRO],DADOS!$N$6,tabela_registros[TIPO],DADOS!$AJ$4,tabela_registros[CATEGORIA],reservavariáveisconsolidadodez[[#This Row],[ATUAL]],#REF!,DADOS!$J$4)</f>
        <v>#REF!</v>
      </c>
      <c r="AP194" s="138" t="e">
        <f>SUMIFS(tabela_registros[VALOR],tabela_registros[MÊS],$AE$1,tabela_registros[REGISTRO],DADOS!$N$6,tabela_registros[TIPO],DADOS!$AJ$4,tabela_registros[CATEGORIA],reservavariáveisconsolidadodez[[#This Row],[ATUAL]],#REF!,DADOS!$J$3)</f>
        <v>#REF!</v>
      </c>
      <c r="AQ194" s="139">
        <f>(reservavariáveisconsolidadoanual[[#This Row],[TOTAL (R$)]]*$AQ$197)/$Q$197</f>
        <v>0</v>
      </c>
    </row>
    <row r="195" spans="1:43" ht="19.5" customHeight="1" thickTop="1" thickBot="1" x14ac:dyDescent="0.3">
      <c r="B195" s="28"/>
      <c r="C195" s="27" t="str">
        <f>DADOS!$AN$11</f>
        <v>📝 MOEDA</v>
      </c>
      <c r="D195" s="26" t="str">
        <f>IF(reservavariáveisconsolidadoanual[[#This Row],[TOTAL (R$)]]=0,"",IF(OR(reservavariáveisconsolidadoanual[[#This Row],[TOTAL (R$)]]=LARGE($Q$187:$Q$196,1),reservavariáveisconsolidadoanual[[#This Row],[TOTAL (R$)]]=LARGE($Q$187:$Q$196,2)),DADOS!$I$11,""))</f>
        <v/>
      </c>
      <c r="E195" s="96">
        <f>reservavariáveisconsolidado282934[[#This Row],[TOTAL (R$)]]</f>
        <v>0</v>
      </c>
      <c r="F195" s="91">
        <f>reservavariáveisconsolidadofev[[#This Row],[TOTAL (R$)]]</f>
        <v>0</v>
      </c>
      <c r="G195" s="91">
        <f>reservavariáveisconsolidadomar[[#This Row],[TOTAL (R$)]]</f>
        <v>0</v>
      </c>
      <c r="H195" s="91">
        <f>reservavariáveisconsolidadoabr[[#This Row],[TOTAL (R$)]]</f>
        <v>0</v>
      </c>
      <c r="I195" s="91">
        <f>reservavariáveisconsolidadomai[[#This Row],[TOTAL (R$)]]</f>
        <v>0</v>
      </c>
      <c r="J195" s="91">
        <f>reservavariáveisconsolidadojun[[#This Row],[TOTAL (R$)]]</f>
        <v>0</v>
      </c>
      <c r="K195" s="91">
        <f>reservavariáveisconsolidadojul[[#This Row],[TOTAL (R$)]]</f>
        <v>0</v>
      </c>
      <c r="L195" s="91">
        <f>reservavariáveisconsolidadoago[[#This Row],[TOTAL (R$)]]</f>
        <v>0</v>
      </c>
      <c r="M195" s="91">
        <f>reservavariáveisconsolidadoset[[#This Row],[TOTAL (R$)]]</f>
        <v>0</v>
      </c>
      <c r="N195" s="91">
        <f>reservavariáveisconsolidadoout[[#This Row],[TOTAL (R$)]]</f>
        <v>0</v>
      </c>
      <c r="O195" s="91">
        <f>reservavariáveisconsolidadonov[[#This Row],[TOTAL (R$)]]</f>
        <v>0</v>
      </c>
      <c r="P195" s="91">
        <f>reservavariáveisconsolidadodez[[#This Row],[TOTAL (R$)]]</f>
        <v>0</v>
      </c>
      <c r="Q195" s="97">
        <f>SUM(reservavariáveisconsolidadoanual[[#This Row],[1]:[12]])</f>
        <v>0</v>
      </c>
      <c r="R195" s="25"/>
      <c r="S195" s="81"/>
      <c r="T195" s="81"/>
      <c r="U195" s="81"/>
      <c r="V195" s="81"/>
      <c r="W195" s="81"/>
      <c r="X195" s="81"/>
      <c r="Y195" s="81"/>
      <c r="Z195" s="81"/>
      <c r="AH195" s="131"/>
      <c r="AO195" s="138" t="e">
        <f>SUMIFS(tabela_registros[VALOR],tabela_registros[MÊS],$AE$1,tabela_registros[REGISTRO],DADOS!$N$6,tabela_registros[TIPO],DADOS!$AJ$4,tabela_registros[CATEGORIA],reservavariáveisconsolidadodez[[#This Row],[ATUAL]],#REF!,DADOS!$J$4)</f>
        <v>#REF!</v>
      </c>
      <c r="AP195" s="138" t="e">
        <f>SUMIFS(tabela_registros[VALOR],tabela_registros[MÊS],$AE$1,tabela_registros[REGISTRO],DADOS!$N$6,tabela_registros[TIPO],DADOS!$AJ$4,tabela_registros[CATEGORIA],reservavariáveisconsolidadodez[[#This Row],[ATUAL]],#REF!,DADOS!$J$3)</f>
        <v>#REF!</v>
      </c>
      <c r="AQ195" s="139">
        <f>(reservavariáveisconsolidadoanual[[#This Row],[TOTAL (R$)]]*$AQ$197)/$Q$197</f>
        <v>0</v>
      </c>
    </row>
    <row r="196" spans="1:43" ht="19.5" customHeight="1" thickTop="1" thickBot="1" x14ac:dyDescent="0.3">
      <c r="B196" s="28"/>
      <c r="C196" s="27" t="str">
        <f>DADOS!$AN$12</f>
        <v>📎 OUTROS</v>
      </c>
      <c r="D196" s="26" t="str">
        <f>IF(reservavariáveisconsolidadoanual[[#This Row],[TOTAL (R$)]]=0,"",IF(OR(reservavariáveisconsolidadoanual[[#This Row],[TOTAL (R$)]]=LARGE($Q$187:$Q$196,1),reservavariáveisconsolidadoanual[[#This Row],[TOTAL (R$)]]=LARGE($Q$187:$Q$196,2)),DADOS!$I$11,""))</f>
        <v/>
      </c>
      <c r="E196" s="96">
        <f>reservavariáveisconsolidado282934[[#This Row],[TOTAL (R$)]]</f>
        <v>0</v>
      </c>
      <c r="F196" s="91">
        <f>reservavariáveisconsolidadofev[[#This Row],[TOTAL (R$)]]</f>
        <v>0</v>
      </c>
      <c r="G196" s="91">
        <f>reservavariáveisconsolidadomar[[#This Row],[TOTAL (R$)]]</f>
        <v>0</v>
      </c>
      <c r="H196" s="91">
        <f>reservavariáveisconsolidadoabr[[#This Row],[TOTAL (R$)]]</f>
        <v>0</v>
      </c>
      <c r="I196" s="91">
        <f>reservavariáveisconsolidadomai[[#This Row],[TOTAL (R$)]]</f>
        <v>0</v>
      </c>
      <c r="J196" s="91">
        <f>reservavariáveisconsolidadojun[[#This Row],[TOTAL (R$)]]</f>
        <v>0</v>
      </c>
      <c r="K196" s="91">
        <f>reservavariáveisconsolidadojul[[#This Row],[TOTAL (R$)]]</f>
        <v>0</v>
      </c>
      <c r="L196" s="91">
        <f>reservavariáveisconsolidadoago[[#This Row],[TOTAL (R$)]]</f>
        <v>0</v>
      </c>
      <c r="M196" s="91">
        <f>reservavariáveisconsolidadoset[[#This Row],[TOTAL (R$)]]</f>
        <v>0</v>
      </c>
      <c r="N196" s="91">
        <f>reservavariáveisconsolidadoout[[#This Row],[TOTAL (R$)]]</f>
        <v>0</v>
      </c>
      <c r="O196" s="91">
        <f>reservavariáveisconsolidadonov[[#This Row],[TOTAL (R$)]]</f>
        <v>0</v>
      </c>
      <c r="P196" s="91">
        <f>reservavariáveisconsolidadodez[[#This Row],[TOTAL (R$)]]</f>
        <v>0</v>
      </c>
      <c r="Q196" s="97">
        <f>SUM(reservavariáveisconsolidadoanual[[#This Row],[1]:[12]])</f>
        <v>0</v>
      </c>
      <c r="R196" s="25"/>
      <c r="S196" s="81"/>
      <c r="T196" s="81"/>
      <c r="U196" s="81"/>
      <c r="V196" s="81"/>
      <c r="W196" s="81"/>
      <c r="X196" s="81"/>
      <c r="Y196" s="81"/>
      <c r="Z196" s="81"/>
      <c r="AH196" s="131"/>
      <c r="AN196" s="131" t="s">
        <v>165</v>
      </c>
      <c r="AO196" s="138" t="e">
        <f>SUMIFS(tabela_registros[VALOR],tabela_registros[MÊS],$AE$1,tabela_registros[REGISTRO],DADOS!$N$6,tabela_registros[TIPO],DADOS!$AJ$4,tabela_registros[CATEGORIA],reservavariáveisconsolidadodez[[#This Row],[ATUAL]],#REF!,DADOS!$J$4)</f>
        <v>#REF!</v>
      </c>
      <c r="AP196" s="138" t="e">
        <f>SUMIFS(tabela_registros[VALOR],tabela_registros[MÊS],$AE$1,tabela_registros[REGISTRO],DADOS!$N$6,tabela_registros[TIPO],DADOS!$AJ$4,tabela_registros[CATEGORIA],reservavariáveisconsolidadodez[[#This Row],[ATUAL]],#REF!,DADOS!$J$3)</f>
        <v>#REF!</v>
      </c>
      <c r="AQ196" s="139">
        <f>(reservavariáveisconsolidadoanual[[#This Row],[TOTAL (R$)]]*$AQ$197)/$Q$197</f>
        <v>0</v>
      </c>
    </row>
    <row r="197" spans="1:43" s="140" customFormat="1" ht="21" customHeight="1" thickTop="1" thickBot="1" x14ac:dyDescent="0.3">
      <c r="A197" s="16"/>
      <c r="B197" s="24"/>
      <c r="C197" s="23" t="s">
        <v>19</v>
      </c>
      <c r="D197" s="22"/>
      <c r="E197" s="21">
        <f>reservavariáveisconsolidado282934[[#This Row],[TOTAL (R$)]]</f>
        <v>600</v>
      </c>
      <c r="F197" s="20">
        <f>reservavariáveisconsolidadofev[[#This Row],[TOTAL (R$)]]+reservavariáveisconsolidadoanual[[#This Row],[1]]</f>
        <v>600</v>
      </c>
      <c r="G197" s="20">
        <f>reservavariáveisconsolidadomar[[#This Row],[TOTAL (R$)]]+reservavariáveisconsolidadoanual[[#This Row],[2]]</f>
        <v>600</v>
      </c>
      <c r="H197" s="20">
        <f>reservavariáveisconsolidadoabr[[#This Row],[TOTAL (R$)]]+reservavariáveisconsolidadoanual[[#This Row],[3]]</f>
        <v>600</v>
      </c>
      <c r="I197" s="20">
        <f>reservavariáveisconsolidadomai[[#This Row],[TOTAL (R$)]]+reservavariáveisconsolidadoanual[[#This Row],[4]]</f>
        <v>600</v>
      </c>
      <c r="J197" s="20">
        <f>reservavariáveisconsolidadojun[[#This Row],[TOTAL (R$)]]+reservavariáveisconsolidadoanual[[#This Row],[5]]</f>
        <v>600</v>
      </c>
      <c r="K197" s="20">
        <f>reservavariáveisconsolidadojul[[#This Row],[TOTAL (R$)]]+reservavariáveisconsolidadoanual[[#This Row],[6]]</f>
        <v>600</v>
      </c>
      <c r="L197" s="20">
        <f>reservavariáveisconsolidadoago[[#This Row],[TOTAL (R$)]]+reservavariáveisconsolidadoanual[[#This Row],[7]]</f>
        <v>600</v>
      </c>
      <c r="M197" s="20">
        <f>reservavariáveisconsolidadoset[[#This Row],[TOTAL (R$)]]+reservavariáveisconsolidadoanual[[#This Row],[8]]</f>
        <v>600</v>
      </c>
      <c r="N197" s="20">
        <f>reservavariáveisconsolidadoout[[#This Row],[TOTAL (R$)]]+reservavariáveisconsolidadoanual[[#This Row],[9]]</f>
        <v>600</v>
      </c>
      <c r="O197" s="20">
        <f>reservavariáveisconsolidadonov[[#This Row],[TOTAL (R$)]]+reservavariáveisconsolidadoanual[[#This Row],[10]]</f>
        <v>600</v>
      </c>
      <c r="P197" s="20">
        <f>reservavariáveisconsolidadodez[[#This Row],[TOTAL (R$)]]+reservavariáveisconsolidadoanual[[#This Row],[11]]</f>
        <v>600</v>
      </c>
      <c r="Q197" s="18">
        <f>reservavariáveisconsolidadoanual[[#This Row],[12]]</f>
        <v>600</v>
      </c>
      <c r="R197" s="17"/>
      <c r="S197" s="81"/>
      <c r="T197" s="81"/>
      <c r="U197" s="81"/>
      <c r="V197" s="81"/>
      <c r="W197" s="81"/>
      <c r="X197" s="81"/>
      <c r="Y197" s="81"/>
      <c r="Z197" s="81"/>
      <c r="AA197" s="131"/>
      <c r="AB197" s="131"/>
      <c r="AC197" s="131"/>
      <c r="AD197" s="131"/>
      <c r="AE197" s="131"/>
      <c r="AF197" s="131"/>
      <c r="AG197" s="131"/>
      <c r="AH197" s="131"/>
      <c r="AI197" s="131"/>
      <c r="AJ197" s="131"/>
      <c r="AK197" s="131"/>
      <c r="AN197" s="142">
        <f>reservavariáveisconsolidadoanual[[#This Row],[TOTAL (R$)]]/$Q$26</f>
        <v>0.23183925811437403</v>
      </c>
      <c r="AO197" s="141" t="e">
        <f>SUM(AO187:AO196)</f>
        <v>#REF!</v>
      </c>
      <c r="AP197" s="141" t="e">
        <f>SUM(AP187:AP196)</f>
        <v>#REF!</v>
      </c>
      <c r="AQ197" s="139">
        <f>1</f>
        <v>1</v>
      </c>
    </row>
    <row r="198" spans="1:43" ht="6.75" customHeight="1" thickTop="1" thickBot="1" x14ac:dyDescent="0.3">
      <c r="B198" s="15"/>
      <c r="C198" s="14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1"/>
      <c r="S198" s="81"/>
      <c r="T198" s="81"/>
      <c r="U198" s="81"/>
      <c r="V198" s="81"/>
      <c r="W198" s="81"/>
      <c r="X198" s="81"/>
      <c r="Y198" s="81"/>
      <c r="Z198" s="81"/>
      <c r="AH198" s="131"/>
    </row>
    <row r="199" spans="1:43" ht="12.6" thickTop="1" x14ac:dyDescent="0.25">
      <c r="E199" s="37"/>
      <c r="S199" s="81"/>
      <c r="T199" s="81"/>
      <c r="U199" s="81"/>
      <c r="V199" s="81"/>
      <c r="W199" s="81"/>
      <c r="X199" s="81"/>
      <c r="Y199" s="81"/>
      <c r="Z199" s="81"/>
      <c r="AH199" s="131"/>
    </row>
    <row r="200" spans="1:43" x14ac:dyDescent="0.25">
      <c r="S200" s="81"/>
      <c r="T200" s="81"/>
      <c r="U200" s="81"/>
      <c r="V200" s="81"/>
      <c r="W200" s="81"/>
      <c r="X200" s="81"/>
      <c r="Y200" s="81"/>
      <c r="Z200" s="81"/>
      <c r="AH200" s="131"/>
    </row>
    <row r="201" spans="1:43" x14ac:dyDescent="0.25">
      <c r="S201" s="81"/>
      <c r="T201" s="81"/>
      <c r="U201" s="81"/>
      <c r="V201" s="81"/>
      <c r="W201" s="81"/>
      <c r="X201" s="81"/>
      <c r="Y201" s="81"/>
      <c r="Z201" s="81"/>
      <c r="AH201" s="131"/>
    </row>
    <row r="202" spans="1:43" ht="39.75" customHeight="1" x14ac:dyDescent="0.7">
      <c r="C202" s="36"/>
      <c r="E202" s="240"/>
      <c r="F202" s="240"/>
      <c r="G202" s="240"/>
      <c r="H202" s="240"/>
      <c r="I202" s="240"/>
      <c r="J202" s="240"/>
      <c r="K202" s="240"/>
      <c r="L202" s="240"/>
      <c r="M202" s="240"/>
      <c r="N202" s="240"/>
      <c r="O202" s="240"/>
      <c r="P202" s="240"/>
      <c r="Q202" s="32" t="s">
        <v>19</v>
      </c>
      <c r="R202" s="82"/>
      <c r="S202" s="81"/>
      <c r="T202" s="81"/>
      <c r="U202" s="81"/>
      <c r="V202" s="81"/>
      <c r="W202" s="81"/>
      <c r="X202" s="81"/>
      <c r="Y202" s="81"/>
      <c r="Z202" s="81"/>
      <c r="AH202" s="131"/>
    </row>
    <row r="203" spans="1:43" ht="12.6" thickBot="1" x14ac:dyDescent="0.3">
      <c r="B203" s="35"/>
      <c r="Q203" s="34" t="s">
        <v>202</v>
      </c>
      <c r="S203" s="81"/>
      <c r="T203" s="81"/>
      <c r="U203" s="81"/>
      <c r="V203" s="81"/>
      <c r="W203" s="81"/>
      <c r="X203" s="81"/>
      <c r="Y203" s="81"/>
      <c r="Z203" s="81"/>
      <c r="AH203" s="131"/>
    </row>
    <row r="204" spans="1:43" ht="6.75" customHeight="1" thickTop="1" thickBot="1" x14ac:dyDescent="0.3">
      <c r="B204" s="2"/>
      <c r="C204" s="14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1"/>
      <c r="S204" s="81"/>
      <c r="T204" s="81"/>
      <c r="U204" s="81"/>
      <c r="V204" s="81"/>
      <c r="W204" s="81"/>
      <c r="X204" s="81"/>
      <c r="Y204" s="81"/>
      <c r="Z204" s="81"/>
      <c r="AH204" s="131"/>
      <c r="AO204" s="137" t="s">
        <v>118</v>
      </c>
      <c r="AP204" s="137" t="s">
        <v>201</v>
      </c>
      <c r="AQ204" s="137" t="s">
        <v>200</v>
      </c>
    </row>
    <row r="205" spans="1:43" ht="13.2" hidden="1" thickTop="1" thickBot="1" x14ac:dyDescent="0.3">
      <c r="B205" s="2"/>
      <c r="C205" s="31" t="s">
        <v>199</v>
      </c>
      <c r="D205" s="30" t="s">
        <v>198</v>
      </c>
      <c r="E205" s="30" t="s">
        <v>197</v>
      </c>
      <c r="F205" s="30" t="s">
        <v>196</v>
      </c>
      <c r="G205" s="30" t="s">
        <v>195</v>
      </c>
      <c r="H205" s="30" t="s">
        <v>194</v>
      </c>
      <c r="I205" s="30" t="s">
        <v>193</v>
      </c>
      <c r="J205" s="30" t="s">
        <v>192</v>
      </c>
      <c r="K205" s="30" t="s">
        <v>191</v>
      </c>
      <c r="L205" s="30" t="s">
        <v>190</v>
      </c>
      <c r="M205" s="30" t="s">
        <v>189</v>
      </c>
      <c r="N205" s="30" t="s">
        <v>188</v>
      </c>
      <c r="O205" s="30" t="s">
        <v>187</v>
      </c>
      <c r="P205" s="30" t="s">
        <v>186</v>
      </c>
      <c r="Q205" s="29" t="s">
        <v>166</v>
      </c>
      <c r="R205" s="28"/>
      <c r="S205" s="81"/>
      <c r="T205" s="81"/>
      <c r="U205" s="81"/>
      <c r="V205" s="81">
        <v>5555</v>
      </c>
      <c r="W205" s="81"/>
      <c r="X205" s="81"/>
      <c r="Y205" s="81"/>
      <c r="Z205" s="81"/>
      <c r="AH205" s="131"/>
    </row>
    <row r="206" spans="1:43" ht="19.5" customHeight="1" thickTop="1" thickBot="1" x14ac:dyDescent="0.3">
      <c r="B206" s="28"/>
      <c r="C206" s="27" t="str">
        <f>DADOS!$AP$3</f>
        <v>📝 COE</v>
      </c>
      <c r="D206" s="26" t="str">
        <f>IF(reservaoutrosconsolidadoanual[[#This Row],[TOTAL (R$)]]=0,"",IF(OR(reservaoutrosconsolidadoanual[[#This Row],[TOTAL (R$)]]=LARGE($Q$206:$Q$213,1),reservaoutrosconsolidadoanual[[#This Row],[TOTAL (R$)]]=LARGE($Q$206:$Q$213,2)),DADOS!$I$11,""))</f>
        <v/>
      </c>
      <c r="E206" s="96">
        <f>reservaoutrosconsolidado282935[[#This Row],[TOTAL (R$)]]</f>
        <v>0</v>
      </c>
      <c r="F206" s="91">
        <f>reservaoutrosconsolidadofev[[#This Row],[TOTAL (R$)]]</f>
        <v>0</v>
      </c>
      <c r="G206" s="91">
        <f>reservaoutrosconsolidadomar[[#This Row],[TOTAL (R$)]]</f>
        <v>0</v>
      </c>
      <c r="H206" s="91">
        <f>reservaoutrosconsolidadoabr[[#This Row],[TOTAL (R$)]]</f>
        <v>0</v>
      </c>
      <c r="I206" s="91">
        <f>reservaoutrosconsolidadomai[[#This Row],[TOTAL (R$)]]</f>
        <v>0</v>
      </c>
      <c r="J206" s="91">
        <f>reservaoutrosconsolidadojun[[#This Row],[TOTAL (R$)]]</f>
        <v>0</v>
      </c>
      <c r="K206" s="91">
        <f>reservaoutrosconsolidadojul[[#This Row],[TOTAL (R$)]]</f>
        <v>0</v>
      </c>
      <c r="L206" s="91">
        <f>reservaoutrosconsolidadoago[[#This Row],[TOTAL (R$)]]</f>
        <v>0</v>
      </c>
      <c r="M206" s="91">
        <f>reservaoutrosconsolidadoset[[#This Row],[TOTAL (R$)]]</f>
        <v>0</v>
      </c>
      <c r="N206" s="91">
        <f>reservaoutrosconsolidadoout[[#This Row],[TOTAL (R$)]]</f>
        <v>0</v>
      </c>
      <c r="O206" s="91">
        <f>reservaoutrosconsolidadonov[[#This Row],[TOTAL (R$)]]</f>
        <v>0</v>
      </c>
      <c r="P206" s="91">
        <f>reservaoutrosconsolidadodez[[#This Row],[TOTAL (R$)]]</f>
        <v>0</v>
      </c>
      <c r="Q206" s="97">
        <f>SUM(reservaoutrosconsolidadoanual[[#This Row],[1]:[12]])</f>
        <v>0</v>
      </c>
      <c r="R206" s="25"/>
      <c r="S206" s="81"/>
      <c r="T206" s="81"/>
      <c r="U206" s="81"/>
      <c r="V206" s="81"/>
      <c r="W206" s="81"/>
      <c r="X206" s="81"/>
      <c r="Y206" s="81"/>
      <c r="Z206" s="81"/>
      <c r="AH206" s="131"/>
      <c r="AO206" s="138" t="e">
        <f>SUMIFS(tabela_registros[VALOR],tabela_registros[MÊS],$AE$1,tabela_registros[REGISTRO],DADOS!$N$6,tabela_registros[TIPO],DADOS!$AJ$5,tabela_registros[CATEGORIA],reservaoutrosconsolidadodez[[#This Row],[ATUAL]],#REF!,DADOS!$J$4)</f>
        <v>#REF!</v>
      </c>
      <c r="AP206" s="138" t="e">
        <f>SUMIFS(tabela_registros[VALOR],tabela_registros[MÊS],$AE$1,tabela_registros[REGISTRO],DADOS!$N$6,tabela_registros[TIPO],DADOS!$AJ$5,tabela_registros[CATEGORIA],reservaoutrosconsolidadodez[[#This Row],[ATUAL]],#REF!,DADOS!$J$3)</f>
        <v>#REF!</v>
      </c>
      <c r="AQ206" s="139">
        <f>(reservaoutrosconsolidadoanual[[#This Row],[TOTAL (R$)]]*$AQ$214)/$Q$214</f>
        <v>0</v>
      </c>
    </row>
    <row r="207" spans="1:43" ht="19.5" customHeight="1" thickTop="1" thickBot="1" x14ac:dyDescent="0.3">
      <c r="B207" s="28"/>
      <c r="C207" s="27" t="str">
        <f>DADOS!$AP$4</f>
        <v>📝 FOREX</v>
      </c>
      <c r="D207" s="26" t="str">
        <f>IF(reservaoutrosconsolidadoanual[[#This Row],[TOTAL (R$)]]=0,"",IF(OR(reservaoutrosconsolidadoanual[[#This Row],[TOTAL (R$)]]=LARGE($Q$206:$Q$213,1),reservaoutrosconsolidadoanual[[#This Row],[TOTAL (R$)]]=LARGE($Q$206:$Q$213,2)),DADOS!$I$11,""))</f>
        <v/>
      </c>
      <c r="E207" s="96">
        <f>reservaoutrosconsolidado282935[[#This Row],[TOTAL (R$)]]</f>
        <v>0</v>
      </c>
      <c r="F207" s="91">
        <f>reservaoutrosconsolidadofev[[#This Row],[TOTAL (R$)]]</f>
        <v>0</v>
      </c>
      <c r="G207" s="91">
        <f>reservaoutrosconsolidadomar[[#This Row],[TOTAL (R$)]]</f>
        <v>0</v>
      </c>
      <c r="H207" s="91">
        <f>reservaoutrosconsolidadoabr[[#This Row],[TOTAL (R$)]]</f>
        <v>0</v>
      </c>
      <c r="I207" s="91">
        <f>reservaoutrosconsolidadomai[[#This Row],[TOTAL (R$)]]</f>
        <v>0</v>
      </c>
      <c r="J207" s="91">
        <f>reservaoutrosconsolidadojun[[#This Row],[TOTAL (R$)]]</f>
        <v>0</v>
      </c>
      <c r="K207" s="91">
        <f>reservaoutrosconsolidadojul[[#This Row],[TOTAL (R$)]]</f>
        <v>0</v>
      </c>
      <c r="L207" s="91">
        <f>reservaoutrosconsolidadoago[[#This Row],[TOTAL (R$)]]</f>
        <v>0</v>
      </c>
      <c r="M207" s="91">
        <f>reservaoutrosconsolidadoset[[#This Row],[TOTAL (R$)]]</f>
        <v>0</v>
      </c>
      <c r="N207" s="91">
        <f>reservaoutrosconsolidadoout[[#This Row],[TOTAL (R$)]]</f>
        <v>0</v>
      </c>
      <c r="O207" s="91">
        <f>reservaoutrosconsolidadonov[[#This Row],[TOTAL (R$)]]</f>
        <v>0</v>
      </c>
      <c r="P207" s="91">
        <f>reservaoutrosconsolidadodez[[#This Row],[TOTAL (R$)]]</f>
        <v>0</v>
      </c>
      <c r="Q207" s="97">
        <f>SUM(reservaoutrosconsolidadoanual[[#This Row],[1]:[12]])</f>
        <v>0</v>
      </c>
      <c r="R207" s="25"/>
      <c r="S207" s="81"/>
      <c r="T207" s="81"/>
      <c r="U207" s="81"/>
      <c r="V207" s="81"/>
      <c r="W207" s="81"/>
      <c r="X207" s="81"/>
      <c r="Y207" s="81"/>
      <c r="Z207" s="81"/>
      <c r="AH207" s="131"/>
      <c r="AO207" s="138" t="e">
        <f>SUMIFS(tabela_registros[VALOR],tabela_registros[MÊS],$AE$1,tabela_registros[REGISTRO],DADOS!$N$6,tabela_registros[TIPO],DADOS!$AJ$5,tabela_registros[CATEGORIA],reservaoutrosconsolidadodez[[#This Row],[ATUAL]],#REF!,DADOS!$J$4)</f>
        <v>#REF!</v>
      </c>
      <c r="AP207" s="138" t="e">
        <f>SUMIFS(tabela_registros[VALOR],tabela_registros[MÊS],$AE$1,tabela_registros[REGISTRO],DADOS!$N$6,tabela_registros[TIPO],DADOS!$AJ$5,tabela_registros[CATEGORIA],reservaoutrosconsolidadodez[[#This Row],[ATUAL]],#REF!,DADOS!$J$3)</f>
        <v>#REF!</v>
      </c>
      <c r="AQ207" s="139">
        <f>(reservaoutrosconsolidadoanual[[#This Row],[TOTAL (R$)]]*$AQ$214)/$Q$214</f>
        <v>0</v>
      </c>
    </row>
    <row r="208" spans="1:43" ht="19.5" customHeight="1" thickTop="1" thickBot="1" x14ac:dyDescent="0.3">
      <c r="B208" s="28"/>
      <c r="C208" s="27" t="str">
        <f>DADOS!$AP$5</f>
        <v>📝 FUNDO DE INVESTIMENTO</v>
      </c>
      <c r="D208" s="26" t="str">
        <f>IF(reservaoutrosconsolidadoanual[[#This Row],[TOTAL (R$)]]=0,"",IF(OR(reservaoutrosconsolidadoanual[[#This Row],[TOTAL (R$)]]=LARGE($Q$206:$Q$213,1),reservaoutrosconsolidadoanual[[#This Row],[TOTAL (R$)]]=LARGE($Q$206:$Q$213,2)),DADOS!$I$11,""))</f>
        <v/>
      </c>
      <c r="E208" s="96">
        <f>reservaoutrosconsolidado282935[[#This Row],[TOTAL (R$)]]</f>
        <v>0</v>
      </c>
      <c r="F208" s="91">
        <f>reservaoutrosconsolidadofev[[#This Row],[TOTAL (R$)]]</f>
        <v>0</v>
      </c>
      <c r="G208" s="91">
        <f>reservaoutrosconsolidadomar[[#This Row],[TOTAL (R$)]]</f>
        <v>0</v>
      </c>
      <c r="H208" s="91">
        <f>reservaoutrosconsolidadoabr[[#This Row],[TOTAL (R$)]]</f>
        <v>0</v>
      </c>
      <c r="I208" s="91">
        <f>reservaoutrosconsolidadomai[[#This Row],[TOTAL (R$)]]</f>
        <v>0</v>
      </c>
      <c r="J208" s="91">
        <f>reservaoutrosconsolidadojun[[#This Row],[TOTAL (R$)]]</f>
        <v>0</v>
      </c>
      <c r="K208" s="91">
        <f>reservaoutrosconsolidadojul[[#This Row],[TOTAL (R$)]]</f>
        <v>0</v>
      </c>
      <c r="L208" s="91">
        <f>reservaoutrosconsolidadoago[[#This Row],[TOTAL (R$)]]</f>
        <v>0</v>
      </c>
      <c r="M208" s="91">
        <f>reservaoutrosconsolidadoset[[#This Row],[TOTAL (R$)]]</f>
        <v>0</v>
      </c>
      <c r="N208" s="91">
        <f>reservaoutrosconsolidadoout[[#This Row],[TOTAL (R$)]]</f>
        <v>0</v>
      </c>
      <c r="O208" s="91">
        <f>reservaoutrosconsolidadonov[[#This Row],[TOTAL (R$)]]</f>
        <v>0</v>
      </c>
      <c r="P208" s="91">
        <f>reservaoutrosconsolidadodez[[#This Row],[TOTAL (R$)]]</f>
        <v>0</v>
      </c>
      <c r="Q208" s="97">
        <f>SUM(reservaoutrosconsolidadoanual[[#This Row],[1]:[12]])</f>
        <v>0</v>
      </c>
      <c r="R208" s="25"/>
      <c r="S208" s="81"/>
      <c r="T208" s="81"/>
      <c r="U208" s="81"/>
      <c r="V208" s="81"/>
      <c r="W208" s="81"/>
      <c r="X208" s="81"/>
      <c r="Y208" s="81"/>
      <c r="Z208" s="81"/>
      <c r="AH208" s="131"/>
      <c r="AO208" s="138" t="e">
        <f>SUMIFS(tabela_registros[VALOR],tabela_registros[MÊS],$AE$1,tabela_registros[REGISTRO],DADOS!$N$6,tabela_registros[TIPO],DADOS!$AJ$5,tabela_registros[CATEGORIA],reservaoutrosconsolidadodez[[#This Row],[ATUAL]],#REF!,DADOS!$J$4)</f>
        <v>#REF!</v>
      </c>
      <c r="AP208" s="138" t="e">
        <f>SUMIFS(tabela_registros[VALOR],tabela_registros[MÊS],$AE$1,tabela_registros[REGISTRO],DADOS!$N$6,tabela_registros[TIPO],DADOS!$AJ$5,tabela_registros[CATEGORIA],reservaoutrosconsolidadodez[[#This Row],[ATUAL]],#REF!,DADOS!$J$3)</f>
        <v>#REF!</v>
      </c>
      <c r="AQ208" s="139">
        <f>(reservaoutrosconsolidadoanual[[#This Row],[TOTAL (R$)]]*$AQ$214)/$Q$214</f>
        <v>0</v>
      </c>
    </row>
    <row r="209" spans="1:43" ht="19.5" customHeight="1" thickTop="1" thickBot="1" x14ac:dyDescent="0.3">
      <c r="B209" s="28"/>
      <c r="C209" s="27" t="str">
        <f>DADOS!$AP$6</f>
        <v>📝 NOVA EMPRESA</v>
      </c>
      <c r="D209" s="26" t="str">
        <f>IF(reservaoutrosconsolidadoanual[[#This Row],[TOTAL (R$)]]=0,"",IF(OR(reservaoutrosconsolidadoanual[[#This Row],[TOTAL (R$)]]=LARGE($Q$206:$Q$213,1),reservaoutrosconsolidadoanual[[#This Row],[TOTAL (R$)]]=LARGE($Q$206:$Q$213,2)),DADOS!$I$11,""))</f>
        <v>🚑</v>
      </c>
      <c r="E209" s="96">
        <f>reservaoutrosconsolidado282935[[#This Row],[TOTAL (R$)]]</f>
        <v>0</v>
      </c>
      <c r="F209" s="91">
        <f>reservaoutrosconsolidadofev[[#This Row],[TOTAL (R$)]]</f>
        <v>86</v>
      </c>
      <c r="G209" s="91">
        <f>reservaoutrosconsolidadomar[[#This Row],[TOTAL (R$)]]</f>
        <v>0</v>
      </c>
      <c r="H209" s="91">
        <f>reservaoutrosconsolidadoabr[[#This Row],[TOTAL (R$)]]</f>
        <v>0</v>
      </c>
      <c r="I209" s="91">
        <f>reservaoutrosconsolidadomai[[#This Row],[TOTAL (R$)]]</f>
        <v>0</v>
      </c>
      <c r="J209" s="91">
        <f>reservaoutrosconsolidadojun[[#This Row],[TOTAL (R$)]]</f>
        <v>0</v>
      </c>
      <c r="K209" s="91">
        <f>reservaoutrosconsolidadojul[[#This Row],[TOTAL (R$)]]</f>
        <v>0</v>
      </c>
      <c r="L209" s="91">
        <f>reservaoutrosconsolidadoago[[#This Row],[TOTAL (R$)]]</f>
        <v>0</v>
      </c>
      <c r="M209" s="91">
        <f>reservaoutrosconsolidadoset[[#This Row],[TOTAL (R$)]]</f>
        <v>0</v>
      </c>
      <c r="N209" s="91">
        <f>reservaoutrosconsolidadoout[[#This Row],[TOTAL (R$)]]</f>
        <v>0</v>
      </c>
      <c r="O209" s="91">
        <f>reservaoutrosconsolidadonov[[#This Row],[TOTAL (R$)]]</f>
        <v>0</v>
      </c>
      <c r="P209" s="91">
        <f>reservaoutrosconsolidadodez[[#This Row],[TOTAL (R$)]]</f>
        <v>0</v>
      </c>
      <c r="Q209" s="97">
        <f>SUM(reservaoutrosconsolidadoanual[[#This Row],[1]:[12]])</f>
        <v>86</v>
      </c>
      <c r="R209" s="25"/>
      <c r="S209" s="81"/>
      <c r="T209" s="81"/>
      <c r="U209" s="81"/>
      <c r="V209" s="81"/>
      <c r="W209" s="81"/>
      <c r="X209" s="81"/>
      <c r="Y209" s="81"/>
      <c r="Z209" s="81"/>
      <c r="AH209" s="131"/>
      <c r="AO209" s="138" t="e">
        <f>SUMIFS(tabela_registros[VALOR],tabela_registros[MÊS],$AE$1,tabela_registros[REGISTRO],DADOS!$N$6,tabela_registros[TIPO],DADOS!$AJ$5,tabela_registros[CATEGORIA],reservaoutrosconsolidadodez[[#This Row],[ATUAL]],#REF!,DADOS!$J$4)</f>
        <v>#REF!</v>
      </c>
      <c r="AP209" s="138" t="e">
        <f>SUMIFS(tabela_registros[VALOR],tabela_registros[MÊS],$AE$1,tabela_registros[REGISTRO],DADOS!$N$6,tabela_registros[TIPO],DADOS!$AJ$5,tabela_registros[CATEGORIA],reservaoutrosconsolidadodez[[#This Row],[ATUAL]],#REF!,DADOS!$J$3)</f>
        <v>#REF!</v>
      </c>
      <c r="AQ209" s="139">
        <f>(reservaoutrosconsolidadoanual[[#This Row],[TOTAL (R$)]]*$AQ$214)/$Q$214</f>
        <v>1</v>
      </c>
    </row>
    <row r="210" spans="1:43" ht="19.5" customHeight="1" thickTop="1" thickBot="1" x14ac:dyDescent="0.3">
      <c r="B210" s="28"/>
      <c r="C210" s="27" t="str">
        <f>DADOS!$AP$7</f>
        <v>📝 PEER TO COMPANY</v>
      </c>
      <c r="D210" s="26" t="str">
        <f>IF(reservaoutrosconsolidadoanual[[#This Row],[TOTAL (R$)]]=0,"",IF(OR(reservaoutrosconsolidadoanual[[#This Row],[TOTAL (R$)]]=LARGE($Q$206:$Q$213,1),reservaoutrosconsolidadoanual[[#This Row],[TOTAL (R$)]]=LARGE($Q$206:$Q$213,2)),DADOS!$I$11,""))</f>
        <v/>
      </c>
      <c r="E210" s="96">
        <f>reservaoutrosconsolidado282935[[#This Row],[TOTAL (R$)]]</f>
        <v>0</v>
      </c>
      <c r="F210" s="91">
        <f>reservaoutrosconsolidadofev[[#This Row],[TOTAL (R$)]]</f>
        <v>0</v>
      </c>
      <c r="G210" s="91">
        <f>reservaoutrosconsolidadomar[[#This Row],[TOTAL (R$)]]</f>
        <v>0</v>
      </c>
      <c r="H210" s="91">
        <f>reservaoutrosconsolidadoabr[[#This Row],[TOTAL (R$)]]</f>
        <v>0</v>
      </c>
      <c r="I210" s="91">
        <f>reservaoutrosconsolidadomai[[#This Row],[TOTAL (R$)]]</f>
        <v>0</v>
      </c>
      <c r="J210" s="91">
        <f>reservaoutrosconsolidadojun[[#This Row],[TOTAL (R$)]]</f>
        <v>0</v>
      </c>
      <c r="K210" s="91">
        <f>reservaoutrosconsolidadojul[[#This Row],[TOTAL (R$)]]</f>
        <v>0</v>
      </c>
      <c r="L210" s="91">
        <f>reservaoutrosconsolidadoago[[#This Row],[TOTAL (R$)]]</f>
        <v>0</v>
      </c>
      <c r="M210" s="91">
        <f>reservaoutrosconsolidadoset[[#This Row],[TOTAL (R$)]]</f>
        <v>0</v>
      </c>
      <c r="N210" s="91">
        <f>reservaoutrosconsolidadoout[[#This Row],[TOTAL (R$)]]</f>
        <v>0</v>
      </c>
      <c r="O210" s="91">
        <f>reservaoutrosconsolidadonov[[#This Row],[TOTAL (R$)]]</f>
        <v>0</v>
      </c>
      <c r="P210" s="91">
        <f>reservaoutrosconsolidadodez[[#This Row],[TOTAL (R$)]]</f>
        <v>0</v>
      </c>
      <c r="Q210" s="97">
        <f>SUM(reservaoutrosconsolidadoanual[[#This Row],[1]:[12]])</f>
        <v>0</v>
      </c>
      <c r="R210" s="25"/>
      <c r="S210" s="81"/>
      <c r="T210" s="81"/>
      <c r="U210" s="81"/>
      <c r="V210" s="81"/>
      <c r="W210" s="81"/>
      <c r="X210" s="81"/>
      <c r="Y210" s="81"/>
      <c r="Z210" s="81"/>
      <c r="AH210" s="131"/>
      <c r="AO210" s="138" t="e">
        <f>SUMIFS(tabela_registros[VALOR],tabela_registros[MÊS],$AE$1,tabela_registros[REGISTRO],DADOS!$N$6,tabela_registros[TIPO],DADOS!$AJ$5,tabela_registros[CATEGORIA],reservaoutrosconsolidadodez[[#This Row],[ATUAL]],#REF!,DADOS!$J$4)</f>
        <v>#REF!</v>
      </c>
      <c r="AP210" s="138" t="e">
        <f>SUMIFS(tabela_registros[VALOR],tabela_registros[MÊS],$AE$1,tabela_registros[REGISTRO],DADOS!$N$6,tabela_registros[TIPO],DADOS!$AJ$5,tabela_registros[CATEGORIA],reservaoutrosconsolidadodez[[#This Row],[ATUAL]],#REF!,DADOS!$J$3)</f>
        <v>#REF!</v>
      </c>
      <c r="AQ210" s="139">
        <f>(reservaoutrosconsolidadoanual[[#This Row],[TOTAL (R$)]]*$AQ$214)/$Q$214</f>
        <v>0</v>
      </c>
    </row>
    <row r="211" spans="1:43" ht="19.5" customHeight="1" thickTop="1" thickBot="1" x14ac:dyDescent="0.3">
      <c r="B211" s="28"/>
      <c r="C211" s="27" t="str">
        <f>DADOS!$AP$8</f>
        <v>📝 PEER TO PEER</v>
      </c>
      <c r="D211" s="26" t="str">
        <f>IF(reservaoutrosconsolidadoanual[[#This Row],[TOTAL (R$)]]=0,"",IF(OR(reservaoutrosconsolidadoanual[[#This Row],[TOTAL (R$)]]=LARGE($Q$206:$Q$213,1),reservaoutrosconsolidadoanual[[#This Row],[TOTAL (R$)]]=LARGE($Q$206:$Q$213,2)),DADOS!$I$11,""))</f>
        <v/>
      </c>
      <c r="E211" s="96">
        <f>reservaoutrosconsolidado282935[[#This Row],[TOTAL (R$)]]</f>
        <v>0</v>
      </c>
      <c r="F211" s="91">
        <f>reservaoutrosconsolidadofev[[#This Row],[TOTAL (R$)]]</f>
        <v>0</v>
      </c>
      <c r="G211" s="91">
        <f>reservaoutrosconsolidadomar[[#This Row],[TOTAL (R$)]]</f>
        <v>0</v>
      </c>
      <c r="H211" s="91">
        <f>reservaoutrosconsolidadoabr[[#This Row],[TOTAL (R$)]]</f>
        <v>0</v>
      </c>
      <c r="I211" s="91">
        <f>reservaoutrosconsolidadomai[[#This Row],[TOTAL (R$)]]</f>
        <v>0</v>
      </c>
      <c r="J211" s="91">
        <f>reservaoutrosconsolidadojun[[#This Row],[TOTAL (R$)]]</f>
        <v>0</v>
      </c>
      <c r="K211" s="91">
        <f>reservaoutrosconsolidadojul[[#This Row],[TOTAL (R$)]]</f>
        <v>0</v>
      </c>
      <c r="L211" s="91">
        <f>reservaoutrosconsolidadoago[[#This Row],[TOTAL (R$)]]</f>
        <v>0</v>
      </c>
      <c r="M211" s="91">
        <f>reservaoutrosconsolidadoset[[#This Row],[TOTAL (R$)]]</f>
        <v>0</v>
      </c>
      <c r="N211" s="91">
        <f>reservaoutrosconsolidadoout[[#This Row],[TOTAL (R$)]]</f>
        <v>0</v>
      </c>
      <c r="O211" s="91">
        <f>reservaoutrosconsolidadonov[[#This Row],[TOTAL (R$)]]</f>
        <v>0</v>
      </c>
      <c r="P211" s="91">
        <f>reservaoutrosconsolidadodez[[#This Row],[TOTAL (R$)]]</f>
        <v>0</v>
      </c>
      <c r="Q211" s="97">
        <f>SUM(reservaoutrosconsolidadoanual[[#This Row],[1]:[12]])</f>
        <v>0</v>
      </c>
      <c r="R211" s="25"/>
      <c r="S211" s="81"/>
      <c r="T211" s="81"/>
      <c r="U211" s="81"/>
      <c r="V211" s="81"/>
      <c r="W211" s="81"/>
      <c r="X211" s="81"/>
      <c r="Y211" s="81"/>
      <c r="Z211" s="81"/>
      <c r="AH211" s="131"/>
      <c r="AO211" s="138" t="e">
        <f>SUMIFS(tabela_registros[VALOR],tabela_registros[MÊS],$AE$1,tabela_registros[REGISTRO],DADOS!$N$6,tabela_registros[TIPO],DADOS!$AJ$5,tabela_registros[CATEGORIA],reservaoutrosconsolidadodez[[#This Row],[ATUAL]],#REF!,DADOS!$J$4)</f>
        <v>#REF!</v>
      </c>
      <c r="AP211" s="138" t="e">
        <f>SUMIFS(tabela_registros[VALOR],tabela_registros[MÊS],$AE$1,tabela_registros[REGISTRO],DADOS!$N$6,tabela_registros[TIPO],DADOS!$AJ$5,tabela_registros[CATEGORIA],reservaoutrosconsolidadodez[[#This Row],[ATUAL]],#REF!,DADOS!$J$3)</f>
        <v>#REF!</v>
      </c>
      <c r="AQ211" s="139">
        <f>(reservaoutrosconsolidadoanual[[#This Row],[TOTAL (R$)]]*$AQ$214)/$Q$214</f>
        <v>0</v>
      </c>
    </row>
    <row r="212" spans="1:43" ht="19.5" customHeight="1" thickTop="1" thickBot="1" x14ac:dyDescent="0.3">
      <c r="B212" s="28"/>
      <c r="C212" s="27" t="str">
        <f>DADOS!$AP$9</f>
        <v>📝 PREVIDÊNCIA PRIVADA</v>
      </c>
      <c r="D212" s="26" t="str">
        <f>IF(reservaoutrosconsolidadoanual[[#This Row],[TOTAL (R$)]]=0,"",IF(OR(reservaoutrosconsolidadoanual[[#This Row],[TOTAL (R$)]]=LARGE($Q$206:$Q$213,1),reservaoutrosconsolidadoanual[[#This Row],[TOTAL (R$)]]=LARGE($Q$206:$Q$213,2)),DADOS!$I$11,""))</f>
        <v/>
      </c>
      <c r="E212" s="96">
        <f>reservaoutrosconsolidado282935[[#This Row],[TOTAL (R$)]]</f>
        <v>0</v>
      </c>
      <c r="F212" s="91">
        <f>reservaoutrosconsolidadofev[[#This Row],[TOTAL (R$)]]</f>
        <v>0</v>
      </c>
      <c r="G212" s="91">
        <f>reservaoutrosconsolidadomar[[#This Row],[TOTAL (R$)]]</f>
        <v>0</v>
      </c>
      <c r="H212" s="91">
        <f>reservaoutrosconsolidadoabr[[#This Row],[TOTAL (R$)]]</f>
        <v>0</v>
      </c>
      <c r="I212" s="91">
        <f>reservaoutrosconsolidadomai[[#This Row],[TOTAL (R$)]]</f>
        <v>0</v>
      </c>
      <c r="J212" s="91">
        <f>reservaoutrosconsolidadojun[[#This Row],[TOTAL (R$)]]</f>
        <v>0</v>
      </c>
      <c r="K212" s="91">
        <f>reservaoutrosconsolidadojul[[#This Row],[TOTAL (R$)]]</f>
        <v>0</v>
      </c>
      <c r="L212" s="91">
        <f>reservaoutrosconsolidadoago[[#This Row],[TOTAL (R$)]]</f>
        <v>0</v>
      </c>
      <c r="M212" s="91">
        <f>reservaoutrosconsolidadoset[[#This Row],[TOTAL (R$)]]</f>
        <v>0</v>
      </c>
      <c r="N212" s="91">
        <f>reservaoutrosconsolidadoout[[#This Row],[TOTAL (R$)]]</f>
        <v>0</v>
      </c>
      <c r="O212" s="91">
        <f>reservaoutrosconsolidadonov[[#This Row],[TOTAL (R$)]]</f>
        <v>0</v>
      </c>
      <c r="P212" s="91">
        <f>reservaoutrosconsolidadodez[[#This Row],[TOTAL (R$)]]</f>
        <v>0</v>
      </c>
      <c r="Q212" s="97">
        <f>SUM(reservaoutrosconsolidadoanual[[#This Row],[1]:[12]])</f>
        <v>0</v>
      </c>
      <c r="R212" s="25"/>
      <c r="S212" s="81"/>
      <c r="T212" s="81"/>
      <c r="U212" s="81"/>
      <c r="V212" s="81"/>
      <c r="W212" s="81"/>
      <c r="X212" s="81"/>
      <c r="Y212" s="81"/>
      <c r="Z212" s="81"/>
      <c r="AH212" s="131"/>
      <c r="AO212" s="138" t="e">
        <f>SUMIFS(tabela_registros[VALOR],tabela_registros[MÊS],$AE$1,tabela_registros[REGISTRO],DADOS!$N$6,tabela_registros[TIPO],DADOS!$AJ$5,tabela_registros[CATEGORIA],reservaoutrosconsolidadodez[[#This Row],[ATUAL]],#REF!,DADOS!$J$4)</f>
        <v>#REF!</v>
      </c>
      <c r="AP212" s="138" t="e">
        <f>SUMIFS(tabela_registros[VALOR],tabela_registros[MÊS],$AE$1,tabela_registros[REGISTRO],DADOS!$N$6,tabela_registros[TIPO],DADOS!$AJ$5,tabela_registros[CATEGORIA],reservaoutrosconsolidadodez[[#This Row],[ATUAL]],#REF!,DADOS!$J$3)</f>
        <v>#REF!</v>
      </c>
      <c r="AQ212" s="139">
        <f>(reservaoutrosconsolidadoanual[[#This Row],[TOTAL (R$)]]*$AQ$214)/$Q$214</f>
        <v>0</v>
      </c>
    </row>
    <row r="213" spans="1:43" ht="19.5" customHeight="1" thickTop="1" thickBot="1" x14ac:dyDescent="0.3">
      <c r="B213" s="28"/>
      <c r="C213" s="27" t="str">
        <f>DADOS!$AP$10</f>
        <v>📎 OUTROS</v>
      </c>
      <c r="D213" s="26" t="str">
        <f>IF(reservaoutrosconsolidadoanual[[#This Row],[TOTAL (R$)]]=0,"",IF(OR(reservaoutrosconsolidadoanual[[#This Row],[TOTAL (R$)]]=LARGE($Q$206:$Q$213,1),reservaoutrosconsolidadoanual[[#This Row],[TOTAL (R$)]]=LARGE($Q$206:$Q$213,2)),DADOS!$I$11,""))</f>
        <v/>
      </c>
      <c r="E213" s="96">
        <f>reservaoutrosconsolidado282935[[#This Row],[TOTAL (R$)]]</f>
        <v>0</v>
      </c>
      <c r="F213" s="91">
        <f>reservaoutrosconsolidadofev[[#This Row],[TOTAL (R$)]]</f>
        <v>0</v>
      </c>
      <c r="G213" s="91">
        <f>reservaoutrosconsolidadomar[[#This Row],[TOTAL (R$)]]</f>
        <v>0</v>
      </c>
      <c r="H213" s="91">
        <f>reservaoutrosconsolidadoabr[[#This Row],[TOTAL (R$)]]</f>
        <v>0</v>
      </c>
      <c r="I213" s="91">
        <f>reservaoutrosconsolidadomai[[#This Row],[TOTAL (R$)]]</f>
        <v>0</v>
      </c>
      <c r="J213" s="91">
        <f>reservaoutrosconsolidadojun[[#This Row],[TOTAL (R$)]]</f>
        <v>0</v>
      </c>
      <c r="K213" s="91">
        <f>reservaoutrosconsolidadojul[[#This Row],[TOTAL (R$)]]</f>
        <v>0</v>
      </c>
      <c r="L213" s="91">
        <f>reservaoutrosconsolidadoago[[#This Row],[TOTAL (R$)]]</f>
        <v>0</v>
      </c>
      <c r="M213" s="91">
        <f>reservaoutrosconsolidadoset[[#This Row],[TOTAL (R$)]]</f>
        <v>0</v>
      </c>
      <c r="N213" s="91">
        <f>reservaoutrosconsolidadoout[[#This Row],[TOTAL (R$)]]</f>
        <v>0</v>
      </c>
      <c r="O213" s="91">
        <f>reservaoutrosconsolidadonov[[#This Row],[TOTAL (R$)]]</f>
        <v>0</v>
      </c>
      <c r="P213" s="91">
        <f>reservaoutrosconsolidadodez[[#This Row],[TOTAL (R$)]]</f>
        <v>0</v>
      </c>
      <c r="Q213" s="97">
        <f>SUM(reservaoutrosconsolidadoanual[[#This Row],[1]:[12]])</f>
        <v>0</v>
      </c>
      <c r="R213" s="25"/>
      <c r="S213" s="81"/>
      <c r="T213" s="81"/>
      <c r="U213" s="81"/>
      <c r="V213" s="81"/>
      <c r="W213" s="81"/>
      <c r="X213" s="81"/>
      <c r="Y213" s="81"/>
      <c r="Z213" s="81"/>
      <c r="AH213" s="131"/>
      <c r="AN213" s="131" t="s">
        <v>165</v>
      </c>
      <c r="AO213" s="138" t="e">
        <f>SUMIFS(tabela_registros[VALOR],tabela_registros[MÊS],$AE$1,tabela_registros[REGISTRO],DADOS!$N$6,tabela_registros[TIPO],DADOS!$AJ$5,tabela_registros[CATEGORIA],reservaoutrosconsolidadodez[[#This Row],[ATUAL]],#REF!,DADOS!$J$4)</f>
        <v>#REF!</v>
      </c>
      <c r="AP213" s="138" t="e">
        <f>SUMIFS(tabela_registros[VALOR],tabela_registros[MÊS],$AE$1,tabela_registros[REGISTRO],DADOS!$N$6,tabela_registros[TIPO],DADOS!$AJ$5,tabela_registros[CATEGORIA],reservaoutrosconsolidadodez[[#This Row],[ATUAL]],#REF!,DADOS!$J$3)</f>
        <v>#REF!</v>
      </c>
      <c r="AQ213" s="139">
        <f>(reservaoutrosconsolidadoanual[[#This Row],[TOTAL (R$)]]*$AQ$214)/$Q$214</f>
        <v>0</v>
      </c>
    </row>
    <row r="214" spans="1:43" s="140" customFormat="1" ht="21" customHeight="1" thickTop="1" thickBot="1" x14ac:dyDescent="0.3">
      <c r="A214" s="16"/>
      <c r="B214" s="24"/>
      <c r="C214" s="23" t="s">
        <v>19</v>
      </c>
      <c r="D214" s="22"/>
      <c r="E214" s="21">
        <f>reservaoutrosconsolidado282935[[#This Row],[TOTAL (R$)]]</f>
        <v>0</v>
      </c>
      <c r="F214" s="20">
        <f>reservaoutrosconsolidadofev[[#This Row],[TOTAL (R$)]]+reservaoutrosconsolidadoanual[[#This Row],[1]]</f>
        <v>86</v>
      </c>
      <c r="G214" s="20">
        <f>reservaoutrosconsolidadomar[[#This Row],[TOTAL (R$)]]+reservaoutrosconsolidadoanual[[#This Row],[2]]</f>
        <v>86</v>
      </c>
      <c r="H214" s="20">
        <f>reservaoutrosconsolidadoabr[[#This Row],[TOTAL (R$)]]+reservaoutrosconsolidadoanual[[#This Row],[3]]</f>
        <v>86</v>
      </c>
      <c r="I214" s="20">
        <f>reservaoutrosconsolidadomai[[#This Row],[TOTAL (R$)]]+reservaoutrosconsolidadoanual[[#This Row],[4]]</f>
        <v>86</v>
      </c>
      <c r="J214" s="20">
        <f>reservaoutrosconsolidadojun[[#This Row],[TOTAL (R$)]]+reservaoutrosconsolidadoanual[[#This Row],[5]]</f>
        <v>86</v>
      </c>
      <c r="K214" s="20">
        <f>reservaoutrosconsolidadojul[[#This Row],[TOTAL (R$)]]+reservaoutrosconsolidadoanual[[#This Row],[6]]</f>
        <v>86</v>
      </c>
      <c r="L214" s="20">
        <f>reservaoutrosconsolidadoago[[#This Row],[TOTAL (R$)]]+reservaoutrosconsolidadoanual[[#This Row],[7]]</f>
        <v>86</v>
      </c>
      <c r="M214" s="20">
        <f>reservaoutrosconsolidadoset[[#This Row],[TOTAL (R$)]]+reservaoutrosconsolidadoanual[[#This Row],[8]]</f>
        <v>86</v>
      </c>
      <c r="N214" s="20">
        <f>reservaoutrosconsolidadoout[[#This Row],[TOTAL (R$)]]+reservaoutrosconsolidadoanual[[#This Row],[9]]</f>
        <v>86</v>
      </c>
      <c r="O214" s="20">
        <f>reservaoutrosconsolidadonov[[#This Row],[TOTAL (R$)]]+reservaoutrosconsolidadoanual[[#This Row],[10]]</f>
        <v>86</v>
      </c>
      <c r="P214" s="20">
        <f>reservaoutrosconsolidadodez[[#This Row],[TOTAL (R$)]]+reservaoutrosconsolidadoanual[[#This Row],[11]]</f>
        <v>86</v>
      </c>
      <c r="Q214" s="18">
        <f>reservaoutrosconsolidadoanual[[#This Row],[12]]</f>
        <v>86</v>
      </c>
      <c r="R214" s="17"/>
      <c r="S214" s="81"/>
      <c r="T214" s="81"/>
      <c r="U214" s="81"/>
      <c r="V214" s="81"/>
      <c r="W214" s="81"/>
      <c r="X214" s="81"/>
      <c r="Y214" s="81"/>
      <c r="Z214" s="81"/>
      <c r="AA214" s="131"/>
      <c r="AB214" s="131"/>
      <c r="AC214" s="131"/>
      <c r="AD214" s="131"/>
      <c r="AE214" s="131"/>
      <c r="AF214" s="131"/>
      <c r="AG214" s="131"/>
      <c r="AH214" s="131"/>
      <c r="AI214" s="131"/>
      <c r="AJ214" s="131"/>
      <c r="AK214" s="131"/>
      <c r="AN214" s="142">
        <f>reservaoutrosconsolidadoanual[[#This Row],[TOTAL (R$)]]/$Q$26</f>
        <v>3.3230293663060281E-2</v>
      </c>
      <c r="AO214" s="141" t="e">
        <f>SUM(AO206:AO213)</f>
        <v>#REF!</v>
      </c>
      <c r="AP214" s="141" t="e">
        <f>SUM(AP206:AP213)</f>
        <v>#REF!</v>
      </c>
      <c r="AQ214" s="139">
        <f>1</f>
        <v>1</v>
      </c>
    </row>
    <row r="215" spans="1:43" ht="6.75" customHeight="1" thickTop="1" thickBot="1" x14ac:dyDescent="0.3">
      <c r="B215" s="15"/>
      <c r="C215" s="14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1"/>
      <c r="S215" s="81"/>
      <c r="T215" s="81"/>
      <c r="U215" s="81"/>
      <c r="V215" s="81"/>
      <c r="W215" s="81"/>
      <c r="X215" s="81"/>
      <c r="Y215" s="81"/>
      <c r="Z215" s="81"/>
      <c r="AH215" s="131"/>
      <c r="AO215" s="138"/>
      <c r="AP215" s="138"/>
      <c r="AQ215" s="139"/>
    </row>
    <row r="216" spans="1:43" ht="12.6" thickTop="1" x14ac:dyDescent="0.25">
      <c r="S216" s="81"/>
      <c r="T216" s="81"/>
      <c r="U216" s="81"/>
      <c r="V216" s="81"/>
      <c r="W216" s="81"/>
      <c r="X216" s="81"/>
      <c r="Y216" s="81"/>
      <c r="Z216" s="81"/>
      <c r="AH216" s="131"/>
    </row>
    <row r="217" spans="1:43" x14ac:dyDescent="0.25">
      <c r="AH217" s="131"/>
    </row>
  </sheetData>
  <sheetProtection algorithmName="SHA-512" hashValue="05E9qCzcO2X/fUHZMwJoy2tLXBXK4FImUCvWXs0i1n1DOUNvOZGp/BZRWydSAoSMaCn2tdm9mDN7m+oc0V4XHQ==" saltValue="svOy1/ddqTY4BkAIqve8Fg==" spinCount="100000" sheet="1" objects="1" scenarios="1" selectLockedCells="1" selectUnlockedCells="1"/>
  <mergeCells count="26">
    <mergeCell ref="C2:C6"/>
    <mergeCell ref="E3:F3"/>
    <mergeCell ref="E4:F4"/>
    <mergeCell ref="K3:L3"/>
    <mergeCell ref="K4:L4"/>
    <mergeCell ref="AE3:AF4"/>
    <mergeCell ref="E164:P164"/>
    <mergeCell ref="Q4:S4"/>
    <mergeCell ref="Q3:S3"/>
    <mergeCell ref="H3:I3"/>
    <mergeCell ref="H4:I4"/>
    <mergeCell ref="X3:Y5"/>
    <mergeCell ref="E147:P147"/>
    <mergeCell ref="N3:O3"/>
    <mergeCell ref="N4:O4"/>
    <mergeCell ref="V3:W5"/>
    <mergeCell ref="E183:P183"/>
    <mergeCell ref="E202:P202"/>
    <mergeCell ref="E10:P10"/>
    <mergeCell ref="E21:P21"/>
    <mergeCell ref="E33:P33"/>
    <mergeCell ref="E56:P56"/>
    <mergeCell ref="E78:P78"/>
    <mergeCell ref="E92:P92"/>
    <mergeCell ref="E109:P109"/>
    <mergeCell ref="E128:P128"/>
  </mergeCells>
  <hyperlinks>
    <hyperlink ref="V3:W5" location="'🔒'!A1" display="REGISTROS" xr:uid="{69FA8D07-F934-4615-AF55-09B82851B435}"/>
    <hyperlink ref="X3:Y5" location="'📈'!A1" display="RADAR" xr:uid="{458C257F-DD11-47A0-88D1-968DE3726517}"/>
  </hyperlinks>
  <pageMargins left="0.511811024" right="0.511811024" top="0.78740157499999996" bottom="0.78740157499999996" header="0.31496062000000002" footer="0.31496062000000002"/>
  <ignoredErrors>
    <ignoredError sqref="F16:P16 Q14:Q16 F27:Q27 D37:Q51 D60:Q73 D82:P87 D96:P104 D113:P123 D132:P142 D151:P159 D168:P178 D187:Q197 D206:P214" calculatedColumn="1"/>
  </ignoredErrors>
  <drawing r:id="rId1"/>
  <tableParts count="12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</tableParts>
  <extLst>
    <ext xmlns:x14="http://schemas.microsoft.com/office/spreadsheetml/2009/9/main" uri="{05C60535-1F16-4fd2-B633-F4F36F0B64E0}">
      <x14:sparklineGroups xmlns:xm="http://schemas.microsoft.com/office/excel/2006/main">
        <x14:sparklineGroup manualMax="0" type="column" displayEmptyCellsAs="gap" high="1" negative="1" maxAxisType="group" xr2:uid="{FA7C582D-8704-4C6D-9F8C-69A10B294783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ANUAL!E16:P16</xm:f>
              <xm:sqref>E10</xm:sqref>
            </x14:sparkline>
          </x14:sparklines>
        </x14:sparklineGroup>
        <x14:sparklineGroup manualMax="0" manualMin="0" type="column" displayEmptyCellsAs="gap" high="1" low="1" negative="1" minAxisType="custom" maxAxisType="group" xr2:uid="{3E5B9689-E125-4C3C-B4C9-9C13EA2A09E1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ANUAL!E27:P27</xm:f>
              <xm:sqref>E21</xm:sqref>
            </x14:sparkline>
          </x14:sparklines>
        </x14:sparklineGroup>
        <x14:sparklineGroup manualMax="0" manualMin="0" type="column" displayEmptyCellsAs="gap" high="1" low="1" negative="1" minAxisType="custom" maxAxisType="group" xr2:uid="{6EF6FD68-A071-41BB-BB42-F9A1318D741A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ANUAL!E87:P87</xm:f>
              <xm:sqref>E78</xm:sqref>
            </x14:sparkline>
          </x14:sparklines>
        </x14:sparklineGroup>
        <x14:sparklineGroup manualMax="0" manualMin="0" type="column" displayEmptyCellsAs="gap" high="1" low="1" negative="1" minAxisType="custom" maxAxisType="group" xr2:uid="{D62F0373-3B57-45F8-90F0-5E5E6B3E901F}">
          <x14:colorSeries rgb="FFC00000"/>
          <x14:colorNegative rgb="FFC00000"/>
          <x14:colorAxis rgb="FF000000"/>
          <x14:colorMarkers rgb="FF0070C0"/>
          <x14:colorFirst rgb="FFFFC000"/>
          <x14:colorLast rgb="FFFFC000"/>
          <x14:colorHigh rgb="FFFF0000"/>
          <x14:colorLow rgb="FFFFC000"/>
          <x14:sparklines>
            <x14:sparkline>
              <xm:f>ANUAL!E73:P73</xm:f>
              <xm:sqref>E56</xm:sqref>
            </x14:sparkline>
          </x14:sparklines>
        </x14:sparklineGroup>
        <x14:sparklineGroup manualMax="0" manualMin="0" type="column" displayEmptyCellsAs="gap" high="1" low="1" negative="1" minAxisType="custom" maxAxisType="group" xr2:uid="{90104F1D-6ACB-4069-B748-317BC52DBB15}">
          <x14:colorSeries rgb="FFC00000"/>
          <x14:colorNegative rgb="FFC00000"/>
          <x14:colorAxis rgb="FF000000"/>
          <x14:colorMarkers rgb="FF0070C0"/>
          <x14:colorFirst rgb="FFFFC000"/>
          <x14:colorLast rgb="FFFFC000"/>
          <x14:colorHigh rgb="FFFF0000"/>
          <x14:colorLow rgb="FFFFC000"/>
          <x14:sparklines>
            <x14:sparkline>
              <xm:f>ANUAL!E51:P51</xm:f>
              <xm:sqref>E33</xm:sqref>
            </x14:sparkline>
          </x14:sparklines>
        </x14:sparklineGroup>
        <x14:sparklineGroup manualMax="0" manualMin="0" type="column" displayEmptyCellsAs="gap" high="1" low="1" negative="1" minAxisType="custom" maxAxisType="group" xr2:uid="{A2E65D9B-A9C9-44D9-A7B7-017AAF4036C7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ANUAL!E104:P104</xm:f>
              <xm:sqref>E92</xm:sqref>
            </x14:sparkline>
          </x14:sparklines>
        </x14:sparklineGroup>
        <x14:sparklineGroup manualMax="0" manualMin="0" type="column" displayEmptyCellsAs="gap" high="1" low="1" negative="1" minAxisType="custom" maxAxisType="group" xr2:uid="{26922C5E-D0B9-4DFC-BBF0-3CB0E9166AA7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ANUAL!E123:P123</xm:f>
              <xm:sqref>E109</xm:sqref>
            </x14:sparkline>
          </x14:sparklines>
        </x14:sparklineGroup>
        <x14:sparklineGroup manualMax="0" manualMin="0" type="column" displayEmptyCellsAs="gap" high="1" low="1" negative="1" minAxisType="custom" maxAxisType="group" xr2:uid="{EE99EC74-2224-4259-8062-0DD8D8297D9B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ANUAL!E142:P142</xm:f>
              <xm:sqref>E128</xm:sqref>
            </x14:sparkline>
          </x14:sparklines>
        </x14:sparklineGroup>
        <x14:sparklineGroup manualMax="0" manualMin="0" type="column" displayEmptyCellsAs="gap" high="1" low="1" negative="1" minAxisType="custom" maxAxisType="group" xr2:uid="{75B5578B-3FA2-4DB7-96C9-456F3D2E5D5A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ANUAL!E159:P159</xm:f>
              <xm:sqref>E147</xm:sqref>
            </x14:sparkline>
          </x14:sparklines>
        </x14:sparklineGroup>
        <x14:sparklineGroup manualMax="0" manualMin="0" type="column" displayEmptyCellsAs="gap" high="1" low="1" negative="1" minAxisType="custom" maxAxisType="group" xr2:uid="{BF01BE39-65A6-4D24-96FE-6E9F5D0B2510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ANUAL!E178:P178</xm:f>
              <xm:sqref>E164</xm:sqref>
            </x14:sparkline>
          </x14:sparklines>
        </x14:sparklineGroup>
        <x14:sparklineGroup manualMax="0" manualMin="0" type="column" displayEmptyCellsAs="gap" high="1" low="1" negative="1" minAxisType="custom" maxAxisType="group" xr2:uid="{C7270FFF-F944-4578-BF03-B644C986A5CD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ANUAL!E197:P197</xm:f>
              <xm:sqref>E183</xm:sqref>
            </x14:sparkline>
          </x14:sparklines>
        </x14:sparklineGroup>
        <x14:sparklineGroup manualMax="0" manualMin="0" type="column" displayEmptyCellsAs="gap" high="1" low="1" negative="1" minAxisType="custom" maxAxisType="group" xr2:uid="{6AA5AAA5-0183-4835-AEC7-A8277858B20F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ANUAL!E214:P214</xm:f>
              <xm:sqref>E202</xm:sqref>
            </x14:sparkline>
          </x14:sparklines>
        </x14:sparklineGroup>
      </x14:sparklineGroup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37879D-9A14-4E6A-8394-9473BD80CA64}">
  <sheetPr codeName="Planilha5">
    <tabColor rgb="FFFFEBAB"/>
  </sheetPr>
  <dimension ref="A1:AL217"/>
  <sheetViews>
    <sheetView showGridLines="0" showRowColHeaders="0" showZeros="0" zoomScale="85" zoomScaleNormal="85" workbookViewId="0">
      <pane xSplit="3" ySplit="6" topLeftCell="D7" activePane="bottomRight" state="frozen"/>
      <selection activeCell="D24" sqref="D24"/>
      <selection pane="topRight" activeCell="D24" sqref="D24"/>
      <selection pane="bottomLeft" activeCell="D24" sqref="D24"/>
      <selection pane="bottomRight" activeCell="D24" sqref="D24"/>
    </sheetView>
  </sheetViews>
  <sheetFormatPr defaultColWidth="0" defaultRowHeight="12" zeroHeight="1" x14ac:dyDescent="0.25"/>
  <cols>
    <col min="1" max="1" width="2.109375" style="4" customWidth="1"/>
    <col min="2" max="2" width="1.5546875" style="4" customWidth="1"/>
    <col min="3" max="3" width="29.33203125" style="4" bestFit="1" customWidth="1"/>
    <col min="4" max="4" width="4.6640625" style="4" customWidth="1"/>
    <col min="5" max="34" width="5.5546875" style="4" customWidth="1"/>
    <col min="35" max="35" width="5.5546875" style="9" customWidth="1"/>
    <col min="36" max="36" width="9.5546875" style="4" customWidth="1"/>
    <col min="37" max="37" width="1.5546875" style="4" customWidth="1"/>
    <col min="38" max="38" width="2" style="4" customWidth="1"/>
    <col min="39" max="16384" width="2.109375" style="4" hidden="1"/>
  </cols>
  <sheetData>
    <row r="1" spans="1:38" ht="29.25" hidden="1" customHeight="1" thickBot="1" x14ac:dyDescent="0.3">
      <c r="A1" s="80"/>
      <c r="B1" s="80"/>
      <c r="C1" s="80"/>
      <c r="D1" s="79"/>
      <c r="AD1" s="4" t="s">
        <v>215</v>
      </c>
      <c r="AE1" s="78">
        <v>1</v>
      </c>
      <c r="AH1" s="4" t="s">
        <v>214</v>
      </c>
      <c r="AI1" s="75">
        <f>IF('⚙️'!$Q$3=$AE$1,'⚙️'!$F$13,0)</f>
        <v>350</v>
      </c>
      <c r="AK1" s="75"/>
    </row>
    <row r="2" spans="1:38" ht="15.75" customHeight="1" thickTop="1" thickBot="1" x14ac:dyDescent="0.3">
      <c r="A2" s="77"/>
      <c r="B2" s="77"/>
      <c r="C2" s="245" t="s">
        <v>141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71"/>
      <c r="U2" s="71"/>
      <c r="V2" s="71"/>
      <c r="W2" s="71"/>
      <c r="X2" s="71"/>
      <c r="Y2" s="71"/>
      <c r="Z2" s="71"/>
      <c r="AA2" s="71"/>
      <c r="AB2" s="71"/>
      <c r="AC2" s="76"/>
      <c r="AD2" s="64"/>
      <c r="AE2" s="64"/>
      <c r="AF2" s="64"/>
      <c r="AG2" s="64"/>
      <c r="AH2" s="64"/>
      <c r="AI2" s="64"/>
      <c r="AJ2" s="64"/>
      <c r="AK2" s="64"/>
      <c r="AL2" s="64"/>
    </row>
    <row r="3" spans="1:38" s="73" customFormat="1" ht="18" customHeight="1" thickTop="1" thickBot="1" x14ac:dyDescent="0.3">
      <c r="A3" s="72"/>
      <c r="B3" s="72"/>
      <c r="C3" s="246"/>
      <c r="D3" s="2"/>
      <c r="E3" s="243" t="s">
        <v>211</v>
      </c>
      <c r="F3" s="243"/>
      <c r="G3" s="243"/>
      <c r="H3" s="71"/>
      <c r="I3" s="243" t="s">
        <v>210</v>
      </c>
      <c r="J3" s="243"/>
      <c r="K3" s="243"/>
      <c r="L3" s="71"/>
      <c r="M3" s="243" t="s">
        <v>209</v>
      </c>
      <c r="N3" s="243"/>
      <c r="O3" s="243"/>
      <c r="P3" s="71"/>
      <c r="Q3" s="243" t="s">
        <v>208</v>
      </c>
      <c r="R3" s="243"/>
      <c r="S3" s="243"/>
      <c r="T3" s="71"/>
      <c r="U3" s="243" t="s">
        <v>207</v>
      </c>
      <c r="V3" s="243"/>
      <c r="W3" s="243"/>
      <c r="X3" s="71"/>
      <c r="Y3" s="71"/>
      <c r="Z3" s="248" t="s">
        <v>23</v>
      </c>
      <c r="AA3" s="249"/>
      <c r="AB3" s="64"/>
      <c r="AC3" s="248" t="s">
        <v>24</v>
      </c>
      <c r="AD3" s="249"/>
      <c r="AE3" s="64"/>
      <c r="AF3" s="248" t="s">
        <v>22</v>
      </c>
      <c r="AG3" s="249"/>
      <c r="AH3" s="74"/>
      <c r="AI3" s="74"/>
      <c r="AJ3" s="74"/>
      <c r="AK3" s="64"/>
      <c r="AL3" s="64"/>
    </row>
    <row r="4" spans="1:38" s="73" customFormat="1" ht="18" customHeight="1" thickTop="1" thickBot="1" x14ac:dyDescent="0.3">
      <c r="A4" s="72"/>
      <c r="B4" s="72"/>
      <c r="C4" s="246"/>
      <c r="D4" s="2"/>
      <c r="E4" s="242">
        <f>$AJ$16</f>
        <v>57.21428571428595</v>
      </c>
      <c r="F4" s="242"/>
      <c r="G4" s="242"/>
      <c r="H4" s="71"/>
      <c r="I4" s="242">
        <f>$AJ$14</f>
        <v>932.357142857143</v>
      </c>
      <c r="J4" s="242"/>
      <c r="K4" s="242"/>
      <c r="L4" s="71"/>
      <c r="M4" s="242">
        <f>$AJ$15</f>
        <v>1225.1428571428571</v>
      </c>
      <c r="N4" s="242"/>
      <c r="O4" s="242"/>
      <c r="P4" s="71"/>
      <c r="Q4" s="242">
        <f>$AJ$25</f>
        <v>730.64285714285631</v>
      </c>
      <c r="R4" s="242"/>
      <c r="S4" s="242"/>
      <c r="T4" s="71"/>
      <c r="U4" s="242">
        <f>$AJ$26</f>
        <v>2502</v>
      </c>
      <c r="V4" s="242"/>
      <c r="W4" s="242"/>
      <c r="X4" s="71"/>
      <c r="Y4" s="71"/>
      <c r="Z4" s="250"/>
      <c r="AA4" s="251"/>
      <c r="AB4" s="64"/>
      <c r="AC4" s="250"/>
      <c r="AD4" s="251"/>
      <c r="AE4" s="64"/>
      <c r="AF4" s="250"/>
      <c r="AG4" s="251"/>
      <c r="AH4" s="74"/>
      <c r="AI4" s="74"/>
      <c r="AJ4" s="74"/>
      <c r="AK4" s="64"/>
      <c r="AL4" s="64"/>
    </row>
    <row r="5" spans="1:38" ht="11.25" customHeight="1" thickTop="1" thickBot="1" x14ac:dyDescent="0.3">
      <c r="A5" s="72"/>
      <c r="B5" s="72"/>
      <c r="C5" s="246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71"/>
      <c r="Y5" s="2"/>
      <c r="Z5" s="2"/>
      <c r="AA5" s="71"/>
      <c r="AB5" s="71"/>
      <c r="AC5" s="70"/>
      <c r="AD5" s="69"/>
      <c r="AE5" s="69"/>
      <c r="AF5" s="69"/>
      <c r="AG5" s="69"/>
      <c r="AH5" s="69"/>
      <c r="AI5" s="69"/>
      <c r="AJ5" s="64"/>
      <c r="AK5" s="64"/>
      <c r="AL5" s="64"/>
    </row>
    <row r="6" spans="1:38" ht="13.5" customHeight="1" thickTop="1" thickBot="1" x14ac:dyDescent="0.3">
      <c r="A6" s="68"/>
      <c r="B6" s="68"/>
      <c r="C6" s="247"/>
      <c r="D6" s="15"/>
      <c r="E6" s="67" t="s">
        <v>197</v>
      </c>
      <c r="F6" s="67" t="s">
        <v>196</v>
      </c>
      <c r="G6" s="66" t="s">
        <v>195</v>
      </c>
      <c r="H6" s="66" t="s">
        <v>194</v>
      </c>
      <c r="I6" s="66" t="s">
        <v>193</v>
      </c>
      <c r="J6" s="66" t="s">
        <v>192</v>
      </c>
      <c r="K6" s="66" t="s">
        <v>191</v>
      </c>
      <c r="L6" s="66" t="s">
        <v>190</v>
      </c>
      <c r="M6" s="66" t="s">
        <v>189</v>
      </c>
      <c r="N6" s="66" t="s">
        <v>188</v>
      </c>
      <c r="O6" s="66" t="s">
        <v>187</v>
      </c>
      <c r="P6" s="66" t="s">
        <v>186</v>
      </c>
      <c r="Q6" s="66" t="s">
        <v>185</v>
      </c>
      <c r="R6" s="66" t="s">
        <v>184</v>
      </c>
      <c r="S6" s="66" t="s">
        <v>183</v>
      </c>
      <c r="T6" s="66" t="s">
        <v>182</v>
      </c>
      <c r="U6" s="66" t="s">
        <v>181</v>
      </c>
      <c r="V6" s="66" t="s">
        <v>180</v>
      </c>
      <c r="W6" s="66" t="s">
        <v>179</v>
      </c>
      <c r="X6" s="66" t="s">
        <v>178</v>
      </c>
      <c r="Y6" s="66" t="s">
        <v>177</v>
      </c>
      <c r="Z6" s="66" t="s">
        <v>176</v>
      </c>
      <c r="AA6" s="66" t="s">
        <v>175</v>
      </c>
      <c r="AB6" s="66" t="s">
        <v>174</v>
      </c>
      <c r="AC6" s="66" t="s">
        <v>173</v>
      </c>
      <c r="AD6" s="66" t="s">
        <v>172</v>
      </c>
      <c r="AE6" s="66" t="s">
        <v>171</v>
      </c>
      <c r="AF6" s="66" t="s">
        <v>170</v>
      </c>
      <c r="AG6" s="66" t="s">
        <v>169</v>
      </c>
      <c r="AH6" s="66" t="s">
        <v>168</v>
      </c>
      <c r="AI6" s="65" t="s">
        <v>167</v>
      </c>
      <c r="AJ6" s="64"/>
      <c r="AK6" s="64"/>
      <c r="AL6" s="64"/>
    </row>
    <row r="7" spans="1:38" ht="12.6" thickTop="1" x14ac:dyDescent="0.25">
      <c r="E7" s="37"/>
      <c r="AI7" s="4"/>
    </row>
    <row r="8" spans="1:38" x14ac:dyDescent="0.25">
      <c r="AI8" s="4"/>
    </row>
    <row r="9" spans="1:38" x14ac:dyDescent="0.25">
      <c r="AI9" s="4"/>
    </row>
    <row r="10" spans="1:38" ht="39.75" customHeight="1" x14ac:dyDescent="0.7">
      <c r="C10" s="36"/>
      <c r="E10" s="240"/>
      <c r="F10" s="240"/>
      <c r="G10" s="240"/>
      <c r="H10" s="240"/>
      <c r="I10" s="240"/>
      <c r="J10" s="240"/>
      <c r="K10" s="240"/>
      <c r="L10" s="240"/>
      <c r="M10" s="240"/>
      <c r="N10" s="240"/>
      <c r="O10" s="240"/>
      <c r="P10" s="240"/>
      <c r="Q10" s="240"/>
      <c r="R10" s="240"/>
      <c r="S10" s="240"/>
      <c r="T10" s="240"/>
      <c r="U10" s="240"/>
      <c r="V10" s="240"/>
      <c r="W10" s="240"/>
      <c r="X10" s="240"/>
      <c r="Y10" s="240"/>
      <c r="Z10" s="240"/>
      <c r="AA10" s="240"/>
      <c r="AB10" s="240"/>
      <c r="AC10" s="240"/>
      <c r="AD10" s="240"/>
      <c r="AE10" s="240"/>
      <c r="AF10" s="240"/>
      <c r="AG10" s="240"/>
      <c r="AH10" s="240"/>
      <c r="AI10" s="240"/>
      <c r="AJ10" s="169" t="s">
        <v>19</v>
      </c>
    </row>
    <row r="11" spans="1:38" ht="12.6" thickBot="1" x14ac:dyDescent="0.3">
      <c r="AI11" s="4"/>
      <c r="AJ11" s="170" t="s">
        <v>202</v>
      </c>
    </row>
    <row r="12" spans="1:38" ht="6.75" customHeight="1" thickTop="1" thickBot="1" x14ac:dyDescent="0.3">
      <c r="B12" s="49"/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49"/>
      <c r="X12" s="49"/>
      <c r="Y12" s="49"/>
      <c r="Z12" s="49"/>
      <c r="AA12" s="49"/>
      <c r="AB12" s="49"/>
      <c r="AC12" s="49"/>
      <c r="AD12" s="49"/>
      <c r="AE12" s="49"/>
      <c r="AF12" s="49"/>
      <c r="AG12" s="49"/>
      <c r="AH12" s="49"/>
      <c r="AI12" s="49"/>
      <c r="AJ12" s="171"/>
      <c r="AK12" s="49"/>
    </row>
    <row r="13" spans="1:38" ht="13.2" hidden="1" thickTop="1" thickBot="1" x14ac:dyDescent="0.3">
      <c r="B13" s="2"/>
      <c r="C13" s="31" t="s">
        <v>199</v>
      </c>
      <c r="D13" s="30" t="s">
        <v>198</v>
      </c>
      <c r="E13" s="30" t="s">
        <v>197</v>
      </c>
      <c r="F13" s="30" t="s">
        <v>196</v>
      </c>
      <c r="G13" s="30" t="s">
        <v>195</v>
      </c>
      <c r="H13" s="30" t="s">
        <v>194</v>
      </c>
      <c r="I13" s="30" t="s">
        <v>193</v>
      </c>
      <c r="J13" s="30" t="s">
        <v>192</v>
      </c>
      <c r="K13" s="30" t="s">
        <v>191</v>
      </c>
      <c r="L13" s="30" t="s">
        <v>190</v>
      </c>
      <c r="M13" s="30" t="s">
        <v>189</v>
      </c>
      <c r="N13" s="30" t="s">
        <v>188</v>
      </c>
      <c r="O13" s="30" t="s">
        <v>187</v>
      </c>
      <c r="P13" s="30" t="s">
        <v>186</v>
      </c>
      <c r="Q13" s="30" t="s">
        <v>185</v>
      </c>
      <c r="R13" s="30" t="s">
        <v>184</v>
      </c>
      <c r="S13" s="30" t="s">
        <v>183</v>
      </c>
      <c r="T13" s="30" t="s">
        <v>182</v>
      </c>
      <c r="U13" s="30" t="s">
        <v>181</v>
      </c>
      <c r="V13" s="30" t="s">
        <v>180</v>
      </c>
      <c r="W13" s="30" t="s">
        <v>179</v>
      </c>
      <c r="X13" s="30" t="s">
        <v>178</v>
      </c>
      <c r="Y13" s="30" t="s">
        <v>177</v>
      </c>
      <c r="Z13" s="30" t="s">
        <v>176</v>
      </c>
      <c r="AA13" s="30" t="s">
        <v>175</v>
      </c>
      <c r="AB13" s="30" t="s">
        <v>174</v>
      </c>
      <c r="AC13" s="30" t="s">
        <v>173</v>
      </c>
      <c r="AD13" s="30" t="s">
        <v>172</v>
      </c>
      <c r="AE13" s="30" t="s">
        <v>171</v>
      </c>
      <c r="AF13" s="30" t="s">
        <v>170</v>
      </c>
      <c r="AG13" s="30" t="s">
        <v>169</v>
      </c>
      <c r="AH13" s="30" t="s">
        <v>168</v>
      </c>
      <c r="AI13" s="30" t="s">
        <v>167</v>
      </c>
      <c r="AJ13" s="172" t="s">
        <v>166</v>
      </c>
      <c r="AK13" s="49"/>
    </row>
    <row r="14" spans="1:38" ht="19.5" customHeight="1" thickTop="1" thickBot="1" x14ac:dyDescent="0.3">
      <c r="B14" s="49"/>
      <c r="C14" s="61" t="s">
        <v>206</v>
      </c>
      <c r="D14" s="60"/>
      <c r="E14" s="173">
        <f>SUMIFS(tabela_registros[VALOR],tabela_registros[MÊS],$AE$1,tabela_registros[DIA],jantotal[[#Headers],[1]],tabela_registros[REGISTRO],DADOS!$N$3)</f>
        <v>0</v>
      </c>
      <c r="F14" s="173">
        <f>SUMIFS(tabela_registros[VALOR],tabela_registros[MÊS],$AE$1,tabela_registros[DIA],jantotal[[#Headers],[2]],tabela_registros[REGISTRO],DADOS!$N$3)</f>
        <v>0</v>
      </c>
      <c r="G14" s="173">
        <f>SUMIFS(tabela_registros[VALOR],tabela_registros[MÊS],$AE$1,tabela_registros[DIA],jantotal[[#Headers],[3]],tabela_registros[REGISTRO],DADOS!$N$3)</f>
        <v>0</v>
      </c>
      <c r="H14" s="173">
        <f>SUMIFS(tabela_registros[VALOR],tabela_registros[MÊS],$AE$1,tabela_registros[DIA],jantotal[[#Headers],[4]],tabela_registros[REGISTRO],DADOS!$N$3)</f>
        <v>250</v>
      </c>
      <c r="I14" s="173">
        <f>SUMIFS(tabela_registros[VALOR],tabela_registros[MÊS],$AE$1,tabela_registros[DIA],jantotal[[#Headers],[5]],tabela_registros[REGISTRO],DADOS!$N$3)</f>
        <v>0</v>
      </c>
      <c r="J14" s="173">
        <f>SUMIFS(tabela_registros[VALOR],tabela_registros[MÊS],$AE$1,tabela_registros[DIA],jantotal[[#Headers],[6]],tabela_registros[REGISTRO],DADOS!$N$3)</f>
        <v>0</v>
      </c>
      <c r="K14" s="173">
        <f>SUMIFS(tabela_registros[VALOR],tabela_registros[MÊS],$AE$1,tabela_registros[DIA],jantotal[[#Headers],[7]],tabela_registros[REGISTRO],DADOS!$N$3)</f>
        <v>0</v>
      </c>
      <c r="L14" s="173">
        <f>SUMIFS(tabela_registros[VALOR],tabela_registros[MÊS],$AE$1,tabela_registros[DIA],jantotal[[#Headers],[8]],tabela_registros[REGISTRO],DADOS!$N$3)</f>
        <v>0</v>
      </c>
      <c r="M14" s="173">
        <f>SUMIFS(tabela_registros[VALOR],tabela_registros[MÊS],$AE$1,tabela_registros[DIA],jantotal[[#Headers],[9]],tabela_registros[REGISTRO],DADOS!$N$3)</f>
        <v>0</v>
      </c>
      <c r="N14" s="173">
        <f>SUMIFS(tabela_registros[VALOR],tabela_registros[MÊS],$AE$1,tabela_registros[DIA],jantotal[[#Headers],[10]],tabela_registros[REGISTRO],DADOS!$N$3)</f>
        <v>129.857142857143</v>
      </c>
      <c r="O14" s="173">
        <f>SUMIFS(tabela_registros[VALOR],tabela_registros[MÊS],$AE$1,tabela_registros[DIA],jantotal[[#Headers],[11]],tabela_registros[REGISTRO],DADOS!$N$3)</f>
        <v>122.5</v>
      </c>
      <c r="P14" s="173">
        <f>SUMIFS(tabela_registros[VALOR],tabela_registros[MÊS],$AE$1,tabela_registros[DIA],jantotal[[#Headers],[12]],tabela_registros[REGISTRO],DADOS!$N$3)</f>
        <v>0</v>
      </c>
      <c r="Q14" s="173">
        <f>SUMIFS(tabela_registros[VALOR],tabela_registros[MÊS],$AE$1,tabela_registros[DIA],jantotal[[#Headers],[13]],tabela_registros[REGISTRO],DADOS!$N$3)</f>
        <v>0</v>
      </c>
      <c r="R14" s="173">
        <f>SUMIFS(tabela_registros[VALOR],tabela_registros[MÊS],$AE$1,tabela_registros[DIA],jantotal[[#Headers],[14]],tabela_registros[REGISTRO],DADOS!$N$3)</f>
        <v>0</v>
      </c>
      <c r="S14" s="173">
        <f>SUMIFS(tabela_registros[VALOR],tabela_registros[MÊS],$AE$1,tabela_registros[DIA],jantotal[[#Headers],[15]],tabela_registros[REGISTRO],DADOS!$N$3)</f>
        <v>0</v>
      </c>
      <c r="T14" s="173">
        <f>SUMIFS(tabela_registros[VALOR],tabela_registros[MÊS],$AE$1,tabela_registros[DIA],jantotal[[#Headers],[16]],tabela_registros[REGISTRO],DADOS!$N$3)</f>
        <v>0</v>
      </c>
      <c r="U14" s="173">
        <f>SUMIFS(tabela_registros[VALOR],tabela_registros[MÊS],$AE$1,tabela_registros[DIA],jantotal[[#Headers],[17]],tabela_registros[REGISTRO],DADOS!$N$3)</f>
        <v>0</v>
      </c>
      <c r="V14" s="173">
        <f>SUMIFS(tabela_registros[VALOR],tabela_registros[MÊS],$AE$1,tabela_registros[DIA],jantotal[[#Headers],[18]],tabela_registros[REGISTRO],DADOS!$N$3)</f>
        <v>0</v>
      </c>
      <c r="W14" s="173">
        <f>SUMIFS(tabela_registros[VALOR],tabela_registros[MÊS],$AE$1,tabela_registros[DIA],jantotal[[#Headers],[19]],tabela_registros[REGISTRO],DADOS!$N$3)</f>
        <v>0</v>
      </c>
      <c r="X14" s="173">
        <f>SUMIFS(tabela_registros[VALOR],tabela_registros[MÊS],$AE$1,tabela_registros[DIA],jantotal[[#Headers],[20]],tabela_registros[REGISTRO],DADOS!$N$3)</f>
        <v>0</v>
      </c>
      <c r="Y14" s="173">
        <f>SUMIFS(tabela_registros[VALOR],tabela_registros[MÊS],$AE$1,tabela_registros[DIA],jantotal[[#Headers],[21]],tabela_registros[REGISTRO],DADOS!$N$3)</f>
        <v>0</v>
      </c>
      <c r="Z14" s="173">
        <f>SUMIFS(tabela_registros[VALOR],tabela_registros[MÊS],$AE$1,tabela_registros[DIA],jantotal[[#Headers],[22]],tabela_registros[REGISTRO],DADOS!$N$3)</f>
        <v>0</v>
      </c>
      <c r="AA14" s="173">
        <f>SUMIFS(tabela_registros[VALOR],tabela_registros[MÊS],$AE$1,tabela_registros[DIA],jantotal[[#Headers],[23]],tabela_registros[REGISTRO],DADOS!$N$3)</f>
        <v>0</v>
      </c>
      <c r="AB14" s="173">
        <f>SUMIFS(tabela_registros[VALOR],tabela_registros[MÊS],$AE$1,tabela_registros[DIA],jantotal[[#Headers],[24]],tabela_registros[REGISTRO],DADOS!$N$3)</f>
        <v>0</v>
      </c>
      <c r="AC14" s="173">
        <f>SUMIFS(tabela_registros[VALOR],tabela_registros[MÊS],$AE$1,tabela_registros[DIA],jantotal[[#Headers],[25]],tabela_registros[REGISTRO],DADOS!$N$3)</f>
        <v>0</v>
      </c>
      <c r="AD14" s="173">
        <f>SUMIFS(tabela_registros[VALOR],tabela_registros[MÊS],$AE$1,tabela_registros[DIA],jantotal[[#Headers],[26]],tabela_registros[REGISTRO],DADOS!$N$3)</f>
        <v>0</v>
      </c>
      <c r="AE14" s="173">
        <f>SUMIFS(tabela_registros[VALOR],tabela_registros[MÊS],$AE$1,tabela_registros[DIA],jantotal[[#Headers],[27]],tabela_registros[REGISTRO],DADOS!$N$3)</f>
        <v>0</v>
      </c>
      <c r="AF14" s="173">
        <f>SUMIFS(tabela_registros[VALOR],tabela_registros[MÊS],$AE$1,tabela_registros[DIA],jantotal[[#Headers],[28]],tabela_registros[REGISTRO],DADOS!$N$3)</f>
        <v>0</v>
      </c>
      <c r="AG14" s="173">
        <f>SUMIFS(tabela_registros[VALOR],tabela_registros[MÊS],$AE$1,tabela_registros[DIA],jantotal[[#Headers],[29]],tabela_registros[REGISTRO],DADOS!$N$3)</f>
        <v>300</v>
      </c>
      <c r="AH14" s="173">
        <f>SUMIFS(tabela_registros[VALOR],tabela_registros[MÊS],$AE$1,tabela_registros[DIA],jantotal[[#Headers],[30]],tabela_registros[REGISTRO],DADOS!$N$3)</f>
        <v>62</v>
      </c>
      <c r="AI14" s="174">
        <f>SUMIFS(tabela_registros[VALOR],tabela_registros[MÊS],$AE$1,tabela_registros[DIA],jantotal[[#Headers],[31]],tabela_registros[REGISTRO],DADOS!$N$3)</f>
        <v>68</v>
      </c>
      <c r="AJ14" s="175">
        <f>SUM(jantotal[[#This Row],[1]:[31]])</f>
        <v>932.357142857143</v>
      </c>
      <c r="AK14" s="49"/>
    </row>
    <row r="15" spans="1:38" ht="18" customHeight="1" thickTop="1" thickBot="1" x14ac:dyDescent="0.3">
      <c r="B15" s="49"/>
      <c r="C15" s="61" t="s">
        <v>205</v>
      </c>
      <c r="D15" s="60"/>
      <c r="E15" s="176">
        <f>SUMIFS(tabela_registros[VALOR],tabela_registros[MÊS],$AE$1,tabela_registros[DIA],jantotal[[#Headers],[1]],tabela_registros[REGISTRO],DADOS!$N$4)</f>
        <v>0</v>
      </c>
      <c r="F15" s="176">
        <f>SUMIFS(tabela_registros[VALOR],tabela_registros[MÊS],$AE$1,tabela_registros[DIA],jantotal[[#Headers],[2]],tabela_registros[REGISTRO],DADOS!$N$4)</f>
        <v>0</v>
      </c>
      <c r="G15" s="176">
        <f>SUMIFS(tabela_registros[VALOR],tabela_registros[MÊS],$AE$1,tabela_registros[DIA],jantotal[[#Headers],[3]],tabela_registros[REGISTRO],DADOS!$N$4)</f>
        <v>0</v>
      </c>
      <c r="H15" s="176">
        <f>SUMIFS(tabela_registros[VALOR],tabela_registros[MÊS],$AE$1,tabela_registros[DIA],jantotal[[#Headers],[4]],tabela_registros[REGISTRO],DADOS!$N$4)</f>
        <v>0</v>
      </c>
      <c r="I15" s="176">
        <f>SUMIFS(tabela_registros[VALOR],tabela_registros[MÊS],$AE$1,tabela_registros[DIA],jantotal[[#Headers],[5]],tabela_registros[REGISTRO],DADOS!$N$4)</f>
        <v>0</v>
      </c>
      <c r="J15" s="176">
        <f>SUMIFS(tabela_registros[VALOR],tabela_registros[MÊS],$AE$1,tabela_registros[DIA],jantotal[[#Headers],[6]],tabela_registros[REGISTRO],DADOS!$N$4)</f>
        <v>0</v>
      </c>
      <c r="K15" s="176">
        <f>SUMIFS(tabela_registros[VALOR],tabela_registros[MÊS],$AE$1,tabela_registros[DIA],jantotal[[#Headers],[7]],tabela_registros[REGISTRO],DADOS!$N$4)</f>
        <v>89</v>
      </c>
      <c r="L15" s="176">
        <f>SUMIFS(tabela_registros[VALOR],tabela_registros[MÊS],$AE$1,tabela_registros[DIA],jantotal[[#Headers],[8]],tabela_registros[REGISTRO],DADOS!$N$4)</f>
        <v>144.57142857142901</v>
      </c>
      <c r="M15" s="176">
        <f>SUMIFS(tabela_registros[VALOR],tabela_registros[MÊS],$AE$1,tabela_registros[DIA],jantotal[[#Headers],[9]],tabela_registros[REGISTRO],DADOS!$N$4)</f>
        <v>137.21428571428601</v>
      </c>
      <c r="N15" s="176">
        <f>SUMIFS(tabela_registros[VALOR],tabela_registros[MÊS],$AE$1,tabela_registros[DIA],jantotal[[#Headers],[10]],tabela_registros[REGISTRO],DADOS!$N$4)</f>
        <v>0</v>
      </c>
      <c r="O15" s="176">
        <f>SUMIFS(tabela_registros[VALOR],tabela_registros[MÊS],$AE$1,tabela_registros[DIA],jantotal[[#Headers],[11]],tabela_registros[REGISTRO],DADOS!$N$4)</f>
        <v>0</v>
      </c>
      <c r="P15" s="176">
        <f>SUMIFS(tabela_registros[VALOR],tabela_registros[MÊS],$AE$1,tabela_registros[DIA],jantotal[[#Headers],[12]],tabela_registros[REGISTRO],DADOS!$N$4)</f>
        <v>0</v>
      </c>
      <c r="Q15" s="176">
        <f>SUMIFS(tabela_registros[VALOR],tabela_registros[MÊS],$AE$1,tabela_registros[DIA],jantotal[[#Headers],[13]],tabela_registros[REGISTRO],DADOS!$N$4)</f>
        <v>107.78571428571399</v>
      </c>
      <c r="R15" s="176">
        <f>SUMIFS(tabela_registros[VALOR],tabela_registros[MÊS],$AE$1,tabela_registros[DIA],jantotal[[#Headers],[14]],tabela_registros[REGISTRO],DADOS!$N$4)</f>
        <v>100.428571428571</v>
      </c>
      <c r="S15" s="176">
        <f>SUMIFS(tabela_registros[VALOR],tabela_registros[MÊS],$AE$1,tabela_registros[DIA],jantotal[[#Headers],[15]],tabela_registros[REGISTRO],DADOS!$N$4)</f>
        <v>0</v>
      </c>
      <c r="T15" s="176">
        <f>SUMIFS(tabela_registros[VALOR],tabela_registros[MÊS],$AE$1,tabela_registros[DIA],jantotal[[#Headers],[16]],tabela_registros[REGISTRO],DADOS!$N$4)</f>
        <v>85.714285714285595</v>
      </c>
      <c r="U15" s="176">
        <f>SUMIFS(tabela_registros[VALOR],tabela_registros[MÊS],$AE$1,tabela_registros[DIA],jantotal[[#Headers],[17]],tabela_registros[REGISTRO],DADOS!$N$4)</f>
        <v>200</v>
      </c>
      <c r="V15" s="176">
        <f>SUMIFS(tabela_registros[VALOR],tabela_registros[MÊS],$AE$1,tabela_registros[DIA],jantotal[[#Headers],[18]],tabela_registros[REGISTRO],DADOS!$N$4)</f>
        <v>150</v>
      </c>
      <c r="W15" s="176">
        <f>SUMIFS(tabela_registros[VALOR],tabela_registros[MÊS],$AE$1,tabela_registros[DIA],jantotal[[#Headers],[19]],tabela_registros[REGISTRO],DADOS!$N$4)</f>
        <v>63.642857142856599</v>
      </c>
      <c r="X15" s="176">
        <f>SUMIFS(tabela_registros[VALOR],tabela_registros[MÊS],$AE$1,tabela_registros[DIA],jantotal[[#Headers],[20]],tabela_registros[REGISTRO],DADOS!$N$4)</f>
        <v>56.285714285714597</v>
      </c>
      <c r="Y15" s="176">
        <f>SUMIFS(tabela_registros[VALOR],tabela_registros[MÊS],$AE$1,tabela_registros[DIA],jantotal[[#Headers],[21]],tabela_registros[REGISTRO],DADOS!$N$4)</f>
        <v>48.928571428571601</v>
      </c>
      <c r="Z15" s="176">
        <f>SUMIFS(tabela_registros[VALOR],tabela_registros[MÊS],$AE$1,tabela_registros[DIA],jantotal[[#Headers],[22]],tabela_registros[REGISTRO],DADOS!$N$4)</f>
        <v>41.571428571428598</v>
      </c>
      <c r="AA15" s="176">
        <f>SUMIFS(tabela_registros[VALOR],tabela_registros[MÊS],$AE$1,tabela_registros[DIA],jantotal[[#Headers],[23]],tabela_registros[REGISTRO],DADOS!$N$4)</f>
        <v>0</v>
      </c>
      <c r="AB15" s="176">
        <f>SUMIFS(tabela_registros[VALOR],tabela_registros[MÊS],$AE$1,tabela_registros[DIA],jantotal[[#Headers],[24]],tabela_registros[REGISTRO],DADOS!$N$4)</f>
        <v>0</v>
      </c>
      <c r="AC15" s="176">
        <f>SUMIFS(tabela_registros[VALOR],tabela_registros[MÊS],$AE$1,tabela_registros[DIA],jantotal[[#Headers],[25]],tabela_registros[REGISTRO],DADOS!$N$4)</f>
        <v>0</v>
      </c>
      <c r="AD15" s="176">
        <f>SUMIFS(tabela_registros[VALOR],tabela_registros[MÊS],$AE$1,tabela_registros[DIA],jantotal[[#Headers],[26]],tabela_registros[REGISTRO],DADOS!$N$4)</f>
        <v>0</v>
      </c>
      <c r="AE15" s="176">
        <f>SUMIFS(tabela_registros[VALOR],tabela_registros[MÊS],$AE$1,tabela_registros[DIA],jantotal[[#Headers],[27]],tabela_registros[REGISTRO],DADOS!$N$4)</f>
        <v>0</v>
      </c>
      <c r="AF15" s="176">
        <f>SUMIFS(tabela_registros[VALOR],tabela_registros[MÊS],$AE$1,tabela_registros[DIA],jantotal[[#Headers],[28]],tabela_registros[REGISTRO],DADOS!$N$4)</f>
        <v>0</v>
      </c>
      <c r="AG15" s="176">
        <f>SUMIFS(tabela_registros[VALOR],tabela_registros[MÊS],$AE$1,tabela_registros[DIA],jantotal[[#Headers],[29]],tabela_registros[REGISTRO],DADOS!$N$4)</f>
        <v>0</v>
      </c>
      <c r="AH15" s="176">
        <f>SUMIFS(tabela_registros[VALOR],tabela_registros[MÊS],$AE$1,tabela_registros[DIA],jantotal[[#Headers],[30]],tabela_registros[REGISTRO],DADOS!$N$4)</f>
        <v>0</v>
      </c>
      <c r="AI15" s="177">
        <f>SUMIFS(tabela_registros[VALOR],tabela_registros[MÊS],$AE$1,tabela_registros[DIA],jantotal[[#Headers],[31]],tabela_registros[REGISTRO],DADOS!$N$4)</f>
        <v>0</v>
      </c>
      <c r="AJ15" s="178">
        <f>SUM(jantotal[[#This Row],[1]:[31]])</f>
        <v>1225.1428571428571</v>
      </c>
      <c r="AK15" s="49"/>
    </row>
    <row r="16" spans="1:38" s="16" customFormat="1" ht="21" customHeight="1" thickTop="1" thickBot="1" x14ac:dyDescent="0.35">
      <c r="B16" s="52"/>
      <c r="C16" s="57" t="s">
        <v>204</v>
      </c>
      <c r="D16" s="63"/>
      <c r="E16" s="179">
        <f>(E14-E15)+AI1</f>
        <v>350</v>
      </c>
      <c r="F16" s="179">
        <f>jantotal[[#This Row],[1]]+(F14-F15)</f>
        <v>350</v>
      </c>
      <c r="G16" s="179">
        <f>jantotal[[#This Row],[2]]+(G14-G15)</f>
        <v>350</v>
      </c>
      <c r="H16" s="179">
        <f>jantotal[[#This Row],[3]]+(H14-H15)</f>
        <v>600</v>
      </c>
      <c r="I16" s="179">
        <f>jantotal[[#This Row],[4]]+(I14-I15)</f>
        <v>600</v>
      </c>
      <c r="J16" s="179">
        <f>jantotal[[#This Row],[5]]+(J14-J15)</f>
        <v>600</v>
      </c>
      <c r="K16" s="179">
        <f>jantotal[[#This Row],[6]]+(K14-K15)</f>
        <v>511</v>
      </c>
      <c r="L16" s="179">
        <f>jantotal[[#This Row],[7]]+(L14-L15)</f>
        <v>366.42857142857099</v>
      </c>
      <c r="M16" s="179">
        <f>jantotal[[#This Row],[8]]+(M14-M15)</f>
        <v>229.21428571428498</v>
      </c>
      <c r="N16" s="179">
        <f>jantotal[[#This Row],[9]]+(N14-N15)</f>
        <v>359.07142857142799</v>
      </c>
      <c r="O16" s="179">
        <f>jantotal[[#This Row],[10]]+(O14-O15)</f>
        <v>481.57142857142799</v>
      </c>
      <c r="P16" s="179">
        <f>jantotal[[#This Row],[11]]+(P14-P15)</f>
        <v>481.57142857142799</v>
      </c>
      <c r="Q16" s="179">
        <f>jantotal[[#This Row],[12]]+(Q14-Q15)</f>
        <v>373.78571428571399</v>
      </c>
      <c r="R16" s="179">
        <f>jantotal[[#This Row],[13]]+(R14-R15)</f>
        <v>273.357142857143</v>
      </c>
      <c r="S16" s="179">
        <f>jantotal[[#This Row],[14]]+(S14-S15)</f>
        <v>273.357142857143</v>
      </c>
      <c r="T16" s="179">
        <f>jantotal[[#This Row],[15]]+(T14-T15)</f>
        <v>187.64285714285739</v>
      </c>
      <c r="U16" s="179">
        <f>jantotal[[#This Row],[16]]+(U14-U15)</f>
        <v>-12.357142857142605</v>
      </c>
      <c r="V16" s="179">
        <f>jantotal[[#This Row],[17]]+(V14-V15)</f>
        <v>-162.35714285714261</v>
      </c>
      <c r="W16" s="179">
        <f>jantotal[[#This Row],[18]]+(W14-W15)</f>
        <v>-225.9999999999992</v>
      </c>
      <c r="X16" s="179">
        <f>jantotal[[#This Row],[19]]+(X14-X15)</f>
        <v>-282.28571428571382</v>
      </c>
      <c r="Y16" s="179">
        <f>jantotal[[#This Row],[20]]+(Y14-Y15)</f>
        <v>-331.21428571428544</v>
      </c>
      <c r="Z16" s="179">
        <f>jantotal[[#This Row],[21]]+(Z14-Z15)</f>
        <v>-372.78571428571405</v>
      </c>
      <c r="AA16" s="179">
        <f>jantotal[[#This Row],[22]]+(AA14-AA15)</f>
        <v>-372.78571428571405</v>
      </c>
      <c r="AB16" s="179">
        <f>jantotal[[#This Row],[23]]+(AB14-AB15)</f>
        <v>-372.78571428571405</v>
      </c>
      <c r="AC16" s="179">
        <f>jantotal[[#This Row],[24]]+(AC14-AC15)</f>
        <v>-372.78571428571405</v>
      </c>
      <c r="AD16" s="179">
        <f>jantotal[[#This Row],[25]]+(AD14-AD15)</f>
        <v>-372.78571428571405</v>
      </c>
      <c r="AE16" s="179">
        <f>jantotal[[#This Row],[26]]+(AE14-AE15)</f>
        <v>-372.78571428571405</v>
      </c>
      <c r="AF16" s="179">
        <f>jantotal[[#This Row],[27]]+(AF14-AF15)</f>
        <v>-372.78571428571405</v>
      </c>
      <c r="AG16" s="179">
        <f>jantotal[[#This Row],[28]]+(AG14-AG15)</f>
        <v>-72.78571428571405</v>
      </c>
      <c r="AH16" s="179">
        <f>jantotal[[#This Row],[29]]+(AH14-AH15)</f>
        <v>-10.78571428571405</v>
      </c>
      <c r="AI16" s="180">
        <f>jantotal[[#This Row],[30]]+(AI14-AI15)</f>
        <v>57.21428571428595</v>
      </c>
      <c r="AJ16" s="181">
        <f>jantotal[[#This Row],[31]]</f>
        <v>57.21428571428595</v>
      </c>
      <c r="AK16" s="52"/>
    </row>
    <row r="17" spans="1:37" ht="6.75" customHeight="1" thickTop="1" thickBot="1" x14ac:dyDescent="0.3">
      <c r="B17" s="49"/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49"/>
      <c r="X17" s="49"/>
      <c r="Y17" s="49"/>
      <c r="Z17" s="49"/>
      <c r="AA17" s="49"/>
      <c r="AB17" s="49"/>
      <c r="AC17" s="49"/>
      <c r="AD17" s="49"/>
      <c r="AE17" s="49"/>
      <c r="AF17" s="49"/>
      <c r="AG17" s="49"/>
      <c r="AH17" s="49"/>
      <c r="AI17" s="171"/>
      <c r="AJ17" s="49"/>
      <c r="AK17" s="49"/>
    </row>
    <row r="18" spans="1:37" ht="12.6" thickTop="1" x14ac:dyDescent="0.25">
      <c r="C18" s="46"/>
      <c r="D18" s="182"/>
      <c r="E18" s="182"/>
      <c r="F18" s="182"/>
      <c r="G18" s="182"/>
      <c r="H18" s="182"/>
      <c r="I18" s="182"/>
      <c r="J18" s="182"/>
      <c r="K18" s="182"/>
      <c r="L18" s="182"/>
      <c r="M18" s="182"/>
      <c r="N18" s="182"/>
      <c r="O18" s="182"/>
      <c r="P18" s="182"/>
      <c r="Q18" s="182"/>
      <c r="R18" s="182"/>
      <c r="S18" s="182"/>
      <c r="T18" s="182"/>
      <c r="U18" s="182"/>
      <c r="V18" s="182"/>
      <c r="W18" s="182"/>
      <c r="X18" s="182"/>
      <c r="Y18" s="182"/>
      <c r="Z18" s="182"/>
      <c r="AA18" s="182"/>
      <c r="AB18" s="182"/>
      <c r="AC18" s="182"/>
      <c r="AD18" s="182"/>
      <c r="AE18" s="182"/>
      <c r="AF18" s="182"/>
      <c r="AG18" s="182"/>
      <c r="AH18" s="182"/>
      <c r="AI18" s="182"/>
    </row>
    <row r="19" spans="1:37" x14ac:dyDescent="0.25">
      <c r="C19" s="46"/>
      <c r="D19" s="182"/>
      <c r="E19" s="182"/>
      <c r="F19" s="182"/>
      <c r="G19" s="182"/>
      <c r="H19" s="182"/>
      <c r="I19" s="182"/>
      <c r="J19" s="182"/>
      <c r="K19" s="182"/>
      <c r="L19" s="182"/>
      <c r="M19" s="182"/>
      <c r="N19" s="182"/>
      <c r="O19" s="182"/>
      <c r="P19" s="182"/>
      <c r="Q19" s="182"/>
      <c r="R19" s="182"/>
      <c r="S19" s="182"/>
      <c r="T19" s="182"/>
      <c r="U19" s="182"/>
      <c r="V19" s="182"/>
      <c r="W19" s="182"/>
      <c r="X19" s="182"/>
      <c r="Y19" s="182"/>
      <c r="Z19" s="182"/>
      <c r="AA19" s="182"/>
      <c r="AB19" s="182"/>
      <c r="AC19" s="182"/>
      <c r="AD19" s="182"/>
      <c r="AE19" s="182"/>
      <c r="AF19" s="182"/>
      <c r="AG19" s="182"/>
      <c r="AH19" s="182"/>
      <c r="AI19" s="182"/>
    </row>
    <row r="20" spans="1:37" x14ac:dyDescent="0.25">
      <c r="A20" s="46"/>
      <c r="B20" s="46"/>
      <c r="C20" s="46"/>
      <c r="D20" s="182"/>
      <c r="E20" s="182"/>
      <c r="F20" s="182"/>
      <c r="G20" s="182"/>
      <c r="H20" s="182"/>
      <c r="I20" s="182"/>
      <c r="J20" s="182"/>
      <c r="K20" s="182"/>
      <c r="L20" s="182"/>
      <c r="M20" s="182"/>
      <c r="N20" s="182"/>
      <c r="O20" s="182"/>
      <c r="P20" s="182"/>
      <c r="Q20" s="182"/>
      <c r="R20" s="182"/>
      <c r="S20" s="182"/>
      <c r="T20" s="182"/>
      <c r="U20" s="182"/>
      <c r="V20" s="182"/>
      <c r="W20" s="182"/>
      <c r="X20" s="182"/>
      <c r="Y20" s="182"/>
      <c r="Z20" s="182"/>
      <c r="AA20" s="182"/>
      <c r="AB20" s="182"/>
      <c r="AC20" s="182"/>
      <c r="AD20" s="182"/>
      <c r="AE20" s="182"/>
      <c r="AF20" s="182"/>
      <c r="AG20" s="182"/>
      <c r="AH20" s="182"/>
      <c r="AI20" s="182"/>
    </row>
    <row r="21" spans="1:37" ht="39.75" customHeight="1" x14ac:dyDescent="0.25">
      <c r="A21" s="46"/>
      <c r="B21" s="46"/>
      <c r="C21" s="46"/>
      <c r="E21" s="240"/>
      <c r="F21" s="240"/>
      <c r="G21" s="240"/>
      <c r="H21" s="240"/>
      <c r="I21" s="240"/>
      <c r="J21" s="240"/>
      <c r="K21" s="240"/>
      <c r="L21" s="240"/>
      <c r="M21" s="240"/>
      <c r="N21" s="240"/>
      <c r="O21" s="240"/>
      <c r="P21" s="240"/>
      <c r="Q21" s="240"/>
      <c r="R21" s="240"/>
      <c r="S21" s="240"/>
      <c r="T21" s="240"/>
      <c r="U21" s="240"/>
      <c r="V21" s="240"/>
      <c r="W21" s="240"/>
      <c r="X21" s="240"/>
      <c r="Y21" s="240"/>
      <c r="Z21" s="240"/>
      <c r="AA21" s="240"/>
      <c r="AB21" s="240"/>
      <c r="AC21" s="240"/>
      <c r="AD21" s="240"/>
      <c r="AE21" s="240"/>
      <c r="AF21" s="240"/>
      <c r="AG21" s="240"/>
      <c r="AH21" s="240"/>
      <c r="AI21" s="240"/>
      <c r="AJ21" s="169" t="s">
        <v>19</v>
      </c>
    </row>
    <row r="22" spans="1:37" ht="11.25" customHeight="1" thickBot="1" x14ac:dyDescent="0.75">
      <c r="C22" s="36"/>
      <c r="AI22" s="4"/>
      <c r="AJ22" s="170" t="s">
        <v>202</v>
      </c>
    </row>
    <row r="23" spans="1:37" ht="6.75" customHeight="1" thickTop="1" thickBot="1" x14ac:dyDescent="0.3">
      <c r="B23" s="49"/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49"/>
      <c r="X23" s="49"/>
      <c r="Y23" s="49"/>
      <c r="Z23" s="49"/>
      <c r="AA23" s="49"/>
      <c r="AB23" s="49"/>
      <c r="AC23" s="49"/>
      <c r="AD23" s="49"/>
      <c r="AE23" s="49"/>
      <c r="AF23" s="49"/>
      <c r="AG23" s="49"/>
      <c r="AH23" s="49"/>
      <c r="AI23" s="49"/>
      <c r="AJ23" s="171"/>
      <c r="AK23" s="49"/>
    </row>
    <row r="24" spans="1:37" ht="13.2" hidden="1" thickTop="1" thickBot="1" x14ac:dyDescent="0.3">
      <c r="B24" s="2"/>
      <c r="C24" s="30" t="s">
        <v>199</v>
      </c>
      <c r="D24" s="49" t="s">
        <v>198</v>
      </c>
      <c r="E24" s="30" t="s">
        <v>197</v>
      </c>
      <c r="F24" s="30" t="s">
        <v>196</v>
      </c>
      <c r="G24" s="30" t="s">
        <v>195</v>
      </c>
      <c r="H24" s="30" t="s">
        <v>194</v>
      </c>
      <c r="I24" s="30" t="s">
        <v>193</v>
      </c>
      <c r="J24" s="30" t="s">
        <v>192</v>
      </c>
      <c r="K24" s="30" t="s">
        <v>191</v>
      </c>
      <c r="L24" s="30" t="s">
        <v>190</v>
      </c>
      <c r="M24" s="30" t="s">
        <v>189</v>
      </c>
      <c r="N24" s="30" t="s">
        <v>188</v>
      </c>
      <c r="O24" s="30" t="s">
        <v>187</v>
      </c>
      <c r="P24" s="30" t="s">
        <v>186</v>
      </c>
      <c r="Q24" s="30" t="s">
        <v>185</v>
      </c>
      <c r="R24" s="30" t="s">
        <v>184</v>
      </c>
      <c r="S24" s="30" t="s">
        <v>183</v>
      </c>
      <c r="T24" s="30" t="s">
        <v>182</v>
      </c>
      <c r="U24" s="30" t="s">
        <v>181</v>
      </c>
      <c r="V24" s="30" t="s">
        <v>180</v>
      </c>
      <c r="W24" s="30" t="s">
        <v>179</v>
      </c>
      <c r="X24" s="30" t="s">
        <v>178</v>
      </c>
      <c r="Y24" s="30" t="s">
        <v>177</v>
      </c>
      <c r="Z24" s="30" t="s">
        <v>176</v>
      </c>
      <c r="AA24" s="30" t="s">
        <v>175</v>
      </c>
      <c r="AB24" s="30" t="s">
        <v>174</v>
      </c>
      <c r="AC24" s="30" t="s">
        <v>173</v>
      </c>
      <c r="AD24" s="30" t="s">
        <v>172</v>
      </c>
      <c r="AE24" s="30" t="s">
        <v>171</v>
      </c>
      <c r="AF24" s="30" t="s">
        <v>170</v>
      </c>
      <c r="AG24" s="30" t="s">
        <v>169</v>
      </c>
      <c r="AH24" s="30" t="s">
        <v>168</v>
      </c>
      <c r="AI24" s="30" t="s">
        <v>167</v>
      </c>
      <c r="AJ24" s="172" t="s">
        <v>166</v>
      </c>
      <c r="AK24" s="49"/>
    </row>
    <row r="25" spans="1:37" ht="19.5" customHeight="1" thickTop="1" thickBot="1" x14ac:dyDescent="0.3">
      <c r="B25" s="49"/>
      <c r="C25" s="61" t="s">
        <v>7</v>
      </c>
      <c r="D25" s="60"/>
      <c r="E25" s="173">
        <f>SUMIFS(tabela_registros[VALOR],tabela_registros[MÊS],$AE$1,tabela_registros[DIA],jantotal[[#Headers],[1]],tabela_registros[REGISTRO],DADOS!$N$5)</f>
        <v>356</v>
      </c>
      <c r="F25" s="173">
        <f>SUMIFS(tabela_registros[VALOR],tabela_registros[MÊS],$AE$1,tabela_registros[DIA],jantotal[[#Headers],[2]],tabela_registros[REGISTRO],DADOS!$N$5)</f>
        <v>254</v>
      </c>
      <c r="G25" s="173">
        <f>SUMIFS(tabela_registros[VALOR],tabela_registros[MÊS],$AE$1,tabela_registros[DIA],jantotal[[#Headers],[3]],tabela_registros[REGISTRO],DADOS!$N$5)</f>
        <v>0</v>
      </c>
      <c r="H25" s="173">
        <f>SUMIFS(tabela_registros[VALOR],tabela_registros[MÊS],$AE$1,tabela_registros[DIA],jantotal[[#Headers],[4]],tabela_registros[REGISTRO],DADOS!$N$5)</f>
        <v>0</v>
      </c>
      <c r="I25" s="173">
        <f>SUMIFS(tabela_registros[VALOR],tabela_registros[MÊS],$AE$1,tabela_registros[DIA],jantotal[[#Headers],[5]],tabela_registros[REGISTRO],DADOS!$N$5)</f>
        <v>0</v>
      </c>
      <c r="J25" s="173">
        <f>SUMIFS(tabela_registros[VALOR],tabela_registros[MÊS],$AE$1,tabela_registros[DIA],jantotal[[#Headers],[6]],tabela_registros[REGISTRO],DADOS!$N$5)</f>
        <v>0</v>
      </c>
      <c r="K25" s="173">
        <f>SUMIFS(tabela_registros[VALOR],tabela_registros[MÊS],$AE$1,tabela_registros[DIA],jantotal[[#Headers],[7]],tabela_registros[REGISTRO],DADOS!$N$5)</f>
        <v>0</v>
      </c>
      <c r="L25" s="173">
        <f>SUMIFS(tabela_registros[VALOR],tabela_registros[MÊS],$AE$1,tabela_registros[DIA],jantotal[[#Headers],[8]],tabela_registros[REGISTRO],DADOS!$N$5)</f>
        <v>0</v>
      </c>
      <c r="M25" s="173">
        <f>SUMIFS(tabela_registros[VALOR],tabela_registros[MÊS],$AE$1,tabela_registros[DIA],jantotal[[#Headers],[9]],tabela_registros[REGISTRO],DADOS!$N$5)</f>
        <v>0</v>
      </c>
      <c r="N25" s="173">
        <f>SUMIFS(tabela_registros[VALOR],tabela_registros[MÊS],$AE$1,tabela_registros[DIA],jantotal[[#Headers],[10]],tabela_registros[REGISTRO],DADOS!$N$5)</f>
        <v>0</v>
      </c>
      <c r="O25" s="173">
        <f>SUMIFS(tabela_registros[VALOR],tabela_registros[MÊS],$AE$1,tabela_registros[DIA],jantotal[[#Headers],[11]],tabela_registros[REGISTRO],DADOS!$N$5)</f>
        <v>0</v>
      </c>
      <c r="P25" s="173">
        <f>SUMIFS(tabela_registros[VALOR],tabela_registros[MÊS],$AE$1,tabela_registros[DIA],jantotal[[#Headers],[12]],tabela_registros[REGISTRO],DADOS!$N$5)</f>
        <v>0</v>
      </c>
      <c r="Q25" s="173">
        <f>SUMIFS(tabela_registros[VALOR],tabela_registros[MÊS],$AE$1,tabela_registros[DIA],jantotal[[#Headers],[13]],tabela_registros[REGISTRO],DADOS!$N$5)</f>
        <v>0</v>
      </c>
      <c r="R25" s="173">
        <f>SUMIFS(tabela_registros[VALOR],tabela_registros[MÊS],$AE$1,tabela_registros[DIA],jantotal[[#Headers],[14]],tabela_registros[REGISTRO],DADOS!$N$5)</f>
        <v>0</v>
      </c>
      <c r="S25" s="173">
        <f>SUMIFS(tabela_registros[VALOR],tabela_registros[MÊS],$AE$1,tabela_registros[DIA],jantotal[[#Headers],[15]],tabela_registros[REGISTRO],DADOS!$N$5)</f>
        <v>0</v>
      </c>
      <c r="T25" s="173">
        <f>SUMIFS(tabela_registros[VALOR],tabela_registros[MÊS],$AE$1,tabela_registros[DIA],jantotal[[#Headers],[16]],tabela_registros[REGISTRO],DADOS!$N$5)</f>
        <v>0</v>
      </c>
      <c r="U25" s="173">
        <f>SUMIFS(tabela_registros[VALOR],tabela_registros[MÊS],$AE$1,tabela_registros[DIA],jantotal[[#Headers],[17]],tabela_registros[REGISTRO],DADOS!$N$5)</f>
        <v>0</v>
      </c>
      <c r="V25" s="173">
        <f>SUMIFS(tabela_registros[VALOR],tabela_registros[MÊS],$AE$1,tabela_registros[DIA],jantotal[[#Headers],[18]],tabela_registros[REGISTRO],DADOS!$N$5)</f>
        <v>0</v>
      </c>
      <c r="W25" s="173">
        <f>SUMIFS(tabela_registros[VALOR],tabela_registros[MÊS],$AE$1,tabela_registros[DIA],jantotal[[#Headers],[19]],tabela_registros[REGISTRO],DADOS!$N$5)</f>
        <v>0</v>
      </c>
      <c r="X25" s="173">
        <f>SUMIFS(tabela_registros[VALOR],tabela_registros[MÊS],$AE$1,tabela_registros[DIA],jantotal[[#Headers],[20]],tabela_registros[REGISTRO],DADOS!$N$5)</f>
        <v>0</v>
      </c>
      <c r="Y25" s="173">
        <f>SUMIFS(tabela_registros[VALOR],tabela_registros[MÊS],$AE$1,tabela_registros[DIA],jantotal[[#Headers],[21]],tabela_registros[REGISTRO],DADOS!$N$5)</f>
        <v>0</v>
      </c>
      <c r="Z25" s="173">
        <f>SUMIFS(tabela_registros[VALOR],tabela_registros[MÊS],$AE$1,tabela_registros[DIA],jantotal[[#Headers],[22]],tabela_registros[REGISTRO],DADOS!$N$5)</f>
        <v>0</v>
      </c>
      <c r="AA25" s="173">
        <f>SUMIFS(tabela_registros[VALOR],tabela_registros[MÊS],$AE$1,tabela_registros[DIA],jantotal[[#Headers],[23]],tabela_registros[REGISTRO],DADOS!$N$5)</f>
        <v>34.214285714285602</v>
      </c>
      <c r="AB25" s="173">
        <f>SUMIFS(tabela_registros[VALOR],tabela_registros[MÊS],$AE$1,tabela_registros[DIA],jantotal[[#Headers],[24]],tabela_registros[REGISTRO],DADOS!$N$5)</f>
        <v>0</v>
      </c>
      <c r="AC25" s="173">
        <f>SUMIFS(tabela_registros[VALOR],tabela_registros[MÊS],$AE$1,tabela_registros[DIA],jantotal[[#Headers],[25]],tabela_registros[REGISTRO],DADOS!$N$5)</f>
        <v>19.499999999999599</v>
      </c>
      <c r="AD25" s="173">
        <f>SUMIFS(tabela_registros[VALOR],tabela_registros[MÊS],$AE$1,tabela_registros[DIA],jantotal[[#Headers],[26]],tabela_registros[REGISTRO],DADOS!$N$5)</f>
        <v>12.142857142856601</v>
      </c>
      <c r="AE25" s="173">
        <f>SUMIFS(tabela_registros[VALOR],tabela_registros[MÊS],$AE$1,tabela_registros[DIA],jantotal[[#Headers],[27]],tabela_registros[REGISTRO],DADOS!$N$5)</f>
        <v>4.7857142857145902</v>
      </c>
      <c r="AF25" s="173">
        <f>SUMIFS(tabela_registros[VALOR],tabela_registros[MÊS],$AE$1,tabela_registros[DIA],jantotal[[#Headers],[28]],tabela_registros[REGISTRO],DADOS!$N$5)</f>
        <v>50</v>
      </c>
      <c r="AG25" s="173">
        <f>SUMIFS(tabela_registros[VALOR],tabela_registros[MÊS],$AE$1,tabela_registros[DIA],jantotal[[#Headers],[29]],tabela_registros[REGISTRO],DADOS!$N$5)</f>
        <v>0</v>
      </c>
      <c r="AH25" s="173">
        <f>SUMIFS(tabela_registros[VALOR],tabela_registros[MÊS],$AE$1,tabela_registros[DIA],jantotal[[#Headers],[30]],tabela_registros[REGISTRO],DADOS!$N$5)</f>
        <v>0</v>
      </c>
      <c r="AI25" s="174">
        <f>SUMIFS(tabela_registros[VALOR],tabela_registros[MÊS],$AE$1,tabela_registros[DIA],jantotal[[#Headers],[31]],tabela_registros[REGISTRO],DADOS!$N$5)</f>
        <v>0</v>
      </c>
      <c r="AJ25" s="175">
        <f>SUM(E25:AI25)</f>
        <v>730.64285714285631</v>
      </c>
      <c r="AK25" s="49"/>
    </row>
    <row r="26" spans="1:37" ht="18" customHeight="1" thickTop="1" thickBot="1" x14ac:dyDescent="0.3">
      <c r="B26" s="49"/>
      <c r="C26" s="59" t="s">
        <v>8</v>
      </c>
      <c r="D26" s="58"/>
      <c r="E26" s="176">
        <f>SUMIFS(tabela_registros[VALOR],tabela_registros[MÊS],$AE$1,tabela_registros[DIA],jantotal[[#Headers],[1]],tabela_registros[REGISTRO],DADOS!$N$6)</f>
        <v>1478</v>
      </c>
      <c r="F26" s="176">
        <f>SUMIFS(tabela_registros[VALOR],tabela_registros[MÊS],$AE$1,tabela_registros[DIA],jantotal[[#Headers],[2]],tabela_registros[REGISTRO],DADOS!$N$6)</f>
        <v>0</v>
      </c>
      <c r="G26" s="176">
        <f>SUMIFS(tabela_registros[VALOR],tabela_registros[MÊS],$AE$1,tabela_registros[DIA],jantotal[[#Headers],[3]],tabela_registros[REGISTRO],DADOS!$N$6)</f>
        <v>25</v>
      </c>
      <c r="H26" s="176">
        <f>SUMIFS(tabela_registros[VALOR],tabela_registros[MÊS],$AE$1,tabela_registros[DIA],jantotal[[#Headers],[4]],tabela_registros[REGISTRO],DADOS!$N$6)</f>
        <v>38</v>
      </c>
      <c r="I26" s="176">
        <f>SUMIFS(tabela_registros[VALOR],tabela_registros[MÊS],$AE$1,tabela_registros[DIA],jantotal[[#Headers],[5]],tabela_registros[REGISTRO],DADOS!$N$6)</f>
        <v>0</v>
      </c>
      <c r="J26" s="176">
        <f>SUMIFS(tabela_registros[VALOR],tabela_registros[MÊS],$AE$1,tabela_registros[DIA],jantotal[[#Headers],[6]],tabela_registros[REGISTRO],DADOS!$N$6)</f>
        <v>150</v>
      </c>
      <c r="K26" s="176">
        <f>SUMIFS(tabela_registros[VALOR],tabela_registros[MÊS],$AE$1,tabela_registros[DIA],jantotal[[#Headers],[7]],tabela_registros[REGISTRO],DADOS!$N$6)</f>
        <v>0</v>
      </c>
      <c r="L26" s="176">
        <f>SUMIFS(tabela_registros[VALOR],tabela_registros[MÊS],$AE$1,tabela_registros[DIA],jantotal[[#Headers],[8]],tabela_registros[REGISTRO],DADOS!$N$6)</f>
        <v>0</v>
      </c>
      <c r="M26" s="176">
        <f>SUMIFS(tabela_registros[VALOR],tabela_registros[MÊS],$AE$1,tabela_registros[DIA],jantotal[[#Headers],[9]],tabela_registros[REGISTRO],DADOS!$N$6)</f>
        <v>0</v>
      </c>
      <c r="N26" s="176">
        <f>SUMIFS(tabela_registros[VALOR],tabela_registros[MÊS],$AE$1,tabela_registros[DIA],jantotal[[#Headers],[10]],tabela_registros[REGISTRO],DADOS!$N$6)</f>
        <v>0</v>
      </c>
      <c r="O26" s="176">
        <f>SUMIFS(tabela_registros[VALOR],tabela_registros[MÊS],$AE$1,tabela_registros[DIA],jantotal[[#Headers],[11]],tabela_registros[REGISTRO],DADOS!$N$6)</f>
        <v>0</v>
      </c>
      <c r="P26" s="176">
        <f>SUMIFS(tabela_registros[VALOR],tabela_registros[MÊS],$AE$1,tabela_registros[DIA],jantotal[[#Headers],[12]],tabela_registros[REGISTRO],DADOS!$N$6)</f>
        <v>0</v>
      </c>
      <c r="Q26" s="176">
        <f>SUMIFS(tabela_registros[VALOR],tabela_registros[MÊS],$AE$1,tabela_registros[DIA],jantotal[[#Headers],[13]],tabela_registros[REGISTRO],DADOS!$N$6)</f>
        <v>0</v>
      </c>
      <c r="R26" s="176">
        <f>SUMIFS(tabela_registros[VALOR],tabela_registros[MÊS],$AE$1,tabela_registros[DIA],jantotal[[#Headers],[14]],tabela_registros[REGISTRO],DADOS!$N$6)</f>
        <v>0</v>
      </c>
      <c r="S26" s="176">
        <f>SUMIFS(tabela_registros[VALOR],tabela_registros[MÊS],$AE$1,tabela_registros[DIA],jantotal[[#Headers],[15]],tabela_registros[REGISTRO],DADOS!$N$6)</f>
        <v>600</v>
      </c>
      <c r="T26" s="176">
        <f>SUMIFS(tabela_registros[VALOR],tabela_registros[MÊS],$AE$1,tabela_registros[DIA],jantotal[[#Headers],[16]],tabela_registros[REGISTRO],DADOS!$N$6)</f>
        <v>0</v>
      </c>
      <c r="U26" s="176">
        <f>SUMIFS(tabela_registros[VALOR],tabela_registros[MÊS],$AE$1,tabela_registros[DIA],jantotal[[#Headers],[17]],tabela_registros[REGISTRO],DADOS!$N$6)</f>
        <v>0</v>
      </c>
      <c r="V26" s="176">
        <f>SUMIFS(tabela_registros[VALOR],tabela_registros[MÊS],$AE$1,tabela_registros[DIA],jantotal[[#Headers],[18]],tabela_registros[REGISTRO],DADOS!$N$6)</f>
        <v>0</v>
      </c>
      <c r="W26" s="176">
        <f>SUMIFS(tabela_registros[VALOR],tabela_registros[MÊS],$AE$1,tabela_registros[DIA],jantotal[[#Headers],[19]],tabela_registros[REGISTRO],DADOS!$N$6)</f>
        <v>0</v>
      </c>
      <c r="X26" s="176">
        <f>SUMIFS(tabela_registros[VALOR],tabela_registros[MÊS],$AE$1,tabela_registros[DIA],jantotal[[#Headers],[20]],tabela_registros[REGISTRO],DADOS!$N$6)</f>
        <v>0</v>
      </c>
      <c r="Y26" s="176">
        <f>SUMIFS(tabela_registros[VALOR],tabela_registros[MÊS],$AE$1,tabela_registros[DIA],jantotal[[#Headers],[21]],tabela_registros[REGISTRO],DADOS!$N$6)</f>
        <v>0</v>
      </c>
      <c r="Z26" s="176">
        <f>SUMIFS(tabela_registros[VALOR],tabela_registros[MÊS],$AE$1,tabela_registros[DIA],jantotal[[#Headers],[22]],tabela_registros[REGISTRO],DADOS!$N$6)</f>
        <v>0</v>
      </c>
      <c r="AA26" s="176">
        <f>SUMIFS(tabela_registros[VALOR],tabela_registros[MÊS],$AE$1,tabela_registros[DIA],jantotal[[#Headers],[23]],tabela_registros[REGISTRO],DADOS!$N$6)</f>
        <v>0</v>
      </c>
      <c r="AB26" s="176">
        <f>SUMIFS(tabela_registros[VALOR],tabela_registros[MÊS],$AE$1,tabela_registros[DIA],jantotal[[#Headers],[24]],tabela_registros[REGISTRO],DADOS!$N$6)</f>
        <v>211</v>
      </c>
      <c r="AC26" s="176">
        <f>SUMIFS(tabela_registros[VALOR],tabela_registros[MÊS],$AE$1,tabela_registros[DIA],jantotal[[#Headers],[25]],tabela_registros[REGISTRO],DADOS!$N$6)</f>
        <v>0</v>
      </c>
      <c r="AD26" s="176">
        <f>SUMIFS(tabela_registros[VALOR],tabela_registros[MÊS],$AE$1,tabela_registros[DIA],jantotal[[#Headers],[26]],tabela_registros[REGISTRO],DADOS!$N$6)</f>
        <v>0</v>
      </c>
      <c r="AE26" s="176">
        <f>SUMIFS(tabela_registros[VALOR],tabela_registros[MÊS],$AE$1,tabela_registros[DIA],jantotal[[#Headers],[27]],tabela_registros[REGISTRO],DADOS!$N$6)</f>
        <v>0</v>
      </c>
      <c r="AF26" s="176">
        <f>SUMIFS(tabela_registros[VALOR],tabela_registros[MÊS],$AE$1,tabela_registros[DIA],jantotal[[#Headers],[28]],tabela_registros[REGISTRO],DADOS!$N$6)</f>
        <v>0</v>
      </c>
      <c r="AG26" s="176">
        <f>SUMIFS(tabela_registros[VALOR],tabela_registros[MÊS],$AE$1,tabela_registros[DIA],jantotal[[#Headers],[29]],tabela_registros[REGISTRO],DADOS!$N$6)</f>
        <v>0</v>
      </c>
      <c r="AH26" s="176">
        <f>SUMIFS(tabela_registros[VALOR],tabela_registros[MÊS],$AE$1,tabela_registros[DIA],jantotal[[#Headers],[30]],tabela_registros[REGISTRO],DADOS!$N$6)</f>
        <v>0</v>
      </c>
      <c r="AI26" s="177">
        <f>SUMIFS(tabela_registros[VALOR],tabela_registros[MÊS],$AE$1,tabela_registros[DIA],jantotal[[#Headers],[31]],tabela_registros[REGISTRO],DADOS!$N$6)</f>
        <v>0</v>
      </c>
      <c r="AJ26" s="178">
        <f>SUM(E26:AI26)</f>
        <v>2502</v>
      </c>
      <c r="AK26" s="49"/>
    </row>
    <row r="27" spans="1:37" s="16" customFormat="1" ht="21" customHeight="1" thickTop="1" thickBot="1" x14ac:dyDescent="0.35">
      <c r="B27" s="52"/>
      <c r="C27" s="57" t="s">
        <v>19</v>
      </c>
      <c r="D27" s="56"/>
      <c r="E27" s="183">
        <f>SUM(E25:E26)</f>
        <v>1834</v>
      </c>
      <c r="F27" s="179">
        <f>SUM(F25:F26)+janinvestir[[#This Row],[1]]</f>
        <v>2088</v>
      </c>
      <c r="G27" s="179">
        <f>SUM(G25:G26)+janinvestir[[#This Row],[2]]</f>
        <v>2113</v>
      </c>
      <c r="H27" s="179">
        <f>SUM(H25:H26)+janinvestir[[#This Row],[3]]</f>
        <v>2151</v>
      </c>
      <c r="I27" s="179">
        <f>SUM(I25:I26)+janinvestir[[#This Row],[4]]</f>
        <v>2151</v>
      </c>
      <c r="J27" s="179">
        <f>SUM(J25:J26)+janinvestir[[#This Row],[5]]</f>
        <v>2301</v>
      </c>
      <c r="K27" s="179">
        <f>SUM(K25:K26)+janinvestir[[#This Row],[6]]</f>
        <v>2301</v>
      </c>
      <c r="L27" s="179">
        <f>SUM(L25:L26)+janinvestir[[#This Row],[7]]</f>
        <v>2301</v>
      </c>
      <c r="M27" s="179">
        <f>SUM(M25:M26)+janinvestir[[#This Row],[8]]</f>
        <v>2301</v>
      </c>
      <c r="N27" s="179">
        <f>SUM(N25:N26)+janinvestir[[#This Row],[9]]</f>
        <v>2301</v>
      </c>
      <c r="O27" s="179">
        <f>SUM(O25:O26)+janinvestir[[#This Row],[10]]</f>
        <v>2301</v>
      </c>
      <c r="P27" s="179">
        <f>SUM(P25:P26)+janinvestir[[#This Row],[11]]</f>
        <v>2301</v>
      </c>
      <c r="Q27" s="179">
        <f>SUM(Q25:Q26)+janinvestir[[#This Row],[12]]</f>
        <v>2301</v>
      </c>
      <c r="R27" s="179">
        <f>SUM(R25:R26)+janinvestir[[#This Row],[13]]</f>
        <v>2301</v>
      </c>
      <c r="S27" s="179">
        <f>SUM(S25:S26)+janinvestir[[#This Row],[14]]</f>
        <v>2901</v>
      </c>
      <c r="T27" s="179">
        <f>SUM(T25:T26)+janinvestir[[#This Row],[15]]</f>
        <v>2901</v>
      </c>
      <c r="U27" s="179">
        <f>SUM(U25:U26)+janinvestir[[#This Row],[16]]</f>
        <v>2901</v>
      </c>
      <c r="V27" s="179">
        <f>SUM(V25:V26)+janinvestir[[#This Row],[17]]</f>
        <v>2901</v>
      </c>
      <c r="W27" s="179">
        <f>SUM(W25:W26)+janinvestir[[#This Row],[18]]</f>
        <v>2901</v>
      </c>
      <c r="X27" s="179">
        <f>SUM(X25:X26)+janinvestir[[#This Row],[19]]</f>
        <v>2901</v>
      </c>
      <c r="Y27" s="179">
        <f>SUM(Y25:Y26)+janinvestir[[#This Row],[20]]</f>
        <v>2901</v>
      </c>
      <c r="Z27" s="179">
        <f>SUM(Z25:Z26)+janinvestir[[#This Row],[21]]</f>
        <v>2901</v>
      </c>
      <c r="AA27" s="179">
        <f>SUM(AA25:AA26)+janinvestir[[#This Row],[22]]</f>
        <v>2935.2142857142858</v>
      </c>
      <c r="AB27" s="179">
        <f>SUM(AB25:AB26)+janinvestir[[#This Row],[23]]</f>
        <v>3146.2142857142858</v>
      </c>
      <c r="AC27" s="179">
        <f>SUM(AC25:AC26)+janinvestir[[#This Row],[24]]</f>
        <v>3165.7142857142853</v>
      </c>
      <c r="AD27" s="179">
        <f>SUM(AD25:AD26)+janinvestir[[#This Row],[25]]</f>
        <v>3177.8571428571418</v>
      </c>
      <c r="AE27" s="179">
        <f>SUM(AE25:AE26)+janinvestir[[#This Row],[26]]</f>
        <v>3182.6428571428564</v>
      </c>
      <c r="AF27" s="179">
        <f>SUM(AF25:AF26)+janinvestir[[#This Row],[27]]</f>
        <v>3232.6428571428564</v>
      </c>
      <c r="AG27" s="179">
        <f>SUM(AG25:AG26)+janinvestir[[#This Row],[28]]</f>
        <v>3232.6428571428564</v>
      </c>
      <c r="AH27" s="179">
        <f>SUM(AH25:AH26)+janinvestir[[#This Row],[29]]</f>
        <v>3232.6428571428564</v>
      </c>
      <c r="AI27" s="180">
        <f>SUM(AI25:AI26)+janinvestir[[#This Row],[30]]</f>
        <v>3232.6428571428564</v>
      </c>
      <c r="AJ27" s="181">
        <f>janinvestir[[#This Row],[31]]</f>
        <v>3232.6428571428564</v>
      </c>
      <c r="AK27" s="52"/>
    </row>
    <row r="28" spans="1:37" ht="6.75" hidden="1" customHeight="1" thickTop="1" thickBot="1" x14ac:dyDescent="0.35">
      <c r="B28" s="49"/>
      <c r="C28" t="s">
        <v>204</v>
      </c>
      <c r="D28"/>
      <c r="E28" s="51">
        <f>SUBTOTAL(109,janinvestir[1])</f>
        <v>3668</v>
      </c>
      <c r="F28" s="51">
        <f>SUBTOTAL(109,janinvestir[2])</f>
        <v>2342</v>
      </c>
      <c r="G28" s="51">
        <f>SUBTOTAL(109,janinvestir[3])</f>
        <v>2138</v>
      </c>
      <c r="H28" s="51">
        <f>SUBTOTAL(109,janinvestir[4])</f>
        <v>2189</v>
      </c>
      <c r="I28" s="51">
        <f>SUBTOTAL(109,janinvestir[5])</f>
        <v>2151</v>
      </c>
      <c r="J28" s="51">
        <f>SUBTOTAL(109,janinvestir[6])</f>
        <v>2451</v>
      </c>
      <c r="K28" s="51">
        <f>SUBTOTAL(109,janinvestir[7])</f>
        <v>2301</v>
      </c>
      <c r="L28" s="51">
        <f>SUBTOTAL(109,janinvestir[8])</f>
        <v>2301</v>
      </c>
      <c r="M28" s="51">
        <f>SUBTOTAL(109,janinvestir[9])</f>
        <v>2301</v>
      </c>
      <c r="N28" s="51">
        <f>SUBTOTAL(109,janinvestir[10])</f>
        <v>2301</v>
      </c>
      <c r="O28" s="51">
        <f>SUBTOTAL(109,janinvestir[11])</f>
        <v>2301</v>
      </c>
      <c r="P28" s="51">
        <f>SUBTOTAL(109,janinvestir[12])</f>
        <v>2301</v>
      </c>
      <c r="Q28" s="51">
        <f>SUBTOTAL(109,janinvestir[13])</f>
        <v>2301</v>
      </c>
      <c r="R28" s="51">
        <f>SUBTOTAL(109,janinvestir[14])</f>
        <v>2301</v>
      </c>
      <c r="S28" s="51">
        <f>SUBTOTAL(109,janinvestir[15])</f>
        <v>3501</v>
      </c>
      <c r="T28" s="51">
        <f>SUBTOTAL(109,janinvestir[16])</f>
        <v>2901</v>
      </c>
      <c r="U28" s="51">
        <f>SUBTOTAL(109,janinvestir[17])</f>
        <v>2901</v>
      </c>
      <c r="V28" s="51">
        <f>SUBTOTAL(109,janinvestir[18])</f>
        <v>2901</v>
      </c>
      <c r="W28" s="51">
        <f>SUBTOTAL(109,janinvestir[19])</f>
        <v>2901</v>
      </c>
      <c r="X28" s="51">
        <f>SUBTOTAL(109,janinvestir[20])</f>
        <v>2901</v>
      </c>
      <c r="Y28" s="51">
        <f>SUBTOTAL(109,janinvestir[21])</f>
        <v>2901</v>
      </c>
      <c r="Z28" s="51">
        <f>SUBTOTAL(109,janinvestir[22])</f>
        <v>2901</v>
      </c>
      <c r="AA28" s="51">
        <f>SUBTOTAL(109,janinvestir[23])</f>
        <v>2969.4285714285716</v>
      </c>
      <c r="AB28" s="51">
        <f>SUBTOTAL(109,janinvestir[24])</f>
        <v>3357.2142857142858</v>
      </c>
      <c r="AC28" s="51">
        <f>SUBTOTAL(109,janinvestir[25])</f>
        <v>3185.2142857142849</v>
      </c>
      <c r="AD28" s="51">
        <f>SUBTOTAL(109,janinvestir[26])</f>
        <v>3189.9999999999982</v>
      </c>
      <c r="AE28" s="51">
        <f>SUBTOTAL(109,janinvestir[27])</f>
        <v>3187.4285714285711</v>
      </c>
      <c r="AF28" s="51">
        <f>SUBTOTAL(109,janinvestir[28])</f>
        <v>3282.6428571428564</v>
      </c>
      <c r="AG28" s="51">
        <f>SUBTOTAL(109,janinvestir[29])</f>
        <v>3232.6428571428564</v>
      </c>
      <c r="AH28" s="51">
        <f>SUBTOTAL(109,janinvestir[30])</f>
        <v>3232.6428571428564</v>
      </c>
      <c r="AI28" s="51">
        <f>SUBTOTAL(109,janinvestir[31])</f>
        <v>3232.6428571428564</v>
      </c>
      <c r="AJ28" s="51">
        <f>SUBTOTAL(109,janinvestir[TOTAL (R$)])</f>
        <v>6465.2857142857129</v>
      </c>
      <c r="AK28" s="49"/>
    </row>
    <row r="29" spans="1:37" ht="6.75" customHeight="1" thickTop="1" thickBot="1" x14ac:dyDescent="0.3">
      <c r="B29" s="49"/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49"/>
      <c r="X29" s="49"/>
      <c r="Y29" s="49"/>
      <c r="Z29" s="49"/>
      <c r="AA29" s="49"/>
      <c r="AB29" s="49"/>
      <c r="AC29" s="49"/>
      <c r="AD29" s="49"/>
      <c r="AE29" s="49"/>
      <c r="AF29" s="49"/>
      <c r="AG29" s="49"/>
      <c r="AH29" s="49"/>
      <c r="AI29" s="171"/>
      <c r="AJ29" s="49"/>
      <c r="AK29" s="49"/>
    </row>
    <row r="30" spans="1:37" ht="12.6" thickTop="1" x14ac:dyDescent="0.25">
      <c r="C30" s="46"/>
      <c r="D30" s="182"/>
      <c r="E30" s="182"/>
      <c r="F30" s="182"/>
      <c r="G30" s="182"/>
      <c r="H30" s="182"/>
      <c r="I30" s="182"/>
      <c r="J30" s="182"/>
      <c r="K30" s="182"/>
      <c r="L30" s="182"/>
      <c r="M30" s="182"/>
      <c r="N30" s="182"/>
      <c r="O30" s="182"/>
      <c r="P30" s="182"/>
      <c r="Q30" s="182"/>
      <c r="R30" s="182"/>
      <c r="S30" s="182"/>
      <c r="T30" s="182"/>
      <c r="U30" s="182"/>
      <c r="V30" s="182"/>
      <c r="W30" s="182"/>
      <c r="X30" s="182"/>
      <c r="Y30" s="182"/>
      <c r="Z30" s="182"/>
      <c r="AA30" s="182"/>
      <c r="AB30" s="182"/>
      <c r="AC30" s="182"/>
      <c r="AD30" s="182"/>
      <c r="AE30" s="182"/>
      <c r="AF30" s="182"/>
      <c r="AG30" s="182"/>
      <c r="AH30" s="182"/>
      <c r="AI30" s="182"/>
    </row>
    <row r="31" spans="1:37" x14ac:dyDescent="0.25">
      <c r="C31" s="46"/>
      <c r="D31" s="182"/>
      <c r="E31" s="182"/>
      <c r="F31" s="182"/>
      <c r="G31" s="182"/>
      <c r="H31" s="182"/>
      <c r="I31" s="182"/>
      <c r="J31" s="182"/>
      <c r="K31" s="182"/>
      <c r="L31" s="182"/>
      <c r="M31" s="182"/>
      <c r="N31" s="182"/>
      <c r="O31" s="182"/>
      <c r="P31" s="182"/>
      <c r="Q31" s="182"/>
      <c r="R31" s="182"/>
      <c r="S31" s="182"/>
      <c r="T31" s="182"/>
      <c r="U31" s="182"/>
      <c r="V31" s="182"/>
      <c r="W31" s="182"/>
      <c r="X31" s="182"/>
      <c r="Y31" s="182"/>
      <c r="Z31" s="182"/>
      <c r="AA31" s="182"/>
      <c r="AB31" s="182"/>
      <c r="AC31" s="182"/>
      <c r="AD31" s="182"/>
      <c r="AE31" s="182"/>
      <c r="AF31" s="182"/>
      <c r="AG31" s="182"/>
      <c r="AH31" s="182"/>
      <c r="AI31" s="182"/>
    </row>
    <row r="32" spans="1:37" x14ac:dyDescent="0.25">
      <c r="C32" s="46"/>
      <c r="D32" s="182"/>
      <c r="E32" s="182"/>
      <c r="F32" s="182"/>
      <c r="G32" s="182"/>
      <c r="H32" s="182"/>
      <c r="I32" s="182"/>
      <c r="J32" s="182"/>
      <c r="K32" s="182"/>
      <c r="L32" s="182"/>
      <c r="M32" s="182"/>
      <c r="N32" s="182"/>
      <c r="O32" s="182"/>
      <c r="P32" s="182"/>
      <c r="Q32" s="182"/>
      <c r="R32" s="182"/>
      <c r="S32" s="182"/>
      <c r="T32" s="182"/>
      <c r="U32" s="182"/>
      <c r="V32" s="182"/>
      <c r="W32" s="182"/>
      <c r="X32" s="182"/>
      <c r="Y32" s="182"/>
      <c r="Z32" s="182"/>
      <c r="AA32" s="182"/>
      <c r="AB32" s="182"/>
      <c r="AC32" s="182"/>
      <c r="AD32" s="182"/>
      <c r="AE32" s="182"/>
      <c r="AF32" s="182"/>
      <c r="AG32" s="182"/>
      <c r="AH32" s="182"/>
      <c r="AI32" s="182"/>
    </row>
    <row r="33" spans="2:37" ht="39.75" customHeight="1" x14ac:dyDescent="0.25">
      <c r="C33" s="46"/>
      <c r="E33" s="240"/>
      <c r="F33" s="240"/>
      <c r="G33" s="240"/>
      <c r="H33" s="240"/>
      <c r="I33" s="240"/>
      <c r="J33" s="240"/>
      <c r="K33" s="240"/>
      <c r="L33" s="240"/>
      <c r="M33" s="240"/>
      <c r="N33" s="240"/>
      <c r="O33" s="240"/>
      <c r="P33" s="240"/>
      <c r="Q33" s="240"/>
      <c r="R33" s="240"/>
      <c r="S33" s="240"/>
      <c r="T33" s="240"/>
      <c r="U33" s="240"/>
      <c r="V33" s="240"/>
      <c r="W33" s="240"/>
      <c r="X33" s="240"/>
      <c r="Y33" s="240"/>
      <c r="Z33" s="240"/>
      <c r="AA33" s="240"/>
      <c r="AB33" s="240"/>
      <c r="AC33" s="240"/>
      <c r="AD33" s="240"/>
      <c r="AE33" s="240"/>
      <c r="AF33" s="240"/>
      <c r="AG33" s="240"/>
      <c r="AH33" s="240"/>
      <c r="AI33" s="240"/>
      <c r="AJ33" s="169" t="s">
        <v>19</v>
      </c>
    </row>
    <row r="34" spans="2:37" ht="11.25" customHeight="1" thickBot="1" x14ac:dyDescent="0.75">
      <c r="C34" s="36"/>
      <c r="AI34" s="4"/>
      <c r="AJ34" s="170" t="s">
        <v>202</v>
      </c>
    </row>
    <row r="35" spans="2:37" ht="6.75" customHeight="1" thickTop="1" thickBot="1" x14ac:dyDescent="0.3">
      <c r="B35" s="33"/>
      <c r="C35" s="45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F35" s="44"/>
      <c r="AG35" s="44"/>
      <c r="AH35" s="44"/>
      <c r="AI35" s="44"/>
      <c r="AJ35" s="184"/>
      <c r="AK35" s="33"/>
    </row>
    <row r="36" spans="2:37" ht="12.6" hidden="1" thickBot="1" x14ac:dyDescent="0.3">
      <c r="B36" s="2"/>
      <c r="C36" s="31" t="s">
        <v>132</v>
      </c>
      <c r="D36" s="30" t="s">
        <v>198</v>
      </c>
      <c r="E36" s="30" t="s">
        <v>197</v>
      </c>
      <c r="F36" s="30" t="s">
        <v>196</v>
      </c>
      <c r="G36" s="30" t="s">
        <v>195</v>
      </c>
      <c r="H36" s="30" t="s">
        <v>194</v>
      </c>
      <c r="I36" s="30" t="s">
        <v>193</v>
      </c>
      <c r="J36" s="30" t="s">
        <v>192</v>
      </c>
      <c r="K36" s="30" t="s">
        <v>191</v>
      </c>
      <c r="L36" s="30" t="s">
        <v>190</v>
      </c>
      <c r="M36" s="30" t="s">
        <v>189</v>
      </c>
      <c r="N36" s="30" t="s">
        <v>188</v>
      </c>
      <c r="O36" s="30" t="s">
        <v>187</v>
      </c>
      <c r="P36" s="30" t="s">
        <v>186</v>
      </c>
      <c r="Q36" s="30" t="s">
        <v>185</v>
      </c>
      <c r="R36" s="30" t="s">
        <v>184</v>
      </c>
      <c r="S36" s="30" t="s">
        <v>183</v>
      </c>
      <c r="T36" s="30" t="s">
        <v>182</v>
      </c>
      <c r="U36" s="30" t="s">
        <v>181</v>
      </c>
      <c r="V36" s="30" t="s">
        <v>180</v>
      </c>
      <c r="W36" s="30" t="s">
        <v>179</v>
      </c>
      <c r="X36" s="30" t="s">
        <v>178</v>
      </c>
      <c r="Y36" s="30" t="s">
        <v>177</v>
      </c>
      <c r="Z36" s="30" t="s">
        <v>176</v>
      </c>
      <c r="AA36" s="30" t="s">
        <v>175</v>
      </c>
      <c r="AB36" s="30" t="s">
        <v>174</v>
      </c>
      <c r="AC36" s="30" t="s">
        <v>173</v>
      </c>
      <c r="AD36" s="30" t="s">
        <v>172</v>
      </c>
      <c r="AE36" s="30" t="s">
        <v>171</v>
      </c>
      <c r="AF36" s="30" t="s">
        <v>170</v>
      </c>
      <c r="AG36" s="30" t="s">
        <v>169</v>
      </c>
      <c r="AH36" s="30" t="s">
        <v>168</v>
      </c>
      <c r="AI36" s="30" t="s">
        <v>167</v>
      </c>
      <c r="AJ36" s="185" t="s">
        <v>19</v>
      </c>
      <c r="AK36" s="2" t="s">
        <v>203</v>
      </c>
    </row>
    <row r="37" spans="2:37" ht="19.5" customHeight="1" thickTop="1" thickBot="1" x14ac:dyDescent="0.3">
      <c r="B37" s="28"/>
      <c r="C37" s="27" t="str">
        <f>DADOS!$R$3</f>
        <v>💧 ÁGUA</v>
      </c>
      <c r="D37" s="26" t="str">
        <f>IF(despesafixaconsolidado[[#This Row],[TOTAL]]=0,"",IF(OR(despesafixaconsolidado[[#This Row],[TOTAL]]=LARGE($AJ$37:$AJ$50,1),despesafixaconsolidado[[#This Row],[TOTAL]]=LARGE($AJ$37:$AJ$50,2),despesafixaconsolidado[[#This Row],[TOTAL]]=LARGE($AJ$37:$AJ$50,3),despesafixaconsolidado[[#This Row],[TOTAL]]=LARGE($AJ$37:$AJ$50,4),despesafixaconsolidado[[#This Row],[TOTAL]]=LARGE($AJ$37:$AJ$50,5)),DADOS!$I$8,""))</f>
        <v>💣</v>
      </c>
      <c r="E37" s="186">
        <f>SUMIFS(tabela_registros[VALOR],tabela_registros[MÊS],$AE$1,tabela_registros[DIA],jantotal[[#Headers],[1]],tabela_registros[REGISTRO],DADOS!$N$4,tabela_registros[TIPO],DADOS!$P$3,tabela_registros[CATEGORIA],despesafixaconsolidado[[#This Row],[DESPESA FIXA]])</f>
        <v>0</v>
      </c>
      <c r="F37" s="173">
        <f>SUMIFS(tabela_registros[VALOR],tabela_registros[MÊS],$AE$1,tabela_registros[DIA],jantotal[[#Headers],[2]],tabela_registros[REGISTRO],DADOS!$N$4,tabela_registros[TIPO],DADOS!$P$3,tabela_registros[CATEGORIA],despesafixaconsolidado[[#This Row],[DESPESA FIXA]])</f>
        <v>0</v>
      </c>
      <c r="G37" s="173">
        <f>SUMIFS(tabela_registros[VALOR],tabela_registros[MÊS],$AE$1,tabela_registros[DIA],jantotal[[#Headers],[3]],tabela_registros[REGISTRO],DADOS!$N$4,tabela_registros[TIPO],DADOS!$P$3,tabela_registros[CATEGORIA],despesafixaconsolidado[[#This Row],[DESPESA FIXA]])</f>
        <v>0</v>
      </c>
      <c r="H37" s="173">
        <f>SUMIFS(tabela_registros[VALOR],tabela_registros[MÊS],$AE$1,tabela_registros[DIA],jantotal[[#Headers],[4]],tabela_registros[REGISTRO],DADOS!$N$4,tabela_registros[TIPO],DADOS!$P$3,tabela_registros[CATEGORIA],despesafixaconsolidado[[#This Row],[DESPESA FIXA]])</f>
        <v>0</v>
      </c>
      <c r="I37" s="173">
        <f>SUMIFS(tabela_registros[VALOR],tabela_registros[MÊS],$AE$1,tabela_registros[DIA],jantotal[[#Headers],[5]],tabela_registros[REGISTRO],DADOS!$N$4,tabela_registros[TIPO],DADOS!$P$3,tabela_registros[CATEGORIA],despesafixaconsolidado[[#This Row],[DESPESA FIXA]])</f>
        <v>0</v>
      </c>
      <c r="J37" s="173">
        <f>SUMIFS(tabela_registros[VALOR],tabela_registros[MÊS],$AE$1,tabela_registros[DIA],jantotal[[#Headers],[6]],tabela_registros[REGISTRO],DADOS!$N$4,tabela_registros[TIPO],DADOS!$P$3,tabela_registros[CATEGORIA],despesafixaconsolidado[[#This Row],[DESPESA FIXA]])</f>
        <v>0</v>
      </c>
      <c r="K37" s="173">
        <f>SUMIFS(tabela_registros[VALOR],tabela_registros[MÊS],$AE$1,tabela_registros[DIA],jantotal[[#Headers],[7]],tabela_registros[REGISTRO],DADOS!$N$4,tabela_registros[TIPO],DADOS!$P$3,tabela_registros[CATEGORIA],despesafixaconsolidado[[#This Row],[DESPESA FIXA]])</f>
        <v>89</v>
      </c>
      <c r="L37" s="173">
        <f>SUMIFS(tabela_registros[VALOR],tabela_registros[MÊS],$AE$1,tabela_registros[DIA],jantotal[[#Headers],[8]],tabela_registros[REGISTRO],DADOS!$N$4,tabela_registros[TIPO],DADOS!$P$3,tabela_registros[CATEGORIA],despesafixaconsolidado[[#This Row],[DESPESA FIXA]])</f>
        <v>0</v>
      </c>
      <c r="M37" s="173">
        <f>SUMIFS(tabela_registros[VALOR],tabela_registros[MÊS],$AE$1,tabela_registros[DIA],jantotal[[#Headers],[9]],tabela_registros[REGISTRO],DADOS!$N$4,tabela_registros[TIPO],DADOS!$P$3,tabela_registros[CATEGORIA],despesafixaconsolidado[[#This Row],[DESPESA FIXA]])</f>
        <v>0</v>
      </c>
      <c r="N37" s="173">
        <f>SUMIFS(tabela_registros[VALOR],tabela_registros[MÊS],$AE$1,tabela_registros[DIA],jantotal[[#Headers],[10]],tabela_registros[REGISTRO],DADOS!$N$4,tabela_registros[TIPO],DADOS!$P$3,tabela_registros[CATEGORIA],despesafixaconsolidado[[#This Row],[DESPESA FIXA]])</f>
        <v>0</v>
      </c>
      <c r="O37" s="173">
        <f>SUMIFS(tabela_registros[VALOR],tabela_registros[MÊS],$AE$1,tabela_registros[DIA],jantotal[[#Headers],[11]],tabela_registros[REGISTRO],DADOS!$N$4,tabela_registros[TIPO],DADOS!$P$3,tabela_registros[CATEGORIA],despesafixaconsolidado[[#This Row],[DESPESA FIXA]])</f>
        <v>0</v>
      </c>
      <c r="P37" s="173">
        <f>SUMIFS(tabela_registros[VALOR],tabela_registros[MÊS],$AE$1,tabela_registros[DIA],jantotal[[#Headers],[12]],tabela_registros[REGISTRO],DADOS!$N$4,tabela_registros[TIPO],DADOS!$P$3,tabela_registros[CATEGORIA],despesafixaconsolidado[[#This Row],[DESPESA FIXA]])</f>
        <v>0</v>
      </c>
      <c r="Q37" s="173">
        <f>SUMIFS(tabela_registros[VALOR],tabela_registros[MÊS],$AE$1,tabela_registros[DIA],jantotal[[#Headers],[13]],tabela_registros[REGISTRO],DADOS!$N$4,tabela_registros[TIPO],DADOS!$P$3,tabela_registros[CATEGORIA],despesafixaconsolidado[[#This Row],[DESPESA FIXA]])</f>
        <v>0</v>
      </c>
      <c r="R37" s="173">
        <f>SUMIFS(tabela_registros[VALOR],tabela_registros[MÊS],$AE$1,tabela_registros[DIA],jantotal[[#Headers],[14]],tabela_registros[REGISTRO],DADOS!$N$4,tabela_registros[TIPO],DADOS!$P$3,tabela_registros[CATEGORIA],despesafixaconsolidado[[#This Row],[DESPESA FIXA]])</f>
        <v>0</v>
      </c>
      <c r="S37" s="173">
        <f>SUMIFS(tabela_registros[VALOR],tabela_registros[MÊS],$AE$1,tabela_registros[DIA],jantotal[[#Headers],[15]],tabela_registros[REGISTRO],DADOS!$N$4,tabela_registros[TIPO],DADOS!$P$3,tabela_registros[CATEGORIA],despesafixaconsolidado[[#This Row],[DESPESA FIXA]])</f>
        <v>0</v>
      </c>
      <c r="T37" s="173">
        <f>SUMIFS(tabela_registros[VALOR],tabela_registros[MÊS],$AE$1,tabela_registros[DIA],jantotal[[#Headers],[16]],tabela_registros[REGISTRO],DADOS!$N$4,tabela_registros[TIPO],DADOS!$P$3,tabela_registros[CATEGORIA],despesafixaconsolidado[[#This Row],[DESPESA FIXA]])</f>
        <v>0</v>
      </c>
      <c r="U37" s="173">
        <f>SUMIFS(tabela_registros[VALOR],tabela_registros[MÊS],$AE$1,tabela_registros[DIA],jantotal[[#Headers],[17]],tabela_registros[REGISTRO],DADOS!$N$4,tabela_registros[TIPO],DADOS!$P$3,tabela_registros[CATEGORIA],despesafixaconsolidado[[#This Row],[DESPESA FIXA]])</f>
        <v>0</v>
      </c>
      <c r="V37" s="173">
        <f>SUMIFS(tabela_registros[VALOR],tabela_registros[MÊS],$AE$1,tabela_registros[DIA],jantotal[[#Headers],[18]],tabela_registros[REGISTRO],DADOS!$N$4,tabela_registros[TIPO],DADOS!$P$3,tabela_registros[CATEGORIA],despesafixaconsolidado[[#This Row],[DESPESA FIXA]])</f>
        <v>0</v>
      </c>
      <c r="W37" s="173">
        <f>SUMIFS(tabela_registros[VALOR],tabela_registros[MÊS],$AE$1,tabela_registros[DIA],jantotal[[#Headers],[19]],tabela_registros[REGISTRO],DADOS!$N$4,tabela_registros[TIPO],DADOS!$P$3,tabela_registros[CATEGORIA],despesafixaconsolidado[[#This Row],[DESPESA FIXA]])</f>
        <v>0</v>
      </c>
      <c r="X37" s="173">
        <f>SUMIFS(tabela_registros[VALOR],tabela_registros[MÊS],$AE$1,tabela_registros[DIA],jantotal[[#Headers],[20]],tabela_registros[REGISTRO],DADOS!$N$4,tabela_registros[TIPO],DADOS!$P$3,tabela_registros[CATEGORIA],despesafixaconsolidado[[#This Row],[DESPESA FIXA]])</f>
        <v>0</v>
      </c>
      <c r="Y37" s="173">
        <f>SUMIFS(tabela_registros[VALOR],tabela_registros[MÊS],$AE$1,tabela_registros[DIA],jantotal[[#Headers],[21]],tabela_registros[REGISTRO],DADOS!$N$4,tabela_registros[TIPO],DADOS!$P$3,tabela_registros[CATEGORIA],despesafixaconsolidado[[#This Row],[DESPESA FIXA]])</f>
        <v>0</v>
      </c>
      <c r="Z37" s="173">
        <f>SUMIFS(tabela_registros[VALOR],tabela_registros[MÊS],$AE$1,tabela_registros[DIA],jantotal[[#Headers],[22]],tabela_registros[REGISTRO],DADOS!$N$4,tabela_registros[TIPO],DADOS!$P$3,tabela_registros[CATEGORIA],despesafixaconsolidado[[#This Row],[DESPESA FIXA]])</f>
        <v>0</v>
      </c>
      <c r="AA37" s="173">
        <f>SUMIFS(tabela_registros[VALOR],tabela_registros[MÊS],$AE$1,tabela_registros[DIA],jantotal[[#Headers],[23]],tabela_registros[REGISTRO],DADOS!$N$4,tabela_registros[TIPO],DADOS!$P$3,tabela_registros[CATEGORIA],despesafixaconsolidado[[#This Row],[DESPESA FIXA]])</f>
        <v>0</v>
      </c>
      <c r="AB37" s="173">
        <f>SUMIFS(tabela_registros[VALOR],tabela_registros[MÊS],$AE$1,tabela_registros[DIA],jantotal[[#Headers],[24]],tabela_registros[REGISTRO],DADOS!$N$4,tabela_registros[TIPO],DADOS!$P$3,tabela_registros[CATEGORIA],despesafixaconsolidado[[#This Row],[DESPESA FIXA]])</f>
        <v>0</v>
      </c>
      <c r="AC37" s="173">
        <f>SUMIFS(tabela_registros[VALOR],tabela_registros[MÊS],$AE$1,tabela_registros[DIA],jantotal[[#Headers],[25]],tabela_registros[REGISTRO],DADOS!$N$4,tabela_registros[TIPO],DADOS!$P$3,tabela_registros[CATEGORIA],despesafixaconsolidado[[#This Row],[DESPESA FIXA]])</f>
        <v>0</v>
      </c>
      <c r="AD37" s="173">
        <f>SUMIFS(tabela_registros[VALOR],tabela_registros[MÊS],$AE$1,tabela_registros[DIA],jantotal[[#Headers],[26]],tabela_registros[REGISTRO],DADOS!$N$4,tabela_registros[TIPO],DADOS!$P$3,tabela_registros[CATEGORIA],despesafixaconsolidado[[#This Row],[DESPESA FIXA]])</f>
        <v>0</v>
      </c>
      <c r="AE37" s="173">
        <f>SUMIFS(tabela_registros[VALOR],tabela_registros[MÊS],$AE$1,tabela_registros[DIA],jantotal[[#Headers],[27]],tabela_registros[REGISTRO],DADOS!$N$4,tabela_registros[TIPO],DADOS!$P$3,tabela_registros[CATEGORIA],despesafixaconsolidado[[#This Row],[DESPESA FIXA]])</f>
        <v>0</v>
      </c>
      <c r="AF37" s="173">
        <f>SUMIFS(tabela_registros[VALOR],tabela_registros[MÊS],$AE$1,tabela_registros[DIA],jantotal[[#Headers],[28]],tabela_registros[REGISTRO],DADOS!$N$4,tabela_registros[TIPO],DADOS!$P$3,tabela_registros[CATEGORIA],despesafixaconsolidado[[#This Row],[DESPESA FIXA]])</f>
        <v>0</v>
      </c>
      <c r="AG37" s="173">
        <f>SUMIFS(tabela_registros[VALOR],tabela_registros[MÊS],$AE$1,tabela_registros[DIA],jantotal[[#Headers],[29]],tabela_registros[REGISTRO],DADOS!$N$4,tabela_registros[TIPO],DADOS!$P$3,tabela_registros[CATEGORIA],despesafixaconsolidado[[#This Row],[DESPESA FIXA]])</f>
        <v>0</v>
      </c>
      <c r="AH37" s="173">
        <f>SUMIFS(tabela_registros[VALOR],tabela_registros[MÊS],$AE$1,tabela_registros[DIA],jantotal[[#Headers],[30]],tabela_registros[REGISTRO],DADOS!$N$4,tabela_registros[TIPO],DADOS!$P$3,tabela_registros[CATEGORIA],despesafixaconsolidado[[#This Row],[DESPESA FIXA]])</f>
        <v>0</v>
      </c>
      <c r="AI37" s="187">
        <f>SUMIFS(tabela_registros[VALOR],tabela_registros[MÊS],$AE$1,tabela_registros[DIA],jantotal[[#Headers],[31]],tabela_registros[REGISTRO],DADOS!$N$4,tabela_registros[TIPO],DADOS!$P$3,tabela_registros[CATEGORIA],despesafixaconsolidado[[#This Row],[DESPESA FIXA]])</f>
        <v>0</v>
      </c>
      <c r="AJ37" s="188">
        <f>SUM(despesafixaconsolidado[[#This Row],[1]:[31]])</f>
        <v>89</v>
      </c>
      <c r="AK37" s="28"/>
    </row>
    <row r="38" spans="2:37" ht="18" customHeight="1" thickTop="1" thickBot="1" x14ac:dyDescent="0.3">
      <c r="B38" s="28"/>
      <c r="C38" s="27" t="str">
        <f>DADOS!$R$4</f>
        <v>🐶 ANIMAIS DE ESTIMAÇÃO</v>
      </c>
      <c r="D38" s="26" t="str">
        <f>IF(despesafixaconsolidado[[#This Row],[TOTAL]]=0,"",IF(OR(despesafixaconsolidado[[#This Row],[TOTAL]]=LARGE($AJ$37:$AJ$50,1),despesafixaconsolidado[[#This Row],[TOTAL]]=LARGE($AJ$37:$AJ$50,2),despesafixaconsolidado[[#This Row],[TOTAL]]=LARGE($AJ$37:$AJ$50,3),despesafixaconsolidado[[#This Row],[TOTAL]]=LARGE($AJ$37:$AJ$50,4),despesafixaconsolidado[[#This Row],[TOTAL]]=LARGE($AJ$37:$AJ$50,5)),DADOS!$I$8,""))</f>
        <v/>
      </c>
      <c r="E38" s="189">
        <f>SUMIFS(tabela_registros[VALOR],tabela_registros[MÊS],$AE$1,tabela_registros[DIA],jantotal[[#Headers],[1]],tabela_registros[REGISTRO],DADOS!$N$4,tabela_registros[TIPO],DADOS!$P$3,tabela_registros[CATEGORIA],despesafixaconsolidado[[#This Row],[DESPESA FIXA]])</f>
        <v>0</v>
      </c>
      <c r="F38" s="176">
        <f>SUMIFS(tabela_registros[VALOR],tabela_registros[MÊS],$AE$1,tabela_registros[DIA],jantotal[[#Headers],[2]],tabela_registros[REGISTRO],DADOS!$N$4,tabela_registros[TIPO],DADOS!$P$3,tabela_registros[CATEGORIA],despesafixaconsolidado[[#This Row],[DESPESA FIXA]])</f>
        <v>0</v>
      </c>
      <c r="G38" s="176">
        <f>SUMIFS(tabela_registros[VALOR],tabela_registros[MÊS],$AE$1,tabela_registros[DIA],jantotal[[#Headers],[3]],tabela_registros[REGISTRO],DADOS!$N$4,tabela_registros[TIPO],DADOS!$P$3,tabela_registros[CATEGORIA],despesafixaconsolidado[[#This Row],[DESPESA FIXA]])</f>
        <v>0</v>
      </c>
      <c r="H38" s="176">
        <f>SUMIFS(tabela_registros[VALOR],tabela_registros[MÊS],$AE$1,tabela_registros[DIA],jantotal[[#Headers],[4]],tabela_registros[REGISTRO],DADOS!$N$4,tabela_registros[TIPO],DADOS!$P$3,tabela_registros[CATEGORIA],despesafixaconsolidado[[#This Row],[DESPESA FIXA]])</f>
        <v>0</v>
      </c>
      <c r="I38" s="176">
        <f>SUMIFS(tabela_registros[VALOR],tabela_registros[MÊS],$AE$1,tabela_registros[DIA],jantotal[[#Headers],[5]],tabela_registros[REGISTRO],DADOS!$N$4,tabela_registros[TIPO],DADOS!$P$3,tabela_registros[CATEGORIA],despesafixaconsolidado[[#This Row],[DESPESA FIXA]])</f>
        <v>0</v>
      </c>
      <c r="J38" s="176">
        <f>SUMIFS(tabela_registros[VALOR],tabela_registros[MÊS],$AE$1,tabela_registros[DIA],jantotal[[#Headers],[6]],tabela_registros[REGISTRO],DADOS!$N$4,tabela_registros[TIPO],DADOS!$P$3,tabela_registros[CATEGORIA],despesafixaconsolidado[[#This Row],[DESPESA FIXA]])</f>
        <v>0</v>
      </c>
      <c r="K38" s="176">
        <f>SUMIFS(tabela_registros[VALOR],tabela_registros[MÊS],$AE$1,tabela_registros[DIA],jantotal[[#Headers],[7]],tabela_registros[REGISTRO],DADOS!$N$4,tabela_registros[TIPO],DADOS!$P$3,tabela_registros[CATEGORIA],despesafixaconsolidado[[#This Row],[DESPESA FIXA]])</f>
        <v>0</v>
      </c>
      <c r="L38" s="176">
        <f>SUMIFS(tabela_registros[VALOR],tabela_registros[MÊS],$AE$1,tabela_registros[DIA],jantotal[[#Headers],[8]],tabela_registros[REGISTRO],DADOS!$N$4,tabela_registros[TIPO],DADOS!$P$3,tabela_registros[CATEGORIA],despesafixaconsolidado[[#This Row],[DESPESA FIXA]])</f>
        <v>0</v>
      </c>
      <c r="M38" s="176">
        <f>SUMIFS(tabela_registros[VALOR],tabela_registros[MÊS],$AE$1,tabela_registros[DIA],jantotal[[#Headers],[9]],tabela_registros[REGISTRO],DADOS!$N$4,tabela_registros[TIPO],DADOS!$P$3,tabela_registros[CATEGORIA],despesafixaconsolidado[[#This Row],[DESPESA FIXA]])</f>
        <v>0</v>
      </c>
      <c r="N38" s="176">
        <f>SUMIFS(tabela_registros[VALOR],tabela_registros[MÊS],$AE$1,tabela_registros[DIA],jantotal[[#Headers],[10]],tabela_registros[REGISTRO],DADOS!$N$4,tabela_registros[TIPO],DADOS!$P$3,tabela_registros[CATEGORIA],despesafixaconsolidado[[#This Row],[DESPESA FIXA]])</f>
        <v>0</v>
      </c>
      <c r="O38" s="176">
        <f>SUMIFS(tabela_registros[VALOR],tabela_registros[MÊS],$AE$1,tabela_registros[DIA],jantotal[[#Headers],[11]],tabela_registros[REGISTRO],DADOS!$N$4,tabela_registros[TIPO],DADOS!$P$3,tabela_registros[CATEGORIA],despesafixaconsolidado[[#This Row],[DESPESA FIXA]])</f>
        <v>0</v>
      </c>
      <c r="P38" s="176">
        <f>SUMIFS(tabela_registros[VALOR],tabela_registros[MÊS],$AE$1,tabela_registros[DIA],jantotal[[#Headers],[12]],tabela_registros[REGISTRO],DADOS!$N$4,tabela_registros[TIPO],DADOS!$P$3,tabela_registros[CATEGORIA],despesafixaconsolidado[[#This Row],[DESPESA FIXA]])</f>
        <v>0</v>
      </c>
      <c r="Q38" s="176">
        <f>SUMIFS(tabela_registros[VALOR],tabela_registros[MÊS],$AE$1,tabela_registros[DIA],jantotal[[#Headers],[13]],tabela_registros[REGISTRO],DADOS!$N$4,tabela_registros[TIPO],DADOS!$P$3,tabela_registros[CATEGORIA],despesafixaconsolidado[[#This Row],[DESPESA FIXA]])</f>
        <v>0</v>
      </c>
      <c r="R38" s="176">
        <f>SUMIFS(tabela_registros[VALOR],tabela_registros[MÊS],$AE$1,tabela_registros[DIA],jantotal[[#Headers],[14]],tabela_registros[REGISTRO],DADOS!$N$4,tabela_registros[TIPO],DADOS!$P$3,tabela_registros[CATEGORIA],despesafixaconsolidado[[#This Row],[DESPESA FIXA]])</f>
        <v>0</v>
      </c>
      <c r="S38" s="176">
        <f>SUMIFS(tabela_registros[VALOR],tabela_registros[MÊS],$AE$1,tabela_registros[DIA],jantotal[[#Headers],[15]],tabela_registros[REGISTRO],DADOS!$N$4,tabela_registros[TIPO],DADOS!$P$3,tabela_registros[CATEGORIA],despesafixaconsolidado[[#This Row],[DESPESA FIXA]])</f>
        <v>0</v>
      </c>
      <c r="T38" s="176">
        <f>SUMIFS(tabela_registros[VALOR],tabela_registros[MÊS],$AE$1,tabela_registros[DIA],jantotal[[#Headers],[16]],tabela_registros[REGISTRO],DADOS!$N$4,tabela_registros[TIPO],DADOS!$P$3,tabela_registros[CATEGORIA],despesafixaconsolidado[[#This Row],[DESPESA FIXA]])</f>
        <v>0</v>
      </c>
      <c r="U38" s="176">
        <f>SUMIFS(tabela_registros[VALOR],tabela_registros[MÊS],$AE$1,tabela_registros[DIA],jantotal[[#Headers],[17]],tabela_registros[REGISTRO],DADOS!$N$4,tabela_registros[TIPO],DADOS!$P$3,tabela_registros[CATEGORIA],despesafixaconsolidado[[#This Row],[DESPESA FIXA]])</f>
        <v>0</v>
      </c>
      <c r="V38" s="176">
        <f>SUMIFS(tabela_registros[VALOR],tabela_registros[MÊS],$AE$1,tabela_registros[DIA],jantotal[[#Headers],[18]],tabela_registros[REGISTRO],DADOS!$N$4,tabela_registros[TIPO],DADOS!$P$3,tabela_registros[CATEGORIA],despesafixaconsolidado[[#This Row],[DESPESA FIXA]])</f>
        <v>0</v>
      </c>
      <c r="W38" s="176">
        <f>SUMIFS(tabela_registros[VALOR],tabela_registros[MÊS],$AE$1,tabela_registros[DIA],jantotal[[#Headers],[19]],tabela_registros[REGISTRO],DADOS!$N$4,tabela_registros[TIPO],DADOS!$P$3,tabela_registros[CATEGORIA],despesafixaconsolidado[[#This Row],[DESPESA FIXA]])</f>
        <v>0</v>
      </c>
      <c r="X38" s="176">
        <f>SUMIFS(tabela_registros[VALOR],tabela_registros[MÊS],$AE$1,tabela_registros[DIA],jantotal[[#Headers],[20]],tabela_registros[REGISTRO],DADOS!$N$4,tabela_registros[TIPO],DADOS!$P$3,tabela_registros[CATEGORIA],despesafixaconsolidado[[#This Row],[DESPESA FIXA]])</f>
        <v>0</v>
      </c>
      <c r="Y38" s="176">
        <f>SUMIFS(tabela_registros[VALOR],tabela_registros[MÊS],$AE$1,tabela_registros[DIA],jantotal[[#Headers],[21]],tabela_registros[REGISTRO],DADOS!$N$4,tabela_registros[TIPO],DADOS!$P$3,tabela_registros[CATEGORIA],despesafixaconsolidado[[#This Row],[DESPESA FIXA]])</f>
        <v>0</v>
      </c>
      <c r="Z38" s="176">
        <f>SUMIFS(tabela_registros[VALOR],tabela_registros[MÊS],$AE$1,tabela_registros[DIA],jantotal[[#Headers],[22]],tabela_registros[REGISTRO],DADOS!$N$4,tabela_registros[TIPO],DADOS!$P$3,tabela_registros[CATEGORIA],despesafixaconsolidado[[#This Row],[DESPESA FIXA]])</f>
        <v>0</v>
      </c>
      <c r="AA38" s="176">
        <f>SUMIFS(tabela_registros[VALOR],tabela_registros[MÊS],$AE$1,tabela_registros[DIA],jantotal[[#Headers],[23]],tabela_registros[REGISTRO],DADOS!$N$4,tabela_registros[TIPO],DADOS!$P$3,tabela_registros[CATEGORIA],despesafixaconsolidado[[#This Row],[DESPESA FIXA]])</f>
        <v>0</v>
      </c>
      <c r="AB38" s="176">
        <f>SUMIFS(tabela_registros[VALOR],tabela_registros[MÊS],$AE$1,tabela_registros[DIA],jantotal[[#Headers],[24]],tabela_registros[REGISTRO],DADOS!$N$4,tabela_registros[TIPO],DADOS!$P$3,tabela_registros[CATEGORIA],despesafixaconsolidado[[#This Row],[DESPESA FIXA]])</f>
        <v>0</v>
      </c>
      <c r="AC38" s="176">
        <f>SUMIFS(tabela_registros[VALOR],tabela_registros[MÊS],$AE$1,tabela_registros[DIA],jantotal[[#Headers],[25]],tabela_registros[REGISTRO],DADOS!$N$4,tabela_registros[TIPO],DADOS!$P$3,tabela_registros[CATEGORIA],despesafixaconsolidado[[#This Row],[DESPESA FIXA]])</f>
        <v>0</v>
      </c>
      <c r="AD38" s="176">
        <f>SUMIFS(tabela_registros[VALOR],tabela_registros[MÊS],$AE$1,tabela_registros[DIA],jantotal[[#Headers],[26]],tabela_registros[REGISTRO],DADOS!$N$4,tabela_registros[TIPO],DADOS!$P$3,tabela_registros[CATEGORIA],despesafixaconsolidado[[#This Row],[DESPESA FIXA]])</f>
        <v>0</v>
      </c>
      <c r="AE38" s="176">
        <f>SUMIFS(tabela_registros[VALOR],tabela_registros[MÊS],$AE$1,tabela_registros[DIA],jantotal[[#Headers],[27]],tabela_registros[REGISTRO],DADOS!$N$4,tabela_registros[TIPO],DADOS!$P$3,tabela_registros[CATEGORIA],despesafixaconsolidado[[#This Row],[DESPESA FIXA]])</f>
        <v>0</v>
      </c>
      <c r="AF38" s="176">
        <f>SUMIFS(tabela_registros[VALOR],tabela_registros[MÊS],$AE$1,tabela_registros[DIA],jantotal[[#Headers],[28]],tabela_registros[REGISTRO],DADOS!$N$4,tabela_registros[TIPO],DADOS!$P$3,tabela_registros[CATEGORIA],despesafixaconsolidado[[#This Row],[DESPESA FIXA]])</f>
        <v>0</v>
      </c>
      <c r="AG38" s="176">
        <f>SUMIFS(tabela_registros[VALOR],tabela_registros[MÊS],$AE$1,tabela_registros[DIA],jantotal[[#Headers],[29]],tabela_registros[REGISTRO],DADOS!$N$4,tabela_registros[TIPO],DADOS!$P$3,tabela_registros[CATEGORIA],despesafixaconsolidado[[#This Row],[DESPESA FIXA]])</f>
        <v>0</v>
      </c>
      <c r="AH38" s="176">
        <f>SUMIFS(tabela_registros[VALOR],tabela_registros[MÊS],$AE$1,tabela_registros[DIA],jantotal[[#Headers],[30]],tabela_registros[REGISTRO],DADOS!$N$4,tabela_registros[TIPO],DADOS!$P$3,tabela_registros[CATEGORIA],despesafixaconsolidado[[#This Row],[DESPESA FIXA]])</f>
        <v>0</v>
      </c>
      <c r="AI38" s="190">
        <f>SUMIFS(tabela_registros[VALOR],tabela_registros[MÊS],$AE$1,tabela_registros[DIA],jantotal[[#Headers],[31]],tabela_registros[REGISTRO],DADOS!$N$4,tabela_registros[TIPO],DADOS!$P$3,tabela_registros[CATEGORIA],despesafixaconsolidado[[#This Row],[DESPESA FIXA]])</f>
        <v>0</v>
      </c>
      <c r="AJ38" s="167">
        <f>SUM(despesafixaconsolidado[[#This Row],[1]:[31]])</f>
        <v>0</v>
      </c>
      <c r="AK38" s="28"/>
    </row>
    <row r="39" spans="2:37" ht="18" customHeight="1" thickTop="1" thickBot="1" x14ac:dyDescent="0.3">
      <c r="B39" s="28"/>
      <c r="C39" s="27" t="str">
        <f>DADOS!$R$5</f>
        <v>🔖 ASSINATURAS E SERVIÇOS</v>
      </c>
      <c r="D39" s="26" t="str">
        <f>IF(despesafixaconsolidado[[#This Row],[TOTAL]]=0,"",IF(OR(despesafixaconsolidado[[#This Row],[TOTAL]]=LARGE($AJ$37:$AJ$50,1),despesafixaconsolidado[[#This Row],[TOTAL]]=LARGE($AJ$37:$AJ$50,2),despesafixaconsolidado[[#This Row],[TOTAL]]=LARGE($AJ$37:$AJ$50,3),despesafixaconsolidado[[#This Row],[TOTAL]]=LARGE($AJ$37:$AJ$50,4),despesafixaconsolidado[[#This Row],[TOTAL]]=LARGE($AJ$37:$AJ$50,5)),DADOS!$I$8,""))</f>
        <v>💣</v>
      </c>
      <c r="E39" s="189">
        <f>SUMIFS(tabela_registros[VALOR],tabela_registros[MÊS],$AE$1,tabela_registros[DIA],jantotal[[#Headers],[1]],tabela_registros[REGISTRO],DADOS!$N$4,tabela_registros[TIPO],DADOS!$P$3,tabela_registros[CATEGORIA],despesafixaconsolidado[[#This Row],[DESPESA FIXA]])</f>
        <v>0</v>
      </c>
      <c r="F39" s="176">
        <f>SUMIFS(tabela_registros[VALOR],tabela_registros[MÊS],$AE$1,tabela_registros[DIA],jantotal[[#Headers],[2]],tabela_registros[REGISTRO],DADOS!$N$4,tabela_registros[TIPO],DADOS!$P$3,tabela_registros[CATEGORIA],despesafixaconsolidado[[#This Row],[DESPESA FIXA]])</f>
        <v>0</v>
      </c>
      <c r="G39" s="176">
        <f>SUMIFS(tabela_registros[VALOR],tabela_registros[MÊS],$AE$1,tabela_registros[DIA],jantotal[[#Headers],[3]],tabela_registros[REGISTRO],DADOS!$N$4,tabela_registros[TIPO],DADOS!$P$3,tabela_registros[CATEGORIA],despesafixaconsolidado[[#This Row],[DESPESA FIXA]])</f>
        <v>0</v>
      </c>
      <c r="H39" s="176">
        <f>SUMIFS(tabela_registros[VALOR],tabela_registros[MÊS],$AE$1,tabela_registros[DIA],jantotal[[#Headers],[4]],tabela_registros[REGISTRO],DADOS!$N$4,tabela_registros[TIPO],DADOS!$P$3,tabela_registros[CATEGORIA],despesafixaconsolidado[[#This Row],[DESPESA FIXA]])</f>
        <v>0</v>
      </c>
      <c r="I39" s="176">
        <f>SUMIFS(tabela_registros[VALOR],tabela_registros[MÊS],$AE$1,tabela_registros[DIA],jantotal[[#Headers],[5]],tabela_registros[REGISTRO],DADOS!$N$4,tabela_registros[TIPO],DADOS!$P$3,tabela_registros[CATEGORIA],despesafixaconsolidado[[#This Row],[DESPESA FIXA]])</f>
        <v>0</v>
      </c>
      <c r="J39" s="176">
        <f>SUMIFS(tabela_registros[VALOR],tabela_registros[MÊS],$AE$1,tabela_registros[DIA],jantotal[[#Headers],[6]],tabela_registros[REGISTRO],DADOS!$N$4,tabela_registros[TIPO],DADOS!$P$3,tabela_registros[CATEGORIA],despesafixaconsolidado[[#This Row],[DESPESA FIXA]])</f>
        <v>0</v>
      </c>
      <c r="K39" s="176">
        <f>SUMIFS(tabela_registros[VALOR],tabela_registros[MÊS],$AE$1,tabela_registros[DIA],jantotal[[#Headers],[7]],tabela_registros[REGISTRO],DADOS!$N$4,tabela_registros[TIPO],DADOS!$P$3,tabela_registros[CATEGORIA],despesafixaconsolidado[[#This Row],[DESPESA FIXA]])</f>
        <v>0</v>
      </c>
      <c r="L39" s="176">
        <f>SUMIFS(tabela_registros[VALOR],tabela_registros[MÊS],$AE$1,tabela_registros[DIA],jantotal[[#Headers],[8]],tabela_registros[REGISTRO],DADOS!$N$4,tabela_registros[TIPO],DADOS!$P$3,tabela_registros[CATEGORIA],despesafixaconsolidado[[#This Row],[DESPESA FIXA]])</f>
        <v>0</v>
      </c>
      <c r="M39" s="176">
        <f>SUMIFS(tabela_registros[VALOR],tabela_registros[MÊS],$AE$1,tabela_registros[DIA],jantotal[[#Headers],[9]],tabela_registros[REGISTRO],DADOS!$N$4,tabela_registros[TIPO],DADOS!$P$3,tabela_registros[CATEGORIA],despesafixaconsolidado[[#This Row],[DESPESA FIXA]])</f>
        <v>0</v>
      </c>
      <c r="N39" s="176">
        <f>SUMIFS(tabela_registros[VALOR],tabela_registros[MÊS],$AE$1,tabela_registros[DIA],jantotal[[#Headers],[10]],tabela_registros[REGISTRO],DADOS!$N$4,tabela_registros[TIPO],DADOS!$P$3,tabela_registros[CATEGORIA],despesafixaconsolidado[[#This Row],[DESPESA FIXA]])</f>
        <v>0</v>
      </c>
      <c r="O39" s="176">
        <f>SUMIFS(tabela_registros[VALOR],tabela_registros[MÊS],$AE$1,tabela_registros[DIA],jantotal[[#Headers],[11]],tabela_registros[REGISTRO],DADOS!$N$4,tabela_registros[TIPO],DADOS!$P$3,tabela_registros[CATEGORIA],despesafixaconsolidado[[#This Row],[DESPESA FIXA]])</f>
        <v>0</v>
      </c>
      <c r="P39" s="176">
        <f>SUMIFS(tabela_registros[VALOR],tabela_registros[MÊS],$AE$1,tabela_registros[DIA],jantotal[[#Headers],[12]],tabela_registros[REGISTRO],DADOS!$N$4,tabela_registros[TIPO],DADOS!$P$3,tabela_registros[CATEGORIA],despesafixaconsolidado[[#This Row],[DESPESA FIXA]])</f>
        <v>0</v>
      </c>
      <c r="Q39" s="176">
        <f>SUMIFS(tabela_registros[VALOR],tabela_registros[MÊS],$AE$1,tabela_registros[DIA],jantotal[[#Headers],[13]],tabela_registros[REGISTRO],DADOS!$N$4,tabela_registros[TIPO],DADOS!$P$3,tabela_registros[CATEGORIA],despesafixaconsolidado[[#This Row],[DESPESA FIXA]])</f>
        <v>0</v>
      </c>
      <c r="R39" s="176">
        <f>SUMIFS(tabela_registros[VALOR],tabela_registros[MÊS],$AE$1,tabela_registros[DIA],jantotal[[#Headers],[14]],tabela_registros[REGISTRO],DADOS!$N$4,tabela_registros[TIPO],DADOS!$P$3,tabela_registros[CATEGORIA],despesafixaconsolidado[[#This Row],[DESPESA FIXA]])</f>
        <v>100.428571428571</v>
      </c>
      <c r="S39" s="176">
        <f>SUMIFS(tabela_registros[VALOR],tabela_registros[MÊS],$AE$1,tabela_registros[DIA],jantotal[[#Headers],[15]],tabela_registros[REGISTRO],DADOS!$N$4,tabela_registros[TIPO],DADOS!$P$3,tabela_registros[CATEGORIA],despesafixaconsolidado[[#This Row],[DESPESA FIXA]])</f>
        <v>0</v>
      </c>
      <c r="T39" s="176">
        <f>SUMIFS(tabela_registros[VALOR],tabela_registros[MÊS],$AE$1,tabela_registros[DIA],jantotal[[#Headers],[16]],tabela_registros[REGISTRO],DADOS!$N$4,tabela_registros[TIPO],DADOS!$P$3,tabela_registros[CATEGORIA],despesafixaconsolidado[[#This Row],[DESPESA FIXA]])</f>
        <v>0</v>
      </c>
      <c r="U39" s="176">
        <f>SUMIFS(tabela_registros[VALOR],tabela_registros[MÊS],$AE$1,tabela_registros[DIA],jantotal[[#Headers],[17]],tabela_registros[REGISTRO],DADOS!$N$4,tabela_registros[TIPO],DADOS!$P$3,tabela_registros[CATEGORIA],despesafixaconsolidado[[#This Row],[DESPESA FIXA]])</f>
        <v>0</v>
      </c>
      <c r="V39" s="176">
        <f>SUMIFS(tabela_registros[VALOR],tabela_registros[MÊS],$AE$1,tabela_registros[DIA],jantotal[[#Headers],[18]],tabela_registros[REGISTRO],DADOS!$N$4,tabela_registros[TIPO],DADOS!$P$3,tabela_registros[CATEGORIA],despesafixaconsolidado[[#This Row],[DESPESA FIXA]])</f>
        <v>0</v>
      </c>
      <c r="W39" s="176">
        <f>SUMIFS(tabela_registros[VALOR],tabela_registros[MÊS],$AE$1,tabela_registros[DIA],jantotal[[#Headers],[19]],tabela_registros[REGISTRO],DADOS!$N$4,tabela_registros[TIPO],DADOS!$P$3,tabela_registros[CATEGORIA],despesafixaconsolidado[[#This Row],[DESPESA FIXA]])</f>
        <v>0</v>
      </c>
      <c r="X39" s="176">
        <f>SUMIFS(tabela_registros[VALOR],tabela_registros[MÊS],$AE$1,tabela_registros[DIA],jantotal[[#Headers],[20]],tabela_registros[REGISTRO],DADOS!$N$4,tabela_registros[TIPO],DADOS!$P$3,tabela_registros[CATEGORIA],despesafixaconsolidado[[#This Row],[DESPESA FIXA]])</f>
        <v>0</v>
      </c>
      <c r="Y39" s="176">
        <f>SUMIFS(tabela_registros[VALOR],tabela_registros[MÊS],$AE$1,tabela_registros[DIA],jantotal[[#Headers],[21]],tabela_registros[REGISTRO],DADOS!$N$4,tabela_registros[TIPO],DADOS!$P$3,tabela_registros[CATEGORIA],despesafixaconsolidado[[#This Row],[DESPESA FIXA]])</f>
        <v>0</v>
      </c>
      <c r="Z39" s="176">
        <f>SUMIFS(tabela_registros[VALOR],tabela_registros[MÊS],$AE$1,tabela_registros[DIA],jantotal[[#Headers],[22]],tabela_registros[REGISTRO],DADOS!$N$4,tabela_registros[TIPO],DADOS!$P$3,tabela_registros[CATEGORIA],despesafixaconsolidado[[#This Row],[DESPESA FIXA]])</f>
        <v>0</v>
      </c>
      <c r="AA39" s="176">
        <f>SUMIFS(tabela_registros[VALOR],tabela_registros[MÊS],$AE$1,tabela_registros[DIA],jantotal[[#Headers],[23]],tabela_registros[REGISTRO],DADOS!$N$4,tabela_registros[TIPO],DADOS!$P$3,tabela_registros[CATEGORIA],despesafixaconsolidado[[#This Row],[DESPESA FIXA]])</f>
        <v>0</v>
      </c>
      <c r="AB39" s="176">
        <f>SUMIFS(tabela_registros[VALOR],tabela_registros[MÊS],$AE$1,tabela_registros[DIA],jantotal[[#Headers],[24]],tabela_registros[REGISTRO],DADOS!$N$4,tabela_registros[TIPO],DADOS!$P$3,tabela_registros[CATEGORIA],despesafixaconsolidado[[#This Row],[DESPESA FIXA]])</f>
        <v>0</v>
      </c>
      <c r="AC39" s="176">
        <f>SUMIFS(tabela_registros[VALOR],tabela_registros[MÊS],$AE$1,tabela_registros[DIA],jantotal[[#Headers],[25]],tabela_registros[REGISTRO],DADOS!$N$4,tabela_registros[TIPO],DADOS!$P$3,tabela_registros[CATEGORIA],despesafixaconsolidado[[#This Row],[DESPESA FIXA]])</f>
        <v>0</v>
      </c>
      <c r="AD39" s="176">
        <f>SUMIFS(tabela_registros[VALOR],tabela_registros[MÊS],$AE$1,tabela_registros[DIA],jantotal[[#Headers],[26]],tabela_registros[REGISTRO],DADOS!$N$4,tabela_registros[TIPO],DADOS!$P$3,tabela_registros[CATEGORIA],despesafixaconsolidado[[#This Row],[DESPESA FIXA]])</f>
        <v>0</v>
      </c>
      <c r="AE39" s="176">
        <f>SUMIFS(tabela_registros[VALOR],tabela_registros[MÊS],$AE$1,tabela_registros[DIA],jantotal[[#Headers],[27]],tabela_registros[REGISTRO],DADOS!$N$4,tabela_registros[TIPO],DADOS!$P$3,tabela_registros[CATEGORIA],despesafixaconsolidado[[#This Row],[DESPESA FIXA]])</f>
        <v>0</v>
      </c>
      <c r="AF39" s="176">
        <f>SUMIFS(tabela_registros[VALOR],tabela_registros[MÊS],$AE$1,tabela_registros[DIA],jantotal[[#Headers],[28]],tabela_registros[REGISTRO],DADOS!$N$4,tabela_registros[TIPO],DADOS!$P$3,tabela_registros[CATEGORIA],despesafixaconsolidado[[#This Row],[DESPESA FIXA]])</f>
        <v>0</v>
      </c>
      <c r="AG39" s="176">
        <f>SUMIFS(tabela_registros[VALOR],tabela_registros[MÊS],$AE$1,tabela_registros[DIA],jantotal[[#Headers],[29]],tabela_registros[REGISTRO],DADOS!$N$4,tabela_registros[TIPO],DADOS!$P$3,tabela_registros[CATEGORIA],despesafixaconsolidado[[#This Row],[DESPESA FIXA]])</f>
        <v>0</v>
      </c>
      <c r="AH39" s="176">
        <f>SUMIFS(tabela_registros[VALOR],tabela_registros[MÊS],$AE$1,tabela_registros[DIA],jantotal[[#Headers],[30]],tabela_registros[REGISTRO],DADOS!$N$4,tabela_registros[TIPO],DADOS!$P$3,tabela_registros[CATEGORIA],despesafixaconsolidado[[#This Row],[DESPESA FIXA]])</f>
        <v>0</v>
      </c>
      <c r="AI39" s="190">
        <f>SUMIFS(tabela_registros[VALOR],tabela_registros[MÊS],$AE$1,tabela_registros[DIA],jantotal[[#Headers],[31]],tabela_registros[REGISTRO],DADOS!$N$4,tabela_registros[TIPO],DADOS!$P$3,tabela_registros[CATEGORIA],despesafixaconsolidado[[#This Row],[DESPESA FIXA]])</f>
        <v>0</v>
      </c>
      <c r="AJ39" s="167">
        <f>SUM(despesafixaconsolidado[[#This Row],[1]:[31]])</f>
        <v>100.428571428571</v>
      </c>
      <c r="AK39" s="28"/>
    </row>
    <row r="40" spans="2:37" ht="18" customHeight="1" thickTop="1" thickBot="1" x14ac:dyDescent="0.3">
      <c r="B40" s="28"/>
      <c r="C40" s="27" t="str">
        <f>DADOS!$R$6</f>
        <v>📱 CELULAR</v>
      </c>
      <c r="D40" s="26" t="str">
        <f>IF(despesafixaconsolidado[[#This Row],[TOTAL]]=0,"",IF(OR(despesafixaconsolidado[[#This Row],[TOTAL]]=LARGE($AJ$37:$AJ$50,1),despesafixaconsolidado[[#This Row],[TOTAL]]=LARGE($AJ$37:$AJ$50,2),despesafixaconsolidado[[#This Row],[TOTAL]]=LARGE($AJ$37:$AJ$50,3),despesafixaconsolidado[[#This Row],[TOTAL]]=LARGE($AJ$37:$AJ$50,4),despesafixaconsolidado[[#This Row],[TOTAL]]=LARGE($AJ$37:$AJ$50,5)),DADOS!$I$8,""))</f>
        <v/>
      </c>
      <c r="E40" s="189">
        <f>SUMIFS(tabela_registros[VALOR],tabela_registros[MÊS],$AE$1,tabela_registros[DIA],jantotal[[#Headers],[1]],tabela_registros[REGISTRO],DADOS!$N$4,tabela_registros[TIPO],DADOS!$P$3,tabela_registros[CATEGORIA],despesafixaconsolidado[[#This Row],[DESPESA FIXA]])</f>
        <v>0</v>
      </c>
      <c r="F40" s="176">
        <f>SUMIFS(tabela_registros[VALOR],tabela_registros[MÊS],$AE$1,tabela_registros[DIA],jantotal[[#Headers],[2]],tabela_registros[REGISTRO],DADOS!$N$4,tabela_registros[TIPO],DADOS!$P$3,tabela_registros[CATEGORIA],despesafixaconsolidado[[#This Row],[DESPESA FIXA]])</f>
        <v>0</v>
      </c>
      <c r="G40" s="176">
        <f>SUMIFS(tabela_registros[VALOR],tabela_registros[MÊS],$AE$1,tabela_registros[DIA],jantotal[[#Headers],[3]],tabela_registros[REGISTRO],DADOS!$N$4,tabela_registros[TIPO],DADOS!$P$3,tabela_registros[CATEGORIA],despesafixaconsolidado[[#This Row],[DESPESA FIXA]])</f>
        <v>0</v>
      </c>
      <c r="H40" s="176">
        <f>SUMIFS(tabela_registros[VALOR],tabela_registros[MÊS],$AE$1,tabela_registros[DIA],jantotal[[#Headers],[4]],tabela_registros[REGISTRO],DADOS!$N$4,tabela_registros[TIPO],DADOS!$P$3,tabela_registros[CATEGORIA],despesafixaconsolidado[[#This Row],[DESPESA FIXA]])</f>
        <v>0</v>
      </c>
      <c r="I40" s="176">
        <f>SUMIFS(tabela_registros[VALOR],tabela_registros[MÊS],$AE$1,tabela_registros[DIA],jantotal[[#Headers],[5]],tabela_registros[REGISTRO],DADOS!$N$4,tabela_registros[TIPO],DADOS!$P$3,tabela_registros[CATEGORIA],despesafixaconsolidado[[#This Row],[DESPESA FIXA]])</f>
        <v>0</v>
      </c>
      <c r="J40" s="176">
        <f>SUMIFS(tabela_registros[VALOR],tabela_registros[MÊS],$AE$1,tabela_registros[DIA],jantotal[[#Headers],[6]],tabela_registros[REGISTRO],DADOS!$N$4,tabela_registros[TIPO],DADOS!$P$3,tabela_registros[CATEGORIA],despesafixaconsolidado[[#This Row],[DESPESA FIXA]])</f>
        <v>0</v>
      </c>
      <c r="K40" s="176">
        <f>SUMIFS(tabela_registros[VALOR],tabela_registros[MÊS],$AE$1,tabela_registros[DIA],jantotal[[#Headers],[7]],tabela_registros[REGISTRO],DADOS!$N$4,tabela_registros[TIPO],DADOS!$P$3,tabela_registros[CATEGORIA],despesafixaconsolidado[[#This Row],[DESPESA FIXA]])</f>
        <v>0</v>
      </c>
      <c r="L40" s="176">
        <f>SUMIFS(tabela_registros[VALOR],tabela_registros[MÊS],$AE$1,tabela_registros[DIA],jantotal[[#Headers],[8]],tabela_registros[REGISTRO],DADOS!$N$4,tabela_registros[TIPO],DADOS!$P$3,tabela_registros[CATEGORIA],despesafixaconsolidado[[#This Row],[DESPESA FIXA]])</f>
        <v>0</v>
      </c>
      <c r="M40" s="176">
        <f>SUMIFS(tabela_registros[VALOR],tabela_registros[MÊS],$AE$1,tabela_registros[DIA],jantotal[[#Headers],[9]],tabela_registros[REGISTRO],DADOS!$N$4,tabela_registros[TIPO],DADOS!$P$3,tabela_registros[CATEGORIA],despesafixaconsolidado[[#This Row],[DESPESA FIXA]])</f>
        <v>0</v>
      </c>
      <c r="N40" s="176">
        <f>SUMIFS(tabela_registros[VALOR],tabela_registros[MÊS],$AE$1,tabela_registros[DIA],jantotal[[#Headers],[10]],tabela_registros[REGISTRO],DADOS!$N$4,tabela_registros[TIPO],DADOS!$P$3,tabela_registros[CATEGORIA],despesafixaconsolidado[[#This Row],[DESPESA FIXA]])</f>
        <v>0</v>
      </c>
      <c r="O40" s="176">
        <f>SUMIFS(tabela_registros[VALOR],tabela_registros[MÊS],$AE$1,tabela_registros[DIA],jantotal[[#Headers],[11]],tabela_registros[REGISTRO],DADOS!$N$4,tabela_registros[TIPO],DADOS!$P$3,tabela_registros[CATEGORIA],despesafixaconsolidado[[#This Row],[DESPESA FIXA]])</f>
        <v>0</v>
      </c>
      <c r="P40" s="176">
        <f>SUMIFS(tabela_registros[VALOR],tabela_registros[MÊS],$AE$1,tabela_registros[DIA],jantotal[[#Headers],[12]],tabela_registros[REGISTRO],DADOS!$N$4,tabela_registros[TIPO],DADOS!$P$3,tabela_registros[CATEGORIA],despesafixaconsolidado[[#This Row],[DESPESA FIXA]])</f>
        <v>0</v>
      </c>
      <c r="Q40" s="176">
        <f>SUMIFS(tabela_registros[VALOR],tabela_registros[MÊS],$AE$1,tabela_registros[DIA],jantotal[[#Headers],[13]],tabela_registros[REGISTRO],DADOS!$N$4,tabela_registros[TIPO],DADOS!$P$3,tabela_registros[CATEGORIA],despesafixaconsolidado[[#This Row],[DESPESA FIXA]])</f>
        <v>0</v>
      </c>
      <c r="R40" s="176">
        <f>SUMIFS(tabela_registros[VALOR],tabela_registros[MÊS],$AE$1,tabela_registros[DIA],jantotal[[#Headers],[14]],tabela_registros[REGISTRO],DADOS!$N$4,tabela_registros[TIPO],DADOS!$P$3,tabela_registros[CATEGORIA],despesafixaconsolidado[[#This Row],[DESPESA FIXA]])</f>
        <v>0</v>
      </c>
      <c r="S40" s="176">
        <f>SUMIFS(tabela_registros[VALOR],tabela_registros[MÊS],$AE$1,tabela_registros[DIA],jantotal[[#Headers],[15]],tabela_registros[REGISTRO],DADOS!$N$4,tabela_registros[TIPO],DADOS!$P$3,tabela_registros[CATEGORIA],despesafixaconsolidado[[#This Row],[DESPESA FIXA]])</f>
        <v>0</v>
      </c>
      <c r="T40" s="176">
        <f>SUMIFS(tabela_registros[VALOR],tabela_registros[MÊS],$AE$1,tabela_registros[DIA],jantotal[[#Headers],[16]],tabela_registros[REGISTRO],DADOS!$N$4,tabela_registros[TIPO],DADOS!$P$3,tabela_registros[CATEGORIA],despesafixaconsolidado[[#This Row],[DESPESA FIXA]])</f>
        <v>0</v>
      </c>
      <c r="U40" s="176">
        <f>SUMIFS(tabela_registros[VALOR],tabela_registros[MÊS],$AE$1,tabela_registros[DIA],jantotal[[#Headers],[17]],tabela_registros[REGISTRO],DADOS!$N$4,tabela_registros[TIPO],DADOS!$P$3,tabela_registros[CATEGORIA],despesafixaconsolidado[[#This Row],[DESPESA FIXA]])</f>
        <v>0</v>
      </c>
      <c r="V40" s="176">
        <f>SUMIFS(tabela_registros[VALOR],tabela_registros[MÊS],$AE$1,tabela_registros[DIA],jantotal[[#Headers],[18]],tabela_registros[REGISTRO],DADOS!$N$4,tabela_registros[TIPO],DADOS!$P$3,tabela_registros[CATEGORIA],despesafixaconsolidado[[#This Row],[DESPESA FIXA]])</f>
        <v>0</v>
      </c>
      <c r="W40" s="176">
        <f>SUMIFS(tabela_registros[VALOR],tabela_registros[MÊS],$AE$1,tabela_registros[DIA],jantotal[[#Headers],[19]],tabela_registros[REGISTRO],DADOS!$N$4,tabela_registros[TIPO],DADOS!$P$3,tabela_registros[CATEGORIA],despesafixaconsolidado[[#This Row],[DESPESA FIXA]])</f>
        <v>0</v>
      </c>
      <c r="X40" s="176">
        <f>SUMIFS(tabela_registros[VALOR],tabela_registros[MÊS],$AE$1,tabela_registros[DIA],jantotal[[#Headers],[20]],tabela_registros[REGISTRO],DADOS!$N$4,tabela_registros[TIPO],DADOS!$P$3,tabela_registros[CATEGORIA],despesafixaconsolidado[[#This Row],[DESPESA FIXA]])</f>
        <v>0</v>
      </c>
      <c r="Y40" s="176">
        <f>SUMIFS(tabela_registros[VALOR],tabela_registros[MÊS],$AE$1,tabela_registros[DIA],jantotal[[#Headers],[21]],tabela_registros[REGISTRO],DADOS!$N$4,tabela_registros[TIPO],DADOS!$P$3,tabela_registros[CATEGORIA],despesafixaconsolidado[[#This Row],[DESPESA FIXA]])</f>
        <v>0</v>
      </c>
      <c r="Z40" s="176">
        <f>SUMIFS(tabela_registros[VALOR],tabela_registros[MÊS],$AE$1,tabela_registros[DIA],jantotal[[#Headers],[22]],tabela_registros[REGISTRO],DADOS!$N$4,tabela_registros[TIPO],DADOS!$P$3,tabela_registros[CATEGORIA],despesafixaconsolidado[[#This Row],[DESPESA FIXA]])</f>
        <v>0</v>
      </c>
      <c r="AA40" s="176">
        <f>SUMIFS(tabela_registros[VALOR],tabela_registros[MÊS],$AE$1,tabela_registros[DIA],jantotal[[#Headers],[23]],tabela_registros[REGISTRO],DADOS!$N$4,tabela_registros[TIPO],DADOS!$P$3,tabela_registros[CATEGORIA],despesafixaconsolidado[[#This Row],[DESPESA FIXA]])</f>
        <v>0</v>
      </c>
      <c r="AB40" s="176">
        <f>SUMIFS(tabela_registros[VALOR],tabela_registros[MÊS],$AE$1,tabela_registros[DIA],jantotal[[#Headers],[24]],tabela_registros[REGISTRO],DADOS!$N$4,tabela_registros[TIPO],DADOS!$P$3,tabela_registros[CATEGORIA],despesafixaconsolidado[[#This Row],[DESPESA FIXA]])</f>
        <v>0</v>
      </c>
      <c r="AC40" s="176">
        <f>SUMIFS(tabela_registros[VALOR],tabela_registros[MÊS],$AE$1,tabela_registros[DIA],jantotal[[#Headers],[25]],tabela_registros[REGISTRO],DADOS!$N$4,tabela_registros[TIPO],DADOS!$P$3,tabela_registros[CATEGORIA],despesafixaconsolidado[[#This Row],[DESPESA FIXA]])</f>
        <v>0</v>
      </c>
      <c r="AD40" s="176">
        <f>SUMIFS(tabela_registros[VALOR],tabela_registros[MÊS],$AE$1,tabela_registros[DIA],jantotal[[#Headers],[26]],tabela_registros[REGISTRO],DADOS!$N$4,tabela_registros[TIPO],DADOS!$P$3,tabela_registros[CATEGORIA],despesafixaconsolidado[[#This Row],[DESPESA FIXA]])</f>
        <v>0</v>
      </c>
      <c r="AE40" s="176">
        <f>SUMIFS(tabela_registros[VALOR],tabela_registros[MÊS],$AE$1,tabela_registros[DIA],jantotal[[#Headers],[27]],tabela_registros[REGISTRO],DADOS!$N$4,tabela_registros[TIPO],DADOS!$P$3,tabela_registros[CATEGORIA],despesafixaconsolidado[[#This Row],[DESPESA FIXA]])</f>
        <v>0</v>
      </c>
      <c r="AF40" s="176">
        <f>SUMIFS(tabela_registros[VALOR],tabela_registros[MÊS],$AE$1,tabela_registros[DIA],jantotal[[#Headers],[28]],tabela_registros[REGISTRO],DADOS!$N$4,tabela_registros[TIPO],DADOS!$P$3,tabela_registros[CATEGORIA],despesafixaconsolidado[[#This Row],[DESPESA FIXA]])</f>
        <v>0</v>
      </c>
      <c r="AG40" s="176">
        <f>SUMIFS(tabela_registros[VALOR],tabela_registros[MÊS],$AE$1,tabela_registros[DIA],jantotal[[#Headers],[29]],tabela_registros[REGISTRO],DADOS!$N$4,tabela_registros[TIPO],DADOS!$P$3,tabela_registros[CATEGORIA],despesafixaconsolidado[[#This Row],[DESPESA FIXA]])</f>
        <v>0</v>
      </c>
      <c r="AH40" s="176">
        <f>SUMIFS(tabela_registros[VALOR],tabela_registros[MÊS],$AE$1,tabela_registros[DIA],jantotal[[#Headers],[30]],tabela_registros[REGISTRO],DADOS!$N$4,tabela_registros[TIPO],DADOS!$P$3,tabela_registros[CATEGORIA],despesafixaconsolidado[[#This Row],[DESPESA FIXA]])</f>
        <v>0</v>
      </c>
      <c r="AI40" s="190">
        <f>SUMIFS(tabela_registros[VALOR],tabela_registros[MÊS],$AE$1,tabela_registros[DIA],jantotal[[#Headers],[31]],tabela_registros[REGISTRO],DADOS!$N$4,tabela_registros[TIPO],DADOS!$P$3,tabela_registros[CATEGORIA],despesafixaconsolidado[[#This Row],[DESPESA FIXA]])</f>
        <v>0</v>
      </c>
      <c r="AJ40" s="167">
        <f>SUM(despesafixaconsolidado[[#This Row],[1]:[31]])</f>
        <v>0</v>
      </c>
      <c r="AK40" s="28"/>
    </row>
    <row r="41" spans="2:37" ht="18" customHeight="1" thickTop="1" thickBot="1" x14ac:dyDescent="0.3">
      <c r="B41" s="28"/>
      <c r="C41" s="27" t="str">
        <f>DADOS!$R$7</f>
        <v>📖 EDUCAÇÃO</v>
      </c>
      <c r="D41" s="26" t="str">
        <f>IF(despesafixaconsolidado[[#This Row],[TOTAL]]=0,"",IF(OR(despesafixaconsolidado[[#This Row],[TOTAL]]=LARGE($AJ$37:$AJ$50,1),despesafixaconsolidado[[#This Row],[TOTAL]]=LARGE($AJ$37:$AJ$50,2),despesafixaconsolidado[[#This Row],[TOTAL]]=LARGE($AJ$37:$AJ$50,3),despesafixaconsolidado[[#This Row],[TOTAL]]=LARGE($AJ$37:$AJ$50,4),despesafixaconsolidado[[#This Row],[TOTAL]]=LARGE($AJ$37:$AJ$50,5)),DADOS!$I$8,""))</f>
        <v/>
      </c>
      <c r="E41" s="189">
        <f>SUMIFS(tabela_registros[VALOR],tabela_registros[MÊS],$AE$1,tabela_registros[DIA],jantotal[[#Headers],[1]],tabela_registros[REGISTRO],DADOS!$N$4,tabela_registros[TIPO],DADOS!$P$3,tabela_registros[CATEGORIA],despesafixaconsolidado[[#This Row],[DESPESA FIXA]])</f>
        <v>0</v>
      </c>
      <c r="F41" s="176">
        <f>SUMIFS(tabela_registros[VALOR],tabela_registros[MÊS],$AE$1,tabela_registros[DIA],jantotal[[#Headers],[2]],tabela_registros[REGISTRO],DADOS!$N$4,tabela_registros[TIPO],DADOS!$P$3,tabela_registros[CATEGORIA],despesafixaconsolidado[[#This Row],[DESPESA FIXA]])</f>
        <v>0</v>
      </c>
      <c r="G41" s="176">
        <f>SUMIFS(tabela_registros[VALOR],tabela_registros[MÊS],$AE$1,tabela_registros[DIA],jantotal[[#Headers],[3]],tabela_registros[REGISTRO],DADOS!$N$4,tabela_registros[TIPO],DADOS!$P$3,tabela_registros[CATEGORIA],despesafixaconsolidado[[#This Row],[DESPESA FIXA]])</f>
        <v>0</v>
      </c>
      <c r="H41" s="176">
        <f>SUMIFS(tabela_registros[VALOR],tabela_registros[MÊS],$AE$1,tabela_registros[DIA],jantotal[[#Headers],[4]],tabela_registros[REGISTRO],DADOS!$N$4,tabela_registros[TIPO],DADOS!$P$3,tabela_registros[CATEGORIA],despesafixaconsolidado[[#This Row],[DESPESA FIXA]])</f>
        <v>0</v>
      </c>
      <c r="I41" s="176">
        <f>SUMIFS(tabela_registros[VALOR],tabela_registros[MÊS],$AE$1,tabela_registros[DIA],jantotal[[#Headers],[5]],tabela_registros[REGISTRO],DADOS!$N$4,tabela_registros[TIPO],DADOS!$P$3,tabela_registros[CATEGORIA],despesafixaconsolidado[[#This Row],[DESPESA FIXA]])</f>
        <v>0</v>
      </c>
      <c r="J41" s="176">
        <f>SUMIFS(tabela_registros[VALOR],tabela_registros[MÊS],$AE$1,tabela_registros[DIA],jantotal[[#Headers],[6]],tabela_registros[REGISTRO],DADOS!$N$4,tabela_registros[TIPO],DADOS!$P$3,tabela_registros[CATEGORIA],despesafixaconsolidado[[#This Row],[DESPESA FIXA]])</f>
        <v>0</v>
      </c>
      <c r="K41" s="176">
        <f>SUMIFS(tabela_registros[VALOR],tabela_registros[MÊS],$AE$1,tabela_registros[DIA],jantotal[[#Headers],[7]],tabela_registros[REGISTRO],DADOS!$N$4,tabela_registros[TIPO],DADOS!$P$3,tabela_registros[CATEGORIA],despesafixaconsolidado[[#This Row],[DESPESA FIXA]])</f>
        <v>0</v>
      </c>
      <c r="L41" s="176">
        <f>SUMIFS(tabela_registros[VALOR],tabela_registros[MÊS],$AE$1,tabela_registros[DIA],jantotal[[#Headers],[8]],tabela_registros[REGISTRO],DADOS!$N$4,tabela_registros[TIPO],DADOS!$P$3,tabela_registros[CATEGORIA],despesafixaconsolidado[[#This Row],[DESPESA FIXA]])</f>
        <v>0</v>
      </c>
      <c r="M41" s="176">
        <f>SUMIFS(tabela_registros[VALOR],tabela_registros[MÊS],$AE$1,tabela_registros[DIA],jantotal[[#Headers],[9]],tabela_registros[REGISTRO],DADOS!$N$4,tabela_registros[TIPO],DADOS!$P$3,tabela_registros[CATEGORIA],despesafixaconsolidado[[#This Row],[DESPESA FIXA]])</f>
        <v>0</v>
      </c>
      <c r="N41" s="176">
        <f>SUMIFS(tabela_registros[VALOR],tabela_registros[MÊS],$AE$1,tabela_registros[DIA],jantotal[[#Headers],[10]],tabela_registros[REGISTRO],DADOS!$N$4,tabela_registros[TIPO],DADOS!$P$3,tabela_registros[CATEGORIA],despesafixaconsolidado[[#This Row],[DESPESA FIXA]])</f>
        <v>0</v>
      </c>
      <c r="O41" s="176">
        <f>SUMIFS(tabela_registros[VALOR],tabela_registros[MÊS],$AE$1,tabela_registros[DIA],jantotal[[#Headers],[11]],tabela_registros[REGISTRO],DADOS!$N$4,tabela_registros[TIPO],DADOS!$P$3,tabela_registros[CATEGORIA],despesafixaconsolidado[[#This Row],[DESPESA FIXA]])</f>
        <v>0</v>
      </c>
      <c r="P41" s="176">
        <f>SUMIFS(tabela_registros[VALOR],tabela_registros[MÊS],$AE$1,tabela_registros[DIA],jantotal[[#Headers],[12]],tabela_registros[REGISTRO],DADOS!$N$4,tabela_registros[TIPO],DADOS!$P$3,tabela_registros[CATEGORIA],despesafixaconsolidado[[#This Row],[DESPESA FIXA]])</f>
        <v>0</v>
      </c>
      <c r="Q41" s="176">
        <f>SUMIFS(tabela_registros[VALOR],tabela_registros[MÊS],$AE$1,tabela_registros[DIA],jantotal[[#Headers],[13]],tabela_registros[REGISTRO],DADOS!$N$4,tabela_registros[TIPO],DADOS!$P$3,tabela_registros[CATEGORIA],despesafixaconsolidado[[#This Row],[DESPESA FIXA]])</f>
        <v>0</v>
      </c>
      <c r="R41" s="176">
        <f>SUMIFS(tabela_registros[VALOR],tabela_registros[MÊS],$AE$1,tabela_registros[DIA],jantotal[[#Headers],[14]],tabela_registros[REGISTRO],DADOS!$N$4,tabela_registros[TIPO],DADOS!$P$3,tabela_registros[CATEGORIA],despesafixaconsolidado[[#This Row],[DESPESA FIXA]])</f>
        <v>0</v>
      </c>
      <c r="S41" s="176">
        <f>SUMIFS(tabela_registros[VALOR],tabela_registros[MÊS],$AE$1,tabela_registros[DIA],jantotal[[#Headers],[15]],tabela_registros[REGISTRO],DADOS!$N$4,tabela_registros[TIPO],DADOS!$P$3,tabela_registros[CATEGORIA],despesafixaconsolidado[[#This Row],[DESPESA FIXA]])</f>
        <v>0</v>
      </c>
      <c r="T41" s="176">
        <f>SUMIFS(tabela_registros[VALOR],tabela_registros[MÊS],$AE$1,tabela_registros[DIA],jantotal[[#Headers],[16]],tabela_registros[REGISTRO],DADOS!$N$4,tabela_registros[TIPO],DADOS!$P$3,tabela_registros[CATEGORIA],despesafixaconsolidado[[#This Row],[DESPESA FIXA]])</f>
        <v>0</v>
      </c>
      <c r="U41" s="176">
        <f>SUMIFS(tabela_registros[VALOR],tabela_registros[MÊS],$AE$1,tabela_registros[DIA],jantotal[[#Headers],[17]],tabela_registros[REGISTRO],DADOS!$N$4,tabela_registros[TIPO],DADOS!$P$3,tabela_registros[CATEGORIA],despesafixaconsolidado[[#This Row],[DESPESA FIXA]])</f>
        <v>0</v>
      </c>
      <c r="V41" s="176">
        <f>SUMIFS(tabela_registros[VALOR],tabela_registros[MÊS],$AE$1,tabela_registros[DIA],jantotal[[#Headers],[18]],tabela_registros[REGISTRO],DADOS!$N$4,tabela_registros[TIPO],DADOS!$P$3,tabela_registros[CATEGORIA],despesafixaconsolidado[[#This Row],[DESPESA FIXA]])</f>
        <v>0</v>
      </c>
      <c r="W41" s="176">
        <f>SUMIFS(tabela_registros[VALOR],tabela_registros[MÊS],$AE$1,tabela_registros[DIA],jantotal[[#Headers],[19]],tabela_registros[REGISTRO],DADOS!$N$4,tabela_registros[TIPO],DADOS!$P$3,tabela_registros[CATEGORIA],despesafixaconsolidado[[#This Row],[DESPESA FIXA]])</f>
        <v>0</v>
      </c>
      <c r="X41" s="176">
        <f>SUMIFS(tabela_registros[VALOR],tabela_registros[MÊS],$AE$1,tabela_registros[DIA],jantotal[[#Headers],[20]],tabela_registros[REGISTRO],DADOS!$N$4,tabela_registros[TIPO],DADOS!$P$3,tabela_registros[CATEGORIA],despesafixaconsolidado[[#This Row],[DESPESA FIXA]])</f>
        <v>0</v>
      </c>
      <c r="Y41" s="176">
        <f>SUMIFS(tabela_registros[VALOR],tabela_registros[MÊS],$AE$1,tabela_registros[DIA],jantotal[[#Headers],[21]],tabela_registros[REGISTRO],DADOS!$N$4,tabela_registros[TIPO],DADOS!$P$3,tabela_registros[CATEGORIA],despesafixaconsolidado[[#This Row],[DESPESA FIXA]])</f>
        <v>0</v>
      </c>
      <c r="Z41" s="176">
        <f>SUMIFS(tabela_registros[VALOR],tabela_registros[MÊS],$AE$1,tabela_registros[DIA],jantotal[[#Headers],[22]],tabela_registros[REGISTRO],DADOS!$N$4,tabela_registros[TIPO],DADOS!$P$3,tabela_registros[CATEGORIA],despesafixaconsolidado[[#This Row],[DESPESA FIXA]])</f>
        <v>0</v>
      </c>
      <c r="AA41" s="176">
        <f>SUMIFS(tabela_registros[VALOR],tabela_registros[MÊS],$AE$1,tabela_registros[DIA],jantotal[[#Headers],[23]],tabela_registros[REGISTRO],DADOS!$N$4,tabela_registros[TIPO],DADOS!$P$3,tabela_registros[CATEGORIA],despesafixaconsolidado[[#This Row],[DESPESA FIXA]])</f>
        <v>0</v>
      </c>
      <c r="AB41" s="176">
        <f>SUMIFS(tabela_registros[VALOR],tabela_registros[MÊS],$AE$1,tabela_registros[DIA],jantotal[[#Headers],[24]],tabela_registros[REGISTRO],DADOS!$N$4,tabela_registros[TIPO],DADOS!$P$3,tabela_registros[CATEGORIA],despesafixaconsolidado[[#This Row],[DESPESA FIXA]])</f>
        <v>0</v>
      </c>
      <c r="AC41" s="176">
        <f>SUMIFS(tabela_registros[VALOR],tabela_registros[MÊS],$AE$1,tabela_registros[DIA],jantotal[[#Headers],[25]],tabela_registros[REGISTRO],DADOS!$N$4,tabela_registros[TIPO],DADOS!$P$3,tabela_registros[CATEGORIA],despesafixaconsolidado[[#This Row],[DESPESA FIXA]])</f>
        <v>0</v>
      </c>
      <c r="AD41" s="176">
        <f>SUMIFS(tabela_registros[VALOR],tabela_registros[MÊS],$AE$1,tabela_registros[DIA],jantotal[[#Headers],[26]],tabela_registros[REGISTRO],DADOS!$N$4,tabela_registros[TIPO],DADOS!$P$3,tabela_registros[CATEGORIA],despesafixaconsolidado[[#This Row],[DESPESA FIXA]])</f>
        <v>0</v>
      </c>
      <c r="AE41" s="176">
        <f>SUMIFS(tabela_registros[VALOR],tabela_registros[MÊS],$AE$1,tabela_registros[DIA],jantotal[[#Headers],[27]],tabela_registros[REGISTRO],DADOS!$N$4,tabela_registros[TIPO],DADOS!$P$3,tabela_registros[CATEGORIA],despesafixaconsolidado[[#This Row],[DESPESA FIXA]])</f>
        <v>0</v>
      </c>
      <c r="AF41" s="176">
        <f>SUMIFS(tabela_registros[VALOR],tabela_registros[MÊS],$AE$1,tabela_registros[DIA],jantotal[[#Headers],[28]],tabela_registros[REGISTRO],DADOS!$N$4,tabela_registros[TIPO],DADOS!$P$3,tabela_registros[CATEGORIA],despesafixaconsolidado[[#This Row],[DESPESA FIXA]])</f>
        <v>0</v>
      </c>
      <c r="AG41" s="176">
        <f>SUMIFS(tabela_registros[VALOR],tabela_registros[MÊS],$AE$1,tabela_registros[DIA],jantotal[[#Headers],[29]],tabela_registros[REGISTRO],DADOS!$N$4,tabela_registros[TIPO],DADOS!$P$3,tabela_registros[CATEGORIA],despesafixaconsolidado[[#This Row],[DESPESA FIXA]])</f>
        <v>0</v>
      </c>
      <c r="AH41" s="176">
        <f>SUMIFS(tabela_registros[VALOR],tabela_registros[MÊS],$AE$1,tabela_registros[DIA],jantotal[[#Headers],[30]],tabela_registros[REGISTRO],DADOS!$N$4,tabela_registros[TIPO],DADOS!$P$3,tabela_registros[CATEGORIA],despesafixaconsolidado[[#This Row],[DESPESA FIXA]])</f>
        <v>0</v>
      </c>
      <c r="AI41" s="190">
        <f>SUMIFS(tabela_registros[VALOR],tabela_registros[MÊS],$AE$1,tabela_registros[DIA],jantotal[[#Headers],[31]],tabela_registros[REGISTRO],DADOS!$N$4,tabela_registros[TIPO],DADOS!$P$3,tabela_registros[CATEGORIA],despesafixaconsolidado[[#This Row],[DESPESA FIXA]])</f>
        <v>0</v>
      </c>
      <c r="AJ41" s="167">
        <f>SUM(despesafixaconsolidado[[#This Row],[1]:[31]])</f>
        <v>0</v>
      </c>
      <c r="AK41" s="28"/>
    </row>
    <row r="42" spans="2:37" ht="18" customHeight="1" thickTop="1" thickBot="1" x14ac:dyDescent="0.3">
      <c r="B42" s="28"/>
      <c r="C42" s="27" t="str">
        <f>DADOS!$R$8</f>
        <v>🏦 EMPRÉSTIMO</v>
      </c>
      <c r="D42" s="26" t="str">
        <f>IF(despesafixaconsolidado[[#This Row],[TOTAL]]=0,"",IF(OR(despesafixaconsolidado[[#This Row],[TOTAL]]=LARGE($AJ$37:$AJ$50,1),despesafixaconsolidado[[#This Row],[TOTAL]]=LARGE($AJ$37:$AJ$50,2),despesafixaconsolidado[[#This Row],[TOTAL]]=LARGE($AJ$37:$AJ$50,3),despesafixaconsolidado[[#This Row],[TOTAL]]=LARGE($AJ$37:$AJ$50,4),despesafixaconsolidado[[#This Row],[TOTAL]]=LARGE($AJ$37:$AJ$50,5)),DADOS!$I$8,""))</f>
        <v/>
      </c>
      <c r="E42" s="189">
        <f>SUMIFS(tabela_registros[VALOR],tabela_registros[MÊS],$AE$1,tabela_registros[DIA],jantotal[[#Headers],[1]],tabela_registros[REGISTRO],DADOS!$N$4,tabela_registros[TIPO],DADOS!$P$3,tabela_registros[CATEGORIA],despesafixaconsolidado[[#This Row],[DESPESA FIXA]])</f>
        <v>0</v>
      </c>
      <c r="F42" s="176">
        <f>SUMIFS(tabela_registros[VALOR],tabela_registros[MÊS],$AE$1,tabela_registros[DIA],jantotal[[#Headers],[2]],tabela_registros[REGISTRO],DADOS!$N$4,tabela_registros[TIPO],DADOS!$P$3,tabela_registros[CATEGORIA],despesafixaconsolidado[[#This Row],[DESPESA FIXA]])</f>
        <v>0</v>
      </c>
      <c r="G42" s="176">
        <f>SUMIFS(tabela_registros[VALOR],tabela_registros[MÊS],$AE$1,tabela_registros[DIA],jantotal[[#Headers],[3]],tabela_registros[REGISTRO],DADOS!$N$4,tabela_registros[TIPO],DADOS!$P$3,tabela_registros[CATEGORIA],despesafixaconsolidado[[#This Row],[DESPESA FIXA]])</f>
        <v>0</v>
      </c>
      <c r="H42" s="176">
        <f>SUMIFS(tabela_registros[VALOR],tabela_registros[MÊS],$AE$1,tabela_registros[DIA],jantotal[[#Headers],[4]],tabela_registros[REGISTRO],DADOS!$N$4,tabela_registros[TIPO],DADOS!$P$3,tabela_registros[CATEGORIA],despesafixaconsolidado[[#This Row],[DESPESA FIXA]])</f>
        <v>0</v>
      </c>
      <c r="I42" s="176">
        <f>SUMIFS(tabela_registros[VALOR],tabela_registros[MÊS],$AE$1,tabela_registros[DIA],jantotal[[#Headers],[5]],tabela_registros[REGISTRO],DADOS!$N$4,tabela_registros[TIPO],DADOS!$P$3,tabela_registros[CATEGORIA],despesafixaconsolidado[[#This Row],[DESPESA FIXA]])</f>
        <v>0</v>
      </c>
      <c r="J42" s="176">
        <f>SUMIFS(tabela_registros[VALOR],tabela_registros[MÊS],$AE$1,tabela_registros[DIA],jantotal[[#Headers],[6]],tabela_registros[REGISTRO],DADOS!$N$4,tabela_registros[TIPO],DADOS!$P$3,tabela_registros[CATEGORIA],despesafixaconsolidado[[#This Row],[DESPESA FIXA]])</f>
        <v>0</v>
      </c>
      <c r="K42" s="176">
        <f>SUMIFS(tabela_registros[VALOR],tabela_registros[MÊS],$AE$1,tabela_registros[DIA],jantotal[[#Headers],[7]],tabela_registros[REGISTRO],DADOS!$N$4,tabela_registros[TIPO],DADOS!$P$3,tabela_registros[CATEGORIA],despesafixaconsolidado[[#This Row],[DESPESA FIXA]])</f>
        <v>0</v>
      </c>
      <c r="L42" s="176">
        <f>SUMIFS(tabela_registros[VALOR],tabela_registros[MÊS],$AE$1,tabela_registros[DIA],jantotal[[#Headers],[8]],tabela_registros[REGISTRO],DADOS!$N$4,tabela_registros[TIPO],DADOS!$P$3,tabela_registros[CATEGORIA],despesafixaconsolidado[[#This Row],[DESPESA FIXA]])</f>
        <v>0</v>
      </c>
      <c r="M42" s="176">
        <f>SUMIFS(tabela_registros[VALOR],tabela_registros[MÊS],$AE$1,tabela_registros[DIA],jantotal[[#Headers],[9]],tabela_registros[REGISTRO],DADOS!$N$4,tabela_registros[TIPO],DADOS!$P$3,tabela_registros[CATEGORIA],despesafixaconsolidado[[#This Row],[DESPESA FIXA]])</f>
        <v>0</v>
      </c>
      <c r="N42" s="176">
        <f>SUMIFS(tabela_registros[VALOR],tabela_registros[MÊS],$AE$1,tabela_registros[DIA],jantotal[[#Headers],[10]],tabela_registros[REGISTRO],DADOS!$N$4,tabela_registros[TIPO],DADOS!$P$3,tabela_registros[CATEGORIA],despesafixaconsolidado[[#This Row],[DESPESA FIXA]])</f>
        <v>0</v>
      </c>
      <c r="O42" s="176">
        <f>SUMIFS(tabela_registros[VALOR],tabela_registros[MÊS],$AE$1,tabela_registros[DIA],jantotal[[#Headers],[11]],tabela_registros[REGISTRO],DADOS!$N$4,tabela_registros[TIPO],DADOS!$P$3,tabela_registros[CATEGORIA],despesafixaconsolidado[[#This Row],[DESPESA FIXA]])</f>
        <v>0</v>
      </c>
      <c r="P42" s="176">
        <f>SUMIFS(tabela_registros[VALOR],tabela_registros[MÊS],$AE$1,tabela_registros[DIA],jantotal[[#Headers],[12]],tabela_registros[REGISTRO],DADOS!$N$4,tabela_registros[TIPO],DADOS!$P$3,tabela_registros[CATEGORIA],despesafixaconsolidado[[#This Row],[DESPESA FIXA]])</f>
        <v>0</v>
      </c>
      <c r="Q42" s="176">
        <f>SUMIFS(tabela_registros[VALOR],tabela_registros[MÊS],$AE$1,tabela_registros[DIA],jantotal[[#Headers],[13]],tabela_registros[REGISTRO],DADOS!$N$4,tabela_registros[TIPO],DADOS!$P$3,tabela_registros[CATEGORIA],despesafixaconsolidado[[#This Row],[DESPESA FIXA]])</f>
        <v>0</v>
      </c>
      <c r="R42" s="176">
        <f>SUMIFS(tabela_registros[VALOR],tabela_registros[MÊS],$AE$1,tabela_registros[DIA],jantotal[[#Headers],[14]],tabela_registros[REGISTRO],DADOS!$N$4,tabela_registros[TIPO],DADOS!$P$3,tabela_registros[CATEGORIA],despesafixaconsolidado[[#This Row],[DESPESA FIXA]])</f>
        <v>0</v>
      </c>
      <c r="S42" s="176">
        <f>SUMIFS(tabela_registros[VALOR],tabela_registros[MÊS],$AE$1,tabela_registros[DIA],jantotal[[#Headers],[15]],tabela_registros[REGISTRO],DADOS!$N$4,tabela_registros[TIPO],DADOS!$P$3,tabela_registros[CATEGORIA],despesafixaconsolidado[[#This Row],[DESPESA FIXA]])</f>
        <v>0</v>
      </c>
      <c r="T42" s="176">
        <f>SUMIFS(tabela_registros[VALOR],tabela_registros[MÊS],$AE$1,tabela_registros[DIA],jantotal[[#Headers],[16]],tabela_registros[REGISTRO],DADOS!$N$4,tabela_registros[TIPO],DADOS!$P$3,tabela_registros[CATEGORIA],despesafixaconsolidado[[#This Row],[DESPESA FIXA]])</f>
        <v>0</v>
      </c>
      <c r="U42" s="176">
        <f>SUMIFS(tabela_registros[VALOR],tabela_registros[MÊS],$AE$1,tabela_registros[DIA],jantotal[[#Headers],[17]],tabela_registros[REGISTRO],DADOS!$N$4,tabela_registros[TIPO],DADOS!$P$3,tabela_registros[CATEGORIA],despesafixaconsolidado[[#This Row],[DESPESA FIXA]])</f>
        <v>0</v>
      </c>
      <c r="V42" s="176">
        <f>SUMIFS(tabela_registros[VALOR],tabela_registros[MÊS],$AE$1,tabela_registros[DIA],jantotal[[#Headers],[18]],tabela_registros[REGISTRO],DADOS!$N$4,tabela_registros[TIPO],DADOS!$P$3,tabela_registros[CATEGORIA],despesafixaconsolidado[[#This Row],[DESPESA FIXA]])</f>
        <v>0</v>
      </c>
      <c r="W42" s="176">
        <f>SUMIFS(tabela_registros[VALOR],tabela_registros[MÊS],$AE$1,tabela_registros[DIA],jantotal[[#Headers],[19]],tabela_registros[REGISTRO],DADOS!$N$4,tabela_registros[TIPO],DADOS!$P$3,tabela_registros[CATEGORIA],despesafixaconsolidado[[#This Row],[DESPESA FIXA]])</f>
        <v>0</v>
      </c>
      <c r="X42" s="176">
        <f>SUMIFS(tabela_registros[VALOR],tabela_registros[MÊS],$AE$1,tabela_registros[DIA],jantotal[[#Headers],[20]],tabela_registros[REGISTRO],DADOS!$N$4,tabela_registros[TIPO],DADOS!$P$3,tabela_registros[CATEGORIA],despesafixaconsolidado[[#This Row],[DESPESA FIXA]])</f>
        <v>0</v>
      </c>
      <c r="Y42" s="176">
        <f>SUMIFS(tabela_registros[VALOR],tabela_registros[MÊS],$AE$1,tabela_registros[DIA],jantotal[[#Headers],[21]],tabela_registros[REGISTRO],DADOS!$N$4,tabela_registros[TIPO],DADOS!$P$3,tabela_registros[CATEGORIA],despesafixaconsolidado[[#This Row],[DESPESA FIXA]])</f>
        <v>0</v>
      </c>
      <c r="Z42" s="176">
        <f>SUMIFS(tabela_registros[VALOR],tabela_registros[MÊS],$AE$1,tabela_registros[DIA],jantotal[[#Headers],[22]],tabela_registros[REGISTRO],DADOS!$N$4,tabela_registros[TIPO],DADOS!$P$3,tabela_registros[CATEGORIA],despesafixaconsolidado[[#This Row],[DESPESA FIXA]])</f>
        <v>0</v>
      </c>
      <c r="AA42" s="176">
        <f>SUMIFS(tabela_registros[VALOR],tabela_registros[MÊS],$AE$1,tabela_registros[DIA],jantotal[[#Headers],[23]],tabela_registros[REGISTRO],DADOS!$N$4,tabela_registros[TIPO],DADOS!$P$3,tabela_registros[CATEGORIA],despesafixaconsolidado[[#This Row],[DESPESA FIXA]])</f>
        <v>0</v>
      </c>
      <c r="AB42" s="176">
        <f>SUMIFS(tabela_registros[VALOR],tabela_registros[MÊS],$AE$1,tabela_registros[DIA],jantotal[[#Headers],[24]],tabela_registros[REGISTRO],DADOS!$N$4,tabela_registros[TIPO],DADOS!$P$3,tabela_registros[CATEGORIA],despesafixaconsolidado[[#This Row],[DESPESA FIXA]])</f>
        <v>0</v>
      </c>
      <c r="AC42" s="176">
        <f>SUMIFS(tabela_registros[VALOR],tabela_registros[MÊS],$AE$1,tabela_registros[DIA],jantotal[[#Headers],[25]],tabela_registros[REGISTRO],DADOS!$N$4,tabela_registros[TIPO],DADOS!$P$3,tabela_registros[CATEGORIA],despesafixaconsolidado[[#This Row],[DESPESA FIXA]])</f>
        <v>0</v>
      </c>
      <c r="AD42" s="176">
        <f>SUMIFS(tabela_registros[VALOR],tabela_registros[MÊS],$AE$1,tabela_registros[DIA],jantotal[[#Headers],[26]],tabela_registros[REGISTRO],DADOS!$N$4,tabela_registros[TIPO],DADOS!$P$3,tabela_registros[CATEGORIA],despesafixaconsolidado[[#This Row],[DESPESA FIXA]])</f>
        <v>0</v>
      </c>
      <c r="AE42" s="176">
        <f>SUMIFS(tabela_registros[VALOR],tabela_registros[MÊS],$AE$1,tabela_registros[DIA],jantotal[[#Headers],[27]],tabela_registros[REGISTRO],DADOS!$N$4,tabela_registros[TIPO],DADOS!$P$3,tabela_registros[CATEGORIA],despesafixaconsolidado[[#This Row],[DESPESA FIXA]])</f>
        <v>0</v>
      </c>
      <c r="AF42" s="176">
        <f>SUMIFS(tabela_registros[VALOR],tabela_registros[MÊS],$AE$1,tabela_registros[DIA],jantotal[[#Headers],[28]],tabela_registros[REGISTRO],DADOS!$N$4,tabela_registros[TIPO],DADOS!$P$3,tabela_registros[CATEGORIA],despesafixaconsolidado[[#This Row],[DESPESA FIXA]])</f>
        <v>0</v>
      </c>
      <c r="AG42" s="176">
        <f>SUMIFS(tabela_registros[VALOR],tabela_registros[MÊS],$AE$1,tabela_registros[DIA],jantotal[[#Headers],[29]],tabela_registros[REGISTRO],DADOS!$N$4,tabela_registros[TIPO],DADOS!$P$3,tabela_registros[CATEGORIA],despesafixaconsolidado[[#This Row],[DESPESA FIXA]])</f>
        <v>0</v>
      </c>
      <c r="AH42" s="176">
        <f>SUMIFS(tabela_registros[VALOR],tabela_registros[MÊS],$AE$1,tabela_registros[DIA],jantotal[[#Headers],[30]],tabela_registros[REGISTRO],DADOS!$N$4,tabela_registros[TIPO],DADOS!$P$3,tabela_registros[CATEGORIA],despesafixaconsolidado[[#This Row],[DESPESA FIXA]])</f>
        <v>0</v>
      </c>
      <c r="AI42" s="190">
        <f>SUMIFS(tabela_registros[VALOR],tabela_registros[MÊS],$AE$1,tabela_registros[DIA],jantotal[[#Headers],[31]],tabela_registros[REGISTRO],DADOS!$N$4,tabela_registros[TIPO],DADOS!$P$3,tabela_registros[CATEGORIA],despesafixaconsolidado[[#This Row],[DESPESA FIXA]])</f>
        <v>0</v>
      </c>
      <c r="AJ42" s="167">
        <f>SUM(despesafixaconsolidado[[#This Row],[1]:[31]])</f>
        <v>0</v>
      </c>
      <c r="AK42" s="28"/>
    </row>
    <row r="43" spans="2:37" ht="18" customHeight="1" thickTop="1" thickBot="1" x14ac:dyDescent="0.3">
      <c r="B43" s="28"/>
      <c r="C43" s="27" t="str">
        <f>DADOS!$R$9</f>
        <v>💡 ENERGIA</v>
      </c>
      <c r="D43" s="26" t="str">
        <f>IF(despesafixaconsolidado[[#This Row],[TOTAL]]=0,"",IF(OR(despesafixaconsolidado[[#This Row],[TOTAL]]=LARGE($AJ$37:$AJ$50,1),despesafixaconsolidado[[#This Row],[TOTAL]]=LARGE($AJ$37:$AJ$50,2),despesafixaconsolidado[[#This Row],[TOTAL]]=LARGE($AJ$37:$AJ$50,3),despesafixaconsolidado[[#This Row],[TOTAL]]=LARGE($AJ$37:$AJ$50,4),despesafixaconsolidado[[#This Row],[TOTAL]]=LARGE($AJ$37:$AJ$50,5)),DADOS!$I$8,""))</f>
        <v/>
      </c>
      <c r="E43" s="189">
        <f>SUMIFS(tabela_registros[VALOR],tabela_registros[MÊS],$AE$1,tabela_registros[DIA],jantotal[[#Headers],[1]],tabela_registros[REGISTRO],DADOS!$N$4,tabela_registros[TIPO],DADOS!$P$3,tabela_registros[CATEGORIA],despesafixaconsolidado[[#This Row],[DESPESA FIXA]])</f>
        <v>0</v>
      </c>
      <c r="F43" s="176">
        <f>SUMIFS(tabela_registros[VALOR],tabela_registros[MÊS],$AE$1,tabela_registros[DIA],jantotal[[#Headers],[2]],tabela_registros[REGISTRO],DADOS!$N$4,tabela_registros[TIPO],DADOS!$P$3,tabela_registros[CATEGORIA],despesafixaconsolidado[[#This Row],[DESPESA FIXA]])</f>
        <v>0</v>
      </c>
      <c r="G43" s="176">
        <f>SUMIFS(tabela_registros[VALOR],tabela_registros[MÊS],$AE$1,tabela_registros[DIA],jantotal[[#Headers],[3]],tabela_registros[REGISTRO],DADOS!$N$4,tabela_registros[TIPO],DADOS!$P$3,tabela_registros[CATEGORIA],despesafixaconsolidado[[#This Row],[DESPESA FIXA]])</f>
        <v>0</v>
      </c>
      <c r="H43" s="176">
        <f>SUMIFS(tabela_registros[VALOR],tabela_registros[MÊS],$AE$1,tabela_registros[DIA],jantotal[[#Headers],[4]],tabela_registros[REGISTRO],DADOS!$N$4,tabela_registros[TIPO],DADOS!$P$3,tabela_registros[CATEGORIA],despesafixaconsolidado[[#This Row],[DESPESA FIXA]])</f>
        <v>0</v>
      </c>
      <c r="I43" s="176">
        <f>SUMIFS(tabela_registros[VALOR],tabela_registros[MÊS],$AE$1,tabela_registros[DIA],jantotal[[#Headers],[5]],tabela_registros[REGISTRO],DADOS!$N$4,tabela_registros[TIPO],DADOS!$P$3,tabela_registros[CATEGORIA],despesafixaconsolidado[[#This Row],[DESPESA FIXA]])</f>
        <v>0</v>
      </c>
      <c r="J43" s="176">
        <f>SUMIFS(tabela_registros[VALOR],tabela_registros[MÊS],$AE$1,tabela_registros[DIA],jantotal[[#Headers],[6]],tabela_registros[REGISTRO],DADOS!$N$4,tabela_registros[TIPO],DADOS!$P$3,tabela_registros[CATEGORIA],despesafixaconsolidado[[#This Row],[DESPESA FIXA]])</f>
        <v>0</v>
      </c>
      <c r="K43" s="176">
        <f>SUMIFS(tabela_registros[VALOR],tabela_registros[MÊS],$AE$1,tabela_registros[DIA],jantotal[[#Headers],[7]],tabela_registros[REGISTRO],DADOS!$N$4,tabela_registros[TIPO],DADOS!$P$3,tabela_registros[CATEGORIA],despesafixaconsolidado[[#This Row],[DESPESA FIXA]])</f>
        <v>0</v>
      </c>
      <c r="L43" s="176">
        <f>SUMIFS(tabela_registros[VALOR],tabela_registros[MÊS],$AE$1,tabela_registros[DIA],jantotal[[#Headers],[8]],tabela_registros[REGISTRO],DADOS!$N$4,tabela_registros[TIPO],DADOS!$P$3,tabela_registros[CATEGORIA],despesafixaconsolidado[[#This Row],[DESPESA FIXA]])</f>
        <v>0</v>
      </c>
      <c r="M43" s="176">
        <f>SUMIFS(tabela_registros[VALOR],tabela_registros[MÊS],$AE$1,tabela_registros[DIA],jantotal[[#Headers],[9]],tabela_registros[REGISTRO],DADOS!$N$4,tabela_registros[TIPO],DADOS!$P$3,tabela_registros[CATEGORIA],despesafixaconsolidado[[#This Row],[DESPESA FIXA]])</f>
        <v>0</v>
      </c>
      <c r="N43" s="176">
        <f>SUMIFS(tabela_registros[VALOR],tabela_registros[MÊS],$AE$1,tabela_registros[DIA],jantotal[[#Headers],[10]],tabela_registros[REGISTRO],DADOS!$N$4,tabela_registros[TIPO],DADOS!$P$3,tabela_registros[CATEGORIA],despesafixaconsolidado[[#This Row],[DESPESA FIXA]])</f>
        <v>0</v>
      </c>
      <c r="O43" s="176">
        <f>SUMIFS(tabela_registros[VALOR],tabela_registros[MÊS],$AE$1,tabela_registros[DIA],jantotal[[#Headers],[11]],tabela_registros[REGISTRO],DADOS!$N$4,tabela_registros[TIPO],DADOS!$P$3,tabela_registros[CATEGORIA],despesafixaconsolidado[[#This Row],[DESPESA FIXA]])</f>
        <v>0</v>
      </c>
      <c r="P43" s="176">
        <f>SUMIFS(tabela_registros[VALOR],tabela_registros[MÊS],$AE$1,tabela_registros[DIA],jantotal[[#Headers],[12]],tabela_registros[REGISTRO],DADOS!$N$4,tabela_registros[TIPO],DADOS!$P$3,tabela_registros[CATEGORIA],despesafixaconsolidado[[#This Row],[DESPESA FIXA]])</f>
        <v>0</v>
      </c>
      <c r="Q43" s="176">
        <f>SUMIFS(tabela_registros[VALOR],tabela_registros[MÊS],$AE$1,tabela_registros[DIA],jantotal[[#Headers],[13]],tabela_registros[REGISTRO],DADOS!$N$4,tabela_registros[TIPO],DADOS!$P$3,tabela_registros[CATEGORIA],despesafixaconsolidado[[#This Row],[DESPESA FIXA]])</f>
        <v>0</v>
      </c>
      <c r="R43" s="176">
        <f>SUMIFS(tabela_registros[VALOR],tabela_registros[MÊS],$AE$1,tabela_registros[DIA],jantotal[[#Headers],[14]],tabela_registros[REGISTRO],DADOS!$N$4,tabela_registros[TIPO],DADOS!$P$3,tabela_registros[CATEGORIA],despesafixaconsolidado[[#This Row],[DESPESA FIXA]])</f>
        <v>0</v>
      </c>
      <c r="S43" s="176">
        <f>SUMIFS(tabela_registros[VALOR],tabela_registros[MÊS],$AE$1,tabela_registros[DIA],jantotal[[#Headers],[15]],tabela_registros[REGISTRO],DADOS!$N$4,tabela_registros[TIPO],DADOS!$P$3,tabela_registros[CATEGORIA],despesafixaconsolidado[[#This Row],[DESPESA FIXA]])</f>
        <v>0</v>
      </c>
      <c r="T43" s="176">
        <f>SUMIFS(tabela_registros[VALOR],tabela_registros[MÊS],$AE$1,tabela_registros[DIA],jantotal[[#Headers],[16]],tabela_registros[REGISTRO],DADOS!$N$4,tabela_registros[TIPO],DADOS!$P$3,tabela_registros[CATEGORIA],despesafixaconsolidado[[#This Row],[DESPESA FIXA]])</f>
        <v>0</v>
      </c>
      <c r="U43" s="176">
        <f>SUMIFS(tabela_registros[VALOR],tabela_registros[MÊS],$AE$1,tabela_registros[DIA],jantotal[[#Headers],[17]],tabela_registros[REGISTRO],DADOS!$N$4,tabela_registros[TIPO],DADOS!$P$3,tabela_registros[CATEGORIA],despesafixaconsolidado[[#This Row],[DESPESA FIXA]])</f>
        <v>0</v>
      </c>
      <c r="V43" s="176">
        <f>SUMIFS(tabela_registros[VALOR],tabela_registros[MÊS],$AE$1,tabela_registros[DIA],jantotal[[#Headers],[18]],tabela_registros[REGISTRO],DADOS!$N$4,tabela_registros[TIPO],DADOS!$P$3,tabela_registros[CATEGORIA],despesafixaconsolidado[[#This Row],[DESPESA FIXA]])</f>
        <v>0</v>
      </c>
      <c r="W43" s="176">
        <f>SUMIFS(tabela_registros[VALOR],tabela_registros[MÊS],$AE$1,tabela_registros[DIA],jantotal[[#Headers],[19]],tabela_registros[REGISTRO],DADOS!$N$4,tabela_registros[TIPO],DADOS!$P$3,tabela_registros[CATEGORIA],despesafixaconsolidado[[#This Row],[DESPESA FIXA]])</f>
        <v>0</v>
      </c>
      <c r="X43" s="176">
        <f>SUMIFS(tabela_registros[VALOR],tabela_registros[MÊS],$AE$1,tabela_registros[DIA],jantotal[[#Headers],[20]],tabela_registros[REGISTRO],DADOS!$N$4,tabela_registros[TIPO],DADOS!$P$3,tabela_registros[CATEGORIA],despesafixaconsolidado[[#This Row],[DESPESA FIXA]])</f>
        <v>0</v>
      </c>
      <c r="Y43" s="176">
        <f>SUMIFS(tabela_registros[VALOR],tabela_registros[MÊS],$AE$1,tabela_registros[DIA],jantotal[[#Headers],[21]],tabela_registros[REGISTRO],DADOS!$N$4,tabela_registros[TIPO],DADOS!$P$3,tabela_registros[CATEGORIA],despesafixaconsolidado[[#This Row],[DESPESA FIXA]])</f>
        <v>0</v>
      </c>
      <c r="Z43" s="176">
        <f>SUMIFS(tabela_registros[VALOR],tabela_registros[MÊS],$AE$1,tabela_registros[DIA],jantotal[[#Headers],[22]],tabela_registros[REGISTRO],DADOS!$N$4,tabela_registros[TIPO],DADOS!$P$3,tabela_registros[CATEGORIA],despesafixaconsolidado[[#This Row],[DESPESA FIXA]])</f>
        <v>0</v>
      </c>
      <c r="AA43" s="176">
        <f>SUMIFS(tabela_registros[VALOR],tabela_registros[MÊS],$AE$1,tabela_registros[DIA],jantotal[[#Headers],[23]],tabela_registros[REGISTRO],DADOS!$N$4,tabela_registros[TIPO],DADOS!$P$3,tabela_registros[CATEGORIA],despesafixaconsolidado[[#This Row],[DESPESA FIXA]])</f>
        <v>0</v>
      </c>
      <c r="AB43" s="176">
        <f>SUMIFS(tabela_registros[VALOR],tabela_registros[MÊS],$AE$1,tabela_registros[DIA],jantotal[[#Headers],[24]],tabela_registros[REGISTRO],DADOS!$N$4,tabela_registros[TIPO],DADOS!$P$3,tabela_registros[CATEGORIA],despesafixaconsolidado[[#This Row],[DESPESA FIXA]])</f>
        <v>0</v>
      </c>
      <c r="AC43" s="176">
        <f>SUMIFS(tabela_registros[VALOR],tabela_registros[MÊS],$AE$1,tabela_registros[DIA],jantotal[[#Headers],[25]],tabela_registros[REGISTRO],DADOS!$N$4,tabela_registros[TIPO],DADOS!$P$3,tabela_registros[CATEGORIA],despesafixaconsolidado[[#This Row],[DESPESA FIXA]])</f>
        <v>0</v>
      </c>
      <c r="AD43" s="176">
        <f>SUMIFS(tabela_registros[VALOR],tabela_registros[MÊS],$AE$1,tabela_registros[DIA],jantotal[[#Headers],[26]],tabela_registros[REGISTRO],DADOS!$N$4,tabela_registros[TIPO],DADOS!$P$3,tabela_registros[CATEGORIA],despesafixaconsolidado[[#This Row],[DESPESA FIXA]])</f>
        <v>0</v>
      </c>
      <c r="AE43" s="176">
        <f>SUMIFS(tabela_registros[VALOR],tabela_registros[MÊS],$AE$1,tabela_registros[DIA],jantotal[[#Headers],[27]],tabela_registros[REGISTRO],DADOS!$N$4,tabela_registros[TIPO],DADOS!$P$3,tabela_registros[CATEGORIA],despesafixaconsolidado[[#This Row],[DESPESA FIXA]])</f>
        <v>0</v>
      </c>
      <c r="AF43" s="176">
        <f>SUMIFS(tabela_registros[VALOR],tabela_registros[MÊS],$AE$1,tabela_registros[DIA],jantotal[[#Headers],[28]],tabela_registros[REGISTRO],DADOS!$N$4,tabela_registros[TIPO],DADOS!$P$3,tabela_registros[CATEGORIA],despesafixaconsolidado[[#This Row],[DESPESA FIXA]])</f>
        <v>0</v>
      </c>
      <c r="AG43" s="176">
        <f>SUMIFS(tabela_registros[VALOR],tabela_registros[MÊS],$AE$1,tabela_registros[DIA],jantotal[[#Headers],[29]],tabela_registros[REGISTRO],DADOS!$N$4,tabela_registros[TIPO],DADOS!$P$3,tabela_registros[CATEGORIA],despesafixaconsolidado[[#This Row],[DESPESA FIXA]])</f>
        <v>0</v>
      </c>
      <c r="AH43" s="176">
        <f>SUMIFS(tabela_registros[VALOR],tabela_registros[MÊS],$AE$1,tabela_registros[DIA],jantotal[[#Headers],[30]],tabela_registros[REGISTRO],DADOS!$N$4,tabela_registros[TIPO],DADOS!$P$3,tabela_registros[CATEGORIA],despesafixaconsolidado[[#This Row],[DESPESA FIXA]])</f>
        <v>0</v>
      </c>
      <c r="AI43" s="190">
        <f>SUMIFS(tabela_registros[VALOR],tabela_registros[MÊS],$AE$1,tabela_registros[DIA],jantotal[[#Headers],[31]],tabela_registros[REGISTRO],DADOS!$N$4,tabela_registros[TIPO],DADOS!$P$3,tabela_registros[CATEGORIA],despesafixaconsolidado[[#This Row],[DESPESA FIXA]])</f>
        <v>0</v>
      </c>
      <c r="AJ43" s="167">
        <f>SUM(despesafixaconsolidado[[#This Row],[1]:[31]])</f>
        <v>0</v>
      </c>
      <c r="AK43" s="28"/>
    </row>
    <row r="44" spans="2:37" ht="18" customHeight="1" thickTop="1" thickBot="1" x14ac:dyDescent="0.3">
      <c r="B44" s="28"/>
      <c r="C44" s="27" t="str">
        <f>DADOS!$R$10</f>
        <v>👨‍👩‍👧 FAMÍLIA</v>
      </c>
      <c r="D44" s="26" t="str">
        <f>IF(despesafixaconsolidado[[#This Row],[TOTAL]]=0,"",IF(OR(despesafixaconsolidado[[#This Row],[TOTAL]]=LARGE($AJ$37:$AJ$50,1),despesafixaconsolidado[[#This Row],[TOTAL]]=LARGE($AJ$37:$AJ$50,2),despesafixaconsolidado[[#This Row],[TOTAL]]=LARGE($AJ$37:$AJ$50,3),despesafixaconsolidado[[#This Row],[TOTAL]]=LARGE($AJ$37:$AJ$50,4),despesafixaconsolidado[[#This Row],[TOTAL]]=LARGE($AJ$37:$AJ$50,5)),DADOS!$I$8,""))</f>
        <v/>
      </c>
      <c r="E44" s="189">
        <f>SUMIFS(tabela_registros[VALOR],tabela_registros[MÊS],$AE$1,tabela_registros[DIA],jantotal[[#Headers],[1]],tabela_registros[REGISTRO],DADOS!$N$4,tabela_registros[TIPO],DADOS!$P$3,tabela_registros[CATEGORIA],despesafixaconsolidado[[#This Row],[DESPESA FIXA]])</f>
        <v>0</v>
      </c>
      <c r="F44" s="176">
        <f>SUMIFS(tabela_registros[VALOR],tabela_registros[MÊS],$AE$1,tabela_registros[DIA],jantotal[[#Headers],[2]],tabela_registros[REGISTRO],DADOS!$N$4,tabela_registros[TIPO],DADOS!$P$3,tabela_registros[CATEGORIA],despesafixaconsolidado[[#This Row],[DESPESA FIXA]])</f>
        <v>0</v>
      </c>
      <c r="G44" s="176">
        <f>SUMIFS(tabela_registros[VALOR],tabela_registros[MÊS],$AE$1,tabela_registros[DIA],jantotal[[#Headers],[3]],tabela_registros[REGISTRO],DADOS!$N$4,tabela_registros[TIPO],DADOS!$P$3,tabela_registros[CATEGORIA],despesafixaconsolidado[[#This Row],[DESPESA FIXA]])</f>
        <v>0</v>
      </c>
      <c r="H44" s="176">
        <f>SUMIFS(tabela_registros[VALOR],tabela_registros[MÊS],$AE$1,tabela_registros[DIA],jantotal[[#Headers],[4]],tabela_registros[REGISTRO],DADOS!$N$4,tabela_registros[TIPO],DADOS!$P$3,tabela_registros[CATEGORIA],despesafixaconsolidado[[#This Row],[DESPESA FIXA]])</f>
        <v>0</v>
      </c>
      <c r="I44" s="176">
        <f>SUMIFS(tabela_registros[VALOR],tabela_registros[MÊS],$AE$1,tabela_registros[DIA],jantotal[[#Headers],[5]],tabela_registros[REGISTRO],DADOS!$N$4,tabela_registros[TIPO],DADOS!$P$3,tabela_registros[CATEGORIA],despesafixaconsolidado[[#This Row],[DESPESA FIXA]])</f>
        <v>0</v>
      </c>
      <c r="J44" s="176">
        <f>SUMIFS(tabela_registros[VALOR],tabela_registros[MÊS],$AE$1,tabela_registros[DIA],jantotal[[#Headers],[6]],tabela_registros[REGISTRO],DADOS!$N$4,tabela_registros[TIPO],DADOS!$P$3,tabela_registros[CATEGORIA],despesafixaconsolidado[[#This Row],[DESPESA FIXA]])</f>
        <v>0</v>
      </c>
      <c r="K44" s="176">
        <f>SUMIFS(tabela_registros[VALOR],tabela_registros[MÊS],$AE$1,tabela_registros[DIA],jantotal[[#Headers],[7]],tabela_registros[REGISTRO],DADOS!$N$4,tabela_registros[TIPO],DADOS!$P$3,tabela_registros[CATEGORIA],despesafixaconsolidado[[#This Row],[DESPESA FIXA]])</f>
        <v>0</v>
      </c>
      <c r="L44" s="176">
        <f>SUMIFS(tabela_registros[VALOR],tabela_registros[MÊS],$AE$1,tabela_registros[DIA],jantotal[[#Headers],[8]],tabela_registros[REGISTRO],DADOS!$N$4,tabela_registros[TIPO],DADOS!$P$3,tabela_registros[CATEGORIA],despesafixaconsolidado[[#This Row],[DESPESA FIXA]])</f>
        <v>0</v>
      </c>
      <c r="M44" s="176">
        <f>SUMIFS(tabela_registros[VALOR],tabela_registros[MÊS],$AE$1,tabela_registros[DIA],jantotal[[#Headers],[9]],tabela_registros[REGISTRO],DADOS!$N$4,tabela_registros[TIPO],DADOS!$P$3,tabela_registros[CATEGORIA],despesafixaconsolidado[[#This Row],[DESPESA FIXA]])</f>
        <v>0</v>
      </c>
      <c r="N44" s="176">
        <f>SUMIFS(tabela_registros[VALOR],tabela_registros[MÊS],$AE$1,tabela_registros[DIA],jantotal[[#Headers],[10]],tabela_registros[REGISTRO],DADOS!$N$4,tabela_registros[TIPO],DADOS!$P$3,tabela_registros[CATEGORIA],despesafixaconsolidado[[#This Row],[DESPESA FIXA]])</f>
        <v>0</v>
      </c>
      <c r="O44" s="176">
        <f>SUMIFS(tabela_registros[VALOR],tabela_registros[MÊS],$AE$1,tabela_registros[DIA],jantotal[[#Headers],[11]],tabela_registros[REGISTRO],DADOS!$N$4,tabela_registros[TIPO],DADOS!$P$3,tabela_registros[CATEGORIA],despesafixaconsolidado[[#This Row],[DESPESA FIXA]])</f>
        <v>0</v>
      </c>
      <c r="P44" s="176">
        <f>SUMIFS(tabela_registros[VALOR],tabela_registros[MÊS],$AE$1,tabela_registros[DIA],jantotal[[#Headers],[12]],tabela_registros[REGISTRO],DADOS!$N$4,tabela_registros[TIPO],DADOS!$P$3,tabela_registros[CATEGORIA],despesafixaconsolidado[[#This Row],[DESPESA FIXA]])</f>
        <v>0</v>
      </c>
      <c r="Q44" s="176">
        <f>SUMIFS(tabela_registros[VALOR],tabela_registros[MÊS],$AE$1,tabela_registros[DIA],jantotal[[#Headers],[13]],tabela_registros[REGISTRO],DADOS!$N$4,tabela_registros[TIPO],DADOS!$P$3,tabela_registros[CATEGORIA],despesafixaconsolidado[[#This Row],[DESPESA FIXA]])</f>
        <v>0</v>
      </c>
      <c r="R44" s="176">
        <f>SUMIFS(tabela_registros[VALOR],tabela_registros[MÊS],$AE$1,tabela_registros[DIA],jantotal[[#Headers],[14]],tabela_registros[REGISTRO],DADOS!$N$4,tabela_registros[TIPO],DADOS!$P$3,tabela_registros[CATEGORIA],despesafixaconsolidado[[#This Row],[DESPESA FIXA]])</f>
        <v>0</v>
      </c>
      <c r="S44" s="176">
        <f>SUMIFS(tabela_registros[VALOR],tabela_registros[MÊS],$AE$1,tabela_registros[DIA],jantotal[[#Headers],[15]],tabela_registros[REGISTRO],DADOS!$N$4,tabela_registros[TIPO],DADOS!$P$3,tabela_registros[CATEGORIA],despesafixaconsolidado[[#This Row],[DESPESA FIXA]])</f>
        <v>0</v>
      </c>
      <c r="T44" s="176">
        <f>SUMIFS(tabela_registros[VALOR],tabela_registros[MÊS],$AE$1,tabela_registros[DIA],jantotal[[#Headers],[16]],tabela_registros[REGISTRO],DADOS!$N$4,tabela_registros[TIPO],DADOS!$P$3,tabela_registros[CATEGORIA],despesafixaconsolidado[[#This Row],[DESPESA FIXA]])</f>
        <v>0</v>
      </c>
      <c r="U44" s="176">
        <f>SUMIFS(tabela_registros[VALOR],tabela_registros[MÊS],$AE$1,tabela_registros[DIA],jantotal[[#Headers],[17]],tabela_registros[REGISTRO],DADOS!$N$4,tabela_registros[TIPO],DADOS!$P$3,tabela_registros[CATEGORIA],despesafixaconsolidado[[#This Row],[DESPESA FIXA]])</f>
        <v>0</v>
      </c>
      <c r="V44" s="176">
        <f>SUMIFS(tabela_registros[VALOR],tabela_registros[MÊS],$AE$1,tabela_registros[DIA],jantotal[[#Headers],[18]],tabela_registros[REGISTRO],DADOS!$N$4,tabela_registros[TIPO],DADOS!$P$3,tabela_registros[CATEGORIA],despesafixaconsolidado[[#This Row],[DESPESA FIXA]])</f>
        <v>0</v>
      </c>
      <c r="W44" s="176">
        <f>SUMIFS(tabela_registros[VALOR],tabela_registros[MÊS],$AE$1,tabela_registros[DIA],jantotal[[#Headers],[19]],tabela_registros[REGISTRO],DADOS!$N$4,tabela_registros[TIPO],DADOS!$P$3,tabela_registros[CATEGORIA],despesafixaconsolidado[[#This Row],[DESPESA FIXA]])</f>
        <v>0</v>
      </c>
      <c r="X44" s="176">
        <f>SUMIFS(tabela_registros[VALOR],tabela_registros[MÊS],$AE$1,tabela_registros[DIA],jantotal[[#Headers],[20]],tabela_registros[REGISTRO],DADOS!$N$4,tabela_registros[TIPO],DADOS!$P$3,tabela_registros[CATEGORIA],despesafixaconsolidado[[#This Row],[DESPESA FIXA]])</f>
        <v>0</v>
      </c>
      <c r="Y44" s="176">
        <f>SUMIFS(tabela_registros[VALOR],tabela_registros[MÊS],$AE$1,tabela_registros[DIA],jantotal[[#Headers],[21]],tabela_registros[REGISTRO],DADOS!$N$4,tabela_registros[TIPO],DADOS!$P$3,tabela_registros[CATEGORIA],despesafixaconsolidado[[#This Row],[DESPESA FIXA]])</f>
        <v>0</v>
      </c>
      <c r="Z44" s="176">
        <f>SUMIFS(tabela_registros[VALOR],tabela_registros[MÊS],$AE$1,tabela_registros[DIA],jantotal[[#Headers],[22]],tabela_registros[REGISTRO],DADOS!$N$4,tabela_registros[TIPO],DADOS!$P$3,tabela_registros[CATEGORIA],despesafixaconsolidado[[#This Row],[DESPESA FIXA]])</f>
        <v>0</v>
      </c>
      <c r="AA44" s="176">
        <f>SUMIFS(tabela_registros[VALOR],tabela_registros[MÊS],$AE$1,tabela_registros[DIA],jantotal[[#Headers],[23]],tabela_registros[REGISTRO],DADOS!$N$4,tabela_registros[TIPO],DADOS!$P$3,tabela_registros[CATEGORIA],despesafixaconsolidado[[#This Row],[DESPESA FIXA]])</f>
        <v>0</v>
      </c>
      <c r="AB44" s="176">
        <f>SUMIFS(tabela_registros[VALOR],tabela_registros[MÊS],$AE$1,tabela_registros[DIA],jantotal[[#Headers],[24]],tabela_registros[REGISTRO],DADOS!$N$4,tabela_registros[TIPO],DADOS!$P$3,tabela_registros[CATEGORIA],despesafixaconsolidado[[#This Row],[DESPESA FIXA]])</f>
        <v>0</v>
      </c>
      <c r="AC44" s="176">
        <f>SUMIFS(tabela_registros[VALOR],tabela_registros[MÊS],$AE$1,tabela_registros[DIA],jantotal[[#Headers],[25]],tabela_registros[REGISTRO],DADOS!$N$4,tabela_registros[TIPO],DADOS!$P$3,tabela_registros[CATEGORIA],despesafixaconsolidado[[#This Row],[DESPESA FIXA]])</f>
        <v>0</v>
      </c>
      <c r="AD44" s="176">
        <f>SUMIFS(tabela_registros[VALOR],tabela_registros[MÊS],$AE$1,tabela_registros[DIA],jantotal[[#Headers],[26]],tabela_registros[REGISTRO],DADOS!$N$4,tabela_registros[TIPO],DADOS!$P$3,tabela_registros[CATEGORIA],despesafixaconsolidado[[#This Row],[DESPESA FIXA]])</f>
        <v>0</v>
      </c>
      <c r="AE44" s="176">
        <f>SUMIFS(tabela_registros[VALOR],tabela_registros[MÊS],$AE$1,tabela_registros[DIA],jantotal[[#Headers],[27]],tabela_registros[REGISTRO],DADOS!$N$4,tabela_registros[TIPO],DADOS!$P$3,tabela_registros[CATEGORIA],despesafixaconsolidado[[#This Row],[DESPESA FIXA]])</f>
        <v>0</v>
      </c>
      <c r="AF44" s="176">
        <f>SUMIFS(tabela_registros[VALOR],tabela_registros[MÊS],$AE$1,tabela_registros[DIA],jantotal[[#Headers],[28]],tabela_registros[REGISTRO],DADOS!$N$4,tabela_registros[TIPO],DADOS!$P$3,tabela_registros[CATEGORIA],despesafixaconsolidado[[#This Row],[DESPESA FIXA]])</f>
        <v>0</v>
      </c>
      <c r="AG44" s="176">
        <f>SUMIFS(tabela_registros[VALOR],tabela_registros[MÊS],$AE$1,tabela_registros[DIA],jantotal[[#Headers],[29]],tabela_registros[REGISTRO],DADOS!$N$4,tabela_registros[TIPO],DADOS!$P$3,tabela_registros[CATEGORIA],despesafixaconsolidado[[#This Row],[DESPESA FIXA]])</f>
        <v>0</v>
      </c>
      <c r="AH44" s="176">
        <f>SUMIFS(tabela_registros[VALOR],tabela_registros[MÊS],$AE$1,tabela_registros[DIA],jantotal[[#Headers],[30]],tabela_registros[REGISTRO],DADOS!$N$4,tabela_registros[TIPO],DADOS!$P$3,tabela_registros[CATEGORIA],despesafixaconsolidado[[#This Row],[DESPESA FIXA]])</f>
        <v>0</v>
      </c>
      <c r="AI44" s="190">
        <f>SUMIFS(tabela_registros[VALOR],tabela_registros[MÊS],$AE$1,tabela_registros[DIA],jantotal[[#Headers],[31]],tabela_registros[REGISTRO],DADOS!$N$4,tabela_registros[TIPO],DADOS!$P$3,tabela_registros[CATEGORIA],despesafixaconsolidado[[#This Row],[DESPESA FIXA]])</f>
        <v>0</v>
      </c>
      <c r="AJ44" s="167">
        <f>SUM(despesafixaconsolidado[[#This Row],[1]:[31]])</f>
        <v>0</v>
      </c>
      <c r="AK44" s="28"/>
    </row>
    <row r="45" spans="2:37" ht="18" customHeight="1" thickTop="1" thickBot="1" x14ac:dyDescent="0.3">
      <c r="B45" s="28"/>
      <c r="C45" s="27" t="str">
        <f>DADOS!$R$11</f>
        <v>🔢 IMPOSTOS</v>
      </c>
      <c r="D45" s="26" t="str">
        <f>IF(despesafixaconsolidado[[#This Row],[TOTAL]]=0,"",IF(OR(despesafixaconsolidado[[#This Row],[TOTAL]]=LARGE($AJ$37:$AJ$50,1),despesafixaconsolidado[[#This Row],[TOTAL]]=LARGE($AJ$37:$AJ$50,2),despesafixaconsolidado[[#This Row],[TOTAL]]=LARGE($AJ$37:$AJ$50,3),despesafixaconsolidado[[#This Row],[TOTAL]]=LARGE($AJ$37:$AJ$50,4),despesafixaconsolidado[[#This Row],[TOTAL]]=LARGE($AJ$37:$AJ$50,5)),DADOS!$I$8,""))</f>
        <v>💣</v>
      </c>
      <c r="E45" s="189">
        <f>SUMIFS(tabela_registros[VALOR],tabela_registros[MÊS],$AE$1,tabela_registros[DIA],jantotal[[#Headers],[1]],tabela_registros[REGISTRO],DADOS!$N$4,tabela_registros[TIPO],DADOS!$P$3,tabela_registros[CATEGORIA],despesafixaconsolidado[[#This Row],[DESPESA FIXA]])</f>
        <v>0</v>
      </c>
      <c r="F45" s="176">
        <f>SUMIFS(tabela_registros[VALOR],tabela_registros[MÊS],$AE$1,tabela_registros[DIA],jantotal[[#Headers],[2]],tabela_registros[REGISTRO],DADOS!$N$4,tabela_registros[TIPO],DADOS!$P$3,tabela_registros[CATEGORIA],despesafixaconsolidado[[#This Row],[DESPESA FIXA]])</f>
        <v>0</v>
      </c>
      <c r="G45" s="176">
        <f>SUMIFS(tabela_registros[VALOR],tabela_registros[MÊS],$AE$1,tabela_registros[DIA],jantotal[[#Headers],[3]],tabela_registros[REGISTRO],DADOS!$N$4,tabela_registros[TIPO],DADOS!$P$3,tabela_registros[CATEGORIA],despesafixaconsolidado[[#This Row],[DESPESA FIXA]])</f>
        <v>0</v>
      </c>
      <c r="H45" s="176">
        <f>SUMIFS(tabela_registros[VALOR],tabela_registros[MÊS],$AE$1,tabela_registros[DIA],jantotal[[#Headers],[4]],tabela_registros[REGISTRO],DADOS!$N$4,tabela_registros[TIPO],DADOS!$P$3,tabela_registros[CATEGORIA],despesafixaconsolidado[[#This Row],[DESPESA FIXA]])</f>
        <v>0</v>
      </c>
      <c r="I45" s="176">
        <f>SUMIFS(tabela_registros[VALOR],tabela_registros[MÊS],$AE$1,tabela_registros[DIA],jantotal[[#Headers],[5]],tabela_registros[REGISTRO],DADOS!$N$4,tabela_registros[TIPO],DADOS!$P$3,tabela_registros[CATEGORIA],despesafixaconsolidado[[#This Row],[DESPESA FIXA]])</f>
        <v>0</v>
      </c>
      <c r="J45" s="176">
        <f>SUMIFS(tabela_registros[VALOR],tabela_registros[MÊS],$AE$1,tabela_registros[DIA],jantotal[[#Headers],[6]],tabela_registros[REGISTRO],DADOS!$N$4,tabela_registros[TIPO],DADOS!$P$3,tabela_registros[CATEGORIA],despesafixaconsolidado[[#This Row],[DESPESA FIXA]])</f>
        <v>0</v>
      </c>
      <c r="K45" s="176">
        <f>SUMIFS(tabela_registros[VALOR],tabela_registros[MÊS],$AE$1,tabela_registros[DIA],jantotal[[#Headers],[7]],tabela_registros[REGISTRO],DADOS!$N$4,tabela_registros[TIPO],DADOS!$P$3,tabela_registros[CATEGORIA],despesafixaconsolidado[[#This Row],[DESPESA FIXA]])</f>
        <v>0</v>
      </c>
      <c r="L45" s="176">
        <f>SUMIFS(tabela_registros[VALOR],tabela_registros[MÊS],$AE$1,tabela_registros[DIA],jantotal[[#Headers],[8]],tabela_registros[REGISTRO],DADOS!$N$4,tabela_registros[TIPO],DADOS!$P$3,tabela_registros[CATEGORIA],despesafixaconsolidado[[#This Row],[DESPESA FIXA]])</f>
        <v>0</v>
      </c>
      <c r="M45" s="176">
        <f>SUMIFS(tabela_registros[VALOR],tabela_registros[MÊS],$AE$1,tabela_registros[DIA],jantotal[[#Headers],[9]],tabela_registros[REGISTRO],DADOS!$N$4,tabela_registros[TIPO],DADOS!$P$3,tabela_registros[CATEGORIA],despesafixaconsolidado[[#This Row],[DESPESA FIXA]])</f>
        <v>0</v>
      </c>
      <c r="N45" s="176">
        <f>SUMIFS(tabela_registros[VALOR],tabela_registros[MÊS],$AE$1,tabela_registros[DIA],jantotal[[#Headers],[10]],tabela_registros[REGISTRO],DADOS!$N$4,tabela_registros[TIPO],DADOS!$P$3,tabela_registros[CATEGORIA],despesafixaconsolidado[[#This Row],[DESPESA FIXA]])</f>
        <v>0</v>
      </c>
      <c r="O45" s="176">
        <f>SUMIFS(tabela_registros[VALOR],tabela_registros[MÊS],$AE$1,tabela_registros[DIA],jantotal[[#Headers],[11]],tabela_registros[REGISTRO],DADOS!$N$4,tabela_registros[TIPO],DADOS!$P$3,tabela_registros[CATEGORIA],despesafixaconsolidado[[#This Row],[DESPESA FIXA]])</f>
        <v>0</v>
      </c>
      <c r="P45" s="176">
        <f>SUMIFS(tabela_registros[VALOR],tabela_registros[MÊS],$AE$1,tabela_registros[DIA],jantotal[[#Headers],[12]],tabela_registros[REGISTRO],DADOS!$N$4,tabela_registros[TIPO],DADOS!$P$3,tabela_registros[CATEGORIA],despesafixaconsolidado[[#This Row],[DESPESA FIXA]])</f>
        <v>0</v>
      </c>
      <c r="Q45" s="176">
        <f>SUMIFS(tabela_registros[VALOR],tabela_registros[MÊS],$AE$1,tabela_registros[DIA],jantotal[[#Headers],[13]],tabela_registros[REGISTRO],DADOS!$N$4,tabela_registros[TIPO],DADOS!$P$3,tabela_registros[CATEGORIA],despesafixaconsolidado[[#This Row],[DESPESA FIXA]])</f>
        <v>107.78571428571399</v>
      </c>
      <c r="R45" s="176">
        <f>SUMIFS(tabela_registros[VALOR],tabela_registros[MÊS],$AE$1,tabela_registros[DIA],jantotal[[#Headers],[14]],tabela_registros[REGISTRO],DADOS!$N$4,tabela_registros[TIPO],DADOS!$P$3,tabela_registros[CATEGORIA],despesafixaconsolidado[[#This Row],[DESPESA FIXA]])</f>
        <v>0</v>
      </c>
      <c r="S45" s="176">
        <f>SUMIFS(tabela_registros[VALOR],tabela_registros[MÊS],$AE$1,tabela_registros[DIA],jantotal[[#Headers],[15]],tabela_registros[REGISTRO],DADOS!$N$4,tabela_registros[TIPO],DADOS!$P$3,tabela_registros[CATEGORIA],despesafixaconsolidado[[#This Row],[DESPESA FIXA]])</f>
        <v>0</v>
      </c>
      <c r="T45" s="176">
        <f>SUMIFS(tabela_registros[VALOR],tabela_registros[MÊS],$AE$1,tabela_registros[DIA],jantotal[[#Headers],[16]],tabela_registros[REGISTRO],DADOS!$N$4,tabela_registros[TIPO],DADOS!$P$3,tabela_registros[CATEGORIA],despesafixaconsolidado[[#This Row],[DESPESA FIXA]])</f>
        <v>0</v>
      </c>
      <c r="U45" s="176">
        <f>SUMIFS(tabela_registros[VALOR],tabela_registros[MÊS],$AE$1,tabela_registros[DIA],jantotal[[#Headers],[17]],tabela_registros[REGISTRO],DADOS!$N$4,tabela_registros[TIPO],DADOS!$P$3,tabela_registros[CATEGORIA],despesafixaconsolidado[[#This Row],[DESPESA FIXA]])</f>
        <v>0</v>
      </c>
      <c r="V45" s="176">
        <f>SUMIFS(tabela_registros[VALOR],tabela_registros[MÊS],$AE$1,tabela_registros[DIA],jantotal[[#Headers],[18]],tabela_registros[REGISTRO],DADOS!$N$4,tabela_registros[TIPO],DADOS!$P$3,tabela_registros[CATEGORIA],despesafixaconsolidado[[#This Row],[DESPESA FIXA]])</f>
        <v>0</v>
      </c>
      <c r="W45" s="176">
        <f>SUMIFS(tabela_registros[VALOR],tabela_registros[MÊS],$AE$1,tabela_registros[DIA],jantotal[[#Headers],[19]],tabela_registros[REGISTRO],DADOS!$N$4,tabela_registros[TIPO],DADOS!$P$3,tabela_registros[CATEGORIA],despesafixaconsolidado[[#This Row],[DESPESA FIXA]])</f>
        <v>0</v>
      </c>
      <c r="X45" s="176">
        <f>SUMIFS(tabela_registros[VALOR],tabela_registros[MÊS],$AE$1,tabela_registros[DIA],jantotal[[#Headers],[20]],tabela_registros[REGISTRO],DADOS!$N$4,tabela_registros[TIPO],DADOS!$P$3,tabela_registros[CATEGORIA],despesafixaconsolidado[[#This Row],[DESPESA FIXA]])</f>
        <v>0</v>
      </c>
      <c r="Y45" s="176">
        <f>SUMIFS(tabela_registros[VALOR],tabela_registros[MÊS],$AE$1,tabela_registros[DIA],jantotal[[#Headers],[21]],tabela_registros[REGISTRO],DADOS!$N$4,tabela_registros[TIPO],DADOS!$P$3,tabela_registros[CATEGORIA],despesafixaconsolidado[[#This Row],[DESPESA FIXA]])</f>
        <v>0</v>
      </c>
      <c r="Z45" s="176">
        <f>SUMIFS(tabela_registros[VALOR],tabela_registros[MÊS],$AE$1,tabela_registros[DIA],jantotal[[#Headers],[22]],tabela_registros[REGISTRO],DADOS!$N$4,tabela_registros[TIPO],DADOS!$P$3,tabela_registros[CATEGORIA],despesafixaconsolidado[[#This Row],[DESPESA FIXA]])</f>
        <v>0</v>
      </c>
      <c r="AA45" s="176">
        <f>SUMIFS(tabela_registros[VALOR],tabela_registros[MÊS],$AE$1,tabela_registros[DIA],jantotal[[#Headers],[23]],tabela_registros[REGISTRO],DADOS!$N$4,tabela_registros[TIPO],DADOS!$P$3,tabela_registros[CATEGORIA],despesafixaconsolidado[[#This Row],[DESPESA FIXA]])</f>
        <v>0</v>
      </c>
      <c r="AB45" s="176">
        <f>SUMIFS(tabela_registros[VALOR],tabela_registros[MÊS],$AE$1,tabela_registros[DIA],jantotal[[#Headers],[24]],tabela_registros[REGISTRO],DADOS!$N$4,tabela_registros[TIPO],DADOS!$P$3,tabela_registros[CATEGORIA],despesafixaconsolidado[[#This Row],[DESPESA FIXA]])</f>
        <v>0</v>
      </c>
      <c r="AC45" s="176">
        <f>SUMIFS(tabela_registros[VALOR],tabela_registros[MÊS],$AE$1,tabela_registros[DIA],jantotal[[#Headers],[25]],tabela_registros[REGISTRO],DADOS!$N$4,tabela_registros[TIPO],DADOS!$P$3,tabela_registros[CATEGORIA],despesafixaconsolidado[[#This Row],[DESPESA FIXA]])</f>
        <v>0</v>
      </c>
      <c r="AD45" s="176">
        <f>SUMIFS(tabela_registros[VALOR],tabela_registros[MÊS],$AE$1,tabela_registros[DIA],jantotal[[#Headers],[26]],tabela_registros[REGISTRO],DADOS!$N$4,tabela_registros[TIPO],DADOS!$P$3,tabela_registros[CATEGORIA],despesafixaconsolidado[[#This Row],[DESPESA FIXA]])</f>
        <v>0</v>
      </c>
      <c r="AE45" s="176">
        <f>SUMIFS(tabela_registros[VALOR],tabela_registros[MÊS],$AE$1,tabela_registros[DIA],jantotal[[#Headers],[27]],tabela_registros[REGISTRO],DADOS!$N$4,tabela_registros[TIPO],DADOS!$P$3,tabela_registros[CATEGORIA],despesafixaconsolidado[[#This Row],[DESPESA FIXA]])</f>
        <v>0</v>
      </c>
      <c r="AF45" s="176">
        <f>SUMIFS(tabela_registros[VALOR],tabela_registros[MÊS],$AE$1,tabela_registros[DIA],jantotal[[#Headers],[28]],tabela_registros[REGISTRO],DADOS!$N$4,tabela_registros[TIPO],DADOS!$P$3,tabela_registros[CATEGORIA],despesafixaconsolidado[[#This Row],[DESPESA FIXA]])</f>
        <v>0</v>
      </c>
      <c r="AG45" s="176">
        <f>SUMIFS(tabela_registros[VALOR],tabela_registros[MÊS],$AE$1,tabela_registros[DIA],jantotal[[#Headers],[29]],tabela_registros[REGISTRO],DADOS!$N$4,tabela_registros[TIPO],DADOS!$P$3,tabela_registros[CATEGORIA],despesafixaconsolidado[[#This Row],[DESPESA FIXA]])</f>
        <v>0</v>
      </c>
      <c r="AH45" s="176">
        <f>SUMIFS(tabela_registros[VALOR],tabela_registros[MÊS],$AE$1,tabela_registros[DIA],jantotal[[#Headers],[30]],tabela_registros[REGISTRO],DADOS!$N$4,tabela_registros[TIPO],DADOS!$P$3,tabela_registros[CATEGORIA],despesafixaconsolidado[[#This Row],[DESPESA FIXA]])</f>
        <v>0</v>
      </c>
      <c r="AI45" s="190">
        <f>SUMIFS(tabela_registros[VALOR],tabela_registros[MÊS],$AE$1,tabela_registros[DIA],jantotal[[#Headers],[31]],tabela_registros[REGISTRO],DADOS!$N$4,tabela_registros[TIPO],DADOS!$P$3,tabela_registros[CATEGORIA],despesafixaconsolidado[[#This Row],[DESPESA FIXA]])</f>
        <v>0</v>
      </c>
      <c r="AJ45" s="167">
        <f>SUM(despesafixaconsolidado[[#This Row],[1]:[31]])</f>
        <v>107.78571428571399</v>
      </c>
      <c r="AK45" s="28"/>
    </row>
    <row r="46" spans="2:37" ht="18" customHeight="1" thickTop="1" thickBot="1" x14ac:dyDescent="0.3">
      <c r="B46" s="28"/>
      <c r="C46" s="27" t="str">
        <f>DADOS!$R$12</f>
        <v>🖱️ INTERNET</v>
      </c>
      <c r="D46" s="26" t="str">
        <f>IF(despesafixaconsolidado[[#This Row],[TOTAL]]=0,"",IF(OR(despesafixaconsolidado[[#This Row],[TOTAL]]=LARGE($AJ$37:$AJ$50,1),despesafixaconsolidado[[#This Row],[TOTAL]]=LARGE($AJ$37:$AJ$50,2),despesafixaconsolidado[[#This Row],[TOTAL]]=LARGE($AJ$37:$AJ$50,3),despesafixaconsolidado[[#This Row],[TOTAL]]=LARGE($AJ$37:$AJ$50,4),despesafixaconsolidado[[#This Row],[TOTAL]]=LARGE($AJ$37:$AJ$50,5)),DADOS!$I$8,""))</f>
        <v/>
      </c>
      <c r="E46" s="189">
        <f>SUMIFS(tabela_registros[VALOR],tabela_registros[MÊS],$AE$1,tabela_registros[DIA],jantotal[[#Headers],[1]],tabela_registros[REGISTRO],DADOS!$N$4,tabela_registros[TIPO],DADOS!$P$3,tabela_registros[CATEGORIA],despesafixaconsolidado[[#This Row],[DESPESA FIXA]])</f>
        <v>0</v>
      </c>
      <c r="F46" s="176">
        <f>SUMIFS(tabela_registros[VALOR],tabela_registros[MÊS],$AE$1,tabela_registros[DIA],jantotal[[#Headers],[2]],tabela_registros[REGISTRO],DADOS!$N$4,tabela_registros[TIPO],DADOS!$P$3,tabela_registros[CATEGORIA],despesafixaconsolidado[[#This Row],[DESPESA FIXA]])</f>
        <v>0</v>
      </c>
      <c r="G46" s="176">
        <f>SUMIFS(tabela_registros[VALOR],tabela_registros[MÊS],$AE$1,tabela_registros[DIA],jantotal[[#Headers],[3]],tabela_registros[REGISTRO],DADOS!$N$4,tabela_registros[TIPO],DADOS!$P$3,tabela_registros[CATEGORIA],despesafixaconsolidado[[#This Row],[DESPESA FIXA]])</f>
        <v>0</v>
      </c>
      <c r="H46" s="176">
        <f>SUMIFS(tabela_registros[VALOR],tabela_registros[MÊS],$AE$1,tabela_registros[DIA],jantotal[[#Headers],[4]],tabela_registros[REGISTRO],DADOS!$N$4,tabela_registros[TIPO],DADOS!$P$3,tabela_registros[CATEGORIA],despesafixaconsolidado[[#This Row],[DESPESA FIXA]])</f>
        <v>0</v>
      </c>
      <c r="I46" s="176">
        <f>SUMIFS(tabela_registros[VALOR],tabela_registros[MÊS],$AE$1,tabela_registros[DIA],jantotal[[#Headers],[5]],tabela_registros[REGISTRO],DADOS!$N$4,tabela_registros[TIPO],DADOS!$P$3,tabela_registros[CATEGORIA],despesafixaconsolidado[[#This Row],[DESPESA FIXA]])</f>
        <v>0</v>
      </c>
      <c r="J46" s="176">
        <f>SUMIFS(tabela_registros[VALOR],tabela_registros[MÊS],$AE$1,tabela_registros[DIA],jantotal[[#Headers],[6]],tabela_registros[REGISTRO],DADOS!$N$4,tabela_registros[TIPO],DADOS!$P$3,tabela_registros[CATEGORIA],despesafixaconsolidado[[#This Row],[DESPESA FIXA]])</f>
        <v>0</v>
      </c>
      <c r="K46" s="176">
        <f>SUMIFS(tabela_registros[VALOR],tabela_registros[MÊS],$AE$1,tabela_registros[DIA],jantotal[[#Headers],[7]],tabela_registros[REGISTRO],DADOS!$N$4,tabela_registros[TIPO],DADOS!$P$3,tabela_registros[CATEGORIA],despesafixaconsolidado[[#This Row],[DESPESA FIXA]])</f>
        <v>0</v>
      </c>
      <c r="L46" s="176">
        <f>SUMIFS(tabela_registros[VALOR],tabela_registros[MÊS],$AE$1,tabela_registros[DIA],jantotal[[#Headers],[8]],tabela_registros[REGISTRO],DADOS!$N$4,tabela_registros[TIPO],DADOS!$P$3,tabela_registros[CATEGORIA],despesafixaconsolidado[[#This Row],[DESPESA FIXA]])</f>
        <v>0</v>
      </c>
      <c r="M46" s="176">
        <f>SUMIFS(tabela_registros[VALOR],tabela_registros[MÊS],$AE$1,tabela_registros[DIA],jantotal[[#Headers],[9]],tabela_registros[REGISTRO],DADOS!$N$4,tabela_registros[TIPO],DADOS!$P$3,tabela_registros[CATEGORIA],despesafixaconsolidado[[#This Row],[DESPESA FIXA]])</f>
        <v>0</v>
      </c>
      <c r="N46" s="176">
        <f>SUMIFS(tabela_registros[VALOR],tabela_registros[MÊS],$AE$1,tabela_registros[DIA],jantotal[[#Headers],[10]],tabela_registros[REGISTRO],DADOS!$N$4,tabela_registros[TIPO],DADOS!$P$3,tabela_registros[CATEGORIA],despesafixaconsolidado[[#This Row],[DESPESA FIXA]])</f>
        <v>0</v>
      </c>
      <c r="O46" s="176">
        <f>SUMIFS(tabela_registros[VALOR],tabela_registros[MÊS],$AE$1,tabela_registros[DIA],jantotal[[#Headers],[11]],tabela_registros[REGISTRO],DADOS!$N$4,tabela_registros[TIPO],DADOS!$P$3,tabela_registros[CATEGORIA],despesafixaconsolidado[[#This Row],[DESPESA FIXA]])</f>
        <v>0</v>
      </c>
      <c r="P46" s="176">
        <f>SUMIFS(tabela_registros[VALOR],tabela_registros[MÊS],$AE$1,tabela_registros[DIA],jantotal[[#Headers],[12]],tabela_registros[REGISTRO],DADOS!$N$4,tabela_registros[TIPO],DADOS!$P$3,tabela_registros[CATEGORIA],despesafixaconsolidado[[#This Row],[DESPESA FIXA]])</f>
        <v>0</v>
      </c>
      <c r="Q46" s="176">
        <f>SUMIFS(tabela_registros[VALOR],tabela_registros[MÊS],$AE$1,tabela_registros[DIA],jantotal[[#Headers],[13]],tabela_registros[REGISTRO],DADOS!$N$4,tabela_registros[TIPO],DADOS!$P$3,tabela_registros[CATEGORIA],despesafixaconsolidado[[#This Row],[DESPESA FIXA]])</f>
        <v>0</v>
      </c>
      <c r="R46" s="176">
        <f>SUMIFS(tabela_registros[VALOR],tabela_registros[MÊS],$AE$1,tabela_registros[DIA],jantotal[[#Headers],[14]],tabela_registros[REGISTRO],DADOS!$N$4,tabela_registros[TIPO],DADOS!$P$3,tabela_registros[CATEGORIA],despesafixaconsolidado[[#This Row],[DESPESA FIXA]])</f>
        <v>0</v>
      </c>
      <c r="S46" s="176">
        <f>SUMIFS(tabela_registros[VALOR],tabela_registros[MÊS],$AE$1,tabela_registros[DIA],jantotal[[#Headers],[15]],tabela_registros[REGISTRO],DADOS!$N$4,tabela_registros[TIPO],DADOS!$P$3,tabela_registros[CATEGORIA],despesafixaconsolidado[[#This Row],[DESPESA FIXA]])</f>
        <v>0</v>
      </c>
      <c r="T46" s="176">
        <f>SUMIFS(tabela_registros[VALOR],tabela_registros[MÊS],$AE$1,tabela_registros[DIA],jantotal[[#Headers],[16]],tabela_registros[REGISTRO],DADOS!$N$4,tabela_registros[TIPO],DADOS!$P$3,tabela_registros[CATEGORIA],despesafixaconsolidado[[#This Row],[DESPESA FIXA]])</f>
        <v>0</v>
      </c>
      <c r="U46" s="176">
        <f>SUMIFS(tabela_registros[VALOR],tabela_registros[MÊS],$AE$1,tabela_registros[DIA],jantotal[[#Headers],[17]],tabela_registros[REGISTRO],DADOS!$N$4,tabela_registros[TIPO],DADOS!$P$3,tabela_registros[CATEGORIA],despesafixaconsolidado[[#This Row],[DESPESA FIXA]])</f>
        <v>0</v>
      </c>
      <c r="V46" s="176">
        <f>SUMIFS(tabela_registros[VALOR],tabela_registros[MÊS],$AE$1,tabela_registros[DIA],jantotal[[#Headers],[18]],tabela_registros[REGISTRO],DADOS!$N$4,tabela_registros[TIPO],DADOS!$P$3,tabela_registros[CATEGORIA],despesafixaconsolidado[[#This Row],[DESPESA FIXA]])</f>
        <v>0</v>
      </c>
      <c r="W46" s="176">
        <f>SUMIFS(tabela_registros[VALOR],tabela_registros[MÊS],$AE$1,tabela_registros[DIA],jantotal[[#Headers],[19]],tabela_registros[REGISTRO],DADOS!$N$4,tabela_registros[TIPO],DADOS!$P$3,tabela_registros[CATEGORIA],despesafixaconsolidado[[#This Row],[DESPESA FIXA]])</f>
        <v>0</v>
      </c>
      <c r="X46" s="176">
        <f>SUMIFS(tabela_registros[VALOR],tabela_registros[MÊS],$AE$1,tabela_registros[DIA],jantotal[[#Headers],[20]],tabela_registros[REGISTRO],DADOS!$N$4,tabela_registros[TIPO],DADOS!$P$3,tabela_registros[CATEGORIA],despesafixaconsolidado[[#This Row],[DESPESA FIXA]])</f>
        <v>0</v>
      </c>
      <c r="Y46" s="176">
        <f>SUMIFS(tabela_registros[VALOR],tabela_registros[MÊS],$AE$1,tabela_registros[DIA],jantotal[[#Headers],[21]],tabela_registros[REGISTRO],DADOS!$N$4,tabela_registros[TIPO],DADOS!$P$3,tabela_registros[CATEGORIA],despesafixaconsolidado[[#This Row],[DESPESA FIXA]])</f>
        <v>0</v>
      </c>
      <c r="Z46" s="176">
        <f>SUMIFS(tabela_registros[VALOR],tabela_registros[MÊS],$AE$1,tabela_registros[DIA],jantotal[[#Headers],[22]],tabela_registros[REGISTRO],DADOS!$N$4,tabela_registros[TIPO],DADOS!$P$3,tabela_registros[CATEGORIA],despesafixaconsolidado[[#This Row],[DESPESA FIXA]])</f>
        <v>0</v>
      </c>
      <c r="AA46" s="176">
        <f>SUMIFS(tabela_registros[VALOR],tabela_registros[MÊS],$AE$1,tabela_registros[DIA],jantotal[[#Headers],[23]],tabela_registros[REGISTRO],DADOS!$N$4,tabela_registros[TIPO],DADOS!$P$3,tabela_registros[CATEGORIA],despesafixaconsolidado[[#This Row],[DESPESA FIXA]])</f>
        <v>0</v>
      </c>
      <c r="AB46" s="176">
        <f>SUMIFS(tabela_registros[VALOR],tabela_registros[MÊS],$AE$1,tabela_registros[DIA],jantotal[[#Headers],[24]],tabela_registros[REGISTRO],DADOS!$N$4,tabela_registros[TIPO],DADOS!$P$3,tabela_registros[CATEGORIA],despesafixaconsolidado[[#This Row],[DESPESA FIXA]])</f>
        <v>0</v>
      </c>
      <c r="AC46" s="176">
        <f>SUMIFS(tabela_registros[VALOR],tabela_registros[MÊS],$AE$1,tabela_registros[DIA],jantotal[[#Headers],[25]],tabela_registros[REGISTRO],DADOS!$N$4,tabela_registros[TIPO],DADOS!$P$3,tabela_registros[CATEGORIA],despesafixaconsolidado[[#This Row],[DESPESA FIXA]])</f>
        <v>0</v>
      </c>
      <c r="AD46" s="176">
        <f>SUMIFS(tabela_registros[VALOR],tabela_registros[MÊS],$AE$1,tabela_registros[DIA],jantotal[[#Headers],[26]],tabela_registros[REGISTRO],DADOS!$N$4,tabela_registros[TIPO],DADOS!$P$3,tabela_registros[CATEGORIA],despesafixaconsolidado[[#This Row],[DESPESA FIXA]])</f>
        <v>0</v>
      </c>
      <c r="AE46" s="176">
        <f>SUMIFS(tabela_registros[VALOR],tabela_registros[MÊS],$AE$1,tabela_registros[DIA],jantotal[[#Headers],[27]],tabela_registros[REGISTRO],DADOS!$N$4,tabela_registros[TIPO],DADOS!$P$3,tabela_registros[CATEGORIA],despesafixaconsolidado[[#This Row],[DESPESA FIXA]])</f>
        <v>0</v>
      </c>
      <c r="AF46" s="176">
        <f>SUMIFS(tabela_registros[VALOR],tabela_registros[MÊS],$AE$1,tabela_registros[DIA],jantotal[[#Headers],[28]],tabela_registros[REGISTRO],DADOS!$N$4,tabela_registros[TIPO],DADOS!$P$3,tabela_registros[CATEGORIA],despesafixaconsolidado[[#This Row],[DESPESA FIXA]])</f>
        <v>0</v>
      </c>
      <c r="AG46" s="176">
        <f>SUMIFS(tabela_registros[VALOR],tabela_registros[MÊS],$AE$1,tabela_registros[DIA],jantotal[[#Headers],[29]],tabela_registros[REGISTRO],DADOS!$N$4,tabela_registros[TIPO],DADOS!$P$3,tabela_registros[CATEGORIA],despesafixaconsolidado[[#This Row],[DESPESA FIXA]])</f>
        <v>0</v>
      </c>
      <c r="AH46" s="176">
        <f>SUMIFS(tabela_registros[VALOR],tabela_registros[MÊS],$AE$1,tabela_registros[DIA],jantotal[[#Headers],[30]],tabela_registros[REGISTRO],DADOS!$N$4,tabela_registros[TIPO],DADOS!$P$3,tabela_registros[CATEGORIA],despesafixaconsolidado[[#This Row],[DESPESA FIXA]])</f>
        <v>0</v>
      </c>
      <c r="AI46" s="190">
        <f>SUMIFS(tabela_registros[VALOR],tabela_registros[MÊS],$AE$1,tabela_registros[DIA],jantotal[[#Headers],[31]],tabela_registros[REGISTRO],DADOS!$N$4,tabela_registros[TIPO],DADOS!$P$3,tabela_registros[CATEGORIA],despesafixaconsolidado[[#This Row],[DESPESA FIXA]])</f>
        <v>0</v>
      </c>
      <c r="AJ46" s="167">
        <f>SUM(despesafixaconsolidado[[#This Row],[1]:[31]])</f>
        <v>0</v>
      </c>
      <c r="AK46" s="28"/>
    </row>
    <row r="47" spans="2:37" ht="18" customHeight="1" thickTop="1" thickBot="1" x14ac:dyDescent="0.3">
      <c r="B47" s="28"/>
      <c r="C47" s="27" t="str">
        <f>DADOS!$R$13</f>
        <v>🏠 MORADIA</v>
      </c>
      <c r="D47" s="26" t="str">
        <f>IF(despesafixaconsolidado[[#This Row],[TOTAL]]=0,"",IF(OR(despesafixaconsolidado[[#This Row],[TOTAL]]=LARGE($AJ$37:$AJ$50,1),despesafixaconsolidado[[#This Row],[TOTAL]]=LARGE($AJ$37:$AJ$50,2),despesafixaconsolidado[[#This Row],[TOTAL]]=LARGE($AJ$37:$AJ$50,3),despesafixaconsolidado[[#This Row],[TOTAL]]=LARGE($AJ$37:$AJ$50,4),despesafixaconsolidado[[#This Row],[TOTAL]]=LARGE($AJ$37:$AJ$50,5)),DADOS!$I$8,""))</f>
        <v/>
      </c>
      <c r="E47" s="189">
        <f>SUMIFS(tabela_registros[VALOR],tabela_registros[MÊS],$AE$1,tabela_registros[DIA],jantotal[[#Headers],[1]],tabela_registros[REGISTRO],DADOS!$N$4,tabela_registros[TIPO],DADOS!$P$3,tabela_registros[CATEGORIA],despesafixaconsolidado[[#This Row],[DESPESA FIXA]])</f>
        <v>0</v>
      </c>
      <c r="F47" s="176">
        <f>SUMIFS(tabela_registros[VALOR],tabela_registros[MÊS],$AE$1,tabela_registros[DIA],jantotal[[#Headers],[2]],tabela_registros[REGISTRO],DADOS!$N$4,tabela_registros[TIPO],DADOS!$P$3,tabela_registros[CATEGORIA],despesafixaconsolidado[[#This Row],[DESPESA FIXA]])</f>
        <v>0</v>
      </c>
      <c r="G47" s="176">
        <f>SUMIFS(tabela_registros[VALOR],tabela_registros[MÊS],$AE$1,tabela_registros[DIA],jantotal[[#Headers],[3]],tabela_registros[REGISTRO],DADOS!$N$4,tabela_registros[TIPO],DADOS!$P$3,tabela_registros[CATEGORIA],despesafixaconsolidado[[#This Row],[DESPESA FIXA]])</f>
        <v>0</v>
      </c>
      <c r="H47" s="176">
        <f>SUMIFS(tabela_registros[VALOR],tabela_registros[MÊS],$AE$1,tabela_registros[DIA],jantotal[[#Headers],[4]],tabela_registros[REGISTRO],DADOS!$N$4,tabela_registros[TIPO],DADOS!$P$3,tabela_registros[CATEGORIA],despesafixaconsolidado[[#This Row],[DESPESA FIXA]])</f>
        <v>0</v>
      </c>
      <c r="I47" s="176">
        <f>SUMIFS(tabela_registros[VALOR],tabela_registros[MÊS],$AE$1,tabela_registros[DIA],jantotal[[#Headers],[5]],tabela_registros[REGISTRO],DADOS!$N$4,tabela_registros[TIPO],DADOS!$P$3,tabela_registros[CATEGORIA],despesafixaconsolidado[[#This Row],[DESPESA FIXA]])</f>
        <v>0</v>
      </c>
      <c r="J47" s="176">
        <f>SUMIFS(tabela_registros[VALOR],tabela_registros[MÊS],$AE$1,tabela_registros[DIA],jantotal[[#Headers],[6]],tabela_registros[REGISTRO],DADOS!$N$4,tabela_registros[TIPO],DADOS!$P$3,tabela_registros[CATEGORIA],despesafixaconsolidado[[#This Row],[DESPESA FIXA]])</f>
        <v>0</v>
      </c>
      <c r="K47" s="176">
        <f>SUMIFS(tabela_registros[VALOR],tabela_registros[MÊS],$AE$1,tabela_registros[DIA],jantotal[[#Headers],[7]],tabela_registros[REGISTRO],DADOS!$N$4,tabela_registros[TIPO],DADOS!$P$3,tabela_registros[CATEGORIA],despesafixaconsolidado[[#This Row],[DESPESA FIXA]])</f>
        <v>0</v>
      </c>
      <c r="L47" s="176">
        <f>SUMIFS(tabela_registros[VALOR],tabela_registros[MÊS],$AE$1,tabela_registros[DIA],jantotal[[#Headers],[8]],tabela_registros[REGISTRO],DADOS!$N$4,tabela_registros[TIPO],DADOS!$P$3,tabela_registros[CATEGORIA],despesafixaconsolidado[[#This Row],[DESPESA FIXA]])</f>
        <v>0</v>
      </c>
      <c r="M47" s="176">
        <f>SUMIFS(tabela_registros[VALOR],tabela_registros[MÊS],$AE$1,tabela_registros[DIA],jantotal[[#Headers],[9]],tabela_registros[REGISTRO],DADOS!$N$4,tabela_registros[TIPO],DADOS!$P$3,tabela_registros[CATEGORIA],despesafixaconsolidado[[#This Row],[DESPESA FIXA]])</f>
        <v>0</v>
      </c>
      <c r="N47" s="176">
        <f>SUMIFS(tabela_registros[VALOR],tabela_registros[MÊS],$AE$1,tabela_registros[DIA],jantotal[[#Headers],[10]],tabela_registros[REGISTRO],DADOS!$N$4,tabela_registros[TIPO],DADOS!$P$3,tabela_registros[CATEGORIA],despesafixaconsolidado[[#This Row],[DESPESA FIXA]])</f>
        <v>0</v>
      </c>
      <c r="O47" s="176">
        <f>SUMIFS(tabela_registros[VALOR],tabela_registros[MÊS],$AE$1,tabela_registros[DIA],jantotal[[#Headers],[11]],tabela_registros[REGISTRO],DADOS!$N$4,tabela_registros[TIPO],DADOS!$P$3,tabela_registros[CATEGORIA],despesafixaconsolidado[[#This Row],[DESPESA FIXA]])</f>
        <v>0</v>
      </c>
      <c r="P47" s="176">
        <f>SUMIFS(tabela_registros[VALOR],tabela_registros[MÊS],$AE$1,tabela_registros[DIA],jantotal[[#Headers],[12]],tabela_registros[REGISTRO],DADOS!$N$4,tabela_registros[TIPO],DADOS!$P$3,tabela_registros[CATEGORIA],despesafixaconsolidado[[#This Row],[DESPESA FIXA]])</f>
        <v>0</v>
      </c>
      <c r="Q47" s="176">
        <f>SUMIFS(tabela_registros[VALOR],tabela_registros[MÊS],$AE$1,tabela_registros[DIA],jantotal[[#Headers],[13]],tabela_registros[REGISTRO],DADOS!$N$4,tabela_registros[TIPO],DADOS!$P$3,tabela_registros[CATEGORIA],despesafixaconsolidado[[#This Row],[DESPESA FIXA]])</f>
        <v>0</v>
      </c>
      <c r="R47" s="176">
        <f>SUMIFS(tabela_registros[VALOR],tabela_registros[MÊS],$AE$1,tabela_registros[DIA],jantotal[[#Headers],[14]],tabela_registros[REGISTRO],DADOS!$N$4,tabela_registros[TIPO],DADOS!$P$3,tabela_registros[CATEGORIA],despesafixaconsolidado[[#This Row],[DESPESA FIXA]])</f>
        <v>0</v>
      </c>
      <c r="S47" s="176">
        <f>SUMIFS(tabela_registros[VALOR],tabela_registros[MÊS],$AE$1,tabela_registros[DIA],jantotal[[#Headers],[15]],tabela_registros[REGISTRO],DADOS!$N$4,tabela_registros[TIPO],DADOS!$P$3,tabela_registros[CATEGORIA],despesafixaconsolidado[[#This Row],[DESPESA FIXA]])</f>
        <v>0</v>
      </c>
      <c r="T47" s="176">
        <f>SUMIFS(tabela_registros[VALOR],tabela_registros[MÊS],$AE$1,tabela_registros[DIA],jantotal[[#Headers],[16]],tabela_registros[REGISTRO],DADOS!$N$4,tabela_registros[TIPO],DADOS!$P$3,tabela_registros[CATEGORIA],despesafixaconsolidado[[#This Row],[DESPESA FIXA]])</f>
        <v>0</v>
      </c>
      <c r="U47" s="176">
        <f>SUMIFS(tabela_registros[VALOR],tabela_registros[MÊS],$AE$1,tabela_registros[DIA],jantotal[[#Headers],[17]],tabela_registros[REGISTRO],DADOS!$N$4,tabela_registros[TIPO],DADOS!$P$3,tabela_registros[CATEGORIA],despesafixaconsolidado[[#This Row],[DESPESA FIXA]])</f>
        <v>0</v>
      </c>
      <c r="V47" s="176">
        <f>SUMIFS(tabela_registros[VALOR],tabela_registros[MÊS],$AE$1,tabela_registros[DIA],jantotal[[#Headers],[18]],tabela_registros[REGISTRO],DADOS!$N$4,tabela_registros[TIPO],DADOS!$P$3,tabela_registros[CATEGORIA],despesafixaconsolidado[[#This Row],[DESPESA FIXA]])</f>
        <v>0</v>
      </c>
      <c r="W47" s="176">
        <f>SUMIFS(tabela_registros[VALOR],tabela_registros[MÊS],$AE$1,tabela_registros[DIA],jantotal[[#Headers],[19]],tabela_registros[REGISTRO],DADOS!$N$4,tabela_registros[TIPO],DADOS!$P$3,tabela_registros[CATEGORIA],despesafixaconsolidado[[#This Row],[DESPESA FIXA]])</f>
        <v>0</v>
      </c>
      <c r="X47" s="176">
        <f>SUMIFS(tabela_registros[VALOR],tabela_registros[MÊS],$AE$1,tabela_registros[DIA],jantotal[[#Headers],[20]],tabela_registros[REGISTRO],DADOS!$N$4,tabela_registros[TIPO],DADOS!$P$3,tabela_registros[CATEGORIA],despesafixaconsolidado[[#This Row],[DESPESA FIXA]])</f>
        <v>0</v>
      </c>
      <c r="Y47" s="176">
        <f>SUMIFS(tabela_registros[VALOR],tabela_registros[MÊS],$AE$1,tabela_registros[DIA],jantotal[[#Headers],[21]],tabela_registros[REGISTRO],DADOS!$N$4,tabela_registros[TIPO],DADOS!$P$3,tabela_registros[CATEGORIA],despesafixaconsolidado[[#This Row],[DESPESA FIXA]])</f>
        <v>0</v>
      </c>
      <c r="Z47" s="176">
        <f>SUMIFS(tabela_registros[VALOR],tabela_registros[MÊS],$AE$1,tabela_registros[DIA],jantotal[[#Headers],[22]],tabela_registros[REGISTRO],DADOS!$N$4,tabela_registros[TIPO],DADOS!$P$3,tabela_registros[CATEGORIA],despesafixaconsolidado[[#This Row],[DESPESA FIXA]])</f>
        <v>0</v>
      </c>
      <c r="AA47" s="176">
        <f>SUMIFS(tabela_registros[VALOR],tabela_registros[MÊS],$AE$1,tabela_registros[DIA],jantotal[[#Headers],[23]],tabela_registros[REGISTRO],DADOS!$N$4,tabela_registros[TIPO],DADOS!$P$3,tabela_registros[CATEGORIA],despesafixaconsolidado[[#This Row],[DESPESA FIXA]])</f>
        <v>0</v>
      </c>
      <c r="AB47" s="176">
        <f>SUMIFS(tabela_registros[VALOR],tabela_registros[MÊS],$AE$1,tabela_registros[DIA],jantotal[[#Headers],[24]],tabela_registros[REGISTRO],DADOS!$N$4,tabela_registros[TIPO],DADOS!$P$3,tabela_registros[CATEGORIA],despesafixaconsolidado[[#This Row],[DESPESA FIXA]])</f>
        <v>0</v>
      </c>
      <c r="AC47" s="176">
        <f>SUMIFS(tabela_registros[VALOR],tabela_registros[MÊS],$AE$1,tabela_registros[DIA],jantotal[[#Headers],[25]],tabela_registros[REGISTRO],DADOS!$N$4,tabela_registros[TIPO],DADOS!$P$3,tabela_registros[CATEGORIA],despesafixaconsolidado[[#This Row],[DESPESA FIXA]])</f>
        <v>0</v>
      </c>
      <c r="AD47" s="176">
        <f>SUMIFS(tabela_registros[VALOR],tabela_registros[MÊS],$AE$1,tabela_registros[DIA],jantotal[[#Headers],[26]],tabela_registros[REGISTRO],DADOS!$N$4,tabela_registros[TIPO],DADOS!$P$3,tabela_registros[CATEGORIA],despesafixaconsolidado[[#This Row],[DESPESA FIXA]])</f>
        <v>0</v>
      </c>
      <c r="AE47" s="176">
        <f>SUMIFS(tabela_registros[VALOR],tabela_registros[MÊS],$AE$1,tabela_registros[DIA],jantotal[[#Headers],[27]],tabela_registros[REGISTRO],DADOS!$N$4,tabela_registros[TIPO],DADOS!$P$3,tabela_registros[CATEGORIA],despesafixaconsolidado[[#This Row],[DESPESA FIXA]])</f>
        <v>0</v>
      </c>
      <c r="AF47" s="176">
        <f>SUMIFS(tabela_registros[VALOR],tabela_registros[MÊS],$AE$1,tabela_registros[DIA],jantotal[[#Headers],[28]],tabela_registros[REGISTRO],DADOS!$N$4,tabela_registros[TIPO],DADOS!$P$3,tabela_registros[CATEGORIA],despesafixaconsolidado[[#This Row],[DESPESA FIXA]])</f>
        <v>0</v>
      </c>
      <c r="AG47" s="176">
        <f>SUMIFS(tabela_registros[VALOR],tabela_registros[MÊS],$AE$1,tabela_registros[DIA],jantotal[[#Headers],[29]],tabela_registros[REGISTRO],DADOS!$N$4,tabela_registros[TIPO],DADOS!$P$3,tabela_registros[CATEGORIA],despesafixaconsolidado[[#This Row],[DESPESA FIXA]])</f>
        <v>0</v>
      </c>
      <c r="AH47" s="176">
        <f>SUMIFS(tabela_registros[VALOR],tabela_registros[MÊS],$AE$1,tabela_registros[DIA],jantotal[[#Headers],[30]],tabela_registros[REGISTRO],DADOS!$N$4,tabela_registros[TIPO],DADOS!$P$3,tabela_registros[CATEGORIA],despesafixaconsolidado[[#This Row],[DESPESA FIXA]])</f>
        <v>0</v>
      </c>
      <c r="AI47" s="190">
        <f>SUMIFS(tabela_registros[VALOR],tabela_registros[MÊS],$AE$1,tabela_registros[DIA],jantotal[[#Headers],[31]],tabela_registros[REGISTRO],DADOS!$N$4,tabela_registros[TIPO],DADOS!$P$3,tabela_registros[CATEGORIA],despesafixaconsolidado[[#This Row],[DESPESA FIXA]])</f>
        <v>0</v>
      </c>
      <c r="AJ47" s="167">
        <f>SUM(despesafixaconsolidado[[#This Row],[1]:[31]])</f>
        <v>0</v>
      </c>
      <c r="AK47" s="28"/>
    </row>
    <row r="48" spans="2:37" ht="18" customHeight="1" thickTop="1" thickBot="1" x14ac:dyDescent="0.3">
      <c r="B48" s="28"/>
      <c r="C48" s="27" t="str">
        <f>DADOS!$R$14</f>
        <v>💊 SAÚDE</v>
      </c>
      <c r="D48" s="26" t="str">
        <f>IF(despesafixaconsolidado[[#This Row],[TOTAL]]=0,"",IF(OR(despesafixaconsolidado[[#This Row],[TOTAL]]=LARGE($AJ$37:$AJ$50,1),despesafixaconsolidado[[#This Row],[TOTAL]]=LARGE($AJ$37:$AJ$50,2),despesafixaconsolidado[[#This Row],[TOTAL]]=LARGE($AJ$37:$AJ$50,3),despesafixaconsolidado[[#This Row],[TOTAL]]=LARGE($AJ$37:$AJ$50,4),despesafixaconsolidado[[#This Row],[TOTAL]]=LARGE($AJ$37:$AJ$50,5)),DADOS!$I$8,""))</f>
        <v/>
      </c>
      <c r="E48" s="189">
        <f>SUMIFS(tabela_registros[VALOR],tabela_registros[MÊS],$AE$1,tabela_registros[DIA],jantotal[[#Headers],[1]],tabela_registros[REGISTRO],DADOS!$N$4,tabela_registros[TIPO],DADOS!$P$3,tabela_registros[CATEGORIA],despesafixaconsolidado[[#This Row],[DESPESA FIXA]])</f>
        <v>0</v>
      </c>
      <c r="F48" s="176">
        <f>SUMIFS(tabela_registros[VALOR],tabela_registros[MÊS],$AE$1,tabela_registros[DIA],jantotal[[#Headers],[2]],tabela_registros[REGISTRO],DADOS!$N$4,tabela_registros[TIPO],DADOS!$P$3,tabela_registros[CATEGORIA],despesafixaconsolidado[[#This Row],[DESPESA FIXA]])</f>
        <v>0</v>
      </c>
      <c r="G48" s="176">
        <f>SUMIFS(tabela_registros[VALOR],tabela_registros[MÊS],$AE$1,tabela_registros[DIA],jantotal[[#Headers],[3]],tabela_registros[REGISTRO],DADOS!$N$4,tabela_registros[TIPO],DADOS!$P$3,tabela_registros[CATEGORIA],despesafixaconsolidado[[#This Row],[DESPESA FIXA]])</f>
        <v>0</v>
      </c>
      <c r="H48" s="176">
        <f>SUMIFS(tabela_registros[VALOR],tabela_registros[MÊS],$AE$1,tabela_registros[DIA],jantotal[[#Headers],[4]],tabela_registros[REGISTRO],DADOS!$N$4,tabela_registros[TIPO],DADOS!$P$3,tabela_registros[CATEGORIA],despesafixaconsolidado[[#This Row],[DESPESA FIXA]])</f>
        <v>0</v>
      </c>
      <c r="I48" s="176">
        <f>SUMIFS(tabela_registros[VALOR],tabela_registros[MÊS],$AE$1,tabela_registros[DIA],jantotal[[#Headers],[5]],tabela_registros[REGISTRO],DADOS!$N$4,tabela_registros[TIPO],DADOS!$P$3,tabela_registros[CATEGORIA],despesafixaconsolidado[[#This Row],[DESPESA FIXA]])</f>
        <v>0</v>
      </c>
      <c r="J48" s="176">
        <f>SUMIFS(tabela_registros[VALOR],tabela_registros[MÊS],$AE$1,tabela_registros[DIA],jantotal[[#Headers],[6]],tabela_registros[REGISTRO],DADOS!$N$4,tabela_registros[TIPO],DADOS!$P$3,tabela_registros[CATEGORIA],despesafixaconsolidado[[#This Row],[DESPESA FIXA]])</f>
        <v>0</v>
      </c>
      <c r="K48" s="176">
        <f>SUMIFS(tabela_registros[VALOR],tabela_registros[MÊS],$AE$1,tabela_registros[DIA],jantotal[[#Headers],[7]],tabela_registros[REGISTRO],DADOS!$N$4,tabela_registros[TIPO],DADOS!$P$3,tabela_registros[CATEGORIA],despesafixaconsolidado[[#This Row],[DESPESA FIXA]])</f>
        <v>0</v>
      </c>
      <c r="L48" s="176">
        <f>SUMIFS(tabela_registros[VALOR],tabela_registros[MÊS],$AE$1,tabela_registros[DIA],jantotal[[#Headers],[8]],tabela_registros[REGISTRO],DADOS!$N$4,tabela_registros[TIPO],DADOS!$P$3,tabela_registros[CATEGORIA],despesafixaconsolidado[[#This Row],[DESPESA FIXA]])</f>
        <v>0</v>
      </c>
      <c r="M48" s="176">
        <f>SUMIFS(tabela_registros[VALOR],tabela_registros[MÊS],$AE$1,tabela_registros[DIA],jantotal[[#Headers],[9]],tabela_registros[REGISTRO],DADOS!$N$4,tabela_registros[TIPO],DADOS!$P$3,tabela_registros[CATEGORIA],despesafixaconsolidado[[#This Row],[DESPESA FIXA]])</f>
        <v>0</v>
      </c>
      <c r="N48" s="176">
        <f>SUMIFS(tabela_registros[VALOR],tabela_registros[MÊS],$AE$1,tabela_registros[DIA],jantotal[[#Headers],[10]],tabela_registros[REGISTRO],DADOS!$N$4,tabela_registros[TIPO],DADOS!$P$3,tabela_registros[CATEGORIA],despesafixaconsolidado[[#This Row],[DESPESA FIXA]])</f>
        <v>0</v>
      </c>
      <c r="O48" s="176">
        <f>SUMIFS(tabela_registros[VALOR],tabela_registros[MÊS],$AE$1,tabela_registros[DIA],jantotal[[#Headers],[11]],tabela_registros[REGISTRO],DADOS!$N$4,tabela_registros[TIPO],DADOS!$P$3,tabela_registros[CATEGORIA],despesafixaconsolidado[[#This Row],[DESPESA FIXA]])</f>
        <v>0</v>
      </c>
      <c r="P48" s="176">
        <f>SUMIFS(tabela_registros[VALOR],tabela_registros[MÊS],$AE$1,tabela_registros[DIA],jantotal[[#Headers],[12]],tabela_registros[REGISTRO],DADOS!$N$4,tabela_registros[TIPO],DADOS!$P$3,tabela_registros[CATEGORIA],despesafixaconsolidado[[#This Row],[DESPESA FIXA]])</f>
        <v>0</v>
      </c>
      <c r="Q48" s="176">
        <f>SUMIFS(tabela_registros[VALOR],tabela_registros[MÊS],$AE$1,tabela_registros[DIA],jantotal[[#Headers],[13]],tabela_registros[REGISTRO],DADOS!$N$4,tabela_registros[TIPO],DADOS!$P$3,tabela_registros[CATEGORIA],despesafixaconsolidado[[#This Row],[DESPESA FIXA]])</f>
        <v>0</v>
      </c>
      <c r="R48" s="176">
        <f>SUMIFS(tabela_registros[VALOR],tabela_registros[MÊS],$AE$1,tabela_registros[DIA],jantotal[[#Headers],[14]],tabela_registros[REGISTRO],DADOS!$N$4,tabela_registros[TIPO],DADOS!$P$3,tabela_registros[CATEGORIA],despesafixaconsolidado[[#This Row],[DESPESA FIXA]])</f>
        <v>0</v>
      </c>
      <c r="S48" s="176">
        <f>SUMIFS(tabela_registros[VALOR],tabela_registros[MÊS],$AE$1,tabela_registros[DIA],jantotal[[#Headers],[15]],tabela_registros[REGISTRO],DADOS!$N$4,tabela_registros[TIPO],DADOS!$P$3,tabela_registros[CATEGORIA],despesafixaconsolidado[[#This Row],[DESPESA FIXA]])</f>
        <v>0</v>
      </c>
      <c r="T48" s="176">
        <f>SUMIFS(tabela_registros[VALOR],tabela_registros[MÊS],$AE$1,tabela_registros[DIA],jantotal[[#Headers],[16]],tabela_registros[REGISTRO],DADOS!$N$4,tabela_registros[TIPO],DADOS!$P$3,tabela_registros[CATEGORIA],despesafixaconsolidado[[#This Row],[DESPESA FIXA]])</f>
        <v>0</v>
      </c>
      <c r="U48" s="176">
        <f>SUMIFS(tabela_registros[VALOR],tabela_registros[MÊS],$AE$1,tabela_registros[DIA],jantotal[[#Headers],[17]],tabela_registros[REGISTRO],DADOS!$N$4,tabela_registros[TIPO],DADOS!$P$3,tabela_registros[CATEGORIA],despesafixaconsolidado[[#This Row],[DESPESA FIXA]])</f>
        <v>0</v>
      </c>
      <c r="V48" s="176">
        <f>SUMIFS(tabela_registros[VALOR],tabela_registros[MÊS],$AE$1,tabela_registros[DIA],jantotal[[#Headers],[18]],tabela_registros[REGISTRO],DADOS!$N$4,tabela_registros[TIPO],DADOS!$P$3,tabela_registros[CATEGORIA],despesafixaconsolidado[[#This Row],[DESPESA FIXA]])</f>
        <v>0</v>
      </c>
      <c r="W48" s="176">
        <f>SUMIFS(tabela_registros[VALOR],tabela_registros[MÊS],$AE$1,tabela_registros[DIA],jantotal[[#Headers],[19]],tabela_registros[REGISTRO],DADOS!$N$4,tabela_registros[TIPO],DADOS!$P$3,tabela_registros[CATEGORIA],despesafixaconsolidado[[#This Row],[DESPESA FIXA]])</f>
        <v>0</v>
      </c>
      <c r="X48" s="176">
        <f>SUMIFS(tabela_registros[VALOR],tabela_registros[MÊS],$AE$1,tabela_registros[DIA],jantotal[[#Headers],[20]],tabela_registros[REGISTRO],DADOS!$N$4,tabela_registros[TIPO],DADOS!$P$3,tabela_registros[CATEGORIA],despesafixaconsolidado[[#This Row],[DESPESA FIXA]])</f>
        <v>0</v>
      </c>
      <c r="Y48" s="176">
        <f>SUMIFS(tabela_registros[VALOR],tabela_registros[MÊS],$AE$1,tabela_registros[DIA],jantotal[[#Headers],[21]],tabela_registros[REGISTRO],DADOS!$N$4,tabela_registros[TIPO],DADOS!$P$3,tabela_registros[CATEGORIA],despesafixaconsolidado[[#This Row],[DESPESA FIXA]])</f>
        <v>0</v>
      </c>
      <c r="Z48" s="176">
        <f>SUMIFS(tabela_registros[VALOR],tabela_registros[MÊS],$AE$1,tabela_registros[DIA],jantotal[[#Headers],[22]],tabela_registros[REGISTRO],DADOS!$N$4,tabela_registros[TIPO],DADOS!$P$3,tabela_registros[CATEGORIA],despesafixaconsolidado[[#This Row],[DESPESA FIXA]])</f>
        <v>0</v>
      </c>
      <c r="AA48" s="176">
        <f>SUMIFS(tabela_registros[VALOR],tabela_registros[MÊS],$AE$1,tabela_registros[DIA],jantotal[[#Headers],[23]],tabela_registros[REGISTRO],DADOS!$N$4,tabela_registros[TIPO],DADOS!$P$3,tabela_registros[CATEGORIA],despesafixaconsolidado[[#This Row],[DESPESA FIXA]])</f>
        <v>0</v>
      </c>
      <c r="AB48" s="176">
        <f>SUMIFS(tabela_registros[VALOR],tabela_registros[MÊS],$AE$1,tabela_registros[DIA],jantotal[[#Headers],[24]],tabela_registros[REGISTRO],DADOS!$N$4,tabela_registros[TIPO],DADOS!$P$3,tabela_registros[CATEGORIA],despesafixaconsolidado[[#This Row],[DESPESA FIXA]])</f>
        <v>0</v>
      </c>
      <c r="AC48" s="176">
        <f>SUMIFS(tabela_registros[VALOR],tabela_registros[MÊS],$AE$1,tabela_registros[DIA],jantotal[[#Headers],[25]],tabela_registros[REGISTRO],DADOS!$N$4,tabela_registros[TIPO],DADOS!$P$3,tabela_registros[CATEGORIA],despesafixaconsolidado[[#This Row],[DESPESA FIXA]])</f>
        <v>0</v>
      </c>
      <c r="AD48" s="176">
        <f>SUMIFS(tabela_registros[VALOR],tabela_registros[MÊS],$AE$1,tabela_registros[DIA],jantotal[[#Headers],[26]],tabela_registros[REGISTRO],DADOS!$N$4,tabela_registros[TIPO],DADOS!$P$3,tabela_registros[CATEGORIA],despesafixaconsolidado[[#This Row],[DESPESA FIXA]])</f>
        <v>0</v>
      </c>
      <c r="AE48" s="176">
        <f>SUMIFS(tabela_registros[VALOR],tabela_registros[MÊS],$AE$1,tabela_registros[DIA],jantotal[[#Headers],[27]],tabela_registros[REGISTRO],DADOS!$N$4,tabela_registros[TIPO],DADOS!$P$3,tabela_registros[CATEGORIA],despesafixaconsolidado[[#This Row],[DESPESA FIXA]])</f>
        <v>0</v>
      </c>
      <c r="AF48" s="176">
        <f>SUMIFS(tabela_registros[VALOR],tabela_registros[MÊS],$AE$1,tabela_registros[DIA],jantotal[[#Headers],[28]],tabela_registros[REGISTRO],DADOS!$N$4,tabela_registros[TIPO],DADOS!$P$3,tabela_registros[CATEGORIA],despesafixaconsolidado[[#This Row],[DESPESA FIXA]])</f>
        <v>0</v>
      </c>
      <c r="AG48" s="176">
        <f>SUMIFS(tabela_registros[VALOR],tabela_registros[MÊS],$AE$1,tabela_registros[DIA],jantotal[[#Headers],[29]],tabela_registros[REGISTRO],DADOS!$N$4,tabela_registros[TIPO],DADOS!$P$3,tabela_registros[CATEGORIA],despesafixaconsolidado[[#This Row],[DESPESA FIXA]])</f>
        <v>0</v>
      </c>
      <c r="AH48" s="176">
        <f>SUMIFS(tabela_registros[VALOR],tabela_registros[MÊS],$AE$1,tabela_registros[DIA],jantotal[[#Headers],[30]],tabela_registros[REGISTRO],DADOS!$N$4,tabela_registros[TIPO],DADOS!$P$3,tabela_registros[CATEGORIA],despesafixaconsolidado[[#This Row],[DESPESA FIXA]])</f>
        <v>0</v>
      </c>
      <c r="AI48" s="190">
        <f>SUMIFS(tabela_registros[VALOR],tabela_registros[MÊS],$AE$1,tabela_registros[DIA],jantotal[[#Headers],[31]],tabela_registros[REGISTRO],DADOS!$N$4,tabela_registros[TIPO],DADOS!$P$3,tabela_registros[CATEGORIA],despesafixaconsolidado[[#This Row],[DESPESA FIXA]])</f>
        <v>0</v>
      </c>
      <c r="AJ48" s="167">
        <f>SUM(despesafixaconsolidado[[#This Row],[1]:[31]])</f>
        <v>0</v>
      </c>
      <c r="AK48" s="28"/>
    </row>
    <row r="49" spans="2:37" ht="18" customHeight="1" thickTop="1" thickBot="1" x14ac:dyDescent="0.3">
      <c r="B49" s="28"/>
      <c r="C49" s="27" t="str">
        <f>DADOS!$R$15</f>
        <v>📞 TELEFONE</v>
      </c>
      <c r="D49" s="26" t="str">
        <f>IF(despesafixaconsolidado[[#This Row],[TOTAL]]=0,"",IF(OR(despesafixaconsolidado[[#This Row],[TOTAL]]=LARGE($AJ$37:$AJ$50,1),despesafixaconsolidado[[#This Row],[TOTAL]]=LARGE($AJ$37:$AJ$50,2),despesafixaconsolidado[[#This Row],[TOTAL]]=LARGE($AJ$37:$AJ$50,3),despesafixaconsolidado[[#This Row],[TOTAL]]=LARGE($AJ$37:$AJ$50,4),despesafixaconsolidado[[#This Row],[TOTAL]]=LARGE($AJ$37:$AJ$50,5)),DADOS!$I$8,""))</f>
        <v/>
      </c>
      <c r="E49" s="189">
        <f>SUMIFS(tabela_registros[VALOR],tabela_registros[MÊS],$AE$1,tabela_registros[DIA],jantotal[[#Headers],[1]],tabela_registros[REGISTRO],DADOS!$N$4,tabela_registros[TIPO],DADOS!$P$3,tabela_registros[CATEGORIA],despesafixaconsolidado[[#This Row],[DESPESA FIXA]])</f>
        <v>0</v>
      </c>
      <c r="F49" s="176">
        <f>SUMIFS(tabela_registros[VALOR],tabela_registros[MÊS],$AE$1,tabela_registros[DIA],jantotal[[#Headers],[2]],tabela_registros[REGISTRO],DADOS!$N$4,tabela_registros[TIPO],DADOS!$P$3,tabela_registros[CATEGORIA],despesafixaconsolidado[[#This Row],[DESPESA FIXA]])</f>
        <v>0</v>
      </c>
      <c r="G49" s="176">
        <f>SUMIFS(tabela_registros[VALOR],tabela_registros[MÊS],$AE$1,tabela_registros[DIA],jantotal[[#Headers],[3]],tabela_registros[REGISTRO],DADOS!$N$4,tabela_registros[TIPO],DADOS!$P$3,tabela_registros[CATEGORIA],despesafixaconsolidado[[#This Row],[DESPESA FIXA]])</f>
        <v>0</v>
      </c>
      <c r="H49" s="176">
        <f>SUMIFS(tabela_registros[VALOR],tabela_registros[MÊS],$AE$1,tabela_registros[DIA],jantotal[[#Headers],[4]],tabela_registros[REGISTRO],DADOS!$N$4,tabela_registros[TIPO],DADOS!$P$3,tabela_registros[CATEGORIA],despesafixaconsolidado[[#This Row],[DESPESA FIXA]])</f>
        <v>0</v>
      </c>
      <c r="I49" s="176">
        <f>SUMIFS(tabela_registros[VALOR],tabela_registros[MÊS],$AE$1,tabela_registros[DIA],jantotal[[#Headers],[5]],tabela_registros[REGISTRO],DADOS!$N$4,tabela_registros[TIPO],DADOS!$P$3,tabela_registros[CATEGORIA],despesafixaconsolidado[[#This Row],[DESPESA FIXA]])</f>
        <v>0</v>
      </c>
      <c r="J49" s="176">
        <f>SUMIFS(tabela_registros[VALOR],tabela_registros[MÊS],$AE$1,tabela_registros[DIA],jantotal[[#Headers],[6]],tabela_registros[REGISTRO],DADOS!$N$4,tabela_registros[TIPO],DADOS!$P$3,tabela_registros[CATEGORIA],despesafixaconsolidado[[#This Row],[DESPESA FIXA]])</f>
        <v>0</v>
      </c>
      <c r="K49" s="176">
        <f>SUMIFS(tabela_registros[VALOR],tabela_registros[MÊS],$AE$1,tabela_registros[DIA],jantotal[[#Headers],[7]],tabela_registros[REGISTRO],DADOS!$N$4,tabela_registros[TIPO],DADOS!$P$3,tabela_registros[CATEGORIA],despesafixaconsolidado[[#This Row],[DESPESA FIXA]])</f>
        <v>0</v>
      </c>
      <c r="L49" s="176">
        <f>SUMIFS(tabela_registros[VALOR],tabela_registros[MÊS],$AE$1,tabela_registros[DIA],jantotal[[#Headers],[8]],tabela_registros[REGISTRO],DADOS!$N$4,tabela_registros[TIPO],DADOS!$P$3,tabela_registros[CATEGORIA],despesafixaconsolidado[[#This Row],[DESPESA FIXA]])</f>
        <v>0</v>
      </c>
      <c r="M49" s="176">
        <f>SUMIFS(tabela_registros[VALOR],tabela_registros[MÊS],$AE$1,tabela_registros[DIA],jantotal[[#Headers],[9]],tabela_registros[REGISTRO],DADOS!$N$4,tabela_registros[TIPO],DADOS!$P$3,tabela_registros[CATEGORIA],despesafixaconsolidado[[#This Row],[DESPESA FIXA]])</f>
        <v>0</v>
      </c>
      <c r="N49" s="176">
        <f>SUMIFS(tabela_registros[VALOR],tabela_registros[MÊS],$AE$1,tabela_registros[DIA],jantotal[[#Headers],[10]],tabela_registros[REGISTRO],DADOS!$N$4,tabela_registros[TIPO],DADOS!$P$3,tabela_registros[CATEGORIA],despesafixaconsolidado[[#This Row],[DESPESA FIXA]])</f>
        <v>0</v>
      </c>
      <c r="O49" s="176">
        <f>SUMIFS(tabela_registros[VALOR],tabela_registros[MÊS],$AE$1,tabela_registros[DIA],jantotal[[#Headers],[11]],tabela_registros[REGISTRO],DADOS!$N$4,tabela_registros[TIPO],DADOS!$P$3,tabela_registros[CATEGORIA],despesafixaconsolidado[[#This Row],[DESPESA FIXA]])</f>
        <v>0</v>
      </c>
      <c r="P49" s="176">
        <f>SUMIFS(tabela_registros[VALOR],tabela_registros[MÊS],$AE$1,tabela_registros[DIA],jantotal[[#Headers],[12]],tabela_registros[REGISTRO],DADOS!$N$4,tabela_registros[TIPO],DADOS!$P$3,tabela_registros[CATEGORIA],despesafixaconsolidado[[#This Row],[DESPESA FIXA]])</f>
        <v>0</v>
      </c>
      <c r="Q49" s="176">
        <f>SUMIFS(tabela_registros[VALOR],tabela_registros[MÊS],$AE$1,tabela_registros[DIA],jantotal[[#Headers],[13]],tabela_registros[REGISTRO],DADOS!$N$4,tabela_registros[TIPO],DADOS!$P$3,tabela_registros[CATEGORIA],despesafixaconsolidado[[#This Row],[DESPESA FIXA]])</f>
        <v>0</v>
      </c>
      <c r="R49" s="176">
        <f>SUMIFS(tabela_registros[VALOR],tabela_registros[MÊS],$AE$1,tabela_registros[DIA],jantotal[[#Headers],[14]],tabela_registros[REGISTRO],DADOS!$N$4,tabela_registros[TIPO],DADOS!$P$3,tabela_registros[CATEGORIA],despesafixaconsolidado[[#This Row],[DESPESA FIXA]])</f>
        <v>0</v>
      </c>
      <c r="S49" s="176">
        <f>SUMIFS(tabela_registros[VALOR],tabela_registros[MÊS],$AE$1,tabela_registros[DIA],jantotal[[#Headers],[15]],tabela_registros[REGISTRO],DADOS!$N$4,tabela_registros[TIPO],DADOS!$P$3,tabela_registros[CATEGORIA],despesafixaconsolidado[[#This Row],[DESPESA FIXA]])</f>
        <v>0</v>
      </c>
      <c r="T49" s="176">
        <f>SUMIFS(tabela_registros[VALOR],tabela_registros[MÊS],$AE$1,tabela_registros[DIA],jantotal[[#Headers],[16]],tabela_registros[REGISTRO],DADOS!$N$4,tabela_registros[TIPO],DADOS!$P$3,tabela_registros[CATEGORIA],despesafixaconsolidado[[#This Row],[DESPESA FIXA]])</f>
        <v>0</v>
      </c>
      <c r="U49" s="176">
        <f>SUMIFS(tabela_registros[VALOR],tabela_registros[MÊS],$AE$1,tabela_registros[DIA],jantotal[[#Headers],[17]],tabela_registros[REGISTRO],DADOS!$N$4,tabela_registros[TIPO],DADOS!$P$3,tabela_registros[CATEGORIA],despesafixaconsolidado[[#This Row],[DESPESA FIXA]])</f>
        <v>0</v>
      </c>
      <c r="V49" s="176">
        <f>SUMIFS(tabela_registros[VALOR],tabela_registros[MÊS],$AE$1,tabela_registros[DIA],jantotal[[#Headers],[18]],tabela_registros[REGISTRO],DADOS!$N$4,tabela_registros[TIPO],DADOS!$P$3,tabela_registros[CATEGORIA],despesafixaconsolidado[[#This Row],[DESPESA FIXA]])</f>
        <v>0</v>
      </c>
      <c r="W49" s="176">
        <f>SUMIFS(tabela_registros[VALOR],tabela_registros[MÊS],$AE$1,tabela_registros[DIA],jantotal[[#Headers],[19]],tabela_registros[REGISTRO],DADOS!$N$4,tabela_registros[TIPO],DADOS!$P$3,tabela_registros[CATEGORIA],despesafixaconsolidado[[#This Row],[DESPESA FIXA]])</f>
        <v>0</v>
      </c>
      <c r="X49" s="176">
        <f>SUMIFS(tabela_registros[VALOR],tabela_registros[MÊS],$AE$1,tabela_registros[DIA],jantotal[[#Headers],[20]],tabela_registros[REGISTRO],DADOS!$N$4,tabela_registros[TIPO],DADOS!$P$3,tabela_registros[CATEGORIA],despesafixaconsolidado[[#This Row],[DESPESA FIXA]])</f>
        <v>0</v>
      </c>
      <c r="Y49" s="176">
        <f>SUMIFS(tabela_registros[VALOR],tabela_registros[MÊS],$AE$1,tabela_registros[DIA],jantotal[[#Headers],[21]],tabela_registros[REGISTRO],DADOS!$N$4,tabela_registros[TIPO],DADOS!$P$3,tabela_registros[CATEGORIA],despesafixaconsolidado[[#This Row],[DESPESA FIXA]])</f>
        <v>0</v>
      </c>
      <c r="Z49" s="176">
        <f>SUMIFS(tabela_registros[VALOR],tabela_registros[MÊS],$AE$1,tabela_registros[DIA],jantotal[[#Headers],[22]],tabela_registros[REGISTRO],DADOS!$N$4,tabela_registros[TIPO],DADOS!$P$3,tabela_registros[CATEGORIA],despesafixaconsolidado[[#This Row],[DESPESA FIXA]])</f>
        <v>0</v>
      </c>
      <c r="AA49" s="176">
        <f>SUMIFS(tabela_registros[VALOR],tabela_registros[MÊS],$AE$1,tabela_registros[DIA],jantotal[[#Headers],[23]],tabela_registros[REGISTRO],DADOS!$N$4,tabela_registros[TIPO],DADOS!$P$3,tabela_registros[CATEGORIA],despesafixaconsolidado[[#This Row],[DESPESA FIXA]])</f>
        <v>0</v>
      </c>
      <c r="AB49" s="176">
        <f>SUMIFS(tabela_registros[VALOR],tabela_registros[MÊS],$AE$1,tabela_registros[DIA],jantotal[[#Headers],[24]],tabela_registros[REGISTRO],DADOS!$N$4,tabela_registros[TIPO],DADOS!$P$3,tabela_registros[CATEGORIA],despesafixaconsolidado[[#This Row],[DESPESA FIXA]])</f>
        <v>0</v>
      </c>
      <c r="AC49" s="176">
        <f>SUMIFS(tabela_registros[VALOR],tabela_registros[MÊS],$AE$1,tabela_registros[DIA],jantotal[[#Headers],[25]],tabela_registros[REGISTRO],DADOS!$N$4,tabela_registros[TIPO],DADOS!$P$3,tabela_registros[CATEGORIA],despesafixaconsolidado[[#This Row],[DESPESA FIXA]])</f>
        <v>0</v>
      </c>
      <c r="AD49" s="176">
        <f>SUMIFS(tabela_registros[VALOR],tabela_registros[MÊS],$AE$1,tabela_registros[DIA],jantotal[[#Headers],[26]],tabela_registros[REGISTRO],DADOS!$N$4,tabela_registros[TIPO],DADOS!$P$3,tabela_registros[CATEGORIA],despesafixaconsolidado[[#This Row],[DESPESA FIXA]])</f>
        <v>0</v>
      </c>
      <c r="AE49" s="176">
        <f>SUMIFS(tabela_registros[VALOR],tabela_registros[MÊS],$AE$1,tabela_registros[DIA],jantotal[[#Headers],[27]],tabela_registros[REGISTRO],DADOS!$N$4,tabela_registros[TIPO],DADOS!$P$3,tabela_registros[CATEGORIA],despesafixaconsolidado[[#This Row],[DESPESA FIXA]])</f>
        <v>0</v>
      </c>
      <c r="AF49" s="176">
        <f>SUMIFS(tabela_registros[VALOR],tabela_registros[MÊS],$AE$1,tabela_registros[DIA],jantotal[[#Headers],[28]],tabela_registros[REGISTRO],DADOS!$N$4,tabela_registros[TIPO],DADOS!$P$3,tabela_registros[CATEGORIA],despesafixaconsolidado[[#This Row],[DESPESA FIXA]])</f>
        <v>0</v>
      </c>
      <c r="AG49" s="176">
        <f>SUMIFS(tabela_registros[VALOR],tabela_registros[MÊS],$AE$1,tabela_registros[DIA],jantotal[[#Headers],[29]],tabela_registros[REGISTRO],DADOS!$N$4,tabela_registros[TIPO],DADOS!$P$3,tabela_registros[CATEGORIA],despesafixaconsolidado[[#This Row],[DESPESA FIXA]])</f>
        <v>0</v>
      </c>
      <c r="AH49" s="176">
        <f>SUMIFS(tabela_registros[VALOR],tabela_registros[MÊS],$AE$1,tabela_registros[DIA],jantotal[[#Headers],[30]],tabela_registros[REGISTRO],DADOS!$N$4,tabela_registros[TIPO],DADOS!$P$3,tabela_registros[CATEGORIA],despesafixaconsolidado[[#This Row],[DESPESA FIXA]])</f>
        <v>0</v>
      </c>
      <c r="AI49" s="190">
        <f>SUMIFS(tabela_registros[VALOR],tabela_registros[MÊS],$AE$1,tabela_registros[DIA],jantotal[[#Headers],[31]],tabela_registros[REGISTRO],DADOS!$N$4,tabela_registros[TIPO],DADOS!$P$3,tabela_registros[CATEGORIA],despesafixaconsolidado[[#This Row],[DESPESA FIXA]])</f>
        <v>0</v>
      </c>
      <c r="AJ49" s="167">
        <f>SUM(despesafixaconsolidado[[#This Row],[1]:[31]])</f>
        <v>0</v>
      </c>
      <c r="AK49" s="28"/>
    </row>
    <row r="50" spans="2:37" ht="18" customHeight="1" thickTop="1" thickBot="1" x14ac:dyDescent="0.3">
      <c r="B50" s="28"/>
      <c r="C50" s="27" t="str">
        <f>DADOS!$R$16</f>
        <v>📎 OUTROS</v>
      </c>
      <c r="D50" s="26" t="str">
        <f>IF(despesafixaconsolidado[[#This Row],[TOTAL]]=0,"",IF(OR(despesafixaconsolidado[[#This Row],[TOTAL]]=LARGE($AJ$37:$AJ$50,1),despesafixaconsolidado[[#This Row],[TOTAL]]=LARGE($AJ$37:$AJ$50,2),despesafixaconsolidado[[#This Row],[TOTAL]]=LARGE($AJ$37:$AJ$50,3),despesafixaconsolidado[[#This Row],[TOTAL]]=LARGE($AJ$37:$AJ$50,4),despesafixaconsolidado[[#This Row],[TOTAL]]=LARGE($AJ$37:$AJ$50,5)),DADOS!$I$8,""))</f>
        <v/>
      </c>
      <c r="E50" s="191">
        <f>SUMIFS(tabela_registros[VALOR],tabela_registros[MÊS],$AE$1,tabela_registros[DIA],jantotal[[#Headers],[1]],tabela_registros[REGISTRO],DADOS!$N$4,tabela_registros[TIPO],DADOS!$P$3,tabela_registros[CATEGORIA],despesafixaconsolidado[[#This Row],[DESPESA FIXA]])</f>
        <v>0</v>
      </c>
      <c r="F50" s="192">
        <f>SUMIFS(tabela_registros[VALOR],tabela_registros[MÊS],$AE$1,tabela_registros[DIA],jantotal[[#Headers],[2]],tabela_registros[REGISTRO],DADOS!$N$4,tabela_registros[TIPO],DADOS!$P$3,tabela_registros[CATEGORIA],despesafixaconsolidado[[#This Row],[DESPESA FIXA]])</f>
        <v>0</v>
      </c>
      <c r="G50" s="192">
        <f>SUMIFS(tabela_registros[VALOR],tabela_registros[MÊS],$AE$1,tabela_registros[DIA],jantotal[[#Headers],[3]],tabela_registros[REGISTRO],DADOS!$N$4,tabela_registros[TIPO],DADOS!$P$3,tabela_registros[CATEGORIA],despesafixaconsolidado[[#This Row],[DESPESA FIXA]])</f>
        <v>0</v>
      </c>
      <c r="H50" s="192">
        <f>SUMIFS(tabela_registros[VALOR],tabela_registros[MÊS],$AE$1,tabela_registros[DIA],jantotal[[#Headers],[4]],tabela_registros[REGISTRO],DADOS!$N$4,tabela_registros[TIPO],DADOS!$P$3,tabela_registros[CATEGORIA],despesafixaconsolidado[[#This Row],[DESPESA FIXA]])</f>
        <v>0</v>
      </c>
      <c r="I50" s="192">
        <f>SUMIFS(tabela_registros[VALOR],tabela_registros[MÊS],$AE$1,tabela_registros[DIA],jantotal[[#Headers],[5]],tabela_registros[REGISTRO],DADOS!$N$4,tabela_registros[TIPO],DADOS!$P$3,tabela_registros[CATEGORIA],despesafixaconsolidado[[#This Row],[DESPESA FIXA]])</f>
        <v>0</v>
      </c>
      <c r="J50" s="192">
        <f>SUMIFS(tabela_registros[VALOR],tabela_registros[MÊS],$AE$1,tabela_registros[DIA],jantotal[[#Headers],[6]],tabela_registros[REGISTRO],DADOS!$N$4,tabela_registros[TIPO],DADOS!$P$3,tabela_registros[CATEGORIA],despesafixaconsolidado[[#This Row],[DESPESA FIXA]])</f>
        <v>0</v>
      </c>
      <c r="K50" s="192">
        <f>SUMIFS(tabela_registros[VALOR],tabela_registros[MÊS],$AE$1,tabela_registros[DIA],jantotal[[#Headers],[7]],tabela_registros[REGISTRO],DADOS!$N$4,tabela_registros[TIPO],DADOS!$P$3,tabela_registros[CATEGORIA],despesafixaconsolidado[[#This Row],[DESPESA FIXA]])</f>
        <v>0</v>
      </c>
      <c r="L50" s="192">
        <f>SUMIFS(tabela_registros[VALOR],tabela_registros[MÊS],$AE$1,tabela_registros[DIA],jantotal[[#Headers],[8]],tabela_registros[REGISTRO],DADOS!$N$4,tabela_registros[TIPO],DADOS!$P$3,tabela_registros[CATEGORIA],despesafixaconsolidado[[#This Row],[DESPESA FIXA]])</f>
        <v>0</v>
      </c>
      <c r="M50" s="192">
        <f>SUMIFS(tabela_registros[VALOR],tabela_registros[MÊS],$AE$1,tabela_registros[DIA],jantotal[[#Headers],[9]],tabela_registros[REGISTRO],DADOS!$N$4,tabela_registros[TIPO],DADOS!$P$3,tabela_registros[CATEGORIA],despesafixaconsolidado[[#This Row],[DESPESA FIXA]])</f>
        <v>0</v>
      </c>
      <c r="N50" s="192">
        <f>SUMIFS(tabela_registros[VALOR],tabela_registros[MÊS],$AE$1,tabela_registros[DIA],jantotal[[#Headers],[10]],tabela_registros[REGISTRO],DADOS!$N$4,tabela_registros[TIPO],DADOS!$P$3,tabela_registros[CATEGORIA],despesafixaconsolidado[[#This Row],[DESPESA FIXA]])</f>
        <v>0</v>
      </c>
      <c r="O50" s="192">
        <f>SUMIFS(tabela_registros[VALOR],tabela_registros[MÊS],$AE$1,tabela_registros[DIA],jantotal[[#Headers],[11]],tabela_registros[REGISTRO],DADOS!$N$4,tabela_registros[TIPO],DADOS!$P$3,tabela_registros[CATEGORIA],despesafixaconsolidado[[#This Row],[DESPESA FIXA]])</f>
        <v>0</v>
      </c>
      <c r="P50" s="192">
        <f>SUMIFS(tabela_registros[VALOR],tabela_registros[MÊS],$AE$1,tabela_registros[DIA],jantotal[[#Headers],[12]],tabela_registros[REGISTRO],DADOS!$N$4,tabela_registros[TIPO],DADOS!$P$3,tabela_registros[CATEGORIA],despesafixaconsolidado[[#This Row],[DESPESA FIXA]])</f>
        <v>0</v>
      </c>
      <c r="Q50" s="192">
        <f>SUMIFS(tabela_registros[VALOR],tabela_registros[MÊS],$AE$1,tabela_registros[DIA],jantotal[[#Headers],[13]],tabela_registros[REGISTRO],DADOS!$N$4,tabela_registros[TIPO],DADOS!$P$3,tabela_registros[CATEGORIA],despesafixaconsolidado[[#This Row],[DESPESA FIXA]])</f>
        <v>0</v>
      </c>
      <c r="R50" s="192">
        <f>SUMIFS(tabela_registros[VALOR],tabela_registros[MÊS],$AE$1,tabela_registros[DIA],jantotal[[#Headers],[14]],tabela_registros[REGISTRO],DADOS!$N$4,tabela_registros[TIPO],DADOS!$P$3,tabela_registros[CATEGORIA],despesafixaconsolidado[[#This Row],[DESPESA FIXA]])</f>
        <v>0</v>
      </c>
      <c r="S50" s="192">
        <f>SUMIFS(tabela_registros[VALOR],tabela_registros[MÊS],$AE$1,tabela_registros[DIA],jantotal[[#Headers],[15]],tabela_registros[REGISTRO],DADOS!$N$4,tabela_registros[TIPO],DADOS!$P$3,tabela_registros[CATEGORIA],despesafixaconsolidado[[#This Row],[DESPESA FIXA]])</f>
        <v>0</v>
      </c>
      <c r="T50" s="192">
        <f>SUMIFS(tabela_registros[VALOR],tabela_registros[MÊS],$AE$1,tabela_registros[DIA],jantotal[[#Headers],[16]],tabela_registros[REGISTRO],DADOS!$N$4,tabela_registros[TIPO],DADOS!$P$3,tabela_registros[CATEGORIA],despesafixaconsolidado[[#This Row],[DESPESA FIXA]])</f>
        <v>0</v>
      </c>
      <c r="U50" s="192">
        <f>SUMIFS(tabela_registros[VALOR],tabela_registros[MÊS],$AE$1,tabela_registros[DIA],jantotal[[#Headers],[17]],tabela_registros[REGISTRO],DADOS!$N$4,tabela_registros[TIPO],DADOS!$P$3,tabela_registros[CATEGORIA],despesafixaconsolidado[[#This Row],[DESPESA FIXA]])</f>
        <v>0</v>
      </c>
      <c r="V50" s="192">
        <f>SUMIFS(tabela_registros[VALOR],tabela_registros[MÊS],$AE$1,tabela_registros[DIA],jantotal[[#Headers],[18]],tabela_registros[REGISTRO],DADOS!$N$4,tabela_registros[TIPO],DADOS!$P$3,tabela_registros[CATEGORIA],despesafixaconsolidado[[#This Row],[DESPESA FIXA]])</f>
        <v>0</v>
      </c>
      <c r="W50" s="192">
        <f>SUMIFS(tabela_registros[VALOR],tabela_registros[MÊS],$AE$1,tabela_registros[DIA],jantotal[[#Headers],[19]],tabela_registros[REGISTRO],DADOS!$N$4,tabela_registros[TIPO],DADOS!$P$3,tabela_registros[CATEGORIA],despesafixaconsolidado[[#This Row],[DESPESA FIXA]])</f>
        <v>0</v>
      </c>
      <c r="X50" s="192">
        <f>SUMIFS(tabela_registros[VALOR],tabela_registros[MÊS],$AE$1,tabela_registros[DIA],jantotal[[#Headers],[20]],tabela_registros[REGISTRO],DADOS!$N$4,tabela_registros[TIPO],DADOS!$P$3,tabela_registros[CATEGORIA],despesafixaconsolidado[[#This Row],[DESPESA FIXA]])</f>
        <v>0</v>
      </c>
      <c r="Y50" s="192">
        <f>SUMIFS(tabela_registros[VALOR],tabela_registros[MÊS],$AE$1,tabela_registros[DIA],jantotal[[#Headers],[21]],tabela_registros[REGISTRO],DADOS!$N$4,tabela_registros[TIPO],DADOS!$P$3,tabela_registros[CATEGORIA],despesafixaconsolidado[[#This Row],[DESPESA FIXA]])</f>
        <v>0</v>
      </c>
      <c r="Z50" s="192">
        <f>SUMIFS(tabela_registros[VALOR],tabela_registros[MÊS],$AE$1,tabela_registros[DIA],jantotal[[#Headers],[22]],tabela_registros[REGISTRO],DADOS!$N$4,tabela_registros[TIPO],DADOS!$P$3,tabela_registros[CATEGORIA],despesafixaconsolidado[[#This Row],[DESPESA FIXA]])</f>
        <v>0</v>
      </c>
      <c r="AA50" s="192">
        <f>SUMIFS(tabela_registros[VALOR],tabela_registros[MÊS],$AE$1,tabela_registros[DIA],jantotal[[#Headers],[23]],tabela_registros[REGISTRO],DADOS!$N$4,tabela_registros[TIPO],DADOS!$P$3,tabela_registros[CATEGORIA],despesafixaconsolidado[[#This Row],[DESPESA FIXA]])</f>
        <v>0</v>
      </c>
      <c r="AB50" s="192">
        <f>SUMIFS(tabela_registros[VALOR],tabela_registros[MÊS],$AE$1,tabela_registros[DIA],jantotal[[#Headers],[24]],tabela_registros[REGISTRO],DADOS!$N$4,tabela_registros[TIPO],DADOS!$P$3,tabela_registros[CATEGORIA],despesafixaconsolidado[[#This Row],[DESPESA FIXA]])</f>
        <v>0</v>
      </c>
      <c r="AC50" s="192">
        <f>SUMIFS(tabela_registros[VALOR],tabela_registros[MÊS],$AE$1,tabela_registros[DIA],jantotal[[#Headers],[25]],tabela_registros[REGISTRO],DADOS!$N$4,tabela_registros[TIPO],DADOS!$P$3,tabela_registros[CATEGORIA],despesafixaconsolidado[[#This Row],[DESPESA FIXA]])</f>
        <v>0</v>
      </c>
      <c r="AD50" s="192">
        <f>SUMIFS(tabela_registros[VALOR],tabela_registros[MÊS],$AE$1,tabela_registros[DIA],jantotal[[#Headers],[26]],tabela_registros[REGISTRO],DADOS!$N$4,tabela_registros[TIPO],DADOS!$P$3,tabela_registros[CATEGORIA],despesafixaconsolidado[[#This Row],[DESPESA FIXA]])</f>
        <v>0</v>
      </c>
      <c r="AE50" s="192">
        <f>SUMIFS(tabela_registros[VALOR],tabela_registros[MÊS],$AE$1,tabela_registros[DIA],jantotal[[#Headers],[27]],tabela_registros[REGISTRO],DADOS!$N$4,tabela_registros[TIPO],DADOS!$P$3,tabela_registros[CATEGORIA],despesafixaconsolidado[[#This Row],[DESPESA FIXA]])</f>
        <v>0</v>
      </c>
      <c r="AF50" s="192">
        <f>SUMIFS(tabela_registros[VALOR],tabela_registros[MÊS],$AE$1,tabela_registros[DIA],jantotal[[#Headers],[28]],tabela_registros[REGISTRO],DADOS!$N$4,tabela_registros[TIPO],DADOS!$P$3,tabela_registros[CATEGORIA],despesafixaconsolidado[[#This Row],[DESPESA FIXA]])</f>
        <v>0</v>
      </c>
      <c r="AG50" s="192">
        <f>SUMIFS(tabela_registros[VALOR],tabela_registros[MÊS],$AE$1,tabela_registros[DIA],jantotal[[#Headers],[29]],tabela_registros[REGISTRO],DADOS!$N$4,tabela_registros[TIPO],DADOS!$P$3,tabela_registros[CATEGORIA],despesafixaconsolidado[[#This Row],[DESPESA FIXA]])</f>
        <v>0</v>
      </c>
      <c r="AH50" s="192">
        <f>SUMIFS(tabela_registros[VALOR],tabela_registros[MÊS],$AE$1,tabela_registros[DIA],jantotal[[#Headers],[30]],tabela_registros[REGISTRO],DADOS!$N$4,tabela_registros[TIPO],DADOS!$P$3,tabela_registros[CATEGORIA],despesafixaconsolidado[[#This Row],[DESPESA FIXA]])</f>
        <v>0</v>
      </c>
      <c r="AI50" s="193">
        <f>SUMIFS(tabela_registros[VALOR],tabela_registros[MÊS],$AE$1,tabela_registros[DIA],jantotal[[#Headers],[31]],tabela_registros[REGISTRO],DADOS!$N$4,tabela_registros[TIPO],DADOS!$P$3,tabela_registros[CATEGORIA],despesafixaconsolidado[[#This Row],[DESPESA FIXA]])</f>
        <v>0</v>
      </c>
      <c r="AJ50" s="194">
        <f>SUM(despesafixaconsolidado[[#This Row],[1]:[31]])</f>
        <v>0</v>
      </c>
      <c r="AK50" s="28"/>
    </row>
    <row r="51" spans="2:37" s="16" customFormat="1" ht="21" customHeight="1" thickTop="1" thickBot="1" x14ac:dyDescent="0.35">
      <c r="B51" s="24"/>
      <c r="C51" s="23" t="s">
        <v>19</v>
      </c>
      <c r="D51" s="41" t="str">
        <f>IF(despesafixaconsolidado[[#This Row],[TOTAL]]=0,"",IF(OR(despesafixaconsolidado[[#This Row],[TOTAL]]=SMALL($AJ$37:$AJ$50,1),despesafixaconsolidado[[#This Row],[TOTAL]]=SMALL($AJ$37:$AJ$50,2),despesafixaconsolidado[[#This Row],[TOTAL]]=SMALL($AJ$37:$AJ$50,3),despesafixaconsolidado[[#This Row],[TOTAL]]=SMALL($AJ$37:$AJ$50,4),despesafixaconsolidado[[#This Row],[TOTAL]]=SMALL($AJ$37:$AJ$50,5)),DADOS!$I$8,""))</f>
        <v/>
      </c>
      <c r="E51" s="195">
        <f>SUM(E37:E50)</f>
        <v>0</v>
      </c>
      <c r="F51" s="196">
        <f>SUM(F37:F50)+despesafixaconsolidado[[#This Row],[1]]</f>
        <v>0</v>
      </c>
      <c r="G51" s="196">
        <f>SUM(G37:G50)+despesafixaconsolidado[[#This Row],[2]]</f>
        <v>0</v>
      </c>
      <c r="H51" s="196">
        <f>SUM(H37:H50)+despesafixaconsolidado[[#This Row],[3]]</f>
        <v>0</v>
      </c>
      <c r="I51" s="196">
        <f>SUM(I37:I50)+despesafixaconsolidado[[#This Row],[4]]</f>
        <v>0</v>
      </c>
      <c r="J51" s="196">
        <f>SUM(J37:J50)+despesafixaconsolidado[[#This Row],[5]]</f>
        <v>0</v>
      </c>
      <c r="K51" s="196">
        <f>SUM(K37:K50)+despesafixaconsolidado[[#This Row],[6]]</f>
        <v>89</v>
      </c>
      <c r="L51" s="196">
        <f>SUM(L37:L50)+despesafixaconsolidado[[#This Row],[7]]</f>
        <v>89</v>
      </c>
      <c r="M51" s="196">
        <f>SUM(M37:M50)+despesafixaconsolidado[[#This Row],[8]]</f>
        <v>89</v>
      </c>
      <c r="N51" s="196">
        <f>SUM(N37:N50)+despesafixaconsolidado[[#This Row],[9]]</f>
        <v>89</v>
      </c>
      <c r="O51" s="196">
        <f>SUM(O37:O50)+despesafixaconsolidado[[#This Row],[10]]</f>
        <v>89</v>
      </c>
      <c r="P51" s="196">
        <f>SUM(P37:P50)+despesafixaconsolidado[[#This Row],[11]]</f>
        <v>89</v>
      </c>
      <c r="Q51" s="196">
        <f>SUM(Q37:Q50)+despesafixaconsolidado[[#This Row],[12]]</f>
        <v>196.78571428571399</v>
      </c>
      <c r="R51" s="196">
        <f>SUM(R37:R50)+despesafixaconsolidado[[#This Row],[13]]</f>
        <v>297.21428571428498</v>
      </c>
      <c r="S51" s="196">
        <f>SUM(S37:S50)+despesafixaconsolidado[[#This Row],[14]]</f>
        <v>297.21428571428498</v>
      </c>
      <c r="T51" s="196">
        <f>SUM(T37:T50)+despesafixaconsolidado[[#This Row],[15]]</f>
        <v>297.21428571428498</v>
      </c>
      <c r="U51" s="196">
        <f>SUM(U37:U50)+despesafixaconsolidado[[#This Row],[16]]</f>
        <v>297.21428571428498</v>
      </c>
      <c r="V51" s="196">
        <f>SUM(V37:V50)+despesafixaconsolidado[[#This Row],[17]]</f>
        <v>297.21428571428498</v>
      </c>
      <c r="W51" s="196">
        <f>SUM(W37:W50)+despesafixaconsolidado[[#This Row],[18]]</f>
        <v>297.21428571428498</v>
      </c>
      <c r="X51" s="196">
        <f>SUM(X37:X50)+despesafixaconsolidado[[#This Row],[19]]</f>
        <v>297.21428571428498</v>
      </c>
      <c r="Y51" s="196">
        <f>SUM(Y37:Y50)+despesafixaconsolidado[[#This Row],[20]]</f>
        <v>297.21428571428498</v>
      </c>
      <c r="Z51" s="196">
        <f>SUM(Z37:Z50)+despesafixaconsolidado[[#This Row],[21]]</f>
        <v>297.21428571428498</v>
      </c>
      <c r="AA51" s="196">
        <f>SUM(AA37:AA50)+despesafixaconsolidado[[#This Row],[22]]</f>
        <v>297.21428571428498</v>
      </c>
      <c r="AB51" s="196">
        <f>SUM(AB37:AB50)+despesafixaconsolidado[[#This Row],[23]]</f>
        <v>297.21428571428498</v>
      </c>
      <c r="AC51" s="196">
        <f>SUM(AC37:AC50)+despesafixaconsolidado[[#This Row],[24]]</f>
        <v>297.21428571428498</v>
      </c>
      <c r="AD51" s="196">
        <f>SUM(AD37:AD50)+despesafixaconsolidado[[#This Row],[25]]</f>
        <v>297.21428571428498</v>
      </c>
      <c r="AE51" s="196">
        <f>SUM(AE37:AE50)+despesafixaconsolidado[[#This Row],[26]]</f>
        <v>297.21428571428498</v>
      </c>
      <c r="AF51" s="196">
        <f>SUM(AF37:AF50)+despesafixaconsolidado[[#This Row],[27]]</f>
        <v>297.21428571428498</v>
      </c>
      <c r="AG51" s="196">
        <f>SUM(AG37:AG50)+despesafixaconsolidado[[#This Row],[28]]</f>
        <v>297.21428571428498</v>
      </c>
      <c r="AH51" s="196">
        <f>SUM(AH37:AH50)+despesafixaconsolidado[[#This Row],[29]]</f>
        <v>297.21428571428498</v>
      </c>
      <c r="AI51" s="197">
        <f>SUM(AI37:AI50)+despesafixaconsolidado[[#This Row],[30]]</f>
        <v>297.21428571428498</v>
      </c>
      <c r="AJ51" s="168">
        <f>despesafixaconsolidado[[#This Row],[31]]</f>
        <v>297.21428571428498</v>
      </c>
      <c r="AK51" s="17"/>
    </row>
    <row r="52" spans="2:37" ht="6.75" customHeight="1" thickTop="1" thickBot="1" x14ac:dyDescent="0.3">
      <c r="B52" s="15"/>
      <c r="C52" s="40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39"/>
      <c r="AG52" s="39"/>
      <c r="AH52" s="39"/>
      <c r="AI52" s="198"/>
      <c r="AJ52" s="15"/>
      <c r="AK52" s="10"/>
    </row>
    <row r="53" spans="2:37" ht="12.6" thickTop="1" x14ac:dyDescent="0.25">
      <c r="C53" s="46"/>
      <c r="D53" s="182"/>
      <c r="E53" s="182"/>
      <c r="F53" s="182"/>
      <c r="G53" s="182"/>
      <c r="H53" s="182"/>
      <c r="I53" s="182"/>
      <c r="J53" s="182"/>
      <c r="K53" s="182"/>
      <c r="L53" s="182"/>
      <c r="M53" s="182"/>
      <c r="N53" s="182"/>
      <c r="O53" s="182"/>
      <c r="P53" s="182"/>
      <c r="Q53" s="182"/>
      <c r="R53" s="182"/>
      <c r="S53" s="182"/>
      <c r="T53" s="182"/>
      <c r="U53" s="182"/>
      <c r="V53" s="182"/>
      <c r="W53" s="182"/>
      <c r="X53" s="182"/>
      <c r="Y53" s="182"/>
      <c r="Z53" s="182"/>
      <c r="AA53" s="182"/>
      <c r="AB53" s="182"/>
      <c r="AC53" s="182"/>
      <c r="AD53" s="182"/>
      <c r="AE53" s="182"/>
      <c r="AF53" s="182"/>
      <c r="AG53" s="182"/>
      <c r="AH53" s="182"/>
      <c r="AI53" s="182"/>
      <c r="AK53" s="37"/>
    </row>
    <row r="54" spans="2:37" x14ac:dyDescent="0.25">
      <c r="C54" s="46"/>
      <c r="D54" s="182"/>
      <c r="E54" s="182"/>
      <c r="F54" s="182"/>
      <c r="G54" s="182"/>
      <c r="H54" s="182"/>
      <c r="I54" s="182"/>
      <c r="J54" s="182"/>
      <c r="K54" s="182"/>
      <c r="L54" s="182"/>
      <c r="M54" s="182"/>
      <c r="N54" s="182"/>
      <c r="O54" s="182"/>
      <c r="P54" s="182"/>
      <c r="Q54" s="182"/>
      <c r="R54" s="182"/>
      <c r="S54" s="182"/>
      <c r="T54" s="182"/>
      <c r="U54" s="182"/>
      <c r="V54" s="182"/>
      <c r="W54" s="182"/>
      <c r="X54" s="182"/>
      <c r="Y54" s="182"/>
      <c r="Z54" s="182"/>
      <c r="AA54" s="182"/>
      <c r="AB54" s="182"/>
      <c r="AC54" s="182"/>
      <c r="AD54" s="182"/>
      <c r="AE54" s="182"/>
      <c r="AF54" s="182"/>
      <c r="AG54" s="182"/>
      <c r="AH54" s="182"/>
      <c r="AI54" s="182"/>
    </row>
    <row r="55" spans="2:37" x14ac:dyDescent="0.25">
      <c r="C55" s="46"/>
      <c r="D55" s="182"/>
      <c r="E55" s="182"/>
      <c r="F55" s="182"/>
      <c r="G55" s="182"/>
      <c r="H55" s="182"/>
      <c r="I55" s="182"/>
      <c r="J55" s="182"/>
      <c r="K55" s="182"/>
      <c r="L55" s="182"/>
      <c r="M55" s="182"/>
      <c r="N55" s="182"/>
      <c r="O55" s="182"/>
      <c r="P55" s="182"/>
      <c r="Q55" s="182"/>
      <c r="R55" s="182"/>
      <c r="S55" s="182"/>
      <c r="T55" s="182"/>
      <c r="U55" s="182"/>
      <c r="V55" s="182"/>
      <c r="W55" s="182"/>
      <c r="X55" s="182"/>
      <c r="Y55" s="182"/>
      <c r="Z55" s="182"/>
      <c r="AA55" s="182"/>
      <c r="AB55" s="182"/>
      <c r="AC55" s="182"/>
      <c r="AD55" s="182"/>
      <c r="AE55" s="182"/>
      <c r="AF55" s="182"/>
      <c r="AG55" s="182"/>
      <c r="AH55" s="182"/>
      <c r="AI55" s="182"/>
    </row>
    <row r="56" spans="2:37" ht="39.75" customHeight="1" x14ac:dyDescent="0.25">
      <c r="C56" s="46"/>
      <c r="E56" s="240"/>
      <c r="F56" s="240"/>
      <c r="G56" s="240"/>
      <c r="H56" s="240"/>
      <c r="I56" s="240"/>
      <c r="J56" s="240"/>
      <c r="K56" s="240"/>
      <c r="L56" s="240"/>
      <c r="M56" s="240"/>
      <c r="N56" s="240"/>
      <c r="O56" s="240"/>
      <c r="P56" s="240"/>
      <c r="Q56" s="240"/>
      <c r="R56" s="240"/>
      <c r="S56" s="240"/>
      <c r="T56" s="240"/>
      <c r="U56" s="240"/>
      <c r="V56" s="240"/>
      <c r="W56" s="240"/>
      <c r="X56" s="240"/>
      <c r="Y56" s="240"/>
      <c r="Z56" s="240"/>
      <c r="AA56" s="240"/>
      <c r="AB56" s="240"/>
      <c r="AC56" s="240"/>
      <c r="AD56" s="240"/>
      <c r="AE56" s="240"/>
      <c r="AF56" s="240"/>
      <c r="AG56" s="240"/>
      <c r="AH56" s="240"/>
      <c r="AI56" s="240"/>
      <c r="AJ56" s="169" t="s">
        <v>19</v>
      </c>
    </row>
    <row r="57" spans="2:37" ht="11.25" customHeight="1" thickBot="1" x14ac:dyDescent="0.75">
      <c r="C57" s="36"/>
      <c r="AI57" s="4"/>
      <c r="AJ57" s="170" t="s">
        <v>202</v>
      </c>
    </row>
    <row r="58" spans="2:37" ht="6.75" customHeight="1" thickTop="1" thickBot="1" x14ac:dyDescent="0.3">
      <c r="B58" s="33"/>
      <c r="C58" s="45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44"/>
      <c r="AH58" s="44"/>
      <c r="AI58" s="44"/>
      <c r="AJ58" s="184"/>
      <c r="AK58" s="33"/>
    </row>
    <row r="59" spans="2:37" ht="12.6" hidden="1" thickBot="1" x14ac:dyDescent="0.3">
      <c r="B59" s="2"/>
      <c r="C59" s="31" t="s">
        <v>116</v>
      </c>
      <c r="D59" s="30" t="s">
        <v>198</v>
      </c>
      <c r="E59" s="30" t="s">
        <v>197</v>
      </c>
      <c r="F59" s="30" t="s">
        <v>196</v>
      </c>
      <c r="G59" s="30" t="s">
        <v>195</v>
      </c>
      <c r="H59" s="30" t="s">
        <v>194</v>
      </c>
      <c r="I59" s="30" t="s">
        <v>193</v>
      </c>
      <c r="J59" s="30" t="s">
        <v>192</v>
      </c>
      <c r="K59" s="30" t="s">
        <v>191</v>
      </c>
      <c r="L59" s="30" t="s">
        <v>190</v>
      </c>
      <c r="M59" s="30" t="s">
        <v>189</v>
      </c>
      <c r="N59" s="30" t="s">
        <v>188</v>
      </c>
      <c r="O59" s="30" t="s">
        <v>187</v>
      </c>
      <c r="P59" s="30" t="s">
        <v>186</v>
      </c>
      <c r="Q59" s="30" t="s">
        <v>185</v>
      </c>
      <c r="R59" s="30" t="s">
        <v>184</v>
      </c>
      <c r="S59" s="30" t="s">
        <v>183</v>
      </c>
      <c r="T59" s="30" t="s">
        <v>182</v>
      </c>
      <c r="U59" s="30" t="s">
        <v>181</v>
      </c>
      <c r="V59" s="30" t="s">
        <v>180</v>
      </c>
      <c r="W59" s="30" t="s">
        <v>179</v>
      </c>
      <c r="X59" s="30" t="s">
        <v>178</v>
      </c>
      <c r="Y59" s="30" t="s">
        <v>177</v>
      </c>
      <c r="Z59" s="30" t="s">
        <v>176</v>
      </c>
      <c r="AA59" s="30" t="s">
        <v>175</v>
      </c>
      <c r="AB59" s="30" t="s">
        <v>174</v>
      </c>
      <c r="AC59" s="30" t="s">
        <v>173</v>
      </c>
      <c r="AD59" s="30" t="s">
        <v>172</v>
      </c>
      <c r="AE59" s="30" t="s">
        <v>171</v>
      </c>
      <c r="AF59" s="30" t="s">
        <v>170</v>
      </c>
      <c r="AG59" s="30" t="s">
        <v>169</v>
      </c>
      <c r="AH59" s="30" t="s">
        <v>168</v>
      </c>
      <c r="AI59" s="30" t="s">
        <v>167</v>
      </c>
      <c r="AJ59" s="185" t="s">
        <v>19</v>
      </c>
      <c r="AK59" s="2" t="s">
        <v>203</v>
      </c>
    </row>
    <row r="60" spans="2:37" ht="19.5" customHeight="1" thickTop="1" thickBot="1" x14ac:dyDescent="0.3">
      <c r="B60" s="28"/>
      <c r="C60" s="27" t="str">
        <f>DADOS!$T$3</f>
        <v>🍕 ALIMENTAÇÃO</v>
      </c>
      <c r="D60" s="26" t="str">
        <f>IF(despesavariávelconsolidado[[#This Row],[TOTAL]]=0,"",IF(OR(despesavariávelconsolidado[[#This Row],[TOTAL]]=LARGE($AJ$60:$AJ$72,1),despesavariávelconsolidado[[#This Row],[TOTAL]]=LARGE($AJ$60:$AJ$72,2),despesavariávelconsolidado[[#This Row],[TOTAL]]=LARGE($AJ$60:$AJ$72,3),despesavariávelconsolidado[[#This Row],[TOTAL]]=LARGE($AJ$60:$AJ$72,4),despesavariávelconsolidado[[#This Row],[TOTAL]]=LARGE($AJ$60:$AJ$72,5)),DADOS!$I$8,""))</f>
        <v>💣</v>
      </c>
      <c r="E60" s="186">
        <f>SUMIFS(tabela_registros[VALOR],tabela_registros[MÊS],$AE$1,tabela_registros[DIA],jantotal[[#Headers],[1]],tabela_registros[REGISTRO],DADOS!$N$4,tabela_registros[TIPO],DADOS!$P$4,tabela_registros[CATEGORIA],despesavariávelconsolidado[[#This Row],[DESPESA VARIÁVEL]])</f>
        <v>0</v>
      </c>
      <c r="F60" s="173">
        <f>SUMIFS(tabela_registros[VALOR],tabela_registros[MÊS],$AE$1,tabela_registros[DIA],jantotal[[#Headers],[2]],tabela_registros[REGISTRO],DADOS!$N$4,tabela_registros[TIPO],DADOS!$P$4,tabela_registros[CATEGORIA],despesavariávelconsolidado[[#This Row],[DESPESA VARIÁVEL]])</f>
        <v>0</v>
      </c>
      <c r="G60" s="173">
        <f>SUMIFS(tabela_registros[VALOR],tabela_registros[MÊS],$AE$1,tabela_registros[DIA],jantotal[[#Headers],[3]],tabela_registros[REGISTRO],DADOS!$N$4,tabela_registros[TIPO],DADOS!$P$4,tabela_registros[CATEGORIA],despesavariávelconsolidado[[#This Row],[DESPESA VARIÁVEL]])</f>
        <v>0</v>
      </c>
      <c r="H60" s="173">
        <f>SUMIFS(tabela_registros[VALOR],tabela_registros[MÊS],$AE$1,tabela_registros[DIA],jantotal[[#Headers],[4]],tabela_registros[REGISTRO],DADOS!$N$4,tabela_registros[TIPO],DADOS!$P$4,tabela_registros[CATEGORIA],despesavariávelconsolidado[[#This Row],[DESPESA VARIÁVEL]])</f>
        <v>0</v>
      </c>
      <c r="I60" s="173">
        <f>SUMIFS(tabela_registros[VALOR],tabela_registros[MÊS],$AE$1,tabela_registros[DIA],jantotal[[#Headers],[5]],tabela_registros[REGISTRO],DADOS!$N$4,tabela_registros[TIPO],DADOS!$P$4,tabela_registros[CATEGORIA],despesavariávelconsolidado[[#This Row],[DESPESA VARIÁVEL]])</f>
        <v>0</v>
      </c>
      <c r="J60" s="173">
        <f>SUMIFS(tabela_registros[VALOR],tabela_registros[MÊS],$AE$1,tabela_registros[DIA],jantotal[[#Headers],[6]],tabela_registros[REGISTRO],DADOS!$N$4,tabela_registros[TIPO],DADOS!$P$4,tabela_registros[CATEGORIA],despesavariávelconsolidado[[#This Row],[DESPESA VARIÁVEL]])</f>
        <v>0</v>
      </c>
      <c r="K60" s="173">
        <f>SUMIFS(tabela_registros[VALOR],tabela_registros[MÊS],$AE$1,tabela_registros[DIA],jantotal[[#Headers],[7]],tabela_registros[REGISTRO],DADOS!$N$4,tabela_registros[TIPO],DADOS!$P$4,tabela_registros[CATEGORIA],despesavariávelconsolidado[[#This Row],[DESPESA VARIÁVEL]])</f>
        <v>0</v>
      </c>
      <c r="L60" s="173">
        <f>SUMIFS(tabela_registros[VALOR],tabela_registros[MÊS],$AE$1,tabela_registros[DIA],jantotal[[#Headers],[8]],tabela_registros[REGISTRO],DADOS!$N$4,tabela_registros[TIPO],DADOS!$P$4,tabela_registros[CATEGORIA],despesavariávelconsolidado[[#This Row],[DESPESA VARIÁVEL]])</f>
        <v>144.57142857142901</v>
      </c>
      <c r="M60" s="173">
        <f>SUMIFS(tabela_registros[VALOR],tabela_registros[MÊS],$AE$1,tabela_registros[DIA],jantotal[[#Headers],[9]],tabela_registros[REGISTRO],DADOS!$N$4,tabela_registros[TIPO],DADOS!$P$4,tabela_registros[CATEGORIA],despesavariávelconsolidado[[#This Row],[DESPESA VARIÁVEL]])</f>
        <v>0</v>
      </c>
      <c r="N60" s="173">
        <f>SUMIFS(tabela_registros[VALOR],tabela_registros[MÊS],$AE$1,tabela_registros[DIA],jantotal[[#Headers],[10]],tabela_registros[REGISTRO],DADOS!$N$4,tabela_registros[TIPO],DADOS!$P$4,tabela_registros[CATEGORIA],despesavariávelconsolidado[[#This Row],[DESPESA VARIÁVEL]])</f>
        <v>0</v>
      </c>
      <c r="O60" s="173">
        <f>SUMIFS(tabela_registros[VALOR],tabela_registros[MÊS],$AE$1,tabela_registros[DIA],jantotal[[#Headers],[11]],tabela_registros[REGISTRO],DADOS!$N$4,tabela_registros[TIPO],DADOS!$P$4,tabela_registros[CATEGORIA],despesavariávelconsolidado[[#This Row],[DESPESA VARIÁVEL]])</f>
        <v>0</v>
      </c>
      <c r="P60" s="173">
        <f>SUMIFS(tabela_registros[VALOR],tabela_registros[MÊS],$AE$1,tabela_registros[DIA],jantotal[[#Headers],[12]],tabela_registros[REGISTRO],DADOS!$N$4,tabela_registros[TIPO],DADOS!$P$4,tabela_registros[CATEGORIA],despesavariávelconsolidado[[#This Row],[DESPESA VARIÁVEL]])</f>
        <v>0</v>
      </c>
      <c r="Q60" s="173">
        <f>SUMIFS(tabela_registros[VALOR],tabela_registros[MÊS],$AE$1,tabela_registros[DIA],jantotal[[#Headers],[13]],tabela_registros[REGISTRO],DADOS!$N$4,tabela_registros[TIPO],DADOS!$P$4,tabela_registros[CATEGORIA],despesavariávelconsolidado[[#This Row],[DESPESA VARIÁVEL]])</f>
        <v>0</v>
      </c>
      <c r="R60" s="173">
        <f>SUMIFS(tabela_registros[VALOR],tabela_registros[MÊS],$AE$1,tabela_registros[DIA],jantotal[[#Headers],[14]],tabela_registros[REGISTRO],DADOS!$N$4,tabela_registros[TIPO],DADOS!$P$4,tabela_registros[CATEGORIA],despesavariávelconsolidado[[#This Row],[DESPESA VARIÁVEL]])</f>
        <v>0</v>
      </c>
      <c r="S60" s="173">
        <f>SUMIFS(tabela_registros[VALOR],tabela_registros[MÊS],$AE$1,tabela_registros[DIA],jantotal[[#Headers],[15]],tabela_registros[REGISTRO],DADOS!$N$4,tabela_registros[TIPO],DADOS!$P$4,tabela_registros[CATEGORIA],despesavariávelconsolidado[[#This Row],[DESPESA VARIÁVEL]])</f>
        <v>0</v>
      </c>
      <c r="T60" s="173">
        <f>SUMIFS(tabela_registros[VALOR],tabela_registros[MÊS],$AE$1,tabela_registros[DIA],jantotal[[#Headers],[16]],tabela_registros[REGISTRO],DADOS!$N$4,tabela_registros[TIPO],DADOS!$P$4,tabela_registros[CATEGORIA],despesavariávelconsolidado[[#This Row],[DESPESA VARIÁVEL]])</f>
        <v>0</v>
      </c>
      <c r="U60" s="173">
        <f>SUMIFS(tabela_registros[VALOR],tabela_registros[MÊS],$AE$1,tabela_registros[DIA],jantotal[[#Headers],[17]],tabela_registros[REGISTRO],DADOS!$N$4,tabela_registros[TIPO],DADOS!$P$4,tabela_registros[CATEGORIA],despesavariávelconsolidado[[#This Row],[DESPESA VARIÁVEL]])</f>
        <v>0</v>
      </c>
      <c r="V60" s="173">
        <f>SUMIFS(tabela_registros[VALOR],tabela_registros[MÊS],$AE$1,tabela_registros[DIA],jantotal[[#Headers],[18]],tabela_registros[REGISTRO],DADOS!$N$4,tabela_registros[TIPO],DADOS!$P$4,tabela_registros[CATEGORIA],despesavariávelconsolidado[[#This Row],[DESPESA VARIÁVEL]])</f>
        <v>0</v>
      </c>
      <c r="W60" s="173">
        <f>SUMIFS(tabela_registros[VALOR],tabela_registros[MÊS],$AE$1,tabela_registros[DIA],jantotal[[#Headers],[19]],tabela_registros[REGISTRO],DADOS!$N$4,tabela_registros[TIPO],DADOS!$P$4,tabela_registros[CATEGORIA],despesavariávelconsolidado[[#This Row],[DESPESA VARIÁVEL]])</f>
        <v>0</v>
      </c>
      <c r="X60" s="173">
        <f>SUMIFS(tabela_registros[VALOR],tabela_registros[MÊS],$AE$1,tabela_registros[DIA],jantotal[[#Headers],[20]],tabela_registros[REGISTRO],DADOS!$N$4,tabela_registros[TIPO],DADOS!$P$4,tabela_registros[CATEGORIA],despesavariávelconsolidado[[#This Row],[DESPESA VARIÁVEL]])</f>
        <v>0</v>
      </c>
      <c r="Y60" s="173">
        <f>SUMIFS(tabela_registros[VALOR],tabela_registros[MÊS],$AE$1,tabela_registros[DIA],jantotal[[#Headers],[21]],tabela_registros[REGISTRO],DADOS!$N$4,tabela_registros[TIPO],DADOS!$P$4,tabela_registros[CATEGORIA],despesavariávelconsolidado[[#This Row],[DESPESA VARIÁVEL]])</f>
        <v>0</v>
      </c>
      <c r="Z60" s="173">
        <f>SUMIFS(tabela_registros[VALOR],tabela_registros[MÊS],$AE$1,tabela_registros[DIA],jantotal[[#Headers],[22]],tabela_registros[REGISTRO],DADOS!$N$4,tabela_registros[TIPO],DADOS!$P$4,tabela_registros[CATEGORIA],despesavariávelconsolidado[[#This Row],[DESPESA VARIÁVEL]])</f>
        <v>0</v>
      </c>
      <c r="AA60" s="173">
        <f>SUMIFS(tabela_registros[VALOR],tabela_registros[MÊS],$AE$1,tabela_registros[DIA],jantotal[[#Headers],[23]],tabela_registros[REGISTRO],DADOS!$N$4,tabela_registros[TIPO],DADOS!$P$4,tabela_registros[CATEGORIA],despesavariávelconsolidado[[#This Row],[DESPESA VARIÁVEL]])</f>
        <v>0</v>
      </c>
      <c r="AB60" s="173">
        <f>SUMIFS(tabela_registros[VALOR],tabela_registros[MÊS],$AE$1,tabela_registros[DIA],jantotal[[#Headers],[24]],tabela_registros[REGISTRO],DADOS!$N$4,tabela_registros[TIPO],DADOS!$P$4,tabela_registros[CATEGORIA],despesavariávelconsolidado[[#This Row],[DESPESA VARIÁVEL]])</f>
        <v>0</v>
      </c>
      <c r="AC60" s="173">
        <f>SUMIFS(tabela_registros[VALOR],tabela_registros[MÊS],$AE$1,tabela_registros[DIA],jantotal[[#Headers],[25]],tabela_registros[REGISTRO],DADOS!$N$4,tabela_registros[TIPO],DADOS!$P$4,tabela_registros[CATEGORIA],despesavariávelconsolidado[[#This Row],[DESPESA VARIÁVEL]])</f>
        <v>0</v>
      </c>
      <c r="AD60" s="173">
        <f>SUMIFS(tabela_registros[VALOR],tabela_registros[MÊS],$AE$1,tabela_registros[DIA],jantotal[[#Headers],[26]],tabela_registros[REGISTRO],DADOS!$N$4,tabela_registros[TIPO],DADOS!$P$4,tabela_registros[CATEGORIA],despesavariávelconsolidado[[#This Row],[DESPESA VARIÁVEL]])</f>
        <v>0</v>
      </c>
      <c r="AE60" s="173">
        <f>SUMIFS(tabela_registros[VALOR],tabela_registros[MÊS],$AE$1,tabela_registros[DIA],jantotal[[#Headers],[27]],tabela_registros[REGISTRO],DADOS!$N$4,tabela_registros[TIPO],DADOS!$P$4,tabela_registros[CATEGORIA],despesavariávelconsolidado[[#This Row],[DESPESA VARIÁVEL]])</f>
        <v>0</v>
      </c>
      <c r="AF60" s="173">
        <f>SUMIFS(tabela_registros[VALOR],tabela_registros[MÊS],$AE$1,tabela_registros[DIA],jantotal[[#Headers],[28]],tabela_registros[REGISTRO],DADOS!$N$4,tabela_registros[TIPO],DADOS!$P$4,tabela_registros[CATEGORIA],despesavariávelconsolidado[[#This Row],[DESPESA VARIÁVEL]])</f>
        <v>0</v>
      </c>
      <c r="AG60" s="173">
        <f>SUMIFS(tabela_registros[VALOR],tabela_registros[MÊS],$AE$1,tabela_registros[DIA],jantotal[[#Headers],[29]],tabela_registros[REGISTRO],DADOS!$N$4,tabela_registros[TIPO],DADOS!$P$4,tabela_registros[CATEGORIA],despesavariávelconsolidado[[#This Row],[DESPESA VARIÁVEL]])</f>
        <v>0</v>
      </c>
      <c r="AH60" s="173">
        <f>SUMIFS(tabela_registros[VALOR],tabela_registros[MÊS],$AE$1,tabela_registros[DIA],jantotal[[#Headers],[30]],tabela_registros[REGISTRO],DADOS!$N$4,tabela_registros[TIPO],DADOS!$P$4,tabela_registros[CATEGORIA],despesavariávelconsolidado[[#This Row],[DESPESA VARIÁVEL]])</f>
        <v>0</v>
      </c>
      <c r="AI60" s="187">
        <f>SUMIFS(tabela_registros[VALOR],tabela_registros[MÊS],$AE$1,tabela_registros[DIA],jantotal[[#Headers],[31]],tabela_registros[REGISTRO],DADOS!$N$4,tabela_registros[TIPO],DADOS!$P$4,tabela_registros[CATEGORIA],despesavariávelconsolidado[[#This Row],[DESPESA VARIÁVEL]])</f>
        <v>0</v>
      </c>
      <c r="AJ60" s="188">
        <f>SUM(despesavariávelconsolidado[[#This Row],[1]:[31]])</f>
        <v>144.57142857142901</v>
      </c>
      <c r="AK60" s="28"/>
    </row>
    <row r="61" spans="2:37" ht="18" customHeight="1" thickTop="1" thickBot="1" x14ac:dyDescent="0.3">
      <c r="B61" s="28"/>
      <c r="C61" s="27" t="str">
        <f>DADOS!$T$4</f>
        <v>💳 CARTÃO DE CRÉDITO</v>
      </c>
      <c r="D61" s="26" t="str">
        <f>IF(despesavariávelconsolidado[[#This Row],[TOTAL]]=0,"",IF(OR(despesavariávelconsolidado[[#This Row],[TOTAL]]=LARGE($AJ$60:$AJ$72,1),despesavariávelconsolidado[[#This Row],[TOTAL]]=LARGE($AJ$60:$AJ$72,2),despesavariávelconsolidado[[#This Row],[TOTAL]]=LARGE($AJ$60:$AJ$72,3),despesavariávelconsolidado[[#This Row],[TOTAL]]=LARGE($AJ$60:$AJ$72,4),despesavariávelconsolidado[[#This Row],[TOTAL]]=LARGE($AJ$60:$AJ$72,5)),DADOS!$I$8,""))</f>
        <v/>
      </c>
      <c r="E61" s="189">
        <f>SUMIFS(tabela_registros[VALOR],tabela_registros[MÊS],$AE$1,tabela_registros[DIA],jantotal[[#Headers],[1]],tabela_registros[REGISTRO],DADOS!$N$4,tabela_registros[TIPO],DADOS!$P$4,tabela_registros[CATEGORIA],despesavariávelconsolidado[[#This Row],[DESPESA VARIÁVEL]])</f>
        <v>0</v>
      </c>
      <c r="F61" s="176">
        <f>SUMIFS(tabela_registros[VALOR],tabela_registros[MÊS],$AE$1,tabela_registros[DIA],jantotal[[#Headers],[2]],tabela_registros[REGISTRO],DADOS!$N$4,tabela_registros[TIPO],DADOS!$P$4,tabela_registros[CATEGORIA],despesavariávelconsolidado[[#This Row],[DESPESA VARIÁVEL]])</f>
        <v>0</v>
      </c>
      <c r="G61" s="176">
        <f>SUMIFS(tabela_registros[VALOR],tabela_registros[MÊS],$AE$1,tabela_registros[DIA],jantotal[[#Headers],[3]],tabela_registros[REGISTRO],DADOS!$N$4,tabela_registros[TIPO],DADOS!$P$4,tabela_registros[CATEGORIA],despesavariávelconsolidado[[#This Row],[DESPESA VARIÁVEL]])</f>
        <v>0</v>
      </c>
      <c r="H61" s="176">
        <f>SUMIFS(tabela_registros[VALOR],tabela_registros[MÊS],$AE$1,tabela_registros[DIA],jantotal[[#Headers],[4]],tabela_registros[REGISTRO],DADOS!$N$4,tabela_registros[TIPO],DADOS!$P$4,tabela_registros[CATEGORIA],despesavariávelconsolidado[[#This Row],[DESPESA VARIÁVEL]])</f>
        <v>0</v>
      </c>
      <c r="I61" s="176">
        <f>SUMIFS(tabela_registros[VALOR],tabela_registros[MÊS],$AE$1,tabela_registros[DIA],jantotal[[#Headers],[5]],tabela_registros[REGISTRO],DADOS!$N$4,tabela_registros[TIPO],DADOS!$P$4,tabela_registros[CATEGORIA],despesavariávelconsolidado[[#This Row],[DESPESA VARIÁVEL]])</f>
        <v>0</v>
      </c>
      <c r="J61" s="176">
        <f>SUMIFS(tabela_registros[VALOR],tabela_registros[MÊS],$AE$1,tabela_registros[DIA],jantotal[[#Headers],[6]],tabela_registros[REGISTRO],DADOS!$N$4,tabela_registros[TIPO],DADOS!$P$4,tabela_registros[CATEGORIA],despesavariávelconsolidado[[#This Row],[DESPESA VARIÁVEL]])</f>
        <v>0</v>
      </c>
      <c r="K61" s="176">
        <f>SUMIFS(tabela_registros[VALOR],tabela_registros[MÊS],$AE$1,tabela_registros[DIA],jantotal[[#Headers],[7]],tabela_registros[REGISTRO],DADOS!$N$4,tabela_registros[TIPO],DADOS!$P$4,tabela_registros[CATEGORIA],despesavariávelconsolidado[[#This Row],[DESPESA VARIÁVEL]])</f>
        <v>0</v>
      </c>
      <c r="L61" s="176">
        <f>SUMIFS(tabela_registros[VALOR],tabela_registros[MÊS],$AE$1,tabela_registros[DIA],jantotal[[#Headers],[8]],tabela_registros[REGISTRO],DADOS!$N$4,tabela_registros[TIPO],DADOS!$P$4,tabela_registros[CATEGORIA],despesavariávelconsolidado[[#This Row],[DESPESA VARIÁVEL]])</f>
        <v>0</v>
      </c>
      <c r="M61" s="176">
        <f>SUMIFS(tabela_registros[VALOR],tabela_registros[MÊS],$AE$1,tabela_registros[DIA],jantotal[[#Headers],[9]],tabela_registros[REGISTRO],DADOS!$N$4,tabela_registros[TIPO],DADOS!$P$4,tabela_registros[CATEGORIA],despesavariávelconsolidado[[#This Row],[DESPESA VARIÁVEL]])</f>
        <v>0</v>
      </c>
      <c r="N61" s="176">
        <f>SUMIFS(tabela_registros[VALOR],tabela_registros[MÊS],$AE$1,tabela_registros[DIA],jantotal[[#Headers],[10]],tabela_registros[REGISTRO],DADOS!$N$4,tabela_registros[TIPO],DADOS!$P$4,tabela_registros[CATEGORIA],despesavariávelconsolidado[[#This Row],[DESPESA VARIÁVEL]])</f>
        <v>0</v>
      </c>
      <c r="O61" s="176">
        <f>SUMIFS(tabela_registros[VALOR],tabela_registros[MÊS],$AE$1,tabela_registros[DIA],jantotal[[#Headers],[11]],tabela_registros[REGISTRO],DADOS!$N$4,tabela_registros[TIPO],DADOS!$P$4,tabela_registros[CATEGORIA],despesavariávelconsolidado[[#This Row],[DESPESA VARIÁVEL]])</f>
        <v>0</v>
      </c>
      <c r="P61" s="176">
        <f>SUMIFS(tabela_registros[VALOR],tabela_registros[MÊS],$AE$1,tabela_registros[DIA],jantotal[[#Headers],[12]],tabela_registros[REGISTRO],DADOS!$N$4,tabela_registros[TIPO],DADOS!$P$4,tabela_registros[CATEGORIA],despesavariávelconsolidado[[#This Row],[DESPESA VARIÁVEL]])</f>
        <v>0</v>
      </c>
      <c r="Q61" s="176">
        <f>SUMIFS(tabela_registros[VALOR],tabela_registros[MÊS],$AE$1,tabela_registros[DIA],jantotal[[#Headers],[13]],tabela_registros[REGISTRO],DADOS!$N$4,tabela_registros[TIPO],DADOS!$P$4,tabela_registros[CATEGORIA],despesavariávelconsolidado[[#This Row],[DESPESA VARIÁVEL]])</f>
        <v>0</v>
      </c>
      <c r="R61" s="176">
        <f>SUMIFS(tabela_registros[VALOR],tabela_registros[MÊS],$AE$1,tabela_registros[DIA],jantotal[[#Headers],[14]],tabela_registros[REGISTRO],DADOS!$N$4,tabela_registros[TIPO],DADOS!$P$4,tabela_registros[CATEGORIA],despesavariávelconsolidado[[#This Row],[DESPESA VARIÁVEL]])</f>
        <v>0</v>
      </c>
      <c r="S61" s="176">
        <f>SUMIFS(tabela_registros[VALOR],tabela_registros[MÊS],$AE$1,tabela_registros[DIA],jantotal[[#Headers],[15]],tabela_registros[REGISTRO],DADOS!$N$4,tabela_registros[TIPO],DADOS!$P$4,tabela_registros[CATEGORIA],despesavariávelconsolidado[[#This Row],[DESPESA VARIÁVEL]])</f>
        <v>0</v>
      </c>
      <c r="T61" s="176">
        <f>SUMIFS(tabela_registros[VALOR],tabela_registros[MÊS],$AE$1,tabela_registros[DIA],jantotal[[#Headers],[16]],tabela_registros[REGISTRO],DADOS!$N$4,tabela_registros[TIPO],DADOS!$P$4,tabela_registros[CATEGORIA],despesavariávelconsolidado[[#This Row],[DESPESA VARIÁVEL]])</f>
        <v>0</v>
      </c>
      <c r="U61" s="176">
        <f>SUMIFS(tabela_registros[VALOR],tabela_registros[MÊS],$AE$1,tabela_registros[DIA],jantotal[[#Headers],[17]],tabela_registros[REGISTRO],DADOS!$N$4,tabela_registros[TIPO],DADOS!$P$4,tabela_registros[CATEGORIA],despesavariávelconsolidado[[#This Row],[DESPESA VARIÁVEL]])</f>
        <v>0</v>
      </c>
      <c r="V61" s="176">
        <f>SUMIFS(tabela_registros[VALOR],tabela_registros[MÊS],$AE$1,tabela_registros[DIA],jantotal[[#Headers],[18]],tabela_registros[REGISTRO],DADOS!$N$4,tabela_registros[TIPO],DADOS!$P$4,tabela_registros[CATEGORIA],despesavariávelconsolidado[[#This Row],[DESPESA VARIÁVEL]])</f>
        <v>0</v>
      </c>
      <c r="W61" s="176">
        <f>SUMIFS(tabela_registros[VALOR],tabela_registros[MÊS],$AE$1,tabela_registros[DIA],jantotal[[#Headers],[19]],tabela_registros[REGISTRO],DADOS!$N$4,tabela_registros[TIPO],DADOS!$P$4,tabela_registros[CATEGORIA],despesavariávelconsolidado[[#This Row],[DESPESA VARIÁVEL]])</f>
        <v>0</v>
      </c>
      <c r="X61" s="176">
        <f>SUMIFS(tabela_registros[VALOR],tabela_registros[MÊS],$AE$1,tabela_registros[DIA],jantotal[[#Headers],[20]],tabela_registros[REGISTRO],DADOS!$N$4,tabela_registros[TIPO],DADOS!$P$4,tabela_registros[CATEGORIA],despesavariávelconsolidado[[#This Row],[DESPESA VARIÁVEL]])</f>
        <v>0</v>
      </c>
      <c r="Y61" s="176">
        <f>SUMIFS(tabela_registros[VALOR],tabela_registros[MÊS],$AE$1,tabela_registros[DIA],jantotal[[#Headers],[21]],tabela_registros[REGISTRO],DADOS!$N$4,tabela_registros[TIPO],DADOS!$P$4,tabela_registros[CATEGORIA],despesavariávelconsolidado[[#This Row],[DESPESA VARIÁVEL]])</f>
        <v>0</v>
      </c>
      <c r="Z61" s="176">
        <f>SUMIFS(tabela_registros[VALOR],tabela_registros[MÊS],$AE$1,tabela_registros[DIA],jantotal[[#Headers],[22]],tabela_registros[REGISTRO],DADOS!$N$4,tabela_registros[TIPO],DADOS!$P$4,tabela_registros[CATEGORIA],despesavariávelconsolidado[[#This Row],[DESPESA VARIÁVEL]])</f>
        <v>0</v>
      </c>
      <c r="AA61" s="176">
        <f>SUMIFS(tabela_registros[VALOR],tabela_registros[MÊS],$AE$1,tabela_registros[DIA],jantotal[[#Headers],[23]],tabela_registros[REGISTRO],DADOS!$N$4,tabela_registros[TIPO],DADOS!$P$4,tabela_registros[CATEGORIA],despesavariávelconsolidado[[#This Row],[DESPESA VARIÁVEL]])</f>
        <v>0</v>
      </c>
      <c r="AB61" s="176">
        <f>SUMIFS(tabela_registros[VALOR],tabela_registros[MÊS],$AE$1,tabela_registros[DIA],jantotal[[#Headers],[24]],tabela_registros[REGISTRO],DADOS!$N$4,tabela_registros[TIPO],DADOS!$P$4,tabela_registros[CATEGORIA],despesavariávelconsolidado[[#This Row],[DESPESA VARIÁVEL]])</f>
        <v>0</v>
      </c>
      <c r="AC61" s="176">
        <f>SUMIFS(tabela_registros[VALOR],tabela_registros[MÊS],$AE$1,tabela_registros[DIA],jantotal[[#Headers],[25]],tabela_registros[REGISTRO],DADOS!$N$4,tabela_registros[TIPO],DADOS!$P$4,tabela_registros[CATEGORIA],despesavariávelconsolidado[[#This Row],[DESPESA VARIÁVEL]])</f>
        <v>0</v>
      </c>
      <c r="AD61" s="176">
        <f>SUMIFS(tabela_registros[VALOR],tabela_registros[MÊS],$AE$1,tabela_registros[DIA],jantotal[[#Headers],[26]],tabela_registros[REGISTRO],DADOS!$N$4,tabela_registros[TIPO],DADOS!$P$4,tabela_registros[CATEGORIA],despesavariávelconsolidado[[#This Row],[DESPESA VARIÁVEL]])</f>
        <v>0</v>
      </c>
      <c r="AE61" s="176">
        <f>SUMIFS(tabela_registros[VALOR],tabela_registros[MÊS],$AE$1,tabela_registros[DIA],jantotal[[#Headers],[27]],tabela_registros[REGISTRO],DADOS!$N$4,tabela_registros[TIPO],DADOS!$P$4,tabela_registros[CATEGORIA],despesavariávelconsolidado[[#This Row],[DESPESA VARIÁVEL]])</f>
        <v>0</v>
      </c>
      <c r="AF61" s="176">
        <f>SUMIFS(tabela_registros[VALOR],tabela_registros[MÊS],$AE$1,tabela_registros[DIA],jantotal[[#Headers],[28]],tabela_registros[REGISTRO],DADOS!$N$4,tabela_registros[TIPO],DADOS!$P$4,tabela_registros[CATEGORIA],despesavariávelconsolidado[[#This Row],[DESPESA VARIÁVEL]])</f>
        <v>0</v>
      </c>
      <c r="AG61" s="176">
        <f>SUMIFS(tabela_registros[VALOR],tabela_registros[MÊS],$AE$1,tabela_registros[DIA],jantotal[[#Headers],[29]],tabela_registros[REGISTRO],DADOS!$N$4,tabela_registros[TIPO],DADOS!$P$4,tabela_registros[CATEGORIA],despesavariávelconsolidado[[#This Row],[DESPESA VARIÁVEL]])</f>
        <v>0</v>
      </c>
      <c r="AH61" s="176">
        <f>SUMIFS(tabela_registros[VALOR],tabela_registros[MÊS],$AE$1,tabela_registros[DIA],jantotal[[#Headers],[30]],tabela_registros[REGISTRO],DADOS!$N$4,tabela_registros[TIPO],DADOS!$P$4,tabela_registros[CATEGORIA],despesavariávelconsolidado[[#This Row],[DESPESA VARIÁVEL]])</f>
        <v>0</v>
      </c>
      <c r="AI61" s="190">
        <f>SUMIFS(tabela_registros[VALOR],tabela_registros[MÊS],$AE$1,tabela_registros[DIA],jantotal[[#Headers],[31]],tabela_registros[REGISTRO],DADOS!$N$4,tabela_registros[TIPO],DADOS!$P$4,tabela_registros[CATEGORIA],despesavariávelconsolidado[[#This Row],[DESPESA VARIÁVEL]])</f>
        <v>0</v>
      </c>
      <c r="AJ61" s="167">
        <f>SUM(despesavariávelconsolidado[[#This Row],[1]:[31]])</f>
        <v>0</v>
      </c>
      <c r="AK61" s="28"/>
    </row>
    <row r="62" spans="2:37" ht="18" customHeight="1" thickTop="1" thickBot="1" x14ac:dyDescent="0.3">
      <c r="B62" s="28"/>
      <c r="C62" s="27" t="str">
        <f>DADOS!$T$5</f>
        <v>✍️ CHEQUE ESPECIAL</v>
      </c>
      <c r="D62" s="26" t="str">
        <f>IF(despesavariávelconsolidado[[#This Row],[TOTAL]]=0,"",IF(OR(despesavariávelconsolidado[[#This Row],[TOTAL]]=LARGE($AJ$60:$AJ$72,1),despesavariávelconsolidado[[#This Row],[TOTAL]]=LARGE($AJ$60:$AJ$72,2),despesavariávelconsolidado[[#This Row],[TOTAL]]=LARGE($AJ$60:$AJ$72,3),despesavariávelconsolidado[[#This Row],[TOTAL]]=LARGE($AJ$60:$AJ$72,4),despesavariávelconsolidado[[#This Row],[TOTAL]]=LARGE($AJ$60:$AJ$72,5)),DADOS!$I$8,""))</f>
        <v>💣</v>
      </c>
      <c r="E62" s="189">
        <f>SUMIFS(tabela_registros[VALOR],tabela_registros[MÊS],$AE$1,tabela_registros[DIA],jantotal[[#Headers],[1]],tabela_registros[REGISTRO],DADOS!$N$4,tabela_registros[TIPO],DADOS!$P$4,tabela_registros[CATEGORIA],despesavariávelconsolidado[[#This Row],[DESPESA VARIÁVEL]])</f>
        <v>0</v>
      </c>
      <c r="F62" s="176">
        <f>SUMIFS(tabela_registros[VALOR],tabela_registros[MÊS],$AE$1,tabela_registros[DIA],jantotal[[#Headers],[2]],tabela_registros[REGISTRO],DADOS!$N$4,tabela_registros[TIPO],DADOS!$P$4,tabela_registros[CATEGORIA],despesavariávelconsolidado[[#This Row],[DESPESA VARIÁVEL]])</f>
        <v>0</v>
      </c>
      <c r="G62" s="176">
        <f>SUMIFS(tabela_registros[VALOR],tabela_registros[MÊS],$AE$1,tabela_registros[DIA],jantotal[[#Headers],[3]],tabela_registros[REGISTRO],DADOS!$N$4,tabela_registros[TIPO],DADOS!$P$4,tabela_registros[CATEGORIA],despesavariávelconsolidado[[#This Row],[DESPESA VARIÁVEL]])</f>
        <v>0</v>
      </c>
      <c r="H62" s="176">
        <f>SUMIFS(tabela_registros[VALOR],tabela_registros[MÊS],$AE$1,tabela_registros[DIA],jantotal[[#Headers],[4]],tabela_registros[REGISTRO],DADOS!$N$4,tabela_registros[TIPO],DADOS!$P$4,tabela_registros[CATEGORIA],despesavariávelconsolidado[[#This Row],[DESPESA VARIÁVEL]])</f>
        <v>0</v>
      </c>
      <c r="I62" s="176">
        <f>SUMIFS(tabela_registros[VALOR],tabela_registros[MÊS],$AE$1,tabela_registros[DIA],jantotal[[#Headers],[5]],tabela_registros[REGISTRO],DADOS!$N$4,tabela_registros[TIPO],DADOS!$P$4,tabela_registros[CATEGORIA],despesavariávelconsolidado[[#This Row],[DESPESA VARIÁVEL]])</f>
        <v>0</v>
      </c>
      <c r="J62" s="176">
        <f>SUMIFS(tabela_registros[VALOR],tabela_registros[MÊS],$AE$1,tabela_registros[DIA],jantotal[[#Headers],[6]],tabela_registros[REGISTRO],DADOS!$N$4,tabela_registros[TIPO],DADOS!$P$4,tabela_registros[CATEGORIA],despesavariávelconsolidado[[#This Row],[DESPESA VARIÁVEL]])</f>
        <v>0</v>
      </c>
      <c r="K62" s="176">
        <f>SUMIFS(tabela_registros[VALOR],tabela_registros[MÊS],$AE$1,tabela_registros[DIA],jantotal[[#Headers],[7]],tabela_registros[REGISTRO],DADOS!$N$4,tabela_registros[TIPO],DADOS!$P$4,tabela_registros[CATEGORIA],despesavariávelconsolidado[[#This Row],[DESPESA VARIÁVEL]])</f>
        <v>0</v>
      </c>
      <c r="L62" s="176">
        <f>SUMIFS(tabela_registros[VALOR],tabela_registros[MÊS],$AE$1,tabela_registros[DIA],jantotal[[#Headers],[8]],tabela_registros[REGISTRO],DADOS!$N$4,tabela_registros[TIPO],DADOS!$P$4,tabela_registros[CATEGORIA],despesavariávelconsolidado[[#This Row],[DESPESA VARIÁVEL]])</f>
        <v>0</v>
      </c>
      <c r="M62" s="176">
        <f>SUMIFS(tabela_registros[VALOR],tabela_registros[MÊS],$AE$1,tabela_registros[DIA],jantotal[[#Headers],[9]],tabela_registros[REGISTRO],DADOS!$N$4,tabela_registros[TIPO],DADOS!$P$4,tabela_registros[CATEGORIA],despesavariávelconsolidado[[#This Row],[DESPESA VARIÁVEL]])</f>
        <v>0</v>
      </c>
      <c r="N62" s="176">
        <f>SUMIFS(tabela_registros[VALOR],tabela_registros[MÊS],$AE$1,tabela_registros[DIA],jantotal[[#Headers],[10]],tabela_registros[REGISTRO],DADOS!$N$4,tabela_registros[TIPO],DADOS!$P$4,tabela_registros[CATEGORIA],despesavariávelconsolidado[[#This Row],[DESPESA VARIÁVEL]])</f>
        <v>0</v>
      </c>
      <c r="O62" s="176">
        <f>SUMIFS(tabela_registros[VALOR],tabela_registros[MÊS],$AE$1,tabela_registros[DIA],jantotal[[#Headers],[11]],tabela_registros[REGISTRO],DADOS!$N$4,tabela_registros[TIPO],DADOS!$P$4,tabela_registros[CATEGORIA],despesavariávelconsolidado[[#This Row],[DESPESA VARIÁVEL]])</f>
        <v>0</v>
      </c>
      <c r="P62" s="176">
        <f>SUMIFS(tabela_registros[VALOR],tabela_registros[MÊS],$AE$1,tabela_registros[DIA],jantotal[[#Headers],[12]],tabela_registros[REGISTRO],DADOS!$N$4,tabela_registros[TIPO],DADOS!$P$4,tabela_registros[CATEGORIA],despesavariávelconsolidado[[#This Row],[DESPESA VARIÁVEL]])</f>
        <v>0</v>
      </c>
      <c r="Q62" s="176">
        <f>SUMIFS(tabela_registros[VALOR],tabela_registros[MÊS],$AE$1,tabela_registros[DIA],jantotal[[#Headers],[13]],tabela_registros[REGISTRO],DADOS!$N$4,tabela_registros[TIPO],DADOS!$P$4,tabela_registros[CATEGORIA],despesavariávelconsolidado[[#This Row],[DESPESA VARIÁVEL]])</f>
        <v>0</v>
      </c>
      <c r="R62" s="176">
        <f>SUMIFS(tabela_registros[VALOR],tabela_registros[MÊS],$AE$1,tabela_registros[DIA],jantotal[[#Headers],[14]],tabela_registros[REGISTRO],DADOS!$N$4,tabela_registros[TIPO],DADOS!$P$4,tabela_registros[CATEGORIA],despesavariávelconsolidado[[#This Row],[DESPESA VARIÁVEL]])</f>
        <v>0</v>
      </c>
      <c r="S62" s="176">
        <f>SUMIFS(tabela_registros[VALOR],tabela_registros[MÊS],$AE$1,tabela_registros[DIA],jantotal[[#Headers],[15]],tabela_registros[REGISTRO],DADOS!$N$4,tabela_registros[TIPO],DADOS!$P$4,tabela_registros[CATEGORIA],despesavariávelconsolidado[[#This Row],[DESPESA VARIÁVEL]])</f>
        <v>0</v>
      </c>
      <c r="T62" s="176">
        <f>SUMIFS(tabela_registros[VALOR],tabela_registros[MÊS],$AE$1,tabela_registros[DIA],jantotal[[#Headers],[16]],tabela_registros[REGISTRO],DADOS!$N$4,tabela_registros[TIPO],DADOS!$P$4,tabela_registros[CATEGORIA],despesavariávelconsolidado[[#This Row],[DESPESA VARIÁVEL]])</f>
        <v>0</v>
      </c>
      <c r="U62" s="176">
        <f>SUMIFS(tabela_registros[VALOR],tabela_registros[MÊS],$AE$1,tabela_registros[DIA],jantotal[[#Headers],[17]],tabela_registros[REGISTRO],DADOS!$N$4,tabela_registros[TIPO],DADOS!$P$4,tabela_registros[CATEGORIA],despesavariávelconsolidado[[#This Row],[DESPESA VARIÁVEL]])</f>
        <v>0</v>
      </c>
      <c r="V62" s="176">
        <f>SUMIFS(tabela_registros[VALOR],tabela_registros[MÊS],$AE$1,tabela_registros[DIA],jantotal[[#Headers],[18]],tabela_registros[REGISTRO],DADOS!$N$4,tabela_registros[TIPO],DADOS!$P$4,tabela_registros[CATEGORIA],despesavariávelconsolidado[[#This Row],[DESPESA VARIÁVEL]])</f>
        <v>150</v>
      </c>
      <c r="W62" s="176">
        <f>SUMIFS(tabela_registros[VALOR],tabela_registros[MÊS],$AE$1,tabela_registros[DIA],jantotal[[#Headers],[19]],tabela_registros[REGISTRO],DADOS!$N$4,tabela_registros[TIPO],DADOS!$P$4,tabela_registros[CATEGORIA],despesavariávelconsolidado[[#This Row],[DESPESA VARIÁVEL]])</f>
        <v>0</v>
      </c>
      <c r="X62" s="176">
        <f>SUMIFS(tabela_registros[VALOR],tabela_registros[MÊS],$AE$1,tabela_registros[DIA],jantotal[[#Headers],[20]],tabela_registros[REGISTRO],DADOS!$N$4,tabela_registros[TIPO],DADOS!$P$4,tabela_registros[CATEGORIA],despesavariávelconsolidado[[#This Row],[DESPESA VARIÁVEL]])</f>
        <v>0</v>
      </c>
      <c r="Y62" s="176">
        <f>SUMIFS(tabela_registros[VALOR],tabela_registros[MÊS],$AE$1,tabela_registros[DIA],jantotal[[#Headers],[21]],tabela_registros[REGISTRO],DADOS!$N$4,tabela_registros[TIPO],DADOS!$P$4,tabela_registros[CATEGORIA],despesavariávelconsolidado[[#This Row],[DESPESA VARIÁVEL]])</f>
        <v>0</v>
      </c>
      <c r="Z62" s="176">
        <f>SUMIFS(tabela_registros[VALOR],tabela_registros[MÊS],$AE$1,tabela_registros[DIA],jantotal[[#Headers],[22]],tabela_registros[REGISTRO],DADOS!$N$4,tabela_registros[TIPO],DADOS!$P$4,tabela_registros[CATEGORIA],despesavariávelconsolidado[[#This Row],[DESPESA VARIÁVEL]])</f>
        <v>0</v>
      </c>
      <c r="AA62" s="176">
        <f>SUMIFS(tabela_registros[VALOR],tabela_registros[MÊS],$AE$1,tabela_registros[DIA],jantotal[[#Headers],[23]],tabela_registros[REGISTRO],DADOS!$N$4,tabela_registros[TIPO],DADOS!$P$4,tabela_registros[CATEGORIA],despesavariávelconsolidado[[#This Row],[DESPESA VARIÁVEL]])</f>
        <v>0</v>
      </c>
      <c r="AB62" s="176">
        <f>SUMIFS(tabela_registros[VALOR],tabela_registros[MÊS],$AE$1,tabela_registros[DIA],jantotal[[#Headers],[24]],tabela_registros[REGISTRO],DADOS!$N$4,tabela_registros[TIPO],DADOS!$P$4,tabela_registros[CATEGORIA],despesavariávelconsolidado[[#This Row],[DESPESA VARIÁVEL]])</f>
        <v>0</v>
      </c>
      <c r="AC62" s="176">
        <f>SUMIFS(tabela_registros[VALOR],tabela_registros[MÊS],$AE$1,tabela_registros[DIA],jantotal[[#Headers],[25]],tabela_registros[REGISTRO],DADOS!$N$4,tabela_registros[TIPO],DADOS!$P$4,tabela_registros[CATEGORIA],despesavariávelconsolidado[[#This Row],[DESPESA VARIÁVEL]])</f>
        <v>0</v>
      </c>
      <c r="AD62" s="176">
        <f>SUMIFS(tabela_registros[VALOR],tabela_registros[MÊS],$AE$1,tabela_registros[DIA],jantotal[[#Headers],[26]],tabela_registros[REGISTRO],DADOS!$N$4,tabela_registros[TIPO],DADOS!$P$4,tabela_registros[CATEGORIA],despesavariávelconsolidado[[#This Row],[DESPESA VARIÁVEL]])</f>
        <v>0</v>
      </c>
      <c r="AE62" s="176">
        <f>SUMIFS(tabela_registros[VALOR],tabela_registros[MÊS],$AE$1,tabela_registros[DIA],jantotal[[#Headers],[27]],tabela_registros[REGISTRO],DADOS!$N$4,tabela_registros[TIPO],DADOS!$P$4,tabela_registros[CATEGORIA],despesavariávelconsolidado[[#This Row],[DESPESA VARIÁVEL]])</f>
        <v>0</v>
      </c>
      <c r="AF62" s="176">
        <f>SUMIFS(tabela_registros[VALOR],tabela_registros[MÊS],$AE$1,tabela_registros[DIA],jantotal[[#Headers],[28]],tabela_registros[REGISTRO],DADOS!$N$4,tabela_registros[TIPO],DADOS!$P$4,tabela_registros[CATEGORIA],despesavariávelconsolidado[[#This Row],[DESPESA VARIÁVEL]])</f>
        <v>0</v>
      </c>
      <c r="AG62" s="176">
        <f>SUMIFS(tabela_registros[VALOR],tabela_registros[MÊS],$AE$1,tabela_registros[DIA],jantotal[[#Headers],[29]],tabela_registros[REGISTRO],DADOS!$N$4,tabela_registros[TIPO],DADOS!$P$4,tabela_registros[CATEGORIA],despesavariávelconsolidado[[#This Row],[DESPESA VARIÁVEL]])</f>
        <v>0</v>
      </c>
      <c r="AH62" s="176">
        <f>SUMIFS(tabela_registros[VALOR],tabela_registros[MÊS],$AE$1,tabela_registros[DIA],jantotal[[#Headers],[30]],tabela_registros[REGISTRO],DADOS!$N$4,tabela_registros[TIPO],DADOS!$P$4,tabela_registros[CATEGORIA],despesavariávelconsolidado[[#This Row],[DESPESA VARIÁVEL]])</f>
        <v>0</v>
      </c>
      <c r="AI62" s="190">
        <f>SUMIFS(tabela_registros[VALOR],tabela_registros[MÊS],$AE$1,tabela_registros[DIA],jantotal[[#Headers],[31]],tabela_registros[REGISTRO],DADOS!$N$4,tabela_registros[TIPO],DADOS!$P$4,tabela_registros[CATEGORIA],despesavariávelconsolidado[[#This Row],[DESPESA VARIÁVEL]])</f>
        <v>0</v>
      </c>
      <c r="AJ62" s="167">
        <f>SUM(despesavariávelconsolidado[[#This Row],[1]:[31]])</f>
        <v>150</v>
      </c>
      <c r="AK62" s="28"/>
    </row>
    <row r="63" spans="2:37" ht="18" customHeight="1" thickTop="1" thickBot="1" x14ac:dyDescent="0.3">
      <c r="B63" s="28"/>
      <c r="C63" s="27" t="str">
        <f>DADOS!$T$6</f>
        <v>💄 CUIDADOS PESSOAIS</v>
      </c>
      <c r="D63" s="26" t="str">
        <f>IF(despesavariávelconsolidado[[#This Row],[TOTAL]]=0,"",IF(OR(despesavariávelconsolidado[[#This Row],[TOTAL]]=LARGE($AJ$60:$AJ$72,1),despesavariávelconsolidado[[#This Row],[TOTAL]]=LARGE($AJ$60:$AJ$72,2),despesavariávelconsolidado[[#This Row],[TOTAL]]=LARGE($AJ$60:$AJ$72,3),despesavariávelconsolidado[[#This Row],[TOTAL]]=LARGE($AJ$60:$AJ$72,4),despesavariávelconsolidado[[#This Row],[TOTAL]]=LARGE($AJ$60:$AJ$72,5)),DADOS!$I$8,""))</f>
        <v/>
      </c>
      <c r="E63" s="189">
        <f>SUMIFS(tabela_registros[VALOR],tabela_registros[MÊS],$AE$1,tabela_registros[DIA],jantotal[[#Headers],[1]],tabela_registros[REGISTRO],DADOS!$N$4,tabela_registros[TIPO],DADOS!$P$4,tabela_registros[CATEGORIA],despesavariávelconsolidado[[#This Row],[DESPESA VARIÁVEL]])</f>
        <v>0</v>
      </c>
      <c r="F63" s="176">
        <f>SUMIFS(tabela_registros[VALOR],tabela_registros[MÊS],$AE$1,tabela_registros[DIA],jantotal[[#Headers],[2]],tabela_registros[REGISTRO],DADOS!$N$4,tabela_registros[TIPO],DADOS!$P$4,tabela_registros[CATEGORIA],despesavariávelconsolidado[[#This Row],[DESPESA VARIÁVEL]])</f>
        <v>0</v>
      </c>
      <c r="G63" s="176">
        <f>SUMIFS(tabela_registros[VALOR],tabela_registros[MÊS],$AE$1,tabela_registros[DIA],jantotal[[#Headers],[3]],tabela_registros[REGISTRO],DADOS!$N$4,tabela_registros[TIPO],DADOS!$P$4,tabela_registros[CATEGORIA],despesavariávelconsolidado[[#This Row],[DESPESA VARIÁVEL]])</f>
        <v>0</v>
      </c>
      <c r="H63" s="176">
        <f>SUMIFS(tabela_registros[VALOR],tabela_registros[MÊS],$AE$1,tabela_registros[DIA],jantotal[[#Headers],[4]],tabela_registros[REGISTRO],DADOS!$N$4,tabela_registros[TIPO],DADOS!$P$4,tabela_registros[CATEGORIA],despesavariávelconsolidado[[#This Row],[DESPESA VARIÁVEL]])</f>
        <v>0</v>
      </c>
      <c r="I63" s="176">
        <f>SUMIFS(tabela_registros[VALOR],tabela_registros[MÊS],$AE$1,tabela_registros[DIA],jantotal[[#Headers],[5]],tabela_registros[REGISTRO],DADOS!$N$4,tabela_registros[TIPO],DADOS!$P$4,tabela_registros[CATEGORIA],despesavariávelconsolidado[[#This Row],[DESPESA VARIÁVEL]])</f>
        <v>0</v>
      </c>
      <c r="J63" s="176">
        <f>SUMIFS(tabela_registros[VALOR],tabela_registros[MÊS],$AE$1,tabela_registros[DIA],jantotal[[#Headers],[6]],tabela_registros[REGISTRO],DADOS!$N$4,tabela_registros[TIPO],DADOS!$P$4,tabela_registros[CATEGORIA],despesavariávelconsolidado[[#This Row],[DESPESA VARIÁVEL]])</f>
        <v>0</v>
      </c>
      <c r="K63" s="176">
        <f>SUMIFS(tabela_registros[VALOR],tabela_registros[MÊS],$AE$1,tabela_registros[DIA],jantotal[[#Headers],[7]],tabela_registros[REGISTRO],DADOS!$N$4,tabela_registros[TIPO],DADOS!$P$4,tabela_registros[CATEGORIA],despesavariávelconsolidado[[#This Row],[DESPESA VARIÁVEL]])</f>
        <v>0</v>
      </c>
      <c r="L63" s="176">
        <f>SUMIFS(tabela_registros[VALOR],tabela_registros[MÊS],$AE$1,tabela_registros[DIA],jantotal[[#Headers],[8]],tabela_registros[REGISTRO],DADOS!$N$4,tabela_registros[TIPO],DADOS!$P$4,tabela_registros[CATEGORIA],despesavariávelconsolidado[[#This Row],[DESPESA VARIÁVEL]])</f>
        <v>0</v>
      </c>
      <c r="M63" s="176">
        <f>SUMIFS(tabela_registros[VALOR],tabela_registros[MÊS],$AE$1,tabela_registros[DIA],jantotal[[#Headers],[9]],tabela_registros[REGISTRO],DADOS!$N$4,tabela_registros[TIPO],DADOS!$P$4,tabela_registros[CATEGORIA],despesavariávelconsolidado[[#This Row],[DESPESA VARIÁVEL]])</f>
        <v>0</v>
      </c>
      <c r="N63" s="176">
        <f>SUMIFS(tabela_registros[VALOR],tabela_registros[MÊS],$AE$1,tabela_registros[DIA],jantotal[[#Headers],[10]],tabela_registros[REGISTRO],DADOS!$N$4,tabela_registros[TIPO],DADOS!$P$4,tabela_registros[CATEGORIA],despesavariávelconsolidado[[#This Row],[DESPESA VARIÁVEL]])</f>
        <v>0</v>
      </c>
      <c r="O63" s="176">
        <f>SUMIFS(tabela_registros[VALOR],tabela_registros[MÊS],$AE$1,tabela_registros[DIA],jantotal[[#Headers],[11]],tabela_registros[REGISTRO],DADOS!$N$4,tabela_registros[TIPO],DADOS!$P$4,tabela_registros[CATEGORIA],despesavariávelconsolidado[[#This Row],[DESPESA VARIÁVEL]])</f>
        <v>0</v>
      </c>
      <c r="P63" s="176">
        <f>SUMIFS(tabela_registros[VALOR],tabela_registros[MÊS],$AE$1,tabela_registros[DIA],jantotal[[#Headers],[12]],tabela_registros[REGISTRO],DADOS!$N$4,tabela_registros[TIPO],DADOS!$P$4,tabela_registros[CATEGORIA],despesavariávelconsolidado[[#This Row],[DESPESA VARIÁVEL]])</f>
        <v>0</v>
      </c>
      <c r="Q63" s="176">
        <f>SUMIFS(tabela_registros[VALOR],tabela_registros[MÊS],$AE$1,tabela_registros[DIA],jantotal[[#Headers],[13]],tabela_registros[REGISTRO],DADOS!$N$4,tabela_registros[TIPO],DADOS!$P$4,tabela_registros[CATEGORIA],despesavariávelconsolidado[[#This Row],[DESPESA VARIÁVEL]])</f>
        <v>0</v>
      </c>
      <c r="R63" s="176">
        <f>SUMIFS(tabela_registros[VALOR],tabela_registros[MÊS],$AE$1,tabela_registros[DIA],jantotal[[#Headers],[14]],tabela_registros[REGISTRO],DADOS!$N$4,tabela_registros[TIPO],DADOS!$P$4,tabela_registros[CATEGORIA],despesavariávelconsolidado[[#This Row],[DESPESA VARIÁVEL]])</f>
        <v>0</v>
      </c>
      <c r="S63" s="176">
        <f>SUMIFS(tabela_registros[VALOR],tabela_registros[MÊS],$AE$1,tabela_registros[DIA],jantotal[[#Headers],[15]],tabela_registros[REGISTRO],DADOS!$N$4,tabela_registros[TIPO],DADOS!$P$4,tabela_registros[CATEGORIA],despesavariávelconsolidado[[#This Row],[DESPESA VARIÁVEL]])</f>
        <v>0</v>
      </c>
      <c r="T63" s="176">
        <f>SUMIFS(tabela_registros[VALOR],tabela_registros[MÊS],$AE$1,tabela_registros[DIA],jantotal[[#Headers],[16]],tabela_registros[REGISTRO],DADOS!$N$4,tabela_registros[TIPO],DADOS!$P$4,tabela_registros[CATEGORIA],despesavariávelconsolidado[[#This Row],[DESPESA VARIÁVEL]])</f>
        <v>0</v>
      </c>
      <c r="U63" s="176">
        <f>SUMIFS(tabela_registros[VALOR],tabela_registros[MÊS],$AE$1,tabela_registros[DIA],jantotal[[#Headers],[17]],tabela_registros[REGISTRO],DADOS!$N$4,tabela_registros[TIPO],DADOS!$P$4,tabela_registros[CATEGORIA],despesavariávelconsolidado[[#This Row],[DESPESA VARIÁVEL]])</f>
        <v>0</v>
      </c>
      <c r="V63" s="176">
        <f>SUMIFS(tabela_registros[VALOR],tabela_registros[MÊS],$AE$1,tabela_registros[DIA],jantotal[[#Headers],[18]],tabela_registros[REGISTRO],DADOS!$N$4,tabela_registros[TIPO],DADOS!$P$4,tabela_registros[CATEGORIA],despesavariávelconsolidado[[#This Row],[DESPESA VARIÁVEL]])</f>
        <v>0</v>
      </c>
      <c r="W63" s="176">
        <f>SUMIFS(tabela_registros[VALOR],tabela_registros[MÊS],$AE$1,tabela_registros[DIA],jantotal[[#Headers],[19]],tabela_registros[REGISTRO],DADOS!$N$4,tabela_registros[TIPO],DADOS!$P$4,tabela_registros[CATEGORIA],despesavariávelconsolidado[[#This Row],[DESPESA VARIÁVEL]])</f>
        <v>0</v>
      </c>
      <c r="X63" s="176">
        <f>SUMIFS(tabela_registros[VALOR],tabela_registros[MÊS],$AE$1,tabela_registros[DIA],jantotal[[#Headers],[20]],tabela_registros[REGISTRO],DADOS!$N$4,tabela_registros[TIPO],DADOS!$P$4,tabela_registros[CATEGORIA],despesavariávelconsolidado[[#This Row],[DESPESA VARIÁVEL]])</f>
        <v>0</v>
      </c>
      <c r="Y63" s="176">
        <f>SUMIFS(tabela_registros[VALOR],tabela_registros[MÊS],$AE$1,tabela_registros[DIA],jantotal[[#Headers],[21]],tabela_registros[REGISTRO],DADOS!$N$4,tabela_registros[TIPO],DADOS!$P$4,tabela_registros[CATEGORIA],despesavariávelconsolidado[[#This Row],[DESPESA VARIÁVEL]])</f>
        <v>0</v>
      </c>
      <c r="Z63" s="176">
        <f>SUMIFS(tabela_registros[VALOR],tabela_registros[MÊS],$AE$1,tabela_registros[DIA],jantotal[[#Headers],[22]],tabela_registros[REGISTRO],DADOS!$N$4,tabela_registros[TIPO],DADOS!$P$4,tabela_registros[CATEGORIA],despesavariávelconsolidado[[#This Row],[DESPESA VARIÁVEL]])</f>
        <v>0</v>
      </c>
      <c r="AA63" s="176">
        <f>SUMIFS(tabela_registros[VALOR],tabela_registros[MÊS],$AE$1,tabela_registros[DIA],jantotal[[#Headers],[23]],tabela_registros[REGISTRO],DADOS!$N$4,tabela_registros[TIPO],DADOS!$P$4,tabela_registros[CATEGORIA],despesavariávelconsolidado[[#This Row],[DESPESA VARIÁVEL]])</f>
        <v>0</v>
      </c>
      <c r="AB63" s="176">
        <f>SUMIFS(tabela_registros[VALOR],tabela_registros[MÊS],$AE$1,tabela_registros[DIA],jantotal[[#Headers],[24]],tabela_registros[REGISTRO],DADOS!$N$4,tabela_registros[TIPO],DADOS!$P$4,tabela_registros[CATEGORIA],despesavariávelconsolidado[[#This Row],[DESPESA VARIÁVEL]])</f>
        <v>0</v>
      </c>
      <c r="AC63" s="176">
        <f>SUMIFS(tabela_registros[VALOR],tabela_registros[MÊS],$AE$1,tabela_registros[DIA],jantotal[[#Headers],[25]],tabela_registros[REGISTRO],DADOS!$N$4,tabela_registros[TIPO],DADOS!$P$4,tabela_registros[CATEGORIA],despesavariávelconsolidado[[#This Row],[DESPESA VARIÁVEL]])</f>
        <v>0</v>
      </c>
      <c r="AD63" s="176">
        <f>SUMIFS(tabela_registros[VALOR],tabela_registros[MÊS],$AE$1,tabela_registros[DIA],jantotal[[#Headers],[26]],tabela_registros[REGISTRO],DADOS!$N$4,tabela_registros[TIPO],DADOS!$P$4,tabela_registros[CATEGORIA],despesavariávelconsolidado[[#This Row],[DESPESA VARIÁVEL]])</f>
        <v>0</v>
      </c>
      <c r="AE63" s="176">
        <f>SUMIFS(tabela_registros[VALOR],tabela_registros[MÊS],$AE$1,tabela_registros[DIA],jantotal[[#Headers],[27]],tabela_registros[REGISTRO],DADOS!$N$4,tabela_registros[TIPO],DADOS!$P$4,tabela_registros[CATEGORIA],despesavariávelconsolidado[[#This Row],[DESPESA VARIÁVEL]])</f>
        <v>0</v>
      </c>
      <c r="AF63" s="176">
        <f>SUMIFS(tabela_registros[VALOR],tabela_registros[MÊS],$AE$1,tabela_registros[DIA],jantotal[[#Headers],[28]],tabela_registros[REGISTRO],DADOS!$N$4,tabela_registros[TIPO],DADOS!$P$4,tabela_registros[CATEGORIA],despesavariávelconsolidado[[#This Row],[DESPESA VARIÁVEL]])</f>
        <v>0</v>
      </c>
      <c r="AG63" s="176">
        <f>SUMIFS(tabela_registros[VALOR],tabela_registros[MÊS],$AE$1,tabela_registros[DIA],jantotal[[#Headers],[29]],tabela_registros[REGISTRO],DADOS!$N$4,tabela_registros[TIPO],DADOS!$P$4,tabela_registros[CATEGORIA],despesavariávelconsolidado[[#This Row],[DESPESA VARIÁVEL]])</f>
        <v>0</v>
      </c>
      <c r="AH63" s="176">
        <f>SUMIFS(tabela_registros[VALOR],tabela_registros[MÊS],$AE$1,tabela_registros[DIA],jantotal[[#Headers],[30]],tabela_registros[REGISTRO],DADOS!$N$4,tabela_registros[TIPO],DADOS!$P$4,tabela_registros[CATEGORIA],despesavariávelconsolidado[[#This Row],[DESPESA VARIÁVEL]])</f>
        <v>0</v>
      </c>
      <c r="AI63" s="190">
        <f>SUMIFS(tabela_registros[VALOR],tabela_registros[MÊS],$AE$1,tabela_registros[DIA],jantotal[[#Headers],[31]],tabela_registros[REGISTRO],DADOS!$N$4,tabela_registros[TIPO],DADOS!$P$4,tabela_registros[CATEGORIA],despesavariávelconsolidado[[#This Row],[DESPESA VARIÁVEL]])</f>
        <v>0</v>
      </c>
      <c r="AJ63" s="167">
        <f>SUM(despesavariávelconsolidado[[#This Row],[1]:[31]])</f>
        <v>0</v>
      </c>
      <c r="AK63" s="28"/>
    </row>
    <row r="64" spans="2:37" ht="18" customHeight="1" thickTop="1" thickBot="1" x14ac:dyDescent="0.3">
      <c r="B64" s="28"/>
      <c r="C64" s="27" t="str">
        <f>DADOS!$T$7</f>
        <v>🤝 DOAÇÃO</v>
      </c>
      <c r="D64" s="26" t="str">
        <f>IF(despesavariávelconsolidado[[#This Row],[TOTAL]]=0,"",IF(OR(despesavariávelconsolidado[[#This Row],[TOTAL]]=LARGE($AJ$60:$AJ$72,1),despesavariávelconsolidado[[#This Row],[TOTAL]]=LARGE($AJ$60:$AJ$72,2),despesavariávelconsolidado[[#This Row],[TOTAL]]=LARGE($AJ$60:$AJ$72,3),despesavariávelconsolidado[[#This Row],[TOTAL]]=LARGE($AJ$60:$AJ$72,4),despesavariávelconsolidado[[#This Row],[TOTAL]]=LARGE($AJ$60:$AJ$72,5)),DADOS!$I$8,""))</f>
        <v/>
      </c>
      <c r="E64" s="189">
        <f>SUMIFS(tabela_registros[VALOR],tabela_registros[MÊS],$AE$1,tabela_registros[DIA],jantotal[[#Headers],[1]],tabela_registros[REGISTRO],DADOS!$N$4,tabela_registros[TIPO],DADOS!$P$4,tabela_registros[CATEGORIA],despesavariávelconsolidado[[#This Row],[DESPESA VARIÁVEL]])</f>
        <v>0</v>
      </c>
      <c r="F64" s="176">
        <f>SUMIFS(tabela_registros[VALOR],tabela_registros[MÊS],$AE$1,tabela_registros[DIA],jantotal[[#Headers],[2]],tabela_registros[REGISTRO],DADOS!$N$4,tabela_registros[TIPO],DADOS!$P$4,tabela_registros[CATEGORIA],despesavariávelconsolidado[[#This Row],[DESPESA VARIÁVEL]])</f>
        <v>0</v>
      </c>
      <c r="G64" s="176">
        <f>SUMIFS(tabela_registros[VALOR],tabela_registros[MÊS],$AE$1,tabela_registros[DIA],jantotal[[#Headers],[3]],tabela_registros[REGISTRO],DADOS!$N$4,tabela_registros[TIPO],DADOS!$P$4,tabela_registros[CATEGORIA],despesavariávelconsolidado[[#This Row],[DESPESA VARIÁVEL]])</f>
        <v>0</v>
      </c>
      <c r="H64" s="176">
        <f>SUMIFS(tabela_registros[VALOR],tabela_registros[MÊS],$AE$1,tabela_registros[DIA],jantotal[[#Headers],[4]],tabela_registros[REGISTRO],DADOS!$N$4,tabela_registros[TIPO],DADOS!$P$4,tabela_registros[CATEGORIA],despesavariávelconsolidado[[#This Row],[DESPESA VARIÁVEL]])</f>
        <v>0</v>
      </c>
      <c r="I64" s="176">
        <f>SUMIFS(tabela_registros[VALOR],tabela_registros[MÊS],$AE$1,tabela_registros[DIA],jantotal[[#Headers],[5]],tabela_registros[REGISTRO],DADOS!$N$4,tabela_registros[TIPO],DADOS!$P$4,tabela_registros[CATEGORIA],despesavariávelconsolidado[[#This Row],[DESPESA VARIÁVEL]])</f>
        <v>0</v>
      </c>
      <c r="J64" s="176">
        <f>SUMIFS(tabela_registros[VALOR],tabela_registros[MÊS],$AE$1,tabela_registros[DIA],jantotal[[#Headers],[6]],tabela_registros[REGISTRO],DADOS!$N$4,tabela_registros[TIPO],DADOS!$P$4,tabela_registros[CATEGORIA],despesavariávelconsolidado[[#This Row],[DESPESA VARIÁVEL]])</f>
        <v>0</v>
      </c>
      <c r="K64" s="176">
        <f>SUMIFS(tabela_registros[VALOR],tabela_registros[MÊS],$AE$1,tabela_registros[DIA],jantotal[[#Headers],[7]],tabela_registros[REGISTRO],DADOS!$N$4,tabela_registros[TIPO],DADOS!$P$4,tabela_registros[CATEGORIA],despesavariávelconsolidado[[#This Row],[DESPESA VARIÁVEL]])</f>
        <v>0</v>
      </c>
      <c r="L64" s="176">
        <f>SUMIFS(tabela_registros[VALOR],tabela_registros[MÊS],$AE$1,tabela_registros[DIA],jantotal[[#Headers],[8]],tabela_registros[REGISTRO],DADOS!$N$4,tabela_registros[TIPO],DADOS!$P$4,tabela_registros[CATEGORIA],despesavariávelconsolidado[[#This Row],[DESPESA VARIÁVEL]])</f>
        <v>0</v>
      </c>
      <c r="M64" s="176">
        <f>SUMIFS(tabela_registros[VALOR],tabela_registros[MÊS],$AE$1,tabela_registros[DIA],jantotal[[#Headers],[9]],tabela_registros[REGISTRO],DADOS!$N$4,tabela_registros[TIPO],DADOS!$P$4,tabela_registros[CATEGORIA],despesavariávelconsolidado[[#This Row],[DESPESA VARIÁVEL]])</f>
        <v>0</v>
      </c>
      <c r="N64" s="176">
        <f>SUMIFS(tabela_registros[VALOR],tabela_registros[MÊS],$AE$1,tabela_registros[DIA],jantotal[[#Headers],[10]],tabela_registros[REGISTRO],DADOS!$N$4,tabela_registros[TIPO],DADOS!$P$4,tabela_registros[CATEGORIA],despesavariávelconsolidado[[#This Row],[DESPESA VARIÁVEL]])</f>
        <v>0</v>
      </c>
      <c r="O64" s="176">
        <f>SUMIFS(tabela_registros[VALOR],tabela_registros[MÊS],$AE$1,tabela_registros[DIA],jantotal[[#Headers],[11]],tabela_registros[REGISTRO],DADOS!$N$4,tabela_registros[TIPO],DADOS!$P$4,tabela_registros[CATEGORIA],despesavariávelconsolidado[[#This Row],[DESPESA VARIÁVEL]])</f>
        <v>0</v>
      </c>
      <c r="P64" s="176">
        <f>SUMIFS(tabela_registros[VALOR],tabela_registros[MÊS],$AE$1,tabela_registros[DIA],jantotal[[#Headers],[12]],tabela_registros[REGISTRO],DADOS!$N$4,tabela_registros[TIPO],DADOS!$P$4,tabela_registros[CATEGORIA],despesavariávelconsolidado[[#This Row],[DESPESA VARIÁVEL]])</f>
        <v>0</v>
      </c>
      <c r="Q64" s="176">
        <f>SUMIFS(tabela_registros[VALOR],tabela_registros[MÊS],$AE$1,tabela_registros[DIA],jantotal[[#Headers],[13]],tabela_registros[REGISTRO],DADOS!$N$4,tabela_registros[TIPO],DADOS!$P$4,tabela_registros[CATEGORIA],despesavariávelconsolidado[[#This Row],[DESPESA VARIÁVEL]])</f>
        <v>0</v>
      </c>
      <c r="R64" s="176">
        <f>SUMIFS(tabela_registros[VALOR],tabela_registros[MÊS],$AE$1,tabela_registros[DIA],jantotal[[#Headers],[14]],tabela_registros[REGISTRO],DADOS!$N$4,tabela_registros[TIPO],DADOS!$P$4,tabela_registros[CATEGORIA],despesavariávelconsolidado[[#This Row],[DESPESA VARIÁVEL]])</f>
        <v>0</v>
      </c>
      <c r="S64" s="176">
        <f>SUMIFS(tabela_registros[VALOR],tabela_registros[MÊS],$AE$1,tabela_registros[DIA],jantotal[[#Headers],[15]],tabela_registros[REGISTRO],DADOS!$N$4,tabela_registros[TIPO],DADOS!$P$4,tabela_registros[CATEGORIA],despesavariávelconsolidado[[#This Row],[DESPESA VARIÁVEL]])</f>
        <v>0</v>
      </c>
      <c r="T64" s="176">
        <f>SUMIFS(tabela_registros[VALOR],tabela_registros[MÊS],$AE$1,tabela_registros[DIA],jantotal[[#Headers],[16]],tabela_registros[REGISTRO],DADOS!$N$4,tabela_registros[TIPO],DADOS!$P$4,tabela_registros[CATEGORIA],despesavariávelconsolidado[[#This Row],[DESPESA VARIÁVEL]])</f>
        <v>0</v>
      </c>
      <c r="U64" s="176">
        <f>SUMIFS(tabela_registros[VALOR],tabela_registros[MÊS],$AE$1,tabela_registros[DIA],jantotal[[#Headers],[17]],tabela_registros[REGISTRO],DADOS!$N$4,tabela_registros[TIPO],DADOS!$P$4,tabela_registros[CATEGORIA],despesavariávelconsolidado[[#This Row],[DESPESA VARIÁVEL]])</f>
        <v>0</v>
      </c>
      <c r="V64" s="176">
        <f>SUMIFS(tabela_registros[VALOR],tabela_registros[MÊS],$AE$1,tabela_registros[DIA],jantotal[[#Headers],[18]],tabela_registros[REGISTRO],DADOS!$N$4,tabela_registros[TIPO],DADOS!$P$4,tabela_registros[CATEGORIA],despesavariávelconsolidado[[#This Row],[DESPESA VARIÁVEL]])</f>
        <v>0</v>
      </c>
      <c r="W64" s="176">
        <f>SUMIFS(tabela_registros[VALOR],tabela_registros[MÊS],$AE$1,tabela_registros[DIA],jantotal[[#Headers],[19]],tabela_registros[REGISTRO],DADOS!$N$4,tabela_registros[TIPO],DADOS!$P$4,tabela_registros[CATEGORIA],despesavariávelconsolidado[[#This Row],[DESPESA VARIÁVEL]])</f>
        <v>0</v>
      </c>
      <c r="X64" s="176">
        <f>SUMIFS(tabela_registros[VALOR],tabela_registros[MÊS],$AE$1,tabela_registros[DIA],jantotal[[#Headers],[20]],tabela_registros[REGISTRO],DADOS!$N$4,tabela_registros[TIPO],DADOS!$P$4,tabela_registros[CATEGORIA],despesavariávelconsolidado[[#This Row],[DESPESA VARIÁVEL]])</f>
        <v>0</v>
      </c>
      <c r="Y64" s="176">
        <f>SUMIFS(tabela_registros[VALOR],tabela_registros[MÊS],$AE$1,tabela_registros[DIA],jantotal[[#Headers],[21]],tabela_registros[REGISTRO],DADOS!$N$4,tabela_registros[TIPO],DADOS!$P$4,tabela_registros[CATEGORIA],despesavariávelconsolidado[[#This Row],[DESPESA VARIÁVEL]])</f>
        <v>0</v>
      </c>
      <c r="Z64" s="176">
        <f>SUMIFS(tabela_registros[VALOR],tabela_registros[MÊS],$AE$1,tabela_registros[DIA],jantotal[[#Headers],[22]],tabela_registros[REGISTRO],DADOS!$N$4,tabela_registros[TIPO],DADOS!$P$4,tabela_registros[CATEGORIA],despesavariávelconsolidado[[#This Row],[DESPESA VARIÁVEL]])</f>
        <v>0</v>
      </c>
      <c r="AA64" s="176">
        <f>SUMIFS(tabela_registros[VALOR],tabela_registros[MÊS],$AE$1,tabela_registros[DIA],jantotal[[#Headers],[23]],tabela_registros[REGISTRO],DADOS!$N$4,tabela_registros[TIPO],DADOS!$P$4,tabela_registros[CATEGORIA],despesavariávelconsolidado[[#This Row],[DESPESA VARIÁVEL]])</f>
        <v>0</v>
      </c>
      <c r="AB64" s="176">
        <f>SUMIFS(tabela_registros[VALOR],tabela_registros[MÊS],$AE$1,tabela_registros[DIA],jantotal[[#Headers],[24]],tabela_registros[REGISTRO],DADOS!$N$4,tabela_registros[TIPO],DADOS!$P$4,tabela_registros[CATEGORIA],despesavariávelconsolidado[[#This Row],[DESPESA VARIÁVEL]])</f>
        <v>0</v>
      </c>
      <c r="AC64" s="176">
        <f>SUMIFS(tabela_registros[VALOR],tabela_registros[MÊS],$AE$1,tabela_registros[DIA],jantotal[[#Headers],[25]],tabela_registros[REGISTRO],DADOS!$N$4,tabela_registros[TIPO],DADOS!$P$4,tabela_registros[CATEGORIA],despesavariávelconsolidado[[#This Row],[DESPESA VARIÁVEL]])</f>
        <v>0</v>
      </c>
      <c r="AD64" s="176">
        <f>SUMIFS(tabela_registros[VALOR],tabela_registros[MÊS],$AE$1,tabela_registros[DIA],jantotal[[#Headers],[26]],tabela_registros[REGISTRO],DADOS!$N$4,tabela_registros[TIPO],DADOS!$P$4,tabela_registros[CATEGORIA],despesavariávelconsolidado[[#This Row],[DESPESA VARIÁVEL]])</f>
        <v>0</v>
      </c>
      <c r="AE64" s="176">
        <f>SUMIFS(tabela_registros[VALOR],tabela_registros[MÊS],$AE$1,tabela_registros[DIA],jantotal[[#Headers],[27]],tabela_registros[REGISTRO],DADOS!$N$4,tabela_registros[TIPO],DADOS!$P$4,tabela_registros[CATEGORIA],despesavariávelconsolidado[[#This Row],[DESPESA VARIÁVEL]])</f>
        <v>0</v>
      </c>
      <c r="AF64" s="176">
        <f>SUMIFS(tabela_registros[VALOR],tabela_registros[MÊS],$AE$1,tabela_registros[DIA],jantotal[[#Headers],[28]],tabela_registros[REGISTRO],DADOS!$N$4,tabela_registros[TIPO],DADOS!$P$4,tabela_registros[CATEGORIA],despesavariávelconsolidado[[#This Row],[DESPESA VARIÁVEL]])</f>
        <v>0</v>
      </c>
      <c r="AG64" s="176">
        <f>SUMIFS(tabela_registros[VALOR],tabela_registros[MÊS],$AE$1,tabela_registros[DIA],jantotal[[#Headers],[29]],tabela_registros[REGISTRO],DADOS!$N$4,tabela_registros[TIPO],DADOS!$P$4,tabela_registros[CATEGORIA],despesavariávelconsolidado[[#This Row],[DESPESA VARIÁVEL]])</f>
        <v>0</v>
      </c>
      <c r="AH64" s="176">
        <f>SUMIFS(tabela_registros[VALOR],tabela_registros[MÊS],$AE$1,tabela_registros[DIA],jantotal[[#Headers],[30]],tabela_registros[REGISTRO],DADOS!$N$4,tabela_registros[TIPO],DADOS!$P$4,tabela_registros[CATEGORIA],despesavariávelconsolidado[[#This Row],[DESPESA VARIÁVEL]])</f>
        <v>0</v>
      </c>
      <c r="AI64" s="190">
        <f>SUMIFS(tabela_registros[VALOR],tabela_registros[MÊS],$AE$1,tabela_registros[DIA],jantotal[[#Headers],[31]],tabela_registros[REGISTRO],DADOS!$N$4,tabela_registros[TIPO],DADOS!$P$4,tabela_registros[CATEGORIA],despesavariávelconsolidado[[#This Row],[DESPESA VARIÁVEL]])</f>
        <v>0</v>
      </c>
      <c r="AJ64" s="167">
        <f>SUM(despesavariávelconsolidado[[#This Row],[1]:[31]])</f>
        <v>0</v>
      </c>
      <c r="AK64" s="28"/>
    </row>
    <row r="65" spans="2:37" ht="18" customHeight="1" thickTop="1" thickBot="1" x14ac:dyDescent="0.3">
      <c r="B65" s="28"/>
      <c r="C65" s="27" t="str">
        <f>DADOS!$T$8</f>
        <v>📖 EDUCAÇÃO</v>
      </c>
      <c r="D65" s="26" t="str">
        <f>IF(despesavariávelconsolidado[[#This Row],[TOTAL]]=0,"",IF(OR(despesavariávelconsolidado[[#This Row],[TOTAL]]=LARGE($AJ$60:$AJ$72,1),despesavariávelconsolidado[[#This Row],[TOTAL]]=LARGE($AJ$60:$AJ$72,2),despesavariávelconsolidado[[#This Row],[TOTAL]]=LARGE($AJ$60:$AJ$72,3),despesavariávelconsolidado[[#This Row],[TOTAL]]=LARGE($AJ$60:$AJ$72,4),despesavariávelconsolidado[[#This Row],[TOTAL]]=LARGE($AJ$60:$AJ$72,5)),DADOS!$I$8,""))</f>
        <v>💣</v>
      </c>
      <c r="E65" s="189">
        <f>SUMIFS(tabela_registros[VALOR],tabela_registros[MÊS],$AE$1,tabela_registros[DIA],jantotal[[#Headers],[1]],tabela_registros[REGISTRO],DADOS!$N$4,tabela_registros[TIPO],DADOS!$P$4,tabela_registros[CATEGORIA],despesavariávelconsolidado[[#This Row],[DESPESA VARIÁVEL]])</f>
        <v>0</v>
      </c>
      <c r="F65" s="176">
        <f>SUMIFS(tabela_registros[VALOR],tabela_registros[MÊS],$AE$1,tabela_registros[DIA],jantotal[[#Headers],[2]],tabela_registros[REGISTRO],DADOS!$N$4,tabela_registros[TIPO],DADOS!$P$4,tabela_registros[CATEGORIA],despesavariávelconsolidado[[#This Row],[DESPESA VARIÁVEL]])</f>
        <v>0</v>
      </c>
      <c r="G65" s="176">
        <f>SUMIFS(tabela_registros[VALOR],tabela_registros[MÊS],$AE$1,tabela_registros[DIA],jantotal[[#Headers],[3]],tabela_registros[REGISTRO],DADOS!$N$4,tabela_registros[TIPO],DADOS!$P$4,tabela_registros[CATEGORIA],despesavariávelconsolidado[[#This Row],[DESPESA VARIÁVEL]])</f>
        <v>0</v>
      </c>
      <c r="H65" s="176">
        <f>SUMIFS(tabela_registros[VALOR],tabela_registros[MÊS],$AE$1,tabela_registros[DIA],jantotal[[#Headers],[4]],tabela_registros[REGISTRO],DADOS!$N$4,tabela_registros[TIPO],DADOS!$P$4,tabela_registros[CATEGORIA],despesavariávelconsolidado[[#This Row],[DESPESA VARIÁVEL]])</f>
        <v>0</v>
      </c>
      <c r="I65" s="176">
        <f>SUMIFS(tabela_registros[VALOR],tabela_registros[MÊS],$AE$1,tabela_registros[DIA],jantotal[[#Headers],[5]],tabela_registros[REGISTRO],DADOS!$N$4,tabela_registros[TIPO],DADOS!$P$4,tabela_registros[CATEGORIA],despesavariávelconsolidado[[#This Row],[DESPESA VARIÁVEL]])</f>
        <v>0</v>
      </c>
      <c r="J65" s="176">
        <f>SUMIFS(tabela_registros[VALOR],tabela_registros[MÊS],$AE$1,tabela_registros[DIA],jantotal[[#Headers],[6]],tabela_registros[REGISTRO],DADOS!$N$4,tabela_registros[TIPO],DADOS!$P$4,tabela_registros[CATEGORIA],despesavariávelconsolidado[[#This Row],[DESPESA VARIÁVEL]])</f>
        <v>0</v>
      </c>
      <c r="K65" s="176">
        <f>SUMIFS(tabela_registros[VALOR],tabela_registros[MÊS],$AE$1,tabela_registros[DIA],jantotal[[#Headers],[7]],tabela_registros[REGISTRO],DADOS!$N$4,tabela_registros[TIPO],DADOS!$P$4,tabela_registros[CATEGORIA],despesavariávelconsolidado[[#This Row],[DESPESA VARIÁVEL]])</f>
        <v>0</v>
      </c>
      <c r="L65" s="176">
        <f>SUMIFS(tabela_registros[VALOR],tabela_registros[MÊS],$AE$1,tabela_registros[DIA],jantotal[[#Headers],[8]],tabela_registros[REGISTRO],DADOS!$N$4,tabela_registros[TIPO],DADOS!$P$4,tabela_registros[CATEGORIA],despesavariávelconsolidado[[#This Row],[DESPESA VARIÁVEL]])</f>
        <v>0</v>
      </c>
      <c r="M65" s="176">
        <f>SUMIFS(tabela_registros[VALOR],tabela_registros[MÊS],$AE$1,tabela_registros[DIA],jantotal[[#Headers],[9]],tabela_registros[REGISTRO],DADOS!$N$4,tabela_registros[TIPO],DADOS!$P$4,tabela_registros[CATEGORIA],despesavariávelconsolidado[[#This Row],[DESPESA VARIÁVEL]])</f>
        <v>137.21428571428601</v>
      </c>
      <c r="N65" s="176">
        <f>SUMIFS(tabela_registros[VALOR],tabela_registros[MÊS],$AE$1,tabela_registros[DIA],jantotal[[#Headers],[10]],tabela_registros[REGISTRO],DADOS!$N$4,tabela_registros[TIPO],DADOS!$P$4,tabela_registros[CATEGORIA],despesavariávelconsolidado[[#This Row],[DESPESA VARIÁVEL]])</f>
        <v>0</v>
      </c>
      <c r="O65" s="176">
        <f>SUMIFS(tabela_registros[VALOR],tabela_registros[MÊS],$AE$1,tabela_registros[DIA],jantotal[[#Headers],[11]],tabela_registros[REGISTRO],DADOS!$N$4,tabela_registros[TIPO],DADOS!$P$4,tabela_registros[CATEGORIA],despesavariávelconsolidado[[#This Row],[DESPESA VARIÁVEL]])</f>
        <v>0</v>
      </c>
      <c r="P65" s="176">
        <f>SUMIFS(tabela_registros[VALOR],tabela_registros[MÊS],$AE$1,tabela_registros[DIA],jantotal[[#Headers],[12]],tabela_registros[REGISTRO],DADOS!$N$4,tabela_registros[TIPO],DADOS!$P$4,tabela_registros[CATEGORIA],despesavariávelconsolidado[[#This Row],[DESPESA VARIÁVEL]])</f>
        <v>0</v>
      </c>
      <c r="Q65" s="176">
        <f>SUMIFS(tabela_registros[VALOR],tabela_registros[MÊS],$AE$1,tabela_registros[DIA],jantotal[[#Headers],[13]],tabela_registros[REGISTRO],DADOS!$N$4,tabela_registros[TIPO],DADOS!$P$4,tabela_registros[CATEGORIA],despesavariávelconsolidado[[#This Row],[DESPESA VARIÁVEL]])</f>
        <v>0</v>
      </c>
      <c r="R65" s="176">
        <f>SUMIFS(tabela_registros[VALOR],tabela_registros[MÊS],$AE$1,tabela_registros[DIA],jantotal[[#Headers],[14]],tabela_registros[REGISTRO],DADOS!$N$4,tabela_registros[TIPO],DADOS!$P$4,tabela_registros[CATEGORIA],despesavariávelconsolidado[[#This Row],[DESPESA VARIÁVEL]])</f>
        <v>0</v>
      </c>
      <c r="S65" s="176">
        <f>SUMIFS(tabela_registros[VALOR],tabela_registros[MÊS],$AE$1,tabela_registros[DIA],jantotal[[#Headers],[15]],tabela_registros[REGISTRO],DADOS!$N$4,tabela_registros[TIPO],DADOS!$P$4,tabela_registros[CATEGORIA],despesavariávelconsolidado[[#This Row],[DESPESA VARIÁVEL]])</f>
        <v>0</v>
      </c>
      <c r="T65" s="176">
        <f>SUMIFS(tabela_registros[VALOR],tabela_registros[MÊS],$AE$1,tabela_registros[DIA],jantotal[[#Headers],[16]],tabela_registros[REGISTRO],DADOS!$N$4,tabela_registros[TIPO],DADOS!$P$4,tabela_registros[CATEGORIA],despesavariávelconsolidado[[#This Row],[DESPESA VARIÁVEL]])</f>
        <v>0</v>
      </c>
      <c r="U65" s="176">
        <f>SUMIFS(tabela_registros[VALOR],tabela_registros[MÊS],$AE$1,tabela_registros[DIA],jantotal[[#Headers],[17]],tabela_registros[REGISTRO],DADOS!$N$4,tabela_registros[TIPO],DADOS!$P$4,tabela_registros[CATEGORIA],despesavariávelconsolidado[[#This Row],[DESPESA VARIÁVEL]])</f>
        <v>0</v>
      </c>
      <c r="V65" s="176">
        <f>SUMIFS(tabela_registros[VALOR],tabela_registros[MÊS],$AE$1,tabela_registros[DIA],jantotal[[#Headers],[18]],tabela_registros[REGISTRO],DADOS!$N$4,tabela_registros[TIPO],DADOS!$P$4,tabela_registros[CATEGORIA],despesavariávelconsolidado[[#This Row],[DESPESA VARIÁVEL]])</f>
        <v>0</v>
      </c>
      <c r="W65" s="176">
        <f>SUMIFS(tabela_registros[VALOR],tabela_registros[MÊS],$AE$1,tabela_registros[DIA],jantotal[[#Headers],[19]],tabela_registros[REGISTRO],DADOS!$N$4,tabela_registros[TIPO],DADOS!$P$4,tabela_registros[CATEGORIA],despesavariávelconsolidado[[#This Row],[DESPESA VARIÁVEL]])</f>
        <v>0</v>
      </c>
      <c r="X65" s="176">
        <f>SUMIFS(tabela_registros[VALOR],tabela_registros[MÊS],$AE$1,tabela_registros[DIA],jantotal[[#Headers],[20]],tabela_registros[REGISTRO],DADOS!$N$4,tabela_registros[TIPO],DADOS!$P$4,tabela_registros[CATEGORIA],despesavariávelconsolidado[[#This Row],[DESPESA VARIÁVEL]])</f>
        <v>0</v>
      </c>
      <c r="Y65" s="176">
        <f>SUMIFS(tabela_registros[VALOR],tabela_registros[MÊS],$AE$1,tabela_registros[DIA],jantotal[[#Headers],[21]],tabela_registros[REGISTRO],DADOS!$N$4,tabela_registros[TIPO],DADOS!$P$4,tabela_registros[CATEGORIA],despesavariávelconsolidado[[#This Row],[DESPESA VARIÁVEL]])</f>
        <v>0</v>
      </c>
      <c r="Z65" s="176">
        <f>SUMIFS(tabela_registros[VALOR],tabela_registros[MÊS],$AE$1,tabela_registros[DIA],jantotal[[#Headers],[22]],tabela_registros[REGISTRO],DADOS!$N$4,tabela_registros[TIPO],DADOS!$P$4,tabela_registros[CATEGORIA],despesavariávelconsolidado[[#This Row],[DESPESA VARIÁVEL]])</f>
        <v>0</v>
      </c>
      <c r="AA65" s="176">
        <f>SUMIFS(tabela_registros[VALOR],tabela_registros[MÊS],$AE$1,tabela_registros[DIA],jantotal[[#Headers],[23]],tabela_registros[REGISTRO],DADOS!$N$4,tabela_registros[TIPO],DADOS!$P$4,tabela_registros[CATEGORIA],despesavariávelconsolidado[[#This Row],[DESPESA VARIÁVEL]])</f>
        <v>0</v>
      </c>
      <c r="AB65" s="176">
        <f>SUMIFS(tabela_registros[VALOR],tabela_registros[MÊS],$AE$1,tabela_registros[DIA],jantotal[[#Headers],[24]],tabela_registros[REGISTRO],DADOS!$N$4,tabela_registros[TIPO],DADOS!$P$4,tabela_registros[CATEGORIA],despesavariávelconsolidado[[#This Row],[DESPESA VARIÁVEL]])</f>
        <v>0</v>
      </c>
      <c r="AC65" s="176">
        <f>SUMIFS(tabela_registros[VALOR],tabela_registros[MÊS],$AE$1,tabela_registros[DIA],jantotal[[#Headers],[25]],tabela_registros[REGISTRO],DADOS!$N$4,tabela_registros[TIPO],DADOS!$P$4,tabela_registros[CATEGORIA],despesavariávelconsolidado[[#This Row],[DESPESA VARIÁVEL]])</f>
        <v>0</v>
      </c>
      <c r="AD65" s="176">
        <f>SUMIFS(tabela_registros[VALOR],tabela_registros[MÊS],$AE$1,tabela_registros[DIA],jantotal[[#Headers],[26]],tabela_registros[REGISTRO],DADOS!$N$4,tabela_registros[TIPO],DADOS!$P$4,tabela_registros[CATEGORIA],despesavariávelconsolidado[[#This Row],[DESPESA VARIÁVEL]])</f>
        <v>0</v>
      </c>
      <c r="AE65" s="176">
        <f>SUMIFS(tabela_registros[VALOR],tabela_registros[MÊS],$AE$1,tabela_registros[DIA],jantotal[[#Headers],[27]],tabela_registros[REGISTRO],DADOS!$N$4,tabela_registros[TIPO],DADOS!$P$4,tabela_registros[CATEGORIA],despesavariávelconsolidado[[#This Row],[DESPESA VARIÁVEL]])</f>
        <v>0</v>
      </c>
      <c r="AF65" s="176">
        <f>SUMIFS(tabela_registros[VALOR],tabela_registros[MÊS],$AE$1,tabela_registros[DIA],jantotal[[#Headers],[28]],tabela_registros[REGISTRO],DADOS!$N$4,tabela_registros[TIPO],DADOS!$P$4,tabela_registros[CATEGORIA],despesavariávelconsolidado[[#This Row],[DESPESA VARIÁVEL]])</f>
        <v>0</v>
      </c>
      <c r="AG65" s="176">
        <f>SUMIFS(tabela_registros[VALOR],tabela_registros[MÊS],$AE$1,tabela_registros[DIA],jantotal[[#Headers],[29]],tabela_registros[REGISTRO],DADOS!$N$4,tabela_registros[TIPO],DADOS!$P$4,tabela_registros[CATEGORIA],despesavariávelconsolidado[[#This Row],[DESPESA VARIÁVEL]])</f>
        <v>0</v>
      </c>
      <c r="AH65" s="176">
        <f>SUMIFS(tabela_registros[VALOR],tabela_registros[MÊS],$AE$1,tabela_registros[DIA],jantotal[[#Headers],[30]],tabela_registros[REGISTRO],DADOS!$N$4,tabela_registros[TIPO],DADOS!$P$4,tabela_registros[CATEGORIA],despesavariávelconsolidado[[#This Row],[DESPESA VARIÁVEL]])</f>
        <v>0</v>
      </c>
      <c r="AI65" s="190">
        <f>SUMIFS(tabela_registros[VALOR],tabela_registros[MÊS],$AE$1,tabela_registros[DIA],jantotal[[#Headers],[31]],tabela_registros[REGISTRO],DADOS!$N$4,tabela_registros[TIPO],DADOS!$P$4,tabela_registros[CATEGORIA],despesavariávelconsolidado[[#This Row],[DESPESA VARIÁVEL]])</f>
        <v>0</v>
      </c>
      <c r="AJ65" s="167">
        <f>SUM(despesavariávelconsolidado[[#This Row],[1]:[31]])</f>
        <v>137.21428571428601</v>
      </c>
      <c r="AK65" s="28"/>
    </row>
    <row r="66" spans="2:37" ht="18" customHeight="1" thickTop="1" thickBot="1" x14ac:dyDescent="0.3">
      <c r="B66" s="28"/>
      <c r="C66" s="27" t="str">
        <f>DADOS!$T$9</f>
        <v>🎭 LAZER</v>
      </c>
      <c r="D66" s="26" t="str">
        <f>IF(despesavariávelconsolidado[[#This Row],[TOTAL]]=0,"",IF(OR(despesavariávelconsolidado[[#This Row],[TOTAL]]=LARGE($AJ$60:$AJ$72,1),despesavariávelconsolidado[[#This Row],[TOTAL]]=LARGE($AJ$60:$AJ$72,2),despesavariávelconsolidado[[#This Row],[TOTAL]]=LARGE($AJ$60:$AJ$72,3),despesavariávelconsolidado[[#This Row],[TOTAL]]=LARGE($AJ$60:$AJ$72,4),despesavariávelconsolidado[[#This Row],[TOTAL]]=LARGE($AJ$60:$AJ$72,5)),DADOS!$I$8,""))</f>
        <v>💣</v>
      </c>
      <c r="E66" s="189">
        <f>SUMIFS(tabela_registros[VALOR],tabela_registros[MÊS],$AE$1,tabela_registros[DIA],jantotal[[#Headers],[1]],tabela_registros[REGISTRO],DADOS!$N$4,tabela_registros[TIPO],DADOS!$P$4,tabela_registros[CATEGORIA],despesavariávelconsolidado[[#This Row],[DESPESA VARIÁVEL]])</f>
        <v>0</v>
      </c>
      <c r="F66" s="176">
        <f>SUMIFS(tabela_registros[VALOR],tabela_registros[MÊS],$AE$1,tabela_registros[DIA],jantotal[[#Headers],[2]],tabela_registros[REGISTRO],DADOS!$N$4,tabela_registros[TIPO],DADOS!$P$4,tabela_registros[CATEGORIA],despesavariávelconsolidado[[#This Row],[DESPESA VARIÁVEL]])</f>
        <v>0</v>
      </c>
      <c r="G66" s="176">
        <f>SUMIFS(tabela_registros[VALOR],tabela_registros[MÊS],$AE$1,tabela_registros[DIA],jantotal[[#Headers],[3]],tabela_registros[REGISTRO],DADOS!$N$4,tabela_registros[TIPO],DADOS!$P$4,tabela_registros[CATEGORIA],despesavariávelconsolidado[[#This Row],[DESPESA VARIÁVEL]])</f>
        <v>0</v>
      </c>
      <c r="H66" s="176">
        <f>SUMIFS(tabela_registros[VALOR],tabela_registros[MÊS],$AE$1,tabela_registros[DIA],jantotal[[#Headers],[4]],tabela_registros[REGISTRO],DADOS!$N$4,tabela_registros[TIPO],DADOS!$P$4,tabela_registros[CATEGORIA],despesavariávelconsolidado[[#This Row],[DESPESA VARIÁVEL]])</f>
        <v>0</v>
      </c>
      <c r="I66" s="176">
        <f>SUMIFS(tabela_registros[VALOR],tabela_registros[MÊS],$AE$1,tabela_registros[DIA],jantotal[[#Headers],[5]],tabela_registros[REGISTRO],DADOS!$N$4,tabela_registros[TIPO],DADOS!$P$4,tabela_registros[CATEGORIA],despesavariávelconsolidado[[#This Row],[DESPESA VARIÁVEL]])</f>
        <v>0</v>
      </c>
      <c r="J66" s="176">
        <f>SUMIFS(tabela_registros[VALOR],tabela_registros[MÊS],$AE$1,tabela_registros[DIA],jantotal[[#Headers],[6]],tabela_registros[REGISTRO],DADOS!$N$4,tabela_registros[TIPO],DADOS!$P$4,tabela_registros[CATEGORIA],despesavariávelconsolidado[[#This Row],[DESPESA VARIÁVEL]])</f>
        <v>0</v>
      </c>
      <c r="K66" s="176">
        <f>SUMIFS(tabela_registros[VALOR],tabela_registros[MÊS],$AE$1,tabela_registros[DIA],jantotal[[#Headers],[7]],tabela_registros[REGISTRO],DADOS!$N$4,tabela_registros[TIPO],DADOS!$P$4,tabela_registros[CATEGORIA],despesavariávelconsolidado[[#This Row],[DESPESA VARIÁVEL]])</f>
        <v>0</v>
      </c>
      <c r="L66" s="176">
        <f>SUMIFS(tabela_registros[VALOR],tabela_registros[MÊS],$AE$1,tabela_registros[DIA],jantotal[[#Headers],[8]],tabela_registros[REGISTRO],DADOS!$N$4,tabela_registros[TIPO],DADOS!$P$4,tabela_registros[CATEGORIA],despesavariávelconsolidado[[#This Row],[DESPESA VARIÁVEL]])</f>
        <v>0</v>
      </c>
      <c r="M66" s="176">
        <f>SUMIFS(tabela_registros[VALOR],tabela_registros[MÊS],$AE$1,tabela_registros[DIA],jantotal[[#Headers],[9]],tabela_registros[REGISTRO],DADOS!$N$4,tabela_registros[TIPO],DADOS!$P$4,tabela_registros[CATEGORIA],despesavariávelconsolidado[[#This Row],[DESPESA VARIÁVEL]])</f>
        <v>0</v>
      </c>
      <c r="N66" s="176">
        <f>SUMIFS(tabela_registros[VALOR],tabela_registros[MÊS],$AE$1,tabela_registros[DIA],jantotal[[#Headers],[10]],tabela_registros[REGISTRO],DADOS!$N$4,tabela_registros[TIPO],DADOS!$P$4,tabela_registros[CATEGORIA],despesavariávelconsolidado[[#This Row],[DESPESA VARIÁVEL]])</f>
        <v>0</v>
      </c>
      <c r="O66" s="176">
        <f>SUMIFS(tabela_registros[VALOR],tabela_registros[MÊS],$AE$1,tabela_registros[DIA],jantotal[[#Headers],[11]],tabela_registros[REGISTRO],DADOS!$N$4,tabela_registros[TIPO],DADOS!$P$4,tabela_registros[CATEGORIA],despesavariávelconsolidado[[#This Row],[DESPESA VARIÁVEL]])</f>
        <v>0</v>
      </c>
      <c r="P66" s="176">
        <f>SUMIFS(tabela_registros[VALOR],tabela_registros[MÊS],$AE$1,tabela_registros[DIA],jantotal[[#Headers],[12]],tabela_registros[REGISTRO],DADOS!$N$4,tabela_registros[TIPO],DADOS!$P$4,tabela_registros[CATEGORIA],despesavariávelconsolidado[[#This Row],[DESPESA VARIÁVEL]])</f>
        <v>0</v>
      </c>
      <c r="Q66" s="176">
        <f>SUMIFS(tabela_registros[VALOR],tabela_registros[MÊS],$AE$1,tabela_registros[DIA],jantotal[[#Headers],[13]],tabela_registros[REGISTRO],DADOS!$N$4,tabela_registros[TIPO],DADOS!$P$4,tabela_registros[CATEGORIA],despesavariávelconsolidado[[#This Row],[DESPESA VARIÁVEL]])</f>
        <v>0</v>
      </c>
      <c r="R66" s="176">
        <f>SUMIFS(tabela_registros[VALOR],tabela_registros[MÊS],$AE$1,tabela_registros[DIA],jantotal[[#Headers],[14]],tabela_registros[REGISTRO],DADOS!$N$4,tabela_registros[TIPO],DADOS!$P$4,tabela_registros[CATEGORIA],despesavariávelconsolidado[[#This Row],[DESPESA VARIÁVEL]])</f>
        <v>0</v>
      </c>
      <c r="S66" s="176">
        <f>SUMIFS(tabela_registros[VALOR],tabela_registros[MÊS],$AE$1,tabela_registros[DIA],jantotal[[#Headers],[15]],tabela_registros[REGISTRO],DADOS!$N$4,tabela_registros[TIPO],DADOS!$P$4,tabela_registros[CATEGORIA],despesavariávelconsolidado[[#This Row],[DESPESA VARIÁVEL]])</f>
        <v>0</v>
      </c>
      <c r="T66" s="176">
        <f>SUMIFS(tabela_registros[VALOR],tabela_registros[MÊS],$AE$1,tabela_registros[DIA],jantotal[[#Headers],[16]],tabela_registros[REGISTRO],DADOS!$N$4,tabela_registros[TIPO],DADOS!$P$4,tabela_registros[CATEGORIA],despesavariávelconsolidado[[#This Row],[DESPESA VARIÁVEL]])</f>
        <v>0</v>
      </c>
      <c r="U66" s="176">
        <f>SUMIFS(tabela_registros[VALOR],tabela_registros[MÊS],$AE$1,tabela_registros[DIA],jantotal[[#Headers],[17]],tabela_registros[REGISTRO],DADOS!$N$4,tabela_registros[TIPO],DADOS!$P$4,tabela_registros[CATEGORIA],despesavariávelconsolidado[[#This Row],[DESPESA VARIÁVEL]])</f>
        <v>200</v>
      </c>
      <c r="V66" s="176">
        <f>SUMIFS(tabela_registros[VALOR],tabela_registros[MÊS],$AE$1,tabela_registros[DIA],jantotal[[#Headers],[18]],tabela_registros[REGISTRO],DADOS!$N$4,tabela_registros[TIPO],DADOS!$P$4,tabela_registros[CATEGORIA],despesavariávelconsolidado[[#This Row],[DESPESA VARIÁVEL]])</f>
        <v>0</v>
      </c>
      <c r="W66" s="176">
        <f>SUMIFS(tabela_registros[VALOR],tabela_registros[MÊS],$AE$1,tabela_registros[DIA],jantotal[[#Headers],[19]],tabela_registros[REGISTRO],DADOS!$N$4,tabela_registros[TIPO],DADOS!$P$4,tabela_registros[CATEGORIA],despesavariávelconsolidado[[#This Row],[DESPESA VARIÁVEL]])</f>
        <v>63.642857142856599</v>
      </c>
      <c r="X66" s="176">
        <f>SUMIFS(tabela_registros[VALOR],tabela_registros[MÊS],$AE$1,tabela_registros[DIA],jantotal[[#Headers],[20]],tabela_registros[REGISTRO],DADOS!$N$4,tabela_registros[TIPO],DADOS!$P$4,tabela_registros[CATEGORIA],despesavariávelconsolidado[[#This Row],[DESPESA VARIÁVEL]])</f>
        <v>0</v>
      </c>
      <c r="Y66" s="176">
        <f>SUMIFS(tabela_registros[VALOR],tabela_registros[MÊS],$AE$1,tabela_registros[DIA],jantotal[[#Headers],[21]],tabela_registros[REGISTRO],DADOS!$N$4,tabela_registros[TIPO],DADOS!$P$4,tabela_registros[CATEGORIA],despesavariávelconsolidado[[#This Row],[DESPESA VARIÁVEL]])</f>
        <v>0</v>
      </c>
      <c r="Z66" s="176">
        <f>SUMIFS(tabela_registros[VALOR],tabela_registros[MÊS],$AE$1,tabela_registros[DIA],jantotal[[#Headers],[22]],tabela_registros[REGISTRO],DADOS!$N$4,tabela_registros[TIPO],DADOS!$P$4,tabela_registros[CATEGORIA],despesavariávelconsolidado[[#This Row],[DESPESA VARIÁVEL]])</f>
        <v>0</v>
      </c>
      <c r="AA66" s="176">
        <f>SUMIFS(tabela_registros[VALOR],tabela_registros[MÊS],$AE$1,tabela_registros[DIA],jantotal[[#Headers],[23]],tabela_registros[REGISTRO],DADOS!$N$4,tabela_registros[TIPO],DADOS!$P$4,tabela_registros[CATEGORIA],despesavariávelconsolidado[[#This Row],[DESPESA VARIÁVEL]])</f>
        <v>0</v>
      </c>
      <c r="AB66" s="176">
        <f>SUMIFS(tabela_registros[VALOR],tabela_registros[MÊS],$AE$1,tabela_registros[DIA],jantotal[[#Headers],[24]],tabela_registros[REGISTRO],DADOS!$N$4,tabela_registros[TIPO],DADOS!$P$4,tabela_registros[CATEGORIA],despesavariávelconsolidado[[#This Row],[DESPESA VARIÁVEL]])</f>
        <v>0</v>
      </c>
      <c r="AC66" s="176">
        <f>SUMIFS(tabela_registros[VALOR],tabela_registros[MÊS],$AE$1,tabela_registros[DIA],jantotal[[#Headers],[25]],tabela_registros[REGISTRO],DADOS!$N$4,tabela_registros[TIPO],DADOS!$P$4,tabela_registros[CATEGORIA],despesavariávelconsolidado[[#This Row],[DESPESA VARIÁVEL]])</f>
        <v>0</v>
      </c>
      <c r="AD66" s="176">
        <f>SUMIFS(tabela_registros[VALOR],tabela_registros[MÊS],$AE$1,tabela_registros[DIA],jantotal[[#Headers],[26]],tabela_registros[REGISTRO],DADOS!$N$4,tabela_registros[TIPO],DADOS!$P$4,tabela_registros[CATEGORIA],despesavariávelconsolidado[[#This Row],[DESPESA VARIÁVEL]])</f>
        <v>0</v>
      </c>
      <c r="AE66" s="176">
        <f>SUMIFS(tabela_registros[VALOR],tabela_registros[MÊS],$AE$1,tabela_registros[DIA],jantotal[[#Headers],[27]],tabela_registros[REGISTRO],DADOS!$N$4,tabela_registros[TIPO],DADOS!$P$4,tabela_registros[CATEGORIA],despesavariávelconsolidado[[#This Row],[DESPESA VARIÁVEL]])</f>
        <v>0</v>
      </c>
      <c r="AF66" s="176">
        <f>SUMIFS(tabela_registros[VALOR],tabela_registros[MÊS],$AE$1,tabela_registros[DIA],jantotal[[#Headers],[28]],tabela_registros[REGISTRO],DADOS!$N$4,tabela_registros[TIPO],DADOS!$P$4,tabela_registros[CATEGORIA],despesavariávelconsolidado[[#This Row],[DESPESA VARIÁVEL]])</f>
        <v>0</v>
      </c>
      <c r="AG66" s="176">
        <f>SUMIFS(tabela_registros[VALOR],tabela_registros[MÊS],$AE$1,tabela_registros[DIA],jantotal[[#Headers],[29]],tabela_registros[REGISTRO],DADOS!$N$4,tabela_registros[TIPO],DADOS!$P$4,tabela_registros[CATEGORIA],despesavariávelconsolidado[[#This Row],[DESPESA VARIÁVEL]])</f>
        <v>0</v>
      </c>
      <c r="AH66" s="176">
        <f>SUMIFS(tabela_registros[VALOR],tabela_registros[MÊS],$AE$1,tabela_registros[DIA],jantotal[[#Headers],[30]],tabela_registros[REGISTRO],DADOS!$N$4,tabela_registros[TIPO],DADOS!$P$4,tabela_registros[CATEGORIA],despesavariávelconsolidado[[#This Row],[DESPESA VARIÁVEL]])</f>
        <v>0</v>
      </c>
      <c r="AI66" s="190">
        <f>SUMIFS(tabela_registros[VALOR],tabela_registros[MÊS],$AE$1,tabela_registros[DIA],jantotal[[#Headers],[31]],tabela_registros[REGISTRO],DADOS!$N$4,tabela_registros[TIPO],DADOS!$P$4,tabela_registros[CATEGORIA],despesavariávelconsolidado[[#This Row],[DESPESA VARIÁVEL]])</f>
        <v>0</v>
      </c>
      <c r="AJ66" s="167">
        <f>SUM(despesavariávelconsolidado[[#This Row],[1]:[31]])</f>
        <v>263.6428571428566</v>
      </c>
      <c r="AK66" s="28"/>
    </row>
    <row r="67" spans="2:37" ht="18" customHeight="1" thickTop="1" thickBot="1" x14ac:dyDescent="0.3">
      <c r="B67" s="28"/>
      <c r="C67" s="27" t="str">
        <f>DADOS!$T$10</f>
        <v>🛒 MERCADO</v>
      </c>
      <c r="D67" s="26" t="str">
        <f>IF(despesavariávelconsolidado[[#This Row],[TOTAL]]=0,"",IF(OR(despesavariávelconsolidado[[#This Row],[TOTAL]]=LARGE($AJ$60:$AJ$72,1),despesavariávelconsolidado[[#This Row],[TOTAL]]=LARGE($AJ$60:$AJ$72,2),despesavariávelconsolidado[[#This Row],[TOTAL]]=LARGE($AJ$60:$AJ$72,3),despesavariávelconsolidado[[#This Row],[TOTAL]]=LARGE($AJ$60:$AJ$72,4),despesavariávelconsolidado[[#This Row],[TOTAL]]=LARGE($AJ$60:$AJ$72,5)),DADOS!$I$8,""))</f>
        <v/>
      </c>
      <c r="E67" s="189">
        <f>SUMIFS(tabela_registros[VALOR],tabela_registros[MÊS],$AE$1,tabela_registros[DIA],jantotal[[#Headers],[1]],tabela_registros[REGISTRO],DADOS!$N$4,tabela_registros[TIPO],DADOS!$P$4,tabela_registros[CATEGORIA],despesavariávelconsolidado[[#This Row],[DESPESA VARIÁVEL]])</f>
        <v>0</v>
      </c>
      <c r="F67" s="176">
        <f>SUMIFS(tabela_registros[VALOR],tabela_registros[MÊS],$AE$1,tabela_registros[DIA],jantotal[[#Headers],[2]],tabela_registros[REGISTRO],DADOS!$N$4,tabela_registros[TIPO],DADOS!$P$4,tabela_registros[CATEGORIA],despesavariávelconsolidado[[#This Row],[DESPESA VARIÁVEL]])</f>
        <v>0</v>
      </c>
      <c r="G67" s="176">
        <f>SUMIFS(tabela_registros[VALOR],tabela_registros[MÊS],$AE$1,tabela_registros[DIA],jantotal[[#Headers],[3]],tabela_registros[REGISTRO],DADOS!$N$4,tabela_registros[TIPO],DADOS!$P$4,tabela_registros[CATEGORIA],despesavariávelconsolidado[[#This Row],[DESPESA VARIÁVEL]])</f>
        <v>0</v>
      </c>
      <c r="H67" s="176">
        <f>SUMIFS(tabela_registros[VALOR],tabela_registros[MÊS],$AE$1,tabela_registros[DIA],jantotal[[#Headers],[4]],tabela_registros[REGISTRO],DADOS!$N$4,tabela_registros[TIPO],DADOS!$P$4,tabela_registros[CATEGORIA],despesavariávelconsolidado[[#This Row],[DESPESA VARIÁVEL]])</f>
        <v>0</v>
      </c>
      <c r="I67" s="176">
        <f>SUMIFS(tabela_registros[VALOR],tabela_registros[MÊS],$AE$1,tabela_registros[DIA],jantotal[[#Headers],[5]],tabela_registros[REGISTRO],DADOS!$N$4,tabela_registros[TIPO],DADOS!$P$4,tabela_registros[CATEGORIA],despesavariávelconsolidado[[#This Row],[DESPESA VARIÁVEL]])</f>
        <v>0</v>
      </c>
      <c r="J67" s="176">
        <f>SUMIFS(tabela_registros[VALOR],tabela_registros[MÊS],$AE$1,tabela_registros[DIA],jantotal[[#Headers],[6]],tabela_registros[REGISTRO],DADOS!$N$4,tabela_registros[TIPO],DADOS!$P$4,tabela_registros[CATEGORIA],despesavariávelconsolidado[[#This Row],[DESPESA VARIÁVEL]])</f>
        <v>0</v>
      </c>
      <c r="K67" s="176">
        <f>SUMIFS(tabela_registros[VALOR],tabela_registros[MÊS],$AE$1,tabela_registros[DIA],jantotal[[#Headers],[7]],tabela_registros[REGISTRO],DADOS!$N$4,tabela_registros[TIPO],DADOS!$P$4,tabela_registros[CATEGORIA],despesavariávelconsolidado[[#This Row],[DESPESA VARIÁVEL]])</f>
        <v>0</v>
      </c>
      <c r="L67" s="176">
        <f>SUMIFS(tabela_registros[VALOR],tabela_registros[MÊS],$AE$1,tabela_registros[DIA],jantotal[[#Headers],[8]],tabela_registros[REGISTRO],DADOS!$N$4,tabela_registros[TIPO],DADOS!$P$4,tabela_registros[CATEGORIA],despesavariávelconsolidado[[#This Row],[DESPESA VARIÁVEL]])</f>
        <v>0</v>
      </c>
      <c r="M67" s="176">
        <f>SUMIFS(tabela_registros[VALOR],tabela_registros[MÊS],$AE$1,tabela_registros[DIA],jantotal[[#Headers],[9]],tabela_registros[REGISTRO],DADOS!$N$4,tabela_registros[TIPO],DADOS!$P$4,tabela_registros[CATEGORIA],despesavariávelconsolidado[[#This Row],[DESPESA VARIÁVEL]])</f>
        <v>0</v>
      </c>
      <c r="N67" s="176">
        <f>SUMIFS(tabela_registros[VALOR],tabela_registros[MÊS],$AE$1,tabela_registros[DIA],jantotal[[#Headers],[10]],tabela_registros[REGISTRO],DADOS!$N$4,tabela_registros[TIPO],DADOS!$P$4,tabela_registros[CATEGORIA],despesavariávelconsolidado[[#This Row],[DESPESA VARIÁVEL]])</f>
        <v>0</v>
      </c>
      <c r="O67" s="176">
        <f>SUMIFS(tabela_registros[VALOR],tabela_registros[MÊS],$AE$1,tabela_registros[DIA],jantotal[[#Headers],[11]],tabela_registros[REGISTRO],DADOS!$N$4,tabela_registros[TIPO],DADOS!$P$4,tabela_registros[CATEGORIA],despesavariávelconsolidado[[#This Row],[DESPESA VARIÁVEL]])</f>
        <v>0</v>
      </c>
      <c r="P67" s="176">
        <f>SUMIFS(tabela_registros[VALOR],tabela_registros[MÊS],$AE$1,tabela_registros[DIA],jantotal[[#Headers],[12]],tabela_registros[REGISTRO],DADOS!$N$4,tabela_registros[TIPO],DADOS!$P$4,tabela_registros[CATEGORIA],despesavariávelconsolidado[[#This Row],[DESPESA VARIÁVEL]])</f>
        <v>0</v>
      </c>
      <c r="Q67" s="176">
        <f>SUMIFS(tabela_registros[VALOR],tabela_registros[MÊS],$AE$1,tabela_registros[DIA],jantotal[[#Headers],[13]],tabela_registros[REGISTRO],DADOS!$N$4,tabela_registros[TIPO],DADOS!$P$4,tabela_registros[CATEGORIA],despesavariávelconsolidado[[#This Row],[DESPESA VARIÁVEL]])</f>
        <v>0</v>
      </c>
      <c r="R67" s="176">
        <f>SUMIFS(tabela_registros[VALOR],tabela_registros[MÊS],$AE$1,tabela_registros[DIA],jantotal[[#Headers],[14]],tabela_registros[REGISTRO],DADOS!$N$4,tabela_registros[TIPO],DADOS!$P$4,tabela_registros[CATEGORIA],despesavariávelconsolidado[[#This Row],[DESPESA VARIÁVEL]])</f>
        <v>0</v>
      </c>
      <c r="S67" s="176">
        <f>SUMIFS(tabela_registros[VALOR],tabela_registros[MÊS],$AE$1,tabela_registros[DIA],jantotal[[#Headers],[15]],tabela_registros[REGISTRO],DADOS!$N$4,tabela_registros[TIPO],DADOS!$P$4,tabela_registros[CATEGORIA],despesavariávelconsolidado[[#This Row],[DESPESA VARIÁVEL]])</f>
        <v>0</v>
      </c>
      <c r="T67" s="176">
        <f>SUMIFS(tabela_registros[VALOR],tabela_registros[MÊS],$AE$1,tabela_registros[DIA],jantotal[[#Headers],[16]],tabela_registros[REGISTRO],DADOS!$N$4,tabela_registros[TIPO],DADOS!$P$4,tabela_registros[CATEGORIA],despesavariávelconsolidado[[#This Row],[DESPESA VARIÁVEL]])</f>
        <v>0</v>
      </c>
      <c r="U67" s="176">
        <f>SUMIFS(tabela_registros[VALOR],tabela_registros[MÊS],$AE$1,tabela_registros[DIA],jantotal[[#Headers],[17]],tabela_registros[REGISTRO],DADOS!$N$4,tabela_registros[TIPO],DADOS!$P$4,tabela_registros[CATEGORIA],despesavariávelconsolidado[[#This Row],[DESPESA VARIÁVEL]])</f>
        <v>0</v>
      </c>
      <c r="V67" s="176">
        <f>SUMIFS(tabela_registros[VALOR],tabela_registros[MÊS],$AE$1,tabela_registros[DIA],jantotal[[#Headers],[18]],tabela_registros[REGISTRO],DADOS!$N$4,tabela_registros[TIPO],DADOS!$P$4,tabela_registros[CATEGORIA],despesavariávelconsolidado[[#This Row],[DESPESA VARIÁVEL]])</f>
        <v>0</v>
      </c>
      <c r="W67" s="176">
        <f>SUMIFS(tabela_registros[VALOR],tabela_registros[MÊS],$AE$1,tabela_registros[DIA],jantotal[[#Headers],[19]],tabela_registros[REGISTRO],DADOS!$N$4,tabela_registros[TIPO],DADOS!$P$4,tabela_registros[CATEGORIA],despesavariávelconsolidado[[#This Row],[DESPESA VARIÁVEL]])</f>
        <v>0</v>
      </c>
      <c r="X67" s="176">
        <f>SUMIFS(tabela_registros[VALOR],tabela_registros[MÊS],$AE$1,tabela_registros[DIA],jantotal[[#Headers],[20]],tabela_registros[REGISTRO],DADOS!$N$4,tabela_registros[TIPO],DADOS!$P$4,tabela_registros[CATEGORIA],despesavariávelconsolidado[[#This Row],[DESPESA VARIÁVEL]])</f>
        <v>56.285714285714597</v>
      </c>
      <c r="Y67" s="176">
        <f>SUMIFS(tabela_registros[VALOR],tabela_registros[MÊS],$AE$1,tabela_registros[DIA],jantotal[[#Headers],[21]],tabela_registros[REGISTRO],DADOS!$N$4,tabela_registros[TIPO],DADOS!$P$4,tabela_registros[CATEGORIA],despesavariávelconsolidado[[#This Row],[DESPESA VARIÁVEL]])</f>
        <v>0</v>
      </c>
      <c r="Z67" s="176">
        <f>SUMIFS(tabela_registros[VALOR],tabela_registros[MÊS],$AE$1,tabela_registros[DIA],jantotal[[#Headers],[22]],tabela_registros[REGISTRO],DADOS!$N$4,tabela_registros[TIPO],DADOS!$P$4,tabela_registros[CATEGORIA],despesavariávelconsolidado[[#This Row],[DESPESA VARIÁVEL]])</f>
        <v>0</v>
      </c>
      <c r="AA67" s="176">
        <f>SUMIFS(tabela_registros[VALOR],tabela_registros[MÊS],$AE$1,tabela_registros[DIA],jantotal[[#Headers],[23]],tabela_registros[REGISTRO],DADOS!$N$4,tabela_registros[TIPO],DADOS!$P$4,tabela_registros[CATEGORIA],despesavariávelconsolidado[[#This Row],[DESPESA VARIÁVEL]])</f>
        <v>0</v>
      </c>
      <c r="AB67" s="176">
        <f>SUMIFS(tabela_registros[VALOR],tabela_registros[MÊS],$AE$1,tabela_registros[DIA],jantotal[[#Headers],[24]],tabela_registros[REGISTRO],DADOS!$N$4,tabela_registros[TIPO],DADOS!$P$4,tabela_registros[CATEGORIA],despesavariávelconsolidado[[#This Row],[DESPESA VARIÁVEL]])</f>
        <v>0</v>
      </c>
      <c r="AC67" s="176">
        <f>SUMIFS(tabela_registros[VALOR],tabela_registros[MÊS],$AE$1,tabela_registros[DIA],jantotal[[#Headers],[25]],tabela_registros[REGISTRO],DADOS!$N$4,tabela_registros[TIPO],DADOS!$P$4,tabela_registros[CATEGORIA],despesavariávelconsolidado[[#This Row],[DESPESA VARIÁVEL]])</f>
        <v>0</v>
      </c>
      <c r="AD67" s="176">
        <f>SUMIFS(tabela_registros[VALOR],tabela_registros[MÊS],$AE$1,tabela_registros[DIA],jantotal[[#Headers],[26]],tabela_registros[REGISTRO],DADOS!$N$4,tabela_registros[TIPO],DADOS!$P$4,tabela_registros[CATEGORIA],despesavariávelconsolidado[[#This Row],[DESPESA VARIÁVEL]])</f>
        <v>0</v>
      </c>
      <c r="AE67" s="176">
        <f>SUMIFS(tabela_registros[VALOR],tabela_registros[MÊS],$AE$1,tabela_registros[DIA],jantotal[[#Headers],[27]],tabela_registros[REGISTRO],DADOS!$N$4,tabela_registros[TIPO],DADOS!$P$4,tabela_registros[CATEGORIA],despesavariávelconsolidado[[#This Row],[DESPESA VARIÁVEL]])</f>
        <v>0</v>
      </c>
      <c r="AF67" s="176">
        <f>SUMIFS(tabela_registros[VALOR],tabela_registros[MÊS],$AE$1,tabela_registros[DIA],jantotal[[#Headers],[28]],tabela_registros[REGISTRO],DADOS!$N$4,tabela_registros[TIPO],DADOS!$P$4,tabela_registros[CATEGORIA],despesavariávelconsolidado[[#This Row],[DESPESA VARIÁVEL]])</f>
        <v>0</v>
      </c>
      <c r="AG67" s="176">
        <f>SUMIFS(tabela_registros[VALOR],tabela_registros[MÊS],$AE$1,tabela_registros[DIA],jantotal[[#Headers],[29]],tabela_registros[REGISTRO],DADOS!$N$4,tabela_registros[TIPO],DADOS!$P$4,tabela_registros[CATEGORIA],despesavariávelconsolidado[[#This Row],[DESPESA VARIÁVEL]])</f>
        <v>0</v>
      </c>
      <c r="AH67" s="176">
        <f>SUMIFS(tabela_registros[VALOR],tabela_registros[MÊS],$AE$1,tabela_registros[DIA],jantotal[[#Headers],[30]],tabela_registros[REGISTRO],DADOS!$N$4,tabela_registros[TIPO],DADOS!$P$4,tabela_registros[CATEGORIA],despesavariávelconsolidado[[#This Row],[DESPESA VARIÁVEL]])</f>
        <v>0</v>
      </c>
      <c r="AI67" s="190">
        <f>SUMIFS(tabela_registros[VALOR],tabela_registros[MÊS],$AE$1,tabela_registros[DIA],jantotal[[#Headers],[31]],tabela_registros[REGISTRO],DADOS!$N$4,tabela_registros[TIPO],DADOS!$P$4,tabela_registros[CATEGORIA],despesavariávelconsolidado[[#This Row],[DESPESA VARIÁVEL]])</f>
        <v>0</v>
      </c>
      <c r="AJ67" s="167">
        <f>SUM(despesavariávelconsolidado[[#This Row],[1]:[31]])</f>
        <v>56.285714285714597</v>
      </c>
      <c r="AK67" s="28"/>
    </row>
    <row r="68" spans="2:37" ht="18" customHeight="1" thickTop="1" thickBot="1" x14ac:dyDescent="0.3">
      <c r="B68" s="28"/>
      <c r="C68" s="27" t="str">
        <f>DADOS!$T$11</f>
        <v>🎁 PRESENTES</v>
      </c>
      <c r="D68" s="26" t="str">
        <f>IF(despesavariávelconsolidado[[#This Row],[TOTAL]]=0,"",IF(OR(despesavariávelconsolidado[[#This Row],[TOTAL]]=LARGE($AJ$60:$AJ$72,1),despesavariávelconsolidado[[#This Row],[TOTAL]]=LARGE($AJ$60:$AJ$72,2),despesavariávelconsolidado[[#This Row],[TOTAL]]=LARGE($AJ$60:$AJ$72,3),despesavariávelconsolidado[[#This Row],[TOTAL]]=LARGE($AJ$60:$AJ$72,4),despesavariávelconsolidado[[#This Row],[TOTAL]]=LARGE($AJ$60:$AJ$72,5)),DADOS!$I$8,""))</f>
        <v/>
      </c>
      <c r="E68" s="189">
        <f>SUMIFS(tabela_registros[VALOR],tabela_registros[MÊS],$AE$1,tabela_registros[DIA],jantotal[[#Headers],[1]],tabela_registros[REGISTRO],DADOS!$N$4,tabela_registros[TIPO],DADOS!$P$4,tabela_registros[CATEGORIA],despesavariávelconsolidado[[#This Row],[DESPESA VARIÁVEL]])</f>
        <v>0</v>
      </c>
      <c r="F68" s="176">
        <f>SUMIFS(tabela_registros[VALOR],tabela_registros[MÊS],$AE$1,tabela_registros[DIA],jantotal[[#Headers],[2]],tabela_registros[REGISTRO],DADOS!$N$4,tabela_registros[TIPO],DADOS!$P$4,tabela_registros[CATEGORIA],despesavariávelconsolidado[[#This Row],[DESPESA VARIÁVEL]])</f>
        <v>0</v>
      </c>
      <c r="G68" s="176">
        <f>SUMIFS(tabela_registros[VALOR],tabela_registros[MÊS],$AE$1,tabela_registros[DIA],jantotal[[#Headers],[3]],tabela_registros[REGISTRO],DADOS!$N$4,tabela_registros[TIPO],DADOS!$P$4,tabela_registros[CATEGORIA],despesavariávelconsolidado[[#This Row],[DESPESA VARIÁVEL]])</f>
        <v>0</v>
      </c>
      <c r="H68" s="176">
        <f>SUMIFS(tabela_registros[VALOR],tabela_registros[MÊS],$AE$1,tabela_registros[DIA],jantotal[[#Headers],[4]],tabela_registros[REGISTRO],DADOS!$N$4,tabela_registros[TIPO],DADOS!$P$4,tabela_registros[CATEGORIA],despesavariávelconsolidado[[#This Row],[DESPESA VARIÁVEL]])</f>
        <v>0</v>
      </c>
      <c r="I68" s="176">
        <f>SUMIFS(tabela_registros[VALOR],tabela_registros[MÊS],$AE$1,tabela_registros[DIA],jantotal[[#Headers],[5]],tabela_registros[REGISTRO],DADOS!$N$4,tabela_registros[TIPO],DADOS!$P$4,tabela_registros[CATEGORIA],despesavariávelconsolidado[[#This Row],[DESPESA VARIÁVEL]])</f>
        <v>0</v>
      </c>
      <c r="J68" s="176">
        <f>SUMIFS(tabela_registros[VALOR],tabela_registros[MÊS],$AE$1,tabela_registros[DIA],jantotal[[#Headers],[6]],tabela_registros[REGISTRO],DADOS!$N$4,tabela_registros[TIPO],DADOS!$P$4,tabela_registros[CATEGORIA],despesavariávelconsolidado[[#This Row],[DESPESA VARIÁVEL]])</f>
        <v>0</v>
      </c>
      <c r="K68" s="176">
        <f>SUMIFS(tabela_registros[VALOR],tabela_registros[MÊS],$AE$1,tabela_registros[DIA],jantotal[[#Headers],[7]],tabela_registros[REGISTRO],DADOS!$N$4,tabela_registros[TIPO],DADOS!$P$4,tabela_registros[CATEGORIA],despesavariávelconsolidado[[#This Row],[DESPESA VARIÁVEL]])</f>
        <v>0</v>
      </c>
      <c r="L68" s="176">
        <f>SUMIFS(tabela_registros[VALOR],tabela_registros[MÊS],$AE$1,tabela_registros[DIA],jantotal[[#Headers],[8]],tabela_registros[REGISTRO],DADOS!$N$4,tabela_registros[TIPO],DADOS!$P$4,tabela_registros[CATEGORIA],despesavariávelconsolidado[[#This Row],[DESPESA VARIÁVEL]])</f>
        <v>0</v>
      </c>
      <c r="M68" s="176">
        <f>SUMIFS(tabela_registros[VALOR],tabela_registros[MÊS],$AE$1,tabela_registros[DIA],jantotal[[#Headers],[9]],tabela_registros[REGISTRO],DADOS!$N$4,tabela_registros[TIPO],DADOS!$P$4,tabela_registros[CATEGORIA],despesavariávelconsolidado[[#This Row],[DESPESA VARIÁVEL]])</f>
        <v>0</v>
      </c>
      <c r="N68" s="176">
        <f>SUMIFS(tabela_registros[VALOR],tabela_registros[MÊS],$AE$1,tabela_registros[DIA],jantotal[[#Headers],[10]],tabela_registros[REGISTRO],DADOS!$N$4,tabela_registros[TIPO],DADOS!$P$4,tabela_registros[CATEGORIA],despesavariávelconsolidado[[#This Row],[DESPESA VARIÁVEL]])</f>
        <v>0</v>
      </c>
      <c r="O68" s="176">
        <f>SUMIFS(tabela_registros[VALOR],tabela_registros[MÊS],$AE$1,tabela_registros[DIA],jantotal[[#Headers],[11]],tabela_registros[REGISTRO],DADOS!$N$4,tabela_registros[TIPO],DADOS!$P$4,tabela_registros[CATEGORIA],despesavariávelconsolidado[[#This Row],[DESPESA VARIÁVEL]])</f>
        <v>0</v>
      </c>
      <c r="P68" s="176">
        <f>SUMIFS(tabela_registros[VALOR],tabela_registros[MÊS],$AE$1,tabela_registros[DIA],jantotal[[#Headers],[12]],tabela_registros[REGISTRO],DADOS!$N$4,tabela_registros[TIPO],DADOS!$P$4,tabela_registros[CATEGORIA],despesavariávelconsolidado[[#This Row],[DESPESA VARIÁVEL]])</f>
        <v>0</v>
      </c>
      <c r="Q68" s="176">
        <f>SUMIFS(tabela_registros[VALOR],tabela_registros[MÊS],$AE$1,tabela_registros[DIA],jantotal[[#Headers],[13]],tabela_registros[REGISTRO],DADOS!$N$4,tabela_registros[TIPO],DADOS!$P$4,tabela_registros[CATEGORIA],despesavariávelconsolidado[[#This Row],[DESPESA VARIÁVEL]])</f>
        <v>0</v>
      </c>
      <c r="R68" s="176">
        <f>SUMIFS(tabela_registros[VALOR],tabela_registros[MÊS],$AE$1,tabela_registros[DIA],jantotal[[#Headers],[14]],tabela_registros[REGISTRO],DADOS!$N$4,tabela_registros[TIPO],DADOS!$P$4,tabela_registros[CATEGORIA],despesavariávelconsolidado[[#This Row],[DESPESA VARIÁVEL]])</f>
        <v>0</v>
      </c>
      <c r="S68" s="176">
        <f>SUMIFS(tabela_registros[VALOR],tabela_registros[MÊS],$AE$1,tabela_registros[DIA],jantotal[[#Headers],[15]],tabela_registros[REGISTRO],DADOS!$N$4,tabela_registros[TIPO],DADOS!$P$4,tabela_registros[CATEGORIA],despesavariávelconsolidado[[#This Row],[DESPESA VARIÁVEL]])</f>
        <v>0</v>
      </c>
      <c r="T68" s="176">
        <f>SUMIFS(tabela_registros[VALOR],tabela_registros[MÊS],$AE$1,tabela_registros[DIA],jantotal[[#Headers],[16]],tabela_registros[REGISTRO],DADOS!$N$4,tabela_registros[TIPO],DADOS!$P$4,tabela_registros[CATEGORIA],despesavariávelconsolidado[[#This Row],[DESPESA VARIÁVEL]])</f>
        <v>0</v>
      </c>
      <c r="U68" s="176">
        <f>SUMIFS(tabela_registros[VALOR],tabela_registros[MÊS],$AE$1,tabela_registros[DIA],jantotal[[#Headers],[17]],tabela_registros[REGISTRO],DADOS!$N$4,tabela_registros[TIPO],DADOS!$P$4,tabela_registros[CATEGORIA],despesavariávelconsolidado[[#This Row],[DESPESA VARIÁVEL]])</f>
        <v>0</v>
      </c>
      <c r="V68" s="176">
        <f>SUMIFS(tabela_registros[VALOR],tabela_registros[MÊS],$AE$1,tabela_registros[DIA],jantotal[[#Headers],[18]],tabela_registros[REGISTRO],DADOS!$N$4,tabela_registros[TIPO],DADOS!$P$4,tabela_registros[CATEGORIA],despesavariávelconsolidado[[#This Row],[DESPESA VARIÁVEL]])</f>
        <v>0</v>
      </c>
      <c r="W68" s="176">
        <f>SUMIFS(tabela_registros[VALOR],tabela_registros[MÊS],$AE$1,tabela_registros[DIA],jantotal[[#Headers],[19]],tabela_registros[REGISTRO],DADOS!$N$4,tabela_registros[TIPO],DADOS!$P$4,tabela_registros[CATEGORIA],despesavariávelconsolidado[[#This Row],[DESPESA VARIÁVEL]])</f>
        <v>0</v>
      </c>
      <c r="X68" s="176">
        <f>SUMIFS(tabela_registros[VALOR],tabela_registros[MÊS],$AE$1,tabela_registros[DIA],jantotal[[#Headers],[20]],tabela_registros[REGISTRO],DADOS!$N$4,tabela_registros[TIPO],DADOS!$P$4,tabela_registros[CATEGORIA],despesavariávelconsolidado[[#This Row],[DESPESA VARIÁVEL]])</f>
        <v>0</v>
      </c>
      <c r="Y68" s="176">
        <f>SUMIFS(tabela_registros[VALOR],tabela_registros[MÊS],$AE$1,tabela_registros[DIA],jantotal[[#Headers],[21]],tabela_registros[REGISTRO],DADOS!$N$4,tabela_registros[TIPO],DADOS!$P$4,tabela_registros[CATEGORIA],despesavariávelconsolidado[[#This Row],[DESPESA VARIÁVEL]])</f>
        <v>0</v>
      </c>
      <c r="Z68" s="176">
        <f>SUMIFS(tabela_registros[VALOR],tabela_registros[MÊS],$AE$1,tabela_registros[DIA],jantotal[[#Headers],[22]],tabela_registros[REGISTRO],DADOS!$N$4,tabela_registros[TIPO],DADOS!$P$4,tabela_registros[CATEGORIA],despesavariávelconsolidado[[#This Row],[DESPESA VARIÁVEL]])</f>
        <v>41.571428571428598</v>
      </c>
      <c r="AA68" s="176">
        <f>SUMIFS(tabela_registros[VALOR],tabela_registros[MÊS],$AE$1,tabela_registros[DIA],jantotal[[#Headers],[23]],tabela_registros[REGISTRO],DADOS!$N$4,tabela_registros[TIPO],DADOS!$P$4,tabela_registros[CATEGORIA],despesavariávelconsolidado[[#This Row],[DESPESA VARIÁVEL]])</f>
        <v>0</v>
      </c>
      <c r="AB68" s="176">
        <f>SUMIFS(tabela_registros[VALOR],tabela_registros[MÊS],$AE$1,tabela_registros[DIA],jantotal[[#Headers],[24]],tabela_registros[REGISTRO],DADOS!$N$4,tabela_registros[TIPO],DADOS!$P$4,tabela_registros[CATEGORIA],despesavariávelconsolidado[[#This Row],[DESPESA VARIÁVEL]])</f>
        <v>0</v>
      </c>
      <c r="AC68" s="176">
        <f>SUMIFS(tabela_registros[VALOR],tabela_registros[MÊS],$AE$1,tabela_registros[DIA],jantotal[[#Headers],[25]],tabela_registros[REGISTRO],DADOS!$N$4,tabela_registros[TIPO],DADOS!$P$4,tabela_registros[CATEGORIA],despesavariávelconsolidado[[#This Row],[DESPESA VARIÁVEL]])</f>
        <v>0</v>
      </c>
      <c r="AD68" s="176">
        <f>SUMIFS(tabela_registros[VALOR],tabela_registros[MÊS],$AE$1,tabela_registros[DIA],jantotal[[#Headers],[26]],tabela_registros[REGISTRO],DADOS!$N$4,tabela_registros[TIPO],DADOS!$P$4,tabela_registros[CATEGORIA],despesavariávelconsolidado[[#This Row],[DESPESA VARIÁVEL]])</f>
        <v>0</v>
      </c>
      <c r="AE68" s="176">
        <f>SUMIFS(tabela_registros[VALOR],tabela_registros[MÊS],$AE$1,tabela_registros[DIA],jantotal[[#Headers],[27]],tabela_registros[REGISTRO],DADOS!$N$4,tabela_registros[TIPO],DADOS!$P$4,tabela_registros[CATEGORIA],despesavariávelconsolidado[[#This Row],[DESPESA VARIÁVEL]])</f>
        <v>0</v>
      </c>
      <c r="AF68" s="176">
        <f>SUMIFS(tabela_registros[VALOR],tabela_registros[MÊS],$AE$1,tabela_registros[DIA],jantotal[[#Headers],[28]],tabela_registros[REGISTRO],DADOS!$N$4,tabela_registros[TIPO],DADOS!$P$4,tabela_registros[CATEGORIA],despesavariávelconsolidado[[#This Row],[DESPESA VARIÁVEL]])</f>
        <v>0</v>
      </c>
      <c r="AG68" s="176">
        <f>SUMIFS(tabela_registros[VALOR],tabela_registros[MÊS],$AE$1,tabela_registros[DIA],jantotal[[#Headers],[29]],tabela_registros[REGISTRO],DADOS!$N$4,tabela_registros[TIPO],DADOS!$P$4,tabela_registros[CATEGORIA],despesavariávelconsolidado[[#This Row],[DESPESA VARIÁVEL]])</f>
        <v>0</v>
      </c>
      <c r="AH68" s="176">
        <f>SUMIFS(tabela_registros[VALOR],tabela_registros[MÊS],$AE$1,tabela_registros[DIA],jantotal[[#Headers],[30]],tabela_registros[REGISTRO],DADOS!$N$4,tabela_registros[TIPO],DADOS!$P$4,tabela_registros[CATEGORIA],despesavariávelconsolidado[[#This Row],[DESPESA VARIÁVEL]])</f>
        <v>0</v>
      </c>
      <c r="AI68" s="190">
        <f>SUMIFS(tabela_registros[VALOR],tabela_registros[MÊS],$AE$1,tabela_registros[DIA],jantotal[[#Headers],[31]],tabela_registros[REGISTRO],DADOS!$N$4,tabela_registros[TIPO],DADOS!$P$4,tabela_registros[CATEGORIA],despesavariávelconsolidado[[#This Row],[DESPESA VARIÁVEL]])</f>
        <v>0</v>
      </c>
      <c r="AJ68" s="167">
        <f>SUM(despesavariávelconsolidado[[#This Row],[1]:[31]])</f>
        <v>41.571428571428598</v>
      </c>
      <c r="AK68" s="28"/>
    </row>
    <row r="69" spans="2:37" ht="18" customHeight="1" thickTop="1" thickBot="1" x14ac:dyDescent="0.3">
      <c r="B69" s="28"/>
      <c r="C69" s="27" t="str">
        <f>DADOS!$T$12</f>
        <v>💊 SAÚDE</v>
      </c>
      <c r="D69" s="26" t="str">
        <f>IF(despesavariávelconsolidado[[#This Row],[TOTAL]]=0,"",IF(OR(despesavariávelconsolidado[[#This Row],[TOTAL]]=LARGE($AJ$60:$AJ$72,1),despesavariávelconsolidado[[#This Row],[TOTAL]]=LARGE($AJ$60:$AJ$72,2),despesavariávelconsolidado[[#This Row],[TOTAL]]=LARGE($AJ$60:$AJ$72,3),despesavariávelconsolidado[[#This Row],[TOTAL]]=LARGE($AJ$60:$AJ$72,4),despesavariávelconsolidado[[#This Row],[TOTAL]]=LARGE($AJ$60:$AJ$72,5)),DADOS!$I$8,""))</f>
        <v>💣</v>
      </c>
      <c r="E69" s="189">
        <f>SUMIFS(tabela_registros[VALOR],tabela_registros[MÊS],$AE$1,tabela_registros[DIA],jantotal[[#Headers],[1]],tabela_registros[REGISTRO],DADOS!$N$4,tabela_registros[TIPO],DADOS!$P$4,tabela_registros[CATEGORIA],despesavariávelconsolidado[[#This Row],[DESPESA VARIÁVEL]])</f>
        <v>0</v>
      </c>
      <c r="F69" s="176">
        <f>SUMIFS(tabela_registros[VALOR],tabela_registros[MÊS],$AE$1,tabela_registros[DIA],jantotal[[#Headers],[2]],tabela_registros[REGISTRO],DADOS!$N$4,tabela_registros[TIPO],DADOS!$P$4,tabela_registros[CATEGORIA],despesavariávelconsolidado[[#This Row],[DESPESA VARIÁVEL]])</f>
        <v>0</v>
      </c>
      <c r="G69" s="176">
        <f>SUMIFS(tabela_registros[VALOR],tabela_registros[MÊS],$AE$1,tabela_registros[DIA],jantotal[[#Headers],[3]],tabela_registros[REGISTRO],DADOS!$N$4,tabela_registros[TIPO],DADOS!$P$4,tabela_registros[CATEGORIA],despesavariávelconsolidado[[#This Row],[DESPESA VARIÁVEL]])</f>
        <v>0</v>
      </c>
      <c r="H69" s="176">
        <f>SUMIFS(tabela_registros[VALOR],tabela_registros[MÊS],$AE$1,tabela_registros[DIA],jantotal[[#Headers],[4]],tabela_registros[REGISTRO],DADOS!$N$4,tabela_registros[TIPO],DADOS!$P$4,tabela_registros[CATEGORIA],despesavariávelconsolidado[[#This Row],[DESPESA VARIÁVEL]])</f>
        <v>0</v>
      </c>
      <c r="I69" s="176">
        <f>SUMIFS(tabela_registros[VALOR],tabela_registros[MÊS],$AE$1,tabela_registros[DIA],jantotal[[#Headers],[5]],tabela_registros[REGISTRO],DADOS!$N$4,tabela_registros[TIPO],DADOS!$P$4,tabela_registros[CATEGORIA],despesavariávelconsolidado[[#This Row],[DESPESA VARIÁVEL]])</f>
        <v>0</v>
      </c>
      <c r="J69" s="176">
        <f>SUMIFS(tabela_registros[VALOR],tabela_registros[MÊS],$AE$1,tabela_registros[DIA],jantotal[[#Headers],[6]],tabela_registros[REGISTRO],DADOS!$N$4,tabela_registros[TIPO],DADOS!$P$4,tabela_registros[CATEGORIA],despesavariávelconsolidado[[#This Row],[DESPESA VARIÁVEL]])</f>
        <v>0</v>
      </c>
      <c r="K69" s="176">
        <f>SUMIFS(tabela_registros[VALOR],tabela_registros[MÊS],$AE$1,tabela_registros[DIA],jantotal[[#Headers],[7]],tabela_registros[REGISTRO],DADOS!$N$4,tabela_registros[TIPO],DADOS!$P$4,tabela_registros[CATEGORIA],despesavariávelconsolidado[[#This Row],[DESPESA VARIÁVEL]])</f>
        <v>0</v>
      </c>
      <c r="L69" s="176">
        <f>SUMIFS(tabela_registros[VALOR],tabela_registros[MÊS],$AE$1,tabela_registros[DIA],jantotal[[#Headers],[8]],tabela_registros[REGISTRO],DADOS!$N$4,tabela_registros[TIPO],DADOS!$P$4,tabela_registros[CATEGORIA],despesavariávelconsolidado[[#This Row],[DESPESA VARIÁVEL]])</f>
        <v>0</v>
      </c>
      <c r="M69" s="176">
        <f>SUMIFS(tabela_registros[VALOR],tabela_registros[MÊS],$AE$1,tabela_registros[DIA],jantotal[[#Headers],[9]],tabela_registros[REGISTRO],DADOS!$N$4,tabela_registros[TIPO],DADOS!$P$4,tabela_registros[CATEGORIA],despesavariávelconsolidado[[#This Row],[DESPESA VARIÁVEL]])</f>
        <v>0</v>
      </c>
      <c r="N69" s="176">
        <f>SUMIFS(tabela_registros[VALOR],tabela_registros[MÊS],$AE$1,tabela_registros[DIA],jantotal[[#Headers],[10]],tabela_registros[REGISTRO],DADOS!$N$4,tabela_registros[TIPO],DADOS!$P$4,tabela_registros[CATEGORIA],despesavariávelconsolidado[[#This Row],[DESPESA VARIÁVEL]])</f>
        <v>0</v>
      </c>
      <c r="O69" s="176">
        <f>SUMIFS(tabela_registros[VALOR],tabela_registros[MÊS],$AE$1,tabela_registros[DIA],jantotal[[#Headers],[11]],tabela_registros[REGISTRO],DADOS!$N$4,tabela_registros[TIPO],DADOS!$P$4,tabela_registros[CATEGORIA],despesavariávelconsolidado[[#This Row],[DESPESA VARIÁVEL]])</f>
        <v>0</v>
      </c>
      <c r="P69" s="176">
        <f>SUMIFS(tabela_registros[VALOR],tabela_registros[MÊS],$AE$1,tabela_registros[DIA],jantotal[[#Headers],[12]],tabela_registros[REGISTRO],DADOS!$N$4,tabela_registros[TIPO],DADOS!$P$4,tabela_registros[CATEGORIA],despesavariávelconsolidado[[#This Row],[DESPESA VARIÁVEL]])</f>
        <v>0</v>
      </c>
      <c r="Q69" s="176">
        <f>SUMIFS(tabela_registros[VALOR],tabela_registros[MÊS],$AE$1,tabela_registros[DIA],jantotal[[#Headers],[13]],tabela_registros[REGISTRO],DADOS!$N$4,tabela_registros[TIPO],DADOS!$P$4,tabela_registros[CATEGORIA],despesavariávelconsolidado[[#This Row],[DESPESA VARIÁVEL]])</f>
        <v>0</v>
      </c>
      <c r="R69" s="176">
        <f>SUMIFS(tabela_registros[VALOR],tabela_registros[MÊS],$AE$1,tabela_registros[DIA],jantotal[[#Headers],[14]],tabela_registros[REGISTRO],DADOS!$N$4,tabela_registros[TIPO],DADOS!$P$4,tabela_registros[CATEGORIA],despesavariávelconsolidado[[#This Row],[DESPESA VARIÁVEL]])</f>
        <v>0</v>
      </c>
      <c r="S69" s="176">
        <f>SUMIFS(tabela_registros[VALOR],tabela_registros[MÊS],$AE$1,tabela_registros[DIA],jantotal[[#Headers],[15]],tabela_registros[REGISTRO],DADOS!$N$4,tabela_registros[TIPO],DADOS!$P$4,tabela_registros[CATEGORIA],despesavariávelconsolidado[[#This Row],[DESPESA VARIÁVEL]])</f>
        <v>0</v>
      </c>
      <c r="T69" s="176">
        <f>SUMIFS(tabela_registros[VALOR],tabela_registros[MÊS],$AE$1,tabela_registros[DIA],jantotal[[#Headers],[16]],tabela_registros[REGISTRO],DADOS!$N$4,tabela_registros[TIPO],DADOS!$P$4,tabela_registros[CATEGORIA],despesavariávelconsolidado[[#This Row],[DESPESA VARIÁVEL]])</f>
        <v>85.714285714285595</v>
      </c>
      <c r="U69" s="176">
        <f>SUMIFS(tabela_registros[VALOR],tabela_registros[MÊS],$AE$1,tabela_registros[DIA],jantotal[[#Headers],[17]],tabela_registros[REGISTRO],DADOS!$N$4,tabela_registros[TIPO],DADOS!$P$4,tabela_registros[CATEGORIA],despesavariávelconsolidado[[#This Row],[DESPESA VARIÁVEL]])</f>
        <v>0</v>
      </c>
      <c r="V69" s="176">
        <f>SUMIFS(tabela_registros[VALOR],tabela_registros[MÊS],$AE$1,tabela_registros[DIA],jantotal[[#Headers],[18]],tabela_registros[REGISTRO],DADOS!$N$4,tabela_registros[TIPO],DADOS!$P$4,tabela_registros[CATEGORIA],despesavariávelconsolidado[[#This Row],[DESPESA VARIÁVEL]])</f>
        <v>0</v>
      </c>
      <c r="W69" s="176">
        <f>SUMIFS(tabela_registros[VALOR],tabela_registros[MÊS],$AE$1,tabela_registros[DIA],jantotal[[#Headers],[19]],tabela_registros[REGISTRO],DADOS!$N$4,tabela_registros[TIPO],DADOS!$P$4,tabela_registros[CATEGORIA],despesavariávelconsolidado[[#This Row],[DESPESA VARIÁVEL]])</f>
        <v>0</v>
      </c>
      <c r="X69" s="176">
        <f>SUMIFS(tabela_registros[VALOR],tabela_registros[MÊS],$AE$1,tabela_registros[DIA],jantotal[[#Headers],[20]],tabela_registros[REGISTRO],DADOS!$N$4,tabela_registros[TIPO],DADOS!$P$4,tabela_registros[CATEGORIA],despesavariávelconsolidado[[#This Row],[DESPESA VARIÁVEL]])</f>
        <v>0</v>
      </c>
      <c r="Y69" s="176">
        <f>SUMIFS(tabela_registros[VALOR],tabela_registros[MÊS],$AE$1,tabela_registros[DIA],jantotal[[#Headers],[21]],tabela_registros[REGISTRO],DADOS!$N$4,tabela_registros[TIPO],DADOS!$P$4,tabela_registros[CATEGORIA],despesavariávelconsolidado[[#This Row],[DESPESA VARIÁVEL]])</f>
        <v>0</v>
      </c>
      <c r="Z69" s="176">
        <f>SUMIFS(tabela_registros[VALOR],tabela_registros[MÊS],$AE$1,tabela_registros[DIA],jantotal[[#Headers],[22]],tabela_registros[REGISTRO],DADOS!$N$4,tabela_registros[TIPO],DADOS!$P$4,tabela_registros[CATEGORIA],despesavariávelconsolidado[[#This Row],[DESPESA VARIÁVEL]])</f>
        <v>0</v>
      </c>
      <c r="AA69" s="176">
        <f>SUMIFS(tabela_registros[VALOR],tabela_registros[MÊS],$AE$1,tabela_registros[DIA],jantotal[[#Headers],[23]],tabela_registros[REGISTRO],DADOS!$N$4,tabela_registros[TIPO],DADOS!$P$4,tabela_registros[CATEGORIA],despesavariávelconsolidado[[#This Row],[DESPESA VARIÁVEL]])</f>
        <v>0</v>
      </c>
      <c r="AB69" s="176">
        <f>SUMIFS(tabela_registros[VALOR],tabela_registros[MÊS],$AE$1,tabela_registros[DIA],jantotal[[#Headers],[24]],tabela_registros[REGISTRO],DADOS!$N$4,tabela_registros[TIPO],DADOS!$P$4,tabela_registros[CATEGORIA],despesavariávelconsolidado[[#This Row],[DESPESA VARIÁVEL]])</f>
        <v>0</v>
      </c>
      <c r="AC69" s="176">
        <f>SUMIFS(tabela_registros[VALOR],tabela_registros[MÊS],$AE$1,tabela_registros[DIA],jantotal[[#Headers],[25]],tabela_registros[REGISTRO],DADOS!$N$4,tabela_registros[TIPO],DADOS!$P$4,tabela_registros[CATEGORIA],despesavariávelconsolidado[[#This Row],[DESPESA VARIÁVEL]])</f>
        <v>0</v>
      </c>
      <c r="AD69" s="176">
        <f>SUMIFS(tabela_registros[VALOR],tabela_registros[MÊS],$AE$1,tabela_registros[DIA],jantotal[[#Headers],[26]],tabela_registros[REGISTRO],DADOS!$N$4,tabela_registros[TIPO],DADOS!$P$4,tabela_registros[CATEGORIA],despesavariávelconsolidado[[#This Row],[DESPESA VARIÁVEL]])</f>
        <v>0</v>
      </c>
      <c r="AE69" s="176">
        <f>SUMIFS(tabela_registros[VALOR],tabela_registros[MÊS],$AE$1,tabela_registros[DIA],jantotal[[#Headers],[27]],tabela_registros[REGISTRO],DADOS!$N$4,tabela_registros[TIPO],DADOS!$P$4,tabela_registros[CATEGORIA],despesavariávelconsolidado[[#This Row],[DESPESA VARIÁVEL]])</f>
        <v>0</v>
      </c>
      <c r="AF69" s="176">
        <f>SUMIFS(tabela_registros[VALOR],tabela_registros[MÊS],$AE$1,tabela_registros[DIA],jantotal[[#Headers],[28]],tabela_registros[REGISTRO],DADOS!$N$4,tabela_registros[TIPO],DADOS!$P$4,tabela_registros[CATEGORIA],despesavariávelconsolidado[[#This Row],[DESPESA VARIÁVEL]])</f>
        <v>0</v>
      </c>
      <c r="AG69" s="176">
        <f>SUMIFS(tabela_registros[VALOR],tabela_registros[MÊS],$AE$1,tabela_registros[DIA],jantotal[[#Headers],[29]],tabela_registros[REGISTRO],DADOS!$N$4,tabela_registros[TIPO],DADOS!$P$4,tabela_registros[CATEGORIA],despesavariávelconsolidado[[#This Row],[DESPESA VARIÁVEL]])</f>
        <v>0</v>
      </c>
      <c r="AH69" s="176">
        <f>SUMIFS(tabela_registros[VALOR],tabela_registros[MÊS],$AE$1,tabela_registros[DIA],jantotal[[#Headers],[30]],tabela_registros[REGISTRO],DADOS!$N$4,tabela_registros[TIPO],DADOS!$P$4,tabela_registros[CATEGORIA],despesavariávelconsolidado[[#This Row],[DESPESA VARIÁVEL]])</f>
        <v>0</v>
      </c>
      <c r="AI69" s="190">
        <f>SUMIFS(tabela_registros[VALOR],tabela_registros[MÊS],$AE$1,tabela_registros[DIA],jantotal[[#Headers],[31]],tabela_registros[REGISTRO],DADOS!$N$4,tabela_registros[TIPO],DADOS!$P$4,tabela_registros[CATEGORIA],despesavariávelconsolidado[[#This Row],[DESPESA VARIÁVEL]])</f>
        <v>0</v>
      </c>
      <c r="AJ69" s="167">
        <f>SUM(despesavariávelconsolidado[[#This Row],[1]:[31]])</f>
        <v>85.714285714285595</v>
      </c>
      <c r="AK69" s="28"/>
    </row>
    <row r="70" spans="2:37" ht="18" customHeight="1" thickTop="1" thickBot="1" x14ac:dyDescent="0.3">
      <c r="B70" s="28"/>
      <c r="C70" s="27" t="str">
        <f>DADOS!$T$13</f>
        <v>🚍 TRANSPORTE</v>
      </c>
      <c r="D70" s="26" t="str">
        <f>IF(despesavariávelconsolidado[[#This Row],[TOTAL]]=0,"",IF(OR(despesavariávelconsolidado[[#This Row],[TOTAL]]=LARGE($AJ$60:$AJ$72,1),despesavariávelconsolidado[[#This Row],[TOTAL]]=LARGE($AJ$60:$AJ$72,2),despesavariávelconsolidado[[#This Row],[TOTAL]]=LARGE($AJ$60:$AJ$72,3),despesavariávelconsolidado[[#This Row],[TOTAL]]=LARGE($AJ$60:$AJ$72,4),despesavariávelconsolidado[[#This Row],[TOTAL]]=LARGE($AJ$60:$AJ$72,5)),DADOS!$I$8,""))</f>
        <v/>
      </c>
      <c r="E70" s="189">
        <f>SUMIFS(tabela_registros[VALOR],tabela_registros[MÊS],$AE$1,tabela_registros[DIA],jantotal[[#Headers],[1]],tabela_registros[REGISTRO],DADOS!$N$4,tabela_registros[TIPO],DADOS!$P$4,tabela_registros[CATEGORIA],despesavariávelconsolidado[[#This Row],[DESPESA VARIÁVEL]])</f>
        <v>0</v>
      </c>
      <c r="F70" s="176">
        <f>SUMIFS(tabela_registros[VALOR],tabela_registros[MÊS],$AE$1,tabela_registros[DIA],jantotal[[#Headers],[2]],tabela_registros[REGISTRO],DADOS!$N$4,tabela_registros[TIPO],DADOS!$P$4,tabela_registros[CATEGORIA],despesavariávelconsolidado[[#This Row],[DESPESA VARIÁVEL]])</f>
        <v>0</v>
      </c>
      <c r="G70" s="176">
        <f>SUMIFS(tabela_registros[VALOR],tabela_registros[MÊS],$AE$1,tabela_registros[DIA],jantotal[[#Headers],[3]],tabela_registros[REGISTRO],DADOS!$N$4,tabela_registros[TIPO],DADOS!$P$4,tabela_registros[CATEGORIA],despesavariávelconsolidado[[#This Row],[DESPESA VARIÁVEL]])</f>
        <v>0</v>
      </c>
      <c r="H70" s="176">
        <f>SUMIFS(tabela_registros[VALOR],tabela_registros[MÊS],$AE$1,tabela_registros[DIA],jantotal[[#Headers],[4]],tabela_registros[REGISTRO],DADOS!$N$4,tabela_registros[TIPO],DADOS!$P$4,tabela_registros[CATEGORIA],despesavariávelconsolidado[[#This Row],[DESPESA VARIÁVEL]])</f>
        <v>0</v>
      </c>
      <c r="I70" s="176">
        <f>SUMIFS(tabela_registros[VALOR],tabela_registros[MÊS],$AE$1,tabela_registros[DIA],jantotal[[#Headers],[5]],tabela_registros[REGISTRO],DADOS!$N$4,tabela_registros[TIPO],DADOS!$P$4,tabela_registros[CATEGORIA],despesavariávelconsolidado[[#This Row],[DESPESA VARIÁVEL]])</f>
        <v>0</v>
      </c>
      <c r="J70" s="176">
        <f>SUMIFS(tabela_registros[VALOR],tabela_registros[MÊS],$AE$1,tabela_registros[DIA],jantotal[[#Headers],[6]],tabela_registros[REGISTRO],DADOS!$N$4,tabela_registros[TIPO],DADOS!$P$4,tabela_registros[CATEGORIA],despesavariávelconsolidado[[#This Row],[DESPESA VARIÁVEL]])</f>
        <v>0</v>
      </c>
      <c r="K70" s="176">
        <f>SUMIFS(tabela_registros[VALOR],tabela_registros[MÊS],$AE$1,tabela_registros[DIA],jantotal[[#Headers],[7]],tabela_registros[REGISTRO],DADOS!$N$4,tabela_registros[TIPO],DADOS!$P$4,tabela_registros[CATEGORIA],despesavariávelconsolidado[[#This Row],[DESPESA VARIÁVEL]])</f>
        <v>0</v>
      </c>
      <c r="L70" s="176">
        <f>SUMIFS(tabela_registros[VALOR],tabela_registros[MÊS],$AE$1,tabela_registros[DIA],jantotal[[#Headers],[8]],tabela_registros[REGISTRO],DADOS!$N$4,tabela_registros[TIPO],DADOS!$P$4,tabela_registros[CATEGORIA],despesavariávelconsolidado[[#This Row],[DESPESA VARIÁVEL]])</f>
        <v>0</v>
      </c>
      <c r="M70" s="176">
        <f>SUMIFS(tabela_registros[VALOR],tabela_registros[MÊS],$AE$1,tabela_registros[DIA],jantotal[[#Headers],[9]],tabela_registros[REGISTRO],DADOS!$N$4,tabela_registros[TIPO],DADOS!$P$4,tabela_registros[CATEGORIA],despesavariávelconsolidado[[#This Row],[DESPESA VARIÁVEL]])</f>
        <v>0</v>
      </c>
      <c r="N70" s="176">
        <f>SUMIFS(tabela_registros[VALOR],tabela_registros[MÊS],$AE$1,tabela_registros[DIA],jantotal[[#Headers],[10]],tabela_registros[REGISTRO],DADOS!$N$4,tabela_registros[TIPO],DADOS!$P$4,tabela_registros[CATEGORIA],despesavariávelconsolidado[[#This Row],[DESPESA VARIÁVEL]])</f>
        <v>0</v>
      </c>
      <c r="O70" s="176">
        <f>SUMIFS(tabela_registros[VALOR],tabela_registros[MÊS],$AE$1,tabela_registros[DIA],jantotal[[#Headers],[11]],tabela_registros[REGISTRO],DADOS!$N$4,tabela_registros[TIPO],DADOS!$P$4,tabela_registros[CATEGORIA],despesavariávelconsolidado[[#This Row],[DESPESA VARIÁVEL]])</f>
        <v>0</v>
      </c>
      <c r="P70" s="176">
        <f>SUMIFS(tabela_registros[VALOR],tabela_registros[MÊS],$AE$1,tabela_registros[DIA],jantotal[[#Headers],[12]],tabela_registros[REGISTRO],DADOS!$N$4,tabela_registros[TIPO],DADOS!$P$4,tabela_registros[CATEGORIA],despesavariávelconsolidado[[#This Row],[DESPESA VARIÁVEL]])</f>
        <v>0</v>
      </c>
      <c r="Q70" s="176">
        <f>SUMIFS(tabela_registros[VALOR],tabela_registros[MÊS],$AE$1,tabela_registros[DIA],jantotal[[#Headers],[13]],tabela_registros[REGISTRO],DADOS!$N$4,tabela_registros[TIPO],DADOS!$P$4,tabela_registros[CATEGORIA],despesavariávelconsolidado[[#This Row],[DESPESA VARIÁVEL]])</f>
        <v>0</v>
      </c>
      <c r="R70" s="176">
        <f>SUMIFS(tabela_registros[VALOR],tabela_registros[MÊS],$AE$1,tabela_registros[DIA],jantotal[[#Headers],[14]],tabela_registros[REGISTRO],DADOS!$N$4,tabela_registros[TIPO],DADOS!$P$4,tabela_registros[CATEGORIA],despesavariávelconsolidado[[#This Row],[DESPESA VARIÁVEL]])</f>
        <v>0</v>
      </c>
      <c r="S70" s="176">
        <f>SUMIFS(tabela_registros[VALOR],tabela_registros[MÊS],$AE$1,tabela_registros[DIA],jantotal[[#Headers],[15]],tabela_registros[REGISTRO],DADOS!$N$4,tabela_registros[TIPO],DADOS!$P$4,tabela_registros[CATEGORIA],despesavariávelconsolidado[[#This Row],[DESPESA VARIÁVEL]])</f>
        <v>0</v>
      </c>
      <c r="T70" s="176">
        <f>SUMIFS(tabela_registros[VALOR],tabela_registros[MÊS],$AE$1,tabela_registros[DIA],jantotal[[#Headers],[16]],tabela_registros[REGISTRO],DADOS!$N$4,tabela_registros[TIPO],DADOS!$P$4,tabela_registros[CATEGORIA],despesavariávelconsolidado[[#This Row],[DESPESA VARIÁVEL]])</f>
        <v>0</v>
      </c>
      <c r="U70" s="176">
        <f>SUMIFS(tabela_registros[VALOR],tabela_registros[MÊS],$AE$1,tabela_registros[DIA],jantotal[[#Headers],[17]],tabela_registros[REGISTRO],DADOS!$N$4,tabela_registros[TIPO],DADOS!$P$4,tabela_registros[CATEGORIA],despesavariávelconsolidado[[#This Row],[DESPESA VARIÁVEL]])</f>
        <v>0</v>
      </c>
      <c r="V70" s="176">
        <f>SUMIFS(tabela_registros[VALOR],tabela_registros[MÊS],$AE$1,tabela_registros[DIA],jantotal[[#Headers],[18]],tabela_registros[REGISTRO],DADOS!$N$4,tabela_registros[TIPO],DADOS!$P$4,tabela_registros[CATEGORIA],despesavariávelconsolidado[[#This Row],[DESPESA VARIÁVEL]])</f>
        <v>0</v>
      </c>
      <c r="W70" s="176">
        <f>SUMIFS(tabela_registros[VALOR],tabela_registros[MÊS],$AE$1,tabela_registros[DIA],jantotal[[#Headers],[19]],tabela_registros[REGISTRO],DADOS!$N$4,tabela_registros[TIPO],DADOS!$P$4,tabela_registros[CATEGORIA],despesavariávelconsolidado[[#This Row],[DESPESA VARIÁVEL]])</f>
        <v>0</v>
      </c>
      <c r="X70" s="176">
        <f>SUMIFS(tabela_registros[VALOR],tabela_registros[MÊS],$AE$1,tabela_registros[DIA],jantotal[[#Headers],[20]],tabela_registros[REGISTRO],DADOS!$N$4,tabela_registros[TIPO],DADOS!$P$4,tabela_registros[CATEGORIA],despesavariávelconsolidado[[#This Row],[DESPESA VARIÁVEL]])</f>
        <v>0</v>
      </c>
      <c r="Y70" s="176">
        <f>SUMIFS(tabela_registros[VALOR],tabela_registros[MÊS],$AE$1,tabela_registros[DIA],jantotal[[#Headers],[21]],tabela_registros[REGISTRO],DADOS!$N$4,tabela_registros[TIPO],DADOS!$P$4,tabela_registros[CATEGORIA],despesavariávelconsolidado[[#This Row],[DESPESA VARIÁVEL]])</f>
        <v>0</v>
      </c>
      <c r="Z70" s="176">
        <f>SUMIFS(tabela_registros[VALOR],tabela_registros[MÊS],$AE$1,tabela_registros[DIA],jantotal[[#Headers],[22]],tabela_registros[REGISTRO],DADOS!$N$4,tabela_registros[TIPO],DADOS!$P$4,tabela_registros[CATEGORIA],despesavariávelconsolidado[[#This Row],[DESPESA VARIÁVEL]])</f>
        <v>0</v>
      </c>
      <c r="AA70" s="176">
        <f>SUMIFS(tabela_registros[VALOR],tabela_registros[MÊS],$AE$1,tabela_registros[DIA],jantotal[[#Headers],[23]],tabela_registros[REGISTRO],DADOS!$N$4,tabela_registros[TIPO],DADOS!$P$4,tabela_registros[CATEGORIA],despesavariávelconsolidado[[#This Row],[DESPESA VARIÁVEL]])</f>
        <v>0</v>
      </c>
      <c r="AB70" s="176">
        <f>SUMIFS(tabela_registros[VALOR],tabela_registros[MÊS],$AE$1,tabela_registros[DIA],jantotal[[#Headers],[24]],tabela_registros[REGISTRO],DADOS!$N$4,tabela_registros[TIPO],DADOS!$P$4,tabela_registros[CATEGORIA],despesavariávelconsolidado[[#This Row],[DESPESA VARIÁVEL]])</f>
        <v>0</v>
      </c>
      <c r="AC70" s="176">
        <f>SUMIFS(tabela_registros[VALOR],tabela_registros[MÊS],$AE$1,tabela_registros[DIA],jantotal[[#Headers],[25]],tabela_registros[REGISTRO],DADOS!$N$4,tabela_registros[TIPO],DADOS!$P$4,tabela_registros[CATEGORIA],despesavariávelconsolidado[[#This Row],[DESPESA VARIÁVEL]])</f>
        <v>0</v>
      </c>
      <c r="AD70" s="176">
        <f>SUMIFS(tabela_registros[VALOR],tabela_registros[MÊS],$AE$1,tabela_registros[DIA],jantotal[[#Headers],[26]],tabela_registros[REGISTRO],DADOS!$N$4,tabela_registros[TIPO],DADOS!$P$4,tabela_registros[CATEGORIA],despesavariávelconsolidado[[#This Row],[DESPESA VARIÁVEL]])</f>
        <v>0</v>
      </c>
      <c r="AE70" s="176">
        <f>SUMIFS(tabela_registros[VALOR],tabela_registros[MÊS],$AE$1,tabela_registros[DIA],jantotal[[#Headers],[27]],tabela_registros[REGISTRO],DADOS!$N$4,tabela_registros[TIPO],DADOS!$P$4,tabela_registros[CATEGORIA],despesavariávelconsolidado[[#This Row],[DESPESA VARIÁVEL]])</f>
        <v>0</v>
      </c>
      <c r="AF70" s="176">
        <f>SUMIFS(tabela_registros[VALOR],tabela_registros[MÊS],$AE$1,tabela_registros[DIA],jantotal[[#Headers],[28]],tabela_registros[REGISTRO],DADOS!$N$4,tabela_registros[TIPO],DADOS!$P$4,tabela_registros[CATEGORIA],despesavariávelconsolidado[[#This Row],[DESPESA VARIÁVEL]])</f>
        <v>0</v>
      </c>
      <c r="AG70" s="176">
        <f>SUMIFS(tabela_registros[VALOR],tabela_registros[MÊS],$AE$1,tabela_registros[DIA],jantotal[[#Headers],[29]],tabela_registros[REGISTRO],DADOS!$N$4,tabela_registros[TIPO],DADOS!$P$4,tabela_registros[CATEGORIA],despesavariávelconsolidado[[#This Row],[DESPESA VARIÁVEL]])</f>
        <v>0</v>
      </c>
      <c r="AH70" s="176">
        <f>SUMIFS(tabela_registros[VALOR],tabela_registros[MÊS],$AE$1,tabela_registros[DIA],jantotal[[#Headers],[30]],tabela_registros[REGISTRO],DADOS!$N$4,tabela_registros[TIPO],DADOS!$P$4,tabela_registros[CATEGORIA],despesavariávelconsolidado[[#This Row],[DESPESA VARIÁVEL]])</f>
        <v>0</v>
      </c>
      <c r="AI70" s="190">
        <f>SUMIFS(tabela_registros[VALOR],tabela_registros[MÊS],$AE$1,tabela_registros[DIA],jantotal[[#Headers],[31]],tabela_registros[REGISTRO],DADOS!$N$4,tabela_registros[TIPO],DADOS!$P$4,tabela_registros[CATEGORIA],despesavariávelconsolidado[[#This Row],[DESPESA VARIÁVEL]])</f>
        <v>0</v>
      </c>
      <c r="AJ70" s="167">
        <f>SUM(despesavariávelconsolidado[[#This Row],[1]:[31]])</f>
        <v>0</v>
      </c>
      <c r="AK70" s="28"/>
    </row>
    <row r="71" spans="2:37" ht="18" customHeight="1" thickTop="1" thickBot="1" x14ac:dyDescent="0.3">
      <c r="B71" s="28"/>
      <c r="C71" s="27" t="str">
        <f>DADOS!$T$14</f>
        <v>🛍️ VESTUÁRIO</v>
      </c>
      <c r="D71" s="26" t="str">
        <f>IF(despesavariávelconsolidado[[#This Row],[TOTAL]]=0,"",IF(OR(despesavariávelconsolidado[[#This Row],[TOTAL]]=LARGE($AJ$60:$AJ$72,1),despesavariávelconsolidado[[#This Row],[TOTAL]]=LARGE($AJ$60:$AJ$72,2),despesavariávelconsolidado[[#This Row],[TOTAL]]=LARGE($AJ$60:$AJ$72,3),despesavariávelconsolidado[[#This Row],[TOTAL]]=LARGE($AJ$60:$AJ$72,4),despesavariávelconsolidado[[#This Row],[TOTAL]]=LARGE($AJ$60:$AJ$72,5)),DADOS!$I$8,""))</f>
        <v/>
      </c>
      <c r="E71" s="189">
        <f>SUMIFS(tabela_registros[VALOR],tabela_registros[MÊS],$AE$1,tabela_registros[DIA],jantotal[[#Headers],[1]],tabela_registros[REGISTRO],DADOS!$N$4,tabela_registros[TIPO],DADOS!$P$4,tabela_registros[CATEGORIA],despesavariávelconsolidado[[#This Row],[DESPESA VARIÁVEL]])</f>
        <v>0</v>
      </c>
      <c r="F71" s="176">
        <f>SUMIFS(tabela_registros[VALOR],tabela_registros[MÊS],$AE$1,tabela_registros[DIA],jantotal[[#Headers],[2]],tabela_registros[REGISTRO],DADOS!$N$4,tabela_registros[TIPO],DADOS!$P$4,tabela_registros[CATEGORIA],despesavariávelconsolidado[[#This Row],[DESPESA VARIÁVEL]])</f>
        <v>0</v>
      </c>
      <c r="G71" s="176">
        <f>SUMIFS(tabela_registros[VALOR],tabela_registros[MÊS],$AE$1,tabela_registros[DIA],jantotal[[#Headers],[3]],tabela_registros[REGISTRO],DADOS!$N$4,tabela_registros[TIPO],DADOS!$P$4,tabela_registros[CATEGORIA],despesavariávelconsolidado[[#This Row],[DESPESA VARIÁVEL]])</f>
        <v>0</v>
      </c>
      <c r="H71" s="176">
        <f>SUMIFS(tabela_registros[VALOR],tabela_registros[MÊS],$AE$1,tabela_registros[DIA],jantotal[[#Headers],[4]],tabela_registros[REGISTRO],DADOS!$N$4,tabela_registros[TIPO],DADOS!$P$4,tabela_registros[CATEGORIA],despesavariávelconsolidado[[#This Row],[DESPESA VARIÁVEL]])</f>
        <v>0</v>
      </c>
      <c r="I71" s="176">
        <f>SUMIFS(tabela_registros[VALOR],tabela_registros[MÊS],$AE$1,tabela_registros[DIA],jantotal[[#Headers],[5]],tabela_registros[REGISTRO],DADOS!$N$4,tabela_registros[TIPO],DADOS!$P$4,tabela_registros[CATEGORIA],despesavariávelconsolidado[[#This Row],[DESPESA VARIÁVEL]])</f>
        <v>0</v>
      </c>
      <c r="J71" s="176">
        <f>SUMIFS(tabela_registros[VALOR],tabela_registros[MÊS],$AE$1,tabela_registros[DIA],jantotal[[#Headers],[6]],tabela_registros[REGISTRO],DADOS!$N$4,tabela_registros[TIPO],DADOS!$P$4,tabela_registros[CATEGORIA],despesavariávelconsolidado[[#This Row],[DESPESA VARIÁVEL]])</f>
        <v>0</v>
      </c>
      <c r="K71" s="176">
        <f>SUMIFS(tabela_registros[VALOR],tabela_registros[MÊS],$AE$1,tabela_registros[DIA],jantotal[[#Headers],[7]],tabela_registros[REGISTRO],DADOS!$N$4,tabela_registros[TIPO],DADOS!$P$4,tabela_registros[CATEGORIA],despesavariávelconsolidado[[#This Row],[DESPESA VARIÁVEL]])</f>
        <v>0</v>
      </c>
      <c r="L71" s="176">
        <f>SUMIFS(tabela_registros[VALOR],tabela_registros[MÊS],$AE$1,tabela_registros[DIA],jantotal[[#Headers],[8]],tabela_registros[REGISTRO],DADOS!$N$4,tabela_registros[TIPO],DADOS!$P$4,tabela_registros[CATEGORIA],despesavariávelconsolidado[[#This Row],[DESPESA VARIÁVEL]])</f>
        <v>0</v>
      </c>
      <c r="M71" s="176">
        <f>SUMIFS(tabela_registros[VALOR],tabela_registros[MÊS],$AE$1,tabela_registros[DIA],jantotal[[#Headers],[9]],tabela_registros[REGISTRO],DADOS!$N$4,tabela_registros[TIPO],DADOS!$P$4,tabela_registros[CATEGORIA],despesavariávelconsolidado[[#This Row],[DESPESA VARIÁVEL]])</f>
        <v>0</v>
      </c>
      <c r="N71" s="176">
        <f>SUMIFS(tabela_registros[VALOR],tabela_registros[MÊS],$AE$1,tabela_registros[DIA],jantotal[[#Headers],[10]],tabela_registros[REGISTRO],DADOS!$N$4,tabela_registros[TIPO],DADOS!$P$4,tabela_registros[CATEGORIA],despesavariávelconsolidado[[#This Row],[DESPESA VARIÁVEL]])</f>
        <v>0</v>
      </c>
      <c r="O71" s="176">
        <f>SUMIFS(tabela_registros[VALOR],tabela_registros[MÊS],$AE$1,tabela_registros[DIA],jantotal[[#Headers],[11]],tabela_registros[REGISTRO],DADOS!$N$4,tabela_registros[TIPO],DADOS!$P$4,tabela_registros[CATEGORIA],despesavariávelconsolidado[[#This Row],[DESPESA VARIÁVEL]])</f>
        <v>0</v>
      </c>
      <c r="P71" s="176">
        <f>SUMIFS(tabela_registros[VALOR],tabela_registros[MÊS],$AE$1,tabela_registros[DIA],jantotal[[#Headers],[12]],tabela_registros[REGISTRO],DADOS!$N$4,tabela_registros[TIPO],DADOS!$P$4,tabela_registros[CATEGORIA],despesavariávelconsolidado[[#This Row],[DESPESA VARIÁVEL]])</f>
        <v>0</v>
      </c>
      <c r="Q71" s="176">
        <f>SUMIFS(tabela_registros[VALOR],tabela_registros[MÊS],$AE$1,tabela_registros[DIA],jantotal[[#Headers],[13]],tabela_registros[REGISTRO],DADOS!$N$4,tabela_registros[TIPO],DADOS!$P$4,tabela_registros[CATEGORIA],despesavariávelconsolidado[[#This Row],[DESPESA VARIÁVEL]])</f>
        <v>0</v>
      </c>
      <c r="R71" s="176">
        <f>SUMIFS(tabela_registros[VALOR],tabela_registros[MÊS],$AE$1,tabela_registros[DIA],jantotal[[#Headers],[14]],tabela_registros[REGISTRO],DADOS!$N$4,tabela_registros[TIPO],DADOS!$P$4,tabela_registros[CATEGORIA],despesavariávelconsolidado[[#This Row],[DESPESA VARIÁVEL]])</f>
        <v>0</v>
      </c>
      <c r="S71" s="176">
        <f>SUMIFS(tabela_registros[VALOR],tabela_registros[MÊS],$AE$1,tabela_registros[DIA],jantotal[[#Headers],[15]],tabela_registros[REGISTRO],DADOS!$N$4,tabela_registros[TIPO],DADOS!$P$4,tabela_registros[CATEGORIA],despesavariávelconsolidado[[#This Row],[DESPESA VARIÁVEL]])</f>
        <v>0</v>
      </c>
      <c r="T71" s="176">
        <f>SUMIFS(tabela_registros[VALOR],tabela_registros[MÊS],$AE$1,tabela_registros[DIA],jantotal[[#Headers],[16]],tabela_registros[REGISTRO],DADOS!$N$4,tabela_registros[TIPO],DADOS!$P$4,tabela_registros[CATEGORIA],despesavariávelconsolidado[[#This Row],[DESPESA VARIÁVEL]])</f>
        <v>0</v>
      </c>
      <c r="U71" s="176">
        <f>SUMIFS(tabela_registros[VALOR],tabela_registros[MÊS],$AE$1,tabela_registros[DIA],jantotal[[#Headers],[17]],tabela_registros[REGISTRO],DADOS!$N$4,tabela_registros[TIPO],DADOS!$P$4,tabela_registros[CATEGORIA],despesavariávelconsolidado[[#This Row],[DESPESA VARIÁVEL]])</f>
        <v>0</v>
      </c>
      <c r="V71" s="176">
        <f>SUMIFS(tabela_registros[VALOR],tabela_registros[MÊS],$AE$1,tabela_registros[DIA],jantotal[[#Headers],[18]],tabela_registros[REGISTRO],DADOS!$N$4,tabela_registros[TIPO],DADOS!$P$4,tabela_registros[CATEGORIA],despesavariávelconsolidado[[#This Row],[DESPESA VARIÁVEL]])</f>
        <v>0</v>
      </c>
      <c r="W71" s="176">
        <f>SUMIFS(tabela_registros[VALOR],tabela_registros[MÊS],$AE$1,tabela_registros[DIA],jantotal[[#Headers],[19]],tabela_registros[REGISTRO],DADOS!$N$4,tabela_registros[TIPO],DADOS!$P$4,tabela_registros[CATEGORIA],despesavariávelconsolidado[[#This Row],[DESPESA VARIÁVEL]])</f>
        <v>0</v>
      </c>
      <c r="X71" s="176">
        <f>SUMIFS(tabela_registros[VALOR],tabela_registros[MÊS],$AE$1,tabela_registros[DIA],jantotal[[#Headers],[20]],tabela_registros[REGISTRO],DADOS!$N$4,tabela_registros[TIPO],DADOS!$P$4,tabela_registros[CATEGORIA],despesavariávelconsolidado[[#This Row],[DESPESA VARIÁVEL]])</f>
        <v>0</v>
      </c>
      <c r="Y71" s="176">
        <f>SUMIFS(tabela_registros[VALOR],tabela_registros[MÊS],$AE$1,tabela_registros[DIA],jantotal[[#Headers],[21]],tabela_registros[REGISTRO],DADOS!$N$4,tabela_registros[TIPO],DADOS!$P$4,tabela_registros[CATEGORIA],despesavariávelconsolidado[[#This Row],[DESPESA VARIÁVEL]])</f>
        <v>0</v>
      </c>
      <c r="Z71" s="176">
        <f>SUMIFS(tabela_registros[VALOR],tabela_registros[MÊS],$AE$1,tabela_registros[DIA],jantotal[[#Headers],[22]],tabela_registros[REGISTRO],DADOS!$N$4,tabela_registros[TIPO],DADOS!$P$4,tabela_registros[CATEGORIA],despesavariávelconsolidado[[#This Row],[DESPESA VARIÁVEL]])</f>
        <v>0</v>
      </c>
      <c r="AA71" s="176">
        <f>SUMIFS(tabela_registros[VALOR],tabela_registros[MÊS],$AE$1,tabela_registros[DIA],jantotal[[#Headers],[23]],tabela_registros[REGISTRO],DADOS!$N$4,tabela_registros[TIPO],DADOS!$P$4,tabela_registros[CATEGORIA],despesavariávelconsolidado[[#This Row],[DESPESA VARIÁVEL]])</f>
        <v>0</v>
      </c>
      <c r="AB71" s="176">
        <f>SUMIFS(tabela_registros[VALOR],tabela_registros[MÊS],$AE$1,tabela_registros[DIA],jantotal[[#Headers],[24]],tabela_registros[REGISTRO],DADOS!$N$4,tabela_registros[TIPO],DADOS!$P$4,tabela_registros[CATEGORIA],despesavariávelconsolidado[[#This Row],[DESPESA VARIÁVEL]])</f>
        <v>0</v>
      </c>
      <c r="AC71" s="176">
        <f>SUMIFS(tabela_registros[VALOR],tabela_registros[MÊS],$AE$1,tabela_registros[DIA],jantotal[[#Headers],[25]],tabela_registros[REGISTRO],DADOS!$N$4,tabela_registros[TIPO],DADOS!$P$4,tabela_registros[CATEGORIA],despesavariávelconsolidado[[#This Row],[DESPESA VARIÁVEL]])</f>
        <v>0</v>
      </c>
      <c r="AD71" s="176">
        <f>SUMIFS(tabela_registros[VALOR],tabela_registros[MÊS],$AE$1,tabela_registros[DIA],jantotal[[#Headers],[26]],tabela_registros[REGISTRO],DADOS!$N$4,tabela_registros[TIPO],DADOS!$P$4,tabela_registros[CATEGORIA],despesavariávelconsolidado[[#This Row],[DESPESA VARIÁVEL]])</f>
        <v>0</v>
      </c>
      <c r="AE71" s="176">
        <f>SUMIFS(tabela_registros[VALOR],tabela_registros[MÊS],$AE$1,tabela_registros[DIA],jantotal[[#Headers],[27]],tabela_registros[REGISTRO],DADOS!$N$4,tabela_registros[TIPO],DADOS!$P$4,tabela_registros[CATEGORIA],despesavariávelconsolidado[[#This Row],[DESPESA VARIÁVEL]])</f>
        <v>0</v>
      </c>
      <c r="AF71" s="176">
        <f>SUMIFS(tabela_registros[VALOR],tabela_registros[MÊS],$AE$1,tabela_registros[DIA],jantotal[[#Headers],[28]],tabela_registros[REGISTRO],DADOS!$N$4,tabela_registros[TIPO],DADOS!$P$4,tabela_registros[CATEGORIA],despesavariávelconsolidado[[#This Row],[DESPESA VARIÁVEL]])</f>
        <v>0</v>
      </c>
      <c r="AG71" s="176">
        <f>SUMIFS(tabela_registros[VALOR],tabela_registros[MÊS],$AE$1,tabela_registros[DIA],jantotal[[#Headers],[29]],tabela_registros[REGISTRO],DADOS!$N$4,tabela_registros[TIPO],DADOS!$P$4,tabela_registros[CATEGORIA],despesavariávelconsolidado[[#This Row],[DESPESA VARIÁVEL]])</f>
        <v>0</v>
      </c>
      <c r="AH71" s="176">
        <f>SUMIFS(tabela_registros[VALOR],tabela_registros[MÊS],$AE$1,tabela_registros[DIA],jantotal[[#Headers],[30]],tabela_registros[REGISTRO],DADOS!$N$4,tabela_registros[TIPO],DADOS!$P$4,tabela_registros[CATEGORIA],despesavariávelconsolidado[[#This Row],[DESPESA VARIÁVEL]])</f>
        <v>0</v>
      </c>
      <c r="AI71" s="190">
        <f>SUMIFS(tabela_registros[VALOR],tabela_registros[MÊS],$AE$1,tabela_registros[DIA],jantotal[[#Headers],[31]],tabela_registros[REGISTRO],DADOS!$N$4,tabela_registros[TIPO],DADOS!$P$4,tabela_registros[CATEGORIA],despesavariávelconsolidado[[#This Row],[DESPESA VARIÁVEL]])</f>
        <v>0</v>
      </c>
      <c r="AJ71" s="167">
        <f>SUM(despesavariávelconsolidado[[#This Row],[1]:[31]])</f>
        <v>0</v>
      </c>
      <c r="AK71" s="28"/>
    </row>
    <row r="72" spans="2:37" ht="18" customHeight="1" thickTop="1" thickBot="1" x14ac:dyDescent="0.3">
      <c r="B72" s="28"/>
      <c r="C72" s="27" t="str">
        <f>DADOS!$T$15</f>
        <v>📎 OUTROS</v>
      </c>
      <c r="D72" s="26" t="str">
        <f>IF(despesavariávelconsolidado[[#This Row],[TOTAL]]=0,"",IF(OR(despesavariávelconsolidado[[#This Row],[TOTAL]]=LARGE($AJ$60:$AJ$72,1),despesavariávelconsolidado[[#This Row],[TOTAL]]=LARGE($AJ$60:$AJ$72,2),despesavariávelconsolidado[[#This Row],[TOTAL]]=LARGE($AJ$60:$AJ$72,3),despesavariávelconsolidado[[#This Row],[TOTAL]]=LARGE($AJ$60:$AJ$72,4),despesavariávelconsolidado[[#This Row],[TOTAL]]=LARGE($AJ$60:$AJ$72,5)),DADOS!$I$8,""))</f>
        <v/>
      </c>
      <c r="E72" s="189">
        <f>SUMIFS(tabela_registros[VALOR],tabela_registros[MÊS],$AE$1,tabela_registros[DIA],jantotal[[#Headers],[1]],tabela_registros[REGISTRO],DADOS!$N$4,tabela_registros[TIPO],DADOS!$P$4,tabela_registros[CATEGORIA],despesavariávelconsolidado[[#This Row],[DESPESA VARIÁVEL]])</f>
        <v>0</v>
      </c>
      <c r="F72" s="176">
        <f>SUMIFS(tabela_registros[VALOR],tabela_registros[MÊS],$AE$1,tabela_registros[DIA],jantotal[[#Headers],[2]],tabela_registros[REGISTRO],DADOS!$N$4,tabela_registros[TIPO],DADOS!$P$4,tabela_registros[CATEGORIA],despesavariávelconsolidado[[#This Row],[DESPESA VARIÁVEL]])</f>
        <v>0</v>
      </c>
      <c r="G72" s="176">
        <f>SUMIFS(tabela_registros[VALOR],tabela_registros[MÊS],$AE$1,tabela_registros[DIA],jantotal[[#Headers],[3]],tabela_registros[REGISTRO],DADOS!$N$4,tabela_registros[TIPO],DADOS!$P$4,tabela_registros[CATEGORIA],despesavariávelconsolidado[[#This Row],[DESPESA VARIÁVEL]])</f>
        <v>0</v>
      </c>
      <c r="H72" s="176">
        <f>SUMIFS(tabela_registros[VALOR],tabela_registros[MÊS],$AE$1,tabela_registros[DIA],jantotal[[#Headers],[4]],tabela_registros[REGISTRO],DADOS!$N$4,tabela_registros[TIPO],DADOS!$P$4,tabela_registros[CATEGORIA],despesavariávelconsolidado[[#This Row],[DESPESA VARIÁVEL]])</f>
        <v>0</v>
      </c>
      <c r="I72" s="176">
        <f>SUMIFS(tabela_registros[VALOR],tabela_registros[MÊS],$AE$1,tabela_registros[DIA],jantotal[[#Headers],[5]],tabela_registros[REGISTRO],DADOS!$N$4,tabela_registros[TIPO],DADOS!$P$4,tabela_registros[CATEGORIA],despesavariávelconsolidado[[#This Row],[DESPESA VARIÁVEL]])</f>
        <v>0</v>
      </c>
      <c r="J72" s="176">
        <f>SUMIFS(tabela_registros[VALOR],tabela_registros[MÊS],$AE$1,tabela_registros[DIA],jantotal[[#Headers],[6]],tabela_registros[REGISTRO],DADOS!$N$4,tabela_registros[TIPO],DADOS!$P$4,tabela_registros[CATEGORIA],despesavariávelconsolidado[[#This Row],[DESPESA VARIÁVEL]])</f>
        <v>0</v>
      </c>
      <c r="K72" s="176">
        <f>SUMIFS(tabela_registros[VALOR],tabela_registros[MÊS],$AE$1,tabela_registros[DIA],jantotal[[#Headers],[7]],tabela_registros[REGISTRO],DADOS!$N$4,tabela_registros[TIPO],DADOS!$P$4,tabela_registros[CATEGORIA],despesavariávelconsolidado[[#This Row],[DESPESA VARIÁVEL]])</f>
        <v>0</v>
      </c>
      <c r="L72" s="176">
        <f>SUMIFS(tabela_registros[VALOR],tabela_registros[MÊS],$AE$1,tabela_registros[DIA],jantotal[[#Headers],[8]],tabela_registros[REGISTRO],DADOS!$N$4,tabela_registros[TIPO],DADOS!$P$4,tabela_registros[CATEGORIA],despesavariávelconsolidado[[#This Row],[DESPESA VARIÁVEL]])</f>
        <v>0</v>
      </c>
      <c r="M72" s="176">
        <f>SUMIFS(tabela_registros[VALOR],tabela_registros[MÊS],$AE$1,tabela_registros[DIA],jantotal[[#Headers],[9]],tabela_registros[REGISTRO],DADOS!$N$4,tabela_registros[TIPO],DADOS!$P$4,tabela_registros[CATEGORIA],despesavariávelconsolidado[[#This Row],[DESPESA VARIÁVEL]])</f>
        <v>0</v>
      </c>
      <c r="N72" s="176">
        <f>SUMIFS(tabela_registros[VALOR],tabela_registros[MÊS],$AE$1,tabela_registros[DIA],jantotal[[#Headers],[10]],tabela_registros[REGISTRO],DADOS!$N$4,tabela_registros[TIPO],DADOS!$P$4,tabela_registros[CATEGORIA],despesavariávelconsolidado[[#This Row],[DESPESA VARIÁVEL]])</f>
        <v>0</v>
      </c>
      <c r="O72" s="176">
        <f>SUMIFS(tabela_registros[VALOR],tabela_registros[MÊS],$AE$1,tabela_registros[DIA],jantotal[[#Headers],[11]],tabela_registros[REGISTRO],DADOS!$N$4,tabela_registros[TIPO],DADOS!$P$4,tabela_registros[CATEGORIA],despesavariávelconsolidado[[#This Row],[DESPESA VARIÁVEL]])</f>
        <v>0</v>
      </c>
      <c r="P72" s="176">
        <f>SUMIFS(tabela_registros[VALOR],tabela_registros[MÊS],$AE$1,tabela_registros[DIA],jantotal[[#Headers],[12]],tabela_registros[REGISTRO],DADOS!$N$4,tabela_registros[TIPO],DADOS!$P$4,tabela_registros[CATEGORIA],despesavariávelconsolidado[[#This Row],[DESPESA VARIÁVEL]])</f>
        <v>0</v>
      </c>
      <c r="Q72" s="176">
        <f>SUMIFS(tabela_registros[VALOR],tabela_registros[MÊS],$AE$1,tabela_registros[DIA],jantotal[[#Headers],[13]],tabela_registros[REGISTRO],DADOS!$N$4,tabela_registros[TIPO],DADOS!$P$4,tabela_registros[CATEGORIA],despesavariávelconsolidado[[#This Row],[DESPESA VARIÁVEL]])</f>
        <v>0</v>
      </c>
      <c r="R72" s="176">
        <f>SUMIFS(tabela_registros[VALOR],tabela_registros[MÊS],$AE$1,tabela_registros[DIA],jantotal[[#Headers],[14]],tabela_registros[REGISTRO],DADOS!$N$4,tabela_registros[TIPO],DADOS!$P$4,tabela_registros[CATEGORIA],despesavariávelconsolidado[[#This Row],[DESPESA VARIÁVEL]])</f>
        <v>0</v>
      </c>
      <c r="S72" s="176">
        <f>SUMIFS(tabela_registros[VALOR],tabela_registros[MÊS],$AE$1,tabela_registros[DIA],jantotal[[#Headers],[15]],tabela_registros[REGISTRO],DADOS!$N$4,tabela_registros[TIPO],DADOS!$P$4,tabela_registros[CATEGORIA],despesavariávelconsolidado[[#This Row],[DESPESA VARIÁVEL]])</f>
        <v>0</v>
      </c>
      <c r="T72" s="176">
        <f>SUMIFS(tabela_registros[VALOR],tabela_registros[MÊS],$AE$1,tabela_registros[DIA],jantotal[[#Headers],[16]],tabela_registros[REGISTRO],DADOS!$N$4,tabela_registros[TIPO],DADOS!$P$4,tabela_registros[CATEGORIA],despesavariávelconsolidado[[#This Row],[DESPESA VARIÁVEL]])</f>
        <v>0</v>
      </c>
      <c r="U72" s="176">
        <f>SUMIFS(tabela_registros[VALOR],tabela_registros[MÊS],$AE$1,tabela_registros[DIA],jantotal[[#Headers],[17]],tabela_registros[REGISTRO],DADOS!$N$4,tabela_registros[TIPO],DADOS!$P$4,tabela_registros[CATEGORIA],despesavariávelconsolidado[[#This Row],[DESPESA VARIÁVEL]])</f>
        <v>0</v>
      </c>
      <c r="V72" s="176">
        <f>SUMIFS(tabela_registros[VALOR],tabela_registros[MÊS],$AE$1,tabela_registros[DIA],jantotal[[#Headers],[18]],tabela_registros[REGISTRO],DADOS!$N$4,tabela_registros[TIPO],DADOS!$P$4,tabela_registros[CATEGORIA],despesavariávelconsolidado[[#This Row],[DESPESA VARIÁVEL]])</f>
        <v>0</v>
      </c>
      <c r="W72" s="176">
        <f>SUMIFS(tabela_registros[VALOR],tabela_registros[MÊS],$AE$1,tabela_registros[DIA],jantotal[[#Headers],[19]],tabela_registros[REGISTRO],DADOS!$N$4,tabela_registros[TIPO],DADOS!$P$4,tabela_registros[CATEGORIA],despesavariávelconsolidado[[#This Row],[DESPESA VARIÁVEL]])</f>
        <v>0</v>
      </c>
      <c r="X72" s="176">
        <f>SUMIFS(tabela_registros[VALOR],tabela_registros[MÊS],$AE$1,tabela_registros[DIA],jantotal[[#Headers],[20]],tabela_registros[REGISTRO],DADOS!$N$4,tabela_registros[TIPO],DADOS!$P$4,tabela_registros[CATEGORIA],despesavariávelconsolidado[[#This Row],[DESPESA VARIÁVEL]])</f>
        <v>0</v>
      </c>
      <c r="Y72" s="176">
        <f>SUMIFS(tabela_registros[VALOR],tabela_registros[MÊS],$AE$1,tabela_registros[DIA],jantotal[[#Headers],[21]],tabela_registros[REGISTRO],DADOS!$N$4,tabela_registros[TIPO],DADOS!$P$4,tabela_registros[CATEGORIA],despesavariávelconsolidado[[#This Row],[DESPESA VARIÁVEL]])</f>
        <v>48.928571428571601</v>
      </c>
      <c r="Z72" s="176">
        <f>SUMIFS(tabela_registros[VALOR],tabela_registros[MÊS],$AE$1,tabela_registros[DIA],jantotal[[#Headers],[22]],tabela_registros[REGISTRO],DADOS!$N$4,tabela_registros[TIPO],DADOS!$P$4,tabela_registros[CATEGORIA],despesavariávelconsolidado[[#This Row],[DESPESA VARIÁVEL]])</f>
        <v>0</v>
      </c>
      <c r="AA72" s="176">
        <f>SUMIFS(tabela_registros[VALOR],tabela_registros[MÊS],$AE$1,tabela_registros[DIA],jantotal[[#Headers],[23]],tabela_registros[REGISTRO],DADOS!$N$4,tabela_registros[TIPO],DADOS!$P$4,tabela_registros[CATEGORIA],despesavariávelconsolidado[[#This Row],[DESPESA VARIÁVEL]])</f>
        <v>0</v>
      </c>
      <c r="AB72" s="176">
        <f>SUMIFS(tabela_registros[VALOR],tabela_registros[MÊS],$AE$1,tabela_registros[DIA],jantotal[[#Headers],[24]],tabela_registros[REGISTRO],DADOS!$N$4,tabela_registros[TIPO],DADOS!$P$4,tabela_registros[CATEGORIA],despesavariávelconsolidado[[#This Row],[DESPESA VARIÁVEL]])</f>
        <v>0</v>
      </c>
      <c r="AC72" s="176">
        <f>SUMIFS(tabela_registros[VALOR],tabela_registros[MÊS],$AE$1,tabela_registros[DIA],jantotal[[#Headers],[25]],tabela_registros[REGISTRO],DADOS!$N$4,tabela_registros[TIPO],DADOS!$P$4,tabela_registros[CATEGORIA],despesavariávelconsolidado[[#This Row],[DESPESA VARIÁVEL]])</f>
        <v>0</v>
      </c>
      <c r="AD72" s="176">
        <f>SUMIFS(tabela_registros[VALOR],tabela_registros[MÊS],$AE$1,tabela_registros[DIA],jantotal[[#Headers],[26]],tabela_registros[REGISTRO],DADOS!$N$4,tabela_registros[TIPO],DADOS!$P$4,tabela_registros[CATEGORIA],despesavariávelconsolidado[[#This Row],[DESPESA VARIÁVEL]])</f>
        <v>0</v>
      </c>
      <c r="AE72" s="176">
        <f>SUMIFS(tabela_registros[VALOR],tabela_registros[MÊS],$AE$1,tabela_registros[DIA],jantotal[[#Headers],[27]],tabela_registros[REGISTRO],DADOS!$N$4,tabela_registros[TIPO],DADOS!$P$4,tabela_registros[CATEGORIA],despesavariávelconsolidado[[#This Row],[DESPESA VARIÁVEL]])</f>
        <v>0</v>
      </c>
      <c r="AF72" s="176">
        <f>SUMIFS(tabela_registros[VALOR],tabela_registros[MÊS],$AE$1,tabela_registros[DIA],jantotal[[#Headers],[28]],tabela_registros[REGISTRO],DADOS!$N$4,tabela_registros[TIPO],DADOS!$P$4,tabela_registros[CATEGORIA],despesavariávelconsolidado[[#This Row],[DESPESA VARIÁVEL]])</f>
        <v>0</v>
      </c>
      <c r="AG72" s="176">
        <f>SUMIFS(tabela_registros[VALOR],tabela_registros[MÊS],$AE$1,tabela_registros[DIA],jantotal[[#Headers],[29]],tabela_registros[REGISTRO],DADOS!$N$4,tabela_registros[TIPO],DADOS!$P$4,tabela_registros[CATEGORIA],despesavariávelconsolidado[[#This Row],[DESPESA VARIÁVEL]])</f>
        <v>0</v>
      </c>
      <c r="AH72" s="176">
        <f>SUMIFS(tabela_registros[VALOR],tabela_registros[MÊS],$AE$1,tabela_registros[DIA],jantotal[[#Headers],[30]],tabela_registros[REGISTRO],DADOS!$N$4,tabela_registros[TIPO],DADOS!$P$4,tabela_registros[CATEGORIA],despesavariávelconsolidado[[#This Row],[DESPESA VARIÁVEL]])</f>
        <v>0</v>
      </c>
      <c r="AI72" s="193">
        <f>SUMIFS(tabela_registros[VALOR],tabela_registros[MÊS],$AE$1,tabela_registros[DIA],jantotal[[#Headers],[31]],tabela_registros[REGISTRO],DADOS!$N$4,tabela_registros[TIPO],DADOS!$P$4,tabela_registros[CATEGORIA],despesavariávelconsolidado[[#This Row],[DESPESA VARIÁVEL]])</f>
        <v>0</v>
      </c>
      <c r="AJ72" s="167">
        <f>SUM(despesavariávelconsolidado[[#This Row],[1]:[31]])</f>
        <v>48.928571428571601</v>
      </c>
      <c r="AK72" s="28"/>
    </row>
    <row r="73" spans="2:37" s="16" customFormat="1" ht="21" customHeight="1" thickTop="1" thickBot="1" x14ac:dyDescent="0.35">
      <c r="B73" s="24"/>
      <c r="C73" s="23" t="s">
        <v>19</v>
      </c>
      <c r="D73" s="41" t="str">
        <f>IF(despesavariávelconsolidado[[#This Row],[TOTAL]]=0,"",IF(OR(despesavariávelconsolidado[[#This Row],[TOTAL]]=SMALL(despesavariávelconsolidado[TOTAL],1),despesavariávelconsolidado[[#This Row],[TOTAL]]=SMALL(despesavariávelconsolidado[TOTAL],2),despesavariávelconsolidado[[#This Row],[TOTAL]]=SMALL(despesavariávelconsolidado[TOTAL],3),despesavariávelconsolidado[[#This Row],[TOTAL]]=SMALL(despesavariávelconsolidado[TOTAL],4),despesavariávelconsolidado[[#This Row],[TOTAL]]=SMALL(despesavariávelconsolidado[TOTAL],5)),DADOS!$I$8,""))</f>
        <v/>
      </c>
      <c r="E73" s="195">
        <f>SUM(E60:E72)</f>
        <v>0</v>
      </c>
      <c r="F73" s="196">
        <f>SUM(F60:F72)+despesavariávelconsolidado[[#This Row],[1]]</f>
        <v>0</v>
      </c>
      <c r="G73" s="196">
        <f>SUM(G60:G72)+despesavariávelconsolidado[[#This Row],[2]]</f>
        <v>0</v>
      </c>
      <c r="H73" s="196">
        <f>SUM(H60:H72)+despesavariávelconsolidado[[#This Row],[3]]</f>
        <v>0</v>
      </c>
      <c r="I73" s="196">
        <f>SUM(I60:I72)+despesavariávelconsolidado[[#This Row],[4]]</f>
        <v>0</v>
      </c>
      <c r="J73" s="196">
        <f>SUM(J60:J72)+despesavariávelconsolidado[[#This Row],[5]]</f>
        <v>0</v>
      </c>
      <c r="K73" s="196">
        <f>SUM(K60:K72)+despesavariávelconsolidado[[#This Row],[6]]</f>
        <v>0</v>
      </c>
      <c r="L73" s="196">
        <f>SUM(L60:L72)+despesavariávelconsolidado[[#This Row],[7]]</f>
        <v>144.57142857142901</v>
      </c>
      <c r="M73" s="196">
        <f>SUM(M60:M72)+despesavariávelconsolidado[[#This Row],[8]]</f>
        <v>281.78571428571502</v>
      </c>
      <c r="N73" s="196">
        <f>SUM(N60:N72)+despesavariávelconsolidado[[#This Row],[9]]</f>
        <v>281.78571428571502</v>
      </c>
      <c r="O73" s="196">
        <f>SUM(O60:O72)+despesavariávelconsolidado[[#This Row],[10]]</f>
        <v>281.78571428571502</v>
      </c>
      <c r="P73" s="196">
        <f>SUM(P60:P72)+despesavariávelconsolidado[[#This Row],[11]]</f>
        <v>281.78571428571502</v>
      </c>
      <c r="Q73" s="196">
        <f>SUM(Q60:Q72)+despesavariávelconsolidado[[#This Row],[12]]</f>
        <v>281.78571428571502</v>
      </c>
      <c r="R73" s="196">
        <f>SUM(R60:R72)+despesavariávelconsolidado[[#This Row],[13]]</f>
        <v>281.78571428571502</v>
      </c>
      <c r="S73" s="196">
        <f>SUM(S60:S72)+despesavariávelconsolidado[[#This Row],[14]]</f>
        <v>281.78571428571502</v>
      </c>
      <c r="T73" s="196">
        <f>SUM(T60:T72)+despesavariávelconsolidado[[#This Row],[15]]</f>
        <v>367.50000000000063</v>
      </c>
      <c r="U73" s="196">
        <f>SUM(U60:U72)+despesavariávelconsolidado[[#This Row],[16]]</f>
        <v>567.50000000000068</v>
      </c>
      <c r="V73" s="196">
        <f>SUM(V60:V72)+despesavariávelconsolidado[[#This Row],[17]]</f>
        <v>717.50000000000068</v>
      </c>
      <c r="W73" s="196">
        <f>SUM(W60:W72)+despesavariávelconsolidado[[#This Row],[18]]</f>
        <v>781.14285714285734</v>
      </c>
      <c r="X73" s="196">
        <f>SUM(X60:X72)+despesavariávelconsolidado[[#This Row],[19]]</f>
        <v>837.4285714285719</v>
      </c>
      <c r="Y73" s="196">
        <f>SUM(Y60:Y72)+despesavariávelconsolidado[[#This Row],[20]]</f>
        <v>886.35714285714346</v>
      </c>
      <c r="Z73" s="196">
        <f>SUM(Z60:Z72)+despesavariávelconsolidado[[#This Row],[21]]</f>
        <v>927.92857142857201</v>
      </c>
      <c r="AA73" s="196">
        <f>SUM(AA60:AA72)+despesavariávelconsolidado[[#This Row],[22]]</f>
        <v>927.92857142857201</v>
      </c>
      <c r="AB73" s="196">
        <f>SUM(AB60:AB72)+despesavariávelconsolidado[[#This Row],[23]]</f>
        <v>927.92857142857201</v>
      </c>
      <c r="AC73" s="196">
        <f>SUM(AC60:AC72)+despesavariávelconsolidado[[#This Row],[24]]</f>
        <v>927.92857142857201</v>
      </c>
      <c r="AD73" s="196">
        <f>SUM(AD60:AD72)+despesavariávelconsolidado[[#This Row],[25]]</f>
        <v>927.92857142857201</v>
      </c>
      <c r="AE73" s="196">
        <f>SUM(AE60:AE72)+despesavariávelconsolidado[[#This Row],[26]]</f>
        <v>927.92857142857201</v>
      </c>
      <c r="AF73" s="196">
        <f>SUM(AF60:AF72)+despesavariávelconsolidado[[#This Row],[27]]</f>
        <v>927.92857142857201</v>
      </c>
      <c r="AG73" s="196">
        <f>SUM(AG60:AG72)+despesavariávelconsolidado[[#This Row],[28]]</f>
        <v>927.92857142857201</v>
      </c>
      <c r="AH73" s="196">
        <f>SUM(AH60:AH72)+despesavariávelconsolidado[[#This Row],[29]]</f>
        <v>927.92857142857201</v>
      </c>
      <c r="AI73" s="197">
        <f>SUM(AI60:AI72)+despesavariávelconsolidado[[#This Row],[30]]</f>
        <v>927.92857142857201</v>
      </c>
      <c r="AJ73" s="168">
        <f>despesavariávelconsolidado[[#This Row],[31]]</f>
        <v>927.92857142857201</v>
      </c>
      <c r="AK73" s="17"/>
    </row>
    <row r="74" spans="2:37" ht="6.75" customHeight="1" thickTop="1" thickBot="1" x14ac:dyDescent="0.3">
      <c r="B74" s="15"/>
      <c r="C74" s="40"/>
      <c r="D74" s="39"/>
      <c r="E74" s="39"/>
      <c r="F74" s="39"/>
      <c r="G74" s="39"/>
      <c r="H74" s="39"/>
      <c r="I74" s="39"/>
      <c r="J74" s="39"/>
      <c r="K74" s="39"/>
      <c r="L74" s="39"/>
      <c r="M74" s="39"/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  <c r="AG74" s="39"/>
      <c r="AH74" s="39"/>
      <c r="AI74" s="199"/>
      <c r="AJ74" s="15"/>
      <c r="AK74" s="10"/>
    </row>
    <row r="75" spans="2:37" ht="12.6" thickTop="1" x14ac:dyDescent="0.25">
      <c r="E75" s="37"/>
      <c r="AI75" s="4"/>
    </row>
    <row r="76" spans="2:37" x14ac:dyDescent="0.25">
      <c r="AI76" s="4"/>
    </row>
    <row r="77" spans="2:37" x14ac:dyDescent="0.25">
      <c r="AI77" s="4"/>
    </row>
    <row r="78" spans="2:37" ht="39.75" customHeight="1" x14ac:dyDescent="0.7">
      <c r="C78" s="36"/>
      <c r="E78" s="240"/>
      <c r="F78" s="240"/>
      <c r="G78" s="240"/>
      <c r="H78" s="240"/>
      <c r="I78" s="240"/>
      <c r="J78" s="240"/>
      <c r="K78" s="240"/>
      <c r="L78" s="240"/>
      <c r="M78" s="240"/>
      <c r="N78" s="240"/>
      <c r="O78" s="240"/>
      <c r="P78" s="240"/>
      <c r="Q78" s="240"/>
      <c r="R78" s="240"/>
      <c r="S78" s="240"/>
      <c r="T78" s="240"/>
      <c r="U78" s="240"/>
      <c r="V78" s="240"/>
      <c r="W78" s="240"/>
      <c r="X78" s="240"/>
      <c r="Y78" s="240"/>
      <c r="Z78" s="240"/>
      <c r="AA78" s="240"/>
      <c r="AB78" s="240"/>
      <c r="AC78" s="240"/>
      <c r="AD78" s="240"/>
      <c r="AE78" s="240"/>
      <c r="AF78" s="240"/>
      <c r="AG78" s="240"/>
      <c r="AH78" s="240"/>
      <c r="AI78" s="240"/>
      <c r="AJ78" s="169" t="s">
        <v>19</v>
      </c>
    </row>
    <row r="79" spans="2:37" ht="12.6" thickBot="1" x14ac:dyDescent="0.3">
      <c r="B79" s="35"/>
      <c r="AI79" s="4"/>
      <c r="AJ79" s="170" t="s">
        <v>202</v>
      </c>
    </row>
    <row r="80" spans="2:37" ht="6.75" customHeight="1" thickTop="1" thickBot="1" x14ac:dyDescent="0.3">
      <c r="B80" s="2"/>
      <c r="C80" s="14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I80" s="13"/>
      <c r="AJ80" s="200"/>
      <c r="AK80" s="33"/>
    </row>
    <row r="81" spans="2:37" ht="13.2" hidden="1" thickTop="1" thickBot="1" x14ac:dyDescent="0.3">
      <c r="B81" s="2"/>
      <c r="C81" s="31" t="s">
        <v>199</v>
      </c>
      <c r="D81" s="30" t="s">
        <v>198</v>
      </c>
      <c r="E81" s="30" t="s">
        <v>197</v>
      </c>
      <c r="F81" s="30" t="s">
        <v>196</v>
      </c>
      <c r="G81" s="30" t="s">
        <v>195</v>
      </c>
      <c r="H81" s="30" t="s">
        <v>194</v>
      </c>
      <c r="I81" s="30" t="s">
        <v>193</v>
      </c>
      <c r="J81" s="30" t="s">
        <v>192</v>
      </c>
      <c r="K81" s="30" t="s">
        <v>191</v>
      </c>
      <c r="L81" s="30" t="s">
        <v>190</v>
      </c>
      <c r="M81" s="30" t="s">
        <v>189</v>
      </c>
      <c r="N81" s="30" t="s">
        <v>188</v>
      </c>
      <c r="O81" s="30" t="s">
        <v>187</v>
      </c>
      <c r="P81" s="30" t="s">
        <v>186</v>
      </c>
      <c r="Q81" s="30" t="s">
        <v>185</v>
      </c>
      <c r="R81" s="30" t="s">
        <v>184</v>
      </c>
      <c r="S81" s="30" t="s">
        <v>183</v>
      </c>
      <c r="T81" s="30" t="s">
        <v>182</v>
      </c>
      <c r="U81" s="30" t="s">
        <v>181</v>
      </c>
      <c r="V81" s="30" t="s">
        <v>180</v>
      </c>
      <c r="W81" s="30" t="s">
        <v>179</v>
      </c>
      <c r="X81" s="30" t="s">
        <v>178</v>
      </c>
      <c r="Y81" s="30" t="s">
        <v>177</v>
      </c>
      <c r="Z81" s="30" t="s">
        <v>176</v>
      </c>
      <c r="AA81" s="30" t="s">
        <v>175</v>
      </c>
      <c r="AB81" s="30" t="s">
        <v>174</v>
      </c>
      <c r="AC81" s="30" t="s">
        <v>173</v>
      </c>
      <c r="AD81" s="30" t="s">
        <v>172</v>
      </c>
      <c r="AE81" s="30" t="s">
        <v>171</v>
      </c>
      <c r="AF81" s="30" t="s">
        <v>170</v>
      </c>
      <c r="AG81" s="30" t="s">
        <v>169</v>
      </c>
      <c r="AH81" s="30" t="s">
        <v>168</v>
      </c>
      <c r="AI81" s="30" t="s">
        <v>167</v>
      </c>
      <c r="AJ81" s="172" t="s">
        <v>166</v>
      </c>
      <c r="AK81" s="2"/>
    </row>
    <row r="82" spans="2:37" ht="19.5" customHeight="1" thickTop="1" thickBot="1" x14ac:dyDescent="0.3">
      <c r="B82" s="28"/>
      <c r="C82" s="27" t="str">
        <f>DADOS!$X$3</f>
        <v>💵 ALUGUEL</v>
      </c>
      <c r="D82" s="26" t="str">
        <f>IF(receitasfixasconsolidado[[#This Row],[TOTAL (R$)]]=0,"",IF(OR(receitasfixasconsolidado[[#This Row],[TOTAL (R$)]]=LARGE($AJ$82:$AJ$86,1),receitasfixasconsolidado[[#This Row],[TOTAL (R$)]]=LARGE($AJ$82:$AJ$86,2)),DADOS!$I$9,""))</f>
        <v>🐄</v>
      </c>
      <c r="E82" s="186">
        <f>SUMIFS(tabela_registros[VALOR],tabela_registros[MÊS],$AE$1,tabela_registros[DIA],receitasfixasconsolidado[[#Headers],[1]],tabela_registros[REGISTRO],DADOS!$N$3,tabela_registros[TIPO],DADOS!$V$3,tabela_registros[CATEGORIA],receitasfixasconsolidado[[#This Row],[ATUAL]])</f>
        <v>0</v>
      </c>
      <c r="F82" s="173">
        <f>SUMIFS(tabela_registros[VALOR],tabela_registros[MÊS],$AE$1,tabela_registros[DIA],receitasfixasconsolidado[[#Headers],[2]],tabela_registros[REGISTRO],DADOS!$N$3,tabela_registros[TIPO],DADOS!$V$3,tabela_registros[CATEGORIA],receitasfixasconsolidado[[#This Row],[ATUAL]])</f>
        <v>0</v>
      </c>
      <c r="G82" s="173">
        <f>SUMIFS(tabela_registros[VALOR],tabela_registros[MÊS],$AE$1,tabela_registros[DIA],receitasfixasconsolidado[[#Headers],[3]],tabela_registros[REGISTRO],DADOS!$N$3,tabela_registros[TIPO],DADOS!$V$3,tabela_registros[CATEGORIA],receitasfixasconsolidado[[#This Row],[ATUAL]])</f>
        <v>0</v>
      </c>
      <c r="H82" s="173">
        <f>SUMIFS(tabela_registros[VALOR],tabela_registros[MÊS],$AE$1,tabela_registros[DIA],receitasfixasconsolidado[[#Headers],[4]],tabela_registros[REGISTRO],DADOS!$N$3,tabela_registros[TIPO],DADOS!$V$3,tabela_registros[CATEGORIA],receitasfixasconsolidado[[#This Row],[ATUAL]])</f>
        <v>0</v>
      </c>
      <c r="I82" s="173">
        <f>SUMIFS(tabela_registros[VALOR],tabela_registros[MÊS],$AE$1,tabela_registros[DIA],receitasfixasconsolidado[[#Headers],[5]],tabela_registros[REGISTRO],DADOS!$N$3,tabela_registros[TIPO],DADOS!$V$3,tabela_registros[CATEGORIA],receitasfixasconsolidado[[#This Row],[ATUAL]])</f>
        <v>0</v>
      </c>
      <c r="J82" s="173">
        <f>SUMIFS(tabela_registros[VALOR],tabela_registros[MÊS],$AE$1,tabela_registros[DIA],receitasfixasconsolidado[[#Headers],[6]],tabela_registros[REGISTRO],DADOS!$N$3,tabela_registros[TIPO],DADOS!$V$3,tabela_registros[CATEGORIA],receitasfixasconsolidado[[#This Row],[ATUAL]])</f>
        <v>0</v>
      </c>
      <c r="K82" s="173">
        <f>SUMIFS(tabela_registros[VALOR],tabela_registros[MÊS],$AE$1,tabela_registros[DIA],receitasfixasconsolidado[[#Headers],[7]],tabela_registros[REGISTRO],DADOS!$N$3,tabela_registros[TIPO],DADOS!$V$3,tabela_registros[CATEGORIA],receitasfixasconsolidado[[#This Row],[ATUAL]])</f>
        <v>0</v>
      </c>
      <c r="L82" s="173">
        <f>SUMIFS(tabela_registros[VALOR],tabela_registros[MÊS],$AE$1,tabela_registros[DIA],receitasfixasconsolidado[[#Headers],[8]],tabela_registros[REGISTRO],DADOS!$N$3,tabela_registros[TIPO],DADOS!$V$3,tabela_registros[CATEGORIA],receitasfixasconsolidado[[#This Row],[ATUAL]])</f>
        <v>0</v>
      </c>
      <c r="M82" s="173">
        <f>SUMIFS(tabela_registros[VALOR],tabela_registros[MÊS],$AE$1,tabela_registros[DIA],receitasfixasconsolidado[[#Headers],[9]],tabela_registros[REGISTRO],DADOS!$N$3,tabela_registros[TIPO],DADOS!$V$3,tabela_registros[CATEGORIA],receitasfixasconsolidado[[#This Row],[ATUAL]])</f>
        <v>0</v>
      </c>
      <c r="N82" s="173">
        <f>SUMIFS(tabela_registros[VALOR],tabela_registros[MÊS],$AE$1,tabela_registros[DIA],receitasfixasconsolidado[[#Headers],[10]],tabela_registros[REGISTRO],DADOS!$N$3,tabela_registros[TIPO],DADOS!$V$3,tabela_registros[CATEGORIA],receitasfixasconsolidado[[#This Row],[ATUAL]])</f>
        <v>129.857142857143</v>
      </c>
      <c r="O82" s="173">
        <f>SUMIFS(tabela_registros[VALOR],tabela_registros[MÊS],$AE$1,tabela_registros[DIA],receitasfixasconsolidado[[#Headers],[11]],tabela_registros[REGISTRO],DADOS!$N$3,tabela_registros[TIPO],DADOS!$V$3,tabela_registros[CATEGORIA],receitasfixasconsolidado[[#This Row],[ATUAL]])</f>
        <v>0</v>
      </c>
      <c r="P82" s="173">
        <f>SUMIFS(tabela_registros[VALOR],tabela_registros[MÊS],$AE$1,tabela_registros[DIA],receitasfixasconsolidado[[#Headers],[12]],tabela_registros[REGISTRO],DADOS!$N$3,tabela_registros[TIPO],DADOS!$V$3,tabela_registros[CATEGORIA],receitasfixasconsolidado[[#This Row],[ATUAL]])</f>
        <v>0</v>
      </c>
      <c r="Q82" s="173">
        <f>SUMIFS(tabela_registros[VALOR],tabela_registros[MÊS],$AE$1,tabela_registros[DIA],receitasfixasconsolidado[[#Headers],[13]],tabela_registros[REGISTRO],DADOS!$N$3,tabela_registros[TIPO],DADOS!$V$3,tabela_registros[CATEGORIA],receitasfixasconsolidado[[#This Row],[ATUAL]])</f>
        <v>0</v>
      </c>
      <c r="R82" s="173">
        <f>SUMIFS(tabela_registros[VALOR],tabela_registros[MÊS],$AE$1,tabela_registros[DIA],receitasfixasconsolidado[[#Headers],[14]],tabela_registros[REGISTRO],DADOS!$N$3,tabela_registros[TIPO],DADOS!$V$3,tabela_registros[CATEGORIA],receitasfixasconsolidado[[#This Row],[ATUAL]])</f>
        <v>0</v>
      </c>
      <c r="S82" s="173">
        <f>SUMIFS(tabela_registros[VALOR],tabela_registros[MÊS],$AE$1,tabela_registros[DIA],receitasfixasconsolidado[[#Headers],[15]],tabela_registros[REGISTRO],DADOS!$N$3,tabela_registros[TIPO],DADOS!$V$3,tabela_registros[CATEGORIA],receitasfixasconsolidado[[#This Row],[ATUAL]])</f>
        <v>0</v>
      </c>
      <c r="T82" s="173">
        <f>SUMIFS(tabela_registros[VALOR],tabela_registros[MÊS],$AE$1,tabela_registros[DIA],receitasfixasconsolidado[[#Headers],[16]],tabela_registros[REGISTRO],DADOS!$N$3,tabela_registros[TIPO],DADOS!$V$3,tabela_registros[CATEGORIA],receitasfixasconsolidado[[#This Row],[ATUAL]])</f>
        <v>0</v>
      </c>
      <c r="U82" s="173">
        <f>SUMIFS(tabela_registros[VALOR],tabela_registros[MÊS],$AE$1,tabela_registros[DIA],receitasfixasconsolidado[[#Headers],[17]],tabela_registros[REGISTRO],DADOS!$N$3,tabela_registros[TIPO],DADOS!$V$3,tabela_registros[CATEGORIA],receitasfixasconsolidado[[#This Row],[ATUAL]])</f>
        <v>0</v>
      </c>
      <c r="V82" s="173">
        <f>SUMIFS(tabela_registros[VALOR],tabela_registros[MÊS],$AE$1,tabela_registros[DIA],receitasfixasconsolidado[[#Headers],[18]],tabela_registros[REGISTRO],DADOS!$N$3,tabela_registros[TIPO],DADOS!$V$3,tabela_registros[CATEGORIA],receitasfixasconsolidado[[#This Row],[ATUAL]])</f>
        <v>0</v>
      </c>
      <c r="W82" s="173">
        <f>SUMIFS(tabela_registros[VALOR],tabela_registros[MÊS],$AE$1,tabela_registros[DIA],receitasfixasconsolidado[[#Headers],[19]],tabela_registros[REGISTRO],DADOS!$N$3,tabela_registros[TIPO],DADOS!$V$3,tabela_registros[CATEGORIA],receitasfixasconsolidado[[#This Row],[ATUAL]])</f>
        <v>0</v>
      </c>
      <c r="X82" s="173">
        <f>SUMIFS(tabela_registros[VALOR],tabela_registros[MÊS],$AE$1,tabela_registros[DIA],receitasfixasconsolidado[[#Headers],[20]],tabela_registros[REGISTRO],DADOS!$N$3,tabela_registros[TIPO],DADOS!$V$3,tabela_registros[CATEGORIA],receitasfixasconsolidado[[#This Row],[ATUAL]])</f>
        <v>0</v>
      </c>
      <c r="Y82" s="173">
        <f>SUMIFS(tabela_registros[VALOR],tabela_registros[MÊS],$AE$1,tabela_registros[DIA],receitasfixasconsolidado[[#Headers],[21]],tabela_registros[REGISTRO],DADOS!$N$3,tabela_registros[TIPO],DADOS!$V$3,tabela_registros[CATEGORIA],receitasfixasconsolidado[[#This Row],[ATUAL]])</f>
        <v>0</v>
      </c>
      <c r="Z82" s="173">
        <f>SUMIFS(tabela_registros[VALOR],tabela_registros[MÊS],$AE$1,tabela_registros[DIA],receitasfixasconsolidado[[#Headers],[22]],tabela_registros[REGISTRO],DADOS!$N$3,tabela_registros[TIPO],DADOS!$V$3,tabela_registros[CATEGORIA],receitasfixasconsolidado[[#This Row],[ATUAL]])</f>
        <v>0</v>
      </c>
      <c r="AA82" s="173">
        <f>SUMIFS(tabela_registros[VALOR],tabela_registros[MÊS],$AE$1,tabela_registros[DIA],receitasfixasconsolidado[[#Headers],[23]],tabela_registros[REGISTRO],DADOS!$N$3,tabela_registros[TIPO],DADOS!$V$3,tabela_registros[CATEGORIA],receitasfixasconsolidado[[#This Row],[ATUAL]])</f>
        <v>0</v>
      </c>
      <c r="AB82" s="173">
        <f>SUMIFS(tabela_registros[VALOR],tabela_registros[MÊS],$AE$1,tabela_registros[DIA],receitasfixasconsolidado[[#Headers],[24]],tabela_registros[REGISTRO],DADOS!$N$3,tabela_registros[TIPO],DADOS!$V$3,tabela_registros[CATEGORIA],receitasfixasconsolidado[[#This Row],[ATUAL]])</f>
        <v>0</v>
      </c>
      <c r="AC82" s="173">
        <f>SUMIFS(tabela_registros[VALOR],tabela_registros[MÊS],$AE$1,tabela_registros[DIA],receitasfixasconsolidado[[#Headers],[25]],tabela_registros[REGISTRO],DADOS!$N$3,tabela_registros[TIPO],DADOS!$V$3,tabela_registros[CATEGORIA],receitasfixasconsolidado[[#This Row],[ATUAL]])</f>
        <v>0</v>
      </c>
      <c r="AD82" s="173">
        <f>SUMIFS(tabela_registros[VALOR],tabela_registros[MÊS],$AE$1,tabela_registros[DIA],receitasfixasconsolidado[[#Headers],[26]],tabela_registros[REGISTRO],DADOS!$N$3,tabela_registros[TIPO],DADOS!$V$3,tabela_registros[CATEGORIA],receitasfixasconsolidado[[#This Row],[ATUAL]])</f>
        <v>0</v>
      </c>
      <c r="AE82" s="173">
        <f>SUMIFS(tabela_registros[VALOR],tabela_registros[MÊS],$AE$1,tabela_registros[DIA],receitasfixasconsolidado[[#Headers],[27]],tabela_registros[REGISTRO],DADOS!$N$3,tabela_registros[TIPO],DADOS!$V$3,tabela_registros[CATEGORIA],receitasfixasconsolidado[[#This Row],[ATUAL]])</f>
        <v>0</v>
      </c>
      <c r="AF82" s="173">
        <f>SUMIFS(tabela_registros[VALOR],tabela_registros[MÊS],$AE$1,tabela_registros[DIA],receitasfixasconsolidado[[#Headers],[28]],tabela_registros[REGISTRO],DADOS!$N$3,tabela_registros[TIPO],DADOS!$V$3,tabela_registros[CATEGORIA],receitasfixasconsolidado[[#This Row],[ATUAL]])</f>
        <v>0</v>
      </c>
      <c r="AG82" s="173">
        <f>SUMIFS(tabela_registros[VALOR],tabela_registros[MÊS],$AE$1,tabela_registros[DIA],receitasfixasconsolidado[[#Headers],[29]],tabela_registros[REGISTRO],DADOS!$N$3,tabela_registros[TIPO],DADOS!$V$3,tabela_registros[CATEGORIA],receitasfixasconsolidado[[#This Row],[ATUAL]])</f>
        <v>300</v>
      </c>
      <c r="AH82" s="173">
        <f>SUMIFS(tabela_registros[VALOR],tabela_registros[MÊS],$AE$1,tabela_registros[DIA],receitasfixasconsolidado[[#Headers],[30]],tabela_registros[REGISTRO],DADOS!$N$3,tabela_registros[TIPO],DADOS!$V$3,tabela_registros[CATEGORIA],receitasfixasconsolidado[[#This Row],[ATUAL]])</f>
        <v>0</v>
      </c>
      <c r="AI82" s="187">
        <f>SUMIFS(tabela_registros[VALOR],tabela_registros[MÊS],$AE$1,tabela_registros[DIA],receitasfixasconsolidado[[#Headers],[31]],tabela_registros[REGISTRO],DADOS!$N$3,tabela_registros[TIPO],DADOS!$V$3,tabela_registros[CATEGORIA],receitasfixasconsolidado[[#This Row],[ATUAL]])</f>
        <v>0</v>
      </c>
      <c r="AJ82" s="167">
        <f>SUM(receitasfixasconsolidado[[#This Row],[1]:[31]])</f>
        <v>429.857142857143</v>
      </c>
      <c r="AK82" s="25"/>
    </row>
    <row r="83" spans="2:37" ht="19.5" customHeight="1" thickTop="1" thickBot="1" x14ac:dyDescent="0.3">
      <c r="B83" s="28"/>
      <c r="C83" s="27" t="str">
        <f>DADOS!$X$4</f>
        <v>💸APOSENTADORIA</v>
      </c>
      <c r="D83" s="26" t="str">
        <f>IF(receitasfixasconsolidado[[#This Row],[TOTAL (R$)]]=0,"",IF(OR(receitasfixasconsolidado[[#This Row],[TOTAL (R$)]]=LARGE($AJ$82:$AJ$86,1),receitasfixasconsolidado[[#This Row],[TOTAL (R$)]]=LARGE($AJ$82:$AJ$86,2)),DADOS!$I$9,""))</f>
        <v>🐄</v>
      </c>
      <c r="E83" s="189">
        <f>SUMIFS(tabela_registros[VALOR],tabela_registros[MÊS],$AE$1,tabela_registros[DIA],receitasfixasconsolidado[[#Headers],[1]],tabela_registros[REGISTRO],DADOS!$N$3,tabela_registros[TIPO],DADOS!$V$3,tabela_registros[CATEGORIA],receitasfixasconsolidado[[#This Row],[ATUAL]])</f>
        <v>0</v>
      </c>
      <c r="F83" s="176">
        <f>SUMIFS(tabela_registros[VALOR],tabela_registros[MÊS],$AE$1,tabela_registros[DIA],receitasfixasconsolidado[[#Headers],[2]],tabela_registros[REGISTRO],DADOS!$N$3,tabela_registros[TIPO],DADOS!$V$3,tabela_registros[CATEGORIA],receitasfixasconsolidado[[#This Row],[ATUAL]])</f>
        <v>0</v>
      </c>
      <c r="G83" s="176">
        <f>SUMIFS(tabela_registros[VALOR],tabela_registros[MÊS],$AE$1,tabela_registros[DIA],receitasfixasconsolidado[[#Headers],[3]],tabela_registros[REGISTRO],DADOS!$N$3,tabela_registros[TIPO],DADOS!$V$3,tabela_registros[CATEGORIA],receitasfixasconsolidado[[#This Row],[ATUAL]])</f>
        <v>0</v>
      </c>
      <c r="H83" s="176">
        <f>SUMIFS(tabela_registros[VALOR],tabela_registros[MÊS],$AE$1,tabela_registros[DIA],receitasfixasconsolidado[[#Headers],[4]],tabela_registros[REGISTRO],DADOS!$N$3,tabela_registros[TIPO],DADOS!$V$3,tabela_registros[CATEGORIA],receitasfixasconsolidado[[#This Row],[ATUAL]])</f>
        <v>250</v>
      </c>
      <c r="I83" s="176">
        <f>SUMIFS(tabela_registros[VALOR],tabela_registros[MÊS],$AE$1,tabela_registros[DIA],receitasfixasconsolidado[[#Headers],[5]],tabela_registros[REGISTRO],DADOS!$N$3,tabela_registros[TIPO],DADOS!$V$3,tabela_registros[CATEGORIA],receitasfixasconsolidado[[#This Row],[ATUAL]])</f>
        <v>0</v>
      </c>
      <c r="J83" s="176">
        <f>SUMIFS(tabela_registros[VALOR],tabela_registros[MÊS],$AE$1,tabela_registros[DIA],receitasfixasconsolidado[[#Headers],[6]],tabela_registros[REGISTRO],DADOS!$N$3,tabela_registros[TIPO],DADOS!$V$3,tabela_registros[CATEGORIA],receitasfixasconsolidado[[#This Row],[ATUAL]])</f>
        <v>0</v>
      </c>
      <c r="K83" s="176">
        <f>SUMIFS(tabela_registros[VALOR],tabela_registros[MÊS],$AE$1,tabela_registros[DIA],receitasfixasconsolidado[[#Headers],[7]],tabela_registros[REGISTRO],DADOS!$N$3,tabela_registros[TIPO],DADOS!$V$3,tabela_registros[CATEGORIA],receitasfixasconsolidado[[#This Row],[ATUAL]])</f>
        <v>0</v>
      </c>
      <c r="L83" s="176">
        <f>SUMIFS(tabela_registros[VALOR],tabela_registros[MÊS],$AE$1,tabela_registros[DIA],receitasfixasconsolidado[[#Headers],[8]],tabela_registros[REGISTRO],DADOS!$N$3,tabela_registros[TIPO],DADOS!$V$3,tabela_registros[CATEGORIA],receitasfixasconsolidado[[#This Row],[ATUAL]])</f>
        <v>0</v>
      </c>
      <c r="M83" s="176">
        <f>SUMIFS(tabela_registros[VALOR],tabela_registros[MÊS],$AE$1,tabela_registros[DIA],receitasfixasconsolidado[[#Headers],[9]],tabela_registros[REGISTRO],DADOS!$N$3,tabela_registros[TIPO],DADOS!$V$3,tabela_registros[CATEGORIA],receitasfixasconsolidado[[#This Row],[ATUAL]])</f>
        <v>0</v>
      </c>
      <c r="N83" s="176">
        <f>SUMIFS(tabela_registros[VALOR],tabela_registros[MÊS],$AE$1,tabela_registros[DIA],receitasfixasconsolidado[[#Headers],[10]],tabela_registros[REGISTRO],DADOS!$N$3,tabela_registros[TIPO],DADOS!$V$3,tabela_registros[CATEGORIA],receitasfixasconsolidado[[#This Row],[ATUAL]])</f>
        <v>0</v>
      </c>
      <c r="O83" s="176">
        <f>SUMIFS(tabela_registros[VALOR],tabela_registros[MÊS],$AE$1,tabela_registros[DIA],receitasfixasconsolidado[[#Headers],[11]],tabela_registros[REGISTRO],DADOS!$N$3,tabela_registros[TIPO],DADOS!$V$3,tabela_registros[CATEGORIA],receitasfixasconsolidado[[#This Row],[ATUAL]])</f>
        <v>0</v>
      </c>
      <c r="P83" s="176">
        <f>SUMIFS(tabela_registros[VALOR],tabela_registros[MÊS],$AE$1,tabela_registros[DIA],receitasfixasconsolidado[[#Headers],[12]],tabela_registros[REGISTRO],DADOS!$N$3,tabela_registros[TIPO],DADOS!$V$3,tabela_registros[CATEGORIA],receitasfixasconsolidado[[#This Row],[ATUAL]])</f>
        <v>0</v>
      </c>
      <c r="Q83" s="176">
        <f>SUMIFS(tabela_registros[VALOR],tabela_registros[MÊS],$AE$1,tabela_registros[DIA],receitasfixasconsolidado[[#Headers],[13]],tabela_registros[REGISTRO],DADOS!$N$3,tabela_registros[TIPO],DADOS!$V$3,tabela_registros[CATEGORIA],receitasfixasconsolidado[[#This Row],[ATUAL]])</f>
        <v>0</v>
      </c>
      <c r="R83" s="176">
        <f>SUMIFS(tabela_registros[VALOR],tabela_registros[MÊS],$AE$1,tabela_registros[DIA],receitasfixasconsolidado[[#Headers],[14]],tabela_registros[REGISTRO],DADOS!$N$3,tabela_registros[TIPO],DADOS!$V$3,tabela_registros[CATEGORIA],receitasfixasconsolidado[[#This Row],[ATUAL]])</f>
        <v>0</v>
      </c>
      <c r="S83" s="176">
        <f>SUMIFS(tabela_registros[VALOR],tabela_registros[MÊS],$AE$1,tabela_registros[DIA],receitasfixasconsolidado[[#Headers],[15]],tabela_registros[REGISTRO],DADOS!$N$3,tabela_registros[TIPO],DADOS!$V$3,tabela_registros[CATEGORIA],receitasfixasconsolidado[[#This Row],[ATUAL]])</f>
        <v>0</v>
      </c>
      <c r="T83" s="176">
        <f>SUMIFS(tabela_registros[VALOR],tabela_registros[MÊS],$AE$1,tabela_registros[DIA],receitasfixasconsolidado[[#Headers],[16]],tabela_registros[REGISTRO],DADOS!$N$3,tabela_registros[TIPO],DADOS!$V$3,tabela_registros[CATEGORIA],receitasfixasconsolidado[[#This Row],[ATUAL]])</f>
        <v>0</v>
      </c>
      <c r="U83" s="176">
        <f>SUMIFS(tabela_registros[VALOR],tabela_registros[MÊS],$AE$1,tabela_registros[DIA],receitasfixasconsolidado[[#Headers],[17]],tabela_registros[REGISTRO],DADOS!$N$3,tabela_registros[TIPO],DADOS!$V$3,tabela_registros[CATEGORIA],receitasfixasconsolidado[[#This Row],[ATUAL]])</f>
        <v>0</v>
      </c>
      <c r="V83" s="176">
        <f>SUMIFS(tabela_registros[VALOR],tabela_registros[MÊS],$AE$1,tabela_registros[DIA],receitasfixasconsolidado[[#Headers],[18]],tabela_registros[REGISTRO],DADOS!$N$3,tabela_registros[TIPO],DADOS!$V$3,tabela_registros[CATEGORIA],receitasfixasconsolidado[[#This Row],[ATUAL]])</f>
        <v>0</v>
      </c>
      <c r="W83" s="176">
        <f>SUMIFS(tabela_registros[VALOR],tabela_registros[MÊS],$AE$1,tabela_registros[DIA],receitasfixasconsolidado[[#Headers],[19]],tabela_registros[REGISTRO],DADOS!$N$3,tabela_registros[TIPO],DADOS!$V$3,tabela_registros[CATEGORIA],receitasfixasconsolidado[[#This Row],[ATUAL]])</f>
        <v>0</v>
      </c>
      <c r="X83" s="176">
        <f>SUMIFS(tabela_registros[VALOR],tabela_registros[MÊS],$AE$1,tabela_registros[DIA],receitasfixasconsolidado[[#Headers],[20]],tabela_registros[REGISTRO],DADOS!$N$3,tabela_registros[TIPO],DADOS!$V$3,tabela_registros[CATEGORIA],receitasfixasconsolidado[[#This Row],[ATUAL]])</f>
        <v>0</v>
      </c>
      <c r="Y83" s="176">
        <f>SUMIFS(tabela_registros[VALOR],tabela_registros[MÊS],$AE$1,tabela_registros[DIA],receitasfixasconsolidado[[#Headers],[21]],tabela_registros[REGISTRO],DADOS!$N$3,tabela_registros[TIPO],DADOS!$V$3,tabela_registros[CATEGORIA],receitasfixasconsolidado[[#This Row],[ATUAL]])</f>
        <v>0</v>
      </c>
      <c r="Z83" s="176">
        <f>SUMIFS(tabela_registros[VALOR],tabela_registros[MÊS],$AE$1,tabela_registros[DIA],receitasfixasconsolidado[[#Headers],[22]],tabela_registros[REGISTRO],DADOS!$N$3,tabela_registros[TIPO],DADOS!$V$3,tabela_registros[CATEGORIA],receitasfixasconsolidado[[#This Row],[ATUAL]])</f>
        <v>0</v>
      </c>
      <c r="AA83" s="176">
        <f>SUMIFS(tabela_registros[VALOR],tabela_registros[MÊS],$AE$1,tabela_registros[DIA],receitasfixasconsolidado[[#Headers],[23]],tabela_registros[REGISTRO],DADOS!$N$3,tabela_registros[TIPO],DADOS!$V$3,tabela_registros[CATEGORIA],receitasfixasconsolidado[[#This Row],[ATUAL]])</f>
        <v>0</v>
      </c>
      <c r="AB83" s="176">
        <f>SUMIFS(tabela_registros[VALOR],tabela_registros[MÊS],$AE$1,tabela_registros[DIA],receitasfixasconsolidado[[#Headers],[24]],tabela_registros[REGISTRO],DADOS!$N$3,tabela_registros[TIPO],DADOS!$V$3,tabela_registros[CATEGORIA],receitasfixasconsolidado[[#This Row],[ATUAL]])</f>
        <v>0</v>
      </c>
      <c r="AC83" s="176">
        <f>SUMIFS(tabela_registros[VALOR],tabela_registros[MÊS],$AE$1,tabela_registros[DIA],receitasfixasconsolidado[[#Headers],[25]],tabela_registros[REGISTRO],DADOS!$N$3,tabela_registros[TIPO],DADOS!$V$3,tabela_registros[CATEGORIA],receitasfixasconsolidado[[#This Row],[ATUAL]])</f>
        <v>0</v>
      </c>
      <c r="AD83" s="176">
        <f>SUMIFS(tabela_registros[VALOR],tabela_registros[MÊS],$AE$1,tabela_registros[DIA],receitasfixasconsolidado[[#Headers],[26]],tabela_registros[REGISTRO],DADOS!$N$3,tabela_registros[TIPO],DADOS!$V$3,tabela_registros[CATEGORIA],receitasfixasconsolidado[[#This Row],[ATUAL]])</f>
        <v>0</v>
      </c>
      <c r="AE83" s="176">
        <f>SUMIFS(tabela_registros[VALOR],tabela_registros[MÊS],$AE$1,tabela_registros[DIA],receitasfixasconsolidado[[#Headers],[27]],tabela_registros[REGISTRO],DADOS!$N$3,tabela_registros[TIPO],DADOS!$V$3,tabela_registros[CATEGORIA],receitasfixasconsolidado[[#This Row],[ATUAL]])</f>
        <v>0</v>
      </c>
      <c r="AF83" s="176">
        <f>SUMIFS(tabela_registros[VALOR],tabela_registros[MÊS],$AE$1,tabela_registros[DIA],receitasfixasconsolidado[[#Headers],[28]],tabela_registros[REGISTRO],DADOS!$N$3,tabela_registros[TIPO],DADOS!$V$3,tabela_registros[CATEGORIA],receitasfixasconsolidado[[#This Row],[ATUAL]])</f>
        <v>0</v>
      </c>
      <c r="AG83" s="176">
        <f>SUMIFS(tabela_registros[VALOR],tabela_registros[MÊS],$AE$1,tabela_registros[DIA],receitasfixasconsolidado[[#Headers],[29]],tabela_registros[REGISTRO],DADOS!$N$3,tabela_registros[TIPO],DADOS!$V$3,tabela_registros[CATEGORIA],receitasfixasconsolidado[[#This Row],[ATUAL]])</f>
        <v>0</v>
      </c>
      <c r="AH83" s="176">
        <f>SUMIFS(tabela_registros[VALOR],tabela_registros[MÊS],$AE$1,tabela_registros[DIA],receitasfixasconsolidado[[#Headers],[30]],tabela_registros[REGISTRO],DADOS!$N$3,tabela_registros[TIPO],DADOS!$V$3,tabela_registros[CATEGORIA],receitasfixasconsolidado[[#This Row],[ATUAL]])</f>
        <v>0</v>
      </c>
      <c r="AI83" s="190">
        <f>SUMIFS(tabela_registros[VALOR],tabela_registros[MÊS],$AE$1,tabela_registros[DIA],receitasfixasconsolidado[[#Headers],[31]],tabela_registros[REGISTRO],DADOS!$N$3,tabela_registros[TIPO],DADOS!$V$3,tabela_registros[CATEGORIA],receitasfixasconsolidado[[#This Row],[ATUAL]])</f>
        <v>0</v>
      </c>
      <c r="AJ83" s="167">
        <f>SUM(receitasfixasconsolidado[[#This Row],[1]:[31]])</f>
        <v>250</v>
      </c>
      <c r="AK83" s="25"/>
    </row>
    <row r="84" spans="2:37" ht="19.5" customHeight="1" thickTop="1" thickBot="1" x14ac:dyDescent="0.3">
      <c r="B84" s="28"/>
      <c r="C84" s="27" t="str">
        <f>DADOS!$X$5</f>
        <v>🎀 MESADA</v>
      </c>
      <c r="D84" s="26" t="str">
        <f>IF(receitasfixasconsolidado[[#This Row],[TOTAL (R$)]]=0,"",IF(OR(receitasfixasconsolidado[[#This Row],[TOTAL (R$)]]=LARGE($AJ$82:$AJ$86,1),receitasfixasconsolidado[[#This Row],[TOTAL (R$)]]=LARGE($AJ$82:$AJ$86,2)),DADOS!$I$9,""))</f>
        <v/>
      </c>
      <c r="E84" s="189">
        <f>SUMIFS(tabela_registros[VALOR],tabela_registros[MÊS],$AE$1,tabela_registros[DIA],receitasfixasconsolidado[[#Headers],[1]],tabela_registros[REGISTRO],DADOS!$N$3,tabela_registros[TIPO],DADOS!$V$3,tabela_registros[CATEGORIA],receitasfixasconsolidado[[#This Row],[ATUAL]])</f>
        <v>0</v>
      </c>
      <c r="F84" s="176">
        <f>SUMIFS(tabela_registros[VALOR],tabela_registros[MÊS],$AE$1,tabela_registros[DIA],receitasfixasconsolidado[[#Headers],[2]],tabela_registros[REGISTRO],DADOS!$N$3,tabela_registros[TIPO],DADOS!$V$3,tabela_registros[CATEGORIA],receitasfixasconsolidado[[#This Row],[ATUAL]])</f>
        <v>0</v>
      </c>
      <c r="G84" s="176">
        <f>SUMIFS(tabela_registros[VALOR],tabela_registros[MÊS],$AE$1,tabela_registros[DIA],receitasfixasconsolidado[[#Headers],[3]],tabela_registros[REGISTRO],DADOS!$N$3,tabela_registros[TIPO],DADOS!$V$3,tabela_registros[CATEGORIA],receitasfixasconsolidado[[#This Row],[ATUAL]])</f>
        <v>0</v>
      </c>
      <c r="H84" s="176">
        <f>SUMIFS(tabela_registros[VALOR],tabela_registros[MÊS],$AE$1,tabela_registros[DIA],receitasfixasconsolidado[[#Headers],[4]],tabela_registros[REGISTRO],DADOS!$N$3,tabela_registros[TIPO],DADOS!$V$3,tabela_registros[CATEGORIA],receitasfixasconsolidado[[#This Row],[ATUAL]])</f>
        <v>0</v>
      </c>
      <c r="I84" s="176">
        <f>SUMIFS(tabela_registros[VALOR],tabela_registros[MÊS],$AE$1,tabela_registros[DIA],receitasfixasconsolidado[[#Headers],[5]],tabela_registros[REGISTRO],DADOS!$N$3,tabela_registros[TIPO],DADOS!$V$3,tabela_registros[CATEGORIA],receitasfixasconsolidado[[#This Row],[ATUAL]])</f>
        <v>0</v>
      </c>
      <c r="J84" s="176">
        <f>SUMIFS(tabela_registros[VALOR],tabela_registros[MÊS],$AE$1,tabela_registros[DIA],receitasfixasconsolidado[[#Headers],[6]],tabela_registros[REGISTRO],DADOS!$N$3,tabela_registros[TIPO],DADOS!$V$3,tabela_registros[CATEGORIA],receitasfixasconsolidado[[#This Row],[ATUAL]])</f>
        <v>0</v>
      </c>
      <c r="K84" s="176">
        <f>SUMIFS(tabela_registros[VALOR],tabela_registros[MÊS],$AE$1,tabela_registros[DIA],receitasfixasconsolidado[[#Headers],[7]],tabela_registros[REGISTRO],DADOS!$N$3,tabela_registros[TIPO],DADOS!$V$3,tabela_registros[CATEGORIA],receitasfixasconsolidado[[#This Row],[ATUAL]])</f>
        <v>0</v>
      </c>
      <c r="L84" s="176">
        <f>SUMIFS(tabela_registros[VALOR],tabela_registros[MÊS],$AE$1,tabela_registros[DIA],receitasfixasconsolidado[[#Headers],[8]],tabela_registros[REGISTRO],DADOS!$N$3,tabela_registros[TIPO],DADOS!$V$3,tabela_registros[CATEGORIA],receitasfixasconsolidado[[#This Row],[ATUAL]])</f>
        <v>0</v>
      </c>
      <c r="M84" s="176">
        <f>SUMIFS(tabela_registros[VALOR],tabela_registros[MÊS],$AE$1,tabela_registros[DIA],receitasfixasconsolidado[[#Headers],[9]],tabela_registros[REGISTRO],DADOS!$N$3,tabela_registros[TIPO],DADOS!$V$3,tabela_registros[CATEGORIA],receitasfixasconsolidado[[#This Row],[ATUAL]])</f>
        <v>0</v>
      </c>
      <c r="N84" s="176">
        <f>SUMIFS(tabela_registros[VALOR],tabela_registros[MÊS],$AE$1,tabela_registros[DIA],receitasfixasconsolidado[[#Headers],[10]],tabela_registros[REGISTRO],DADOS!$N$3,tabela_registros[TIPO],DADOS!$V$3,tabela_registros[CATEGORIA],receitasfixasconsolidado[[#This Row],[ATUAL]])</f>
        <v>0</v>
      </c>
      <c r="O84" s="176">
        <f>SUMIFS(tabela_registros[VALOR],tabela_registros[MÊS],$AE$1,tabela_registros[DIA],receitasfixasconsolidado[[#Headers],[11]],tabela_registros[REGISTRO],DADOS!$N$3,tabela_registros[TIPO],DADOS!$V$3,tabela_registros[CATEGORIA],receitasfixasconsolidado[[#This Row],[ATUAL]])</f>
        <v>0</v>
      </c>
      <c r="P84" s="176">
        <f>SUMIFS(tabela_registros[VALOR],tabela_registros[MÊS],$AE$1,tabela_registros[DIA],receitasfixasconsolidado[[#Headers],[12]],tabela_registros[REGISTRO],DADOS!$N$3,tabela_registros[TIPO],DADOS!$V$3,tabela_registros[CATEGORIA],receitasfixasconsolidado[[#This Row],[ATUAL]])</f>
        <v>0</v>
      </c>
      <c r="Q84" s="176">
        <f>SUMIFS(tabela_registros[VALOR],tabela_registros[MÊS],$AE$1,tabela_registros[DIA],receitasfixasconsolidado[[#Headers],[13]],tabela_registros[REGISTRO],DADOS!$N$3,tabela_registros[TIPO],DADOS!$V$3,tabela_registros[CATEGORIA],receitasfixasconsolidado[[#This Row],[ATUAL]])</f>
        <v>0</v>
      </c>
      <c r="R84" s="176">
        <f>SUMIFS(tabela_registros[VALOR],tabela_registros[MÊS],$AE$1,tabela_registros[DIA],receitasfixasconsolidado[[#Headers],[14]],tabela_registros[REGISTRO],DADOS!$N$3,tabela_registros[TIPO],DADOS!$V$3,tabela_registros[CATEGORIA],receitasfixasconsolidado[[#This Row],[ATUAL]])</f>
        <v>0</v>
      </c>
      <c r="S84" s="176">
        <f>SUMIFS(tabela_registros[VALOR],tabela_registros[MÊS],$AE$1,tabela_registros[DIA],receitasfixasconsolidado[[#Headers],[15]],tabela_registros[REGISTRO],DADOS!$N$3,tabela_registros[TIPO],DADOS!$V$3,tabela_registros[CATEGORIA],receitasfixasconsolidado[[#This Row],[ATUAL]])</f>
        <v>0</v>
      </c>
      <c r="T84" s="176">
        <f>SUMIFS(tabela_registros[VALOR],tabela_registros[MÊS],$AE$1,tabela_registros[DIA],receitasfixasconsolidado[[#Headers],[16]],tabela_registros[REGISTRO],DADOS!$N$3,tabela_registros[TIPO],DADOS!$V$3,tabela_registros[CATEGORIA],receitasfixasconsolidado[[#This Row],[ATUAL]])</f>
        <v>0</v>
      </c>
      <c r="U84" s="176">
        <f>SUMIFS(tabela_registros[VALOR],tabela_registros[MÊS],$AE$1,tabela_registros[DIA],receitasfixasconsolidado[[#Headers],[17]],tabela_registros[REGISTRO],DADOS!$N$3,tabela_registros[TIPO],DADOS!$V$3,tabela_registros[CATEGORIA],receitasfixasconsolidado[[#This Row],[ATUAL]])</f>
        <v>0</v>
      </c>
      <c r="V84" s="176">
        <f>SUMIFS(tabela_registros[VALOR],tabela_registros[MÊS],$AE$1,tabela_registros[DIA],receitasfixasconsolidado[[#Headers],[18]],tabela_registros[REGISTRO],DADOS!$N$3,tabela_registros[TIPO],DADOS!$V$3,tabela_registros[CATEGORIA],receitasfixasconsolidado[[#This Row],[ATUAL]])</f>
        <v>0</v>
      </c>
      <c r="W84" s="176">
        <f>SUMIFS(tabela_registros[VALOR],tabela_registros[MÊS],$AE$1,tabela_registros[DIA],receitasfixasconsolidado[[#Headers],[19]],tabela_registros[REGISTRO],DADOS!$N$3,tabela_registros[TIPO],DADOS!$V$3,tabela_registros[CATEGORIA],receitasfixasconsolidado[[#This Row],[ATUAL]])</f>
        <v>0</v>
      </c>
      <c r="X84" s="176">
        <f>SUMIFS(tabela_registros[VALOR],tabela_registros[MÊS],$AE$1,tabela_registros[DIA],receitasfixasconsolidado[[#Headers],[20]],tabela_registros[REGISTRO],DADOS!$N$3,tabela_registros[TIPO],DADOS!$V$3,tabela_registros[CATEGORIA],receitasfixasconsolidado[[#This Row],[ATUAL]])</f>
        <v>0</v>
      </c>
      <c r="Y84" s="176">
        <f>SUMIFS(tabela_registros[VALOR],tabela_registros[MÊS],$AE$1,tabela_registros[DIA],receitasfixasconsolidado[[#Headers],[21]],tabela_registros[REGISTRO],DADOS!$N$3,tabela_registros[TIPO],DADOS!$V$3,tabela_registros[CATEGORIA],receitasfixasconsolidado[[#This Row],[ATUAL]])</f>
        <v>0</v>
      </c>
      <c r="Z84" s="176">
        <f>SUMIFS(tabela_registros[VALOR],tabela_registros[MÊS],$AE$1,tabela_registros[DIA],receitasfixasconsolidado[[#Headers],[22]],tabela_registros[REGISTRO],DADOS!$N$3,tabela_registros[TIPO],DADOS!$V$3,tabela_registros[CATEGORIA],receitasfixasconsolidado[[#This Row],[ATUAL]])</f>
        <v>0</v>
      </c>
      <c r="AA84" s="176">
        <f>SUMIFS(tabela_registros[VALOR],tabela_registros[MÊS],$AE$1,tabela_registros[DIA],receitasfixasconsolidado[[#Headers],[23]],tabela_registros[REGISTRO],DADOS!$N$3,tabela_registros[TIPO],DADOS!$V$3,tabela_registros[CATEGORIA],receitasfixasconsolidado[[#This Row],[ATUAL]])</f>
        <v>0</v>
      </c>
      <c r="AB84" s="176">
        <f>SUMIFS(tabela_registros[VALOR],tabela_registros[MÊS],$AE$1,tabela_registros[DIA],receitasfixasconsolidado[[#Headers],[24]],tabela_registros[REGISTRO],DADOS!$N$3,tabela_registros[TIPO],DADOS!$V$3,tabela_registros[CATEGORIA],receitasfixasconsolidado[[#This Row],[ATUAL]])</f>
        <v>0</v>
      </c>
      <c r="AC84" s="176">
        <f>SUMIFS(tabela_registros[VALOR],tabela_registros[MÊS],$AE$1,tabela_registros[DIA],receitasfixasconsolidado[[#Headers],[25]],tabela_registros[REGISTRO],DADOS!$N$3,tabela_registros[TIPO],DADOS!$V$3,tabela_registros[CATEGORIA],receitasfixasconsolidado[[#This Row],[ATUAL]])</f>
        <v>0</v>
      </c>
      <c r="AD84" s="176">
        <f>SUMIFS(tabela_registros[VALOR],tabela_registros[MÊS],$AE$1,tabela_registros[DIA],receitasfixasconsolidado[[#Headers],[26]],tabela_registros[REGISTRO],DADOS!$N$3,tabela_registros[TIPO],DADOS!$V$3,tabela_registros[CATEGORIA],receitasfixasconsolidado[[#This Row],[ATUAL]])</f>
        <v>0</v>
      </c>
      <c r="AE84" s="176">
        <f>SUMIFS(tabela_registros[VALOR],tabela_registros[MÊS],$AE$1,tabela_registros[DIA],receitasfixasconsolidado[[#Headers],[27]],tabela_registros[REGISTRO],DADOS!$N$3,tabela_registros[TIPO],DADOS!$V$3,tabela_registros[CATEGORIA],receitasfixasconsolidado[[#This Row],[ATUAL]])</f>
        <v>0</v>
      </c>
      <c r="AF84" s="176">
        <f>SUMIFS(tabela_registros[VALOR],tabela_registros[MÊS],$AE$1,tabela_registros[DIA],receitasfixasconsolidado[[#Headers],[28]],tabela_registros[REGISTRO],DADOS!$N$3,tabela_registros[TIPO],DADOS!$V$3,tabela_registros[CATEGORIA],receitasfixasconsolidado[[#This Row],[ATUAL]])</f>
        <v>0</v>
      </c>
      <c r="AG84" s="176">
        <f>SUMIFS(tabela_registros[VALOR],tabela_registros[MÊS],$AE$1,tabela_registros[DIA],receitasfixasconsolidado[[#Headers],[29]],tabela_registros[REGISTRO],DADOS!$N$3,tabela_registros[TIPO],DADOS!$V$3,tabela_registros[CATEGORIA],receitasfixasconsolidado[[#This Row],[ATUAL]])</f>
        <v>0</v>
      </c>
      <c r="AH84" s="176">
        <f>SUMIFS(tabela_registros[VALOR],tabela_registros[MÊS],$AE$1,tabela_registros[DIA],receitasfixasconsolidado[[#Headers],[30]],tabela_registros[REGISTRO],DADOS!$N$3,tabela_registros[TIPO],DADOS!$V$3,tabela_registros[CATEGORIA],receitasfixasconsolidado[[#This Row],[ATUAL]])</f>
        <v>0</v>
      </c>
      <c r="AI84" s="190">
        <f>SUMIFS(tabela_registros[VALOR],tabela_registros[MÊS],$AE$1,tabela_registros[DIA],receitasfixasconsolidado[[#Headers],[31]],tabela_registros[REGISTRO],DADOS!$N$3,tabela_registros[TIPO],DADOS!$V$3,tabela_registros[CATEGORIA],receitasfixasconsolidado[[#This Row],[ATUAL]])</f>
        <v>0</v>
      </c>
      <c r="AJ84" s="167">
        <f>SUM(receitasfixasconsolidado[[#This Row],[1]:[31]])</f>
        <v>0</v>
      </c>
      <c r="AK84" s="25"/>
    </row>
    <row r="85" spans="2:37" ht="19.5" customHeight="1" thickTop="1" thickBot="1" x14ac:dyDescent="0.3">
      <c r="B85" s="28"/>
      <c r="C85" s="27" t="str">
        <f>DADOS!$X$6</f>
        <v>💰 SALÁRIO</v>
      </c>
      <c r="D85" s="26" t="str">
        <f>IF(receitasfixasconsolidado[[#This Row],[TOTAL (R$)]]=0,"",IF(OR(receitasfixasconsolidado[[#This Row],[TOTAL (R$)]]=LARGE($AJ$82:$AJ$86,1),receitasfixasconsolidado[[#This Row],[TOTAL (R$)]]=LARGE($AJ$82:$AJ$86,2)),DADOS!$I$9,""))</f>
        <v/>
      </c>
      <c r="E85" s="189">
        <f>SUMIFS(tabela_registros[VALOR],tabela_registros[MÊS],$AE$1,tabela_registros[DIA],receitasfixasconsolidado[[#Headers],[1]],tabela_registros[REGISTRO],DADOS!$N$3,tabela_registros[TIPO],DADOS!$V$3,tabela_registros[CATEGORIA],receitasfixasconsolidado[[#This Row],[ATUAL]])</f>
        <v>0</v>
      </c>
      <c r="F85" s="176">
        <f>SUMIFS(tabela_registros[VALOR],tabela_registros[MÊS],$AE$1,tabela_registros[DIA],receitasfixasconsolidado[[#Headers],[2]],tabela_registros[REGISTRO],DADOS!$N$3,tabela_registros[TIPO],DADOS!$V$3,tabela_registros[CATEGORIA],receitasfixasconsolidado[[#This Row],[ATUAL]])</f>
        <v>0</v>
      </c>
      <c r="G85" s="176">
        <f>SUMIFS(tabela_registros[VALOR],tabela_registros[MÊS],$AE$1,tabela_registros[DIA],receitasfixasconsolidado[[#Headers],[3]],tabela_registros[REGISTRO],DADOS!$N$3,tabela_registros[TIPO],DADOS!$V$3,tabela_registros[CATEGORIA],receitasfixasconsolidado[[#This Row],[ATUAL]])</f>
        <v>0</v>
      </c>
      <c r="H85" s="176">
        <f>SUMIFS(tabela_registros[VALOR],tabela_registros[MÊS],$AE$1,tabela_registros[DIA],receitasfixasconsolidado[[#Headers],[4]],tabela_registros[REGISTRO],DADOS!$N$3,tabela_registros[TIPO],DADOS!$V$3,tabela_registros[CATEGORIA],receitasfixasconsolidado[[#This Row],[ATUAL]])</f>
        <v>0</v>
      </c>
      <c r="I85" s="176">
        <f>SUMIFS(tabela_registros[VALOR],tabela_registros[MÊS],$AE$1,tabela_registros[DIA],receitasfixasconsolidado[[#Headers],[5]],tabela_registros[REGISTRO],DADOS!$N$3,tabela_registros[TIPO],DADOS!$V$3,tabela_registros[CATEGORIA],receitasfixasconsolidado[[#This Row],[ATUAL]])</f>
        <v>0</v>
      </c>
      <c r="J85" s="176">
        <f>SUMIFS(tabela_registros[VALOR],tabela_registros[MÊS],$AE$1,tabela_registros[DIA],receitasfixasconsolidado[[#Headers],[6]],tabela_registros[REGISTRO],DADOS!$N$3,tabela_registros[TIPO],DADOS!$V$3,tabela_registros[CATEGORIA],receitasfixasconsolidado[[#This Row],[ATUAL]])</f>
        <v>0</v>
      </c>
      <c r="K85" s="176">
        <f>SUMIFS(tabela_registros[VALOR],tabela_registros[MÊS],$AE$1,tabela_registros[DIA],receitasfixasconsolidado[[#Headers],[7]],tabela_registros[REGISTRO],DADOS!$N$3,tabela_registros[TIPO],DADOS!$V$3,tabela_registros[CATEGORIA],receitasfixasconsolidado[[#This Row],[ATUAL]])</f>
        <v>0</v>
      </c>
      <c r="L85" s="176">
        <f>SUMIFS(tabela_registros[VALOR],tabela_registros[MÊS],$AE$1,tabela_registros[DIA],receitasfixasconsolidado[[#Headers],[8]],tabela_registros[REGISTRO],DADOS!$N$3,tabela_registros[TIPO],DADOS!$V$3,tabela_registros[CATEGORIA],receitasfixasconsolidado[[#This Row],[ATUAL]])</f>
        <v>0</v>
      </c>
      <c r="M85" s="176">
        <f>SUMIFS(tabela_registros[VALOR],tabela_registros[MÊS],$AE$1,tabela_registros[DIA],receitasfixasconsolidado[[#Headers],[9]],tabela_registros[REGISTRO],DADOS!$N$3,tabela_registros[TIPO],DADOS!$V$3,tabela_registros[CATEGORIA],receitasfixasconsolidado[[#This Row],[ATUAL]])</f>
        <v>0</v>
      </c>
      <c r="N85" s="176">
        <f>SUMIFS(tabela_registros[VALOR],tabela_registros[MÊS],$AE$1,tabela_registros[DIA],receitasfixasconsolidado[[#Headers],[10]],tabela_registros[REGISTRO],DADOS!$N$3,tabela_registros[TIPO],DADOS!$V$3,tabela_registros[CATEGORIA],receitasfixasconsolidado[[#This Row],[ATUAL]])</f>
        <v>0</v>
      </c>
      <c r="O85" s="176">
        <f>SUMIFS(tabela_registros[VALOR],tabela_registros[MÊS],$AE$1,tabela_registros[DIA],receitasfixasconsolidado[[#Headers],[11]],tabela_registros[REGISTRO],DADOS!$N$3,tabela_registros[TIPO],DADOS!$V$3,tabela_registros[CATEGORIA],receitasfixasconsolidado[[#This Row],[ATUAL]])</f>
        <v>0</v>
      </c>
      <c r="P85" s="176">
        <f>SUMIFS(tabela_registros[VALOR],tabela_registros[MÊS],$AE$1,tabela_registros[DIA],receitasfixasconsolidado[[#Headers],[12]],tabela_registros[REGISTRO],DADOS!$N$3,tabela_registros[TIPO],DADOS!$V$3,tabela_registros[CATEGORIA],receitasfixasconsolidado[[#This Row],[ATUAL]])</f>
        <v>0</v>
      </c>
      <c r="Q85" s="176">
        <f>SUMIFS(tabela_registros[VALOR],tabela_registros[MÊS],$AE$1,tabela_registros[DIA],receitasfixasconsolidado[[#Headers],[13]],tabela_registros[REGISTRO],DADOS!$N$3,tabela_registros[TIPO],DADOS!$V$3,tabela_registros[CATEGORIA],receitasfixasconsolidado[[#This Row],[ATUAL]])</f>
        <v>0</v>
      </c>
      <c r="R85" s="176">
        <f>SUMIFS(tabela_registros[VALOR],tabela_registros[MÊS],$AE$1,tabela_registros[DIA],receitasfixasconsolidado[[#Headers],[14]],tabela_registros[REGISTRO],DADOS!$N$3,tabela_registros[TIPO],DADOS!$V$3,tabela_registros[CATEGORIA],receitasfixasconsolidado[[#This Row],[ATUAL]])</f>
        <v>0</v>
      </c>
      <c r="S85" s="176">
        <f>SUMIFS(tabela_registros[VALOR],tabela_registros[MÊS],$AE$1,tabela_registros[DIA],receitasfixasconsolidado[[#Headers],[15]],tabela_registros[REGISTRO],DADOS!$N$3,tabela_registros[TIPO],DADOS!$V$3,tabela_registros[CATEGORIA],receitasfixasconsolidado[[#This Row],[ATUAL]])</f>
        <v>0</v>
      </c>
      <c r="T85" s="176">
        <f>SUMIFS(tabela_registros[VALOR],tabela_registros[MÊS],$AE$1,tabela_registros[DIA],receitasfixasconsolidado[[#Headers],[16]],tabela_registros[REGISTRO],DADOS!$N$3,tabela_registros[TIPO],DADOS!$V$3,tabela_registros[CATEGORIA],receitasfixasconsolidado[[#This Row],[ATUAL]])</f>
        <v>0</v>
      </c>
      <c r="U85" s="176">
        <f>SUMIFS(tabela_registros[VALOR],tabela_registros[MÊS],$AE$1,tabela_registros[DIA],receitasfixasconsolidado[[#Headers],[17]],tabela_registros[REGISTRO],DADOS!$N$3,tabela_registros[TIPO],DADOS!$V$3,tabela_registros[CATEGORIA],receitasfixasconsolidado[[#This Row],[ATUAL]])</f>
        <v>0</v>
      </c>
      <c r="V85" s="176">
        <f>SUMIFS(tabela_registros[VALOR],tabela_registros[MÊS],$AE$1,tabela_registros[DIA],receitasfixasconsolidado[[#Headers],[18]],tabela_registros[REGISTRO],DADOS!$N$3,tabela_registros[TIPO],DADOS!$V$3,tabela_registros[CATEGORIA],receitasfixasconsolidado[[#This Row],[ATUAL]])</f>
        <v>0</v>
      </c>
      <c r="W85" s="176">
        <f>SUMIFS(tabela_registros[VALOR],tabela_registros[MÊS],$AE$1,tabela_registros[DIA],receitasfixasconsolidado[[#Headers],[19]],tabela_registros[REGISTRO],DADOS!$N$3,tabela_registros[TIPO],DADOS!$V$3,tabela_registros[CATEGORIA],receitasfixasconsolidado[[#This Row],[ATUAL]])</f>
        <v>0</v>
      </c>
      <c r="X85" s="176">
        <f>SUMIFS(tabela_registros[VALOR],tabela_registros[MÊS],$AE$1,tabela_registros[DIA],receitasfixasconsolidado[[#Headers],[20]],tabela_registros[REGISTRO],DADOS!$N$3,tabela_registros[TIPO],DADOS!$V$3,tabela_registros[CATEGORIA],receitasfixasconsolidado[[#This Row],[ATUAL]])</f>
        <v>0</v>
      </c>
      <c r="Y85" s="176">
        <f>SUMIFS(tabela_registros[VALOR],tabela_registros[MÊS],$AE$1,tabela_registros[DIA],receitasfixasconsolidado[[#Headers],[21]],tabela_registros[REGISTRO],DADOS!$N$3,tabela_registros[TIPO],DADOS!$V$3,tabela_registros[CATEGORIA],receitasfixasconsolidado[[#This Row],[ATUAL]])</f>
        <v>0</v>
      </c>
      <c r="Z85" s="176">
        <f>SUMIFS(tabela_registros[VALOR],tabela_registros[MÊS],$AE$1,tabela_registros[DIA],receitasfixasconsolidado[[#Headers],[22]],tabela_registros[REGISTRO],DADOS!$N$3,tabela_registros[TIPO],DADOS!$V$3,tabela_registros[CATEGORIA],receitasfixasconsolidado[[#This Row],[ATUAL]])</f>
        <v>0</v>
      </c>
      <c r="AA85" s="176">
        <f>SUMIFS(tabela_registros[VALOR],tabela_registros[MÊS],$AE$1,tabela_registros[DIA],receitasfixasconsolidado[[#Headers],[23]],tabela_registros[REGISTRO],DADOS!$N$3,tabela_registros[TIPO],DADOS!$V$3,tabela_registros[CATEGORIA],receitasfixasconsolidado[[#This Row],[ATUAL]])</f>
        <v>0</v>
      </c>
      <c r="AB85" s="176">
        <f>SUMIFS(tabela_registros[VALOR],tabela_registros[MÊS],$AE$1,tabela_registros[DIA],receitasfixasconsolidado[[#Headers],[24]],tabela_registros[REGISTRO],DADOS!$N$3,tabela_registros[TIPO],DADOS!$V$3,tabela_registros[CATEGORIA],receitasfixasconsolidado[[#This Row],[ATUAL]])</f>
        <v>0</v>
      </c>
      <c r="AC85" s="176">
        <f>SUMIFS(tabela_registros[VALOR],tabela_registros[MÊS],$AE$1,tabela_registros[DIA],receitasfixasconsolidado[[#Headers],[25]],tabela_registros[REGISTRO],DADOS!$N$3,tabela_registros[TIPO],DADOS!$V$3,tabela_registros[CATEGORIA],receitasfixasconsolidado[[#This Row],[ATUAL]])</f>
        <v>0</v>
      </c>
      <c r="AD85" s="176">
        <f>SUMIFS(tabela_registros[VALOR],tabela_registros[MÊS],$AE$1,tabela_registros[DIA],receitasfixasconsolidado[[#Headers],[26]],tabela_registros[REGISTRO],DADOS!$N$3,tabela_registros[TIPO],DADOS!$V$3,tabela_registros[CATEGORIA],receitasfixasconsolidado[[#This Row],[ATUAL]])</f>
        <v>0</v>
      </c>
      <c r="AE85" s="176">
        <f>SUMIFS(tabela_registros[VALOR],tabela_registros[MÊS],$AE$1,tabela_registros[DIA],receitasfixasconsolidado[[#Headers],[27]],tabela_registros[REGISTRO],DADOS!$N$3,tabela_registros[TIPO],DADOS!$V$3,tabela_registros[CATEGORIA],receitasfixasconsolidado[[#This Row],[ATUAL]])</f>
        <v>0</v>
      </c>
      <c r="AF85" s="176">
        <f>SUMIFS(tabela_registros[VALOR],tabela_registros[MÊS],$AE$1,tabela_registros[DIA],receitasfixasconsolidado[[#Headers],[28]],tabela_registros[REGISTRO],DADOS!$N$3,tabela_registros[TIPO],DADOS!$V$3,tabela_registros[CATEGORIA],receitasfixasconsolidado[[#This Row],[ATUAL]])</f>
        <v>0</v>
      </c>
      <c r="AG85" s="176">
        <f>SUMIFS(tabela_registros[VALOR],tabela_registros[MÊS],$AE$1,tabela_registros[DIA],receitasfixasconsolidado[[#Headers],[29]],tabela_registros[REGISTRO],DADOS!$N$3,tabela_registros[TIPO],DADOS!$V$3,tabela_registros[CATEGORIA],receitasfixasconsolidado[[#This Row],[ATUAL]])</f>
        <v>0</v>
      </c>
      <c r="AH85" s="176">
        <f>SUMIFS(tabela_registros[VALOR],tabela_registros[MÊS],$AE$1,tabela_registros[DIA],receitasfixasconsolidado[[#Headers],[30]],tabela_registros[REGISTRO],DADOS!$N$3,tabela_registros[TIPO],DADOS!$V$3,tabela_registros[CATEGORIA],receitasfixasconsolidado[[#This Row],[ATUAL]])</f>
        <v>0</v>
      </c>
      <c r="AI85" s="190">
        <f>SUMIFS(tabela_registros[VALOR],tabela_registros[MÊS],$AE$1,tabela_registros[DIA],receitasfixasconsolidado[[#Headers],[31]],tabela_registros[REGISTRO],DADOS!$N$3,tabela_registros[TIPO],DADOS!$V$3,tabela_registros[CATEGORIA],receitasfixasconsolidado[[#This Row],[ATUAL]])</f>
        <v>0</v>
      </c>
      <c r="AJ85" s="167">
        <f>SUM(receitasfixasconsolidado[[#This Row],[1]:[31]])</f>
        <v>0</v>
      </c>
      <c r="AK85" s="25"/>
    </row>
    <row r="86" spans="2:37" ht="18" customHeight="1" thickTop="1" thickBot="1" x14ac:dyDescent="0.3">
      <c r="B86" s="28"/>
      <c r="C86" s="27" t="str">
        <f>DADOS!$X$7</f>
        <v>📎 OUTROS</v>
      </c>
      <c r="D86" s="26" t="str">
        <f>IF(receitasfixasconsolidado[[#This Row],[TOTAL (R$)]]=0,"",IF(OR(receitasfixasconsolidado[[#This Row],[TOTAL (R$)]]=LARGE($AJ$82:$AJ$86,1),receitasfixasconsolidado[[#This Row],[TOTAL (R$)]]=LARGE($AJ$82:$AJ$86,2)),DADOS!$I$9,""))</f>
        <v/>
      </c>
      <c r="E86" s="189">
        <f>SUMIFS(tabela_registros[VALOR],tabela_registros[MÊS],$AE$1,tabela_registros[DIA],receitasfixasconsolidado[[#Headers],[1]],tabela_registros[REGISTRO],DADOS!$N$3,tabela_registros[TIPO],DADOS!$V$3,tabela_registros[CATEGORIA],receitasfixasconsolidado[[#This Row],[ATUAL]])</f>
        <v>0</v>
      </c>
      <c r="F86" s="176">
        <f>SUMIFS(tabela_registros[VALOR],tabela_registros[MÊS],$AE$1,tabela_registros[DIA],receitasfixasconsolidado[[#Headers],[2]],tabela_registros[REGISTRO],DADOS!$N$3,tabela_registros[TIPO],DADOS!$V$3,tabela_registros[CATEGORIA],receitasfixasconsolidado[[#This Row],[ATUAL]])</f>
        <v>0</v>
      </c>
      <c r="G86" s="176">
        <f>SUMIFS(tabela_registros[VALOR],tabela_registros[MÊS],$AE$1,tabela_registros[DIA],receitasfixasconsolidado[[#Headers],[3]],tabela_registros[REGISTRO],DADOS!$N$3,tabela_registros[TIPO],DADOS!$V$3,tabela_registros[CATEGORIA],receitasfixasconsolidado[[#This Row],[ATUAL]])</f>
        <v>0</v>
      </c>
      <c r="H86" s="176">
        <f>SUMIFS(tabela_registros[VALOR],tabela_registros[MÊS],$AE$1,tabela_registros[DIA],receitasfixasconsolidado[[#Headers],[4]],tabela_registros[REGISTRO],DADOS!$N$3,tabela_registros[TIPO],DADOS!$V$3,tabela_registros[CATEGORIA],receitasfixasconsolidado[[#This Row],[ATUAL]])</f>
        <v>0</v>
      </c>
      <c r="I86" s="176">
        <f>SUMIFS(tabela_registros[VALOR],tabela_registros[MÊS],$AE$1,tabela_registros[DIA],receitasfixasconsolidado[[#Headers],[5]],tabela_registros[REGISTRO],DADOS!$N$3,tabela_registros[TIPO],DADOS!$V$3,tabela_registros[CATEGORIA],receitasfixasconsolidado[[#This Row],[ATUAL]])</f>
        <v>0</v>
      </c>
      <c r="J86" s="176">
        <f>SUMIFS(tabela_registros[VALOR],tabela_registros[MÊS],$AE$1,tabela_registros[DIA],receitasfixasconsolidado[[#Headers],[6]],tabela_registros[REGISTRO],DADOS!$N$3,tabela_registros[TIPO],DADOS!$V$3,tabela_registros[CATEGORIA],receitasfixasconsolidado[[#This Row],[ATUAL]])</f>
        <v>0</v>
      </c>
      <c r="K86" s="176">
        <f>SUMIFS(tabela_registros[VALOR],tabela_registros[MÊS],$AE$1,tabela_registros[DIA],receitasfixasconsolidado[[#Headers],[7]],tabela_registros[REGISTRO],DADOS!$N$3,tabela_registros[TIPO],DADOS!$V$3,tabela_registros[CATEGORIA],receitasfixasconsolidado[[#This Row],[ATUAL]])</f>
        <v>0</v>
      </c>
      <c r="L86" s="176">
        <f>SUMIFS(tabela_registros[VALOR],tabela_registros[MÊS],$AE$1,tabela_registros[DIA],receitasfixasconsolidado[[#Headers],[8]],tabela_registros[REGISTRO],DADOS!$N$3,tabela_registros[TIPO],DADOS!$V$3,tabela_registros[CATEGORIA],receitasfixasconsolidado[[#This Row],[ATUAL]])</f>
        <v>0</v>
      </c>
      <c r="M86" s="176">
        <f>SUMIFS(tabela_registros[VALOR],tabela_registros[MÊS],$AE$1,tabela_registros[DIA],receitasfixasconsolidado[[#Headers],[9]],tabela_registros[REGISTRO],DADOS!$N$3,tabela_registros[TIPO],DADOS!$V$3,tabela_registros[CATEGORIA],receitasfixasconsolidado[[#This Row],[ATUAL]])</f>
        <v>0</v>
      </c>
      <c r="N86" s="176">
        <f>SUMIFS(tabela_registros[VALOR],tabela_registros[MÊS],$AE$1,tabela_registros[DIA],receitasfixasconsolidado[[#Headers],[10]],tabela_registros[REGISTRO],DADOS!$N$3,tabela_registros[TIPO],DADOS!$V$3,tabela_registros[CATEGORIA],receitasfixasconsolidado[[#This Row],[ATUAL]])</f>
        <v>0</v>
      </c>
      <c r="O86" s="176">
        <f>SUMIFS(tabela_registros[VALOR],tabela_registros[MÊS],$AE$1,tabela_registros[DIA],receitasfixasconsolidado[[#Headers],[11]],tabela_registros[REGISTRO],DADOS!$N$3,tabela_registros[TIPO],DADOS!$V$3,tabela_registros[CATEGORIA],receitasfixasconsolidado[[#This Row],[ATUAL]])</f>
        <v>0</v>
      </c>
      <c r="P86" s="176">
        <f>SUMIFS(tabela_registros[VALOR],tabela_registros[MÊS],$AE$1,tabela_registros[DIA],receitasfixasconsolidado[[#Headers],[12]],tabela_registros[REGISTRO],DADOS!$N$3,tabela_registros[TIPO],DADOS!$V$3,tabela_registros[CATEGORIA],receitasfixasconsolidado[[#This Row],[ATUAL]])</f>
        <v>0</v>
      </c>
      <c r="Q86" s="176">
        <f>SUMIFS(tabela_registros[VALOR],tabela_registros[MÊS],$AE$1,tabela_registros[DIA],receitasfixasconsolidado[[#Headers],[13]],tabela_registros[REGISTRO],DADOS!$N$3,tabela_registros[TIPO],DADOS!$V$3,tabela_registros[CATEGORIA],receitasfixasconsolidado[[#This Row],[ATUAL]])</f>
        <v>0</v>
      </c>
      <c r="R86" s="176">
        <f>SUMIFS(tabela_registros[VALOR],tabela_registros[MÊS],$AE$1,tabela_registros[DIA],receitasfixasconsolidado[[#Headers],[14]],tabela_registros[REGISTRO],DADOS!$N$3,tabela_registros[TIPO],DADOS!$V$3,tabela_registros[CATEGORIA],receitasfixasconsolidado[[#This Row],[ATUAL]])</f>
        <v>0</v>
      </c>
      <c r="S86" s="176">
        <f>SUMIFS(tabela_registros[VALOR],tabela_registros[MÊS],$AE$1,tabela_registros[DIA],receitasfixasconsolidado[[#Headers],[15]],tabela_registros[REGISTRO],DADOS!$N$3,tabela_registros[TIPO],DADOS!$V$3,tabela_registros[CATEGORIA],receitasfixasconsolidado[[#This Row],[ATUAL]])</f>
        <v>0</v>
      </c>
      <c r="T86" s="176">
        <f>SUMIFS(tabela_registros[VALOR],tabela_registros[MÊS],$AE$1,tabela_registros[DIA],receitasfixasconsolidado[[#Headers],[16]],tabela_registros[REGISTRO],DADOS!$N$3,tabela_registros[TIPO],DADOS!$V$3,tabela_registros[CATEGORIA],receitasfixasconsolidado[[#This Row],[ATUAL]])</f>
        <v>0</v>
      </c>
      <c r="U86" s="176">
        <f>SUMIFS(tabela_registros[VALOR],tabela_registros[MÊS],$AE$1,tabela_registros[DIA],receitasfixasconsolidado[[#Headers],[17]],tabela_registros[REGISTRO],DADOS!$N$3,tabela_registros[TIPO],DADOS!$V$3,tabela_registros[CATEGORIA],receitasfixasconsolidado[[#This Row],[ATUAL]])</f>
        <v>0</v>
      </c>
      <c r="V86" s="176">
        <f>SUMIFS(tabela_registros[VALOR],tabela_registros[MÊS],$AE$1,tabela_registros[DIA],receitasfixasconsolidado[[#Headers],[18]],tabela_registros[REGISTRO],DADOS!$N$3,tabela_registros[TIPO],DADOS!$V$3,tabela_registros[CATEGORIA],receitasfixasconsolidado[[#This Row],[ATUAL]])</f>
        <v>0</v>
      </c>
      <c r="W86" s="176">
        <f>SUMIFS(tabela_registros[VALOR],tabela_registros[MÊS],$AE$1,tabela_registros[DIA],receitasfixasconsolidado[[#Headers],[19]],tabela_registros[REGISTRO],DADOS!$N$3,tabela_registros[TIPO],DADOS!$V$3,tabela_registros[CATEGORIA],receitasfixasconsolidado[[#This Row],[ATUAL]])</f>
        <v>0</v>
      </c>
      <c r="X86" s="176">
        <f>SUMIFS(tabela_registros[VALOR],tabela_registros[MÊS],$AE$1,tabela_registros[DIA],receitasfixasconsolidado[[#Headers],[20]],tabela_registros[REGISTRO],DADOS!$N$3,tabela_registros[TIPO],DADOS!$V$3,tabela_registros[CATEGORIA],receitasfixasconsolidado[[#This Row],[ATUAL]])</f>
        <v>0</v>
      </c>
      <c r="Y86" s="176">
        <f>SUMIFS(tabela_registros[VALOR],tabela_registros[MÊS],$AE$1,tabela_registros[DIA],receitasfixasconsolidado[[#Headers],[21]],tabela_registros[REGISTRO],DADOS!$N$3,tabela_registros[TIPO],DADOS!$V$3,tabela_registros[CATEGORIA],receitasfixasconsolidado[[#This Row],[ATUAL]])</f>
        <v>0</v>
      </c>
      <c r="Z86" s="176">
        <f>SUMIFS(tabela_registros[VALOR],tabela_registros[MÊS],$AE$1,tabela_registros[DIA],receitasfixasconsolidado[[#Headers],[22]],tabela_registros[REGISTRO],DADOS!$N$3,tabela_registros[TIPO],DADOS!$V$3,tabela_registros[CATEGORIA],receitasfixasconsolidado[[#This Row],[ATUAL]])</f>
        <v>0</v>
      </c>
      <c r="AA86" s="176">
        <f>SUMIFS(tabela_registros[VALOR],tabela_registros[MÊS],$AE$1,tabela_registros[DIA],receitasfixasconsolidado[[#Headers],[23]],tabela_registros[REGISTRO],DADOS!$N$3,tabela_registros[TIPO],DADOS!$V$3,tabela_registros[CATEGORIA],receitasfixasconsolidado[[#This Row],[ATUAL]])</f>
        <v>0</v>
      </c>
      <c r="AB86" s="176">
        <f>SUMIFS(tabela_registros[VALOR],tabela_registros[MÊS],$AE$1,tabela_registros[DIA],receitasfixasconsolidado[[#Headers],[24]],tabela_registros[REGISTRO],DADOS!$N$3,tabela_registros[TIPO],DADOS!$V$3,tabela_registros[CATEGORIA],receitasfixasconsolidado[[#This Row],[ATUAL]])</f>
        <v>0</v>
      </c>
      <c r="AC86" s="176">
        <f>SUMIFS(tabela_registros[VALOR],tabela_registros[MÊS],$AE$1,tabela_registros[DIA],receitasfixasconsolidado[[#Headers],[25]],tabela_registros[REGISTRO],DADOS!$N$3,tabela_registros[TIPO],DADOS!$V$3,tabela_registros[CATEGORIA],receitasfixasconsolidado[[#This Row],[ATUAL]])</f>
        <v>0</v>
      </c>
      <c r="AD86" s="176">
        <f>SUMIFS(tabela_registros[VALOR],tabela_registros[MÊS],$AE$1,tabela_registros[DIA],receitasfixasconsolidado[[#Headers],[26]],tabela_registros[REGISTRO],DADOS!$N$3,tabela_registros[TIPO],DADOS!$V$3,tabela_registros[CATEGORIA],receitasfixasconsolidado[[#This Row],[ATUAL]])</f>
        <v>0</v>
      </c>
      <c r="AE86" s="176">
        <f>SUMIFS(tabela_registros[VALOR],tabela_registros[MÊS],$AE$1,tabela_registros[DIA],receitasfixasconsolidado[[#Headers],[27]],tabela_registros[REGISTRO],DADOS!$N$3,tabela_registros[TIPO],DADOS!$V$3,tabela_registros[CATEGORIA],receitasfixasconsolidado[[#This Row],[ATUAL]])</f>
        <v>0</v>
      </c>
      <c r="AF86" s="176">
        <f>SUMIFS(tabela_registros[VALOR],tabela_registros[MÊS],$AE$1,tabela_registros[DIA],receitasfixasconsolidado[[#Headers],[28]],tabela_registros[REGISTRO],DADOS!$N$3,tabela_registros[TIPO],DADOS!$V$3,tabela_registros[CATEGORIA],receitasfixasconsolidado[[#This Row],[ATUAL]])</f>
        <v>0</v>
      </c>
      <c r="AG86" s="176">
        <f>SUMIFS(tabela_registros[VALOR],tabela_registros[MÊS],$AE$1,tabela_registros[DIA],receitasfixasconsolidado[[#Headers],[29]],tabela_registros[REGISTRO],DADOS!$N$3,tabela_registros[TIPO],DADOS!$V$3,tabela_registros[CATEGORIA],receitasfixasconsolidado[[#This Row],[ATUAL]])</f>
        <v>0</v>
      </c>
      <c r="AH86" s="176">
        <f>SUMIFS(tabela_registros[VALOR],tabela_registros[MÊS],$AE$1,tabela_registros[DIA],receitasfixasconsolidado[[#Headers],[30]],tabela_registros[REGISTRO],DADOS!$N$3,tabela_registros[TIPO],DADOS!$V$3,tabela_registros[CATEGORIA],receitasfixasconsolidado[[#This Row],[ATUAL]])</f>
        <v>0</v>
      </c>
      <c r="AI86" s="193">
        <f>SUMIFS(tabela_registros[VALOR],tabela_registros[MÊS],$AE$1,tabela_registros[DIA],receitasfixasconsolidado[[#Headers],[31]],tabela_registros[REGISTRO],DADOS!$N$3,tabela_registros[TIPO],DADOS!$V$3,tabela_registros[CATEGORIA],receitasfixasconsolidado[[#This Row],[ATUAL]])</f>
        <v>0</v>
      </c>
      <c r="AJ86" s="167">
        <f>SUM(receitasfixasconsolidado[[#This Row],[1]:[31]])</f>
        <v>0</v>
      </c>
      <c r="AK86" s="25"/>
    </row>
    <row r="87" spans="2:37" s="16" customFormat="1" ht="21" customHeight="1" thickTop="1" thickBot="1" x14ac:dyDescent="0.35">
      <c r="B87" s="24"/>
      <c r="C87" s="23" t="s">
        <v>19</v>
      </c>
      <c r="D87" s="22"/>
      <c r="E87" s="195">
        <f>SUM(E82:E86)</f>
        <v>0</v>
      </c>
      <c r="F87" s="196">
        <f>SUM(F82:F86)+receitasfixasconsolidado[[#This Row],[1]]</f>
        <v>0</v>
      </c>
      <c r="G87" s="196">
        <f>SUM(G82:G86)+receitasfixasconsolidado[[#This Row],[2]]</f>
        <v>0</v>
      </c>
      <c r="H87" s="196">
        <f>SUM(H82:H86)+receitasfixasconsolidado[[#This Row],[3]]</f>
        <v>250</v>
      </c>
      <c r="I87" s="196">
        <f>SUM(I82:I86)+receitasfixasconsolidado[[#This Row],[4]]</f>
        <v>250</v>
      </c>
      <c r="J87" s="196">
        <f>SUM(J82:J86)+receitasfixasconsolidado[[#This Row],[5]]</f>
        <v>250</v>
      </c>
      <c r="K87" s="196">
        <f>SUM(K82:K86)+receitasfixasconsolidado[[#This Row],[6]]</f>
        <v>250</v>
      </c>
      <c r="L87" s="196">
        <f>SUM(L82:L86)+receitasfixasconsolidado[[#This Row],[7]]</f>
        <v>250</v>
      </c>
      <c r="M87" s="196">
        <f>SUM(M82:M86)+receitasfixasconsolidado[[#This Row],[8]]</f>
        <v>250</v>
      </c>
      <c r="N87" s="196">
        <f>SUM(N82:N86)+receitasfixasconsolidado[[#This Row],[9]]</f>
        <v>379.857142857143</v>
      </c>
      <c r="O87" s="196">
        <f>SUM(O82:O86)+receitasfixasconsolidado[[#This Row],[10]]</f>
        <v>379.857142857143</v>
      </c>
      <c r="P87" s="196">
        <f>SUM(P82:P86)+receitasfixasconsolidado[[#This Row],[11]]</f>
        <v>379.857142857143</v>
      </c>
      <c r="Q87" s="196">
        <f>SUM(Q82:Q86)+receitasfixasconsolidado[[#This Row],[12]]</f>
        <v>379.857142857143</v>
      </c>
      <c r="R87" s="196">
        <f>SUM(R82:R86)+receitasfixasconsolidado[[#This Row],[13]]</f>
        <v>379.857142857143</v>
      </c>
      <c r="S87" s="196">
        <f>SUM(S82:S86)+receitasfixasconsolidado[[#This Row],[14]]</f>
        <v>379.857142857143</v>
      </c>
      <c r="T87" s="196">
        <f>SUM(T82:T86)+receitasfixasconsolidado[[#This Row],[15]]</f>
        <v>379.857142857143</v>
      </c>
      <c r="U87" s="196">
        <f>SUM(U82:U86)+receitasfixasconsolidado[[#This Row],[16]]</f>
        <v>379.857142857143</v>
      </c>
      <c r="V87" s="196">
        <f>SUM(V82:V86)+receitasfixasconsolidado[[#This Row],[17]]</f>
        <v>379.857142857143</v>
      </c>
      <c r="W87" s="196">
        <f>SUM(W82:W86)+receitasfixasconsolidado[[#This Row],[18]]</f>
        <v>379.857142857143</v>
      </c>
      <c r="X87" s="196">
        <f>SUM(X82:X86)+receitasfixasconsolidado[[#This Row],[19]]</f>
        <v>379.857142857143</v>
      </c>
      <c r="Y87" s="196">
        <f>SUM(Y82:Y86)+receitasfixasconsolidado[[#This Row],[20]]</f>
        <v>379.857142857143</v>
      </c>
      <c r="Z87" s="196">
        <f>SUM(Z82:Z86)+receitasfixasconsolidado[[#This Row],[21]]</f>
        <v>379.857142857143</v>
      </c>
      <c r="AA87" s="196">
        <f>SUM(AA82:AA86)+receitasfixasconsolidado[[#This Row],[22]]</f>
        <v>379.857142857143</v>
      </c>
      <c r="AB87" s="196">
        <f>SUM(AB82:AB86)+receitasfixasconsolidado[[#This Row],[23]]</f>
        <v>379.857142857143</v>
      </c>
      <c r="AC87" s="196">
        <f>SUM(AC82:AC86)+receitasfixasconsolidado[[#This Row],[24]]</f>
        <v>379.857142857143</v>
      </c>
      <c r="AD87" s="196">
        <f>SUM(AD82:AD86)+receitasfixasconsolidado[[#This Row],[25]]</f>
        <v>379.857142857143</v>
      </c>
      <c r="AE87" s="196">
        <f>SUM(AE82:AE86)+receitasfixasconsolidado[[#This Row],[26]]</f>
        <v>379.857142857143</v>
      </c>
      <c r="AF87" s="196">
        <f>SUM(AF82:AF86)+receitasfixasconsolidado[[#This Row],[27]]</f>
        <v>379.857142857143</v>
      </c>
      <c r="AG87" s="196">
        <f>SUM(AG82:AG86)+receitasfixasconsolidado[[#This Row],[28]]</f>
        <v>679.857142857143</v>
      </c>
      <c r="AH87" s="196">
        <f>SUM(AH82:AH86)+receitasfixasconsolidado[[#This Row],[29]]</f>
        <v>679.857142857143</v>
      </c>
      <c r="AI87" s="197">
        <f>SUM(AI82:AI86)+receitasfixasconsolidado[[#This Row],[30]]</f>
        <v>679.857142857143</v>
      </c>
      <c r="AJ87" s="168">
        <f>receitasfixasconsolidado[[#This Row],[31]]</f>
        <v>679.857142857143</v>
      </c>
      <c r="AK87" s="17"/>
    </row>
    <row r="88" spans="2:37" ht="6.75" customHeight="1" thickTop="1" thickBot="1" x14ac:dyDescent="0.3">
      <c r="B88" s="15"/>
      <c r="C88" s="14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200"/>
      <c r="AJ88" s="11"/>
      <c r="AK88" s="10"/>
    </row>
    <row r="89" spans="2:37" ht="12.6" thickTop="1" x14ac:dyDescent="0.25">
      <c r="E89" s="37"/>
      <c r="AI89" s="4"/>
    </row>
    <row r="90" spans="2:37" x14ac:dyDescent="0.25">
      <c r="AI90" s="4"/>
    </row>
    <row r="91" spans="2:37" x14ac:dyDescent="0.25">
      <c r="AI91" s="4"/>
    </row>
    <row r="92" spans="2:37" ht="39.75" customHeight="1" x14ac:dyDescent="0.7">
      <c r="C92" s="36"/>
      <c r="E92" s="240"/>
      <c r="F92" s="240"/>
      <c r="G92" s="240"/>
      <c r="H92" s="240"/>
      <c r="I92" s="240"/>
      <c r="J92" s="240"/>
      <c r="K92" s="240"/>
      <c r="L92" s="240"/>
      <c r="M92" s="240"/>
      <c r="N92" s="240"/>
      <c r="O92" s="240"/>
      <c r="P92" s="240"/>
      <c r="Q92" s="240"/>
      <c r="R92" s="240"/>
      <c r="S92" s="240"/>
      <c r="T92" s="240"/>
      <c r="U92" s="240"/>
      <c r="V92" s="240"/>
      <c r="W92" s="240"/>
      <c r="X92" s="240"/>
      <c r="Y92" s="240"/>
      <c r="Z92" s="240"/>
      <c r="AA92" s="240"/>
      <c r="AB92" s="240"/>
      <c r="AC92" s="240"/>
      <c r="AD92" s="240"/>
      <c r="AE92" s="240"/>
      <c r="AF92" s="240"/>
      <c r="AG92" s="240"/>
      <c r="AH92" s="240"/>
      <c r="AI92" s="240"/>
      <c r="AJ92" s="169" t="s">
        <v>19</v>
      </c>
    </row>
    <row r="93" spans="2:37" ht="12.6" thickBot="1" x14ac:dyDescent="0.3">
      <c r="B93" s="35"/>
      <c r="AI93" s="4"/>
      <c r="AJ93" s="170" t="s">
        <v>202</v>
      </c>
    </row>
    <row r="94" spans="2:37" ht="6.75" customHeight="1" thickTop="1" thickBot="1" x14ac:dyDescent="0.3">
      <c r="B94" s="2"/>
      <c r="C94" s="14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200"/>
      <c r="AK94" s="33"/>
    </row>
    <row r="95" spans="2:37" ht="13.2" hidden="1" thickTop="1" thickBot="1" x14ac:dyDescent="0.3">
      <c r="B95" s="2"/>
      <c r="C95" s="31" t="s">
        <v>199</v>
      </c>
      <c r="D95" s="30" t="s">
        <v>198</v>
      </c>
      <c r="E95" s="30" t="s">
        <v>197</v>
      </c>
      <c r="F95" s="30" t="s">
        <v>196</v>
      </c>
      <c r="G95" s="30" t="s">
        <v>195</v>
      </c>
      <c r="H95" s="30" t="s">
        <v>194</v>
      </c>
      <c r="I95" s="30" t="s">
        <v>193</v>
      </c>
      <c r="J95" s="30" t="s">
        <v>192</v>
      </c>
      <c r="K95" s="30" t="s">
        <v>191</v>
      </c>
      <c r="L95" s="30" t="s">
        <v>190</v>
      </c>
      <c r="M95" s="30" t="s">
        <v>189</v>
      </c>
      <c r="N95" s="30" t="s">
        <v>188</v>
      </c>
      <c r="O95" s="30" t="s">
        <v>187</v>
      </c>
      <c r="P95" s="30" t="s">
        <v>186</v>
      </c>
      <c r="Q95" s="30" t="s">
        <v>185</v>
      </c>
      <c r="R95" s="30" t="s">
        <v>184</v>
      </c>
      <c r="S95" s="30" t="s">
        <v>183</v>
      </c>
      <c r="T95" s="30" t="s">
        <v>182</v>
      </c>
      <c r="U95" s="30" t="s">
        <v>181</v>
      </c>
      <c r="V95" s="30" t="s">
        <v>180</v>
      </c>
      <c r="W95" s="30" t="s">
        <v>179</v>
      </c>
      <c r="X95" s="30" t="s">
        <v>178</v>
      </c>
      <c r="Y95" s="30" t="s">
        <v>177</v>
      </c>
      <c r="Z95" s="30" t="s">
        <v>176</v>
      </c>
      <c r="AA95" s="30" t="s">
        <v>175</v>
      </c>
      <c r="AB95" s="30" t="s">
        <v>174</v>
      </c>
      <c r="AC95" s="30" t="s">
        <v>173</v>
      </c>
      <c r="AD95" s="30" t="s">
        <v>172</v>
      </c>
      <c r="AE95" s="30" t="s">
        <v>171</v>
      </c>
      <c r="AF95" s="30" t="s">
        <v>170</v>
      </c>
      <c r="AG95" s="30" t="s">
        <v>169</v>
      </c>
      <c r="AH95" s="30" t="s">
        <v>168</v>
      </c>
      <c r="AI95" s="30" t="s">
        <v>167</v>
      </c>
      <c r="AJ95" s="172" t="s">
        <v>166</v>
      </c>
      <c r="AK95" s="2"/>
    </row>
    <row r="96" spans="2:37" ht="19.5" customHeight="1" thickTop="1" thickBot="1" x14ac:dyDescent="0.3">
      <c r="B96" s="28"/>
      <c r="C96" s="27" t="str">
        <f>DADOS!$Z$3</f>
        <v>🏅 BÔNUS</v>
      </c>
      <c r="D96" s="26" t="str">
        <f>IF(receitasvariáveisconsolidado28[[#This Row],[TOTAL (R$)]]=0,"",IF(OR(receitasvariáveisconsolidado28[[#This Row],[TOTAL (R$)]]=LARGE($AJ$96:$AJ$103,1),receitasvariáveisconsolidado28[[#This Row],[TOTAL (R$)]]=LARGE($AJ$96:$AJ$103,2)),DADOS!$I$9,""))</f>
        <v/>
      </c>
      <c r="E96" s="189">
        <f>SUMIFS(tabela_registros[VALOR],tabela_registros[MÊS],$AE$1,tabela_registros[DIA],receitasvariáveisconsolidado28[[#Headers],[1]],tabela_registros[REGISTRO],DADOS!$N$3,tabela_registros[TIPO],DADOS!$V$4,tabela_registros[CATEGORIA],receitasvariáveisconsolidado28[[#This Row],[ATUAL]])</f>
        <v>0</v>
      </c>
      <c r="F96" s="176">
        <f>SUMIFS(tabela_registros[VALOR],tabela_registros[MÊS],$AE$1,tabela_registros[DIA],receitasvariáveisconsolidado28[[#Headers],[2]],tabela_registros[REGISTRO],DADOS!$N$3,tabela_registros[TIPO],DADOS!$V$4,tabela_registros[CATEGORIA],receitasvariáveisconsolidado28[[#This Row],[ATUAL]])</f>
        <v>0</v>
      </c>
      <c r="G96" s="176">
        <f>SUMIFS(tabela_registros[VALOR],tabela_registros[MÊS],$AE$1,tabela_registros[DIA],receitasvariáveisconsolidado28[[#Headers],[3]],tabela_registros[REGISTRO],DADOS!$N$3,tabela_registros[TIPO],DADOS!$V$4,tabela_registros[CATEGORIA],receitasvariáveisconsolidado28[[#This Row],[ATUAL]])</f>
        <v>0</v>
      </c>
      <c r="H96" s="176">
        <f>SUMIFS(tabela_registros[VALOR],tabela_registros[MÊS],$AE$1,tabela_registros[DIA],receitasvariáveisconsolidado28[[#Headers],[4]],tabela_registros[REGISTRO],DADOS!$N$3,tabela_registros[TIPO],DADOS!$V$4,tabela_registros[CATEGORIA],receitasvariáveisconsolidado28[[#This Row],[ATUAL]])</f>
        <v>0</v>
      </c>
      <c r="I96" s="176">
        <f>SUMIFS(tabela_registros[VALOR],tabela_registros[MÊS],$AE$1,tabela_registros[DIA],receitasvariáveisconsolidado28[[#Headers],[5]],tabela_registros[REGISTRO],DADOS!$N$3,tabela_registros[TIPO],DADOS!$V$4,tabela_registros[CATEGORIA],receitasvariáveisconsolidado28[[#This Row],[ATUAL]])</f>
        <v>0</v>
      </c>
      <c r="J96" s="176">
        <f>SUMIFS(tabela_registros[VALOR],tabela_registros[MÊS],$AE$1,tabela_registros[DIA],receitasvariáveisconsolidado28[[#Headers],[6]],tabela_registros[REGISTRO],DADOS!$N$3,tabela_registros[TIPO],DADOS!$V$4,tabela_registros[CATEGORIA],receitasvariáveisconsolidado28[[#This Row],[ATUAL]])</f>
        <v>0</v>
      </c>
      <c r="K96" s="176">
        <f>SUMIFS(tabela_registros[VALOR],tabela_registros[MÊS],$AE$1,tabela_registros[DIA],receitasvariáveisconsolidado28[[#Headers],[7]],tabela_registros[REGISTRO],DADOS!$N$3,tabela_registros[TIPO],DADOS!$V$4,tabela_registros[CATEGORIA],receitasvariáveisconsolidado28[[#This Row],[ATUAL]])</f>
        <v>0</v>
      </c>
      <c r="L96" s="176">
        <f>SUMIFS(tabela_registros[VALOR],tabela_registros[MÊS],$AE$1,tabela_registros[DIA],receitasvariáveisconsolidado28[[#Headers],[8]],tabela_registros[REGISTRO],DADOS!$N$3,tabela_registros[TIPO],DADOS!$V$4,tabela_registros[CATEGORIA],receitasvariáveisconsolidado28[[#This Row],[ATUAL]])</f>
        <v>0</v>
      </c>
      <c r="M96" s="176">
        <f>SUMIFS(tabela_registros[VALOR],tabela_registros[MÊS],$AE$1,tabela_registros[DIA],receitasvariáveisconsolidado28[[#Headers],[9]],tabela_registros[REGISTRO],DADOS!$N$3,tabela_registros[TIPO],DADOS!$V$4,tabela_registros[CATEGORIA],receitasvariáveisconsolidado28[[#This Row],[ATUAL]])</f>
        <v>0</v>
      </c>
      <c r="N96" s="176">
        <f>SUMIFS(tabela_registros[VALOR],tabela_registros[MÊS],$AE$1,tabela_registros[DIA],receitasvariáveisconsolidado28[[#Headers],[10]],tabela_registros[REGISTRO],DADOS!$N$3,tabela_registros[TIPO],DADOS!$V$4,tabela_registros[CATEGORIA],receitasvariáveisconsolidado28[[#This Row],[ATUAL]])</f>
        <v>0</v>
      </c>
      <c r="O96" s="176">
        <f>SUMIFS(tabela_registros[VALOR],tabela_registros[MÊS],$AE$1,tabela_registros[DIA],receitasvariáveisconsolidado28[[#Headers],[11]],tabela_registros[REGISTRO],DADOS!$N$3,tabela_registros[TIPO],DADOS!$V$4,tabela_registros[CATEGORIA],receitasvariáveisconsolidado28[[#This Row],[ATUAL]])</f>
        <v>0</v>
      </c>
      <c r="P96" s="176">
        <f>SUMIFS(tabela_registros[VALOR],tabela_registros[MÊS],$AE$1,tabela_registros[DIA],receitasvariáveisconsolidado28[[#Headers],[12]],tabela_registros[REGISTRO],DADOS!$N$3,tabela_registros[TIPO],DADOS!$V$4,tabela_registros[CATEGORIA],receitasvariáveisconsolidado28[[#This Row],[ATUAL]])</f>
        <v>0</v>
      </c>
      <c r="Q96" s="176">
        <f>SUMIFS(tabela_registros[VALOR],tabela_registros[MÊS],$AE$1,tabela_registros[DIA],receitasvariáveisconsolidado28[[#Headers],[13]],tabela_registros[REGISTRO],DADOS!$N$3,tabela_registros[TIPO],DADOS!$V$4,tabela_registros[CATEGORIA],receitasvariáveisconsolidado28[[#This Row],[ATUAL]])</f>
        <v>0</v>
      </c>
      <c r="R96" s="176">
        <f>SUMIFS(tabela_registros[VALOR],tabela_registros[MÊS],$AE$1,tabela_registros[DIA],receitasvariáveisconsolidado28[[#Headers],[14]],tabela_registros[REGISTRO],DADOS!$N$3,tabela_registros[TIPO],DADOS!$V$4,tabela_registros[CATEGORIA],receitasvariáveisconsolidado28[[#This Row],[ATUAL]])</f>
        <v>0</v>
      </c>
      <c r="S96" s="176">
        <f>SUMIFS(tabela_registros[VALOR],tabela_registros[MÊS],$AE$1,tabela_registros[DIA],receitasvariáveisconsolidado28[[#Headers],[15]],tabela_registros[REGISTRO],DADOS!$N$3,tabela_registros[TIPO],DADOS!$V$4,tabela_registros[CATEGORIA],receitasvariáveisconsolidado28[[#This Row],[ATUAL]])</f>
        <v>0</v>
      </c>
      <c r="T96" s="176">
        <f>SUMIFS(tabela_registros[VALOR],tabela_registros[MÊS],$AE$1,tabela_registros[DIA],receitasvariáveisconsolidado28[[#Headers],[16]],tabela_registros[REGISTRO],DADOS!$N$3,tabela_registros[TIPO],DADOS!$V$4,tabela_registros[CATEGORIA],receitasvariáveisconsolidado28[[#This Row],[ATUAL]])</f>
        <v>0</v>
      </c>
      <c r="U96" s="176">
        <f>SUMIFS(tabela_registros[VALOR],tabela_registros[MÊS],$AE$1,tabela_registros[DIA],receitasvariáveisconsolidado28[[#Headers],[17]],tabela_registros[REGISTRO],DADOS!$N$3,tabela_registros[TIPO],DADOS!$V$4,tabela_registros[CATEGORIA],receitasvariáveisconsolidado28[[#This Row],[ATUAL]])</f>
        <v>0</v>
      </c>
      <c r="V96" s="176">
        <f>SUMIFS(tabela_registros[VALOR],tabela_registros[MÊS],$AE$1,tabela_registros[DIA],receitasvariáveisconsolidado28[[#Headers],[18]],tabela_registros[REGISTRO],DADOS!$N$3,tabela_registros[TIPO],DADOS!$V$4,tabela_registros[CATEGORIA],receitasvariáveisconsolidado28[[#This Row],[ATUAL]])</f>
        <v>0</v>
      </c>
      <c r="W96" s="176">
        <f>SUMIFS(tabela_registros[VALOR],tabela_registros[MÊS],$AE$1,tabela_registros[DIA],receitasvariáveisconsolidado28[[#Headers],[19]],tabela_registros[REGISTRO],DADOS!$N$3,tabela_registros[TIPO],DADOS!$V$4,tabela_registros[CATEGORIA],receitasvariáveisconsolidado28[[#This Row],[ATUAL]])</f>
        <v>0</v>
      </c>
      <c r="X96" s="176">
        <f>SUMIFS(tabela_registros[VALOR],tabela_registros[MÊS],$AE$1,tabela_registros[DIA],receitasvariáveisconsolidado28[[#Headers],[20]],tabela_registros[REGISTRO],DADOS!$N$3,tabela_registros[TIPO],DADOS!$V$4,tabela_registros[CATEGORIA],receitasvariáveisconsolidado28[[#This Row],[ATUAL]])</f>
        <v>0</v>
      </c>
      <c r="Y96" s="176">
        <f>SUMIFS(tabela_registros[VALOR],tabela_registros[MÊS],$AE$1,tabela_registros[DIA],receitasvariáveisconsolidado28[[#Headers],[21]],tabela_registros[REGISTRO],DADOS!$N$3,tabela_registros[TIPO],DADOS!$V$4,tabela_registros[CATEGORIA],receitasvariáveisconsolidado28[[#This Row],[ATUAL]])</f>
        <v>0</v>
      </c>
      <c r="Z96" s="176">
        <f>SUMIFS(tabela_registros[VALOR],tabela_registros[MÊS],$AE$1,tabela_registros[DIA],receitasvariáveisconsolidado28[[#Headers],[22]],tabela_registros[REGISTRO],DADOS!$N$3,tabela_registros[TIPO],DADOS!$V$4,tabela_registros[CATEGORIA],receitasvariáveisconsolidado28[[#This Row],[ATUAL]])</f>
        <v>0</v>
      </c>
      <c r="AA96" s="176">
        <f>SUMIFS(tabela_registros[VALOR],tabela_registros[MÊS],$AE$1,tabela_registros[DIA],receitasvariáveisconsolidado28[[#Headers],[23]],tabela_registros[REGISTRO],DADOS!$N$3,tabela_registros[TIPO],DADOS!$V$4,tabela_registros[CATEGORIA],receitasvariáveisconsolidado28[[#This Row],[ATUAL]])</f>
        <v>0</v>
      </c>
      <c r="AB96" s="176">
        <f>SUMIFS(tabela_registros[VALOR],tabela_registros[MÊS],$AE$1,tabela_registros[DIA],receitasvariáveisconsolidado28[[#Headers],[24]],tabela_registros[REGISTRO],DADOS!$N$3,tabela_registros[TIPO],DADOS!$V$4,tabela_registros[CATEGORIA],receitasvariáveisconsolidado28[[#This Row],[ATUAL]])</f>
        <v>0</v>
      </c>
      <c r="AC96" s="176">
        <f>SUMIFS(tabela_registros[VALOR],tabela_registros[MÊS],$AE$1,tabela_registros[DIA],receitasvariáveisconsolidado28[[#Headers],[25]],tabela_registros[REGISTRO],DADOS!$N$3,tabela_registros[TIPO],DADOS!$V$4,tabela_registros[CATEGORIA],receitasvariáveisconsolidado28[[#This Row],[ATUAL]])</f>
        <v>0</v>
      </c>
      <c r="AD96" s="176">
        <f>SUMIFS(tabela_registros[VALOR],tabela_registros[MÊS],$AE$1,tabela_registros[DIA],receitasvariáveisconsolidado28[[#Headers],[26]],tabela_registros[REGISTRO],DADOS!$N$3,tabela_registros[TIPO],DADOS!$V$4,tabela_registros[CATEGORIA],receitasvariáveisconsolidado28[[#This Row],[ATUAL]])</f>
        <v>0</v>
      </c>
      <c r="AE96" s="176">
        <f>SUMIFS(tabela_registros[VALOR],tabela_registros[MÊS],$AE$1,tabela_registros[DIA],receitasvariáveisconsolidado28[[#Headers],[27]],tabela_registros[REGISTRO],DADOS!$N$3,tabela_registros[TIPO],DADOS!$V$4,tabela_registros[CATEGORIA],receitasvariáveisconsolidado28[[#This Row],[ATUAL]])</f>
        <v>0</v>
      </c>
      <c r="AF96" s="176">
        <f>SUMIFS(tabela_registros[VALOR],tabela_registros[MÊS],$AE$1,tabela_registros[DIA],receitasvariáveisconsolidado28[[#Headers],[28]],tabela_registros[REGISTRO],DADOS!$N$3,tabela_registros[TIPO],DADOS!$V$4,tabela_registros[CATEGORIA],receitasvariáveisconsolidado28[[#This Row],[ATUAL]])</f>
        <v>0</v>
      </c>
      <c r="AG96" s="176">
        <f>SUMIFS(tabela_registros[VALOR],tabela_registros[MÊS],$AE$1,tabela_registros[DIA],receitasvariáveisconsolidado28[[#Headers],[29]],tabela_registros[REGISTRO],DADOS!$N$3,tabela_registros[TIPO],DADOS!$V$4,tabela_registros[CATEGORIA],receitasvariáveisconsolidado28[[#This Row],[ATUAL]])</f>
        <v>0</v>
      </c>
      <c r="AH96" s="176">
        <f>SUMIFS(tabela_registros[VALOR],tabela_registros[MÊS],$AE$1,tabela_registros[DIA],receitasvariáveisconsolidado28[[#Headers],[30]],tabela_registros[REGISTRO],DADOS!$N$3,tabela_registros[TIPO],DADOS!$V$4,tabela_registros[CATEGORIA],receitasvariáveisconsolidado28[[#This Row],[ATUAL]])</f>
        <v>0</v>
      </c>
      <c r="AI96" s="190">
        <f>SUMIFS(tabela_registros[VALOR],tabela_registros[MÊS],$AE$1,tabela_registros[DIA],receitasvariáveisconsolidado28[[#Headers],[31]],tabela_registros[REGISTRO],DADOS!$N$3,tabela_registros[TIPO],DADOS!$V$4,tabela_registros[CATEGORIA],receitasvariáveisconsolidado28[[#This Row],[ATUAL]])</f>
        <v>0</v>
      </c>
      <c r="AJ96" s="167">
        <f>SUM(receitasvariáveisconsolidado28[[#This Row],[1]:[31]])</f>
        <v>0</v>
      </c>
      <c r="AK96" s="25"/>
    </row>
    <row r="97" spans="2:37" ht="19.5" customHeight="1" thickTop="1" thickBot="1" x14ac:dyDescent="0.3">
      <c r="B97" s="28"/>
      <c r="C97" s="27" t="str">
        <f>DADOS!$Z$4</f>
        <v>🤑 COMISSÃO</v>
      </c>
      <c r="D97" s="26" t="str">
        <f>IF(receitasvariáveisconsolidado28[[#This Row],[TOTAL (R$)]]=0,"",IF(OR(receitasvariáveisconsolidado28[[#This Row],[TOTAL (R$)]]=LARGE($AJ$96:$AJ$103,1),receitasvariáveisconsolidado28[[#This Row],[TOTAL (R$)]]=LARGE($AJ$96:$AJ$103,2)),DADOS!$I$9,""))</f>
        <v>🐄</v>
      </c>
      <c r="E97" s="189">
        <f>SUMIFS(tabela_registros[VALOR],tabela_registros[MÊS],$AE$1,tabela_registros[DIA],receitasvariáveisconsolidado28[[#Headers],[1]],tabela_registros[REGISTRO],DADOS!$N$3,tabela_registros[TIPO],DADOS!$V$4,tabela_registros[CATEGORIA],receitasvariáveisconsolidado28[[#This Row],[ATUAL]])</f>
        <v>0</v>
      </c>
      <c r="F97" s="176">
        <f>SUMIFS(tabela_registros[VALOR],tabela_registros[MÊS],$AE$1,tabela_registros[DIA],receitasvariáveisconsolidado28[[#Headers],[2]],tabela_registros[REGISTRO],DADOS!$N$3,tabela_registros[TIPO],DADOS!$V$4,tabela_registros[CATEGORIA],receitasvariáveisconsolidado28[[#This Row],[ATUAL]])</f>
        <v>0</v>
      </c>
      <c r="G97" s="176">
        <f>SUMIFS(tabela_registros[VALOR],tabela_registros[MÊS],$AE$1,tabela_registros[DIA],receitasvariáveisconsolidado28[[#Headers],[3]],tabela_registros[REGISTRO],DADOS!$N$3,tabela_registros[TIPO],DADOS!$V$4,tabela_registros[CATEGORIA],receitasvariáveisconsolidado28[[#This Row],[ATUAL]])</f>
        <v>0</v>
      </c>
      <c r="H97" s="176">
        <f>SUMIFS(tabela_registros[VALOR],tabela_registros[MÊS],$AE$1,tabela_registros[DIA],receitasvariáveisconsolidado28[[#Headers],[4]],tabela_registros[REGISTRO],DADOS!$N$3,tabela_registros[TIPO],DADOS!$V$4,tabela_registros[CATEGORIA],receitasvariáveisconsolidado28[[#This Row],[ATUAL]])</f>
        <v>0</v>
      </c>
      <c r="I97" s="176">
        <f>SUMIFS(tabela_registros[VALOR],tabela_registros[MÊS],$AE$1,tabela_registros[DIA],receitasvariáveisconsolidado28[[#Headers],[5]],tabela_registros[REGISTRO],DADOS!$N$3,tabela_registros[TIPO],DADOS!$V$4,tabela_registros[CATEGORIA],receitasvariáveisconsolidado28[[#This Row],[ATUAL]])</f>
        <v>0</v>
      </c>
      <c r="J97" s="176">
        <f>SUMIFS(tabela_registros[VALOR],tabela_registros[MÊS],$AE$1,tabela_registros[DIA],receitasvariáveisconsolidado28[[#Headers],[6]],tabela_registros[REGISTRO],DADOS!$N$3,tabela_registros[TIPO],DADOS!$V$4,tabela_registros[CATEGORIA],receitasvariáveisconsolidado28[[#This Row],[ATUAL]])</f>
        <v>0</v>
      </c>
      <c r="K97" s="176">
        <f>SUMIFS(tabela_registros[VALOR],tabela_registros[MÊS],$AE$1,tabela_registros[DIA],receitasvariáveisconsolidado28[[#Headers],[7]],tabela_registros[REGISTRO],DADOS!$N$3,tabela_registros[TIPO],DADOS!$V$4,tabela_registros[CATEGORIA],receitasvariáveisconsolidado28[[#This Row],[ATUAL]])</f>
        <v>0</v>
      </c>
      <c r="L97" s="176">
        <f>SUMIFS(tabela_registros[VALOR],tabela_registros[MÊS],$AE$1,tabela_registros[DIA],receitasvariáveisconsolidado28[[#Headers],[8]],tabela_registros[REGISTRO],DADOS!$N$3,tabela_registros[TIPO],DADOS!$V$4,tabela_registros[CATEGORIA],receitasvariáveisconsolidado28[[#This Row],[ATUAL]])</f>
        <v>0</v>
      </c>
      <c r="M97" s="176">
        <f>SUMIFS(tabela_registros[VALOR],tabela_registros[MÊS],$AE$1,tabela_registros[DIA],receitasvariáveisconsolidado28[[#Headers],[9]],tabela_registros[REGISTRO],DADOS!$N$3,tabela_registros[TIPO],DADOS!$V$4,tabela_registros[CATEGORIA],receitasvariáveisconsolidado28[[#This Row],[ATUAL]])</f>
        <v>0</v>
      </c>
      <c r="N97" s="176">
        <f>SUMIFS(tabela_registros[VALOR],tabela_registros[MÊS],$AE$1,tabela_registros[DIA],receitasvariáveisconsolidado28[[#Headers],[10]],tabela_registros[REGISTRO],DADOS!$N$3,tabela_registros[TIPO],DADOS!$V$4,tabela_registros[CATEGORIA],receitasvariáveisconsolidado28[[#This Row],[ATUAL]])</f>
        <v>0</v>
      </c>
      <c r="O97" s="176">
        <f>SUMIFS(tabela_registros[VALOR],tabela_registros[MÊS],$AE$1,tabela_registros[DIA],receitasvariáveisconsolidado28[[#Headers],[11]],tabela_registros[REGISTRO],DADOS!$N$3,tabela_registros[TIPO],DADOS!$V$4,tabela_registros[CATEGORIA],receitasvariáveisconsolidado28[[#This Row],[ATUAL]])</f>
        <v>122.5</v>
      </c>
      <c r="P97" s="176">
        <f>SUMIFS(tabela_registros[VALOR],tabela_registros[MÊS],$AE$1,tabela_registros[DIA],receitasvariáveisconsolidado28[[#Headers],[12]],tabela_registros[REGISTRO],DADOS!$N$3,tabela_registros[TIPO],DADOS!$V$4,tabela_registros[CATEGORIA],receitasvariáveisconsolidado28[[#This Row],[ATUAL]])</f>
        <v>0</v>
      </c>
      <c r="Q97" s="176">
        <f>SUMIFS(tabela_registros[VALOR],tabela_registros[MÊS],$AE$1,tabela_registros[DIA],receitasvariáveisconsolidado28[[#Headers],[13]],tabela_registros[REGISTRO],DADOS!$N$3,tabela_registros[TIPO],DADOS!$V$4,tabela_registros[CATEGORIA],receitasvariáveisconsolidado28[[#This Row],[ATUAL]])</f>
        <v>0</v>
      </c>
      <c r="R97" s="176">
        <f>SUMIFS(tabela_registros[VALOR],tabela_registros[MÊS],$AE$1,tabela_registros[DIA],receitasvariáveisconsolidado28[[#Headers],[14]],tabela_registros[REGISTRO],DADOS!$N$3,tabela_registros[TIPO],DADOS!$V$4,tabela_registros[CATEGORIA],receitasvariáveisconsolidado28[[#This Row],[ATUAL]])</f>
        <v>0</v>
      </c>
      <c r="S97" s="176">
        <f>SUMIFS(tabela_registros[VALOR],tabela_registros[MÊS],$AE$1,tabela_registros[DIA],receitasvariáveisconsolidado28[[#Headers],[15]],tabela_registros[REGISTRO],DADOS!$N$3,tabela_registros[TIPO],DADOS!$V$4,tabela_registros[CATEGORIA],receitasvariáveisconsolidado28[[#This Row],[ATUAL]])</f>
        <v>0</v>
      </c>
      <c r="T97" s="176">
        <f>SUMIFS(tabela_registros[VALOR],tabela_registros[MÊS],$AE$1,tabela_registros[DIA],receitasvariáveisconsolidado28[[#Headers],[16]],tabela_registros[REGISTRO],DADOS!$N$3,tabela_registros[TIPO],DADOS!$V$4,tabela_registros[CATEGORIA],receitasvariáveisconsolidado28[[#This Row],[ATUAL]])</f>
        <v>0</v>
      </c>
      <c r="U97" s="176">
        <f>SUMIFS(tabela_registros[VALOR],tabela_registros[MÊS],$AE$1,tabela_registros[DIA],receitasvariáveisconsolidado28[[#Headers],[17]],tabela_registros[REGISTRO],DADOS!$N$3,tabela_registros[TIPO],DADOS!$V$4,tabela_registros[CATEGORIA],receitasvariáveisconsolidado28[[#This Row],[ATUAL]])</f>
        <v>0</v>
      </c>
      <c r="V97" s="176">
        <f>SUMIFS(tabela_registros[VALOR],tabela_registros[MÊS],$AE$1,tabela_registros[DIA],receitasvariáveisconsolidado28[[#Headers],[18]],tabela_registros[REGISTRO],DADOS!$N$3,tabela_registros[TIPO],DADOS!$V$4,tabela_registros[CATEGORIA],receitasvariáveisconsolidado28[[#This Row],[ATUAL]])</f>
        <v>0</v>
      </c>
      <c r="W97" s="176">
        <f>SUMIFS(tabela_registros[VALOR],tabela_registros[MÊS],$AE$1,tabela_registros[DIA],receitasvariáveisconsolidado28[[#Headers],[19]],tabela_registros[REGISTRO],DADOS!$N$3,tabela_registros[TIPO],DADOS!$V$4,tabela_registros[CATEGORIA],receitasvariáveisconsolidado28[[#This Row],[ATUAL]])</f>
        <v>0</v>
      </c>
      <c r="X97" s="176">
        <f>SUMIFS(tabela_registros[VALOR],tabela_registros[MÊS],$AE$1,tabela_registros[DIA],receitasvariáveisconsolidado28[[#Headers],[20]],tabela_registros[REGISTRO],DADOS!$N$3,tabela_registros[TIPO],DADOS!$V$4,tabela_registros[CATEGORIA],receitasvariáveisconsolidado28[[#This Row],[ATUAL]])</f>
        <v>0</v>
      </c>
      <c r="Y97" s="176">
        <f>SUMIFS(tabela_registros[VALOR],tabela_registros[MÊS],$AE$1,tabela_registros[DIA],receitasvariáveisconsolidado28[[#Headers],[21]],tabela_registros[REGISTRO],DADOS!$N$3,tabela_registros[TIPO],DADOS!$V$4,tabela_registros[CATEGORIA],receitasvariáveisconsolidado28[[#This Row],[ATUAL]])</f>
        <v>0</v>
      </c>
      <c r="Z97" s="176">
        <f>SUMIFS(tabela_registros[VALOR],tabela_registros[MÊS],$AE$1,tabela_registros[DIA],receitasvariáveisconsolidado28[[#Headers],[22]],tabela_registros[REGISTRO],DADOS!$N$3,tabela_registros[TIPO],DADOS!$V$4,tabela_registros[CATEGORIA],receitasvariáveisconsolidado28[[#This Row],[ATUAL]])</f>
        <v>0</v>
      </c>
      <c r="AA97" s="176">
        <f>SUMIFS(tabela_registros[VALOR],tabela_registros[MÊS],$AE$1,tabela_registros[DIA],receitasvariáveisconsolidado28[[#Headers],[23]],tabela_registros[REGISTRO],DADOS!$N$3,tabela_registros[TIPO],DADOS!$V$4,tabela_registros[CATEGORIA],receitasvariáveisconsolidado28[[#This Row],[ATUAL]])</f>
        <v>0</v>
      </c>
      <c r="AB97" s="176">
        <f>SUMIFS(tabela_registros[VALOR],tabela_registros[MÊS],$AE$1,tabela_registros[DIA],receitasvariáveisconsolidado28[[#Headers],[24]],tabela_registros[REGISTRO],DADOS!$N$3,tabela_registros[TIPO],DADOS!$V$4,tabela_registros[CATEGORIA],receitasvariáveisconsolidado28[[#This Row],[ATUAL]])</f>
        <v>0</v>
      </c>
      <c r="AC97" s="176">
        <f>SUMIFS(tabela_registros[VALOR],tabela_registros[MÊS],$AE$1,tabela_registros[DIA],receitasvariáveisconsolidado28[[#Headers],[25]],tabela_registros[REGISTRO],DADOS!$N$3,tabela_registros[TIPO],DADOS!$V$4,tabela_registros[CATEGORIA],receitasvariáveisconsolidado28[[#This Row],[ATUAL]])</f>
        <v>0</v>
      </c>
      <c r="AD97" s="176">
        <f>SUMIFS(tabela_registros[VALOR],tabela_registros[MÊS],$AE$1,tabela_registros[DIA],receitasvariáveisconsolidado28[[#Headers],[26]],tabela_registros[REGISTRO],DADOS!$N$3,tabela_registros[TIPO],DADOS!$V$4,tabela_registros[CATEGORIA],receitasvariáveisconsolidado28[[#This Row],[ATUAL]])</f>
        <v>0</v>
      </c>
      <c r="AE97" s="176">
        <f>SUMIFS(tabela_registros[VALOR],tabela_registros[MÊS],$AE$1,tabela_registros[DIA],receitasvariáveisconsolidado28[[#Headers],[27]],tabela_registros[REGISTRO],DADOS!$N$3,tabela_registros[TIPO],DADOS!$V$4,tabela_registros[CATEGORIA],receitasvariáveisconsolidado28[[#This Row],[ATUAL]])</f>
        <v>0</v>
      </c>
      <c r="AF97" s="176">
        <f>SUMIFS(tabela_registros[VALOR],tabela_registros[MÊS],$AE$1,tabela_registros[DIA],receitasvariáveisconsolidado28[[#Headers],[28]],tabela_registros[REGISTRO],DADOS!$N$3,tabela_registros[TIPO],DADOS!$V$4,tabela_registros[CATEGORIA],receitasvariáveisconsolidado28[[#This Row],[ATUAL]])</f>
        <v>0</v>
      </c>
      <c r="AG97" s="176">
        <f>SUMIFS(tabela_registros[VALOR],tabela_registros[MÊS],$AE$1,tabela_registros[DIA],receitasvariáveisconsolidado28[[#Headers],[29]],tabela_registros[REGISTRO],DADOS!$N$3,tabela_registros[TIPO],DADOS!$V$4,tabela_registros[CATEGORIA],receitasvariáveisconsolidado28[[#This Row],[ATUAL]])</f>
        <v>0</v>
      </c>
      <c r="AH97" s="176">
        <f>SUMIFS(tabela_registros[VALOR],tabela_registros[MÊS],$AE$1,tabela_registros[DIA],receitasvariáveisconsolidado28[[#Headers],[30]],tabela_registros[REGISTRO],DADOS!$N$3,tabela_registros[TIPO],DADOS!$V$4,tabela_registros[CATEGORIA],receitasvariáveisconsolidado28[[#This Row],[ATUAL]])</f>
        <v>0</v>
      </c>
      <c r="AI97" s="190">
        <f>SUMIFS(tabela_registros[VALOR],tabela_registros[MÊS],$AE$1,tabela_registros[DIA],receitasvariáveisconsolidado28[[#Headers],[31]],tabela_registros[REGISTRO],DADOS!$N$3,tabela_registros[TIPO],DADOS!$V$4,tabela_registros[CATEGORIA],receitasvariáveisconsolidado28[[#This Row],[ATUAL]])</f>
        <v>0</v>
      </c>
      <c r="AJ97" s="167">
        <f>SUM(receitasvariáveisconsolidado28[[#This Row],[1]:[31]])</f>
        <v>122.5</v>
      </c>
      <c r="AK97" s="25"/>
    </row>
    <row r="98" spans="2:37" ht="19.5" customHeight="1" thickTop="1" thickBot="1" x14ac:dyDescent="0.3">
      <c r="B98" s="28"/>
      <c r="C98" s="27" t="str">
        <f>DADOS!$Z$5</f>
        <v>🎗️ HERANÇA</v>
      </c>
      <c r="D98" s="26" t="str">
        <f>IF(receitasvariáveisconsolidado28[[#This Row],[TOTAL (R$)]]=0,"",IF(OR(receitasvariáveisconsolidado28[[#This Row],[TOTAL (R$)]]=LARGE($AJ$96:$AJ$103,1),receitasvariáveisconsolidado28[[#This Row],[TOTAL (R$)]]=LARGE($AJ$96:$AJ$103,2)),DADOS!$I$9,""))</f>
        <v/>
      </c>
      <c r="E98" s="189">
        <f>SUMIFS(tabela_registros[VALOR],tabela_registros[MÊS],$AE$1,tabela_registros[DIA],receitasvariáveisconsolidado28[[#Headers],[1]],tabela_registros[REGISTRO],DADOS!$N$3,tabela_registros[TIPO],DADOS!$V$4,tabela_registros[CATEGORIA],receitasvariáveisconsolidado28[[#This Row],[ATUAL]])</f>
        <v>0</v>
      </c>
      <c r="F98" s="176">
        <f>SUMIFS(tabela_registros[VALOR],tabela_registros[MÊS],$AE$1,tabela_registros[DIA],receitasvariáveisconsolidado28[[#Headers],[2]],tabela_registros[REGISTRO],DADOS!$N$3,tabela_registros[TIPO],DADOS!$V$4,tabela_registros[CATEGORIA],receitasvariáveisconsolidado28[[#This Row],[ATUAL]])</f>
        <v>0</v>
      </c>
      <c r="G98" s="176">
        <f>SUMIFS(tabela_registros[VALOR],tabela_registros[MÊS],$AE$1,tabela_registros[DIA],receitasvariáveisconsolidado28[[#Headers],[3]],tabela_registros[REGISTRO],DADOS!$N$3,tabela_registros[TIPO],DADOS!$V$4,tabela_registros[CATEGORIA],receitasvariáveisconsolidado28[[#This Row],[ATUAL]])</f>
        <v>0</v>
      </c>
      <c r="H98" s="176">
        <f>SUMIFS(tabela_registros[VALOR],tabela_registros[MÊS],$AE$1,tabela_registros[DIA],receitasvariáveisconsolidado28[[#Headers],[4]],tabela_registros[REGISTRO],DADOS!$N$3,tabela_registros[TIPO],DADOS!$V$4,tabela_registros[CATEGORIA],receitasvariáveisconsolidado28[[#This Row],[ATUAL]])</f>
        <v>0</v>
      </c>
      <c r="I98" s="176">
        <f>SUMIFS(tabela_registros[VALOR],tabela_registros[MÊS],$AE$1,tabela_registros[DIA],receitasvariáveisconsolidado28[[#Headers],[5]],tabela_registros[REGISTRO],DADOS!$N$3,tabela_registros[TIPO],DADOS!$V$4,tabela_registros[CATEGORIA],receitasvariáveisconsolidado28[[#This Row],[ATUAL]])</f>
        <v>0</v>
      </c>
      <c r="J98" s="176">
        <f>SUMIFS(tabela_registros[VALOR],tabela_registros[MÊS],$AE$1,tabela_registros[DIA],receitasvariáveisconsolidado28[[#Headers],[6]],tabela_registros[REGISTRO],DADOS!$N$3,tabela_registros[TIPO],DADOS!$V$4,tabela_registros[CATEGORIA],receitasvariáveisconsolidado28[[#This Row],[ATUAL]])</f>
        <v>0</v>
      </c>
      <c r="K98" s="176">
        <f>SUMIFS(tabela_registros[VALOR],tabela_registros[MÊS],$AE$1,tabela_registros[DIA],receitasvariáveisconsolidado28[[#Headers],[7]],tabela_registros[REGISTRO],DADOS!$N$3,tabela_registros[TIPO],DADOS!$V$4,tabela_registros[CATEGORIA],receitasvariáveisconsolidado28[[#This Row],[ATUAL]])</f>
        <v>0</v>
      </c>
      <c r="L98" s="176">
        <f>SUMIFS(tabela_registros[VALOR],tabela_registros[MÊS],$AE$1,tabela_registros[DIA],receitasvariáveisconsolidado28[[#Headers],[8]],tabela_registros[REGISTRO],DADOS!$N$3,tabela_registros[TIPO],DADOS!$V$4,tabela_registros[CATEGORIA],receitasvariáveisconsolidado28[[#This Row],[ATUAL]])</f>
        <v>0</v>
      </c>
      <c r="M98" s="176">
        <f>SUMIFS(tabela_registros[VALOR],tabela_registros[MÊS],$AE$1,tabela_registros[DIA],receitasvariáveisconsolidado28[[#Headers],[9]],tabela_registros[REGISTRO],DADOS!$N$3,tabela_registros[TIPO],DADOS!$V$4,tabela_registros[CATEGORIA],receitasvariáveisconsolidado28[[#This Row],[ATUAL]])</f>
        <v>0</v>
      </c>
      <c r="N98" s="176">
        <f>SUMIFS(tabela_registros[VALOR],tabela_registros[MÊS],$AE$1,tabela_registros[DIA],receitasvariáveisconsolidado28[[#Headers],[10]],tabela_registros[REGISTRO],DADOS!$N$3,tabela_registros[TIPO],DADOS!$V$4,tabela_registros[CATEGORIA],receitasvariáveisconsolidado28[[#This Row],[ATUAL]])</f>
        <v>0</v>
      </c>
      <c r="O98" s="176">
        <f>SUMIFS(tabela_registros[VALOR],tabela_registros[MÊS],$AE$1,tabela_registros[DIA],receitasvariáveisconsolidado28[[#Headers],[11]],tabela_registros[REGISTRO],DADOS!$N$3,tabela_registros[TIPO],DADOS!$V$4,tabela_registros[CATEGORIA],receitasvariáveisconsolidado28[[#This Row],[ATUAL]])</f>
        <v>0</v>
      </c>
      <c r="P98" s="176">
        <f>SUMIFS(tabela_registros[VALOR],tabela_registros[MÊS],$AE$1,tabela_registros[DIA],receitasvariáveisconsolidado28[[#Headers],[12]],tabela_registros[REGISTRO],DADOS!$N$3,tabela_registros[TIPO],DADOS!$V$4,tabela_registros[CATEGORIA],receitasvariáveisconsolidado28[[#This Row],[ATUAL]])</f>
        <v>0</v>
      </c>
      <c r="Q98" s="176">
        <f>SUMIFS(tabela_registros[VALOR],tabela_registros[MÊS],$AE$1,tabela_registros[DIA],receitasvariáveisconsolidado28[[#Headers],[13]],tabela_registros[REGISTRO],DADOS!$N$3,tabela_registros[TIPO],DADOS!$V$4,tabela_registros[CATEGORIA],receitasvariáveisconsolidado28[[#This Row],[ATUAL]])</f>
        <v>0</v>
      </c>
      <c r="R98" s="176">
        <f>SUMIFS(tabela_registros[VALOR],tabela_registros[MÊS],$AE$1,tabela_registros[DIA],receitasvariáveisconsolidado28[[#Headers],[14]],tabela_registros[REGISTRO],DADOS!$N$3,tabela_registros[TIPO],DADOS!$V$4,tabela_registros[CATEGORIA],receitasvariáveisconsolidado28[[#This Row],[ATUAL]])</f>
        <v>0</v>
      </c>
      <c r="S98" s="176">
        <f>SUMIFS(tabela_registros[VALOR],tabela_registros[MÊS],$AE$1,tabela_registros[DIA],receitasvariáveisconsolidado28[[#Headers],[15]],tabela_registros[REGISTRO],DADOS!$N$3,tabela_registros[TIPO],DADOS!$V$4,tabela_registros[CATEGORIA],receitasvariáveisconsolidado28[[#This Row],[ATUAL]])</f>
        <v>0</v>
      </c>
      <c r="T98" s="176">
        <f>SUMIFS(tabela_registros[VALOR],tabela_registros[MÊS],$AE$1,tabela_registros[DIA],receitasvariáveisconsolidado28[[#Headers],[16]],tabela_registros[REGISTRO],DADOS!$N$3,tabela_registros[TIPO],DADOS!$V$4,tabela_registros[CATEGORIA],receitasvariáveisconsolidado28[[#This Row],[ATUAL]])</f>
        <v>0</v>
      </c>
      <c r="U98" s="176">
        <f>SUMIFS(tabela_registros[VALOR],tabela_registros[MÊS],$AE$1,tabela_registros[DIA],receitasvariáveisconsolidado28[[#Headers],[17]],tabela_registros[REGISTRO],DADOS!$N$3,tabela_registros[TIPO],DADOS!$V$4,tabela_registros[CATEGORIA],receitasvariáveisconsolidado28[[#This Row],[ATUAL]])</f>
        <v>0</v>
      </c>
      <c r="V98" s="176">
        <f>SUMIFS(tabela_registros[VALOR],tabela_registros[MÊS],$AE$1,tabela_registros[DIA],receitasvariáveisconsolidado28[[#Headers],[18]],tabela_registros[REGISTRO],DADOS!$N$3,tabela_registros[TIPO],DADOS!$V$4,tabela_registros[CATEGORIA],receitasvariáveisconsolidado28[[#This Row],[ATUAL]])</f>
        <v>0</v>
      </c>
      <c r="W98" s="176">
        <f>SUMIFS(tabela_registros[VALOR],tabela_registros[MÊS],$AE$1,tabela_registros[DIA],receitasvariáveisconsolidado28[[#Headers],[19]],tabela_registros[REGISTRO],DADOS!$N$3,tabela_registros[TIPO],DADOS!$V$4,tabela_registros[CATEGORIA],receitasvariáveisconsolidado28[[#This Row],[ATUAL]])</f>
        <v>0</v>
      </c>
      <c r="X98" s="176">
        <f>SUMIFS(tabela_registros[VALOR],tabela_registros[MÊS],$AE$1,tabela_registros[DIA],receitasvariáveisconsolidado28[[#Headers],[20]],tabela_registros[REGISTRO],DADOS!$N$3,tabela_registros[TIPO],DADOS!$V$4,tabela_registros[CATEGORIA],receitasvariáveisconsolidado28[[#This Row],[ATUAL]])</f>
        <v>0</v>
      </c>
      <c r="Y98" s="176">
        <f>SUMIFS(tabela_registros[VALOR],tabela_registros[MÊS],$AE$1,tabela_registros[DIA],receitasvariáveisconsolidado28[[#Headers],[21]],tabela_registros[REGISTRO],DADOS!$N$3,tabela_registros[TIPO],DADOS!$V$4,tabela_registros[CATEGORIA],receitasvariáveisconsolidado28[[#This Row],[ATUAL]])</f>
        <v>0</v>
      </c>
      <c r="Z98" s="176">
        <f>SUMIFS(tabela_registros[VALOR],tabela_registros[MÊS],$AE$1,tabela_registros[DIA],receitasvariáveisconsolidado28[[#Headers],[22]],tabela_registros[REGISTRO],DADOS!$N$3,tabela_registros[TIPO],DADOS!$V$4,tabela_registros[CATEGORIA],receitasvariáveisconsolidado28[[#This Row],[ATUAL]])</f>
        <v>0</v>
      </c>
      <c r="AA98" s="176">
        <f>SUMIFS(tabela_registros[VALOR],tabela_registros[MÊS],$AE$1,tabela_registros[DIA],receitasvariáveisconsolidado28[[#Headers],[23]],tabela_registros[REGISTRO],DADOS!$N$3,tabela_registros[TIPO],DADOS!$V$4,tabela_registros[CATEGORIA],receitasvariáveisconsolidado28[[#This Row],[ATUAL]])</f>
        <v>0</v>
      </c>
      <c r="AB98" s="176">
        <f>SUMIFS(tabela_registros[VALOR],tabela_registros[MÊS],$AE$1,tabela_registros[DIA],receitasvariáveisconsolidado28[[#Headers],[24]],tabela_registros[REGISTRO],DADOS!$N$3,tabela_registros[TIPO],DADOS!$V$4,tabela_registros[CATEGORIA],receitasvariáveisconsolidado28[[#This Row],[ATUAL]])</f>
        <v>0</v>
      </c>
      <c r="AC98" s="176">
        <f>SUMIFS(tabela_registros[VALOR],tabela_registros[MÊS],$AE$1,tabela_registros[DIA],receitasvariáveisconsolidado28[[#Headers],[25]],tabela_registros[REGISTRO],DADOS!$N$3,tabela_registros[TIPO],DADOS!$V$4,tabela_registros[CATEGORIA],receitasvariáveisconsolidado28[[#This Row],[ATUAL]])</f>
        <v>0</v>
      </c>
      <c r="AD98" s="176">
        <f>SUMIFS(tabela_registros[VALOR],tabela_registros[MÊS],$AE$1,tabela_registros[DIA],receitasvariáveisconsolidado28[[#Headers],[26]],tabela_registros[REGISTRO],DADOS!$N$3,tabela_registros[TIPO],DADOS!$V$4,tabela_registros[CATEGORIA],receitasvariáveisconsolidado28[[#This Row],[ATUAL]])</f>
        <v>0</v>
      </c>
      <c r="AE98" s="176">
        <f>SUMIFS(tabela_registros[VALOR],tabela_registros[MÊS],$AE$1,tabela_registros[DIA],receitasvariáveisconsolidado28[[#Headers],[27]],tabela_registros[REGISTRO],DADOS!$N$3,tabela_registros[TIPO],DADOS!$V$4,tabela_registros[CATEGORIA],receitasvariáveisconsolidado28[[#This Row],[ATUAL]])</f>
        <v>0</v>
      </c>
      <c r="AF98" s="176">
        <f>SUMIFS(tabela_registros[VALOR],tabela_registros[MÊS],$AE$1,tabela_registros[DIA],receitasvariáveisconsolidado28[[#Headers],[28]],tabela_registros[REGISTRO],DADOS!$N$3,tabela_registros[TIPO],DADOS!$V$4,tabela_registros[CATEGORIA],receitasvariáveisconsolidado28[[#This Row],[ATUAL]])</f>
        <v>0</v>
      </c>
      <c r="AG98" s="176">
        <f>SUMIFS(tabela_registros[VALOR],tabela_registros[MÊS],$AE$1,tabela_registros[DIA],receitasvariáveisconsolidado28[[#Headers],[29]],tabela_registros[REGISTRO],DADOS!$N$3,tabela_registros[TIPO],DADOS!$V$4,tabela_registros[CATEGORIA],receitasvariáveisconsolidado28[[#This Row],[ATUAL]])</f>
        <v>0</v>
      </c>
      <c r="AH98" s="176">
        <f>SUMIFS(tabela_registros[VALOR],tabela_registros[MÊS],$AE$1,tabela_registros[DIA],receitasvariáveisconsolidado28[[#Headers],[30]],tabela_registros[REGISTRO],DADOS!$N$3,tabela_registros[TIPO],DADOS!$V$4,tabela_registros[CATEGORIA],receitasvariáveisconsolidado28[[#This Row],[ATUAL]])</f>
        <v>0</v>
      </c>
      <c r="AI98" s="190">
        <f>SUMIFS(tabela_registros[VALOR],tabela_registros[MÊS],$AE$1,tabela_registros[DIA],receitasvariáveisconsolidado28[[#Headers],[31]],tabela_registros[REGISTRO],DADOS!$N$3,tabela_registros[TIPO],DADOS!$V$4,tabela_registros[CATEGORIA],receitasvariáveisconsolidado28[[#This Row],[ATUAL]])</f>
        <v>0</v>
      </c>
      <c r="AJ98" s="167">
        <f>SUM(receitasvariáveisconsolidado28[[#This Row],[1]:[31]])</f>
        <v>0</v>
      </c>
      <c r="AK98" s="25"/>
    </row>
    <row r="99" spans="2:37" ht="19.5" customHeight="1" thickTop="1" thickBot="1" x14ac:dyDescent="0.3">
      <c r="B99" s="28"/>
      <c r="C99" s="27" t="str">
        <f>DADOS!$Z$6</f>
        <v>💲 INVESTIMENTOS</v>
      </c>
      <c r="D99" s="26" t="str">
        <f>IF(receitasvariáveisconsolidado28[[#This Row],[TOTAL (R$)]]=0,"",IF(OR(receitasvariáveisconsolidado28[[#This Row],[TOTAL (R$)]]=LARGE($AJ$96:$AJ$103,1),receitasvariáveisconsolidado28[[#This Row],[TOTAL (R$)]]=LARGE($AJ$96:$AJ$103,2)),DADOS!$I$9,""))</f>
        <v/>
      </c>
      <c r="E99" s="189">
        <f>SUMIFS(tabela_registros[VALOR],tabela_registros[MÊS],$AE$1,tabela_registros[DIA],receitasvariáveisconsolidado28[[#Headers],[1]],tabela_registros[REGISTRO],DADOS!$N$3,tabela_registros[TIPO],DADOS!$V$4,tabela_registros[CATEGORIA],receitasvariáveisconsolidado28[[#This Row],[ATUAL]])</f>
        <v>0</v>
      </c>
      <c r="F99" s="176">
        <f>SUMIFS(tabela_registros[VALOR],tabela_registros[MÊS],$AE$1,tabela_registros[DIA],receitasvariáveisconsolidado28[[#Headers],[2]],tabela_registros[REGISTRO],DADOS!$N$3,tabela_registros[TIPO],DADOS!$V$4,tabela_registros[CATEGORIA],receitasvariáveisconsolidado28[[#This Row],[ATUAL]])</f>
        <v>0</v>
      </c>
      <c r="G99" s="176">
        <f>SUMIFS(tabela_registros[VALOR],tabela_registros[MÊS],$AE$1,tabela_registros[DIA],receitasvariáveisconsolidado28[[#Headers],[3]],tabela_registros[REGISTRO],DADOS!$N$3,tabela_registros[TIPO],DADOS!$V$4,tabela_registros[CATEGORIA],receitasvariáveisconsolidado28[[#This Row],[ATUAL]])</f>
        <v>0</v>
      </c>
      <c r="H99" s="176">
        <f>SUMIFS(tabela_registros[VALOR],tabela_registros[MÊS],$AE$1,tabela_registros[DIA],receitasvariáveisconsolidado28[[#Headers],[4]],tabela_registros[REGISTRO],DADOS!$N$3,tabela_registros[TIPO],DADOS!$V$4,tabela_registros[CATEGORIA],receitasvariáveisconsolidado28[[#This Row],[ATUAL]])</f>
        <v>0</v>
      </c>
      <c r="I99" s="176">
        <f>SUMIFS(tabela_registros[VALOR],tabela_registros[MÊS],$AE$1,tabela_registros[DIA],receitasvariáveisconsolidado28[[#Headers],[5]],tabela_registros[REGISTRO],DADOS!$N$3,tabela_registros[TIPO],DADOS!$V$4,tabela_registros[CATEGORIA],receitasvariáveisconsolidado28[[#This Row],[ATUAL]])</f>
        <v>0</v>
      </c>
      <c r="J99" s="176">
        <f>SUMIFS(tabela_registros[VALOR],tabela_registros[MÊS],$AE$1,tabela_registros[DIA],receitasvariáveisconsolidado28[[#Headers],[6]],tabela_registros[REGISTRO],DADOS!$N$3,tabela_registros[TIPO],DADOS!$V$4,tabela_registros[CATEGORIA],receitasvariáveisconsolidado28[[#This Row],[ATUAL]])</f>
        <v>0</v>
      </c>
      <c r="K99" s="176">
        <f>SUMIFS(tabela_registros[VALOR],tabela_registros[MÊS],$AE$1,tabela_registros[DIA],receitasvariáveisconsolidado28[[#Headers],[7]],tabela_registros[REGISTRO],DADOS!$N$3,tabela_registros[TIPO],DADOS!$V$4,tabela_registros[CATEGORIA],receitasvariáveisconsolidado28[[#This Row],[ATUAL]])</f>
        <v>0</v>
      </c>
      <c r="L99" s="176">
        <f>SUMIFS(tabela_registros[VALOR],tabela_registros[MÊS],$AE$1,tabela_registros[DIA],receitasvariáveisconsolidado28[[#Headers],[8]],tabela_registros[REGISTRO],DADOS!$N$3,tabela_registros[TIPO],DADOS!$V$4,tabela_registros[CATEGORIA],receitasvariáveisconsolidado28[[#This Row],[ATUAL]])</f>
        <v>0</v>
      </c>
      <c r="M99" s="176">
        <f>SUMIFS(tabela_registros[VALOR],tabela_registros[MÊS],$AE$1,tabela_registros[DIA],receitasvariáveisconsolidado28[[#Headers],[9]],tabela_registros[REGISTRO],DADOS!$N$3,tabela_registros[TIPO],DADOS!$V$4,tabela_registros[CATEGORIA],receitasvariáveisconsolidado28[[#This Row],[ATUAL]])</f>
        <v>0</v>
      </c>
      <c r="N99" s="176">
        <f>SUMIFS(tabela_registros[VALOR],tabela_registros[MÊS],$AE$1,tabela_registros[DIA],receitasvariáveisconsolidado28[[#Headers],[10]],tabela_registros[REGISTRO],DADOS!$N$3,tabela_registros[TIPO],DADOS!$V$4,tabela_registros[CATEGORIA],receitasvariáveisconsolidado28[[#This Row],[ATUAL]])</f>
        <v>0</v>
      </c>
      <c r="O99" s="176">
        <f>SUMIFS(tabela_registros[VALOR],tabela_registros[MÊS],$AE$1,tabela_registros[DIA],receitasvariáveisconsolidado28[[#Headers],[11]],tabela_registros[REGISTRO],DADOS!$N$3,tabela_registros[TIPO],DADOS!$V$4,tabela_registros[CATEGORIA],receitasvariáveisconsolidado28[[#This Row],[ATUAL]])</f>
        <v>0</v>
      </c>
      <c r="P99" s="176">
        <f>SUMIFS(tabela_registros[VALOR],tabela_registros[MÊS],$AE$1,tabela_registros[DIA],receitasvariáveisconsolidado28[[#Headers],[12]],tabela_registros[REGISTRO],DADOS!$N$3,tabela_registros[TIPO],DADOS!$V$4,tabela_registros[CATEGORIA],receitasvariáveisconsolidado28[[#This Row],[ATUAL]])</f>
        <v>0</v>
      </c>
      <c r="Q99" s="176">
        <f>SUMIFS(tabela_registros[VALOR],tabela_registros[MÊS],$AE$1,tabela_registros[DIA],receitasvariáveisconsolidado28[[#Headers],[13]],tabela_registros[REGISTRO],DADOS!$N$3,tabela_registros[TIPO],DADOS!$V$4,tabela_registros[CATEGORIA],receitasvariáveisconsolidado28[[#This Row],[ATUAL]])</f>
        <v>0</v>
      </c>
      <c r="R99" s="176">
        <f>SUMIFS(tabela_registros[VALOR],tabela_registros[MÊS],$AE$1,tabela_registros[DIA],receitasvariáveisconsolidado28[[#Headers],[14]],tabela_registros[REGISTRO],DADOS!$N$3,tabela_registros[TIPO],DADOS!$V$4,tabela_registros[CATEGORIA],receitasvariáveisconsolidado28[[#This Row],[ATUAL]])</f>
        <v>0</v>
      </c>
      <c r="S99" s="176">
        <f>SUMIFS(tabela_registros[VALOR],tabela_registros[MÊS],$AE$1,tabela_registros[DIA],receitasvariáveisconsolidado28[[#Headers],[15]],tabela_registros[REGISTRO],DADOS!$N$3,tabela_registros[TIPO],DADOS!$V$4,tabela_registros[CATEGORIA],receitasvariáveisconsolidado28[[#This Row],[ATUAL]])</f>
        <v>0</v>
      </c>
      <c r="T99" s="176">
        <f>SUMIFS(tabela_registros[VALOR],tabela_registros[MÊS],$AE$1,tabela_registros[DIA],receitasvariáveisconsolidado28[[#Headers],[16]],tabela_registros[REGISTRO],DADOS!$N$3,tabela_registros[TIPO],DADOS!$V$4,tabela_registros[CATEGORIA],receitasvariáveisconsolidado28[[#This Row],[ATUAL]])</f>
        <v>0</v>
      </c>
      <c r="U99" s="176">
        <f>SUMIFS(tabela_registros[VALOR],tabela_registros[MÊS],$AE$1,tabela_registros[DIA],receitasvariáveisconsolidado28[[#Headers],[17]],tabela_registros[REGISTRO],DADOS!$N$3,tabela_registros[TIPO],DADOS!$V$4,tabela_registros[CATEGORIA],receitasvariáveisconsolidado28[[#This Row],[ATUAL]])</f>
        <v>0</v>
      </c>
      <c r="V99" s="176">
        <f>SUMIFS(tabela_registros[VALOR],tabela_registros[MÊS],$AE$1,tabela_registros[DIA],receitasvariáveisconsolidado28[[#Headers],[18]],tabela_registros[REGISTRO],DADOS!$N$3,tabela_registros[TIPO],DADOS!$V$4,tabela_registros[CATEGORIA],receitasvariáveisconsolidado28[[#This Row],[ATUAL]])</f>
        <v>0</v>
      </c>
      <c r="W99" s="176">
        <f>SUMIFS(tabela_registros[VALOR],tabela_registros[MÊS],$AE$1,tabela_registros[DIA],receitasvariáveisconsolidado28[[#Headers],[19]],tabela_registros[REGISTRO],DADOS!$N$3,tabela_registros[TIPO],DADOS!$V$4,tabela_registros[CATEGORIA],receitasvariáveisconsolidado28[[#This Row],[ATUAL]])</f>
        <v>0</v>
      </c>
      <c r="X99" s="176">
        <f>SUMIFS(tabela_registros[VALOR],tabela_registros[MÊS],$AE$1,tabela_registros[DIA],receitasvariáveisconsolidado28[[#Headers],[20]],tabela_registros[REGISTRO],DADOS!$N$3,tabela_registros[TIPO],DADOS!$V$4,tabela_registros[CATEGORIA],receitasvariáveisconsolidado28[[#This Row],[ATUAL]])</f>
        <v>0</v>
      </c>
      <c r="Y99" s="176">
        <f>SUMIFS(tabela_registros[VALOR],tabela_registros[MÊS],$AE$1,tabela_registros[DIA],receitasvariáveisconsolidado28[[#Headers],[21]],tabela_registros[REGISTRO],DADOS!$N$3,tabela_registros[TIPO],DADOS!$V$4,tabela_registros[CATEGORIA],receitasvariáveisconsolidado28[[#This Row],[ATUAL]])</f>
        <v>0</v>
      </c>
      <c r="Z99" s="176">
        <f>SUMIFS(tabela_registros[VALOR],tabela_registros[MÊS],$AE$1,tabela_registros[DIA],receitasvariáveisconsolidado28[[#Headers],[22]],tabela_registros[REGISTRO],DADOS!$N$3,tabela_registros[TIPO],DADOS!$V$4,tabela_registros[CATEGORIA],receitasvariáveisconsolidado28[[#This Row],[ATUAL]])</f>
        <v>0</v>
      </c>
      <c r="AA99" s="176">
        <f>SUMIFS(tabela_registros[VALOR],tabela_registros[MÊS],$AE$1,tabela_registros[DIA],receitasvariáveisconsolidado28[[#Headers],[23]],tabela_registros[REGISTRO],DADOS!$N$3,tabela_registros[TIPO],DADOS!$V$4,tabela_registros[CATEGORIA],receitasvariáveisconsolidado28[[#This Row],[ATUAL]])</f>
        <v>0</v>
      </c>
      <c r="AB99" s="176">
        <f>SUMIFS(tabela_registros[VALOR],tabela_registros[MÊS],$AE$1,tabela_registros[DIA],receitasvariáveisconsolidado28[[#Headers],[24]],tabela_registros[REGISTRO],DADOS!$N$3,tabela_registros[TIPO],DADOS!$V$4,tabela_registros[CATEGORIA],receitasvariáveisconsolidado28[[#This Row],[ATUAL]])</f>
        <v>0</v>
      </c>
      <c r="AC99" s="176">
        <f>SUMIFS(tabela_registros[VALOR],tabela_registros[MÊS],$AE$1,tabela_registros[DIA],receitasvariáveisconsolidado28[[#Headers],[25]],tabela_registros[REGISTRO],DADOS!$N$3,tabela_registros[TIPO],DADOS!$V$4,tabela_registros[CATEGORIA],receitasvariáveisconsolidado28[[#This Row],[ATUAL]])</f>
        <v>0</v>
      </c>
      <c r="AD99" s="176">
        <f>SUMIFS(tabela_registros[VALOR],tabela_registros[MÊS],$AE$1,tabela_registros[DIA],receitasvariáveisconsolidado28[[#Headers],[26]],tabela_registros[REGISTRO],DADOS!$N$3,tabela_registros[TIPO],DADOS!$V$4,tabela_registros[CATEGORIA],receitasvariáveisconsolidado28[[#This Row],[ATUAL]])</f>
        <v>0</v>
      </c>
      <c r="AE99" s="176">
        <f>SUMIFS(tabela_registros[VALOR],tabela_registros[MÊS],$AE$1,tabela_registros[DIA],receitasvariáveisconsolidado28[[#Headers],[27]],tabela_registros[REGISTRO],DADOS!$N$3,tabela_registros[TIPO],DADOS!$V$4,tabela_registros[CATEGORIA],receitasvariáveisconsolidado28[[#This Row],[ATUAL]])</f>
        <v>0</v>
      </c>
      <c r="AF99" s="176">
        <f>SUMIFS(tabela_registros[VALOR],tabela_registros[MÊS],$AE$1,tabela_registros[DIA],receitasvariáveisconsolidado28[[#Headers],[28]],tabela_registros[REGISTRO],DADOS!$N$3,tabela_registros[TIPO],DADOS!$V$4,tabela_registros[CATEGORIA],receitasvariáveisconsolidado28[[#This Row],[ATUAL]])</f>
        <v>0</v>
      </c>
      <c r="AG99" s="176">
        <f>SUMIFS(tabela_registros[VALOR],tabela_registros[MÊS],$AE$1,tabela_registros[DIA],receitasvariáveisconsolidado28[[#Headers],[29]],tabela_registros[REGISTRO],DADOS!$N$3,tabela_registros[TIPO],DADOS!$V$4,tabela_registros[CATEGORIA],receitasvariáveisconsolidado28[[#This Row],[ATUAL]])</f>
        <v>0</v>
      </c>
      <c r="AH99" s="176">
        <f>SUMIFS(tabela_registros[VALOR],tabela_registros[MÊS],$AE$1,tabela_registros[DIA],receitasvariáveisconsolidado28[[#Headers],[30]],tabela_registros[REGISTRO],DADOS!$N$3,tabela_registros[TIPO],DADOS!$V$4,tabela_registros[CATEGORIA],receitasvariáveisconsolidado28[[#This Row],[ATUAL]])</f>
        <v>0</v>
      </c>
      <c r="AI99" s="190">
        <f>SUMIFS(tabela_registros[VALOR],tabela_registros[MÊS],$AE$1,tabela_registros[DIA],receitasvariáveisconsolidado28[[#Headers],[31]],tabela_registros[REGISTRO],DADOS!$N$3,tabela_registros[TIPO],DADOS!$V$4,tabela_registros[CATEGORIA],receitasvariáveisconsolidado28[[#This Row],[ATUAL]])</f>
        <v>0</v>
      </c>
      <c r="AJ99" s="167">
        <f>SUM(receitasvariáveisconsolidado28[[#This Row],[1]:[31]])</f>
        <v>0</v>
      </c>
      <c r="AK99" s="25"/>
    </row>
    <row r="100" spans="2:37" ht="19.5" customHeight="1" thickTop="1" thickBot="1" x14ac:dyDescent="0.3">
      <c r="B100" s="28"/>
      <c r="C100" s="27" t="str">
        <f>DADOS!$Z$7</f>
        <v>🧾 NOTA DE SERVIÇO</v>
      </c>
      <c r="D100" s="26" t="str">
        <f>IF(receitasvariáveisconsolidado28[[#This Row],[TOTAL (R$)]]=0,"",IF(OR(receitasvariáveisconsolidado28[[#This Row],[TOTAL (R$)]]=LARGE($AJ$96:$AJ$103,1),receitasvariáveisconsolidado28[[#This Row],[TOTAL (R$)]]=LARGE($AJ$96:$AJ$103,2)),DADOS!$I$9,""))</f>
        <v/>
      </c>
      <c r="E100" s="189">
        <f>SUMIFS(tabela_registros[VALOR],tabela_registros[MÊS],$AE$1,tabela_registros[DIA],receitasvariáveisconsolidado28[[#Headers],[1]],tabela_registros[REGISTRO],DADOS!$N$3,tabela_registros[TIPO],DADOS!$V$4,tabela_registros[CATEGORIA],receitasvariáveisconsolidado28[[#This Row],[ATUAL]])</f>
        <v>0</v>
      </c>
      <c r="F100" s="176">
        <f>SUMIFS(tabela_registros[VALOR],tabela_registros[MÊS],$AE$1,tabela_registros[DIA],receitasvariáveisconsolidado28[[#Headers],[2]],tabela_registros[REGISTRO],DADOS!$N$3,tabela_registros[TIPO],DADOS!$V$4,tabela_registros[CATEGORIA],receitasvariáveisconsolidado28[[#This Row],[ATUAL]])</f>
        <v>0</v>
      </c>
      <c r="G100" s="176">
        <f>SUMIFS(tabela_registros[VALOR],tabela_registros[MÊS],$AE$1,tabela_registros[DIA],receitasvariáveisconsolidado28[[#Headers],[3]],tabela_registros[REGISTRO],DADOS!$N$3,tabela_registros[TIPO],DADOS!$V$4,tabela_registros[CATEGORIA],receitasvariáveisconsolidado28[[#This Row],[ATUAL]])</f>
        <v>0</v>
      </c>
      <c r="H100" s="176">
        <f>SUMIFS(tabela_registros[VALOR],tabela_registros[MÊS],$AE$1,tabela_registros[DIA],receitasvariáveisconsolidado28[[#Headers],[4]],tabela_registros[REGISTRO],DADOS!$N$3,tabela_registros[TIPO],DADOS!$V$4,tabela_registros[CATEGORIA],receitasvariáveisconsolidado28[[#This Row],[ATUAL]])</f>
        <v>0</v>
      </c>
      <c r="I100" s="176">
        <f>SUMIFS(tabela_registros[VALOR],tabela_registros[MÊS],$AE$1,tabela_registros[DIA],receitasvariáveisconsolidado28[[#Headers],[5]],tabela_registros[REGISTRO],DADOS!$N$3,tabela_registros[TIPO],DADOS!$V$4,tabela_registros[CATEGORIA],receitasvariáveisconsolidado28[[#This Row],[ATUAL]])</f>
        <v>0</v>
      </c>
      <c r="J100" s="176">
        <f>SUMIFS(tabela_registros[VALOR],tabela_registros[MÊS],$AE$1,tabela_registros[DIA],receitasvariáveisconsolidado28[[#Headers],[6]],tabela_registros[REGISTRO],DADOS!$N$3,tabela_registros[TIPO],DADOS!$V$4,tabela_registros[CATEGORIA],receitasvariáveisconsolidado28[[#This Row],[ATUAL]])</f>
        <v>0</v>
      </c>
      <c r="K100" s="176">
        <f>SUMIFS(tabela_registros[VALOR],tabela_registros[MÊS],$AE$1,tabela_registros[DIA],receitasvariáveisconsolidado28[[#Headers],[7]],tabela_registros[REGISTRO],DADOS!$N$3,tabela_registros[TIPO],DADOS!$V$4,tabela_registros[CATEGORIA],receitasvariáveisconsolidado28[[#This Row],[ATUAL]])</f>
        <v>0</v>
      </c>
      <c r="L100" s="176">
        <f>SUMIFS(tabela_registros[VALOR],tabela_registros[MÊS],$AE$1,tabela_registros[DIA],receitasvariáveisconsolidado28[[#Headers],[8]],tabela_registros[REGISTRO],DADOS!$N$3,tabela_registros[TIPO],DADOS!$V$4,tabela_registros[CATEGORIA],receitasvariáveisconsolidado28[[#This Row],[ATUAL]])</f>
        <v>0</v>
      </c>
      <c r="M100" s="176">
        <f>SUMIFS(tabela_registros[VALOR],tabela_registros[MÊS],$AE$1,tabela_registros[DIA],receitasvariáveisconsolidado28[[#Headers],[9]],tabela_registros[REGISTRO],DADOS!$N$3,tabela_registros[TIPO],DADOS!$V$4,tabela_registros[CATEGORIA],receitasvariáveisconsolidado28[[#This Row],[ATUAL]])</f>
        <v>0</v>
      </c>
      <c r="N100" s="176">
        <f>SUMIFS(tabela_registros[VALOR],tabela_registros[MÊS],$AE$1,tabela_registros[DIA],receitasvariáveisconsolidado28[[#Headers],[10]],tabela_registros[REGISTRO],DADOS!$N$3,tabela_registros[TIPO],DADOS!$V$4,tabela_registros[CATEGORIA],receitasvariáveisconsolidado28[[#This Row],[ATUAL]])</f>
        <v>0</v>
      </c>
      <c r="O100" s="176">
        <f>SUMIFS(tabela_registros[VALOR],tabela_registros[MÊS],$AE$1,tabela_registros[DIA],receitasvariáveisconsolidado28[[#Headers],[11]],tabela_registros[REGISTRO],DADOS!$N$3,tabela_registros[TIPO],DADOS!$V$4,tabela_registros[CATEGORIA],receitasvariáveisconsolidado28[[#This Row],[ATUAL]])</f>
        <v>0</v>
      </c>
      <c r="P100" s="176">
        <f>SUMIFS(tabela_registros[VALOR],tabela_registros[MÊS],$AE$1,tabela_registros[DIA],receitasvariáveisconsolidado28[[#Headers],[12]],tabela_registros[REGISTRO],DADOS!$N$3,tabela_registros[TIPO],DADOS!$V$4,tabela_registros[CATEGORIA],receitasvariáveisconsolidado28[[#This Row],[ATUAL]])</f>
        <v>0</v>
      </c>
      <c r="Q100" s="176">
        <f>SUMIFS(tabela_registros[VALOR],tabela_registros[MÊS],$AE$1,tabela_registros[DIA],receitasvariáveisconsolidado28[[#Headers],[13]],tabela_registros[REGISTRO],DADOS!$N$3,tabela_registros[TIPO],DADOS!$V$4,tabela_registros[CATEGORIA],receitasvariáveisconsolidado28[[#This Row],[ATUAL]])</f>
        <v>0</v>
      </c>
      <c r="R100" s="176">
        <f>SUMIFS(tabela_registros[VALOR],tabela_registros[MÊS],$AE$1,tabela_registros[DIA],receitasvariáveisconsolidado28[[#Headers],[14]],tabela_registros[REGISTRO],DADOS!$N$3,tabela_registros[TIPO],DADOS!$V$4,tabela_registros[CATEGORIA],receitasvariáveisconsolidado28[[#This Row],[ATUAL]])</f>
        <v>0</v>
      </c>
      <c r="S100" s="176">
        <f>SUMIFS(tabela_registros[VALOR],tabela_registros[MÊS],$AE$1,tabela_registros[DIA],receitasvariáveisconsolidado28[[#Headers],[15]],tabela_registros[REGISTRO],DADOS!$N$3,tabela_registros[TIPO],DADOS!$V$4,tabela_registros[CATEGORIA],receitasvariáveisconsolidado28[[#This Row],[ATUAL]])</f>
        <v>0</v>
      </c>
      <c r="T100" s="176">
        <f>SUMIFS(tabela_registros[VALOR],tabela_registros[MÊS],$AE$1,tabela_registros[DIA],receitasvariáveisconsolidado28[[#Headers],[16]],tabela_registros[REGISTRO],DADOS!$N$3,tabela_registros[TIPO],DADOS!$V$4,tabela_registros[CATEGORIA],receitasvariáveisconsolidado28[[#This Row],[ATUAL]])</f>
        <v>0</v>
      </c>
      <c r="U100" s="176">
        <f>SUMIFS(tabela_registros[VALOR],tabela_registros[MÊS],$AE$1,tabela_registros[DIA],receitasvariáveisconsolidado28[[#Headers],[17]],tabela_registros[REGISTRO],DADOS!$N$3,tabela_registros[TIPO],DADOS!$V$4,tabela_registros[CATEGORIA],receitasvariáveisconsolidado28[[#This Row],[ATUAL]])</f>
        <v>0</v>
      </c>
      <c r="V100" s="176">
        <f>SUMIFS(tabela_registros[VALOR],tabela_registros[MÊS],$AE$1,tabela_registros[DIA],receitasvariáveisconsolidado28[[#Headers],[18]],tabela_registros[REGISTRO],DADOS!$N$3,tabela_registros[TIPO],DADOS!$V$4,tabela_registros[CATEGORIA],receitasvariáveisconsolidado28[[#This Row],[ATUAL]])</f>
        <v>0</v>
      </c>
      <c r="W100" s="176">
        <f>SUMIFS(tabela_registros[VALOR],tabela_registros[MÊS],$AE$1,tabela_registros[DIA],receitasvariáveisconsolidado28[[#Headers],[19]],tabela_registros[REGISTRO],DADOS!$N$3,tabela_registros[TIPO],DADOS!$V$4,tabela_registros[CATEGORIA],receitasvariáveisconsolidado28[[#This Row],[ATUAL]])</f>
        <v>0</v>
      </c>
      <c r="X100" s="176">
        <f>SUMIFS(tabela_registros[VALOR],tabela_registros[MÊS],$AE$1,tabela_registros[DIA],receitasvariáveisconsolidado28[[#Headers],[20]],tabela_registros[REGISTRO],DADOS!$N$3,tabela_registros[TIPO],DADOS!$V$4,tabela_registros[CATEGORIA],receitasvariáveisconsolidado28[[#This Row],[ATUAL]])</f>
        <v>0</v>
      </c>
      <c r="Y100" s="176">
        <f>SUMIFS(tabela_registros[VALOR],tabela_registros[MÊS],$AE$1,tabela_registros[DIA],receitasvariáveisconsolidado28[[#Headers],[21]],tabela_registros[REGISTRO],DADOS!$N$3,tabela_registros[TIPO],DADOS!$V$4,tabela_registros[CATEGORIA],receitasvariáveisconsolidado28[[#This Row],[ATUAL]])</f>
        <v>0</v>
      </c>
      <c r="Z100" s="176">
        <f>SUMIFS(tabela_registros[VALOR],tabela_registros[MÊS],$AE$1,tabela_registros[DIA],receitasvariáveisconsolidado28[[#Headers],[22]],tabela_registros[REGISTRO],DADOS!$N$3,tabela_registros[TIPO],DADOS!$V$4,tabela_registros[CATEGORIA],receitasvariáveisconsolidado28[[#This Row],[ATUAL]])</f>
        <v>0</v>
      </c>
      <c r="AA100" s="176">
        <f>SUMIFS(tabela_registros[VALOR],tabela_registros[MÊS],$AE$1,tabela_registros[DIA],receitasvariáveisconsolidado28[[#Headers],[23]],tabela_registros[REGISTRO],DADOS!$N$3,tabela_registros[TIPO],DADOS!$V$4,tabela_registros[CATEGORIA],receitasvariáveisconsolidado28[[#This Row],[ATUAL]])</f>
        <v>0</v>
      </c>
      <c r="AB100" s="176">
        <f>SUMIFS(tabela_registros[VALOR],tabela_registros[MÊS],$AE$1,tabela_registros[DIA],receitasvariáveisconsolidado28[[#Headers],[24]],tabela_registros[REGISTRO],DADOS!$N$3,tabela_registros[TIPO],DADOS!$V$4,tabela_registros[CATEGORIA],receitasvariáveisconsolidado28[[#This Row],[ATUAL]])</f>
        <v>0</v>
      </c>
      <c r="AC100" s="176">
        <f>SUMIFS(tabela_registros[VALOR],tabela_registros[MÊS],$AE$1,tabela_registros[DIA],receitasvariáveisconsolidado28[[#Headers],[25]],tabela_registros[REGISTRO],DADOS!$N$3,tabela_registros[TIPO],DADOS!$V$4,tabela_registros[CATEGORIA],receitasvariáveisconsolidado28[[#This Row],[ATUAL]])</f>
        <v>0</v>
      </c>
      <c r="AD100" s="176">
        <f>SUMIFS(tabela_registros[VALOR],tabela_registros[MÊS],$AE$1,tabela_registros[DIA],receitasvariáveisconsolidado28[[#Headers],[26]],tabela_registros[REGISTRO],DADOS!$N$3,tabela_registros[TIPO],DADOS!$V$4,tabela_registros[CATEGORIA],receitasvariáveisconsolidado28[[#This Row],[ATUAL]])</f>
        <v>0</v>
      </c>
      <c r="AE100" s="176">
        <f>SUMIFS(tabela_registros[VALOR],tabela_registros[MÊS],$AE$1,tabela_registros[DIA],receitasvariáveisconsolidado28[[#Headers],[27]],tabela_registros[REGISTRO],DADOS!$N$3,tabela_registros[TIPO],DADOS!$V$4,tabela_registros[CATEGORIA],receitasvariáveisconsolidado28[[#This Row],[ATUAL]])</f>
        <v>0</v>
      </c>
      <c r="AF100" s="176">
        <f>SUMIFS(tabela_registros[VALOR],tabela_registros[MÊS],$AE$1,tabela_registros[DIA],receitasvariáveisconsolidado28[[#Headers],[28]],tabela_registros[REGISTRO],DADOS!$N$3,tabela_registros[TIPO],DADOS!$V$4,tabela_registros[CATEGORIA],receitasvariáveisconsolidado28[[#This Row],[ATUAL]])</f>
        <v>0</v>
      </c>
      <c r="AG100" s="176">
        <f>SUMIFS(tabela_registros[VALOR],tabela_registros[MÊS],$AE$1,tabela_registros[DIA],receitasvariáveisconsolidado28[[#Headers],[29]],tabela_registros[REGISTRO],DADOS!$N$3,tabela_registros[TIPO],DADOS!$V$4,tabela_registros[CATEGORIA],receitasvariáveisconsolidado28[[#This Row],[ATUAL]])</f>
        <v>0</v>
      </c>
      <c r="AH100" s="176">
        <f>SUMIFS(tabela_registros[VALOR],tabela_registros[MÊS],$AE$1,tabela_registros[DIA],receitasvariáveisconsolidado28[[#Headers],[30]],tabela_registros[REGISTRO],DADOS!$N$3,tabela_registros[TIPO],DADOS!$V$4,tabela_registros[CATEGORIA],receitasvariáveisconsolidado28[[#This Row],[ATUAL]])</f>
        <v>0</v>
      </c>
      <c r="AI100" s="190">
        <f>SUMIFS(tabela_registros[VALOR],tabela_registros[MÊS],$AE$1,tabela_registros[DIA],receitasvariáveisconsolidado28[[#Headers],[31]],tabela_registros[REGISTRO],DADOS!$N$3,tabela_registros[TIPO],DADOS!$V$4,tabela_registros[CATEGORIA],receitasvariáveisconsolidado28[[#This Row],[ATUAL]])</f>
        <v>0</v>
      </c>
      <c r="AJ100" s="201">
        <f>SUM(receitasvariáveisconsolidado28[[#This Row],[1]:[31]])</f>
        <v>0</v>
      </c>
      <c r="AK100" s="25"/>
    </row>
    <row r="101" spans="2:37" ht="19.5" customHeight="1" thickTop="1" thickBot="1" x14ac:dyDescent="0.3">
      <c r="B101" s="28"/>
      <c r="C101" s="27" t="str">
        <f>DADOS!$Z$8</f>
        <v>🎁 PRESENTE</v>
      </c>
      <c r="D101" s="26" t="str">
        <f>IF(receitasvariáveisconsolidado28[[#This Row],[TOTAL (R$)]]=0,"",IF(OR(receitasvariáveisconsolidado28[[#This Row],[TOTAL (R$)]]=LARGE($AJ$96:$AJ$103,1),receitasvariáveisconsolidado28[[#This Row],[TOTAL (R$)]]=LARGE($AJ$96:$AJ$103,2)),DADOS!$I$9,""))</f>
        <v/>
      </c>
      <c r="E101" s="189">
        <f>SUMIFS(tabela_registros[VALOR],tabela_registros[MÊS],$AE$1,tabela_registros[DIA],receitasvariáveisconsolidado28[[#Headers],[1]],tabela_registros[REGISTRO],DADOS!$N$3,tabela_registros[TIPO],DADOS!$V$4,tabela_registros[CATEGORIA],receitasvariáveisconsolidado28[[#This Row],[ATUAL]])</f>
        <v>0</v>
      </c>
      <c r="F101" s="176">
        <f>SUMIFS(tabela_registros[VALOR],tabela_registros[MÊS],$AE$1,tabela_registros[DIA],receitasvariáveisconsolidado28[[#Headers],[2]],tabela_registros[REGISTRO],DADOS!$N$3,tabela_registros[TIPO],DADOS!$V$4,tabela_registros[CATEGORIA],receitasvariáveisconsolidado28[[#This Row],[ATUAL]])</f>
        <v>0</v>
      </c>
      <c r="G101" s="176">
        <f>SUMIFS(tabela_registros[VALOR],tabela_registros[MÊS],$AE$1,tabela_registros[DIA],receitasvariáveisconsolidado28[[#Headers],[3]],tabela_registros[REGISTRO],DADOS!$N$3,tabela_registros[TIPO],DADOS!$V$4,tabela_registros[CATEGORIA],receitasvariáveisconsolidado28[[#This Row],[ATUAL]])</f>
        <v>0</v>
      </c>
      <c r="H101" s="176">
        <f>SUMIFS(tabela_registros[VALOR],tabela_registros[MÊS],$AE$1,tabela_registros[DIA],receitasvariáveisconsolidado28[[#Headers],[4]],tabela_registros[REGISTRO],DADOS!$N$3,tabela_registros[TIPO],DADOS!$V$4,tabela_registros[CATEGORIA],receitasvariáveisconsolidado28[[#This Row],[ATUAL]])</f>
        <v>0</v>
      </c>
      <c r="I101" s="176">
        <f>SUMIFS(tabela_registros[VALOR],tabela_registros[MÊS],$AE$1,tabela_registros[DIA],receitasvariáveisconsolidado28[[#Headers],[5]],tabela_registros[REGISTRO],DADOS!$N$3,tabela_registros[TIPO],DADOS!$V$4,tabela_registros[CATEGORIA],receitasvariáveisconsolidado28[[#This Row],[ATUAL]])</f>
        <v>0</v>
      </c>
      <c r="J101" s="176">
        <f>SUMIFS(tabela_registros[VALOR],tabela_registros[MÊS],$AE$1,tabela_registros[DIA],receitasvariáveisconsolidado28[[#Headers],[6]],tabela_registros[REGISTRO],DADOS!$N$3,tabela_registros[TIPO],DADOS!$V$4,tabela_registros[CATEGORIA],receitasvariáveisconsolidado28[[#This Row],[ATUAL]])</f>
        <v>0</v>
      </c>
      <c r="K101" s="176">
        <f>SUMIFS(tabela_registros[VALOR],tabela_registros[MÊS],$AE$1,tabela_registros[DIA],receitasvariáveisconsolidado28[[#Headers],[7]],tabela_registros[REGISTRO],DADOS!$N$3,tabela_registros[TIPO],DADOS!$V$4,tabela_registros[CATEGORIA],receitasvariáveisconsolidado28[[#This Row],[ATUAL]])</f>
        <v>0</v>
      </c>
      <c r="L101" s="176">
        <f>SUMIFS(tabela_registros[VALOR],tabela_registros[MÊS],$AE$1,tabela_registros[DIA],receitasvariáveisconsolidado28[[#Headers],[8]],tabela_registros[REGISTRO],DADOS!$N$3,tabela_registros[TIPO],DADOS!$V$4,tabela_registros[CATEGORIA],receitasvariáveisconsolidado28[[#This Row],[ATUAL]])</f>
        <v>0</v>
      </c>
      <c r="M101" s="176">
        <f>SUMIFS(tabela_registros[VALOR],tabela_registros[MÊS],$AE$1,tabela_registros[DIA],receitasvariáveisconsolidado28[[#Headers],[9]],tabela_registros[REGISTRO],DADOS!$N$3,tabela_registros[TIPO],DADOS!$V$4,tabela_registros[CATEGORIA],receitasvariáveisconsolidado28[[#This Row],[ATUAL]])</f>
        <v>0</v>
      </c>
      <c r="N101" s="176">
        <f>SUMIFS(tabela_registros[VALOR],tabela_registros[MÊS],$AE$1,tabela_registros[DIA],receitasvariáveisconsolidado28[[#Headers],[10]],tabela_registros[REGISTRO],DADOS!$N$3,tabela_registros[TIPO],DADOS!$V$4,tabela_registros[CATEGORIA],receitasvariáveisconsolidado28[[#This Row],[ATUAL]])</f>
        <v>0</v>
      </c>
      <c r="O101" s="176">
        <f>SUMIFS(tabela_registros[VALOR],tabela_registros[MÊS],$AE$1,tabela_registros[DIA],receitasvariáveisconsolidado28[[#Headers],[11]],tabela_registros[REGISTRO],DADOS!$N$3,tabela_registros[TIPO],DADOS!$V$4,tabela_registros[CATEGORIA],receitasvariáveisconsolidado28[[#This Row],[ATUAL]])</f>
        <v>0</v>
      </c>
      <c r="P101" s="176">
        <f>SUMIFS(tabela_registros[VALOR],tabela_registros[MÊS],$AE$1,tabela_registros[DIA],receitasvariáveisconsolidado28[[#Headers],[12]],tabela_registros[REGISTRO],DADOS!$N$3,tabela_registros[TIPO],DADOS!$V$4,tabela_registros[CATEGORIA],receitasvariáveisconsolidado28[[#This Row],[ATUAL]])</f>
        <v>0</v>
      </c>
      <c r="Q101" s="176">
        <f>SUMIFS(tabela_registros[VALOR],tabela_registros[MÊS],$AE$1,tabela_registros[DIA],receitasvariáveisconsolidado28[[#Headers],[13]],tabela_registros[REGISTRO],DADOS!$N$3,tabela_registros[TIPO],DADOS!$V$4,tabela_registros[CATEGORIA],receitasvariáveisconsolidado28[[#This Row],[ATUAL]])</f>
        <v>0</v>
      </c>
      <c r="R101" s="176">
        <f>SUMIFS(tabela_registros[VALOR],tabela_registros[MÊS],$AE$1,tabela_registros[DIA],receitasvariáveisconsolidado28[[#Headers],[14]],tabela_registros[REGISTRO],DADOS!$N$3,tabela_registros[TIPO],DADOS!$V$4,tabela_registros[CATEGORIA],receitasvariáveisconsolidado28[[#This Row],[ATUAL]])</f>
        <v>0</v>
      </c>
      <c r="S101" s="176">
        <f>SUMIFS(tabela_registros[VALOR],tabela_registros[MÊS],$AE$1,tabela_registros[DIA],receitasvariáveisconsolidado28[[#Headers],[15]],tabela_registros[REGISTRO],DADOS!$N$3,tabela_registros[TIPO],DADOS!$V$4,tabela_registros[CATEGORIA],receitasvariáveisconsolidado28[[#This Row],[ATUAL]])</f>
        <v>0</v>
      </c>
      <c r="T101" s="176">
        <f>SUMIFS(tabela_registros[VALOR],tabela_registros[MÊS],$AE$1,tabela_registros[DIA],receitasvariáveisconsolidado28[[#Headers],[16]],tabela_registros[REGISTRO],DADOS!$N$3,tabela_registros[TIPO],DADOS!$V$4,tabela_registros[CATEGORIA],receitasvariáveisconsolidado28[[#This Row],[ATUAL]])</f>
        <v>0</v>
      </c>
      <c r="U101" s="176">
        <f>SUMIFS(tabela_registros[VALOR],tabela_registros[MÊS],$AE$1,tabela_registros[DIA],receitasvariáveisconsolidado28[[#Headers],[17]],tabela_registros[REGISTRO],DADOS!$N$3,tabela_registros[TIPO],DADOS!$V$4,tabela_registros[CATEGORIA],receitasvariáveisconsolidado28[[#This Row],[ATUAL]])</f>
        <v>0</v>
      </c>
      <c r="V101" s="176">
        <f>SUMIFS(tabela_registros[VALOR],tabela_registros[MÊS],$AE$1,tabela_registros[DIA],receitasvariáveisconsolidado28[[#Headers],[18]],tabela_registros[REGISTRO],DADOS!$N$3,tabela_registros[TIPO],DADOS!$V$4,tabela_registros[CATEGORIA],receitasvariáveisconsolidado28[[#This Row],[ATUAL]])</f>
        <v>0</v>
      </c>
      <c r="W101" s="176">
        <f>SUMIFS(tabela_registros[VALOR],tabela_registros[MÊS],$AE$1,tabela_registros[DIA],receitasvariáveisconsolidado28[[#Headers],[19]],tabela_registros[REGISTRO],DADOS!$N$3,tabela_registros[TIPO],DADOS!$V$4,tabela_registros[CATEGORIA],receitasvariáveisconsolidado28[[#This Row],[ATUAL]])</f>
        <v>0</v>
      </c>
      <c r="X101" s="176">
        <f>SUMIFS(tabela_registros[VALOR],tabela_registros[MÊS],$AE$1,tabela_registros[DIA],receitasvariáveisconsolidado28[[#Headers],[20]],tabela_registros[REGISTRO],DADOS!$N$3,tabela_registros[TIPO],DADOS!$V$4,tabela_registros[CATEGORIA],receitasvariáveisconsolidado28[[#This Row],[ATUAL]])</f>
        <v>0</v>
      </c>
      <c r="Y101" s="176">
        <f>SUMIFS(tabela_registros[VALOR],tabela_registros[MÊS],$AE$1,tabela_registros[DIA],receitasvariáveisconsolidado28[[#Headers],[21]],tabela_registros[REGISTRO],DADOS!$N$3,tabela_registros[TIPO],DADOS!$V$4,tabela_registros[CATEGORIA],receitasvariáveisconsolidado28[[#This Row],[ATUAL]])</f>
        <v>0</v>
      </c>
      <c r="Z101" s="176">
        <f>SUMIFS(tabela_registros[VALOR],tabela_registros[MÊS],$AE$1,tabela_registros[DIA],receitasvariáveisconsolidado28[[#Headers],[22]],tabela_registros[REGISTRO],DADOS!$N$3,tabela_registros[TIPO],DADOS!$V$4,tabela_registros[CATEGORIA],receitasvariáveisconsolidado28[[#This Row],[ATUAL]])</f>
        <v>0</v>
      </c>
      <c r="AA101" s="176">
        <f>SUMIFS(tabela_registros[VALOR],tabela_registros[MÊS],$AE$1,tabela_registros[DIA],receitasvariáveisconsolidado28[[#Headers],[23]],tabela_registros[REGISTRO],DADOS!$N$3,tabela_registros[TIPO],DADOS!$V$4,tabela_registros[CATEGORIA],receitasvariáveisconsolidado28[[#This Row],[ATUAL]])</f>
        <v>0</v>
      </c>
      <c r="AB101" s="176">
        <f>SUMIFS(tabela_registros[VALOR],tabela_registros[MÊS],$AE$1,tabela_registros[DIA],receitasvariáveisconsolidado28[[#Headers],[24]],tabela_registros[REGISTRO],DADOS!$N$3,tabela_registros[TIPO],DADOS!$V$4,tabela_registros[CATEGORIA],receitasvariáveisconsolidado28[[#This Row],[ATUAL]])</f>
        <v>0</v>
      </c>
      <c r="AC101" s="176">
        <f>SUMIFS(tabela_registros[VALOR],tabela_registros[MÊS],$AE$1,tabela_registros[DIA],receitasvariáveisconsolidado28[[#Headers],[25]],tabela_registros[REGISTRO],DADOS!$N$3,tabela_registros[TIPO],DADOS!$V$4,tabela_registros[CATEGORIA],receitasvariáveisconsolidado28[[#This Row],[ATUAL]])</f>
        <v>0</v>
      </c>
      <c r="AD101" s="176">
        <f>SUMIFS(tabela_registros[VALOR],tabela_registros[MÊS],$AE$1,tabela_registros[DIA],receitasvariáveisconsolidado28[[#Headers],[26]],tabela_registros[REGISTRO],DADOS!$N$3,tabela_registros[TIPO],DADOS!$V$4,tabela_registros[CATEGORIA],receitasvariáveisconsolidado28[[#This Row],[ATUAL]])</f>
        <v>0</v>
      </c>
      <c r="AE101" s="176">
        <f>SUMIFS(tabela_registros[VALOR],tabela_registros[MÊS],$AE$1,tabela_registros[DIA],receitasvariáveisconsolidado28[[#Headers],[27]],tabela_registros[REGISTRO],DADOS!$N$3,tabela_registros[TIPO],DADOS!$V$4,tabela_registros[CATEGORIA],receitasvariáveisconsolidado28[[#This Row],[ATUAL]])</f>
        <v>0</v>
      </c>
      <c r="AF101" s="176">
        <f>SUMIFS(tabela_registros[VALOR],tabela_registros[MÊS],$AE$1,tabela_registros[DIA],receitasvariáveisconsolidado28[[#Headers],[28]],tabela_registros[REGISTRO],DADOS!$N$3,tabela_registros[TIPO],DADOS!$V$4,tabela_registros[CATEGORIA],receitasvariáveisconsolidado28[[#This Row],[ATUAL]])</f>
        <v>0</v>
      </c>
      <c r="AG101" s="176">
        <f>SUMIFS(tabela_registros[VALOR],tabela_registros[MÊS],$AE$1,tabela_registros[DIA],receitasvariáveisconsolidado28[[#Headers],[29]],tabela_registros[REGISTRO],DADOS!$N$3,tabela_registros[TIPO],DADOS!$V$4,tabela_registros[CATEGORIA],receitasvariáveisconsolidado28[[#This Row],[ATUAL]])</f>
        <v>0</v>
      </c>
      <c r="AH101" s="176">
        <f>SUMIFS(tabela_registros[VALOR],tabela_registros[MÊS],$AE$1,tabela_registros[DIA],receitasvariáveisconsolidado28[[#Headers],[30]],tabela_registros[REGISTRO],DADOS!$N$3,tabela_registros[TIPO],DADOS!$V$4,tabela_registros[CATEGORIA],receitasvariáveisconsolidado28[[#This Row],[ATUAL]])</f>
        <v>0</v>
      </c>
      <c r="AI101" s="190">
        <f>SUMIFS(tabela_registros[VALOR],tabela_registros[MÊS],$AE$1,tabela_registros[DIA],receitasvariáveisconsolidado28[[#Headers],[31]],tabela_registros[REGISTRO],DADOS!$N$3,tabela_registros[TIPO],DADOS!$V$4,tabela_registros[CATEGORIA],receitasvariáveisconsolidado28[[#This Row],[ATUAL]])</f>
        <v>0</v>
      </c>
      <c r="AJ101" s="201">
        <f>SUM(receitasvariáveisconsolidado28[[#This Row],[1]:[31]])</f>
        <v>0</v>
      </c>
      <c r="AK101" s="25"/>
    </row>
    <row r="102" spans="2:37" ht="19.5" customHeight="1" thickTop="1" thickBot="1" x14ac:dyDescent="0.3">
      <c r="B102" s="28"/>
      <c r="C102" s="27" t="str">
        <f>DADOS!$Z$9</f>
        <v>👷‍♀️ TRABALHO TEMPORÁRIO</v>
      </c>
      <c r="D102" s="26" t="str">
        <f>IF(receitasvariáveisconsolidado28[[#This Row],[TOTAL (R$)]]=0,"",IF(OR(receitasvariáveisconsolidado28[[#This Row],[TOTAL (R$)]]=LARGE($AJ$96:$AJ$103,1),receitasvariáveisconsolidado28[[#This Row],[TOTAL (R$)]]=LARGE($AJ$96:$AJ$103,2)),DADOS!$I$9,""))</f>
        <v/>
      </c>
      <c r="E102" s="189">
        <f>SUMIFS(tabela_registros[VALOR],tabela_registros[MÊS],$AE$1,tabela_registros[DIA],receitasvariáveisconsolidado28[[#Headers],[1]],tabela_registros[REGISTRO],DADOS!$N$3,tabela_registros[TIPO],DADOS!$V$4,tabela_registros[CATEGORIA],receitasvariáveisconsolidado28[[#This Row],[ATUAL]])</f>
        <v>0</v>
      </c>
      <c r="F102" s="176">
        <f>SUMIFS(tabela_registros[VALOR],tabela_registros[MÊS],$AE$1,tabela_registros[DIA],receitasvariáveisconsolidado28[[#Headers],[2]],tabela_registros[REGISTRO],DADOS!$N$3,tabela_registros[TIPO],DADOS!$V$4,tabela_registros[CATEGORIA],receitasvariáveisconsolidado28[[#This Row],[ATUAL]])</f>
        <v>0</v>
      </c>
      <c r="G102" s="176">
        <f>SUMIFS(tabela_registros[VALOR],tabela_registros[MÊS],$AE$1,tabela_registros[DIA],receitasvariáveisconsolidado28[[#Headers],[3]],tabela_registros[REGISTRO],DADOS!$N$3,tabela_registros[TIPO],DADOS!$V$4,tabela_registros[CATEGORIA],receitasvariáveisconsolidado28[[#This Row],[ATUAL]])</f>
        <v>0</v>
      </c>
      <c r="H102" s="176">
        <f>SUMIFS(tabela_registros[VALOR],tabela_registros[MÊS],$AE$1,tabela_registros[DIA],receitasvariáveisconsolidado28[[#Headers],[4]],tabela_registros[REGISTRO],DADOS!$N$3,tabela_registros[TIPO],DADOS!$V$4,tabela_registros[CATEGORIA],receitasvariáveisconsolidado28[[#This Row],[ATUAL]])</f>
        <v>0</v>
      </c>
      <c r="I102" s="176">
        <f>SUMIFS(tabela_registros[VALOR],tabela_registros[MÊS],$AE$1,tabela_registros[DIA],receitasvariáveisconsolidado28[[#Headers],[5]],tabela_registros[REGISTRO],DADOS!$N$3,tabela_registros[TIPO],DADOS!$V$4,tabela_registros[CATEGORIA],receitasvariáveisconsolidado28[[#This Row],[ATUAL]])</f>
        <v>0</v>
      </c>
      <c r="J102" s="176">
        <f>SUMIFS(tabela_registros[VALOR],tabela_registros[MÊS],$AE$1,tabela_registros[DIA],receitasvariáveisconsolidado28[[#Headers],[6]],tabela_registros[REGISTRO],DADOS!$N$3,tabela_registros[TIPO],DADOS!$V$4,tabela_registros[CATEGORIA],receitasvariáveisconsolidado28[[#This Row],[ATUAL]])</f>
        <v>0</v>
      </c>
      <c r="K102" s="176">
        <f>SUMIFS(tabela_registros[VALOR],tabela_registros[MÊS],$AE$1,tabela_registros[DIA],receitasvariáveisconsolidado28[[#Headers],[7]],tabela_registros[REGISTRO],DADOS!$N$3,tabela_registros[TIPO],DADOS!$V$4,tabela_registros[CATEGORIA],receitasvariáveisconsolidado28[[#This Row],[ATUAL]])</f>
        <v>0</v>
      </c>
      <c r="L102" s="176">
        <f>SUMIFS(tabela_registros[VALOR],tabela_registros[MÊS],$AE$1,tabela_registros[DIA],receitasvariáveisconsolidado28[[#Headers],[8]],tabela_registros[REGISTRO],DADOS!$N$3,tabela_registros[TIPO],DADOS!$V$4,tabela_registros[CATEGORIA],receitasvariáveisconsolidado28[[#This Row],[ATUAL]])</f>
        <v>0</v>
      </c>
      <c r="M102" s="176">
        <f>SUMIFS(tabela_registros[VALOR],tabela_registros[MÊS],$AE$1,tabela_registros[DIA],receitasvariáveisconsolidado28[[#Headers],[9]],tabela_registros[REGISTRO],DADOS!$N$3,tabela_registros[TIPO],DADOS!$V$4,tabela_registros[CATEGORIA],receitasvariáveisconsolidado28[[#This Row],[ATUAL]])</f>
        <v>0</v>
      </c>
      <c r="N102" s="176">
        <f>SUMIFS(tabela_registros[VALOR],tabela_registros[MÊS],$AE$1,tabela_registros[DIA],receitasvariáveisconsolidado28[[#Headers],[10]],tabela_registros[REGISTRO],DADOS!$N$3,tabela_registros[TIPO],DADOS!$V$4,tabela_registros[CATEGORIA],receitasvariáveisconsolidado28[[#This Row],[ATUAL]])</f>
        <v>0</v>
      </c>
      <c r="O102" s="176">
        <f>SUMIFS(tabela_registros[VALOR],tabela_registros[MÊS],$AE$1,tabela_registros[DIA],receitasvariáveisconsolidado28[[#Headers],[11]],tabela_registros[REGISTRO],DADOS!$N$3,tabela_registros[TIPO],DADOS!$V$4,tabela_registros[CATEGORIA],receitasvariáveisconsolidado28[[#This Row],[ATUAL]])</f>
        <v>0</v>
      </c>
      <c r="P102" s="176">
        <f>SUMIFS(tabela_registros[VALOR],tabela_registros[MÊS],$AE$1,tabela_registros[DIA],receitasvariáveisconsolidado28[[#Headers],[12]],tabela_registros[REGISTRO],DADOS!$N$3,tabela_registros[TIPO],DADOS!$V$4,tabela_registros[CATEGORIA],receitasvariáveisconsolidado28[[#This Row],[ATUAL]])</f>
        <v>0</v>
      </c>
      <c r="Q102" s="176">
        <f>SUMIFS(tabela_registros[VALOR],tabela_registros[MÊS],$AE$1,tabela_registros[DIA],receitasvariáveisconsolidado28[[#Headers],[13]],tabela_registros[REGISTRO],DADOS!$N$3,tabela_registros[TIPO],DADOS!$V$4,tabela_registros[CATEGORIA],receitasvariáveisconsolidado28[[#This Row],[ATUAL]])</f>
        <v>0</v>
      </c>
      <c r="R102" s="176">
        <f>SUMIFS(tabela_registros[VALOR],tabela_registros[MÊS],$AE$1,tabela_registros[DIA],receitasvariáveisconsolidado28[[#Headers],[14]],tabela_registros[REGISTRO],DADOS!$N$3,tabela_registros[TIPO],DADOS!$V$4,tabela_registros[CATEGORIA],receitasvariáveisconsolidado28[[#This Row],[ATUAL]])</f>
        <v>0</v>
      </c>
      <c r="S102" s="176">
        <f>SUMIFS(tabela_registros[VALOR],tabela_registros[MÊS],$AE$1,tabela_registros[DIA],receitasvariáveisconsolidado28[[#Headers],[15]],tabela_registros[REGISTRO],DADOS!$N$3,tabela_registros[TIPO],DADOS!$V$4,tabela_registros[CATEGORIA],receitasvariáveisconsolidado28[[#This Row],[ATUAL]])</f>
        <v>0</v>
      </c>
      <c r="T102" s="176">
        <f>SUMIFS(tabela_registros[VALOR],tabela_registros[MÊS],$AE$1,tabela_registros[DIA],receitasvariáveisconsolidado28[[#Headers],[16]],tabela_registros[REGISTRO],DADOS!$N$3,tabela_registros[TIPO],DADOS!$V$4,tabela_registros[CATEGORIA],receitasvariáveisconsolidado28[[#This Row],[ATUAL]])</f>
        <v>0</v>
      </c>
      <c r="U102" s="176">
        <f>SUMIFS(tabela_registros[VALOR],tabela_registros[MÊS],$AE$1,tabela_registros[DIA],receitasvariáveisconsolidado28[[#Headers],[17]],tabela_registros[REGISTRO],DADOS!$N$3,tabela_registros[TIPO],DADOS!$V$4,tabela_registros[CATEGORIA],receitasvariáveisconsolidado28[[#This Row],[ATUAL]])</f>
        <v>0</v>
      </c>
      <c r="V102" s="176">
        <f>SUMIFS(tabela_registros[VALOR],tabela_registros[MÊS],$AE$1,tabela_registros[DIA],receitasvariáveisconsolidado28[[#Headers],[18]],tabela_registros[REGISTRO],DADOS!$N$3,tabela_registros[TIPO],DADOS!$V$4,tabela_registros[CATEGORIA],receitasvariáveisconsolidado28[[#This Row],[ATUAL]])</f>
        <v>0</v>
      </c>
      <c r="W102" s="176">
        <f>SUMIFS(tabela_registros[VALOR],tabela_registros[MÊS],$AE$1,tabela_registros[DIA],receitasvariáveisconsolidado28[[#Headers],[19]],tabela_registros[REGISTRO],DADOS!$N$3,tabela_registros[TIPO],DADOS!$V$4,tabela_registros[CATEGORIA],receitasvariáveisconsolidado28[[#This Row],[ATUAL]])</f>
        <v>0</v>
      </c>
      <c r="X102" s="176">
        <f>SUMIFS(tabela_registros[VALOR],tabela_registros[MÊS],$AE$1,tabela_registros[DIA],receitasvariáveisconsolidado28[[#Headers],[20]],tabela_registros[REGISTRO],DADOS!$N$3,tabela_registros[TIPO],DADOS!$V$4,tabela_registros[CATEGORIA],receitasvariáveisconsolidado28[[#This Row],[ATUAL]])</f>
        <v>0</v>
      </c>
      <c r="Y102" s="176">
        <f>SUMIFS(tabela_registros[VALOR],tabela_registros[MÊS],$AE$1,tabela_registros[DIA],receitasvariáveisconsolidado28[[#Headers],[21]],tabela_registros[REGISTRO],DADOS!$N$3,tabela_registros[TIPO],DADOS!$V$4,tabela_registros[CATEGORIA],receitasvariáveisconsolidado28[[#This Row],[ATUAL]])</f>
        <v>0</v>
      </c>
      <c r="Z102" s="176">
        <f>SUMIFS(tabela_registros[VALOR],tabela_registros[MÊS],$AE$1,tabela_registros[DIA],receitasvariáveisconsolidado28[[#Headers],[22]],tabela_registros[REGISTRO],DADOS!$N$3,tabela_registros[TIPO],DADOS!$V$4,tabela_registros[CATEGORIA],receitasvariáveisconsolidado28[[#This Row],[ATUAL]])</f>
        <v>0</v>
      </c>
      <c r="AA102" s="176">
        <f>SUMIFS(tabela_registros[VALOR],tabela_registros[MÊS],$AE$1,tabela_registros[DIA],receitasvariáveisconsolidado28[[#Headers],[23]],tabela_registros[REGISTRO],DADOS!$N$3,tabela_registros[TIPO],DADOS!$V$4,tabela_registros[CATEGORIA],receitasvariáveisconsolidado28[[#This Row],[ATUAL]])</f>
        <v>0</v>
      </c>
      <c r="AB102" s="176">
        <f>SUMIFS(tabela_registros[VALOR],tabela_registros[MÊS],$AE$1,tabela_registros[DIA],receitasvariáveisconsolidado28[[#Headers],[24]],tabela_registros[REGISTRO],DADOS!$N$3,tabela_registros[TIPO],DADOS!$V$4,tabela_registros[CATEGORIA],receitasvariáveisconsolidado28[[#This Row],[ATUAL]])</f>
        <v>0</v>
      </c>
      <c r="AC102" s="176">
        <f>SUMIFS(tabela_registros[VALOR],tabela_registros[MÊS],$AE$1,tabela_registros[DIA],receitasvariáveisconsolidado28[[#Headers],[25]],tabela_registros[REGISTRO],DADOS!$N$3,tabela_registros[TIPO],DADOS!$V$4,tabela_registros[CATEGORIA],receitasvariáveisconsolidado28[[#This Row],[ATUAL]])</f>
        <v>0</v>
      </c>
      <c r="AD102" s="176">
        <f>SUMIFS(tabela_registros[VALOR],tabela_registros[MÊS],$AE$1,tabela_registros[DIA],receitasvariáveisconsolidado28[[#Headers],[26]],tabela_registros[REGISTRO],DADOS!$N$3,tabela_registros[TIPO],DADOS!$V$4,tabela_registros[CATEGORIA],receitasvariáveisconsolidado28[[#This Row],[ATUAL]])</f>
        <v>0</v>
      </c>
      <c r="AE102" s="176">
        <f>SUMIFS(tabela_registros[VALOR],tabela_registros[MÊS],$AE$1,tabela_registros[DIA],receitasvariáveisconsolidado28[[#Headers],[27]],tabela_registros[REGISTRO],DADOS!$N$3,tabela_registros[TIPO],DADOS!$V$4,tabela_registros[CATEGORIA],receitasvariáveisconsolidado28[[#This Row],[ATUAL]])</f>
        <v>0</v>
      </c>
      <c r="AF102" s="176">
        <f>SUMIFS(tabela_registros[VALOR],tabela_registros[MÊS],$AE$1,tabela_registros[DIA],receitasvariáveisconsolidado28[[#Headers],[28]],tabela_registros[REGISTRO],DADOS!$N$3,tabela_registros[TIPO],DADOS!$V$4,tabela_registros[CATEGORIA],receitasvariáveisconsolidado28[[#This Row],[ATUAL]])</f>
        <v>0</v>
      </c>
      <c r="AG102" s="176">
        <f>SUMIFS(tabela_registros[VALOR],tabela_registros[MÊS],$AE$1,tabela_registros[DIA],receitasvariáveisconsolidado28[[#Headers],[29]],tabela_registros[REGISTRO],DADOS!$N$3,tabela_registros[TIPO],DADOS!$V$4,tabela_registros[CATEGORIA],receitasvariáveisconsolidado28[[#This Row],[ATUAL]])</f>
        <v>0</v>
      </c>
      <c r="AH102" s="176">
        <f>SUMIFS(tabela_registros[VALOR],tabela_registros[MÊS],$AE$1,tabela_registros[DIA],receitasvariáveisconsolidado28[[#Headers],[30]],tabela_registros[REGISTRO],DADOS!$N$3,tabela_registros[TIPO],DADOS!$V$4,tabela_registros[CATEGORIA],receitasvariáveisconsolidado28[[#This Row],[ATUAL]])</f>
        <v>0</v>
      </c>
      <c r="AI102" s="190">
        <f>SUMIFS(tabela_registros[VALOR],tabela_registros[MÊS],$AE$1,tabela_registros[DIA],receitasvariáveisconsolidado28[[#Headers],[31]],tabela_registros[REGISTRO],DADOS!$N$3,tabela_registros[TIPO],DADOS!$V$4,tabela_registros[CATEGORIA],receitasvariáveisconsolidado28[[#This Row],[ATUAL]])</f>
        <v>0</v>
      </c>
      <c r="AJ102" s="201">
        <f>SUM(receitasvariáveisconsolidado28[[#This Row],[1]:[31]])</f>
        <v>0</v>
      </c>
      <c r="AK102" s="25"/>
    </row>
    <row r="103" spans="2:37" ht="18" customHeight="1" thickTop="1" thickBot="1" x14ac:dyDescent="0.3">
      <c r="B103" s="28"/>
      <c r="C103" s="27" t="str">
        <f>DADOS!$Z$10</f>
        <v>📎 OUTROS</v>
      </c>
      <c r="D103" s="26" t="str">
        <f>IF(receitasvariáveisconsolidado28[[#This Row],[TOTAL (R$)]]=0,"",IF(OR(receitasvariáveisconsolidado28[[#This Row],[TOTAL (R$)]]=LARGE($AJ$96:$AJ$103,1),receitasvariáveisconsolidado28[[#This Row],[TOTAL (R$)]]=LARGE($AJ$96:$AJ$103,2)),DADOS!$I$9,""))</f>
        <v/>
      </c>
      <c r="E103" s="189">
        <f>SUMIFS(tabela_registros[VALOR],tabela_registros[MÊS],$AE$1,tabela_registros[DIA],receitasvariáveisconsolidado28[[#Headers],[1]],tabela_registros[REGISTRO],DADOS!$N$3,tabela_registros[TIPO],DADOS!$V$4,tabela_registros[CATEGORIA],receitasvariáveisconsolidado28[[#This Row],[ATUAL]])</f>
        <v>0</v>
      </c>
      <c r="F103" s="176">
        <f>SUMIFS(tabela_registros[VALOR],tabela_registros[MÊS],$AE$1,tabela_registros[DIA],receitasvariáveisconsolidado28[[#Headers],[2]],tabela_registros[REGISTRO],DADOS!$N$3,tabela_registros[TIPO],DADOS!$V$4,tabela_registros[CATEGORIA],receitasvariáveisconsolidado28[[#This Row],[ATUAL]])</f>
        <v>0</v>
      </c>
      <c r="G103" s="176">
        <f>SUMIFS(tabela_registros[VALOR],tabela_registros[MÊS],$AE$1,tabela_registros[DIA],receitasvariáveisconsolidado28[[#Headers],[3]],tabela_registros[REGISTRO],DADOS!$N$3,tabela_registros[TIPO],DADOS!$V$4,tabela_registros[CATEGORIA],receitasvariáveisconsolidado28[[#This Row],[ATUAL]])</f>
        <v>0</v>
      </c>
      <c r="H103" s="176">
        <f>SUMIFS(tabela_registros[VALOR],tabela_registros[MÊS],$AE$1,tabela_registros[DIA],receitasvariáveisconsolidado28[[#Headers],[4]],tabela_registros[REGISTRO],DADOS!$N$3,tabela_registros[TIPO],DADOS!$V$4,tabela_registros[CATEGORIA],receitasvariáveisconsolidado28[[#This Row],[ATUAL]])</f>
        <v>0</v>
      </c>
      <c r="I103" s="176">
        <f>SUMIFS(tabela_registros[VALOR],tabela_registros[MÊS],$AE$1,tabela_registros[DIA],receitasvariáveisconsolidado28[[#Headers],[5]],tabela_registros[REGISTRO],DADOS!$N$3,tabela_registros[TIPO],DADOS!$V$4,tabela_registros[CATEGORIA],receitasvariáveisconsolidado28[[#This Row],[ATUAL]])</f>
        <v>0</v>
      </c>
      <c r="J103" s="176">
        <f>SUMIFS(tabela_registros[VALOR],tabela_registros[MÊS],$AE$1,tabela_registros[DIA],receitasvariáveisconsolidado28[[#Headers],[6]],tabela_registros[REGISTRO],DADOS!$N$3,tabela_registros[TIPO],DADOS!$V$4,tabela_registros[CATEGORIA],receitasvariáveisconsolidado28[[#This Row],[ATUAL]])</f>
        <v>0</v>
      </c>
      <c r="K103" s="176">
        <f>SUMIFS(tabela_registros[VALOR],tabela_registros[MÊS],$AE$1,tabela_registros[DIA],receitasvariáveisconsolidado28[[#Headers],[7]],tabela_registros[REGISTRO],DADOS!$N$3,tabela_registros[TIPO],DADOS!$V$4,tabela_registros[CATEGORIA],receitasvariáveisconsolidado28[[#This Row],[ATUAL]])</f>
        <v>0</v>
      </c>
      <c r="L103" s="176">
        <f>SUMIFS(tabela_registros[VALOR],tabela_registros[MÊS],$AE$1,tabela_registros[DIA],receitasvariáveisconsolidado28[[#Headers],[8]],tabela_registros[REGISTRO],DADOS!$N$3,tabela_registros[TIPO],DADOS!$V$4,tabela_registros[CATEGORIA],receitasvariáveisconsolidado28[[#This Row],[ATUAL]])</f>
        <v>0</v>
      </c>
      <c r="M103" s="176">
        <f>SUMIFS(tabela_registros[VALOR],tabela_registros[MÊS],$AE$1,tabela_registros[DIA],receitasvariáveisconsolidado28[[#Headers],[9]],tabela_registros[REGISTRO],DADOS!$N$3,tabela_registros[TIPO],DADOS!$V$4,tabela_registros[CATEGORIA],receitasvariáveisconsolidado28[[#This Row],[ATUAL]])</f>
        <v>0</v>
      </c>
      <c r="N103" s="176">
        <f>SUMIFS(tabela_registros[VALOR],tabela_registros[MÊS],$AE$1,tabela_registros[DIA],receitasvariáveisconsolidado28[[#Headers],[10]],tabela_registros[REGISTRO],DADOS!$N$3,tabela_registros[TIPO],DADOS!$V$4,tabela_registros[CATEGORIA],receitasvariáveisconsolidado28[[#This Row],[ATUAL]])</f>
        <v>0</v>
      </c>
      <c r="O103" s="176">
        <f>SUMIFS(tabela_registros[VALOR],tabela_registros[MÊS],$AE$1,tabela_registros[DIA],receitasvariáveisconsolidado28[[#Headers],[11]],tabela_registros[REGISTRO],DADOS!$N$3,tabela_registros[TIPO],DADOS!$V$4,tabela_registros[CATEGORIA],receitasvariáveisconsolidado28[[#This Row],[ATUAL]])</f>
        <v>0</v>
      </c>
      <c r="P103" s="176">
        <f>SUMIFS(tabela_registros[VALOR],tabela_registros[MÊS],$AE$1,tabela_registros[DIA],receitasvariáveisconsolidado28[[#Headers],[12]],tabela_registros[REGISTRO],DADOS!$N$3,tabela_registros[TIPO],DADOS!$V$4,tabela_registros[CATEGORIA],receitasvariáveisconsolidado28[[#This Row],[ATUAL]])</f>
        <v>0</v>
      </c>
      <c r="Q103" s="176">
        <f>SUMIFS(tabela_registros[VALOR],tabela_registros[MÊS],$AE$1,tabela_registros[DIA],receitasvariáveisconsolidado28[[#Headers],[13]],tabela_registros[REGISTRO],DADOS!$N$3,tabela_registros[TIPO],DADOS!$V$4,tabela_registros[CATEGORIA],receitasvariáveisconsolidado28[[#This Row],[ATUAL]])</f>
        <v>0</v>
      </c>
      <c r="R103" s="176">
        <f>SUMIFS(tabela_registros[VALOR],tabela_registros[MÊS],$AE$1,tabela_registros[DIA],receitasvariáveisconsolidado28[[#Headers],[14]],tabela_registros[REGISTRO],DADOS!$N$3,tabela_registros[TIPO],DADOS!$V$4,tabela_registros[CATEGORIA],receitasvariáveisconsolidado28[[#This Row],[ATUAL]])</f>
        <v>0</v>
      </c>
      <c r="S103" s="176">
        <f>SUMIFS(tabela_registros[VALOR],tabela_registros[MÊS],$AE$1,tabela_registros[DIA],receitasvariáveisconsolidado28[[#Headers],[15]],tabela_registros[REGISTRO],DADOS!$N$3,tabela_registros[TIPO],DADOS!$V$4,tabela_registros[CATEGORIA],receitasvariáveisconsolidado28[[#This Row],[ATUAL]])</f>
        <v>0</v>
      </c>
      <c r="T103" s="176">
        <f>SUMIFS(tabela_registros[VALOR],tabela_registros[MÊS],$AE$1,tabela_registros[DIA],receitasvariáveisconsolidado28[[#Headers],[16]],tabela_registros[REGISTRO],DADOS!$N$3,tabela_registros[TIPO],DADOS!$V$4,tabela_registros[CATEGORIA],receitasvariáveisconsolidado28[[#This Row],[ATUAL]])</f>
        <v>0</v>
      </c>
      <c r="U103" s="176">
        <f>SUMIFS(tabela_registros[VALOR],tabela_registros[MÊS],$AE$1,tabela_registros[DIA],receitasvariáveisconsolidado28[[#Headers],[17]],tabela_registros[REGISTRO],DADOS!$N$3,tabela_registros[TIPO],DADOS!$V$4,tabela_registros[CATEGORIA],receitasvariáveisconsolidado28[[#This Row],[ATUAL]])</f>
        <v>0</v>
      </c>
      <c r="V103" s="176">
        <f>SUMIFS(tabela_registros[VALOR],tabela_registros[MÊS],$AE$1,tabela_registros[DIA],receitasvariáveisconsolidado28[[#Headers],[18]],tabela_registros[REGISTRO],DADOS!$N$3,tabela_registros[TIPO],DADOS!$V$4,tabela_registros[CATEGORIA],receitasvariáveisconsolidado28[[#This Row],[ATUAL]])</f>
        <v>0</v>
      </c>
      <c r="W103" s="176">
        <f>SUMIFS(tabela_registros[VALOR],tabela_registros[MÊS],$AE$1,tabela_registros[DIA],receitasvariáveisconsolidado28[[#Headers],[19]],tabela_registros[REGISTRO],DADOS!$N$3,tabela_registros[TIPO],DADOS!$V$4,tabela_registros[CATEGORIA],receitasvariáveisconsolidado28[[#This Row],[ATUAL]])</f>
        <v>0</v>
      </c>
      <c r="X103" s="176">
        <f>SUMIFS(tabela_registros[VALOR],tabela_registros[MÊS],$AE$1,tabela_registros[DIA],receitasvariáveisconsolidado28[[#Headers],[20]],tabela_registros[REGISTRO],DADOS!$N$3,tabela_registros[TIPO],DADOS!$V$4,tabela_registros[CATEGORIA],receitasvariáveisconsolidado28[[#This Row],[ATUAL]])</f>
        <v>0</v>
      </c>
      <c r="Y103" s="176">
        <f>SUMIFS(tabela_registros[VALOR],tabela_registros[MÊS],$AE$1,tabela_registros[DIA],receitasvariáveisconsolidado28[[#Headers],[21]],tabela_registros[REGISTRO],DADOS!$N$3,tabela_registros[TIPO],DADOS!$V$4,tabela_registros[CATEGORIA],receitasvariáveisconsolidado28[[#This Row],[ATUAL]])</f>
        <v>0</v>
      </c>
      <c r="Z103" s="176">
        <f>SUMIFS(tabela_registros[VALOR],tabela_registros[MÊS],$AE$1,tabela_registros[DIA],receitasvariáveisconsolidado28[[#Headers],[22]],tabela_registros[REGISTRO],DADOS!$N$3,tabela_registros[TIPO],DADOS!$V$4,tabela_registros[CATEGORIA],receitasvariáveisconsolidado28[[#This Row],[ATUAL]])</f>
        <v>0</v>
      </c>
      <c r="AA103" s="176">
        <f>SUMIFS(tabela_registros[VALOR],tabela_registros[MÊS],$AE$1,tabela_registros[DIA],receitasvariáveisconsolidado28[[#Headers],[23]],tabela_registros[REGISTRO],DADOS!$N$3,tabela_registros[TIPO],DADOS!$V$4,tabela_registros[CATEGORIA],receitasvariáveisconsolidado28[[#This Row],[ATUAL]])</f>
        <v>0</v>
      </c>
      <c r="AB103" s="176">
        <f>SUMIFS(tabela_registros[VALOR],tabela_registros[MÊS],$AE$1,tabela_registros[DIA],receitasvariáveisconsolidado28[[#Headers],[24]],tabela_registros[REGISTRO],DADOS!$N$3,tabela_registros[TIPO],DADOS!$V$4,tabela_registros[CATEGORIA],receitasvariáveisconsolidado28[[#This Row],[ATUAL]])</f>
        <v>0</v>
      </c>
      <c r="AC103" s="176">
        <f>SUMIFS(tabela_registros[VALOR],tabela_registros[MÊS],$AE$1,tabela_registros[DIA],receitasvariáveisconsolidado28[[#Headers],[25]],tabela_registros[REGISTRO],DADOS!$N$3,tabela_registros[TIPO],DADOS!$V$4,tabela_registros[CATEGORIA],receitasvariáveisconsolidado28[[#This Row],[ATUAL]])</f>
        <v>0</v>
      </c>
      <c r="AD103" s="176">
        <f>SUMIFS(tabela_registros[VALOR],tabela_registros[MÊS],$AE$1,tabela_registros[DIA],receitasvariáveisconsolidado28[[#Headers],[26]],tabela_registros[REGISTRO],DADOS!$N$3,tabela_registros[TIPO],DADOS!$V$4,tabela_registros[CATEGORIA],receitasvariáveisconsolidado28[[#This Row],[ATUAL]])</f>
        <v>0</v>
      </c>
      <c r="AE103" s="176">
        <f>SUMIFS(tabela_registros[VALOR],tabela_registros[MÊS],$AE$1,tabela_registros[DIA],receitasvariáveisconsolidado28[[#Headers],[27]],tabela_registros[REGISTRO],DADOS!$N$3,tabela_registros[TIPO],DADOS!$V$4,tabela_registros[CATEGORIA],receitasvariáveisconsolidado28[[#This Row],[ATUAL]])</f>
        <v>0</v>
      </c>
      <c r="AF103" s="176">
        <f>SUMIFS(tabela_registros[VALOR],tabela_registros[MÊS],$AE$1,tabela_registros[DIA],receitasvariáveisconsolidado28[[#Headers],[28]],tabela_registros[REGISTRO],DADOS!$N$3,tabela_registros[TIPO],DADOS!$V$4,tabela_registros[CATEGORIA],receitasvariáveisconsolidado28[[#This Row],[ATUAL]])</f>
        <v>0</v>
      </c>
      <c r="AG103" s="176">
        <f>SUMIFS(tabela_registros[VALOR],tabela_registros[MÊS],$AE$1,tabela_registros[DIA],receitasvariáveisconsolidado28[[#Headers],[29]],tabela_registros[REGISTRO],DADOS!$N$3,tabela_registros[TIPO],DADOS!$V$4,tabela_registros[CATEGORIA],receitasvariáveisconsolidado28[[#This Row],[ATUAL]])</f>
        <v>0</v>
      </c>
      <c r="AH103" s="176">
        <f>SUMIFS(tabela_registros[VALOR],tabela_registros[MÊS],$AE$1,tabela_registros[DIA],receitasvariáveisconsolidado28[[#Headers],[30]],tabela_registros[REGISTRO],DADOS!$N$3,tabela_registros[TIPO],DADOS!$V$4,tabela_registros[CATEGORIA],receitasvariáveisconsolidado28[[#This Row],[ATUAL]])</f>
        <v>0</v>
      </c>
      <c r="AI103" s="193">
        <f>SUMIFS(tabela_registros[VALOR],tabela_registros[MÊS],$AE$1,tabela_registros[DIA],receitasvariáveisconsolidado28[[#Headers],[31]],tabela_registros[REGISTRO],DADOS!$N$3,tabela_registros[TIPO],DADOS!$V$4,tabela_registros[CATEGORIA],receitasvariáveisconsolidado28[[#This Row],[ATUAL]])</f>
        <v>0</v>
      </c>
      <c r="AJ103" s="167">
        <f>SUM(receitasvariáveisconsolidado28[[#This Row],[1]:[31]])</f>
        <v>0</v>
      </c>
      <c r="AK103" s="25"/>
    </row>
    <row r="104" spans="2:37" s="16" customFormat="1" ht="21" customHeight="1" thickTop="1" thickBot="1" x14ac:dyDescent="0.35">
      <c r="B104" s="24"/>
      <c r="C104" s="23" t="s">
        <v>19</v>
      </c>
      <c r="D104" s="22"/>
      <c r="E104" s="195">
        <f>SUM(E96:E103)</f>
        <v>0</v>
      </c>
      <c r="F104" s="196">
        <f>SUM(F96:F103)+receitasvariáveisconsolidado28[[#This Row],[1]]</f>
        <v>0</v>
      </c>
      <c r="G104" s="196">
        <f>SUM(G96:G103)+receitasvariáveisconsolidado28[[#This Row],[2]]</f>
        <v>0</v>
      </c>
      <c r="H104" s="196">
        <f>SUM(H96:H103)+receitasvariáveisconsolidado28[[#This Row],[3]]</f>
        <v>0</v>
      </c>
      <c r="I104" s="196">
        <f>SUM(I96:I103)+receitasvariáveisconsolidado28[[#This Row],[4]]</f>
        <v>0</v>
      </c>
      <c r="J104" s="196">
        <f>SUM(J96:J103)+receitasvariáveisconsolidado28[[#This Row],[5]]</f>
        <v>0</v>
      </c>
      <c r="K104" s="196">
        <f>SUM(K96:K103)+receitasvariáveisconsolidado28[[#This Row],[6]]</f>
        <v>0</v>
      </c>
      <c r="L104" s="196">
        <f>SUM(L96:L103)+receitasvariáveisconsolidado28[[#This Row],[7]]</f>
        <v>0</v>
      </c>
      <c r="M104" s="196">
        <f>SUM(M96:M103)+receitasvariáveisconsolidado28[[#This Row],[8]]</f>
        <v>0</v>
      </c>
      <c r="N104" s="196">
        <f>SUM(N96:N103)+receitasvariáveisconsolidado28[[#This Row],[9]]</f>
        <v>0</v>
      </c>
      <c r="O104" s="196">
        <f>SUM(O96:O103)+receitasvariáveisconsolidado28[[#This Row],[10]]</f>
        <v>122.5</v>
      </c>
      <c r="P104" s="196">
        <f>SUM(P96:P103)+receitasvariáveisconsolidado28[[#This Row],[11]]</f>
        <v>122.5</v>
      </c>
      <c r="Q104" s="196">
        <f>SUM(Q96:Q103)+receitasvariáveisconsolidado28[[#This Row],[12]]</f>
        <v>122.5</v>
      </c>
      <c r="R104" s="196">
        <f>SUM(R96:R103)+receitasvariáveisconsolidado28[[#This Row],[13]]</f>
        <v>122.5</v>
      </c>
      <c r="S104" s="196">
        <f>SUM(S96:S103)+receitasvariáveisconsolidado28[[#This Row],[14]]</f>
        <v>122.5</v>
      </c>
      <c r="T104" s="196">
        <f>SUM(T96:T103)+receitasvariáveisconsolidado28[[#This Row],[15]]</f>
        <v>122.5</v>
      </c>
      <c r="U104" s="196">
        <f>SUM(U96:U103)+receitasvariáveisconsolidado28[[#This Row],[16]]</f>
        <v>122.5</v>
      </c>
      <c r="V104" s="196">
        <f>SUM(V96:V103)+receitasvariáveisconsolidado28[[#This Row],[17]]</f>
        <v>122.5</v>
      </c>
      <c r="W104" s="196">
        <f>SUM(W96:W103)+receitasvariáveisconsolidado28[[#This Row],[18]]</f>
        <v>122.5</v>
      </c>
      <c r="X104" s="196">
        <f>SUM(X96:X103)+receitasvariáveisconsolidado28[[#This Row],[19]]</f>
        <v>122.5</v>
      </c>
      <c r="Y104" s="196">
        <f>SUM(Y96:Y103)+receitasvariáveisconsolidado28[[#This Row],[20]]</f>
        <v>122.5</v>
      </c>
      <c r="Z104" s="196">
        <f>SUM(Z96:Z103)+receitasvariáveisconsolidado28[[#This Row],[21]]</f>
        <v>122.5</v>
      </c>
      <c r="AA104" s="196">
        <f>SUM(AA96:AA103)+receitasvariáveisconsolidado28[[#This Row],[22]]</f>
        <v>122.5</v>
      </c>
      <c r="AB104" s="196">
        <f>SUM(AB96:AB103)+receitasvariáveisconsolidado28[[#This Row],[23]]</f>
        <v>122.5</v>
      </c>
      <c r="AC104" s="196">
        <f>SUM(AC96:AC103)+receitasvariáveisconsolidado28[[#This Row],[24]]</f>
        <v>122.5</v>
      </c>
      <c r="AD104" s="196">
        <f>SUM(AD96:AD103)+receitasvariáveisconsolidado28[[#This Row],[25]]</f>
        <v>122.5</v>
      </c>
      <c r="AE104" s="196">
        <f>SUM(AE96:AE103)+receitasvariáveisconsolidado28[[#This Row],[26]]</f>
        <v>122.5</v>
      </c>
      <c r="AF104" s="196">
        <f>SUM(AF96:AF103)+receitasvariáveisconsolidado28[[#This Row],[27]]</f>
        <v>122.5</v>
      </c>
      <c r="AG104" s="196">
        <f>SUM(AG96:AG103)+receitasvariáveisconsolidado28[[#This Row],[28]]</f>
        <v>122.5</v>
      </c>
      <c r="AH104" s="196">
        <f>SUM(AH96:AH103)+receitasvariáveisconsolidado28[[#This Row],[29]]</f>
        <v>122.5</v>
      </c>
      <c r="AI104" s="197">
        <f>SUM(AI96:AI103)+receitasvariáveisconsolidado28[[#This Row],[30]]</f>
        <v>122.5</v>
      </c>
      <c r="AJ104" s="168">
        <f>receitasvariáveisconsolidado28[[#This Row],[31]]</f>
        <v>122.5</v>
      </c>
      <c r="AK104" s="17"/>
    </row>
    <row r="105" spans="2:37" ht="6.75" customHeight="1" thickTop="1" thickBot="1" x14ac:dyDescent="0.3">
      <c r="B105" s="15"/>
      <c r="C105" s="14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200"/>
      <c r="AJ105" s="11"/>
      <c r="AK105" s="10"/>
    </row>
    <row r="106" spans="2:37" ht="12.6" thickTop="1" x14ac:dyDescent="0.25">
      <c r="E106" s="37"/>
      <c r="AI106" s="4"/>
    </row>
    <row r="107" spans="2:37" x14ac:dyDescent="0.25">
      <c r="AI107" s="4"/>
    </row>
    <row r="108" spans="2:37" x14ac:dyDescent="0.25">
      <c r="AI108" s="4"/>
    </row>
    <row r="109" spans="2:37" ht="39.75" customHeight="1" x14ac:dyDescent="0.7">
      <c r="C109" s="36"/>
      <c r="E109" s="240"/>
      <c r="F109" s="240"/>
      <c r="G109" s="240"/>
      <c r="H109" s="240"/>
      <c r="I109" s="240"/>
      <c r="J109" s="240"/>
      <c r="K109" s="240"/>
      <c r="L109" s="240"/>
      <c r="M109" s="240"/>
      <c r="N109" s="240"/>
      <c r="O109" s="240"/>
      <c r="P109" s="240"/>
      <c r="Q109" s="240"/>
      <c r="R109" s="240"/>
      <c r="S109" s="240"/>
      <c r="T109" s="240"/>
      <c r="U109" s="240"/>
      <c r="V109" s="240"/>
      <c r="W109" s="240"/>
      <c r="X109" s="240"/>
      <c r="Y109" s="240"/>
      <c r="Z109" s="240"/>
      <c r="AA109" s="240"/>
      <c r="AB109" s="240"/>
      <c r="AC109" s="240"/>
      <c r="AD109" s="240"/>
      <c r="AE109" s="240"/>
      <c r="AF109" s="240"/>
      <c r="AG109" s="240"/>
      <c r="AH109" s="240"/>
      <c r="AI109" s="240"/>
      <c r="AJ109" s="169" t="s">
        <v>19</v>
      </c>
    </row>
    <row r="110" spans="2:37" ht="12.6" thickBot="1" x14ac:dyDescent="0.3">
      <c r="B110" s="35"/>
      <c r="AI110" s="4"/>
      <c r="AJ110" s="170" t="s">
        <v>202</v>
      </c>
    </row>
    <row r="111" spans="2:37" ht="6.75" customHeight="1" thickTop="1" thickBot="1" x14ac:dyDescent="0.3">
      <c r="B111" s="2"/>
      <c r="C111" s="14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200"/>
      <c r="AK111" s="33"/>
    </row>
    <row r="112" spans="2:37" ht="13.2" hidden="1" thickTop="1" thickBot="1" x14ac:dyDescent="0.3">
      <c r="B112" s="2"/>
      <c r="C112" s="31" t="s">
        <v>199</v>
      </c>
      <c r="D112" s="30" t="s">
        <v>198</v>
      </c>
      <c r="E112" s="30" t="s">
        <v>197</v>
      </c>
      <c r="F112" s="30" t="s">
        <v>196</v>
      </c>
      <c r="G112" s="30" t="s">
        <v>195</v>
      </c>
      <c r="H112" s="30" t="s">
        <v>194</v>
      </c>
      <c r="I112" s="30" t="s">
        <v>193</v>
      </c>
      <c r="J112" s="30" t="s">
        <v>192</v>
      </c>
      <c r="K112" s="30" t="s">
        <v>191</v>
      </c>
      <c r="L112" s="30" t="s">
        <v>190</v>
      </c>
      <c r="M112" s="30" t="s">
        <v>189</v>
      </c>
      <c r="N112" s="30" t="s">
        <v>188</v>
      </c>
      <c r="O112" s="30" t="s">
        <v>187</v>
      </c>
      <c r="P112" s="30" t="s">
        <v>186</v>
      </c>
      <c r="Q112" s="30" t="s">
        <v>185</v>
      </c>
      <c r="R112" s="30" t="s">
        <v>184</v>
      </c>
      <c r="S112" s="30" t="s">
        <v>183</v>
      </c>
      <c r="T112" s="30" t="s">
        <v>182</v>
      </c>
      <c r="U112" s="30" t="s">
        <v>181</v>
      </c>
      <c r="V112" s="30" t="s">
        <v>180</v>
      </c>
      <c r="W112" s="30" t="s">
        <v>179</v>
      </c>
      <c r="X112" s="30" t="s">
        <v>178</v>
      </c>
      <c r="Y112" s="30" t="s">
        <v>177</v>
      </c>
      <c r="Z112" s="30" t="s">
        <v>176</v>
      </c>
      <c r="AA112" s="30" t="s">
        <v>175</v>
      </c>
      <c r="AB112" s="30" t="s">
        <v>174</v>
      </c>
      <c r="AC112" s="30" t="s">
        <v>173</v>
      </c>
      <c r="AD112" s="30" t="s">
        <v>172</v>
      </c>
      <c r="AE112" s="30" t="s">
        <v>171</v>
      </c>
      <c r="AF112" s="30" t="s">
        <v>170</v>
      </c>
      <c r="AG112" s="30" t="s">
        <v>169</v>
      </c>
      <c r="AH112" s="30" t="s">
        <v>168</v>
      </c>
      <c r="AI112" s="30" t="s">
        <v>167</v>
      </c>
      <c r="AJ112" s="172" t="s">
        <v>166</v>
      </c>
      <c r="AK112" s="2"/>
    </row>
    <row r="113" spans="2:37" ht="19.5" customHeight="1" thickTop="1" thickBot="1" x14ac:dyDescent="0.3">
      <c r="B113" s="28"/>
      <c r="C113" s="27" t="str">
        <f>DADOS!$AD$3</f>
        <v>📝 CDB</v>
      </c>
      <c r="D113" s="26" t="str">
        <f>IF(investirrendafixaconsolidado2829[[#This Row],[TOTAL (R$)]]=0,"",IF(OR(investirrendafixaconsolidado2829[[#This Row],[TOTAL (R$)]]=LARGE($AJ$113:$AJ$122,1),investirrendafixaconsolidado2829[[#This Row],[TOTAL (R$)]]=LARGE($AJ$113:$AJ$122,2)),DADOS!$I$10,""))</f>
        <v>💎</v>
      </c>
      <c r="E113" s="189">
        <f>SUMIFS(tabela_registros[VALOR],tabela_registros[MÊS],$AE$1,tabela_registros[DIA],investirrendafixaconsolidado2829[[#Headers],[1]],tabela_registros[REGISTRO],DADOS!$N$5,tabela_registros[TIPO],DADOS!$AB$3,tabela_registros[CATEGORIA],investirrendafixaconsolidado2829[[#This Row],[ATUAL]])</f>
        <v>0</v>
      </c>
      <c r="F113" s="176">
        <f>SUMIFS(tabela_registros[VALOR],tabela_registros[MÊS],$AE$1,tabela_registros[DIA],investirrendafixaconsolidado2829[[#Headers],[2]],tabela_registros[REGISTRO],DADOS!$N$5,tabela_registros[TIPO],DADOS!$AB$3,tabela_registros[CATEGORIA],investirrendafixaconsolidado2829[[#This Row],[ATUAL]])</f>
        <v>0</v>
      </c>
      <c r="G113" s="176">
        <f>SUMIFS(tabela_registros[VALOR],tabela_registros[MÊS],$AE$1,tabela_registros[DIA],investirrendafixaconsolidado2829[[#Headers],[3]],tabela_registros[REGISTRO],DADOS!$N$5,tabela_registros[TIPO],DADOS!$AB$3,tabela_registros[CATEGORIA],investirrendafixaconsolidado2829[[#This Row],[ATUAL]])</f>
        <v>0</v>
      </c>
      <c r="H113" s="176">
        <f>SUMIFS(tabela_registros[VALOR],tabela_registros[MÊS],$AE$1,tabela_registros[DIA],investirrendafixaconsolidado2829[[#Headers],[4]],tabela_registros[REGISTRO],DADOS!$N$5,tabela_registros[TIPO],DADOS!$AB$3,tabela_registros[CATEGORIA],investirrendafixaconsolidado2829[[#This Row],[ATUAL]])</f>
        <v>0</v>
      </c>
      <c r="I113" s="176">
        <f>SUMIFS(tabela_registros[VALOR],tabela_registros[MÊS],$AE$1,tabela_registros[DIA],investirrendafixaconsolidado2829[[#Headers],[5]],tabela_registros[REGISTRO],DADOS!$N$5,tabela_registros[TIPO],DADOS!$AB$3,tabela_registros[CATEGORIA],investirrendafixaconsolidado2829[[#This Row],[ATUAL]])</f>
        <v>0</v>
      </c>
      <c r="J113" s="176">
        <f>SUMIFS(tabela_registros[VALOR],tabela_registros[MÊS],$AE$1,tabela_registros[DIA],investirrendafixaconsolidado2829[[#Headers],[6]],tabela_registros[REGISTRO],DADOS!$N$5,tabela_registros[TIPO],DADOS!$AB$3,tabela_registros[CATEGORIA],investirrendafixaconsolidado2829[[#This Row],[ATUAL]])</f>
        <v>0</v>
      </c>
      <c r="K113" s="176">
        <f>SUMIFS(tabela_registros[VALOR],tabela_registros[MÊS],$AE$1,tabela_registros[DIA],investirrendafixaconsolidado2829[[#Headers],[7]],tabela_registros[REGISTRO],DADOS!$N$5,tabela_registros[TIPO],DADOS!$AB$3,tabela_registros[CATEGORIA],investirrendafixaconsolidado2829[[#This Row],[ATUAL]])</f>
        <v>0</v>
      </c>
      <c r="L113" s="176">
        <f>SUMIFS(tabela_registros[VALOR],tabela_registros[MÊS],$AE$1,tabela_registros[DIA],investirrendafixaconsolidado2829[[#Headers],[8]],tabela_registros[REGISTRO],DADOS!$N$5,tabela_registros[TIPO],DADOS!$AB$3,tabela_registros[CATEGORIA],investirrendafixaconsolidado2829[[#This Row],[ATUAL]])</f>
        <v>0</v>
      </c>
      <c r="M113" s="176">
        <f>SUMIFS(tabela_registros[VALOR],tabela_registros[MÊS],$AE$1,tabela_registros[DIA],investirrendafixaconsolidado2829[[#Headers],[9]],tabela_registros[REGISTRO],DADOS!$N$5,tabela_registros[TIPO],DADOS!$AB$3,tabela_registros[CATEGORIA],investirrendafixaconsolidado2829[[#This Row],[ATUAL]])</f>
        <v>0</v>
      </c>
      <c r="N113" s="176">
        <f>SUMIFS(tabela_registros[VALOR],tabela_registros[MÊS],$AE$1,tabela_registros[DIA],investirrendafixaconsolidado2829[[#Headers],[10]],tabela_registros[REGISTRO],DADOS!$N$5,tabela_registros[TIPO],DADOS!$AB$3,tabela_registros[CATEGORIA],investirrendafixaconsolidado2829[[#This Row],[ATUAL]])</f>
        <v>0</v>
      </c>
      <c r="O113" s="176">
        <f>SUMIFS(tabela_registros[VALOR],tabela_registros[MÊS],$AE$1,tabela_registros[DIA],investirrendafixaconsolidado2829[[#Headers],[11]],tabela_registros[REGISTRO],DADOS!$N$5,tabela_registros[TIPO],DADOS!$AB$3,tabela_registros[CATEGORIA],investirrendafixaconsolidado2829[[#This Row],[ATUAL]])</f>
        <v>0</v>
      </c>
      <c r="P113" s="176">
        <f>SUMIFS(tabela_registros[VALOR],tabela_registros[MÊS],$AE$1,tabela_registros[DIA],investirrendafixaconsolidado2829[[#Headers],[12]],tabela_registros[REGISTRO],DADOS!$N$5,tabela_registros[TIPO],DADOS!$AB$3,tabela_registros[CATEGORIA],investirrendafixaconsolidado2829[[#This Row],[ATUAL]])</f>
        <v>0</v>
      </c>
      <c r="Q113" s="176">
        <f>SUMIFS(tabela_registros[VALOR],tabela_registros[MÊS],$AE$1,tabela_registros[DIA],investirrendafixaconsolidado2829[[#Headers],[13]],tabela_registros[REGISTRO],DADOS!$N$5,tabela_registros[TIPO],DADOS!$AB$3,tabela_registros[CATEGORIA],investirrendafixaconsolidado2829[[#This Row],[ATUAL]])</f>
        <v>0</v>
      </c>
      <c r="R113" s="176">
        <f>SUMIFS(tabela_registros[VALOR],tabela_registros[MÊS],$AE$1,tabela_registros[DIA],investirrendafixaconsolidado2829[[#Headers],[14]],tabela_registros[REGISTRO],DADOS!$N$5,tabela_registros[TIPO],DADOS!$AB$3,tabela_registros[CATEGORIA],investirrendafixaconsolidado2829[[#This Row],[ATUAL]])</f>
        <v>0</v>
      </c>
      <c r="S113" s="176">
        <f>SUMIFS(tabela_registros[VALOR],tabela_registros[MÊS],$AE$1,tabela_registros[DIA],investirrendafixaconsolidado2829[[#Headers],[15]],tabela_registros[REGISTRO],DADOS!$N$5,tabela_registros[TIPO],DADOS!$AB$3,tabela_registros[CATEGORIA],investirrendafixaconsolidado2829[[#This Row],[ATUAL]])</f>
        <v>0</v>
      </c>
      <c r="T113" s="176">
        <f>SUMIFS(tabela_registros[VALOR],tabela_registros[MÊS],$AE$1,tabela_registros[DIA],investirrendafixaconsolidado2829[[#Headers],[16]],tabela_registros[REGISTRO],DADOS!$N$5,tabela_registros[TIPO],DADOS!$AB$3,tabela_registros[CATEGORIA],investirrendafixaconsolidado2829[[#This Row],[ATUAL]])</f>
        <v>0</v>
      </c>
      <c r="U113" s="176">
        <f>SUMIFS(tabela_registros[VALOR],tabela_registros[MÊS],$AE$1,tabela_registros[DIA],investirrendafixaconsolidado2829[[#Headers],[17]],tabela_registros[REGISTRO],DADOS!$N$5,tabela_registros[TIPO],DADOS!$AB$3,tabela_registros[CATEGORIA],investirrendafixaconsolidado2829[[#This Row],[ATUAL]])</f>
        <v>0</v>
      </c>
      <c r="V113" s="176">
        <f>SUMIFS(tabela_registros[VALOR],tabela_registros[MÊS],$AE$1,tabela_registros[DIA],investirrendafixaconsolidado2829[[#Headers],[18]],tabela_registros[REGISTRO],DADOS!$N$5,tabela_registros[TIPO],DADOS!$AB$3,tabela_registros[CATEGORIA],investirrendafixaconsolidado2829[[#This Row],[ATUAL]])</f>
        <v>0</v>
      </c>
      <c r="W113" s="176">
        <f>SUMIFS(tabela_registros[VALOR],tabela_registros[MÊS],$AE$1,tabela_registros[DIA],investirrendafixaconsolidado2829[[#Headers],[19]],tabela_registros[REGISTRO],DADOS!$N$5,tabela_registros[TIPO],DADOS!$AB$3,tabela_registros[CATEGORIA],investirrendafixaconsolidado2829[[#This Row],[ATUAL]])</f>
        <v>0</v>
      </c>
      <c r="X113" s="176">
        <f>SUMIFS(tabela_registros[VALOR],tabela_registros[MÊS],$AE$1,tabela_registros[DIA],investirrendafixaconsolidado2829[[#Headers],[20]],tabela_registros[REGISTRO],DADOS!$N$5,tabela_registros[TIPO],DADOS!$AB$3,tabela_registros[CATEGORIA],investirrendafixaconsolidado2829[[#This Row],[ATUAL]])</f>
        <v>0</v>
      </c>
      <c r="Y113" s="176">
        <f>SUMIFS(tabela_registros[VALOR],tabela_registros[MÊS],$AE$1,tabela_registros[DIA],investirrendafixaconsolidado2829[[#Headers],[21]],tabela_registros[REGISTRO],DADOS!$N$5,tabela_registros[TIPO],DADOS!$AB$3,tabela_registros[CATEGORIA],investirrendafixaconsolidado2829[[#This Row],[ATUAL]])</f>
        <v>0</v>
      </c>
      <c r="Z113" s="176">
        <f>SUMIFS(tabela_registros[VALOR],tabela_registros[MÊS],$AE$1,tabela_registros[DIA],investirrendafixaconsolidado2829[[#Headers],[22]],tabela_registros[REGISTRO],DADOS!$N$5,tabela_registros[TIPO],DADOS!$AB$3,tabela_registros[CATEGORIA],investirrendafixaconsolidado2829[[#This Row],[ATUAL]])</f>
        <v>0</v>
      </c>
      <c r="AA113" s="176">
        <f>SUMIFS(tabela_registros[VALOR],tabela_registros[MÊS],$AE$1,tabela_registros[DIA],investirrendafixaconsolidado2829[[#Headers],[23]],tabela_registros[REGISTRO],DADOS!$N$5,tabela_registros[TIPO],DADOS!$AB$3,tabela_registros[CATEGORIA],investirrendafixaconsolidado2829[[#This Row],[ATUAL]])</f>
        <v>34.214285714285602</v>
      </c>
      <c r="AB113" s="176">
        <f>SUMIFS(tabela_registros[VALOR],tabela_registros[MÊS],$AE$1,tabela_registros[DIA],investirrendafixaconsolidado2829[[#Headers],[24]],tabela_registros[REGISTRO],DADOS!$N$5,tabela_registros[TIPO],DADOS!$AB$3,tabela_registros[CATEGORIA],investirrendafixaconsolidado2829[[#This Row],[ATUAL]])</f>
        <v>0</v>
      </c>
      <c r="AC113" s="176">
        <f>SUMIFS(tabela_registros[VALOR],tabela_registros[MÊS],$AE$1,tabela_registros[DIA],investirrendafixaconsolidado2829[[#Headers],[25]],tabela_registros[REGISTRO],DADOS!$N$5,tabela_registros[TIPO],DADOS!$AB$3,tabela_registros[CATEGORIA],investirrendafixaconsolidado2829[[#This Row],[ATUAL]])</f>
        <v>0</v>
      </c>
      <c r="AD113" s="176">
        <f>SUMIFS(tabela_registros[VALOR],tabela_registros[MÊS],$AE$1,tabela_registros[DIA],investirrendafixaconsolidado2829[[#Headers],[26]],tabela_registros[REGISTRO],DADOS!$N$5,tabela_registros[TIPO],DADOS!$AB$3,tabela_registros[CATEGORIA],investirrendafixaconsolidado2829[[#This Row],[ATUAL]])</f>
        <v>0</v>
      </c>
      <c r="AE113" s="176">
        <f>SUMIFS(tabela_registros[VALOR],tabela_registros[MÊS],$AE$1,tabela_registros[DIA],investirrendafixaconsolidado2829[[#Headers],[27]],tabela_registros[REGISTRO],DADOS!$N$5,tabela_registros[TIPO],DADOS!$AB$3,tabela_registros[CATEGORIA],investirrendafixaconsolidado2829[[#This Row],[ATUAL]])</f>
        <v>0</v>
      </c>
      <c r="AF113" s="176">
        <f>SUMIFS(tabela_registros[VALOR],tabela_registros[MÊS],$AE$1,tabela_registros[DIA],investirrendafixaconsolidado2829[[#Headers],[28]],tabela_registros[REGISTRO],DADOS!$N$5,tabela_registros[TIPO],DADOS!$AB$3,tabela_registros[CATEGORIA],investirrendafixaconsolidado2829[[#This Row],[ATUAL]])</f>
        <v>0</v>
      </c>
      <c r="AG113" s="176">
        <f>SUMIFS(tabela_registros[VALOR],tabela_registros[MÊS],$AE$1,tabela_registros[DIA],investirrendafixaconsolidado2829[[#Headers],[29]],tabela_registros[REGISTRO],DADOS!$N$5,tabela_registros[TIPO],DADOS!$AB$3,tabela_registros[CATEGORIA],investirrendafixaconsolidado2829[[#This Row],[ATUAL]])</f>
        <v>0</v>
      </c>
      <c r="AH113" s="176">
        <f>SUMIFS(tabela_registros[VALOR],tabela_registros[MÊS],$AE$1,tabela_registros[DIA],investirrendafixaconsolidado2829[[#Headers],[30]],tabela_registros[REGISTRO],DADOS!$N$5,tabela_registros[TIPO],DADOS!$AB$3,tabela_registros[CATEGORIA],investirrendafixaconsolidado2829[[#This Row],[ATUAL]])</f>
        <v>0</v>
      </c>
      <c r="AI113" s="190">
        <f>SUMIFS(tabela_registros[VALOR],tabela_registros[MÊS],$AE$1,tabela_registros[DIA],investirrendafixaconsolidado2829[[#Headers],[31]],tabela_registros[REGISTRO],DADOS!$N$5,tabela_registros[TIPO],DADOS!$AB$3,tabela_registros[CATEGORIA],investirrendafixaconsolidado2829[[#This Row],[ATUAL]])</f>
        <v>0</v>
      </c>
      <c r="AJ113" s="167">
        <f>SUM(investirrendafixaconsolidado2829[[#This Row],[1]:[31]])</f>
        <v>34.214285714285602</v>
      </c>
      <c r="AK113" s="25"/>
    </row>
    <row r="114" spans="2:37" ht="19.5" customHeight="1" thickTop="1" thickBot="1" x14ac:dyDescent="0.3">
      <c r="B114" s="28"/>
      <c r="C114" s="27" t="str">
        <f>DADOS!$AD$4</f>
        <v>📝 CRA</v>
      </c>
      <c r="D114" s="26" t="str">
        <f>IF(investirrendafixaconsolidado2829[[#This Row],[TOTAL (R$)]]=0,"",IF(OR(investirrendafixaconsolidado2829[[#This Row],[TOTAL (R$)]]=LARGE($AJ$113:$AJ$122,1),investirrendafixaconsolidado2829[[#This Row],[TOTAL (R$)]]=LARGE($AJ$113:$AJ$122,2)),DADOS!$I$10,""))</f>
        <v/>
      </c>
      <c r="E114" s="189">
        <f>SUMIFS(tabela_registros[VALOR],tabela_registros[MÊS],$AE$1,tabela_registros[DIA],investirrendafixaconsolidado2829[[#Headers],[1]],tabela_registros[REGISTRO],DADOS!$N$5,tabela_registros[TIPO],DADOS!$AB$3,tabela_registros[CATEGORIA],investirrendafixaconsolidado2829[[#This Row],[ATUAL]])</f>
        <v>0</v>
      </c>
      <c r="F114" s="176">
        <f>SUMIFS(tabela_registros[VALOR],tabela_registros[MÊS],$AE$1,tabela_registros[DIA],investirrendafixaconsolidado2829[[#Headers],[2]],tabela_registros[REGISTRO],DADOS!$N$5,tabela_registros[TIPO],DADOS!$AB$3,tabela_registros[CATEGORIA],investirrendafixaconsolidado2829[[#This Row],[ATUAL]])</f>
        <v>0</v>
      </c>
      <c r="G114" s="176">
        <f>SUMIFS(tabela_registros[VALOR],tabela_registros[MÊS],$AE$1,tabela_registros[DIA],investirrendafixaconsolidado2829[[#Headers],[3]],tabela_registros[REGISTRO],DADOS!$N$5,tabela_registros[TIPO],DADOS!$AB$3,tabela_registros[CATEGORIA],investirrendafixaconsolidado2829[[#This Row],[ATUAL]])</f>
        <v>0</v>
      </c>
      <c r="H114" s="176">
        <f>SUMIFS(tabela_registros[VALOR],tabela_registros[MÊS],$AE$1,tabela_registros[DIA],investirrendafixaconsolidado2829[[#Headers],[4]],tabela_registros[REGISTRO],DADOS!$N$5,tabela_registros[TIPO],DADOS!$AB$3,tabela_registros[CATEGORIA],investirrendafixaconsolidado2829[[#This Row],[ATUAL]])</f>
        <v>0</v>
      </c>
      <c r="I114" s="176">
        <f>SUMIFS(tabela_registros[VALOR],tabela_registros[MÊS],$AE$1,tabela_registros[DIA],investirrendafixaconsolidado2829[[#Headers],[5]],tabela_registros[REGISTRO],DADOS!$N$5,tabela_registros[TIPO],DADOS!$AB$3,tabela_registros[CATEGORIA],investirrendafixaconsolidado2829[[#This Row],[ATUAL]])</f>
        <v>0</v>
      </c>
      <c r="J114" s="176">
        <f>SUMIFS(tabela_registros[VALOR],tabela_registros[MÊS],$AE$1,tabela_registros[DIA],investirrendafixaconsolidado2829[[#Headers],[6]],tabela_registros[REGISTRO],DADOS!$N$5,tabela_registros[TIPO],DADOS!$AB$3,tabela_registros[CATEGORIA],investirrendafixaconsolidado2829[[#This Row],[ATUAL]])</f>
        <v>0</v>
      </c>
      <c r="K114" s="176">
        <f>SUMIFS(tabela_registros[VALOR],tabela_registros[MÊS],$AE$1,tabela_registros[DIA],investirrendafixaconsolidado2829[[#Headers],[7]],tabela_registros[REGISTRO],DADOS!$N$5,tabela_registros[TIPO],DADOS!$AB$3,tabela_registros[CATEGORIA],investirrendafixaconsolidado2829[[#This Row],[ATUAL]])</f>
        <v>0</v>
      </c>
      <c r="L114" s="176">
        <f>SUMIFS(tabela_registros[VALOR],tabela_registros[MÊS],$AE$1,tabela_registros[DIA],investirrendafixaconsolidado2829[[#Headers],[8]],tabela_registros[REGISTRO],DADOS!$N$5,tabela_registros[TIPO],DADOS!$AB$3,tabela_registros[CATEGORIA],investirrendafixaconsolidado2829[[#This Row],[ATUAL]])</f>
        <v>0</v>
      </c>
      <c r="M114" s="176">
        <f>SUMIFS(tabela_registros[VALOR],tabela_registros[MÊS],$AE$1,tabela_registros[DIA],investirrendafixaconsolidado2829[[#Headers],[9]],tabela_registros[REGISTRO],DADOS!$N$5,tabela_registros[TIPO],DADOS!$AB$3,tabela_registros[CATEGORIA],investirrendafixaconsolidado2829[[#This Row],[ATUAL]])</f>
        <v>0</v>
      </c>
      <c r="N114" s="176">
        <f>SUMIFS(tabela_registros[VALOR],tabela_registros[MÊS],$AE$1,tabela_registros[DIA],investirrendafixaconsolidado2829[[#Headers],[10]],tabela_registros[REGISTRO],DADOS!$N$5,tabela_registros[TIPO],DADOS!$AB$3,tabela_registros[CATEGORIA],investirrendafixaconsolidado2829[[#This Row],[ATUAL]])</f>
        <v>0</v>
      </c>
      <c r="O114" s="176">
        <f>SUMIFS(tabela_registros[VALOR],tabela_registros[MÊS],$AE$1,tabela_registros[DIA],investirrendafixaconsolidado2829[[#Headers],[11]],tabela_registros[REGISTRO],DADOS!$N$5,tabela_registros[TIPO],DADOS!$AB$3,tabela_registros[CATEGORIA],investirrendafixaconsolidado2829[[#This Row],[ATUAL]])</f>
        <v>0</v>
      </c>
      <c r="P114" s="176">
        <f>SUMIFS(tabela_registros[VALOR],tabela_registros[MÊS],$AE$1,tabela_registros[DIA],investirrendafixaconsolidado2829[[#Headers],[12]],tabela_registros[REGISTRO],DADOS!$N$5,tabela_registros[TIPO],DADOS!$AB$3,tabela_registros[CATEGORIA],investirrendafixaconsolidado2829[[#This Row],[ATUAL]])</f>
        <v>0</v>
      </c>
      <c r="Q114" s="176">
        <f>SUMIFS(tabela_registros[VALOR],tabela_registros[MÊS],$AE$1,tabela_registros[DIA],investirrendafixaconsolidado2829[[#Headers],[13]],tabela_registros[REGISTRO],DADOS!$N$5,tabela_registros[TIPO],DADOS!$AB$3,tabela_registros[CATEGORIA],investirrendafixaconsolidado2829[[#This Row],[ATUAL]])</f>
        <v>0</v>
      </c>
      <c r="R114" s="176">
        <f>SUMIFS(tabela_registros[VALOR],tabela_registros[MÊS],$AE$1,tabela_registros[DIA],investirrendafixaconsolidado2829[[#Headers],[14]],tabela_registros[REGISTRO],DADOS!$N$5,tabela_registros[TIPO],DADOS!$AB$3,tabela_registros[CATEGORIA],investirrendafixaconsolidado2829[[#This Row],[ATUAL]])</f>
        <v>0</v>
      </c>
      <c r="S114" s="176">
        <f>SUMIFS(tabela_registros[VALOR],tabela_registros[MÊS],$AE$1,tabela_registros[DIA],investirrendafixaconsolidado2829[[#Headers],[15]],tabela_registros[REGISTRO],DADOS!$N$5,tabela_registros[TIPO],DADOS!$AB$3,tabela_registros[CATEGORIA],investirrendafixaconsolidado2829[[#This Row],[ATUAL]])</f>
        <v>0</v>
      </c>
      <c r="T114" s="176">
        <f>SUMIFS(tabela_registros[VALOR],tabela_registros[MÊS],$AE$1,tabela_registros[DIA],investirrendafixaconsolidado2829[[#Headers],[16]],tabela_registros[REGISTRO],DADOS!$N$5,tabela_registros[TIPO],DADOS!$AB$3,tabela_registros[CATEGORIA],investirrendafixaconsolidado2829[[#This Row],[ATUAL]])</f>
        <v>0</v>
      </c>
      <c r="U114" s="176">
        <f>SUMIFS(tabela_registros[VALOR],tabela_registros[MÊS],$AE$1,tabela_registros[DIA],investirrendafixaconsolidado2829[[#Headers],[17]],tabela_registros[REGISTRO],DADOS!$N$5,tabela_registros[TIPO],DADOS!$AB$3,tabela_registros[CATEGORIA],investirrendafixaconsolidado2829[[#This Row],[ATUAL]])</f>
        <v>0</v>
      </c>
      <c r="V114" s="176">
        <f>SUMIFS(tabela_registros[VALOR],tabela_registros[MÊS],$AE$1,tabela_registros[DIA],investirrendafixaconsolidado2829[[#Headers],[18]],tabela_registros[REGISTRO],DADOS!$N$5,tabela_registros[TIPO],DADOS!$AB$3,tabela_registros[CATEGORIA],investirrendafixaconsolidado2829[[#This Row],[ATUAL]])</f>
        <v>0</v>
      </c>
      <c r="W114" s="176">
        <f>SUMIFS(tabela_registros[VALOR],tabela_registros[MÊS],$AE$1,tabela_registros[DIA],investirrendafixaconsolidado2829[[#Headers],[19]],tabela_registros[REGISTRO],DADOS!$N$5,tabela_registros[TIPO],DADOS!$AB$3,tabela_registros[CATEGORIA],investirrendafixaconsolidado2829[[#This Row],[ATUAL]])</f>
        <v>0</v>
      </c>
      <c r="X114" s="176">
        <f>SUMIFS(tabela_registros[VALOR],tabela_registros[MÊS],$AE$1,tabela_registros[DIA],investirrendafixaconsolidado2829[[#Headers],[20]],tabela_registros[REGISTRO],DADOS!$N$5,tabela_registros[TIPO],DADOS!$AB$3,tabela_registros[CATEGORIA],investirrendafixaconsolidado2829[[#This Row],[ATUAL]])</f>
        <v>0</v>
      </c>
      <c r="Y114" s="176">
        <f>SUMIFS(tabela_registros[VALOR],tabela_registros[MÊS],$AE$1,tabela_registros[DIA],investirrendafixaconsolidado2829[[#Headers],[21]],tabela_registros[REGISTRO],DADOS!$N$5,tabela_registros[TIPO],DADOS!$AB$3,tabela_registros[CATEGORIA],investirrendafixaconsolidado2829[[#This Row],[ATUAL]])</f>
        <v>0</v>
      </c>
      <c r="Z114" s="176">
        <f>SUMIFS(tabela_registros[VALOR],tabela_registros[MÊS],$AE$1,tabela_registros[DIA],investirrendafixaconsolidado2829[[#Headers],[22]],tabela_registros[REGISTRO],DADOS!$N$5,tabela_registros[TIPO],DADOS!$AB$3,tabela_registros[CATEGORIA],investirrendafixaconsolidado2829[[#This Row],[ATUAL]])</f>
        <v>0</v>
      </c>
      <c r="AA114" s="176">
        <f>SUMIFS(tabela_registros[VALOR],tabela_registros[MÊS],$AE$1,tabela_registros[DIA],investirrendafixaconsolidado2829[[#Headers],[23]],tabela_registros[REGISTRO],DADOS!$N$5,tabela_registros[TIPO],DADOS!$AB$3,tabela_registros[CATEGORIA],investirrendafixaconsolidado2829[[#This Row],[ATUAL]])</f>
        <v>0</v>
      </c>
      <c r="AB114" s="176">
        <f>SUMIFS(tabela_registros[VALOR],tabela_registros[MÊS],$AE$1,tabela_registros[DIA],investirrendafixaconsolidado2829[[#Headers],[24]],tabela_registros[REGISTRO],DADOS!$N$5,tabela_registros[TIPO],DADOS!$AB$3,tabela_registros[CATEGORIA],investirrendafixaconsolidado2829[[#This Row],[ATUAL]])</f>
        <v>0</v>
      </c>
      <c r="AC114" s="176">
        <f>SUMIFS(tabela_registros[VALOR],tabela_registros[MÊS],$AE$1,tabela_registros[DIA],investirrendafixaconsolidado2829[[#Headers],[25]],tabela_registros[REGISTRO],DADOS!$N$5,tabela_registros[TIPO],DADOS!$AB$3,tabela_registros[CATEGORIA],investirrendafixaconsolidado2829[[#This Row],[ATUAL]])</f>
        <v>0</v>
      </c>
      <c r="AD114" s="176">
        <f>SUMIFS(tabela_registros[VALOR],tabela_registros[MÊS],$AE$1,tabela_registros[DIA],investirrendafixaconsolidado2829[[#Headers],[26]],tabela_registros[REGISTRO],DADOS!$N$5,tabela_registros[TIPO],DADOS!$AB$3,tabela_registros[CATEGORIA],investirrendafixaconsolidado2829[[#This Row],[ATUAL]])</f>
        <v>0</v>
      </c>
      <c r="AE114" s="176">
        <f>SUMIFS(tabela_registros[VALOR],tabela_registros[MÊS],$AE$1,tabela_registros[DIA],investirrendafixaconsolidado2829[[#Headers],[27]],tabela_registros[REGISTRO],DADOS!$N$5,tabela_registros[TIPO],DADOS!$AB$3,tabela_registros[CATEGORIA],investirrendafixaconsolidado2829[[#This Row],[ATUAL]])</f>
        <v>0</v>
      </c>
      <c r="AF114" s="176">
        <f>SUMIFS(tabela_registros[VALOR],tabela_registros[MÊS],$AE$1,tabela_registros[DIA],investirrendafixaconsolidado2829[[#Headers],[28]],tabela_registros[REGISTRO],DADOS!$N$5,tabela_registros[TIPO],DADOS!$AB$3,tabela_registros[CATEGORIA],investirrendafixaconsolidado2829[[#This Row],[ATUAL]])</f>
        <v>0</v>
      </c>
      <c r="AG114" s="176">
        <f>SUMIFS(tabela_registros[VALOR],tabela_registros[MÊS],$AE$1,tabela_registros[DIA],investirrendafixaconsolidado2829[[#Headers],[29]],tabela_registros[REGISTRO],DADOS!$N$5,tabela_registros[TIPO],DADOS!$AB$3,tabela_registros[CATEGORIA],investirrendafixaconsolidado2829[[#This Row],[ATUAL]])</f>
        <v>0</v>
      </c>
      <c r="AH114" s="176">
        <f>SUMIFS(tabela_registros[VALOR],tabela_registros[MÊS],$AE$1,tabela_registros[DIA],investirrendafixaconsolidado2829[[#Headers],[30]],tabela_registros[REGISTRO],DADOS!$N$5,tabela_registros[TIPO],DADOS!$AB$3,tabela_registros[CATEGORIA],investirrendafixaconsolidado2829[[#This Row],[ATUAL]])</f>
        <v>0</v>
      </c>
      <c r="AI114" s="190">
        <f>SUMIFS(tabela_registros[VALOR],tabela_registros[MÊS],$AE$1,tabela_registros[DIA],investirrendafixaconsolidado2829[[#Headers],[31]],tabela_registros[REGISTRO],DADOS!$N$5,tabela_registros[TIPO],DADOS!$AB$3,tabela_registros[CATEGORIA],investirrendafixaconsolidado2829[[#This Row],[ATUAL]])</f>
        <v>0</v>
      </c>
      <c r="AJ114" s="167">
        <f>SUM(investirrendafixaconsolidado2829[[#This Row],[1]:[31]])</f>
        <v>0</v>
      </c>
      <c r="AK114" s="25"/>
    </row>
    <row r="115" spans="2:37" ht="19.5" customHeight="1" thickTop="1" thickBot="1" x14ac:dyDescent="0.3">
      <c r="B115" s="28"/>
      <c r="C115" s="27" t="str">
        <f>DADOS!$AD$5</f>
        <v>📝 CRI</v>
      </c>
      <c r="D115" s="26" t="str">
        <f>IF(investirrendafixaconsolidado2829[[#This Row],[TOTAL (R$)]]=0,"",IF(OR(investirrendafixaconsolidado2829[[#This Row],[TOTAL (R$)]]=LARGE($AJ$113:$AJ$122,1),investirrendafixaconsolidado2829[[#This Row],[TOTAL (R$)]]=LARGE($AJ$113:$AJ$122,2)),DADOS!$I$10,""))</f>
        <v/>
      </c>
      <c r="E115" s="189">
        <f>SUMIFS(tabela_registros[VALOR],tabela_registros[MÊS],$AE$1,tabela_registros[DIA],investirrendafixaconsolidado2829[[#Headers],[1]],tabela_registros[REGISTRO],DADOS!$N$5,tabela_registros[TIPO],DADOS!$AB$3,tabela_registros[CATEGORIA],investirrendafixaconsolidado2829[[#This Row],[ATUAL]])</f>
        <v>0</v>
      </c>
      <c r="F115" s="176">
        <f>SUMIFS(tabela_registros[VALOR],tabela_registros[MÊS],$AE$1,tabela_registros[DIA],investirrendafixaconsolidado2829[[#Headers],[2]],tabela_registros[REGISTRO],DADOS!$N$5,tabela_registros[TIPO],DADOS!$AB$3,tabela_registros[CATEGORIA],investirrendafixaconsolidado2829[[#This Row],[ATUAL]])</f>
        <v>0</v>
      </c>
      <c r="G115" s="176">
        <f>SUMIFS(tabela_registros[VALOR],tabela_registros[MÊS],$AE$1,tabela_registros[DIA],investirrendafixaconsolidado2829[[#Headers],[3]],tabela_registros[REGISTRO],DADOS!$N$5,tabela_registros[TIPO],DADOS!$AB$3,tabela_registros[CATEGORIA],investirrendafixaconsolidado2829[[#This Row],[ATUAL]])</f>
        <v>0</v>
      </c>
      <c r="H115" s="176">
        <f>SUMIFS(tabela_registros[VALOR],tabela_registros[MÊS],$AE$1,tabela_registros[DIA],investirrendafixaconsolidado2829[[#Headers],[4]],tabela_registros[REGISTRO],DADOS!$N$5,tabela_registros[TIPO],DADOS!$AB$3,tabela_registros[CATEGORIA],investirrendafixaconsolidado2829[[#This Row],[ATUAL]])</f>
        <v>0</v>
      </c>
      <c r="I115" s="176">
        <f>SUMIFS(tabela_registros[VALOR],tabela_registros[MÊS],$AE$1,tabela_registros[DIA],investirrendafixaconsolidado2829[[#Headers],[5]],tabela_registros[REGISTRO],DADOS!$N$5,tabela_registros[TIPO],DADOS!$AB$3,tabela_registros[CATEGORIA],investirrendafixaconsolidado2829[[#This Row],[ATUAL]])</f>
        <v>0</v>
      </c>
      <c r="J115" s="176">
        <f>SUMIFS(tabela_registros[VALOR],tabela_registros[MÊS],$AE$1,tabela_registros[DIA],investirrendafixaconsolidado2829[[#Headers],[6]],tabela_registros[REGISTRO],DADOS!$N$5,tabela_registros[TIPO],DADOS!$AB$3,tabela_registros[CATEGORIA],investirrendafixaconsolidado2829[[#This Row],[ATUAL]])</f>
        <v>0</v>
      </c>
      <c r="K115" s="176">
        <f>SUMIFS(tabela_registros[VALOR],tabela_registros[MÊS],$AE$1,tabela_registros[DIA],investirrendafixaconsolidado2829[[#Headers],[7]],tabela_registros[REGISTRO],DADOS!$N$5,tabela_registros[TIPO],DADOS!$AB$3,tabela_registros[CATEGORIA],investirrendafixaconsolidado2829[[#This Row],[ATUAL]])</f>
        <v>0</v>
      </c>
      <c r="L115" s="176">
        <f>SUMIFS(tabela_registros[VALOR],tabela_registros[MÊS],$AE$1,tabela_registros[DIA],investirrendafixaconsolidado2829[[#Headers],[8]],tabela_registros[REGISTRO],DADOS!$N$5,tabela_registros[TIPO],DADOS!$AB$3,tabela_registros[CATEGORIA],investirrendafixaconsolidado2829[[#This Row],[ATUAL]])</f>
        <v>0</v>
      </c>
      <c r="M115" s="176">
        <f>SUMIFS(tabela_registros[VALOR],tabela_registros[MÊS],$AE$1,tabela_registros[DIA],investirrendafixaconsolidado2829[[#Headers],[9]],tabela_registros[REGISTRO],DADOS!$N$5,tabela_registros[TIPO],DADOS!$AB$3,tabela_registros[CATEGORIA],investirrendafixaconsolidado2829[[#This Row],[ATUAL]])</f>
        <v>0</v>
      </c>
      <c r="N115" s="176">
        <f>SUMIFS(tabela_registros[VALOR],tabela_registros[MÊS],$AE$1,tabela_registros[DIA],investirrendafixaconsolidado2829[[#Headers],[10]],tabela_registros[REGISTRO],DADOS!$N$5,tabela_registros[TIPO],DADOS!$AB$3,tabela_registros[CATEGORIA],investirrendafixaconsolidado2829[[#This Row],[ATUAL]])</f>
        <v>0</v>
      </c>
      <c r="O115" s="176">
        <f>SUMIFS(tabela_registros[VALOR],tabela_registros[MÊS],$AE$1,tabela_registros[DIA],investirrendafixaconsolidado2829[[#Headers],[11]],tabela_registros[REGISTRO],DADOS!$N$5,tabela_registros[TIPO],DADOS!$AB$3,tabela_registros[CATEGORIA],investirrendafixaconsolidado2829[[#This Row],[ATUAL]])</f>
        <v>0</v>
      </c>
      <c r="P115" s="176">
        <f>SUMIFS(tabela_registros[VALOR],tabela_registros[MÊS],$AE$1,tabela_registros[DIA],investirrendafixaconsolidado2829[[#Headers],[12]],tabela_registros[REGISTRO],DADOS!$N$5,tabela_registros[TIPO],DADOS!$AB$3,tabela_registros[CATEGORIA],investirrendafixaconsolidado2829[[#This Row],[ATUAL]])</f>
        <v>0</v>
      </c>
      <c r="Q115" s="176">
        <f>SUMIFS(tabela_registros[VALOR],tabela_registros[MÊS],$AE$1,tabela_registros[DIA],investirrendafixaconsolidado2829[[#Headers],[13]],tabela_registros[REGISTRO],DADOS!$N$5,tabela_registros[TIPO],DADOS!$AB$3,tabela_registros[CATEGORIA],investirrendafixaconsolidado2829[[#This Row],[ATUAL]])</f>
        <v>0</v>
      </c>
      <c r="R115" s="176">
        <f>SUMIFS(tabela_registros[VALOR],tabela_registros[MÊS],$AE$1,tabela_registros[DIA],investirrendafixaconsolidado2829[[#Headers],[14]],tabela_registros[REGISTRO],DADOS!$N$5,tabela_registros[TIPO],DADOS!$AB$3,tabela_registros[CATEGORIA],investirrendafixaconsolidado2829[[#This Row],[ATUAL]])</f>
        <v>0</v>
      </c>
      <c r="S115" s="176">
        <f>SUMIFS(tabela_registros[VALOR],tabela_registros[MÊS],$AE$1,tabela_registros[DIA],investirrendafixaconsolidado2829[[#Headers],[15]],tabela_registros[REGISTRO],DADOS!$N$5,tabela_registros[TIPO],DADOS!$AB$3,tabela_registros[CATEGORIA],investirrendafixaconsolidado2829[[#This Row],[ATUAL]])</f>
        <v>0</v>
      </c>
      <c r="T115" s="176">
        <f>SUMIFS(tabela_registros[VALOR],tabela_registros[MÊS],$AE$1,tabela_registros[DIA],investirrendafixaconsolidado2829[[#Headers],[16]],tabela_registros[REGISTRO],DADOS!$N$5,tabela_registros[TIPO],DADOS!$AB$3,tabela_registros[CATEGORIA],investirrendafixaconsolidado2829[[#This Row],[ATUAL]])</f>
        <v>0</v>
      </c>
      <c r="U115" s="176">
        <f>SUMIFS(tabela_registros[VALOR],tabela_registros[MÊS],$AE$1,tabela_registros[DIA],investirrendafixaconsolidado2829[[#Headers],[17]],tabela_registros[REGISTRO],DADOS!$N$5,tabela_registros[TIPO],DADOS!$AB$3,tabela_registros[CATEGORIA],investirrendafixaconsolidado2829[[#This Row],[ATUAL]])</f>
        <v>0</v>
      </c>
      <c r="V115" s="176">
        <f>SUMIFS(tabela_registros[VALOR],tabela_registros[MÊS],$AE$1,tabela_registros[DIA],investirrendafixaconsolidado2829[[#Headers],[18]],tabela_registros[REGISTRO],DADOS!$N$5,tabela_registros[TIPO],DADOS!$AB$3,tabela_registros[CATEGORIA],investirrendafixaconsolidado2829[[#This Row],[ATUAL]])</f>
        <v>0</v>
      </c>
      <c r="W115" s="176">
        <f>SUMIFS(tabela_registros[VALOR],tabela_registros[MÊS],$AE$1,tabela_registros[DIA],investirrendafixaconsolidado2829[[#Headers],[19]],tabela_registros[REGISTRO],DADOS!$N$5,tabela_registros[TIPO],DADOS!$AB$3,tabela_registros[CATEGORIA],investirrendafixaconsolidado2829[[#This Row],[ATUAL]])</f>
        <v>0</v>
      </c>
      <c r="X115" s="176">
        <f>SUMIFS(tabela_registros[VALOR],tabela_registros[MÊS],$AE$1,tabela_registros[DIA],investirrendafixaconsolidado2829[[#Headers],[20]],tabela_registros[REGISTRO],DADOS!$N$5,tabela_registros[TIPO],DADOS!$AB$3,tabela_registros[CATEGORIA],investirrendafixaconsolidado2829[[#This Row],[ATUAL]])</f>
        <v>0</v>
      </c>
      <c r="Y115" s="176">
        <f>SUMIFS(tabela_registros[VALOR],tabela_registros[MÊS],$AE$1,tabela_registros[DIA],investirrendafixaconsolidado2829[[#Headers],[21]],tabela_registros[REGISTRO],DADOS!$N$5,tabela_registros[TIPO],DADOS!$AB$3,tabela_registros[CATEGORIA],investirrendafixaconsolidado2829[[#This Row],[ATUAL]])</f>
        <v>0</v>
      </c>
      <c r="Z115" s="176">
        <f>SUMIFS(tabela_registros[VALOR],tabela_registros[MÊS],$AE$1,tabela_registros[DIA],investirrendafixaconsolidado2829[[#Headers],[22]],tabela_registros[REGISTRO],DADOS!$N$5,tabela_registros[TIPO],DADOS!$AB$3,tabela_registros[CATEGORIA],investirrendafixaconsolidado2829[[#This Row],[ATUAL]])</f>
        <v>0</v>
      </c>
      <c r="AA115" s="176">
        <f>SUMIFS(tabela_registros[VALOR],tabela_registros[MÊS],$AE$1,tabela_registros[DIA],investirrendafixaconsolidado2829[[#Headers],[23]],tabela_registros[REGISTRO],DADOS!$N$5,tabela_registros[TIPO],DADOS!$AB$3,tabela_registros[CATEGORIA],investirrendafixaconsolidado2829[[#This Row],[ATUAL]])</f>
        <v>0</v>
      </c>
      <c r="AB115" s="176">
        <f>SUMIFS(tabela_registros[VALOR],tabela_registros[MÊS],$AE$1,tabela_registros[DIA],investirrendafixaconsolidado2829[[#Headers],[24]],tabela_registros[REGISTRO],DADOS!$N$5,tabela_registros[TIPO],DADOS!$AB$3,tabela_registros[CATEGORIA],investirrendafixaconsolidado2829[[#This Row],[ATUAL]])</f>
        <v>0</v>
      </c>
      <c r="AC115" s="176">
        <f>SUMIFS(tabela_registros[VALOR],tabela_registros[MÊS],$AE$1,tabela_registros[DIA],investirrendafixaconsolidado2829[[#Headers],[25]],tabela_registros[REGISTRO],DADOS!$N$5,tabela_registros[TIPO],DADOS!$AB$3,tabela_registros[CATEGORIA],investirrendafixaconsolidado2829[[#This Row],[ATUAL]])</f>
        <v>0</v>
      </c>
      <c r="AD115" s="176">
        <f>SUMIFS(tabela_registros[VALOR],tabela_registros[MÊS],$AE$1,tabela_registros[DIA],investirrendafixaconsolidado2829[[#Headers],[26]],tabela_registros[REGISTRO],DADOS!$N$5,tabela_registros[TIPO],DADOS!$AB$3,tabela_registros[CATEGORIA],investirrendafixaconsolidado2829[[#This Row],[ATUAL]])</f>
        <v>0</v>
      </c>
      <c r="AE115" s="176">
        <f>SUMIFS(tabela_registros[VALOR],tabela_registros[MÊS],$AE$1,tabela_registros[DIA],investirrendafixaconsolidado2829[[#Headers],[27]],tabela_registros[REGISTRO],DADOS!$N$5,tabela_registros[TIPO],DADOS!$AB$3,tabela_registros[CATEGORIA],investirrendafixaconsolidado2829[[#This Row],[ATUAL]])</f>
        <v>0</v>
      </c>
      <c r="AF115" s="176">
        <f>SUMIFS(tabela_registros[VALOR],tabela_registros[MÊS],$AE$1,tabela_registros[DIA],investirrendafixaconsolidado2829[[#Headers],[28]],tabela_registros[REGISTRO],DADOS!$N$5,tabela_registros[TIPO],DADOS!$AB$3,tabela_registros[CATEGORIA],investirrendafixaconsolidado2829[[#This Row],[ATUAL]])</f>
        <v>0</v>
      </c>
      <c r="AG115" s="176">
        <f>SUMIFS(tabela_registros[VALOR],tabela_registros[MÊS],$AE$1,tabela_registros[DIA],investirrendafixaconsolidado2829[[#Headers],[29]],tabela_registros[REGISTRO],DADOS!$N$5,tabela_registros[TIPO],DADOS!$AB$3,tabela_registros[CATEGORIA],investirrendafixaconsolidado2829[[#This Row],[ATUAL]])</f>
        <v>0</v>
      </c>
      <c r="AH115" s="176">
        <f>SUMIFS(tabela_registros[VALOR],tabela_registros[MÊS],$AE$1,tabela_registros[DIA],investirrendafixaconsolidado2829[[#Headers],[30]],tabela_registros[REGISTRO],DADOS!$N$5,tabela_registros[TIPO],DADOS!$AB$3,tabela_registros[CATEGORIA],investirrendafixaconsolidado2829[[#This Row],[ATUAL]])</f>
        <v>0</v>
      </c>
      <c r="AI115" s="190">
        <f>SUMIFS(tabela_registros[VALOR],tabela_registros[MÊS],$AE$1,tabela_registros[DIA],investirrendafixaconsolidado2829[[#Headers],[31]],tabela_registros[REGISTRO],DADOS!$N$5,tabela_registros[TIPO],DADOS!$AB$3,tabela_registros[CATEGORIA],investirrendafixaconsolidado2829[[#This Row],[ATUAL]])</f>
        <v>0</v>
      </c>
      <c r="AJ115" s="167">
        <f>SUM(investirrendafixaconsolidado2829[[#This Row],[1]:[31]])</f>
        <v>0</v>
      </c>
      <c r="AK115" s="25"/>
    </row>
    <row r="116" spans="2:37" ht="19.5" customHeight="1" thickTop="1" thickBot="1" x14ac:dyDescent="0.3">
      <c r="B116" s="28"/>
      <c r="C116" s="27" t="str">
        <f>DADOS!$AD$6</f>
        <v>📝 DEBÊNTURE</v>
      </c>
      <c r="D116" s="26" t="str">
        <f>IF(investirrendafixaconsolidado2829[[#This Row],[TOTAL (R$)]]=0,"",IF(OR(investirrendafixaconsolidado2829[[#This Row],[TOTAL (R$)]]=LARGE($AJ$113:$AJ$122,1),investirrendafixaconsolidado2829[[#This Row],[TOTAL (R$)]]=LARGE($AJ$113:$AJ$122,2)),DADOS!$I$10,""))</f>
        <v/>
      </c>
      <c r="E116" s="189">
        <f>SUMIFS(tabela_registros[VALOR],tabela_registros[MÊS],$AE$1,tabela_registros[DIA],investirrendafixaconsolidado2829[[#Headers],[1]],tabela_registros[REGISTRO],DADOS!$N$5,tabela_registros[TIPO],DADOS!$AB$3,tabela_registros[CATEGORIA],investirrendafixaconsolidado2829[[#This Row],[ATUAL]])</f>
        <v>0</v>
      </c>
      <c r="F116" s="176">
        <f>SUMIFS(tabela_registros[VALOR],tabela_registros[MÊS],$AE$1,tabela_registros[DIA],investirrendafixaconsolidado2829[[#Headers],[2]],tabela_registros[REGISTRO],DADOS!$N$5,tabela_registros[TIPO],DADOS!$AB$3,tabela_registros[CATEGORIA],investirrendafixaconsolidado2829[[#This Row],[ATUAL]])</f>
        <v>0</v>
      </c>
      <c r="G116" s="176">
        <f>SUMIFS(tabela_registros[VALOR],tabela_registros[MÊS],$AE$1,tabela_registros[DIA],investirrendafixaconsolidado2829[[#Headers],[3]],tabela_registros[REGISTRO],DADOS!$N$5,tabela_registros[TIPO],DADOS!$AB$3,tabela_registros[CATEGORIA],investirrendafixaconsolidado2829[[#This Row],[ATUAL]])</f>
        <v>0</v>
      </c>
      <c r="H116" s="176">
        <f>SUMIFS(tabela_registros[VALOR],tabela_registros[MÊS],$AE$1,tabela_registros[DIA],investirrendafixaconsolidado2829[[#Headers],[4]],tabela_registros[REGISTRO],DADOS!$N$5,tabela_registros[TIPO],DADOS!$AB$3,tabela_registros[CATEGORIA],investirrendafixaconsolidado2829[[#This Row],[ATUAL]])</f>
        <v>0</v>
      </c>
      <c r="I116" s="176">
        <f>SUMIFS(tabela_registros[VALOR],tabela_registros[MÊS],$AE$1,tabela_registros[DIA],investirrendafixaconsolidado2829[[#Headers],[5]],tabela_registros[REGISTRO],DADOS!$N$5,tabela_registros[TIPO],DADOS!$AB$3,tabela_registros[CATEGORIA],investirrendafixaconsolidado2829[[#This Row],[ATUAL]])</f>
        <v>0</v>
      </c>
      <c r="J116" s="176">
        <f>SUMIFS(tabela_registros[VALOR],tabela_registros[MÊS],$AE$1,tabela_registros[DIA],investirrendafixaconsolidado2829[[#Headers],[6]],tabela_registros[REGISTRO],DADOS!$N$5,tabela_registros[TIPO],DADOS!$AB$3,tabela_registros[CATEGORIA],investirrendafixaconsolidado2829[[#This Row],[ATUAL]])</f>
        <v>0</v>
      </c>
      <c r="K116" s="176">
        <f>SUMIFS(tabela_registros[VALOR],tabela_registros[MÊS],$AE$1,tabela_registros[DIA],investirrendafixaconsolidado2829[[#Headers],[7]],tabela_registros[REGISTRO],DADOS!$N$5,tabela_registros[TIPO],DADOS!$AB$3,tabela_registros[CATEGORIA],investirrendafixaconsolidado2829[[#This Row],[ATUAL]])</f>
        <v>0</v>
      </c>
      <c r="L116" s="176">
        <f>SUMIFS(tabela_registros[VALOR],tabela_registros[MÊS],$AE$1,tabela_registros[DIA],investirrendafixaconsolidado2829[[#Headers],[8]],tabela_registros[REGISTRO],DADOS!$N$5,tabela_registros[TIPO],DADOS!$AB$3,tabela_registros[CATEGORIA],investirrendafixaconsolidado2829[[#This Row],[ATUAL]])</f>
        <v>0</v>
      </c>
      <c r="M116" s="176">
        <f>SUMIFS(tabela_registros[VALOR],tabela_registros[MÊS],$AE$1,tabela_registros[DIA],investirrendafixaconsolidado2829[[#Headers],[9]],tabela_registros[REGISTRO],DADOS!$N$5,tabela_registros[TIPO],DADOS!$AB$3,tabela_registros[CATEGORIA],investirrendafixaconsolidado2829[[#This Row],[ATUAL]])</f>
        <v>0</v>
      </c>
      <c r="N116" s="176">
        <f>SUMIFS(tabela_registros[VALOR],tabela_registros[MÊS],$AE$1,tabela_registros[DIA],investirrendafixaconsolidado2829[[#Headers],[10]],tabela_registros[REGISTRO],DADOS!$N$5,tabela_registros[TIPO],DADOS!$AB$3,tabela_registros[CATEGORIA],investirrendafixaconsolidado2829[[#This Row],[ATUAL]])</f>
        <v>0</v>
      </c>
      <c r="O116" s="176">
        <f>SUMIFS(tabela_registros[VALOR],tabela_registros[MÊS],$AE$1,tabela_registros[DIA],investirrendafixaconsolidado2829[[#Headers],[11]],tabela_registros[REGISTRO],DADOS!$N$5,tabela_registros[TIPO],DADOS!$AB$3,tabela_registros[CATEGORIA],investirrendafixaconsolidado2829[[#This Row],[ATUAL]])</f>
        <v>0</v>
      </c>
      <c r="P116" s="176">
        <f>SUMIFS(tabela_registros[VALOR],tabela_registros[MÊS],$AE$1,tabela_registros[DIA],investirrendafixaconsolidado2829[[#Headers],[12]],tabela_registros[REGISTRO],DADOS!$N$5,tabela_registros[TIPO],DADOS!$AB$3,tabela_registros[CATEGORIA],investirrendafixaconsolidado2829[[#This Row],[ATUAL]])</f>
        <v>0</v>
      </c>
      <c r="Q116" s="176">
        <f>SUMIFS(tabela_registros[VALOR],tabela_registros[MÊS],$AE$1,tabela_registros[DIA],investirrendafixaconsolidado2829[[#Headers],[13]],tabela_registros[REGISTRO],DADOS!$N$5,tabela_registros[TIPO],DADOS!$AB$3,tabela_registros[CATEGORIA],investirrendafixaconsolidado2829[[#This Row],[ATUAL]])</f>
        <v>0</v>
      </c>
      <c r="R116" s="176">
        <f>SUMIFS(tabela_registros[VALOR],tabela_registros[MÊS],$AE$1,tabela_registros[DIA],investirrendafixaconsolidado2829[[#Headers],[14]],tabela_registros[REGISTRO],DADOS!$N$5,tabela_registros[TIPO],DADOS!$AB$3,tabela_registros[CATEGORIA],investirrendafixaconsolidado2829[[#This Row],[ATUAL]])</f>
        <v>0</v>
      </c>
      <c r="S116" s="176">
        <f>SUMIFS(tabela_registros[VALOR],tabela_registros[MÊS],$AE$1,tabela_registros[DIA],investirrendafixaconsolidado2829[[#Headers],[15]],tabela_registros[REGISTRO],DADOS!$N$5,tabela_registros[TIPO],DADOS!$AB$3,tabela_registros[CATEGORIA],investirrendafixaconsolidado2829[[#This Row],[ATUAL]])</f>
        <v>0</v>
      </c>
      <c r="T116" s="176">
        <f>SUMIFS(tabela_registros[VALOR],tabela_registros[MÊS],$AE$1,tabela_registros[DIA],investirrendafixaconsolidado2829[[#Headers],[16]],tabela_registros[REGISTRO],DADOS!$N$5,tabela_registros[TIPO],DADOS!$AB$3,tabela_registros[CATEGORIA],investirrendafixaconsolidado2829[[#This Row],[ATUAL]])</f>
        <v>0</v>
      </c>
      <c r="U116" s="176">
        <f>SUMIFS(tabela_registros[VALOR],tabela_registros[MÊS],$AE$1,tabela_registros[DIA],investirrendafixaconsolidado2829[[#Headers],[17]],tabela_registros[REGISTRO],DADOS!$N$5,tabela_registros[TIPO],DADOS!$AB$3,tabela_registros[CATEGORIA],investirrendafixaconsolidado2829[[#This Row],[ATUAL]])</f>
        <v>0</v>
      </c>
      <c r="V116" s="176">
        <f>SUMIFS(tabela_registros[VALOR],tabela_registros[MÊS],$AE$1,tabela_registros[DIA],investirrendafixaconsolidado2829[[#Headers],[18]],tabela_registros[REGISTRO],DADOS!$N$5,tabela_registros[TIPO],DADOS!$AB$3,tabela_registros[CATEGORIA],investirrendafixaconsolidado2829[[#This Row],[ATUAL]])</f>
        <v>0</v>
      </c>
      <c r="W116" s="176">
        <f>SUMIFS(tabela_registros[VALOR],tabela_registros[MÊS],$AE$1,tabela_registros[DIA],investirrendafixaconsolidado2829[[#Headers],[19]],tabela_registros[REGISTRO],DADOS!$N$5,tabela_registros[TIPO],DADOS!$AB$3,tabela_registros[CATEGORIA],investirrendafixaconsolidado2829[[#This Row],[ATUAL]])</f>
        <v>0</v>
      </c>
      <c r="X116" s="176">
        <f>SUMIFS(tabela_registros[VALOR],tabela_registros[MÊS],$AE$1,tabela_registros[DIA],investirrendafixaconsolidado2829[[#Headers],[20]],tabela_registros[REGISTRO],DADOS!$N$5,tabela_registros[TIPO],DADOS!$AB$3,tabela_registros[CATEGORIA],investirrendafixaconsolidado2829[[#This Row],[ATUAL]])</f>
        <v>0</v>
      </c>
      <c r="Y116" s="176">
        <f>SUMIFS(tabela_registros[VALOR],tabela_registros[MÊS],$AE$1,tabela_registros[DIA],investirrendafixaconsolidado2829[[#Headers],[21]],tabela_registros[REGISTRO],DADOS!$N$5,tabela_registros[TIPO],DADOS!$AB$3,tabela_registros[CATEGORIA],investirrendafixaconsolidado2829[[#This Row],[ATUAL]])</f>
        <v>0</v>
      </c>
      <c r="Z116" s="176">
        <f>SUMIFS(tabela_registros[VALOR],tabela_registros[MÊS],$AE$1,tabela_registros[DIA],investirrendafixaconsolidado2829[[#Headers],[22]],tabela_registros[REGISTRO],DADOS!$N$5,tabela_registros[TIPO],DADOS!$AB$3,tabela_registros[CATEGORIA],investirrendafixaconsolidado2829[[#This Row],[ATUAL]])</f>
        <v>0</v>
      </c>
      <c r="AA116" s="176">
        <f>SUMIFS(tabela_registros[VALOR],tabela_registros[MÊS],$AE$1,tabela_registros[DIA],investirrendafixaconsolidado2829[[#Headers],[23]],tabela_registros[REGISTRO],DADOS!$N$5,tabela_registros[TIPO],DADOS!$AB$3,tabela_registros[CATEGORIA],investirrendafixaconsolidado2829[[#This Row],[ATUAL]])</f>
        <v>0</v>
      </c>
      <c r="AB116" s="176">
        <f>SUMIFS(tabela_registros[VALOR],tabela_registros[MÊS],$AE$1,tabela_registros[DIA],investirrendafixaconsolidado2829[[#Headers],[24]],tabela_registros[REGISTRO],DADOS!$N$5,tabela_registros[TIPO],DADOS!$AB$3,tabela_registros[CATEGORIA],investirrendafixaconsolidado2829[[#This Row],[ATUAL]])</f>
        <v>0</v>
      </c>
      <c r="AC116" s="176">
        <f>SUMIFS(tabela_registros[VALOR],tabela_registros[MÊS],$AE$1,tabela_registros[DIA],investirrendafixaconsolidado2829[[#Headers],[25]],tabela_registros[REGISTRO],DADOS!$N$5,tabela_registros[TIPO],DADOS!$AB$3,tabela_registros[CATEGORIA],investirrendafixaconsolidado2829[[#This Row],[ATUAL]])</f>
        <v>0</v>
      </c>
      <c r="AD116" s="176">
        <f>SUMIFS(tabela_registros[VALOR],tabela_registros[MÊS],$AE$1,tabela_registros[DIA],investirrendafixaconsolidado2829[[#Headers],[26]],tabela_registros[REGISTRO],DADOS!$N$5,tabela_registros[TIPO],DADOS!$AB$3,tabela_registros[CATEGORIA],investirrendafixaconsolidado2829[[#This Row],[ATUAL]])</f>
        <v>0</v>
      </c>
      <c r="AE116" s="176">
        <f>SUMIFS(tabela_registros[VALOR],tabela_registros[MÊS],$AE$1,tabela_registros[DIA],investirrendafixaconsolidado2829[[#Headers],[27]],tabela_registros[REGISTRO],DADOS!$N$5,tabela_registros[TIPO],DADOS!$AB$3,tabela_registros[CATEGORIA],investirrendafixaconsolidado2829[[#This Row],[ATUAL]])</f>
        <v>0</v>
      </c>
      <c r="AF116" s="176">
        <f>SUMIFS(tabela_registros[VALOR],tabela_registros[MÊS],$AE$1,tabela_registros[DIA],investirrendafixaconsolidado2829[[#Headers],[28]],tabela_registros[REGISTRO],DADOS!$N$5,tabela_registros[TIPO],DADOS!$AB$3,tabela_registros[CATEGORIA],investirrendafixaconsolidado2829[[#This Row],[ATUAL]])</f>
        <v>0</v>
      </c>
      <c r="AG116" s="176">
        <f>SUMIFS(tabela_registros[VALOR],tabela_registros[MÊS],$AE$1,tabela_registros[DIA],investirrendafixaconsolidado2829[[#Headers],[29]],tabela_registros[REGISTRO],DADOS!$N$5,tabela_registros[TIPO],DADOS!$AB$3,tabela_registros[CATEGORIA],investirrendafixaconsolidado2829[[#This Row],[ATUAL]])</f>
        <v>0</v>
      </c>
      <c r="AH116" s="176">
        <f>SUMIFS(tabela_registros[VALOR],tabela_registros[MÊS],$AE$1,tabela_registros[DIA],investirrendafixaconsolidado2829[[#Headers],[30]],tabela_registros[REGISTRO],DADOS!$N$5,tabela_registros[TIPO],DADOS!$AB$3,tabela_registros[CATEGORIA],investirrendafixaconsolidado2829[[#This Row],[ATUAL]])</f>
        <v>0</v>
      </c>
      <c r="AI116" s="190">
        <f>SUMIFS(tabela_registros[VALOR],tabela_registros[MÊS],$AE$1,tabela_registros[DIA],investirrendafixaconsolidado2829[[#Headers],[31]],tabela_registros[REGISTRO],DADOS!$N$5,tabela_registros[TIPO],DADOS!$AB$3,tabela_registros[CATEGORIA],investirrendafixaconsolidado2829[[#This Row],[ATUAL]])</f>
        <v>0</v>
      </c>
      <c r="AJ116" s="167">
        <f>SUM(investirrendafixaconsolidado2829[[#This Row],[1]:[31]])</f>
        <v>0</v>
      </c>
      <c r="AK116" s="25"/>
    </row>
    <row r="117" spans="2:37" ht="19.5" customHeight="1" thickTop="1" thickBot="1" x14ac:dyDescent="0.3">
      <c r="B117" s="28"/>
      <c r="C117" s="27" t="str">
        <f>DADOS!$AD$7</f>
        <v>📝 EXTERIOR</v>
      </c>
      <c r="D117" s="26" t="str">
        <f>IF(investirrendafixaconsolidado2829[[#This Row],[TOTAL (R$)]]=0,"",IF(OR(investirrendafixaconsolidado2829[[#This Row],[TOTAL (R$)]]=LARGE($AJ$113:$AJ$122,1),investirrendafixaconsolidado2829[[#This Row],[TOTAL (R$)]]=LARGE($AJ$113:$AJ$122,2)),DADOS!$I$10,""))</f>
        <v>💎</v>
      </c>
      <c r="E117" s="189">
        <f>SUMIFS(tabela_registros[VALOR],tabela_registros[MÊS],$AE$1,tabela_registros[DIA],investirrendafixaconsolidado2829[[#Headers],[1]],tabela_registros[REGISTRO],DADOS!$N$5,tabela_registros[TIPO],DADOS!$AB$3,tabela_registros[CATEGORIA],investirrendafixaconsolidado2829[[#This Row],[ATUAL]])</f>
        <v>0</v>
      </c>
      <c r="F117" s="176">
        <f>SUMIFS(tabela_registros[VALOR],tabela_registros[MÊS],$AE$1,tabela_registros[DIA],investirrendafixaconsolidado2829[[#Headers],[2]],tabela_registros[REGISTRO],DADOS!$N$5,tabela_registros[TIPO],DADOS!$AB$3,tabela_registros[CATEGORIA],investirrendafixaconsolidado2829[[#This Row],[ATUAL]])</f>
        <v>254</v>
      </c>
      <c r="G117" s="176">
        <f>SUMIFS(tabela_registros[VALOR],tabela_registros[MÊS],$AE$1,tabela_registros[DIA],investirrendafixaconsolidado2829[[#Headers],[3]],tabela_registros[REGISTRO],DADOS!$N$5,tabela_registros[TIPO],DADOS!$AB$3,tabela_registros[CATEGORIA],investirrendafixaconsolidado2829[[#This Row],[ATUAL]])</f>
        <v>0</v>
      </c>
      <c r="H117" s="176">
        <f>SUMIFS(tabela_registros[VALOR],tabela_registros[MÊS],$AE$1,tabela_registros[DIA],investirrendafixaconsolidado2829[[#Headers],[4]],tabela_registros[REGISTRO],DADOS!$N$5,tabela_registros[TIPO],DADOS!$AB$3,tabela_registros[CATEGORIA],investirrendafixaconsolidado2829[[#This Row],[ATUAL]])</f>
        <v>0</v>
      </c>
      <c r="I117" s="176">
        <f>SUMIFS(tabela_registros[VALOR],tabela_registros[MÊS],$AE$1,tabela_registros[DIA],investirrendafixaconsolidado2829[[#Headers],[5]],tabela_registros[REGISTRO],DADOS!$N$5,tabela_registros[TIPO],DADOS!$AB$3,tabela_registros[CATEGORIA],investirrendafixaconsolidado2829[[#This Row],[ATUAL]])</f>
        <v>0</v>
      </c>
      <c r="J117" s="176">
        <f>SUMIFS(tabela_registros[VALOR],tabela_registros[MÊS],$AE$1,tabela_registros[DIA],investirrendafixaconsolidado2829[[#Headers],[6]],tabela_registros[REGISTRO],DADOS!$N$5,tabela_registros[TIPO],DADOS!$AB$3,tabela_registros[CATEGORIA],investirrendafixaconsolidado2829[[#This Row],[ATUAL]])</f>
        <v>0</v>
      </c>
      <c r="K117" s="176">
        <f>SUMIFS(tabela_registros[VALOR],tabela_registros[MÊS],$AE$1,tabela_registros[DIA],investirrendafixaconsolidado2829[[#Headers],[7]],tabela_registros[REGISTRO],DADOS!$N$5,tabela_registros[TIPO],DADOS!$AB$3,tabela_registros[CATEGORIA],investirrendafixaconsolidado2829[[#This Row],[ATUAL]])</f>
        <v>0</v>
      </c>
      <c r="L117" s="176">
        <f>SUMIFS(tabela_registros[VALOR],tabela_registros[MÊS],$AE$1,tabela_registros[DIA],investirrendafixaconsolidado2829[[#Headers],[8]],tabela_registros[REGISTRO],DADOS!$N$5,tabela_registros[TIPO],DADOS!$AB$3,tabela_registros[CATEGORIA],investirrendafixaconsolidado2829[[#This Row],[ATUAL]])</f>
        <v>0</v>
      </c>
      <c r="M117" s="176">
        <f>SUMIFS(tabela_registros[VALOR],tabela_registros[MÊS],$AE$1,tabela_registros[DIA],investirrendafixaconsolidado2829[[#Headers],[9]],tabela_registros[REGISTRO],DADOS!$N$5,tabela_registros[TIPO],DADOS!$AB$3,tabela_registros[CATEGORIA],investirrendafixaconsolidado2829[[#This Row],[ATUAL]])</f>
        <v>0</v>
      </c>
      <c r="N117" s="176">
        <f>SUMIFS(tabela_registros[VALOR],tabela_registros[MÊS],$AE$1,tabela_registros[DIA],investirrendafixaconsolidado2829[[#Headers],[10]],tabela_registros[REGISTRO],DADOS!$N$5,tabela_registros[TIPO],DADOS!$AB$3,tabela_registros[CATEGORIA],investirrendafixaconsolidado2829[[#This Row],[ATUAL]])</f>
        <v>0</v>
      </c>
      <c r="O117" s="176">
        <f>SUMIFS(tabela_registros[VALOR],tabela_registros[MÊS],$AE$1,tabela_registros[DIA],investirrendafixaconsolidado2829[[#Headers],[11]],tabela_registros[REGISTRO],DADOS!$N$5,tabela_registros[TIPO],DADOS!$AB$3,tabela_registros[CATEGORIA],investirrendafixaconsolidado2829[[#This Row],[ATUAL]])</f>
        <v>0</v>
      </c>
      <c r="P117" s="176">
        <f>SUMIFS(tabela_registros[VALOR],tabela_registros[MÊS],$AE$1,tabela_registros[DIA],investirrendafixaconsolidado2829[[#Headers],[12]],tabela_registros[REGISTRO],DADOS!$N$5,tabela_registros[TIPO],DADOS!$AB$3,tabela_registros[CATEGORIA],investirrendafixaconsolidado2829[[#This Row],[ATUAL]])</f>
        <v>0</v>
      </c>
      <c r="Q117" s="176">
        <f>SUMIFS(tabela_registros[VALOR],tabela_registros[MÊS],$AE$1,tabela_registros[DIA],investirrendafixaconsolidado2829[[#Headers],[13]],tabela_registros[REGISTRO],DADOS!$N$5,tabela_registros[TIPO],DADOS!$AB$3,tabela_registros[CATEGORIA],investirrendafixaconsolidado2829[[#This Row],[ATUAL]])</f>
        <v>0</v>
      </c>
      <c r="R117" s="176">
        <f>SUMIFS(tabela_registros[VALOR],tabela_registros[MÊS],$AE$1,tabela_registros[DIA],investirrendafixaconsolidado2829[[#Headers],[14]],tabela_registros[REGISTRO],DADOS!$N$5,tabela_registros[TIPO],DADOS!$AB$3,tabela_registros[CATEGORIA],investirrendafixaconsolidado2829[[#This Row],[ATUAL]])</f>
        <v>0</v>
      </c>
      <c r="S117" s="176">
        <f>SUMIFS(tabela_registros[VALOR],tabela_registros[MÊS],$AE$1,tabela_registros[DIA],investirrendafixaconsolidado2829[[#Headers],[15]],tabela_registros[REGISTRO],DADOS!$N$5,tabela_registros[TIPO],DADOS!$AB$3,tabela_registros[CATEGORIA],investirrendafixaconsolidado2829[[#This Row],[ATUAL]])</f>
        <v>0</v>
      </c>
      <c r="T117" s="176">
        <f>SUMIFS(tabela_registros[VALOR],tabela_registros[MÊS],$AE$1,tabela_registros[DIA],investirrendafixaconsolidado2829[[#Headers],[16]],tabela_registros[REGISTRO],DADOS!$N$5,tabela_registros[TIPO],DADOS!$AB$3,tabela_registros[CATEGORIA],investirrendafixaconsolidado2829[[#This Row],[ATUAL]])</f>
        <v>0</v>
      </c>
      <c r="U117" s="176">
        <f>SUMIFS(tabela_registros[VALOR],tabela_registros[MÊS],$AE$1,tabela_registros[DIA],investirrendafixaconsolidado2829[[#Headers],[17]],tabela_registros[REGISTRO],DADOS!$N$5,tabela_registros[TIPO],DADOS!$AB$3,tabela_registros[CATEGORIA],investirrendafixaconsolidado2829[[#This Row],[ATUAL]])</f>
        <v>0</v>
      </c>
      <c r="V117" s="176">
        <f>SUMIFS(tabela_registros[VALOR],tabela_registros[MÊS],$AE$1,tabela_registros[DIA],investirrendafixaconsolidado2829[[#Headers],[18]],tabela_registros[REGISTRO],DADOS!$N$5,tabela_registros[TIPO],DADOS!$AB$3,tabela_registros[CATEGORIA],investirrendafixaconsolidado2829[[#This Row],[ATUAL]])</f>
        <v>0</v>
      </c>
      <c r="W117" s="176">
        <f>SUMIFS(tabela_registros[VALOR],tabela_registros[MÊS],$AE$1,tabela_registros[DIA],investirrendafixaconsolidado2829[[#Headers],[19]],tabela_registros[REGISTRO],DADOS!$N$5,tabela_registros[TIPO],DADOS!$AB$3,tabela_registros[CATEGORIA],investirrendafixaconsolidado2829[[#This Row],[ATUAL]])</f>
        <v>0</v>
      </c>
      <c r="X117" s="176">
        <f>SUMIFS(tabela_registros[VALOR],tabela_registros[MÊS],$AE$1,tabela_registros[DIA],investirrendafixaconsolidado2829[[#Headers],[20]],tabela_registros[REGISTRO],DADOS!$N$5,tabela_registros[TIPO],DADOS!$AB$3,tabela_registros[CATEGORIA],investirrendafixaconsolidado2829[[#This Row],[ATUAL]])</f>
        <v>0</v>
      </c>
      <c r="Y117" s="176">
        <f>SUMIFS(tabela_registros[VALOR],tabela_registros[MÊS],$AE$1,tabela_registros[DIA],investirrendafixaconsolidado2829[[#Headers],[21]],tabela_registros[REGISTRO],DADOS!$N$5,tabela_registros[TIPO],DADOS!$AB$3,tabela_registros[CATEGORIA],investirrendafixaconsolidado2829[[#This Row],[ATUAL]])</f>
        <v>0</v>
      </c>
      <c r="Z117" s="176">
        <f>SUMIFS(tabela_registros[VALOR],tabela_registros[MÊS],$AE$1,tabela_registros[DIA],investirrendafixaconsolidado2829[[#Headers],[22]],tabela_registros[REGISTRO],DADOS!$N$5,tabela_registros[TIPO],DADOS!$AB$3,tabela_registros[CATEGORIA],investirrendafixaconsolidado2829[[#This Row],[ATUAL]])</f>
        <v>0</v>
      </c>
      <c r="AA117" s="176">
        <f>SUMIFS(tabela_registros[VALOR],tabela_registros[MÊS],$AE$1,tabela_registros[DIA],investirrendafixaconsolidado2829[[#Headers],[23]],tabela_registros[REGISTRO],DADOS!$N$5,tabela_registros[TIPO],DADOS!$AB$3,tabela_registros[CATEGORIA],investirrendafixaconsolidado2829[[#This Row],[ATUAL]])</f>
        <v>0</v>
      </c>
      <c r="AB117" s="176">
        <f>SUMIFS(tabela_registros[VALOR],tabela_registros[MÊS],$AE$1,tabela_registros[DIA],investirrendafixaconsolidado2829[[#Headers],[24]],tabela_registros[REGISTRO],DADOS!$N$5,tabela_registros[TIPO],DADOS!$AB$3,tabela_registros[CATEGORIA],investirrendafixaconsolidado2829[[#This Row],[ATUAL]])</f>
        <v>0</v>
      </c>
      <c r="AC117" s="176">
        <f>SUMIFS(tabela_registros[VALOR],tabela_registros[MÊS],$AE$1,tabela_registros[DIA],investirrendafixaconsolidado2829[[#Headers],[25]],tabela_registros[REGISTRO],DADOS!$N$5,tabela_registros[TIPO],DADOS!$AB$3,tabela_registros[CATEGORIA],investirrendafixaconsolidado2829[[#This Row],[ATUAL]])</f>
        <v>0</v>
      </c>
      <c r="AD117" s="176">
        <f>SUMIFS(tabela_registros[VALOR],tabela_registros[MÊS],$AE$1,tabela_registros[DIA],investirrendafixaconsolidado2829[[#Headers],[26]],tabela_registros[REGISTRO],DADOS!$N$5,tabela_registros[TIPO],DADOS!$AB$3,tabela_registros[CATEGORIA],investirrendafixaconsolidado2829[[#This Row],[ATUAL]])</f>
        <v>0</v>
      </c>
      <c r="AE117" s="176">
        <f>SUMIFS(tabela_registros[VALOR],tabela_registros[MÊS],$AE$1,tabela_registros[DIA],investirrendafixaconsolidado2829[[#Headers],[27]],tabela_registros[REGISTRO],DADOS!$N$5,tabela_registros[TIPO],DADOS!$AB$3,tabela_registros[CATEGORIA],investirrendafixaconsolidado2829[[#This Row],[ATUAL]])</f>
        <v>0</v>
      </c>
      <c r="AF117" s="176">
        <f>SUMIFS(tabela_registros[VALOR],tabela_registros[MÊS],$AE$1,tabela_registros[DIA],investirrendafixaconsolidado2829[[#Headers],[28]],tabela_registros[REGISTRO],DADOS!$N$5,tabela_registros[TIPO],DADOS!$AB$3,tabela_registros[CATEGORIA],investirrendafixaconsolidado2829[[#This Row],[ATUAL]])</f>
        <v>0</v>
      </c>
      <c r="AG117" s="176">
        <f>SUMIFS(tabela_registros[VALOR],tabela_registros[MÊS],$AE$1,tabela_registros[DIA],investirrendafixaconsolidado2829[[#Headers],[29]],tabela_registros[REGISTRO],DADOS!$N$5,tabela_registros[TIPO],DADOS!$AB$3,tabela_registros[CATEGORIA],investirrendafixaconsolidado2829[[#This Row],[ATUAL]])</f>
        <v>0</v>
      </c>
      <c r="AH117" s="176">
        <f>SUMIFS(tabela_registros[VALOR],tabela_registros[MÊS],$AE$1,tabela_registros[DIA],investirrendafixaconsolidado2829[[#Headers],[30]],tabela_registros[REGISTRO],DADOS!$N$5,tabela_registros[TIPO],DADOS!$AB$3,tabela_registros[CATEGORIA],investirrendafixaconsolidado2829[[#This Row],[ATUAL]])</f>
        <v>0</v>
      </c>
      <c r="AI117" s="190">
        <f>SUMIFS(tabela_registros[VALOR],tabela_registros[MÊS],$AE$1,tabela_registros[DIA],investirrendafixaconsolidado2829[[#Headers],[31]],tabela_registros[REGISTRO],DADOS!$N$5,tabela_registros[TIPO],DADOS!$AB$3,tabela_registros[CATEGORIA],investirrendafixaconsolidado2829[[#This Row],[ATUAL]])</f>
        <v>0</v>
      </c>
      <c r="AJ117" s="167">
        <f>SUM(investirrendafixaconsolidado2829[[#This Row],[1]:[31]])</f>
        <v>254</v>
      </c>
      <c r="AK117" s="25"/>
    </row>
    <row r="118" spans="2:37" ht="19.5" customHeight="1" thickTop="1" thickBot="1" x14ac:dyDescent="0.3">
      <c r="B118" s="28"/>
      <c r="C118" s="27" t="str">
        <f>DADOS!$AD$8</f>
        <v>📝 LC</v>
      </c>
      <c r="D118" s="26" t="str">
        <f>IF(investirrendafixaconsolidado2829[[#This Row],[TOTAL (R$)]]=0,"",IF(OR(investirrendafixaconsolidado2829[[#This Row],[TOTAL (R$)]]=LARGE($AJ$113:$AJ$122,1),investirrendafixaconsolidado2829[[#This Row],[TOTAL (R$)]]=LARGE($AJ$113:$AJ$122,2)),DADOS!$I$10,""))</f>
        <v/>
      </c>
      <c r="E118" s="189">
        <f>SUMIFS(tabela_registros[VALOR],tabela_registros[MÊS],$AE$1,tabela_registros[DIA],investirrendafixaconsolidado2829[[#Headers],[1]],tabela_registros[REGISTRO],DADOS!$N$5,tabela_registros[TIPO],DADOS!$AB$3,tabela_registros[CATEGORIA],investirrendafixaconsolidado2829[[#This Row],[ATUAL]])</f>
        <v>0</v>
      </c>
      <c r="F118" s="176">
        <f>SUMIFS(tabela_registros[VALOR],tabela_registros[MÊS],$AE$1,tabela_registros[DIA],investirrendafixaconsolidado2829[[#Headers],[2]],tabela_registros[REGISTRO],DADOS!$N$5,tabela_registros[TIPO],DADOS!$AB$3,tabela_registros[CATEGORIA],investirrendafixaconsolidado2829[[#This Row],[ATUAL]])</f>
        <v>0</v>
      </c>
      <c r="G118" s="176">
        <f>SUMIFS(tabela_registros[VALOR],tabela_registros[MÊS],$AE$1,tabela_registros[DIA],investirrendafixaconsolidado2829[[#Headers],[3]],tabela_registros[REGISTRO],DADOS!$N$5,tabela_registros[TIPO],DADOS!$AB$3,tabela_registros[CATEGORIA],investirrendafixaconsolidado2829[[#This Row],[ATUAL]])</f>
        <v>0</v>
      </c>
      <c r="H118" s="176">
        <f>SUMIFS(tabela_registros[VALOR],tabela_registros[MÊS],$AE$1,tabela_registros[DIA],investirrendafixaconsolidado2829[[#Headers],[4]],tabela_registros[REGISTRO],DADOS!$N$5,tabela_registros[TIPO],DADOS!$AB$3,tabela_registros[CATEGORIA],investirrendafixaconsolidado2829[[#This Row],[ATUAL]])</f>
        <v>0</v>
      </c>
      <c r="I118" s="176">
        <f>SUMIFS(tabela_registros[VALOR],tabela_registros[MÊS],$AE$1,tabela_registros[DIA],investirrendafixaconsolidado2829[[#Headers],[5]],tabela_registros[REGISTRO],DADOS!$N$5,tabela_registros[TIPO],DADOS!$AB$3,tabela_registros[CATEGORIA],investirrendafixaconsolidado2829[[#This Row],[ATUAL]])</f>
        <v>0</v>
      </c>
      <c r="J118" s="176">
        <f>SUMIFS(tabela_registros[VALOR],tabela_registros[MÊS],$AE$1,tabela_registros[DIA],investirrendafixaconsolidado2829[[#Headers],[6]],tabela_registros[REGISTRO],DADOS!$N$5,tabela_registros[TIPO],DADOS!$AB$3,tabela_registros[CATEGORIA],investirrendafixaconsolidado2829[[#This Row],[ATUAL]])</f>
        <v>0</v>
      </c>
      <c r="K118" s="176">
        <f>SUMIFS(tabela_registros[VALOR],tabela_registros[MÊS],$AE$1,tabela_registros[DIA],investirrendafixaconsolidado2829[[#Headers],[7]],tabela_registros[REGISTRO],DADOS!$N$5,tabela_registros[TIPO],DADOS!$AB$3,tabela_registros[CATEGORIA],investirrendafixaconsolidado2829[[#This Row],[ATUAL]])</f>
        <v>0</v>
      </c>
      <c r="L118" s="176">
        <f>SUMIFS(tabela_registros[VALOR],tabela_registros[MÊS],$AE$1,tabela_registros[DIA],investirrendafixaconsolidado2829[[#Headers],[8]],tabela_registros[REGISTRO],DADOS!$N$5,tabela_registros[TIPO],DADOS!$AB$3,tabela_registros[CATEGORIA],investirrendafixaconsolidado2829[[#This Row],[ATUAL]])</f>
        <v>0</v>
      </c>
      <c r="M118" s="176">
        <f>SUMIFS(tabela_registros[VALOR],tabela_registros[MÊS],$AE$1,tabela_registros[DIA],investirrendafixaconsolidado2829[[#Headers],[9]],tabela_registros[REGISTRO],DADOS!$N$5,tabela_registros[TIPO],DADOS!$AB$3,tabela_registros[CATEGORIA],investirrendafixaconsolidado2829[[#This Row],[ATUAL]])</f>
        <v>0</v>
      </c>
      <c r="N118" s="176">
        <f>SUMIFS(tabela_registros[VALOR],tabela_registros[MÊS],$AE$1,tabela_registros[DIA],investirrendafixaconsolidado2829[[#Headers],[10]],tabela_registros[REGISTRO],DADOS!$N$5,tabela_registros[TIPO],DADOS!$AB$3,tabela_registros[CATEGORIA],investirrendafixaconsolidado2829[[#This Row],[ATUAL]])</f>
        <v>0</v>
      </c>
      <c r="O118" s="176">
        <f>SUMIFS(tabela_registros[VALOR],tabela_registros[MÊS],$AE$1,tabela_registros[DIA],investirrendafixaconsolidado2829[[#Headers],[11]],tabela_registros[REGISTRO],DADOS!$N$5,tabela_registros[TIPO],DADOS!$AB$3,tabela_registros[CATEGORIA],investirrendafixaconsolidado2829[[#This Row],[ATUAL]])</f>
        <v>0</v>
      </c>
      <c r="P118" s="176">
        <f>SUMIFS(tabela_registros[VALOR],tabela_registros[MÊS],$AE$1,tabela_registros[DIA],investirrendafixaconsolidado2829[[#Headers],[12]],tabela_registros[REGISTRO],DADOS!$N$5,tabela_registros[TIPO],DADOS!$AB$3,tabela_registros[CATEGORIA],investirrendafixaconsolidado2829[[#This Row],[ATUAL]])</f>
        <v>0</v>
      </c>
      <c r="Q118" s="176">
        <f>SUMIFS(tabela_registros[VALOR],tabela_registros[MÊS],$AE$1,tabela_registros[DIA],investirrendafixaconsolidado2829[[#Headers],[13]],tabela_registros[REGISTRO],DADOS!$N$5,tabela_registros[TIPO],DADOS!$AB$3,tabela_registros[CATEGORIA],investirrendafixaconsolidado2829[[#This Row],[ATUAL]])</f>
        <v>0</v>
      </c>
      <c r="R118" s="176">
        <f>SUMIFS(tabela_registros[VALOR],tabela_registros[MÊS],$AE$1,tabela_registros[DIA],investirrendafixaconsolidado2829[[#Headers],[14]],tabela_registros[REGISTRO],DADOS!$N$5,tabela_registros[TIPO],DADOS!$AB$3,tabela_registros[CATEGORIA],investirrendafixaconsolidado2829[[#This Row],[ATUAL]])</f>
        <v>0</v>
      </c>
      <c r="S118" s="176">
        <f>SUMIFS(tabela_registros[VALOR],tabela_registros[MÊS],$AE$1,tabela_registros[DIA],investirrendafixaconsolidado2829[[#Headers],[15]],tabela_registros[REGISTRO],DADOS!$N$5,tabela_registros[TIPO],DADOS!$AB$3,tabela_registros[CATEGORIA],investirrendafixaconsolidado2829[[#This Row],[ATUAL]])</f>
        <v>0</v>
      </c>
      <c r="T118" s="176">
        <f>SUMIFS(tabela_registros[VALOR],tabela_registros[MÊS],$AE$1,tabela_registros[DIA],investirrendafixaconsolidado2829[[#Headers],[16]],tabela_registros[REGISTRO],DADOS!$N$5,tabela_registros[TIPO],DADOS!$AB$3,tabela_registros[CATEGORIA],investirrendafixaconsolidado2829[[#This Row],[ATUAL]])</f>
        <v>0</v>
      </c>
      <c r="U118" s="176">
        <f>SUMIFS(tabela_registros[VALOR],tabela_registros[MÊS],$AE$1,tabela_registros[DIA],investirrendafixaconsolidado2829[[#Headers],[17]],tabela_registros[REGISTRO],DADOS!$N$5,tabela_registros[TIPO],DADOS!$AB$3,tabela_registros[CATEGORIA],investirrendafixaconsolidado2829[[#This Row],[ATUAL]])</f>
        <v>0</v>
      </c>
      <c r="V118" s="176">
        <f>SUMIFS(tabela_registros[VALOR],tabela_registros[MÊS],$AE$1,tabela_registros[DIA],investirrendafixaconsolidado2829[[#Headers],[18]],tabela_registros[REGISTRO],DADOS!$N$5,tabela_registros[TIPO],DADOS!$AB$3,tabela_registros[CATEGORIA],investirrendafixaconsolidado2829[[#This Row],[ATUAL]])</f>
        <v>0</v>
      </c>
      <c r="W118" s="176">
        <f>SUMIFS(tabela_registros[VALOR],tabela_registros[MÊS],$AE$1,tabela_registros[DIA],investirrendafixaconsolidado2829[[#Headers],[19]],tabela_registros[REGISTRO],DADOS!$N$5,tabela_registros[TIPO],DADOS!$AB$3,tabela_registros[CATEGORIA],investirrendafixaconsolidado2829[[#This Row],[ATUAL]])</f>
        <v>0</v>
      </c>
      <c r="X118" s="176">
        <f>SUMIFS(tabela_registros[VALOR],tabela_registros[MÊS],$AE$1,tabela_registros[DIA],investirrendafixaconsolidado2829[[#Headers],[20]],tabela_registros[REGISTRO],DADOS!$N$5,tabela_registros[TIPO],DADOS!$AB$3,tabela_registros[CATEGORIA],investirrendafixaconsolidado2829[[#This Row],[ATUAL]])</f>
        <v>0</v>
      </c>
      <c r="Y118" s="176">
        <f>SUMIFS(tabela_registros[VALOR],tabela_registros[MÊS],$AE$1,tabela_registros[DIA],investirrendafixaconsolidado2829[[#Headers],[21]],tabela_registros[REGISTRO],DADOS!$N$5,tabela_registros[TIPO],DADOS!$AB$3,tabela_registros[CATEGORIA],investirrendafixaconsolidado2829[[#This Row],[ATUAL]])</f>
        <v>0</v>
      </c>
      <c r="Z118" s="176">
        <f>SUMIFS(tabela_registros[VALOR],tabela_registros[MÊS],$AE$1,tabela_registros[DIA],investirrendafixaconsolidado2829[[#Headers],[22]],tabela_registros[REGISTRO],DADOS!$N$5,tabela_registros[TIPO],DADOS!$AB$3,tabela_registros[CATEGORIA],investirrendafixaconsolidado2829[[#This Row],[ATUAL]])</f>
        <v>0</v>
      </c>
      <c r="AA118" s="176">
        <f>SUMIFS(tabela_registros[VALOR],tabela_registros[MÊS],$AE$1,tabela_registros[DIA],investirrendafixaconsolidado2829[[#Headers],[23]],tabela_registros[REGISTRO],DADOS!$N$5,tabela_registros[TIPO],DADOS!$AB$3,tabela_registros[CATEGORIA],investirrendafixaconsolidado2829[[#This Row],[ATUAL]])</f>
        <v>0</v>
      </c>
      <c r="AB118" s="176">
        <f>SUMIFS(tabela_registros[VALOR],tabela_registros[MÊS],$AE$1,tabela_registros[DIA],investirrendafixaconsolidado2829[[#Headers],[24]],tabela_registros[REGISTRO],DADOS!$N$5,tabela_registros[TIPO],DADOS!$AB$3,tabela_registros[CATEGORIA],investirrendafixaconsolidado2829[[#This Row],[ATUAL]])</f>
        <v>0</v>
      </c>
      <c r="AC118" s="176">
        <f>SUMIFS(tabela_registros[VALOR],tabela_registros[MÊS],$AE$1,tabela_registros[DIA],investirrendafixaconsolidado2829[[#Headers],[25]],tabela_registros[REGISTRO],DADOS!$N$5,tabela_registros[TIPO],DADOS!$AB$3,tabela_registros[CATEGORIA],investirrendafixaconsolidado2829[[#This Row],[ATUAL]])</f>
        <v>0</v>
      </c>
      <c r="AD118" s="176">
        <f>SUMIFS(tabela_registros[VALOR],tabela_registros[MÊS],$AE$1,tabela_registros[DIA],investirrendafixaconsolidado2829[[#Headers],[26]],tabela_registros[REGISTRO],DADOS!$N$5,tabela_registros[TIPO],DADOS!$AB$3,tabela_registros[CATEGORIA],investirrendafixaconsolidado2829[[#This Row],[ATUAL]])</f>
        <v>0</v>
      </c>
      <c r="AE118" s="176">
        <f>SUMIFS(tabela_registros[VALOR],tabela_registros[MÊS],$AE$1,tabela_registros[DIA],investirrendafixaconsolidado2829[[#Headers],[27]],tabela_registros[REGISTRO],DADOS!$N$5,tabela_registros[TIPO],DADOS!$AB$3,tabela_registros[CATEGORIA],investirrendafixaconsolidado2829[[#This Row],[ATUAL]])</f>
        <v>0</v>
      </c>
      <c r="AF118" s="176">
        <f>SUMIFS(tabela_registros[VALOR],tabela_registros[MÊS],$AE$1,tabela_registros[DIA],investirrendafixaconsolidado2829[[#Headers],[28]],tabela_registros[REGISTRO],DADOS!$N$5,tabela_registros[TIPO],DADOS!$AB$3,tabela_registros[CATEGORIA],investirrendafixaconsolidado2829[[#This Row],[ATUAL]])</f>
        <v>0</v>
      </c>
      <c r="AG118" s="176">
        <f>SUMIFS(tabela_registros[VALOR],tabela_registros[MÊS],$AE$1,tabela_registros[DIA],investirrendafixaconsolidado2829[[#Headers],[29]],tabela_registros[REGISTRO],DADOS!$N$5,tabela_registros[TIPO],DADOS!$AB$3,tabela_registros[CATEGORIA],investirrendafixaconsolidado2829[[#This Row],[ATUAL]])</f>
        <v>0</v>
      </c>
      <c r="AH118" s="176">
        <f>SUMIFS(tabela_registros[VALOR],tabela_registros[MÊS],$AE$1,tabela_registros[DIA],investirrendafixaconsolidado2829[[#Headers],[30]],tabela_registros[REGISTRO],DADOS!$N$5,tabela_registros[TIPO],DADOS!$AB$3,tabela_registros[CATEGORIA],investirrendafixaconsolidado2829[[#This Row],[ATUAL]])</f>
        <v>0</v>
      </c>
      <c r="AI118" s="190">
        <f>SUMIFS(tabela_registros[VALOR],tabela_registros[MÊS],$AE$1,tabela_registros[DIA],investirrendafixaconsolidado2829[[#Headers],[31]],tabela_registros[REGISTRO],DADOS!$N$5,tabela_registros[TIPO],DADOS!$AB$3,tabela_registros[CATEGORIA],investirrendafixaconsolidado2829[[#This Row],[ATUAL]])</f>
        <v>0</v>
      </c>
      <c r="AJ118" s="167">
        <f>SUM(investirrendafixaconsolidado2829[[#This Row],[1]:[31]])</f>
        <v>0</v>
      </c>
      <c r="AK118" s="25"/>
    </row>
    <row r="119" spans="2:37" ht="19.5" customHeight="1" thickTop="1" thickBot="1" x14ac:dyDescent="0.3">
      <c r="B119" s="28"/>
      <c r="C119" s="27" t="str">
        <f>DADOS!$AD$9</f>
        <v>📝 LCA</v>
      </c>
      <c r="D119" s="26" t="str">
        <f>IF(investirrendafixaconsolidado2829[[#This Row],[TOTAL (R$)]]=0,"",IF(OR(investirrendafixaconsolidado2829[[#This Row],[TOTAL (R$)]]=LARGE($AJ$113:$AJ$122,1),investirrendafixaconsolidado2829[[#This Row],[TOTAL (R$)]]=LARGE($AJ$113:$AJ$122,2)),DADOS!$I$10,""))</f>
        <v/>
      </c>
      <c r="E119" s="189">
        <f>SUMIFS(tabela_registros[VALOR],tabela_registros[MÊS],$AE$1,tabela_registros[DIA],investirrendafixaconsolidado2829[[#Headers],[1]],tabela_registros[REGISTRO],DADOS!$N$5,tabela_registros[TIPO],DADOS!$AB$3,tabela_registros[CATEGORIA],investirrendafixaconsolidado2829[[#This Row],[ATUAL]])</f>
        <v>0</v>
      </c>
      <c r="F119" s="176">
        <f>SUMIFS(tabela_registros[VALOR],tabela_registros[MÊS],$AE$1,tabela_registros[DIA],investirrendafixaconsolidado2829[[#Headers],[2]],tabela_registros[REGISTRO],DADOS!$N$5,tabela_registros[TIPO],DADOS!$AB$3,tabela_registros[CATEGORIA],investirrendafixaconsolidado2829[[#This Row],[ATUAL]])</f>
        <v>0</v>
      </c>
      <c r="G119" s="176">
        <f>SUMIFS(tabela_registros[VALOR],tabela_registros[MÊS],$AE$1,tabela_registros[DIA],investirrendafixaconsolidado2829[[#Headers],[3]],tabela_registros[REGISTRO],DADOS!$N$5,tabela_registros[TIPO],DADOS!$AB$3,tabela_registros[CATEGORIA],investirrendafixaconsolidado2829[[#This Row],[ATUAL]])</f>
        <v>0</v>
      </c>
      <c r="H119" s="176">
        <f>SUMIFS(tabela_registros[VALOR],tabela_registros[MÊS],$AE$1,tabela_registros[DIA],investirrendafixaconsolidado2829[[#Headers],[4]],tabela_registros[REGISTRO],DADOS!$N$5,tabela_registros[TIPO],DADOS!$AB$3,tabela_registros[CATEGORIA],investirrendafixaconsolidado2829[[#This Row],[ATUAL]])</f>
        <v>0</v>
      </c>
      <c r="I119" s="176">
        <f>SUMIFS(tabela_registros[VALOR],tabela_registros[MÊS],$AE$1,tabela_registros[DIA],investirrendafixaconsolidado2829[[#Headers],[5]],tabela_registros[REGISTRO],DADOS!$N$5,tabela_registros[TIPO],DADOS!$AB$3,tabela_registros[CATEGORIA],investirrendafixaconsolidado2829[[#This Row],[ATUAL]])</f>
        <v>0</v>
      </c>
      <c r="J119" s="176">
        <f>SUMIFS(tabela_registros[VALOR],tabela_registros[MÊS],$AE$1,tabela_registros[DIA],investirrendafixaconsolidado2829[[#Headers],[6]],tabela_registros[REGISTRO],DADOS!$N$5,tabela_registros[TIPO],DADOS!$AB$3,tabela_registros[CATEGORIA],investirrendafixaconsolidado2829[[#This Row],[ATUAL]])</f>
        <v>0</v>
      </c>
      <c r="K119" s="176">
        <f>SUMIFS(tabela_registros[VALOR],tabela_registros[MÊS],$AE$1,tabela_registros[DIA],investirrendafixaconsolidado2829[[#Headers],[7]],tabela_registros[REGISTRO],DADOS!$N$5,tabela_registros[TIPO],DADOS!$AB$3,tabela_registros[CATEGORIA],investirrendafixaconsolidado2829[[#This Row],[ATUAL]])</f>
        <v>0</v>
      </c>
      <c r="L119" s="176">
        <f>SUMIFS(tabela_registros[VALOR],tabela_registros[MÊS],$AE$1,tabela_registros[DIA],investirrendafixaconsolidado2829[[#Headers],[8]],tabela_registros[REGISTRO],DADOS!$N$5,tabela_registros[TIPO],DADOS!$AB$3,tabela_registros[CATEGORIA],investirrendafixaconsolidado2829[[#This Row],[ATUAL]])</f>
        <v>0</v>
      </c>
      <c r="M119" s="176">
        <f>SUMIFS(tabela_registros[VALOR],tabela_registros[MÊS],$AE$1,tabela_registros[DIA],investirrendafixaconsolidado2829[[#Headers],[9]],tabela_registros[REGISTRO],DADOS!$N$5,tabela_registros[TIPO],DADOS!$AB$3,tabela_registros[CATEGORIA],investirrendafixaconsolidado2829[[#This Row],[ATUAL]])</f>
        <v>0</v>
      </c>
      <c r="N119" s="176">
        <f>SUMIFS(tabela_registros[VALOR],tabela_registros[MÊS],$AE$1,tabela_registros[DIA],investirrendafixaconsolidado2829[[#Headers],[10]],tabela_registros[REGISTRO],DADOS!$N$5,tabela_registros[TIPO],DADOS!$AB$3,tabela_registros[CATEGORIA],investirrendafixaconsolidado2829[[#This Row],[ATUAL]])</f>
        <v>0</v>
      </c>
      <c r="O119" s="176">
        <f>SUMIFS(tabela_registros[VALOR],tabela_registros[MÊS],$AE$1,tabela_registros[DIA],investirrendafixaconsolidado2829[[#Headers],[11]],tabela_registros[REGISTRO],DADOS!$N$5,tabela_registros[TIPO],DADOS!$AB$3,tabela_registros[CATEGORIA],investirrendafixaconsolidado2829[[#This Row],[ATUAL]])</f>
        <v>0</v>
      </c>
      <c r="P119" s="176">
        <f>SUMIFS(tabela_registros[VALOR],tabela_registros[MÊS],$AE$1,tabela_registros[DIA],investirrendafixaconsolidado2829[[#Headers],[12]],tabela_registros[REGISTRO],DADOS!$N$5,tabela_registros[TIPO],DADOS!$AB$3,tabela_registros[CATEGORIA],investirrendafixaconsolidado2829[[#This Row],[ATUAL]])</f>
        <v>0</v>
      </c>
      <c r="Q119" s="176">
        <f>SUMIFS(tabela_registros[VALOR],tabela_registros[MÊS],$AE$1,tabela_registros[DIA],investirrendafixaconsolidado2829[[#Headers],[13]],tabela_registros[REGISTRO],DADOS!$N$5,tabela_registros[TIPO],DADOS!$AB$3,tabela_registros[CATEGORIA],investirrendafixaconsolidado2829[[#This Row],[ATUAL]])</f>
        <v>0</v>
      </c>
      <c r="R119" s="176">
        <f>SUMIFS(tabela_registros[VALOR],tabela_registros[MÊS],$AE$1,tabela_registros[DIA],investirrendafixaconsolidado2829[[#Headers],[14]],tabela_registros[REGISTRO],DADOS!$N$5,tabela_registros[TIPO],DADOS!$AB$3,tabela_registros[CATEGORIA],investirrendafixaconsolidado2829[[#This Row],[ATUAL]])</f>
        <v>0</v>
      </c>
      <c r="S119" s="176">
        <f>SUMIFS(tabela_registros[VALOR],tabela_registros[MÊS],$AE$1,tabela_registros[DIA],investirrendafixaconsolidado2829[[#Headers],[15]],tabela_registros[REGISTRO],DADOS!$N$5,tabela_registros[TIPO],DADOS!$AB$3,tabela_registros[CATEGORIA],investirrendafixaconsolidado2829[[#This Row],[ATUAL]])</f>
        <v>0</v>
      </c>
      <c r="T119" s="176">
        <f>SUMIFS(tabela_registros[VALOR],tabela_registros[MÊS],$AE$1,tabela_registros[DIA],investirrendafixaconsolidado2829[[#Headers],[16]],tabela_registros[REGISTRO],DADOS!$N$5,tabela_registros[TIPO],DADOS!$AB$3,tabela_registros[CATEGORIA],investirrendafixaconsolidado2829[[#This Row],[ATUAL]])</f>
        <v>0</v>
      </c>
      <c r="U119" s="176">
        <f>SUMIFS(tabela_registros[VALOR],tabela_registros[MÊS],$AE$1,tabela_registros[DIA],investirrendafixaconsolidado2829[[#Headers],[17]],tabela_registros[REGISTRO],DADOS!$N$5,tabela_registros[TIPO],DADOS!$AB$3,tabela_registros[CATEGORIA],investirrendafixaconsolidado2829[[#This Row],[ATUAL]])</f>
        <v>0</v>
      </c>
      <c r="V119" s="176">
        <f>SUMIFS(tabela_registros[VALOR],tabela_registros[MÊS],$AE$1,tabela_registros[DIA],investirrendafixaconsolidado2829[[#Headers],[18]],tabela_registros[REGISTRO],DADOS!$N$5,tabela_registros[TIPO],DADOS!$AB$3,tabela_registros[CATEGORIA],investirrendafixaconsolidado2829[[#This Row],[ATUAL]])</f>
        <v>0</v>
      </c>
      <c r="W119" s="176">
        <f>SUMIFS(tabela_registros[VALOR],tabela_registros[MÊS],$AE$1,tabela_registros[DIA],investirrendafixaconsolidado2829[[#Headers],[19]],tabela_registros[REGISTRO],DADOS!$N$5,tabela_registros[TIPO],DADOS!$AB$3,tabela_registros[CATEGORIA],investirrendafixaconsolidado2829[[#This Row],[ATUAL]])</f>
        <v>0</v>
      </c>
      <c r="X119" s="176">
        <f>SUMIFS(tabela_registros[VALOR],tabela_registros[MÊS],$AE$1,tabela_registros[DIA],investirrendafixaconsolidado2829[[#Headers],[20]],tabela_registros[REGISTRO],DADOS!$N$5,tabela_registros[TIPO],DADOS!$AB$3,tabela_registros[CATEGORIA],investirrendafixaconsolidado2829[[#This Row],[ATUAL]])</f>
        <v>0</v>
      </c>
      <c r="Y119" s="176">
        <f>SUMIFS(tabela_registros[VALOR],tabela_registros[MÊS],$AE$1,tabela_registros[DIA],investirrendafixaconsolidado2829[[#Headers],[21]],tabela_registros[REGISTRO],DADOS!$N$5,tabela_registros[TIPO],DADOS!$AB$3,tabela_registros[CATEGORIA],investirrendafixaconsolidado2829[[#This Row],[ATUAL]])</f>
        <v>0</v>
      </c>
      <c r="Z119" s="176">
        <f>SUMIFS(tabela_registros[VALOR],tabela_registros[MÊS],$AE$1,tabela_registros[DIA],investirrendafixaconsolidado2829[[#Headers],[22]],tabela_registros[REGISTRO],DADOS!$N$5,tabela_registros[TIPO],DADOS!$AB$3,tabela_registros[CATEGORIA],investirrendafixaconsolidado2829[[#This Row],[ATUAL]])</f>
        <v>0</v>
      </c>
      <c r="AA119" s="176">
        <f>SUMIFS(tabela_registros[VALOR],tabela_registros[MÊS],$AE$1,tabela_registros[DIA],investirrendafixaconsolidado2829[[#Headers],[23]],tabela_registros[REGISTRO],DADOS!$N$5,tabela_registros[TIPO],DADOS!$AB$3,tabela_registros[CATEGORIA],investirrendafixaconsolidado2829[[#This Row],[ATUAL]])</f>
        <v>0</v>
      </c>
      <c r="AB119" s="176">
        <f>SUMIFS(tabela_registros[VALOR],tabela_registros[MÊS],$AE$1,tabela_registros[DIA],investirrendafixaconsolidado2829[[#Headers],[24]],tabela_registros[REGISTRO],DADOS!$N$5,tabela_registros[TIPO],DADOS!$AB$3,tabela_registros[CATEGORIA],investirrendafixaconsolidado2829[[#This Row],[ATUAL]])</f>
        <v>0</v>
      </c>
      <c r="AC119" s="176">
        <f>SUMIFS(tabela_registros[VALOR],tabela_registros[MÊS],$AE$1,tabela_registros[DIA],investirrendafixaconsolidado2829[[#Headers],[25]],tabela_registros[REGISTRO],DADOS!$N$5,tabela_registros[TIPO],DADOS!$AB$3,tabela_registros[CATEGORIA],investirrendafixaconsolidado2829[[#This Row],[ATUAL]])</f>
        <v>0</v>
      </c>
      <c r="AD119" s="176">
        <f>SUMIFS(tabela_registros[VALOR],tabela_registros[MÊS],$AE$1,tabela_registros[DIA],investirrendafixaconsolidado2829[[#Headers],[26]],tabela_registros[REGISTRO],DADOS!$N$5,tabela_registros[TIPO],DADOS!$AB$3,tabela_registros[CATEGORIA],investirrendafixaconsolidado2829[[#This Row],[ATUAL]])</f>
        <v>0</v>
      </c>
      <c r="AE119" s="176">
        <f>SUMIFS(tabela_registros[VALOR],tabela_registros[MÊS],$AE$1,tabela_registros[DIA],investirrendafixaconsolidado2829[[#Headers],[27]],tabela_registros[REGISTRO],DADOS!$N$5,tabela_registros[TIPO],DADOS!$AB$3,tabela_registros[CATEGORIA],investirrendafixaconsolidado2829[[#This Row],[ATUAL]])</f>
        <v>0</v>
      </c>
      <c r="AF119" s="176">
        <f>SUMIFS(tabela_registros[VALOR],tabela_registros[MÊS],$AE$1,tabela_registros[DIA],investirrendafixaconsolidado2829[[#Headers],[28]],tabela_registros[REGISTRO],DADOS!$N$5,tabela_registros[TIPO],DADOS!$AB$3,tabela_registros[CATEGORIA],investirrendafixaconsolidado2829[[#This Row],[ATUAL]])</f>
        <v>0</v>
      </c>
      <c r="AG119" s="176">
        <f>SUMIFS(tabela_registros[VALOR],tabela_registros[MÊS],$AE$1,tabela_registros[DIA],investirrendafixaconsolidado2829[[#Headers],[29]],tabela_registros[REGISTRO],DADOS!$N$5,tabela_registros[TIPO],DADOS!$AB$3,tabela_registros[CATEGORIA],investirrendafixaconsolidado2829[[#This Row],[ATUAL]])</f>
        <v>0</v>
      </c>
      <c r="AH119" s="176">
        <f>SUMIFS(tabela_registros[VALOR],tabela_registros[MÊS],$AE$1,tabela_registros[DIA],investirrendafixaconsolidado2829[[#Headers],[30]],tabela_registros[REGISTRO],DADOS!$N$5,tabela_registros[TIPO],DADOS!$AB$3,tabela_registros[CATEGORIA],investirrendafixaconsolidado2829[[#This Row],[ATUAL]])</f>
        <v>0</v>
      </c>
      <c r="AI119" s="190">
        <f>SUMIFS(tabela_registros[VALOR],tabela_registros[MÊS],$AE$1,tabela_registros[DIA],investirrendafixaconsolidado2829[[#Headers],[31]],tabela_registros[REGISTRO],DADOS!$N$5,tabela_registros[TIPO],DADOS!$AB$3,tabela_registros[CATEGORIA],investirrendafixaconsolidado2829[[#This Row],[ATUAL]])</f>
        <v>0</v>
      </c>
      <c r="AJ119" s="167">
        <f>SUM(investirrendafixaconsolidado2829[[#This Row],[1]:[31]])</f>
        <v>0</v>
      </c>
      <c r="AK119" s="25"/>
    </row>
    <row r="120" spans="2:37" ht="19.5" customHeight="1" thickTop="1" thickBot="1" x14ac:dyDescent="0.3">
      <c r="B120" s="28"/>
      <c r="C120" s="27" t="str">
        <f>DADOS!$AD$10</f>
        <v>📝 LCI</v>
      </c>
      <c r="D120" s="26" t="str">
        <f>IF(investirrendafixaconsolidado2829[[#This Row],[TOTAL (R$)]]=0,"",IF(OR(investirrendafixaconsolidado2829[[#This Row],[TOTAL (R$)]]=LARGE($AJ$113:$AJ$122,1),investirrendafixaconsolidado2829[[#This Row],[TOTAL (R$)]]=LARGE($AJ$113:$AJ$122,2)),DADOS!$I$10,""))</f>
        <v/>
      </c>
      <c r="E120" s="189">
        <f>SUMIFS(tabela_registros[VALOR],tabela_registros[MÊS],$AE$1,tabela_registros[DIA],investirrendafixaconsolidado2829[[#Headers],[1]],tabela_registros[REGISTRO],DADOS!$N$5,tabela_registros[TIPO],DADOS!$AB$3,tabela_registros[CATEGORIA],investirrendafixaconsolidado2829[[#This Row],[ATUAL]])</f>
        <v>0</v>
      </c>
      <c r="F120" s="176">
        <f>SUMIFS(tabela_registros[VALOR],tabela_registros[MÊS],$AE$1,tabela_registros[DIA],investirrendafixaconsolidado2829[[#Headers],[2]],tabela_registros[REGISTRO],DADOS!$N$5,tabela_registros[TIPO],DADOS!$AB$3,tabela_registros[CATEGORIA],investirrendafixaconsolidado2829[[#This Row],[ATUAL]])</f>
        <v>0</v>
      </c>
      <c r="G120" s="176">
        <f>SUMIFS(tabela_registros[VALOR],tabela_registros[MÊS],$AE$1,tabela_registros[DIA],investirrendafixaconsolidado2829[[#Headers],[3]],tabela_registros[REGISTRO],DADOS!$N$5,tabela_registros[TIPO],DADOS!$AB$3,tabela_registros[CATEGORIA],investirrendafixaconsolidado2829[[#This Row],[ATUAL]])</f>
        <v>0</v>
      </c>
      <c r="H120" s="176">
        <f>SUMIFS(tabela_registros[VALOR],tabela_registros[MÊS],$AE$1,tabela_registros[DIA],investirrendafixaconsolidado2829[[#Headers],[4]],tabela_registros[REGISTRO],DADOS!$N$5,tabela_registros[TIPO],DADOS!$AB$3,tabela_registros[CATEGORIA],investirrendafixaconsolidado2829[[#This Row],[ATUAL]])</f>
        <v>0</v>
      </c>
      <c r="I120" s="176">
        <f>SUMIFS(tabela_registros[VALOR],tabela_registros[MÊS],$AE$1,tabela_registros[DIA],investirrendafixaconsolidado2829[[#Headers],[5]],tabela_registros[REGISTRO],DADOS!$N$5,tabela_registros[TIPO],DADOS!$AB$3,tabela_registros[CATEGORIA],investirrendafixaconsolidado2829[[#This Row],[ATUAL]])</f>
        <v>0</v>
      </c>
      <c r="J120" s="176">
        <f>SUMIFS(tabela_registros[VALOR],tabela_registros[MÊS],$AE$1,tabela_registros[DIA],investirrendafixaconsolidado2829[[#Headers],[6]],tabela_registros[REGISTRO],DADOS!$N$5,tabela_registros[TIPO],DADOS!$AB$3,tabela_registros[CATEGORIA],investirrendafixaconsolidado2829[[#This Row],[ATUAL]])</f>
        <v>0</v>
      </c>
      <c r="K120" s="176">
        <f>SUMIFS(tabela_registros[VALOR],tabela_registros[MÊS],$AE$1,tabela_registros[DIA],investirrendafixaconsolidado2829[[#Headers],[7]],tabela_registros[REGISTRO],DADOS!$N$5,tabela_registros[TIPO],DADOS!$AB$3,tabela_registros[CATEGORIA],investirrendafixaconsolidado2829[[#This Row],[ATUAL]])</f>
        <v>0</v>
      </c>
      <c r="L120" s="176">
        <f>SUMIFS(tabela_registros[VALOR],tabela_registros[MÊS],$AE$1,tabela_registros[DIA],investirrendafixaconsolidado2829[[#Headers],[8]],tabela_registros[REGISTRO],DADOS!$N$5,tabela_registros[TIPO],DADOS!$AB$3,tabela_registros[CATEGORIA],investirrendafixaconsolidado2829[[#This Row],[ATUAL]])</f>
        <v>0</v>
      </c>
      <c r="M120" s="176">
        <f>SUMIFS(tabela_registros[VALOR],tabela_registros[MÊS],$AE$1,tabela_registros[DIA],investirrendafixaconsolidado2829[[#Headers],[9]],tabela_registros[REGISTRO],DADOS!$N$5,tabela_registros[TIPO],DADOS!$AB$3,tabela_registros[CATEGORIA],investirrendafixaconsolidado2829[[#This Row],[ATUAL]])</f>
        <v>0</v>
      </c>
      <c r="N120" s="176">
        <f>SUMIFS(tabela_registros[VALOR],tabela_registros[MÊS],$AE$1,tabela_registros[DIA],investirrendafixaconsolidado2829[[#Headers],[10]],tabela_registros[REGISTRO],DADOS!$N$5,tabela_registros[TIPO],DADOS!$AB$3,tabela_registros[CATEGORIA],investirrendafixaconsolidado2829[[#This Row],[ATUAL]])</f>
        <v>0</v>
      </c>
      <c r="O120" s="176">
        <f>SUMIFS(tabela_registros[VALOR],tabela_registros[MÊS],$AE$1,tabela_registros[DIA],investirrendafixaconsolidado2829[[#Headers],[11]],tabela_registros[REGISTRO],DADOS!$N$5,tabela_registros[TIPO],DADOS!$AB$3,tabela_registros[CATEGORIA],investirrendafixaconsolidado2829[[#This Row],[ATUAL]])</f>
        <v>0</v>
      </c>
      <c r="P120" s="176">
        <f>SUMIFS(tabela_registros[VALOR],tabela_registros[MÊS],$AE$1,tabela_registros[DIA],investirrendafixaconsolidado2829[[#Headers],[12]],tabela_registros[REGISTRO],DADOS!$N$5,tabela_registros[TIPO],DADOS!$AB$3,tabela_registros[CATEGORIA],investirrendafixaconsolidado2829[[#This Row],[ATUAL]])</f>
        <v>0</v>
      </c>
      <c r="Q120" s="176">
        <f>SUMIFS(tabela_registros[VALOR],tabela_registros[MÊS],$AE$1,tabela_registros[DIA],investirrendafixaconsolidado2829[[#Headers],[13]],tabela_registros[REGISTRO],DADOS!$N$5,tabela_registros[TIPO],DADOS!$AB$3,tabela_registros[CATEGORIA],investirrendafixaconsolidado2829[[#This Row],[ATUAL]])</f>
        <v>0</v>
      </c>
      <c r="R120" s="176">
        <f>SUMIFS(tabela_registros[VALOR],tabela_registros[MÊS],$AE$1,tabela_registros[DIA],investirrendafixaconsolidado2829[[#Headers],[14]],tabela_registros[REGISTRO],DADOS!$N$5,tabela_registros[TIPO],DADOS!$AB$3,tabela_registros[CATEGORIA],investirrendafixaconsolidado2829[[#This Row],[ATUAL]])</f>
        <v>0</v>
      </c>
      <c r="S120" s="176">
        <f>SUMIFS(tabela_registros[VALOR],tabela_registros[MÊS],$AE$1,tabela_registros[DIA],investirrendafixaconsolidado2829[[#Headers],[15]],tabela_registros[REGISTRO],DADOS!$N$5,tabela_registros[TIPO],DADOS!$AB$3,tabela_registros[CATEGORIA],investirrendafixaconsolidado2829[[#This Row],[ATUAL]])</f>
        <v>0</v>
      </c>
      <c r="T120" s="176">
        <f>SUMIFS(tabela_registros[VALOR],tabela_registros[MÊS],$AE$1,tabela_registros[DIA],investirrendafixaconsolidado2829[[#Headers],[16]],tabela_registros[REGISTRO],DADOS!$N$5,tabela_registros[TIPO],DADOS!$AB$3,tabela_registros[CATEGORIA],investirrendafixaconsolidado2829[[#This Row],[ATUAL]])</f>
        <v>0</v>
      </c>
      <c r="U120" s="176">
        <f>SUMIFS(tabela_registros[VALOR],tabela_registros[MÊS],$AE$1,tabela_registros[DIA],investirrendafixaconsolidado2829[[#Headers],[17]],tabela_registros[REGISTRO],DADOS!$N$5,tabela_registros[TIPO],DADOS!$AB$3,tabela_registros[CATEGORIA],investirrendafixaconsolidado2829[[#This Row],[ATUAL]])</f>
        <v>0</v>
      </c>
      <c r="V120" s="176">
        <f>SUMIFS(tabela_registros[VALOR],tabela_registros[MÊS],$AE$1,tabela_registros[DIA],investirrendafixaconsolidado2829[[#Headers],[18]],tabela_registros[REGISTRO],DADOS!$N$5,tabela_registros[TIPO],DADOS!$AB$3,tabela_registros[CATEGORIA],investirrendafixaconsolidado2829[[#This Row],[ATUAL]])</f>
        <v>0</v>
      </c>
      <c r="W120" s="176">
        <f>SUMIFS(tabela_registros[VALOR],tabela_registros[MÊS],$AE$1,tabela_registros[DIA],investirrendafixaconsolidado2829[[#Headers],[19]],tabela_registros[REGISTRO],DADOS!$N$5,tabela_registros[TIPO],DADOS!$AB$3,tabela_registros[CATEGORIA],investirrendafixaconsolidado2829[[#This Row],[ATUAL]])</f>
        <v>0</v>
      </c>
      <c r="X120" s="176">
        <f>SUMIFS(tabela_registros[VALOR],tabela_registros[MÊS],$AE$1,tabela_registros[DIA],investirrendafixaconsolidado2829[[#Headers],[20]],tabela_registros[REGISTRO],DADOS!$N$5,tabela_registros[TIPO],DADOS!$AB$3,tabela_registros[CATEGORIA],investirrendafixaconsolidado2829[[#This Row],[ATUAL]])</f>
        <v>0</v>
      </c>
      <c r="Y120" s="176">
        <f>SUMIFS(tabela_registros[VALOR],tabela_registros[MÊS],$AE$1,tabela_registros[DIA],investirrendafixaconsolidado2829[[#Headers],[21]],tabela_registros[REGISTRO],DADOS!$N$5,tabela_registros[TIPO],DADOS!$AB$3,tabela_registros[CATEGORIA],investirrendafixaconsolidado2829[[#This Row],[ATUAL]])</f>
        <v>0</v>
      </c>
      <c r="Z120" s="176">
        <f>SUMIFS(tabela_registros[VALOR],tabela_registros[MÊS],$AE$1,tabela_registros[DIA],investirrendafixaconsolidado2829[[#Headers],[22]],tabela_registros[REGISTRO],DADOS!$N$5,tabela_registros[TIPO],DADOS!$AB$3,tabela_registros[CATEGORIA],investirrendafixaconsolidado2829[[#This Row],[ATUAL]])</f>
        <v>0</v>
      </c>
      <c r="AA120" s="176">
        <f>SUMIFS(tabela_registros[VALOR],tabela_registros[MÊS],$AE$1,tabela_registros[DIA],investirrendafixaconsolidado2829[[#Headers],[23]],tabela_registros[REGISTRO],DADOS!$N$5,tabela_registros[TIPO],DADOS!$AB$3,tabela_registros[CATEGORIA],investirrendafixaconsolidado2829[[#This Row],[ATUAL]])</f>
        <v>0</v>
      </c>
      <c r="AB120" s="176">
        <f>SUMIFS(tabela_registros[VALOR],tabela_registros[MÊS],$AE$1,tabela_registros[DIA],investirrendafixaconsolidado2829[[#Headers],[24]],tabela_registros[REGISTRO],DADOS!$N$5,tabela_registros[TIPO],DADOS!$AB$3,tabela_registros[CATEGORIA],investirrendafixaconsolidado2829[[#This Row],[ATUAL]])</f>
        <v>0</v>
      </c>
      <c r="AC120" s="176">
        <f>SUMIFS(tabela_registros[VALOR],tabela_registros[MÊS],$AE$1,tabela_registros[DIA],investirrendafixaconsolidado2829[[#Headers],[25]],tabela_registros[REGISTRO],DADOS!$N$5,tabela_registros[TIPO],DADOS!$AB$3,tabela_registros[CATEGORIA],investirrendafixaconsolidado2829[[#This Row],[ATUAL]])</f>
        <v>0</v>
      </c>
      <c r="AD120" s="176">
        <f>SUMIFS(tabela_registros[VALOR],tabela_registros[MÊS],$AE$1,tabela_registros[DIA],investirrendafixaconsolidado2829[[#Headers],[26]],tabela_registros[REGISTRO],DADOS!$N$5,tabela_registros[TIPO],DADOS!$AB$3,tabela_registros[CATEGORIA],investirrendafixaconsolidado2829[[#This Row],[ATUAL]])</f>
        <v>0</v>
      </c>
      <c r="AE120" s="176">
        <f>SUMIFS(tabela_registros[VALOR],tabela_registros[MÊS],$AE$1,tabela_registros[DIA],investirrendafixaconsolidado2829[[#Headers],[27]],tabela_registros[REGISTRO],DADOS!$N$5,tabela_registros[TIPO],DADOS!$AB$3,tabela_registros[CATEGORIA],investirrendafixaconsolidado2829[[#This Row],[ATUAL]])</f>
        <v>0</v>
      </c>
      <c r="AF120" s="176">
        <f>SUMIFS(tabela_registros[VALOR],tabela_registros[MÊS],$AE$1,tabela_registros[DIA],investirrendafixaconsolidado2829[[#Headers],[28]],tabela_registros[REGISTRO],DADOS!$N$5,tabela_registros[TIPO],DADOS!$AB$3,tabela_registros[CATEGORIA],investirrendafixaconsolidado2829[[#This Row],[ATUAL]])</f>
        <v>0</v>
      </c>
      <c r="AG120" s="176">
        <f>SUMIFS(tabela_registros[VALOR],tabela_registros[MÊS],$AE$1,tabela_registros[DIA],investirrendafixaconsolidado2829[[#Headers],[29]],tabela_registros[REGISTRO],DADOS!$N$5,tabela_registros[TIPO],DADOS!$AB$3,tabela_registros[CATEGORIA],investirrendafixaconsolidado2829[[#This Row],[ATUAL]])</f>
        <v>0</v>
      </c>
      <c r="AH120" s="176">
        <f>SUMIFS(tabela_registros[VALOR],tabela_registros[MÊS],$AE$1,tabela_registros[DIA],investirrendafixaconsolidado2829[[#Headers],[30]],tabela_registros[REGISTRO],DADOS!$N$5,tabela_registros[TIPO],DADOS!$AB$3,tabela_registros[CATEGORIA],investirrendafixaconsolidado2829[[#This Row],[ATUAL]])</f>
        <v>0</v>
      </c>
      <c r="AI120" s="190">
        <f>SUMIFS(tabela_registros[VALOR],tabela_registros[MÊS],$AE$1,tabela_registros[DIA],investirrendafixaconsolidado2829[[#Headers],[31]],tabela_registros[REGISTRO],DADOS!$N$5,tabela_registros[TIPO],DADOS!$AB$3,tabela_registros[CATEGORIA],investirrendafixaconsolidado2829[[#This Row],[ATUAL]])</f>
        <v>0</v>
      </c>
      <c r="AJ120" s="167">
        <f>SUM(investirrendafixaconsolidado2829[[#This Row],[1]:[31]])</f>
        <v>0</v>
      </c>
      <c r="AK120" s="25"/>
    </row>
    <row r="121" spans="2:37" ht="19.5" customHeight="1" thickTop="1" thickBot="1" x14ac:dyDescent="0.3">
      <c r="B121" s="28"/>
      <c r="C121" s="27" t="str">
        <f>DADOS!$AD$11</f>
        <v>📝 TESOURO DIRETO</v>
      </c>
      <c r="D121" s="26" t="str">
        <f>IF(investirrendafixaconsolidado2829[[#This Row],[TOTAL (R$)]]=0,"",IF(OR(investirrendafixaconsolidado2829[[#This Row],[TOTAL (R$)]]=LARGE($AJ$113:$AJ$122,1),investirrendafixaconsolidado2829[[#This Row],[TOTAL (R$)]]=LARGE($AJ$113:$AJ$122,2)),DADOS!$I$10,""))</f>
        <v/>
      </c>
      <c r="E121" s="189">
        <f>SUMIFS(tabela_registros[VALOR],tabela_registros[MÊS],$AE$1,tabela_registros[DIA],investirrendafixaconsolidado2829[[#Headers],[1]],tabela_registros[REGISTRO],DADOS!$N$5,tabela_registros[TIPO],DADOS!$AB$3,tabela_registros[CATEGORIA],investirrendafixaconsolidado2829[[#This Row],[ATUAL]])</f>
        <v>0</v>
      </c>
      <c r="F121" s="176">
        <f>SUMIFS(tabela_registros[VALOR],tabela_registros[MÊS],$AE$1,tabela_registros[DIA],investirrendafixaconsolidado2829[[#Headers],[2]],tabela_registros[REGISTRO],DADOS!$N$5,tabela_registros[TIPO],DADOS!$AB$3,tabela_registros[CATEGORIA],investirrendafixaconsolidado2829[[#This Row],[ATUAL]])</f>
        <v>0</v>
      </c>
      <c r="G121" s="176">
        <f>SUMIFS(tabela_registros[VALOR],tabela_registros[MÊS],$AE$1,tabela_registros[DIA],investirrendafixaconsolidado2829[[#Headers],[3]],tabela_registros[REGISTRO],DADOS!$N$5,tabela_registros[TIPO],DADOS!$AB$3,tabela_registros[CATEGORIA],investirrendafixaconsolidado2829[[#This Row],[ATUAL]])</f>
        <v>0</v>
      </c>
      <c r="H121" s="176">
        <f>SUMIFS(tabela_registros[VALOR],tabela_registros[MÊS],$AE$1,tabela_registros[DIA],investirrendafixaconsolidado2829[[#Headers],[4]],tabela_registros[REGISTRO],DADOS!$N$5,tabela_registros[TIPO],DADOS!$AB$3,tabela_registros[CATEGORIA],investirrendafixaconsolidado2829[[#This Row],[ATUAL]])</f>
        <v>0</v>
      </c>
      <c r="I121" s="176">
        <f>SUMIFS(tabela_registros[VALOR],tabela_registros[MÊS],$AE$1,tabela_registros[DIA],investirrendafixaconsolidado2829[[#Headers],[5]],tabela_registros[REGISTRO],DADOS!$N$5,tabela_registros[TIPO],DADOS!$AB$3,tabela_registros[CATEGORIA],investirrendafixaconsolidado2829[[#This Row],[ATUAL]])</f>
        <v>0</v>
      </c>
      <c r="J121" s="176">
        <f>SUMIFS(tabela_registros[VALOR],tabela_registros[MÊS],$AE$1,tabela_registros[DIA],investirrendafixaconsolidado2829[[#Headers],[6]],tabela_registros[REGISTRO],DADOS!$N$5,tabela_registros[TIPO],DADOS!$AB$3,tabela_registros[CATEGORIA],investirrendafixaconsolidado2829[[#This Row],[ATUAL]])</f>
        <v>0</v>
      </c>
      <c r="K121" s="176">
        <f>SUMIFS(tabela_registros[VALOR],tabela_registros[MÊS],$AE$1,tabela_registros[DIA],investirrendafixaconsolidado2829[[#Headers],[7]],tabela_registros[REGISTRO],DADOS!$N$5,tabela_registros[TIPO],DADOS!$AB$3,tabela_registros[CATEGORIA],investirrendafixaconsolidado2829[[#This Row],[ATUAL]])</f>
        <v>0</v>
      </c>
      <c r="L121" s="176">
        <f>SUMIFS(tabela_registros[VALOR],tabela_registros[MÊS],$AE$1,tabela_registros[DIA],investirrendafixaconsolidado2829[[#Headers],[8]],tabela_registros[REGISTRO],DADOS!$N$5,tabela_registros[TIPO],DADOS!$AB$3,tabela_registros[CATEGORIA],investirrendafixaconsolidado2829[[#This Row],[ATUAL]])</f>
        <v>0</v>
      </c>
      <c r="M121" s="176">
        <f>SUMIFS(tabela_registros[VALOR],tabela_registros[MÊS],$AE$1,tabela_registros[DIA],investirrendafixaconsolidado2829[[#Headers],[9]],tabela_registros[REGISTRO],DADOS!$N$5,tabela_registros[TIPO],DADOS!$AB$3,tabela_registros[CATEGORIA],investirrendafixaconsolidado2829[[#This Row],[ATUAL]])</f>
        <v>0</v>
      </c>
      <c r="N121" s="176">
        <f>SUMIFS(tabela_registros[VALOR],tabela_registros[MÊS],$AE$1,tabela_registros[DIA],investirrendafixaconsolidado2829[[#Headers],[10]],tabela_registros[REGISTRO],DADOS!$N$5,tabela_registros[TIPO],DADOS!$AB$3,tabela_registros[CATEGORIA],investirrendafixaconsolidado2829[[#This Row],[ATUAL]])</f>
        <v>0</v>
      </c>
      <c r="O121" s="176">
        <f>SUMIFS(tabela_registros[VALOR],tabela_registros[MÊS],$AE$1,tabela_registros[DIA],investirrendafixaconsolidado2829[[#Headers],[11]],tabela_registros[REGISTRO],DADOS!$N$5,tabela_registros[TIPO],DADOS!$AB$3,tabela_registros[CATEGORIA],investirrendafixaconsolidado2829[[#This Row],[ATUAL]])</f>
        <v>0</v>
      </c>
      <c r="P121" s="176">
        <f>SUMIFS(tabela_registros[VALOR],tabela_registros[MÊS],$AE$1,tabela_registros[DIA],investirrendafixaconsolidado2829[[#Headers],[12]],tabela_registros[REGISTRO],DADOS!$N$5,tabela_registros[TIPO],DADOS!$AB$3,tabela_registros[CATEGORIA],investirrendafixaconsolidado2829[[#This Row],[ATUAL]])</f>
        <v>0</v>
      </c>
      <c r="Q121" s="176">
        <f>SUMIFS(tabela_registros[VALOR],tabela_registros[MÊS],$AE$1,tabela_registros[DIA],investirrendafixaconsolidado2829[[#Headers],[13]],tabela_registros[REGISTRO],DADOS!$N$5,tabela_registros[TIPO],DADOS!$AB$3,tabela_registros[CATEGORIA],investirrendafixaconsolidado2829[[#This Row],[ATUAL]])</f>
        <v>0</v>
      </c>
      <c r="R121" s="176">
        <f>SUMIFS(tabela_registros[VALOR],tabela_registros[MÊS],$AE$1,tabela_registros[DIA],investirrendafixaconsolidado2829[[#Headers],[14]],tabela_registros[REGISTRO],DADOS!$N$5,tabela_registros[TIPO],DADOS!$AB$3,tabela_registros[CATEGORIA],investirrendafixaconsolidado2829[[#This Row],[ATUAL]])</f>
        <v>0</v>
      </c>
      <c r="S121" s="176">
        <f>SUMIFS(tabela_registros[VALOR],tabela_registros[MÊS],$AE$1,tabela_registros[DIA],investirrendafixaconsolidado2829[[#Headers],[15]],tabela_registros[REGISTRO],DADOS!$N$5,tabela_registros[TIPO],DADOS!$AB$3,tabela_registros[CATEGORIA],investirrendafixaconsolidado2829[[#This Row],[ATUAL]])</f>
        <v>0</v>
      </c>
      <c r="T121" s="176">
        <f>SUMIFS(tabela_registros[VALOR],tabela_registros[MÊS],$AE$1,tabela_registros[DIA],investirrendafixaconsolidado2829[[#Headers],[16]],tabela_registros[REGISTRO],DADOS!$N$5,tabela_registros[TIPO],DADOS!$AB$3,tabela_registros[CATEGORIA],investirrendafixaconsolidado2829[[#This Row],[ATUAL]])</f>
        <v>0</v>
      </c>
      <c r="U121" s="176">
        <f>SUMIFS(tabela_registros[VALOR],tabela_registros[MÊS],$AE$1,tabela_registros[DIA],investirrendafixaconsolidado2829[[#Headers],[17]],tabela_registros[REGISTRO],DADOS!$N$5,tabela_registros[TIPO],DADOS!$AB$3,tabela_registros[CATEGORIA],investirrendafixaconsolidado2829[[#This Row],[ATUAL]])</f>
        <v>0</v>
      </c>
      <c r="V121" s="176">
        <f>SUMIFS(tabela_registros[VALOR],tabela_registros[MÊS],$AE$1,tabela_registros[DIA],investirrendafixaconsolidado2829[[#Headers],[18]],tabela_registros[REGISTRO],DADOS!$N$5,tabela_registros[TIPO],DADOS!$AB$3,tabela_registros[CATEGORIA],investirrendafixaconsolidado2829[[#This Row],[ATUAL]])</f>
        <v>0</v>
      </c>
      <c r="W121" s="176">
        <f>SUMIFS(tabela_registros[VALOR],tabela_registros[MÊS],$AE$1,tabela_registros[DIA],investirrendafixaconsolidado2829[[#Headers],[19]],tabela_registros[REGISTRO],DADOS!$N$5,tabela_registros[TIPO],DADOS!$AB$3,tabela_registros[CATEGORIA],investirrendafixaconsolidado2829[[#This Row],[ATUAL]])</f>
        <v>0</v>
      </c>
      <c r="X121" s="176">
        <f>SUMIFS(tabela_registros[VALOR],tabela_registros[MÊS],$AE$1,tabela_registros[DIA],investirrendafixaconsolidado2829[[#Headers],[20]],tabela_registros[REGISTRO],DADOS!$N$5,tabela_registros[TIPO],DADOS!$AB$3,tabela_registros[CATEGORIA],investirrendafixaconsolidado2829[[#This Row],[ATUAL]])</f>
        <v>0</v>
      </c>
      <c r="Y121" s="176">
        <f>SUMIFS(tabela_registros[VALOR],tabela_registros[MÊS],$AE$1,tabela_registros[DIA],investirrendafixaconsolidado2829[[#Headers],[21]],tabela_registros[REGISTRO],DADOS!$N$5,tabela_registros[TIPO],DADOS!$AB$3,tabela_registros[CATEGORIA],investirrendafixaconsolidado2829[[#This Row],[ATUAL]])</f>
        <v>0</v>
      </c>
      <c r="Z121" s="176">
        <f>SUMIFS(tabela_registros[VALOR],tabela_registros[MÊS],$AE$1,tabela_registros[DIA],investirrendafixaconsolidado2829[[#Headers],[22]],tabela_registros[REGISTRO],DADOS!$N$5,tabela_registros[TIPO],DADOS!$AB$3,tabela_registros[CATEGORIA],investirrendafixaconsolidado2829[[#This Row],[ATUAL]])</f>
        <v>0</v>
      </c>
      <c r="AA121" s="176">
        <f>SUMIFS(tabela_registros[VALOR],tabela_registros[MÊS],$AE$1,tabela_registros[DIA],investirrendafixaconsolidado2829[[#Headers],[23]],tabela_registros[REGISTRO],DADOS!$N$5,tabela_registros[TIPO],DADOS!$AB$3,tabela_registros[CATEGORIA],investirrendafixaconsolidado2829[[#This Row],[ATUAL]])</f>
        <v>0</v>
      </c>
      <c r="AB121" s="176">
        <f>SUMIFS(tabela_registros[VALOR],tabela_registros[MÊS],$AE$1,tabela_registros[DIA],investirrendafixaconsolidado2829[[#Headers],[24]],tabela_registros[REGISTRO],DADOS!$N$5,tabela_registros[TIPO],DADOS!$AB$3,tabela_registros[CATEGORIA],investirrendafixaconsolidado2829[[#This Row],[ATUAL]])</f>
        <v>0</v>
      </c>
      <c r="AC121" s="176">
        <f>SUMIFS(tabela_registros[VALOR],tabela_registros[MÊS],$AE$1,tabela_registros[DIA],investirrendafixaconsolidado2829[[#Headers],[25]],tabela_registros[REGISTRO],DADOS!$N$5,tabela_registros[TIPO],DADOS!$AB$3,tabela_registros[CATEGORIA],investirrendafixaconsolidado2829[[#This Row],[ATUAL]])</f>
        <v>0</v>
      </c>
      <c r="AD121" s="176">
        <f>SUMIFS(tabela_registros[VALOR],tabela_registros[MÊS],$AE$1,tabela_registros[DIA],investirrendafixaconsolidado2829[[#Headers],[26]],tabela_registros[REGISTRO],DADOS!$N$5,tabela_registros[TIPO],DADOS!$AB$3,tabela_registros[CATEGORIA],investirrendafixaconsolidado2829[[#This Row],[ATUAL]])</f>
        <v>0</v>
      </c>
      <c r="AE121" s="176">
        <f>SUMIFS(tabela_registros[VALOR],tabela_registros[MÊS],$AE$1,tabela_registros[DIA],investirrendafixaconsolidado2829[[#Headers],[27]],tabela_registros[REGISTRO],DADOS!$N$5,tabela_registros[TIPO],DADOS!$AB$3,tabela_registros[CATEGORIA],investirrendafixaconsolidado2829[[#This Row],[ATUAL]])</f>
        <v>0</v>
      </c>
      <c r="AF121" s="176">
        <f>SUMIFS(tabela_registros[VALOR],tabela_registros[MÊS],$AE$1,tabela_registros[DIA],investirrendafixaconsolidado2829[[#Headers],[28]],tabela_registros[REGISTRO],DADOS!$N$5,tabela_registros[TIPO],DADOS!$AB$3,tabela_registros[CATEGORIA],investirrendafixaconsolidado2829[[#This Row],[ATUAL]])</f>
        <v>0</v>
      </c>
      <c r="AG121" s="176">
        <f>SUMIFS(tabela_registros[VALOR],tabela_registros[MÊS],$AE$1,tabela_registros[DIA],investirrendafixaconsolidado2829[[#Headers],[29]],tabela_registros[REGISTRO],DADOS!$N$5,tabela_registros[TIPO],DADOS!$AB$3,tabela_registros[CATEGORIA],investirrendafixaconsolidado2829[[#This Row],[ATUAL]])</f>
        <v>0</v>
      </c>
      <c r="AH121" s="176">
        <f>SUMIFS(tabela_registros[VALOR],tabela_registros[MÊS],$AE$1,tabela_registros[DIA],investirrendafixaconsolidado2829[[#Headers],[30]],tabela_registros[REGISTRO],DADOS!$N$5,tabela_registros[TIPO],DADOS!$AB$3,tabela_registros[CATEGORIA],investirrendafixaconsolidado2829[[#This Row],[ATUAL]])</f>
        <v>0</v>
      </c>
      <c r="AI121" s="190">
        <f>SUMIFS(tabela_registros[VALOR],tabela_registros[MÊS],$AE$1,tabela_registros[DIA],investirrendafixaconsolidado2829[[#Headers],[31]],tabela_registros[REGISTRO],DADOS!$N$5,tabela_registros[TIPO],DADOS!$AB$3,tabela_registros[CATEGORIA],investirrendafixaconsolidado2829[[#This Row],[ATUAL]])</f>
        <v>0</v>
      </c>
      <c r="AJ121" s="167">
        <f>SUM(investirrendafixaconsolidado2829[[#This Row],[1]:[31]])</f>
        <v>0</v>
      </c>
      <c r="AK121" s="25"/>
    </row>
    <row r="122" spans="2:37" ht="19.5" customHeight="1" thickTop="1" thickBot="1" x14ac:dyDescent="0.3">
      <c r="B122" s="28"/>
      <c r="C122" s="27" t="str">
        <f>DADOS!$AD$12</f>
        <v>📎 OUTROS</v>
      </c>
      <c r="D122" s="26" t="str">
        <f>IF(investirrendafixaconsolidado2829[[#This Row],[TOTAL (R$)]]=0,"",IF(OR(investirrendafixaconsolidado2829[[#This Row],[TOTAL (R$)]]=LARGE($AJ$113:$AJ$122,1),investirrendafixaconsolidado2829[[#This Row],[TOTAL (R$)]]=LARGE($AJ$113:$AJ$122,2)),DADOS!$I$10,""))</f>
        <v/>
      </c>
      <c r="E122" s="189">
        <f>SUMIFS(tabela_registros[VALOR],tabela_registros[MÊS],$AE$1,tabela_registros[DIA],investirrendafixaconsolidado2829[[#Headers],[1]],tabela_registros[REGISTRO],DADOS!$N$5,tabela_registros[TIPO],DADOS!$AB$3,tabela_registros[CATEGORIA],investirrendafixaconsolidado2829[[#This Row],[ATUAL]])</f>
        <v>0</v>
      </c>
      <c r="F122" s="176">
        <f>SUMIFS(tabela_registros[VALOR],tabela_registros[MÊS],$AE$1,tabela_registros[DIA],investirrendafixaconsolidado2829[[#Headers],[2]],tabela_registros[REGISTRO],DADOS!$N$5,tabela_registros[TIPO],DADOS!$AB$3,tabela_registros[CATEGORIA],investirrendafixaconsolidado2829[[#This Row],[ATUAL]])</f>
        <v>0</v>
      </c>
      <c r="G122" s="176">
        <f>SUMIFS(tabela_registros[VALOR],tabela_registros[MÊS],$AE$1,tabela_registros[DIA],investirrendafixaconsolidado2829[[#Headers],[3]],tabela_registros[REGISTRO],DADOS!$N$5,tabela_registros[TIPO],DADOS!$AB$3,tabela_registros[CATEGORIA],investirrendafixaconsolidado2829[[#This Row],[ATUAL]])</f>
        <v>0</v>
      </c>
      <c r="H122" s="176">
        <f>SUMIFS(tabela_registros[VALOR],tabela_registros[MÊS],$AE$1,tabela_registros[DIA],investirrendafixaconsolidado2829[[#Headers],[4]],tabela_registros[REGISTRO],DADOS!$N$5,tabela_registros[TIPO],DADOS!$AB$3,tabela_registros[CATEGORIA],investirrendafixaconsolidado2829[[#This Row],[ATUAL]])</f>
        <v>0</v>
      </c>
      <c r="I122" s="176">
        <f>SUMIFS(tabela_registros[VALOR],tabela_registros[MÊS],$AE$1,tabela_registros[DIA],investirrendafixaconsolidado2829[[#Headers],[5]],tabela_registros[REGISTRO],DADOS!$N$5,tabela_registros[TIPO],DADOS!$AB$3,tabela_registros[CATEGORIA],investirrendafixaconsolidado2829[[#This Row],[ATUAL]])</f>
        <v>0</v>
      </c>
      <c r="J122" s="176">
        <f>SUMIFS(tabela_registros[VALOR],tabela_registros[MÊS],$AE$1,tabela_registros[DIA],investirrendafixaconsolidado2829[[#Headers],[6]],tabela_registros[REGISTRO],DADOS!$N$5,tabela_registros[TIPO],DADOS!$AB$3,tabela_registros[CATEGORIA],investirrendafixaconsolidado2829[[#This Row],[ATUAL]])</f>
        <v>0</v>
      </c>
      <c r="K122" s="176">
        <f>SUMIFS(tabela_registros[VALOR],tabela_registros[MÊS],$AE$1,tabela_registros[DIA],investirrendafixaconsolidado2829[[#Headers],[7]],tabela_registros[REGISTRO],DADOS!$N$5,tabela_registros[TIPO],DADOS!$AB$3,tabela_registros[CATEGORIA],investirrendafixaconsolidado2829[[#This Row],[ATUAL]])</f>
        <v>0</v>
      </c>
      <c r="L122" s="176">
        <f>SUMIFS(tabela_registros[VALOR],tabela_registros[MÊS],$AE$1,tabela_registros[DIA],investirrendafixaconsolidado2829[[#Headers],[8]],tabela_registros[REGISTRO],DADOS!$N$5,tabela_registros[TIPO],DADOS!$AB$3,tabela_registros[CATEGORIA],investirrendafixaconsolidado2829[[#This Row],[ATUAL]])</f>
        <v>0</v>
      </c>
      <c r="M122" s="176">
        <f>SUMIFS(tabela_registros[VALOR],tabela_registros[MÊS],$AE$1,tabela_registros[DIA],investirrendafixaconsolidado2829[[#Headers],[9]],tabela_registros[REGISTRO],DADOS!$N$5,tabela_registros[TIPO],DADOS!$AB$3,tabela_registros[CATEGORIA],investirrendafixaconsolidado2829[[#This Row],[ATUAL]])</f>
        <v>0</v>
      </c>
      <c r="N122" s="176">
        <f>SUMIFS(tabela_registros[VALOR],tabela_registros[MÊS],$AE$1,tabela_registros[DIA],investirrendafixaconsolidado2829[[#Headers],[10]],tabela_registros[REGISTRO],DADOS!$N$5,tabela_registros[TIPO],DADOS!$AB$3,tabela_registros[CATEGORIA],investirrendafixaconsolidado2829[[#This Row],[ATUAL]])</f>
        <v>0</v>
      </c>
      <c r="O122" s="176">
        <f>SUMIFS(tabela_registros[VALOR],tabela_registros[MÊS],$AE$1,tabela_registros[DIA],investirrendafixaconsolidado2829[[#Headers],[11]],tabela_registros[REGISTRO],DADOS!$N$5,tabela_registros[TIPO],DADOS!$AB$3,tabela_registros[CATEGORIA],investirrendafixaconsolidado2829[[#This Row],[ATUAL]])</f>
        <v>0</v>
      </c>
      <c r="P122" s="176">
        <f>SUMIFS(tabela_registros[VALOR],tabela_registros[MÊS],$AE$1,tabela_registros[DIA],investirrendafixaconsolidado2829[[#Headers],[12]],tabela_registros[REGISTRO],DADOS!$N$5,tabela_registros[TIPO],DADOS!$AB$3,tabela_registros[CATEGORIA],investirrendafixaconsolidado2829[[#This Row],[ATUAL]])</f>
        <v>0</v>
      </c>
      <c r="Q122" s="176">
        <f>SUMIFS(tabela_registros[VALOR],tabela_registros[MÊS],$AE$1,tabela_registros[DIA],investirrendafixaconsolidado2829[[#Headers],[13]],tabela_registros[REGISTRO],DADOS!$N$5,tabela_registros[TIPO],DADOS!$AB$3,tabela_registros[CATEGORIA],investirrendafixaconsolidado2829[[#This Row],[ATUAL]])</f>
        <v>0</v>
      </c>
      <c r="R122" s="176">
        <f>SUMIFS(tabela_registros[VALOR],tabela_registros[MÊS],$AE$1,tabela_registros[DIA],investirrendafixaconsolidado2829[[#Headers],[14]],tabela_registros[REGISTRO],DADOS!$N$5,tabela_registros[TIPO],DADOS!$AB$3,tabela_registros[CATEGORIA],investirrendafixaconsolidado2829[[#This Row],[ATUAL]])</f>
        <v>0</v>
      </c>
      <c r="S122" s="176">
        <f>SUMIFS(tabela_registros[VALOR],tabela_registros[MÊS],$AE$1,tabela_registros[DIA],investirrendafixaconsolidado2829[[#Headers],[15]],tabela_registros[REGISTRO],DADOS!$N$5,tabela_registros[TIPO],DADOS!$AB$3,tabela_registros[CATEGORIA],investirrendafixaconsolidado2829[[#This Row],[ATUAL]])</f>
        <v>0</v>
      </c>
      <c r="T122" s="176">
        <f>SUMIFS(tabela_registros[VALOR],tabela_registros[MÊS],$AE$1,tabela_registros[DIA],investirrendafixaconsolidado2829[[#Headers],[16]],tabela_registros[REGISTRO],DADOS!$N$5,tabela_registros[TIPO],DADOS!$AB$3,tabela_registros[CATEGORIA],investirrendafixaconsolidado2829[[#This Row],[ATUAL]])</f>
        <v>0</v>
      </c>
      <c r="U122" s="176">
        <f>SUMIFS(tabela_registros[VALOR],tabela_registros[MÊS],$AE$1,tabela_registros[DIA],investirrendafixaconsolidado2829[[#Headers],[17]],tabela_registros[REGISTRO],DADOS!$N$5,tabela_registros[TIPO],DADOS!$AB$3,tabela_registros[CATEGORIA],investirrendafixaconsolidado2829[[#This Row],[ATUAL]])</f>
        <v>0</v>
      </c>
      <c r="V122" s="176">
        <f>SUMIFS(tabela_registros[VALOR],tabela_registros[MÊS],$AE$1,tabela_registros[DIA],investirrendafixaconsolidado2829[[#Headers],[18]],tabela_registros[REGISTRO],DADOS!$N$5,tabela_registros[TIPO],DADOS!$AB$3,tabela_registros[CATEGORIA],investirrendafixaconsolidado2829[[#This Row],[ATUAL]])</f>
        <v>0</v>
      </c>
      <c r="W122" s="176">
        <f>SUMIFS(tabela_registros[VALOR],tabela_registros[MÊS],$AE$1,tabela_registros[DIA],investirrendafixaconsolidado2829[[#Headers],[19]],tabela_registros[REGISTRO],DADOS!$N$5,tabela_registros[TIPO],DADOS!$AB$3,tabela_registros[CATEGORIA],investirrendafixaconsolidado2829[[#This Row],[ATUAL]])</f>
        <v>0</v>
      </c>
      <c r="X122" s="176">
        <f>SUMIFS(tabela_registros[VALOR],tabela_registros[MÊS],$AE$1,tabela_registros[DIA],investirrendafixaconsolidado2829[[#Headers],[20]],tabela_registros[REGISTRO],DADOS!$N$5,tabela_registros[TIPO],DADOS!$AB$3,tabela_registros[CATEGORIA],investirrendafixaconsolidado2829[[#This Row],[ATUAL]])</f>
        <v>0</v>
      </c>
      <c r="Y122" s="176">
        <f>SUMIFS(tabela_registros[VALOR],tabela_registros[MÊS],$AE$1,tabela_registros[DIA],investirrendafixaconsolidado2829[[#Headers],[21]],tabela_registros[REGISTRO],DADOS!$N$5,tabela_registros[TIPO],DADOS!$AB$3,tabela_registros[CATEGORIA],investirrendafixaconsolidado2829[[#This Row],[ATUAL]])</f>
        <v>0</v>
      </c>
      <c r="Z122" s="176">
        <f>SUMIFS(tabela_registros[VALOR],tabela_registros[MÊS],$AE$1,tabela_registros[DIA],investirrendafixaconsolidado2829[[#Headers],[22]],tabela_registros[REGISTRO],DADOS!$N$5,tabela_registros[TIPO],DADOS!$AB$3,tabela_registros[CATEGORIA],investirrendafixaconsolidado2829[[#This Row],[ATUAL]])</f>
        <v>0</v>
      </c>
      <c r="AA122" s="176">
        <f>SUMIFS(tabela_registros[VALOR],tabela_registros[MÊS],$AE$1,tabela_registros[DIA],investirrendafixaconsolidado2829[[#Headers],[23]],tabela_registros[REGISTRO],DADOS!$N$5,tabela_registros[TIPO],DADOS!$AB$3,tabela_registros[CATEGORIA],investirrendafixaconsolidado2829[[#This Row],[ATUAL]])</f>
        <v>0</v>
      </c>
      <c r="AB122" s="176">
        <f>SUMIFS(tabela_registros[VALOR],tabela_registros[MÊS],$AE$1,tabela_registros[DIA],investirrendafixaconsolidado2829[[#Headers],[24]],tabela_registros[REGISTRO],DADOS!$N$5,tabela_registros[TIPO],DADOS!$AB$3,tabela_registros[CATEGORIA],investirrendafixaconsolidado2829[[#This Row],[ATUAL]])</f>
        <v>0</v>
      </c>
      <c r="AC122" s="176">
        <f>SUMIFS(tabela_registros[VALOR],tabela_registros[MÊS],$AE$1,tabela_registros[DIA],investirrendafixaconsolidado2829[[#Headers],[25]],tabela_registros[REGISTRO],DADOS!$N$5,tabela_registros[TIPO],DADOS!$AB$3,tabela_registros[CATEGORIA],investirrendafixaconsolidado2829[[#This Row],[ATUAL]])</f>
        <v>0</v>
      </c>
      <c r="AD122" s="176">
        <f>SUMIFS(tabela_registros[VALOR],tabela_registros[MÊS],$AE$1,tabela_registros[DIA],investirrendafixaconsolidado2829[[#Headers],[26]],tabela_registros[REGISTRO],DADOS!$N$5,tabela_registros[TIPO],DADOS!$AB$3,tabela_registros[CATEGORIA],investirrendafixaconsolidado2829[[#This Row],[ATUAL]])</f>
        <v>0</v>
      </c>
      <c r="AE122" s="176">
        <f>SUMIFS(tabela_registros[VALOR],tabela_registros[MÊS],$AE$1,tabela_registros[DIA],investirrendafixaconsolidado2829[[#Headers],[27]],tabela_registros[REGISTRO],DADOS!$N$5,tabela_registros[TIPO],DADOS!$AB$3,tabela_registros[CATEGORIA],investirrendafixaconsolidado2829[[#This Row],[ATUAL]])</f>
        <v>0</v>
      </c>
      <c r="AF122" s="176">
        <f>SUMIFS(tabela_registros[VALOR],tabela_registros[MÊS],$AE$1,tabela_registros[DIA],investirrendafixaconsolidado2829[[#Headers],[28]],tabela_registros[REGISTRO],DADOS!$N$5,tabela_registros[TIPO],DADOS!$AB$3,tabela_registros[CATEGORIA],investirrendafixaconsolidado2829[[#This Row],[ATUAL]])</f>
        <v>0</v>
      </c>
      <c r="AG122" s="176">
        <f>SUMIFS(tabela_registros[VALOR],tabela_registros[MÊS],$AE$1,tabela_registros[DIA],investirrendafixaconsolidado2829[[#Headers],[29]],tabela_registros[REGISTRO],DADOS!$N$5,tabela_registros[TIPO],DADOS!$AB$3,tabela_registros[CATEGORIA],investirrendafixaconsolidado2829[[#This Row],[ATUAL]])</f>
        <v>0</v>
      </c>
      <c r="AH122" s="176">
        <f>SUMIFS(tabela_registros[VALOR],tabela_registros[MÊS],$AE$1,tabela_registros[DIA],investirrendafixaconsolidado2829[[#Headers],[30]],tabela_registros[REGISTRO],DADOS!$N$5,tabela_registros[TIPO],DADOS!$AB$3,tabela_registros[CATEGORIA],investirrendafixaconsolidado2829[[#This Row],[ATUAL]])</f>
        <v>0</v>
      </c>
      <c r="AI122" s="193">
        <f>SUMIFS(tabela_registros[VALOR],tabela_registros[MÊS],$AE$1,tabela_registros[DIA],investirrendafixaconsolidado2829[[#Headers],[31]],tabela_registros[REGISTRO],DADOS!$N$5,tabela_registros[TIPO],DADOS!$AB$3,tabela_registros[CATEGORIA],investirrendafixaconsolidado2829[[#This Row],[ATUAL]])</f>
        <v>0</v>
      </c>
      <c r="AJ122" s="167">
        <f>SUM(investirrendafixaconsolidado2829[[#This Row],[1]:[31]])</f>
        <v>0</v>
      </c>
      <c r="AK122" s="25"/>
    </row>
    <row r="123" spans="2:37" s="16" customFormat="1" ht="21" customHeight="1" thickTop="1" thickBot="1" x14ac:dyDescent="0.35">
      <c r="B123" s="24"/>
      <c r="C123" s="23" t="s">
        <v>19</v>
      </c>
      <c r="D123" s="22"/>
      <c r="E123" s="195">
        <f>SUM(E113:E122)</f>
        <v>0</v>
      </c>
      <c r="F123" s="196">
        <f>SUM(F113:F122)+investirrendafixaconsolidado2829[[#This Row],[1]]</f>
        <v>254</v>
      </c>
      <c r="G123" s="196">
        <f>SUM(G113:G122)+investirrendafixaconsolidado2829[[#This Row],[2]]</f>
        <v>254</v>
      </c>
      <c r="H123" s="196">
        <f>SUM(H113:H122)+investirrendafixaconsolidado2829[[#This Row],[3]]</f>
        <v>254</v>
      </c>
      <c r="I123" s="196">
        <f>SUM(I113:I122)+investirrendafixaconsolidado2829[[#This Row],[4]]</f>
        <v>254</v>
      </c>
      <c r="J123" s="196">
        <f>SUM(J113:J122)+investirrendafixaconsolidado2829[[#This Row],[5]]</f>
        <v>254</v>
      </c>
      <c r="K123" s="196">
        <f>SUM(K113:K122)+investirrendafixaconsolidado2829[[#This Row],[6]]</f>
        <v>254</v>
      </c>
      <c r="L123" s="196">
        <f>SUM(L113:L122)+investirrendafixaconsolidado2829[[#This Row],[7]]</f>
        <v>254</v>
      </c>
      <c r="M123" s="196">
        <f>SUM(M113:M122)+investirrendafixaconsolidado2829[[#This Row],[8]]</f>
        <v>254</v>
      </c>
      <c r="N123" s="196">
        <f>SUM(N113:N122)+investirrendafixaconsolidado2829[[#This Row],[9]]</f>
        <v>254</v>
      </c>
      <c r="O123" s="196">
        <f>SUM(O113:O122)+investirrendafixaconsolidado2829[[#This Row],[10]]</f>
        <v>254</v>
      </c>
      <c r="P123" s="196">
        <f>SUM(P113:P122)+investirrendafixaconsolidado2829[[#This Row],[11]]</f>
        <v>254</v>
      </c>
      <c r="Q123" s="196">
        <f>SUM(Q113:Q122)+investirrendafixaconsolidado2829[[#This Row],[12]]</f>
        <v>254</v>
      </c>
      <c r="R123" s="196">
        <f>SUM(R113:R122)+investirrendafixaconsolidado2829[[#This Row],[13]]</f>
        <v>254</v>
      </c>
      <c r="S123" s="196">
        <f>SUM(S113:S122)+investirrendafixaconsolidado2829[[#This Row],[14]]</f>
        <v>254</v>
      </c>
      <c r="T123" s="196">
        <f>SUM(T113:T122)+investirrendafixaconsolidado2829[[#This Row],[15]]</f>
        <v>254</v>
      </c>
      <c r="U123" s="196">
        <f>SUM(U113:U122)+investirrendafixaconsolidado2829[[#This Row],[16]]</f>
        <v>254</v>
      </c>
      <c r="V123" s="196">
        <f>SUM(V113:V122)+investirrendafixaconsolidado2829[[#This Row],[17]]</f>
        <v>254</v>
      </c>
      <c r="W123" s="196">
        <f>SUM(W113:W122)+investirrendafixaconsolidado2829[[#This Row],[18]]</f>
        <v>254</v>
      </c>
      <c r="X123" s="196">
        <f>SUM(X113:X122)+investirrendafixaconsolidado2829[[#This Row],[19]]</f>
        <v>254</v>
      </c>
      <c r="Y123" s="196">
        <f>SUM(Y113:Y122)+investirrendafixaconsolidado2829[[#This Row],[20]]</f>
        <v>254</v>
      </c>
      <c r="Z123" s="196">
        <f>SUM(Z113:Z122)+investirrendafixaconsolidado2829[[#This Row],[21]]</f>
        <v>254</v>
      </c>
      <c r="AA123" s="196">
        <f>SUM(AA113:AA122)+investirrendafixaconsolidado2829[[#This Row],[22]]</f>
        <v>288.21428571428561</v>
      </c>
      <c r="AB123" s="196">
        <f>SUM(AB113:AB122)+investirrendafixaconsolidado2829[[#This Row],[23]]</f>
        <v>288.21428571428561</v>
      </c>
      <c r="AC123" s="196">
        <f>SUM(AC113:AC122)+investirrendafixaconsolidado2829[[#This Row],[24]]</f>
        <v>288.21428571428561</v>
      </c>
      <c r="AD123" s="196">
        <f>SUM(AD113:AD122)+investirrendafixaconsolidado2829[[#This Row],[25]]</f>
        <v>288.21428571428561</v>
      </c>
      <c r="AE123" s="196">
        <f>SUM(AE113:AE122)+investirrendafixaconsolidado2829[[#This Row],[26]]</f>
        <v>288.21428571428561</v>
      </c>
      <c r="AF123" s="196">
        <f>SUM(AF113:AF122)+investirrendafixaconsolidado2829[[#This Row],[27]]</f>
        <v>288.21428571428561</v>
      </c>
      <c r="AG123" s="196">
        <f>SUM(AG113:AG122)+investirrendafixaconsolidado2829[[#This Row],[28]]</f>
        <v>288.21428571428561</v>
      </c>
      <c r="AH123" s="196">
        <f>SUM(AH113:AH122)+investirrendafixaconsolidado2829[[#This Row],[29]]</f>
        <v>288.21428571428561</v>
      </c>
      <c r="AI123" s="197">
        <f>SUM(AI113:AI122)+investirrendafixaconsolidado2829[[#This Row],[30]]</f>
        <v>288.21428571428561</v>
      </c>
      <c r="AJ123" s="168">
        <f>investirrendafixaconsolidado2829[[#This Row],[31]]</f>
        <v>288.21428571428561</v>
      </c>
      <c r="AK123" s="17"/>
    </row>
    <row r="124" spans="2:37" ht="6.75" customHeight="1" thickTop="1" thickBot="1" x14ac:dyDescent="0.3">
      <c r="B124" s="15"/>
      <c r="C124" s="14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  <c r="AI124" s="200"/>
      <c r="AJ124" s="11"/>
      <c r="AK124" s="10"/>
    </row>
    <row r="125" spans="2:37" ht="12.6" thickTop="1" x14ac:dyDescent="0.25">
      <c r="E125" s="37"/>
      <c r="AI125" s="4"/>
    </row>
    <row r="126" spans="2:37" x14ac:dyDescent="0.25">
      <c r="AI126" s="4"/>
    </row>
    <row r="127" spans="2:37" x14ac:dyDescent="0.25">
      <c r="AI127" s="4"/>
    </row>
    <row r="128" spans="2:37" ht="39.75" customHeight="1" x14ac:dyDescent="0.7">
      <c r="C128" s="36"/>
      <c r="E128" s="240"/>
      <c r="F128" s="240"/>
      <c r="G128" s="240"/>
      <c r="H128" s="240"/>
      <c r="I128" s="240"/>
      <c r="J128" s="240"/>
      <c r="K128" s="240"/>
      <c r="L128" s="240"/>
      <c r="M128" s="240"/>
      <c r="N128" s="240"/>
      <c r="O128" s="240"/>
      <c r="P128" s="240"/>
      <c r="Q128" s="240"/>
      <c r="R128" s="240"/>
      <c r="S128" s="240"/>
      <c r="T128" s="240"/>
      <c r="U128" s="240"/>
      <c r="V128" s="240"/>
      <c r="W128" s="240"/>
      <c r="X128" s="240"/>
      <c r="Y128" s="240"/>
      <c r="Z128" s="240"/>
      <c r="AA128" s="240"/>
      <c r="AB128" s="240"/>
      <c r="AC128" s="240"/>
      <c r="AD128" s="240"/>
      <c r="AE128" s="240"/>
      <c r="AF128" s="240"/>
      <c r="AG128" s="240"/>
      <c r="AH128" s="240"/>
      <c r="AI128" s="240"/>
      <c r="AJ128" s="169" t="s">
        <v>19</v>
      </c>
    </row>
    <row r="129" spans="2:37" ht="12.6" thickBot="1" x14ac:dyDescent="0.3">
      <c r="B129" s="35"/>
      <c r="AI129" s="4"/>
      <c r="AJ129" s="170" t="s">
        <v>202</v>
      </c>
    </row>
    <row r="130" spans="2:37" ht="6.75" customHeight="1" thickTop="1" thickBot="1" x14ac:dyDescent="0.3">
      <c r="B130" s="2"/>
      <c r="C130" s="14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  <c r="AA130" s="13"/>
      <c r="AB130" s="13"/>
      <c r="AC130" s="13"/>
      <c r="AD130" s="13"/>
      <c r="AE130" s="13"/>
      <c r="AF130" s="13"/>
      <c r="AG130" s="13"/>
      <c r="AH130" s="13"/>
      <c r="AI130" s="13"/>
      <c r="AJ130" s="200"/>
      <c r="AK130" s="33"/>
    </row>
    <row r="131" spans="2:37" ht="13.2" hidden="1" thickTop="1" thickBot="1" x14ac:dyDescent="0.3">
      <c r="B131" s="2"/>
      <c r="C131" s="31" t="s">
        <v>199</v>
      </c>
      <c r="D131" s="30" t="s">
        <v>198</v>
      </c>
      <c r="E131" s="30" t="s">
        <v>197</v>
      </c>
      <c r="F131" s="30" t="s">
        <v>196</v>
      </c>
      <c r="G131" s="30" t="s">
        <v>195</v>
      </c>
      <c r="H131" s="30" t="s">
        <v>194</v>
      </c>
      <c r="I131" s="30" t="s">
        <v>193</v>
      </c>
      <c r="J131" s="30" t="s">
        <v>192</v>
      </c>
      <c r="K131" s="30" t="s">
        <v>191</v>
      </c>
      <c r="L131" s="30" t="s">
        <v>190</v>
      </c>
      <c r="M131" s="30" t="s">
        <v>189</v>
      </c>
      <c r="N131" s="30" t="s">
        <v>188</v>
      </c>
      <c r="O131" s="30" t="s">
        <v>187</v>
      </c>
      <c r="P131" s="30" t="s">
        <v>186</v>
      </c>
      <c r="Q131" s="30" t="s">
        <v>185</v>
      </c>
      <c r="R131" s="30" t="s">
        <v>184</v>
      </c>
      <c r="S131" s="30" t="s">
        <v>183</v>
      </c>
      <c r="T131" s="30" t="s">
        <v>182</v>
      </c>
      <c r="U131" s="30" t="s">
        <v>181</v>
      </c>
      <c r="V131" s="30" t="s">
        <v>180</v>
      </c>
      <c r="W131" s="30" t="s">
        <v>179</v>
      </c>
      <c r="X131" s="30" t="s">
        <v>178</v>
      </c>
      <c r="Y131" s="30" t="s">
        <v>177</v>
      </c>
      <c r="Z131" s="30" t="s">
        <v>176</v>
      </c>
      <c r="AA131" s="30" t="s">
        <v>175</v>
      </c>
      <c r="AB131" s="30" t="s">
        <v>174</v>
      </c>
      <c r="AC131" s="30" t="s">
        <v>173</v>
      </c>
      <c r="AD131" s="30" t="s">
        <v>172</v>
      </c>
      <c r="AE131" s="30" t="s">
        <v>171</v>
      </c>
      <c r="AF131" s="30" t="s">
        <v>170</v>
      </c>
      <c r="AG131" s="30" t="s">
        <v>169</v>
      </c>
      <c r="AH131" s="30" t="s">
        <v>168</v>
      </c>
      <c r="AI131" s="30" t="s">
        <v>167</v>
      </c>
      <c r="AJ131" s="172" t="s">
        <v>166</v>
      </c>
      <c r="AK131" s="2"/>
    </row>
    <row r="132" spans="2:37" ht="19.5" customHeight="1" thickTop="1" thickBot="1" x14ac:dyDescent="0.3">
      <c r="B132" s="28"/>
      <c r="C132" s="27" t="str">
        <f>DADOS!$AF$3</f>
        <v>📝 AÇÃO</v>
      </c>
      <c r="D132" s="26" t="str">
        <f>IF(investirrendavariávelconsolidado282931[[#This Row],[TOTAL (R$)]]=0,"",IF(OR(investirrendavariávelconsolidado282931[[#This Row],[TOTAL (R$)]]=LARGE($AJ$132:$AJ$141,1),investirrendavariávelconsolidado282931[[#This Row],[TOTAL (R$)]]=LARGE($AJ$132:$AJ$141,2)),DADOS!$I$10,""))</f>
        <v/>
      </c>
      <c r="E132" s="189">
        <f>SUMIFS(tabela_registros[VALOR],tabela_registros[MÊS],$AE$1,tabela_registros[DIA],investirrendavariávelconsolidado282931[[#Headers],[1]],tabela_registros[REGISTRO],DADOS!$N$5,tabela_registros[TIPO],DADOS!$AB$4,tabela_registros[CATEGORIA],investirrendavariávelconsolidado282931[[#This Row],[ATUAL]])</f>
        <v>0</v>
      </c>
      <c r="F132" s="176">
        <f>SUMIFS(tabela_registros[VALOR],tabela_registros[MÊS],$AE$1,tabela_registros[DIA],investirrendavariávelconsolidado282931[[#Headers],[2]],tabela_registros[REGISTRO],DADOS!$N$5,tabela_registros[TIPO],DADOS!$AB$4,tabela_registros[CATEGORIA],investirrendavariávelconsolidado282931[[#This Row],[ATUAL]])</f>
        <v>0</v>
      </c>
      <c r="G132" s="176">
        <f>SUMIFS(tabela_registros[VALOR],tabela_registros[MÊS],$AE$1,tabela_registros[DIA],investirrendavariávelconsolidado282931[[#Headers],[3]],tabela_registros[REGISTRO],DADOS!$N$5,tabela_registros[TIPO],DADOS!$AB$4,tabela_registros[CATEGORIA],investirrendavariávelconsolidado282931[[#This Row],[ATUAL]])</f>
        <v>0</v>
      </c>
      <c r="H132" s="176">
        <f>SUMIFS(tabela_registros[VALOR],tabela_registros[MÊS],$AE$1,tabela_registros[DIA],investirrendavariávelconsolidado282931[[#Headers],[4]],tabela_registros[REGISTRO],DADOS!$N$5,tabela_registros[TIPO],DADOS!$AB$4,tabela_registros[CATEGORIA],investirrendavariávelconsolidado282931[[#This Row],[ATUAL]])</f>
        <v>0</v>
      </c>
      <c r="I132" s="176">
        <f>SUMIFS(tabela_registros[VALOR],tabela_registros[MÊS],$AE$1,tabela_registros[DIA],investirrendavariávelconsolidado282931[[#Headers],[5]],tabela_registros[REGISTRO],DADOS!$N$5,tabela_registros[TIPO],DADOS!$AB$4,tabela_registros[CATEGORIA],investirrendavariávelconsolidado282931[[#This Row],[ATUAL]])</f>
        <v>0</v>
      </c>
      <c r="J132" s="176">
        <f>SUMIFS(tabela_registros[VALOR],tabela_registros[MÊS],$AE$1,tabela_registros[DIA],investirrendavariávelconsolidado282931[[#Headers],[6]],tabela_registros[REGISTRO],DADOS!$N$5,tabela_registros[TIPO],DADOS!$AB$4,tabela_registros[CATEGORIA],investirrendavariávelconsolidado282931[[#This Row],[ATUAL]])</f>
        <v>0</v>
      </c>
      <c r="K132" s="176">
        <f>SUMIFS(tabela_registros[VALOR],tabela_registros[MÊS],$AE$1,tabela_registros[DIA],investirrendavariávelconsolidado282931[[#Headers],[7]],tabela_registros[REGISTRO],DADOS!$N$5,tabela_registros[TIPO],DADOS!$AB$4,tabela_registros[CATEGORIA],investirrendavariávelconsolidado282931[[#This Row],[ATUAL]])</f>
        <v>0</v>
      </c>
      <c r="L132" s="176">
        <f>SUMIFS(tabela_registros[VALOR],tabela_registros[MÊS],$AE$1,tabela_registros[DIA],investirrendavariávelconsolidado282931[[#Headers],[8]],tabela_registros[REGISTRO],DADOS!$N$5,tabela_registros[TIPO],DADOS!$AB$4,tabela_registros[CATEGORIA],investirrendavariávelconsolidado282931[[#This Row],[ATUAL]])</f>
        <v>0</v>
      </c>
      <c r="M132" s="176">
        <f>SUMIFS(tabela_registros[VALOR],tabela_registros[MÊS],$AE$1,tabela_registros[DIA],investirrendavariávelconsolidado282931[[#Headers],[9]],tabela_registros[REGISTRO],DADOS!$N$5,tabela_registros[TIPO],DADOS!$AB$4,tabela_registros[CATEGORIA],investirrendavariávelconsolidado282931[[#This Row],[ATUAL]])</f>
        <v>0</v>
      </c>
      <c r="N132" s="176">
        <f>SUMIFS(tabela_registros[VALOR],tabela_registros[MÊS],$AE$1,tabela_registros[DIA],investirrendavariávelconsolidado282931[[#Headers],[10]],tabela_registros[REGISTRO],DADOS!$N$5,tabela_registros[TIPO],DADOS!$AB$4,tabela_registros[CATEGORIA],investirrendavariávelconsolidado282931[[#This Row],[ATUAL]])</f>
        <v>0</v>
      </c>
      <c r="O132" s="176">
        <f>SUMIFS(tabela_registros[VALOR],tabela_registros[MÊS],$AE$1,tabela_registros[DIA],investirrendavariávelconsolidado282931[[#Headers],[11]],tabela_registros[REGISTRO],DADOS!$N$5,tabela_registros[TIPO],DADOS!$AB$4,tabela_registros[CATEGORIA],investirrendavariávelconsolidado282931[[#This Row],[ATUAL]])</f>
        <v>0</v>
      </c>
      <c r="P132" s="176">
        <f>SUMIFS(tabela_registros[VALOR],tabela_registros[MÊS],$AE$1,tabela_registros[DIA],investirrendavariávelconsolidado282931[[#Headers],[12]],tabela_registros[REGISTRO],DADOS!$N$5,tabela_registros[TIPO],DADOS!$AB$4,tabela_registros[CATEGORIA],investirrendavariávelconsolidado282931[[#This Row],[ATUAL]])</f>
        <v>0</v>
      </c>
      <c r="Q132" s="176">
        <f>SUMIFS(tabela_registros[VALOR],tabela_registros[MÊS],$AE$1,tabela_registros[DIA],investirrendavariávelconsolidado282931[[#Headers],[13]],tabela_registros[REGISTRO],DADOS!$N$5,tabela_registros[TIPO],DADOS!$AB$4,tabela_registros[CATEGORIA],investirrendavariávelconsolidado282931[[#This Row],[ATUAL]])</f>
        <v>0</v>
      </c>
      <c r="R132" s="176">
        <f>SUMIFS(tabela_registros[VALOR],tabela_registros[MÊS],$AE$1,tabela_registros[DIA],investirrendavariávelconsolidado282931[[#Headers],[14]],tabela_registros[REGISTRO],DADOS!$N$5,tabela_registros[TIPO],DADOS!$AB$4,tabela_registros[CATEGORIA],investirrendavariávelconsolidado282931[[#This Row],[ATUAL]])</f>
        <v>0</v>
      </c>
      <c r="S132" s="176">
        <f>SUMIFS(tabela_registros[VALOR],tabela_registros[MÊS],$AE$1,tabela_registros[DIA],investirrendavariávelconsolidado282931[[#Headers],[15]],tabela_registros[REGISTRO],DADOS!$N$5,tabela_registros[TIPO],DADOS!$AB$4,tabela_registros[CATEGORIA],investirrendavariávelconsolidado282931[[#This Row],[ATUAL]])</f>
        <v>0</v>
      </c>
      <c r="T132" s="176">
        <f>SUMIFS(tabela_registros[VALOR],tabela_registros[MÊS],$AE$1,tabela_registros[DIA],investirrendavariávelconsolidado282931[[#Headers],[16]],tabela_registros[REGISTRO],DADOS!$N$5,tabela_registros[TIPO],DADOS!$AB$4,tabela_registros[CATEGORIA],investirrendavariávelconsolidado282931[[#This Row],[ATUAL]])</f>
        <v>0</v>
      </c>
      <c r="U132" s="176">
        <f>SUMIFS(tabela_registros[VALOR],tabela_registros[MÊS],$AE$1,tabela_registros[DIA],investirrendavariávelconsolidado282931[[#Headers],[17]],tabela_registros[REGISTRO],DADOS!$N$5,tabela_registros[TIPO],DADOS!$AB$4,tabela_registros[CATEGORIA],investirrendavariávelconsolidado282931[[#This Row],[ATUAL]])</f>
        <v>0</v>
      </c>
      <c r="V132" s="176">
        <f>SUMIFS(tabela_registros[VALOR],tabela_registros[MÊS],$AE$1,tabela_registros[DIA],investirrendavariávelconsolidado282931[[#Headers],[18]],tabela_registros[REGISTRO],DADOS!$N$5,tabela_registros[TIPO],DADOS!$AB$4,tabela_registros[CATEGORIA],investirrendavariávelconsolidado282931[[#This Row],[ATUAL]])</f>
        <v>0</v>
      </c>
      <c r="W132" s="176">
        <f>SUMIFS(tabela_registros[VALOR],tabela_registros[MÊS],$AE$1,tabela_registros[DIA],investirrendavariávelconsolidado282931[[#Headers],[19]],tabela_registros[REGISTRO],DADOS!$N$5,tabela_registros[TIPO],DADOS!$AB$4,tabela_registros[CATEGORIA],investirrendavariávelconsolidado282931[[#This Row],[ATUAL]])</f>
        <v>0</v>
      </c>
      <c r="X132" s="176">
        <f>SUMIFS(tabela_registros[VALOR],tabela_registros[MÊS],$AE$1,tabela_registros[DIA],investirrendavariávelconsolidado282931[[#Headers],[20]],tabela_registros[REGISTRO],DADOS!$N$5,tabela_registros[TIPO],DADOS!$AB$4,tabela_registros[CATEGORIA],investirrendavariávelconsolidado282931[[#This Row],[ATUAL]])</f>
        <v>0</v>
      </c>
      <c r="Y132" s="176">
        <f>SUMIFS(tabela_registros[VALOR],tabela_registros[MÊS],$AE$1,tabela_registros[DIA],investirrendavariávelconsolidado282931[[#Headers],[21]],tabela_registros[REGISTRO],DADOS!$N$5,tabela_registros[TIPO],DADOS!$AB$4,tabela_registros[CATEGORIA],investirrendavariávelconsolidado282931[[#This Row],[ATUAL]])</f>
        <v>0</v>
      </c>
      <c r="Z132" s="176">
        <f>SUMIFS(tabela_registros[VALOR],tabela_registros[MÊS],$AE$1,tabela_registros[DIA],investirrendavariávelconsolidado282931[[#Headers],[22]],tabela_registros[REGISTRO],DADOS!$N$5,tabela_registros[TIPO],DADOS!$AB$4,tabela_registros[CATEGORIA],investirrendavariávelconsolidado282931[[#This Row],[ATUAL]])</f>
        <v>0</v>
      </c>
      <c r="AA132" s="176">
        <f>SUMIFS(tabela_registros[VALOR],tabela_registros[MÊS],$AE$1,tabela_registros[DIA],investirrendavariávelconsolidado282931[[#Headers],[23]],tabela_registros[REGISTRO],DADOS!$N$5,tabela_registros[TIPO],DADOS!$AB$4,tabela_registros[CATEGORIA],investirrendavariávelconsolidado282931[[#This Row],[ATUAL]])</f>
        <v>0</v>
      </c>
      <c r="AB132" s="176">
        <f>SUMIFS(tabela_registros[VALOR],tabela_registros[MÊS],$AE$1,tabela_registros[DIA],investirrendavariávelconsolidado282931[[#Headers],[24]],tabela_registros[REGISTRO],DADOS!$N$5,tabela_registros[TIPO],DADOS!$AB$4,tabela_registros[CATEGORIA],investirrendavariávelconsolidado282931[[#This Row],[ATUAL]])</f>
        <v>0</v>
      </c>
      <c r="AC132" s="176">
        <f>SUMIFS(tabela_registros[VALOR],tabela_registros[MÊS],$AE$1,tabela_registros[DIA],investirrendavariávelconsolidado282931[[#Headers],[25]],tabela_registros[REGISTRO],DADOS!$N$5,tabela_registros[TIPO],DADOS!$AB$4,tabela_registros[CATEGORIA],investirrendavariávelconsolidado282931[[#This Row],[ATUAL]])</f>
        <v>0</v>
      </c>
      <c r="AD132" s="176">
        <f>SUMIFS(tabela_registros[VALOR],tabela_registros[MÊS],$AE$1,tabela_registros[DIA],investirrendavariávelconsolidado282931[[#Headers],[26]],tabela_registros[REGISTRO],DADOS!$N$5,tabela_registros[TIPO],DADOS!$AB$4,tabela_registros[CATEGORIA],investirrendavariávelconsolidado282931[[#This Row],[ATUAL]])</f>
        <v>12.142857142856601</v>
      </c>
      <c r="AE132" s="176">
        <f>SUMIFS(tabela_registros[VALOR],tabela_registros[MÊS],$AE$1,tabela_registros[DIA],investirrendavariávelconsolidado282931[[#Headers],[27]],tabela_registros[REGISTRO],DADOS!$N$5,tabela_registros[TIPO],DADOS!$AB$4,tabela_registros[CATEGORIA],investirrendavariávelconsolidado282931[[#This Row],[ATUAL]])</f>
        <v>0</v>
      </c>
      <c r="AF132" s="176">
        <f>SUMIFS(tabela_registros[VALOR],tabela_registros[MÊS],$AE$1,tabela_registros[DIA],investirrendavariávelconsolidado282931[[#Headers],[28]],tabela_registros[REGISTRO],DADOS!$N$5,tabela_registros[TIPO],DADOS!$AB$4,tabela_registros[CATEGORIA],investirrendavariávelconsolidado282931[[#This Row],[ATUAL]])</f>
        <v>0</v>
      </c>
      <c r="AG132" s="176">
        <f>SUMIFS(tabela_registros[VALOR],tabela_registros[MÊS],$AE$1,tabela_registros[DIA],investirrendavariávelconsolidado282931[[#Headers],[29]],tabela_registros[REGISTRO],DADOS!$N$5,tabela_registros[TIPO],DADOS!$AB$4,tabela_registros[CATEGORIA],investirrendavariávelconsolidado282931[[#This Row],[ATUAL]])</f>
        <v>0</v>
      </c>
      <c r="AH132" s="176">
        <f>SUMIFS(tabela_registros[VALOR],tabela_registros[MÊS],$AE$1,tabela_registros[DIA],investirrendavariávelconsolidado282931[[#Headers],[30]],tabela_registros[REGISTRO],DADOS!$N$5,tabela_registros[TIPO],DADOS!$AB$4,tabela_registros[CATEGORIA],investirrendavariávelconsolidado282931[[#This Row],[ATUAL]])</f>
        <v>0</v>
      </c>
      <c r="AI132" s="190">
        <f>SUMIFS(tabela_registros[VALOR],tabela_registros[MÊS],$AE$1,tabela_registros[DIA],investirrendavariávelconsolidado282931[[#Headers],[31]],tabela_registros[REGISTRO],DADOS!$N$5,tabela_registros[TIPO],DADOS!$AB$4,tabela_registros[CATEGORIA],investirrendavariávelconsolidado282931[[#This Row],[ATUAL]])</f>
        <v>0</v>
      </c>
      <c r="AJ132" s="167">
        <f>SUM(investirrendavariávelconsolidado282931[[#This Row],[1]:[31]])</f>
        <v>12.142857142856601</v>
      </c>
      <c r="AK132" s="25"/>
    </row>
    <row r="133" spans="2:37" ht="19.5" customHeight="1" thickTop="1" thickBot="1" x14ac:dyDescent="0.3">
      <c r="B133" s="28"/>
      <c r="C133" s="27" t="str">
        <f>DADOS!$AF$4</f>
        <v>📝 COMÓDITE</v>
      </c>
      <c r="D133" s="26" t="str">
        <f>IF(investirrendavariávelconsolidado282931[[#This Row],[TOTAL (R$)]]=0,"",IF(OR(investirrendavariávelconsolidado282931[[#This Row],[TOTAL (R$)]]=LARGE($AJ$132:$AJ$141,1),investirrendavariávelconsolidado282931[[#This Row],[TOTAL (R$)]]=LARGE($AJ$132:$AJ$141,2)),DADOS!$I$10,""))</f>
        <v/>
      </c>
      <c r="E133" s="189">
        <f>SUMIFS(tabela_registros[VALOR],tabela_registros[MÊS],$AE$1,tabela_registros[DIA],investirrendavariávelconsolidado282931[[#Headers],[1]],tabela_registros[REGISTRO],DADOS!$N$5,tabela_registros[TIPO],DADOS!$AB$4,tabela_registros[CATEGORIA],investirrendavariávelconsolidado282931[[#This Row],[ATUAL]])</f>
        <v>0</v>
      </c>
      <c r="F133" s="176">
        <f>SUMIFS(tabela_registros[VALOR],tabela_registros[MÊS],$AE$1,tabela_registros[DIA],investirrendavariávelconsolidado282931[[#Headers],[2]],tabela_registros[REGISTRO],DADOS!$N$5,tabela_registros[TIPO],DADOS!$AB$4,tabela_registros[CATEGORIA],investirrendavariávelconsolidado282931[[#This Row],[ATUAL]])</f>
        <v>0</v>
      </c>
      <c r="G133" s="176">
        <f>SUMIFS(tabela_registros[VALOR],tabela_registros[MÊS],$AE$1,tabela_registros[DIA],investirrendavariávelconsolidado282931[[#Headers],[3]],tabela_registros[REGISTRO],DADOS!$N$5,tabela_registros[TIPO],DADOS!$AB$4,tabela_registros[CATEGORIA],investirrendavariávelconsolidado282931[[#This Row],[ATUAL]])</f>
        <v>0</v>
      </c>
      <c r="H133" s="176">
        <f>SUMIFS(tabela_registros[VALOR],tabela_registros[MÊS],$AE$1,tabela_registros[DIA],investirrendavariávelconsolidado282931[[#Headers],[4]],tabela_registros[REGISTRO],DADOS!$N$5,tabela_registros[TIPO],DADOS!$AB$4,tabela_registros[CATEGORIA],investirrendavariávelconsolidado282931[[#This Row],[ATUAL]])</f>
        <v>0</v>
      </c>
      <c r="I133" s="176">
        <f>SUMIFS(tabela_registros[VALOR],tabela_registros[MÊS],$AE$1,tabela_registros[DIA],investirrendavariávelconsolidado282931[[#Headers],[5]],tabela_registros[REGISTRO],DADOS!$N$5,tabela_registros[TIPO],DADOS!$AB$4,tabela_registros[CATEGORIA],investirrendavariávelconsolidado282931[[#This Row],[ATUAL]])</f>
        <v>0</v>
      </c>
      <c r="J133" s="176">
        <f>SUMIFS(tabela_registros[VALOR],tabela_registros[MÊS],$AE$1,tabela_registros[DIA],investirrendavariávelconsolidado282931[[#Headers],[6]],tabela_registros[REGISTRO],DADOS!$N$5,tabela_registros[TIPO],DADOS!$AB$4,tabela_registros[CATEGORIA],investirrendavariávelconsolidado282931[[#This Row],[ATUAL]])</f>
        <v>0</v>
      </c>
      <c r="K133" s="176">
        <f>SUMIFS(tabela_registros[VALOR],tabela_registros[MÊS],$AE$1,tabela_registros[DIA],investirrendavariávelconsolidado282931[[#Headers],[7]],tabela_registros[REGISTRO],DADOS!$N$5,tabela_registros[TIPO],DADOS!$AB$4,tabela_registros[CATEGORIA],investirrendavariávelconsolidado282931[[#This Row],[ATUAL]])</f>
        <v>0</v>
      </c>
      <c r="L133" s="176">
        <f>SUMIFS(tabela_registros[VALOR],tabela_registros[MÊS],$AE$1,tabela_registros[DIA],investirrendavariávelconsolidado282931[[#Headers],[8]],tabela_registros[REGISTRO],DADOS!$N$5,tabela_registros[TIPO],DADOS!$AB$4,tabela_registros[CATEGORIA],investirrendavariávelconsolidado282931[[#This Row],[ATUAL]])</f>
        <v>0</v>
      </c>
      <c r="M133" s="176">
        <f>SUMIFS(tabela_registros[VALOR],tabela_registros[MÊS],$AE$1,tabela_registros[DIA],investirrendavariávelconsolidado282931[[#Headers],[9]],tabela_registros[REGISTRO],DADOS!$N$5,tabela_registros[TIPO],DADOS!$AB$4,tabela_registros[CATEGORIA],investirrendavariávelconsolidado282931[[#This Row],[ATUAL]])</f>
        <v>0</v>
      </c>
      <c r="N133" s="176">
        <f>SUMIFS(tabela_registros[VALOR],tabela_registros[MÊS],$AE$1,tabela_registros[DIA],investirrendavariávelconsolidado282931[[#Headers],[10]],tabela_registros[REGISTRO],DADOS!$N$5,tabela_registros[TIPO],DADOS!$AB$4,tabela_registros[CATEGORIA],investirrendavariávelconsolidado282931[[#This Row],[ATUAL]])</f>
        <v>0</v>
      </c>
      <c r="O133" s="176">
        <f>SUMIFS(tabela_registros[VALOR],tabela_registros[MÊS],$AE$1,tabela_registros[DIA],investirrendavariávelconsolidado282931[[#Headers],[11]],tabela_registros[REGISTRO],DADOS!$N$5,tabela_registros[TIPO],DADOS!$AB$4,tabela_registros[CATEGORIA],investirrendavariávelconsolidado282931[[#This Row],[ATUAL]])</f>
        <v>0</v>
      </c>
      <c r="P133" s="176">
        <f>SUMIFS(tabela_registros[VALOR],tabela_registros[MÊS],$AE$1,tabela_registros[DIA],investirrendavariávelconsolidado282931[[#Headers],[12]],tabela_registros[REGISTRO],DADOS!$N$5,tabela_registros[TIPO],DADOS!$AB$4,tabela_registros[CATEGORIA],investirrendavariávelconsolidado282931[[#This Row],[ATUAL]])</f>
        <v>0</v>
      </c>
      <c r="Q133" s="176">
        <f>SUMIFS(tabela_registros[VALOR],tabela_registros[MÊS],$AE$1,tabela_registros[DIA],investirrendavariávelconsolidado282931[[#Headers],[13]],tabela_registros[REGISTRO],DADOS!$N$5,tabela_registros[TIPO],DADOS!$AB$4,tabela_registros[CATEGORIA],investirrendavariávelconsolidado282931[[#This Row],[ATUAL]])</f>
        <v>0</v>
      </c>
      <c r="R133" s="176">
        <f>SUMIFS(tabela_registros[VALOR],tabela_registros[MÊS],$AE$1,tabela_registros[DIA],investirrendavariávelconsolidado282931[[#Headers],[14]],tabela_registros[REGISTRO],DADOS!$N$5,tabela_registros[TIPO],DADOS!$AB$4,tabela_registros[CATEGORIA],investirrendavariávelconsolidado282931[[#This Row],[ATUAL]])</f>
        <v>0</v>
      </c>
      <c r="S133" s="176">
        <f>SUMIFS(tabela_registros[VALOR],tabela_registros[MÊS],$AE$1,tabela_registros[DIA],investirrendavariávelconsolidado282931[[#Headers],[15]],tabela_registros[REGISTRO],DADOS!$N$5,tabela_registros[TIPO],DADOS!$AB$4,tabela_registros[CATEGORIA],investirrendavariávelconsolidado282931[[#This Row],[ATUAL]])</f>
        <v>0</v>
      </c>
      <c r="T133" s="176">
        <f>SUMIFS(tabela_registros[VALOR],tabela_registros[MÊS],$AE$1,tabela_registros[DIA],investirrendavariávelconsolidado282931[[#Headers],[16]],tabela_registros[REGISTRO],DADOS!$N$5,tabela_registros[TIPO],DADOS!$AB$4,tabela_registros[CATEGORIA],investirrendavariávelconsolidado282931[[#This Row],[ATUAL]])</f>
        <v>0</v>
      </c>
      <c r="U133" s="176">
        <f>SUMIFS(tabela_registros[VALOR],tabela_registros[MÊS],$AE$1,tabela_registros[DIA],investirrendavariávelconsolidado282931[[#Headers],[17]],tabela_registros[REGISTRO],DADOS!$N$5,tabela_registros[TIPO],DADOS!$AB$4,tabela_registros[CATEGORIA],investirrendavariávelconsolidado282931[[#This Row],[ATUAL]])</f>
        <v>0</v>
      </c>
      <c r="V133" s="176">
        <f>SUMIFS(tabela_registros[VALOR],tabela_registros[MÊS],$AE$1,tabela_registros[DIA],investirrendavariávelconsolidado282931[[#Headers],[18]],tabela_registros[REGISTRO],DADOS!$N$5,tabela_registros[TIPO],DADOS!$AB$4,tabela_registros[CATEGORIA],investirrendavariávelconsolidado282931[[#This Row],[ATUAL]])</f>
        <v>0</v>
      </c>
      <c r="W133" s="176">
        <f>SUMIFS(tabela_registros[VALOR],tabela_registros[MÊS],$AE$1,tabela_registros[DIA],investirrendavariávelconsolidado282931[[#Headers],[19]],tabela_registros[REGISTRO],DADOS!$N$5,tabela_registros[TIPO],DADOS!$AB$4,tabela_registros[CATEGORIA],investirrendavariávelconsolidado282931[[#This Row],[ATUAL]])</f>
        <v>0</v>
      </c>
      <c r="X133" s="176">
        <f>SUMIFS(tabela_registros[VALOR],tabela_registros[MÊS],$AE$1,tabela_registros[DIA],investirrendavariávelconsolidado282931[[#Headers],[20]],tabela_registros[REGISTRO],DADOS!$N$5,tabela_registros[TIPO],DADOS!$AB$4,tabela_registros[CATEGORIA],investirrendavariávelconsolidado282931[[#This Row],[ATUAL]])</f>
        <v>0</v>
      </c>
      <c r="Y133" s="176">
        <f>SUMIFS(tabela_registros[VALOR],tabela_registros[MÊS],$AE$1,tabela_registros[DIA],investirrendavariávelconsolidado282931[[#Headers],[21]],tabela_registros[REGISTRO],DADOS!$N$5,tabela_registros[TIPO],DADOS!$AB$4,tabela_registros[CATEGORIA],investirrendavariávelconsolidado282931[[#This Row],[ATUAL]])</f>
        <v>0</v>
      </c>
      <c r="Z133" s="176">
        <f>SUMIFS(tabela_registros[VALOR],tabela_registros[MÊS],$AE$1,tabela_registros[DIA],investirrendavariávelconsolidado282931[[#Headers],[22]],tabela_registros[REGISTRO],DADOS!$N$5,tabela_registros[TIPO],DADOS!$AB$4,tabela_registros[CATEGORIA],investirrendavariávelconsolidado282931[[#This Row],[ATUAL]])</f>
        <v>0</v>
      </c>
      <c r="AA133" s="176">
        <f>SUMIFS(tabela_registros[VALOR],tabela_registros[MÊS],$AE$1,tabela_registros[DIA],investirrendavariávelconsolidado282931[[#Headers],[23]],tabela_registros[REGISTRO],DADOS!$N$5,tabela_registros[TIPO],DADOS!$AB$4,tabela_registros[CATEGORIA],investirrendavariávelconsolidado282931[[#This Row],[ATUAL]])</f>
        <v>0</v>
      </c>
      <c r="AB133" s="176">
        <f>SUMIFS(tabela_registros[VALOR],tabela_registros[MÊS],$AE$1,tabela_registros[DIA],investirrendavariávelconsolidado282931[[#Headers],[24]],tabela_registros[REGISTRO],DADOS!$N$5,tabela_registros[TIPO],DADOS!$AB$4,tabela_registros[CATEGORIA],investirrendavariávelconsolidado282931[[#This Row],[ATUAL]])</f>
        <v>0</v>
      </c>
      <c r="AC133" s="176">
        <f>SUMIFS(tabela_registros[VALOR],tabela_registros[MÊS],$AE$1,tabela_registros[DIA],investirrendavariávelconsolidado282931[[#Headers],[25]],tabela_registros[REGISTRO],DADOS!$N$5,tabela_registros[TIPO],DADOS!$AB$4,tabela_registros[CATEGORIA],investirrendavariávelconsolidado282931[[#This Row],[ATUAL]])</f>
        <v>0</v>
      </c>
      <c r="AD133" s="176">
        <f>SUMIFS(tabela_registros[VALOR],tabela_registros[MÊS],$AE$1,tabela_registros[DIA],investirrendavariávelconsolidado282931[[#Headers],[26]],tabela_registros[REGISTRO],DADOS!$N$5,tabela_registros[TIPO],DADOS!$AB$4,tabela_registros[CATEGORIA],investirrendavariávelconsolidado282931[[#This Row],[ATUAL]])</f>
        <v>0</v>
      </c>
      <c r="AE133" s="176">
        <f>SUMIFS(tabela_registros[VALOR],tabela_registros[MÊS],$AE$1,tabela_registros[DIA],investirrendavariávelconsolidado282931[[#Headers],[27]],tabela_registros[REGISTRO],DADOS!$N$5,tabela_registros[TIPO],DADOS!$AB$4,tabela_registros[CATEGORIA],investirrendavariávelconsolidado282931[[#This Row],[ATUAL]])</f>
        <v>0</v>
      </c>
      <c r="AF133" s="176">
        <f>SUMIFS(tabela_registros[VALOR],tabela_registros[MÊS],$AE$1,tabela_registros[DIA],investirrendavariávelconsolidado282931[[#Headers],[28]],tabela_registros[REGISTRO],DADOS!$N$5,tabela_registros[TIPO],DADOS!$AB$4,tabela_registros[CATEGORIA],investirrendavariávelconsolidado282931[[#This Row],[ATUAL]])</f>
        <v>0</v>
      </c>
      <c r="AG133" s="176">
        <f>SUMIFS(tabela_registros[VALOR],tabela_registros[MÊS],$AE$1,tabela_registros[DIA],investirrendavariávelconsolidado282931[[#Headers],[29]],tabela_registros[REGISTRO],DADOS!$N$5,tabela_registros[TIPO],DADOS!$AB$4,tabela_registros[CATEGORIA],investirrendavariávelconsolidado282931[[#This Row],[ATUAL]])</f>
        <v>0</v>
      </c>
      <c r="AH133" s="176">
        <f>SUMIFS(tabela_registros[VALOR],tabela_registros[MÊS],$AE$1,tabela_registros[DIA],investirrendavariávelconsolidado282931[[#Headers],[30]],tabela_registros[REGISTRO],DADOS!$N$5,tabela_registros[TIPO],DADOS!$AB$4,tabela_registros[CATEGORIA],investirrendavariávelconsolidado282931[[#This Row],[ATUAL]])</f>
        <v>0</v>
      </c>
      <c r="AI133" s="190">
        <f>SUMIFS(tabela_registros[VALOR],tabela_registros[MÊS],$AE$1,tabela_registros[DIA],investirrendavariávelconsolidado282931[[#Headers],[31]],tabela_registros[REGISTRO],DADOS!$N$5,tabela_registros[TIPO],DADOS!$AB$4,tabela_registros[CATEGORIA],investirrendavariávelconsolidado282931[[#This Row],[ATUAL]])</f>
        <v>0</v>
      </c>
      <c r="AJ133" s="167">
        <f>SUM(investirrendavariávelconsolidado282931[[#This Row],[1]:[31]])</f>
        <v>0</v>
      </c>
      <c r="AK133" s="25"/>
    </row>
    <row r="134" spans="2:37" ht="19.5" customHeight="1" thickTop="1" thickBot="1" x14ac:dyDescent="0.3">
      <c r="B134" s="28"/>
      <c r="C134" s="27" t="str">
        <f>DADOS!$AF$5</f>
        <v>📝 CONTRATO DE FUTUROS</v>
      </c>
      <c r="D134" s="26" t="str">
        <f>IF(investirrendavariávelconsolidado282931[[#This Row],[TOTAL (R$)]]=0,"",IF(OR(investirrendavariávelconsolidado282931[[#This Row],[TOTAL (R$)]]=LARGE($AJ$132:$AJ$141,1),investirrendavariávelconsolidado282931[[#This Row],[TOTAL (R$)]]=LARGE($AJ$132:$AJ$141,2)),DADOS!$I$10,""))</f>
        <v/>
      </c>
      <c r="E134" s="189">
        <f>SUMIFS(tabela_registros[VALOR],tabela_registros[MÊS],$AE$1,tabela_registros[DIA],investirrendavariávelconsolidado282931[[#Headers],[1]],tabela_registros[REGISTRO],DADOS!$N$5,tabela_registros[TIPO],DADOS!$AB$4,tabela_registros[CATEGORIA],investirrendavariávelconsolidado282931[[#This Row],[ATUAL]])</f>
        <v>0</v>
      </c>
      <c r="F134" s="176">
        <f>SUMIFS(tabela_registros[VALOR],tabela_registros[MÊS],$AE$1,tabela_registros[DIA],investirrendavariávelconsolidado282931[[#Headers],[2]],tabela_registros[REGISTRO],DADOS!$N$5,tabela_registros[TIPO],DADOS!$AB$4,tabela_registros[CATEGORIA],investirrendavariávelconsolidado282931[[#This Row],[ATUAL]])</f>
        <v>0</v>
      </c>
      <c r="G134" s="176">
        <f>SUMIFS(tabela_registros[VALOR],tabela_registros[MÊS],$AE$1,tabela_registros[DIA],investirrendavariávelconsolidado282931[[#Headers],[3]],tabela_registros[REGISTRO],DADOS!$N$5,tabela_registros[TIPO],DADOS!$AB$4,tabela_registros[CATEGORIA],investirrendavariávelconsolidado282931[[#This Row],[ATUAL]])</f>
        <v>0</v>
      </c>
      <c r="H134" s="176">
        <f>SUMIFS(tabela_registros[VALOR],tabela_registros[MÊS],$AE$1,tabela_registros[DIA],investirrendavariávelconsolidado282931[[#Headers],[4]],tabela_registros[REGISTRO],DADOS!$N$5,tabela_registros[TIPO],DADOS!$AB$4,tabela_registros[CATEGORIA],investirrendavariávelconsolidado282931[[#This Row],[ATUAL]])</f>
        <v>0</v>
      </c>
      <c r="I134" s="176">
        <f>SUMIFS(tabela_registros[VALOR],tabela_registros[MÊS],$AE$1,tabela_registros[DIA],investirrendavariávelconsolidado282931[[#Headers],[5]],tabela_registros[REGISTRO],DADOS!$N$5,tabela_registros[TIPO],DADOS!$AB$4,tabela_registros[CATEGORIA],investirrendavariávelconsolidado282931[[#This Row],[ATUAL]])</f>
        <v>0</v>
      </c>
      <c r="J134" s="176">
        <f>SUMIFS(tabela_registros[VALOR],tabela_registros[MÊS],$AE$1,tabela_registros[DIA],investirrendavariávelconsolidado282931[[#Headers],[6]],tabela_registros[REGISTRO],DADOS!$N$5,tabela_registros[TIPO],DADOS!$AB$4,tabela_registros[CATEGORIA],investirrendavariávelconsolidado282931[[#This Row],[ATUAL]])</f>
        <v>0</v>
      </c>
      <c r="K134" s="176">
        <f>SUMIFS(tabela_registros[VALOR],tabela_registros[MÊS],$AE$1,tabela_registros[DIA],investirrendavariávelconsolidado282931[[#Headers],[7]],tabela_registros[REGISTRO],DADOS!$N$5,tabela_registros[TIPO],DADOS!$AB$4,tabela_registros[CATEGORIA],investirrendavariávelconsolidado282931[[#This Row],[ATUAL]])</f>
        <v>0</v>
      </c>
      <c r="L134" s="176">
        <f>SUMIFS(tabela_registros[VALOR],tabela_registros[MÊS],$AE$1,tabela_registros[DIA],investirrendavariávelconsolidado282931[[#Headers],[8]],tabela_registros[REGISTRO],DADOS!$N$5,tabela_registros[TIPO],DADOS!$AB$4,tabela_registros[CATEGORIA],investirrendavariávelconsolidado282931[[#This Row],[ATUAL]])</f>
        <v>0</v>
      </c>
      <c r="M134" s="176">
        <f>SUMIFS(tabela_registros[VALOR],tabela_registros[MÊS],$AE$1,tabela_registros[DIA],investirrendavariávelconsolidado282931[[#Headers],[9]],tabela_registros[REGISTRO],DADOS!$N$5,tabela_registros[TIPO],DADOS!$AB$4,tabela_registros[CATEGORIA],investirrendavariávelconsolidado282931[[#This Row],[ATUAL]])</f>
        <v>0</v>
      </c>
      <c r="N134" s="176">
        <f>SUMIFS(tabela_registros[VALOR],tabela_registros[MÊS],$AE$1,tabela_registros[DIA],investirrendavariávelconsolidado282931[[#Headers],[10]],tabela_registros[REGISTRO],DADOS!$N$5,tabela_registros[TIPO],DADOS!$AB$4,tabela_registros[CATEGORIA],investirrendavariávelconsolidado282931[[#This Row],[ATUAL]])</f>
        <v>0</v>
      </c>
      <c r="O134" s="176">
        <f>SUMIFS(tabela_registros[VALOR],tabela_registros[MÊS],$AE$1,tabela_registros[DIA],investirrendavariávelconsolidado282931[[#Headers],[11]],tabela_registros[REGISTRO],DADOS!$N$5,tabela_registros[TIPO],DADOS!$AB$4,tabela_registros[CATEGORIA],investirrendavariávelconsolidado282931[[#This Row],[ATUAL]])</f>
        <v>0</v>
      </c>
      <c r="P134" s="176">
        <f>SUMIFS(tabela_registros[VALOR],tabela_registros[MÊS],$AE$1,tabela_registros[DIA],investirrendavariávelconsolidado282931[[#Headers],[12]],tabela_registros[REGISTRO],DADOS!$N$5,tabela_registros[TIPO],DADOS!$AB$4,tabela_registros[CATEGORIA],investirrendavariávelconsolidado282931[[#This Row],[ATUAL]])</f>
        <v>0</v>
      </c>
      <c r="Q134" s="176">
        <f>SUMIFS(tabela_registros[VALOR],tabela_registros[MÊS],$AE$1,tabela_registros[DIA],investirrendavariávelconsolidado282931[[#Headers],[13]],tabela_registros[REGISTRO],DADOS!$N$5,tabela_registros[TIPO],DADOS!$AB$4,tabela_registros[CATEGORIA],investirrendavariávelconsolidado282931[[#This Row],[ATUAL]])</f>
        <v>0</v>
      </c>
      <c r="R134" s="176">
        <f>SUMIFS(tabela_registros[VALOR],tabela_registros[MÊS],$AE$1,tabela_registros[DIA],investirrendavariávelconsolidado282931[[#Headers],[14]],tabela_registros[REGISTRO],DADOS!$N$5,tabela_registros[TIPO],DADOS!$AB$4,tabela_registros[CATEGORIA],investirrendavariávelconsolidado282931[[#This Row],[ATUAL]])</f>
        <v>0</v>
      </c>
      <c r="S134" s="176">
        <f>SUMIFS(tabela_registros[VALOR],tabela_registros[MÊS],$AE$1,tabela_registros[DIA],investirrendavariávelconsolidado282931[[#Headers],[15]],tabela_registros[REGISTRO],DADOS!$N$5,tabela_registros[TIPO],DADOS!$AB$4,tabela_registros[CATEGORIA],investirrendavariávelconsolidado282931[[#This Row],[ATUAL]])</f>
        <v>0</v>
      </c>
      <c r="T134" s="176">
        <f>SUMIFS(tabela_registros[VALOR],tabela_registros[MÊS],$AE$1,tabela_registros[DIA],investirrendavariávelconsolidado282931[[#Headers],[16]],tabela_registros[REGISTRO],DADOS!$N$5,tabela_registros[TIPO],DADOS!$AB$4,tabela_registros[CATEGORIA],investirrendavariávelconsolidado282931[[#This Row],[ATUAL]])</f>
        <v>0</v>
      </c>
      <c r="U134" s="176">
        <f>SUMIFS(tabela_registros[VALOR],tabela_registros[MÊS],$AE$1,tabela_registros[DIA],investirrendavariávelconsolidado282931[[#Headers],[17]],tabela_registros[REGISTRO],DADOS!$N$5,tabela_registros[TIPO],DADOS!$AB$4,tabela_registros[CATEGORIA],investirrendavariávelconsolidado282931[[#This Row],[ATUAL]])</f>
        <v>0</v>
      </c>
      <c r="V134" s="176">
        <f>SUMIFS(tabela_registros[VALOR],tabela_registros[MÊS],$AE$1,tabela_registros[DIA],investirrendavariávelconsolidado282931[[#Headers],[18]],tabela_registros[REGISTRO],DADOS!$N$5,tabela_registros[TIPO],DADOS!$AB$4,tabela_registros[CATEGORIA],investirrendavariávelconsolidado282931[[#This Row],[ATUAL]])</f>
        <v>0</v>
      </c>
      <c r="W134" s="176">
        <f>SUMIFS(tabela_registros[VALOR],tabela_registros[MÊS],$AE$1,tabela_registros[DIA],investirrendavariávelconsolidado282931[[#Headers],[19]],tabela_registros[REGISTRO],DADOS!$N$5,tabela_registros[TIPO],DADOS!$AB$4,tabela_registros[CATEGORIA],investirrendavariávelconsolidado282931[[#This Row],[ATUAL]])</f>
        <v>0</v>
      </c>
      <c r="X134" s="176">
        <f>SUMIFS(tabela_registros[VALOR],tabela_registros[MÊS],$AE$1,tabela_registros[DIA],investirrendavariávelconsolidado282931[[#Headers],[20]],tabela_registros[REGISTRO],DADOS!$N$5,tabela_registros[TIPO],DADOS!$AB$4,tabela_registros[CATEGORIA],investirrendavariávelconsolidado282931[[#This Row],[ATUAL]])</f>
        <v>0</v>
      </c>
      <c r="Y134" s="176">
        <f>SUMIFS(tabela_registros[VALOR],tabela_registros[MÊS],$AE$1,tabela_registros[DIA],investirrendavariávelconsolidado282931[[#Headers],[21]],tabela_registros[REGISTRO],DADOS!$N$5,tabela_registros[TIPO],DADOS!$AB$4,tabela_registros[CATEGORIA],investirrendavariávelconsolidado282931[[#This Row],[ATUAL]])</f>
        <v>0</v>
      </c>
      <c r="Z134" s="176">
        <f>SUMIFS(tabela_registros[VALOR],tabela_registros[MÊS],$AE$1,tabela_registros[DIA],investirrendavariávelconsolidado282931[[#Headers],[22]],tabela_registros[REGISTRO],DADOS!$N$5,tabela_registros[TIPO],DADOS!$AB$4,tabela_registros[CATEGORIA],investirrendavariávelconsolidado282931[[#This Row],[ATUAL]])</f>
        <v>0</v>
      </c>
      <c r="AA134" s="176">
        <f>SUMIFS(tabela_registros[VALOR],tabela_registros[MÊS],$AE$1,tabela_registros[DIA],investirrendavariávelconsolidado282931[[#Headers],[23]],tabela_registros[REGISTRO],DADOS!$N$5,tabela_registros[TIPO],DADOS!$AB$4,tabela_registros[CATEGORIA],investirrendavariávelconsolidado282931[[#This Row],[ATUAL]])</f>
        <v>0</v>
      </c>
      <c r="AB134" s="176">
        <f>SUMIFS(tabela_registros[VALOR],tabela_registros[MÊS],$AE$1,tabela_registros[DIA],investirrendavariávelconsolidado282931[[#Headers],[24]],tabela_registros[REGISTRO],DADOS!$N$5,tabela_registros[TIPO],DADOS!$AB$4,tabela_registros[CATEGORIA],investirrendavariávelconsolidado282931[[#This Row],[ATUAL]])</f>
        <v>0</v>
      </c>
      <c r="AC134" s="176">
        <f>SUMIFS(tabela_registros[VALOR],tabela_registros[MÊS],$AE$1,tabela_registros[DIA],investirrendavariávelconsolidado282931[[#Headers],[25]],tabela_registros[REGISTRO],DADOS!$N$5,tabela_registros[TIPO],DADOS!$AB$4,tabela_registros[CATEGORIA],investirrendavariávelconsolidado282931[[#This Row],[ATUAL]])</f>
        <v>0</v>
      </c>
      <c r="AD134" s="176">
        <f>SUMIFS(tabela_registros[VALOR],tabela_registros[MÊS],$AE$1,tabela_registros[DIA],investirrendavariávelconsolidado282931[[#Headers],[26]],tabela_registros[REGISTRO],DADOS!$N$5,tabela_registros[TIPO],DADOS!$AB$4,tabela_registros[CATEGORIA],investirrendavariávelconsolidado282931[[#This Row],[ATUAL]])</f>
        <v>0</v>
      </c>
      <c r="AE134" s="176">
        <f>SUMIFS(tabela_registros[VALOR],tabela_registros[MÊS],$AE$1,tabela_registros[DIA],investirrendavariávelconsolidado282931[[#Headers],[27]],tabela_registros[REGISTRO],DADOS!$N$5,tabela_registros[TIPO],DADOS!$AB$4,tabela_registros[CATEGORIA],investirrendavariávelconsolidado282931[[#This Row],[ATUAL]])</f>
        <v>0</v>
      </c>
      <c r="AF134" s="176">
        <f>SUMIFS(tabela_registros[VALOR],tabela_registros[MÊS],$AE$1,tabela_registros[DIA],investirrendavariávelconsolidado282931[[#Headers],[28]],tabela_registros[REGISTRO],DADOS!$N$5,tabela_registros[TIPO],DADOS!$AB$4,tabela_registros[CATEGORIA],investirrendavariávelconsolidado282931[[#This Row],[ATUAL]])</f>
        <v>0</v>
      </c>
      <c r="AG134" s="176">
        <f>SUMIFS(tabela_registros[VALOR],tabela_registros[MÊS],$AE$1,tabela_registros[DIA],investirrendavariávelconsolidado282931[[#Headers],[29]],tabela_registros[REGISTRO],DADOS!$N$5,tabela_registros[TIPO],DADOS!$AB$4,tabela_registros[CATEGORIA],investirrendavariávelconsolidado282931[[#This Row],[ATUAL]])</f>
        <v>0</v>
      </c>
      <c r="AH134" s="176">
        <f>SUMIFS(tabela_registros[VALOR],tabela_registros[MÊS],$AE$1,tabela_registros[DIA],investirrendavariávelconsolidado282931[[#Headers],[30]],tabela_registros[REGISTRO],DADOS!$N$5,tabela_registros[TIPO],DADOS!$AB$4,tabela_registros[CATEGORIA],investirrendavariávelconsolidado282931[[#This Row],[ATUAL]])</f>
        <v>0</v>
      </c>
      <c r="AI134" s="190">
        <f>SUMIFS(tabela_registros[VALOR],tabela_registros[MÊS],$AE$1,tabela_registros[DIA],investirrendavariávelconsolidado282931[[#Headers],[31]],tabela_registros[REGISTRO],DADOS!$N$5,tabela_registros[TIPO],DADOS!$AB$4,tabela_registros[CATEGORIA],investirrendavariávelconsolidado282931[[#This Row],[ATUAL]])</f>
        <v>0</v>
      </c>
      <c r="AJ134" s="167">
        <f>SUM(investirrendavariávelconsolidado282931[[#This Row],[1]:[31]])</f>
        <v>0</v>
      </c>
      <c r="AK134" s="25"/>
    </row>
    <row r="135" spans="2:37" ht="19.5" customHeight="1" thickTop="1" thickBot="1" x14ac:dyDescent="0.3">
      <c r="B135" s="28"/>
      <c r="C135" s="27" t="str">
        <f>DADOS!$AF$6</f>
        <v>📝 CONTRATO DE OPÇÕES</v>
      </c>
      <c r="D135" s="26" t="str">
        <f>IF(investirrendavariávelconsolidado282931[[#This Row],[TOTAL (R$)]]=0,"",IF(OR(investirrendavariávelconsolidado282931[[#This Row],[TOTAL (R$)]]=LARGE($AJ$132:$AJ$141,1),investirrendavariávelconsolidado282931[[#This Row],[TOTAL (R$)]]=LARGE($AJ$132:$AJ$141,2)),DADOS!$I$10,""))</f>
        <v/>
      </c>
      <c r="E135" s="189">
        <f>SUMIFS(tabela_registros[VALOR],tabela_registros[MÊS],$AE$1,tabela_registros[DIA],investirrendavariávelconsolidado282931[[#Headers],[1]],tabela_registros[REGISTRO],DADOS!$N$5,tabela_registros[TIPO],DADOS!$AB$4,tabela_registros[CATEGORIA],investirrendavariávelconsolidado282931[[#This Row],[ATUAL]])</f>
        <v>0</v>
      </c>
      <c r="F135" s="176">
        <f>SUMIFS(tabela_registros[VALOR],tabela_registros[MÊS],$AE$1,tabela_registros[DIA],investirrendavariávelconsolidado282931[[#Headers],[2]],tabela_registros[REGISTRO],DADOS!$N$5,tabela_registros[TIPO],DADOS!$AB$4,tabela_registros[CATEGORIA],investirrendavariávelconsolidado282931[[#This Row],[ATUAL]])</f>
        <v>0</v>
      </c>
      <c r="G135" s="176">
        <f>SUMIFS(tabela_registros[VALOR],tabela_registros[MÊS],$AE$1,tabela_registros[DIA],investirrendavariávelconsolidado282931[[#Headers],[3]],tabela_registros[REGISTRO],DADOS!$N$5,tabela_registros[TIPO],DADOS!$AB$4,tabela_registros[CATEGORIA],investirrendavariávelconsolidado282931[[#This Row],[ATUAL]])</f>
        <v>0</v>
      </c>
      <c r="H135" s="176">
        <f>SUMIFS(tabela_registros[VALOR],tabela_registros[MÊS],$AE$1,tabela_registros[DIA],investirrendavariávelconsolidado282931[[#Headers],[4]],tabela_registros[REGISTRO],DADOS!$N$5,tabela_registros[TIPO],DADOS!$AB$4,tabela_registros[CATEGORIA],investirrendavariávelconsolidado282931[[#This Row],[ATUAL]])</f>
        <v>0</v>
      </c>
      <c r="I135" s="176">
        <f>SUMIFS(tabela_registros[VALOR],tabela_registros[MÊS],$AE$1,tabela_registros[DIA],investirrendavariávelconsolidado282931[[#Headers],[5]],tabela_registros[REGISTRO],DADOS!$N$5,tabela_registros[TIPO],DADOS!$AB$4,tabela_registros[CATEGORIA],investirrendavariávelconsolidado282931[[#This Row],[ATUAL]])</f>
        <v>0</v>
      </c>
      <c r="J135" s="176">
        <f>SUMIFS(tabela_registros[VALOR],tabela_registros[MÊS],$AE$1,tabela_registros[DIA],investirrendavariávelconsolidado282931[[#Headers],[6]],tabela_registros[REGISTRO],DADOS!$N$5,tabela_registros[TIPO],DADOS!$AB$4,tabela_registros[CATEGORIA],investirrendavariávelconsolidado282931[[#This Row],[ATUAL]])</f>
        <v>0</v>
      </c>
      <c r="K135" s="176">
        <f>SUMIFS(tabela_registros[VALOR],tabela_registros[MÊS],$AE$1,tabela_registros[DIA],investirrendavariávelconsolidado282931[[#Headers],[7]],tabela_registros[REGISTRO],DADOS!$N$5,tabela_registros[TIPO],DADOS!$AB$4,tabela_registros[CATEGORIA],investirrendavariávelconsolidado282931[[#This Row],[ATUAL]])</f>
        <v>0</v>
      </c>
      <c r="L135" s="176">
        <f>SUMIFS(tabela_registros[VALOR],tabela_registros[MÊS],$AE$1,tabela_registros[DIA],investirrendavariávelconsolidado282931[[#Headers],[8]],tabela_registros[REGISTRO],DADOS!$N$5,tabela_registros[TIPO],DADOS!$AB$4,tabela_registros[CATEGORIA],investirrendavariávelconsolidado282931[[#This Row],[ATUAL]])</f>
        <v>0</v>
      </c>
      <c r="M135" s="176">
        <f>SUMIFS(tabela_registros[VALOR],tabela_registros[MÊS],$AE$1,tabela_registros[DIA],investirrendavariávelconsolidado282931[[#Headers],[9]],tabela_registros[REGISTRO],DADOS!$N$5,tabela_registros[TIPO],DADOS!$AB$4,tabela_registros[CATEGORIA],investirrendavariávelconsolidado282931[[#This Row],[ATUAL]])</f>
        <v>0</v>
      </c>
      <c r="N135" s="176">
        <f>SUMIFS(tabela_registros[VALOR],tabela_registros[MÊS],$AE$1,tabela_registros[DIA],investirrendavariávelconsolidado282931[[#Headers],[10]],tabela_registros[REGISTRO],DADOS!$N$5,tabela_registros[TIPO],DADOS!$AB$4,tabela_registros[CATEGORIA],investirrendavariávelconsolidado282931[[#This Row],[ATUAL]])</f>
        <v>0</v>
      </c>
      <c r="O135" s="176">
        <f>SUMIFS(tabela_registros[VALOR],tabela_registros[MÊS],$AE$1,tabela_registros[DIA],investirrendavariávelconsolidado282931[[#Headers],[11]],tabela_registros[REGISTRO],DADOS!$N$5,tabela_registros[TIPO],DADOS!$AB$4,tabela_registros[CATEGORIA],investirrendavariávelconsolidado282931[[#This Row],[ATUAL]])</f>
        <v>0</v>
      </c>
      <c r="P135" s="176">
        <f>SUMIFS(tabela_registros[VALOR],tabela_registros[MÊS],$AE$1,tabela_registros[DIA],investirrendavariávelconsolidado282931[[#Headers],[12]],tabela_registros[REGISTRO],DADOS!$N$5,tabela_registros[TIPO],DADOS!$AB$4,tabela_registros[CATEGORIA],investirrendavariávelconsolidado282931[[#This Row],[ATUAL]])</f>
        <v>0</v>
      </c>
      <c r="Q135" s="176">
        <f>SUMIFS(tabela_registros[VALOR],tabela_registros[MÊS],$AE$1,tabela_registros[DIA],investirrendavariávelconsolidado282931[[#Headers],[13]],tabela_registros[REGISTRO],DADOS!$N$5,tabela_registros[TIPO],DADOS!$AB$4,tabela_registros[CATEGORIA],investirrendavariávelconsolidado282931[[#This Row],[ATUAL]])</f>
        <v>0</v>
      </c>
      <c r="R135" s="176">
        <f>SUMIFS(tabela_registros[VALOR],tabela_registros[MÊS],$AE$1,tabela_registros[DIA],investirrendavariávelconsolidado282931[[#Headers],[14]],tabela_registros[REGISTRO],DADOS!$N$5,tabela_registros[TIPO],DADOS!$AB$4,tabela_registros[CATEGORIA],investirrendavariávelconsolidado282931[[#This Row],[ATUAL]])</f>
        <v>0</v>
      </c>
      <c r="S135" s="176">
        <f>SUMIFS(tabela_registros[VALOR],tabela_registros[MÊS],$AE$1,tabela_registros[DIA],investirrendavariávelconsolidado282931[[#Headers],[15]],tabela_registros[REGISTRO],DADOS!$N$5,tabela_registros[TIPO],DADOS!$AB$4,tabela_registros[CATEGORIA],investirrendavariávelconsolidado282931[[#This Row],[ATUAL]])</f>
        <v>0</v>
      </c>
      <c r="T135" s="176">
        <f>SUMIFS(tabela_registros[VALOR],tabela_registros[MÊS],$AE$1,tabela_registros[DIA],investirrendavariávelconsolidado282931[[#Headers],[16]],tabela_registros[REGISTRO],DADOS!$N$5,tabela_registros[TIPO],DADOS!$AB$4,tabela_registros[CATEGORIA],investirrendavariávelconsolidado282931[[#This Row],[ATUAL]])</f>
        <v>0</v>
      </c>
      <c r="U135" s="176">
        <f>SUMIFS(tabela_registros[VALOR],tabela_registros[MÊS],$AE$1,tabela_registros[DIA],investirrendavariávelconsolidado282931[[#Headers],[17]],tabela_registros[REGISTRO],DADOS!$N$5,tabela_registros[TIPO],DADOS!$AB$4,tabela_registros[CATEGORIA],investirrendavariávelconsolidado282931[[#This Row],[ATUAL]])</f>
        <v>0</v>
      </c>
      <c r="V135" s="176">
        <f>SUMIFS(tabela_registros[VALOR],tabela_registros[MÊS],$AE$1,tabela_registros[DIA],investirrendavariávelconsolidado282931[[#Headers],[18]],tabela_registros[REGISTRO],DADOS!$N$5,tabela_registros[TIPO],DADOS!$AB$4,tabela_registros[CATEGORIA],investirrendavariávelconsolidado282931[[#This Row],[ATUAL]])</f>
        <v>0</v>
      </c>
      <c r="W135" s="176">
        <f>SUMIFS(tabela_registros[VALOR],tabela_registros[MÊS],$AE$1,tabela_registros[DIA],investirrendavariávelconsolidado282931[[#Headers],[19]],tabela_registros[REGISTRO],DADOS!$N$5,tabela_registros[TIPO],DADOS!$AB$4,tabela_registros[CATEGORIA],investirrendavariávelconsolidado282931[[#This Row],[ATUAL]])</f>
        <v>0</v>
      </c>
      <c r="X135" s="176">
        <f>SUMIFS(tabela_registros[VALOR],tabela_registros[MÊS],$AE$1,tabela_registros[DIA],investirrendavariávelconsolidado282931[[#Headers],[20]],tabela_registros[REGISTRO],DADOS!$N$5,tabela_registros[TIPO],DADOS!$AB$4,tabela_registros[CATEGORIA],investirrendavariávelconsolidado282931[[#This Row],[ATUAL]])</f>
        <v>0</v>
      </c>
      <c r="Y135" s="176">
        <f>SUMIFS(tabela_registros[VALOR],tabela_registros[MÊS],$AE$1,tabela_registros[DIA],investirrendavariávelconsolidado282931[[#Headers],[21]],tabela_registros[REGISTRO],DADOS!$N$5,tabela_registros[TIPO],DADOS!$AB$4,tabela_registros[CATEGORIA],investirrendavariávelconsolidado282931[[#This Row],[ATUAL]])</f>
        <v>0</v>
      </c>
      <c r="Z135" s="176">
        <f>SUMIFS(tabela_registros[VALOR],tabela_registros[MÊS],$AE$1,tabela_registros[DIA],investirrendavariávelconsolidado282931[[#Headers],[22]],tabela_registros[REGISTRO],DADOS!$N$5,tabela_registros[TIPO],DADOS!$AB$4,tabela_registros[CATEGORIA],investirrendavariávelconsolidado282931[[#This Row],[ATUAL]])</f>
        <v>0</v>
      </c>
      <c r="AA135" s="176">
        <f>SUMIFS(tabela_registros[VALOR],tabela_registros[MÊS],$AE$1,tabela_registros[DIA],investirrendavariávelconsolidado282931[[#Headers],[23]],tabela_registros[REGISTRO],DADOS!$N$5,tabela_registros[TIPO],DADOS!$AB$4,tabela_registros[CATEGORIA],investirrendavariávelconsolidado282931[[#This Row],[ATUAL]])</f>
        <v>0</v>
      </c>
      <c r="AB135" s="176">
        <f>SUMIFS(tabela_registros[VALOR],tabela_registros[MÊS],$AE$1,tabela_registros[DIA],investirrendavariávelconsolidado282931[[#Headers],[24]],tabela_registros[REGISTRO],DADOS!$N$5,tabela_registros[TIPO],DADOS!$AB$4,tabela_registros[CATEGORIA],investirrendavariávelconsolidado282931[[#This Row],[ATUAL]])</f>
        <v>0</v>
      </c>
      <c r="AC135" s="176">
        <f>SUMIFS(tabela_registros[VALOR],tabela_registros[MÊS],$AE$1,tabela_registros[DIA],investirrendavariávelconsolidado282931[[#Headers],[25]],tabela_registros[REGISTRO],DADOS!$N$5,tabela_registros[TIPO],DADOS!$AB$4,tabela_registros[CATEGORIA],investirrendavariávelconsolidado282931[[#This Row],[ATUAL]])</f>
        <v>0</v>
      </c>
      <c r="AD135" s="176">
        <f>SUMIFS(tabela_registros[VALOR],tabela_registros[MÊS],$AE$1,tabela_registros[DIA],investirrendavariávelconsolidado282931[[#Headers],[26]],tabela_registros[REGISTRO],DADOS!$N$5,tabela_registros[TIPO],DADOS!$AB$4,tabela_registros[CATEGORIA],investirrendavariávelconsolidado282931[[#This Row],[ATUAL]])</f>
        <v>0</v>
      </c>
      <c r="AE135" s="176">
        <f>SUMIFS(tabela_registros[VALOR],tabela_registros[MÊS],$AE$1,tabela_registros[DIA],investirrendavariávelconsolidado282931[[#Headers],[27]],tabela_registros[REGISTRO],DADOS!$N$5,tabela_registros[TIPO],DADOS!$AB$4,tabela_registros[CATEGORIA],investirrendavariávelconsolidado282931[[#This Row],[ATUAL]])</f>
        <v>0</v>
      </c>
      <c r="AF135" s="176">
        <f>SUMIFS(tabela_registros[VALOR],tabela_registros[MÊS],$AE$1,tabela_registros[DIA],investirrendavariávelconsolidado282931[[#Headers],[28]],tabela_registros[REGISTRO],DADOS!$N$5,tabela_registros[TIPO],DADOS!$AB$4,tabela_registros[CATEGORIA],investirrendavariávelconsolidado282931[[#This Row],[ATUAL]])</f>
        <v>0</v>
      </c>
      <c r="AG135" s="176">
        <f>SUMIFS(tabela_registros[VALOR],tabela_registros[MÊS],$AE$1,tabela_registros[DIA],investirrendavariávelconsolidado282931[[#Headers],[29]],tabela_registros[REGISTRO],DADOS!$N$5,tabela_registros[TIPO],DADOS!$AB$4,tabela_registros[CATEGORIA],investirrendavariávelconsolidado282931[[#This Row],[ATUAL]])</f>
        <v>0</v>
      </c>
      <c r="AH135" s="176">
        <f>SUMIFS(tabela_registros[VALOR],tabela_registros[MÊS],$AE$1,tabela_registros[DIA],investirrendavariávelconsolidado282931[[#Headers],[30]],tabela_registros[REGISTRO],DADOS!$N$5,tabela_registros[TIPO],DADOS!$AB$4,tabela_registros[CATEGORIA],investirrendavariávelconsolidado282931[[#This Row],[ATUAL]])</f>
        <v>0</v>
      </c>
      <c r="AI135" s="190">
        <f>SUMIFS(tabela_registros[VALOR],tabela_registros[MÊS],$AE$1,tabela_registros[DIA],investirrendavariávelconsolidado282931[[#Headers],[31]],tabela_registros[REGISTRO],DADOS!$N$5,tabela_registros[TIPO],DADOS!$AB$4,tabela_registros[CATEGORIA],investirrendavariávelconsolidado282931[[#This Row],[ATUAL]])</f>
        <v>0</v>
      </c>
      <c r="AJ135" s="167">
        <f>SUM(investirrendavariávelconsolidado282931[[#This Row],[1]:[31]])</f>
        <v>0</v>
      </c>
      <c r="AK135" s="25"/>
    </row>
    <row r="136" spans="2:37" ht="19.5" customHeight="1" thickTop="1" thickBot="1" x14ac:dyDescent="0.3">
      <c r="B136" s="28"/>
      <c r="C136" s="27" t="str">
        <f>DADOS!$AF$7</f>
        <v>📝 CRIPTOMOEDA</v>
      </c>
      <c r="D136" s="26" t="str">
        <f>IF(investirrendavariávelconsolidado282931[[#This Row],[TOTAL (R$)]]=0,"",IF(OR(investirrendavariávelconsolidado282931[[#This Row],[TOTAL (R$)]]=LARGE($AJ$132:$AJ$141,1),investirrendavariávelconsolidado282931[[#This Row],[TOTAL (R$)]]=LARGE($AJ$132:$AJ$141,2)),DADOS!$I$10,""))</f>
        <v>💎</v>
      </c>
      <c r="E136" s="189">
        <f>SUMIFS(tabela_registros[VALOR],tabela_registros[MÊS],$AE$1,tabela_registros[DIA],investirrendavariávelconsolidado282931[[#Headers],[1]],tabela_registros[REGISTRO],DADOS!$N$5,tabela_registros[TIPO],DADOS!$AB$4,tabela_registros[CATEGORIA],investirrendavariávelconsolidado282931[[#This Row],[ATUAL]])</f>
        <v>0</v>
      </c>
      <c r="F136" s="176">
        <f>SUMIFS(tabela_registros[VALOR],tabela_registros[MÊS],$AE$1,tabela_registros[DIA],investirrendavariávelconsolidado282931[[#Headers],[2]],tabela_registros[REGISTRO],DADOS!$N$5,tabela_registros[TIPO],DADOS!$AB$4,tabela_registros[CATEGORIA],investirrendavariávelconsolidado282931[[#This Row],[ATUAL]])</f>
        <v>0</v>
      </c>
      <c r="G136" s="176">
        <f>SUMIFS(tabela_registros[VALOR],tabela_registros[MÊS],$AE$1,tabela_registros[DIA],investirrendavariávelconsolidado282931[[#Headers],[3]],tabela_registros[REGISTRO],DADOS!$N$5,tabela_registros[TIPO],DADOS!$AB$4,tabela_registros[CATEGORIA],investirrendavariávelconsolidado282931[[#This Row],[ATUAL]])</f>
        <v>0</v>
      </c>
      <c r="H136" s="176">
        <f>SUMIFS(tabela_registros[VALOR],tabela_registros[MÊS],$AE$1,tabela_registros[DIA],investirrendavariávelconsolidado282931[[#Headers],[4]],tabela_registros[REGISTRO],DADOS!$N$5,tabela_registros[TIPO],DADOS!$AB$4,tabela_registros[CATEGORIA],investirrendavariávelconsolidado282931[[#This Row],[ATUAL]])</f>
        <v>0</v>
      </c>
      <c r="I136" s="176">
        <f>SUMIFS(tabela_registros[VALOR],tabela_registros[MÊS],$AE$1,tabela_registros[DIA],investirrendavariávelconsolidado282931[[#Headers],[5]],tabela_registros[REGISTRO],DADOS!$N$5,tabela_registros[TIPO],DADOS!$AB$4,tabela_registros[CATEGORIA],investirrendavariávelconsolidado282931[[#This Row],[ATUAL]])</f>
        <v>0</v>
      </c>
      <c r="J136" s="176">
        <f>SUMIFS(tabela_registros[VALOR],tabela_registros[MÊS],$AE$1,tabela_registros[DIA],investirrendavariávelconsolidado282931[[#Headers],[6]],tabela_registros[REGISTRO],DADOS!$N$5,tabela_registros[TIPO],DADOS!$AB$4,tabela_registros[CATEGORIA],investirrendavariávelconsolidado282931[[#This Row],[ATUAL]])</f>
        <v>0</v>
      </c>
      <c r="K136" s="176">
        <f>SUMIFS(tabela_registros[VALOR],tabela_registros[MÊS],$AE$1,tabela_registros[DIA],investirrendavariávelconsolidado282931[[#Headers],[7]],tabela_registros[REGISTRO],DADOS!$N$5,tabela_registros[TIPO],DADOS!$AB$4,tabela_registros[CATEGORIA],investirrendavariávelconsolidado282931[[#This Row],[ATUAL]])</f>
        <v>0</v>
      </c>
      <c r="L136" s="176">
        <f>SUMIFS(tabela_registros[VALOR],tabela_registros[MÊS],$AE$1,tabela_registros[DIA],investirrendavariávelconsolidado282931[[#Headers],[8]],tabela_registros[REGISTRO],DADOS!$N$5,tabela_registros[TIPO],DADOS!$AB$4,tabela_registros[CATEGORIA],investirrendavariávelconsolidado282931[[#This Row],[ATUAL]])</f>
        <v>0</v>
      </c>
      <c r="M136" s="176">
        <f>SUMIFS(tabela_registros[VALOR],tabela_registros[MÊS],$AE$1,tabela_registros[DIA],investirrendavariávelconsolidado282931[[#Headers],[9]],tabela_registros[REGISTRO],DADOS!$N$5,tabela_registros[TIPO],DADOS!$AB$4,tabela_registros[CATEGORIA],investirrendavariávelconsolidado282931[[#This Row],[ATUAL]])</f>
        <v>0</v>
      </c>
      <c r="N136" s="176">
        <f>SUMIFS(tabela_registros[VALOR],tabela_registros[MÊS],$AE$1,tabela_registros[DIA],investirrendavariávelconsolidado282931[[#Headers],[10]],tabela_registros[REGISTRO],DADOS!$N$5,tabela_registros[TIPO],DADOS!$AB$4,tabela_registros[CATEGORIA],investirrendavariávelconsolidado282931[[#This Row],[ATUAL]])</f>
        <v>0</v>
      </c>
      <c r="O136" s="176">
        <f>SUMIFS(tabela_registros[VALOR],tabela_registros[MÊS],$AE$1,tabela_registros[DIA],investirrendavariávelconsolidado282931[[#Headers],[11]],tabela_registros[REGISTRO],DADOS!$N$5,tabela_registros[TIPO],DADOS!$AB$4,tabela_registros[CATEGORIA],investirrendavariávelconsolidado282931[[#This Row],[ATUAL]])</f>
        <v>0</v>
      </c>
      <c r="P136" s="176">
        <f>SUMIFS(tabela_registros[VALOR],tabela_registros[MÊS],$AE$1,tabela_registros[DIA],investirrendavariávelconsolidado282931[[#Headers],[12]],tabela_registros[REGISTRO],DADOS!$N$5,tabela_registros[TIPO],DADOS!$AB$4,tabela_registros[CATEGORIA],investirrendavariávelconsolidado282931[[#This Row],[ATUAL]])</f>
        <v>0</v>
      </c>
      <c r="Q136" s="176">
        <f>SUMIFS(tabela_registros[VALOR],tabela_registros[MÊS],$AE$1,tabela_registros[DIA],investirrendavariávelconsolidado282931[[#Headers],[13]],tabela_registros[REGISTRO],DADOS!$N$5,tabela_registros[TIPO],DADOS!$AB$4,tabela_registros[CATEGORIA],investirrendavariávelconsolidado282931[[#This Row],[ATUAL]])</f>
        <v>0</v>
      </c>
      <c r="R136" s="176">
        <f>SUMIFS(tabela_registros[VALOR],tabela_registros[MÊS],$AE$1,tabela_registros[DIA],investirrendavariávelconsolidado282931[[#Headers],[14]],tabela_registros[REGISTRO],DADOS!$N$5,tabela_registros[TIPO],DADOS!$AB$4,tabela_registros[CATEGORIA],investirrendavariávelconsolidado282931[[#This Row],[ATUAL]])</f>
        <v>0</v>
      </c>
      <c r="S136" s="176">
        <f>SUMIFS(tabela_registros[VALOR],tabela_registros[MÊS],$AE$1,tabela_registros[DIA],investirrendavariávelconsolidado282931[[#Headers],[15]],tabela_registros[REGISTRO],DADOS!$N$5,tabela_registros[TIPO],DADOS!$AB$4,tabela_registros[CATEGORIA],investirrendavariávelconsolidado282931[[#This Row],[ATUAL]])</f>
        <v>0</v>
      </c>
      <c r="T136" s="176">
        <f>SUMIFS(tabela_registros[VALOR],tabela_registros[MÊS],$AE$1,tabela_registros[DIA],investirrendavariávelconsolidado282931[[#Headers],[16]],tabela_registros[REGISTRO],DADOS!$N$5,tabela_registros[TIPO],DADOS!$AB$4,tabela_registros[CATEGORIA],investirrendavariávelconsolidado282931[[#This Row],[ATUAL]])</f>
        <v>0</v>
      </c>
      <c r="U136" s="176">
        <f>SUMIFS(tabela_registros[VALOR],tabela_registros[MÊS],$AE$1,tabela_registros[DIA],investirrendavariávelconsolidado282931[[#Headers],[17]],tabela_registros[REGISTRO],DADOS!$N$5,tabela_registros[TIPO],DADOS!$AB$4,tabela_registros[CATEGORIA],investirrendavariávelconsolidado282931[[#This Row],[ATUAL]])</f>
        <v>0</v>
      </c>
      <c r="V136" s="176">
        <f>SUMIFS(tabela_registros[VALOR],tabela_registros[MÊS],$AE$1,tabela_registros[DIA],investirrendavariávelconsolidado282931[[#Headers],[18]],tabela_registros[REGISTRO],DADOS!$N$5,tabela_registros[TIPO],DADOS!$AB$4,tabela_registros[CATEGORIA],investirrendavariávelconsolidado282931[[#This Row],[ATUAL]])</f>
        <v>0</v>
      </c>
      <c r="W136" s="176">
        <f>SUMIFS(tabela_registros[VALOR],tabela_registros[MÊS],$AE$1,tabela_registros[DIA],investirrendavariávelconsolidado282931[[#Headers],[19]],tabela_registros[REGISTRO],DADOS!$N$5,tabela_registros[TIPO],DADOS!$AB$4,tabela_registros[CATEGORIA],investirrendavariávelconsolidado282931[[#This Row],[ATUAL]])</f>
        <v>0</v>
      </c>
      <c r="X136" s="176">
        <f>SUMIFS(tabela_registros[VALOR],tabela_registros[MÊS],$AE$1,tabela_registros[DIA],investirrendavariávelconsolidado282931[[#Headers],[20]],tabela_registros[REGISTRO],DADOS!$N$5,tabela_registros[TIPO],DADOS!$AB$4,tabela_registros[CATEGORIA],investirrendavariávelconsolidado282931[[#This Row],[ATUAL]])</f>
        <v>0</v>
      </c>
      <c r="Y136" s="176">
        <f>SUMIFS(tabela_registros[VALOR],tabela_registros[MÊS],$AE$1,tabela_registros[DIA],investirrendavariávelconsolidado282931[[#Headers],[21]],tabela_registros[REGISTRO],DADOS!$N$5,tabela_registros[TIPO],DADOS!$AB$4,tabela_registros[CATEGORIA],investirrendavariávelconsolidado282931[[#This Row],[ATUAL]])</f>
        <v>0</v>
      </c>
      <c r="Z136" s="176">
        <f>SUMIFS(tabela_registros[VALOR],tabela_registros[MÊS],$AE$1,tabela_registros[DIA],investirrendavariávelconsolidado282931[[#Headers],[22]],tabela_registros[REGISTRO],DADOS!$N$5,tabela_registros[TIPO],DADOS!$AB$4,tabela_registros[CATEGORIA],investirrendavariávelconsolidado282931[[#This Row],[ATUAL]])</f>
        <v>0</v>
      </c>
      <c r="AA136" s="176">
        <f>SUMIFS(tabela_registros[VALOR],tabela_registros[MÊS],$AE$1,tabela_registros[DIA],investirrendavariávelconsolidado282931[[#Headers],[23]],tabela_registros[REGISTRO],DADOS!$N$5,tabela_registros[TIPO],DADOS!$AB$4,tabela_registros[CATEGORIA],investirrendavariávelconsolidado282931[[#This Row],[ATUAL]])</f>
        <v>0</v>
      </c>
      <c r="AB136" s="176">
        <f>SUMIFS(tabela_registros[VALOR],tabela_registros[MÊS],$AE$1,tabela_registros[DIA],investirrendavariávelconsolidado282931[[#Headers],[24]],tabela_registros[REGISTRO],DADOS!$N$5,tabela_registros[TIPO],DADOS!$AB$4,tabela_registros[CATEGORIA],investirrendavariávelconsolidado282931[[#This Row],[ATUAL]])</f>
        <v>0</v>
      </c>
      <c r="AC136" s="176">
        <f>SUMIFS(tabela_registros[VALOR],tabela_registros[MÊS],$AE$1,tabela_registros[DIA],investirrendavariávelconsolidado282931[[#Headers],[25]],tabela_registros[REGISTRO],DADOS!$N$5,tabela_registros[TIPO],DADOS!$AB$4,tabela_registros[CATEGORIA],investirrendavariávelconsolidado282931[[#This Row],[ATUAL]])</f>
        <v>0</v>
      </c>
      <c r="AD136" s="176">
        <f>SUMIFS(tabela_registros[VALOR],tabela_registros[MÊS],$AE$1,tabela_registros[DIA],investirrendavariávelconsolidado282931[[#Headers],[26]],tabela_registros[REGISTRO],DADOS!$N$5,tabela_registros[TIPO],DADOS!$AB$4,tabela_registros[CATEGORIA],investirrendavariávelconsolidado282931[[#This Row],[ATUAL]])</f>
        <v>0</v>
      </c>
      <c r="AE136" s="176">
        <f>SUMIFS(tabela_registros[VALOR],tabela_registros[MÊS],$AE$1,tabela_registros[DIA],investirrendavariávelconsolidado282931[[#Headers],[27]],tabela_registros[REGISTRO],DADOS!$N$5,tabela_registros[TIPO],DADOS!$AB$4,tabela_registros[CATEGORIA],investirrendavariávelconsolidado282931[[#This Row],[ATUAL]])</f>
        <v>0</v>
      </c>
      <c r="AF136" s="176">
        <f>SUMIFS(tabela_registros[VALOR],tabela_registros[MÊS],$AE$1,tabela_registros[DIA],investirrendavariávelconsolidado282931[[#Headers],[28]],tabela_registros[REGISTRO],DADOS!$N$5,tabela_registros[TIPO],DADOS!$AB$4,tabela_registros[CATEGORIA],investirrendavariávelconsolidado282931[[#This Row],[ATUAL]])</f>
        <v>50</v>
      </c>
      <c r="AG136" s="176">
        <f>SUMIFS(tabela_registros[VALOR],tabela_registros[MÊS],$AE$1,tabela_registros[DIA],investirrendavariávelconsolidado282931[[#Headers],[29]],tabela_registros[REGISTRO],DADOS!$N$5,tabela_registros[TIPO],DADOS!$AB$4,tabela_registros[CATEGORIA],investirrendavariávelconsolidado282931[[#This Row],[ATUAL]])</f>
        <v>0</v>
      </c>
      <c r="AH136" s="176">
        <f>SUMIFS(tabela_registros[VALOR],tabela_registros[MÊS],$AE$1,tabela_registros[DIA],investirrendavariávelconsolidado282931[[#Headers],[30]],tabela_registros[REGISTRO],DADOS!$N$5,tabela_registros[TIPO],DADOS!$AB$4,tabela_registros[CATEGORIA],investirrendavariávelconsolidado282931[[#This Row],[ATUAL]])</f>
        <v>0</v>
      </c>
      <c r="AI136" s="190">
        <f>SUMIFS(tabela_registros[VALOR],tabela_registros[MÊS],$AE$1,tabela_registros[DIA],investirrendavariávelconsolidado282931[[#Headers],[31]],tabela_registros[REGISTRO],DADOS!$N$5,tabela_registros[TIPO],DADOS!$AB$4,tabela_registros[CATEGORIA],investirrendavariávelconsolidado282931[[#This Row],[ATUAL]])</f>
        <v>0</v>
      </c>
      <c r="AJ136" s="201">
        <f>SUM(investirrendavariávelconsolidado282931[[#This Row],[1]:[31]])</f>
        <v>50</v>
      </c>
      <c r="AK136" s="25"/>
    </row>
    <row r="137" spans="2:37" ht="19.5" customHeight="1" thickTop="1" thickBot="1" x14ac:dyDescent="0.3">
      <c r="B137" s="28"/>
      <c r="C137" s="27" t="str">
        <f>DADOS!$AF$8</f>
        <v>📝 ETF</v>
      </c>
      <c r="D137" s="26" t="str">
        <f>IF(investirrendavariávelconsolidado282931[[#This Row],[TOTAL (R$)]]=0,"",IF(OR(investirrendavariávelconsolidado282931[[#This Row],[TOTAL (R$)]]=LARGE($AJ$132:$AJ$141,1),investirrendavariávelconsolidado282931[[#This Row],[TOTAL (R$)]]=LARGE($AJ$132:$AJ$141,2)),DADOS!$I$10,""))</f>
        <v/>
      </c>
      <c r="E137" s="189">
        <f>SUMIFS(tabela_registros[VALOR],tabela_registros[MÊS],$AE$1,tabela_registros[DIA],investirrendavariávelconsolidado282931[[#Headers],[1]],tabela_registros[REGISTRO],DADOS!$N$5,tabela_registros[TIPO],DADOS!$AB$4,tabela_registros[CATEGORIA],investirrendavariávelconsolidado282931[[#This Row],[ATUAL]])</f>
        <v>0</v>
      </c>
      <c r="F137" s="176">
        <f>SUMIFS(tabela_registros[VALOR],tabela_registros[MÊS],$AE$1,tabela_registros[DIA],investirrendavariávelconsolidado282931[[#Headers],[2]],tabela_registros[REGISTRO],DADOS!$N$5,tabela_registros[TIPO],DADOS!$AB$4,tabela_registros[CATEGORIA],investirrendavariávelconsolidado282931[[#This Row],[ATUAL]])</f>
        <v>0</v>
      </c>
      <c r="G137" s="176">
        <f>SUMIFS(tabela_registros[VALOR],tabela_registros[MÊS],$AE$1,tabela_registros[DIA],investirrendavariávelconsolidado282931[[#Headers],[3]],tabela_registros[REGISTRO],DADOS!$N$5,tabela_registros[TIPO],DADOS!$AB$4,tabela_registros[CATEGORIA],investirrendavariávelconsolidado282931[[#This Row],[ATUAL]])</f>
        <v>0</v>
      </c>
      <c r="H137" s="176">
        <f>SUMIFS(tabela_registros[VALOR],tabela_registros[MÊS],$AE$1,tabela_registros[DIA],investirrendavariávelconsolidado282931[[#Headers],[4]],tabela_registros[REGISTRO],DADOS!$N$5,tabela_registros[TIPO],DADOS!$AB$4,tabela_registros[CATEGORIA],investirrendavariávelconsolidado282931[[#This Row],[ATUAL]])</f>
        <v>0</v>
      </c>
      <c r="I137" s="176">
        <f>SUMIFS(tabela_registros[VALOR],tabela_registros[MÊS],$AE$1,tabela_registros[DIA],investirrendavariávelconsolidado282931[[#Headers],[5]],tabela_registros[REGISTRO],DADOS!$N$5,tabela_registros[TIPO],DADOS!$AB$4,tabela_registros[CATEGORIA],investirrendavariávelconsolidado282931[[#This Row],[ATUAL]])</f>
        <v>0</v>
      </c>
      <c r="J137" s="176">
        <f>SUMIFS(tabela_registros[VALOR],tabela_registros[MÊS],$AE$1,tabela_registros[DIA],investirrendavariávelconsolidado282931[[#Headers],[6]],tabela_registros[REGISTRO],DADOS!$N$5,tabela_registros[TIPO],DADOS!$AB$4,tabela_registros[CATEGORIA],investirrendavariávelconsolidado282931[[#This Row],[ATUAL]])</f>
        <v>0</v>
      </c>
      <c r="K137" s="176">
        <f>SUMIFS(tabela_registros[VALOR],tabela_registros[MÊS],$AE$1,tabela_registros[DIA],investirrendavariávelconsolidado282931[[#Headers],[7]],tabela_registros[REGISTRO],DADOS!$N$5,tabela_registros[TIPO],DADOS!$AB$4,tabela_registros[CATEGORIA],investirrendavariávelconsolidado282931[[#This Row],[ATUAL]])</f>
        <v>0</v>
      </c>
      <c r="L137" s="176">
        <f>SUMIFS(tabela_registros[VALOR],tabela_registros[MÊS],$AE$1,tabela_registros[DIA],investirrendavariávelconsolidado282931[[#Headers],[8]],tabela_registros[REGISTRO],DADOS!$N$5,tabela_registros[TIPO],DADOS!$AB$4,tabela_registros[CATEGORIA],investirrendavariávelconsolidado282931[[#This Row],[ATUAL]])</f>
        <v>0</v>
      </c>
      <c r="M137" s="176">
        <f>SUMIFS(tabela_registros[VALOR],tabela_registros[MÊS],$AE$1,tabela_registros[DIA],investirrendavariávelconsolidado282931[[#Headers],[9]],tabela_registros[REGISTRO],DADOS!$N$5,tabela_registros[TIPO],DADOS!$AB$4,tabela_registros[CATEGORIA],investirrendavariávelconsolidado282931[[#This Row],[ATUAL]])</f>
        <v>0</v>
      </c>
      <c r="N137" s="176">
        <f>SUMIFS(tabela_registros[VALOR],tabela_registros[MÊS],$AE$1,tabela_registros[DIA],investirrendavariávelconsolidado282931[[#Headers],[10]],tabela_registros[REGISTRO],DADOS!$N$5,tabela_registros[TIPO],DADOS!$AB$4,tabela_registros[CATEGORIA],investirrendavariávelconsolidado282931[[#This Row],[ATUAL]])</f>
        <v>0</v>
      </c>
      <c r="O137" s="176">
        <f>SUMIFS(tabela_registros[VALOR],tabela_registros[MÊS],$AE$1,tabela_registros[DIA],investirrendavariávelconsolidado282931[[#Headers],[11]],tabela_registros[REGISTRO],DADOS!$N$5,tabela_registros[TIPO],DADOS!$AB$4,tabela_registros[CATEGORIA],investirrendavariávelconsolidado282931[[#This Row],[ATUAL]])</f>
        <v>0</v>
      </c>
      <c r="P137" s="176">
        <f>SUMIFS(tabela_registros[VALOR],tabela_registros[MÊS],$AE$1,tabela_registros[DIA],investirrendavariávelconsolidado282931[[#Headers],[12]],tabela_registros[REGISTRO],DADOS!$N$5,tabela_registros[TIPO],DADOS!$AB$4,tabela_registros[CATEGORIA],investirrendavariávelconsolidado282931[[#This Row],[ATUAL]])</f>
        <v>0</v>
      </c>
      <c r="Q137" s="176">
        <f>SUMIFS(tabela_registros[VALOR],tabela_registros[MÊS],$AE$1,tabela_registros[DIA],investirrendavariávelconsolidado282931[[#Headers],[13]],tabela_registros[REGISTRO],DADOS!$N$5,tabela_registros[TIPO],DADOS!$AB$4,tabela_registros[CATEGORIA],investirrendavariávelconsolidado282931[[#This Row],[ATUAL]])</f>
        <v>0</v>
      </c>
      <c r="R137" s="176">
        <f>SUMIFS(tabela_registros[VALOR],tabela_registros[MÊS],$AE$1,tabela_registros[DIA],investirrendavariávelconsolidado282931[[#Headers],[14]],tabela_registros[REGISTRO],DADOS!$N$5,tabela_registros[TIPO],DADOS!$AB$4,tabela_registros[CATEGORIA],investirrendavariávelconsolidado282931[[#This Row],[ATUAL]])</f>
        <v>0</v>
      </c>
      <c r="S137" s="176">
        <f>SUMIFS(tabela_registros[VALOR],tabela_registros[MÊS],$AE$1,tabela_registros[DIA],investirrendavariávelconsolidado282931[[#Headers],[15]],tabela_registros[REGISTRO],DADOS!$N$5,tabela_registros[TIPO],DADOS!$AB$4,tabela_registros[CATEGORIA],investirrendavariávelconsolidado282931[[#This Row],[ATUAL]])</f>
        <v>0</v>
      </c>
      <c r="T137" s="176">
        <f>SUMIFS(tabela_registros[VALOR],tabela_registros[MÊS],$AE$1,tabela_registros[DIA],investirrendavariávelconsolidado282931[[#Headers],[16]],tabela_registros[REGISTRO],DADOS!$N$5,tabela_registros[TIPO],DADOS!$AB$4,tabela_registros[CATEGORIA],investirrendavariávelconsolidado282931[[#This Row],[ATUAL]])</f>
        <v>0</v>
      </c>
      <c r="U137" s="176">
        <f>SUMIFS(tabela_registros[VALOR],tabela_registros[MÊS],$AE$1,tabela_registros[DIA],investirrendavariávelconsolidado282931[[#Headers],[17]],tabela_registros[REGISTRO],DADOS!$N$5,tabela_registros[TIPO],DADOS!$AB$4,tabela_registros[CATEGORIA],investirrendavariávelconsolidado282931[[#This Row],[ATUAL]])</f>
        <v>0</v>
      </c>
      <c r="V137" s="176">
        <f>SUMIFS(tabela_registros[VALOR],tabela_registros[MÊS],$AE$1,tabela_registros[DIA],investirrendavariávelconsolidado282931[[#Headers],[18]],tabela_registros[REGISTRO],DADOS!$N$5,tabela_registros[TIPO],DADOS!$AB$4,tabela_registros[CATEGORIA],investirrendavariávelconsolidado282931[[#This Row],[ATUAL]])</f>
        <v>0</v>
      </c>
      <c r="W137" s="176">
        <f>SUMIFS(tabela_registros[VALOR],tabela_registros[MÊS],$AE$1,tabela_registros[DIA],investirrendavariávelconsolidado282931[[#Headers],[19]],tabela_registros[REGISTRO],DADOS!$N$5,tabela_registros[TIPO],DADOS!$AB$4,tabela_registros[CATEGORIA],investirrendavariávelconsolidado282931[[#This Row],[ATUAL]])</f>
        <v>0</v>
      </c>
      <c r="X137" s="176">
        <f>SUMIFS(tabela_registros[VALOR],tabela_registros[MÊS],$AE$1,tabela_registros[DIA],investirrendavariávelconsolidado282931[[#Headers],[20]],tabela_registros[REGISTRO],DADOS!$N$5,tabela_registros[TIPO],DADOS!$AB$4,tabela_registros[CATEGORIA],investirrendavariávelconsolidado282931[[#This Row],[ATUAL]])</f>
        <v>0</v>
      </c>
      <c r="Y137" s="176">
        <f>SUMIFS(tabela_registros[VALOR],tabela_registros[MÊS],$AE$1,tabela_registros[DIA],investirrendavariávelconsolidado282931[[#Headers],[21]],tabela_registros[REGISTRO],DADOS!$N$5,tabela_registros[TIPO],DADOS!$AB$4,tabela_registros[CATEGORIA],investirrendavariávelconsolidado282931[[#This Row],[ATUAL]])</f>
        <v>0</v>
      </c>
      <c r="Z137" s="176">
        <f>SUMIFS(tabela_registros[VALOR],tabela_registros[MÊS],$AE$1,tabela_registros[DIA],investirrendavariávelconsolidado282931[[#Headers],[22]],tabela_registros[REGISTRO],DADOS!$N$5,tabela_registros[TIPO],DADOS!$AB$4,tabela_registros[CATEGORIA],investirrendavariávelconsolidado282931[[#This Row],[ATUAL]])</f>
        <v>0</v>
      </c>
      <c r="AA137" s="176">
        <f>SUMIFS(tabela_registros[VALOR],tabela_registros[MÊS],$AE$1,tabela_registros[DIA],investirrendavariávelconsolidado282931[[#Headers],[23]],tabela_registros[REGISTRO],DADOS!$N$5,tabela_registros[TIPO],DADOS!$AB$4,tabela_registros[CATEGORIA],investirrendavariávelconsolidado282931[[#This Row],[ATUAL]])</f>
        <v>0</v>
      </c>
      <c r="AB137" s="176">
        <f>SUMIFS(tabela_registros[VALOR],tabela_registros[MÊS],$AE$1,tabela_registros[DIA],investirrendavariávelconsolidado282931[[#Headers],[24]],tabela_registros[REGISTRO],DADOS!$N$5,tabela_registros[TIPO],DADOS!$AB$4,tabela_registros[CATEGORIA],investirrendavariávelconsolidado282931[[#This Row],[ATUAL]])</f>
        <v>0</v>
      </c>
      <c r="AC137" s="176">
        <f>SUMIFS(tabela_registros[VALOR],tabela_registros[MÊS],$AE$1,tabela_registros[DIA],investirrendavariávelconsolidado282931[[#Headers],[25]],tabela_registros[REGISTRO],DADOS!$N$5,tabela_registros[TIPO],DADOS!$AB$4,tabela_registros[CATEGORIA],investirrendavariávelconsolidado282931[[#This Row],[ATUAL]])</f>
        <v>19.499999999999599</v>
      </c>
      <c r="AD137" s="176">
        <f>SUMIFS(tabela_registros[VALOR],tabela_registros[MÊS],$AE$1,tabela_registros[DIA],investirrendavariávelconsolidado282931[[#Headers],[26]],tabela_registros[REGISTRO],DADOS!$N$5,tabela_registros[TIPO],DADOS!$AB$4,tabela_registros[CATEGORIA],investirrendavariávelconsolidado282931[[#This Row],[ATUAL]])</f>
        <v>0</v>
      </c>
      <c r="AE137" s="176">
        <f>SUMIFS(tabela_registros[VALOR],tabela_registros[MÊS],$AE$1,tabela_registros[DIA],investirrendavariávelconsolidado282931[[#Headers],[27]],tabela_registros[REGISTRO],DADOS!$N$5,tabela_registros[TIPO],DADOS!$AB$4,tabela_registros[CATEGORIA],investirrendavariávelconsolidado282931[[#This Row],[ATUAL]])</f>
        <v>0</v>
      </c>
      <c r="AF137" s="176">
        <f>SUMIFS(tabela_registros[VALOR],tabela_registros[MÊS],$AE$1,tabela_registros[DIA],investirrendavariávelconsolidado282931[[#Headers],[28]],tabela_registros[REGISTRO],DADOS!$N$5,tabela_registros[TIPO],DADOS!$AB$4,tabela_registros[CATEGORIA],investirrendavariávelconsolidado282931[[#This Row],[ATUAL]])</f>
        <v>0</v>
      </c>
      <c r="AG137" s="176">
        <f>SUMIFS(tabela_registros[VALOR],tabela_registros[MÊS],$AE$1,tabela_registros[DIA],investirrendavariávelconsolidado282931[[#Headers],[29]],tabela_registros[REGISTRO],DADOS!$N$5,tabela_registros[TIPO],DADOS!$AB$4,tabela_registros[CATEGORIA],investirrendavariávelconsolidado282931[[#This Row],[ATUAL]])</f>
        <v>0</v>
      </c>
      <c r="AH137" s="176">
        <f>SUMIFS(tabela_registros[VALOR],tabela_registros[MÊS],$AE$1,tabela_registros[DIA],investirrendavariávelconsolidado282931[[#Headers],[30]],tabela_registros[REGISTRO],DADOS!$N$5,tabela_registros[TIPO],DADOS!$AB$4,tabela_registros[CATEGORIA],investirrendavariávelconsolidado282931[[#This Row],[ATUAL]])</f>
        <v>0</v>
      </c>
      <c r="AI137" s="190">
        <f>SUMIFS(tabela_registros[VALOR],tabela_registros[MÊS],$AE$1,tabela_registros[DIA],investirrendavariávelconsolidado282931[[#Headers],[31]],tabela_registros[REGISTRO],DADOS!$N$5,tabela_registros[TIPO],DADOS!$AB$4,tabela_registros[CATEGORIA],investirrendavariávelconsolidado282931[[#This Row],[ATUAL]])</f>
        <v>0</v>
      </c>
      <c r="AJ137" s="201">
        <f>SUM(investirrendavariávelconsolidado282931[[#This Row],[1]:[31]])</f>
        <v>19.499999999999599</v>
      </c>
      <c r="AK137" s="25"/>
    </row>
    <row r="138" spans="2:37" ht="19.5" customHeight="1" thickTop="1" thickBot="1" x14ac:dyDescent="0.3">
      <c r="B138" s="28"/>
      <c r="C138" s="27" t="str">
        <f>DADOS!$AF$9</f>
        <v>📝 EXTERIOR</v>
      </c>
      <c r="D138" s="26" t="str">
        <f>IF(investirrendavariávelconsolidado282931[[#This Row],[TOTAL (R$)]]=0,"",IF(OR(investirrendavariávelconsolidado282931[[#This Row],[TOTAL (R$)]]=LARGE($AJ$132:$AJ$141,1),investirrendavariávelconsolidado282931[[#This Row],[TOTAL (R$)]]=LARGE($AJ$132:$AJ$141,2)),DADOS!$I$10,""))</f>
        <v/>
      </c>
      <c r="E138" s="189">
        <f>SUMIFS(tabela_registros[VALOR],tabela_registros[MÊS],$AE$1,tabela_registros[DIA],investirrendavariávelconsolidado282931[[#Headers],[1]],tabela_registros[REGISTRO],DADOS!$N$5,tabela_registros[TIPO],DADOS!$AB$4,tabela_registros[CATEGORIA],investirrendavariávelconsolidado282931[[#This Row],[ATUAL]])</f>
        <v>0</v>
      </c>
      <c r="F138" s="176">
        <f>SUMIFS(tabela_registros[VALOR],tabela_registros[MÊS],$AE$1,tabela_registros[DIA],investirrendavariávelconsolidado282931[[#Headers],[2]],tabela_registros[REGISTRO],DADOS!$N$5,tabela_registros[TIPO],DADOS!$AB$4,tabela_registros[CATEGORIA],investirrendavariávelconsolidado282931[[#This Row],[ATUAL]])</f>
        <v>0</v>
      </c>
      <c r="G138" s="176">
        <f>SUMIFS(tabela_registros[VALOR],tabela_registros[MÊS],$AE$1,tabela_registros[DIA],investirrendavariávelconsolidado282931[[#Headers],[3]],tabela_registros[REGISTRO],DADOS!$N$5,tabela_registros[TIPO],DADOS!$AB$4,tabela_registros[CATEGORIA],investirrendavariávelconsolidado282931[[#This Row],[ATUAL]])</f>
        <v>0</v>
      </c>
      <c r="H138" s="176">
        <f>SUMIFS(tabela_registros[VALOR],tabela_registros[MÊS],$AE$1,tabela_registros[DIA],investirrendavariávelconsolidado282931[[#Headers],[4]],tabela_registros[REGISTRO],DADOS!$N$5,tabela_registros[TIPO],DADOS!$AB$4,tabela_registros[CATEGORIA],investirrendavariávelconsolidado282931[[#This Row],[ATUAL]])</f>
        <v>0</v>
      </c>
      <c r="I138" s="176">
        <f>SUMIFS(tabela_registros[VALOR],tabela_registros[MÊS],$AE$1,tabela_registros[DIA],investirrendavariávelconsolidado282931[[#Headers],[5]],tabela_registros[REGISTRO],DADOS!$N$5,tabela_registros[TIPO],DADOS!$AB$4,tabela_registros[CATEGORIA],investirrendavariávelconsolidado282931[[#This Row],[ATUAL]])</f>
        <v>0</v>
      </c>
      <c r="J138" s="176">
        <f>SUMIFS(tabela_registros[VALOR],tabela_registros[MÊS],$AE$1,tabela_registros[DIA],investirrendavariávelconsolidado282931[[#Headers],[6]],tabela_registros[REGISTRO],DADOS!$N$5,tabela_registros[TIPO],DADOS!$AB$4,tabela_registros[CATEGORIA],investirrendavariávelconsolidado282931[[#This Row],[ATUAL]])</f>
        <v>0</v>
      </c>
      <c r="K138" s="176">
        <f>SUMIFS(tabela_registros[VALOR],tabela_registros[MÊS],$AE$1,tabela_registros[DIA],investirrendavariávelconsolidado282931[[#Headers],[7]],tabela_registros[REGISTRO],DADOS!$N$5,tabela_registros[TIPO],DADOS!$AB$4,tabela_registros[CATEGORIA],investirrendavariávelconsolidado282931[[#This Row],[ATUAL]])</f>
        <v>0</v>
      </c>
      <c r="L138" s="176">
        <f>SUMIFS(tabela_registros[VALOR],tabela_registros[MÊS],$AE$1,tabela_registros[DIA],investirrendavariávelconsolidado282931[[#Headers],[8]],tabela_registros[REGISTRO],DADOS!$N$5,tabela_registros[TIPO],DADOS!$AB$4,tabela_registros[CATEGORIA],investirrendavariávelconsolidado282931[[#This Row],[ATUAL]])</f>
        <v>0</v>
      </c>
      <c r="M138" s="176">
        <f>SUMIFS(tabela_registros[VALOR],tabela_registros[MÊS],$AE$1,tabela_registros[DIA],investirrendavariávelconsolidado282931[[#Headers],[9]],tabela_registros[REGISTRO],DADOS!$N$5,tabela_registros[TIPO],DADOS!$AB$4,tabela_registros[CATEGORIA],investirrendavariávelconsolidado282931[[#This Row],[ATUAL]])</f>
        <v>0</v>
      </c>
      <c r="N138" s="176">
        <f>SUMIFS(tabela_registros[VALOR],tabela_registros[MÊS],$AE$1,tabela_registros[DIA],investirrendavariávelconsolidado282931[[#Headers],[10]],tabela_registros[REGISTRO],DADOS!$N$5,tabela_registros[TIPO],DADOS!$AB$4,tabela_registros[CATEGORIA],investirrendavariávelconsolidado282931[[#This Row],[ATUAL]])</f>
        <v>0</v>
      </c>
      <c r="O138" s="176">
        <f>SUMIFS(tabela_registros[VALOR],tabela_registros[MÊS],$AE$1,tabela_registros[DIA],investirrendavariávelconsolidado282931[[#Headers],[11]],tabela_registros[REGISTRO],DADOS!$N$5,tabela_registros[TIPO],DADOS!$AB$4,tabela_registros[CATEGORIA],investirrendavariávelconsolidado282931[[#This Row],[ATUAL]])</f>
        <v>0</v>
      </c>
      <c r="P138" s="176">
        <f>SUMIFS(tabela_registros[VALOR],tabela_registros[MÊS],$AE$1,tabela_registros[DIA],investirrendavariávelconsolidado282931[[#Headers],[12]],tabela_registros[REGISTRO],DADOS!$N$5,tabela_registros[TIPO],DADOS!$AB$4,tabela_registros[CATEGORIA],investirrendavariávelconsolidado282931[[#This Row],[ATUAL]])</f>
        <v>0</v>
      </c>
      <c r="Q138" s="176">
        <f>SUMIFS(tabela_registros[VALOR],tabela_registros[MÊS],$AE$1,tabela_registros[DIA],investirrendavariávelconsolidado282931[[#Headers],[13]],tabela_registros[REGISTRO],DADOS!$N$5,tabela_registros[TIPO],DADOS!$AB$4,tabela_registros[CATEGORIA],investirrendavariávelconsolidado282931[[#This Row],[ATUAL]])</f>
        <v>0</v>
      </c>
      <c r="R138" s="176">
        <f>SUMIFS(tabela_registros[VALOR],tabela_registros[MÊS],$AE$1,tabela_registros[DIA],investirrendavariávelconsolidado282931[[#Headers],[14]],tabela_registros[REGISTRO],DADOS!$N$5,tabela_registros[TIPO],DADOS!$AB$4,tabela_registros[CATEGORIA],investirrendavariávelconsolidado282931[[#This Row],[ATUAL]])</f>
        <v>0</v>
      </c>
      <c r="S138" s="176">
        <f>SUMIFS(tabela_registros[VALOR],tabela_registros[MÊS],$AE$1,tabela_registros[DIA],investirrendavariávelconsolidado282931[[#Headers],[15]],tabela_registros[REGISTRO],DADOS!$N$5,tabela_registros[TIPO],DADOS!$AB$4,tabela_registros[CATEGORIA],investirrendavariávelconsolidado282931[[#This Row],[ATUAL]])</f>
        <v>0</v>
      </c>
      <c r="T138" s="176">
        <f>SUMIFS(tabela_registros[VALOR],tabela_registros[MÊS],$AE$1,tabela_registros[DIA],investirrendavariávelconsolidado282931[[#Headers],[16]],tabela_registros[REGISTRO],DADOS!$N$5,tabela_registros[TIPO],DADOS!$AB$4,tabela_registros[CATEGORIA],investirrendavariávelconsolidado282931[[#This Row],[ATUAL]])</f>
        <v>0</v>
      </c>
      <c r="U138" s="176">
        <f>SUMIFS(tabela_registros[VALOR],tabela_registros[MÊS],$AE$1,tabela_registros[DIA],investirrendavariávelconsolidado282931[[#Headers],[17]],tabela_registros[REGISTRO],DADOS!$N$5,tabela_registros[TIPO],DADOS!$AB$4,tabela_registros[CATEGORIA],investirrendavariávelconsolidado282931[[#This Row],[ATUAL]])</f>
        <v>0</v>
      </c>
      <c r="V138" s="176">
        <f>SUMIFS(tabela_registros[VALOR],tabela_registros[MÊS],$AE$1,tabela_registros[DIA],investirrendavariávelconsolidado282931[[#Headers],[18]],tabela_registros[REGISTRO],DADOS!$N$5,tabela_registros[TIPO],DADOS!$AB$4,tabela_registros[CATEGORIA],investirrendavariávelconsolidado282931[[#This Row],[ATUAL]])</f>
        <v>0</v>
      </c>
      <c r="W138" s="176">
        <f>SUMIFS(tabela_registros[VALOR],tabela_registros[MÊS],$AE$1,tabela_registros[DIA],investirrendavariávelconsolidado282931[[#Headers],[19]],tabela_registros[REGISTRO],DADOS!$N$5,tabela_registros[TIPO],DADOS!$AB$4,tabela_registros[CATEGORIA],investirrendavariávelconsolidado282931[[#This Row],[ATUAL]])</f>
        <v>0</v>
      </c>
      <c r="X138" s="176">
        <f>SUMIFS(tabela_registros[VALOR],tabela_registros[MÊS],$AE$1,tabela_registros[DIA],investirrendavariávelconsolidado282931[[#Headers],[20]],tabela_registros[REGISTRO],DADOS!$N$5,tabela_registros[TIPO],DADOS!$AB$4,tabela_registros[CATEGORIA],investirrendavariávelconsolidado282931[[#This Row],[ATUAL]])</f>
        <v>0</v>
      </c>
      <c r="Y138" s="176">
        <f>SUMIFS(tabela_registros[VALOR],tabela_registros[MÊS],$AE$1,tabela_registros[DIA],investirrendavariávelconsolidado282931[[#Headers],[21]],tabela_registros[REGISTRO],DADOS!$N$5,tabela_registros[TIPO],DADOS!$AB$4,tabela_registros[CATEGORIA],investirrendavariávelconsolidado282931[[#This Row],[ATUAL]])</f>
        <v>0</v>
      </c>
      <c r="Z138" s="176">
        <f>SUMIFS(tabela_registros[VALOR],tabela_registros[MÊS],$AE$1,tabela_registros[DIA],investirrendavariávelconsolidado282931[[#Headers],[22]],tabela_registros[REGISTRO],DADOS!$N$5,tabela_registros[TIPO],DADOS!$AB$4,tabela_registros[CATEGORIA],investirrendavariávelconsolidado282931[[#This Row],[ATUAL]])</f>
        <v>0</v>
      </c>
      <c r="AA138" s="176">
        <f>SUMIFS(tabela_registros[VALOR],tabela_registros[MÊS],$AE$1,tabela_registros[DIA],investirrendavariávelconsolidado282931[[#Headers],[23]],tabela_registros[REGISTRO],DADOS!$N$5,tabela_registros[TIPO],DADOS!$AB$4,tabela_registros[CATEGORIA],investirrendavariávelconsolidado282931[[#This Row],[ATUAL]])</f>
        <v>0</v>
      </c>
      <c r="AB138" s="176">
        <f>SUMIFS(tabela_registros[VALOR],tabela_registros[MÊS],$AE$1,tabela_registros[DIA],investirrendavariávelconsolidado282931[[#Headers],[24]],tabela_registros[REGISTRO],DADOS!$N$5,tabela_registros[TIPO],DADOS!$AB$4,tabela_registros[CATEGORIA],investirrendavariávelconsolidado282931[[#This Row],[ATUAL]])</f>
        <v>0</v>
      </c>
      <c r="AC138" s="176">
        <f>SUMIFS(tabela_registros[VALOR],tabela_registros[MÊS],$AE$1,tabela_registros[DIA],investirrendavariávelconsolidado282931[[#Headers],[25]],tabela_registros[REGISTRO],DADOS!$N$5,tabela_registros[TIPO],DADOS!$AB$4,tabela_registros[CATEGORIA],investirrendavariávelconsolidado282931[[#This Row],[ATUAL]])</f>
        <v>0</v>
      </c>
      <c r="AD138" s="176">
        <f>SUMIFS(tabela_registros[VALOR],tabela_registros[MÊS],$AE$1,tabela_registros[DIA],investirrendavariávelconsolidado282931[[#Headers],[26]],tabela_registros[REGISTRO],DADOS!$N$5,tabela_registros[TIPO],DADOS!$AB$4,tabela_registros[CATEGORIA],investirrendavariávelconsolidado282931[[#This Row],[ATUAL]])</f>
        <v>0</v>
      </c>
      <c r="AE138" s="176">
        <f>SUMIFS(tabela_registros[VALOR],tabela_registros[MÊS],$AE$1,tabela_registros[DIA],investirrendavariávelconsolidado282931[[#Headers],[27]],tabela_registros[REGISTRO],DADOS!$N$5,tabela_registros[TIPO],DADOS!$AB$4,tabela_registros[CATEGORIA],investirrendavariávelconsolidado282931[[#This Row],[ATUAL]])</f>
        <v>0</v>
      </c>
      <c r="AF138" s="176">
        <f>SUMIFS(tabela_registros[VALOR],tabela_registros[MÊS],$AE$1,tabela_registros[DIA],investirrendavariávelconsolidado282931[[#Headers],[28]],tabela_registros[REGISTRO],DADOS!$N$5,tabela_registros[TIPO],DADOS!$AB$4,tabela_registros[CATEGORIA],investirrendavariávelconsolidado282931[[#This Row],[ATUAL]])</f>
        <v>0</v>
      </c>
      <c r="AG138" s="176">
        <f>SUMIFS(tabela_registros[VALOR],tabela_registros[MÊS],$AE$1,tabela_registros[DIA],investirrendavariávelconsolidado282931[[#Headers],[29]],tabela_registros[REGISTRO],DADOS!$N$5,tabela_registros[TIPO],DADOS!$AB$4,tabela_registros[CATEGORIA],investirrendavariávelconsolidado282931[[#This Row],[ATUAL]])</f>
        <v>0</v>
      </c>
      <c r="AH138" s="176">
        <f>SUMIFS(tabela_registros[VALOR],tabela_registros[MÊS],$AE$1,tabela_registros[DIA],investirrendavariávelconsolidado282931[[#Headers],[30]],tabela_registros[REGISTRO],DADOS!$N$5,tabela_registros[TIPO],DADOS!$AB$4,tabela_registros[CATEGORIA],investirrendavariávelconsolidado282931[[#This Row],[ATUAL]])</f>
        <v>0</v>
      </c>
      <c r="AI138" s="190">
        <f>SUMIFS(tabela_registros[VALOR],tabela_registros[MÊS],$AE$1,tabela_registros[DIA],investirrendavariávelconsolidado282931[[#Headers],[31]],tabela_registros[REGISTRO],DADOS!$N$5,tabela_registros[TIPO],DADOS!$AB$4,tabela_registros[CATEGORIA],investirrendavariávelconsolidado282931[[#This Row],[ATUAL]])</f>
        <v>0</v>
      </c>
      <c r="AJ138" s="201">
        <f>SUM(investirrendavariávelconsolidado282931[[#This Row],[1]:[31]])</f>
        <v>0</v>
      </c>
      <c r="AK138" s="25"/>
    </row>
    <row r="139" spans="2:37" ht="19.5" customHeight="1" thickTop="1" thickBot="1" x14ac:dyDescent="0.3">
      <c r="B139" s="28"/>
      <c r="C139" s="27" t="str">
        <f>DADOS!$AF$10</f>
        <v>📝 FII</v>
      </c>
      <c r="D139" s="26" t="str">
        <f>IF(investirrendavariávelconsolidado282931[[#This Row],[TOTAL (R$)]]=0,"",IF(OR(investirrendavariávelconsolidado282931[[#This Row],[TOTAL (R$)]]=LARGE($AJ$132:$AJ$141,1),investirrendavariávelconsolidado282931[[#This Row],[TOTAL (R$)]]=LARGE($AJ$132:$AJ$141,2)),DADOS!$I$10,""))</f>
        <v>💎</v>
      </c>
      <c r="E139" s="189">
        <f>SUMIFS(tabela_registros[VALOR],tabela_registros[MÊS],$AE$1,tabela_registros[DIA],investirrendavariávelconsolidado282931[[#Headers],[1]],tabela_registros[REGISTRO],DADOS!$N$5,tabela_registros[TIPO],DADOS!$AB$4,tabela_registros[CATEGORIA],investirrendavariávelconsolidado282931[[#This Row],[ATUAL]])</f>
        <v>356</v>
      </c>
      <c r="F139" s="176">
        <f>SUMIFS(tabela_registros[VALOR],tabela_registros[MÊS],$AE$1,tabela_registros[DIA],investirrendavariávelconsolidado282931[[#Headers],[2]],tabela_registros[REGISTRO],DADOS!$N$5,tabela_registros[TIPO],DADOS!$AB$4,tabela_registros[CATEGORIA],investirrendavariávelconsolidado282931[[#This Row],[ATUAL]])</f>
        <v>0</v>
      </c>
      <c r="G139" s="176">
        <f>SUMIFS(tabela_registros[VALOR],tabela_registros[MÊS],$AE$1,tabela_registros[DIA],investirrendavariávelconsolidado282931[[#Headers],[3]],tabela_registros[REGISTRO],DADOS!$N$5,tabela_registros[TIPO],DADOS!$AB$4,tabela_registros[CATEGORIA],investirrendavariávelconsolidado282931[[#This Row],[ATUAL]])</f>
        <v>0</v>
      </c>
      <c r="H139" s="176">
        <f>SUMIFS(tabela_registros[VALOR],tabela_registros[MÊS],$AE$1,tabela_registros[DIA],investirrendavariávelconsolidado282931[[#Headers],[4]],tabela_registros[REGISTRO],DADOS!$N$5,tabela_registros[TIPO],DADOS!$AB$4,tabela_registros[CATEGORIA],investirrendavariávelconsolidado282931[[#This Row],[ATUAL]])</f>
        <v>0</v>
      </c>
      <c r="I139" s="176">
        <f>SUMIFS(tabela_registros[VALOR],tabela_registros[MÊS],$AE$1,tabela_registros[DIA],investirrendavariávelconsolidado282931[[#Headers],[5]],tabela_registros[REGISTRO],DADOS!$N$5,tabela_registros[TIPO],DADOS!$AB$4,tabela_registros[CATEGORIA],investirrendavariávelconsolidado282931[[#This Row],[ATUAL]])</f>
        <v>0</v>
      </c>
      <c r="J139" s="176">
        <f>SUMIFS(tabela_registros[VALOR],tabela_registros[MÊS],$AE$1,tabela_registros[DIA],investirrendavariávelconsolidado282931[[#Headers],[6]],tabela_registros[REGISTRO],DADOS!$N$5,tabela_registros[TIPO],DADOS!$AB$4,tabela_registros[CATEGORIA],investirrendavariávelconsolidado282931[[#This Row],[ATUAL]])</f>
        <v>0</v>
      </c>
      <c r="K139" s="176">
        <f>SUMIFS(tabela_registros[VALOR],tabela_registros[MÊS],$AE$1,tabela_registros[DIA],investirrendavariávelconsolidado282931[[#Headers],[7]],tabela_registros[REGISTRO],DADOS!$N$5,tabela_registros[TIPO],DADOS!$AB$4,tabela_registros[CATEGORIA],investirrendavariávelconsolidado282931[[#This Row],[ATUAL]])</f>
        <v>0</v>
      </c>
      <c r="L139" s="176">
        <f>SUMIFS(tabela_registros[VALOR],tabela_registros[MÊS],$AE$1,tabela_registros[DIA],investirrendavariávelconsolidado282931[[#Headers],[8]],tabela_registros[REGISTRO],DADOS!$N$5,tabela_registros[TIPO],DADOS!$AB$4,tabela_registros[CATEGORIA],investirrendavariávelconsolidado282931[[#This Row],[ATUAL]])</f>
        <v>0</v>
      </c>
      <c r="M139" s="176">
        <f>SUMIFS(tabela_registros[VALOR],tabela_registros[MÊS],$AE$1,tabela_registros[DIA],investirrendavariávelconsolidado282931[[#Headers],[9]],tabela_registros[REGISTRO],DADOS!$N$5,tabela_registros[TIPO],DADOS!$AB$4,tabela_registros[CATEGORIA],investirrendavariávelconsolidado282931[[#This Row],[ATUAL]])</f>
        <v>0</v>
      </c>
      <c r="N139" s="176">
        <f>SUMIFS(tabela_registros[VALOR],tabela_registros[MÊS],$AE$1,tabela_registros[DIA],investirrendavariávelconsolidado282931[[#Headers],[10]],tabela_registros[REGISTRO],DADOS!$N$5,tabela_registros[TIPO],DADOS!$AB$4,tabela_registros[CATEGORIA],investirrendavariávelconsolidado282931[[#This Row],[ATUAL]])</f>
        <v>0</v>
      </c>
      <c r="O139" s="176">
        <f>SUMIFS(tabela_registros[VALOR],tabela_registros[MÊS],$AE$1,tabela_registros[DIA],investirrendavariávelconsolidado282931[[#Headers],[11]],tabela_registros[REGISTRO],DADOS!$N$5,tabela_registros[TIPO],DADOS!$AB$4,tabela_registros[CATEGORIA],investirrendavariávelconsolidado282931[[#This Row],[ATUAL]])</f>
        <v>0</v>
      </c>
      <c r="P139" s="176">
        <f>SUMIFS(tabela_registros[VALOR],tabela_registros[MÊS],$AE$1,tabela_registros[DIA],investirrendavariávelconsolidado282931[[#Headers],[12]],tabela_registros[REGISTRO],DADOS!$N$5,tabela_registros[TIPO],DADOS!$AB$4,tabela_registros[CATEGORIA],investirrendavariávelconsolidado282931[[#This Row],[ATUAL]])</f>
        <v>0</v>
      </c>
      <c r="Q139" s="176">
        <f>SUMIFS(tabela_registros[VALOR],tabela_registros[MÊS],$AE$1,tabela_registros[DIA],investirrendavariávelconsolidado282931[[#Headers],[13]],tabela_registros[REGISTRO],DADOS!$N$5,tabela_registros[TIPO],DADOS!$AB$4,tabela_registros[CATEGORIA],investirrendavariávelconsolidado282931[[#This Row],[ATUAL]])</f>
        <v>0</v>
      </c>
      <c r="R139" s="176">
        <f>SUMIFS(tabela_registros[VALOR],tabela_registros[MÊS],$AE$1,tabela_registros[DIA],investirrendavariávelconsolidado282931[[#Headers],[14]],tabela_registros[REGISTRO],DADOS!$N$5,tabela_registros[TIPO],DADOS!$AB$4,tabela_registros[CATEGORIA],investirrendavariávelconsolidado282931[[#This Row],[ATUAL]])</f>
        <v>0</v>
      </c>
      <c r="S139" s="176">
        <f>SUMIFS(tabela_registros[VALOR],tabela_registros[MÊS],$AE$1,tabela_registros[DIA],investirrendavariávelconsolidado282931[[#Headers],[15]],tabela_registros[REGISTRO],DADOS!$N$5,tabela_registros[TIPO],DADOS!$AB$4,tabela_registros[CATEGORIA],investirrendavariávelconsolidado282931[[#This Row],[ATUAL]])</f>
        <v>0</v>
      </c>
      <c r="T139" s="176">
        <f>SUMIFS(tabela_registros[VALOR],tabela_registros[MÊS],$AE$1,tabela_registros[DIA],investirrendavariávelconsolidado282931[[#Headers],[16]],tabela_registros[REGISTRO],DADOS!$N$5,tabela_registros[TIPO],DADOS!$AB$4,tabela_registros[CATEGORIA],investirrendavariávelconsolidado282931[[#This Row],[ATUAL]])</f>
        <v>0</v>
      </c>
      <c r="U139" s="176">
        <f>SUMIFS(tabela_registros[VALOR],tabela_registros[MÊS],$AE$1,tabela_registros[DIA],investirrendavariávelconsolidado282931[[#Headers],[17]],tabela_registros[REGISTRO],DADOS!$N$5,tabela_registros[TIPO],DADOS!$AB$4,tabela_registros[CATEGORIA],investirrendavariávelconsolidado282931[[#This Row],[ATUAL]])</f>
        <v>0</v>
      </c>
      <c r="V139" s="176">
        <f>SUMIFS(tabela_registros[VALOR],tabela_registros[MÊS],$AE$1,tabela_registros[DIA],investirrendavariávelconsolidado282931[[#Headers],[18]],tabela_registros[REGISTRO],DADOS!$N$5,tabela_registros[TIPO],DADOS!$AB$4,tabela_registros[CATEGORIA],investirrendavariávelconsolidado282931[[#This Row],[ATUAL]])</f>
        <v>0</v>
      </c>
      <c r="W139" s="176">
        <f>SUMIFS(tabela_registros[VALOR],tabela_registros[MÊS],$AE$1,tabela_registros[DIA],investirrendavariávelconsolidado282931[[#Headers],[19]],tabela_registros[REGISTRO],DADOS!$N$5,tabela_registros[TIPO],DADOS!$AB$4,tabela_registros[CATEGORIA],investirrendavariávelconsolidado282931[[#This Row],[ATUAL]])</f>
        <v>0</v>
      </c>
      <c r="X139" s="176">
        <f>SUMIFS(tabela_registros[VALOR],tabela_registros[MÊS],$AE$1,tabela_registros[DIA],investirrendavariávelconsolidado282931[[#Headers],[20]],tabela_registros[REGISTRO],DADOS!$N$5,tabela_registros[TIPO],DADOS!$AB$4,tabela_registros[CATEGORIA],investirrendavariávelconsolidado282931[[#This Row],[ATUAL]])</f>
        <v>0</v>
      </c>
      <c r="Y139" s="176">
        <f>SUMIFS(tabela_registros[VALOR],tabela_registros[MÊS],$AE$1,tabela_registros[DIA],investirrendavariávelconsolidado282931[[#Headers],[21]],tabela_registros[REGISTRO],DADOS!$N$5,tabela_registros[TIPO],DADOS!$AB$4,tabela_registros[CATEGORIA],investirrendavariávelconsolidado282931[[#This Row],[ATUAL]])</f>
        <v>0</v>
      </c>
      <c r="Z139" s="176">
        <f>SUMIFS(tabela_registros[VALOR],tabela_registros[MÊS],$AE$1,tabela_registros[DIA],investirrendavariávelconsolidado282931[[#Headers],[22]],tabela_registros[REGISTRO],DADOS!$N$5,tabela_registros[TIPO],DADOS!$AB$4,tabela_registros[CATEGORIA],investirrendavariávelconsolidado282931[[#This Row],[ATUAL]])</f>
        <v>0</v>
      </c>
      <c r="AA139" s="176">
        <f>SUMIFS(tabela_registros[VALOR],tabela_registros[MÊS],$AE$1,tabela_registros[DIA],investirrendavariávelconsolidado282931[[#Headers],[23]],tabela_registros[REGISTRO],DADOS!$N$5,tabela_registros[TIPO],DADOS!$AB$4,tabela_registros[CATEGORIA],investirrendavariávelconsolidado282931[[#This Row],[ATUAL]])</f>
        <v>0</v>
      </c>
      <c r="AB139" s="176">
        <f>SUMIFS(tabela_registros[VALOR],tabela_registros[MÊS],$AE$1,tabela_registros[DIA],investirrendavariávelconsolidado282931[[#Headers],[24]],tabela_registros[REGISTRO],DADOS!$N$5,tabela_registros[TIPO],DADOS!$AB$4,tabela_registros[CATEGORIA],investirrendavariávelconsolidado282931[[#This Row],[ATUAL]])</f>
        <v>0</v>
      </c>
      <c r="AC139" s="176">
        <f>SUMIFS(tabela_registros[VALOR],tabela_registros[MÊS],$AE$1,tabela_registros[DIA],investirrendavariávelconsolidado282931[[#Headers],[25]],tabela_registros[REGISTRO],DADOS!$N$5,tabela_registros[TIPO],DADOS!$AB$4,tabela_registros[CATEGORIA],investirrendavariávelconsolidado282931[[#This Row],[ATUAL]])</f>
        <v>0</v>
      </c>
      <c r="AD139" s="176">
        <f>SUMIFS(tabela_registros[VALOR],tabela_registros[MÊS],$AE$1,tabela_registros[DIA],investirrendavariávelconsolidado282931[[#Headers],[26]],tabela_registros[REGISTRO],DADOS!$N$5,tabela_registros[TIPO],DADOS!$AB$4,tabela_registros[CATEGORIA],investirrendavariávelconsolidado282931[[#This Row],[ATUAL]])</f>
        <v>0</v>
      </c>
      <c r="AE139" s="176">
        <f>SUMIFS(tabela_registros[VALOR],tabela_registros[MÊS],$AE$1,tabela_registros[DIA],investirrendavariávelconsolidado282931[[#Headers],[27]],tabela_registros[REGISTRO],DADOS!$N$5,tabela_registros[TIPO],DADOS!$AB$4,tabela_registros[CATEGORIA],investirrendavariávelconsolidado282931[[#This Row],[ATUAL]])</f>
        <v>0</v>
      </c>
      <c r="AF139" s="176">
        <f>SUMIFS(tabela_registros[VALOR],tabela_registros[MÊS],$AE$1,tabela_registros[DIA],investirrendavariávelconsolidado282931[[#Headers],[28]],tabela_registros[REGISTRO],DADOS!$N$5,tabela_registros[TIPO],DADOS!$AB$4,tabela_registros[CATEGORIA],investirrendavariávelconsolidado282931[[#This Row],[ATUAL]])</f>
        <v>0</v>
      </c>
      <c r="AG139" s="176">
        <f>SUMIFS(tabela_registros[VALOR],tabela_registros[MÊS],$AE$1,tabela_registros[DIA],investirrendavariávelconsolidado282931[[#Headers],[29]],tabela_registros[REGISTRO],DADOS!$N$5,tabela_registros[TIPO],DADOS!$AB$4,tabela_registros[CATEGORIA],investirrendavariávelconsolidado282931[[#This Row],[ATUAL]])</f>
        <v>0</v>
      </c>
      <c r="AH139" s="176">
        <f>SUMIFS(tabela_registros[VALOR],tabela_registros[MÊS],$AE$1,tabela_registros[DIA],investirrendavariávelconsolidado282931[[#Headers],[30]],tabela_registros[REGISTRO],DADOS!$N$5,tabela_registros[TIPO],DADOS!$AB$4,tabela_registros[CATEGORIA],investirrendavariávelconsolidado282931[[#This Row],[ATUAL]])</f>
        <v>0</v>
      </c>
      <c r="AI139" s="190">
        <f>SUMIFS(tabela_registros[VALOR],tabela_registros[MÊS],$AE$1,tabela_registros[DIA],investirrendavariávelconsolidado282931[[#Headers],[31]],tabela_registros[REGISTRO],DADOS!$N$5,tabela_registros[TIPO],DADOS!$AB$4,tabela_registros[CATEGORIA],investirrendavariávelconsolidado282931[[#This Row],[ATUAL]])</f>
        <v>0</v>
      </c>
      <c r="AJ139" s="201">
        <f>SUM(investirrendavariávelconsolidado282931[[#This Row],[1]:[31]])</f>
        <v>356</v>
      </c>
      <c r="AK139" s="25"/>
    </row>
    <row r="140" spans="2:37" ht="19.5" customHeight="1" thickTop="1" thickBot="1" x14ac:dyDescent="0.3">
      <c r="B140" s="28"/>
      <c r="C140" s="27" t="str">
        <f>DADOS!$AF$11</f>
        <v>📝 MOEDA</v>
      </c>
      <c r="D140" s="26" t="str">
        <f>IF(investirrendavariávelconsolidado282931[[#This Row],[TOTAL (R$)]]=0,"",IF(OR(investirrendavariávelconsolidado282931[[#This Row],[TOTAL (R$)]]=LARGE($AJ$132:$AJ$141,1),investirrendavariávelconsolidado282931[[#This Row],[TOTAL (R$)]]=LARGE($AJ$132:$AJ$141,2)),DADOS!$I$10,""))</f>
        <v/>
      </c>
      <c r="E140" s="189">
        <f>SUMIFS(tabela_registros[VALOR],tabela_registros[MÊS],$AE$1,tabela_registros[DIA],investirrendavariávelconsolidado282931[[#Headers],[1]],tabela_registros[REGISTRO],DADOS!$N$5,tabela_registros[TIPO],DADOS!$AB$4,tabela_registros[CATEGORIA],investirrendavariávelconsolidado282931[[#This Row],[ATUAL]])</f>
        <v>0</v>
      </c>
      <c r="F140" s="176">
        <f>SUMIFS(tabela_registros[VALOR],tabela_registros[MÊS],$AE$1,tabela_registros[DIA],investirrendavariávelconsolidado282931[[#Headers],[2]],tabela_registros[REGISTRO],DADOS!$N$5,tabela_registros[TIPO],DADOS!$AB$4,tabela_registros[CATEGORIA],investirrendavariávelconsolidado282931[[#This Row],[ATUAL]])</f>
        <v>0</v>
      </c>
      <c r="G140" s="176">
        <f>SUMIFS(tabela_registros[VALOR],tabela_registros[MÊS],$AE$1,tabela_registros[DIA],investirrendavariávelconsolidado282931[[#Headers],[3]],tabela_registros[REGISTRO],DADOS!$N$5,tabela_registros[TIPO],DADOS!$AB$4,tabela_registros[CATEGORIA],investirrendavariávelconsolidado282931[[#This Row],[ATUAL]])</f>
        <v>0</v>
      </c>
      <c r="H140" s="176">
        <f>SUMIFS(tabela_registros[VALOR],tabela_registros[MÊS],$AE$1,tabela_registros[DIA],investirrendavariávelconsolidado282931[[#Headers],[4]],tabela_registros[REGISTRO],DADOS!$N$5,tabela_registros[TIPO],DADOS!$AB$4,tabela_registros[CATEGORIA],investirrendavariávelconsolidado282931[[#This Row],[ATUAL]])</f>
        <v>0</v>
      </c>
      <c r="I140" s="176">
        <f>SUMIFS(tabela_registros[VALOR],tabela_registros[MÊS],$AE$1,tabela_registros[DIA],investirrendavariávelconsolidado282931[[#Headers],[5]],tabela_registros[REGISTRO],DADOS!$N$5,tabela_registros[TIPO],DADOS!$AB$4,tabela_registros[CATEGORIA],investirrendavariávelconsolidado282931[[#This Row],[ATUAL]])</f>
        <v>0</v>
      </c>
      <c r="J140" s="176">
        <f>SUMIFS(tabela_registros[VALOR],tabela_registros[MÊS],$AE$1,tabela_registros[DIA],investirrendavariávelconsolidado282931[[#Headers],[6]],tabela_registros[REGISTRO],DADOS!$N$5,tabela_registros[TIPO],DADOS!$AB$4,tabela_registros[CATEGORIA],investirrendavariávelconsolidado282931[[#This Row],[ATUAL]])</f>
        <v>0</v>
      </c>
      <c r="K140" s="176">
        <f>SUMIFS(tabela_registros[VALOR],tabela_registros[MÊS],$AE$1,tabela_registros[DIA],investirrendavariávelconsolidado282931[[#Headers],[7]],tabela_registros[REGISTRO],DADOS!$N$5,tabela_registros[TIPO],DADOS!$AB$4,tabela_registros[CATEGORIA],investirrendavariávelconsolidado282931[[#This Row],[ATUAL]])</f>
        <v>0</v>
      </c>
      <c r="L140" s="176">
        <f>SUMIFS(tabela_registros[VALOR],tabela_registros[MÊS],$AE$1,tabela_registros[DIA],investirrendavariávelconsolidado282931[[#Headers],[8]],tabela_registros[REGISTRO],DADOS!$N$5,tabela_registros[TIPO],DADOS!$AB$4,tabela_registros[CATEGORIA],investirrendavariávelconsolidado282931[[#This Row],[ATUAL]])</f>
        <v>0</v>
      </c>
      <c r="M140" s="176">
        <f>SUMIFS(tabela_registros[VALOR],tabela_registros[MÊS],$AE$1,tabela_registros[DIA],investirrendavariávelconsolidado282931[[#Headers],[9]],tabela_registros[REGISTRO],DADOS!$N$5,tabela_registros[TIPO],DADOS!$AB$4,tabela_registros[CATEGORIA],investirrendavariávelconsolidado282931[[#This Row],[ATUAL]])</f>
        <v>0</v>
      </c>
      <c r="N140" s="176">
        <f>SUMIFS(tabela_registros[VALOR],tabela_registros[MÊS],$AE$1,tabela_registros[DIA],investirrendavariávelconsolidado282931[[#Headers],[10]],tabela_registros[REGISTRO],DADOS!$N$5,tabela_registros[TIPO],DADOS!$AB$4,tabela_registros[CATEGORIA],investirrendavariávelconsolidado282931[[#This Row],[ATUAL]])</f>
        <v>0</v>
      </c>
      <c r="O140" s="176">
        <f>SUMIFS(tabela_registros[VALOR],tabela_registros[MÊS],$AE$1,tabela_registros[DIA],investirrendavariávelconsolidado282931[[#Headers],[11]],tabela_registros[REGISTRO],DADOS!$N$5,tabela_registros[TIPO],DADOS!$AB$4,tabela_registros[CATEGORIA],investirrendavariávelconsolidado282931[[#This Row],[ATUAL]])</f>
        <v>0</v>
      </c>
      <c r="P140" s="176">
        <f>SUMIFS(tabela_registros[VALOR],tabela_registros[MÊS],$AE$1,tabela_registros[DIA],investirrendavariávelconsolidado282931[[#Headers],[12]],tabela_registros[REGISTRO],DADOS!$N$5,tabela_registros[TIPO],DADOS!$AB$4,tabela_registros[CATEGORIA],investirrendavariávelconsolidado282931[[#This Row],[ATUAL]])</f>
        <v>0</v>
      </c>
      <c r="Q140" s="176">
        <f>SUMIFS(tabela_registros[VALOR],tabela_registros[MÊS],$AE$1,tabela_registros[DIA],investirrendavariávelconsolidado282931[[#Headers],[13]],tabela_registros[REGISTRO],DADOS!$N$5,tabela_registros[TIPO],DADOS!$AB$4,tabela_registros[CATEGORIA],investirrendavariávelconsolidado282931[[#This Row],[ATUAL]])</f>
        <v>0</v>
      </c>
      <c r="R140" s="176">
        <f>SUMIFS(tabela_registros[VALOR],tabela_registros[MÊS],$AE$1,tabela_registros[DIA],investirrendavariávelconsolidado282931[[#Headers],[14]],tabela_registros[REGISTRO],DADOS!$N$5,tabela_registros[TIPO],DADOS!$AB$4,tabela_registros[CATEGORIA],investirrendavariávelconsolidado282931[[#This Row],[ATUAL]])</f>
        <v>0</v>
      </c>
      <c r="S140" s="176">
        <f>SUMIFS(tabela_registros[VALOR],tabela_registros[MÊS],$AE$1,tabela_registros[DIA],investirrendavariávelconsolidado282931[[#Headers],[15]],tabela_registros[REGISTRO],DADOS!$N$5,tabela_registros[TIPO],DADOS!$AB$4,tabela_registros[CATEGORIA],investirrendavariávelconsolidado282931[[#This Row],[ATUAL]])</f>
        <v>0</v>
      </c>
      <c r="T140" s="176">
        <f>SUMIFS(tabela_registros[VALOR],tabela_registros[MÊS],$AE$1,tabela_registros[DIA],investirrendavariávelconsolidado282931[[#Headers],[16]],tabela_registros[REGISTRO],DADOS!$N$5,tabela_registros[TIPO],DADOS!$AB$4,tabela_registros[CATEGORIA],investirrendavariávelconsolidado282931[[#This Row],[ATUAL]])</f>
        <v>0</v>
      </c>
      <c r="U140" s="176">
        <f>SUMIFS(tabela_registros[VALOR],tabela_registros[MÊS],$AE$1,tabela_registros[DIA],investirrendavariávelconsolidado282931[[#Headers],[17]],tabela_registros[REGISTRO],DADOS!$N$5,tabela_registros[TIPO],DADOS!$AB$4,tabela_registros[CATEGORIA],investirrendavariávelconsolidado282931[[#This Row],[ATUAL]])</f>
        <v>0</v>
      </c>
      <c r="V140" s="176">
        <f>SUMIFS(tabela_registros[VALOR],tabela_registros[MÊS],$AE$1,tabela_registros[DIA],investirrendavariávelconsolidado282931[[#Headers],[18]],tabela_registros[REGISTRO],DADOS!$N$5,tabela_registros[TIPO],DADOS!$AB$4,tabela_registros[CATEGORIA],investirrendavariávelconsolidado282931[[#This Row],[ATUAL]])</f>
        <v>0</v>
      </c>
      <c r="W140" s="176">
        <f>SUMIFS(tabela_registros[VALOR],tabela_registros[MÊS],$AE$1,tabela_registros[DIA],investirrendavariávelconsolidado282931[[#Headers],[19]],tabela_registros[REGISTRO],DADOS!$N$5,tabela_registros[TIPO],DADOS!$AB$4,tabela_registros[CATEGORIA],investirrendavariávelconsolidado282931[[#This Row],[ATUAL]])</f>
        <v>0</v>
      </c>
      <c r="X140" s="176">
        <f>SUMIFS(tabela_registros[VALOR],tabela_registros[MÊS],$AE$1,tabela_registros[DIA],investirrendavariávelconsolidado282931[[#Headers],[20]],tabela_registros[REGISTRO],DADOS!$N$5,tabela_registros[TIPO],DADOS!$AB$4,tabela_registros[CATEGORIA],investirrendavariávelconsolidado282931[[#This Row],[ATUAL]])</f>
        <v>0</v>
      </c>
      <c r="Y140" s="176">
        <f>SUMIFS(tabela_registros[VALOR],tabela_registros[MÊS],$AE$1,tabela_registros[DIA],investirrendavariávelconsolidado282931[[#Headers],[21]],tabela_registros[REGISTRO],DADOS!$N$5,tabela_registros[TIPO],DADOS!$AB$4,tabela_registros[CATEGORIA],investirrendavariávelconsolidado282931[[#This Row],[ATUAL]])</f>
        <v>0</v>
      </c>
      <c r="Z140" s="176">
        <f>SUMIFS(tabela_registros[VALOR],tabela_registros[MÊS],$AE$1,tabela_registros[DIA],investirrendavariávelconsolidado282931[[#Headers],[22]],tabela_registros[REGISTRO],DADOS!$N$5,tabela_registros[TIPO],DADOS!$AB$4,tabela_registros[CATEGORIA],investirrendavariávelconsolidado282931[[#This Row],[ATUAL]])</f>
        <v>0</v>
      </c>
      <c r="AA140" s="176">
        <f>SUMIFS(tabela_registros[VALOR],tabela_registros[MÊS],$AE$1,tabela_registros[DIA],investirrendavariávelconsolidado282931[[#Headers],[23]],tabela_registros[REGISTRO],DADOS!$N$5,tabela_registros[TIPO],DADOS!$AB$4,tabela_registros[CATEGORIA],investirrendavariávelconsolidado282931[[#This Row],[ATUAL]])</f>
        <v>0</v>
      </c>
      <c r="AB140" s="176">
        <f>SUMIFS(tabela_registros[VALOR],tabela_registros[MÊS],$AE$1,tabela_registros[DIA],investirrendavariávelconsolidado282931[[#Headers],[24]],tabela_registros[REGISTRO],DADOS!$N$5,tabela_registros[TIPO],DADOS!$AB$4,tabela_registros[CATEGORIA],investirrendavariávelconsolidado282931[[#This Row],[ATUAL]])</f>
        <v>0</v>
      </c>
      <c r="AC140" s="176">
        <f>SUMIFS(tabela_registros[VALOR],tabela_registros[MÊS],$AE$1,tabela_registros[DIA],investirrendavariávelconsolidado282931[[#Headers],[25]],tabela_registros[REGISTRO],DADOS!$N$5,tabela_registros[TIPO],DADOS!$AB$4,tabela_registros[CATEGORIA],investirrendavariávelconsolidado282931[[#This Row],[ATUAL]])</f>
        <v>0</v>
      </c>
      <c r="AD140" s="176">
        <f>SUMIFS(tabela_registros[VALOR],tabela_registros[MÊS],$AE$1,tabela_registros[DIA],investirrendavariávelconsolidado282931[[#Headers],[26]],tabela_registros[REGISTRO],DADOS!$N$5,tabela_registros[TIPO],DADOS!$AB$4,tabela_registros[CATEGORIA],investirrendavariávelconsolidado282931[[#This Row],[ATUAL]])</f>
        <v>0</v>
      </c>
      <c r="AE140" s="176">
        <f>SUMIFS(tabela_registros[VALOR],tabela_registros[MÊS],$AE$1,tabela_registros[DIA],investirrendavariávelconsolidado282931[[#Headers],[27]],tabela_registros[REGISTRO],DADOS!$N$5,tabela_registros[TIPO],DADOS!$AB$4,tabela_registros[CATEGORIA],investirrendavariávelconsolidado282931[[#This Row],[ATUAL]])</f>
        <v>4.7857142857145902</v>
      </c>
      <c r="AF140" s="176">
        <f>SUMIFS(tabela_registros[VALOR],tabela_registros[MÊS],$AE$1,tabela_registros[DIA],investirrendavariávelconsolidado282931[[#Headers],[28]],tabela_registros[REGISTRO],DADOS!$N$5,tabela_registros[TIPO],DADOS!$AB$4,tabela_registros[CATEGORIA],investirrendavariávelconsolidado282931[[#This Row],[ATUAL]])</f>
        <v>0</v>
      </c>
      <c r="AG140" s="176">
        <f>SUMIFS(tabela_registros[VALOR],tabela_registros[MÊS],$AE$1,tabela_registros[DIA],investirrendavariávelconsolidado282931[[#Headers],[29]],tabela_registros[REGISTRO],DADOS!$N$5,tabela_registros[TIPO],DADOS!$AB$4,tabela_registros[CATEGORIA],investirrendavariávelconsolidado282931[[#This Row],[ATUAL]])</f>
        <v>0</v>
      </c>
      <c r="AH140" s="176">
        <f>SUMIFS(tabela_registros[VALOR],tabela_registros[MÊS],$AE$1,tabela_registros[DIA],investirrendavariávelconsolidado282931[[#Headers],[30]],tabela_registros[REGISTRO],DADOS!$N$5,tabela_registros[TIPO],DADOS!$AB$4,tabela_registros[CATEGORIA],investirrendavariávelconsolidado282931[[#This Row],[ATUAL]])</f>
        <v>0</v>
      </c>
      <c r="AI140" s="190">
        <f>SUMIFS(tabela_registros[VALOR],tabela_registros[MÊS],$AE$1,tabela_registros[DIA],investirrendavariávelconsolidado282931[[#Headers],[31]],tabela_registros[REGISTRO],DADOS!$N$5,tabela_registros[TIPO],DADOS!$AB$4,tabela_registros[CATEGORIA],investirrendavariávelconsolidado282931[[#This Row],[ATUAL]])</f>
        <v>0</v>
      </c>
      <c r="AJ140" s="201">
        <f>SUM(investirrendavariávelconsolidado282931[[#This Row],[1]:[31]])</f>
        <v>4.7857142857145902</v>
      </c>
      <c r="AK140" s="25"/>
    </row>
    <row r="141" spans="2:37" ht="19.5" customHeight="1" thickTop="1" thickBot="1" x14ac:dyDescent="0.3">
      <c r="B141" s="28"/>
      <c r="C141" s="27" t="str">
        <f>DADOS!$AF$12</f>
        <v>📎 OUTROS</v>
      </c>
      <c r="D141" s="26" t="str">
        <f>IF(investirrendavariávelconsolidado282931[[#This Row],[TOTAL (R$)]]=0,"",IF(OR(investirrendavariávelconsolidado282931[[#This Row],[TOTAL (R$)]]=LARGE($AJ$132:$AJ$141,1),investirrendavariávelconsolidado282931[[#This Row],[TOTAL (R$)]]=LARGE($AJ$132:$AJ$141,2)),DADOS!$I$10,""))</f>
        <v/>
      </c>
      <c r="E141" s="189">
        <f>SUMIFS(tabela_registros[VALOR],tabela_registros[MÊS],$AE$1,tabela_registros[DIA],investirrendavariávelconsolidado282931[[#Headers],[1]],tabela_registros[REGISTRO],DADOS!$N$5,tabela_registros[TIPO],DADOS!$AB$4,tabela_registros[CATEGORIA],investirrendavariávelconsolidado282931[[#This Row],[ATUAL]])</f>
        <v>0</v>
      </c>
      <c r="F141" s="176">
        <f>SUMIFS(tabela_registros[VALOR],tabela_registros[MÊS],$AE$1,tabela_registros[DIA],investirrendavariávelconsolidado282931[[#Headers],[2]],tabela_registros[REGISTRO],DADOS!$N$5,tabela_registros[TIPO],DADOS!$AB$4,tabela_registros[CATEGORIA],investirrendavariávelconsolidado282931[[#This Row],[ATUAL]])</f>
        <v>0</v>
      </c>
      <c r="G141" s="176">
        <f>SUMIFS(tabela_registros[VALOR],tabela_registros[MÊS],$AE$1,tabela_registros[DIA],investirrendavariávelconsolidado282931[[#Headers],[3]],tabela_registros[REGISTRO],DADOS!$N$5,tabela_registros[TIPO],DADOS!$AB$4,tabela_registros[CATEGORIA],investirrendavariávelconsolidado282931[[#This Row],[ATUAL]])</f>
        <v>0</v>
      </c>
      <c r="H141" s="176">
        <f>SUMIFS(tabela_registros[VALOR],tabela_registros[MÊS],$AE$1,tabela_registros[DIA],investirrendavariávelconsolidado282931[[#Headers],[4]],tabela_registros[REGISTRO],DADOS!$N$5,tabela_registros[TIPO],DADOS!$AB$4,tabela_registros[CATEGORIA],investirrendavariávelconsolidado282931[[#This Row],[ATUAL]])</f>
        <v>0</v>
      </c>
      <c r="I141" s="176">
        <f>SUMIFS(tabela_registros[VALOR],tabela_registros[MÊS],$AE$1,tabela_registros[DIA],investirrendavariávelconsolidado282931[[#Headers],[5]],tabela_registros[REGISTRO],DADOS!$N$5,tabela_registros[TIPO],DADOS!$AB$4,tabela_registros[CATEGORIA],investirrendavariávelconsolidado282931[[#This Row],[ATUAL]])</f>
        <v>0</v>
      </c>
      <c r="J141" s="176">
        <f>SUMIFS(tabela_registros[VALOR],tabela_registros[MÊS],$AE$1,tabela_registros[DIA],investirrendavariávelconsolidado282931[[#Headers],[6]],tabela_registros[REGISTRO],DADOS!$N$5,tabela_registros[TIPO],DADOS!$AB$4,tabela_registros[CATEGORIA],investirrendavariávelconsolidado282931[[#This Row],[ATUAL]])</f>
        <v>0</v>
      </c>
      <c r="K141" s="176">
        <f>SUMIFS(tabela_registros[VALOR],tabela_registros[MÊS],$AE$1,tabela_registros[DIA],investirrendavariávelconsolidado282931[[#Headers],[7]],tabela_registros[REGISTRO],DADOS!$N$5,tabela_registros[TIPO],DADOS!$AB$4,tabela_registros[CATEGORIA],investirrendavariávelconsolidado282931[[#This Row],[ATUAL]])</f>
        <v>0</v>
      </c>
      <c r="L141" s="176">
        <f>SUMIFS(tabela_registros[VALOR],tabela_registros[MÊS],$AE$1,tabela_registros[DIA],investirrendavariávelconsolidado282931[[#Headers],[8]],tabela_registros[REGISTRO],DADOS!$N$5,tabela_registros[TIPO],DADOS!$AB$4,tabela_registros[CATEGORIA],investirrendavariávelconsolidado282931[[#This Row],[ATUAL]])</f>
        <v>0</v>
      </c>
      <c r="M141" s="176">
        <f>SUMIFS(tabela_registros[VALOR],tabela_registros[MÊS],$AE$1,tabela_registros[DIA],investirrendavariávelconsolidado282931[[#Headers],[9]],tabela_registros[REGISTRO],DADOS!$N$5,tabela_registros[TIPO],DADOS!$AB$4,tabela_registros[CATEGORIA],investirrendavariávelconsolidado282931[[#This Row],[ATUAL]])</f>
        <v>0</v>
      </c>
      <c r="N141" s="176">
        <f>SUMIFS(tabela_registros[VALOR],tabela_registros[MÊS],$AE$1,tabela_registros[DIA],investirrendavariávelconsolidado282931[[#Headers],[10]],tabela_registros[REGISTRO],DADOS!$N$5,tabela_registros[TIPO],DADOS!$AB$4,tabela_registros[CATEGORIA],investirrendavariávelconsolidado282931[[#This Row],[ATUAL]])</f>
        <v>0</v>
      </c>
      <c r="O141" s="176">
        <f>SUMIFS(tabela_registros[VALOR],tabela_registros[MÊS],$AE$1,tabela_registros[DIA],investirrendavariávelconsolidado282931[[#Headers],[11]],tabela_registros[REGISTRO],DADOS!$N$5,tabela_registros[TIPO],DADOS!$AB$4,tabela_registros[CATEGORIA],investirrendavariávelconsolidado282931[[#This Row],[ATUAL]])</f>
        <v>0</v>
      </c>
      <c r="P141" s="176">
        <f>SUMIFS(tabela_registros[VALOR],tabela_registros[MÊS],$AE$1,tabela_registros[DIA],investirrendavariávelconsolidado282931[[#Headers],[12]],tabela_registros[REGISTRO],DADOS!$N$5,tabela_registros[TIPO],DADOS!$AB$4,tabela_registros[CATEGORIA],investirrendavariávelconsolidado282931[[#This Row],[ATUAL]])</f>
        <v>0</v>
      </c>
      <c r="Q141" s="176">
        <f>SUMIFS(tabela_registros[VALOR],tabela_registros[MÊS],$AE$1,tabela_registros[DIA],investirrendavariávelconsolidado282931[[#Headers],[13]],tabela_registros[REGISTRO],DADOS!$N$5,tabela_registros[TIPO],DADOS!$AB$4,tabela_registros[CATEGORIA],investirrendavariávelconsolidado282931[[#This Row],[ATUAL]])</f>
        <v>0</v>
      </c>
      <c r="R141" s="176">
        <f>SUMIFS(tabela_registros[VALOR],tabela_registros[MÊS],$AE$1,tabela_registros[DIA],investirrendavariávelconsolidado282931[[#Headers],[14]],tabela_registros[REGISTRO],DADOS!$N$5,tabela_registros[TIPO],DADOS!$AB$4,tabela_registros[CATEGORIA],investirrendavariávelconsolidado282931[[#This Row],[ATUAL]])</f>
        <v>0</v>
      </c>
      <c r="S141" s="176">
        <f>SUMIFS(tabela_registros[VALOR],tabela_registros[MÊS],$AE$1,tabela_registros[DIA],investirrendavariávelconsolidado282931[[#Headers],[15]],tabela_registros[REGISTRO],DADOS!$N$5,tabela_registros[TIPO],DADOS!$AB$4,tabela_registros[CATEGORIA],investirrendavariávelconsolidado282931[[#This Row],[ATUAL]])</f>
        <v>0</v>
      </c>
      <c r="T141" s="176">
        <f>SUMIFS(tabela_registros[VALOR],tabela_registros[MÊS],$AE$1,tabela_registros[DIA],investirrendavariávelconsolidado282931[[#Headers],[16]],tabela_registros[REGISTRO],DADOS!$N$5,tabela_registros[TIPO],DADOS!$AB$4,tabela_registros[CATEGORIA],investirrendavariávelconsolidado282931[[#This Row],[ATUAL]])</f>
        <v>0</v>
      </c>
      <c r="U141" s="176">
        <f>SUMIFS(tabela_registros[VALOR],tabela_registros[MÊS],$AE$1,tabela_registros[DIA],investirrendavariávelconsolidado282931[[#Headers],[17]],tabela_registros[REGISTRO],DADOS!$N$5,tabela_registros[TIPO],DADOS!$AB$4,tabela_registros[CATEGORIA],investirrendavariávelconsolidado282931[[#This Row],[ATUAL]])</f>
        <v>0</v>
      </c>
      <c r="V141" s="176">
        <f>SUMIFS(tabela_registros[VALOR],tabela_registros[MÊS],$AE$1,tabela_registros[DIA],investirrendavariávelconsolidado282931[[#Headers],[18]],tabela_registros[REGISTRO],DADOS!$N$5,tabela_registros[TIPO],DADOS!$AB$4,tabela_registros[CATEGORIA],investirrendavariávelconsolidado282931[[#This Row],[ATUAL]])</f>
        <v>0</v>
      </c>
      <c r="W141" s="176">
        <f>SUMIFS(tabela_registros[VALOR],tabela_registros[MÊS],$AE$1,tabela_registros[DIA],investirrendavariávelconsolidado282931[[#Headers],[19]],tabela_registros[REGISTRO],DADOS!$N$5,tabela_registros[TIPO],DADOS!$AB$4,tabela_registros[CATEGORIA],investirrendavariávelconsolidado282931[[#This Row],[ATUAL]])</f>
        <v>0</v>
      </c>
      <c r="X141" s="176">
        <f>SUMIFS(tabela_registros[VALOR],tabela_registros[MÊS],$AE$1,tabela_registros[DIA],investirrendavariávelconsolidado282931[[#Headers],[20]],tabela_registros[REGISTRO],DADOS!$N$5,tabela_registros[TIPO],DADOS!$AB$4,tabela_registros[CATEGORIA],investirrendavariávelconsolidado282931[[#This Row],[ATUAL]])</f>
        <v>0</v>
      </c>
      <c r="Y141" s="176">
        <f>SUMIFS(tabela_registros[VALOR],tabela_registros[MÊS],$AE$1,tabela_registros[DIA],investirrendavariávelconsolidado282931[[#Headers],[21]],tabela_registros[REGISTRO],DADOS!$N$5,tabela_registros[TIPO],DADOS!$AB$4,tabela_registros[CATEGORIA],investirrendavariávelconsolidado282931[[#This Row],[ATUAL]])</f>
        <v>0</v>
      </c>
      <c r="Z141" s="176">
        <f>SUMIFS(tabela_registros[VALOR],tabela_registros[MÊS],$AE$1,tabela_registros[DIA],investirrendavariávelconsolidado282931[[#Headers],[22]],tabela_registros[REGISTRO],DADOS!$N$5,tabela_registros[TIPO],DADOS!$AB$4,tabela_registros[CATEGORIA],investirrendavariávelconsolidado282931[[#This Row],[ATUAL]])</f>
        <v>0</v>
      </c>
      <c r="AA141" s="176">
        <f>SUMIFS(tabela_registros[VALOR],tabela_registros[MÊS],$AE$1,tabela_registros[DIA],investirrendavariávelconsolidado282931[[#Headers],[23]],tabela_registros[REGISTRO],DADOS!$N$5,tabela_registros[TIPO],DADOS!$AB$4,tabela_registros[CATEGORIA],investirrendavariávelconsolidado282931[[#This Row],[ATUAL]])</f>
        <v>0</v>
      </c>
      <c r="AB141" s="176">
        <f>SUMIFS(tabela_registros[VALOR],tabela_registros[MÊS],$AE$1,tabela_registros[DIA],investirrendavariávelconsolidado282931[[#Headers],[24]],tabela_registros[REGISTRO],DADOS!$N$5,tabela_registros[TIPO],DADOS!$AB$4,tabela_registros[CATEGORIA],investirrendavariávelconsolidado282931[[#This Row],[ATUAL]])</f>
        <v>0</v>
      </c>
      <c r="AC141" s="176">
        <f>SUMIFS(tabela_registros[VALOR],tabela_registros[MÊS],$AE$1,tabela_registros[DIA],investirrendavariávelconsolidado282931[[#Headers],[25]],tabela_registros[REGISTRO],DADOS!$N$5,tabela_registros[TIPO],DADOS!$AB$4,tabela_registros[CATEGORIA],investirrendavariávelconsolidado282931[[#This Row],[ATUAL]])</f>
        <v>0</v>
      </c>
      <c r="AD141" s="176">
        <f>SUMIFS(tabela_registros[VALOR],tabela_registros[MÊS],$AE$1,tabela_registros[DIA],investirrendavariávelconsolidado282931[[#Headers],[26]],tabela_registros[REGISTRO],DADOS!$N$5,tabela_registros[TIPO],DADOS!$AB$4,tabela_registros[CATEGORIA],investirrendavariávelconsolidado282931[[#This Row],[ATUAL]])</f>
        <v>0</v>
      </c>
      <c r="AE141" s="176">
        <f>SUMIFS(tabela_registros[VALOR],tabela_registros[MÊS],$AE$1,tabela_registros[DIA],investirrendavariávelconsolidado282931[[#Headers],[27]],tabela_registros[REGISTRO],DADOS!$N$5,tabela_registros[TIPO],DADOS!$AB$4,tabela_registros[CATEGORIA],investirrendavariávelconsolidado282931[[#This Row],[ATUAL]])</f>
        <v>0</v>
      </c>
      <c r="AF141" s="176">
        <f>SUMIFS(tabela_registros[VALOR],tabela_registros[MÊS],$AE$1,tabela_registros[DIA],investirrendavariávelconsolidado282931[[#Headers],[28]],tabela_registros[REGISTRO],DADOS!$N$5,tabela_registros[TIPO],DADOS!$AB$4,tabela_registros[CATEGORIA],investirrendavariávelconsolidado282931[[#This Row],[ATUAL]])</f>
        <v>0</v>
      </c>
      <c r="AG141" s="176">
        <f>SUMIFS(tabela_registros[VALOR],tabela_registros[MÊS],$AE$1,tabela_registros[DIA],investirrendavariávelconsolidado282931[[#Headers],[29]],tabela_registros[REGISTRO],DADOS!$N$5,tabela_registros[TIPO],DADOS!$AB$4,tabela_registros[CATEGORIA],investirrendavariávelconsolidado282931[[#This Row],[ATUAL]])</f>
        <v>0</v>
      </c>
      <c r="AH141" s="176">
        <f>SUMIFS(tabela_registros[VALOR],tabela_registros[MÊS],$AE$1,tabela_registros[DIA],investirrendavariávelconsolidado282931[[#Headers],[30]],tabela_registros[REGISTRO],DADOS!$N$5,tabela_registros[TIPO],DADOS!$AB$4,tabela_registros[CATEGORIA],investirrendavariávelconsolidado282931[[#This Row],[ATUAL]])</f>
        <v>0</v>
      </c>
      <c r="AI141" s="193">
        <f>SUMIFS(tabela_registros[VALOR],tabela_registros[MÊS],$AE$1,tabela_registros[DIA],investirrendavariávelconsolidado282931[[#Headers],[31]],tabela_registros[REGISTRO],DADOS!$N$5,tabela_registros[TIPO],DADOS!$AB$4,tabela_registros[CATEGORIA],investirrendavariávelconsolidado282931[[#This Row],[ATUAL]])</f>
        <v>0</v>
      </c>
      <c r="AJ141" s="167">
        <f>SUM(investirrendavariávelconsolidado282931[[#This Row],[1]:[31]])</f>
        <v>0</v>
      </c>
      <c r="AK141" s="25"/>
    </row>
    <row r="142" spans="2:37" s="16" customFormat="1" ht="21" customHeight="1" thickTop="1" thickBot="1" x14ac:dyDescent="0.35">
      <c r="B142" s="24"/>
      <c r="C142" s="23" t="s">
        <v>19</v>
      </c>
      <c r="D142" s="22"/>
      <c r="E142" s="195">
        <f>SUM(E132:E141)</f>
        <v>356</v>
      </c>
      <c r="F142" s="196">
        <f>SUM(F132:F141)+investirrendavariávelconsolidado282931[[#This Row],[1]]</f>
        <v>356</v>
      </c>
      <c r="G142" s="196">
        <f>SUM(G132:G141)+investirrendavariávelconsolidado282931[[#This Row],[2]]</f>
        <v>356</v>
      </c>
      <c r="H142" s="196">
        <f>SUM(H132:H141)+investirrendavariávelconsolidado282931[[#This Row],[3]]</f>
        <v>356</v>
      </c>
      <c r="I142" s="196">
        <f>SUM(I132:I141)+investirrendavariávelconsolidado282931[[#This Row],[4]]</f>
        <v>356</v>
      </c>
      <c r="J142" s="196">
        <f>SUM(J132:J141)+investirrendavariávelconsolidado282931[[#This Row],[5]]</f>
        <v>356</v>
      </c>
      <c r="K142" s="196">
        <f>SUM(K132:K141)+investirrendavariávelconsolidado282931[[#This Row],[6]]</f>
        <v>356</v>
      </c>
      <c r="L142" s="196">
        <f>SUM(L132:L141)+investirrendavariávelconsolidado282931[[#This Row],[7]]</f>
        <v>356</v>
      </c>
      <c r="M142" s="196">
        <f>SUM(M132:M141)+investirrendavariávelconsolidado282931[[#This Row],[8]]</f>
        <v>356</v>
      </c>
      <c r="N142" s="196">
        <f>SUM(N132:N141)+investirrendavariávelconsolidado282931[[#This Row],[9]]</f>
        <v>356</v>
      </c>
      <c r="O142" s="196">
        <f>SUM(O132:O141)+investirrendavariávelconsolidado282931[[#This Row],[10]]</f>
        <v>356</v>
      </c>
      <c r="P142" s="196">
        <f>SUM(P132:P141)+investirrendavariávelconsolidado282931[[#This Row],[11]]</f>
        <v>356</v>
      </c>
      <c r="Q142" s="196">
        <f>SUM(Q132:Q141)+investirrendavariávelconsolidado282931[[#This Row],[12]]</f>
        <v>356</v>
      </c>
      <c r="R142" s="196">
        <f>SUM(R132:R141)+investirrendavariávelconsolidado282931[[#This Row],[13]]</f>
        <v>356</v>
      </c>
      <c r="S142" s="196">
        <f>SUM(S132:S141)+investirrendavariávelconsolidado282931[[#This Row],[14]]</f>
        <v>356</v>
      </c>
      <c r="T142" s="196">
        <f>SUM(T132:T141)+investirrendavariávelconsolidado282931[[#This Row],[15]]</f>
        <v>356</v>
      </c>
      <c r="U142" s="196">
        <f>SUM(U132:U141)+investirrendavariávelconsolidado282931[[#This Row],[16]]</f>
        <v>356</v>
      </c>
      <c r="V142" s="196">
        <f>SUM(V132:V141)+investirrendavariávelconsolidado282931[[#This Row],[17]]</f>
        <v>356</v>
      </c>
      <c r="W142" s="196">
        <f>SUM(W132:W141)+investirrendavariávelconsolidado282931[[#This Row],[18]]</f>
        <v>356</v>
      </c>
      <c r="X142" s="196">
        <f>SUM(X132:X141)+investirrendavariávelconsolidado282931[[#This Row],[19]]</f>
        <v>356</v>
      </c>
      <c r="Y142" s="196">
        <f>SUM(Y132:Y141)+investirrendavariávelconsolidado282931[[#This Row],[20]]</f>
        <v>356</v>
      </c>
      <c r="Z142" s="196">
        <f>SUM(Z132:Z141)+investirrendavariávelconsolidado282931[[#This Row],[21]]</f>
        <v>356</v>
      </c>
      <c r="AA142" s="196">
        <f>SUM(AA132:AA141)+investirrendavariávelconsolidado282931[[#This Row],[22]]</f>
        <v>356</v>
      </c>
      <c r="AB142" s="196">
        <f>SUM(AB132:AB141)+investirrendavariávelconsolidado282931[[#This Row],[23]]</f>
        <v>356</v>
      </c>
      <c r="AC142" s="196">
        <f>SUM(AC132:AC141)+investirrendavariávelconsolidado282931[[#This Row],[24]]</f>
        <v>375.4999999999996</v>
      </c>
      <c r="AD142" s="196">
        <f>SUM(AD132:AD141)+investirrendavariávelconsolidado282931[[#This Row],[25]]</f>
        <v>387.6428571428562</v>
      </c>
      <c r="AE142" s="196">
        <f>SUM(AE132:AE141)+investirrendavariávelconsolidado282931[[#This Row],[26]]</f>
        <v>392.42857142857076</v>
      </c>
      <c r="AF142" s="196">
        <f>SUM(AF132:AF141)+investirrendavariávelconsolidado282931[[#This Row],[27]]</f>
        <v>442.42857142857076</v>
      </c>
      <c r="AG142" s="196">
        <f>SUM(AG132:AG141)+investirrendavariávelconsolidado282931[[#This Row],[28]]</f>
        <v>442.42857142857076</v>
      </c>
      <c r="AH142" s="196">
        <f>SUM(AH132:AH141)+investirrendavariávelconsolidado282931[[#This Row],[29]]</f>
        <v>442.42857142857076</v>
      </c>
      <c r="AI142" s="197">
        <f>SUM(AI132:AI141)+investirrendavariávelconsolidado282931[[#This Row],[30]]</f>
        <v>442.42857142857076</v>
      </c>
      <c r="AJ142" s="168">
        <f>investirrendavariávelconsolidado282931[[#This Row],[31]]</f>
        <v>442.42857142857076</v>
      </c>
      <c r="AK142" s="17"/>
    </row>
    <row r="143" spans="2:37" ht="6.75" customHeight="1" thickTop="1" thickBot="1" x14ac:dyDescent="0.3">
      <c r="B143" s="15"/>
      <c r="C143" s="14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  <c r="AE143" s="13"/>
      <c r="AF143" s="13"/>
      <c r="AG143" s="13"/>
      <c r="AH143" s="13"/>
      <c r="AI143" s="200"/>
      <c r="AJ143" s="11"/>
      <c r="AK143" s="10"/>
    </row>
    <row r="144" spans="2:37" ht="12.6" thickTop="1" x14ac:dyDescent="0.25">
      <c r="E144" s="37"/>
      <c r="AI144" s="4"/>
    </row>
    <row r="145" spans="2:37" x14ac:dyDescent="0.25">
      <c r="AI145" s="4"/>
    </row>
    <row r="146" spans="2:37" x14ac:dyDescent="0.25">
      <c r="AI146" s="4"/>
    </row>
    <row r="147" spans="2:37" ht="39.75" customHeight="1" x14ac:dyDescent="0.7">
      <c r="C147" s="36"/>
      <c r="E147" s="240"/>
      <c r="F147" s="240"/>
      <c r="G147" s="240"/>
      <c r="H147" s="240"/>
      <c r="I147" s="240"/>
      <c r="J147" s="240"/>
      <c r="K147" s="240"/>
      <c r="L147" s="240"/>
      <c r="M147" s="240"/>
      <c r="N147" s="240"/>
      <c r="O147" s="240"/>
      <c r="P147" s="240"/>
      <c r="Q147" s="240"/>
      <c r="R147" s="240"/>
      <c r="S147" s="240"/>
      <c r="T147" s="240"/>
      <c r="U147" s="240"/>
      <c r="V147" s="240"/>
      <c r="W147" s="240"/>
      <c r="X147" s="240"/>
      <c r="Y147" s="240"/>
      <c r="Z147" s="240"/>
      <c r="AA147" s="240"/>
      <c r="AB147" s="240"/>
      <c r="AC147" s="240"/>
      <c r="AD147" s="240"/>
      <c r="AE147" s="240"/>
      <c r="AF147" s="240"/>
      <c r="AG147" s="240"/>
      <c r="AH147" s="240"/>
      <c r="AI147" s="240"/>
      <c r="AJ147" s="169" t="s">
        <v>19</v>
      </c>
    </row>
    <row r="148" spans="2:37" ht="12.6" thickBot="1" x14ac:dyDescent="0.3">
      <c r="B148" s="35"/>
      <c r="AI148" s="4"/>
      <c r="AJ148" s="170" t="s">
        <v>202</v>
      </c>
    </row>
    <row r="149" spans="2:37" ht="6.75" customHeight="1" thickTop="1" thickBot="1" x14ac:dyDescent="0.3">
      <c r="B149" s="2"/>
      <c r="C149" s="14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F149" s="13"/>
      <c r="AG149" s="13"/>
      <c r="AH149" s="13"/>
      <c r="AI149" s="13"/>
      <c r="AJ149" s="200"/>
      <c r="AK149" s="33"/>
    </row>
    <row r="150" spans="2:37" ht="13.2" hidden="1" thickTop="1" thickBot="1" x14ac:dyDescent="0.3">
      <c r="B150" s="2"/>
      <c r="C150" s="31" t="s">
        <v>199</v>
      </c>
      <c r="D150" s="30" t="s">
        <v>198</v>
      </c>
      <c r="E150" s="30" t="s">
        <v>197</v>
      </c>
      <c r="F150" s="30" t="s">
        <v>196</v>
      </c>
      <c r="G150" s="30" t="s">
        <v>195</v>
      </c>
      <c r="H150" s="30" t="s">
        <v>194</v>
      </c>
      <c r="I150" s="30" t="s">
        <v>193</v>
      </c>
      <c r="J150" s="30" t="s">
        <v>192</v>
      </c>
      <c r="K150" s="30" t="s">
        <v>191</v>
      </c>
      <c r="L150" s="30" t="s">
        <v>190</v>
      </c>
      <c r="M150" s="30" t="s">
        <v>189</v>
      </c>
      <c r="N150" s="30" t="s">
        <v>188</v>
      </c>
      <c r="O150" s="30" t="s">
        <v>187</v>
      </c>
      <c r="P150" s="30" t="s">
        <v>186</v>
      </c>
      <c r="Q150" s="30" t="s">
        <v>185</v>
      </c>
      <c r="R150" s="30" t="s">
        <v>184</v>
      </c>
      <c r="S150" s="30" t="s">
        <v>183</v>
      </c>
      <c r="T150" s="30" t="s">
        <v>182</v>
      </c>
      <c r="U150" s="30" t="s">
        <v>181</v>
      </c>
      <c r="V150" s="30" t="s">
        <v>180</v>
      </c>
      <c r="W150" s="30" t="s">
        <v>179</v>
      </c>
      <c r="X150" s="30" t="s">
        <v>178</v>
      </c>
      <c r="Y150" s="30" t="s">
        <v>177</v>
      </c>
      <c r="Z150" s="30" t="s">
        <v>176</v>
      </c>
      <c r="AA150" s="30" t="s">
        <v>175</v>
      </c>
      <c r="AB150" s="30" t="s">
        <v>174</v>
      </c>
      <c r="AC150" s="30" t="s">
        <v>173</v>
      </c>
      <c r="AD150" s="30" t="s">
        <v>172</v>
      </c>
      <c r="AE150" s="30" t="s">
        <v>171</v>
      </c>
      <c r="AF150" s="30" t="s">
        <v>170</v>
      </c>
      <c r="AG150" s="30" t="s">
        <v>169</v>
      </c>
      <c r="AH150" s="30" t="s">
        <v>168</v>
      </c>
      <c r="AI150" s="30" t="s">
        <v>167</v>
      </c>
      <c r="AJ150" s="172" t="s">
        <v>166</v>
      </c>
      <c r="AK150" s="2"/>
    </row>
    <row r="151" spans="2:37" ht="19.5" customHeight="1" thickTop="1" thickBot="1" x14ac:dyDescent="0.3">
      <c r="B151" s="28"/>
      <c r="C151" s="27" t="str">
        <f>DADOS!$AH$3</f>
        <v>📝 COE</v>
      </c>
      <c r="D151" s="26" t="str">
        <f>IF(investiroutrosconsolidado282932[[#This Row],[TOTAL (R$)]]=0,"",IF(OR(investiroutrosconsolidado282932[[#This Row],[TOTAL (R$)]]=LARGE($AJ$151:$AJ$158,1),investiroutrosconsolidado282932[[#This Row],[TOTAL (R$)]]=LARGE($AJ$151:$AJ$158,2)),DADOS!$I$10,""))</f>
        <v/>
      </c>
      <c r="E151" s="189">
        <f>SUMIFS(tabela_registros[VALOR],tabela_registros[MÊS],$AE$1,tabela_registros[DIA],investiroutrosconsolidado282932[[#Headers],[1]],tabela_registros[REGISTRO],DADOS!$N$5,tabela_registros[TIPO],DADOS!$AB$5,tabela_registros[CATEGORIA],investiroutrosconsolidado282932[[#This Row],[ATUAL]])</f>
        <v>0</v>
      </c>
      <c r="F151" s="176">
        <f>SUMIFS(tabela_registros[VALOR],tabela_registros[MÊS],$AE$1,tabela_registros[DIA],investiroutrosconsolidado282932[[#Headers],[2]],tabela_registros[REGISTRO],DADOS!$N$5,tabela_registros[TIPO],DADOS!$AB$5,tabela_registros[CATEGORIA],investiroutrosconsolidado282932[[#This Row],[ATUAL]])</f>
        <v>0</v>
      </c>
      <c r="G151" s="176">
        <f>SUMIFS(tabela_registros[VALOR],tabela_registros[MÊS],$AE$1,tabela_registros[DIA],investiroutrosconsolidado282932[[#Headers],[3]],tabela_registros[REGISTRO],DADOS!$N$5,tabela_registros[TIPO],DADOS!$AB$5,tabela_registros[CATEGORIA],investiroutrosconsolidado282932[[#This Row],[ATUAL]])</f>
        <v>0</v>
      </c>
      <c r="H151" s="176">
        <f>SUMIFS(tabela_registros[VALOR],tabela_registros[MÊS],$AE$1,tabela_registros[DIA],investiroutrosconsolidado282932[[#Headers],[4]],tabela_registros[REGISTRO],DADOS!$N$5,tabela_registros[TIPO],DADOS!$AB$5,tabela_registros[CATEGORIA],investiroutrosconsolidado282932[[#This Row],[ATUAL]])</f>
        <v>0</v>
      </c>
      <c r="I151" s="176">
        <f>SUMIFS(tabela_registros[VALOR],tabela_registros[MÊS],$AE$1,tabela_registros[DIA],investiroutrosconsolidado282932[[#Headers],[5]],tabela_registros[REGISTRO],DADOS!$N$5,tabela_registros[TIPO],DADOS!$AB$5,tabela_registros[CATEGORIA],investiroutrosconsolidado282932[[#This Row],[ATUAL]])</f>
        <v>0</v>
      </c>
      <c r="J151" s="176">
        <f>SUMIFS(tabela_registros[VALOR],tabela_registros[MÊS],$AE$1,tabela_registros[DIA],investiroutrosconsolidado282932[[#Headers],[6]],tabela_registros[REGISTRO],DADOS!$N$5,tabela_registros[TIPO],DADOS!$AB$5,tabela_registros[CATEGORIA],investiroutrosconsolidado282932[[#This Row],[ATUAL]])</f>
        <v>0</v>
      </c>
      <c r="K151" s="176">
        <f>SUMIFS(tabela_registros[VALOR],tabela_registros[MÊS],$AE$1,tabela_registros[DIA],investiroutrosconsolidado282932[[#Headers],[7]],tabela_registros[REGISTRO],DADOS!$N$5,tabela_registros[TIPO],DADOS!$AB$5,tabela_registros[CATEGORIA],investiroutrosconsolidado282932[[#This Row],[ATUAL]])</f>
        <v>0</v>
      </c>
      <c r="L151" s="176">
        <f>SUMIFS(tabela_registros[VALOR],tabela_registros[MÊS],$AE$1,tabela_registros[DIA],investiroutrosconsolidado282932[[#Headers],[8]],tabela_registros[REGISTRO],DADOS!$N$5,tabela_registros[TIPO],DADOS!$AB$5,tabela_registros[CATEGORIA],investiroutrosconsolidado282932[[#This Row],[ATUAL]])</f>
        <v>0</v>
      </c>
      <c r="M151" s="176">
        <f>SUMIFS(tabela_registros[VALOR],tabela_registros[MÊS],$AE$1,tabela_registros[DIA],investiroutrosconsolidado282932[[#Headers],[9]],tabela_registros[REGISTRO],DADOS!$N$5,tabela_registros[TIPO],DADOS!$AB$5,tabela_registros[CATEGORIA],investiroutrosconsolidado282932[[#This Row],[ATUAL]])</f>
        <v>0</v>
      </c>
      <c r="N151" s="176">
        <f>SUMIFS(tabela_registros[VALOR],tabela_registros[MÊS],$AE$1,tabela_registros[DIA],investiroutrosconsolidado282932[[#Headers],[10]],tabela_registros[REGISTRO],DADOS!$N$5,tabela_registros[TIPO],DADOS!$AB$5,tabela_registros[CATEGORIA],investiroutrosconsolidado282932[[#This Row],[ATUAL]])</f>
        <v>0</v>
      </c>
      <c r="O151" s="176">
        <f>SUMIFS(tabela_registros[VALOR],tabela_registros[MÊS],$AE$1,tabela_registros[DIA],investiroutrosconsolidado282932[[#Headers],[11]],tabela_registros[REGISTRO],DADOS!$N$5,tabela_registros[TIPO],DADOS!$AB$5,tabela_registros[CATEGORIA],investiroutrosconsolidado282932[[#This Row],[ATUAL]])</f>
        <v>0</v>
      </c>
      <c r="P151" s="176">
        <f>SUMIFS(tabela_registros[VALOR],tabela_registros[MÊS],$AE$1,tabela_registros[DIA],investiroutrosconsolidado282932[[#Headers],[12]],tabela_registros[REGISTRO],DADOS!$N$5,tabela_registros[TIPO],DADOS!$AB$5,tabela_registros[CATEGORIA],investiroutrosconsolidado282932[[#This Row],[ATUAL]])</f>
        <v>0</v>
      </c>
      <c r="Q151" s="176">
        <f>SUMIFS(tabela_registros[VALOR],tabela_registros[MÊS],$AE$1,tabela_registros[DIA],investiroutrosconsolidado282932[[#Headers],[13]],tabela_registros[REGISTRO],DADOS!$N$5,tabela_registros[TIPO],DADOS!$AB$5,tabela_registros[CATEGORIA],investiroutrosconsolidado282932[[#This Row],[ATUAL]])</f>
        <v>0</v>
      </c>
      <c r="R151" s="176">
        <f>SUMIFS(tabela_registros[VALOR],tabela_registros[MÊS],$AE$1,tabela_registros[DIA],investiroutrosconsolidado282932[[#Headers],[14]],tabela_registros[REGISTRO],DADOS!$N$5,tabela_registros[TIPO],DADOS!$AB$5,tabela_registros[CATEGORIA],investiroutrosconsolidado282932[[#This Row],[ATUAL]])</f>
        <v>0</v>
      </c>
      <c r="S151" s="176">
        <f>SUMIFS(tabela_registros[VALOR],tabela_registros[MÊS],$AE$1,tabela_registros[DIA],investiroutrosconsolidado282932[[#Headers],[15]],tabela_registros[REGISTRO],DADOS!$N$5,tabela_registros[TIPO],DADOS!$AB$5,tabela_registros[CATEGORIA],investiroutrosconsolidado282932[[#This Row],[ATUAL]])</f>
        <v>0</v>
      </c>
      <c r="T151" s="176">
        <f>SUMIFS(tabela_registros[VALOR],tabela_registros[MÊS],$AE$1,tabela_registros[DIA],investiroutrosconsolidado282932[[#Headers],[16]],tabela_registros[REGISTRO],DADOS!$N$5,tabela_registros[TIPO],DADOS!$AB$5,tabela_registros[CATEGORIA],investiroutrosconsolidado282932[[#This Row],[ATUAL]])</f>
        <v>0</v>
      </c>
      <c r="U151" s="176">
        <f>SUMIFS(tabela_registros[VALOR],tabela_registros[MÊS],$AE$1,tabela_registros[DIA],investiroutrosconsolidado282932[[#Headers],[17]],tabela_registros[REGISTRO],DADOS!$N$5,tabela_registros[TIPO],DADOS!$AB$5,tabela_registros[CATEGORIA],investiroutrosconsolidado282932[[#This Row],[ATUAL]])</f>
        <v>0</v>
      </c>
      <c r="V151" s="176">
        <f>SUMIFS(tabela_registros[VALOR],tabela_registros[MÊS],$AE$1,tabela_registros[DIA],investiroutrosconsolidado282932[[#Headers],[18]],tabela_registros[REGISTRO],DADOS!$N$5,tabela_registros[TIPO],DADOS!$AB$5,tabela_registros[CATEGORIA],investiroutrosconsolidado282932[[#This Row],[ATUAL]])</f>
        <v>0</v>
      </c>
      <c r="W151" s="176">
        <f>SUMIFS(tabela_registros[VALOR],tabela_registros[MÊS],$AE$1,tabela_registros[DIA],investiroutrosconsolidado282932[[#Headers],[19]],tabela_registros[REGISTRO],DADOS!$N$5,tabela_registros[TIPO],DADOS!$AB$5,tabela_registros[CATEGORIA],investiroutrosconsolidado282932[[#This Row],[ATUAL]])</f>
        <v>0</v>
      </c>
      <c r="X151" s="176">
        <f>SUMIFS(tabela_registros[VALOR],tabela_registros[MÊS],$AE$1,tabela_registros[DIA],investiroutrosconsolidado282932[[#Headers],[20]],tabela_registros[REGISTRO],DADOS!$N$5,tabela_registros[TIPO],DADOS!$AB$5,tabela_registros[CATEGORIA],investiroutrosconsolidado282932[[#This Row],[ATUAL]])</f>
        <v>0</v>
      </c>
      <c r="Y151" s="176">
        <f>SUMIFS(tabela_registros[VALOR],tabela_registros[MÊS],$AE$1,tabela_registros[DIA],investiroutrosconsolidado282932[[#Headers],[21]],tabela_registros[REGISTRO],DADOS!$N$5,tabela_registros[TIPO],DADOS!$AB$5,tabela_registros[CATEGORIA],investiroutrosconsolidado282932[[#This Row],[ATUAL]])</f>
        <v>0</v>
      </c>
      <c r="Z151" s="176">
        <f>SUMIFS(tabela_registros[VALOR],tabela_registros[MÊS],$AE$1,tabela_registros[DIA],investiroutrosconsolidado282932[[#Headers],[22]],tabela_registros[REGISTRO],DADOS!$N$5,tabela_registros[TIPO],DADOS!$AB$5,tabela_registros[CATEGORIA],investiroutrosconsolidado282932[[#This Row],[ATUAL]])</f>
        <v>0</v>
      </c>
      <c r="AA151" s="176">
        <f>SUMIFS(tabela_registros[VALOR],tabela_registros[MÊS],$AE$1,tabela_registros[DIA],investiroutrosconsolidado282932[[#Headers],[23]],tabela_registros[REGISTRO],DADOS!$N$5,tabela_registros[TIPO],DADOS!$AB$5,tabela_registros[CATEGORIA],investiroutrosconsolidado282932[[#This Row],[ATUAL]])</f>
        <v>0</v>
      </c>
      <c r="AB151" s="176">
        <f>SUMIFS(tabela_registros[VALOR],tabela_registros[MÊS],$AE$1,tabela_registros[DIA],investiroutrosconsolidado282932[[#Headers],[24]],tabela_registros[REGISTRO],DADOS!$N$5,tabela_registros[TIPO],DADOS!$AB$5,tabela_registros[CATEGORIA],investiroutrosconsolidado282932[[#This Row],[ATUAL]])</f>
        <v>0</v>
      </c>
      <c r="AC151" s="176">
        <f>SUMIFS(tabela_registros[VALOR],tabela_registros[MÊS],$AE$1,tabela_registros[DIA],investiroutrosconsolidado282932[[#Headers],[25]],tabela_registros[REGISTRO],DADOS!$N$5,tabela_registros[TIPO],DADOS!$AB$5,tabela_registros[CATEGORIA],investiroutrosconsolidado282932[[#This Row],[ATUAL]])</f>
        <v>0</v>
      </c>
      <c r="AD151" s="176">
        <f>SUMIFS(tabela_registros[VALOR],tabela_registros[MÊS],$AE$1,tabela_registros[DIA],investiroutrosconsolidado282932[[#Headers],[26]],tabela_registros[REGISTRO],DADOS!$N$5,tabela_registros[TIPO],DADOS!$AB$5,tabela_registros[CATEGORIA],investiroutrosconsolidado282932[[#This Row],[ATUAL]])</f>
        <v>0</v>
      </c>
      <c r="AE151" s="176">
        <f>SUMIFS(tabela_registros[VALOR],tabela_registros[MÊS],$AE$1,tabela_registros[DIA],investiroutrosconsolidado282932[[#Headers],[27]],tabela_registros[REGISTRO],DADOS!$N$5,tabela_registros[TIPO],DADOS!$AB$5,tabela_registros[CATEGORIA],investiroutrosconsolidado282932[[#This Row],[ATUAL]])</f>
        <v>0</v>
      </c>
      <c r="AF151" s="176">
        <f>SUMIFS(tabela_registros[VALOR],tabela_registros[MÊS],$AE$1,tabela_registros[DIA],investiroutrosconsolidado282932[[#Headers],[28]],tabela_registros[REGISTRO],DADOS!$N$5,tabela_registros[TIPO],DADOS!$AB$5,tabela_registros[CATEGORIA],investiroutrosconsolidado282932[[#This Row],[ATUAL]])</f>
        <v>0</v>
      </c>
      <c r="AG151" s="176">
        <f>SUMIFS(tabela_registros[VALOR],tabela_registros[MÊS],$AE$1,tabela_registros[DIA],investiroutrosconsolidado282932[[#Headers],[29]],tabela_registros[REGISTRO],DADOS!$N$5,tabela_registros[TIPO],DADOS!$AB$5,tabela_registros[CATEGORIA],investiroutrosconsolidado282932[[#This Row],[ATUAL]])</f>
        <v>0</v>
      </c>
      <c r="AH151" s="176">
        <f>SUMIFS(tabela_registros[VALOR],tabela_registros[MÊS],$AE$1,tabela_registros[DIA],investiroutrosconsolidado282932[[#Headers],[30]],tabela_registros[REGISTRO],DADOS!$N$5,tabela_registros[TIPO],DADOS!$AB$5,tabela_registros[CATEGORIA],investiroutrosconsolidado282932[[#This Row],[ATUAL]])</f>
        <v>0</v>
      </c>
      <c r="AI151" s="190">
        <f>SUMIFS(tabela_registros[VALOR],tabela_registros[MÊS],$AE$1,tabela_registros[DIA],investiroutrosconsolidado282932[[#Headers],[31]],tabela_registros[REGISTRO],DADOS!$N$5,tabela_registros[TIPO],DADOS!$AB$5,tabela_registros[CATEGORIA],investiroutrosconsolidado282932[[#This Row],[ATUAL]])</f>
        <v>0</v>
      </c>
      <c r="AJ151" s="167">
        <f>SUM(investiroutrosconsolidado282932[[#This Row],[1]:[31]])</f>
        <v>0</v>
      </c>
      <c r="AK151" s="25"/>
    </row>
    <row r="152" spans="2:37" ht="19.5" customHeight="1" thickTop="1" thickBot="1" x14ac:dyDescent="0.3">
      <c r="B152" s="28"/>
      <c r="C152" s="27" t="str">
        <f>DADOS!$AH$4</f>
        <v>📝 FOREX</v>
      </c>
      <c r="D152" s="26" t="str">
        <f>IF(investiroutrosconsolidado282932[[#This Row],[TOTAL (R$)]]=0,"",IF(OR(investiroutrosconsolidado282932[[#This Row],[TOTAL (R$)]]=LARGE($AJ$151:$AJ$158,1),investiroutrosconsolidado282932[[#This Row],[TOTAL (R$)]]=LARGE($AJ$151:$AJ$158,2)),DADOS!$I$10,""))</f>
        <v/>
      </c>
      <c r="E152" s="189">
        <f>SUMIFS(tabela_registros[VALOR],tabela_registros[MÊS],$AE$1,tabela_registros[DIA],investiroutrosconsolidado282932[[#Headers],[1]],tabela_registros[REGISTRO],DADOS!$N$5,tabela_registros[TIPO],DADOS!$AB$5,tabela_registros[CATEGORIA],investiroutrosconsolidado282932[[#This Row],[ATUAL]])</f>
        <v>0</v>
      </c>
      <c r="F152" s="176">
        <f>SUMIFS(tabela_registros[VALOR],tabela_registros[MÊS],$AE$1,tabela_registros[DIA],investiroutrosconsolidado282932[[#Headers],[2]],tabela_registros[REGISTRO],DADOS!$N$5,tabela_registros[TIPO],DADOS!$AB$5,tabela_registros[CATEGORIA],investiroutrosconsolidado282932[[#This Row],[ATUAL]])</f>
        <v>0</v>
      </c>
      <c r="G152" s="176">
        <f>SUMIFS(tabela_registros[VALOR],tabela_registros[MÊS],$AE$1,tabela_registros[DIA],investiroutrosconsolidado282932[[#Headers],[3]],tabela_registros[REGISTRO],DADOS!$N$5,tabela_registros[TIPO],DADOS!$AB$5,tabela_registros[CATEGORIA],investiroutrosconsolidado282932[[#This Row],[ATUAL]])</f>
        <v>0</v>
      </c>
      <c r="H152" s="176">
        <f>SUMIFS(tabela_registros[VALOR],tabela_registros[MÊS],$AE$1,tabela_registros[DIA],investiroutrosconsolidado282932[[#Headers],[4]],tabela_registros[REGISTRO],DADOS!$N$5,tabela_registros[TIPO],DADOS!$AB$5,tabela_registros[CATEGORIA],investiroutrosconsolidado282932[[#This Row],[ATUAL]])</f>
        <v>0</v>
      </c>
      <c r="I152" s="176">
        <f>SUMIFS(tabela_registros[VALOR],tabela_registros[MÊS],$AE$1,tabela_registros[DIA],investiroutrosconsolidado282932[[#Headers],[5]],tabela_registros[REGISTRO],DADOS!$N$5,tabela_registros[TIPO],DADOS!$AB$5,tabela_registros[CATEGORIA],investiroutrosconsolidado282932[[#This Row],[ATUAL]])</f>
        <v>0</v>
      </c>
      <c r="J152" s="176">
        <f>SUMIFS(tabela_registros[VALOR],tabela_registros[MÊS],$AE$1,tabela_registros[DIA],investiroutrosconsolidado282932[[#Headers],[6]],tabela_registros[REGISTRO],DADOS!$N$5,tabela_registros[TIPO],DADOS!$AB$5,tabela_registros[CATEGORIA],investiroutrosconsolidado282932[[#This Row],[ATUAL]])</f>
        <v>0</v>
      </c>
      <c r="K152" s="176">
        <f>SUMIFS(tabela_registros[VALOR],tabela_registros[MÊS],$AE$1,tabela_registros[DIA],investiroutrosconsolidado282932[[#Headers],[7]],tabela_registros[REGISTRO],DADOS!$N$5,tabela_registros[TIPO],DADOS!$AB$5,tabela_registros[CATEGORIA],investiroutrosconsolidado282932[[#This Row],[ATUAL]])</f>
        <v>0</v>
      </c>
      <c r="L152" s="176">
        <f>SUMIFS(tabela_registros[VALOR],tabela_registros[MÊS],$AE$1,tabela_registros[DIA],investiroutrosconsolidado282932[[#Headers],[8]],tabela_registros[REGISTRO],DADOS!$N$5,tabela_registros[TIPO],DADOS!$AB$5,tabela_registros[CATEGORIA],investiroutrosconsolidado282932[[#This Row],[ATUAL]])</f>
        <v>0</v>
      </c>
      <c r="M152" s="176">
        <f>SUMIFS(tabela_registros[VALOR],tabela_registros[MÊS],$AE$1,tabela_registros[DIA],investiroutrosconsolidado282932[[#Headers],[9]],tabela_registros[REGISTRO],DADOS!$N$5,tabela_registros[TIPO],DADOS!$AB$5,tabela_registros[CATEGORIA],investiroutrosconsolidado282932[[#This Row],[ATUAL]])</f>
        <v>0</v>
      </c>
      <c r="N152" s="176">
        <f>SUMIFS(tabela_registros[VALOR],tabela_registros[MÊS],$AE$1,tabela_registros[DIA],investiroutrosconsolidado282932[[#Headers],[10]],tabela_registros[REGISTRO],DADOS!$N$5,tabela_registros[TIPO],DADOS!$AB$5,tabela_registros[CATEGORIA],investiroutrosconsolidado282932[[#This Row],[ATUAL]])</f>
        <v>0</v>
      </c>
      <c r="O152" s="176">
        <f>SUMIFS(tabela_registros[VALOR],tabela_registros[MÊS],$AE$1,tabela_registros[DIA],investiroutrosconsolidado282932[[#Headers],[11]],tabela_registros[REGISTRO],DADOS!$N$5,tabela_registros[TIPO],DADOS!$AB$5,tabela_registros[CATEGORIA],investiroutrosconsolidado282932[[#This Row],[ATUAL]])</f>
        <v>0</v>
      </c>
      <c r="P152" s="176">
        <f>SUMIFS(tabela_registros[VALOR],tabela_registros[MÊS],$AE$1,tabela_registros[DIA],investiroutrosconsolidado282932[[#Headers],[12]],tabela_registros[REGISTRO],DADOS!$N$5,tabela_registros[TIPO],DADOS!$AB$5,tabela_registros[CATEGORIA],investiroutrosconsolidado282932[[#This Row],[ATUAL]])</f>
        <v>0</v>
      </c>
      <c r="Q152" s="176">
        <f>SUMIFS(tabela_registros[VALOR],tabela_registros[MÊS],$AE$1,tabela_registros[DIA],investiroutrosconsolidado282932[[#Headers],[13]],tabela_registros[REGISTRO],DADOS!$N$5,tabela_registros[TIPO],DADOS!$AB$5,tabela_registros[CATEGORIA],investiroutrosconsolidado282932[[#This Row],[ATUAL]])</f>
        <v>0</v>
      </c>
      <c r="R152" s="176">
        <f>SUMIFS(tabela_registros[VALOR],tabela_registros[MÊS],$AE$1,tabela_registros[DIA],investiroutrosconsolidado282932[[#Headers],[14]],tabela_registros[REGISTRO],DADOS!$N$5,tabela_registros[TIPO],DADOS!$AB$5,tabela_registros[CATEGORIA],investiroutrosconsolidado282932[[#This Row],[ATUAL]])</f>
        <v>0</v>
      </c>
      <c r="S152" s="176">
        <f>SUMIFS(tabela_registros[VALOR],tabela_registros[MÊS],$AE$1,tabela_registros[DIA],investiroutrosconsolidado282932[[#Headers],[15]],tabela_registros[REGISTRO],DADOS!$N$5,tabela_registros[TIPO],DADOS!$AB$5,tabela_registros[CATEGORIA],investiroutrosconsolidado282932[[#This Row],[ATUAL]])</f>
        <v>0</v>
      </c>
      <c r="T152" s="176">
        <f>SUMIFS(tabela_registros[VALOR],tabela_registros[MÊS],$AE$1,tabela_registros[DIA],investiroutrosconsolidado282932[[#Headers],[16]],tabela_registros[REGISTRO],DADOS!$N$5,tabela_registros[TIPO],DADOS!$AB$5,tabela_registros[CATEGORIA],investiroutrosconsolidado282932[[#This Row],[ATUAL]])</f>
        <v>0</v>
      </c>
      <c r="U152" s="176">
        <f>SUMIFS(tabela_registros[VALOR],tabela_registros[MÊS],$AE$1,tabela_registros[DIA],investiroutrosconsolidado282932[[#Headers],[17]],tabela_registros[REGISTRO],DADOS!$N$5,tabela_registros[TIPO],DADOS!$AB$5,tabela_registros[CATEGORIA],investiroutrosconsolidado282932[[#This Row],[ATUAL]])</f>
        <v>0</v>
      </c>
      <c r="V152" s="176">
        <f>SUMIFS(tabela_registros[VALOR],tabela_registros[MÊS],$AE$1,tabela_registros[DIA],investiroutrosconsolidado282932[[#Headers],[18]],tabela_registros[REGISTRO],DADOS!$N$5,tabela_registros[TIPO],DADOS!$AB$5,tabela_registros[CATEGORIA],investiroutrosconsolidado282932[[#This Row],[ATUAL]])</f>
        <v>0</v>
      </c>
      <c r="W152" s="176">
        <f>SUMIFS(tabela_registros[VALOR],tabela_registros[MÊS],$AE$1,tabela_registros[DIA],investiroutrosconsolidado282932[[#Headers],[19]],tabela_registros[REGISTRO],DADOS!$N$5,tabela_registros[TIPO],DADOS!$AB$5,tabela_registros[CATEGORIA],investiroutrosconsolidado282932[[#This Row],[ATUAL]])</f>
        <v>0</v>
      </c>
      <c r="X152" s="176">
        <f>SUMIFS(tabela_registros[VALOR],tabela_registros[MÊS],$AE$1,tabela_registros[DIA],investiroutrosconsolidado282932[[#Headers],[20]],tabela_registros[REGISTRO],DADOS!$N$5,tabela_registros[TIPO],DADOS!$AB$5,tabela_registros[CATEGORIA],investiroutrosconsolidado282932[[#This Row],[ATUAL]])</f>
        <v>0</v>
      </c>
      <c r="Y152" s="176">
        <f>SUMIFS(tabela_registros[VALOR],tabela_registros[MÊS],$AE$1,tabela_registros[DIA],investiroutrosconsolidado282932[[#Headers],[21]],tabela_registros[REGISTRO],DADOS!$N$5,tabela_registros[TIPO],DADOS!$AB$5,tabela_registros[CATEGORIA],investiroutrosconsolidado282932[[#This Row],[ATUAL]])</f>
        <v>0</v>
      </c>
      <c r="Z152" s="176">
        <f>SUMIFS(tabela_registros[VALOR],tabela_registros[MÊS],$AE$1,tabela_registros[DIA],investiroutrosconsolidado282932[[#Headers],[22]],tabela_registros[REGISTRO],DADOS!$N$5,tabela_registros[TIPO],DADOS!$AB$5,tabela_registros[CATEGORIA],investiroutrosconsolidado282932[[#This Row],[ATUAL]])</f>
        <v>0</v>
      </c>
      <c r="AA152" s="176">
        <f>SUMIFS(tabela_registros[VALOR],tabela_registros[MÊS],$AE$1,tabela_registros[DIA],investiroutrosconsolidado282932[[#Headers],[23]],tabela_registros[REGISTRO],DADOS!$N$5,tabela_registros[TIPO],DADOS!$AB$5,tabela_registros[CATEGORIA],investiroutrosconsolidado282932[[#This Row],[ATUAL]])</f>
        <v>0</v>
      </c>
      <c r="AB152" s="176">
        <f>SUMIFS(tabela_registros[VALOR],tabela_registros[MÊS],$AE$1,tabela_registros[DIA],investiroutrosconsolidado282932[[#Headers],[24]],tabela_registros[REGISTRO],DADOS!$N$5,tabela_registros[TIPO],DADOS!$AB$5,tabela_registros[CATEGORIA],investiroutrosconsolidado282932[[#This Row],[ATUAL]])</f>
        <v>0</v>
      </c>
      <c r="AC152" s="176">
        <f>SUMIFS(tabela_registros[VALOR],tabela_registros[MÊS],$AE$1,tabela_registros[DIA],investiroutrosconsolidado282932[[#Headers],[25]],tabela_registros[REGISTRO],DADOS!$N$5,tabela_registros[TIPO],DADOS!$AB$5,tabela_registros[CATEGORIA],investiroutrosconsolidado282932[[#This Row],[ATUAL]])</f>
        <v>0</v>
      </c>
      <c r="AD152" s="176">
        <f>SUMIFS(tabela_registros[VALOR],tabela_registros[MÊS],$AE$1,tabela_registros[DIA],investiroutrosconsolidado282932[[#Headers],[26]],tabela_registros[REGISTRO],DADOS!$N$5,tabela_registros[TIPO],DADOS!$AB$5,tabela_registros[CATEGORIA],investiroutrosconsolidado282932[[#This Row],[ATUAL]])</f>
        <v>0</v>
      </c>
      <c r="AE152" s="176">
        <f>SUMIFS(tabela_registros[VALOR],tabela_registros[MÊS],$AE$1,tabela_registros[DIA],investiroutrosconsolidado282932[[#Headers],[27]],tabela_registros[REGISTRO],DADOS!$N$5,tabela_registros[TIPO],DADOS!$AB$5,tabela_registros[CATEGORIA],investiroutrosconsolidado282932[[#This Row],[ATUAL]])</f>
        <v>0</v>
      </c>
      <c r="AF152" s="176">
        <f>SUMIFS(tabela_registros[VALOR],tabela_registros[MÊS],$AE$1,tabela_registros[DIA],investiroutrosconsolidado282932[[#Headers],[28]],tabela_registros[REGISTRO],DADOS!$N$5,tabela_registros[TIPO],DADOS!$AB$5,tabela_registros[CATEGORIA],investiroutrosconsolidado282932[[#This Row],[ATUAL]])</f>
        <v>0</v>
      </c>
      <c r="AG152" s="176">
        <f>SUMIFS(tabela_registros[VALOR],tabela_registros[MÊS],$AE$1,tabela_registros[DIA],investiroutrosconsolidado282932[[#Headers],[29]],tabela_registros[REGISTRO],DADOS!$N$5,tabela_registros[TIPO],DADOS!$AB$5,tabela_registros[CATEGORIA],investiroutrosconsolidado282932[[#This Row],[ATUAL]])</f>
        <v>0</v>
      </c>
      <c r="AH152" s="176">
        <f>SUMIFS(tabela_registros[VALOR],tabela_registros[MÊS],$AE$1,tabela_registros[DIA],investiroutrosconsolidado282932[[#Headers],[30]],tabela_registros[REGISTRO],DADOS!$N$5,tabela_registros[TIPO],DADOS!$AB$5,tabela_registros[CATEGORIA],investiroutrosconsolidado282932[[#This Row],[ATUAL]])</f>
        <v>0</v>
      </c>
      <c r="AI152" s="190">
        <f>SUMIFS(tabela_registros[VALOR],tabela_registros[MÊS],$AE$1,tabela_registros[DIA],investiroutrosconsolidado282932[[#Headers],[31]],tabela_registros[REGISTRO],DADOS!$N$5,tabela_registros[TIPO],DADOS!$AB$5,tabela_registros[CATEGORIA],investiroutrosconsolidado282932[[#This Row],[ATUAL]])</f>
        <v>0</v>
      </c>
      <c r="AJ152" s="167">
        <f>SUM(investiroutrosconsolidado282932[[#This Row],[1]:[31]])</f>
        <v>0</v>
      </c>
      <c r="AK152" s="25"/>
    </row>
    <row r="153" spans="2:37" ht="19.5" customHeight="1" thickTop="1" thickBot="1" x14ac:dyDescent="0.3">
      <c r="B153" s="28"/>
      <c r="C153" s="27" t="str">
        <f>DADOS!$AH$5</f>
        <v>📝 FUNDO DE INVESTIMENTO</v>
      </c>
      <c r="D153" s="26" t="str">
        <f>IF(investiroutrosconsolidado282932[[#This Row],[TOTAL (R$)]]=0,"",IF(OR(investiroutrosconsolidado282932[[#This Row],[TOTAL (R$)]]=LARGE($AJ$151:$AJ$158,1),investiroutrosconsolidado282932[[#This Row],[TOTAL (R$)]]=LARGE($AJ$151:$AJ$158,2)),DADOS!$I$10,""))</f>
        <v/>
      </c>
      <c r="E153" s="189">
        <f>SUMIFS(tabela_registros[VALOR],tabela_registros[MÊS],$AE$1,tabela_registros[DIA],investiroutrosconsolidado282932[[#Headers],[1]],tabela_registros[REGISTRO],DADOS!$N$5,tabela_registros[TIPO],DADOS!$AB$5,tabela_registros[CATEGORIA],investiroutrosconsolidado282932[[#This Row],[ATUAL]])</f>
        <v>0</v>
      </c>
      <c r="F153" s="176">
        <f>SUMIFS(tabela_registros[VALOR],tabela_registros[MÊS],$AE$1,tabela_registros[DIA],investiroutrosconsolidado282932[[#Headers],[2]],tabela_registros[REGISTRO],DADOS!$N$5,tabela_registros[TIPO],DADOS!$AB$5,tabela_registros[CATEGORIA],investiroutrosconsolidado282932[[#This Row],[ATUAL]])</f>
        <v>0</v>
      </c>
      <c r="G153" s="176">
        <f>SUMIFS(tabela_registros[VALOR],tabela_registros[MÊS],$AE$1,tabela_registros[DIA],investiroutrosconsolidado282932[[#Headers],[3]],tabela_registros[REGISTRO],DADOS!$N$5,tabela_registros[TIPO],DADOS!$AB$5,tabela_registros[CATEGORIA],investiroutrosconsolidado282932[[#This Row],[ATUAL]])</f>
        <v>0</v>
      </c>
      <c r="H153" s="176">
        <f>SUMIFS(tabela_registros[VALOR],tabela_registros[MÊS],$AE$1,tabela_registros[DIA],investiroutrosconsolidado282932[[#Headers],[4]],tabela_registros[REGISTRO],DADOS!$N$5,tabela_registros[TIPO],DADOS!$AB$5,tabela_registros[CATEGORIA],investiroutrosconsolidado282932[[#This Row],[ATUAL]])</f>
        <v>0</v>
      </c>
      <c r="I153" s="176">
        <f>SUMIFS(tabela_registros[VALOR],tabela_registros[MÊS],$AE$1,tabela_registros[DIA],investiroutrosconsolidado282932[[#Headers],[5]],tabela_registros[REGISTRO],DADOS!$N$5,tabela_registros[TIPO],DADOS!$AB$5,tabela_registros[CATEGORIA],investiroutrosconsolidado282932[[#This Row],[ATUAL]])</f>
        <v>0</v>
      </c>
      <c r="J153" s="176">
        <f>SUMIFS(tabela_registros[VALOR],tabela_registros[MÊS],$AE$1,tabela_registros[DIA],investiroutrosconsolidado282932[[#Headers],[6]],tabela_registros[REGISTRO],DADOS!$N$5,tabela_registros[TIPO],DADOS!$AB$5,tabela_registros[CATEGORIA],investiroutrosconsolidado282932[[#This Row],[ATUAL]])</f>
        <v>0</v>
      </c>
      <c r="K153" s="176">
        <f>SUMIFS(tabela_registros[VALOR],tabela_registros[MÊS],$AE$1,tabela_registros[DIA],investiroutrosconsolidado282932[[#Headers],[7]],tabela_registros[REGISTRO],DADOS!$N$5,tabela_registros[TIPO],DADOS!$AB$5,tabela_registros[CATEGORIA],investiroutrosconsolidado282932[[#This Row],[ATUAL]])</f>
        <v>0</v>
      </c>
      <c r="L153" s="176">
        <f>SUMIFS(tabela_registros[VALOR],tabela_registros[MÊS],$AE$1,tabela_registros[DIA],investiroutrosconsolidado282932[[#Headers],[8]],tabela_registros[REGISTRO],DADOS!$N$5,tabela_registros[TIPO],DADOS!$AB$5,tabela_registros[CATEGORIA],investiroutrosconsolidado282932[[#This Row],[ATUAL]])</f>
        <v>0</v>
      </c>
      <c r="M153" s="176">
        <f>SUMIFS(tabela_registros[VALOR],tabela_registros[MÊS],$AE$1,tabela_registros[DIA],investiroutrosconsolidado282932[[#Headers],[9]],tabela_registros[REGISTRO],DADOS!$N$5,tabela_registros[TIPO],DADOS!$AB$5,tabela_registros[CATEGORIA],investiroutrosconsolidado282932[[#This Row],[ATUAL]])</f>
        <v>0</v>
      </c>
      <c r="N153" s="176">
        <f>SUMIFS(tabela_registros[VALOR],tabela_registros[MÊS],$AE$1,tabela_registros[DIA],investiroutrosconsolidado282932[[#Headers],[10]],tabela_registros[REGISTRO],DADOS!$N$5,tabela_registros[TIPO],DADOS!$AB$5,tabela_registros[CATEGORIA],investiroutrosconsolidado282932[[#This Row],[ATUAL]])</f>
        <v>0</v>
      </c>
      <c r="O153" s="176">
        <f>SUMIFS(tabela_registros[VALOR],tabela_registros[MÊS],$AE$1,tabela_registros[DIA],investiroutrosconsolidado282932[[#Headers],[11]],tabela_registros[REGISTRO],DADOS!$N$5,tabela_registros[TIPO],DADOS!$AB$5,tabela_registros[CATEGORIA],investiroutrosconsolidado282932[[#This Row],[ATUAL]])</f>
        <v>0</v>
      </c>
      <c r="P153" s="176">
        <f>SUMIFS(tabela_registros[VALOR],tabela_registros[MÊS],$AE$1,tabela_registros[DIA],investiroutrosconsolidado282932[[#Headers],[12]],tabela_registros[REGISTRO],DADOS!$N$5,tabela_registros[TIPO],DADOS!$AB$5,tabela_registros[CATEGORIA],investiroutrosconsolidado282932[[#This Row],[ATUAL]])</f>
        <v>0</v>
      </c>
      <c r="Q153" s="176">
        <f>SUMIFS(tabela_registros[VALOR],tabela_registros[MÊS],$AE$1,tabela_registros[DIA],investiroutrosconsolidado282932[[#Headers],[13]],tabela_registros[REGISTRO],DADOS!$N$5,tabela_registros[TIPO],DADOS!$AB$5,tabela_registros[CATEGORIA],investiroutrosconsolidado282932[[#This Row],[ATUAL]])</f>
        <v>0</v>
      </c>
      <c r="R153" s="176">
        <f>SUMIFS(tabela_registros[VALOR],tabela_registros[MÊS],$AE$1,tabela_registros[DIA],investiroutrosconsolidado282932[[#Headers],[14]],tabela_registros[REGISTRO],DADOS!$N$5,tabela_registros[TIPO],DADOS!$AB$5,tabela_registros[CATEGORIA],investiroutrosconsolidado282932[[#This Row],[ATUAL]])</f>
        <v>0</v>
      </c>
      <c r="S153" s="176">
        <f>SUMIFS(tabela_registros[VALOR],tabela_registros[MÊS],$AE$1,tabela_registros[DIA],investiroutrosconsolidado282932[[#Headers],[15]],tabela_registros[REGISTRO],DADOS!$N$5,tabela_registros[TIPO],DADOS!$AB$5,tabela_registros[CATEGORIA],investiroutrosconsolidado282932[[#This Row],[ATUAL]])</f>
        <v>0</v>
      </c>
      <c r="T153" s="176">
        <f>SUMIFS(tabela_registros[VALOR],tabela_registros[MÊS],$AE$1,tabela_registros[DIA],investiroutrosconsolidado282932[[#Headers],[16]],tabela_registros[REGISTRO],DADOS!$N$5,tabela_registros[TIPO],DADOS!$AB$5,tabela_registros[CATEGORIA],investiroutrosconsolidado282932[[#This Row],[ATUAL]])</f>
        <v>0</v>
      </c>
      <c r="U153" s="176">
        <f>SUMIFS(tabela_registros[VALOR],tabela_registros[MÊS],$AE$1,tabela_registros[DIA],investiroutrosconsolidado282932[[#Headers],[17]],tabela_registros[REGISTRO],DADOS!$N$5,tabela_registros[TIPO],DADOS!$AB$5,tabela_registros[CATEGORIA],investiroutrosconsolidado282932[[#This Row],[ATUAL]])</f>
        <v>0</v>
      </c>
      <c r="V153" s="176">
        <f>SUMIFS(tabela_registros[VALOR],tabela_registros[MÊS],$AE$1,tabela_registros[DIA],investiroutrosconsolidado282932[[#Headers],[18]],tabela_registros[REGISTRO],DADOS!$N$5,tabela_registros[TIPO],DADOS!$AB$5,tabela_registros[CATEGORIA],investiroutrosconsolidado282932[[#This Row],[ATUAL]])</f>
        <v>0</v>
      </c>
      <c r="W153" s="176">
        <f>SUMIFS(tabela_registros[VALOR],tabela_registros[MÊS],$AE$1,tabela_registros[DIA],investiroutrosconsolidado282932[[#Headers],[19]],tabela_registros[REGISTRO],DADOS!$N$5,tabela_registros[TIPO],DADOS!$AB$5,tabela_registros[CATEGORIA],investiroutrosconsolidado282932[[#This Row],[ATUAL]])</f>
        <v>0</v>
      </c>
      <c r="X153" s="176">
        <f>SUMIFS(tabela_registros[VALOR],tabela_registros[MÊS],$AE$1,tabela_registros[DIA],investiroutrosconsolidado282932[[#Headers],[20]],tabela_registros[REGISTRO],DADOS!$N$5,tabela_registros[TIPO],DADOS!$AB$5,tabela_registros[CATEGORIA],investiroutrosconsolidado282932[[#This Row],[ATUAL]])</f>
        <v>0</v>
      </c>
      <c r="Y153" s="176">
        <f>SUMIFS(tabela_registros[VALOR],tabela_registros[MÊS],$AE$1,tabela_registros[DIA],investiroutrosconsolidado282932[[#Headers],[21]],tabela_registros[REGISTRO],DADOS!$N$5,tabela_registros[TIPO],DADOS!$AB$5,tabela_registros[CATEGORIA],investiroutrosconsolidado282932[[#This Row],[ATUAL]])</f>
        <v>0</v>
      </c>
      <c r="Z153" s="176">
        <f>SUMIFS(tabela_registros[VALOR],tabela_registros[MÊS],$AE$1,tabela_registros[DIA],investiroutrosconsolidado282932[[#Headers],[22]],tabela_registros[REGISTRO],DADOS!$N$5,tabela_registros[TIPO],DADOS!$AB$5,tabela_registros[CATEGORIA],investiroutrosconsolidado282932[[#This Row],[ATUAL]])</f>
        <v>0</v>
      </c>
      <c r="AA153" s="176">
        <f>SUMIFS(tabela_registros[VALOR],tabela_registros[MÊS],$AE$1,tabela_registros[DIA],investiroutrosconsolidado282932[[#Headers],[23]],tabela_registros[REGISTRO],DADOS!$N$5,tabela_registros[TIPO],DADOS!$AB$5,tabela_registros[CATEGORIA],investiroutrosconsolidado282932[[#This Row],[ATUAL]])</f>
        <v>0</v>
      </c>
      <c r="AB153" s="176">
        <f>SUMIFS(tabela_registros[VALOR],tabela_registros[MÊS],$AE$1,tabela_registros[DIA],investiroutrosconsolidado282932[[#Headers],[24]],tabela_registros[REGISTRO],DADOS!$N$5,tabela_registros[TIPO],DADOS!$AB$5,tabela_registros[CATEGORIA],investiroutrosconsolidado282932[[#This Row],[ATUAL]])</f>
        <v>0</v>
      </c>
      <c r="AC153" s="176">
        <f>SUMIFS(tabela_registros[VALOR],tabela_registros[MÊS],$AE$1,tabela_registros[DIA],investiroutrosconsolidado282932[[#Headers],[25]],tabela_registros[REGISTRO],DADOS!$N$5,tabela_registros[TIPO],DADOS!$AB$5,tabela_registros[CATEGORIA],investiroutrosconsolidado282932[[#This Row],[ATUAL]])</f>
        <v>0</v>
      </c>
      <c r="AD153" s="176">
        <f>SUMIFS(tabela_registros[VALOR],tabela_registros[MÊS],$AE$1,tabela_registros[DIA],investiroutrosconsolidado282932[[#Headers],[26]],tabela_registros[REGISTRO],DADOS!$N$5,tabela_registros[TIPO],DADOS!$AB$5,tabela_registros[CATEGORIA],investiroutrosconsolidado282932[[#This Row],[ATUAL]])</f>
        <v>0</v>
      </c>
      <c r="AE153" s="176">
        <f>SUMIFS(tabela_registros[VALOR],tabela_registros[MÊS],$AE$1,tabela_registros[DIA],investiroutrosconsolidado282932[[#Headers],[27]],tabela_registros[REGISTRO],DADOS!$N$5,tabela_registros[TIPO],DADOS!$AB$5,tabela_registros[CATEGORIA],investiroutrosconsolidado282932[[#This Row],[ATUAL]])</f>
        <v>0</v>
      </c>
      <c r="AF153" s="176">
        <f>SUMIFS(tabela_registros[VALOR],tabela_registros[MÊS],$AE$1,tabela_registros[DIA],investiroutrosconsolidado282932[[#Headers],[28]],tabela_registros[REGISTRO],DADOS!$N$5,tabela_registros[TIPO],DADOS!$AB$5,tabela_registros[CATEGORIA],investiroutrosconsolidado282932[[#This Row],[ATUAL]])</f>
        <v>0</v>
      </c>
      <c r="AG153" s="176">
        <f>SUMIFS(tabela_registros[VALOR],tabela_registros[MÊS],$AE$1,tabela_registros[DIA],investiroutrosconsolidado282932[[#Headers],[29]],tabela_registros[REGISTRO],DADOS!$N$5,tabela_registros[TIPO],DADOS!$AB$5,tabela_registros[CATEGORIA],investiroutrosconsolidado282932[[#This Row],[ATUAL]])</f>
        <v>0</v>
      </c>
      <c r="AH153" s="176">
        <f>SUMIFS(tabela_registros[VALOR],tabela_registros[MÊS],$AE$1,tabela_registros[DIA],investiroutrosconsolidado282932[[#Headers],[30]],tabela_registros[REGISTRO],DADOS!$N$5,tabela_registros[TIPO],DADOS!$AB$5,tabela_registros[CATEGORIA],investiroutrosconsolidado282932[[#This Row],[ATUAL]])</f>
        <v>0</v>
      </c>
      <c r="AI153" s="190">
        <f>SUMIFS(tabela_registros[VALOR],tabela_registros[MÊS],$AE$1,tabela_registros[DIA],investiroutrosconsolidado282932[[#Headers],[31]],tabela_registros[REGISTRO],DADOS!$N$5,tabela_registros[TIPO],DADOS!$AB$5,tabela_registros[CATEGORIA],investiroutrosconsolidado282932[[#This Row],[ATUAL]])</f>
        <v>0</v>
      </c>
      <c r="AJ153" s="167">
        <f>SUM(investiroutrosconsolidado282932[[#This Row],[1]:[31]])</f>
        <v>0</v>
      </c>
      <c r="AK153" s="25"/>
    </row>
    <row r="154" spans="2:37" ht="19.5" customHeight="1" thickTop="1" thickBot="1" x14ac:dyDescent="0.3">
      <c r="B154" s="28"/>
      <c r="C154" s="27" t="str">
        <f>DADOS!$AH$6</f>
        <v>📝 NOVA EMPRESA</v>
      </c>
      <c r="D154" s="26" t="str">
        <f>IF(investiroutrosconsolidado282932[[#This Row],[TOTAL (R$)]]=0,"",IF(OR(investiroutrosconsolidado282932[[#This Row],[TOTAL (R$)]]=LARGE($AJ$151:$AJ$158,1),investiroutrosconsolidado282932[[#This Row],[TOTAL (R$)]]=LARGE($AJ$151:$AJ$158,2)),DADOS!$I$10,""))</f>
        <v/>
      </c>
      <c r="E154" s="189">
        <f>SUMIFS(tabela_registros[VALOR],tabela_registros[MÊS],$AE$1,tabela_registros[DIA],investiroutrosconsolidado282932[[#Headers],[1]],tabela_registros[REGISTRO],DADOS!$N$5,tabela_registros[TIPO],DADOS!$AB$5,tabela_registros[CATEGORIA],investiroutrosconsolidado282932[[#This Row],[ATUAL]])</f>
        <v>0</v>
      </c>
      <c r="F154" s="176">
        <f>SUMIFS(tabela_registros[VALOR],tabela_registros[MÊS],$AE$1,tabela_registros[DIA],investiroutrosconsolidado282932[[#Headers],[2]],tabela_registros[REGISTRO],DADOS!$N$5,tabela_registros[TIPO],DADOS!$AB$5,tabela_registros[CATEGORIA],investiroutrosconsolidado282932[[#This Row],[ATUAL]])</f>
        <v>0</v>
      </c>
      <c r="G154" s="176">
        <f>SUMIFS(tabela_registros[VALOR],tabela_registros[MÊS],$AE$1,tabela_registros[DIA],investiroutrosconsolidado282932[[#Headers],[3]],tabela_registros[REGISTRO],DADOS!$N$5,tabela_registros[TIPO],DADOS!$AB$5,tabela_registros[CATEGORIA],investiroutrosconsolidado282932[[#This Row],[ATUAL]])</f>
        <v>0</v>
      </c>
      <c r="H154" s="176">
        <f>SUMIFS(tabela_registros[VALOR],tabela_registros[MÊS],$AE$1,tabela_registros[DIA],investiroutrosconsolidado282932[[#Headers],[4]],tabela_registros[REGISTRO],DADOS!$N$5,tabela_registros[TIPO],DADOS!$AB$5,tabela_registros[CATEGORIA],investiroutrosconsolidado282932[[#This Row],[ATUAL]])</f>
        <v>0</v>
      </c>
      <c r="I154" s="176">
        <f>SUMIFS(tabela_registros[VALOR],tabela_registros[MÊS],$AE$1,tabela_registros[DIA],investiroutrosconsolidado282932[[#Headers],[5]],tabela_registros[REGISTRO],DADOS!$N$5,tabela_registros[TIPO],DADOS!$AB$5,tabela_registros[CATEGORIA],investiroutrosconsolidado282932[[#This Row],[ATUAL]])</f>
        <v>0</v>
      </c>
      <c r="J154" s="176">
        <f>SUMIFS(tabela_registros[VALOR],tabela_registros[MÊS],$AE$1,tabela_registros[DIA],investiroutrosconsolidado282932[[#Headers],[6]],tabela_registros[REGISTRO],DADOS!$N$5,tabela_registros[TIPO],DADOS!$AB$5,tabela_registros[CATEGORIA],investiroutrosconsolidado282932[[#This Row],[ATUAL]])</f>
        <v>0</v>
      </c>
      <c r="K154" s="176">
        <f>SUMIFS(tabela_registros[VALOR],tabela_registros[MÊS],$AE$1,tabela_registros[DIA],investiroutrosconsolidado282932[[#Headers],[7]],tabela_registros[REGISTRO],DADOS!$N$5,tabela_registros[TIPO],DADOS!$AB$5,tabela_registros[CATEGORIA],investiroutrosconsolidado282932[[#This Row],[ATUAL]])</f>
        <v>0</v>
      </c>
      <c r="L154" s="176">
        <f>SUMIFS(tabela_registros[VALOR],tabela_registros[MÊS],$AE$1,tabela_registros[DIA],investiroutrosconsolidado282932[[#Headers],[8]],tabela_registros[REGISTRO],DADOS!$N$5,tabela_registros[TIPO],DADOS!$AB$5,tabela_registros[CATEGORIA],investiroutrosconsolidado282932[[#This Row],[ATUAL]])</f>
        <v>0</v>
      </c>
      <c r="M154" s="176">
        <f>SUMIFS(tabela_registros[VALOR],tabela_registros[MÊS],$AE$1,tabela_registros[DIA],investiroutrosconsolidado282932[[#Headers],[9]],tabela_registros[REGISTRO],DADOS!$N$5,tabela_registros[TIPO],DADOS!$AB$5,tabela_registros[CATEGORIA],investiroutrosconsolidado282932[[#This Row],[ATUAL]])</f>
        <v>0</v>
      </c>
      <c r="N154" s="176">
        <f>SUMIFS(tabela_registros[VALOR],tabela_registros[MÊS],$AE$1,tabela_registros[DIA],investiroutrosconsolidado282932[[#Headers],[10]],tabela_registros[REGISTRO],DADOS!$N$5,tabela_registros[TIPO],DADOS!$AB$5,tabela_registros[CATEGORIA],investiroutrosconsolidado282932[[#This Row],[ATUAL]])</f>
        <v>0</v>
      </c>
      <c r="O154" s="176">
        <f>SUMIFS(tabela_registros[VALOR],tabela_registros[MÊS],$AE$1,tabela_registros[DIA],investiroutrosconsolidado282932[[#Headers],[11]],tabela_registros[REGISTRO],DADOS!$N$5,tabela_registros[TIPO],DADOS!$AB$5,tabela_registros[CATEGORIA],investiroutrosconsolidado282932[[#This Row],[ATUAL]])</f>
        <v>0</v>
      </c>
      <c r="P154" s="176">
        <f>SUMIFS(tabela_registros[VALOR],tabela_registros[MÊS],$AE$1,tabela_registros[DIA],investiroutrosconsolidado282932[[#Headers],[12]],tabela_registros[REGISTRO],DADOS!$N$5,tabela_registros[TIPO],DADOS!$AB$5,tabela_registros[CATEGORIA],investiroutrosconsolidado282932[[#This Row],[ATUAL]])</f>
        <v>0</v>
      </c>
      <c r="Q154" s="176">
        <f>SUMIFS(tabela_registros[VALOR],tabela_registros[MÊS],$AE$1,tabela_registros[DIA],investiroutrosconsolidado282932[[#Headers],[13]],tabela_registros[REGISTRO],DADOS!$N$5,tabela_registros[TIPO],DADOS!$AB$5,tabela_registros[CATEGORIA],investiroutrosconsolidado282932[[#This Row],[ATUAL]])</f>
        <v>0</v>
      </c>
      <c r="R154" s="176">
        <f>SUMIFS(tabela_registros[VALOR],tabela_registros[MÊS],$AE$1,tabela_registros[DIA],investiroutrosconsolidado282932[[#Headers],[14]],tabela_registros[REGISTRO],DADOS!$N$5,tabela_registros[TIPO],DADOS!$AB$5,tabela_registros[CATEGORIA],investiroutrosconsolidado282932[[#This Row],[ATUAL]])</f>
        <v>0</v>
      </c>
      <c r="S154" s="176">
        <f>SUMIFS(tabela_registros[VALOR],tabela_registros[MÊS],$AE$1,tabela_registros[DIA],investiroutrosconsolidado282932[[#Headers],[15]],tabela_registros[REGISTRO],DADOS!$N$5,tabela_registros[TIPO],DADOS!$AB$5,tabela_registros[CATEGORIA],investiroutrosconsolidado282932[[#This Row],[ATUAL]])</f>
        <v>0</v>
      </c>
      <c r="T154" s="176">
        <f>SUMIFS(tabela_registros[VALOR],tabela_registros[MÊS],$AE$1,tabela_registros[DIA],investiroutrosconsolidado282932[[#Headers],[16]],tabela_registros[REGISTRO],DADOS!$N$5,tabela_registros[TIPO],DADOS!$AB$5,tabela_registros[CATEGORIA],investiroutrosconsolidado282932[[#This Row],[ATUAL]])</f>
        <v>0</v>
      </c>
      <c r="U154" s="176">
        <f>SUMIFS(tabela_registros[VALOR],tabela_registros[MÊS],$AE$1,tabela_registros[DIA],investiroutrosconsolidado282932[[#Headers],[17]],tabela_registros[REGISTRO],DADOS!$N$5,tabela_registros[TIPO],DADOS!$AB$5,tabela_registros[CATEGORIA],investiroutrosconsolidado282932[[#This Row],[ATUAL]])</f>
        <v>0</v>
      </c>
      <c r="V154" s="176">
        <f>SUMIFS(tabela_registros[VALOR],tabela_registros[MÊS],$AE$1,tabela_registros[DIA],investiroutrosconsolidado282932[[#Headers],[18]],tabela_registros[REGISTRO],DADOS!$N$5,tabela_registros[TIPO],DADOS!$AB$5,tabela_registros[CATEGORIA],investiroutrosconsolidado282932[[#This Row],[ATUAL]])</f>
        <v>0</v>
      </c>
      <c r="W154" s="176">
        <f>SUMIFS(tabela_registros[VALOR],tabela_registros[MÊS],$AE$1,tabela_registros[DIA],investiroutrosconsolidado282932[[#Headers],[19]],tabela_registros[REGISTRO],DADOS!$N$5,tabela_registros[TIPO],DADOS!$AB$5,tabela_registros[CATEGORIA],investiroutrosconsolidado282932[[#This Row],[ATUAL]])</f>
        <v>0</v>
      </c>
      <c r="X154" s="176">
        <f>SUMIFS(tabela_registros[VALOR],tabela_registros[MÊS],$AE$1,tabela_registros[DIA],investiroutrosconsolidado282932[[#Headers],[20]],tabela_registros[REGISTRO],DADOS!$N$5,tabela_registros[TIPO],DADOS!$AB$5,tabela_registros[CATEGORIA],investiroutrosconsolidado282932[[#This Row],[ATUAL]])</f>
        <v>0</v>
      </c>
      <c r="Y154" s="176">
        <f>SUMIFS(tabela_registros[VALOR],tabela_registros[MÊS],$AE$1,tabela_registros[DIA],investiroutrosconsolidado282932[[#Headers],[21]],tabela_registros[REGISTRO],DADOS!$N$5,tabela_registros[TIPO],DADOS!$AB$5,tabela_registros[CATEGORIA],investiroutrosconsolidado282932[[#This Row],[ATUAL]])</f>
        <v>0</v>
      </c>
      <c r="Z154" s="176">
        <f>SUMIFS(tabela_registros[VALOR],tabela_registros[MÊS],$AE$1,tabela_registros[DIA],investiroutrosconsolidado282932[[#Headers],[22]],tabela_registros[REGISTRO],DADOS!$N$5,tabela_registros[TIPO],DADOS!$AB$5,tabela_registros[CATEGORIA],investiroutrosconsolidado282932[[#This Row],[ATUAL]])</f>
        <v>0</v>
      </c>
      <c r="AA154" s="176">
        <f>SUMIFS(tabela_registros[VALOR],tabela_registros[MÊS],$AE$1,tabela_registros[DIA],investiroutrosconsolidado282932[[#Headers],[23]],tabela_registros[REGISTRO],DADOS!$N$5,tabela_registros[TIPO],DADOS!$AB$5,tabela_registros[CATEGORIA],investiroutrosconsolidado282932[[#This Row],[ATUAL]])</f>
        <v>0</v>
      </c>
      <c r="AB154" s="176">
        <f>SUMIFS(tabela_registros[VALOR],tabela_registros[MÊS],$AE$1,tabela_registros[DIA],investiroutrosconsolidado282932[[#Headers],[24]],tabela_registros[REGISTRO],DADOS!$N$5,tabela_registros[TIPO],DADOS!$AB$5,tabela_registros[CATEGORIA],investiroutrosconsolidado282932[[#This Row],[ATUAL]])</f>
        <v>0</v>
      </c>
      <c r="AC154" s="176">
        <f>SUMIFS(tabela_registros[VALOR],tabela_registros[MÊS],$AE$1,tabela_registros[DIA],investiroutrosconsolidado282932[[#Headers],[25]],tabela_registros[REGISTRO],DADOS!$N$5,tabela_registros[TIPO],DADOS!$AB$5,tabela_registros[CATEGORIA],investiroutrosconsolidado282932[[#This Row],[ATUAL]])</f>
        <v>0</v>
      </c>
      <c r="AD154" s="176">
        <f>SUMIFS(tabela_registros[VALOR],tabela_registros[MÊS],$AE$1,tabela_registros[DIA],investiroutrosconsolidado282932[[#Headers],[26]],tabela_registros[REGISTRO],DADOS!$N$5,tabela_registros[TIPO],DADOS!$AB$5,tabela_registros[CATEGORIA],investiroutrosconsolidado282932[[#This Row],[ATUAL]])</f>
        <v>0</v>
      </c>
      <c r="AE154" s="176">
        <f>SUMIFS(tabela_registros[VALOR],tabela_registros[MÊS],$AE$1,tabela_registros[DIA],investiroutrosconsolidado282932[[#Headers],[27]],tabela_registros[REGISTRO],DADOS!$N$5,tabela_registros[TIPO],DADOS!$AB$5,tabela_registros[CATEGORIA],investiroutrosconsolidado282932[[#This Row],[ATUAL]])</f>
        <v>0</v>
      </c>
      <c r="AF154" s="176">
        <f>SUMIFS(tabela_registros[VALOR],tabela_registros[MÊS],$AE$1,tabela_registros[DIA],investiroutrosconsolidado282932[[#Headers],[28]],tabela_registros[REGISTRO],DADOS!$N$5,tabela_registros[TIPO],DADOS!$AB$5,tabela_registros[CATEGORIA],investiroutrosconsolidado282932[[#This Row],[ATUAL]])</f>
        <v>0</v>
      </c>
      <c r="AG154" s="176">
        <f>SUMIFS(tabela_registros[VALOR],tabela_registros[MÊS],$AE$1,tabela_registros[DIA],investiroutrosconsolidado282932[[#Headers],[29]],tabela_registros[REGISTRO],DADOS!$N$5,tabela_registros[TIPO],DADOS!$AB$5,tabela_registros[CATEGORIA],investiroutrosconsolidado282932[[#This Row],[ATUAL]])</f>
        <v>0</v>
      </c>
      <c r="AH154" s="176">
        <f>SUMIFS(tabela_registros[VALOR],tabela_registros[MÊS],$AE$1,tabela_registros[DIA],investiroutrosconsolidado282932[[#Headers],[30]],tabela_registros[REGISTRO],DADOS!$N$5,tabela_registros[TIPO],DADOS!$AB$5,tabela_registros[CATEGORIA],investiroutrosconsolidado282932[[#This Row],[ATUAL]])</f>
        <v>0</v>
      </c>
      <c r="AI154" s="190">
        <f>SUMIFS(tabela_registros[VALOR],tabela_registros[MÊS],$AE$1,tabela_registros[DIA],investiroutrosconsolidado282932[[#Headers],[31]],tabela_registros[REGISTRO],DADOS!$N$5,tabela_registros[TIPO],DADOS!$AB$5,tabela_registros[CATEGORIA],investiroutrosconsolidado282932[[#This Row],[ATUAL]])</f>
        <v>0</v>
      </c>
      <c r="AJ154" s="167">
        <f>SUM(investiroutrosconsolidado282932[[#This Row],[1]:[31]])</f>
        <v>0</v>
      </c>
      <c r="AK154" s="25"/>
    </row>
    <row r="155" spans="2:37" ht="19.5" customHeight="1" thickTop="1" thickBot="1" x14ac:dyDescent="0.3">
      <c r="B155" s="28"/>
      <c r="C155" s="27" t="str">
        <f>DADOS!$AH$7</f>
        <v>📝 PEER TO COMPANY</v>
      </c>
      <c r="D155" s="26" t="str">
        <f>IF(investiroutrosconsolidado282932[[#This Row],[TOTAL (R$)]]=0,"",IF(OR(investiroutrosconsolidado282932[[#This Row],[TOTAL (R$)]]=LARGE($AJ$151:$AJ$158,1),investiroutrosconsolidado282932[[#This Row],[TOTAL (R$)]]=LARGE($AJ$151:$AJ$158,2)),DADOS!$I$10,""))</f>
        <v/>
      </c>
      <c r="E155" s="189">
        <f>SUMIFS(tabela_registros[VALOR],tabela_registros[MÊS],$AE$1,tabela_registros[DIA],investiroutrosconsolidado282932[[#Headers],[1]],tabela_registros[REGISTRO],DADOS!$N$5,tabela_registros[TIPO],DADOS!$AB$5,tabela_registros[CATEGORIA],investiroutrosconsolidado282932[[#This Row],[ATUAL]])</f>
        <v>0</v>
      </c>
      <c r="F155" s="176">
        <f>SUMIFS(tabela_registros[VALOR],tabela_registros[MÊS],$AE$1,tabela_registros[DIA],investiroutrosconsolidado282932[[#Headers],[2]],tabela_registros[REGISTRO],DADOS!$N$5,tabela_registros[TIPO],DADOS!$AB$5,tabela_registros[CATEGORIA],investiroutrosconsolidado282932[[#This Row],[ATUAL]])</f>
        <v>0</v>
      </c>
      <c r="G155" s="176">
        <f>SUMIFS(tabela_registros[VALOR],tabela_registros[MÊS],$AE$1,tabela_registros[DIA],investiroutrosconsolidado282932[[#Headers],[3]],tabela_registros[REGISTRO],DADOS!$N$5,tabela_registros[TIPO],DADOS!$AB$5,tabela_registros[CATEGORIA],investiroutrosconsolidado282932[[#This Row],[ATUAL]])</f>
        <v>0</v>
      </c>
      <c r="H155" s="176">
        <f>SUMIFS(tabela_registros[VALOR],tabela_registros[MÊS],$AE$1,tabela_registros[DIA],investiroutrosconsolidado282932[[#Headers],[4]],tabela_registros[REGISTRO],DADOS!$N$5,tabela_registros[TIPO],DADOS!$AB$5,tabela_registros[CATEGORIA],investiroutrosconsolidado282932[[#This Row],[ATUAL]])</f>
        <v>0</v>
      </c>
      <c r="I155" s="176">
        <f>SUMIFS(tabela_registros[VALOR],tabela_registros[MÊS],$AE$1,tabela_registros[DIA],investiroutrosconsolidado282932[[#Headers],[5]],tabela_registros[REGISTRO],DADOS!$N$5,tabela_registros[TIPO],DADOS!$AB$5,tabela_registros[CATEGORIA],investiroutrosconsolidado282932[[#This Row],[ATUAL]])</f>
        <v>0</v>
      </c>
      <c r="J155" s="176">
        <f>SUMIFS(tabela_registros[VALOR],tabela_registros[MÊS],$AE$1,tabela_registros[DIA],investiroutrosconsolidado282932[[#Headers],[6]],tabela_registros[REGISTRO],DADOS!$N$5,tabela_registros[TIPO],DADOS!$AB$5,tabela_registros[CATEGORIA],investiroutrosconsolidado282932[[#This Row],[ATUAL]])</f>
        <v>0</v>
      </c>
      <c r="K155" s="176">
        <f>SUMIFS(tabela_registros[VALOR],tabela_registros[MÊS],$AE$1,tabela_registros[DIA],investiroutrosconsolidado282932[[#Headers],[7]],tabela_registros[REGISTRO],DADOS!$N$5,tabela_registros[TIPO],DADOS!$AB$5,tabela_registros[CATEGORIA],investiroutrosconsolidado282932[[#This Row],[ATUAL]])</f>
        <v>0</v>
      </c>
      <c r="L155" s="176">
        <f>SUMIFS(tabela_registros[VALOR],tabela_registros[MÊS],$AE$1,tabela_registros[DIA],investiroutrosconsolidado282932[[#Headers],[8]],tabela_registros[REGISTRO],DADOS!$N$5,tabela_registros[TIPO],DADOS!$AB$5,tabela_registros[CATEGORIA],investiroutrosconsolidado282932[[#This Row],[ATUAL]])</f>
        <v>0</v>
      </c>
      <c r="M155" s="176">
        <f>SUMIFS(tabela_registros[VALOR],tabela_registros[MÊS],$AE$1,tabela_registros[DIA],investiroutrosconsolidado282932[[#Headers],[9]],tabela_registros[REGISTRO],DADOS!$N$5,tabela_registros[TIPO],DADOS!$AB$5,tabela_registros[CATEGORIA],investiroutrosconsolidado282932[[#This Row],[ATUAL]])</f>
        <v>0</v>
      </c>
      <c r="N155" s="176">
        <f>SUMIFS(tabela_registros[VALOR],tabela_registros[MÊS],$AE$1,tabela_registros[DIA],investiroutrosconsolidado282932[[#Headers],[10]],tabela_registros[REGISTRO],DADOS!$N$5,tabela_registros[TIPO],DADOS!$AB$5,tabela_registros[CATEGORIA],investiroutrosconsolidado282932[[#This Row],[ATUAL]])</f>
        <v>0</v>
      </c>
      <c r="O155" s="176">
        <f>SUMIFS(tabela_registros[VALOR],tabela_registros[MÊS],$AE$1,tabela_registros[DIA],investiroutrosconsolidado282932[[#Headers],[11]],tabela_registros[REGISTRO],DADOS!$N$5,tabela_registros[TIPO],DADOS!$AB$5,tabela_registros[CATEGORIA],investiroutrosconsolidado282932[[#This Row],[ATUAL]])</f>
        <v>0</v>
      </c>
      <c r="P155" s="176">
        <f>SUMIFS(tabela_registros[VALOR],tabela_registros[MÊS],$AE$1,tabela_registros[DIA],investiroutrosconsolidado282932[[#Headers],[12]],tabela_registros[REGISTRO],DADOS!$N$5,tabela_registros[TIPO],DADOS!$AB$5,tabela_registros[CATEGORIA],investiroutrosconsolidado282932[[#This Row],[ATUAL]])</f>
        <v>0</v>
      </c>
      <c r="Q155" s="176">
        <f>SUMIFS(tabela_registros[VALOR],tabela_registros[MÊS],$AE$1,tabela_registros[DIA],investiroutrosconsolidado282932[[#Headers],[13]],tabela_registros[REGISTRO],DADOS!$N$5,tabela_registros[TIPO],DADOS!$AB$5,tabela_registros[CATEGORIA],investiroutrosconsolidado282932[[#This Row],[ATUAL]])</f>
        <v>0</v>
      </c>
      <c r="R155" s="176">
        <f>SUMIFS(tabela_registros[VALOR],tabela_registros[MÊS],$AE$1,tabela_registros[DIA],investiroutrosconsolidado282932[[#Headers],[14]],tabela_registros[REGISTRO],DADOS!$N$5,tabela_registros[TIPO],DADOS!$AB$5,tabela_registros[CATEGORIA],investiroutrosconsolidado282932[[#This Row],[ATUAL]])</f>
        <v>0</v>
      </c>
      <c r="S155" s="176">
        <f>SUMIFS(tabela_registros[VALOR],tabela_registros[MÊS],$AE$1,tabela_registros[DIA],investiroutrosconsolidado282932[[#Headers],[15]],tabela_registros[REGISTRO],DADOS!$N$5,tabela_registros[TIPO],DADOS!$AB$5,tabela_registros[CATEGORIA],investiroutrosconsolidado282932[[#This Row],[ATUAL]])</f>
        <v>0</v>
      </c>
      <c r="T155" s="176">
        <f>SUMIFS(tabela_registros[VALOR],tabela_registros[MÊS],$AE$1,tabela_registros[DIA],investiroutrosconsolidado282932[[#Headers],[16]],tabela_registros[REGISTRO],DADOS!$N$5,tabela_registros[TIPO],DADOS!$AB$5,tabela_registros[CATEGORIA],investiroutrosconsolidado282932[[#This Row],[ATUAL]])</f>
        <v>0</v>
      </c>
      <c r="U155" s="176">
        <f>SUMIFS(tabela_registros[VALOR],tabela_registros[MÊS],$AE$1,tabela_registros[DIA],investiroutrosconsolidado282932[[#Headers],[17]],tabela_registros[REGISTRO],DADOS!$N$5,tabela_registros[TIPO],DADOS!$AB$5,tabela_registros[CATEGORIA],investiroutrosconsolidado282932[[#This Row],[ATUAL]])</f>
        <v>0</v>
      </c>
      <c r="V155" s="176">
        <f>SUMIFS(tabela_registros[VALOR],tabela_registros[MÊS],$AE$1,tabela_registros[DIA],investiroutrosconsolidado282932[[#Headers],[18]],tabela_registros[REGISTRO],DADOS!$N$5,tabela_registros[TIPO],DADOS!$AB$5,tabela_registros[CATEGORIA],investiroutrosconsolidado282932[[#This Row],[ATUAL]])</f>
        <v>0</v>
      </c>
      <c r="W155" s="176">
        <f>SUMIFS(tabela_registros[VALOR],tabela_registros[MÊS],$AE$1,tabela_registros[DIA],investiroutrosconsolidado282932[[#Headers],[19]],tabela_registros[REGISTRO],DADOS!$N$5,tabela_registros[TIPO],DADOS!$AB$5,tabela_registros[CATEGORIA],investiroutrosconsolidado282932[[#This Row],[ATUAL]])</f>
        <v>0</v>
      </c>
      <c r="X155" s="176">
        <f>SUMIFS(tabela_registros[VALOR],tabela_registros[MÊS],$AE$1,tabela_registros[DIA],investiroutrosconsolidado282932[[#Headers],[20]],tabela_registros[REGISTRO],DADOS!$N$5,tabela_registros[TIPO],DADOS!$AB$5,tabela_registros[CATEGORIA],investiroutrosconsolidado282932[[#This Row],[ATUAL]])</f>
        <v>0</v>
      </c>
      <c r="Y155" s="176">
        <f>SUMIFS(tabela_registros[VALOR],tabela_registros[MÊS],$AE$1,tabela_registros[DIA],investiroutrosconsolidado282932[[#Headers],[21]],tabela_registros[REGISTRO],DADOS!$N$5,tabela_registros[TIPO],DADOS!$AB$5,tabela_registros[CATEGORIA],investiroutrosconsolidado282932[[#This Row],[ATUAL]])</f>
        <v>0</v>
      </c>
      <c r="Z155" s="176">
        <f>SUMIFS(tabela_registros[VALOR],tabela_registros[MÊS],$AE$1,tabela_registros[DIA],investiroutrosconsolidado282932[[#Headers],[22]],tabela_registros[REGISTRO],DADOS!$N$5,tabela_registros[TIPO],DADOS!$AB$5,tabela_registros[CATEGORIA],investiroutrosconsolidado282932[[#This Row],[ATUAL]])</f>
        <v>0</v>
      </c>
      <c r="AA155" s="176">
        <f>SUMIFS(tabela_registros[VALOR],tabela_registros[MÊS],$AE$1,tabela_registros[DIA],investiroutrosconsolidado282932[[#Headers],[23]],tabela_registros[REGISTRO],DADOS!$N$5,tabela_registros[TIPO],DADOS!$AB$5,tabela_registros[CATEGORIA],investiroutrosconsolidado282932[[#This Row],[ATUAL]])</f>
        <v>0</v>
      </c>
      <c r="AB155" s="176">
        <f>SUMIFS(tabela_registros[VALOR],tabela_registros[MÊS],$AE$1,tabela_registros[DIA],investiroutrosconsolidado282932[[#Headers],[24]],tabela_registros[REGISTRO],DADOS!$N$5,tabela_registros[TIPO],DADOS!$AB$5,tabela_registros[CATEGORIA],investiroutrosconsolidado282932[[#This Row],[ATUAL]])</f>
        <v>0</v>
      </c>
      <c r="AC155" s="176">
        <f>SUMIFS(tabela_registros[VALOR],tabela_registros[MÊS],$AE$1,tabela_registros[DIA],investiroutrosconsolidado282932[[#Headers],[25]],tabela_registros[REGISTRO],DADOS!$N$5,tabela_registros[TIPO],DADOS!$AB$5,tabela_registros[CATEGORIA],investiroutrosconsolidado282932[[#This Row],[ATUAL]])</f>
        <v>0</v>
      </c>
      <c r="AD155" s="176">
        <f>SUMIFS(tabela_registros[VALOR],tabela_registros[MÊS],$AE$1,tabela_registros[DIA],investiroutrosconsolidado282932[[#Headers],[26]],tabela_registros[REGISTRO],DADOS!$N$5,tabela_registros[TIPO],DADOS!$AB$5,tabela_registros[CATEGORIA],investiroutrosconsolidado282932[[#This Row],[ATUAL]])</f>
        <v>0</v>
      </c>
      <c r="AE155" s="176">
        <f>SUMIFS(tabela_registros[VALOR],tabela_registros[MÊS],$AE$1,tabela_registros[DIA],investiroutrosconsolidado282932[[#Headers],[27]],tabela_registros[REGISTRO],DADOS!$N$5,tabela_registros[TIPO],DADOS!$AB$5,tabela_registros[CATEGORIA],investiroutrosconsolidado282932[[#This Row],[ATUAL]])</f>
        <v>0</v>
      </c>
      <c r="AF155" s="176">
        <f>SUMIFS(tabela_registros[VALOR],tabela_registros[MÊS],$AE$1,tabela_registros[DIA],investiroutrosconsolidado282932[[#Headers],[28]],tabela_registros[REGISTRO],DADOS!$N$5,tabela_registros[TIPO],DADOS!$AB$5,tabela_registros[CATEGORIA],investiroutrosconsolidado282932[[#This Row],[ATUAL]])</f>
        <v>0</v>
      </c>
      <c r="AG155" s="176">
        <f>SUMIFS(tabela_registros[VALOR],tabela_registros[MÊS],$AE$1,tabela_registros[DIA],investiroutrosconsolidado282932[[#Headers],[29]],tabela_registros[REGISTRO],DADOS!$N$5,tabela_registros[TIPO],DADOS!$AB$5,tabela_registros[CATEGORIA],investiroutrosconsolidado282932[[#This Row],[ATUAL]])</f>
        <v>0</v>
      </c>
      <c r="AH155" s="176">
        <f>SUMIFS(tabela_registros[VALOR],tabela_registros[MÊS],$AE$1,tabela_registros[DIA],investiroutrosconsolidado282932[[#Headers],[30]],tabela_registros[REGISTRO],DADOS!$N$5,tabela_registros[TIPO],DADOS!$AB$5,tabela_registros[CATEGORIA],investiroutrosconsolidado282932[[#This Row],[ATUAL]])</f>
        <v>0</v>
      </c>
      <c r="AI155" s="190">
        <f>SUMIFS(tabela_registros[VALOR],tabela_registros[MÊS],$AE$1,tabela_registros[DIA],investiroutrosconsolidado282932[[#Headers],[31]],tabela_registros[REGISTRO],DADOS!$N$5,tabela_registros[TIPO],DADOS!$AB$5,tabela_registros[CATEGORIA],investiroutrosconsolidado282932[[#This Row],[ATUAL]])</f>
        <v>0</v>
      </c>
      <c r="AJ155" s="167">
        <f>SUM(investiroutrosconsolidado282932[[#This Row],[1]:[31]])</f>
        <v>0</v>
      </c>
      <c r="AK155" s="25"/>
    </row>
    <row r="156" spans="2:37" ht="19.5" customHeight="1" thickTop="1" thickBot="1" x14ac:dyDescent="0.3">
      <c r="B156" s="28"/>
      <c r="C156" s="27" t="str">
        <f>DADOS!$AH$8</f>
        <v>📝 PEER TO PEER</v>
      </c>
      <c r="D156" s="26" t="str">
        <f>IF(investiroutrosconsolidado282932[[#This Row],[TOTAL (R$)]]=0,"",IF(OR(investiroutrosconsolidado282932[[#This Row],[TOTAL (R$)]]=LARGE($AJ$151:$AJ$158,1),investiroutrosconsolidado282932[[#This Row],[TOTAL (R$)]]=LARGE($AJ$151:$AJ$158,2)),DADOS!$I$10,""))</f>
        <v/>
      </c>
      <c r="E156" s="189">
        <f>SUMIFS(tabela_registros[VALOR],tabela_registros[MÊS],$AE$1,tabela_registros[DIA],investiroutrosconsolidado282932[[#Headers],[1]],tabela_registros[REGISTRO],DADOS!$N$5,tabela_registros[TIPO],DADOS!$AB$5,tabela_registros[CATEGORIA],investiroutrosconsolidado282932[[#This Row],[ATUAL]])</f>
        <v>0</v>
      </c>
      <c r="F156" s="176">
        <f>SUMIFS(tabela_registros[VALOR],tabela_registros[MÊS],$AE$1,tabela_registros[DIA],investiroutrosconsolidado282932[[#Headers],[2]],tabela_registros[REGISTRO],DADOS!$N$5,tabela_registros[TIPO],DADOS!$AB$5,tabela_registros[CATEGORIA],investiroutrosconsolidado282932[[#This Row],[ATUAL]])</f>
        <v>0</v>
      </c>
      <c r="G156" s="176">
        <f>SUMIFS(tabela_registros[VALOR],tabela_registros[MÊS],$AE$1,tabela_registros[DIA],investiroutrosconsolidado282932[[#Headers],[3]],tabela_registros[REGISTRO],DADOS!$N$5,tabela_registros[TIPO],DADOS!$AB$5,tabela_registros[CATEGORIA],investiroutrosconsolidado282932[[#This Row],[ATUAL]])</f>
        <v>0</v>
      </c>
      <c r="H156" s="176">
        <f>SUMIFS(tabela_registros[VALOR],tabela_registros[MÊS],$AE$1,tabela_registros[DIA],investiroutrosconsolidado282932[[#Headers],[4]],tabela_registros[REGISTRO],DADOS!$N$5,tabela_registros[TIPO],DADOS!$AB$5,tabela_registros[CATEGORIA],investiroutrosconsolidado282932[[#This Row],[ATUAL]])</f>
        <v>0</v>
      </c>
      <c r="I156" s="176">
        <f>SUMIFS(tabela_registros[VALOR],tabela_registros[MÊS],$AE$1,tabela_registros[DIA],investiroutrosconsolidado282932[[#Headers],[5]],tabela_registros[REGISTRO],DADOS!$N$5,tabela_registros[TIPO],DADOS!$AB$5,tabela_registros[CATEGORIA],investiroutrosconsolidado282932[[#This Row],[ATUAL]])</f>
        <v>0</v>
      </c>
      <c r="J156" s="176">
        <f>SUMIFS(tabela_registros[VALOR],tabela_registros[MÊS],$AE$1,tabela_registros[DIA],investiroutrosconsolidado282932[[#Headers],[6]],tabela_registros[REGISTRO],DADOS!$N$5,tabela_registros[TIPO],DADOS!$AB$5,tabela_registros[CATEGORIA],investiroutrosconsolidado282932[[#This Row],[ATUAL]])</f>
        <v>0</v>
      </c>
      <c r="K156" s="176">
        <f>SUMIFS(tabela_registros[VALOR],tabela_registros[MÊS],$AE$1,tabela_registros[DIA],investiroutrosconsolidado282932[[#Headers],[7]],tabela_registros[REGISTRO],DADOS!$N$5,tabela_registros[TIPO],DADOS!$AB$5,tabela_registros[CATEGORIA],investiroutrosconsolidado282932[[#This Row],[ATUAL]])</f>
        <v>0</v>
      </c>
      <c r="L156" s="176">
        <f>SUMIFS(tabela_registros[VALOR],tabela_registros[MÊS],$AE$1,tabela_registros[DIA],investiroutrosconsolidado282932[[#Headers],[8]],tabela_registros[REGISTRO],DADOS!$N$5,tabela_registros[TIPO],DADOS!$AB$5,tabela_registros[CATEGORIA],investiroutrosconsolidado282932[[#This Row],[ATUAL]])</f>
        <v>0</v>
      </c>
      <c r="M156" s="176">
        <f>SUMIFS(tabela_registros[VALOR],tabela_registros[MÊS],$AE$1,tabela_registros[DIA],investiroutrosconsolidado282932[[#Headers],[9]],tabela_registros[REGISTRO],DADOS!$N$5,tabela_registros[TIPO],DADOS!$AB$5,tabela_registros[CATEGORIA],investiroutrosconsolidado282932[[#This Row],[ATUAL]])</f>
        <v>0</v>
      </c>
      <c r="N156" s="176">
        <f>SUMIFS(tabela_registros[VALOR],tabela_registros[MÊS],$AE$1,tabela_registros[DIA],investiroutrosconsolidado282932[[#Headers],[10]],tabela_registros[REGISTRO],DADOS!$N$5,tabela_registros[TIPO],DADOS!$AB$5,tabela_registros[CATEGORIA],investiroutrosconsolidado282932[[#This Row],[ATUAL]])</f>
        <v>0</v>
      </c>
      <c r="O156" s="176">
        <f>SUMIFS(tabela_registros[VALOR],tabela_registros[MÊS],$AE$1,tabela_registros[DIA],investiroutrosconsolidado282932[[#Headers],[11]],tabela_registros[REGISTRO],DADOS!$N$5,tabela_registros[TIPO],DADOS!$AB$5,tabela_registros[CATEGORIA],investiroutrosconsolidado282932[[#This Row],[ATUAL]])</f>
        <v>0</v>
      </c>
      <c r="P156" s="176">
        <f>SUMIFS(tabela_registros[VALOR],tabela_registros[MÊS],$AE$1,tabela_registros[DIA],investiroutrosconsolidado282932[[#Headers],[12]],tabela_registros[REGISTRO],DADOS!$N$5,tabela_registros[TIPO],DADOS!$AB$5,tabela_registros[CATEGORIA],investiroutrosconsolidado282932[[#This Row],[ATUAL]])</f>
        <v>0</v>
      </c>
      <c r="Q156" s="176">
        <f>SUMIFS(tabela_registros[VALOR],tabela_registros[MÊS],$AE$1,tabela_registros[DIA],investiroutrosconsolidado282932[[#Headers],[13]],tabela_registros[REGISTRO],DADOS!$N$5,tabela_registros[TIPO],DADOS!$AB$5,tabela_registros[CATEGORIA],investiroutrosconsolidado282932[[#This Row],[ATUAL]])</f>
        <v>0</v>
      </c>
      <c r="R156" s="176">
        <f>SUMIFS(tabela_registros[VALOR],tabela_registros[MÊS],$AE$1,tabela_registros[DIA],investiroutrosconsolidado282932[[#Headers],[14]],tabela_registros[REGISTRO],DADOS!$N$5,tabela_registros[TIPO],DADOS!$AB$5,tabela_registros[CATEGORIA],investiroutrosconsolidado282932[[#This Row],[ATUAL]])</f>
        <v>0</v>
      </c>
      <c r="S156" s="176">
        <f>SUMIFS(tabela_registros[VALOR],tabela_registros[MÊS],$AE$1,tabela_registros[DIA],investiroutrosconsolidado282932[[#Headers],[15]],tabela_registros[REGISTRO],DADOS!$N$5,tabela_registros[TIPO],DADOS!$AB$5,tabela_registros[CATEGORIA],investiroutrosconsolidado282932[[#This Row],[ATUAL]])</f>
        <v>0</v>
      </c>
      <c r="T156" s="176">
        <f>SUMIFS(tabela_registros[VALOR],tabela_registros[MÊS],$AE$1,tabela_registros[DIA],investiroutrosconsolidado282932[[#Headers],[16]],tabela_registros[REGISTRO],DADOS!$N$5,tabela_registros[TIPO],DADOS!$AB$5,tabela_registros[CATEGORIA],investiroutrosconsolidado282932[[#This Row],[ATUAL]])</f>
        <v>0</v>
      </c>
      <c r="U156" s="176">
        <f>SUMIFS(tabela_registros[VALOR],tabela_registros[MÊS],$AE$1,tabela_registros[DIA],investiroutrosconsolidado282932[[#Headers],[17]],tabela_registros[REGISTRO],DADOS!$N$5,tabela_registros[TIPO],DADOS!$AB$5,tabela_registros[CATEGORIA],investiroutrosconsolidado282932[[#This Row],[ATUAL]])</f>
        <v>0</v>
      </c>
      <c r="V156" s="176">
        <f>SUMIFS(tabela_registros[VALOR],tabela_registros[MÊS],$AE$1,tabela_registros[DIA],investiroutrosconsolidado282932[[#Headers],[18]],tabela_registros[REGISTRO],DADOS!$N$5,tabela_registros[TIPO],DADOS!$AB$5,tabela_registros[CATEGORIA],investiroutrosconsolidado282932[[#This Row],[ATUAL]])</f>
        <v>0</v>
      </c>
      <c r="W156" s="176">
        <f>SUMIFS(tabela_registros[VALOR],tabela_registros[MÊS],$AE$1,tabela_registros[DIA],investiroutrosconsolidado282932[[#Headers],[19]],tabela_registros[REGISTRO],DADOS!$N$5,tabela_registros[TIPO],DADOS!$AB$5,tabela_registros[CATEGORIA],investiroutrosconsolidado282932[[#This Row],[ATUAL]])</f>
        <v>0</v>
      </c>
      <c r="X156" s="176">
        <f>SUMIFS(tabela_registros[VALOR],tabela_registros[MÊS],$AE$1,tabela_registros[DIA],investiroutrosconsolidado282932[[#Headers],[20]],tabela_registros[REGISTRO],DADOS!$N$5,tabela_registros[TIPO],DADOS!$AB$5,tabela_registros[CATEGORIA],investiroutrosconsolidado282932[[#This Row],[ATUAL]])</f>
        <v>0</v>
      </c>
      <c r="Y156" s="176">
        <f>SUMIFS(tabela_registros[VALOR],tabela_registros[MÊS],$AE$1,tabela_registros[DIA],investiroutrosconsolidado282932[[#Headers],[21]],tabela_registros[REGISTRO],DADOS!$N$5,tabela_registros[TIPO],DADOS!$AB$5,tabela_registros[CATEGORIA],investiroutrosconsolidado282932[[#This Row],[ATUAL]])</f>
        <v>0</v>
      </c>
      <c r="Z156" s="176">
        <f>SUMIFS(tabela_registros[VALOR],tabela_registros[MÊS],$AE$1,tabela_registros[DIA],investiroutrosconsolidado282932[[#Headers],[22]],tabela_registros[REGISTRO],DADOS!$N$5,tabela_registros[TIPO],DADOS!$AB$5,tabela_registros[CATEGORIA],investiroutrosconsolidado282932[[#This Row],[ATUAL]])</f>
        <v>0</v>
      </c>
      <c r="AA156" s="176">
        <f>SUMIFS(tabela_registros[VALOR],tabela_registros[MÊS],$AE$1,tabela_registros[DIA],investiroutrosconsolidado282932[[#Headers],[23]],tabela_registros[REGISTRO],DADOS!$N$5,tabela_registros[TIPO],DADOS!$AB$5,tabela_registros[CATEGORIA],investiroutrosconsolidado282932[[#This Row],[ATUAL]])</f>
        <v>0</v>
      </c>
      <c r="AB156" s="176">
        <f>SUMIFS(tabela_registros[VALOR],tabela_registros[MÊS],$AE$1,tabela_registros[DIA],investiroutrosconsolidado282932[[#Headers],[24]],tabela_registros[REGISTRO],DADOS!$N$5,tabela_registros[TIPO],DADOS!$AB$5,tabela_registros[CATEGORIA],investiroutrosconsolidado282932[[#This Row],[ATUAL]])</f>
        <v>0</v>
      </c>
      <c r="AC156" s="176">
        <f>SUMIFS(tabela_registros[VALOR],tabela_registros[MÊS],$AE$1,tabela_registros[DIA],investiroutrosconsolidado282932[[#Headers],[25]],tabela_registros[REGISTRO],DADOS!$N$5,tabela_registros[TIPO],DADOS!$AB$5,tabela_registros[CATEGORIA],investiroutrosconsolidado282932[[#This Row],[ATUAL]])</f>
        <v>0</v>
      </c>
      <c r="AD156" s="176">
        <f>SUMIFS(tabela_registros[VALOR],tabela_registros[MÊS],$AE$1,tabela_registros[DIA],investiroutrosconsolidado282932[[#Headers],[26]],tabela_registros[REGISTRO],DADOS!$N$5,tabela_registros[TIPO],DADOS!$AB$5,tabela_registros[CATEGORIA],investiroutrosconsolidado282932[[#This Row],[ATUAL]])</f>
        <v>0</v>
      </c>
      <c r="AE156" s="176">
        <f>SUMIFS(tabela_registros[VALOR],tabela_registros[MÊS],$AE$1,tabela_registros[DIA],investiroutrosconsolidado282932[[#Headers],[27]],tabela_registros[REGISTRO],DADOS!$N$5,tabela_registros[TIPO],DADOS!$AB$5,tabela_registros[CATEGORIA],investiroutrosconsolidado282932[[#This Row],[ATUAL]])</f>
        <v>0</v>
      </c>
      <c r="AF156" s="176">
        <f>SUMIFS(tabela_registros[VALOR],tabela_registros[MÊS],$AE$1,tabela_registros[DIA],investiroutrosconsolidado282932[[#Headers],[28]],tabela_registros[REGISTRO],DADOS!$N$5,tabela_registros[TIPO],DADOS!$AB$5,tabela_registros[CATEGORIA],investiroutrosconsolidado282932[[#This Row],[ATUAL]])</f>
        <v>0</v>
      </c>
      <c r="AG156" s="176">
        <f>SUMIFS(tabela_registros[VALOR],tabela_registros[MÊS],$AE$1,tabela_registros[DIA],investiroutrosconsolidado282932[[#Headers],[29]],tabela_registros[REGISTRO],DADOS!$N$5,tabela_registros[TIPO],DADOS!$AB$5,tabela_registros[CATEGORIA],investiroutrosconsolidado282932[[#This Row],[ATUAL]])</f>
        <v>0</v>
      </c>
      <c r="AH156" s="176">
        <f>SUMIFS(tabela_registros[VALOR],tabela_registros[MÊS],$AE$1,tabela_registros[DIA],investiroutrosconsolidado282932[[#Headers],[30]],tabela_registros[REGISTRO],DADOS!$N$5,tabela_registros[TIPO],DADOS!$AB$5,tabela_registros[CATEGORIA],investiroutrosconsolidado282932[[#This Row],[ATUAL]])</f>
        <v>0</v>
      </c>
      <c r="AI156" s="190">
        <f>SUMIFS(tabela_registros[VALOR],tabela_registros[MÊS],$AE$1,tabela_registros[DIA],investiroutrosconsolidado282932[[#Headers],[31]],tabela_registros[REGISTRO],DADOS!$N$5,tabela_registros[TIPO],DADOS!$AB$5,tabela_registros[CATEGORIA],investiroutrosconsolidado282932[[#This Row],[ATUAL]])</f>
        <v>0</v>
      </c>
      <c r="AJ156" s="167">
        <f>SUM(investiroutrosconsolidado282932[[#This Row],[1]:[31]])</f>
        <v>0</v>
      </c>
      <c r="AK156" s="25"/>
    </row>
    <row r="157" spans="2:37" ht="19.5" customHeight="1" thickTop="1" thickBot="1" x14ac:dyDescent="0.3">
      <c r="B157" s="28"/>
      <c r="C157" s="27" t="str">
        <f>DADOS!$AH$9</f>
        <v>📝 PREVIDÊNCIA PRIVADA</v>
      </c>
      <c r="D157" s="26" t="str">
        <f>IF(investiroutrosconsolidado282932[[#This Row],[TOTAL (R$)]]=0,"",IF(OR(investiroutrosconsolidado282932[[#This Row],[TOTAL (R$)]]=LARGE($AJ$151:$AJ$158,1),investiroutrosconsolidado282932[[#This Row],[TOTAL (R$)]]=LARGE($AJ$151:$AJ$158,2)),DADOS!$I$10,""))</f>
        <v/>
      </c>
      <c r="E157" s="189">
        <f>SUMIFS(tabela_registros[VALOR],tabela_registros[MÊS],$AE$1,tabela_registros[DIA],investiroutrosconsolidado282932[[#Headers],[1]],tabela_registros[REGISTRO],DADOS!$N$5,tabela_registros[TIPO],DADOS!$AB$5,tabela_registros[CATEGORIA],investiroutrosconsolidado282932[[#This Row],[ATUAL]])</f>
        <v>0</v>
      </c>
      <c r="F157" s="176">
        <f>SUMIFS(tabela_registros[VALOR],tabela_registros[MÊS],$AE$1,tabela_registros[DIA],investiroutrosconsolidado282932[[#Headers],[2]],tabela_registros[REGISTRO],DADOS!$N$5,tabela_registros[TIPO],DADOS!$AB$5,tabela_registros[CATEGORIA],investiroutrosconsolidado282932[[#This Row],[ATUAL]])</f>
        <v>0</v>
      </c>
      <c r="G157" s="176">
        <f>SUMIFS(tabela_registros[VALOR],tabela_registros[MÊS],$AE$1,tabela_registros[DIA],investiroutrosconsolidado282932[[#Headers],[3]],tabela_registros[REGISTRO],DADOS!$N$5,tabela_registros[TIPO],DADOS!$AB$5,tabela_registros[CATEGORIA],investiroutrosconsolidado282932[[#This Row],[ATUAL]])</f>
        <v>0</v>
      </c>
      <c r="H157" s="176">
        <f>SUMIFS(tabela_registros[VALOR],tabela_registros[MÊS],$AE$1,tabela_registros[DIA],investiroutrosconsolidado282932[[#Headers],[4]],tabela_registros[REGISTRO],DADOS!$N$5,tabela_registros[TIPO],DADOS!$AB$5,tabela_registros[CATEGORIA],investiroutrosconsolidado282932[[#This Row],[ATUAL]])</f>
        <v>0</v>
      </c>
      <c r="I157" s="176">
        <f>SUMIFS(tabela_registros[VALOR],tabela_registros[MÊS],$AE$1,tabela_registros[DIA],investiroutrosconsolidado282932[[#Headers],[5]],tabela_registros[REGISTRO],DADOS!$N$5,tabela_registros[TIPO],DADOS!$AB$5,tabela_registros[CATEGORIA],investiroutrosconsolidado282932[[#This Row],[ATUAL]])</f>
        <v>0</v>
      </c>
      <c r="J157" s="176">
        <f>SUMIFS(tabela_registros[VALOR],tabela_registros[MÊS],$AE$1,tabela_registros[DIA],investiroutrosconsolidado282932[[#Headers],[6]],tabela_registros[REGISTRO],DADOS!$N$5,tabela_registros[TIPO],DADOS!$AB$5,tabela_registros[CATEGORIA],investiroutrosconsolidado282932[[#This Row],[ATUAL]])</f>
        <v>0</v>
      </c>
      <c r="K157" s="176">
        <f>SUMIFS(tabela_registros[VALOR],tabela_registros[MÊS],$AE$1,tabela_registros[DIA],investiroutrosconsolidado282932[[#Headers],[7]],tabela_registros[REGISTRO],DADOS!$N$5,tabela_registros[TIPO],DADOS!$AB$5,tabela_registros[CATEGORIA],investiroutrosconsolidado282932[[#This Row],[ATUAL]])</f>
        <v>0</v>
      </c>
      <c r="L157" s="176">
        <f>SUMIFS(tabela_registros[VALOR],tabela_registros[MÊS],$AE$1,tabela_registros[DIA],investiroutrosconsolidado282932[[#Headers],[8]],tabela_registros[REGISTRO],DADOS!$N$5,tabela_registros[TIPO],DADOS!$AB$5,tabela_registros[CATEGORIA],investiroutrosconsolidado282932[[#This Row],[ATUAL]])</f>
        <v>0</v>
      </c>
      <c r="M157" s="176">
        <f>SUMIFS(tabela_registros[VALOR],tabela_registros[MÊS],$AE$1,tabela_registros[DIA],investiroutrosconsolidado282932[[#Headers],[9]],tabela_registros[REGISTRO],DADOS!$N$5,tabela_registros[TIPO],DADOS!$AB$5,tabela_registros[CATEGORIA],investiroutrosconsolidado282932[[#This Row],[ATUAL]])</f>
        <v>0</v>
      </c>
      <c r="N157" s="176">
        <f>SUMIFS(tabela_registros[VALOR],tabela_registros[MÊS],$AE$1,tabela_registros[DIA],investiroutrosconsolidado282932[[#Headers],[10]],tabela_registros[REGISTRO],DADOS!$N$5,tabela_registros[TIPO],DADOS!$AB$5,tabela_registros[CATEGORIA],investiroutrosconsolidado282932[[#This Row],[ATUAL]])</f>
        <v>0</v>
      </c>
      <c r="O157" s="176">
        <f>SUMIFS(tabela_registros[VALOR],tabela_registros[MÊS],$AE$1,tabela_registros[DIA],investiroutrosconsolidado282932[[#Headers],[11]],tabela_registros[REGISTRO],DADOS!$N$5,tabela_registros[TIPO],DADOS!$AB$5,tabela_registros[CATEGORIA],investiroutrosconsolidado282932[[#This Row],[ATUAL]])</f>
        <v>0</v>
      </c>
      <c r="P157" s="176">
        <f>SUMIFS(tabela_registros[VALOR],tabela_registros[MÊS],$AE$1,tabela_registros[DIA],investiroutrosconsolidado282932[[#Headers],[12]],tabela_registros[REGISTRO],DADOS!$N$5,tabela_registros[TIPO],DADOS!$AB$5,tabela_registros[CATEGORIA],investiroutrosconsolidado282932[[#This Row],[ATUAL]])</f>
        <v>0</v>
      </c>
      <c r="Q157" s="176">
        <f>SUMIFS(tabela_registros[VALOR],tabela_registros[MÊS],$AE$1,tabela_registros[DIA],investiroutrosconsolidado282932[[#Headers],[13]],tabela_registros[REGISTRO],DADOS!$N$5,tabela_registros[TIPO],DADOS!$AB$5,tabela_registros[CATEGORIA],investiroutrosconsolidado282932[[#This Row],[ATUAL]])</f>
        <v>0</v>
      </c>
      <c r="R157" s="176">
        <f>SUMIFS(tabela_registros[VALOR],tabela_registros[MÊS],$AE$1,tabela_registros[DIA],investiroutrosconsolidado282932[[#Headers],[14]],tabela_registros[REGISTRO],DADOS!$N$5,tabela_registros[TIPO],DADOS!$AB$5,tabela_registros[CATEGORIA],investiroutrosconsolidado282932[[#This Row],[ATUAL]])</f>
        <v>0</v>
      </c>
      <c r="S157" s="176">
        <f>SUMIFS(tabela_registros[VALOR],tabela_registros[MÊS],$AE$1,tabela_registros[DIA],investiroutrosconsolidado282932[[#Headers],[15]],tabela_registros[REGISTRO],DADOS!$N$5,tabela_registros[TIPO],DADOS!$AB$5,tabela_registros[CATEGORIA],investiroutrosconsolidado282932[[#This Row],[ATUAL]])</f>
        <v>0</v>
      </c>
      <c r="T157" s="176">
        <f>SUMIFS(tabela_registros[VALOR],tabela_registros[MÊS],$AE$1,tabela_registros[DIA],investiroutrosconsolidado282932[[#Headers],[16]],tabela_registros[REGISTRO],DADOS!$N$5,tabela_registros[TIPO],DADOS!$AB$5,tabela_registros[CATEGORIA],investiroutrosconsolidado282932[[#This Row],[ATUAL]])</f>
        <v>0</v>
      </c>
      <c r="U157" s="176">
        <f>SUMIFS(tabela_registros[VALOR],tabela_registros[MÊS],$AE$1,tabela_registros[DIA],investiroutrosconsolidado282932[[#Headers],[17]],tabela_registros[REGISTRO],DADOS!$N$5,tabela_registros[TIPO],DADOS!$AB$5,tabela_registros[CATEGORIA],investiroutrosconsolidado282932[[#This Row],[ATUAL]])</f>
        <v>0</v>
      </c>
      <c r="V157" s="176">
        <f>SUMIFS(tabela_registros[VALOR],tabela_registros[MÊS],$AE$1,tabela_registros[DIA],investiroutrosconsolidado282932[[#Headers],[18]],tabela_registros[REGISTRO],DADOS!$N$5,tabela_registros[TIPO],DADOS!$AB$5,tabela_registros[CATEGORIA],investiroutrosconsolidado282932[[#This Row],[ATUAL]])</f>
        <v>0</v>
      </c>
      <c r="W157" s="176">
        <f>SUMIFS(tabela_registros[VALOR],tabela_registros[MÊS],$AE$1,tabela_registros[DIA],investiroutrosconsolidado282932[[#Headers],[19]],tabela_registros[REGISTRO],DADOS!$N$5,tabela_registros[TIPO],DADOS!$AB$5,tabela_registros[CATEGORIA],investiroutrosconsolidado282932[[#This Row],[ATUAL]])</f>
        <v>0</v>
      </c>
      <c r="X157" s="176">
        <f>SUMIFS(tabela_registros[VALOR],tabela_registros[MÊS],$AE$1,tabela_registros[DIA],investiroutrosconsolidado282932[[#Headers],[20]],tabela_registros[REGISTRO],DADOS!$N$5,tabela_registros[TIPO],DADOS!$AB$5,tabela_registros[CATEGORIA],investiroutrosconsolidado282932[[#This Row],[ATUAL]])</f>
        <v>0</v>
      </c>
      <c r="Y157" s="176">
        <f>SUMIFS(tabela_registros[VALOR],tabela_registros[MÊS],$AE$1,tabela_registros[DIA],investiroutrosconsolidado282932[[#Headers],[21]],tabela_registros[REGISTRO],DADOS!$N$5,tabela_registros[TIPO],DADOS!$AB$5,tabela_registros[CATEGORIA],investiroutrosconsolidado282932[[#This Row],[ATUAL]])</f>
        <v>0</v>
      </c>
      <c r="Z157" s="176">
        <f>SUMIFS(tabela_registros[VALOR],tabela_registros[MÊS],$AE$1,tabela_registros[DIA],investiroutrosconsolidado282932[[#Headers],[22]],tabela_registros[REGISTRO],DADOS!$N$5,tabela_registros[TIPO],DADOS!$AB$5,tabela_registros[CATEGORIA],investiroutrosconsolidado282932[[#This Row],[ATUAL]])</f>
        <v>0</v>
      </c>
      <c r="AA157" s="176">
        <f>SUMIFS(tabela_registros[VALOR],tabela_registros[MÊS],$AE$1,tabela_registros[DIA],investiroutrosconsolidado282932[[#Headers],[23]],tabela_registros[REGISTRO],DADOS!$N$5,tabela_registros[TIPO],DADOS!$AB$5,tabela_registros[CATEGORIA],investiroutrosconsolidado282932[[#This Row],[ATUAL]])</f>
        <v>0</v>
      </c>
      <c r="AB157" s="176">
        <f>SUMIFS(tabela_registros[VALOR],tabela_registros[MÊS],$AE$1,tabela_registros[DIA],investiroutrosconsolidado282932[[#Headers],[24]],tabela_registros[REGISTRO],DADOS!$N$5,tabela_registros[TIPO],DADOS!$AB$5,tabela_registros[CATEGORIA],investiroutrosconsolidado282932[[#This Row],[ATUAL]])</f>
        <v>0</v>
      </c>
      <c r="AC157" s="176">
        <f>SUMIFS(tabela_registros[VALOR],tabela_registros[MÊS],$AE$1,tabela_registros[DIA],investiroutrosconsolidado282932[[#Headers],[25]],tabela_registros[REGISTRO],DADOS!$N$5,tabela_registros[TIPO],DADOS!$AB$5,tabela_registros[CATEGORIA],investiroutrosconsolidado282932[[#This Row],[ATUAL]])</f>
        <v>0</v>
      </c>
      <c r="AD157" s="176">
        <f>SUMIFS(tabela_registros[VALOR],tabela_registros[MÊS],$AE$1,tabela_registros[DIA],investiroutrosconsolidado282932[[#Headers],[26]],tabela_registros[REGISTRO],DADOS!$N$5,tabela_registros[TIPO],DADOS!$AB$5,tabela_registros[CATEGORIA],investiroutrosconsolidado282932[[#This Row],[ATUAL]])</f>
        <v>0</v>
      </c>
      <c r="AE157" s="176">
        <f>SUMIFS(tabela_registros[VALOR],tabela_registros[MÊS],$AE$1,tabela_registros[DIA],investiroutrosconsolidado282932[[#Headers],[27]],tabela_registros[REGISTRO],DADOS!$N$5,tabela_registros[TIPO],DADOS!$AB$5,tabela_registros[CATEGORIA],investiroutrosconsolidado282932[[#This Row],[ATUAL]])</f>
        <v>0</v>
      </c>
      <c r="AF157" s="176">
        <f>SUMIFS(tabela_registros[VALOR],tabela_registros[MÊS],$AE$1,tabela_registros[DIA],investiroutrosconsolidado282932[[#Headers],[28]],tabela_registros[REGISTRO],DADOS!$N$5,tabela_registros[TIPO],DADOS!$AB$5,tabela_registros[CATEGORIA],investiroutrosconsolidado282932[[#This Row],[ATUAL]])</f>
        <v>0</v>
      </c>
      <c r="AG157" s="176">
        <f>SUMIFS(tabela_registros[VALOR],tabela_registros[MÊS],$AE$1,tabela_registros[DIA],investiroutrosconsolidado282932[[#Headers],[29]],tabela_registros[REGISTRO],DADOS!$N$5,tabela_registros[TIPO],DADOS!$AB$5,tabela_registros[CATEGORIA],investiroutrosconsolidado282932[[#This Row],[ATUAL]])</f>
        <v>0</v>
      </c>
      <c r="AH157" s="176">
        <f>SUMIFS(tabela_registros[VALOR],tabela_registros[MÊS],$AE$1,tabela_registros[DIA],investiroutrosconsolidado282932[[#Headers],[30]],tabela_registros[REGISTRO],DADOS!$N$5,tabela_registros[TIPO],DADOS!$AB$5,tabela_registros[CATEGORIA],investiroutrosconsolidado282932[[#This Row],[ATUAL]])</f>
        <v>0</v>
      </c>
      <c r="AI157" s="190">
        <f>SUMIFS(tabela_registros[VALOR],tabela_registros[MÊS],$AE$1,tabela_registros[DIA],investiroutrosconsolidado282932[[#Headers],[31]],tabela_registros[REGISTRO],DADOS!$N$5,tabela_registros[TIPO],DADOS!$AB$5,tabela_registros[CATEGORIA],investiroutrosconsolidado282932[[#This Row],[ATUAL]])</f>
        <v>0</v>
      </c>
      <c r="AJ157" s="167">
        <f>SUM(investiroutrosconsolidado282932[[#This Row],[1]:[31]])</f>
        <v>0</v>
      </c>
      <c r="AK157" s="25"/>
    </row>
    <row r="158" spans="2:37" ht="19.5" customHeight="1" thickTop="1" thickBot="1" x14ac:dyDescent="0.3">
      <c r="B158" s="28"/>
      <c r="C158" s="27" t="str">
        <f>DADOS!$AH$10</f>
        <v>📎 OUTROS</v>
      </c>
      <c r="D158" s="26" t="str">
        <f>IF(investiroutrosconsolidado282932[[#This Row],[TOTAL (R$)]]=0,"",IF(OR(investiroutrosconsolidado282932[[#This Row],[TOTAL (R$)]]=LARGE($AJ$151:$AJ$158,1),investiroutrosconsolidado282932[[#This Row],[TOTAL (R$)]]=LARGE($AJ$151:$AJ$158,2)),DADOS!$I$10,""))</f>
        <v/>
      </c>
      <c r="E158" s="189">
        <f>SUMIFS(tabela_registros[VALOR],tabela_registros[MÊS],$AE$1,tabela_registros[DIA],investiroutrosconsolidado282932[[#Headers],[1]],tabela_registros[REGISTRO],DADOS!$N$5,tabela_registros[TIPO],DADOS!$AB$5,tabela_registros[CATEGORIA],investiroutrosconsolidado282932[[#This Row],[ATUAL]])</f>
        <v>0</v>
      </c>
      <c r="F158" s="176">
        <f>SUMIFS(tabela_registros[VALOR],tabela_registros[MÊS],$AE$1,tabela_registros[DIA],investiroutrosconsolidado282932[[#Headers],[2]],tabela_registros[REGISTRO],DADOS!$N$5,tabela_registros[TIPO],DADOS!$AB$5,tabela_registros[CATEGORIA],investiroutrosconsolidado282932[[#This Row],[ATUAL]])</f>
        <v>0</v>
      </c>
      <c r="G158" s="176">
        <f>SUMIFS(tabela_registros[VALOR],tabela_registros[MÊS],$AE$1,tabela_registros[DIA],investiroutrosconsolidado282932[[#Headers],[3]],tabela_registros[REGISTRO],DADOS!$N$5,tabela_registros[TIPO],DADOS!$AB$5,tabela_registros[CATEGORIA],investiroutrosconsolidado282932[[#This Row],[ATUAL]])</f>
        <v>0</v>
      </c>
      <c r="H158" s="176">
        <f>SUMIFS(tabela_registros[VALOR],tabela_registros[MÊS],$AE$1,tabela_registros[DIA],investiroutrosconsolidado282932[[#Headers],[4]],tabela_registros[REGISTRO],DADOS!$N$5,tabela_registros[TIPO],DADOS!$AB$5,tabela_registros[CATEGORIA],investiroutrosconsolidado282932[[#This Row],[ATUAL]])</f>
        <v>0</v>
      </c>
      <c r="I158" s="176">
        <f>SUMIFS(tabela_registros[VALOR],tabela_registros[MÊS],$AE$1,tabela_registros[DIA],investiroutrosconsolidado282932[[#Headers],[5]],tabela_registros[REGISTRO],DADOS!$N$5,tabela_registros[TIPO],DADOS!$AB$5,tabela_registros[CATEGORIA],investiroutrosconsolidado282932[[#This Row],[ATUAL]])</f>
        <v>0</v>
      </c>
      <c r="J158" s="176">
        <f>SUMIFS(tabela_registros[VALOR],tabela_registros[MÊS],$AE$1,tabela_registros[DIA],investiroutrosconsolidado282932[[#Headers],[6]],tabela_registros[REGISTRO],DADOS!$N$5,tabela_registros[TIPO],DADOS!$AB$5,tabela_registros[CATEGORIA],investiroutrosconsolidado282932[[#This Row],[ATUAL]])</f>
        <v>0</v>
      </c>
      <c r="K158" s="176">
        <f>SUMIFS(tabela_registros[VALOR],tabela_registros[MÊS],$AE$1,tabela_registros[DIA],investiroutrosconsolidado282932[[#Headers],[7]],tabela_registros[REGISTRO],DADOS!$N$5,tabela_registros[TIPO],DADOS!$AB$5,tabela_registros[CATEGORIA],investiroutrosconsolidado282932[[#This Row],[ATUAL]])</f>
        <v>0</v>
      </c>
      <c r="L158" s="176">
        <f>SUMIFS(tabela_registros[VALOR],tabela_registros[MÊS],$AE$1,tabela_registros[DIA],investiroutrosconsolidado282932[[#Headers],[8]],tabela_registros[REGISTRO],DADOS!$N$5,tabela_registros[TIPO],DADOS!$AB$5,tabela_registros[CATEGORIA],investiroutrosconsolidado282932[[#This Row],[ATUAL]])</f>
        <v>0</v>
      </c>
      <c r="M158" s="176">
        <f>SUMIFS(tabela_registros[VALOR],tabela_registros[MÊS],$AE$1,tabela_registros[DIA],investiroutrosconsolidado282932[[#Headers],[9]],tabela_registros[REGISTRO],DADOS!$N$5,tabela_registros[TIPO],DADOS!$AB$5,tabela_registros[CATEGORIA],investiroutrosconsolidado282932[[#This Row],[ATUAL]])</f>
        <v>0</v>
      </c>
      <c r="N158" s="176">
        <f>SUMIFS(tabela_registros[VALOR],tabela_registros[MÊS],$AE$1,tabela_registros[DIA],investiroutrosconsolidado282932[[#Headers],[10]],tabela_registros[REGISTRO],DADOS!$N$5,tabela_registros[TIPO],DADOS!$AB$5,tabela_registros[CATEGORIA],investiroutrosconsolidado282932[[#This Row],[ATUAL]])</f>
        <v>0</v>
      </c>
      <c r="O158" s="176">
        <f>SUMIFS(tabela_registros[VALOR],tabela_registros[MÊS],$AE$1,tabela_registros[DIA],investiroutrosconsolidado282932[[#Headers],[11]],tabela_registros[REGISTRO],DADOS!$N$5,tabela_registros[TIPO],DADOS!$AB$5,tabela_registros[CATEGORIA],investiroutrosconsolidado282932[[#This Row],[ATUAL]])</f>
        <v>0</v>
      </c>
      <c r="P158" s="176">
        <f>SUMIFS(tabela_registros[VALOR],tabela_registros[MÊS],$AE$1,tabela_registros[DIA],investiroutrosconsolidado282932[[#Headers],[12]],tabela_registros[REGISTRO],DADOS!$N$5,tabela_registros[TIPO],DADOS!$AB$5,tabela_registros[CATEGORIA],investiroutrosconsolidado282932[[#This Row],[ATUAL]])</f>
        <v>0</v>
      </c>
      <c r="Q158" s="176">
        <f>SUMIFS(tabela_registros[VALOR],tabela_registros[MÊS],$AE$1,tabela_registros[DIA],investiroutrosconsolidado282932[[#Headers],[13]],tabela_registros[REGISTRO],DADOS!$N$5,tabela_registros[TIPO],DADOS!$AB$5,tabela_registros[CATEGORIA],investiroutrosconsolidado282932[[#This Row],[ATUAL]])</f>
        <v>0</v>
      </c>
      <c r="R158" s="176">
        <f>SUMIFS(tabela_registros[VALOR],tabela_registros[MÊS],$AE$1,tabela_registros[DIA],investiroutrosconsolidado282932[[#Headers],[14]],tabela_registros[REGISTRO],DADOS!$N$5,tabela_registros[TIPO],DADOS!$AB$5,tabela_registros[CATEGORIA],investiroutrosconsolidado282932[[#This Row],[ATUAL]])</f>
        <v>0</v>
      </c>
      <c r="S158" s="176">
        <f>SUMIFS(tabela_registros[VALOR],tabela_registros[MÊS],$AE$1,tabela_registros[DIA],investiroutrosconsolidado282932[[#Headers],[15]],tabela_registros[REGISTRO],DADOS!$N$5,tabela_registros[TIPO],DADOS!$AB$5,tabela_registros[CATEGORIA],investiroutrosconsolidado282932[[#This Row],[ATUAL]])</f>
        <v>0</v>
      </c>
      <c r="T158" s="176">
        <f>SUMIFS(tabela_registros[VALOR],tabela_registros[MÊS],$AE$1,tabela_registros[DIA],investiroutrosconsolidado282932[[#Headers],[16]],tabela_registros[REGISTRO],DADOS!$N$5,tabela_registros[TIPO],DADOS!$AB$5,tabela_registros[CATEGORIA],investiroutrosconsolidado282932[[#This Row],[ATUAL]])</f>
        <v>0</v>
      </c>
      <c r="U158" s="176">
        <f>SUMIFS(tabela_registros[VALOR],tabela_registros[MÊS],$AE$1,tabela_registros[DIA],investiroutrosconsolidado282932[[#Headers],[17]],tabela_registros[REGISTRO],DADOS!$N$5,tabela_registros[TIPO],DADOS!$AB$5,tabela_registros[CATEGORIA],investiroutrosconsolidado282932[[#This Row],[ATUAL]])</f>
        <v>0</v>
      </c>
      <c r="V158" s="176">
        <f>SUMIFS(tabela_registros[VALOR],tabela_registros[MÊS],$AE$1,tabela_registros[DIA],investiroutrosconsolidado282932[[#Headers],[18]],tabela_registros[REGISTRO],DADOS!$N$5,tabela_registros[TIPO],DADOS!$AB$5,tabela_registros[CATEGORIA],investiroutrosconsolidado282932[[#This Row],[ATUAL]])</f>
        <v>0</v>
      </c>
      <c r="W158" s="176">
        <f>SUMIFS(tabela_registros[VALOR],tabela_registros[MÊS],$AE$1,tabela_registros[DIA],investiroutrosconsolidado282932[[#Headers],[19]],tabela_registros[REGISTRO],DADOS!$N$5,tabela_registros[TIPO],DADOS!$AB$5,tabela_registros[CATEGORIA],investiroutrosconsolidado282932[[#This Row],[ATUAL]])</f>
        <v>0</v>
      </c>
      <c r="X158" s="176">
        <f>SUMIFS(tabela_registros[VALOR],tabela_registros[MÊS],$AE$1,tabela_registros[DIA],investiroutrosconsolidado282932[[#Headers],[20]],tabela_registros[REGISTRO],DADOS!$N$5,tabela_registros[TIPO],DADOS!$AB$5,tabela_registros[CATEGORIA],investiroutrosconsolidado282932[[#This Row],[ATUAL]])</f>
        <v>0</v>
      </c>
      <c r="Y158" s="176">
        <f>SUMIFS(tabela_registros[VALOR],tabela_registros[MÊS],$AE$1,tabela_registros[DIA],investiroutrosconsolidado282932[[#Headers],[21]],tabela_registros[REGISTRO],DADOS!$N$5,tabela_registros[TIPO],DADOS!$AB$5,tabela_registros[CATEGORIA],investiroutrosconsolidado282932[[#This Row],[ATUAL]])</f>
        <v>0</v>
      </c>
      <c r="Z158" s="176">
        <f>SUMIFS(tabela_registros[VALOR],tabela_registros[MÊS],$AE$1,tabela_registros[DIA],investiroutrosconsolidado282932[[#Headers],[22]],tabela_registros[REGISTRO],DADOS!$N$5,tabela_registros[TIPO],DADOS!$AB$5,tabela_registros[CATEGORIA],investiroutrosconsolidado282932[[#This Row],[ATUAL]])</f>
        <v>0</v>
      </c>
      <c r="AA158" s="176">
        <f>SUMIFS(tabela_registros[VALOR],tabela_registros[MÊS],$AE$1,tabela_registros[DIA],investiroutrosconsolidado282932[[#Headers],[23]],tabela_registros[REGISTRO],DADOS!$N$5,tabela_registros[TIPO],DADOS!$AB$5,tabela_registros[CATEGORIA],investiroutrosconsolidado282932[[#This Row],[ATUAL]])</f>
        <v>0</v>
      </c>
      <c r="AB158" s="176">
        <f>SUMIFS(tabela_registros[VALOR],tabela_registros[MÊS],$AE$1,tabela_registros[DIA],investiroutrosconsolidado282932[[#Headers],[24]],tabela_registros[REGISTRO],DADOS!$N$5,tabela_registros[TIPO],DADOS!$AB$5,tabela_registros[CATEGORIA],investiroutrosconsolidado282932[[#This Row],[ATUAL]])</f>
        <v>0</v>
      </c>
      <c r="AC158" s="176">
        <f>SUMIFS(tabela_registros[VALOR],tabela_registros[MÊS],$AE$1,tabela_registros[DIA],investiroutrosconsolidado282932[[#Headers],[25]],tabela_registros[REGISTRO],DADOS!$N$5,tabela_registros[TIPO],DADOS!$AB$5,tabela_registros[CATEGORIA],investiroutrosconsolidado282932[[#This Row],[ATUAL]])</f>
        <v>0</v>
      </c>
      <c r="AD158" s="176">
        <f>SUMIFS(tabela_registros[VALOR],tabela_registros[MÊS],$AE$1,tabela_registros[DIA],investiroutrosconsolidado282932[[#Headers],[26]],tabela_registros[REGISTRO],DADOS!$N$5,tabela_registros[TIPO],DADOS!$AB$5,tabela_registros[CATEGORIA],investiroutrosconsolidado282932[[#This Row],[ATUAL]])</f>
        <v>0</v>
      </c>
      <c r="AE158" s="176">
        <f>SUMIFS(tabela_registros[VALOR],tabela_registros[MÊS],$AE$1,tabela_registros[DIA],investiroutrosconsolidado282932[[#Headers],[27]],tabela_registros[REGISTRO],DADOS!$N$5,tabela_registros[TIPO],DADOS!$AB$5,tabela_registros[CATEGORIA],investiroutrosconsolidado282932[[#This Row],[ATUAL]])</f>
        <v>0</v>
      </c>
      <c r="AF158" s="176">
        <f>SUMIFS(tabela_registros[VALOR],tabela_registros[MÊS],$AE$1,tabela_registros[DIA],investiroutrosconsolidado282932[[#Headers],[28]],tabela_registros[REGISTRO],DADOS!$N$5,tabela_registros[TIPO],DADOS!$AB$5,tabela_registros[CATEGORIA],investiroutrosconsolidado282932[[#This Row],[ATUAL]])</f>
        <v>0</v>
      </c>
      <c r="AG158" s="176">
        <f>SUMIFS(tabela_registros[VALOR],tabela_registros[MÊS],$AE$1,tabela_registros[DIA],investiroutrosconsolidado282932[[#Headers],[29]],tabela_registros[REGISTRO],DADOS!$N$5,tabela_registros[TIPO],DADOS!$AB$5,tabela_registros[CATEGORIA],investiroutrosconsolidado282932[[#This Row],[ATUAL]])</f>
        <v>0</v>
      </c>
      <c r="AH158" s="176">
        <f>SUMIFS(tabela_registros[VALOR],tabela_registros[MÊS],$AE$1,tabela_registros[DIA],investiroutrosconsolidado282932[[#Headers],[30]],tabela_registros[REGISTRO],DADOS!$N$5,tabela_registros[TIPO],DADOS!$AB$5,tabela_registros[CATEGORIA],investiroutrosconsolidado282932[[#This Row],[ATUAL]])</f>
        <v>0</v>
      </c>
      <c r="AI158" s="193">
        <f>SUMIFS(tabela_registros[VALOR],tabela_registros[MÊS],$AE$1,tabela_registros[DIA],investiroutrosconsolidado282932[[#Headers],[31]],tabela_registros[REGISTRO],DADOS!$N$5,tabela_registros[TIPO],DADOS!$AB$5,tabela_registros[CATEGORIA],investiroutrosconsolidado282932[[#This Row],[ATUAL]])</f>
        <v>0</v>
      </c>
      <c r="AJ158" s="167">
        <f>SUM(investiroutrosconsolidado282932[[#This Row],[1]:[31]])</f>
        <v>0</v>
      </c>
      <c r="AK158" s="25"/>
    </row>
    <row r="159" spans="2:37" s="16" customFormat="1" ht="21" customHeight="1" thickTop="1" thickBot="1" x14ac:dyDescent="0.35">
      <c r="B159" s="24"/>
      <c r="C159" s="23" t="s">
        <v>19</v>
      </c>
      <c r="D159" s="22"/>
      <c r="E159" s="195">
        <f>SUM(E151:E158)</f>
        <v>0</v>
      </c>
      <c r="F159" s="196">
        <f>SUM(F151:F158)+investiroutrosconsolidado282932[[#This Row],[1]]</f>
        <v>0</v>
      </c>
      <c r="G159" s="196">
        <f>SUM(G151:G158)+investiroutrosconsolidado282932[[#This Row],[2]]</f>
        <v>0</v>
      </c>
      <c r="H159" s="196">
        <f>SUM(H151:H158)+investiroutrosconsolidado282932[[#This Row],[3]]</f>
        <v>0</v>
      </c>
      <c r="I159" s="196">
        <f>SUM(I151:I158)+investiroutrosconsolidado282932[[#This Row],[4]]</f>
        <v>0</v>
      </c>
      <c r="J159" s="196">
        <f>SUM(J151:J158)+investiroutrosconsolidado282932[[#This Row],[5]]</f>
        <v>0</v>
      </c>
      <c r="K159" s="196">
        <f>SUM(K151:K158)+investiroutrosconsolidado282932[[#This Row],[6]]</f>
        <v>0</v>
      </c>
      <c r="L159" s="196">
        <f>SUM(L151:L158)+investiroutrosconsolidado282932[[#This Row],[7]]</f>
        <v>0</v>
      </c>
      <c r="M159" s="196">
        <f>SUM(M151:M158)+investiroutrosconsolidado282932[[#This Row],[8]]</f>
        <v>0</v>
      </c>
      <c r="N159" s="196">
        <f>SUM(N151:N158)+investiroutrosconsolidado282932[[#This Row],[9]]</f>
        <v>0</v>
      </c>
      <c r="O159" s="196">
        <f>SUM(O151:O158)+investiroutrosconsolidado282932[[#This Row],[10]]</f>
        <v>0</v>
      </c>
      <c r="P159" s="196">
        <f>SUM(P151:P158)+investiroutrosconsolidado282932[[#This Row],[11]]</f>
        <v>0</v>
      </c>
      <c r="Q159" s="196">
        <f>SUM(Q151:Q158)+investiroutrosconsolidado282932[[#This Row],[12]]</f>
        <v>0</v>
      </c>
      <c r="R159" s="196">
        <f>SUM(R151:R158)+investiroutrosconsolidado282932[[#This Row],[13]]</f>
        <v>0</v>
      </c>
      <c r="S159" s="196">
        <f>SUM(S151:S158)+investiroutrosconsolidado282932[[#This Row],[14]]</f>
        <v>0</v>
      </c>
      <c r="T159" s="196">
        <f>SUM(T151:T158)+investiroutrosconsolidado282932[[#This Row],[15]]</f>
        <v>0</v>
      </c>
      <c r="U159" s="196">
        <f>SUM(U151:U158)+investiroutrosconsolidado282932[[#This Row],[16]]</f>
        <v>0</v>
      </c>
      <c r="V159" s="196">
        <f>SUM(V151:V158)+investiroutrosconsolidado282932[[#This Row],[17]]</f>
        <v>0</v>
      </c>
      <c r="W159" s="196">
        <f>SUM(W151:W158)+investiroutrosconsolidado282932[[#This Row],[18]]</f>
        <v>0</v>
      </c>
      <c r="X159" s="196">
        <f>SUM(X151:X158)+investiroutrosconsolidado282932[[#This Row],[19]]</f>
        <v>0</v>
      </c>
      <c r="Y159" s="196">
        <f>SUM(Y151:Y158)+investiroutrosconsolidado282932[[#This Row],[20]]</f>
        <v>0</v>
      </c>
      <c r="Z159" s="196">
        <f>SUM(Z151:Z158)+investiroutrosconsolidado282932[[#This Row],[21]]</f>
        <v>0</v>
      </c>
      <c r="AA159" s="196">
        <f>SUM(AA151:AA158)+investiroutrosconsolidado282932[[#This Row],[22]]</f>
        <v>0</v>
      </c>
      <c r="AB159" s="196">
        <f>SUM(AB151:AB158)+investiroutrosconsolidado282932[[#This Row],[23]]</f>
        <v>0</v>
      </c>
      <c r="AC159" s="196">
        <f>SUM(AC151:AC158)+investiroutrosconsolidado282932[[#This Row],[24]]</f>
        <v>0</v>
      </c>
      <c r="AD159" s="196">
        <f>SUM(AD151:AD158)+investiroutrosconsolidado282932[[#This Row],[25]]</f>
        <v>0</v>
      </c>
      <c r="AE159" s="196">
        <f>SUM(AE151:AE158)+investiroutrosconsolidado282932[[#This Row],[26]]</f>
        <v>0</v>
      </c>
      <c r="AF159" s="196">
        <f>SUM(AF151:AF158)+investiroutrosconsolidado282932[[#This Row],[27]]</f>
        <v>0</v>
      </c>
      <c r="AG159" s="196">
        <f>SUM(AG151:AG158)+investiroutrosconsolidado282932[[#This Row],[28]]</f>
        <v>0</v>
      </c>
      <c r="AH159" s="196">
        <f>SUM(AH151:AH158)+investiroutrosconsolidado282932[[#This Row],[29]]</f>
        <v>0</v>
      </c>
      <c r="AI159" s="197">
        <f>SUM(AI151:AI158)+investiroutrosconsolidado282932[[#This Row],[30]]</f>
        <v>0</v>
      </c>
      <c r="AJ159" s="168">
        <f>investiroutrosconsolidado282932[[#This Row],[31]]</f>
        <v>0</v>
      </c>
      <c r="AK159" s="17"/>
    </row>
    <row r="160" spans="2:37" ht="6.75" customHeight="1" thickTop="1" thickBot="1" x14ac:dyDescent="0.3">
      <c r="B160" s="15"/>
      <c r="C160" s="14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  <c r="AA160" s="13"/>
      <c r="AB160" s="13"/>
      <c r="AC160" s="13"/>
      <c r="AD160" s="13"/>
      <c r="AE160" s="13"/>
      <c r="AF160" s="13"/>
      <c r="AG160" s="13"/>
      <c r="AH160" s="13"/>
      <c r="AI160" s="200"/>
      <c r="AJ160" s="11"/>
      <c r="AK160" s="10"/>
    </row>
    <row r="161" spans="2:37" ht="12.6" thickTop="1" x14ac:dyDescent="0.25">
      <c r="E161" s="37"/>
      <c r="AI161" s="4"/>
    </row>
    <row r="162" spans="2:37" x14ac:dyDescent="0.25">
      <c r="AI162" s="4"/>
    </row>
    <row r="163" spans="2:37" x14ac:dyDescent="0.25">
      <c r="AI163" s="4"/>
    </row>
    <row r="164" spans="2:37" ht="39.75" customHeight="1" x14ac:dyDescent="0.7">
      <c r="C164" s="36"/>
      <c r="E164" s="240"/>
      <c r="F164" s="240"/>
      <c r="G164" s="240"/>
      <c r="H164" s="240"/>
      <c r="I164" s="240"/>
      <c r="J164" s="240"/>
      <c r="K164" s="240"/>
      <c r="L164" s="240"/>
      <c r="M164" s="240"/>
      <c r="N164" s="240"/>
      <c r="O164" s="240"/>
      <c r="P164" s="240"/>
      <c r="Q164" s="240"/>
      <c r="R164" s="240"/>
      <c r="S164" s="240"/>
      <c r="T164" s="240"/>
      <c r="U164" s="240"/>
      <c r="V164" s="240"/>
      <c r="W164" s="240"/>
      <c r="X164" s="240"/>
      <c r="Y164" s="240"/>
      <c r="Z164" s="240"/>
      <c r="AA164" s="240"/>
      <c r="AB164" s="240"/>
      <c r="AC164" s="240"/>
      <c r="AD164" s="240"/>
      <c r="AE164" s="240"/>
      <c r="AF164" s="240"/>
      <c r="AG164" s="240"/>
      <c r="AH164" s="240"/>
      <c r="AI164" s="240"/>
      <c r="AJ164" s="169" t="s">
        <v>19</v>
      </c>
    </row>
    <row r="165" spans="2:37" ht="12.6" thickBot="1" x14ac:dyDescent="0.3">
      <c r="B165" s="35"/>
      <c r="AI165" s="4"/>
      <c r="AJ165" s="170" t="s">
        <v>202</v>
      </c>
    </row>
    <row r="166" spans="2:37" ht="6.75" customHeight="1" thickTop="1" thickBot="1" x14ac:dyDescent="0.3">
      <c r="B166" s="2"/>
      <c r="C166" s="14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F166" s="13"/>
      <c r="AG166" s="13"/>
      <c r="AH166" s="13"/>
      <c r="AI166" s="13"/>
      <c r="AJ166" s="200"/>
      <c r="AK166" s="33"/>
    </row>
    <row r="167" spans="2:37" ht="13.2" hidden="1" thickTop="1" thickBot="1" x14ac:dyDescent="0.3">
      <c r="B167" s="2"/>
      <c r="C167" s="31" t="s">
        <v>199</v>
      </c>
      <c r="D167" s="30" t="s">
        <v>198</v>
      </c>
      <c r="E167" s="30" t="s">
        <v>197</v>
      </c>
      <c r="F167" s="30" t="s">
        <v>196</v>
      </c>
      <c r="G167" s="30" t="s">
        <v>195</v>
      </c>
      <c r="H167" s="30" t="s">
        <v>194</v>
      </c>
      <c r="I167" s="30" t="s">
        <v>193</v>
      </c>
      <c r="J167" s="30" t="s">
        <v>192</v>
      </c>
      <c r="K167" s="30" t="s">
        <v>191</v>
      </c>
      <c r="L167" s="30" t="s">
        <v>190</v>
      </c>
      <c r="M167" s="30" t="s">
        <v>189</v>
      </c>
      <c r="N167" s="30" t="s">
        <v>188</v>
      </c>
      <c r="O167" s="30" t="s">
        <v>187</v>
      </c>
      <c r="P167" s="30" t="s">
        <v>186</v>
      </c>
      <c r="Q167" s="30" t="s">
        <v>185</v>
      </c>
      <c r="R167" s="30" t="s">
        <v>184</v>
      </c>
      <c r="S167" s="30" t="s">
        <v>183</v>
      </c>
      <c r="T167" s="30" t="s">
        <v>182</v>
      </c>
      <c r="U167" s="30" t="s">
        <v>181</v>
      </c>
      <c r="V167" s="30" t="s">
        <v>180</v>
      </c>
      <c r="W167" s="30" t="s">
        <v>179</v>
      </c>
      <c r="X167" s="30" t="s">
        <v>178</v>
      </c>
      <c r="Y167" s="30" t="s">
        <v>177</v>
      </c>
      <c r="Z167" s="30" t="s">
        <v>176</v>
      </c>
      <c r="AA167" s="30" t="s">
        <v>175</v>
      </c>
      <c r="AB167" s="30" t="s">
        <v>174</v>
      </c>
      <c r="AC167" s="30" t="s">
        <v>173</v>
      </c>
      <c r="AD167" s="30" t="s">
        <v>172</v>
      </c>
      <c r="AE167" s="30" t="s">
        <v>171</v>
      </c>
      <c r="AF167" s="30" t="s">
        <v>170</v>
      </c>
      <c r="AG167" s="30" t="s">
        <v>169</v>
      </c>
      <c r="AH167" s="30" t="s">
        <v>168</v>
      </c>
      <c r="AI167" s="30" t="s">
        <v>167</v>
      </c>
      <c r="AJ167" s="172" t="s">
        <v>166</v>
      </c>
      <c r="AK167" s="2"/>
    </row>
    <row r="168" spans="2:37" ht="19.5" customHeight="1" thickTop="1" thickBot="1" x14ac:dyDescent="0.3">
      <c r="B168" s="28"/>
      <c r="C168" s="27" t="str">
        <f>DADOS!$AL$3</f>
        <v>📝 CDB</v>
      </c>
      <c r="D168" s="26" t="str">
        <f>IF(reservafixaconsolidado282933[[#This Row],[TOTAL (R$)]]=0,"",IF(OR(reservafixaconsolidado282933[[#This Row],[TOTAL (R$)]]=LARGE($AJ$168:$AJ$177,1),reservafixaconsolidado282933[[#This Row],[TOTAL (R$)]]=LARGE($AJ$168:$AJ$177,2)),DADOS!$I$11,""))</f>
        <v>🚑</v>
      </c>
      <c r="E168" s="189">
        <f>SUMIFS(tabela_registros[VALOR],tabela_registros[MÊS],$AE$1,tabela_registros[DIA],reservafixaconsolidado282933[[#Headers],[1]],tabela_registros[REGISTRO],DADOS!$N$6,tabela_registros[TIPO],DADOS!$AJ$3,tabela_registros[CATEGORIA],reservafixaconsolidado282933[[#This Row],[ATUAL]])</f>
        <v>1478</v>
      </c>
      <c r="F168" s="176">
        <f>SUMIFS(tabela_registros[VALOR],tabela_registros[MÊS],$AE$1,tabela_registros[DIA],reservafixaconsolidado282933[[#Headers],[2]],tabela_registros[REGISTRO],DADOS!$N$6,tabela_registros[TIPO],DADOS!$AJ$3,tabela_registros[CATEGORIA],reservafixaconsolidado282933[[#This Row],[ATUAL]])</f>
        <v>0</v>
      </c>
      <c r="G168" s="176">
        <f>SUMIFS(tabela_registros[VALOR],tabela_registros[MÊS],$AE$1,tabela_registros[DIA],reservafixaconsolidado282933[[#Headers],[3]],tabela_registros[REGISTRO],DADOS!$N$6,tabela_registros[TIPO],DADOS!$AJ$3,tabela_registros[CATEGORIA],reservafixaconsolidado282933[[#This Row],[ATUAL]])</f>
        <v>25</v>
      </c>
      <c r="H168" s="176">
        <f>SUMIFS(tabela_registros[VALOR],tabela_registros[MÊS],$AE$1,tabela_registros[DIA],reservafixaconsolidado282933[[#Headers],[4]],tabela_registros[REGISTRO],DADOS!$N$6,tabela_registros[TIPO],DADOS!$AJ$3,tabela_registros[CATEGORIA],reservafixaconsolidado282933[[#This Row],[ATUAL]])</f>
        <v>0</v>
      </c>
      <c r="I168" s="176">
        <f>SUMIFS(tabela_registros[VALOR],tabela_registros[MÊS],$AE$1,tabela_registros[DIA],reservafixaconsolidado282933[[#Headers],[5]],tabela_registros[REGISTRO],DADOS!$N$6,tabela_registros[TIPO],DADOS!$AJ$3,tabela_registros[CATEGORIA],reservafixaconsolidado282933[[#This Row],[ATUAL]])</f>
        <v>0</v>
      </c>
      <c r="J168" s="176">
        <f>SUMIFS(tabela_registros[VALOR],tabela_registros[MÊS],$AE$1,tabela_registros[DIA],reservafixaconsolidado282933[[#Headers],[6]],tabela_registros[REGISTRO],DADOS!$N$6,tabela_registros[TIPO],DADOS!$AJ$3,tabela_registros[CATEGORIA],reservafixaconsolidado282933[[#This Row],[ATUAL]])</f>
        <v>0</v>
      </c>
      <c r="K168" s="176">
        <f>SUMIFS(tabela_registros[VALOR],tabela_registros[MÊS],$AE$1,tabela_registros[DIA],reservafixaconsolidado282933[[#Headers],[7]],tabela_registros[REGISTRO],DADOS!$N$6,tabela_registros[TIPO],DADOS!$AJ$3,tabela_registros[CATEGORIA],reservafixaconsolidado282933[[#This Row],[ATUAL]])</f>
        <v>0</v>
      </c>
      <c r="L168" s="176">
        <f>SUMIFS(tabela_registros[VALOR],tabela_registros[MÊS],$AE$1,tabela_registros[DIA],reservafixaconsolidado282933[[#Headers],[8]],tabela_registros[REGISTRO],DADOS!$N$6,tabela_registros[TIPO],DADOS!$AJ$3,tabela_registros[CATEGORIA],reservafixaconsolidado282933[[#This Row],[ATUAL]])</f>
        <v>0</v>
      </c>
      <c r="M168" s="176">
        <f>SUMIFS(tabela_registros[VALOR],tabela_registros[MÊS],$AE$1,tabela_registros[DIA],reservafixaconsolidado282933[[#Headers],[9]],tabela_registros[REGISTRO],DADOS!$N$6,tabela_registros[TIPO],DADOS!$AJ$3,tabela_registros[CATEGORIA],reservafixaconsolidado282933[[#This Row],[ATUAL]])</f>
        <v>0</v>
      </c>
      <c r="N168" s="176">
        <f>SUMIFS(tabela_registros[VALOR],tabela_registros[MÊS],$AE$1,tabela_registros[DIA],reservafixaconsolidado282933[[#Headers],[10]],tabela_registros[REGISTRO],DADOS!$N$6,tabela_registros[TIPO],DADOS!$AJ$3,tabela_registros[CATEGORIA],reservafixaconsolidado282933[[#This Row],[ATUAL]])</f>
        <v>0</v>
      </c>
      <c r="O168" s="176">
        <f>SUMIFS(tabela_registros[VALOR],tabela_registros[MÊS],$AE$1,tabela_registros[DIA],reservafixaconsolidado282933[[#Headers],[11]],tabela_registros[REGISTRO],DADOS!$N$6,tabela_registros[TIPO],DADOS!$AJ$3,tabela_registros[CATEGORIA],reservafixaconsolidado282933[[#This Row],[ATUAL]])</f>
        <v>0</v>
      </c>
      <c r="P168" s="176">
        <f>SUMIFS(tabela_registros[VALOR],tabela_registros[MÊS],$AE$1,tabela_registros[DIA],reservafixaconsolidado282933[[#Headers],[12]],tabela_registros[REGISTRO],DADOS!$N$6,tabela_registros[TIPO],DADOS!$AJ$3,tabela_registros[CATEGORIA],reservafixaconsolidado282933[[#This Row],[ATUAL]])</f>
        <v>0</v>
      </c>
      <c r="Q168" s="176">
        <f>SUMIFS(tabela_registros[VALOR],tabela_registros[MÊS],$AE$1,tabela_registros[DIA],reservafixaconsolidado282933[[#Headers],[13]],tabela_registros[REGISTRO],DADOS!$N$6,tabela_registros[TIPO],DADOS!$AJ$3,tabela_registros[CATEGORIA],reservafixaconsolidado282933[[#This Row],[ATUAL]])</f>
        <v>0</v>
      </c>
      <c r="R168" s="176">
        <f>SUMIFS(tabela_registros[VALOR],tabela_registros[MÊS],$AE$1,tabela_registros[DIA],reservafixaconsolidado282933[[#Headers],[14]],tabela_registros[REGISTRO],DADOS!$N$6,tabela_registros[TIPO],DADOS!$AJ$3,tabela_registros[CATEGORIA],reservafixaconsolidado282933[[#This Row],[ATUAL]])</f>
        <v>0</v>
      </c>
      <c r="S168" s="176">
        <f>SUMIFS(tabela_registros[VALOR],tabela_registros[MÊS],$AE$1,tabela_registros[DIA],reservafixaconsolidado282933[[#Headers],[15]],tabela_registros[REGISTRO],DADOS!$N$6,tabela_registros[TIPO],DADOS!$AJ$3,tabela_registros[CATEGORIA],reservafixaconsolidado282933[[#This Row],[ATUAL]])</f>
        <v>0</v>
      </c>
      <c r="T168" s="176">
        <f>SUMIFS(tabela_registros[VALOR],tabela_registros[MÊS],$AE$1,tabela_registros[DIA],reservafixaconsolidado282933[[#Headers],[16]],tabela_registros[REGISTRO],DADOS!$N$6,tabela_registros[TIPO],DADOS!$AJ$3,tabela_registros[CATEGORIA],reservafixaconsolidado282933[[#This Row],[ATUAL]])</f>
        <v>0</v>
      </c>
      <c r="U168" s="176">
        <f>SUMIFS(tabela_registros[VALOR],tabela_registros[MÊS],$AE$1,tabela_registros[DIA],reservafixaconsolidado282933[[#Headers],[17]],tabela_registros[REGISTRO],DADOS!$N$6,tabela_registros[TIPO],DADOS!$AJ$3,tabela_registros[CATEGORIA],reservafixaconsolidado282933[[#This Row],[ATUAL]])</f>
        <v>0</v>
      </c>
      <c r="V168" s="176">
        <f>SUMIFS(tabela_registros[VALOR],tabela_registros[MÊS],$AE$1,tabela_registros[DIA],reservafixaconsolidado282933[[#Headers],[18]],tabela_registros[REGISTRO],DADOS!$N$6,tabela_registros[TIPO],DADOS!$AJ$3,tabela_registros[CATEGORIA],reservafixaconsolidado282933[[#This Row],[ATUAL]])</f>
        <v>0</v>
      </c>
      <c r="W168" s="176">
        <f>SUMIFS(tabela_registros[VALOR],tabela_registros[MÊS],$AE$1,tabela_registros[DIA],reservafixaconsolidado282933[[#Headers],[19]],tabela_registros[REGISTRO],DADOS!$N$6,tabela_registros[TIPO],DADOS!$AJ$3,tabela_registros[CATEGORIA],reservafixaconsolidado282933[[#This Row],[ATUAL]])</f>
        <v>0</v>
      </c>
      <c r="X168" s="176">
        <f>SUMIFS(tabela_registros[VALOR],tabela_registros[MÊS],$AE$1,tabela_registros[DIA],reservafixaconsolidado282933[[#Headers],[20]],tabela_registros[REGISTRO],DADOS!$N$6,tabela_registros[TIPO],DADOS!$AJ$3,tabela_registros[CATEGORIA],reservafixaconsolidado282933[[#This Row],[ATUAL]])</f>
        <v>0</v>
      </c>
      <c r="Y168" s="176">
        <f>SUMIFS(tabela_registros[VALOR],tabela_registros[MÊS],$AE$1,tabela_registros[DIA],reservafixaconsolidado282933[[#Headers],[21]],tabela_registros[REGISTRO],DADOS!$N$6,tabela_registros[TIPO],DADOS!$AJ$3,tabela_registros[CATEGORIA],reservafixaconsolidado282933[[#This Row],[ATUAL]])</f>
        <v>0</v>
      </c>
      <c r="Z168" s="176">
        <f>SUMIFS(tabela_registros[VALOR],tabela_registros[MÊS],$AE$1,tabela_registros[DIA],reservafixaconsolidado282933[[#Headers],[22]],tabela_registros[REGISTRO],DADOS!$N$6,tabela_registros[TIPO],DADOS!$AJ$3,tabela_registros[CATEGORIA],reservafixaconsolidado282933[[#This Row],[ATUAL]])</f>
        <v>0</v>
      </c>
      <c r="AA168" s="176">
        <f>SUMIFS(tabela_registros[VALOR],tabela_registros[MÊS],$AE$1,tabela_registros[DIA],reservafixaconsolidado282933[[#Headers],[23]],tabela_registros[REGISTRO],DADOS!$N$6,tabela_registros[TIPO],DADOS!$AJ$3,tabela_registros[CATEGORIA],reservafixaconsolidado282933[[#This Row],[ATUAL]])</f>
        <v>0</v>
      </c>
      <c r="AB168" s="176">
        <f>SUMIFS(tabela_registros[VALOR],tabela_registros[MÊS],$AE$1,tabela_registros[DIA],reservafixaconsolidado282933[[#Headers],[24]],tabela_registros[REGISTRO],DADOS!$N$6,tabela_registros[TIPO],DADOS!$AJ$3,tabela_registros[CATEGORIA],reservafixaconsolidado282933[[#This Row],[ATUAL]])</f>
        <v>0</v>
      </c>
      <c r="AC168" s="176">
        <f>SUMIFS(tabela_registros[VALOR],tabela_registros[MÊS],$AE$1,tabela_registros[DIA],reservafixaconsolidado282933[[#Headers],[25]],tabela_registros[REGISTRO],DADOS!$N$6,tabela_registros[TIPO],DADOS!$AJ$3,tabela_registros[CATEGORIA],reservafixaconsolidado282933[[#This Row],[ATUAL]])</f>
        <v>0</v>
      </c>
      <c r="AD168" s="176">
        <f>SUMIFS(tabela_registros[VALOR],tabela_registros[MÊS],$AE$1,tabela_registros[DIA],reservafixaconsolidado282933[[#Headers],[26]],tabela_registros[REGISTRO],DADOS!$N$6,tabela_registros[TIPO],DADOS!$AJ$3,tabela_registros[CATEGORIA],reservafixaconsolidado282933[[#This Row],[ATUAL]])</f>
        <v>0</v>
      </c>
      <c r="AE168" s="176">
        <f>SUMIFS(tabela_registros[VALOR],tabela_registros[MÊS],$AE$1,tabela_registros[DIA],reservafixaconsolidado282933[[#Headers],[27]],tabela_registros[REGISTRO],DADOS!$N$6,tabela_registros[TIPO],DADOS!$AJ$3,tabela_registros[CATEGORIA],reservafixaconsolidado282933[[#This Row],[ATUAL]])</f>
        <v>0</v>
      </c>
      <c r="AF168" s="176">
        <f>SUMIFS(tabela_registros[VALOR],tabela_registros[MÊS],$AE$1,tabela_registros[DIA],reservafixaconsolidado282933[[#Headers],[28]],tabela_registros[REGISTRO],DADOS!$N$6,tabela_registros[TIPO],DADOS!$AJ$3,tabela_registros[CATEGORIA],reservafixaconsolidado282933[[#This Row],[ATUAL]])</f>
        <v>0</v>
      </c>
      <c r="AG168" s="176">
        <f>SUMIFS(tabela_registros[VALOR],tabela_registros[MÊS],$AE$1,tabela_registros[DIA],reservafixaconsolidado282933[[#Headers],[29]],tabela_registros[REGISTRO],DADOS!$N$6,tabela_registros[TIPO],DADOS!$AJ$3,tabela_registros[CATEGORIA],reservafixaconsolidado282933[[#This Row],[ATUAL]])</f>
        <v>0</v>
      </c>
      <c r="AH168" s="176">
        <f>SUMIFS(tabela_registros[VALOR],tabela_registros[MÊS],$AE$1,tabela_registros[DIA],reservafixaconsolidado282933[[#Headers],[30]],tabela_registros[REGISTRO],DADOS!$N$6,tabela_registros[TIPO],DADOS!$AJ$3,tabela_registros[CATEGORIA],reservafixaconsolidado282933[[#This Row],[ATUAL]])</f>
        <v>0</v>
      </c>
      <c r="AI168" s="190">
        <f>SUMIFS(tabela_registros[VALOR],tabela_registros[MÊS],$AE$1,tabela_registros[DIA],reservafixaconsolidado282933[[#Headers],[31]],tabela_registros[REGISTRO],DADOS!$N$6,tabela_registros[TIPO],DADOS!$AJ$3,tabela_registros[CATEGORIA],reservafixaconsolidado282933[[#This Row],[ATUAL]])</f>
        <v>0</v>
      </c>
      <c r="AJ168" s="167">
        <f>SUM(reservafixaconsolidado282933[[#This Row],[1]:[31]])</f>
        <v>1503</v>
      </c>
      <c r="AK168" s="25"/>
    </row>
    <row r="169" spans="2:37" ht="19.5" customHeight="1" thickTop="1" thickBot="1" x14ac:dyDescent="0.3">
      <c r="B169" s="28"/>
      <c r="C169" s="27" t="str">
        <f>DADOS!$AL$4</f>
        <v>📝 CRA</v>
      </c>
      <c r="D169" s="26" t="str">
        <f>IF(reservafixaconsolidado282933[[#This Row],[TOTAL (R$)]]=0,"",IF(OR(reservafixaconsolidado282933[[#This Row],[TOTAL (R$)]]=LARGE($AJ$168:$AJ$177,1),reservafixaconsolidado282933[[#This Row],[TOTAL (R$)]]=LARGE($AJ$168:$AJ$177,2)),DADOS!$I$11,""))</f>
        <v/>
      </c>
      <c r="E169" s="189">
        <f>SUMIFS(tabela_registros[VALOR],tabela_registros[MÊS],$AE$1,tabela_registros[DIA],reservafixaconsolidado282933[[#Headers],[1]],tabela_registros[REGISTRO],DADOS!$N$6,tabela_registros[TIPO],DADOS!$AJ$3,tabela_registros[CATEGORIA],reservafixaconsolidado282933[[#This Row],[ATUAL]])</f>
        <v>0</v>
      </c>
      <c r="F169" s="176">
        <f>SUMIFS(tabela_registros[VALOR],tabela_registros[MÊS],$AE$1,tabela_registros[DIA],reservafixaconsolidado282933[[#Headers],[2]],tabela_registros[REGISTRO],DADOS!$N$6,tabela_registros[TIPO],DADOS!$AJ$3,tabela_registros[CATEGORIA],reservafixaconsolidado282933[[#This Row],[ATUAL]])</f>
        <v>0</v>
      </c>
      <c r="G169" s="176">
        <f>SUMIFS(tabela_registros[VALOR],tabela_registros[MÊS],$AE$1,tabela_registros[DIA],reservafixaconsolidado282933[[#Headers],[3]],tabela_registros[REGISTRO],DADOS!$N$6,tabela_registros[TIPO],DADOS!$AJ$3,tabela_registros[CATEGORIA],reservafixaconsolidado282933[[#This Row],[ATUAL]])</f>
        <v>0</v>
      </c>
      <c r="H169" s="176">
        <f>SUMIFS(tabela_registros[VALOR],tabela_registros[MÊS],$AE$1,tabela_registros[DIA],reservafixaconsolidado282933[[#Headers],[4]],tabela_registros[REGISTRO],DADOS!$N$6,tabela_registros[TIPO],DADOS!$AJ$3,tabela_registros[CATEGORIA],reservafixaconsolidado282933[[#This Row],[ATUAL]])</f>
        <v>0</v>
      </c>
      <c r="I169" s="176">
        <f>SUMIFS(tabela_registros[VALOR],tabela_registros[MÊS],$AE$1,tabela_registros[DIA],reservafixaconsolidado282933[[#Headers],[5]],tabela_registros[REGISTRO],DADOS!$N$6,tabela_registros[TIPO],DADOS!$AJ$3,tabela_registros[CATEGORIA],reservafixaconsolidado282933[[#This Row],[ATUAL]])</f>
        <v>0</v>
      </c>
      <c r="J169" s="176">
        <f>SUMIFS(tabela_registros[VALOR],tabela_registros[MÊS],$AE$1,tabela_registros[DIA],reservafixaconsolidado282933[[#Headers],[6]],tabela_registros[REGISTRO],DADOS!$N$6,tabela_registros[TIPO],DADOS!$AJ$3,tabela_registros[CATEGORIA],reservafixaconsolidado282933[[#This Row],[ATUAL]])</f>
        <v>0</v>
      </c>
      <c r="K169" s="176">
        <f>SUMIFS(tabela_registros[VALOR],tabela_registros[MÊS],$AE$1,tabela_registros[DIA],reservafixaconsolidado282933[[#Headers],[7]],tabela_registros[REGISTRO],DADOS!$N$6,tabela_registros[TIPO],DADOS!$AJ$3,tabela_registros[CATEGORIA],reservafixaconsolidado282933[[#This Row],[ATUAL]])</f>
        <v>0</v>
      </c>
      <c r="L169" s="176">
        <f>SUMIFS(tabela_registros[VALOR],tabela_registros[MÊS],$AE$1,tabela_registros[DIA],reservafixaconsolidado282933[[#Headers],[8]],tabela_registros[REGISTRO],DADOS!$N$6,tabela_registros[TIPO],DADOS!$AJ$3,tabela_registros[CATEGORIA],reservafixaconsolidado282933[[#This Row],[ATUAL]])</f>
        <v>0</v>
      </c>
      <c r="M169" s="176">
        <f>SUMIFS(tabela_registros[VALOR],tabela_registros[MÊS],$AE$1,tabela_registros[DIA],reservafixaconsolidado282933[[#Headers],[9]],tabela_registros[REGISTRO],DADOS!$N$6,tabela_registros[TIPO],DADOS!$AJ$3,tabela_registros[CATEGORIA],reservafixaconsolidado282933[[#This Row],[ATUAL]])</f>
        <v>0</v>
      </c>
      <c r="N169" s="176">
        <f>SUMIFS(tabela_registros[VALOR],tabela_registros[MÊS],$AE$1,tabela_registros[DIA],reservafixaconsolidado282933[[#Headers],[10]],tabela_registros[REGISTRO],DADOS!$N$6,tabela_registros[TIPO],DADOS!$AJ$3,tabela_registros[CATEGORIA],reservafixaconsolidado282933[[#This Row],[ATUAL]])</f>
        <v>0</v>
      </c>
      <c r="O169" s="176">
        <f>SUMIFS(tabela_registros[VALOR],tabela_registros[MÊS],$AE$1,tabela_registros[DIA],reservafixaconsolidado282933[[#Headers],[11]],tabela_registros[REGISTRO],DADOS!$N$6,tabela_registros[TIPO],DADOS!$AJ$3,tabela_registros[CATEGORIA],reservafixaconsolidado282933[[#This Row],[ATUAL]])</f>
        <v>0</v>
      </c>
      <c r="P169" s="176">
        <f>SUMIFS(tabela_registros[VALOR],tabela_registros[MÊS],$AE$1,tabela_registros[DIA],reservafixaconsolidado282933[[#Headers],[12]],tabela_registros[REGISTRO],DADOS!$N$6,tabela_registros[TIPO],DADOS!$AJ$3,tabela_registros[CATEGORIA],reservafixaconsolidado282933[[#This Row],[ATUAL]])</f>
        <v>0</v>
      </c>
      <c r="Q169" s="176">
        <f>SUMIFS(tabela_registros[VALOR],tabela_registros[MÊS],$AE$1,tabela_registros[DIA],reservafixaconsolidado282933[[#Headers],[13]],tabela_registros[REGISTRO],DADOS!$N$6,tabela_registros[TIPO],DADOS!$AJ$3,tabela_registros[CATEGORIA],reservafixaconsolidado282933[[#This Row],[ATUAL]])</f>
        <v>0</v>
      </c>
      <c r="R169" s="176">
        <f>SUMIFS(tabela_registros[VALOR],tabela_registros[MÊS],$AE$1,tabela_registros[DIA],reservafixaconsolidado282933[[#Headers],[14]],tabela_registros[REGISTRO],DADOS!$N$6,tabela_registros[TIPO],DADOS!$AJ$3,tabela_registros[CATEGORIA],reservafixaconsolidado282933[[#This Row],[ATUAL]])</f>
        <v>0</v>
      </c>
      <c r="S169" s="176">
        <f>SUMIFS(tabela_registros[VALOR],tabela_registros[MÊS],$AE$1,tabela_registros[DIA],reservafixaconsolidado282933[[#Headers],[15]],tabela_registros[REGISTRO],DADOS!$N$6,tabela_registros[TIPO],DADOS!$AJ$3,tabela_registros[CATEGORIA],reservafixaconsolidado282933[[#This Row],[ATUAL]])</f>
        <v>0</v>
      </c>
      <c r="T169" s="176">
        <f>SUMIFS(tabela_registros[VALOR],tabela_registros[MÊS],$AE$1,tabela_registros[DIA],reservafixaconsolidado282933[[#Headers],[16]],tabela_registros[REGISTRO],DADOS!$N$6,tabela_registros[TIPO],DADOS!$AJ$3,tabela_registros[CATEGORIA],reservafixaconsolidado282933[[#This Row],[ATUAL]])</f>
        <v>0</v>
      </c>
      <c r="U169" s="176">
        <f>SUMIFS(tabela_registros[VALOR],tabela_registros[MÊS],$AE$1,tabela_registros[DIA],reservafixaconsolidado282933[[#Headers],[17]],tabela_registros[REGISTRO],DADOS!$N$6,tabela_registros[TIPO],DADOS!$AJ$3,tabela_registros[CATEGORIA],reservafixaconsolidado282933[[#This Row],[ATUAL]])</f>
        <v>0</v>
      </c>
      <c r="V169" s="176">
        <f>SUMIFS(tabela_registros[VALOR],tabela_registros[MÊS],$AE$1,tabela_registros[DIA],reservafixaconsolidado282933[[#Headers],[18]],tabela_registros[REGISTRO],DADOS!$N$6,tabela_registros[TIPO],DADOS!$AJ$3,tabela_registros[CATEGORIA],reservafixaconsolidado282933[[#This Row],[ATUAL]])</f>
        <v>0</v>
      </c>
      <c r="W169" s="176">
        <f>SUMIFS(tabela_registros[VALOR],tabela_registros[MÊS],$AE$1,tabela_registros[DIA],reservafixaconsolidado282933[[#Headers],[19]],tabela_registros[REGISTRO],DADOS!$N$6,tabela_registros[TIPO],DADOS!$AJ$3,tabela_registros[CATEGORIA],reservafixaconsolidado282933[[#This Row],[ATUAL]])</f>
        <v>0</v>
      </c>
      <c r="X169" s="176">
        <f>SUMIFS(tabela_registros[VALOR],tabela_registros[MÊS],$AE$1,tabela_registros[DIA],reservafixaconsolidado282933[[#Headers],[20]],tabela_registros[REGISTRO],DADOS!$N$6,tabela_registros[TIPO],DADOS!$AJ$3,tabela_registros[CATEGORIA],reservafixaconsolidado282933[[#This Row],[ATUAL]])</f>
        <v>0</v>
      </c>
      <c r="Y169" s="176">
        <f>SUMIFS(tabela_registros[VALOR],tabela_registros[MÊS],$AE$1,tabela_registros[DIA],reservafixaconsolidado282933[[#Headers],[21]],tabela_registros[REGISTRO],DADOS!$N$6,tabela_registros[TIPO],DADOS!$AJ$3,tabela_registros[CATEGORIA],reservafixaconsolidado282933[[#This Row],[ATUAL]])</f>
        <v>0</v>
      </c>
      <c r="Z169" s="176">
        <f>SUMIFS(tabela_registros[VALOR],tabela_registros[MÊS],$AE$1,tabela_registros[DIA],reservafixaconsolidado282933[[#Headers],[22]],tabela_registros[REGISTRO],DADOS!$N$6,tabela_registros[TIPO],DADOS!$AJ$3,tabela_registros[CATEGORIA],reservafixaconsolidado282933[[#This Row],[ATUAL]])</f>
        <v>0</v>
      </c>
      <c r="AA169" s="176">
        <f>SUMIFS(tabela_registros[VALOR],tabela_registros[MÊS],$AE$1,tabela_registros[DIA],reservafixaconsolidado282933[[#Headers],[23]],tabela_registros[REGISTRO],DADOS!$N$6,tabela_registros[TIPO],DADOS!$AJ$3,tabela_registros[CATEGORIA],reservafixaconsolidado282933[[#This Row],[ATUAL]])</f>
        <v>0</v>
      </c>
      <c r="AB169" s="176">
        <f>SUMIFS(tabela_registros[VALOR],tabela_registros[MÊS],$AE$1,tabela_registros[DIA],reservafixaconsolidado282933[[#Headers],[24]],tabela_registros[REGISTRO],DADOS!$N$6,tabela_registros[TIPO],DADOS!$AJ$3,tabela_registros[CATEGORIA],reservafixaconsolidado282933[[#This Row],[ATUAL]])</f>
        <v>0</v>
      </c>
      <c r="AC169" s="176">
        <f>SUMIFS(tabela_registros[VALOR],tabela_registros[MÊS],$AE$1,tabela_registros[DIA],reservafixaconsolidado282933[[#Headers],[25]],tabela_registros[REGISTRO],DADOS!$N$6,tabela_registros[TIPO],DADOS!$AJ$3,tabela_registros[CATEGORIA],reservafixaconsolidado282933[[#This Row],[ATUAL]])</f>
        <v>0</v>
      </c>
      <c r="AD169" s="176">
        <f>SUMIFS(tabela_registros[VALOR],tabela_registros[MÊS],$AE$1,tabela_registros[DIA],reservafixaconsolidado282933[[#Headers],[26]],tabela_registros[REGISTRO],DADOS!$N$6,tabela_registros[TIPO],DADOS!$AJ$3,tabela_registros[CATEGORIA],reservafixaconsolidado282933[[#This Row],[ATUAL]])</f>
        <v>0</v>
      </c>
      <c r="AE169" s="176">
        <f>SUMIFS(tabela_registros[VALOR],tabela_registros[MÊS],$AE$1,tabela_registros[DIA],reservafixaconsolidado282933[[#Headers],[27]],tabela_registros[REGISTRO],DADOS!$N$6,tabela_registros[TIPO],DADOS!$AJ$3,tabela_registros[CATEGORIA],reservafixaconsolidado282933[[#This Row],[ATUAL]])</f>
        <v>0</v>
      </c>
      <c r="AF169" s="176">
        <f>SUMIFS(tabela_registros[VALOR],tabela_registros[MÊS],$AE$1,tabela_registros[DIA],reservafixaconsolidado282933[[#Headers],[28]],tabela_registros[REGISTRO],DADOS!$N$6,tabela_registros[TIPO],DADOS!$AJ$3,tabela_registros[CATEGORIA],reservafixaconsolidado282933[[#This Row],[ATUAL]])</f>
        <v>0</v>
      </c>
      <c r="AG169" s="176">
        <f>SUMIFS(tabela_registros[VALOR],tabela_registros[MÊS],$AE$1,tabela_registros[DIA],reservafixaconsolidado282933[[#Headers],[29]],tabela_registros[REGISTRO],DADOS!$N$6,tabela_registros[TIPO],DADOS!$AJ$3,tabela_registros[CATEGORIA],reservafixaconsolidado282933[[#This Row],[ATUAL]])</f>
        <v>0</v>
      </c>
      <c r="AH169" s="176">
        <f>SUMIFS(tabela_registros[VALOR],tabela_registros[MÊS],$AE$1,tabela_registros[DIA],reservafixaconsolidado282933[[#Headers],[30]],tabela_registros[REGISTRO],DADOS!$N$6,tabela_registros[TIPO],DADOS!$AJ$3,tabela_registros[CATEGORIA],reservafixaconsolidado282933[[#This Row],[ATUAL]])</f>
        <v>0</v>
      </c>
      <c r="AI169" s="190">
        <f>SUMIFS(tabela_registros[VALOR],tabela_registros[MÊS],$AE$1,tabela_registros[DIA],reservafixaconsolidado282933[[#Headers],[31]],tabela_registros[REGISTRO],DADOS!$N$6,tabela_registros[TIPO],DADOS!$AJ$3,tabela_registros[CATEGORIA],reservafixaconsolidado282933[[#This Row],[ATUAL]])</f>
        <v>0</v>
      </c>
      <c r="AJ169" s="167">
        <f>SUM(reservafixaconsolidado282933[[#This Row],[1]:[31]])</f>
        <v>0</v>
      </c>
      <c r="AK169" s="25"/>
    </row>
    <row r="170" spans="2:37" ht="19.5" customHeight="1" thickTop="1" thickBot="1" x14ac:dyDescent="0.3">
      <c r="B170" s="28"/>
      <c r="C170" s="27" t="str">
        <f>DADOS!$AL$5</f>
        <v>📝 CRI</v>
      </c>
      <c r="D170" s="26" t="str">
        <f>IF(reservafixaconsolidado282933[[#This Row],[TOTAL (R$)]]=0,"",IF(OR(reservafixaconsolidado282933[[#This Row],[TOTAL (R$)]]=LARGE($AJ$168:$AJ$177,1),reservafixaconsolidado282933[[#This Row],[TOTAL (R$)]]=LARGE($AJ$168:$AJ$177,2)),DADOS!$I$11,""))</f>
        <v/>
      </c>
      <c r="E170" s="189">
        <f>SUMIFS(tabela_registros[VALOR],tabela_registros[MÊS],$AE$1,tabela_registros[DIA],reservafixaconsolidado282933[[#Headers],[1]],tabela_registros[REGISTRO],DADOS!$N$6,tabela_registros[TIPO],DADOS!$AJ$3,tabela_registros[CATEGORIA],reservafixaconsolidado282933[[#This Row],[ATUAL]])</f>
        <v>0</v>
      </c>
      <c r="F170" s="176">
        <f>SUMIFS(tabela_registros[VALOR],tabela_registros[MÊS],$AE$1,tabela_registros[DIA],reservafixaconsolidado282933[[#Headers],[2]],tabela_registros[REGISTRO],DADOS!$N$6,tabela_registros[TIPO],DADOS!$AJ$3,tabela_registros[CATEGORIA],reservafixaconsolidado282933[[#This Row],[ATUAL]])</f>
        <v>0</v>
      </c>
      <c r="G170" s="176">
        <f>SUMIFS(tabela_registros[VALOR],tabela_registros[MÊS],$AE$1,tabela_registros[DIA],reservafixaconsolidado282933[[#Headers],[3]],tabela_registros[REGISTRO],DADOS!$N$6,tabela_registros[TIPO],DADOS!$AJ$3,tabela_registros[CATEGORIA],reservafixaconsolidado282933[[#This Row],[ATUAL]])</f>
        <v>0</v>
      </c>
      <c r="H170" s="176">
        <f>SUMIFS(tabela_registros[VALOR],tabela_registros[MÊS],$AE$1,tabela_registros[DIA],reservafixaconsolidado282933[[#Headers],[4]],tabela_registros[REGISTRO],DADOS!$N$6,tabela_registros[TIPO],DADOS!$AJ$3,tabela_registros[CATEGORIA],reservafixaconsolidado282933[[#This Row],[ATUAL]])</f>
        <v>38</v>
      </c>
      <c r="I170" s="176">
        <f>SUMIFS(tabela_registros[VALOR],tabela_registros[MÊS],$AE$1,tabela_registros[DIA],reservafixaconsolidado282933[[#Headers],[5]],tabela_registros[REGISTRO],DADOS!$N$6,tabela_registros[TIPO],DADOS!$AJ$3,tabela_registros[CATEGORIA],reservafixaconsolidado282933[[#This Row],[ATUAL]])</f>
        <v>0</v>
      </c>
      <c r="J170" s="176">
        <f>SUMIFS(tabela_registros[VALOR],tabela_registros[MÊS],$AE$1,tabela_registros[DIA],reservafixaconsolidado282933[[#Headers],[6]],tabela_registros[REGISTRO],DADOS!$N$6,tabela_registros[TIPO],DADOS!$AJ$3,tabela_registros[CATEGORIA],reservafixaconsolidado282933[[#This Row],[ATUAL]])</f>
        <v>0</v>
      </c>
      <c r="K170" s="176">
        <f>SUMIFS(tabela_registros[VALOR],tabela_registros[MÊS],$AE$1,tabela_registros[DIA],reservafixaconsolidado282933[[#Headers],[7]],tabela_registros[REGISTRO],DADOS!$N$6,tabela_registros[TIPO],DADOS!$AJ$3,tabela_registros[CATEGORIA],reservafixaconsolidado282933[[#This Row],[ATUAL]])</f>
        <v>0</v>
      </c>
      <c r="L170" s="176">
        <f>SUMIFS(tabela_registros[VALOR],tabela_registros[MÊS],$AE$1,tabela_registros[DIA],reservafixaconsolidado282933[[#Headers],[8]],tabela_registros[REGISTRO],DADOS!$N$6,tabela_registros[TIPO],DADOS!$AJ$3,tabela_registros[CATEGORIA],reservafixaconsolidado282933[[#This Row],[ATUAL]])</f>
        <v>0</v>
      </c>
      <c r="M170" s="176">
        <f>SUMIFS(tabela_registros[VALOR],tabela_registros[MÊS],$AE$1,tabela_registros[DIA],reservafixaconsolidado282933[[#Headers],[9]],tabela_registros[REGISTRO],DADOS!$N$6,tabela_registros[TIPO],DADOS!$AJ$3,tabela_registros[CATEGORIA],reservafixaconsolidado282933[[#This Row],[ATUAL]])</f>
        <v>0</v>
      </c>
      <c r="N170" s="176">
        <f>SUMIFS(tabela_registros[VALOR],tabela_registros[MÊS],$AE$1,tabela_registros[DIA],reservafixaconsolidado282933[[#Headers],[10]],tabela_registros[REGISTRO],DADOS!$N$6,tabela_registros[TIPO],DADOS!$AJ$3,tabela_registros[CATEGORIA],reservafixaconsolidado282933[[#This Row],[ATUAL]])</f>
        <v>0</v>
      </c>
      <c r="O170" s="176">
        <f>SUMIFS(tabela_registros[VALOR],tabela_registros[MÊS],$AE$1,tabela_registros[DIA],reservafixaconsolidado282933[[#Headers],[11]],tabela_registros[REGISTRO],DADOS!$N$6,tabela_registros[TIPO],DADOS!$AJ$3,tabela_registros[CATEGORIA],reservafixaconsolidado282933[[#This Row],[ATUAL]])</f>
        <v>0</v>
      </c>
      <c r="P170" s="176">
        <f>SUMIFS(tabela_registros[VALOR],tabela_registros[MÊS],$AE$1,tabela_registros[DIA],reservafixaconsolidado282933[[#Headers],[12]],tabela_registros[REGISTRO],DADOS!$N$6,tabela_registros[TIPO],DADOS!$AJ$3,tabela_registros[CATEGORIA],reservafixaconsolidado282933[[#This Row],[ATUAL]])</f>
        <v>0</v>
      </c>
      <c r="Q170" s="176">
        <f>SUMIFS(tabela_registros[VALOR],tabela_registros[MÊS],$AE$1,tabela_registros[DIA],reservafixaconsolidado282933[[#Headers],[13]],tabela_registros[REGISTRO],DADOS!$N$6,tabela_registros[TIPO],DADOS!$AJ$3,tabela_registros[CATEGORIA],reservafixaconsolidado282933[[#This Row],[ATUAL]])</f>
        <v>0</v>
      </c>
      <c r="R170" s="176">
        <f>SUMIFS(tabela_registros[VALOR],tabela_registros[MÊS],$AE$1,tabela_registros[DIA],reservafixaconsolidado282933[[#Headers],[14]],tabela_registros[REGISTRO],DADOS!$N$6,tabela_registros[TIPO],DADOS!$AJ$3,tabela_registros[CATEGORIA],reservafixaconsolidado282933[[#This Row],[ATUAL]])</f>
        <v>0</v>
      </c>
      <c r="S170" s="176">
        <f>SUMIFS(tabela_registros[VALOR],tabela_registros[MÊS],$AE$1,tabela_registros[DIA],reservafixaconsolidado282933[[#Headers],[15]],tabela_registros[REGISTRO],DADOS!$N$6,tabela_registros[TIPO],DADOS!$AJ$3,tabela_registros[CATEGORIA],reservafixaconsolidado282933[[#This Row],[ATUAL]])</f>
        <v>0</v>
      </c>
      <c r="T170" s="176">
        <f>SUMIFS(tabela_registros[VALOR],tabela_registros[MÊS],$AE$1,tabela_registros[DIA],reservafixaconsolidado282933[[#Headers],[16]],tabela_registros[REGISTRO],DADOS!$N$6,tabela_registros[TIPO],DADOS!$AJ$3,tabela_registros[CATEGORIA],reservafixaconsolidado282933[[#This Row],[ATUAL]])</f>
        <v>0</v>
      </c>
      <c r="U170" s="176">
        <f>SUMIFS(tabela_registros[VALOR],tabela_registros[MÊS],$AE$1,tabela_registros[DIA],reservafixaconsolidado282933[[#Headers],[17]],tabela_registros[REGISTRO],DADOS!$N$6,tabela_registros[TIPO],DADOS!$AJ$3,tabela_registros[CATEGORIA],reservafixaconsolidado282933[[#This Row],[ATUAL]])</f>
        <v>0</v>
      </c>
      <c r="V170" s="176">
        <f>SUMIFS(tabela_registros[VALOR],tabela_registros[MÊS],$AE$1,tabela_registros[DIA],reservafixaconsolidado282933[[#Headers],[18]],tabela_registros[REGISTRO],DADOS!$N$6,tabela_registros[TIPO],DADOS!$AJ$3,tabela_registros[CATEGORIA],reservafixaconsolidado282933[[#This Row],[ATUAL]])</f>
        <v>0</v>
      </c>
      <c r="W170" s="176">
        <f>SUMIFS(tabela_registros[VALOR],tabela_registros[MÊS],$AE$1,tabela_registros[DIA],reservafixaconsolidado282933[[#Headers],[19]],tabela_registros[REGISTRO],DADOS!$N$6,tabela_registros[TIPO],DADOS!$AJ$3,tabela_registros[CATEGORIA],reservafixaconsolidado282933[[#This Row],[ATUAL]])</f>
        <v>0</v>
      </c>
      <c r="X170" s="176">
        <f>SUMIFS(tabela_registros[VALOR],tabela_registros[MÊS],$AE$1,tabela_registros[DIA],reservafixaconsolidado282933[[#Headers],[20]],tabela_registros[REGISTRO],DADOS!$N$6,tabela_registros[TIPO],DADOS!$AJ$3,tabela_registros[CATEGORIA],reservafixaconsolidado282933[[#This Row],[ATUAL]])</f>
        <v>0</v>
      </c>
      <c r="Y170" s="176">
        <f>SUMIFS(tabela_registros[VALOR],tabela_registros[MÊS],$AE$1,tabela_registros[DIA],reservafixaconsolidado282933[[#Headers],[21]],tabela_registros[REGISTRO],DADOS!$N$6,tabela_registros[TIPO],DADOS!$AJ$3,tabela_registros[CATEGORIA],reservafixaconsolidado282933[[#This Row],[ATUAL]])</f>
        <v>0</v>
      </c>
      <c r="Z170" s="176">
        <f>SUMIFS(tabela_registros[VALOR],tabela_registros[MÊS],$AE$1,tabela_registros[DIA],reservafixaconsolidado282933[[#Headers],[22]],tabela_registros[REGISTRO],DADOS!$N$6,tabela_registros[TIPO],DADOS!$AJ$3,tabela_registros[CATEGORIA],reservafixaconsolidado282933[[#This Row],[ATUAL]])</f>
        <v>0</v>
      </c>
      <c r="AA170" s="176">
        <f>SUMIFS(tabela_registros[VALOR],tabela_registros[MÊS],$AE$1,tabela_registros[DIA],reservafixaconsolidado282933[[#Headers],[23]],tabela_registros[REGISTRO],DADOS!$N$6,tabela_registros[TIPO],DADOS!$AJ$3,tabela_registros[CATEGORIA],reservafixaconsolidado282933[[#This Row],[ATUAL]])</f>
        <v>0</v>
      </c>
      <c r="AB170" s="176">
        <f>SUMIFS(tabela_registros[VALOR],tabela_registros[MÊS],$AE$1,tabela_registros[DIA],reservafixaconsolidado282933[[#Headers],[24]],tabela_registros[REGISTRO],DADOS!$N$6,tabela_registros[TIPO],DADOS!$AJ$3,tabela_registros[CATEGORIA],reservafixaconsolidado282933[[#This Row],[ATUAL]])</f>
        <v>0</v>
      </c>
      <c r="AC170" s="176">
        <f>SUMIFS(tabela_registros[VALOR],tabela_registros[MÊS],$AE$1,tabela_registros[DIA],reservafixaconsolidado282933[[#Headers],[25]],tabela_registros[REGISTRO],DADOS!$N$6,tabela_registros[TIPO],DADOS!$AJ$3,tabela_registros[CATEGORIA],reservafixaconsolidado282933[[#This Row],[ATUAL]])</f>
        <v>0</v>
      </c>
      <c r="AD170" s="176">
        <f>SUMIFS(tabela_registros[VALOR],tabela_registros[MÊS],$AE$1,tabela_registros[DIA],reservafixaconsolidado282933[[#Headers],[26]],tabela_registros[REGISTRO],DADOS!$N$6,tabela_registros[TIPO],DADOS!$AJ$3,tabela_registros[CATEGORIA],reservafixaconsolidado282933[[#This Row],[ATUAL]])</f>
        <v>0</v>
      </c>
      <c r="AE170" s="176">
        <f>SUMIFS(tabela_registros[VALOR],tabela_registros[MÊS],$AE$1,tabela_registros[DIA],reservafixaconsolidado282933[[#Headers],[27]],tabela_registros[REGISTRO],DADOS!$N$6,tabela_registros[TIPO],DADOS!$AJ$3,tabela_registros[CATEGORIA],reservafixaconsolidado282933[[#This Row],[ATUAL]])</f>
        <v>0</v>
      </c>
      <c r="AF170" s="176">
        <f>SUMIFS(tabela_registros[VALOR],tabela_registros[MÊS],$AE$1,tabela_registros[DIA],reservafixaconsolidado282933[[#Headers],[28]],tabela_registros[REGISTRO],DADOS!$N$6,tabela_registros[TIPO],DADOS!$AJ$3,tabela_registros[CATEGORIA],reservafixaconsolidado282933[[#This Row],[ATUAL]])</f>
        <v>0</v>
      </c>
      <c r="AG170" s="176">
        <f>SUMIFS(tabela_registros[VALOR],tabela_registros[MÊS],$AE$1,tabela_registros[DIA],reservafixaconsolidado282933[[#Headers],[29]],tabela_registros[REGISTRO],DADOS!$N$6,tabela_registros[TIPO],DADOS!$AJ$3,tabela_registros[CATEGORIA],reservafixaconsolidado282933[[#This Row],[ATUAL]])</f>
        <v>0</v>
      </c>
      <c r="AH170" s="176">
        <f>SUMIFS(tabela_registros[VALOR],tabela_registros[MÊS],$AE$1,tabela_registros[DIA],reservafixaconsolidado282933[[#Headers],[30]],tabela_registros[REGISTRO],DADOS!$N$6,tabela_registros[TIPO],DADOS!$AJ$3,tabela_registros[CATEGORIA],reservafixaconsolidado282933[[#This Row],[ATUAL]])</f>
        <v>0</v>
      </c>
      <c r="AI170" s="190">
        <f>SUMIFS(tabela_registros[VALOR],tabela_registros[MÊS],$AE$1,tabela_registros[DIA],reservafixaconsolidado282933[[#Headers],[31]],tabela_registros[REGISTRO],DADOS!$N$6,tabela_registros[TIPO],DADOS!$AJ$3,tabela_registros[CATEGORIA],reservafixaconsolidado282933[[#This Row],[ATUAL]])</f>
        <v>0</v>
      </c>
      <c r="AJ170" s="167">
        <f>SUM(reservafixaconsolidado282933[[#This Row],[1]:[31]])</f>
        <v>38</v>
      </c>
      <c r="AK170" s="25"/>
    </row>
    <row r="171" spans="2:37" ht="19.5" customHeight="1" thickTop="1" thickBot="1" x14ac:dyDescent="0.3">
      <c r="B171" s="28"/>
      <c r="C171" s="27" t="str">
        <f>DADOS!$AL$6</f>
        <v>📝 DEBÊNTURE</v>
      </c>
      <c r="D171" s="26" t="str">
        <f>IF(reservafixaconsolidado282933[[#This Row],[TOTAL (R$)]]=0,"",IF(OR(reservafixaconsolidado282933[[#This Row],[TOTAL (R$)]]=LARGE($AJ$168:$AJ$177,1),reservafixaconsolidado282933[[#This Row],[TOTAL (R$)]]=LARGE($AJ$168:$AJ$177,2)),DADOS!$I$11,""))</f>
        <v>🚑</v>
      </c>
      <c r="E171" s="189">
        <f>SUMIFS(tabela_registros[VALOR],tabela_registros[MÊS],$AE$1,tabela_registros[DIA],reservafixaconsolidado282933[[#Headers],[1]],tabela_registros[REGISTRO],DADOS!$N$6,tabela_registros[TIPO],DADOS!$AJ$3,tabela_registros[CATEGORIA],reservafixaconsolidado282933[[#This Row],[ATUAL]])</f>
        <v>0</v>
      </c>
      <c r="F171" s="176">
        <f>SUMIFS(tabela_registros[VALOR],tabela_registros[MÊS],$AE$1,tabela_registros[DIA],reservafixaconsolidado282933[[#Headers],[2]],tabela_registros[REGISTRO],DADOS!$N$6,tabela_registros[TIPO],DADOS!$AJ$3,tabela_registros[CATEGORIA],reservafixaconsolidado282933[[#This Row],[ATUAL]])</f>
        <v>0</v>
      </c>
      <c r="G171" s="176">
        <f>SUMIFS(tabela_registros[VALOR],tabela_registros[MÊS],$AE$1,tabela_registros[DIA],reservafixaconsolidado282933[[#Headers],[3]],tabela_registros[REGISTRO],DADOS!$N$6,tabela_registros[TIPO],DADOS!$AJ$3,tabela_registros[CATEGORIA],reservafixaconsolidado282933[[#This Row],[ATUAL]])</f>
        <v>0</v>
      </c>
      <c r="H171" s="176">
        <f>SUMIFS(tabela_registros[VALOR],tabela_registros[MÊS],$AE$1,tabela_registros[DIA],reservafixaconsolidado282933[[#Headers],[4]],tabela_registros[REGISTRO],DADOS!$N$6,tabela_registros[TIPO],DADOS!$AJ$3,tabela_registros[CATEGORIA],reservafixaconsolidado282933[[#This Row],[ATUAL]])</f>
        <v>0</v>
      </c>
      <c r="I171" s="176">
        <f>SUMIFS(tabela_registros[VALOR],tabela_registros[MÊS],$AE$1,tabela_registros[DIA],reservafixaconsolidado282933[[#Headers],[5]],tabela_registros[REGISTRO],DADOS!$N$6,tabela_registros[TIPO],DADOS!$AJ$3,tabela_registros[CATEGORIA],reservafixaconsolidado282933[[#This Row],[ATUAL]])</f>
        <v>0</v>
      </c>
      <c r="J171" s="176">
        <f>SUMIFS(tabela_registros[VALOR],tabela_registros[MÊS],$AE$1,tabela_registros[DIA],reservafixaconsolidado282933[[#Headers],[6]],tabela_registros[REGISTRO],DADOS!$N$6,tabela_registros[TIPO],DADOS!$AJ$3,tabela_registros[CATEGORIA],reservafixaconsolidado282933[[#This Row],[ATUAL]])</f>
        <v>0</v>
      </c>
      <c r="K171" s="176">
        <f>SUMIFS(tabela_registros[VALOR],tabela_registros[MÊS],$AE$1,tabela_registros[DIA],reservafixaconsolidado282933[[#Headers],[7]],tabela_registros[REGISTRO],DADOS!$N$6,tabela_registros[TIPO],DADOS!$AJ$3,tabela_registros[CATEGORIA],reservafixaconsolidado282933[[#This Row],[ATUAL]])</f>
        <v>0</v>
      </c>
      <c r="L171" s="176">
        <f>SUMIFS(tabela_registros[VALOR],tabela_registros[MÊS],$AE$1,tabela_registros[DIA],reservafixaconsolidado282933[[#Headers],[8]],tabela_registros[REGISTRO],DADOS!$N$6,tabela_registros[TIPO],DADOS!$AJ$3,tabela_registros[CATEGORIA],reservafixaconsolidado282933[[#This Row],[ATUAL]])</f>
        <v>0</v>
      </c>
      <c r="M171" s="176">
        <f>SUMIFS(tabela_registros[VALOR],tabela_registros[MÊS],$AE$1,tabela_registros[DIA],reservafixaconsolidado282933[[#Headers],[9]],tabela_registros[REGISTRO],DADOS!$N$6,tabela_registros[TIPO],DADOS!$AJ$3,tabela_registros[CATEGORIA],reservafixaconsolidado282933[[#This Row],[ATUAL]])</f>
        <v>0</v>
      </c>
      <c r="N171" s="176">
        <f>SUMIFS(tabela_registros[VALOR],tabela_registros[MÊS],$AE$1,tabela_registros[DIA],reservafixaconsolidado282933[[#Headers],[10]],tabela_registros[REGISTRO],DADOS!$N$6,tabela_registros[TIPO],DADOS!$AJ$3,tabela_registros[CATEGORIA],reservafixaconsolidado282933[[#This Row],[ATUAL]])</f>
        <v>0</v>
      </c>
      <c r="O171" s="176">
        <f>SUMIFS(tabela_registros[VALOR],tabela_registros[MÊS],$AE$1,tabela_registros[DIA],reservafixaconsolidado282933[[#Headers],[11]],tabela_registros[REGISTRO],DADOS!$N$6,tabela_registros[TIPO],DADOS!$AJ$3,tabela_registros[CATEGORIA],reservafixaconsolidado282933[[#This Row],[ATUAL]])</f>
        <v>0</v>
      </c>
      <c r="P171" s="176">
        <f>SUMIFS(tabela_registros[VALOR],tabela_registros[MÊS],$AE$1,tabela_registros[DIA],reservafixaconsolidado282933[[#Headers],[12]],tabela_registros[REGISTRO],DADOS!$N$6,tabela_registros[TIPO],DADOS!$AJ$3,tabela_registros[CATEGORIA],reservafixaconsolidado282933[[#This Row],[ATUAL]])</f>
        <v>0</v>
      </c>
      <c r="Q171" s="176">
        <f>SUMIFS(tabela_registros[VALOR],tabela_registros[MÊS],$AE$1,tabela_registros[DIA],reservafixaconsolidado282933[[#Headers],[13]],tabela_registros[REGISTRO],DADOS!$N$6,tabela_registros[TIPO],DADOS!$AJ$3,tabela_registros[CATEGORIA],reservafixaconsolidado282933[[#This Row],[ATUAL]])</f>
        <v>0</v>
      </c>
      <c r="R171" s="176">
        <f>SUMIFS(tabela_registros[VALOR],tabela_registros[MÊS],$AE$1,tabela_registros[DIA],reservafixaconsolidado282933[[#Headers],[14]],tabela_registros[REGISTRO],DADOS!$N$6,tabela_registros[TIPO],DADOS!$AJ$3,tabela_registros[CATEGORIA],reservafixaconsolidado282933[[#This Row],[ATUAL]])</f>
        <v>0</v>
      </c>
      <c r="S171" s="176">
        <f>SUMIFS(tabela_registros[VALOR],tabela_registros[MÊS],$AE$1,tabela_registros[DIA],reservafixaconsolidado282933[[#Headers],[15]],tabela_registros[REGISTRO],DADOS!$N$6,tabela_registros[TIPO],DADOS!$AJ$3,tabela_registros[CATEGORIA],reservafixaconsolidado282933[[#This Row],[ATUAL]])</f>
        <v>0</v>
      </c>
      <c r="T171" s="176">
        <f>SUMIFS(tabela_registros[VALOR],tabela_registros[MÊS],$AE$1,tabela_registros[DIA],reservafixaconsolidado282933[[#Headers],[16]],tabela_registros[REGISTRO],DADOS!$N$6,tabela_registros[TIPO],DADOS!$AJ$3,tabela_registros[CATEGORIA],reservafixaconsolidado282933[[#This Row],[ATUAL]])</f>
        <v>0</v>
      </c>
      <c r="U171" s="176">
        <f>SUMIFS(tabela_registros[VALOR],tabela_registros[MÊS],$AE$1,tabela_registros[DIA],reservafixaconsolidado282933[[#Headers],[17]],tabela_registros[REGISTRO],DADOS!$N$6,tabela_registros[TIPO],DADOS!$AJ$3,tabela_registros[CATEGORIA],reservafixaconsolidado282933[[#This Row],[ATUAL]])</f>
        <v>0</v>
      </c>
      <c r="V171" s="176">
        <f>SUMIFS(tabela_registros[VALOR],tabela_registros[MÊS],$AE$1,tabela_registros[DIA],reservafixaconsolidado282933[[#Headers],[18]],tabela_registros[REGISTRO],DADOS!$N$6,tabela_registros[TIPO],DADOS!$AJ$3,tabela_registros[CATEGORIA],reservafixaconsolidado282933[[#This Row],[ATUAL]])</f>
        <v>0</v>
      </c>
      <c r="W171" s="176">
        <f>SUMIFS(tabela_registros[VALOR],tabela_registros[MÊS],$AE$1,tabela_registros[DIA],reservafixaconsolidado282933[[#Headers],[19]],tabela_registros[REGISTRO],DADOS!$N$6,tabela_registros[TIPO],DADOS!$AJ$3,tabela_registros[CATEGORIA],reservafixaconsolidado282933[[#This Row],[ATUAL]])</f>
        <v>0</v>
      </c>
      <c r="X171" s="176">
        <f>SUMIFS(tabela_registros[VALOR],tabela_registros[MÊS],$AE$1,tabela_registros[DIA],reservafixaconsolidado282933[[#Headers],[20]],tabela_registros[REGISTRO],DADOS!$N$6,tabela_registros[TIPO],DADOS!$AJ$3,tabela_registros[CATEGORIA],reservafixaconsolidado282933[[#This Row],[ATUAL]])</f>
        <v>0</v>
      </c>
      <c r="Y171" s="176">
        <f>SUMIFS(tabela_registros[VALOR],tabela_registros[MÊS],$AE$1,tabela_registros[DIA],reservafixaconsolidado282933[[#Headers],[21]],tabela_registros[REGISTRO],DADOS!$N$6,tabela_registros[TIPO],DADOS!$AJ$3,tabela_registros[CATEGORIA],reservafixaconsolidado282933[[#This Row],[ATUAL]])</f>
        <v>0</v>
      </c>
      <c r="Z171" s="176">
        <f>SUMIFS(tabela_registros[VALOR],tabela_registros[MÊS],$AE$1,tabela_registros[DIA],reservafixaconsolidado282933[[#Headers],[22]],tabela_registros[REGISTRO],DADOS!$N$6,tabela_registros[TIPO],DADOS!$AJ$3,tabela_registros[CATEGORIA],reservafixaconsolidado282933[[#This Row],[ATUAL]])</f>
        <v>0</v>
      </c>
      <c r="AA171" s="176">
        <f>SUMIFS(tabela_registros[VALOR],tabela_registros[MÊS],$AE$1,tabela_registros[DIA],reservafixaconsolidado282933[[#Headers],[23]],tabela_registros[REGISTRO],DADOS!$N$6,tabela_registros[TIPO],DADOS!$AJ$3,tabela_registros[CATEGORIA],reservafixaconsolidado282933[[#This Row],[ATUAL]])</f>
        <v>0</v>
      </c>
      <c r="AB171" s="176">
        <f>SUMIFS(tabela_registros[VALOR],tabela_registros[MÊS],$AE$1,tabela_registros[DIA],reservafixaconsolidado282933[[#Headers],[24]],tabela_registros[REGISTRO],DADOS!$N$6,tabela_registros[TIPO],DADOS!$AJ$3,tabela_registros[CATEGORIA],reservafixaconsolidado282933[[#This Row],[ATUAL]])</f>
        <v>211</v>
      </c>
      <c r="AC171" s="176">
        <f>SUMIFS(tabela_registros[VALOR],tabela_registros[MÊS],$AE$1,tabela_registros[DIA],reservafixaconsolidado282933[[#Headers],[25]],tabela_registros[REGISTRO],DADOS!$N$6,tabela_registros[TIPO],DADOS!$AJ$3,tabela_registros[CATEGORIA],reservafixaconsolidado282933[[#This Row],[ATUAL]])</f>
        <v>0</v>
      </c>
      <c r="AD171" s="176">
        <f>SUMIFS(tabela_registros[VALOR],tabela_registros[MÊS],$AE$1,tabela_registros[DIA],reservafixaconsolidado282933[[#Headers],[26]],tabela_registros[REGISTRO],DADOS!$N$6,tabela_registros[TIPO],DADOS!$AJ$3,tabela_registros[CATEGORIA],reservafixaconsolidado282933[[#This Row],[ATUAL]])</f>
        <v>0</v>
      </c>
      <c r="AE171" s="176">
        <f>SUMIFS(tabela_registros[VALOR],tabela_registros[MÊS],$AE$1,tabela_registros[DIA],reservafixaconsolidado282933[[#Headers],[27]],tabela_registros[REGISTRO],DADOS!$N$6,tabela_registros[TIPO],DADOS!$AJ$3,tabela_registros[CATEGORIA],reservafixaconsolidado282933[[#This Row],[ATUAL]])</f>
        <v>0</v>
      </c>
      <c r="AF171" s="176">
        <f>SUMIFS(tabela_registros[VALOR],tabela_registros[MÊS],$AE$1,tabela_registros[DIA],reservafixaconsolidado282933[[#Headers],[28]],tabela_registros[REGISTRO],DADOS!$N$6,tabela_registros[TIPO],DADOS!$AJ$3,tabela_registros[CATEGORIA],reservafixaconsolidado282933[[#This Row],[ATUAL]])</f>
        <v>0</v>
      </c>
      <c r="AG171" s="176">
        <f>SUMIFS(tabela_registros[VALOR],tabela_registros[MÊS],$AE$1,tabela_registros[DIA],reservafixaconsolidado282933[[#Headers],[29]],tabela_registros[REGISTRO],DADOS!$N$6,tabela_registros[TIPO],DADOS!$AJ$3,tabela_registros[CATEGORIA],reservafixaconsolidado282933[[#This Row],[ATUAL]])</f>
        <v>0</v>
      </c>
      <c r="AH171" s="176">
        <f>SUMIFS(tabela_registros[VALOR],tabela_registros[MÊS],$AE$1,tabela_registros[DIA],reservafixaconsolidado282933[[#Headers],[30]],tabela_registros[REGISTRO],DADOS!$N$6,tabela_registros[TIPO],DADOS!$AJ$3,tabela_registros[CATEGORIA],reservafixaconsolidado282933[[#This Row],[ATUAL]])</f>
        <v>0</v>
      </c>
      <c r="AI171" s="190">
        <f>SUMIFS(tabela_registros[VALOR],tabela_registros[MÊS],$AE$1,tabela_registros[DIA],reservafixaconsolidado282933[[#Headers],[31]],tabela_registros[REGISTRO],DADOS!$N$6,tabela_registros[TIPO],DADOS!$AJ$3,tabela_registros[CATEGORIA],reservafixaconsolidado282933[[#This Row],[ATUAL]])</f>
        <v>0</v>
      </c>
      <c r="AJ171" s="167">
        <f>SUM(reservafixaconsolidado282933[[#This Row],[1]:[31]])</f>
        <v>211</v>
      </c>
      <c r="AK171" s="25"/>
    </row>
    <row r="172" spans="2:37" ht="19.5" customHeight="1" thickTop="1" thickBot="1" x14ac:dyDescent="0.3">
      <c r="B172" s="28"/>
      <c r="C172" s="27" t="str">
        <f>DADOS!$AL$7</f>
        <v>📝 EXTERIOR</v>
      </c>
      <c r="D172" s="26" t="str">
        <f>IF(reservafixaconsolidado282933[[#This Row],[TOTAL (R$)]]=0,"",IF(OR(reservafixaconsolidado282933[[#This Row],[TOTAL (R$)]]=LARGE($AJ$168:$AJ$177,1),reservafixaconsolidado282933[[#This Row],[TOTAL (R$)]]=LARGE($AJ$168:$AJ$177,2)),DADOS!$I$11,""))</f>
        <v/>
      </c>
      <c r="E172" s="189">
        <f>SUMIFS(tabela_registros[VALOR],tabela_registros[MÊS],$AE$1,tabela_registros[DIA],reservafixaconsolidado282933[[#Headers],[1]],tabela_registros[REGISTRO],DADOS!$N$6,tabela_registros[TIPO],DADOS!$AJ$3,tabela_registros[CATEGORIA],reservafixaconsolidado282933[[#This Row],[ATUAL]])</f>
        <v>0</v>
      </c>
      <c r="F172" s="176">
        <f>SUMIFS(tabela_registros[VALOR],tabela_registros[MÊS],$AE$1,tabela_registros[DIA],reservafixaconsolidado282933[[#Headers],[2]],tabela_registros[REGISTRO],DADOS!$N$6,tabela_registros[TIPO],DADOS!$AJ$3,tabela_registros[CATEGORIA],reservafixaconsolidado282933[[#This Row],[ATUAL]])</f>
        <v>0</v>
      </c>
      <c r="G172" s="176">
        <f>SUMIFS(tabela_registros[VALOR],tabela_registros[MÊS],$AE$1,tabela_registros[DIA],reservafixaconsolidado282933[[#Headers],[3]],tabela_registros[REGISTRO],DADOS!$N$6,tabela_registros[TIPO],DADOS!$AJ$3,tabela_registros[CATEGORIA],reservafixaconsolidado282933[[#This Row],[ATUAL]])</f>
        <v>0</v>
      </c>
      <c r="H172" s="176">
        <f>SUMIFS(tabela_registros[VALOR],tabela_registros[MÊS],$AE$1,tabela_registros[DIA],reservafixaconsolidado282933[[#Headers],[4]],tabela_registros[REGISTRO],DADOS!$N$6,tabela_registros[TIPO],DADOS!$AJ$3,tabela_registros[CATEGORIA],reservafixaconsolidado282933[[#This Row],[ATUAL]])</f>
        <v>0</v>
      </c>
      <c r="I172" s="176">
        <f>SUMIFS(tabela_registros[VALOR],tabela_registros[MÊS],$AE$1,tabela_registros[DIA],reservafixaconsolidado282933[[#Headers],[5]],tabela_registros[REGISTRO],DADOS!$N$6,tabela_registros[TIPO],DADOS!$AJ$3,tabela_registros[CATEGORIA],reservafixaconsolidado282933[[#This Row],[ATUAL]])</f>
        <v>0</v>
      </c>
      <c r="J172" s="176">
        <f>SUMIFS(tabela_registros[VALOR],tabela_registros[MÊS],$AE$1,tabela_registros[DIA],reservafixaconsolidado282933[[#Headers],[6]],tabela_registros[REGISTRO],DADOS!$N$6,tabela_registros[TIPO],DADOS!$AJ$3,tabela_registros[CATEGORIA],reservafixaconsolidado282933[[#This Row],[ATUAL]])</f>
        <v>0</v>
      </c>
      <c r="K172" s="176">
        <f>SUMIFS(tabela_registros[VALOR],tabela_registros[MÊS],$AE$1,tabela_registros[DIA],reservafixaconsolidado282933[[#Headers],[7]],tabela_registros[REGISTRO],DADOS!$N$6,tabela_registros[TIPO],DADOS!$AJ$3,tabela_registros[CATEGORIA],reservafixaconsolidado282933[[#This Row],[ATUAL]])</f>
        <v>0</v>
      </c>
      <c r="L172" s="176">
        <f>SUMIFS(tabela_registros[VALOR],tabela_registros[MÊS],$AE$1,tabela_registros[DIA],reservafixaconsolidado282933[[#Headers],[8]],tabela_registros[REGISTRO],DADOS!$N$6,tabela_registros[TIPO],DADOS!$AJ$3,tabela_registros[CATEGORIA],reservafixaconsolidado282933[[#This Row],[ATUAL]])</f>
        <v>0</v>
      </c>
      <c r="M172" s="176">
        <f>SUMIFS(tabela_registros[VALOR],tabela_registros[MÊS],$AE$1,tabela_registros[DIA],reservafixaconsolidado282933[[#Headers],[9]],tabela_registros[REGISTRO],DADOS!$N$6,tabela_registros[TIPO],DADOS!$AJ$3,tabela_registros[CATEGORIA],reservafixaconsolidado282933[[#This Row],[ATUAL]])</f>
        <v>0</v>
      </c>
      <c r="N172" s="176">
        <f>SUMIFS(tabela_registros[VALOR],tabela_registros[MÊS],$AE$1,tabela_registros[DIA],reservafixaconsolidado282933[[#Headers],[10]],tabela_registros[REGISTRO],DADOS!$N$6,tabela_registros[TIPO],DADOS!$AJ$3,tabela_registros[CATEGORIA],reservafixaconsolidado282933[[#This Row],[ATUAL]])</f>
        <v>0</v>
      </c>
      <c r="O172" s="176">
        <f>SUMIFS(tabela_registros[VALOR],tabela_registros[MÊS],$AE$1,tabela_registros[DIA],reservafixaconsolidado282933[[#Headers],[11]],tabela_registros[REGISTRO],DADOS!$N$6,tabela_registros[TIPO],DADOS!$AJ$3,tabela_registros[CATEGORIA],reservafixaconsolidado282933[[#This Row],[ATUAL]])</f>
        <v>0</v>
      </c>
      <c r="P172" s="176">
        <f>SUMIFS(tabela_registros[VALOR],tabela_registros[MÊS],$AE$1,tabela_registros[DIA],reservafixaconsolidado282933[[#Headers],[12]],tabela_registros[REGISTRO],DADOS!$N$6,tabela_registros[TIPO],DADOS!$AJ$3,tabela_registros[CATEGORIA],reservafixaconsolidado282933[[#This Row],[ATUAL]])</f>
        <v>0</v>
      </c>
      <c r="Q172" s="176">
        <f>SUMIFS(tabela_registros[VALOR],tabela_registros[MÊS],$AE$1,tabela_registros[DIA],reservafixaconsolidado282933[[#Headers],[13]],tabela_registros[REGISTRO],DADOS!$N$6,tabela_registros[TIPO],DADOS!$AJ$3,tabela_registros[CATEGORIA],reservafixaconsolidado282933[[#This Row],[ATUAL]])</f>
        <v>0</v>
      </c>
      <c r="R172" s="176">
        <f>SUMIFS(tabela_registros[VALOR],tabela_registros[MÊS],$AE$1,tabela_registros[DIA],reservafixaconsolidado282933[[#Headers],[14]],tabela_registros[REGISTRO],DADOS!$N$6,tabela_registros[TIPO],DADOS!$AJ$3,tabela_registros[CATEGORIA],reservafixaconsolidado282933[[#This Row],[ATUAL]])</f>
        <v>0</v>
      </c>
      <c r="S172" s="176">
        <f>SUMIFS(tabela_registros[VALOR],tabela_registros[MÊS],$AE$1,tabela_registros[DIA],reservafixaconsolidado282933[[#Headers],[15]],tabela_registros[REGISTRO],DADOS!$N$6,tabela_registros[TIPO],DADOS!$AJ$3,tabela_registros[CATEGORIA],reservafixaconsolidado282933[[#This Row],[ATUAL]])</f>
        <v>0</v>
      </c>
      <c r="T172" s="176">
        <f>SUMIFS(tabela_registros[VALOR],tabela_registros[MÊS],$AE$1,tabela_registros[DIA],reservafixaconsolidado282933[[#Headers],[16]],tabela_registros[REGISTRO],DADOS!$N$6,tabela_registros[TIPO],DADOS!$AJ$3,tabela_registros[CATEGORIA],reservafixaconsolidado282933[[#This Row],[ATUAL]])</f>
        <v>0</v>
      </c>
      <c r="U172" s="176">
        <f>SUMIFS(tabela_registros[VALOR],tabela_registros[MÊS],$AE$1,tabela_registros[DIA],reservafixaconsolidado282933[[#Headers],[17]],tabela_registros[REGISTRO],DADOS!$N$6,tabela_registros[TIPO],DADOS!$AJ$3,tabela_registros[CATEGORIA],reservafixaconsolidado282933[[#This Row],[ATUAL]])</f>
        <v>0</v>
      </c>
      <c r="V172" s="176">
        <f>SUMIFS(tabela_registros[VALOR],tabela_registros[MÊS],$AE$1,tabela_registros[DIA],reservafixaconsolidado282933[[#Headers],[18]],tabela_registros[REGISTRO],DADOS!$N$6,tabela_registros[TIPO],DADOS!$AJ$3,tabela_registros[CATEGORIA],reservafixaconsolidado282933[[#This Row],[ATUAL]])</f>
        <v>0</v>
      </c>
      <c r="W172" s="176">
        <f>SUMIFS(tabela_registros[VALOR],tabela_registros[MÊS],$AE$1,tabela_registros[DIA],reservafixaconsolidado282933[[#Headers],[19]],tabela_registros[REGISTRO],DADOS!$N$6,tabela_registros[TIPO],DADOS!$AJ$3,tabela_registros[CATEGORIA],reservafixaconsolidado282933[[#This Row],[ATUAL]])</f>
        <v>0</v>
      </c>
      <c r="X172" s="176">
        <f>SUMIFS(tabela_registros[VALOR],tabela_registros[MÊS],$AE$1,tabela_registros[DIA],reservafixaconsolidado282933[[#Headers],[20]],tabela_registros[REGISTRO],DADOS!$N$6,tabela_registros[TIPO],DADOS!$AJ$3,tabela_registros[CATEGORIA],reservafixaconsolidado282933[[#This Row],[ATUAL]])</f>
        <v>0</v>
      </c>
      <c r="Y172" s="176">
        <f>SUMIFS(tabela_registros[VALOR],tabela_registros[MÊS],$AE$1,tabela_registros[DIA],reservafixaconsolidado282933[[#Headers],[21]],tabela_registros[REGISTRO],DADOS!$N$6,tabela_registros[TIPO],DADOS!$AJ$3,tabela_registros[CATEGORIA],reservafixaconsolidado282933[[#This Row],[ATUAL]])</f>
        <v>0</v>
      </c>
      <c r="Z172" s="176">
        <f>SUMIFS(tabela_registros[VALOR],tabela_registros[MÊS],$AE$1,tabela_registros[DIA],reservafixaconsolidado282933[[#Headers],[22]],tabela_registros[REGISTRO],DADOS!$N$6,tabela_registros[TIPO],DADOS!$AJ$3,tabela_registros[CATEGORIA],reservafixaconsolidado282933[[#This Row],[ATUAL]])</f>
        <v>0</v>
      </c>
      <c r="AA172" s="176">
        <f>SUMIFS(tabela_registros[VALOR],tabela_registros[MÊS],$AE$1,tabela_registros[DIA],reservafixaconsolidado282933[[#Headers],[23]],tabela_registros[REGISTRO],DADOS!$N$6,tabela_registros[TIPO],DADOS!$AJ$3,tabela_registros[CATEGORIA],reservafixaconsolidado282933[[#This Row],[ATUAL]])</f>
        <v>0</v>
      </c>
      <c r="AB172" s="176">
        <f>SUMIFS(tabela_registros[VALOR],tabela_registros[MÊS],$AE$1,tabela_registros[DIA],reservafixaconsolidado282933[[#Headers],[24]],tabela_registros[REGISTRO],DADOS!$N$6,tabela_registros[TIPO],DADOS!$AJ$3,tabela_registros[CATEGORIA],reservafixaconsolidado282933[[#This Row],[ATUAL]])</f>
        <v>0</v>
      </c>
      <c r="AC172" s="176">
        <f>SUMIFS(tabela_registros[VALOR],tabela_registros[MÊS],$AE$1,tabela_registros[DIA],reservafixaconsolidado282933[[#Headers],[25]],tabela_registros[REGISTRO],DADOS!$N$6,tabela_registros[TIPO],DADOS!$AJ$3,tabela_registros[CATEGORIA],reservafixaconsolidado282933[[#This Row],[ATUAL]])</f>
        <v>0</v>
      </c>
      <c r="AD172" s="176">
        <f>SUMIFS(tabela_registros[VALOR],tabela_registros[MÊS],$AE$1,tabela_registros[DIA],reservafixaconsolidado282933[[#Headers],[26]],tabela_registros[REGISTRO],DADOS!$N$6,tabela_registros[TIPO],DADOS!$AJ$3,tabela_registros[CATEGORIA],reservafixaconsolidado282933[[#This Row],[ATUAL]])</f>
        <v>0</v>
      </c>
      <c r="AE172" s="176">
        <f>SUMIFS(tabela_registros[VALOR],tabela_registros[MÊS],$AE$1,tabela_registros[DIA],reservafixaconsolidado282933[[#Headers],[27]],tabela_registros[REGISTRO],DADOS!$N$6,tabela_registros[TIPO],DADOS!$AJ$3,tabela_registros[CATEGORIA],reservafixaconsolidado282933[[#This Row],[ATUAL]])</f>
        <v>0</v>
      </c>
      <c r="AF172" s="176">
        <f>SUMIFS(tabela_registros[VALOR],tabela_registros[MÊS],$AE$1,tabela_registros[DIA],reservafixaconsolidado282933[[#Headers],[28]],tabela_registros[REGISTRO],DADOS!$N$6,tabela_registros[TIPO],DADOS!$AJ$3,tabela_registros[CATEGORIA],reservafixaconsolidado282933[[#This Row],[ATUAL]])</f>
        <v>0</v>
      </c>
      <c r="AG172" s="176">
        <f>SUMIFS(tabela_registros[VALOR],tabela_registros[MÊS],$AE$1,tabela_registros[DIA],reservafixaconsolidado282933[[#Headers],[29]],tabela_registros[REGISTRO],DADOS!$N$6,tabela_registros[TIPO],DADOS!$AJ$3,tabela_registros[CATEGORIA],reservafixaconsolidado282933[[#This Row],[ATUAL]])</f>
        <v>0</v>
      </c>
      <c r="AH172" s="176">
        <f>SUMIFS(tabela_registros[VALOR],tabela_registros[MÊS],$AE$1,tabela_registros[DIA],reservafixaconsolidado282933[[#Headers],[30]],tabela_registros[REGISTRO],DADOS!$N$6,tabela_registros[TIPO],DADOS!$AJ$3,tabela_registros[CATEGORIA],reservafixaconsolidado282933[[#This Row],[ATUAL]])</f>
        <v>0</v>
      </c>
      <c r="AI172" s="190">
        <f>SUMIFS(tabela_registros[VALOR],tabela_registros[MÊS],$AE$1,tabela_registros[DIA],reservafixaconsolidado282933[[#Headers],[31]],tabela_registros[REGISTRO],DADOS!$N$6,tabela_registros[TIPO],DADOS!$AJ$3,tabela_registros[CATEGORIA],reservafixaconsolidado282933[[#This Row],[ATUAL]])</f>
        <v>0</v>
      </c>
      <c r="AJ172" s="167">
        <f>SUM(reservafixaconsolidado282933[[#This Row],[1]:[31]])</f>
        <v>0</v>
      </c>
      <c r="AK172" s="25"/>
    </row>
    <row r="173" spans="2:37" ht="19.5" customHeight="1" thickTop="1" thickBot="1" x14ac:dyDescent="0.3">
      <c r="B173" s="28"/>
      <c r="C173" s="27" t="str">
        <f>DADOS!$AL$8</f>
        <v>📝 LC</v>
      </c>
      <c r="D173" s="26" t="str">
        <f>IF(reservafixaconsolidado282933[[#This Row],[TOTAL (R$)]]=0,"",IF(OR(reservafixaconsolidado282933[[#This Row],[TOTAL (R$)]]=LARGE($AJ$168:$AJ$177,1),reservafixaconsolidado282933[[#This Row],[TOTAL (R$)]]=LARGE($AJ$168:$AJ$177,2)),DADOS!$I$11,""))</f>
        <v/>
      </c>
      <c r="E173" s="189">
        <f>SUMIFS(tabela_registros[VALOR],tabela_registros[MÊS],$AE$1,tabela_registros[DIA],reservafixaconsolidado282933[[#Headers],[1]],tabela_registros[REGISTRO],DADOS!$N$6,tabela_registros[TIPO],DADOS!$AJ$3,tabela_registros[CATEGORIA],reservafixaconsolidado282933[[#This Row],[ATUAL]])</f>
        <v>0</v>
      </c>
      <c r="F173" s="176">
        <f>SUMIFS(tabela_registros[VALOR],tabela_registros[MÊS],$AE$1,tabela_registros[DIA],reservafixaconsolidado282933[[#Headers],[2]],tabela_registros[REGISTRO],DADOS!$N$6,tabela_registros[TIPO],DADOS!$AJ$3,tabela_registros[CATEGORIA],reservafixaconsolidado282933[[#This Row],[ATUAL]])</f>
        <v>0</v>
      </c>
      <c r="G173" s="176">
        <f>SUMIFS(tabela_registros[VALOR],tabela_registros[MÊS],$AE$1,tabela_registros[DIA],reservafixaconsolidado282933[[#Headers],[3]],tabela_registros[REGISTRO],DADOS!$N$6,tabela_registros[TIPO],DADOS!$AJ$3,tabela_registros[CATEGORIA],reservafixaconsolidado282933[[#This Row],[ATUAL]])</f>
        <v>0</v>
      </c>
      <c r="H173" s="176">
        <f>SUMIFS(tabela_registros[VALOR],tabela_registros[MÊS],$AE$1,tabela_registros[DIA],reservafixaconsolidado282933[[#Headers],[4]],tabela_registros[REGISTRO],DADOS!$N$6,tabela_registros[TIPO],DADOS!$AJ$3,tabela_registros[CATEGORIA],reservafixaconsolidado282933[[#This Row],[ATUAL]])</f>
        <v>0</v>
      </c>
      <c r="I173" s="176">
        <f>SUMIFS(tabela_registros[VALOR],tabela_registros[MÊS],$AE$1,tabela_registros[DIA],reservafixaconsolidado282933[[#Headers],[5]],tabela_registros[REGISTRO],DADOS!$N$6,tabela_registros[TIPO],DADOS!$AJ$3,tabela_registros[CATEGORIA],reservafixaconsolidado282933[[#This Row],[ATUAL]])</f>
        <v>0</v>
      </c>
      <c r="J173" s="176">
        <f>SUMIFS(tabela_registros[VALOR],tabela_registros[MÊS],$AE$1,tabela_registros[DIA],reservafixaconsolidado282933[[#Headers],[6]],tabela_registros[REGISTRO],DADOS!$N$6,tabela_registros[TIPO],DADOS!$AJ$3,tabela_registros[CATEGORIA],reservafixaconsolidado282933[[#This Row],[ATUAL]])</f>
        <v>0</v>
      </c>
      <c r="K173" s="176">
        <f>SUMIFS(tabela_registros[VALOR],tabela_registros[MÊS],$AE$1,tabela_registros[DIA],reservafixaconsolidado282933[[#Headers],[7]],tabela_registros[REGISTRO],DADOS!$N$6,tabela_registros[TIPO],DADOS!$AJ$3,tabela_registros[CATEGORIA],reservafixaconsolidado282933[[#This Row],[ATUAL]])</f>
        <v>0</v>
      </c>
      <c r="L173" s="176">
        <f>SUMIFS(tabela_registros[VALOR],tabela_registros[MÊS],$AE$1,tabela_registros[DIA],reservafixaconsolidado282933[[#Headers],[8]],tabela_registros[REGISTRO],DADOS!$N$6,tabela_registros[TIPO],DADOS!$AJ$3,tabela_registros[CATEGORIA],reservafixaconsolidado282933[[#This Row],[ATUAL]])</f>
        <v>0</v>
      </c>
      <c r="M173" s="176">
        <f>SUMIFS(tabela_registros[VALOR],tabela_registros[MÊS],$AE$1,tabela_registros[DIA],reservafixaconsolidado282933[[#Headers],[9]],tabela_registros[REGISTRO],DADOS!$N$6,tabela_registros[TIPO],DADOS!$AJ$3,tabela_registros[CATEGORIA],reservafixaconsolidado282933[[#This Row],[ATUAL]])</f>
        <v>0</v>
      </c>
      <c r="N173" s="176">
        <f>SUMIFS(tabela_registros[VALOR],tabela_registros[MÊS],$AE$1,tabela_registros[DIA],reservafixaconsolidado282933[[#Headers],[10]],tabela_registros[REGISTRO],DADOS!$N$6,tabela_registros[TIPO],DADOS!$AJ$3,tabela_registros[CATEGORIA],reservafixaconsolidado282933[[#This Row],[ATUAL]])</f>
        <v>0</v>
      </c>
      <c r="O173" s="176">
        <f>SUMIFS(tabela_registros[VALOR],tabela_registros[MÊS],$AE$1,tabela_registros[DIA],reservafixaconsolidado282933[[#Headers],[11]],tabela_registros[REGISTRO],DADOS!$N$6,tabela_registros[TIPO],DADOS!$AJ$3,tabela_registros[CATEGORIA],reservafixaconsolidado282933[[#This Row],[ATUAL]])</f>
        <v>0</v>
      </c>
      <c r="P173" s="176">
        <f>SUMIFS(tabela_registros[VALOR],tabela_registros[MÊS],$AE$1,tabela_registros[DIA],reservafixaconsolidado282933[[#Headers],[12]],tabela_registros[REGISTRO],DADOS!$N$6,tabela_registros[TIPO],DADOS!$AJ$3,tabela_registros[CATEGORIA],reservafixaconsolidado282933[[#This Row],[ATUAL]])</f>
        <v>0</v>
      </c>
      <c r="Q173" s="176">
        <f>SUMIFS(tabela_registros[VALOR],tabela_registros[MÊS],$AE$1,tabela_registros[DIA],reservafixaconsolidado282933[[#Headers],[13]],tabela_registros[REGISTRO],DADOS!$N$6,tabela_registros[TIPO],DADOS!$AJ$3,tabela_registros[CATEGORIA],reservafixaconsolidado282933[[#This Row],[ATUAL]])</f>
        <v>0</v>
      </c>
      <c r="R173" s="176">
        <f>SUMIFS(tabela_registros[VALOR],tabela_registros[MÊS],$AE$1,tabela_registros[DIA],reservafixaconsolidado282933[[#Headers],[14]],tabela_registros[REGISTRO],DADOS!$N$6,tabela_registros[TIPO],DADOS!$AJ$3,tabela_registros[CATEGORIA],reservafixaconsolidado282933[[#This Row],[ATUAL]])</f>
        <v>0</v>
      </c>
      <c r="S173" s="176">
        <f>SUMIFS(tabela_registros[VALOR],tabela_registros[MÊS],$AE$1,tabela_registros[DIA],reservafixaconsolidado282933[[#Headers],[15]],tabela_registros[REGISTRO],DADOS!$N$6,tabela_registros[TIPO],DADOS!$AJ$3,tabela_registros[CATEGORIA],reservafixaconsolidado282933[[#This Row],[ATUAL]])</f>
        <v>0</v>
      </c>
      <c r="T173" s="176">
        <f>SUMIFS(tabela_registros[VALOR],tabela_registros[MÊS],$AE$1,tabela_registros[DIA],reservafixaconsolidado282933[[#Headers],[16]],tabela_registros[REGISTRO],DADOS!$N$6,tabela_registros[TIPO],DADOS!$AJ$3,tabela_registros[CATEGORIA],reservafixaconsolidado282933[[#This Row],[ATUAL]])</f>
        <v>0</v>
      </c>
      <c r="U173" s="176">
        <f>SUMIFS(tabela_registros[VALOR],tabela_registros[MÊS],$AE$1,tabela_registros[DIA],reservafixaconsolidado282933[[#Headers],[17]],tabela_registros[REGISTRO],DADOS!$N$6,tabela_registros[TIPO],DADOS!$AJ$3,tabela_registros[CATEGORIA],reservafixaconsolidado282933[[#This Row],[ATUAL]])</f>
        <v>0</v>
      </c>
      <c r="V173" s="176">
        <f>SUMIFS(tabela_registros[VALOR],tabela_registros[MÊS],$AE$1,tabela_registros[DIA],reservafixaconsolidado282933[[#Headers],[18]],tabela_registros[REGISTRO],DADOS!$N$6,tabela_registros[TIPO],DADOS!$AJ$3,tabela_registros[CATEGORIA],reservafixaconsolidado282933[[#This Row],[ATUAL]])</f>
        <v>0</v>
      </c>
      <c r="W173" s="176">
        <f>SUMIFS(tabela_registros[VALOR],tabela_registros[MÊS],$AE$1,tabela_registros[DIA],reservafixaconsolidado282933[[#Headers],[19]],tabela_registros[REGISTRO],DADOS!$N$6,tabela_registros[TIPO],DADOS!$AJ$3,tabela_registros[CATEGORIA],reservafixaconsolidado282933[[#This Row],[ATUAL]])</f>
        <v>0</v>
      </c>
      <c r="X173" s="176">
        <f>SUMIFS(tabela_registros[VALOR],tabela_registros[MÊS],$AE$1,tabela_registros[DIA],reservafixaconsolidado282933[[#Headers],[20]],tabela_registros[REGISTRO],DADOS!$N$6,tabela_registros[TIPO],DADOS!$AJ$3,tabela_registros[CATEGORIA],reservafixaconsolidado282933[[#This Row],[ATUAL]])</f>
        <v>0</v>
      </c>
      <c r="Y173" s="176">
        <f>SUMIFS(tabela_registros[VALOR],tabela_registros[MÊS],$AE$1,tabela_registros[DIA],reservafixaconsolidado282933[[#Headers],[21]],tabela_registros[REGISTRO],DADOS!$N$6,tabela_registros[TIPO],DADOS!$AJ$3,tabela_registros[CATEGORIA],reservafixaconsolidado282933[[#This Row],[ATUAL]])</f>
        <v>0</v>
      </c>
      <c r="Z173" s="176">
        <f>SUMIFS(tabela_registros[VALOR],tabela_registros[MÊS],$AE$1,tabela_registros[DIA],reservafixaconsolidado282933[[#Headers],[22]],tabela_registros[REGISTRO],DADOS!$N$6,tabela_registros[TIPO],DADOS!$AJ$3,tabela_registros[CATEGORIA],reservafixaconsolidado282933[[#This Row],[ATUAL]])</f>
        <v>0</v>
      </c>
      <c r="AA173" s="176">
        <f>SUMIFS(tabela_registros[VALOR],tabela_registros[MÊS],$AE$1,tabela_registros[DIA],reservafixaconsolidado282933[[#Headers],[23]],tabela_registros[REGISTRO],DADOS!$N$6,tabela_registros[TIPO],DADOS!$AJ$3,tabela_registros[CATEGORIA],reservafixaconsolidado282933[[#This Row],[ATUAL]])</f>
        <v>0</v>
      </c>
      <c r="AB173" s="176">
        <f>SUMIFS(tabela_registros[VALOR],tabela_registros[MÊS],$AE$1,tabela_registros[DIA],reservafixaconsolidado282933[[#Headers],[24]],tabela_registros[REGISTRO],DADOS!$N$6,tabela_registros[TIPO],DADOS!$AJ$3,tabela_registros[CATEGORIA],reservafixaconsolidado282933[[#This Row],[ATUAL]])</f>
        <v>0</v>
      </c>
      <c r="AC173" s="176">
        <f>SUMIFS(tabela_registros[VALOR],tabela_registros[MÊS],$AE$1,tabela_registros[DIA],reservafixaconsolidado282933[[#Headers],[25]],tabela_registros[REGISTRO],DADOS!$N$6,tabela_registros[TIPO],DADOS!$AJ$3,tabela_registros[CATEGORIA],reservafixaconsolidado282933[[#This Row],[ATUAL]])</f>
        <v>0</v>
      </c>
      <c r="AD173" s="176">
        <f>SUMIFS(tabela_registros[VALOR],tabela_registros[MÊS],$AE$1,tabela_registros[DIA],reservafixaconsolidado282933[[#Headers],[26]],tabela_registros[REGISTRO],DADOS!$N$6,tabela_registros[TIPO],DADOS!$AJ$3,tabela_registros[CATEGORIA],reservafixaconsolidado282933[[#This Row],[ATUAL]])</f>
        <v>0</v>
      </c>
      <c r="AE173" s="176">
        <f>SUMIFS(tabela_registros[VALOR],tabela_registros[MÊS],$AE$1,tabela_registros[DIA],reservafixaconsolidado282933[[#Headers],[27]],tabela_registros[REGISTRO],DADOS!$N$6,tabela_registros[TIPO],DADOS!$AJ$3,tabela_registros[CATEGORIA],reservafixaconsolidado282933[[#This Row],[ATUAL]])</f>
        <v>0</v>
      </c>
      <c r="AF173" s="176">
        <f>SUMIFS(tabela_registros[VALOR],tabela_registros[MÊS],$AE$1,tabela_registros[DIA],reservafixaconsolidado282933[[#Headers],[28]],tabela_registros[REGISTRO],DADOS!$N$6,tabela_registros[TIPO],DADOS!$AJ$3,tabela_registros[CATEGORIA],reservafixaconsolidado282933[[#This Row],[ATUAL]])</f>
        <v>0</v>
      </c>
      <c r="AG173" s="176">
        <f>SUMIFS(tabela_registros[VALOR],tabela_registros[MÊS],$AE$1,tabela_registros[DIA],reservafixaconsolidado282933[[#Headers],[29]],tabela_registros[REGISTRO],DADOS!$N$6,tabela_registros[TIPO],DADOS!$AJ$3,tabela_registros[CATEGORIA],reservafixaconsolidado282933[[#This Row],[ATUAL]])</f>
        <v>0</v>
      </c>
      <c r="AH173" s="176">
        <f>SUMIFS(tabela_registros[VALOR],tabela_registros[MÊS],$AE$1,tabela_registros[DIA],reservafixaconsolidado282933[[#Headers],[30]],tabela_registros[REGISTRO],DADOS!$N$6,tabela_registros[TIPO],DADOS!$AJ$3,tabela_registros[CATEGORIA],reservafixaconsolidado282933[[#This Row],[ATUAL]])</f>
        <v>0</v>
      </c>
      <c r="AI173" s="190">
        <f>SUMIFS(tabela_registros[VALOR],tabela_registros[MÊS],$AE$1,tabela_registros[DIA],reservafixaconsolidado282933[[#Headers],[31]],tabela_registros[REGISTRO],DADOS!$N$6,tabela_registros[TIPO],DADOS!$AJ$3,tabela_registros[CATEGORIA],reservafixaconsolidado282933[[#This Row],[ATUAL]])</f>
        <v>0</v>
      </c>
      <c r="AJ173" s="167">
        <f>SUM(reservafixaconsolidado282933[[#This Row],[1]:[31]])</f>
        <v>0</v>
      </c>
      <c r="AK173" s="25"/>
    </row>
    <row r="174" spans="2:37" ht="19.5" customHeight="1" thickTop="1" thickBot="1" x14ac:dyDescent="0.3">
      <c r="B174" s="28"/>
      <c r="C174" s="27" t="str">
        <f>DADOS!$AL$9</f>
        <v>📝 LCA</v>
      </c>
      <c r="D174" s="26" t="str">
        <f>IF(reservafixaconsolidado282933[[#This Row],[TOTAL (R$)]]=0,"",IF(OR(reservafixaconsolidado282933[[#This Row],[TOTAL (R$)]]=LARGE($AJ$168:$AJ$177,1),reservafixaconsolidado282933[[#This Row],[TOTAL (R$)]]=LARGE($AJ$168:$AJ$177,2)),DADOS!$I$11,""))</f>
        <v/>
      </c>
      <c r="E174" s="189">
        <f>SUMIFS(tabela_registros[VALOR],tabela_registros[MÊS],$AE$1,tabela_registros[DIA],reservafixaconsolidado282933[[#Headers],[1]],tabela_registros[REGISTRO],DADOS!$N$6,tabela_registros[TIPO],DADOS!$AJ$3,tabela_registros[CATEGORIA],reservafixaconsolidado282933[[#This Row],[ATUAL]])</f>
        <v>0</v>
      </c>
      <c r="F174" s="176">
        <f>SUMIFS(tabela_registros[VALOR],tabela_registros[MÊS],$AE$1,tabela_registros[DIA],reservafixaconsolidado282933[[#Headers],[2]],tabela_registros[REGISTRO],DADOS!$N$6,tabela_registros[TIPO],DADOS!$AJ$3,tabela_registros[CATEGORIA],reservafixaconsolidado282933[[#This Row],[ATUAL]])</f>
        <v>0</v>
      </c>
      <c r="G174" s="176">
        <f>SUMIFS(tabela_registros[VALOR],tabela_registros[MÊS],$AE$1,tabela_registros[DIA],reservafixaconsolidado282933[[#Headers],[3]],tabela_registros[REGISTRO],DADOS!$N$6,tabela_registros[TIPO],DADOS!$AJ$3,tabela_registros[CATEGORIA],reservafixaconsolidado282933[[#This Row],[ATUAL]])</f>
        <v>0</v>
      </c>
      <c r="H174" s="176">
        <f>SUMIFS(tabela_registros[VALOR],tabela_registros[MÊS],$AE$1,tabela_registros[DIA],reservafixaconsolidado282933[[#Headers],[4]],tabela_registros[REGISTRO],DADOS!$N$6,tabela_registros[TIPO],DADOS!$AJ$3,tabela_registros[CATEGORIA],reservafixaconsolidado282933[[#This Row],[ATUAL]])</f>
        <v>0</v>
      </c>
      <c r="I174" s="176">
        <f>SUMIFS(tabela_registros[VALOR],tabela_registros[MÊS],$AE$1,tabela_registros[DIA],reservafixaconsolidado282933[[#Headers],[5]],tabela_registros[REGISTRO],DADOS!$N$6,tabela_registros[TIPO],DADOS!$AJ$3,tabela_registros[CATEGORIA],reservafixaconsolidado282933[[#This Row],[ATUAL]])</f>
        <v>0</v>
      </c>
      <c r="J174" s="176">
        <f>SUMIFS(tabela_registros[VALOR],tabela_registros[MÊS],$AE$1,tabela_registros[DIA],reservafixaconsolidado282933[[#Headers],[6]],tabela_registros[REGISTRO],DADOS!$N$6,tabela_registros[TIPO],DADOS!$AJ$3,tabela_registros[CATEGORIA],reservafixaconsolidado282933[[#This Row],[ATUAL]])</f>
        <v>0</v>
      </c>
      <c r="K174" s="176">
        <f>SUMIFS(tabela_registros[VALOR],tabela_registros[MÊS],$AE$1,tabela_registros[DIA],reservafixaconsolidado282933[[#Headers],[7]],tabela_registros[REGISTRO],DADOS!$N$6,tabela_registros[TIPO],DADOS!$AJ$3,tabela_registros[CATEGORIA],reservafixaconsolidado282933[[#This Row],[ATUAL]])</f>
        <v>0</v>
      </c>
      <c r="L174" s="176">
        <f>SUMIFS(tabela_registros[VALOR],tabela_registros[MÊS],$AE$1,tabela_registros[DIA],reservafixaconsolidado282933[[#Headers],[8]],tabela_registros[REGISTRO],DADOS!$N$6,tabela_registros[TIPO],DADOS!$AJ$3,tabela_registros[CATEGORIA],reservafixaconsolidado282933[[#This Row],[ATUAL]])</f>
        <v>0</v>
      </c>
      <c r="M174" s="176">
        <f>SUMIFS(tabela_registros[VALOR],tabela_registros[MÊS],$AE$1,tabela_registros[DIA],reservafixaconsolidado282933[[#Headers],[9]],tabela_registros[REGISTRO],DADOS!$N$6,tabela_registros[TIPO],DADOS!$AJ$3,tabela_registros[CATEGORIA],reservafixaconsolidado282933[[#This Row],[ATUAL]])</f>
        <v>0</v>
      </c>
      <c r="N174" s="176">
        <f>SUMIFS(tabela_registros[VALOR],tabela_registros[MÊS],$AE$1,tabela_registros[DIA],reservafixaconsolidado282933[[#Headers],[10]],tabela_registros[REGISTRO],DADOS!$N$6,tabela_registros[TIPO],DADOS!$AJ$3,tabela_registros[CATEGORIA],reservafixaconsolidado282933[[#This Row],[ATUAL]])</f>
        <v>0</v>
      </c>
      <c r="O174" s="176">
        <f>SUMIFS(tabela_registros[VALOR],tabela_registros[MÊS],$AE$1,tabela_registros[DIA],reservafixaconsolidado282933[[#Headers],[11]],tabela_registros[REGISTRO],DADOS!$N$6,tabela_registros[TIPO],DADOS!$AJ$3,tabela_registros[CATEGORIA],reservafixaconsolidado282933[[#This Row],[ATUAL]])</f>
        <v>0</v>
      </c>
      <c r="P174" s="176">
        <f>SUMIFS(tabela_registros[VALOR],tabela_registros[MÊS],$AE$1,tabela_registros[DIA],reservafixaconsolidado282933[[#Headers],[12]],tabela_registros[REGISTRO],DADOS!$N$6,tabela_registros[TIPO],DADOS!$AJ$3,tabela_registros[CATEGORIA],reservafixaconsolidado282933[[#This Row],[ATUAL]])</f>
        <v>0</v>
      </c>
      <c r="Q174" s="176">
        <f>SUMIFS(tabela_registros[VALOR],tabela_registros[MÊS],$AE$1,tabela_registros[DIA],reservafixaconsolidado282933[[#Headers],[13]],tabela_registros[REGISTRO],DADOS!$N$6,tabela_registros[TIPO],DADOS!$AJ$3,tabela_registros[CATEGORIA],reservafixaconsolidado282933[[#This Row],[ATUAL]])</f>
        <v>0</v>
      </c>
      <c r="R174" s="176">
        <f>SUMIFS(tabela_registros[VALOR],tabela_registros[MÊS],$AE$1,tabela_registros[DIA],reservafixaconsolidado282933[[#Headers],[14]],tabela_registros[REGISTRO],DADOS!$N$6,tabela_registros[TIPO],DADOS!$AJ$3,tabela_registros[CATEGORIA],reservafixaconsolidado282933[[#This Row],[ATUAL]])</f>
        <v>0</v>
      </c>
      <c r="S174" s="176">
        <f>SUMIFS(tabela_registros[VALOR],tabela_registros[MÊS],$AE$1,tabela_registros[DIA],reservafixaconsolidado282933[[#Headers],[15]],tabela_registros[REGISTRO],DADOS!$N$6,tabela_registros[TIPO],DADOS!$AJ$3,tabela_registros[CATEGORIA],reservafixaconsolidado282933[[#This Row],[ATUAL]])</f>
        <v>0</v>
      </c>
      <c r="T174" s="176">
        <f>SUMIFS(tabela_registros[VALOR],tabela_registros[MÊS],$AE$1,tabela_registros[DIA],reservafixaconsolidado282933[[#Headers],[16]],tabela_registros[REGISTRO],DADOS!$N$6,tabela_registros[TIPO],DADOS!$AJ$3,tabela_registros[CATEGORIA],reservafixaconsolidado282933[[#This Row],[ATUAL]])</f>
        <v>0</v>
      </c>
      <c r="U174" s="176">
        <f>SUMIFS(tabela_registros[VALOR],tabela_registros[MÊS],$AE$1,tabela_registros[DIA],reservafixaconsolidado282933[[#Headers],[17]],tabela_registros[REGISTRO],DADOS!$N$6,tabela_registros[TIPO],DADOS!$AJ$3,tabela_registros[CATEGORIA],reservafixaconsolidado282933[[#This Row],[ATUAL]])</f>
        <v>0</v>
      </c>
      <c r="V174" s="176">
        <f>SUMIFS(tabela_registros[VALOR],tabela_registros[MÊS],$AE$1,tabela_registros[DIA],reservafixaconsolidado282933[[#Headers],[18]],tabela_registros[REGISTRO],DADOS!$N$6,tabela_registros[TIPO],DADOS!$AJ$3,tabela_registros[CATEGORIA],reservafixaconsolidado282933[[#This Row],[ATUAL]])</f>
        <v>0</v>
      </c>
      <c r="W174" s="176">
        <f>SUMIFS(tabela_registros[VALOR],tabela_registros[MÊS],$AE$1,tabela_registros[DIA],reservafixaconsolidado282933[[#Headers],[19]],tabela_registros[REGISTRO],DADOS!$N$6,tabela_registros[TIPO],DADOS!$AJ$3,tabela_registros[CATEGORIA],reservafixaconsolidado282933[[#This Row],[ATUAL]])</f>
        <v>0</v>
      </c>
      <c r="X174" s="176">
        <f>SUMIFS(tabela_registros[VALOR],tabela_registros[MÊS],$AE$1,tabela_registros[DIA],reservafixaconsolidado282933[[#Headers],[20]],tabela_registros[REGISTRO],DADOS!$N$6,tabela_registros[TIPO],DADOS!$AJ$3,tabela_registros[CATEGORIA],reservafixaconsolidado282933[[#This Row],[ATUAL]])</f>
        <v>0</v>
      </c>
      <c r="Y174" s="176">
        <f>SUMIFS(tabela_registros[VALOR],tabela_registros[MÊS],$AE$1,tabela_registros[DIA],reservafixaconsolidado282933[[#Headers],[21]],tabela_registros[REGISTRO],DADOS!$N$6,tabela_registros[TIPO],DADOS!$AJ$3,tabela_registros[CATEGORIA],reservafixaconsolidado282933[[#This Row],[ATUAL]])</f>
        <v>0</v>
      </c>
      <c r="Z174" s="176">
        <f>SUMIFS(tabela_registros[VALOR],tabela_registros[MÊS],$AE$1,tabela_registros[DIA],reservafixaconsolidado282933[[#Headers],[22]],tabela_registros[REGISTRO],DADOS!$N$6,tabela_registros[TIPO],DADOS!$AJ$3,tabela_registros[CATEGORIA],reservafixaconsolidado282933[[#This Row],[ATUAL]])</f>
        <v>0</v>
      </c>
      <c r="AA174" s="176">
        <f>SUMIFS(tabela_registros[VALOR],tabela_registros[MÊS],$AE$1,tabela_registros[DIA],reservafixaconsolidado282933[[#Headers],[23]],tabela_registros[REGISTRO],DADOS!$N$6,tabela_registros[TIPO],DADOS!$AJ$3,tabela_registros[CATEGORIA],reservafixaconsolidado282933[[#This Row],[ATUAL]])</f>
        <v>0</v>
      </c>
      <c r="AB174" s="176">
        <f>SUMIFS(tabela_registros[VALOR],tabela_registros[MÊS],$AE$1,tabela_registros[DIA],reservafixaconsolidado282933[[#Headers],[24]],tabela_registros[REGISTRO],DADOS!$N$6,tabela_registros[TIPO],DADOS!$AJ$3,tabela_registros[CATEGORIA],reservafixaconsolidado282933[[#This Row],[ATUAL]])</f>
        <v>0</v>
      </c>
      <c r="AC174" s="176">
        <f>SUMIFS(tabela_registros[VALOR],tabela_registros[MÊS],$AE$1,tabela_registros[DIA],reservafixaconsolidado282933[[#Headers],[25]],tabela_registros[REGISTRO],DADOS!$N$6,tabela_registros[TIPO],DADOS!$AJ$3,tabela_registros[CATEGORIA],reservafixaconsolidado282933[[#This Row],[ATUAL]])</f>
        <v>0</v>
      </c>
      <c r="AD174" s="176">
        <f>SUMIFS(tabela_registros[VALOR],tabela_registros[MÊS],$AE$1,tabela_registros[DIA],reservafixaconsolidado282933[[#Headers],[26]],tabela_registros[REGISTRO],DADOS!$N$6,tabela_registros[TIPO],DADOS!$AJ$3,tabela_registros[CATEGORIA],reservafixaconsolidado282933[[#This Row],[ATUAL]])</f>
        <v>0</v>
      </c>
      <c r="AE174" s="176">
        <f>SUMIFS(tabela_registros[VALOR],tabela_registros[MÊS],$AE$1,tabela_registros[DIA],reservafixaconsolidado282933[[#Headers],[27]],tabela_registros[REGISTRO],DADOS!$N$6,tabela_registros[TIPO],DADOS!$AJ$3,tabela_registros[CATEGORIA],reservafixaconsolidado282933[[#This Row],[ATUAL]])</f>
        <v>0</v>
      </c>
      <c r="AF174" s="176">
        <f>SUMIFS(tabela_registros[VALOR],tabela_registros[MÊS],$AE$1,tabela_registros[DIA],reservafixaconsolidado282933[[#Headers],[28]],tabela_registros[REGISTRO],DADOS!$N$6,tabela_registros[TIPO],DADOS!$AJ$3,tabela_registros[CATEGORIA],reservafixaconsolidado282933[[#This Row],[ATUAL]])</f>
        <v>0</v>
      </c>
      <c r="AG174" s="176">
        <f>SUMIFS(tabela_registros[VALOR],tabela_registros[MÊS],$AE$1,tabela_registros[DIA],reservafixaconsolidado282933[[#Headers],[29]],tabela_registros[REGISTRO],DADOS!$N$6,tabela_registros[TIPO],DADOS!$AJ$3,tabela_registros[CATEGORIA],reservafixaconsolidado282933[[#This Row],[ATUAL]])</f>
        <v>0</v>
      </c>
      <c r="AH174" s="176">
        <f>SUMIFS(tabela_registros[VALOR],tabela_registros[MÊS],$AE$1,tabela_registros[DIA],reservafixaconsolidado282933[[#Headers],[30]],tabela_registros[REGISTRO],DADOS!$N$6,tabela_registros[TIPO],DADOS!$AJ$3,tabela_registros[CATEGORIA],reservafixaconsolidado282933[[#This Row],[ATUAL]])</f>
        <v>0</v>
      </c>
      <c r="AI174" s="190">
        <f>SUMIFS(tabela_registros[VALOR],tabela_registros[MÊS],$AE$1,tabela_registros[DIA],reservafixaconsolidado282933[[#Headers],[31]],tabela_registros[REGISTRO],DADOS!$N$6,tabela_registros[TIPO],DADOS!$AJ$3,tabela_registros[CATEGORIA],reservafixaconsolidado282933[[#This Row],[ATUAL]])</f>
        <v>0</v>
      </c>
      <c r="AJ174" s="167">
        <f>SUM(reservafixaconsolidado282933[[#This Row],[1]:[31]])</f>
        <v>0</v>
      </c>
      <c r="AK174" s="25"/>
    </row>
    <row r="175" spans="2:37" ht="19.5" customHeight="1" thickTop="1" thickBot="1" x14ac:dyDescent="0.3">
      <c r="B175" s="28"/>
      <c r="C175" s="27" t="str">
        <f>DADOS!$AL$10</f>
        <v>📝 LCI</v>
      </c>
      <c r="D175" s="26" t="str">
        <f>IF(reservafixaconsolidado282933[[#This Row],[TOTAL (R$)]]=0,"",IF(OR(reservafixaconsolidado282933[[#This Row],[TOTAL (R$)]]=LARGE($AJ$168:$AJ$177,1),reservafixaconsolidado282933[[#This Row],[TOTAL (R$)]]=LARGE($AJ$168:$AJ$177,2)),DADOS!$I$11,""))</f>
        <v/>
      </c>
      <c r="E175" s="189">
        <f>SUMIFS(tabela_registros[VALOR],tabela_registros[MÊS],$AE$1,tabela_registros[DIA],reservafixaconsolidado282933[[#Headers],[1]],tabela_registros[REGISTRO],DADOS!$N$6,tabela_registros[TIPO],DADOS!$AJ$3,tabela_registros[CATEGORIA],reservafixaconsolidado282933[[#This Row],[ATUAL]])</f>
        <v>0</v>
      </c>
      <c r="F175" s="176">
        <f>SUMIFS(tabela_registros[VALOR],tabela_registros[MÊS],$AE$1,tabela_registros[DIA],reservafixaconsolidado282933[[#Headers],[2]],tabela_registros[REGISTRO],DADOS!$N$6,tabela_registros[TIPO],DADOS!$AJ$3,tabela_registros[CATEGORIA],reservafixaconsolidado282933[[#This Row],[ATUAL]])</f>
        <v>0</v>
      </c>
      <c r="G175" s="176">
        <f>SUMIFS(tabela_registros[VALOR],tabela_registros[MÊS],$AE$1,tabela_registros[DIA],reservafixaconsolidado282933[[#Headers],[3]],tabela_registros[REGISTRO],DADOS!$N$6,tabela_registros[TIPO],DADOS!$AJ$3,tabela_registros[CATEGORIA],reservafixaconsolidado282933[[#This Row],[ATUAL]])</f>
        <v>0</v>
      </c>
      <c r="H175" s="176">
        <f>SUMIFS(tabela_registros[VALOR],tabela_registros[MÊS],$AE$1,tabela_registros[DIA],reservafixaconsolidado282933[[#Headers],[4]],tabela_registros[REGISTRO],DADOS!$N$6,tabela_registros[TIPO],DADOS!$AJ$3,tabela_registros[CATEGORIA],reservafixaconsolidado282933[[#This Row],[ATUAL]])</f>
        <v>0</v>
      </c>
      <c r="I175" s="176">
        <f>SUMIFS(tabela_registros[VALOR],tabela_registros[MÊS],$AE$1,tabela_registros[DIA],reservafixaconsolidado282933[[#Headers],[5]],tabela_registros[REGISTRO],DADOS!$N$6,tabela_registros[TIPO],DADOS!$AJ$3,tabela_registros[CATEGORIA],reservafixaconsolidado282933[[#This Row],[ATUAL]])</f>
        <v>0</v>
      </c>
      <c r="J175" s="176">
        <f>SUMIFS(tabela_registros[VALOR],tabela_registros[MÊS],$AE$1,tabela_registros[DIA],reservafixaconsolidado282933[[#Headers],[6]],tabela_registros[REGISTRO],DADOS!$N$6,tabela_registros[TIPO],DADOS!$AJ$3,tabela_registros[CATEGORIA],reservafixaconsolidado282933[[#This Row],[ATUAL]])</f>
        <v>0</v>
      </c>
      <c r="K175" s="176">
        <f>SUMIFS(tabela_registros[VALOR],tabela_registros[MÊS],$AE$1,tabela_registros[DIA],reservafixaconsolidado282933[[#Headers],[7]],tabela_registros[REGISTRO],DADOS!$N$6,tabela_registros[TIPO],DADOS!$AJ$3,tabela_registros[CATEGORIA],reservafixaconsolidado282933[[#This Row],[ATUAL]])</f>
        <v>0</v>
      </c>
      <c r="L175" s="176">
        <f>SUMIFS(tabela_registros[VALOR],tabela_registros[MÊS],$AE$1,tabela_registros[DIA],reservafixaconsolidado282933[[#Headers],[8]],tabela_registros[REGISTRO],DADOS!$N$6,tabela_registros[TIPO],DADOS!$AJ$3,tabela_registros[CATEGORIA],reservafixaconsolidado282933[[#This Row],[ATUAL]])</f>
        <v>0</v>
      </c>
      <c r="M175" s="176">
        <f>SUMIFS(tabela_registros[VALOR],tabela_registros[MÊS],$AE$1,tabela_registros[DIA],reservafixaconsolidado282933[[#Headers],[9]],tabela_registros[REGISTRO],DADOS!$N$6,tabela_registros[TIPO],DADOS!$AJ$3,tabela_registros[CATEGORIA],reservafixaconsolidado282933[[#This Row],[ATUAL]])</f>
        <v>0</v>
      </c>
      <c r="N175" s="176">
        <f>SUMIFS(tabela_registros[VALOR],tabela_registros[MÊS],$AE$1,tabela_registros[DIA],reservafixaconsolidado282933[[#Headers],[10]],tabela_registros[REGISTRO],DADOS!$N$6,tabela_registros[TIPO],DADOS!$AJ$3,tabela_registros[CATEGORIA],reservafixaconsolidado282933[[#This Row],[ATUAL]])</f>
        <v>0</v>
      </c>
      <c r="O175" s="176">
        <f>SUMIFS(tabela_registros[VALOR],tabela_registros[MÊS],$AE$1,tabela_registros[DIA],reservafixaconsolidado282933[[#Headers],[11]],tabela_registros[REGISTRO],DADOS!$N$6,tabela_registros[TIPO],DADOS!$AJ$3,tabela_registros[CATEGORIA],reservafixaconsolidado282933[[#This Row],[ATUAL]])</f>
        <v>0</v>
      </c>
      <c r="P175" s="176">
        <f>SUMIFS(tabela_registros[VALOR],tabela_registros[MÊS],$AE$1,tabela_registros[DIA],reservafixaconsolidado282933[[#Headers],[12]],tabela_registros[REGISTRO],DADOS!$N$6,tabela_registros[TIPO],DADOS!$AJ$3,tabela_registros[CATEGORIA],reservafixaconsolidado282933[[#This Row],[ATUAL]])</f>
        <v>0</v>
      </c>
      <c r="Q175" s="176">
        <f>SUMIFS(tabela_registros[VALOR],tabela_registros[MÊS],$AE$1,tabela_registros[DIA],reservafixaconsolidado282933[[#Headers],[13]],tabela_registros[REGISTRO],DADOS!$N$6,tabela_registros[TIPO],DADOS!$AJ$3,tabela_registros[CATEGORIA],reservafixaconsolidado282933[[#This Row],[ATUAL]])</f>
        <v>0</v>
      </c>
      <c r="R175" s="176">
        <f>SUMIFS(tabela_registros[VALOR],tabela_registros[MÊS],$AE$1,tabela_registros[DIA],reservafixaconsolidado282933[[#Headers],[14]],tabela_registros[REGISTRO],DADOS!$N$6,tabela_registros[TIPO],DADOS!$AJ$3,tabela_registros[CATEGORIA],reservafixaconsolidado282933[[#This Row],[ATUAL]])</f>
        <v>0</v>
      </c>
      <c r="S175" s="176">
        <f>SUMIFS(tabela_registros[VALOR],tabela_registros[MÊS],$AE$1,tabela_registros[DIA],reservafixaconsolidado282933[[#Headers],[15]],tabela_registros[REGISTRO],DADOS!$N$6,tabela_registros[TIPO],DADOS!$AJ$3,tabela_registros[CATEGORIA],reservafixaconsolidado282933[[#This Row],[ATUAL]])</f>
        <v>0</v>
      </c>
      <c r="T175" s="176">
        <f>SUMIFS(tabela_registros[VALOR],tabela_registros[MÊS],$AE$1,tabela_registros[DIA],reservafixaconsolidado282933[[#Headers],[16]],tabela_registros[REGISTRO],DADOS!$N$6,tabela_registros[TIPO],DADOS!$AJ$3,tabela_registros[CATEGORIA],reservafixaconsolidado282933[[#This Row],[ATUAL]])</f>
        <v>0</v>
      </c>
      <c r="U175" s="176">
        <f>SUMIFS(tabela_registros[VALOR],tabela_registros[MÊS],$AE$1,tabela_registros[DIA],reservafixaconsolidado282933[[#Headers],[17]],tabela_registros[REGISTRO],DADOS!$N$6,tabela_registros[TIPO],DADOS!$AJ$3,tabela_registros[CATEGORIA],reservafixaconsolidado282933[[#This Row],[ATUAL]])</f>
        <v>0</v>
      </c>
      <c r="V175" s="176">
        <f>SUMIFS(tabela_registros[VALOR],tabela_registros[MÊS],$AE$1,tabela_registros[DIA],reservafixaconsolidado282933[[#Headers],[18]],tabela_registros[REGISTRO],DADOS!$N$6,tabela_registros[TIPO],DADOS!$AJ$3,tabela_registros[CATEGORIA],reservafixaconsolidado282933[[#This Row],[ATUAL]])</f>
        <v>0</v>
      </c>
      <c r="W175" s="176">
        <f>SUMIFS(tabela_registros[VALOR],tabela_registros[MÊS],$AE$1,tabela_registros[DIA],reservafixaconsolidado282933[[#Headers],[19]],tabela_registros[REGISTRO],DADOS!$N$6,tabela_registros[TIPO],DADOS!$AJ$3,tabela_registros[CATEGORIA],reservafixaconsolidado282933[[#This Row],[ATUAL]])</f>
        <v>0</v>
      </c>
      <c r="X175" s="176">
        <f>SUMIFS(tabela_registros[VALOR],tabela_registros[MÊS],$AE$1,tabela_registros[DIA],reservafixaconsolidado282933[[#Headers],[20]],tabela_registros[REGISTRO],DADOS!$N$6,tabela_registros[TIPO],DADOS!$AJ$3,tabela_registros[CATEGORIA],reservafixaconsolidado282933[[#This Row],[ATUAL]])</f>
        <v>0</v>
      </c>
      <c r="Y175" s="176">
        <f>SUMIFS(tabela_registros[VALOR],tabela_registros[MÊS],$AE$1,tabela_registros[DIA],reservafixaconsolidado282933[[#Headers],[21]],tabela_registros[REGISTRO],DADOS!$N$6,tabela_registros[TIPO],DADOS!$AJ$3,tabela_registros[CATEGORIA],reservafixaconsolidado282933[[#This Row],[ATUAL]])</f>
        <v>0</v>
      </c>
      <c r="Z175" s="176">
        <f>SUMIFS(tabela_registros[VALOR],tabela_registros[MÊS],$AE$1,tabela_registros[DIA],reservafixaconsolidado282933[[#Headers],[22]],tabela_registros[REGISTRO],DADOS!$N$6,tabela_registros[TIPO],DADOS!$AJ$3,tabela_registros[CATEGORIA],reservafixaconsolidado282933[[#This Row],[ATUAL]])</f>
        <v>0</v>
      </c>
      <c r="AA175" s="176">
        <f>SUMIFS(tabela_registros[VALOR],tabela_registros[MÊS],$AE$1,tabela_registros[DIA],reservafixaconsolidado282933[[#Headers],[23]],tabela_registros[REGISTRO],DADOS!$N$6,tabela_registros[TIPO],DADOS!$AJ$3,tabela_registros[CATEGORIA],reservafixaconsolidado282933[[#This Row],[ATUAL]])</f>
        <v>0</v>
      </c>
      <c r="AB175" s="176">
        <f>SUMIFS(tabela_registros[VALOR],tabela_registros[MÊS],$AE$1,tabela_registros[DIA],reservafixaconsolidado282933[[#Headers],[24]],tabela_registros[REGISTRO],DADOS!$N$6,tabela_registros[TIPO],DADOS!$AJ$3,tabela_registros[CATEGORIA],reservafixaconsolidado282933[[#This Row],[ATUAL]])</f>
        <v>0</v>
      </c>
      <c r="AC175" s="176">
        <f>SUMIFS(tabela_registros[VALOR],tabela_registros[MÊS],$AE$1,tabela_registros[DIA],reservafixaconsolidado282933[[#Headers],[25]],tabela_registros[REGISTRO],DADOS!$N$6,tabela_registros[TIPO],DADOS!$AJ$3,tabela_registros[CATEGORIA],reservafixaconsolidado282933[[#This Row],[ATUAL]])</f>
        <v>0</v>
      </c>
      <c r="AD175" s="176">
        <f>SUMIFS(tabela_registros[VALOR],tabela_registros[MÊS],$AE$1,tabela_registros[DIA],reservafixaconsolidado282933[[#Headers],[26]],tabela_registros[REGISTRO],DADOS!$N$6,tabela_registros[TIPO],DADOS!$AJ$3,tabela_registros[CATEGORIA],reservafixaconsolidado282933[[#This Row],[ATUAL]])</f>
        <v>0</v>
      </c>
      <c r="AE175" s="176">
        <f>SUMIFS(tabela_registros[VALOR],tabela_registros[MÊS],$AE$1,tabela_registros[DIA],reservafixaconsolidado282933[[#Headers],[27]],tabela_registros[REGISTRO],DADOS!$N$6,tabela_registros[TIPO],DADOS!$AJ$3,tabela_registros[CATEGORIA],reservafixaconsolidado282933[[#This Row],[ATUAL]])</f>
        <v>0</v>
      </c>
      <c r="AF175" s="176">
        <f>SUMIFS(tabela_registros[VALOR],tabela_registros[MÊS],$AE$1,tabela_registros[DIA],reservafixaconsolidado282933[[#Headers],[28]],tabela_registros[REGISTRO],DADOS!$N$6,tabela_registros[TIPO],DADOS!$AJ$3,tabela_registros[CATEGORIA],reservafixaconsolidado282933[[#This Row],[ATUAL]])</f>
        <v>0</v>
      </c>
      <c r="AG175" s="176">
        <f>SUMIFS(tabela_registros[VALOR],tabela_registros[MÊS],$AE$1,tabela_registros[DIA],reservafixaconsolidado282933[[#Headers],[29]],tabela_registros[REGISTRO],DADOS!$N$6,tabela_registros[TIPO],DADOS!$AJ$3,tabela_registros[CATEGORIA],reservafixaconsolidado282933[[#This Row],[ATUAL]])</f>
        <v>0</v>
      </c>
      <c r="AH175" s="176">
        <f>SUMIFS(tabela_registros[VALOR],tabela_registros[MÊS],$AE$1,tabela_registros[DIA],reservafixaconsolidado282933[[#Headers],[30]],tabela_registros[REGISTRO],DADOS!$N$6,tabela_registros[TIPO],DADOS!$AJ$3,tabela_registros[CATEGORIA],reservafixaconsolidado282933[[#This Row],[ATUAL]])</f>
        <v>0</v>
      </c>
      <c r="AI175" s="190">
        <f>SUMIFS(tabela_registros[VALOR],tabela_registros[MÊS],$AE$1,tabela_registros[DIA],reservafixaconsolidado282933[[#Headers],[31]],tabela_registros[REGISTRO],DADOS!$N$6,tabela_registros[TIPO],DADOS!$AJ$3,tabela_registros[CATEGORIA],reservafixaconsolidado282933[[#This Row],[ATUAL]])</f>
        <v>0</v>
      </c>
      <c r="AJ175" s="167">
        <f>SUM(reservafixaconsolidado282933[[#This Row],[1]:[31]])</f>
        <v>0</v>
      </c>
      <c r="AK175" s="25"/>
    </row>
    <row r="176" spans="2:37" ht="19.5" customHeight="1" thickTop="1" thickBot="1" x14ac:dyDescent="0.3">
      <c r="B176" s="28"/>
      <c r="C176" s="27" t="str">
        <f>DADOS!$AL$11</f>
        <v>📝 TESOURO DIRETO</v>
      </c>
      <c r="D176" s="26" t="str">
        <f>IF(reservafixaconsolidado282933[[#This Row],[TOTAL (R$)]]=0,"",IF(OR(reservafixaconsolidado282933[[#This Row],[TOTAL (R$)]]=LARGE($AJ$168:$AJ$177,1),reservafixaconsolidado282933[[#This Row],[TOTAL (R$)]]=LARGE($AJ$168:$AJ$177,2)),DADOS!$I$11,""))</f>
        <v/>
      </c>
      <c r="E176" s="189">
        <f>SUMIFS(tabela_registros[VALOR],tabela_registros[MÊS],$AE$1,tabela_registros[DIA],reservafixaconsolidado282933[[#Headers],[1]],tabela_registros[REGISTRO],DADOS!$N$6,tabela_registros[TIPO],DADOS!$AJ$3,tabela_registros[CATEGORIA],reservafixaconsolidado282933[[#This Row],[ATUAL]])</f>
        <v>0</v>
      </c>
      <c r="F176" s="176">
        <f>SUMIFS(tabela_registros[VALOR],tabela_registros[MÊS],$AE$1,tabela_registros[DIA],reservafixaconsolidado282933[[#Headers],[2]],tabela_registros[REGISTRO],DADOS!$N$6,tabela_registros[TIPO],DADOS!$AJ$3,tabela_registros[CATEGORIA],reservafixaconsolidado282933[[#This Row],[ATUAL]])</f>
        <v>0</v>
      </c>
      <c r="G176" s="176">
        <f>SUMIFS(tabela_registros[VALOR],tabela_registros[MÊS],$AE$1,tabela_registros[DIA],reservafixaconsolidado282933[[#Headers],[3]],tabela_registros[REGISTRO],DADOS!$N$6,tabela_registros[TIPO],DADOS!$AJ$3,tabela_registros[CATEGORIA],reservafixaconsolidado282933[[#This Row],[ATUAL]])</f>
        <v>0</v>
      </c>
      <c r="H176" s="176">
        <f>SUMIFS(tabela_registros[VALOR],tabela_registros[MÊS],$AE$1,tabela_registros[DIA],reservafixaconsolidado282933[[#Headers],[4]],tabela_registros[REGISTRO],DADOS!$N$6,tabela_registros[TIPO],DADOS!$AJ$3,tabela_registros[CATEGORIA],reservafixaconsolidado282933[[#This Row],[ATUAL]])</f>
        <v>0</v>
      </c>
      <c r="I176" s="176">
        <f>SUMIFS(tabela_registros[VALOR],tabela_registros[MÊS],$AE$1,tabela_registros[DIA],reservafixaconsolidado282933[[#Headers],[5]],tabela_registros[REGISTRO],DADOS!$N$6,tabela_registros[TIPO],DADOS!$AJ$3,tabela_registros[CATEGORIA],reservafixaconsolidado282933[[#This Row],[ATUAL]])</f>
        <v>0</v>
      </c>
      <c r="J176" s="176">
        <f>SUMIFS(tabela_registros[VALOR],tabela_registros[MÊS],$AE$1,tabela_registros[DIA],reservafixaconsolidado282933[[#Headers],[6]],tabela_registros[REGISTRO],DADOS!$N$6,tabela_registros[TIPO],DADOS!$AJ$3,tabela_registros[CATEGORIA],reservafixaconsolidado282933[[#This Row],[ATUAL]])</f>
        <v>150</v>
      </c>
      <c r="K176" s="176">
        <f>SUMIFS(tabela_registros[VALOR],tabela_registros[MÊS],$AE$1,tabela_registros[DIA],reservafixaconsolidado282933[[#Headers],[7]],tabela_registros[REGISTRO],DADOS!$N$6,tabela_registros[TIPO],DADOS!$AJ$3,tabela_registros[CATEGORIA],reservafixaconsolidado282933[[#This Row],[ATUAL]])</f>
        <v>0</v>
      </c>
      <c r="L176" s="176">
        <f>SUMIFS(tabela_registros[VALOR],tabela_registros[MÊS],$AE$1,tabela_registros[DIA],reservafixaconsolidado282933[[#Headers],[8]],tabela_registros[REGISTRO],DADOS!$N$6,tabela_registros[TIPO],DADOS!$AJ$3,tabela_registros[CATEGORIA],reservafixaconsolidado282933[[#This Row],[ATUAL]])</f>
        <v>0</v>
      </c>
      <c r="M176" s="176">
        <f>SUMIFS(tabela_registros[VALOR],tabela_registros[MÊS],$AE$1,tabela_registros[DIA],reservafixaconsolidado282933[[#Headers],[9]],tabela_registros[REGISTRO],DADOS!$N$6,tabela_registros[TIPO],DADOS!$AJ$3,tabela_registros[CATEGORIA],reservafixaconsolidado282933[[#This Row],[ATUAL]])</f>
        <v>0</v>
      </c>
      <c r="N176" s="176">
        <f>SUMIFS(tabela_registros[VALOR],tabela_registros[MÊS],$AE$1,tabela_registros[DIA],reservafixaconsolidado282933[[#Headers],[10]],tabela_registros[REGISTRO],DADOS!$N$6,tabela_registros[TIPO],DADOS!$AJ$3,tabela_registros[CATEGORIA],reservafixaconsolidado282933[[#This Row],[ATUAL]])</f>
        <v>0</v>
      </c>
      <c r="O176" s="176">
        <f>SUMIFS(tabela_registros[VALOR],tabela_registros[MÊS],$AE$1,tabela_registros[DIA],reservafixaconsolidado282933[[#Headers],[11]],tabela_registros[REGISTRO],DADOS!$N$6,tabela_registros[TIPO],DADOS!$AJ$3,tabela_registros[CATEGORIA],reservafixaconsolidado282933[[#This Row],[ATUAL]])</f>
        <v>0</v>
      </c>
      <c r="P176" s="176">
        <f>SUMIFS(tabela_registros[VALOR],tabela_registros[MÊS],$AE$1,tabela_registros[DIA],reservafixaconsolidado282933[[#Headers],[12]],tabela_registros[REGISTRO],DADOS!$N$6,tabela_registros[TIPO],DADOS!$AJ$3,tabela_registros[CATEGORIA],reservafixaconsolidado282933[[#This Row],[ATUAL]])</f>
        <v>0</v>
      </c>
      <c r="Q176" s="176">
        <f>SUMIFS(tabela_registros[VALOR],tabela_registros[MÊS],$AE$1,tabela_registros[DIA],reservafixaconsolidado282933[[#Headers],[13]],tabela_registros[REGISTRO],DADOS!$N$6,tabela_registros[TIPO],DADOS!$AJ$3,tabela_registros[CATEGORIA],reservafixaconsolidado282933[[#This Row],[ATUAL]])</f>
        <v>0</v>
      </c>
      <c r="R176" s="176">
        <f>SUMIFS(tabela_registros[VALOR],tabela_registros[MÊS],$AE$1,tabela_registros[DIA],reservafixaconsolidado282933[[#Headers],[14]],tabela_registros[REGISTRO],DADOS!$N$6,tabela_registros[TIPO],DADOS!$AJ$3,tabela_registros[CATEGORIA],reservafixaconsolidado282933[[#This Row],[ATUAL]])</f>
        <v>0</v>
      </c>
      <c r="S176" s="176">
        <f>SUMIFS(tabela_registros[VALOR],tabela_registros[MÊS],$AE$1,tabela_registros[DIA],reservafixaconsolidado282933[[#Headers],[15]],tabela_registros[REGISTRO],DADOS!$N$6,tabela_registros[TIPO],DADOS!$AJ$3,tabela_registros[CATEGORIA],reservafixaconsolidado282933[[#This Row],[ATUAL]])</f>
        <v>0</v>
      </c>
      <c r="T176" s="176">
        <f>SUMIFS(tabela_registros[VALOR],tabela_registros[MÊS],$AE$1,tabela_registros[DIA],reservafixaconsolidado282933[[#Headers],[16]],tabela_registros[REGISTRO],DADOS!$N$6,tabela_registros[TIPO],DADOS!$AJ$3,tabela_registros[CATEGORIA],reservafixaconsolidado282933[[#This Row],[ATUAL]])</f>
        <v>0</v>
      </c>
      <c r="U176" s="176">
        <f>SUMIFS(tabela_registros[VALOR],tabela_registros[MÊS],$AE$1,tabela_registros[DIA],reservafixaconsolidado282933[[#Headers],[17]],tabela_registros[REGISTRO],DADOS!$N$6,tabela_registros[TIPO],DADOS!$AJ$3,tabela_registros[CATEGORIA],reservafixaconsolidado282933[[#This Row],[ATUAL]])</f>
        <v>0</v>
      </c>
      <c r="V176" s="176">
        <f>SUMIFS(tabela_registros[VALOR],tabela_registros[MÊS],$AE$1,tabela_registros[DIA],reservafixaconsolidado282933[[#Headers],[18]],tabela_registros[REGISTRO],DADOS!$N$6,tabela_registros[TIPO],DADOS!$AJ$3,tabela_registros[CATEGORIA],reservafixaconsolidado282933[[#This Row],[ATUAL]])</f>
        <v>0</v>
      </c>
      <c r="W176" s="176">
        <f>SUMIFS(tabela_registros[VALOR],tabela_registros[MÊS],$AE$1,tabela_registros[DIA],reservafixaconsolidado282933[[#Headers],[19]],tabela_registros[REGISTRO],DADOS!$N$6,tabela_registros[TIPO],DADOS!$AJ$3,tabela_registros[CATEGORIA],reservafixaconsolidado282933[[#This Row],[ATUAL]])</f>
        <v>0</v>
      </c>
      <c r="X176" s="176">
        <f>SUMIFS(tabela_registros[VALOR],tabela_registros[MÊS],$AE$1,tabela_registros[DIA],reservafixaconsolidado282933[[#Headers],[20]],tabela_registros[REGISTRO],DADOS!$N$6,tabela_registros[TIPO],DADOS!$AJ$3,tabela_registros[CATEGORIA],reservafixaconsolidado282933[[#This Row],[ATUAL]])</f>
        <v>0</v>
      </c>
      <c r="Y176" s="176">
        <f>SUMIFS(tabela_registros[VALOR],tabela_registros[MÊS],$AE$1,tabela_registros[DIA],reservafixaconsolidado282933[[#Headers],[21]],tabela_registros[REGISTRO],DADOS!$N$6,tabela_registros[TIPO],DADOS!$AJ$3,tabela_registros[CATEGORIA],reservafixaconsolidado282933[[#This Row],[ATUAL]])</f>
        <v>0</v>
      </c>
      <c r="Z176" s="176">
        <f>SUMIFS(tabela_registros[VALOR],tabela_registros[MÊS],$AE$1,tabela_registros[DIA],reservafixaconsolidado282933[[#Headers],[22]],tabela_registros[REGISTRO],DADOS!$N$6,tabela_registros[TIPO],DADOS!$AJ$3,tabela_registros[CATEGORIA],reservafixaconsolidado282933[[#This Row],[ATUAL]])</f>
        <v>0</v>
      </c>
      <c r="AA176" s="176">
        <f>SUMIFS(tabela_registros[VALOR],tabela_registros[MÊS],$AE$1,tabela_registros[DIA],reservafixaconsolidado282933[[#Headers],[23]],tabela_registros[REGISTRO],DADOS!$N$6,tabela_registros[TIPO],DADOS!$AJ$3,tabela_registros[CATEGORIA],reservafixaconsolidado282933[[#This Row],[ATUAL]])</f>
        <v>0</v>
      </c>
      <c r="AB176" s="176">
        <f>SUMIFS(tabela_registros[VALOR],tabela_registros[MÊS],$AE$1,tabela_registros[DIA],reservafixaconsolidado282933[[#Headers],[24]],tabela_registros[REGISTRO],DADOS!$N$6,tabela_registros[TIPO],DADOS!$AJ$3,tabela_registros[CATEGORIA],reservafixaconsolidado282933[[#This Row],[ATUAL]])</f>
        <v>0</v>
      </c>
      <c r="AC176" s="176">
        <f>SUMIFS(tabela_registros[VALOR],tabela_registros[MÊS],$AE$1,tabela_registros[DIA],reservafixaconsolidado282933[[#Headers],[25]],tabela_registros[REGISTRO],DADOS!$N$6,tabela_registros[TIPO],DADOS!$AJ$3,tabela_registros[CATEGORIA],reservafixaconsolidado282933[[#This Row],[ATUAL]])</f>
        <v>0</v>
      </c>
      <c r="AD176" s="176">
        <f>SUMIFS(tabela_registros[VALOR],tabela_registros[MÊS],$AE$1,tabela_registros[DIA],reservafixaconsolidado282933[[#Headers],[26]],tabela_registros[REGISTRO],DADOS!$N$6,tabela_registros[TIPO],DADOS!$AJ$3,tabela_registros[CATEGORIA],reservafixaconsolidado282933[[#This Row],[ATUAL]])</f>
        <v>0</v>
      </c>
      <c r="AE176" s="176">
        <f>SUMIFS(tabela_registros[VALOR],tabela_registros[MÊS],$AE$1,tabela_registros[DIA],reservafixaconsolidado282933[[#Headers],[27]],tabela_registros[REGISTRO],DADOS!$N$6,tabela_registros[TIPO],DADOS!$AJ$3,tabela_registros[CATEGORIA],reservafixaconsolidado282933[[#This Row],[ATUAL]])</f>
        <v>0</v>
      </c>
      <c r="AF176" s="176">
        <f>SUMIFS(tabela_registros[VALOR],tabela_registros[MÊS],$AE$1,tabela_registros[DIA],reservafixaconsolidado282933[[#Headers],[28]],tabela_registros[REGISTRO],DADOS!$N$6,tabela_registros[TIPO],DADOS!$AJ$3,tabela_registros[CATEGORIA],reservafixaconsolidado282933[[#This Row],[ATUAL]])</f>
        <v>0</v>
      </c>
      <c r="AG176" s="176">
        <f>SUMIFS(tabela_registros[VALOR],tabela_registros[MÊS],$AE$1,tabela_registros[DIA],reservafixaconsolidado282933[[#Headers],[29]],tabela_registros[REGISTRO],DADOS!$N$6,tabela_registros[TIPO],DADOS!$AJ$3,tabela_registros[CATEGORIA],reservafixaconsolidado282933[[#This Row],[ATUAL]])</f>
        <v>0</v>
      </c>
      <c r="AH176" s="176">
        <f>SUMIFS(tabela_registros[VALOR],tabela_registros[MÊS],$AE$1,tabela_registros[DIA],reservafixaconsolidado282933[[#Headers],[30]],tabela_registros[REGISTRO],DADOS!$N$6,tabela_registros[TIPO],DADOS!$AJ$3,tabela_registros[CATEGORIA],reservafixaconsolidado282933[[#This Row],[ATUAL]])</f>
        <v>0</v>
      </c>
      <c r="AI176" s="190">
        <f>SUMIFS(tabela_registros[VALOR],tabela_registros[MÊS],$AE$1,tabela_registros[DIA],reservafixaconsolidado282933[[#Headers],[31]],tabela_registros[REGISTRO],DADOS!$N$6,tabela_registros[TIPO],DADOS!$AJ$3,tabela_registros[CATEGORIA],reservafixaconsolidado282933[[#This Row],[ATUAL]])</f>
        <v>0</v>
      </c>
      <c r="AJ176" s="167">
        <f>SUM(reservafixaconsolidado282933[[#This Row],[1]:[31]])</f>
        <v>150</v>
      </c>
      <c r="AK176" s="25"/>
    </row>
    <row r="177" spans="2:37" ht="19.5" customHeight="1" thickTop="1" thickBot="1" x14ac:dyDescent="0.3">
      <c r="B177" s="28"/>
      <c r="C177" s="27" t="str">
        <f>DADOS!$AL$12</f>
        <v>📎 OUTROS</v>
      </c>
      <c r="D177" s="26" t="str">
        <f>IF(reservafixaconsolidado282933[[#This Row],[TOTAL (R$)]]=0,"",IF(OR(reservafixaconsolidado282933[[#This Row],[TOTAL (R$)]]=LARGE($AJ$168:$AJ$177,1),reservafixaconsolidado282933[[#This Row],[TOTAL (R$)]]=LARGE($AJ$168:$AJ$177,2)),DADOS!$I$11,""))</f>
        <v/>
      </c>
      <c r="E177" s="189">
        <f>SUMIFS(tabela_registros[VALOR],tabela_registros[MÊS],$AE$1,tabela_registros[DIA],reservafixaconsolidado282933[[#Headers],[1]],tabela_registros[REGISTRO],DADOS!$N$6,tabela_registros[TIPO],DADOS!$AJ$3,tabela_registros[CATEGORIA],reservafixaconsolidado282933[[#This Row],[ATUAL]])</f>
        <v>0</v>
      </c>
      <c r="F177" s="176">
        <f>SUMIFS(tabela_registros[VALOR],tabela_registros[MÊS],$AE$1,tabela_registros[DIA],reservafixaconsolidado282933[[#Headers],[2]],tabela_registros[REGISTRO],DADOS!$N$6,tabela_registros[TIPO],DADOS!$AJ$3,tabela_registros[CATEGORIA],reservafixaconsolidado282933[[#This Row],[ATUAL]])</f>
        <v>0</v>
      </c>
      <c r="G177" s="176">
        <f>SUMIFS(tabela_registros[VALOR],tabela_registros[MÊS],$AE$1,tabela_registros[DIA],reservafixaconsolidado282933[[#Headers],[3]],tabela_registros[REGISTRO],DADOS!$N$6,tabela_registros[TIPO],DADOS!$AJ$3,tabela_registros[CATEGORIA],reservafixaconsolidado282933[[#This Row],[ATUAL]])</f>
        <v>0</v>
      </c>
      <c r="H177" s="176">
        <f>SUMIFS(tabela_registros[VALOR],tabela_registros[MÊS],$AE$1,tabela_registros[DIA],reservafixaconsolidado282933[[#Headers],[4]],tabela_registros[REGISTRO],DADOS!$N$6,tabela_registros[TIPO],DADOS!$AJ$3,tabela_registros[CATEGORIA],reservafixaconsolidado282933[[#This Row],[ATUAL]])</f>
        <v>0</v>
      </c>
      <c r="I177" s="176">
        <f>SUMIFS(tabela_registros[VALOR],tabela_registros[MÊS],$AE$1,tabela_registros[DIA],reservafixaconsolidado282933[[#Headers],[5]],tabela_registros[REGISTRO],DADOS!$N$6,tabela_registros[TIPO],DADOS!$AJ$3,tabela_registros[CATEGORIA],reservafixaconsolidado282933[[#This Row],[ATUAL]])</f>
        <v>0</v>
      </c>
      <c r="J177" s="176">
        <f>SUMIFS(tabela_registros[VALOR],tabela_registros[MÊS],$AE$1,tabela_registros[DIA],reservafixaconsolidado282933[[#Headers],[6]],tabela_registros[REGISTRO],DADOS!$N$6,tabela_registros[TIPO],DADOS!$AJ$3,tabela_registros[CATEGORIA],reservafixaconsolidado282933[[#This Row],[ATUAL]])</f>
        <v>0</v>
      </c>
      <c r="K177" s="176">
        <f>SUMIFS(tabela_registros[VALOR],tabela_registros[MÊS],$AE$1,tabela_registros[DIA],reservafixaconsolidado282933[[#Headers],[7]],tabela_registros[REGISTRO],DADOS!$N$6,tabela_registros[TIPO],DADOS!$AJ$3,tabela_registros[CATEGORIA],reservafixaconsolidado282933[[#This Row],[ATUAL]])</f>
        <v>0</v>
      </c>
      <c r="L177" s="176">
        <f>SUMIFS(tabela_registros[VALOR],tabela_registros[MÊS],$AE$1,tabela_registros[DIA],reservafixaconsolidado282933[[#Headers],[8]],tabela_registros[REGISTRO],DADOS!$N$6,tabela_registros[TIPO],DADOS!$AJ$3,tabela_registros[CATEGORIA],reservafixaconsolidado282933[[#This Row],[ATUAL]])</f>
        <v>0</v>
      </c>
      <c r="M177" s="176">
        <f>SUMIFS(tabela_registros[VALOR],tabela_registros[MÊS],$AE$1,tabela_registros[DIA],reservafixaconsolidado282933[[#Headers],[9]],tabela_registros[REGISTRO],DADOS!$N$6,tabela_registros[TIPO],DADOS!$AJ$3,tabela_registros[CATEGORIA],reservafixaconsolidado282933[[#This Row],[ATUAL]])</f>
        <v>0</v>
      </c>
      <c r="N177" s="176">
        <f>SUMIFS(tabela_registros[VALOR],tabela_registros[MÊS],$AE$1,tabela_registros[DIA],reservafixaconsolidado282933[[#Headers],[10]],tabela_registros[REGISTRO],DADOS!$N$6,tabela_registros[TIPO],DADOS!$AJ$3,tabela_registros[CATEGORIA],reservafixaconsolidado282933[[#This Row],[ATUAL]])</f>
        <v>0</v>
      </c>
      <c r="O177" s="176">
        <f>SUMIFS(tabela_registros[VALOR],tabela_registros[MÊS],$AE$1,tabela_registros[DIA],reservafixaconsolidado282933[[#Headers],[11]],tabela_registros[REGISTRO],DADOS!$N$6,tabela_registros[TIPO],DADOS!$AJ$3,tabela_registros[CATEGORIA],reservafixaconsolidado282933[[#This Row],[ATUAL]])</f>
        <v>0</v>
      </c>
      <c r="P177" s="176">
        <f>SUMIFS(tabela_registros[VALOR],tabela_registros[MÊS],$AE$1,tabela_registros[DIA],reservafixaconsolidado282933[[#Headers],[12]],tabela_registros[REGISTRO],DADOS!$N$6,tabela_registros[TIPO],DADOS!$AJ$3,tabela_registros[CATEGORIA],reservafixaconsolidado282933[[#This Row],[ATUAL]])</f>
        <v>0</v>
      </c>
      <c r="Q177" s="176">
        <f>SUMIFS(tabela_registros[VALOR],tabela_registros[MÊS],$AE$1,tabela_registros[DIA],reservafixaconsolidado282933[[#Headers],[13]],tabela_registros[REGISTRO],DADOS!$N$6,tabela_registros[TIPO],DADOS!$AJ$3,tabela_registros[CATEGORIA],reservafixaconsolidado282933[[#This Row],[ATUAL]])</f>
        <v>0</v>
      </c>
      <c r="R177" s="176">
        <f>SUMIFS(tabela_registros[VALOR],tabela_registros[MÊS],$AE$1,tabela_registros[DIA],reservafixaconsolidado282933[[#Headers],[14]],tabela_registros[REGISTRO],DADOS!$N$6,tabela_registros[TIPO],DADOS!$AJ$3,tabela_registros[CATEGORIA],reservafixaconsolidado282933[[#This Row],[ATUAL]])</f>
        <v>0</v>
      </c>
      <c r="S177" s="176">
        <f>SUMIFS(tabela_registros[VALOR],tabela_registros[MÊS],$AE$1,tabela_registros[DIA],reservafixaconsolidado282933[[#Headers],[15]],tabela_registros[REGISTRO],DADOS!$N$6,tabela_registros[TIPO],DADOS!$AJ$3,tabela_registros[CATEGORIA],reservafixaconsolidado282933[[#This Row],[ATUAL]])</f>
        <v>0</v>
      </c>
      <c r="T177" s="176">
        <f>SUMIFS(tabela_registros[VALOR],tabela_registros[MÊS],$AE$1,tabela_registros[DIA],reservafixaconsolidado282933[[#Headers],[16]],tabela_registros[REGISTRO],DADOS!$N$6,tabela_registros[TIPO],DADOS!$AJ$3,tabela_registros[CATEGORIA],reservafixaconsolidado282933[[#This Row],[ATUAL]])</f>
        <v>0</v>
      </c>
      <c r="U177" s="176">
        <f>SUMIFS(tabela_registros[VALOR],tabela_registros[MÊS],$AE$1,tabela_registros[DIA],reservafixaconsolidado282933[[#Headers],[17]],tabela_registros[REGISTRO],DADOS!$N$6,tabela_registros[TIPO],DADOS!$AJ$3,tabela_registros[CATEGORIA],reservafixaconsolidado282933[[#This Row],[ATUAL]])</f>
        <v>0</v>
      </c>
      <c r="V177" s="176">
        <f>SUMIFS(tabela_registros[VALOR],tabela_registros[MÊS],$AE$1,tabela_registros[DIA],reservafixaconsolidado282933[[#Headers],[18]],tabela_registros[REGISTRO],DADOS!$N$6,tabela_registros[TIPO],DADOS!$AJ$3,tabela_registros[CATEGORIA],reservafixaconsolidado282933[[#This Row],[ATUAL]])</f>
        <v>0</v>
      </c>
      <c r="W177" s="176">
        <f>SUMIFS(tabela_registros[VALOR],tabela_registros[MÊS],$AE$1,tabela_registros[DIA],reservafixaconsolidado282933[[#Headers],[19]],tabela_registros[REGISTRO],DADOS!$N$6,tabela_registros[TIPO],DADOS!$AJ$3,tabela_registros[CATEGORIA],reservafixaconsolidado282933[[#This Row],[ATUAL]])</f>
        <v>0</v>
      </c>
      <c r="X177" s="176">
        <f>SUMIFS(tabela_registros[VALOR],tabela_registros[MÊS],$AE$1,tabela_registros[DIA],reservafixaconsolidado282933[[#Headers],[20]],tabela_registros[REGISTRO],DADOS!$N$6,tabela_registros[TIPO],DADOS!$AJ$3,tabela_registros[CATEGORIA],reservafixaconsolidado282933[[#This Row],[ATUAL]])</f>
        <v>0</v>
      </c>
      <c r="Y177" s="176">
        <f>SUMIFS(tabela_registros[VALOR],tabela_registros[MÊS],$AE$1,tabela_registros[DIA],reservafixaconsolidado282933[[#Headers],[21]],tabela_registros[REGISTRO],DADOS!$N$6,tabela_registros[TIPO],DADOS!$AJ$3,tabela_registros[CATEGORIA],reservafixaconsolidado282933[[#This Row],[ATUAL]])</f>
        <v>0</v>
      </c>
      <c r="Z177" s="176">
        <f>SUMIFS(tabela_registros[VALOR],tabela_registros[MÊS],$AE$1,tabela_registros[DIA],reservafixaconsolidado282933[[#Headers],[22]],tabela_registros[REGISTRO],DADOS!$N$6,tabela_registros[TIPO],DADOS!$AJ$3,tabela_registros[CATEGORIA],reservafixaconsolidado282933[[#This Row],[ATUAL]])</f>
        <v>0</v>
      </c>
      <c r="AA177" s="176">
        <f>SUMIFS(tabela_registros[VALOR],tabela_registros[MÊS],$AE$1,tabela_registros[DIA],reservafixaconsolidado282933[[#Headers],[23]],tabela_registros[REGISTRO],DADOS!$N$6,tabela_registros[TIPO],DADOS!$AJ$3,tabela_registros[CATEGORIA],reservafixaconsolidado282933[[#This Row],[ATUAL]])</f>
        <v>0</v>
      </c>
      <c r="AB177" s="176">
        <f>SUMIFS(tabela_registros[VALOR],tabela_registros[MÊS],$AE$1,tabela_registros[DIA],reservafixaconsolidado282933[[#Headers],[24]],tabela_registros[REGISTRO],DADOS!$N$6,tabela_registros[TIPO],DADOS!$AJ$3,tabela_registros[CATEGORIA],reservafixaconsolidado282933[[#This Row],[ATUAL]])</f>
        <v>0</v>
      </c>
      <c r="AC177" s="176">
        <f>SUMIFS(tabela_registros[VALOR],tabela_registros[MÊS],$AE$1,tabela_registros[DIA],reservafixaconsolidado282933[[#Headers],[25]],tabela_registros[REGISTRO],DADOS!$N$6,tabela_registros[TIPO],DADOS!$AJ$3,tabela_registros[CATEGORIA],reservafixaconsolidado282933[[#This Row],[ATUAL]])</f>
        <v>0</v>
      </c>
      <c r="AD177" s="176">
        <f>SUMIFS(tabela_registros[VALOR],tabela_registros[MÊS],$AE$1,tabela_registros[DIA],reservafixaconsolidado282933[[#Headers],[26]],tabela_registros[REGISTRO],DADOS!$N$6,tabela_registros[TIPO],DADOS!$AJ$3,tabela_registros[CATEGORIA],reservafixaconsolidado282933[[#This Row],[ATUAL]])</f>
        <v>0</v>
      </c>
      <c r="AE177" s="176">
        <f>SUMIFS(tabela_registros[VALOR],tabela_registros[MÊS],$AE$1,tabela_registros[DIA],reservafixaconsolidado282933[[#Headers],[27]],tabela_registros[REGISTRO],DADOS!$N$6,tabela_registros[TIPO],DADOS!$AJ$3,tabela_registros[CATEGORIA],reservafixaconsolidado282933[[#This Row],[ATUAL]])</f>
        <v>0</v>
      </c>
      <c r="AF177" s="176">
        <f>SUMIFS(tabela_registros[VALOR],tabela_registros[MÊS],$AE$1,tabela_registros[DIA],reservafixaconsolidado282933[[#Headers],[28]],tabela_registros[REGISTRO],DADOS!$N$6,tabela_registros[TIPO],DADOS!$AJ$3,tabela_registros[CATEGORIA],reservafixaconsolidado282933[[#This Row],[ATUAL]])</f>
        <v>0</v>
      </c>
      <c r="AG177" s="176">
        <f>SUMIFS(tabela_registros[VALOR],tabela_registros[MÊS],$AE$1,tabela_registros[DIA],reservafixaconsolidado282933[[#Headers],[29]],tabela_registros[REGISTRO],DADOS!$N$6,tabela_registros[TIPO],DADOS!$AJ$3,tabela_registros[CATEGORIA],reservafixaconsolidado282933[[#This Row],[ATUAL]])</f>
        <v>0</v>
      </c>
      <c r="AH177" s="176">
        <f>SUMIFS(tabela_registros[VALOR],tabela_registros[MÊS],$AE$1,tabela_registros[DIA],reservafixaconsolidado282933[[#Headers],[30]],tabela_registros[REGISTRO],DADOS!$N$6,tabela_registros[TIPO],DADOS!$AJ$3,tabela_registros[CATEGORIA],reservafixaconsolidado282933[[#This Row],[ATUAL]])</f>
        <v>0</v>
      </c>
      <c r="AI177" s="193">
        <f>SUMIFS(tabela_registros[VALOR],tabela_registros[MÊS],$AE$1,tabela_registros[DIA],reservafixaconsolidado282933[[#Headers],[31]],tabela_registros[REGISTRO],DADOS!$N$6,tabela_registros[TIPO],DADOS!$AJ$3,tabela_registros[CATEGORIA],reservafixaconsolidado282933[[#This Row],[ATUAL]])</f>
        <v>0</v>
      </c>
      <c r="AJ177" s="167">
        <f>SUM(reservafixaconsolidado282933[[#This Row],[1]:[31]])</f>
        <v>0</v>
      </c>
      <c r="AK177" s="25"/>
    </row>
    <row r="178" spans="2:37" s="16" customFormat="1" ht="21" customHeight="1" thickTop="1" thickBot="1" x14ac:dyDescent="0.35">
      <c r="B178" s="24"/>
      <c r="C178" s="23" t="s">
        <v>19</v>
      </c>
      <c r="D178" s="22"/>
      <c r="E178" s="195">
        <f>SUM(E168:E177)</f>
        <v>1478</v>
      </c>
      <c r="F178" s="196">
        <f>SUM(F168:F177)+reservafixaconsolidado282933[[#This Row],[1]]</f>
        <v>1478</v>
      </c>
      <c r="G178" s="196">
        <f>SUM(G168:G177)+reservafixaconsolidado282933[[#This Row],[2]]</f>
        <v>1503</v>
      </c>
      <c r="H178" s="196">
        <f>SUM(H168:H177)+reservafixaconsolidado282933[[#This Row],[3]]</f>
        <v>1541</v>
      </c>
      <c r="I178" s="196">
        <f>SUM(I168:I177)+reservafixaconsolidado282933[[#This Row],[4]]</f>
        <v>1541</v>
      </c>
      <c r="J178" s="196">
        <f>SUM(J168:J177)+reservafixaconsolidado282933[[#This Row],[5]]</f>
        <v>1691</v>
      </c>
      <c r="K178" s="196">
        <f>SUM(K168:K177)+reservafixaconsolidado282933[[#This Row],[6]]</f>
        <v>1691</v>
      </c>
      <c r="L178" s="196">
        <f>SUM(L168:L177)+reservafixaconsolidado282933[[#This Row],[7]]</f>
        <v>1691</v>
      </c>
      <c r="M178" s="196">
        <f>SUM(M168:M177)+reservafixaconsolidado282933[[#This Row],[8]]</f>
        <v>1691</v>
      </c>
      <c r="N178" s="196">
        <f>SUM(N168:N177)+reservafixaconsolidado282933[[#This Row],[9]]</f>
        <v>1691</v>
      </c>
      <c r="O178" s="196">
        <f>SUM(O168:O177)+reservafixaconsolidado282933[[#This Row],[10]]</f>
        <v>1691</v>
      </c>
      <c r="P178" s="196">
        <f>SUM(P168:P177)+reservafixaconsolidado282933[[#This Row],[11]]</f>
        <v>1691</v>
      </c>
      <c r="Q178" s="196">
        <f>SUM(Q168:Q177)+reservafixaconsolidado282933[[#This Row],[12]]</f>
        <v>1691</v>
      </c>
      <c r="R178" s="196">
        <f>SUM(R168:R177)+reservafixaconsolidado282933[[#This Row],[13]]</f>
        <v>1691</v>
      </c>
      <c r="S178" s="196">
        <f>SUM(S168:S177)+reservafixaconsolidado282933[[#This Row],[14]]</f>
        <v>1691</v>
      </c>
      <c r="T178" s="196">
        <f>SUM(T168:T177)+reservafixaconsolidado282933[[#This Row],[15]]</f>
        <v>1691</v>
      </c>
      <c r="U178" s="196">
        <f>SUM(U168:U177)+reservafixaconsolidado282933[[#This Row],[16]]</f>
        <v>1691</v>
      </c>
      <c r="V178" s="196">
        <f>SUM(V168:V177)+reservafixaconsolidado282933[[#This Row],[17]]</f>
        <v>1691</v>
      </c>
      <c r="W178" s="196">
        <f>SUM(W168:W177)+reservafixaconsolidado282933[[#This Row],[18]]</f>
        <v>1691</v>
      </c>
      <c r="X178" s="196">
        <f>SUM(X168:X177)+reservafixaconsolidado282933[[#This Row],[19]]</f>
        <v>1691</v>
      </c>
      <c r="Y178" s="196">
        <f>SUM(Y168:Y177)+reservafixaconsolidado282933[[#This Row],[20]]</f>
        <v>1691</v>
      </c>
      <c r="Z178" s="196">
        <f>SUM(Z168:Z177)+reservafixaconsolidado282933[[#This Row],[21]]</f>
        <v>1691</v>
      </c>
      <c r="AA178" s="196">
        <f>SUM(AA168:AA177)+reservafixaconsolidado282933[[#This Row],[22]]</f>
        <v>1691</v>
      </c>
      <c r="AB178" s="196">
        <f>SUM(AB168:AB177)+reservafixaconsolidado282933[[#This Row],[23]]</f>
        <v>1902</v>
      </c>
      <c r="AC178" s="196">
        <f>SUM(AC168:AC177)+reservafixaconsolidado282933[[#This Row],[24]]</f>
        <v>1902</v>
      </c>
      <c r="AD178" s="196">
        <f>SUM(AD168:AD177)+reservafixaconsolidado282933[[#This Row],[25]]</f>
        <v>1902</v>
      </c>
      <c r="AE178" s="196">
        <f>SUM(AE168:AE177)+reservafixaconsolidado282933[[#This Row],[26]]</f>
        <v>1902</v>
      </c>
      <c r="AF178" s="196">
        <f>SUM(AF168:AF177)+reservafixaconsolidado282933[[#This Row],[27]]</f>
        <v>1902</v>
      </c>
      <c r="AG178" s="196">
        <f>SUM(AG168:AG177)+reservafixaconsolidado282933[[#This Row],[28]]</f>
        <v>1902</v>
      </c>
      <c r="AH178" s="196">
        <f>SUM(AH168:AH177)+reservafixaconsolidado282933[[#This Row],[29]]</f>
        <v>1902</v>
      </c>
      <c r="AI178" s="197">
        <f>SUM(AI168:AI177)+reservafixaconsolidado282933[[#This Row],[30]]</f>
        <v>1902</v>
      </c>
      <c r="AJ178" s="168">
        <f>reservafixaconsolidado282933[[#This Row],[31]]</f>
        <v>1902</v>
      </c>
      <c r="AK178" s="17"/>
    </row>
    <row r="179" spans="2:37" ht="6.75" customHeight="1" thickTop="1" thickBot="1" x14ac:dyDescent="0.3">
      <c r="B179" s="15"/>
      <c r="C179" s="14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3"/>
      <c r="AF179" s="13"/>
      <c r="AG179" s="13"/>
      <c r="AH179" s="13"/>
      <c r="AI179" s="200"/>
      <c r="AJ179" s="11"/>
      <c r="AK179" s="10"/>
    </row>
    <row r="180" spans="2:37" ht="12.6" thickTop="1" x14ac:dyDescent="0.25">
      <c r="E180" s="37"/>
      <c r="AI180" s="4"/>
    </row>
    <row r="181" spans="2:37" x14ac:dyDescent="0.25">
      <c r="AI181" s="4"/>
    </row>
    <row r="182" spans="2:37" x14ac:dyDescent="0.25">
      <c r="AI182" s="4"/>
    </row>
    <row r="183" spans="2:37" ht="39.75" customHeight="1" x14ac:dyDescent="0.7">
      <c r="C183" s="36"/>
      <c r="E183" s="240"/>
      <c r="F183" s="240"/>
      <c r="G183" s="240"/>
      <c r="H183" s="240"/>
      <c r="I183" s="240"/>
      <c r="J183" s="240"/>
      <c r="K183" s="240"/>
      <c r="L183" s="240"/>
      <c r="M183" s="240"/>
      <c r="N183" s="240"/>
      <c r="O183" s="240"/>
      <c r="P183" s="240"/>
      <c r="Q183" s="240"/>
      <c r="R183" s="240"/>
      <c r="S183" s="240"/>
      <c r="T183" s="240"/>
      <c r="U183" s="240"/>
      <c r="V183" s="240"/>
      <c r="W183" s="240"/>
      <c r="X183" s="240"/>
      <c r="Y183" s="240"/>
      <c r="Z183" s="240"/>
      <c r="AA183" s="240"/>
      <c r="AB183" s="240"/>
      <c r="AC183" s="240"/>
      <c r="AD183" s="240"/>
      <c r="AE183" s="240"/>
      <c r="AF183" s="240"/>
      <c r="AG183" s="240"/>
      <c r="AH183" s="240"/>
      <c r="AI183" s="240"/>
      <c r="AJ183" s="169" t="s">
        <v>19</v>
      </c>
    </row>
    <row r="184" spans="2:37" ht="12.6" thickBot="1" x14ac:dyDescent="0.3">
      <c r="B184" s="35"/>
      <c r="AI184" s="4"/>
      <c r="AJ184" s="170" t="s">
        <v>202</v>
      </c>
    </row>
    <row r="185" spans="2:37" ht="6.75" customHeight="1" thickTop="1" thickBot="1" x14ac:dyDescent="0.3">
      <c r="B185" s="2"/>
      <c r="C185" s="14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  <c r="AF185" s="13"/>
      <c r="AG185" s="13"/>
      <c r="AH185" s="13"/>
      <c r="AI185" s="13"/>
      <c r="AJ185" s="200"/>
      <c r="AK185" s="33"/>
    </row>
    <row r="186" spans="2:37" ht="13.2" hidden="1" thickTop="1" thickBot="1" x14ac:dyDescent="0.3">
      <c r="B186" s="2"/>
      <c r="C186" s="31" t="s">
        <v>199</v>
      </c>
      <c r="D186" s="30" t="s">
        <v>198</v>
      </c>
      <c r="E186" s="30" t="s">
        <v>197</v>
      </c>
      <c r="F186" s="30" t="s">
        <v>196</v>
      </c>
      <c r="G186" s="30" t="s">
        <v>195</v>
      </c>
      <c r="H186" s="30" t="s">
        <v>194</v>
      </c>
      <c r="I186" s="30" t="s">
        <v>193</v>
      </c>
      <c r="J186" s="30" t="s">
        <v>192</v>
      </c>
      <c r="K186" s="30" t="s">
        <v>191</v>
      </c>
      <c r="L186" s="30" t="s">
        <v>190</v>
      </c>
      <c r="M186" s="30" t="s">
        <v>189</v>
      </c>
      <c r="N186" s="30" t="s">
        <v>188</v>
      </c>
      <c r="O186" s="30" t="s">
        <v>187</v>
      </c>
      <c r="P186" s="30" t="s">
        <v>186</v>
      </c>
      <c r="Q186" s="30" t="s">
        <v>185</v>
      </c>
      <c r="R186" s="30" t="s">
        <v>184</v>
      </c>
      <c r="S186" s="30" t="s">
        <v>183</v>
      </c>
      <c r="T186" s="30" t="s">
        <v>182</v>
      </c>
      <c r="U186" s="30" t="s">
        <v>181</v>
      </c>
      <c r="V186" s="30" t="s">
        <v>180</v>
      </c>
      <c r="W186" s="30" t="s">
        <v>179</v>
      </c>
      <c r="X186" s="30" t="s">
        <v>178</v>
      </c>
      <c r="Y186" s="30" t="s">
        <v>177</v>
      </c>
      <c r="Z186" s="30" t="s">
        <v>176</v>
      </c>
      <c r="AA186" s="30" t="s">
        <v>175</v>
      </c>
      <c r="AB186" s="30" t="s">
        <v>174</v>
      </c>
      <c r="AC186" s="30" t="s">
        <v>173</v>
      </c>
      <c r="AD186" s="30" t="s">
        <v>172</v>
      </c>
      <c r="AE186" s="30" t="s">
        <v>171</v>
      </c>
      <c r="AF186" s="30" t="s">
        <v>170</v>
      </c>
      <c r="AG186" s="30" t="s">
        <v>169</v>
      </c>
      <c r="AH186" s="30" t="s">
        <v>168</v>
      </c>
      <c r="AI186" s="30" t="s">
        <v>167</v>
      </c>
      <c r="AJ186" s="172" t="s">
        <v>166</v>
      </c>
      <c r="AK186" s="2"/>
    </row>
    <row r="187" spans="2:37" ht="19.5" customHeight="1" thickTop="1" thickBot="1" x14ac:dyDescent="0.3">
      <c r="B187" s="28"/>
      <c r="C187" s="27" t="str">
        <f>DADOS!$AN$3</f>
        <v>📝 AÇÃO</v>
      </c>
      <c r="D187" s="26" t="str">
        <f>IF(reservavariáveisconsolidado282934[[#This Row],[TOTAL (R$)]]=0,"",IF(OR(reservavariáveisconsolidado282934[[#This Row],[TOTAL (R$)]]=LARGE($AJ$187:$AJ$196,1),reservavariáveisconsolidado282934[[#This Row],[TOTAL (R$)]]=LARGE($AJ$187:$AJ$196,2)),DADOS!$I$11,""))</f>
        <v/>
      </c>
      <c r="E187" s="189">
        <f>SUMIFS(tabela_registros[VALOR],tabela_registros[MÊS],$AE$1,tabela_registros[DIA],reservavariáveisconsolidado282934[[#Headers],[1]],tabela_registros[REGISTRO],DADOS!$N$6,tabela_registros[TIPO],DADOS!$AJ$4,tabela_registros[CATEGORIA],reservavariáveisconsolidado282934[[#This Row],[ATUAL]])</f>
        <v>0</v>
      </c>
      <c r="F187" s="176">
        <f>SUMIFS(tabela_registros[VALOR],tabela_registros[MÊS],$AE$1,tabela_registros[DIA],reservavariáveisconsolidado282934[[#Headers],[2]],tabela_registros[REGISTRO],DADOS!$N$6,tabela_registros[TIPO],DADOS!$AJ$4,tabela_registros[CATEGORIA],reservavariáveisconsolidado282934[[#This Row],[ATUAL]])</f>
        <v>0</v>
      </c>
      <c r="G187" s="176">
        <f>SUMIFS(tabela_registros[VALOR],tabela_registros[MÊS],$AE$1,tabela_registros[DIA],reservavariáveisconsolidado282934[[#Headers],[3]],tabela_registros[REGISTRO],DADOS!$N$6,tabela_registros[TIPO],DADOS!$AJ$4,tabela_registros[CATEGORIA],reservavariáveisconsolidado282934[[#This Row],[ATUAL]])</f>
        <v>0</v>
      </c>
      <c r="H187" s="176">
        <f>SUMIFS(tabela_registros[VALOR],tabela_registros[MÊS],$AE$1,tabela_registros[DIA],reservavariáveisconsolidado282934[[#Headers],[4]],tabela_registros[REGISTRO],DADOS!$N$6,tabela_registros[TIPO],DADOS!$AJ$4,tabela_registros[CATEGORIA],reservavariáveisconsolidado282934[[#This Row],[ATUAL]])</f>
        <v>0</v>
      </c>
      <c r="I187" s="176">
        <f>SUMIFS(tabela_registros[VALOR],tabela_registros[MÊS],$AE$1,tabela_registros[DIA],reservavariáveisconsolidado282934[[#Headers],[5]],tabela_registros[REGISTRO],DADOS!$N$6,tabela_registros[TIPO],DADOS!$AJ$4,tabela_registros[CATEGORIA],reservavariáveisconsolidado282934[[#This Row],[ATUAL]])</f>
        <v>0</v>
      </c>
      <c r="J187" s="176">
        <f>SUMIFS(tabela_registros[VALOR],tabela_registros[MÊS],$AE$1,tabela_registros[DIA],reservavariáveisconsolidado282934[[#Headers],[6]],tabela_registros[REGISTRO],DADOS!$N$6,tabela_registros[TIPO],DADOS!$AJ$4,tabela_registros[CATEGORIA],reservavariáveisconsolidado282934[[#This Row],[ATUAL]])</f>
        <v>0</v>
      </c>
      <c r="K187" s="176">
        <f>SUMIFS(tabela_registros[VALOR],tabela_registros[MÊS],$AE$1,tabela_registros[DIA],reservavariáveisconsolidado282934[[#Headers],[7]],tabela_registros[REGISTRO],DADOS!$N$6,tabela_registros[TIPO],DADOS!$AJ$4,tabela_registros[CATEGORIA],reservavariáveisconsolidado282934[[#This Row],[ATUAL]])</f>
        <v>0</v>
      </c>
      <c r="L187" s="176">
        <f>SUMIFS(tabela_registros[VALOR],tabela_registros[MÊS],$AE$1,tabela_registros[DIA],reservavariáveisconsolidado282934[[#Headers],[8]],tabela_registros[REGISTRO],DADOS!$N$6,tabela_registros[TIPO],DADOS!$AJ$4,tabela_registros[CATEGORIA],reservavariáveisconsolidado282934[[#This Row],[ATUAL]])</f>
        <v>0</v>
      </c>
      <c r="M187" s="176">
        <f>SUMIFS(tabela_registros[VALOR],tabela_registros[MÊS],$AE$1,tabela_registros[DIA],reservavariáveisconsolidado282934[[#Headers],[9]],tabela_registros[REGISTRO],DADOS!$N$6,tabela_registros[TIPO],DADOS!$AJ$4,tabela_registros[CATEGORIA],reservavariáveisconsolidado282934[[#This Row],[ATUAL]])</f>
        <v>0</v>
      </c>
      <c r="N187" s="176">
        <f>SUMIFS(tabela_registros[VALOR],tabela_registros[MÊS],$AE$1,tabela_registros[DIA],reservavariáveisconsolidado282934[[#Headers],[10]],tabela_registros[REGISTRO],DADOS!$N$6,tabela_registros[TIPO],DADOS!$AJ$4,tabela_registros[CATEGORIA],reservavariáveisconsolidado282934[[#This Row],[ATUAL]])</f>
        <v>0</v>
      </c>
      <c r="O187" s="176">
        <f>SUMIFS(tabela_registros[VALOR],tabela_registros[MÊS],$AE$1,tabela_registros[DIA],reservavariáveisconsolidado282934[[#Headers],[11]],tabela_registros[REGISTRO],DADOS!$N$6,tabela_registros[TIPO],DADOS!$AJ$4,tabela_registros[CATEGORIA],reservavariáveisconsolidado282934[[#This Row],[ATUAL]])</f>
        <v>0</v>
      </c>
      <c r="P187" s="176">
        <f>SUMIFS(tabela_registros[VALOR],tabela_registros[MÊS],$AE$1,tabela_registros[DIA],reservavariáveisconsolidado282934[[#Headers],[12]],tabela_registros[REGISTRO],DADOS!$N$6,tabela_registros[TIPO],DADOS!$AJ$4,tabela_registros[CATEGORIA],reservavariáveisconsolidado282934[[#This Row],[ATUAL]])</f>
        <v>0</v>
      </c>
      <c r="Q187" s="176">
        <f>SUMIFS(tabela_registros[VALOR],tabela_registros[MÊS],$AE$1,tabela_registros[DIA],reservavariáveisconsolidado282934[[#Headers],[13]],tabela_registros[REGISTRO],DADOS!$N$6,tabela_registros[TIPO],DADOS!$AJ$4,tabela_registros[CATEGORIA],reservavariáveisconsolidado282934[[#This Row],[ATUAL]])</f>
        <v>0</v>
      </c>
      <c r="R187" s="176">
        <f>SUMIFS(tabela_registros[VALOR],tabela_registros[MÊS],$AE$1,tabela_registros[DIA],reservavariáveisconsolidado282934[[#Headers],[14]],tabela_registros[REGISTRO],DADOS!$N$6,tabela_registros[TIPO],DADOS!$AJ$4,tabela_registros[CATEGORIA],reservavariáveisconsolidado282934[[#This Row],[ATUAL]])</f>
        <v>0</v>
      </c>
      <c r="S187" s="176">
        <f>SUMIFS(tabela_registros[VALOR],tabela_registros[MÊS],$AE$1,tabela_registros[DIA],reservavariáveisconsolidado282934[[#Headers],[15]],tabela_registros[REGISTRO],DADOS!$N$6,tabela_registros[TIPO],DADOS!$AJ$4,tabela_registros[CATEGORIA],reservavariáveisconsolidado282934[[#This Row],[ATUAL]])</f>
        <v>0</v>
      </c>
      <c r="T187" s="176">
        <f>SUMIFS(tabela_registros[VALOR],tabela_registros[MÊS],$AE$1,tabela_registros[DIA],reservavariáveisconsolidado282934[[#Headers],[16]],tabela_registros[REGISTRO],DADOS!$N$6,tabela_registros[TIPO],DADOS!$AJ$4,tabela_registros[CATEGORIA],reservavariáveisconsolidado282934[[#This Row],[ATUAL]])</f>
        <v>0</v>
      </c>
      <c r="U187" s="176">
        <f>SUMIFS(tabela_registros[VALOR],tabela_registros[MÊS],$AE$1,tabela_registros[DIA],reservavariáveisconsolidado282934[[#Headers],[17]],tabela_registros[REGISTRO],DADOS!$N$6,tabela_registros[TIPO],DADOS!$AJ$4,tabela_registros[CATEGORIA],reservavariáveisconsolidado282934[[#This Row],[ATUAL]])</f>
        <v>0</v>
      </c>
      <c r="V187" s="176">
        <f>SUMIFS(tabela_registros[VALOR],tabela_registros[MÊS],$AE$1,tabela_registros[DIA],reservavariáveisconsolidado282934[[#Headers],[18]],tabela_registros[REGISTRO],DADOS!$N$6,tabela_registros[TIPO],DADOS!$AJ$4,tabela_registros[CATEGORIA],reservavariáveisconsolidado282934[[#This Row],[ATUAL]])</f>
        <v>0</v>
      </c>
      <c r="W187" s="176">
        <f>SUMIFS(tabela_registros[VALOR],tabela_registros[MÊS],$AE$1,tabela_registros[DIA],reservavariáveisconsolidado282934[[#Headers],[19]],tabela_registros[REGISTRO],DADOS!$N$6,tabela_registros[TIPO],DADOS!$AJ$4,tabela_registros[CATEGORIA],reservavariáveisconsolidado282934[[#This Row],[ATUAL]])</f>
        <v>0</v>
      </c>
      <c r="X187" s="176">
        <f>SUMIFS(tabela_registros[VALOR],tabela_registros[MÊS],$AE$1,tabela_registros[DIA],reservavariáveisconsolidado282934[[#Headers],[20]],tabela_registros[REGISTRO],DADOS!$N$6,tabela_registros[TIPO],DADOS!$AJ$4,tabela_registros[CATEGORIA],reservavariáveisconsolidado282934[[#This Row],[ATUAL]])</f>
        <v>0</v>
      </c>
      <c r="Y187" s="176">
        <f>SUMIFS(tabela_registros[VALOR],tabela_registros[MÊS],$AE$1,tabela_registros[DIA],reservavariáveisconsolidado282934[[#Headers],[21]],tabela_registros[REGISTRO],DADOS!$N$6,tabela_registros[TIPO],DADOS!$AJ$4,tabela_registros[CATEGORIA],reservavariáveisconsolidado282934[[#This Row],[ATUAL]])</f>
        <v>0</v>
      </c>
      <c r="Z187" s="176">
        <f>SUMIFS(tabela_registros[VALOR],tabela_registros[MÊS],$AE$1,tabela_registros[DIA],reservavariáveisconsolidado282934[[#Headers],[22]],tabela_registros[REGISTRO],DADOS!$N$6,tabela_registros[TIPO],DADOS!$AJ$4,tabela_registros[CATEGORIA],reservavariáveisconsolidado282934[[#This Row],[ATUAL]])</f>
        <v>0</v>
      </c>
      <c r="AA187" s="176">
        <f>SUMIFS(tabela_registros[VALOR],tabela_registros[MÊS],$AE$1,tabela_registros[DIA],reservavariáveisconsolidado282934[[#Headers],[23]],tabela_registros[REGISTRO],DADOS!$N$6,tabela_registros[TIPO],DADOS!$AJ$4,tabela_registros[CATEGORIA],reservavariáveisconsolidado282934[[#This Row],[ATUAL]])</f>
        <v>0</v>
      </c>
      <c r="AB187" s="176">
        <f>SUMIFS(tabela_registros[VALOR],tabela_registros[MÊS],$AE$1,tabela_registros[DIA],reservavariáveisconsolidado282934[[#Headers],[24]],tabela_registros[REGISTRO],DADOS!$N$6,tabela_registros[TIPO],DADOS!$AJ$4,tabela_registros[CATEGORIA],reservavariáveisconsolidado282934[[#This Row],[ATUAL]])</f>
        <v>0</v>
      </c>
      <c r="AC187" s="176">
        <f>SUMIFS(tabela_registros[VALOR],tabela_registros[MÊS],$AE$1,tabela_registros[DIA],reservavariáveisconsolidado282934[[#Headers],[25]],tabela_registros[REGISTRO],DADOS!$N$6,tabela_registros[TIPO],DADOS!$AJ$4,tabela_registros[CATEGORIA],reservavariáveisconsolidado282934[[#This Row],[ATUAL]])</f>
        <v>0</v>
      </c>
      <c r="AD187" s="176">
        <f>SUMIFS(tabela_registros[VALOR],tabela_registros[MÊS],$AE$1,tabela_registros[DIA],reservavariáveisconsolidado282934[[#Headers],[26]],tabela_registros[REGISTRO],DADOS!$N$6,tabela_registros[TIPO],DADOS!$AJ$4,tabela_registros[CATEGORIA],reservavariáveisconsolidado282934[[#This Row],[ATUAL]])</f>
        <v>0</v>
      </c>
      <c r="AE187" s="176">
        <f>SUMIFS(tabela_registros[VALOR],tabela_registros[MÊS],$AE$1,tabela_registros[DIA],reservavariáveisconsolidado282934[[#Headers],[27]],tabela_registros[REGISTRO],DADOS!$N$6,tabela_registros[TIPO],DADOS!$AJ$4,tabela_registros[CATEGORIA],reservavariáveisconsolidado282934[[#This Row],[ATUAL]])</f>
        <v>0</v>
      </c>
      <c r="AF187" s="176">
        <f>SUMIFS(tabela_registros[VALOR],tabela_registros[MÊS],$AE$1,tabela_registros[DIA],reservavariáveisconsolidado282934[[#Headers],[28]],tabela_registros[REGISTRO],DADOS!$N$6,tabela_registros[TIPO],DADOS!$AJ$4,tabela_registros[CATEGORIA],reservavariáveisconsolidado282934[[#This Row],[ATUAL]])</f>
        <v>0</v>
      </c>
      <c r="AG187" s="176">
        <f>SUMIFS(tabela_registros[VALOR],tabela_registros[MÊS],$AE$1,tabela_registros[DIA],reservavariáveisconsolidado282934[[#Headers],[29]],tabela_registros[REGISTRO],DADOS!$N$6,tabela_registros[TIPO],DADOS!$AJ$4,tabela_registros[CATEGORIA],reservavariáveisconsolidado282934[[#This Row],[ATUAL]])</f>
        <v>0</v>
      </c>
      <c r="AH187" s="176">
        <f>SUMIFS(tabela_registros[VALOR],tabela_registros[MÊS],$AE$1,tabela_registros[DIA],reservavariáveisconsolidado282934[[#Headers],[30]],tabela_registros[REGISTRO],DADOS!$N$6,tabela_registros[TIPO],DADOS!$AJ$4,tabela_registros[CATEGORIA],reservavariáveisconsolidado282934[[#This Row],[ATUAL]])</f>
        <v>0</v>
      </c>
      <c r="AI187" s="190">
        <f>SUMIFS(tabela_registros[VALOR],tabela_registros[MÊS],$AE$1,tabela_registros[DIA],reservavariáveisconsolidado282934[[#Headers],[31]],tabela_registros[REGISTRO],DADOS!$N$6,tabela_registros[TIPO],DADOS!$AJ$4,tabela_registros[CATEGORIA],reservavariáveisconsolidado282934[[#This Row],[ATUAL]])</f>
        <v>0</v>
      </c>
      <c r="AJ187" s="167">
        <f>SUM(reservavariáveisconsolidado282934[[#This Row],[1]:[31]])</f>
        <v>0</v>
      </c>
      <c r="AK187" s="25"/>
    </row>
    <row r="188" spans="2:37" ht="19.5" customHeight="1" thickTop="1" thickBot="1" x14ac:dyDescent="0.3">
      <c r="B188" s="28"/>
      <c r="C188" s="27" t="str">
        <f>DADOS!$AN$4</f>
        <v>📝 COMÓDITE</v>
      </c>
      <c r="D188" s="26" t="str">
        <f>IF(reservavariáveisconsolidado282934[[#This Row],[TOTAL (R$)]]=0,"",IF(OR(reservavariáveisconsolidado282934[[#This Row],[TOTAL (R$)]]=LARGE($AJ$187:$AJ$196,1),reservavariáveisconsolidado282934[[#This Row],[TOTAL (R$)]]=LARGE($AJ$187:$AJ$196,2)),DADOS!$I$11,""))</f>
        <v>🚑</v>
      </c>
      <c r="E188" s="189">
        <f>SUMIFS(tabela_registros[VALOR],tabela_registros[MÊS],$AE$1,tabela_registros[DIA],reservavariáveisconsolidado282934[[#Headers],[1]],tabela_registros[REGISTRO],DADOS!$N$6,tabela_registros[TIPO],DADOS!$AJ$4,tabela_registros[CATEGORIA],reservavariáveisconsolidado282934[[#This Row],[ATUAL]])</f>
        <v>0</v>
      </c>
      <c r="F188" s="176">
        <f>SUMIFS(tabela_registros[VALOR],tabela_registros[MÊS],$AE$1,tabela_registros[DIA],reservavariáveisconsolidado282934[[#Headers],[2]],tabela_registros[REGISTRO],DADOS!$N$6,tabela_registros[TIPO],DADOS!$AJ$4,tabela_registros[CATEGORIA],reservavariáveisconsolidado282934[[#This Row],[ATUAL]])</f>
        <v>0</v>
      </c>
      <c r="G188" s="176">
        <f>SUMIFS(tabela_registros[VALOR],tabela_registros[MÊS],$AE$1,tabela_registros[DIA],reservavariáveisconsolidado282934[[#Headers],[3]],tabela_registros[REGISTRO],DADOS!$N$6,tabela_registros[TIPO],DADOS!$AJ$4,tabela_registros[CATEGORIA],reservavariáveisconsolidado282934[[#This Row],[ATUAL]])</f>
        <v>0</v>
      </c>
      <c r="H188" s="176">
        <f>SUMIFS(tabela_registros[VALOR],tabela_registros[MÊS],$AE$1,tabela_registros[DIA],reservavariáveisconsolidado282934[[#Headers],[4]],tabela_registros[REGISTRO],DADOS!$N$6,tabela_registros[TIPO],DADOS!$AJ$4,tabela_registros[CATEGORIA],reservavariáveisconsolidado282934[[#This Row],[ATUAL]])</f>
        <v>0</v>
      </c>
      <c r="I188" s="176">
        <f>SUMIFS(tabela_registros[VALOR],tabela_registros[MÊS],$AE$1,tabela_registros[DIA],reservavariáveisconsolidado282934[[#Headers],[5]],tabela_registros[REGISTRO],DADOS!$N$6,tabela_registros[TIPO],DADOS!$AJ$4,tabela_registros[CATEGORIA],reservavariáveisconsolidado282934[[#This Row],[ATUAL]])</f>
        <v>0</v>
      </c>
      <c r="J188" s="176">
        <f>SUMIFS(tabela_registros[VALOR],tabela_registros[MÊS],$AE$1,tabela_registros[DIA],reservavariáveisconsolidado282934[[#Headers],[6]],tabela_registros[REGISTRO],DADOS!$N$6,tabela_registros[TIPO],DADOS!$AJ$4,tabela_registros[CATEGORIA],reservavariáveisconsolidado282934[[#This Row],[ATUAL]])</f>
        <v>0</v>
      </c>
      <c r="K188" s="176">
        <f>SUMIFS(tabela_registros[VALOR],tabela_registros[MÊS],$AE$1,tabela_registros[DIA],reservavariáveisconsolidado282934[[#Headers],[7]],tabela_registros[REGISTRO],DADOS!$N$6,tabela_registros[TIPO],DADOS!$AJ$4,tabela_registros[CATEGORIA],reservavariáveisconsolidado282934[[#This Row],[ATUAL]])</f>
        <v>0</v>
      </c>
      <c r="L188" s="176">
        <f>SUMIFS(tabela_registros[VALOR],tabela_registros[MÊS],$AE$1,tabela_registros[DIA],reservavariáveisconsolidado282934[[#Headers],[8]],tabela_registros[REGISTRO],DADOS!$N$6,tabela_registros[TIPO],DADOS!$AJ$4,tabela_registros[CATEGORIA],reservavariáveisconsolidado282934[[#This Row],[ATUAL]])</f>
        <v>0</v>
      </c>
      <c r="M188" s="176">
        <f>SUMIFS(tabela_registros[VALOR],tabela_registros[MÊS],$AE$1,tabela_registros[DIA],reservavariáveisconsolidado282934[[#Headers],[9]],tabela_registros[REGISTRO],DADOS!$N$6,tabela_registros[TIPO],DADOS!$AJ$4,tabela_registros[CATEGORIA],reservavariáveisconsolidado282934[[#This Row],[ATUAL]])</f>
        <v>0</v>
      </c>
      <c r="N188" s="176">
        <f>SUMIFS(tabela_registros[VALOR],tabela_registros[MÊS],$AE$1,tabela_registros[DIA],reservavariáveisconsolidado282934[[#Headers],[10]],tabela_registros[REGISTRO],DADOS!$N$6,tabela_registros[TIPO],DADOS!$AJ$4,tabela_registros[CATEGORIA],reservavariáveisconsolidado282934[[#This Row],[ATUAL]])</f>
        <v>0</v>
      </c>
      <c r="O188" s="176">
        <f>SUMIFS(tabela_registros[VALOR],tabela_registros[MÊS],$AE$1,tabela_registros[DIA],reservavariáveisconsolidado282934[[#Headers],[11]],tabela_registros[REGISTRO],DADOS!$N$6,tabela_registros[TIPO],DADOS!$AJ$4,tabela_registros[CATEGORIA],reservavariáveisconsolidado282934[[#This Row],[ATUAL]])</f>
        <v>0</v>
      </c>
      <c r="P188" s="176">
        <f>SUMIFS(tabela_registros[VALOR],tabela_registros[MÊS],$AE$1,tabela_registros[DIA],reservavariáveisconsolidado282934[[#Headers],[12]],tabela_registros[REGISTRO],DADOS!$N$6,tabela_registros[TIPO],DADOS!$AJ$4,tabela_registros[CATEGORIA],reservavariáveisconsolidado282934[[#This Row],[ATUAL]])</f>
        <v>0</v>
      </c>
      <c r="Q188" s="176">
        <f>SUMIFS(tabela_registros[VALOR],tabela_registros[MÊS],$AE$1,tabela_registros[DIA],reservavariáveisconsolidado282934[[#Headers],[13]],tabela_registros[REGISTRO],DADOS!$N$6,tabela_registros[TIPO],DADOS!$AJ$4,tabela_registros[CATEGORIA],reservavariáveisconsolidado282934[[#This Row],[ATUAL]])</f>
        <v>0</v>
      </c>
      <c r="R188" s="176">
        <f>SUMIFS(tabela_registros[VALOR],tabela_registros[MÊS],$AE$1,tabela_registros[DIA],reservavariáveisconsolidado282934[[#Headers],[14]],tabela_registros[REGISTRO],DADOS!$N$6,tabela_registros[TIPO],DADOS!$AJ$4,tabela_registros[CATEGORIA],reservavariáveisconsolidado282934[[#This Row],[ATUAL]])</f>
        <v>0</v>
      </c>
      <c r="S188" s="176">
        <f>SUMIFS(tabela_registros[VALOR],tabela_registros[MÊS],$AE$1,tabela_registros[DIA],reservavariáveisconsolidado282934[[#Headers],[15]],tabela_registros[REGISTRO],DADOS!$N$6,tabela_registros[TIPO],DADOS!$AJ$4,tabela_registros[CATEGORIA],reservavariáveisconsolidado282934[[#This Row],[ATUAL]])</f>
        <v>600</v>
      </c>
      <c r="T188" s="176">
        <f>SUMIFS(tabela_registros[VALOR],tabela_registros[MÊS],$AE$1,tabela_registros[DIA],reservavariáveisconsolidado282934[[#Headers],[16]],tabela_registros[REGISTRO],DADOS!$N$6,tabela_registros[TIPO],DADOS!$AJ$4,tabela_registros[CATEGORIA],reservavariáveisconsolidado282934[[#This Row],[ATUAL]])</f>
        <v>0</v>
      </c>
      <c r="U188" s="176">
        <f>SUMIFS(tabela_registros[VALOR],tabela_registros[MÊS],$AE$1,tabela_registros[DIA],reservavariáveisconsolidado282934[[#Headers],[17]],tabela_registros[REGISTRO],DADOS!$N$6,tabela_registros[TIPO],DADOS!$AJ$4,tabela_registros[CATEGORIA],reservavariáveisconsolidado282934[[#This Row],[ATUAL]])</f>
        <v>0</v>
      </c>
      <c r="V188" s="176">
        <f>SUMIFS(tabela_registros[VALOR],tabela_registros[MÊS],$AE$1,tabela_registros[DIA],reservavariáveisconsolidado282934[[#Headers],[18]],tabela_registros[REGISTRO],DADOS!$N$6,tabela_registros[TIPO],DADOS!$AJ$4,tabela_registros[CATEGORIA],reservavariáveisconsolidado282934[[#This Row],[ATUAL]])</f>
        <v>0</v>
      </c>
      <c r="W188" s="176">
        <f>SUMIFS(tabela_registros[VALOR],tabela_registros[MÊS],$AE$1,tabela_registros[DIA],reservavariáveisconsolidado282934[[#Headers],[19]],tabela_registros[REGISTRO],DADOS!$N$6,tabela_registros[TIPO],DADOS!$AJ$4,tabela_registros[CATEGORIA],reservavariáveisconsolidado282934[[#This Row],[ATUAL]])</f>
        <v>0</v>
      </c>
      <c r="X188" s="176">
        <f>SUMIFS(tabela_registros[VALOR],tabela_registros[MÊS],$AE$1,tabela_registros[DIA],reservavariáveisconsolidado282934[[#Headers],[20]],tabela_registros[REGISTRO],DADOS!$N$6,tabela_registros[TIPO],DADOS!$AJ$4,tabela_registros[CATEGORIA],reservavariáveisconsolidado282934[[#This Row],[ATUAL]])</f>
        <v>0</v>
      </c>
      <c r="Y188" s="176">
        <f>SUMIFS(tabela_registros[VALOR],tabela_registros[MÊS],$AE$1,tabela_registros[DIA],reservavariáveisconsolidado282934[[#Headers],[21]],tabela_registros[REGISTRO],DADOS!$N$6,tabela_registros[TIPO],DADOS!$AJ$4,tabela_registros[CATEGORIA],reservavariáveisconsolidado282934[[#This Row],[ATUAL]])</f>
        <v>0</v>
      </c>
      <c r="Z188" s="176">
        <f>SUMIFS(tabela_registros[VALOR],tabela_registros[MÊS],$AE$1,tabela_registros[DIA],reservavariáveisconsolidado282934[[#Headers],[22]],tabela_registros[REGISTRO],DADOS!$N$6,tabela_registros[TIPO],DADOS!$AJ$4,tabela_registros[CATEGORIA],reservavariáveisconsolidado282934[[#This Row],[ATUAL]])</f>
        <v>0</v>
      </c>
      <c r="AA188" s="176">
        <f>SUMIFS(tabela_registros[VALOR],tabela_registros[MÊS],$AE$1,tabela_registros[DIA],reservavariáveisconsolidado282934[[#Headers],[23]],tabela_registros[REGISTRO],DADOS!$N$6,tabela_registros[TIPO],DADOS!$AJ$4,tabela_registros[CATEGORIA],reservavariáveisconsolidado282934[[#This Row],[ATUAL]])</f>
        <v>0</v>
      </c>
      <c r="AB188" s="176">
        <f>SUMIFS(tabela_registros[VALOR],tabela_registros[MÊS],$AE$1,tabela_registros[DIA],reservavariáveisconsolidado282934[[#Headers],[24]],tabela_registros[REGISTRO],DADOS!$N$6,tabela_registros[TIPO],DADOS!$AJ$4,tabela_registros[CATEGORIA],reservavariáveisconsolidado282934[[#This Row],[ATUAL]])</f>
        <v>0</v>
      </c>
      <c r="AC188" s="176">
        <f>SUMIFS(tabela_registros[VALOR],tabela_registros[MÊS],$AE$1,tabela_registros[DIA],reservavariáveisconsolidado282934[[#Headers],[25]],tabela_registros[REGISTRO],DADOS!$N$6,tabela_registros[TIPO],DADOS!$AJ$4,tabela_registros[CATEGORIA],reservavariáveisconsolidado282934[[#This Row],[ATUAL]])</f>
        <v>0</v>
      </c>
      <c r="AD188" s="176">
        <f>SUMIFS(tabela_registros[VALOR],tabela_registros[MÊS],$AE$1,tabela_registros[DIA],reservavariáveisconsolidado282934[[#Headers],[26]],tabela_registros[REGISTRO],DADOS!$N$6,tabela_registros[TIPO],DADOS!$AJ$4,tabela_registros[CATEGORIA],reservavariáveisconsolidado282934[[#This Row],[ATUAL]])</f>
        <v>0</v>
      </c>
      <c r="AE188" s="176">
        <f>SUMIFS(tabela_registros[VALOR],tabela_registros[MÊS],$AE$1,tabela_registros[DIA],reservavariáveisconsolidado282934[[#Headers],[27]],tabela_registros[REGISTRO],DADOS!$N$6,tabela_registros[TIPO],DADOS!$AJ$4,tabela_registros[CATEGORIA],reservavariáveisconsolidado282934[[#This Row],[ATUAL]])</f>
        <v>0</v>
      </c>
      <c r="AF188" s="176">
        <f>SUMIFS(tabela_registros[VALOR],tabela_registros[MÊS],$AE$1,tabela_registros[DIA],reservavariáveisconsolidado282934[[#Headers],[28]],tabela_registros[REGISTRO],DADOS!$N$6,tabela_registros[TIPO],DADOS!$AJ$4,tabela_registros[CATEGORIA],reservavariáveisconsolidado282934[[#This Row],[ATUAL]])</f>
        <v>0</v>
      </c>
      <c r="AG188" s="176">
        <f>SUMIFS(tabela_registros[VALOR],tabela_registros[MÊS],$AE$1,tabela_registros[DIA],reservavariáveisconsolidado282934[[#Headers],[29]],tabela_registros[REGISTRO],DADOS!$N$6,tabela_registros[TIPO],DADOS!$AJ$4,tabela_registros[CATEGORIA],reservavariáveisconsolidado282934[[#This Row],[ATUAL]])</f>
        <v>0</v>
      </c>
      <c r="AH188" s="176">
        <f>SUMIFS(tabela_registros[VALOR],tabela_registros[MÊS],$AE$1,tabela_registros[DIA],reservavariáveisconsolidado282934[[#Headers],[30]],tabela_registros[REGISTRO],DADOS!$N$6,tabela_registros[TIPO],DADOS!$AJ$4,tabela_registros[CATEGORIA],reservavariáveisconsolidado282934[[#This Row],[ATUAL]])</f>
        <v>0</v>
      </c>
      <c r="AI188" s="190">
        <f>SUMIFS(tabela_registros[VALOR],tabela_registros[MÊS],$AE$1,tabela_registros[DIA],reservavariáveisconsolidado282934[[#Headers],[31]],tabela_registros[REGISTRO],DADOS!$N$6,tabela_registros[TIPO],DADOS!$AJ$4,tabela_registros[CATEGORIA],reservavariáveisconsolidado282934[[#This Row],[ATUAL]])</f>
        <v>0</v>
      </c>
      <c r="AJ188" s="167">
        <f>SUM(reservavariáveisconsolidado282934[[#This Row],[1]:[31]])</f>
        <v>600</v>
      </c>
      <c r="AK188" s="25"/>
    </row>
    <row r="189" spans="2:37" ht="19.5" customHeight="1" thickTop="1" thickBot="1" x14ac:dyDescent="0.3">
      <c r="B189" s="28"/>
      <c r="C189" s="27" t="str">
        <f>DADOS!$AN$5</f>
        <v>📝 CONTRATO DE FUTUROS</v>
      </c>
      <c r="D189" s="26" t="str">
        <f>IF(reservavariáveisconsolidado282934[[#This Row],[TOTAL (R$)]]=0,"",IF(OR(reservavariáveisconsolidado282934[[#This Row],[TOTAL (R$)]]=LARGE($AJ$187:$AJ$196,1),reservavariáveisconsolidado282934[[#This Row],[TOTAL (R$)]]=LARGE($AJ$187:$AJ$196,2)),DADOS!$I$11,""))</f>
        <v/>
      </c>
      <c r="E189" s="189">
        <f>SUMIFS(tabela_registros[VALOR],tabela_registros[MÊS],$AE$1,tabela_registros[DIA],reservavariáveisconsolidado282934[[#Headers],[1]],tabela_registros[REGISTRO],DADOS!$N$6,tabela_registros[TIPO],DADOS!$AJ$4,tabela_registros[CATEGORIA],reservavariáveisconsolidado282934[[#This Row],[ATUAL]])</f>
        <v>0</v>
      </c>
      <c r="F189" s="176">
        <f>SUMIFS(tabela_registros[VALOR],tabela_registros[MÊS],$AE$1,tabela_registros[DIA],reservavariáveisconsolidado282934[[#Headers],[2]],tabela_registros[REGISTRO],DADOS!$N$6,tabela_registros[TIPO],DADOS!$AJ$4,tabela_registros[CATEGORIA],reservavariáveisconsolidado282934[[#This Row],[ATUAL]])</f>
        <v>0</v>
      </c>
      <c r="G189" s="176">
        <f>SUMIFS(tabela_registros[VALOR],tabela_registros[MÊS],$AE$1,tabela_registros[DIA],reservavariáveisconsolidado282934[[#Headers],[3]],tabela_registros[REGISTRO],DADOS!$N$6,tabela_registros[TIPO],DADOS!$AJ$4,tabela_registros[CATEGORIA],reservavariáveisconsolidado282934[[#This Row],[ATUAL]])</f>
        <v>0</v>
      </c>
      <c r="H189" s="176">
        <f>SUMIFS(tabela_registros[VALOR],tabela_registros[MÊS],$AE$1,tabela_registros[DIA],reservavariáveisconsolidado282934[[#Headers],[4]],tabela_registros[REGISTRO],DADOS!$N$6,tabela_registros[TIPO],DADOS!$AJ$4,tabela_registros[CATEGORIA],reservavariáveisconsolidado282934[[#This Row],[ATUAL]])</f>
        <v>0</v>
      </c>
      <c r="I189" s="176">
        <f>SUMIFS(tabela_registros[VALOR],tabela_registros[MÊS],$AE$1,tabela_registros[DIA],reservavariáveisconsolidado282934[[#Headers],[5]],tabela_registros[REGISTRO],DADOS!$N$6,tabela_registros[TIPO],DADOS!$AJ$4,tabela_registros[CATEGORIA],reservavariáveisconsolidado282934[[#This Row],[ATUAL]])</f>
        <v>0</v>
      </c>
      <c r="J189" s="176">
        <f>SUMIFS(tabela_registros[VALOR],tabela_registros[MÊS],$AE$1,tabela_registros[DIA],reservavariáveisconsolidado282934[[#Headers],[6]],tabela_registros[REGISTRO],DADOS!$N$6,tabela_registros[TIPO],DADOS!$AJ$4,tabela_registros[CATEGORIA],reservavariáveisconsolidado282934[[#This Row],[ATUAL]])</f>
        <v>0</v>
      </c>
      <c r="K189" s="176">
        <f>SUMIFS(tabela_registros[VALOR],tabela_registros[MÊS],$AE$1,tabela_registros[DIA],reservavariáveisconsolidado282934[[#Headers],[7]],tabela_registros[REGISTRO],DADOS!$N$6,tabela_registros[TIPO],DADOS!$AJ$4,tabela_registros[CATEGORIA],reservavariáveisconsolidado282934[[#This Row],[ATUAL]])</f>
        <v>0</v>
      </c>
      <c r="L189" s="176">
        <f>SUMIFS(tabela_registros[VALOR],tabela_registros[MÊS],$AE$1,tabela_registros[DIA],reservavariáveisconsolidado282934[[#Headers],[8]],tabela_registros[REGISTRO],DADOS!$N$6,tabela_registros[TIPO],DADOS!$AJ$4,tabela_registros[CATEGORIA],reservavariáveisconsolidado282934[[#This Row],[ATUAL]])</f>
        <v>0</v>
      </c>
      <c r="M189" s="176">
        <f>SUMIFS(tabela_registros[VALOR],tabela_registros[MÊS],$AE$1,tabela_registros[DIA],reservavariáveisconsolidado282934[[#Headers],[9]],tabela_registros[REGISTRO],DADOS!$N$6,tabela_registros[TIPO],DADOS!$AJ$4,tabela_registros[CATEGORIA],reservavariáveisconsolidado282934[[#This Row],[ATUAL]])</f>
        <v>0</v>
      </c>
      <c r="N189" s="176">
        <f>SUMIFS(tabela_registros[VALOR],tabela_registros[MÊS],$AE$1,tabela_registros[DIA],reservavariáveisconsolidado282934[[#Headers],[10]],tabela_registros[REGISTRO],DADOS!$N$6,tabela_registros[TIPO],DADOS!$AJ$4,tabela_registros[CATEGORIA],reservavariáveisconsolidado282934[[#This Row],[ATUAL]])</f>
        <v>0</v>
      </c>
      <c r="O189" s="176">
        <f>SUMIFS(tabela_registros[VALOR],tabela_registros[MÊS],$AE$1,tabela_registros[DIA],reservavariáveisconsolidado282934[[#Headers],[11]],tabela_registros[REGISTRO],DADOS!$N$6,tabela_registros[TIPO],DADOS!$AJ$4,tabela_registros[CATEGORIA],reservavariáveisconsolidado282934[[#This Row],[ATUAL]])</f>
        <v>0</v>
      </c>
      <c r="P189" s="176">
        <f>SUMIFS(tabela_registros[VALOR],tabela_registros[MÊS],$AE$1,tabela_registros[DIA],reservavariáveisconsolidado282934[[#Headers],[12]],tabela_registros[REGISTRO],DADOS!$N$6,tabela_registros[TIPO],DADOS!$AJ$4,tabela_registros[CATEGORIA],reservavariáveisconsolidado282934[[#This Row],[ATUAL]])</f>
        <v>0</v>
      </c>
      <c r="Q189" s="176">
        <f>SUMIFS(tabela_registros[VALOR],tabela_registros[MÊS],$AE$1,tabela_registros[DIA],reservavariáveisconsolidado282934[[#Headers],[13]],tabela_registros[REGISTRO],DADOS!$N$6,tabela_registros[TIPO],DADOS!$AJ$4,tabela_registros[CATEGORIA],reservavariáveisconsolidado282934[[#This Row],[ATUAL]])</f>
        <v>0</v>
      </c>
      <c r="R189" s="176">
        <f>SUMIFS(tabela_registros[VALOR],tabela_registros[MÊS],$AE$1,tabela_registros[DIA],reservavariáveisconsolidado282934[[#Headers],[14]],tabela_registros[REGISTRO],DADOS!$N$6,tabela_registros[TIPO],DADOS!$AJ$4,tabela_registros[CATEGORIA],reservavariáveisconsolidado282934[[#This Row],[ATUAL]])</f>
        <v>0</v>
      </c>
      <c r="S189" s="176">
        <f>SUMIFS(tabela_registros[VALOR],tabela_registros[MÊS],$AE$1,tabela_registros[DIA],reservavariáveisconsolidado282934[[#Headers],[15]],tabela_registros[REGISTRO],DADOS!$N$6,tabela_registros[TIPO],DADOS!$AJ$4,tabela_registros[CATEGORIA],reservavariáveisconsolidado282934[[#This Row],[ATUAL]])</f>
        <v>0</v>
      </c>
      <c r="T189" s="176">
        <f>SUMIFS(tabela_registros[VALOR],tabela_registros[MÊS],$AE$1,tabela_registros[DIA],reservavariáveisconsolidado282934[[#Headers],[16]],tabela_registros[REGISTRO],DADOS!$N$6,tabela_registros[TIPO],DADOS!$AJ$4,tabela_registros[CATEGORIA],reservavariáveisconsolidado282934[[#This Row],[ATUAL]])</f>
        <v>0</v>
      </c>
      <c r="U189" s="176">
        <f>SUMIFS(tabela_registros[VALOR],tabela_registros[MÊS],$AE$1,tabela_registros[DIA],reservavariáveisconsolidado282934[[#Headers],[17]],tabela_registros[REGISTRO],DADOS!$N$6,tabela_registros[TIPO],DADOS!$AJ$4,tabela_registros[CATEGORIA],reservavariáveisconsolidado282934[[#This Row],[ATUAL]])</f>
        <v>0</v>
      </c>
      <c r="V189" s="176">
        <f>SUMIFS(tabela_registros[VALOR],tabela_registros[MÊS],$AE$1,tabela_registros[DIA],reservavariáveisconsolidado282934[[#Headers],[18]],tabela_registros[REGISTRO],DADOS!$N$6,tabela_registros[TIPO],DADOS!$AJ$4,tabela_registros[CATEGORIA],reservavariáveisconsolidado282934[[#This Row],[ATUAL]])</f>
        <v>0</v>
      </c>
      <c r="W189" s="176">
        <f>SUMIFS(tabela_registros[VALOR],tabela_registros[MÊS],$AE$1,tabela_registros[DIA],reservavariáveisconsolidado282934[[#Headers],[19]],tabela_registros[REGISTRO],DADOS!$N$6,tabela_registros[TIPO],DADOS!$AJ$4,tabela_registros[CATEGORIA],reservavariáveisconsolidado282934[[#This Row],[ATUAL]])</f>
        <v>0</v>
      </c>
      <c r="X189" s="176">
        <f>SUMIFS(tabela_registros[VALOR],tabela_registros[MÊS],$AE$1,tabela_registros[DIA],reservavariáveisconsolidado282934[[#Headers],[20]],tabela_registros[REGISTRO],DADOS!$N$6,tabela_registros[TIPO],DADOS!$AJ$4,tabela_registros[CATEGORIA],reservavariáveisconsolidado282934[[#This Row],[ATUAL]])</f>
        <v>0</v>
      </c>
      <c r="Y189" s="176">
        <f>SUMIFS(tabela_registros[VALOR],tabela_registros[MÊS],$AE$1,tabela_registros[DIA],reservavariáveisconsolidado282934[[#Headers],[21]],tabela_registros[REGISTRO],DADOS!$N$6,tabela_registros[TIPO],DADOS!$AJ$4,tabela_registros[CATEGORIA],reservavariáveisconsolidado282934[[#This Row],[ATUAL]])</f>
        <v>0</v>
      </c>
      <c r="Z189" s="176">
        <f>SUMIFS(tabela_registros[VALOR],tabela_registros[MÊS],$AE$1,tabela_registros[DIA],reservavariáveisconsolidado282934[[#Headers],[22]],tabela_registros[REGISTRO],DADOS!$N$6,tabela_registros[TIPO],DADOS!$AJ$4,tabela_registros[CATEGORIA],reservavariáveisconsolidado282934[[#This Row],[ATUAL]])</f>
        <v>0</v>
      </c>
      <c r="AA189" s="176">
        <f>SUMIFS(tabela_registros[VALOR],tabela_registros[MÊS],$AE$1,tabela_registros[DIA],reservavariáveisconsolidado282934[[#Headers],[23]],tabela_registros[REGISTRO],DADOS!$N$6,tabela_registros[TIPO],DADOS!$AJ$4,tabela_registros[CATEGORIA],reservavariáveisconsolidado282934[[#This Row],[ATUAL]])</f>
        <v>0</v>
      </c>
      <c r="AB189" s="176">
        <f>SUMIFS(tabela_registros[VALOR],tabela_registros[MÊS],$AE$1,tabela_registros[DIA],reservavariáveisconsolidado282934[[#Headers],[24]],tabela_registros[REGISTRO],DADOS!$N$6,tabela_registros[TIPO],DADOS!$AJ$4,tabela_registros[CATEGORIA],reservavariáveisconsolidado282934[[#This Row],[ATUAL]])</f>
        <v>0</v>
      </c>
      <c r="AC189" s="176">
        <f>SUMIFS(tabela_registros[VALOR],tabela_registros[MÊS],$AE$1,tabela_registros[DIA],reservavariáveisconsolidado282934[[#Headers],[25]],tabela_registros[REGISTRO],DADOS!$N$6,tabela_registros[TIPO],DADOS!$AJ$4,tabela_registros[CATEGORIA],reservavariáveisconsolidado282934[[#This Row],[ATUAL]])</f>
        <v>0</v>
      </c>
      <c r="AD189" s="176">
        <f>SUMIFS(tabela_registros[VALOR],tabela_registros[MÊS],$AE$1,tabela_registros[DIA],reservavariáveisconsolidado282934[[#Headers],[26]],tabela_registros[REGISTRO],DADOS!$N$6,tabela_registros[TIPO],DADOS!$AJ$4,tabela_registros[CATEGORIA],reservavariáveisconsolidado282934[[#This Row],[ATUAL]])</f>
        <v>0</v>
      </c>
      <c r="AE189" s="176">
        <f>SUMIFS(tabela_registros[VALOR],tabela_registros[MÊS],$AE$1,tabela_registros[DIA],reservavariáveisconsolidado282934[[#Headers],[27]],tabela_registros[REGISTRO],DADOS!$N$6,tabela_registros[TIPO],DADOS!$AJ$4,tabela_registros[CATEGORIA],reservavariáveisconsolidado282934[[#This Row],[ATUAL]])</f>
        <v>0</v>
      </c>
      <c r="AF189" s="176">
        <f>SUMIFS(tabela_registros[VALOR],tabela_registros[MÊS],$AE$1,tabela_registros[DIA],reservavariáveisconsolidado282934[[#Headers],[28]],tabela_registros[REGISTRO],DADOS!$N$6,tabela_registros[TIPO],DADOS!$AJ$4,tabela_registros[CATEGORIA],reservavariáveisconsolidado282934[[#This Row],[ATUAL]])</f>
        <v>0</v>
      </c>
      <c r="AG189" s="176">
        <f>SUMIFS(tabela_registros[VALOR],tabela_registros[MÊS],$AE$1,tabela_registros[DIA],reservavariáveisconsolidado282934[[#Headers],[29]],tabela_registros[REGISTRO],DADOS!$N$6,tabela_registros[TIPO],DADOS!$AJ$4,tabela_registros[CATEGORIA],reservavariáveisconsolidado282934[[#This Row],[ATUAL]])</f>
        <v>0</v>
      </c>
      <c r="AH189" s="176">
        <f>SUMIFS(tabela_registros[VALOR],tabela_registros[MÊS],$AE$1,tabela_registros[DIA],reservavariáveisconsolidado282934[[#Headers],[30]],tabela_registros[REGISTRO],DADOS!$N$6,tabela_registros[TIPO],DADOS!$AJ$4,tabela_registros[CATEGORIA],reservavariáveisconsolidado282934[[#This Row],[ATUAL]])</f>
        <v>0</v>
      </c>
      <c r="AI189" s="190">
        <f>SUMIFS(tabela_registros[VALOR],tabela_registros[MÊS],$AE$1,tabela_registros[DIA],reservavariáveisconsolidado282934[[#Headers],[31]],tabela_registros[REGISTRO],DADOS!$N$6,tabela_registros[TIPO],DADOS!$AJ$4,tabela_registros[CATEGORIA],reservavariáveisconsolidado282934[[#This Row],[ATUAL]])</f>
        <v>0</v>
      </c>
      <c r="AJ189" s="167">
        <f>SUM(reservavariáveisconsolidado282934[[#This Row],[1]:[31]])</f>
        <v>0</v>
      </c>
      <c r="AK189" s="25"/>
    </row>
    <row r="190" spans="2:37" ht="19.5" customHeight="1" thickTop="1" thickBot="1" x14ac:dyDescent="0.3">
      <c r="B190" s="28"/>
      <c r="C190" s="27" t="str">
        <f>DADOS!$AN$6</f>
        <v>📝 CONTRATO DE OPÇÕES</v>
      </c>
      <c r="D190" s="26" t="str">
        <f>IF(reservavariáveisconsolidado282934[[#This Row],[TOTAL (R$)]]=0,"",IF(OR(reservavariáveisconsolidado282934[[#This Row],[TOTAL (R$)]]=LARGE($AJ$187:$AJ$196,1),reservavariáveisconsolidado282934[[#This Row],[TOTAL (R$)]]=LARGE($AJ$187:$AJ$196,2)),DADOS!$I$11,""))</f>
        <v/>
      </c>
      <c r="E190" s="189">
        <f>SUMIFS(tabela_registros[VALOR],tabela_registros[MÊS],$AE$1,tabela_registros[DIA],reservavariáveisconsolidado282934[[#Headers],[1]],tabela_registros[REGISTRO],DADOS!$N$6,tabela_registros[TIPO],DADOS!$AJ$4,tabela_registros[CATEGORIA],reservavariáveisconsolidado282934[[#This Row],[ATUAL]])</f>
        <v>0</v>
      </c>
      <c r="F190" s="176">
        <f>SUMIFS(tabela_registros[VALOR],tabela_registros[MÊS],$AE$1,tabela_registros[DIA],reservavariáveisconsolidado282934[[#Headers],[2]],tabela_registros[REGISTRO],DADOS!$N$6,tabela_registros[TIPO],DADOS!$AJ$4,tabela_registros[CATEGORIA],reservavariáveisconsolidado282934[[#This Row],[ATUAL]])</f>
        <v>0</v>
      </c>
      <c r="G190" s="176">
        <f>SUMIFS(tabela_registros[VALOR],tabela_registros[MÊS],$AE$1,tabela_registros[DIA],reservavariáveisconsolidado282934[[#Headers],[3]],tabela_registros[REGISTRO],DADOS!$N$6,tabela_registros[TIPO],DADOS!$AJ$4,tabela_registros[CATEGORIA],reservavariáveisconsolidado282934[[#This Row],[ATUAL]])</f>
        <v>0</v>
      </c>
      <c r="H190" s="176">
        <f>SUMIFS(tabela_registros[VALOR],tabela_registros[MÊS],$AE$1,tabela_registros[DIA],reservavariáveisconsolidado282934[[#Headers],[4]],tabela_registros[REGISTRO],DADOS!$N$6,tabela_registros[TIPO],DADOS!$AJ$4,tabela_registros[CATEGORIA],reservavariáveisconsolidado282934[[#This Row],[ATUAL]])</f>
        <v>0</v>
      </c>
      <c r="I190" s="176">
        <f>SUMIFS(tabela_registros[VALOR],tabela_registros[MÊS],$AE$1,tabela_registros[DIA],reservavariáveisconsolidado282934[[#Headers],[5]],tabela_registros[REGISTRO],DADOS!$N$6,tabela_registros[TIPO],DADOS!$AJ$4,tabela_registros[CATEGORIA],reservavariáveisconsolidado282934[[#This Row],[ATUAL]])</f>
        <v>0</v>
      </c>
      <c r="J190" s="176">
        <f>SUMIFS(tabela_registros[VALOR],tabela_registros[MÊS],$AE$1,tabela_registros[DIA],reservavariáveisconsolidado282934[[#Headers],[6]],tabela_registros[REGISTRO],DADOS!$N$6,tabela_registros[TIPO],DADOS!$AJ$4,tabela_registros[CATEGORIA],reservavariáveisconsolidado282934[[#This Row],[ATUAL]])</f>
        <v>0</v>
      </c>
      <c r="K190" s="176">
        <f>SUMIFS(tabela_registros[VALOR],tabela_registros[MÊS],$AE$1,tabela_registros[DIA],reservavariáveisconsolidado282934[[#Headers],[7]],tabela_registros[REGISTRO],DADOS!$N$6,tabela_registros[TIPO],DADOS!$AJ$4,tabela_registros[CATEGORIA],reservavariáveisconsolidado282934[[#This Row],[ATUAL]])</f>
        <v>0</v>
      </c>
      <c r="L190" s="176">
        <f>SUMIFS(tabela_registros[VALOR],tabela_registros[MÊS],$AE$1,tabela_registros[DIA],reservavariáveisconsolidado282934[[#Headers],[8]],tabela_registros[REGISTRO],DADOS!$N$6,tabela_registros[TIPO],DADOS!$AJ$4,tabela_registros[CATEGORIA],reservavariáveisconsolidado282934[[#This Row],[ATUAL]])</f>
        <v>0</v>
      </c>
      <c r="M190" s="176">
        <f>SUMIFS(tabela_registros[VALOR],tabela_registros[MÊS],$AE$1,tabela_registros[DIA],reservavariáveisconsolidado282934[[#Headers],[9]],tabela_registros[REGISTRO],DADOS!$N$6,tabela_registros[TIPO],DADOS!$AJ$4,tabela_registros[CATEGORIA],reservavariáveisconsolidado282934[[#This Row],[ATUAL]])</f>
        <v>0</v>
      </c>
      <c r="N190" s="176">
        <f>SUMIFS(tabela_registros[VALOR],tabela_registros[MÊS],$AE$1,tabela_registros[DIA],reservavariáveisconsolidado282934[[#Headers],[10]],tabela_registros[REGISTRO],DADOS!$N$6,tabela_registros[TIPO],DADOS!$AJ$4,tabela_registros[CATEGORIA],reservavariáveisconsolidado282934[[#This Row],[ATUAL]])</f>
        <v>0</v>
      </c>
      <c r="O190" s="176">
        <f>SUMIFS(tabela_registros[VALOR],tabela_registros[MÊS],$AE$1,tabela_registros[DIA],reservavariáveisconsolidado282934[[#Headers],[11]],tabela_registros[REGISTRO],DADOS!$N$6,tabela_registros[TIPO],DADOS!$AJ$4,tabela_registros[CATEGORIA],reservavariáveisconsolidado282934[[#This Row],[ATUAL]])</f>
        <v>0</v>
      </c>
      <c r="P190" s="176">
        <f>SUMIFS(tabela_registros[VALOR],tabela_registros[MÊS],$AE$1,tabela_registros[DIA],reservavariáveisconsolidado282934[[#Headers],[12]],tabela_registros[REGISTRO],DADOS!$N$6,tabela_registros[TIPO],DADOS!$AJ$4,tabela_registros[CATEGORIA],reservavariáveisconsolidado282934[[#This Row],[ATUAL]])</f>
        <v>0</v>
      </c>
      <c r="Q190" s="176">
        <f>SUMIFS(tabela_registros[VALOR],tabela_registros[MÊS],$AE$1,tabela_registros[DIA],reservavariáveisconsolidado282934[[#Headers],[13]],tabela_registros[REGISTRO],DADOS!$N$6,tabela_registros[TIPO],DADOS!$AJ$4,tabela_registros[CATEGORIA],reservavariáveisconsolidado282934[[#This Row],[ATUAL]])</f>
        <v>0</v>
      </c>
      <c r="R190" s="176">
        <f>SUMIFS(tabela_registros[VALOR],tabela_registros[MÊS],$AE$1,tabela_registros[DIA],reservavariáveisconsolidado282934[[#Headers],[14]],tabela_registros[REGISTRO],DADOS!$N$6,tabela_registros[TIPO],DADOS!$AJ$4,tabela_registros[CATEGORIA],reservavariáveisconsolidado282934[[#This Row],[ATUAL]])</f>
        <v>0</v>
      </c>
      <c r="S190" s="176">
        <f>SUMIFS(tabela_registros[VALOR],tabela_registros[MÊS],$AE$1,tabela_registros[DIA],reservavariáveisconsolidado282934[[#Headers],[15]],tabela_registros[REGISTRO],DADOS!$N$6,tabela_registros[TIPO],DADOS!$AJ$4,tabela_registros[CATEGORIA],reservavariáveisconsolidado282934[[#This Row],[ATUAL]])</f>
        <v>0</v>
      </c>
      <c r="T190" s="176">
        <f>SUMIFS(tabela_registros[VALOR],tabela_registros[MÊS],$AE$1,tabela_registros[DIA],reservavariáveisconsolidado282934[[#Headers],[16]],tabela_registros[REGISTRO],DADOS!$N$6,tabela_registros[TIPO],DADOS!$AJ$4,tabela_registros[CATEGORIA],reservavariáveisconsolidado282934[[#This Row],[ATUAL]])</f>
        <v>0</v>
      </c>
      <c r="U190" s="176">
        <f>SUMIFS(tabela_registros[VALOR],tabela_registros[MÊS],$AE$1,tabela_registros[DIA],reservavariáveisconsolidado282934[[#Headers],[17]],tabela_registros[REGISTRO],DADOS!$N$6,tabela_registros[TIPO],DADOS!$AJ$4,tabela_registros[CATEGORIA],reservavariáveisconsolidado282934[[#This Row],[ATUAL]])</f>
        <v>0</v>
      </c>
      <c r="V190" s="176">
        <f>SUMIFS(tabela_registros[VALOR],tabela_registros[MÊS],$AE$1,tabela_registros[DIA],reservavariáveisconsolidado282934[[#Headers],[18]],tabela_registros[REGISTRO],DADOS!$N$6,tabela_registros[TIPO],DADOS!$AJ$4,tabela_registros[CATEGORIA],reservavariáveisconsolidado282934[[#This Row],[ATUAL]])</f>
        <v>0</v>
      </c>
      <c r="W190" s="176">
        <f>SUMIFS(tabela_registros[VALOR],tabela_registros[MÊS],$AE$1,tabela_registros[DIA],reservavariáveisconsolidado282934[[#Headers],[19]],tabela_registros[REGISTRO],DADOS!$N$6,tabela_registros[TIPO],DADOS!$AJ$4,tabela_registros[CATEGORIA],reservavariáveisconsolidado282934[[#This Row],[ATUAL]])</f>
        <v>0</v>
      </c>
      <c r="X190" s="176">
        <f>SUMIFS(tabela_registros[VALOR],tabela_registros[MÊS],$AE$1,tabela_registros[DIA],reservavariáveisconsolidado282934[[#Headers],[20]],tabela_registros[REGISTRO],DADOS!$N$6,tabela_registros[TIPO],DADOS!$AJ$4,tabela_registros[CATEGORIA],reservavariáveisconsolidado282934[[#This Row],[ATUAL]])</f>
        <v>0</v>
      </c>
      <c r="Y190" s="176">
        <f>SUMIFS(tabela_registros[VALOR],tabela_registros[MÊS],$AE$1,tabela_registros[DIA],reservavariáveisconsolidado282934[[#Headers],[21]],tabela_registros[REGISTRO],DADOS!$N$6,tabela_registros[TIPO],DADOS!$AJ$4,tabela_registros[CATEGORIA],reservavariáveisconsolidado282934[[#This Row],[ATUAL]])</f>
        <v>0</v>
      </c>
      <c r="Z190" s="176">
        <f>SUMIFS(tabela_registros[VALOR],tabela_registros[MÊS],$AE$1,tabela_registros[DIA],reservavariáveisconsolidado282934[[#Headers],[22]],tabela_registros[REGISTRO],DADOS!$N$6,tabela_registros[TIPO],DADOS!$AJ$4,tabela_registros[CATEGORIA],reservavariáveisconsolidado282934[[#This Row],[ATUAL]])</f>
        <v>0</v>
      </c>
      <c r="AA190" s="176">
        <f>SUMIFS(tabela_registros[VALOR],tabela_registros[MÊS],$AE$1,tabela_registros[DIA],reservavariáveisconsolidado282934[[#Headers],[23]],tabela_registros[REGISTRO],DADOS!$N$6,tabela_registros[TIPO],DADOS!$AJ$4,tabela_registros[CATEGORIA],reservavariáveisconsolidado282934[[#This Row],[ATUAL]])</f>
        <v>0</v>
      </c>
      <c r="AB190" s="176">
        <f>SUMIFS(tabela_registros[VALOR],tabela_registros[MÊS],$AE$1,tabela_registros[DIA],reservavariáveisconsolidado282934[[#Headers],[24]],tabela_registros[REGISTRO],DADOS!$N$6,tabela_registros[TIPO],DADOS!$AJ$4,tabela_registros[CATEGORIA],reservavariáveisconsolidado282934[[#This Row],[ATUAL]])</f>
        <v>0</v>
      </c>
      <c r="AC190" s="176">
        <f>SUMIFS(tabela_registros[VALOR],tabela_registros[MÊS],$AE$1,tabela_registros[DIA],reservavariáveisconsolidado282934[[#Headers],[25]],tabela_registros[REGISTRO],DADOS!$N$6,tabela_registros[TIPO],DADOS!$AJ$4,tabela_registros[CATEGORIA],reservavariáveisconsolidado282934[[#This Row],[ATUAL]])</f>
        <v>0</v>
      </c>
      <c r="AD190" s="176">
        <f>SUMIFS(tabela_registros[VALOR],tabela_registros[MÊS],$AE$1,tabela_registros[DIA],reservavariáveisconsolidado282934[[#Headers],[26]],tabela_registros[REGISTRO],DADOS!$N$6,tabela_registros[TIPO],DADOS!$AJ$4,tabela_registros[CATEGORIA],reservavariáveisconsolidado282934[[#This Row],[ATUAL]])</f>
        <v>0</v>
      </c>
      <c r="AE190" s="176">
        <f>SUMIFS(tabela_registros[VALOR],tabela_registros[MÊS],$AE$1,tabela_registros[DIA],reservavariáveisconsolidado282934[[#Headers],[27]],tabela_registros[REGISTRO],DADOS!$N$6,tabela_registros[TIPO],DADOS!$AJ$4,tabela_registros[CATEGORIA],reservavariáveisconsolidado282934[[#This Row],[ATUAL]])</f>
        <v>0</v>
      </c>
      <c r="AF190" s="176">
        <f>SUMIFS(tabela_registros[VALOR],tabela_registros[MÊS],$AE$1,tabela_registros[DIA],reservavariáveisconsolidado282934[[#Headers],[28]],tabela_registros[REGISTRO],DADOS!$N$6,tabela_registros[TIPO],DADOS!$AJ$4,tabela_registros[CATEGORIA],reservavariáveisconsolidado282934[[#This Row],[ATUAL]])</f>
        <v>0</v>
      </c>
      <c r="AG190" s="176">
        <f>SUMIFS(tabela_registros[VALOR],tabela_registros[MÊS],$AE$1,tabela_registros[DIA],reservavariáveisconsolidado282934[[#Headers],[29]],tabela_registros[REGISTRO],DADOS!$N$6,tabela_registros[TIPO],DADOS!$AJ$4,tabela_registros[CATEGORIA],reservavariáveisconsolidado282934[[#This Row],[ATUAL]])</f>
        <v>0</v>
      </c>
      <c r="AH190" s="176">
        <f>SUMIFS(tabela_registros[VALOR],tabela_registros[MÊS],$AE$1,tabela_registros[DIA],reservavariáveisconsolidado282934[[#Headers],[30]],tabela_registros[REGISTRO],DADOS!$N$6,tabela_registros[TIPO],DADOS!$AJ$4,tabela_registros[CATEGORIA],reservavariáveisconsolidado282934[[#This Row],[ATUAL]])</f>
        <v>0</v>
      </c>
      <c r="AI190" s="190">
        <f>SUMIFS(tabela_registros[VALOR],tabela_registros[MÊS],$AE$1,tabela_registros[DIA],reservavariáveisconsolidado282934[[#Headers],[31]],tabela_registros[REGISTRO],DADOS!$N$6,tabela_registros[TIPO],DADOS!$AJ$4,tabela_registros[CATEGORIA],reservavariáveisconsolidado282934[[#This Row],[ATUAL]])</f>
        <v>0</v>
      </c>
      <c r="AJ190" s="167">
        <f>SUM(reservavariáveisconsolidado282934[[#This Row],[1]:[31]])</f>
        <v>0</v>
      </c>
      <c r="AK190" s="25"/>
    </row>
    <row r="191" spans="2:37" ht="19.5" customHeight="1" thickTop="1" thickBot="1" x14ac:dyDescent="0.3">
      <c r="B191" s="28"/>
      <c r="C191" s="27" t="str">
        <f>DADOS!$AN$7</f>
        <v>📝 CRIPTOMOEDA</v>
      </c>
      <c r="D191" s="26" t="str">
        <f>IF(reservavariáveisconsolidado282934[[#This Row],[TOTAL (R$)]]=0,"",IF(OR(reservavariáveisconsolidado282934[[#This Row],[TOTAL (R$)]]=LARGE($AJ$187:$AJ$196,1),reservavariáveisconsolidado282934[[#This Row],[TOTAL (R$)]]=LARGE($AJ$187:$AJ$196,2)),DADOS!$I$11,""))</f>
        <v/>
      </c>
      <c r="E191" s="189">
        <f>SUMIFS(tabela_registros[VALOR],tabela_registros[MÊS],$AE$1,tabela_registros[DIA],reservavariáveisconsolidado282934[[#Headers],[1]],tabela_registros[REGISTRO],DADOS!$N$6,tabela_registros[TIPO],DADOS!$AJ$4,tabela_registros[CATEGORIA],reservavariáveisconsolidado282934[[#This Row],[ATUAL]])</f>
        <v>0</v>
      </c>
      <c r="F191" s="176">
        <f>SUMIFS(tabela_registros[VALOR],tabela_registros[MÊS],$AE$1,tabela_registros[DIA],reservavariáveisconsolidado282934[[#Headers],[2]],tabela_registros[REGISTRO],DADOS!$N$6,tabela_registros[TIPO],DADOS!$AJ$4,tabela_registros[CATEGORIA],reservavariáveisconsolidado282934[[#This Row],[ATUAL]])</f>
        <v>0</v>
      </c>
      <c r="G191" s="176">
        <f>SUMIFS(tabela_registros[VALOR],tabela_registros[MÊS],$AE$1,tabela_registros[DIA],reservavariáveisconsolidado282934[[#Headers],[3]],tabela_registros[REGISTRO],DADOS!$N$6,tabela_registros[TIPO],DADOS!$AJ$4,tabela_registros[CATEGORIA],reservavariáveisconsolidado282934[[#This Row],[ATUAL]])</f>
        <v>0</v>
      </c>
      <c r="H191" s="176">
        <f>SUMIFS(tabela_registros[VALOR],tabela_registros[MÊS],$AE$1,tabela_registros[DIA],reservavariáveisconsolidado282934[[#Headers],[4]],tabela_registros[REGISTRO],DADOS!$N$6,tabela_registros[TIPO],DADOS!$AJ$4,tabela_registros[CATEGORIA],reservavariáveisconsolidado282934[[#This Row],[ATUAL]])</f>
        <v>0</v>
      </c>
      <c r="I191" s="176">
        <f>SUMIFS(tabela_registros[VALOR],tabela_registros[MÊS],$AE$1,tabela_registros[DIA],reservavariáveisconsolidado282934[[#Headers],[5]],tabela_registros[REGISTRO],DADOS!$N$6,tabela_registros[TIPO],DADOS!$AJ$4,tabela_registros[CATEGORIA],reservavariáveisconsolidado282934[[#This Row],[ATUAL]])</f>
        <v>0</v>
      </c>
      <c r="J191" s="176">
        <f>SUMIFS(tabela_registros[VALOR],tabela_registros[MÊS],$AE$1,tabela_registros[DIA],reservavariáveisconsolidado282934[[#Headers],[6]],tabela_registros[REGISTRO],DADOS!$N$6,tabela_registros[TIPO],DADOS!$AJ$4,tabela_registros[CATEGORIA],reservavariáveisconsolidado282934[[#This Row],[ATUAL]])</f>
        <v>0</v>
      </c>
      <c r="K191" s="176">
        <f>SUMIFS(tabela_registros[VALOR],tabela_registros[MÊS],$AE$1,tabela_registros[DIA],reservavariáveisconsolidado282934[[#Headers],[7]],tabela_registros[REGISTRO],DADOS!$N$6,tabela_registros[TIPO],DADOS!$AJ$4,tabela_registros[CATEGORIA],reservavariáveisconsolidado282934[[#This Row],[ATUAL]])</f>
        <v>0</v>
      </c>
      <c r="L191" s="176">
        <f>SUMIFS(tabela_registros[VALOR],tabela_registros[MÊS],$AE$1,tabela_registros[DIA],reservavariáveisconsolidado282934[[#Headers],[8]],tabela_registros[REGISTRO],DADOS!$N$6,tabela_registros[TIPO],DADOS!$AJ$4,tabela_registros[CATEGORIA],reservavariáveisconsolidado282934[[#This Row],[ATUAL]])</f>
        <v>0</v>
      </c>
      <c r="M191" s="176">
        <f>SUMIFS(tabela_registros[VALOR],tabela_registros[MÊS],$AE$1,tabela_registros[DIA],reservavariáveisconsolidado282934[[#Headers],[9]],tabela_registros[REGISTRO],DADOS!$N$6,tabela_registros[TIPO],DADOS!$AJ$4,tabela_registros[CATEGORIA],reservavariáveisconsolidado282934[[#This Row],[ATUAL]])</f>
        <v>0</v>
      </c>
      <c r="N191" s="176">
        <f>SUMIFS(tabela_registros[VALOR],tabela_registros[MÊS],$AE$1,tabela_registros[DIA],reservavariáveisconsolidado282934[[#Headers],[10]],tabela_registros[REGISTRO],DADOS!$N$6,tabela_registros[TIPO],DADOS!$AJ$4,tabela_registros[CATEGORIA],reservavariáveisconsolidado282934[[#This Row],[ATUAL]])</f>
        <v>0</v>
      </c>
      <c r="O191" s="176">
        <f>SUMIFS(tabela_registros[VALOR],tabela_registros[MÊS],$AE$1,tabela_registros[DIA],reservavariáveisconsolidado282934[[#Headers],[11]],tabela_registros[REGISTRO],DADOS!$N$6,tabela_registros[TIPO],DADOS!$AJ$4,tabela_registros[CATEGORIA],reservavariáveisconsolidado282934[[#This Row],[ATUAL]])</f>
        <v>0</v>
      </c>
      <c r="P191" s="176">
        <f>SUMIFS(tabela_registros[VALOR],tabela_registros[MÊS],$AE$1,tabela_registros[DIA],reservavariáveisconsolidado282934[[#Headers],[12]],tabela_registros[REGISTRO],DADOS!$N$6,tabela_registros[TIPO],DADOS!$AJ$4,tabela_registros[CATEGORIA],reservavariáveisconsolidado282934[[#This Row],[ATUAL]])</f>
        <v>0</v>
      </c>
      <c r="Q191" s="176">
        <f>SUMIFS(tabela_registros[VALOR],tabela_registros[MÊS],$AE$1,tabela_registros[DIA],reservavariáveisconsolidado282934[[#Headers],[13]],tabela_registros[REGISTRO],DADOS!$N$6,tabela_registros[TIPO],DADOS!$AJ$4,tabela_registros[CATEGORIA],reservavariáveisconsolidado282934[[#This Row],[ATUAL]])</f>
        <v>0</v>
      </c>
      <c r="R191" s="176">
        <f>SUMIFS(tabela_registros[VALOR],tabela_registros[MÊS],$AE$1,tabela_registros[DIA],reservavariáveisconsolidado282934[[#Headers],[14]],tabela_registros[REGISTRO],DADOS!$N$6,tabela_registros[TIPO],DADOS!$AJ$4,tabela_registros[CATEGORIA],reservavariáveisconsolidado282934[[#This Row],[ATUAL]])</f>
        <v>0</v>
      </c>
      <c r="S191" s="176">
        <f>SUMIFS(tabela_registros[VALOR],tabela_registros[MÊS],$AE$1,tabela_registros[DIA],reservavariáveisconsolidado282934[[#Headers],[15]],tabela_registros[REGISTRO],DADOS!$N$6,tabela_registros[TIPO],DADOS!$AJ$4,tabela_registros[CATEGORIA],reservavariáveisconsolidado282934[[#This Row],[ATUAL]])</f>
        <v>0</v>
      </c>
      <c r="T191" s="176">
        <f>SUMIFS(tabela_registros[VALOR],tabela_registros[MÊS],$AE$1,tabela_registros[DIA],reservavariáveisconsolidado282934[[#Headers],[16]],tabela_registros[REGISTRO],DADOS!$N$6,tabela_registros[TIPO],DADOS!$AJ$4,tabela_registros[CATEGORIA],reservavariáveisconsolidado282934[[#This Row],[ATUAL]])</f>
        <v>0</v>
      </c>
      <c r="U191" s="176">
        <f>SUMIFS(tabela_registros[VALOR],tabela_registros[MÊS],$AE$1,tabela_registros[DIA],reservavariáveisconsolidado282934[[#Headers],[17]],tabela_registros[REGISTRO],DADOS!$N$6,tabela_registros[TIPO],DADOS!$AJ$4,tabela_registros[CATEGORIA],reservavariáveisconsolidado282934[[#This Row],[ATUAL]])</f>
        <v>0</v>
      </c>
      <c r="V191" s="176">
        <f>SUMIFS(tabela_registros[VALOR],tabela_registros[MÊS],$AE$1,tabela_registros[DIA],reservavariáveisconsolidado282934[[#Headers],[18]],tabela_registros[REGISTRO],DADOS!$N$6,tabela_registros[TIPO],DADOS!$AJ$4,tabela_registros[CATEGORIA],reservavariáveisconsolidado282934[[#This Row],[ATUAL]])</f>
        <v>0</v>
      </c>
      <c r="W191" s="176">
        <f>SUMIFS(tabela_registros[VALOR],tabela_registros[MÊS],$AE$1,tabela_registros[DIA],reservavariáveisconsolidado282934[[#Headers],[19]],tabela_registros[REGISTRO],DADOS!$N$6,tabela_registros[TIPO],DADOS!$AJ$4,tabela_registros[CATEGORIA],reservavariáveisconsolidado282934[[#This Row],[ATUAL]])</f>
        <v>0</v>
      </c>
      <c r="X191" s="176">
        <f>SUMIFS(tabela_registros[VALOR],tabela_registros[MÊS],$AE$1,tabela_registros[DIA],reservavariáveisconsolidado282934[[#Headers],[20]],tabela_registros[REGISTRO],DADOS!$N$6,tabela_registros[TIPO],DADOS!$AJ$4,tabela_registros[CATEGORIA],reservavariáveisconsolidado282934[[#This Row],[ATUAL]])</f>
        <v>0</v>
      </c>
      <c r="Y191" s="176">
        <f>SUMIFS(tabela_registros[VALOR],tabela_registros[MÊS],$AE$1,tabela_registros[DIA],reservavariáveisconsolidado282934[[#Headers],[21]],tabela_registros[REGISTRO],DADOS!$N$6,tabela_registros[TIPO],DADOS!$AJ$4,tabela_registros[CATEGORIA],reservavariáveisconsolidado282934[[#This Row],[ATUAL]])</f>
        <v>0</v>
      </c>
      <c r="Z191" s="176">
        <f>SUMIFS(tabela_registros[VALOR],tabela_registros[MÊS],$AE$1,tabela_registros[DIA],reservavariáveisconsolidado282934[[#Headers],[22]],tabela_registros[REGISTRO],DADOS!$N$6,tabela_registros[TIPO],DADOS!$AJ$4,tabela_registros[CATEGORIA],reservavariáveisconsolidado282934[[#This Row],[ATUAL]])</f>
        <v>0</v>
      </c>
      <c r="AA191" s="176">
        <f>SUMIFS(tabela_registros[VALOR],tabela_registros[MÊS],$AE$1,tabela_registros[DIA],reservavariáveisconsolidado282934[[#Headers],[23]],tabela_registros[REGISTRO],DADOS!$N$6,tabela_registros[TIPO],DADOS!$AJ$4,tabela_registros[CATEGORIA],reservavariáveisconsolidado282934[[#This Row],[ATUAL]])</f>
        <v>0</v>
      </c>
      <c r="AB191" s="176">
        <f>SUMIFS(tabela_registros[VALOR],tabela_registros[MÊS],$AE$1,tabela_registros[DIA],reservavariáveisconsolidado282934[[#Headers],[24]],tabela_registros[REGISTRO],DADOS!$N$6,tabela_registros[TIPO],DADOS!$AJ$4,tabela_registros[CATEGORIA],reservavariáveisconsolidado282934[[#This Row],[ATUAL]])</f>
        <v>0</v>
      </c>
      <c r="AC191" s="176">
        <f>SUMIFS(tabela_registros[VALOR],tabela_registros[MÊS],$AE$1,tabela_registros[DIA],reservavariáveisconsolidado282934[[#Headers],[25]],tabela_registros[REGISTRO],DADOS!$N$6,tabela_registros[TIPO],DADOS!$AJ$4,tabela_registros[CATEGORIA],reservavariáveisconsolidado282934[[#This Row],[ATUAL]])</f>
        <v>0</v>
      </c>
      <c r="AD191" s="176">
        <f>SUMIFS(tabela_registros[VALOR],tabela_registros[MÊS],$AE$1,tabela_registros[DIA],reservavariáveisconsolidado282934[[#Headers],[26]],tabela_registros[REGISTRO],DADOS!$N$6,tabela_registros[TIPO],DADOS!$AJ$4,tabela_registros[CATEGORIA],reservavariáveisconsolidado282934[[#This Row],[ATUAL]])</f>
        <v>0</v>
      </c>
      <c r="AE191" s="176">
        <f>SUMIFS(tabela_registros[VALOR],tabela_registros[MÊS],$AE$1,tabela_registros[DIA],reservavariáveisconsolidado282934[[#Headers],[27]],tabela_registros[REGISTRO],DADOS!$N$6,tabela_registros[TIPO],DADOS!$AJ$4,tabela_registros[CATEGORIA],reservavariáveisconsolidado282934[[#This Row],[ATUAL]])</f>
        <v>0</v>
      </c>
      <c r="AF191" s="176">
        <f>SUMIFS(tabela_registros[VALOR],tabela_registros[MÊS],$AE$1,tabela_registros[DIA],reservavariáveisconsolidado282934[[#Headers],[28]],tabela_registros[REGISTRO],DADOS!$N$6,tabela_registros[TIPO],DADOS!$AJ$4,tabela_registros[CATEGORIA],reservavariáveisconsolidado282934[[#This Row],[ATUAL]])</f>
        <v>0</v>
      </c>
      <c r="AG191" s="176">
        <f>SUMIFS(tabela_registros[VALOR],tabela_registros[MÊS],$AE$1,tabela_registros[DIA],reservavariáveisconsolidado282934[[#Headers],[29]],tabela_registros[REGISTRO],DADOS!$N$6,tabela_registros[TIPO],DADOS!$AJ$4,tabela_registros[CATEGORIA],reservavariáveisconsolidado282934[[#This Row],[ATUAL]])</f>
        <v>0</v>
      </c>
      <c r="AH191" s="176">
        <f>SUMIFS(tabela_registros[VALOR],tabela_registros[MÊS],$AE$1,tabela_registros[DIA],reservavariáveisconsolidado282934[[#Headers],[30]],tabela_registros[REGISTRO],DADOS!$N$6,tabela_registros[TIPO],DADOS!$AJ$4,tabela_registros[CATEGORIA],reservavariáveisconsolidado282934[[#This Row],[ATUAL]])</f>
        <v>0</v>
      </c>
      <c r="AI191" s="190">
        <f>SUMIFS(tabela_registros[VALOR],tabela_registros[MÊS],$AE$1,tabela_registros[DIA],reservavariáveisconsolidado282934[[#Headers],[31]],tabela_registros[REGISTRO],DADOS!$N$6,tabela_registros[TIPO],DADOS!$AJ$4,tabela_registros[CATEGORIA],reservavariáveisconsolidado282934[[#This Row],[ATUAL]])</f>
        <v>0</v>
      </c>
      <c r="AJ191" s="167">
        <f>SUM(reservavariáveisconsolidado282934[[#This Row],[1]:[31]])</f>
        <v>0</v>
      </c>
      <c r="AK191" s="25"/>
    </row>
    <row r="192" spans="2:37" ht="19.5" customHeight="1" thickTop="1" thickBot="1" x14ac:dyDescent="0.3">
      <c r="B192" s="28"/>
      <c r="C192" s="27" t="str">
        <f>DADOS!$AN$8</f>
        <v>📝 ETF</v>
      </c>
      <c r="D192" s="26" t="str">
        <f>IF(reservavariáveisconsolidado282934[[#This Row],[TOTAL (R$)]]=0,"",IF(OR(reservavariáveisconsolidado282934[[#This Row],[TOTAL (R$)]]=LARGE($AJ$187:$AJ$196,1),reservavariáveisconsolidado282934[[#This Row],[TOTAL (R$)]]=LARGE($AJ$187:$AJ$196,2)),DADOS!$I$11,""))</f>
        <v/>
      </c>
      <c r="E192" s="189">
        <f>SUMIFS(tabela_registros[VALOR],tabela_registros[MÊS],$AE$1,tabela_registros[DIA],reservavariáveisconsolidado282934[[#Headers],[1]],tabela_registros[REGISTRO],DADOS!$N$6,tabela_registros[TIPO],DADOS!$AJ$4,tabela_registros[CATEGORIA],reservavariáveisconsolidado282934[[#This Row],[ATUAL]])</f>
        <v>0</v>
      </c>
      <c r="F192" s="176">
        <f>SUMIFS(tabela_registros[VALOR],tabela_registros[MÊS],$AE$1,tabela_registros[DIA],reservavariáveisconsolidado282934[[#Headers],[2]],tabela_registros[REGISTRO],DADOS!$N$6,tabela_registros[TIPO],DADOS!$AJ$4,tabela_registros[CATEGORIA],reservavariáveisconsolidado282934[[#This Row],[ATUAL]])</f>
        <v>0</v>
      </c>
      <c r="G192" s="176">
        <f>SUMIFS(tabela_registros[VALOR],tabela_registros[MÊS],$AE$1,tabela_registros[DIA],reservavariáveisconsolidado282934[[#Headers],[3]],tabela_registros[REGISTRO],DADOS!$N$6,tabela_registros[TIPO],DADOS!$AJ$4,tabela_registros[CATEGORIA],reservavariáveisconsolidado282934[[#This Row],[ATUAL]])</f>
        <v>0</v>
      </c>
      <c r="H192" s="176">
        <f>SUMIFS(tabela_registros[VALOR],tabela_registros[MÊS],$AE$1,tabela_registros[DIA],reservavariáveisconsolidado282934[[#Headers],[4]],tabela_registros[REGISTRO],DADOS!$N$6,tabela_registros[TIPO],DADOS!$AJ$4,tabela_registros[CATEGORIA],reservavariáveisconsolidado282934[[#This Row],[ATUAL]])</f>
        <v>0</v>
      </c>
      <c r="I192" s="176">
        <f>SUMIFS(tabela_registros[VALOR],tabela_registros[MÊS],$AE$1,tabela_registros[DIA],reservavariáveisconsolidado282934[[#Headers],[5]],tabela_registros[REGISTRO],DADOS!$N$6,tabela_registros[TIPO],DADOS!$AJ$4,tabela_registros[CATEGORIA],reservavariáveisconsolidado282934[[#This Row],[ATUAL]])</f>
        <v>0</v>
      </c>
      <c r="J192" s="176">
        <f>SUMIFS(tabela_registros[VALOR],tabela_registros[MÊS],$AE$1,tabela_registros[DIA],reservavariáveisconsolidado282934[[#Headers],[6]],tabela_registros[REGISTRO],DADOS!$N$6,tabela_registros[TIPO],DADOS!$AJ$4,tabela_registros[CATEGORIA],reservavariáveisconsolidado282934[[#This Row],[ATUAL]])</f>
        <v>0</v>
      </c>
      <c r="K192" s="176">
        <f>SUMIFS(tabela_registros[VALOR],tabela_registros[MÊS],$AE$1,tabela_registros[DIA],reservavariáveisconsolidado282934[[#Headers],[7]],tabela_registros[REGISTRO],DADOS!$N$6,tabela_registros[TIPO],DADOS!$AJ$4,tabela_registros[CATEGORIA],reservavariáveisconsolidado282934[[#This Row],[ATUAL]])</f>
        <v>0</v>
      </c>
      <c r="L192" s="176">
        <f>SUMIFS(tabela_registros[VALOR],tabela_registros[MÊS],$AE$1,tabela_registros[DIA],reservavariáveisconsolidado282934[[#Headers],[8]],tabela_registros[REGISTRO],DADOS!$N$6,tabela_registros[TIPO],DADOS!$AJ$4,tabela_registros[CATEGORIA],reservavariáveisconsolidado282934[[#This Row],[ATUAL]])</f>
        <v>0</v>
      </c>
      <c r="M192" s="176">
        <f>SUMIFS(tabela_registros[VALOR],tabela_registros[MÊS],$AE$1,tabela_registros[DIA],reservavariáveisconsolidado282934[[#Headers],[9]],tabela_registros[REGISTRO],DADOS!$N$6,tabela_registros[TIPO],DADOS!$AJ$4,tabela_registros[CATEGORIA],reservavariáveisconsolidado282934[[#This Row],[ATUAL]])</f>
        <v>0</v>
      </c>
      <c r="N192" s="176">
        <f>SUMIFS(tabela_registros[VALOR],tabela_registros[MÊS],$AE$1,tabela_registros[DIA],reservavariáveisconsolidado282934[[#Headers],[10]],tabela_registros[REGISTRO],DADOS!$N$6,tabela_registros[TIPO],DADOS!$AJ$4,tabela_registros[CATEGORIA],reservavariáveisconsolidado282934[[#This Row],[ATUAL]])</f>
        <v>0</v>
      </c>
      <c r="O192" s="176">
        <f>SUMIFS(tabela_registros[VALOR],tabela_registros[MÊS],$AE$1,tabela_registros[DIA],reservavariáveisconsolidado282934[[#Headers],[11]],tabela_registros[REGISTRO],DADOS!$N$6,tabela_registros[TIPO],DADOS!$AJ$4,tabela_registros[CATEGORIA],reservavariáveisconsolidado282934[[#This Row],[ATUAL]])</f>
        <v>0</v>
      </c>
      <c r="P192" s="176">
        <f>SUMIFS(tabela_registros[VALOR],tabela_registros[MÊS],$AE$1,tabela_registros[DIA],reservavariáveisconsolidado282934[[#Headers],[12]],tabela_registros[REGISTRO],DADOS!$N$6,tabela_registros[TIPO],DADOS!$AJ$4,tabela_registros[CATEGORIA],reservavariáveisconsolidado282934[[#This Row],[ATUAL]])</f>
        <v>0</v>
      </c>
      <c r="Q192" s="176">
        <f>SUMIFS(tabela_registros[VALOR],tabela_registros[MÊS],$AE$1,tabela_registros[DIA],reservavariáveisconsolidado282934[[#Headers],[13]],tabela_registros[REGISTRO],DADOS!$N$6,tabela_registros[TIPO],DADOS!$AJ$4,tabela_registros[CATEGORIA],reservavariáveisconsolidado282934[[#This Row],[ATUAL]])</f>
        <v>0</v>
      </c>
      <c r="R192" s="176">
        <f>SUMIFS(tabela_registros[VALOR],tabela_registros[MÊS],$AE$1,tabela_registros[DIA],reservavariáveisconsolidado282934[[#Headers],[14]],tabela_registros[REGISTRO],DADOS!$N$6,tabela_registros[TIPO],DADOS!$AJ$4,tabela_registros[CATEGORIA],reservavariáveisconsolidado282934[[#This Row],[ATUAL]])</f>
        <v>0</v>
      </c>
      <c r="S192" s="176">
        <f>SUMIFS(tabela_registros[VALOR],tabela_registros[MÊS],$AE$1,tabela_registros[DIA],reservavariáveisconsolidado282934[[#Headers],[15]],tabela_registros[REGISTRO],DADOS!$N$6,tabela_registros[TIPO],DADOS!$AJ$4,tabela_registros[CATEGORIA],reservavariáveisconsolidado282934[[#This Row],[ATUAL]])</f>
        <v>0</v>
      </c>
      <c r="T192" s="176">
        <f>SUMIFS(tabela_registros[VALOR],tabela_registros[MÊS],$AE$1,tabela_registros[DIA],reservavariáveisconsolidado282934[[#Headers],[16]],tabela_registros[REGISTRO],DADOS!$N$6,tabela_registros[TIPO],DADOS!$AJ$4,tabela_registros[CATEGORIA],reservavariáveisconsolidado282934[[#This Row],[ATUAL]])</f>
        <v>0</v>
      </c>
      <c r="U192" s="176">
        <f>SUMIFS(tabela_registros[VALOR],tabela_registros[MÊS],$AE$1,tabela_registros[DIA],reservavariáveisconsolidado282934[[#Headers],[17]],tabela_registros[REGISTRO],DADOS!$N$6,tabela_registros[TIPO],DADOS!$AJ$4,tabela_registros[CATEGORIA],reservavariáveisconsolidado282934[[#This Row],[ATUAL]])</f>
        <v>0</v>
      </c>
      <c r="V192" s="176">
        <f>SUMIFS(tabela_registros[VALOR],tabela_registros[MÊS],$AE$1,tabela_registros[DIA],reservavariáveisconsolidado282934[[#Headers],[18]],tabela_registros[REGISTRO],DADOS!$N$6,tabela_registros[TIPO],DADOS!$AJ$4,tabela_registros[CATEGORIA],reservavariáveisconsolidado282934[[#This Row],[ATUAL]])</f>
        <v>0</v>
      </c>
      <c r="W192" s="176">
        <f>SUMIFS(tabela_registros[VALOR],tabela_registros[MÊS],$AE$1,tabela_registros[DIA],reservavariáveisconsolidado282934[[#Headers],[19]],tabela_registros[REGISTRO],DADOS!$N$6,tabela_registros[TIPO],DADOS!$AJ$4,tabela_registros[CATEGORIA],reservavariáveisconsolidado282934[[#This Row],[ATUAL]])</f>
        <v>0</v>
      </c>
      <c r="X192" s="176">
        <f>SUMIFS(tabela_registros[VALOR],tabela_registros[MÊS],$AE$1,tabela_registros[DIA],reservavariáveisconsolidado282934[[#Headers],[20]],tabela_registros[REGISTRO],DADOS!$N$6,tabela_registros[TIPO],DADOS!$AJ$4,tabela_registros[CATEGORIA],reservavariáveisconsolidado282934[[#This Row],[ATUAL]])</f>
        <v>0</v>
      </c>
      <c r="Y192" s="176">
        <f>SUMIFS(tabela_registros[VALOR],tabela_registros[MÊS],$AE$1,tabela_registros[DIA],reservavariáveisconsolidado282934[[#Headers],[21]],tabela_registros[REGISTRO],DADOS!$N$6,tabela_registros[TIPO],DADOS!$AJ$4,tabela_registros[CATEGORIA],reservavariáveisconsolidado282934[[#This Row],[ATUAL]])</f>
        <v>0</v>
      </c>
      <c r="Z192" s="176">
        <f>SUMIFS(tabela_registros[VALOR],tabela_registros[MÊS],$AE$1,tabela_registros[DIA],reservavariáveisconsolidado282934[[#Headers],[22]],tabela_registros[REGISTRO],DADOS!$N$6,tabela_registros[TIPO],DADOS!$AJ$4,tabela_registros[CATEGORIA],reservavariáveisconsolidado282934[[#This Row],[ATUAL]])</f>
        <v>0</v>
      </c>
      <c r="AA192" s="176">
        <f>SUMIFS(tabela_registros[VALOR],tabela_registros[MÊS],$AE$1,tabela_registros[DIA],reservavariáveisconsolidado282934[[#Headers],[23]],tabela_registros[REGISTRO],DADOS!$N$6,tabela_registros[TIPO],DADOS!$AJ$4,tabela_registros[CATEGORIA],reservavariáveisconsolidado282934[[#This Row],[ATUAL]])</f>
        <v>0</v>
      </c>
      <c r="AB192" s="176">
        <f>SUMIFS(tabela_registros[VALOR],tabela_registros[MÊS],$AE$1,tabela_registros[DIA],reservavariáveisconsolidado282934[[#Headers],[24]],tabela_registros[REGISTRO],DADOS!$N$6,tabela_registros[TIPO],DADOS!$AJ$4,tabela_registros[CATEGORIA],reservavariáveisconsolidado282934[[#This Row],[ATUAL]])</f>
        <v>0</v>
      </c>
      <c r="AC192" s="176">
        <f>SUMIFS(tabela_registros[VALOR],tabela_registros[MÊS],$AE$1,tabela_registros[DIA],reservavariáveisconsolidado282934[[#Headers],[25]],tabela_registros[REGISTRO],DADOS!$N$6,tabela_registros[TIPO],DADOS!$AJ$4,tabela_registros[CATEGORIA],reservavariáveisconsolidado282934[[#This Row],[ATUAL]])</f>
        <v>0</v>
      </c>
      <c r="AD192" s="176">
        <f>SUMIFS(tabela_registros[VALOR],tabela_registros[MÊS],$AE$1,tabela_registros[DIA],reservavariáveisconsolidado282934[[#Headers],[26]],tabela_registros[REGISTRO],DADOS!$N$6,tabela_registros[TIPO],DADOS!$AJ$4,tabela_registros[CATEGORIA],reservavariáveisconsolidado282934[[#This Row],[ATUAL]])</f>
        <v>0</v>
      </c>
      <c r="AE192" s="176">
        <f>SUMIFS(tabela_registros[VALOR],tabela_registros[MÊS],$AE$1,tabela_registros[DIA],reservavariáveisconsolidado282934[[#Headers],[27]],tabela_registros[REGISTRO],DADOS!$N$6,tabela_registros[TIPO],DADOS!$AJ$4,tabela_registros[CATEGORIA],reservavariáveisconsolidado282934[[#This Row],[ATUAL]])</f>
        <v>0</v>
      </c>
      <c r="AF192" s="176">
        <f>SUMIFS(tabela_registros[VALOR],tabela_registros[MÊS],$AE$1,tabela_registros[DIA],reservavariáveisconsolidado282934[[#Headers],[28]],tabela_registros[REGISTRO],DADOS!$N$6,tabela_registros[TIPO],DADOS!$AJ$4,tabela_registros[CATEGORIA],reservavariáveisconsolidado282934[[#This Row],[ATUAL]])</f>
        <v>0</v>
      </c>
      <c r="AG192" s="176">
        <f>SUMIFS(tabela_registros[VALOR],tabela_registros[MÊS],$AE$1,tabela_registros[DIA],reservavariáveisconsolidado282934[[#Headers],[29]],tabela_registros[REGISTRO],DADOS!$N$6,tabela_registros[TIPO],DADOS!$AJ$4,tabela_registros[CATEGORIA],reservavariáveisconsolidado282934[[#This Row],[ATUAL]])</f>
        <v>0</v>
      </c>
      <c r="AH192" s="176">
        <f>SUMIFS(tabela_registros[VALOR],tabela_registros[MÊS],$AE$1,tabela_registros[DIA],reservavariáveisconsolidado282934[[#Headers],[30]],tabela_registros[REGISTRO],DADOS!$N$6,tabela_registros[TIPO],DADOS!$AJ$4,tabela_registros[CATEGORIA],reservavariáveisconsolidado282934[[#This Row],[ATUAL]])</f>
        <v>0</v>
      </c>
      <c r="AI192" s="190">
        <f>SUMIFS(tabela_registros[VALOR],tabela_registros[MÊS],$AE$1,tabela_registros[DIA],reservavariáveisconsolidado282934[[#Headers],[31]],tabela_registros[REGISTRO],DADOS!$N$6,tabela_registros[TIPO],DADOS!$AJ$4,tabela_registros[CATEGORIA],reservavariáveisconsolidado282934[[#This Row],[ATUAL]])</f>
        <v>0</v>
      </c>
      <c r="AJ192" s="167">
        <f>SUM(reservavariáveisconsolidado282934[[#This Row],[1]:[31]])</f>
        <v>0</v>
      </c>
      <c r="AK192" s="25"/>
    </row>
    <row r="193" spans="2:37" ht="19.5" customHeight="1" thickTop="1" thickBot="1" x14ac:dyDescent="0.3">
      <c r="B193" s="28"/>
      <c r="C193" s="27" t="str">
        <f>DADOS!$AN$9</f>
        <v>📝 EXTERIOR</v>
      </c>
      <c r="D193" s="26" t="str">
        <f>IF(reservavariáveisconsolidado282934[[#This Row],[TOTAL (R$)]]=0,"",IF(OR(reservavariáveisconsolidado282934[[#This Row],[TOTAL (R$)]]=LARGE($AJ$187:$AJ$196,1),reservavariáveisconsolidado282934[[#This Row],[TOTAL (R$)]]=LARGE($AJ$187:$AJ$196,2)),DADOS!$I$11,""))</f>
        <v/>
      </c>
      <c r="E193" s="189">
        <f>SUMIFS(tabela_registros[VALOR],tabela_registros[MÊS],$AE$1,tabela_registros[DIA],reservavariáveisconsolidado282934[[#Headers],[1]],tabela_registros[REGISTRO],DADOS!$N$6,tabela_registros[TIPO],DADOS!$AJ$4,tabela_registros[CATEGORIA],reservavariáveisconsolidado282934[[#This Row],[ATUAL]])</f>
        <v>0</v>
      </c>
      <c r="F193" s="176">
        <f>SUMIFS(tabela_registros[VALOR],tabela_registros[MÊS],$AE$1,tabela_registros[DIA],reservavariáveisconsolidado282934[[#Headers],[2]],tabela_registros[REGISTRO],DADOS!$N$6,tabela_registros[TIPO],DADOS!$AJ$4,tabela_registros[CATEGORIA],reservavariáveisconsolidado282934[[#This Row],[ATUAL]])</f>
        <v>0</v>
      </c>
      <c r="G193" s="176">
        <f>SUMIFS(tabela_registros[VALOR],tabela_registros[MÊS],$AE$1,tabela_registros[DIA],reservavariáveisconsolidado282934[[#Headers],[3]],tabela_registros[REGISTRO],DADOS!$N$6,tabela_registros[TIPO],DADOS!$AJ$4,tabela_registros[CATEGORIA],reservavariáveisconsolidado282934[[#This Row],[ATUAL]])</f>
        <v>0</v>
      </c>
      <c r="H193" s="176">
        <f>SUMIFS(tabela_registros[VALOR],tabela_registros[MÊS],$AE$1,tabela_registros[DIA],reservavariáveisconsolidado282934[[#Headers],[4]],tabela_registros[REGISTRO],DADOS!$N$6,tabela_registros[TIPO],DADOS!$AJ$4,tabela_registros[CATEGORIA],reservavariáveisconsolidado282934[[#This Row],[ATUAL]])</f>
        <v>0</v>
      </c>
      <c r="I193" s="176">
        <f>SUMIFS(tabela_registros[VALOR],tabela_registros[MÊS],$AE$1,tabela_registros[DIA],reservavariáveisconsolidado282934[[#Headers],[5]],tabela_registros[REGISTRO],DADOS!$N$6,tabela_registros[TIPO],DADOS!$AJ$4,tabela_registros[CATEGORIA],reservavariáveisconsolidado282934[[#This Row],[ATUAL]])</f>
        <v>0</v>
      </c>
      <c r="J193" s="176">
        <f>SUMIFS(tabela_registros[VALOR],tabela_registros[MÊS],$AE$1,tabela_registros[DIA],reservavariáveisconsolidado282934[[#Headers],[6]],tabela_registros[REGISTRO],DADOS!$N$6,tabela_registros[TIPO],DADOS!$AJ$4,tabela_registros[CATEGORIA],reservavariáveisconsolidado282934[[#This Row],[ATUAL]])</f>
        <v>0</v>
      </c>
      <c r="K193" s="176">
        <f>SUMIFS(tabela_registros[VALOR],tabela_registros[MÊS],$AE$1,tabela_registros[DIA],reservavariáveisconsolidado282934[[#Headers],[7]],tabela_registros[REGISTRO],DADOS!$N$6,tabela_registros[TIPO],DADOS!$AJ$4,tabela_registros[CATEGORIA],reservavariáveisconsolidado282934[[#This Row],[ATUAL]])</f>
        <v>0</v>
      </c>
      <c r="L193" s="176">
        <f>SUMIFS(tabela_registros[VALOR],tabela_registros[MÊS],$AE$1,tabela_registros[DIA],reservavariáveisconsolidado282934[[#Headers],[8]],tabela_registros[REGISTRO],DADOS!$N$6,tabela_registros[TIPO],DADOS!$AJ$4,tabela_registros[CATEGORIA],reservavariáveisconsolidado282934[[#This Row],[ATUAL]])</f>
        <v>0</v>
      </c>
      <c r="M193" s="176">
        <f>SUMIFS(tabela_registros[VALOR],tabela_registros[MÊS],$AE$1,tabela_registros[DIA],reservavariáveisconsolidado282934[[#Headers],[9]],tabela_registros[REGISTRO],DADOS!$N$6,tabela_registros[TIPO],DADOS!$AJ$4,tabela_registros[CATEGORIA],reservavariáveisconsolidado282934[[#This Row],[ATUAL]])</f>
        <v>0</v>
      </c>
      <c r="N193" s="176">
        <f>SUMIFS(tabela_registros[VALOR],tabela_registros[MÊS],$AE$1,tabela_registros[DIA],reservavariáveisconsolidado282934[[#Headers],[10]],tabela_registros[REGISTRO],DADOS!$N$6,tabela_registros[TIPO],DADOS!$AJ$4,tabela_registros[CATEGORIA],reservavariáveisconsolidado282934[[#This Row],[ATUAL]])</f>
        <v>0</v>
      </c>
      <c r="O193" s="176">
        <f>SUMIFS(tabela_registros[VALOR],tabela_registros[MÊS],$AE$1,tabela_registros[DIA],reservavariáveisconsolidado282934[[#Headers],[11]],tabela_registros[REGISTRO],DADOS!$N$6,tabela_registros[TIPO],DADOS!$AJ$4,tabela_registros[CATEGORIA],reservavariáveisconsolidado282934[[#This Row],[ATUAL]])</f>
        <v>0</v>
      </c>
      <c r="P193" s="176">
        <f>SUMIFS(tabela_registros[VALOR],tabela_registros[MÊS],$AE$1,tabela_registros[DIA],reservavariáveisconsolidado282934[[#Headers],[12]],tabela_registros[REGISTRO],DADOS!$N$6,tabela_registros[TIPO],DADOS!$AJ$4,tabela_registros[CATEGORIA],reservavariáveisconsolidado282934[[#This Row],[ATUAL]])</f>
        <v>0</v>
      </c>
      <c r="Q193" s="176">
        <f>SUMIFS(tabela_registros[VALOR],tabela_registros[MÊS],$AE$1,tabela_registros[DIA],reservavariáveisconsolidado282934[[#Headers],[13]],tabela_registros[REGISTRO],DADOS!$N$6,tabela_registros[TIPO],DADOS!$AJ$4,tabela_registros[CATEGORIA],reservavariáveisconsolidado282934[[#This Row],[ATUAL]])</f>
        <v>0</v>
      </c>
      <c r="R193" s="176">
        <f>SUMIFS(tabela_registros[VALOR],tabela_registros[MÊS],$AE$1,tabela_registros[DIA],reservavariáveisconsolidado282934[[#Headers],[14]],tabela_registros[REGISTRO],DADOS!$N$6,tabela_registros[TIPO],DADOS!$AJ$4,tabela_registros[CATEGORIA],reservavariáveisconsolidado282934[[#This Row],[ATUAL]])</f>
        <v>0</v>
      </c>
      <c r="S193" s="176">
        <f>SUMIFS(tabela_registros[VALOR],tabela_registros[MÊS],$AE$1,tabela_registros[DIA],reservavariáveisconsolidado282934[[#Headers],[15]],tabela_registros[REGISTRO],DADOS!$N$6,tabela_registros[TIPO],DADOS!$AJ$4,tabela_registros[CATEGORIA],reservavariáveisconsolidado282934[[#This Row],[ATUAL]])</f>
        <v>0</v>
      </c>
      <c r="T193" s="176">
        <f>SUMIFS(tabela_registros[VALOR],tabela_registros[MÊS],$AE$1,tabela_registros[DIA],reservavariáveisconsolidado282934[[#Headers],[16]],tabela_registros[REGISTRO],DADOS!$N$6,tabela_registros[TIPO],DADOS!$AJ$4,tabela_registros[CATEGORIA],reservavariáveisconsolidado282934[[#This Row],[ATUAL]])</f>
        <v>0</v>
      </c>
      <c r="U193" s="176">
        <f>SUMIFS(tabela_registros[VALOR],tabela_registros[MÊS],$AE$1,tabela_registros[DIA],reservavariáveisconsolidado282934[[#Headers],[17]],tabela_registros[REGISTRO],DADOS!$N$6,tabela_registros[TIPO],DADOS!$AJ$4,tabela_registros[CATEGORIA],reservavariáveisconsolidado282934[[#This Row],[ATUAL]])</f>
        <v>0</v>
      </c>
      <c r="V193" s="176">
        <f>SUMIFS(tabela_registros[VALOR],tabela_registros[MÊS],$AE$1,tabela_registros[DIA],reservavariáveisconsolidado282934[[#Headers],[18]],tabela_registros[REGISTRO],DADOS!$N$6,tabela_registros[TIPO],DADOS!$AJ$4,tabela_registros[CATEGORIA],reservavariáveisconsolidado282934[[#This Row],[ATUAL]])</f>
        <v>0</v>
      </c>
      <c r="W193" s="176">
        <f>SUMIFS(tabela_registros[VALOR],tabela_registros[MÊS],$AE$1,tabela_registros[DIA],reservavariáveisconsolidado282934[[#Headers],[19]],tabela_registros[REGISTRO],DADOS!$N$6,tabela_registros[TIPO],DADOS!$AJ$4,tabela_registros[CATEGORIA],reservavariáveisconsolidado282934[[#This Row],[ATUAL]])</f>
        <v>0</v>
      </c>
      <c r="X193" s="176">
        <f>SUMIFS(tabela_registros[VALOR],tabela_registros[MÊS],$AE$1,tabela_registros[DIA],reservavariáveisconsolidado282934[[#Headers],[20]],tabela_registros[REGISTRO],DADOS!$N$6,tabela_registros[TIPO],DADOS!$AJ$4,tabela_registros[CATEGORIA],reservavariáveisconsolidado282934[[#This Row],[ATUAL]])</f>
        <v>0</v>
      </c>
      <c r="Y193" s="176">
        <f>SUMIFS(tabela_registros[VALOR],tabela_registros[MÊS],$AE$1,tabela_registros[DIA],reservavariáveisconsolidado282934[[#Headers],[21]],tabela_registros[REGISTRO],DADOS!$N$6,tabela_registros[TIPO],DADOS!$AJ$4,tabela_registros[CATEGORIA],reservavariáveisconsolidado282934[[#This Row],[ATUAL]])</f>
        <v>0</v>
      </c>
      <c r="Z193" s="176">
        <f>SUMIFS(tabela_registros[VALOR],tabela_registros[MÊS],$AE$1,tabela_registros[DIA],reservavariáveisconsolidado282934[[#Headers],[22]],tabela_registros[REGISTRO],DADOS!$N$6,tabela_registros[TIPO],DADOS!$AJ$4,tabela_registros[CATEGORIA],reservavariáveisconsolidado282934[[#This Row],[ATUAL]])</f>
        <v>0</v>
      </c>
      <c r="AA193" s="176">
        <f>SUMIFS(tabela_registros[VALOR],tabela_registros[MÊS],$AE$1,tabela_registros[DIA],reservavariáveisconsolidado282934[[#Headers],[23]],tabela_registros[REGISTRO],DADOS!$N$6,tabela_registros[TIPO],DADOS!$AJ$4,tabela_registros[CATEGORIA],reservavariáveisconsolidado282934[[#This Row],[ATUAL]])</f>
        <v>0</v>
      </c>
      <c r="AB193" s="176">
        <f>SUMIFS(tabela_registros[VALOR],tabela_registros[MÊS],$AE$1,tabela_registros[DIA],reservavariáveisconsolidado282934[[#Headers],[24]],tabela_registros[REGISTRO],DADOS!$N$6,tabela_registros[TIPO],DADOS!$AJ$4,tabela_registros[CATEGORIA],reservavariáveisconsolidado282934[[#This Row],[ATUAL]])</f>
        <v>0</v>
      </c>
      <c r="AC193" s="176">
        <f>SUMIFS(tabela_registros[VALOR],tabela_registros[MÊS],$AE$1,tabela_registros[DIA],reservavariáveisconsolidado282934[[#Headers],[25]],tabela_registros[REGISTRO],DADOS!$N$6,tabela_registros[TIPO],DADOS!$AJ$4,tabela_registros[CATEGORIA],reservavariáveisconsolidado282934[[#This Row],[ATUAL]])</f>
        <v>0</v>
      </c>
      <c r="AD193" s="176">
        <f>SUMIFS(tabela_registros[VALOR],tabela_registros[MÊS],$AE$1,tabela_registros[DIA],reservavariáveisconsolidado282934[[#Headers],[26]],tabela_registros[REGISTRO],DADOS!$N$6,tabela_registros[TIPO],DADOS!$AJ$4,tabela_registros[CATEGORIA],reservavariáveisconsolidado282934[[#This Row],[ATUAL]])</f>
        <v>0</v>
      </c>
      <c r="AE193" s="176">
        <f>SUMIFS(tabela_registros[VALOR],tabela_registros[MÊS],$AE$1,tabela_registros[DIA],reservavariáveisconsolidado282934[[#Headers],[27]],tabela_registros[REGISTRO],DADOS!$N$6,tabela_registros[TIPO],DADOS!$AJ$4,tabela_registros[CATEGORIA],reservavariáveisconsolidado282934[[#This Row],[ATUAL]])</f>
        <v>0</v>
      </c>
      <c r="AF193" s="176">
        <f>SUMIFS(tabela_registros[VALOR],tabela_registros[MÊS],$AE$1,tabela_registros[DIA],reservavariáveisconsolidado282934[[#Headers],[28]],tabela_registros[REGISTRO],DADOS!$N$6,tabela_registros[TIPO],DADOS!$AJ$4,tabela_registros[CATEGORIA],reservavariáveisconsolidado282934[[#This Row],[ATUAL]])</f>
        <v>0</v>
      </c>
      <c r="AG193" s="176">
        <f>SUMIFS(tabela_registros[VALOR],tabela_registros[MÊS],$AE$1,tabela_registros[DIA],reservavariáveisconsolidado282934[[#Headers],[29]],tabela_registros[REGISTRO],DADOS!$N$6,tabela_registros[TIPO],DADOS!$AJ$4,tabela_registros[CATEGORIA],reservavariáveisconsolidado282934[[#This Row],[ATUAL]])</f>
        <v>0</v>
      </c>
      <c r="AH193" s="176">
        <f>SUMIFS(tabela_registros[VALOR],tabela_registros[MÊS],$AE$1,tabela_registros[DIA],reservavariáveisconsolidado282934[[#Headers],[30]],tabela_registros[REGISTRO],DADOS!$N$6,tabela_registros[TIPO],DADOS!$AJ$4,tabela_registros[CATEGORIA],reservavariáveisconsolidado282934[[#This Row],[ATUAL]])</f>
        <v>0</v>
      </c>
      <c r="AI193" s="190">
        <f>SUMIFS(tabela_registros[VALOR],tabela_registros[MÊS],$AE$1,tabela_registros[DIA],reservavariáveisconsolidado282934[[#Headers],[31]],tabela_registros[REGISTRO],DADOS!$N$6,tabela_registros[TIPO],DADOS!$AJ$4,tabela_registros[CATEGORIA],reservavariáveisconsolidado282934[[#This Row],[ATUAL]])</f>
        <v>0</v>
      </c>
      <c r="AJ193" s="167">
        <f>SUM(reservavariáveisconsolidado282934[[#This Row],[1]:[31]])</f>
        <v>0</v>
      </c>
      <c r="AK193" s="25"/>
    </row>
    <row r="194" spans="2:37" ht="19.5" customHeight="1" thickTop="1" thickBot="1" x14ac:dyDescent="0.3">
      <c r="B194" s="28"/>
      <c r="C194" s="27" t="str">
        <f>DADOS!$AN$10</f>
        <v>📝 FII</v>
      </c>
      <c r="D194" s="26" t="str">
        <f>IF(reservavariáveisconsolidado282934[[#This Row],[TOTAL (R$)]]=0,"",IF(OR(reservavariáveisconsolidado282934[[#This Row],[TOTAL (R$)]]=LARGE($AJ$187:$AJ$196,1),reservavariáveisconsolidado282934[[#This Row],[TOTAL (R$)]]=LARGE($AJ$187:$AJ$196,2)),DADOS!$I$11,""))</f>
        <v/>
      </c>
      <c r="E194" s="189">
        <f>SUMIFS(tabela_registros[VALOR],tabela_registros[MÊS],$AE$1,tabela_registros[DIA],reservavariáveisconsolidado282934[[#Headers],[1]],tabela_registros[REGISTRO],DADOS!$N$6,tabela_registros[TIPO],DADOS!$AJ$4,tabela_registros[CATEGORIA],reservavariáveisconsolidado282934[[#This Row],[ATUAL]])</f>
        <v>0</v>
      </c>
      <c r="F194" s="176">
        <f>SUMIFS(tabela_registros[VALOR],tabela_registros[MÊS],$AE$1,tabela_registros[DIA],reservavariáveisconsolidado282934[[#Headers],[2]],tabela_registros[REGISTRO],DADOS!$N$6,tabela_registros[TIPO],DADOS!$AJ$4,tabela_registros[CATEGORIA],reservavariáveisconsolidado282934[[#This Row],[ATUAL]])</f>
        <v>0</v>
      </c>
      <c r="G194" s="176">
        <f>SUMIFS(tabela_registros[VALOR],tabela_registros[MÊS],$AE$1,tabela_registros[DIA],reservavariáveisconsolidado282934[[#Headers],[3]],tabela_registros[REGISTRO],DADOS!$N$6,tabela_registros[TIPO],DADOS!$AJ$4,tabela_registros[CATEGORIA],reservavariáveisconsolidado282934[[#This Row],[ATUAL]])</f>
        <v>0</v>
      </c>
      <c r="H194" s="176">
        <f>SUMIFS(tabela_registros[VALOR],tabela_registros[MÊS],$AE$1,tabela_registros[DIA],reservavariáveisconsolidado282934[[#Headers],[4]],tabela_registros[REGISTRO],DADOS!$N$6,tabela_registros[TIPO],DADOS!$AJ$4,tabela_registros[CATEGORIA],reservavariáveisconsolidado282934[[#This Row],[ATUAL]])</f>
        <v>0</v>
      </c>
      <c r="I194" s="176">
        <f>SUMIFS(tabela_registros[VALOR],tabela_registros[MÊS],$AE$1,tabela_registros[DIA],reservavariáveisconsolidado282934[[#Headers],[5]],tabela_registros[REGISTRO],DADOS!$N$6,tabela_registros[TIPO],DADOS!$AJ$4,tabela_registros[CATEGORIA],reservavariáveisconsolidado282934[[#This Row],[ATUAL]])</f>
        <v>0</v>
      </c>
      <c r="J194" s="176">
        <f>SUMIFS(tabela_registros[VALOR],tabela_registros[MÊS],$AE$1,tabela_registros[DIA],reservavariáveisconsolidado282934[[#Headers],[6]],tabela_registros[REGISTRO],DADOS!$N$6,tabela_registros[TIPO],DADOS!$AJ$4,tabela_registros[CATEGORIA],reservavariáveisconsolidado282934[[#This Row],[ATUAL]])</f>
        <v>0</v>
      </c>
      <c r="K194" s="176">
        <f>SUMIFS(tabela_registros[VALOR],tabela_registros[MÊS],$AE$1,tabela_registros[DIA],reservavariáveisconsolidado282934[[#Headers],[7]],tabela_registros[REGISTRO],DADOS!$N$6,tabela_registros[TIPO],DADOS!$AJ$4,tabela_registros[CATEGORIA],reservavariáveisconsolidado282934[[#This Row],[ATUAL]])</f>
        <v>0</v>
      </c>
      <c r="L194" s="176">
        <f>SUMIFS(tabela_registros[VALOR],tabela_registros[MÊS],$AE$1,tabela_registros[DIA],reservavariáveisconsolidado282934[[#Headers],[8]],tabela_registros[REGISTRO],DADOS!$N$6,tabela_registros[TIPO],DADOS!$AJ$4,tabela_registros[CATEGORIA],reservavariáveisconsolidado282934[[#This Row],[ATUAL]])</f>
        <v>0</v>
      </c>
      <c r="M194" s="176">
        <f>SUMIFS(tabela_registros[VALOR],tabela_registros[MÊS],$AE$1,tabela_registros[DIA],reservavariáveisconsolidado282934[[#Headers],[9]],tabela_registros[REGISTRO],DADOS!$N$6,tabela_registros[TIPO],DADOS!$AJ$4,tabela_registros[CATEGORIA],reservavariáveisconsolidado282934[[#This Row],[ATUAL]])</f>
        <v>0</v>
      </c>
      <c r="N194" s="176">
        <f>SUMIFS(tabela_registros[VALOR],tabela_registros[MÊS],$AE$1,tabela_registros[DIA],reservavariáveisconsolidado282934[[#Headers],[10]],tabela_registros[REGISTRO],DADOS!$N$6,tabela_registros[TIPO],DADOS!$AJ$4,tabela_registros[CATEGORIA],reservavariáveisconsolidado282934[[#This Row],[ATUAL]])</f>
        <v>0</v>
      </c>
      <c r="O194" s="176">
        <f>SUMIFS(tabela_registros[VALOR],tabela_registros[MÊS],$AE$1,tabela_registros[DIA],reservavariáveisconsolidado282934[[#Headers],[11]],tabela_registros[REGISTRO],DADOS!$N$6,tabela_registros[TIPO],DADOS!$AJ$4,tabela_registros[CATEGORIA],reservavariáveisconsolidado282934[[#This Row],[ATUAL]])</f>
        <v>0</v>
      </c>
      <c r="P194" s="176">
        <f>SUMIFS(tabela_registros[VALOR],tabela_registros[MÊS],$AE$1,tabela_registros[DIA],reservavariáveisconsolidado282934[[#Headers],[12]],tabela_registros[REGISTRO],DADOS!$N$6,tabela_registros[TIPO],DADOS!$AJ$4,tabela_registros[CATEGORIA],reservavariáveisconsolidado282934[[#This Row],[ATUAL]])</f>
        <v>0</v>
      </c>
      <c r="Q194" s="176">
        <f>SUMIFS(tabela_registros[VALOR],tabela_registros[MÊS],$AE$1,tabela_registros[DIA],reservavariáveisconsolidado282934[[#Headers],[13]],tabela_registros[REGISTRO],DADOS!$N$6,tabela_registros[TIPO],DADOS!$AJ$4,tabela_registros[CATEGORIA],reservavariáveisconsolidado282934[[#This Row],[ATUAL]])</f>
        <v>0</v>
      </c>
      <c r="R194" s="176">
        <f>SUMIFS(tabela_registros[VALOR],tabela_registros[MÊS],$AE$1,tabela_registros[DIA],reservavariáveisconsolidado282934[[#Headers],[14]],tabela_registros[REGISTRO],DADOS!$N$6,tabela_registros[TIPO],DADOS!$AJ$4,tabela_registros[CATEGORIA],reservavariáveisconsolidado282934[[#This Row],[ATUAL]])</f>
        <v>0</v>
      </c>
      <c r="S194" s="176">
        <f>SUMIFS(tabela_registros[VALOR],tabela_registros[MÊS],$AE$1,tabela_registros[DIA],reservavariáveisconsolidado282934[[#Headers],[15]],tabela_registros[REGISTRO],DADOS!$N$6,tabela_registros[TIPO],DADOS!$AJ$4,tabela_registros[CATEGORIA],reservavariáveisconsolidado282934[[#This Row],[ATUAL]])</f>
        <v>0</v>
      </c>
      <c r="T194" s="176">
        <f>SUMIFS(tabela_registros[VALOR],tabela_registros[MÊS],$AE$1,tabela_registros[DIA],reservavariáveisconsolidado282934[[#Headers],[16]],tabela_registros[REGISTRO],DADOS!$N$6,tabela_registros[TIPO],DADOS!$AJ$4,tabela_registros[CATEGORIA],reservavariáveisconsolidado282934[[#This Row],[ATUAL]])</f>
        <v>0</v>
      </c>
      <c r="U194" s="176">
        <f>SUMIFS(tabela_registros[VALOR],tabela_registros[MÊS],$AE$1,tabela_registros[DIA],reservavariáveisconsolidado282934[[#Headers],[17]],tabela_registros[REGISTRO],DADOS!$N$6,tabela_registros[TIPO],DADOS!$AJ$4,tabela_registros[CATEGORIA],reservavariáveisconsolidado282934[[#This Row],[ATUAL]])</f>
        <v>0</v>
      </c>
      <c r="V194" s="176">
        <f>SUMIFS(tabela_registros[VALOR],tabela_registros[MÊS],$AE$1,tabela_registros[DIA],reservavariáveisconsolidado282934[[#Headers],[18]],tabela_registros[REGISTRO],DADOS!$N$6,tabela_registros[TIPO],DADOS!$AJ$4,tabela_registros[CATEGORIA],reservavariáveisconsolidado282934[[#This Row],[ATUAL]])</f>
        <v>0</v>
      </c>
      <c r="W194" s="176">
        <f>SUMIFS(tabela_registros[VALOR],tabela_registros[MÊS],$AE$1,tabela_registros[DIA],reservavariáveisconsolidado282934[[#Headers],[19]],tabela_registros[REGISTRO],DADOS!$N$6,tabela_registros[TIPO],DADOS!$AJ$4,tabela_registros[CATEGORIA],reservavariáveisconsolidado282934[[#This Row],[ATUAL]])</f>
        <v>0</v>
      </c>
      <c r="X194" s="176">
        <f>SUMIFS(tabela_registros[VALOR],tabela_registros[MÊS],$AE$1,tabela_registros[DIA],reservavariáveisconsolidado282934[[#Headers],[20]],tabela_registros[REGISTRO],DADOS!$N$6,tabela_registros[TIPO],DADOS!$AJ$4,tabela_registros[CATEGORIA],reservavariáveisconsolidado282934[[#This Row],[ATUAL]])</f>
        <v>0</v>
      </c>
      <c r="Y194" s="176">
        <f>SUMIFS(tabela_registros[VALOR],tabela_registros[MÊS],$AE$1,tabela_registros[DIA],reservavariáveisconsolidado282934[[#Headers],[21]],tabela_registros[REGISTRO],DADOS!$N$6,tabela_registros[TIPO],DADOS!$AJ$4,tabela_registros[CATEGORIA],reservavariáveisconsolidado282934[[#This Row],[ATUAL]])</f>
        <v>0</v>
      </c>
      <c r="Z194" s="176">
        <f>SUMIFS(tabela_registros[VALOR],tabela_registros[MÊS],$AE$1,tabela_registros[DIA],reservavariáveisconsolidado282934[[#Headers],[22]],tabela_registros[REGISTRO],DADOS!$N$6,tabela_registros[TIPO],DADOS!$AJ$4,tabela_registros[CATEGORIA],reservavariáveisconsolidado282934[[#This Row],[ATUAL]])</f>
        <v>0</v>
      </c>
      <c r="AA194" s="176">
        <f>SUMIFS(tabela_registros[VALOR],tabela_registros[MÊS],$AE$1,tabela_registros[DIA],reservavariáveisconsolidado282934[[#Headers],[23]],tabela_registros[REGISTRO],DADOS!$N$6,tabela_registros[TIPO],DADOS!$AJ$4,tabela_registros[CATEGORIA],reservavariáveisconsolidado282934[[#This Row],[ATUAL]])</f>
        <v>0</v>
      </c>
      <c r="AB194" s="176">
        <f>SUMIFS(tabela_registros[VALOR],tabela_registros[MÊS],$AE$1,tabela_registros[DIA],reservavariáveisconsolidado282934[[#Headers],[24]],tabela_registros[REGISTRO],DADOS!$N$6,tabela_registros[TIPO],DADOS!$AJ$4,tabela_registros[CATEGORIA],reservavariáveisconsolidado282934[[#This Row],[ATUAL]])</f>
        <v>0</v>
      </c>
      <c r="AC194" s="176">
        <f>SUMIFS(tabela_registros[VALOR],tabela_registros[MÊS],$AE$1,tabela_registros[DIA],reservavariáveisconsolidado282934[[#Headers],[25]],tabela_registros[REGISTRO],DADOS!$N$6,tabela_registros[TIPO],DADOS!$AJ$4,tabela_registros[CATEGORIA],reservavariáveisconsolidado282934[[#This Row],[ATUAL]])</f>
        <v>0</v>
      </c>
      <c r="AD194" s="176">
        <f>SUMIFS(tabela_registros[VALOR],tabela_registros[MÊS],$AE$1,tabela_registros[DIA],reservavariáveisconsolidado282934[[#Headers],[26]],tabela_registros[REGISTRO],DADOS!$N$6,tabela_registros[TIPO],DADOS!$AJ$4,tabela_registros[CATEGORIA],reservavariáveisconsolidado282934[[#This Row],[ATUAL]])</f>
        <v>0</v>
      </c>
      <c r="AE194" s="176">
        <f>SUMIFS(tabela_registros[VALOR],tabela_registros[MÊS],$AE$1,tabela_registros[DIA],reservavariáveisconsolidado282934[[#Headers],[27]],tabela_registros[REGISTRO],DADOS!$N$6,tabela_registros[TIPO],DADOS!$AJ$4,tabela_registros[CATEGORIA],reservavariáveisconsolidado282934[[#This Row],[ATUAL]])</f>
        <v>0</v>
      </c>
      <c r="AF194" s="176">
        <f>SUMIFS(tabela_registros[VALOR],tabela_registros[MÊS],$AE$1,tabela_registros[DIA],reservavariáveisconsolidado282934[[#Headers],[28]],tabela_registros[REGISTRO],DADOS!$N$6,tabela_registros[TIPO],DADOS!$AJ$4,tabela_registros[CATEGORIA],reservavariáveisconsolidado282934[[#This Row],[ATUAL]])</f>
        <v>0</v>
      </c>
      <c r="AG194" s="176">
        <f>SUMIFS(tabela_registros[VALOR],tabela_registros[MÊS],$AE$1,tabela_registros[DIA],reservavariáveisconsolidado282934[[#Headers],[29]],tabela_registros[REGISTRO],DADOS!$N$6,tabela_registros[TIPO],DADOS!$AJ$4,tabela_registros[CATEGORIA],reservavariáveisconsolidado282934[[#This Row],[ATUAL]])</f>
        <v>0</v>
      </c>
      <c r="AH194" s="176">
        <f>SUMIFS(tabela_registros[VALOR],tabela_registros[MÊS],$AE$1,tabela_registros[DIA],reservavariáveisconsolidado282934[[#Headers],[30]],tabela_registros[REGISTRO],DADOS!$N$6,tabela_registros[TIPO],DADOS!$AJ$4,tabela_registros[CATEGORIA],reservavariáveisconsolidado282934[[#This Row],[ATUAL]])</f>
        <v>0</v>
      </c>
      <c r="AI194" s="190">
        <f>SUMIFS(tabela_registros[VALOR],tabela_registros[MÊS],$AE$1,tabela_registros[DIA],reservavariáveisconsolidado282934[[#Headers],[31]],tabela_registros[REGISTRO],DADOS!$N$6,tabela_registros[TIPO],DADOS!$AJ$4,tabela_registros[CATEGORIA],reservavariáveisconsolidado282934[[#This Row],[ATUAL]])</f>
        <v>0</v>
      </c>
      <c r="AJ194" s="167">
        <f>SUM(reservavariáveisconsolidado282934[[#This Row],[1]:[31]])</f>
        <v>0</v>
      </c>
      <c r="AK194" s="25"/>
    </row>
    <row r="195" spans="2:37" ht="19.5" customHeight="1" thickTop="1" thickBot="1" x14ac:dyDescent="0.3">
      <c r="B195" s="28"/>
      <c r="C195" s="27" t="str">
        <f>DADOS!$AN$11</f>
        <v>📝 MOEDA</v>
      </c>
      <c r="D195" s="26" t="str">
        <f>IF(reservavariáveisconsolidado282934[[#This Row],[TOTAL (R$)]]=0,"",IF(OR(reservavariáveisconsolidado282934[[#This Row],[TOTAL (R$)]]=LARGE($AJ$187:$AJ$196,1),reservavariáveisconsolidado282934[[#This Row],[TOTAL (R$)]]=LARGE($AJ$187:$AJ$196,2)),DADOS!$I$11,""))</f>
        <v/>
      </c>
      <c r="E195" s="189">
        <f>SUMIFS(tabela_registros[VALOR],tabela_registros[MÊS],$AE$1,tabela_registros[DIA],reservavariáveisconsolidado282934[[#Headers],[1]],tabela_registros[REGISTRO],DADOS!$N$6,tabela_registros[TIPO],DADOS!$AJ$4,tabela_registros[CATEGORIA],reservavariáveisconsolidado282934[[#This Row],[ATUAL]])</f>
        <v>0</v>
      </c>
      <c r="F195" s="176">
        <f>SUMIFS(tabela_registros[VALOR],tabela_registros[MÊS],$AE$1,tabela_registros[DIA],reservavariáveisconsolidado282934[[#Headers],[2]],tabela_registros[REGISTRO],DADOS!$N$6,tabela_registros[TIPO],DADOS!$AJ$4,tabela_registros[CATEGORIA],reservavariáveisconsolidado282934[[#This Row],[ATUAL]])</f>
        <v>0</v>
      </c>
      <c r="G195" s="176">
        <f>SUMIFS(tabela_registros[VALOR],tabela_registros[MÊS],$AE$1,tabela_registros[DIA],reservavariáveisconsolidado282934[[#Headers],[3]],tabela_registros[REGISTRO],DADOS!$N$6,tabela_registros[TIPO],DADOS!$AJ$4,tabela_registros[CATEGORIA],reservavariáveisconsolidado282934[[#This Row],[ATUAL]])</f>
        <v>0</v>
      </c>
      <c r="H195" s="176">
        <f>SUMIFS(tabela_registros[VALOR],tabela_registros[MÊS],$AE$1,tabela_registros[DIA],reservavariáveisconsolidado282934[[#Headers],[4]],tabela_registros[REGISTRO],DADOS!$N$6,tabela_registros[TIPO],DADOS!$AJ$4,tabela_registros[CATEGORIA],reservavariáveisconsolidado282934[[#This Row],[ATUAL]])</f>
        <v>0</v>
      </c>
      <c r="I195" s="176">
        <f>SUMIFS(tabela_registros[VALOR],tabela_registros[MÊS],$AE$1,tabela_registros[DIA],reservavariáveisconsolidado282934[[#Headers],[5]],tabela_registros[REGISTRO],DADOS!$N$6,tabela_registros[TIPO],DADOS!$AJ$4,tabela_registros[CATEGORIA],reservavariáveisconsolidado282934[[#This Row],[ATUAL]])</f>
        <v>0</v>
      </c>
      <c r="J195" s="176">
        <f>SUMIFS(tabela_registros[VALOR],tabela_registros[MÊS],$AE$1,tabela_registros[DIA],reservavariáveisconsolidado282934[[#Headers],[6]],tabela_registros[REGISTRO],DADOS!$N$6,tabela_registros[TIPO],DADOS!$AJ$4,tabela_registros[CATEGORIA],reservavariáveisconsolidado282934[[#This Row],[ATUAL]])</f>
        <v>0</v>
      </c>
      <c r="K195" s="176">
        <f>SUMIFS(tabela_registros[VALOR],tabela_registros[MÊS],$AE$1,tabela_registros[DIA],reservavariáveisconsolidado282934[[#Headers],[7]],tabela_registros[REGISTRO],DADOS!$N$6,tabela_registros[TIPO],DADOS!$AJ$4,tabela_registros[CATEGORIA],reservavariáveisconsolidado282934[[#This Row],[ATUAL]])</f>
        <v>0</v>
      </c>
      <c r="L195" s="176">
        <f>SUMIFS(tabela_registros[VALOR],tabela_registros[MÊS],$AE$1,tabela_registros[DIA],reservavariáveisconsolidado282934[[#Headers],[8]],tabela_registros[REGISTRO],DADOS!$N$6,tabela_registros[TIPO],DADOS!$AJ$4,tabela_registros[CATEGORIA],reservavariáveisconsolidado282934[[#This Row],[ATUAL]])</f>
        <v>0</v>
      </c>
      <c r="M195" s="176">
        <f>SUMIFS(tabela_registros[VALOR],tabela_registros[MÊS],$AE$1,tabela_registros[DIA],reservavariáveisconsolidado282934[[#Headers],[9]],tabela_registros[REGISTRO],DADOS!$N$6,tabela_registros[TIPO],DADOS!$AJ$4,tabela_registros[CATEGORIA],reservavariáveisconsolidado282934[[#This Row],[ATUAL]])</f>
        <v>0</v>
      </c>
      <c r="N195" s="176">
        <f>SUMIFS(tabela_registros[VALOR],tabela_registros[MÊS],$AE$1,tabela_registros[DIA],reservavariáveisconsolidado282934[[#Headers],[10]],tabela_registros[REGISTRO],DADOS!$N$6,tabela_registros[TIPO],DADOS!$AJ$4,tabela_registros[CATEGORIA],reservavariáveisconsolidado282934[[#This Row],[ATUAL]])</f>
        <v>0</v>
      </c>
      <c r="O195" s="176">
        <f>SUMIFS(tabela_registros[VALOR],tabela_registros[MÊS],$AE$1,tabela_registros[DIA],reservavariáveisconsolidado282934[[#Headers],[11]],tabela_registros[REGISTRO],DADOS!$N$6,tabela_registros[TIPO],DADOS!$AJ$4,tabela_registros[CATEGORIA],reservavariáveisconsolidado282934[[#This Row],[ATUAL]])</f>
        <v>0</v>
      </c>
      <c r="P195" s="176">
        <f>SUMIFS(tabela_registros[VALOR],tabela_registros[MÊS],$AE$1,tabela_registros[DIA],reservavariáveisconsolidado282934[[#Headers],[12]],tabela_registros[REGISTRO],DADOS!$N$6,tabela_registros[TIPO],DADOS!$AJ$4,tabela_registros[CATEGORIA],reservavariáveisconsolidado282934[[#This Row],[ATUAL]])</f>
        <v>0</v>
      </c>
      <c r="Q195" s="176">
        <f>SUMIFS(tabela_registros[VALOR],tabela_registros[MÊS],$AE$1,tabela_registros[DIA],reservavariáveisconsolidado282934[[#Headers],[13]],tabela_registros[REGISTRO],DADOS!$N$6,tabela_registros[TIPO],DADOS!$AJ$4,tabela_registros[CATEGORIA],reservavariáveisconsolidado282934[[#This Row],[ATUAL]])</f>
        <v>0</v>
      </c>
      <c r="R195" s="176">
        <f>SUMIFS(tabela_registros[VALOR],tabela_registros[MÊS],$AE$1,tabela_registros[DIA],reservavariáveisconsolidado282934[[#Headers],[14]],tabela_registros[REGISTRO],DADOS!$N$6,tabela_registros[TIPO],DADOS!$AJ$4,tabela_registros[CATEGORIA],reservavariáveisconsolidado282934[[#This Row],[ATUAL]])</f>
        <v>0</v>
      </c>
      <c r="S195" s="176">
        <f>SUMIFS(tabela_registros[VALOR],tabela_registros[MÊS],$AE$1,tabela_registros[DIA],reservavariáveisconsolidado282934[[#Headers],[15]],tabela_registros[REGISTRO],DADOS!$N$6,tabela_registros[TIPO],DADOS!$AJ$4,tabela_registros[CATEGORIA],reservavariáveisconsolidado282934[[#This Row],[ATUAL]])</f>
        <v>0</v>
      </c>
      <c r="T195" s="176">
        <f>SUMIFS(tabela_registros[VALOR],tabela_registros[MÊS],$AE$1,tabela_registros[DIA],reservavariáveisconsolidado282934[[#Headers],[16]],tabela_registros[REGISTRO],DADOS!$N$6,tabela_registros[TIPO],DADOS!$AJ$4,tabela_registros[CATEGORIA],reservavariáveisconsolidado282934[[#This Row],[ATUAL]])</f>
        <v>0</v>
      </c>
      <c r="U195" s="176">
        <f>SUMIFS(tabela_registros[VALOR],tabela_registros[MÊS],$AE$1,tabela_registros[DIA],reservavariáveisconsolidado282934[[#Headers],[17]],tabela_registros[REGISTRO],DADOS!$N$6,tabela_registros[TIPO],DADOS!$AJ$4,tabela_registros[CATEGORIA],reservavariáveisconsolidado282934[[#This Row],[ATUAL]])</f>
        <v>0</v>
      </c>
      <c r="V195" s="176">
        <f>SUMIFS(tabela_registros[VALOR],tabela_registros[MÊS],$AE$1,tabela_registros[DIA],reservavariáveisconsolidado282934[[#Headers],[18]],tabela_registros[REGISTRO],DADOS!$N$6,tabela_registros[TIPO],DADOS!$AJ$4,tabela_registros[CATEGORIA],reservavariáveisconsolidado282934[[#This Row],[ATUAL]])</f>
        <v>0</v>
      </c>
      <c r="W195" s="176">
        <f>SUMIFS(tabela_registros[VALOR],tabela_registros[MÊS],$AE$1,tabela_registros[DIA],reservavariáveisconsolidado282934[[#Headers],[19]],tabela_registros[REGISTRO],DADOS!$N$6,tabela_registros[TIPO],DADOS!$AJ$4,tabela_registros[CATEGORIA],reservavariáveisconsolidado282934[[#This Row],[ATUAL]])</f>
        <v>0</v>
      </c>
      <c r="X195" s="176">
        <f>SUMIFS(tabela_registros[VALOR],tabela_registros[MÊS],$AE$1,tabela_registros[DIA],reservavariáveisconsolidado282934[[#Headers],[20]],tabela_registros[REGISTRO],DADOS!$N$6,tabela_registros[TIPO],DADOS!$AJ$4,tabela_registros[CATEGORIA],reservavariáveisconsolidado282934[[#This Row],[ATUAL]])</f>
        <v>0</v>
      </c>
      <c r="Y195" s="176">
        <f>SUMIFS(tabela_registros[VALOR],tabela_registros[MÊS],$AE$1,tabela_registros[DIA],reservavariáveisconsolidado282934[[#Headers],[21]],tabela_registros[REGISTRO],DADOS!$N$6,tabela_registros[TIPO],DADOS!$AJ$4,tabela_registros[CATEGORIA],reservavariáveisconsolidado282934[[#This Row],[ATUAL]])</f>
        <v>0</v>
      </c>
      <c r="Z195" s="176">
        <f>SUMIFS(tabela_registros[VALOR],tabela_registros[MÊS],$AE$1,tabela_registros[DIA],reservavariáveisconsolidado282934[[#Headers],[22]],tabela_registros[REGISTRO],DADOS!$N$6,tabela_registros[TIPO],DADOS!$AJ$4,tabela_registros[CATEGORIA],reservavariáveisconsolidado282934[[#This Row],[ATUAL]])</f>
        <v>0</v>
      </c>
      <c r="AA195" s="176">
        <f>SUMIFS(tabela_registros[VALOR],tabela_registros[MÊS],$AE$1,tabela_registros[DIA],reservavariáveisconsolidado282934[[#Headers],[23]],tabela_registros[REGISTRO],DADOS!$N$6,tabela_registros[TIPO],DADOS!$AJ$4,tabela_registros[CATEGORIA],reservavariáveisconsolidado282934[[#This Row],[ATUAL]])</f>
        <v>0</v>
      </c>
      <c r="AB195" s="176">
        <f>SUMIFS(tabela_registros[VALOR],tabela_registros[MÊS],$AE$1,tabela_registros[DIA],reservavariáveisconsolidado282934[[#Headers],[24]],tabela_registros[REGISTRO],DADOS!$N$6,tabela_registros[TIPO],DADOS!$AJ$4,tabela_registros[CATEGORIA],reservavariáveisconsolidado282934[[#This Row],[ATUAL]])</f>
        <v>0</v>
      </c>
      <c r="AC195" s="176">
        <f>SUMIFS(tabela_registros[VALOR],tabela_registros[MÊS],$AE$1,tabela_registros[DIA],reservavariáveisconsolidado282934[[#Headers],[25]],tabela_registros[REGISTRO],DADOS!$N$6,tabela_registros[TIPO],DADOS!$AJ$4,tabela_registros[CATEGORIA],reservavariáveisconsolidado282934[[#This Row],[ATUAL]])</f>
        <v>0</v>
      </c>
      <c r="AD195" s="176">
        <f>SUMIFS(tabela_registros[VALOR],tabela_registros[MÊS],$AE$1,tabela_registros[DIA],reservavariáveisconsolidado282934[[#Headers],[26]],tabela_registros[REGISTRO],DADOS!$N$6,tabela_registros[TIPO],DADOS!$AJ$4,tabela_registros[CATEGORIA],reservavariáveisconsolidado282934[[#This Row],[ATUAL]])</f>
        <v>0</v>
      </c>
      <c r="AE195" s="176">
        <f>SUMIFS(tabela_registros[VALOR],tabela_registros[MÊS],$AE$1,tabela_registros[DIA],reservavariáveisconsolidado282934[[#Headers],[27]],tabela_registros[REGISTRO],DADOS!$N$6,tabela_registros[TIPO],DADOS!$AJ$4,tabela_registros[CATEGORIA],reservavariáveisconsolidado282934[[#This Row],[ATUAL]])</f>
        <v>0</v>
      </c>
      <c r="AF195" s="176">
        <f>SUMIFS(tabela_registros[VALOR],tabela_registros[MÊS],$AE$1,tabela_registros[DIA],reservavariáveisconsolidado282934[[#Headers],[28]],tabela_registros[REGISTRO],DADOS!$N$6,tabela_registros[TIPO],DADOS!$AJ$4,tabela_registros[CATEGORIA],reservavariáveisconsolidado282934[[#This Row],[ATUAL]])</f>
        <v>0</v>
      </c>
      <c r="AG195" s="176">
        <f>SUMIFS(tabela_registros[VALOR],tabela_registros[MÊS],$AE$1,tabela_registros[DIA],reservavariáveisconsolidado282934[[#Headers],[29]],tabela_registros[REGISTRO],DADOS!$N$6,tabela_registros[TIPO],DADOS!$AJ$4,tabela_registros[CATEGORIA],reservavariáveisconsolidado282934[[#This Row],[ATUAL]])</f>
        <v>0</v>
      </c>
      <c r="AH195" s="176">
        <f>SUMIFS(tabela_registros[VALOR],tabela_registros[MÊS],$AE$1,tabela_registros[DIA],reservavariáveisconsolidado282934[[#Headers],[30]],tabela_registros[REGISTRO],DADOS!$N$6,tabela_registros[TIPO],DADOS!$AJ$4,tabela_registros[CATEGORIA],reservavariáveisconsolidado282934[[#This Row],[ATUAL]])</f>
        <v>0</v>
      </c>
      <c r="AI195" s="190">
        <f>SUMIFS(tabela_registros[VALOR],tabela_registros[MÊS],$AE$1,tabela_registros[DIA],reservavariáveisconsolidado282934[[#Headers],[31]],tabela_registros[REGISTRO],DADOS!$N$6,tabela_registros[TIPO],DADOS!$AJ$4,tabela_registros[CATEGORIA],reservavariáveisconsolidado282934[[#This Row],[ATUAL]])</f>
        <v>0</v>
      </c>
      <c r="AJ195" s="167">
        <f>SUM(reservavariáveisconsolidado282934[[#This Row],[1]:[31]])</f>
        <v>0</v>
      </c>
      <c r="AK195" s="25"/>
    </row>
    <row r="196" spans="2:37" ht="19.5" customHeight="1" thickTop="1" thickBot="1" x14ac:dyDescent="0.3">
      <c r="B196" s="28"/>
      <c r="C196" s="27" t="str">
        <f>DADOS!$AN$12</f>
        <v>📎 OUTROS</v>
      </c>
      <c r="D196" s="26" t="str">
        <f>IF(reservavariáveisconsolidado282934[[#This Row],[TOTAL (R$)]]=0,"",IF(OR(reservavariáveisconsolidado282934[[#This Row],[TOTAL (R$)]]=LARGE($AJ$187:$AJ$196,1),reservavariáveisconsolidado282934[[#This Row],[TOTAL (R$)]]=LARGE($AJ$187:$AJ$196,2)),DADOS!$I$11,""))</f>
        <v/>
      </c>
      <c r="E196" s="189">
        <f>SUMIFS(tabela_registros[VALOR],tabela_registros[MÊS],$AE$1,tabela_registros[DIA],reservavariáveisconsolidado282934[[#Headers],[1]],tabela_registros[REGISTRO],DADOS!$N$6,tabela_registros[TIPO],DADOS!$AJ$4,tabela_registros[CATEGORIA],reservavariáveisconsolidado282934[[#This Row],[ATUAL]])</f>
        <v>0</v>
      </c>
      <c r="F196" s="176">
        <f>SUMIFS(tabela_registros[VALOR],tabela_registros[MÊS],$AE$1,tabela_registros[DIA],reservavariáveisconsolidado282934[[#Headers],[2]],tabela_registros[REGISTRO],DADOS!$N$6,tabela_registros[TIPO],DADOS!$AJ$4,tabela_registros[CATEGORIA],reservavariáveisconsolidado282934[[#This Row],[ATUAL]])</f>
        <v>0</v>
      </c>
      <c r="G196" s="176">
        <f>SUMIFS(tabela_registros[VALOR],tabela_registros[MÊS],$AE$1,tabela_registros[DIA],reservavariáveisconsolidado282934[[#Headers],[3]],tabela_registros[REGISTRO],DADOS!$N$6,tabela_registros[TIPO],DADOS!$AJ$4,tabela_registros[CATEGORIA],reservavariáveisconsolidado282934[[#This Row],[ATUAL]])</f>
        <v>0</v>
      </c>
      <c r="H196" s="176">
        <f>SUMIFS(tabela_registros[VALOR],tabela_registros[MÊS],$AE$1,tabela_registros[DIA],reservavariáveisconsolidado282934[[#Headers],[4]],tabela_registros[REGISTRO],DADOS!$N$6,tabela_registros[TIPO],DADOS!$AJ$4,tabela_registros[CATEGORIA],reservavariáveisconsolidado282934[[#This Row],[ATUAL]])</f>
        <v>0</v>
      </c>
      <c r="I196" s="176">
        <f>SUMIFS(tabela_registros[VALOR],tabela_registros[MÊS],$AE$1,tabela_registros[DIA],reservavariáveisconsolidado282934[[#Headers],[5]],tabela_registros[REGISTRO],DADOS!$N$6,tabela_registros[TIPO],DADOS!$AJ$4,tabela_registros[CATEGORIA],reservavariáveisconsolidado282934[[#This Row],[ATUAL]])</f>
        <v>0</v>
      </c>
      <c r="J196" s="176">
        <f>SUMIFS(tabela_registros[VALOR],tabela_registros[MÊS],$AE$1,tabela_registros[DIA],reservavariáveisconsolidado282934[[#Headers],[6]],tabela_registros[REGISTRO],DADOS!$N$6,tabela_registros[TIPO],DADOS!$AJ$4,tabela_registros[CATEGORIA],reservavariáveisconsolidado282934[[#This Row],[ATUAL]])</f>
        <v>0</v>
      </c>
      <c r="K196" s="176">
        <f>SUMIFS(tabela_registros[VALOR],tabela_registros[MÊS],$AE$1,tabela_registros[DIA],reservavariáveisconsolidado282934[[#Headers],[7]],tabela_registros[REGISTRO],DADOS!$N$6,tabela_registros[TIPO],DADOS!$AJ$4,tabela_registros[CATEGORIA],reservavariáveisconsolidado282934[[#This Row],[ATUAL]])</f>
        <v>0</v>
      </c>
      <c r="L196" s="176">
        <f>SUMIFS(tabela_registros[VALOR],tabela_registros[MÊS],$AE$1,tabela_registros[DIA],reservavariáveisconsolidado282934[[#Headers],[8]],tabela_registros[REGISTRO],DADOS!$N$6,tabela_registros[TIPO],DADOS!$AJ$4,tabela_registros[CATEGORIA],reservavariáveisconsolidado282934[[#This Row],[ATUAL]])</f>
        <v>0</v>
      </c>
      <c r="M196" s="176">
        <f>SUMIFS(tabela_registros[VALOR],tabela_registros[MÊS],$AE$1,tabela_registros[DIA],reservavariáveisconsolidado282934[[#Headers],[9]],tabela_registros[REGISTRO],DADOS!$N$6,tabela_registros[TIPO],DADOS!$AJ$4,tabela_registros[CATEGORIA],reservavariáveisconsolidado282934[[#This Row],[ATUAL]])</f>
        <v>0</v>
      </c>
      <c r="N196" s="176">
        <f>SUMIFS(tabela_registros[VALOR],tabela_registros[MÊS],$AE$1,tabela_registros[DIA],reservavariáveisconsolidado282934[[#Headers],[10]],tabela_registros[REGISTRO],DADOS!$N$6,tabela_registros[TIPO],DADOS!$AJ$4,tabela_registros[CATEGORIA],reservavariáveisconsolidado282934[[#This Row],[ATUAL]])</f>
        <v>0</v>
      </c>
      <c r="O196" s="176">
        <f>SUMIFS(tabela_registros[VALOR],tabela_registros[MÊS],$AE$1,tabela_registros[DIA],reservavariáveisconsolidado282934[[#Headers],[11]],tabela_registros[REGISTRO],DADOS!$N$6,tabela_registros[TIPO],DADOS!$AJ$4,tabela_registros[CATEGORIA],reservavariáveisconsolidado282934[[#This Row],[ATUAL]])</f>
        <v>0</v>
      </c>
      <c r="P196" s="176">
        <f>SUMIFS(tabela_registros[VALOR],tabela_registros[MÊS],$AE$1,tabela_registros[DIA],reservavariáveisconsolidado282934[[#Headers],[12]],tabela_registros[REGISTRO],DADOS!$N$6,tabela_registros[TIPO],DADOS!$AJ$4,tabela_registros[CATEGORIA],reservavariáveisconsolidado282934[[#This Row],[ATUAL]])</f>
        <v>0</v>
      </c>
      <c r="Q196" s="176">
        <f>SUMIFS(tabela_registros[VALOR],tabela_registros[MÊS],$AE$1,tabela_registros[DIA],reservavariáveisconsolidado282934[[#Headers],[13]],tabela_registros[REGISTRO],DADOS!$N$6,tabela_registros[TIPO],DADOS!$AJ$4,tabela_registros[CATEGORIA],reservavariáveisconsolidado282934[[#This Row],[ATUAL]])</f>
        <v>0</v>
      </c>
      <c r="R196" s="176">
        <f>SUMIFS(tabela_registros[VALOR],tabela_registros[MÊS],$AE$1,tabela_registros[DIA],reservavariáveisconsolidado282934[[#Headers],[14]],tabela_registros[REGISTRO],DADOS!$N$6,tabela_registros[TIPO],DADOS!$AJ$4,tabela_registros[CATEGORIA],reservavariáveisconsolidado282934[[#This Row],[ATUAL]])</f>
        <v>0</v>
      </c>
      <c r="S196" s="176">
        <f>SUMIFS(tabela_registros[VALOR],tabela_registros[MÊS],$AE$1,tabela_registros[DIA],reservavariáveisconsolidado282934[[#Headers],[15]],tabela_registros[REGISTRO],DADOS!$N$6,tabela_registros[TIPO],DADOS!$AJ$4,tabela_registros[CATEGORIA],reservavariáveisconsolidado282934[[#This Row],[ATUAL]])</f>
        <v>0</v>
      </c>
      <c r="T196" s="176">
        <f>SUMIFS(tabela_registros[VALOR],tabela_registros[MÊS],$AE$1,tabela_registros[DIA],reservavariáveisconsolidado282934[[#Headers],[16]],tabela_registros[REGISTRO],DADOS!$N$6,tabela_registros[TIPO],DADOS!$AJ$4,tabela_registros[CATEGORIA],reservavariáveisconsolidado282934[[#This Row],[ATUAL]])</f>
        <v>0</v>
      </c>
      <c r="U196" s="176">
        <f>SUMIFS(tabela_registros[VALOR],tabela_registros[MÊS],$AE$1,tabela_registros[DIA],reservavariáveisconsolidado282934[[#Headers],[17]],tabela_registros[REGISTRO],DADOS!$N$6,tabela_registros[TIPO],DADOS!$AJ$4,tabela_registros[CATEGORIA],reservavariáveisconsolidado282934[[#This Row],[ATUAL]])</f>
        <v>0</v>
      </c>
      <c r="V196" s="176">
        <f>SUMIFS(tabela_registros[VALOR],tabela_registros[MÊS],$AE$1,tabela_registros[DIA],reservavariáveisconsolidado282934[[#Headers],[18]],tabela_registros[REGISTRO],DADOS!$N$6,tabela_registros[TIPO],DADOS!$AJ$4,tabela_registros[CATEGORIA],reservavariáveisconsolidado282934[[#This Row],[ATUAL]])</f>
        <v>0</v>
      </c>
      <c r="W196" s="176">
        <f>SUMIFS(tabela_registros[VALOR],tabela_registros[MÊS],$AE$1,tabela_registros[DIA],reservavariáveisconsolidado282934[[#Headers],[19]],tabela_registros[REGISTRO],DADOS!$N$6,tabela_registros[TIPO],DADOS!$AJ$4,tabela_registros[CATEGORIA],reservavariáveisconsolidado282934[[#This Row],[ATUAL]])</f>
        <v>0</v>
      </c>
      <c r="X196" s="176">
        <f>SUMIFS(tabela_registros[VALOR],tabela_registros[MÊS],$AE$1,tabela_registros[DIA],reservavariáveisconsolidado282934[[#Headers],[20]],tabela_registros[REGISTRO],DADOS!$N$6,tabela_registros[TIPO],DADOS!$AJ$4,tabela_registros[CATEGORIA],reservavariáveisconsolidado282934[[#This Row],[ATUAL]])</f>
        <v>0</v>
      </c>
      <c r="Y196" s="176">
        <f>SUMIFS(tabela_registros[VALOR],tabela_registros[MÊS],$AE$1,tabela_registros[DIA],reservavariáveisconsolidado282934[[#Headers],[21]],tabela_registros[REGISTRO],DADOS!$N$6,tabela_registros[TIPO],DADOS!$AJ$4,tabela_registros[CATEGORIA],reservavariáveisconsolidado282934[[#This Row],[ATUAL]])</f>
        <v>0</v>
      </c>
      <c r="Z196" s="176">
        <f>SUMIFS(tabela_registros[VALOR],tabela_registros[MÊS],$AE$1,tabela_registros[DIA],reservavariáveisconsolidado282934[[#Headers],[22]],tabela_registros[REGISTRO],DADOS!$N$6,tabela_registros[TIPO],DADOS!$AJ$4,tabela_registros[CATEGORIA],reservavariáveisconsolidado282934[[#This Row],[ATUAL]])</f>
        <v>0</v>
      </c>
      <c r="AA196" s="176">
        <f>SUMIFS(tabela_registros[VALOR],tabela_registros[MÊS],$AE$1,tabela_registros[DIA],reservavariáveisconsolidado282934[[#Headers],[23]],tabela_registros[REGISTRO],DADOS!$N$6,tabela_registros[TIPO],DADOS!$AJ$4,tabela_registros[CATEGORIA],reservavariáveisconsolidado282934[[#This Row],[ATUAL]])</f>
        <v>0</v>
      </c>
      <c r="AB196" s="176">
        <f>SUMIFS(tabela_registros[VALOR],tabela_registros[MÊS],$AE$1,tabela_registros[DIA],reservavariáveisconsolidado282934[[#Headers],[24]],tabela_registros[REGISTRO],DADOS!$N$6,tabela_registros[TIPO],DADOS!$AJ$4,tabela_registros[CATEGORIA],reservavariáveisconsolidado282934[[#This Row],[ATUAL]])</f>
        <v>0</v>
      </c>
      <c r="AC196" s="176">
        <f>SUMIFS(tabela_registros[VALOR],tabela_registros[MÊS],$AE$1,tabela_registros[DIA],reservavariáveisconsolidado282934[[#Headers],[25]],tabela_registros[REGISTRO],DADOS!$N$6,tabela_registros[TIPO],DADOS!$AJ$4,tabela_registros[CATEGORIA],reservavariáveisconsolidado282934[[#This Row],[ATUAL]])</f>
        <v>0</v>
      </c>
      <c r="AD196" s="176">
        <f>SUMIFS(tabela_registros[VALOR],tabela_registros[MÊS],$AE$1,tabela_registros[DIA],reservavariáveisconsolidado282934[[#Headers],[26]],tabela_registros[REGISTRO],DADOS!$N$6,tabela_registros[TIPO],DADOS!$AJ$4,tabela_registros[CATEGORIA],reservavariáveisconsolidado282934[[#This Row],[ATUAL]])</f>
        <v>0</v>
      </c>
      <c r="AE196" s="176">
        <f>SUMIFS(tabela_registros[VALOR],tabela_registros[MÊS],$AE$1,tabela_registros[DIA],reservavariáveisconsolidado282934[[#Headers],[27]],tabela_registros[REGISTRO],DADOS!$N$6,tabela_registros[TIPO],DADOS!$AJ$4,tabela_registros[CATEGORIA],reservavariáveisconsolidado282934[[#This Row],[ATUAL]])</f>
        <v>0</v>
      </c>
      <c r="AF196" s="176">
        <f>SUMIFS(tabela_registros[VALOR],tabela_registros[MÊS],$AE$1,tabela_registros[DIA],reservavariáveisconsolidado282934[[#Headers],[28]],tabela_registros[REGISTRO],DADOS!$N$6,tabela_registros[TIPO],DADOS!$AJ$4,tabela_registros[CATEGORIA],reservavariáveisconsolidado282934[[#This Row],[ATUAL]])</f>
        <v>0</v>
      </c>
      <c r="AG196" s="176">
        <f>SUMIFS(tabela_registros[VALOR],tabela_registros[MÊS],$AE$1,tabela_registros[DIA],reservavariáveisconsolidado282934[[#Headers],[29]],tabela_registros[REGISTRO],DADOS!$N$6,tabela_registros[TIPO],DADOS!$AJ$4,tabela_registros[CATEGORIA],reservavariáveisconsolidado282934[[#This Row],[ATUAL]])</f>
        <v>0</v>
      </c>
      <c r="AH196" s="176">
        <f>SUMIFS(tabela_registros[VALOR],tabela_registros[MÊS],$AE$1,tabela_registros[DIA],reservavariáveisconsolidado282934[[#Headers],[30]],tabela_registros[REGISTRO],DADOS!$N$6,tabela_registros[TIPO],DADOS!$AJ$4,tabela_registros[CATEGORIA],reservavariáveisconsolidado282934[[#This Row],[ATUAL]])</f>
        <v>0</v>
      </c>
      <c r="AI196" s="193">
        <f>SUMIFS(tabela_registros[VALOR],tabela_registros[MÊS],$AE$1,tabela_registros[DIA],reservavariáveisconsolidado282934[[#Headers],[31]],tabela_registros[REGISTRO],DADOS!$N$6,tabela_registros[TIPO],DADOS!$AJ$4,tabela_registros[CATEGORIA],reservavariáveisconsolidado282934[[#This Row],[ATUAL]])</f>
        <v>0</v>
      </c>
      <c r="AJ196" s="167">
        <f>SUM(reservavariáveisconsolidado282934[[#This Row],[1]:[31]])</f>
        <v>0</v>
      </c>
      <c r="AK196" s="25"/>
    </row>
    <row r="197" spans="2:37" s="16" customFormat="1" ht="21" customHeight="1" thickTop="1" thickBot="1" x14ac:dyDescent="0.35">
      <c r="B197" s="24"/>
      <c r="C197" s="23" t="s">
        <v>19</v>
      </c>
      <c r="D197" s="22"/>
      <c r="E197" s="195">
        <f>SUM(E187:E196)</f>
        <v>0</v>
      </c>
      <c r="F197" s="196">
        <f>SUM(F187:F196)+reservavariáveisconsolidado282934[[#This Row],[1]]</f>
        <v>0</v>
      </c>
      <c r="G197" s="196">
        <f>SUM(G187:G196)+reservavariáveisconsolidado282934[[#This Row],[2]]</f>
        <v>0</v>
      </c>
      <c r="H197" s="196">
        <f>SUM(H187:H196)+reservavariáveisconsolidado282934[[#This Row],[3]]</f>
        <v>0</v>
      </c>
      <c r="I197" s="196">
        <f>SUM(I187:I196)+reservavariáveisconsolidado282934[[#This Row],[4]]</f>
        <v>0</v>
      </c>
      <c r="J197" s="196">
        <f>SUM(J187:J196)+reservavariáveisconsolidado282934[[#This Row],[5]]</f>
        <v>0</v>
      </c>
      <c r="K197" s="196">
        <f>SUM(K187:K196)+reservavariáveisconsolidado282934[[#This Row],[6]]</f>
        <v>0</v>
      </c>
      <c r="L197" s="196">
        <f>SUM(L187:L196)+reservavariáveisconsolidado282934[[#This Row],[7]]</f>
        <v>0</v>
      </c>
      <c r="M197" s="196">
        <f>SUM(M187:M196)+reservavariáveisconsolidado282934[[#This Row],[8]]</f>
        <v>0</v>
      </c>
      <c r="N197" s="196">
        <f>SUM(N187:N196)+reservavariáveisconsolidado282934[[#This Row],[9]]</f>
        <v>0</v>
      </c>
      <c r="O197" s="196">
        <f>SUM(O187:O196)+reservavariáveisconsolidado282934[[#This Row],[10]]</f>
        <v>0</v>
      </c>
      <c r="P197" s="196">
        <f>SUM(P187:P196)+reservavariáveisconsolidado282934[[#This Row],[11]]</f>
        <v>0</v>
      </c>
      <c r="Q197" s="196">
        <f>SUM(Q187:Q196)+reservavariáveisconsolidado282934[[#This Row],[12]]</f>
        <v>0</v>
      </c>
      <c r="R197" s="196">
        <f>SUM(R187:R196)+reservavariáveisconsolidado282934[[#This Row],[13]]</f>
        <v>0</v>
      </c>
      <c r="S197" s="196">
        <f>SUM(S187:S196)+reservavariáveisconsolidado282934[[#This Row],[14]]</f>
        <v>600</v>
      </c>
      <c r="T197" s="196">
        <f>SUM(T187:T196)+reservavariáveisconsolidado282934[[#This Row],[15]]</f>
        <v>600</v>
      </c>
      <c r="U197" s="196">
        <f>SUM(U187:U196)+reservavariáveisconsolidado282934[[#This Row],[16]]</f>
        <v>600</v>
      </c>
      <c r="V197" s="196">
        <f>SUM(V187:V196)+reservavariáveisconsolidado282934[[#This Row],[17]]</f>
        <v>600</v>
      </c>
      <c r="W197" s="196">
        <f>SUM(W187:W196)+reservavariáveisconsolidado282934[[#This Row],[18]]</f>
        <v>600</v>
      </c>
      <c r="X197" s="196">
        <f>SUM(X187:X196)+reservavariáveisconsolidado282934[[#This Row],[19]]</f>
        <v>600</v>
      </c>
      <c r="Y197" s="196">
        <f>SUM(Y187:Y196)+reservavariáveisconsolidado282934[[#This Row],[20]]</f>
        <v>600</v>
      </c>
      <c r="Z197" s="196">
        <f>SUM(Z187:Z196)+reservavariáveisconsolidado282934[[#This Row],[21]]</f>
        <v>600</v>
      </c>
      <c r="AA197" s="196">
        <f>SUM(AA187:AA196)+reservavariáveisconsolidado282934[[#This Row],[22]]</f>
        <v>600</v>
      </c>
      <c r="AB197" s="196">
        <f>SUM(AB187:AB196)+reservavariáveisconsolidado282934[[#This Row],[23]]</f>
        <v>600</v>
      </c>
      <c r="AC197" s="196">
        <f>SUM(AC187:AC196)+reservavariáveisconsolidado282934[[#This Row],[24]]</f>
        <v>600</v>
      </c>
      <c r="AD197" s="196">
        <f>SUM(AD187:AD196)+reservavariáveisconsolidado282934[[#This Row],[25]]</f>
        <v>600</v>
      </c>
      <c r="AE197" s="196">
        <f>SUM(AE187:AE196)+reservavariáveisconsolidado282934[[#This Row],[26]]</f>
        <v>600</v>
      </c>
      <c r="AF197" s="196">
        <f>SUM(AF187:AF196)+reservavariáveisconsolidado282934[[#This Row],[27]]</f>
        <v>600</v>
      </c>
      <c r="AG197" s="196">
        <f>SUM(AG187:AG196)+reservavariáveisconsolidado282934[[#This Row],[28]]</f>
        <v>600</v>
      </c>
      <c r="AH197" s="196">
        <f>SUM(AH187:AH196)+reservavariáveisconsolidado282934[[#This Row],[29]]</f>
        <v>600</v>
      </c>
      <c r="AI197" s="197">
        <f>SUM(AI187:AI196)+reservavariáveisconsolidado282934[[#This Row],[30]]</f>
        <v>600</v>
      </c>
      <c r="AJ197" s="168">
        <f>reservavariáveisconsolidado282934[[#This Row],[31]]</f>
        <v>600</v>
      </c>
      <c r="AK197" s="17"/>
    </row>
    <row r="198" spans="2:37" ht="6.75" customHeight="1" thickTop="1" thickBot="1" x14ac:dyDescent="0.3">
      <c r="B198" s="15"/>
      <c r="C198" s="14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  <c r="AC198" s="13"/>
      <c r="AD198" s="13"/>
      <c r="AE198" s="13"/>
      <c r="AF198" s="13"/>
      <c r="AG198" s="13"/>
      <c r="AH198" s="13"/>
      <c r="AI198" s="200"/>
      <c r="AJ198" s="11"/>
      <c r="AK198" s="10"/>
    </row>
    <row r="199" spans="2:37" ht="12.6" thickTop="1" x14ac:dyDescent="0.25">
      <c r="E199" s="37"/>
      <c r="AI199" s="4"/>
    </row>
    <row r="200" spans="2:37" x14ac:dyDescent="0.25">
      <c r="AI200" s="4"/>
    </row>
    <row r="201" spans="2:37" x14ac:dyDescent="0.25">
      <c r="AI201" s="4"/>
    </row>
    <row r="202" spans="2:37" ht="39.75" customHeight="1" x14ac:dyDescent="0.7">
      <c r="C202" s="36"/>
      <c r="E202" s="240"/>
      <c r="F202" s="240"/>
      <c r="G202" s="240"/>
      <c r="H202" s="240"/>
      <c r="I202" s="240"/>
      <c r="J202" s="240"/>
      <c r="K202" s="240"/>
      <c r="L202" s="240"/>
      <c r="M202" s="240"/>
      <c r="N202" s="240"/>
      <c r="O202" s="240"/>
      <c r="P202" s="240"/>
      <c r="Q202" s="240"/>
      <c r="R202" s="240"/>
      <c r="S202" s="240"/>
      <c r="T202" s="240"/>
      <c r="U202" s="240"/>
      <c r="V202" s="240"/>
      <c r="W202" s="240"/>
      <c r="X202" s="240"/>
      <c r="Y202" s="240"/>
      <c r="Z202" s="240"/>
      <c r="AA202" s="240"/>
      <c r="AB202" s="240"/>
      <c r="AC202" s="240"/>
      <c r="AD202" s="240"/>
      <c r="AE202" s="240"/>
      <c r="AF202" s="240"/>
      <c r="AG202" s="240"/>
      <c r="AH202" s="240"/>
      <c r="AI202" s="240"/>
      <c r="AJ202" s="169" t="s">
        <v>19</v>
      </c>
    </row>
    <row r="203" spans="2:37" ht="12.6" thickBot="1" x14ac:dyDescent="0.3">
      <c r="B203" s="35"/>
      <c r="AI203" s="4"/>
      <c r="AJ203" s="170" t="s">
        <v>202</v>
      </c>
    </row>
    <row r="204" spans="2:37" ht="6.75" customHeight="1" thickTop="1" thickBot="1" x14ac:dyDescent="0.3">
      <c r="B204" s="2"/>
      <c r="C204" s="14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3"/>
      <c r="AD204" s="13"/>
      <c r="AE204" s="13"/>
      <c r="AF204" s="13"/>
      <c r="AG204" s="13"/>
      <c r="AH204" s="13"/>
      <c r="AI204" s="13"/>
      <c r="AJ204" s="200"/>
      <c r="AK204" s="33"/>
    </row>
    <row r="205" spans="2:37" ht="13.2" hidden="1" thickTop="1" thickBot="1" x14ac:dyDescent="0.3">
      <c r="B205" s="2"/>
      <c r="C205" s="31" t="s">
        <v>199</v>
      </c>
      <c r="D205" s="30" t="s">
        <v>198</v>
      </c>
      <c r="E205" s="30" t="s">
        <v>197</v>
      </c>
      <c r="F205" s="30" t="s">
        <v>196</v>
      </c>
      <c r="G205" s="30" t="s">
        <v>195</v>
      </c>
      <c r="H205" s="30" t="s">
        <v>194</v>
      </c>
      <c r="I205" s="30" t="s">
        <v>193</v>
      </c>
      <c r="J205" s="30" t="s">
        <v>192</v>
      </c>
      <c r="K205" s="30" t="s">
        <v>191</v>
      </c>
      <c r="L205" s="30" t="s">
        <v>190</v>
      </c>
      <c r="M205" s="30" t="s">
        <v>189</v>
      </c>
      <c r="N205" s="30" t="s">
        <v>188</v>
      </c>
      <c r="O205" s="30" t="s">
        <v>187</v>
      </c>
      <c r="P205" s="30" t="s">
        <v>186</v>
      </c>
      <c r="Q205" s="30" t="s">
        <v>185</v>
      </c>
      <c r="R205" s="30" t="s">
        <v>184</v>
      </c>
      <c r="S205" s="30" t="s">
        <v>183</v>
      </c>
      <c r="T205" s="30" t="s">
        <v>182</v>
      </c>
      <c r="U205" s="30" t="s">
        <v>181</v>
      </c>
      <c r="V205" s="30" t="s">
        <v>180</v>
      </c>
      <c r="W205" s="30" t="s">
        <v>179</v>
      </c>
      <c r="X205" s="30" t="s">
        <v>178</v>
      </c>
      <c r="Y205" s="30" t="s">
        <v>177</v>
      </c>
      <c r="Z205" s="30" t="s">
        <v>176</v>
      </c>
      <c r="AA205" s="30" t="s">
        <v>175</v>
      </c>
      <c r="AB205" s="30" t="s">
        <v>174</v>
      </c>
      <c r="AC205" s="30" t="s">
        <v>173</v>
      </c>
      <c r="AD205" s="30" t="s">
        <v>172</v>
      </c>
      <c r="AE205" s="30" t="s">
        <v>171</v>
      </c>
      <c r="AF205" s="30" t="s">
        <v>170</v>
      </c>
      <c r="AG205" s="30" t="s">
        <v>169</v>
      </c>
      <c r="AH205" s="30" t="s">
        <v>168</v>
      </c>
      <c r="AI205" s="30" t="s">
        <v>167</v>
      </c>
      <c r="AJ205" s="172" t="s">
        <v>166</v>
      </c>
      <c r="AK205" s="2"/>
    </row>
    <row r="206" spans="2:37" ht="19.5" customHeight="1" thickTop="1" thickBot="1" x14ac:dyDescent="0.3">
      <c r="B206" s="28"/>
      <c r="C206" s="27" t="str">
        <f>DADOS!$AP$3</f>
        <v>📝 COE</v>
      </c>
      <c r="D206" s="26" t="str">
        <f>IF(reservaoutrosconsolidado282935[[#This Row],[TOTAL (R$)]]=0,"",IF(OR(reservaoutrosconsolidado282935[[#This Row],[TOTAL (R$)]]=LARGE($AJ$206:$AJ$213,1),reservaoutrosconsolidado282935[[#This Row],[TOTAL (R$)]]=LARGE($AJ$206:$AJ$213,2)),DADOS!$I$11,""))</f>
        <v/>
      </c>
      <c r="E206" s="189">
        <f>SUMIFS(tabela_registros[VALOR],tabela_registros[MÊS],$AE$1,tabela_registros[DIA],reservaoutrosconsolidado282935[[#Headers],[1]],tabela_registros[REGISTRO],DADOS!$N$6,tabela_registros[TIPO],DADOS!$AJ$5,tabela_registros[CATEGORIA],reservaoutrosconsolidado282935[[#This Row],[ATUAL]])</f>
        <v>0</v>
      </c>
      <c r="F206" s="176">
        <f>SUMIFS(tabela_registros[VALOR],tabela_registros[MÊS],$AE$1,tabela_registros[DIA],reservaoutrosconsolidado282935[[#Headers],[2]],tabela_registros[REGISTRO],DADOS!$N$6,tabela_registros[TIPO],DADOS!$AJ$5,tabela_registros[CATEGORIA],reservaoutrosconsolidado282935[[#This Row],[ATUAL]])</f>
        <v>0</v>
      </c>
      <c r="G206" s="176">
        <f>SUMIFS(tabela_registros[VALOR],tabela_registros[MÊS],$AE$1,tabela_registros[DIA],reservaoutrosconsolidado282935[[#Headers],[3]],tabela_registros[REGISTRO],DADOS!$N$6,tabela_registros[TIPO],DADOS!$AJ$5,tabela_registros[CATEGORIA],reservaoutrosconsolidado282935[[#This Row],[ATUAL]])</f>
        <v>0</v>
      </c>
      <c r="H206" s="176">
        <f>SUMIFS(tabela_registros[VALOR],tabela_registros[MÊS],$AE$1,tabela_registros[DIA],reservaoutrosconsolidado282935[[#Headers],[4]],tabela_registros[REGISTRO],DADOS!$N$6,tabela_registros[TIPO],DADOS!$AJ$5,tabela_registros[CATEGORIA],reservaoutrosconsolidado282935[[#This Row],[ATUAL]])</f>
        <v>0</v>
      </c>
      <c r="I206" s="176">
        <f>SUMIFS(tabela_registros[VALOR],tabela_registros[MÊS],$AE$1,tabela_registros[DIA],reservaoutrosconsolidado282935[[#Headers],[5]],tabela_registros[REGISTRO],DADOS!$N$6,tabela_registros[TIPO],DADOS!$AJ$5,tabela_registros[CATEGORIA],reservaoutrosconsolidado282935[[#This Row],[ATUAL]])</f>
        <v>0</v>
      </c>
      <c r="J206" s="176">
        <f>SUMIFS(tabela_registros[VALOR],tabela_registros[MÊS],$AE$1,tabela_registros[DIA],reservaoutrosconsolidado282935[[#Headers],[6]],tabela_registros[REGISTRO],DADOS!$N$6,tabela_registros[TIPO],DADOS!$AJ$5,tabela_registros[CATEGORIA],reservaoutrosconsolidado282935[[#This Row],[ATUAL]])</f>
        <v>0</v>
      </c>
      <c r="K206" s="176">
        <f>SUMIFS(tabela_registros[VALOR],tabela_registros[MÊS],$AE$1,tabela_registros[DIA],reservaoutrosconsolidado282935[[#Headers],[7]],tabela_registros[REGISTRO],DADOS!$N$6,tabela_registros[TIPO],DADOS!$AJ$5,tabela_registros[CATEGORIA],reservaoutrosconsolidado282935[[#This Row],[ATUAL]])</f>
        <v>0</v>
      </c>
      <c r="L206" s="176">
        <f>SUMIFS(tabela_registros[VALOR],tabela_registros[MÊS],$AE$1,tabela_registros[DIA],reservaoutrosconsolidado282935[[#Headers],[8]],tabela_registros[REGISTRO],DADOS!$N$6,tabela_registros[TIPO],DADOS!$AJ$5,tabela_registros[CATEGORIA],reservaoutrosconsolidado282935[[#This Row],[ATUAL]])</f>
        <v>0</v>
      </c>
      <c r="M206" s="176">
        <f>SUMIFS(tabela_registros[VALOR],tabela_registros[MÊS],$AE$1,tabela_registros[DIA],reservaoutrosconsolidado282935[[#Headers],[9]],tabela_registros[REGISTRO],DADOS!$N$6,tabela_registros[TIPO],DADOS!$AJ$5,tabela_registros[CATEGORIA],reservaoutrosconsolidado282935[[#This Row],[ATUAL]])</f>
        <v>0</v>
      </c>
      <c r="N206" s="176">
        <f>SUMIFS(tabela_registros[VALOR],tabela_registros[MÊS],$AE$1,tabela_registros[DIA],reservaoutrosconsolidado282935[[#Headers],[10]],tabela_registros[REGISTRO],DADOS!$N$6,tabela_registros[TIPO],DADOS!$AJ$5,tabela_registros[CATEGORIA],reservaoutrosconsolidado282935[[#This Row],[ATUAL]])</f>
        <v>0</v>
      </c>
      <c r="O206" s="176">
        <f>SUMIFS(tabela_registros[VALOR],tabela_registros[MÊS],$AE$1,tabela_registros[DIA],reservaoutrosconsolidado282935[[#Headers],[11]],tabela_registros[REGISTRO],DADOS!$N$6,tabela_registros[TIPO],DADOS!$AJ$5,tabela_registros[CATEGORIA],reservaoutrosconsolidado282935[[#This Row],[ATUAL]])</f>
        <v>0</v>
      </c>
      <c r="P206" s="176">
        <f>SUMIFS(tabela_registros[VALOR],tabela_registros[MÊS],$AE$1,tabela_registros[DIA],reservaoutrosconsolidado282935[[#Headers],[12]],tabela_registros[REGISTRO],DADOS!$N$6,tabela_registros[TIPO],DADOS!$AJ$5,tabela_registros[CATEGORIA],reservaoutrosconsolidado282935[[#This Row],[ATUAL]])</f>
        <v>0</v>
      </c>
      <c r="Q206" s="176">
        <f>SUMIFS(tabela_registros[VALOR],tabela_registros[MÊS],$AE$1,tabela_registros[DIA],reservaoutrosconsolidado282935[[#Headers],[13]],tabela_registros[REGISTRO],DADOS!$N$6,tabela_registros[TIPO],DADOS!$AJ$5,tabela_registros[CATEGORIA],reservaoutrosconsolidado282935[[#This Row],[ATUAL]])</f>
        <v>0</v>
      </c>
      <c r="R206" s="176">
        <f>SUMIFS(tabela_registros[VALOR],tabela_registros[MÊS],$AE$1,tabela_registros[DIA],reservaoutrosconsolidado282935[[#Headers],[14]],tabela_registros[REGISTRO],DADOS!$N$6,tabela_registros[TIPO],DADOS!$AJ$5,tabela_registros[CATEGORIA],reservaoutrosconsolidado282935[[#This Row],[ATUAL]])</f>
        <v>0</v>
      </c>
      <c r="S206" s="176">
        <f>SUMIFS(tabela_registros[VALOR],tabela_registros[MÊS],$AE$1,tabela_registros[DIA],reservaoutrosconsolidado282935[[#Headers],[15]],tabela_registros[REGISTRO],DADOS!$N$6,tabela_registros[TIPO],DADOS!$AJ$5,tabela_registros[CATEGORIA],reservaoutrosconsolidado282935[[#This Row],[ATUAL]])</f>
        <v>0</v>
      </c>
      <c r="T206" s="176">
        <f>SUMIFS(tabela_registros[VALOR],tabela_registros[MÊS],$AE$1,tabela_registros[DIA],reservaoutrosconsolidado282935[[#Headers],[16]],tabela_registros[REGISTRO],DADOS!$N$6,tabela_registros[TIPO],DADOS!$AJ$5,tabela_registros[CATEGORIA],reservaoutrosconsolidado282935[[#This Row],[ATUAL]])</f>
        <v>0</v>
      </c>
      <c r="U206" s="176">
        <f>SUMIFS(tabela_registros[VALOR],tabela_registros[MÊS],$AE$1,tabela_registros[DIA],reservaoutrosconsolidado282935[[#Headers],[17]],tabela_registros[REGISTRO],DADOS!$N$6,tabela_registros[TIPO],DADOS!$AJ$5,tabela_registros[CATEGORIA],reservaoutrosconsolidado282935[[#This Row],[ATUAL]])</f>
        <v>0</v>
      </c>
      <c r="V206" s="176">
        <f>SUMIFS(tabela_registros[VALOR],tabela_registros[MÊS],$AE$1,tabela_registros[DIA],reservaoutrosconsolidado282935[[#Headers],[18]],tabela_registros[REGISTRO],DADOS!$N$6,tabela_registros[TIPO],DADOS!$AJ$5,tabela_registros[CATEGORIA],reservaoutrosconsolidado282935[[#This Row],[ATUAL]])</f>
        <v>0</v>
      </c>
      <c r="W206" s="176">
        <f>SUMIFS(tabela_registros[VALOR],tabela_registros[MÊS],$AE$1,tabela_registros[DIA],reservaoutrosconsolidado282935[[#Headers],[19]],tabela_registros[REGISTRO],DADOS!$N$6,tabela_registros[TIPO],DADOS!$AJ$5,tabela_registros[CATEGORIA],reservaoutrosconsolidado282935[[#This Row],[ATUAL]])</f>
        <v>0</v>
      </c>
      <c r="X206" s="176">
        <f>SUMIFS(tabela_registros[VALOR],tabela_registros[MÊS],$AE$1,tabela_registros[DIA],reservaoutrosconsolidado282935[[#Headers],[20]],tabela_registros[REGISTRO],DADOS!$N$6,tabela_registros[TIPO],DADOS!$AJ$5,tabela_registros[CATEGORIA],reservaoutrosconsolidado282935[[#This Row],[ATUAL]])</f>
        <v>0</v>
      </c>
      <c r="Y206" s="176">
        <f>SUMIFS(tabela_registros[VALOR],tabela_registros[MÊS],$AE$1,tabela_registros[DIA],reservaoutrosconsolidado282935[[#Headers],[21]],tabela_registros[REGISTRO],DADOS!$N$6,tabela_registros[TIPO],DADOS!$AJ$5,tabela_registros[CATEGORIA],reservaoutrosconsolidado282935[[#This Row],[ATUAL]])</f>
        <v>0</v>
      </c>
      <c r="Z206" s="176">
        <f>SUMIFS(tabela_registros[VALOR],tabela_registros[MÊS],$AE$1,tabela_registros[DIA],reservaoutrosconsolidado282935[[#Headers],[22]],tabela_registros[REGISTRO],DADOS!$N$6,tabela_registros[TIPO],DADOS!$AJ$5,tabela_registros[CATEGORIA],reservaoutrosconsolidado282935[[#This Row],[ATUAL]])</f>
        <v>0</v>
      </c>
      <c r="AA206" s="176">
        <f>SUMIFS(tabela_registros[VALOR],tabela_registros[MÊS],$AE$1,tabela_registros[DIA],reservaoutrosconsolidado282935[[#Headers],[23]],tabela_registros[REGISTRO],DADOS!$N$6,tabela_registros[TIPO],DADOS!$AJ$5,tabela_registros[CATEGORIA],reservaoutrosconsolidado282935[[#This Row],[ATUAL]])</f>
        <v>0</v>
      </c>
      <c r="AB206" s="176">
        <f>SUMIFS(tabela_registros[VALOR],tabela_registros[MÊS],$AE$1,tabela_registros[DIA],reservaoutrosconsolidado282935[[#Headers],[24]],tabela_registros[REGISTRO],DADOS!$N$6,tabela_registros[TIPO],DADOS!$AJ$5,tabela_registros[CATEGORIA],reservaoutrosconsolidado282935[[#This Row],[ATUAL]])</f>
        <v>0</v>
      </c>
      <c r="AC206" s="176">
        <f>SUMIFS(tabela_registros[VALOR],tabela_registros[MÊS],$AE$1,tabela_registros[DIA],reservaoutrosconsolidado282935[[#Headers],[25]],tabela_registros[REGISTRO],DADOS!$N$6,tabela_registros[TIPO],DADOS!$AJ$5,tabela_registros[CATEGORIA],reservaoutrosconsolidado282935[[#This Row],[ATUAL]])</f>
        <v>0</v>
      </c>
      <c r="AD206" s="176">
        <f>SUMIFS(tabela_registros[VALOR],tabela_registros[MÊS],$AE$1,tabela_registros[DIA],reservaoutrosconsolidado282935[[#Headers],[26]],tabela_registros[REGISTRO],DADOS!$N$6,tabela_registros[TIPO],DADOS!$AJ$5,tabela_registros[CATEGORIA],reservaoutrosconsolidado282935[[#This Row],[ATUAL]])</f>
        <v>0</v>
      </c>
      <c r="AE206" s="176">
        <f>SUMIFS(tabela_registros[VALOR],tabela_registros[MÊS],$AE$1,tabela_registros[DIA],reservaoutrosconsolidado282935[[#Headers],[27]],tabela_registros[REGISTRO],DADOS!$N$6,tabela_registros[TIPO],DADOS!$AJ$5,tabela_registros[CATEGORIA],reservaoutrosconsolidado282935[[#This Row],[ATUAL]])</f>
        <v>0</v>
      </c>
      <c r="AF206" s="176">
        <f>SUMIFS(tabela_registros[VALOR],tabela_registros[MÊS],$AE$1,tabela_registros[DIA],reservaoutrosconsolidado282935[[#Headers],[28]],tabela_registros[REGISTRO],DADOS!$N$6,tabela_registros[TIPO],DADOS!$AJ$5,tabela_registros[CATEGORIA],reservaoutrosconsolidado282935[[#This Row],[ATUAL]])</f>
        <v>0</v>
      </c>
      <c r="AG206" s="176">
        <f>SUMIFS(tabela_registros[VALOR],tabela_registros[MÊS],$AE$1,tabela_registros[DIA],reservaoutrosconsolidado282935[[#Headers],[29]],tabela_registros[REGISTRO],DADOS!$N$6,tabela_registros[TIPO],DADOS!$AJ$5,tabela_registros[CATEGORIA],reservaoutrosconsolidado282935[[#This Row],[ATUAL]])</f>
        <v>0</v>
      </c>
      <c r="AH206" s="176">
        <f>SUMIFS(tabela_registros[VALOR],tabela_registros[MÊS],$AE$1,tabela_registros[DIA],reservaoutrosconsolidado282935[[#Headers],[30]],tabela_registros[REGISTRO],DADOS!$N$6,tabela_registros[TIPO],DADOS!$AJ$5,tabela_registros[CATEGORIA],reservaoutrosconsolidado282935[[#This Row],[ATUAL]])</f>
        <v>0</v>
      </c>
      <c r="AI206" s="190">
        <f>SUMIFS(tabela_registros[VALOR],tabela_registros[MÊS],$AE$1,tabela_registros[DIA],reservaoutrosconsolidado282935[[#Headers],[31]],tabela_registros[REGISTRO],DADOS!$N$6,tabela_registros[TIPO],DADOS!$AJ$5,tabela_registros[CATEGORIA],reservaoutrosconsolidado282935[[#This Row],[ATUAL]])</f>
        <v>0</v>
      </c>
      <c r="AJ206" s="167">
        <f>SUM(reservaoutrosconsolidado282935[[#This Row],[1]:[31]])</f>
        <v>0</v>
      </c>
      <c r="AK206" s="25"/>
    </row>
    <row r="207" spans="2:37" ht="19.5" customHeight="1" thickTop="1" thickBot="1" x14ac:dyDescent="0.3">
      <c r="B207" s="28"/>
      <c r="C207" s="27" t="str">
        <f>DADOS!$AP$4</f>
        <v>📝 FOREX</v>
      </c>
      <c r="D207" s="26" t="str">
        <f>IF(reservaoutrosconsolidado282935[[#This Row],[TOTAL (R$)]]=0,"",IF(OR(reservaoutrosconsolidado282935[[#This Row],[TOTAL (R$)]]=LARGE($AJ$206:$AJ$213,1),reservaoutrosconsolidado282935[[#This Row],[TOTAL (R$)]]=LARGE($AJ$206:$AJ$213,2)),DADOS!$I$11,""))</f>
        <v/>
      </c>
      <c r="E207" s="189">
        <f>SUMIFS(tabela_registros[VALOR],tabela_registros[MÊS],$AE$1,tabela_registros[DIA],reservaoutrosconsolidado282935[[#Headers],[1]],tabela_registros[REGISTRO],DADOS!$N$6,tabela_registros[TIPO],DADOS!$AJ$5,tabela_registros[CATEGORIA],reservaoutrosconsolidado282935[[#This Row],[ATUAL]])</f>
        <v>0</v>
      </c>
      <c r="F207" s="176">
        <f>SUMIFS(tabela_registros[VALOR],tabela_registros[MÊS],$AE$1,tabela_registros[DIA],reservaoutrosconsolidado282935[[#Headers],[2]],tabela_registros[REGISTRO],DADOS!$N$6,tabela_registros[TIPO],DADOS!$AJ$5,tabela_registros[CATEGORIA],reservaoutrosconsolidado282935[[#This Row],[ATUAL]])</f>
        <v>0</v>
      </c>
      <c r="G207" s="176">
        <f>SUMIFS(tabela_registros[VALOR],tabela_registros[MÊS],$AE$1,tabela_registros[DIA],reservaoutrosconsolidado282935[[#Headers],[3]],tabela_registros[REGISTRO],DADOS!$N$6,tabela_registros[TIPO],DADOS!$AJ$5,tabela_registros[CATEGORIA],reservaoutrosconsolidado282935[[#This Row],[ATUAL]])</f>
        <v>0</v>
      </c>
      <c r="H207" s="176">
        <f>SUMIFS(tabela_registros[VALOR],tabela_registros[MÊS],$AE$1,tabela_registros[DIA],reservaoutrosconsolidado282935[[#Headers],[4]],tabela_registros[REGISTRO],DADOS!$N$6,tabela_registros[TIPO],DADOS!$AJ$5,tabela_registros[CATEGORIA],reservaoutrosconsolidado282935[[#This Row],[ATUAL]])</f>
        <v>0</v>
      </c>
      <c r="I207" s="176">
        <f>SUMIFS(tabela_registros[VALOR],tabela_registros[MÊS],$AE$1,tabela_registros[DIA],reservaoutrosconsolidado282935[[#Headers],[5]],tabela_registros[REGISTRO],DADOS!$N$6,tabela_registros[TIPO],DADOS!$AJ$5,tabela_registros[CATEGORIA],reservaoutrosconsolidado282935[[#This Row],[ATUAL]])</f>
        <v>0</v>
      </c>
      <c r="J207" s="176">
        <f>SUMIFS(tabela_registros[VALOR],tabela_registros[MÊS],$AE$1,tabela_registros[DIA],reservaoutrosconsolidado282935[[#Headers],[6]],tabela_registros[REGISTRO],DADOS!$N$6,tabela_registros[TIPO],DADOS!$AJ$5,tabela_registros[CATEGORIA],reservaoutrosconsolidado282935[[#This Row],[ATUAL]])</f>
        <v>0</v>
      </c>
      <c r="K207" s="176">
        <f>SUMIFS(tabela_registros[VALOR],tabela_registros[MÊS],$AE$1,tabela_registros[DIA],reservaoutrosconsolidado282935[[#Headers],[7]],tabela_registros[REGISTRO],DADOS!$N$6,tabela_registros[TIPO],DADOS!$AJ$5,tabela_registros[CATEGORIA],reservaoutrosconsolidado282935[[#This Row],[ATUAL]])</f>
        <v>0</v>
      </c>
      <c r="L207" s="176">
        <f>SUMIFS(tabela_registros[VALOR],tabela_registros[MÊS],$AE$1,tabela_registros[DIA],reservaoutrosconsolidado282935[[#Headers],[8]],tabela_registros[REGISTRO],DADOS!$N$6,tabela_registros[TIPO],DADOS!$AJ$5,tabela_registros[CATEGORIA],reservaoutrosconsolidado282935[[#This Row],[ATUAL]])</f>
        <v>0</v>
      </c>
      <c r="M207" s="176">
        <f>SUMIFS(tabela_registros[VALOR],tabela_registros[MÊS],$AE$1,tabela_registros[DIA],reservaoutrosconsolidado282935[[#Headers],[9]],tabela_registros[REGISTRO],DADOS!$N$6,tabela_registros[TIPO],DADOS!$AJ$5,tabela_registros[CATEGORIA],reservaoutrosconsolidado282935[[#This Row],[ATUAL]])</f>
        <v>0</v>
      </c>
      <c r="N207" s="176">
        <f>SUMIFS(tabela_registros[VALOR],tabela_registros[MÊS],$AE$1,tabela_registros[DIA],reservaoutrosconsolidado282935[[#Headers],[10]],tabela_registros[REGISTRO],DADOS!$N$6,tabela_registros[TIPO],DADOS!$AJ$5,tabela_registros[CATEGORIA],reservaoutrosconsolidado282935[[#This Row],[ATUAL]])</f>
        <v>0</v>
      </c>
      <c r="O207" s="176">
        <f>SUMIFS(tabela_registros[VALOR],tabela_registros[MÊS],$AE$1,tabela_registros[DIA],reservaoutrosconsolidado282935[[#Headers],[11]],tabela_registros[REGISTRO],DADOS!$N$6,tabela_registros[TIPO],DADOS!$AJ$5,tabela_registros[CATEGORIA],reservaoutrosconsolidado282935[[#This Row],[ATUAL]])</f>
        <v>0</v>
      </c>
      <c r="P207" s="176">
        <f>SUMIFS(tabela_registros[VALOR],tabela_registros[MÊS],$AE$1,tabela_registros[DIA],reservaoutrosconsolidado282935[[#Headers],[12]],tabela_registros[REGISTRO],DADOS!$N$6,tabela_registros[TIPO],DADOS!$AJ$5,tabela_registros[CATEGORIA],reservaoutrosconsolidado282935[[#This Row],[ATUAL]])</f>
        <v>0</v>
      </c>
      <c r="Q207" s="176">
        <f>SUMIFS(tabela_registros[VALOR],tabela_registros[MÊS],$AE$1,tabela_registros[DIA],reservaoutrosconsolidado282935[[#Headers],[13]],tabela_registros[REGISTRO],DADOS!$N$6,tabela_registros[TIPO],DADOS!$AJ$5,tabela_registros[CATEGORIA],reservaoutrosconsolidado282935[[#This Row],[ATUAL]])</f>
        <v>0</v>
      </c>
      <c r="R207" s="176">
        <f>SUMIFS(tabela_registros[VALOR],tabela_registros[MÊS],$AE$1,tabela_registros[DIA],reservaoutrosconsolidado282935[[#Headers],[14]],tabela_registros[REGISTRO],DADOS!$N$6,tabela_registros[TIPO],DADOS!$AJ$5,tabela_registros[CATEGORIA],reservaoutrosconsolidado282935[[#This Row],[ATUAL]])</f>
        <v>0</v>
      </c>
      <c r="S207" s="176">
        <f>SUMIFS(tabela_registros[VALOR],tabela_registros[MÊS],$AE$1,tabela_registros[DIA],reservaoutrosconsolidado282935[[#Headers],[15]],tabela_registros[REGISTRO],DADOS!$N$6,tabela_registros[TIPO],DADOS!$AJ$5,tabela_registros[CATEGORIA],reservaoutrosconsolidado282935[[#This Row],[ATUAL]])</f>
        <v>0</v>
      </c>
      <c r="T207" s="176">
        <f>SUMIFS(tabela_registros[VALOR],tabela_registros[MÊS],$AE$1,tabela_registros[DIA],reservaoutrosconsolidado282935[[#Headers],[16]],tabela_registros[REGISTRO],DADOS!$N$6,tabela_registros[TIPO],DADOS!$AJ$5,tabela_registros[CATEGORIA],reservaoutrosconsolidado282935[[#This Row],[ATUAL]])</f>
        <v>0</v>
      </c>
      <c r="U207" s="176">
        <f>SUMIFS(tabela_registros[VALOR],tabela_registros[MÊS],$AE$1,tabela_registros[DIA],reservaoutrosconsolidado282935[[#Headers],[17]],tabela_registros[REGISTRO],DADOS!$N$6,tabela_registros[TIPO],DADOS!$AJ$5,tabela_registros[CATEGORIA],reservaoutrosconsolidado282935[[#This Row],[ATUAL]])</f>
        <v>0</v>
      </c>
      <c r="V207" s="176">
        <f>SUMIFS(tabela_registros[VALOR],tabela_registros[MÊS],$AE$1,tabela_registros[DIA],reservaoutrosconsolidado282935[[#Headers],[18]],tabela_registros[REGISTRO],DADOS!$N$6,tabela_registros[TIPO],DADOS!$AJ$5,tabela_registros[CATEGORIA],reservaoutrosconsolidado282935[[#This Row],[ATUAL]])</f>
        <v>0</v>
      </c>
      <c r="W207" s="176">
        <f>SUMIFS(tabela_registros[VALOR],tabela_registros[MÊS],$AE$1,tabela_registros[DIA],reservaoutrosconsolidado282935[[#Headers],[19]],tabela_registros[REGISTRO],DADOS!$N$6,tabela_registros[TIPO],DADOS!$AJ$5,tabela_registros[CATEGORIA],reservaoutrosconsolidado282935[[#This Row],[ATUAL]])</f>
        <v>0</v>
      </c>
      <c r="X207" s="176">
        <f>SUMIFS(tabela_registros[VALOR],tabela_registros[MÊS],$AE$1,tabela_registros[DIA],reservaoutrosconsolidado282935[[#Headers],[20]],tabela_registros[REGISTRO],DADOS!$N$6,tabela_registros[TIPO],DADOS!$AJ$5,tabela_registros[CATEGORIA],reservaoutrosconsolidado282935[[#This Row],[ATUAL]])</f>
        <v>0</v>
      </c>
      <c r="Y207" s="176">
        <f>SUMIFS(tabela_registros[VALOR],tabela_registros[MÊS],$AE$1,tabela_registros[DIA],reservaoutrosconsolidado282935[[#Headers],[21]],tabela_registros[REGISTRO],DADOS!$N$6,tabela_registros[TIPO],DADOS!$AJ$5,tabela_registros[CATEGORIA],reservaoutrosconsolidado282935[[#This Row],[ATUAL]])</f>
        <v>0</v>
      </c>
      <c r="Z207" s="176">
        <f>SUMIFS(tabela_registros[VALOR],tabela_registros[MÊS],$AE$1,tabela_registros[DIA],reservaoutrosconsolidado282935[[#Headers],[22]],tabela_registros[REGISTRO],DADOS!$N$6,tabela_registros[TIPO],DADOS!$AJ$5,tabela_registros[CATEGORIA],reservaoutrosconsolidado282935[[#This Row],[ATUAL]])</f>
        <v>0</v>
      </c>
      <c r="AA207" s="176">
        <f>SUMIFS(tabela_registros[VALOR],tabela_registros[MÊS],$AE$1,tabela_registros[DIA],reservaoutrosconsolidado282935[[#Headers],[23]],tabela_registros[REGISTRO],DADOS!$N$6,tabela_registros[TIPO],DADOS!$AJ$5,tabela_registros[CATEGORIA],reservaoutrosconsolidado282935[[#This Row],[ATUAL]])</f>
        <v>0</v>
      </c>
      <c r="AB207" s="176">
        <f>SUMIFS(tabela_registros[VALOR],tabela_registros[MÊS],$AE$1,tabela_registros[DIA],reservaoutrosconsolidado282935[[#Headers],[24]],tabela_registros[REGISTRO],DADOS!$N$6,tabela_registros[TIPO],DADOS!$AJ$5,tabela_registros[CATEGORIA],reservaoutrosconsolidado282935[[#This Row],[ATUAL]])</f>
        <v>0</v>
      </c>
      <c r="AC207" s="176">
        <f>SUMIFS(tabela_registros[VALOR],tabela_registros[MÊS],$AE$1,tabela_registros[DIA],reservaoutrosconsolidado282935[[#Headers],[25]],tabela_registros[REGISTRO],DADOS!$N$6,tabela_registros[TIPO],DADOS!$AJ$5,tabela_registros[CATEGORIA],reservaoutrosconsolidado282935[[#This Row],[ATUAL]])</f>
        <v>0</v>
      </c>
      <c r="AD207" s="176">
        <f>SUMIFS(tabela_registros[VALOR],tabela_registros[MÊS],$AE$1,tabela_registros[DIA],reservaoutrosconsolidado282935[[#Headers],[26]],tabela_registros[REGISTRO],DADOS!$N$6,tabela_registros[TIPO],DADOS!$AJ$5,tabela_registros[CATEGORIA],reservaoutrosconsolidado282935[[#This Row],[ATUAL]])</f>
        <v>0</v>
      </c>
      <c r="AE207" s="176">
        <f>SUMIFS(tabela_registros[VALOR],tabela_registros[MÊS],$AE$1,tabela_registros[DIA],reservaoutrosconsolidado282935[[#Headers],[27]],tabela_registros[REGISTRO],DADOS!$N$6,tabela_registros[TIPO],DADOS!$AJ$5,tabela_registros[CATEGORIA],reservaoutrosconsolidado282935[[#This Row],[ATUAL]])</f>
        <v>0</v>
      </c>
      <c r="AF207" s="176">
        <f>SUMIFS(tabela_registros[VALOR],tabela_registros[MÊS],$AE$1,tabela_registros[DIA],reservaoutrosconsolidado282935[[#Headers],[28]],tabela_registros[REGISTRO],DADOS!$N$6,tabela_registros[TIPO],DADOS!$AJ$5,tabela_registros[CATEGORIA],reservaoutrosconsolidado282935[[#This Row],[ATUAL]])</f>
        <v>0</v>
      </c>
      <c r="AG207" s="176">
        <f>SUMIFS(tabela_registros[VALOR],tabela_registros[MÊS],$AE$1,tabela_registros[DIA],reservaoutrosconsolidado282935[[#Headers],[29]],tabela_registros[REGISTRO],DADOS!$N$6,tabela_registros[TIPO],DADOS!$AJ$5,tabela_registros[CATEGORIA],reservaoutrosconsolidado282935[[#This Row],[ATUAL]])</f>
        <v>0</v>
      </c>
      <c r="AH207" s="176">
        <f>SUMIFS(tabela_registros[VALOR],tabela_registros[MÊS],$AE$1,tabela_registros[DIA],reservaoutrosconsolidado282935[[#Headers],[30]],tabela_registros[REGISTRO],DADOS!$N$6,tabela_registros[TIPO],DADOS!$AJ$5,tabela_registros[CATEGORIA],reservaoutrosconsolidado282935[[#This Row],[ATUAL]])</f>
        <v>0</v>
      </c>
      <c r="AI207" s="190">
        <f>SUMIFS(tabela_registros[VALOR],tabela_registros[MÊS],$AE$1,tabela_registros[DIA],reservaoutrosconsolidado282935[[#Headers],[31]],tabela_registros[REGISTRO],DADOS!$N$6,tabela_registros[TIPO],DADOS!$AJ$5,tabela_registros[CATEGORIA],reservaoutrosconsolidado282935[[#This Row],[ATUAL]])</f>
        <v>0</v>
      </c>
      <c r="AJ207" s="167">
        <f>SUM(reservaoutrosconsolidado282935[[#This Row],[1]:[31]])</f>
        <v>0</v>
      </c>
      <c r="AK207" s="25"/>
    </row>
    <row r="208" spans="2:37" ht="19.5" customHeight="1" thickTop="1" thickBot="1" x14ac:dyDescent="0.3">
      <c r="B208" s="28"/>
      <c r="C208" s="27" t="str">
        <f>DADOS!$AP$5</f>
        <v>📝 FUNDO DE INVESTIMENTO</v>
      </c>
      <c r="D208" s="26" t="str">
        <f>IF(reservaoutrosconsolidado282935[[#This Row],[TOTAL (R$)]]=0,"",IF(OR(reservaoutrosconsolidado282935[[#This Row],[TOTAL (R$)]]=LARGE($AJ$206:$AJ$213,1),reservaoutrosconsolidado282935[[#This Row],[TOTAL (R$)]]=LARGE($AJ$206:$AJ$213,2)),DADOS!$I$11,""))</f>
        <v/>
      </c>
      <c r="E208" s="189">
        <f>SUMIFS(tabela_registros[VALOR],tabela_registros[MÊS],$AE$1,tabela_registros[DIA],reservaoutrosconsolidado282935[[#Headers],[1]],tabela_registros[REGISTRO],DADOS!$N$6,tabela_registros[TIPO],DADOS!$AJ$5,tabela_registros[CATEGORIA],reservaoutrosconsolidado282935[[#This Row],[ATUAL]])</f>
        <v>0</v>
      </c>
      <c r="F208" s="176">
        <f>SUMIFS(tabela_registros[VALOR],tabela_registros[MÊS],$AE$1,tabela_registros[DIA],reservaoutrosconsolidado282935[[#Headers],[2]],tabela_registros[REGISTRO],DADOS!$N$6,tabela_registros[TIPO],DADOS!$AJ$5,tabela_registros[CATEGORIA],reservaoutrosconsolidado282935[[#This Row],[ATUAL]])</f>
        <v>0</v>
      </c>
      <c r="G208" s="176">
        <f>SUMIFS(tabela_registros[VALOR],tabela_registros[MÊS],$AE$1,tabela_registros[DIA],reservaoutrosconsolidado282935[[#Headers],[3]],tabela_registros[REGISTRO],DADOS!$N$6,tabela_registros[TIPO],DADOS!$AJ$5,tabela_registros[CATEGORIA],reservaoutrosconsolidado282935[[#This Row],[ATUAL]])</f>
        <v>0</v>
      </c>
      <c r="H208" s="176">
        <f>SUMIFS(tabela_registros[VALOR],tabela_registros[MÊS],$AE$1,tabela_registros[DIA],reservaoutrosconsolidado282935[[#Headers],[4]],tabela_registros[REGISTRO],DADOS!$N$6,tabela_registros[TIPO],DADOS!$AJ$5,tabela_registros[CATEGORIA],reservaoutrosconsolidado282935[[#This Row],[ATUAL]])</f>
        <v>0</v>
      </c>
      <c r="I208" s="176">
        <f>SUMIFS(tabela_registros[VALOR],tabela_registros[MÊS],$AE$1,tabela_registros[DIA],reservaoutrosconsolidado282935[[#Headers],[5]],tabela_registros[REGISTRO],DADOS!$N$6,tabela_registros[TIPO],DADOS!$AJ$5,tabela_registros[CATEGORIA],reservaoutrosconsolidado282935[[#This Row],[ATUAL]])</f>
        <v>0</v>
      </c>
      <c r="J208" s="176">
        <f>SUMIFS(tabela_registros[VALOR],tabela_registros[MÊS],$AE$1,tabela_registros[DIA],reservaoutrosconsolidado282935[[#Headers],[6]],tabela_registros[REGISTRO],DADOS!$N$6,tabela_registros[TIPO],DADOS!$AJ$5,tabela_registros[CATEGORIA],reservaoutrosconsolidado282935[[#This Row],[ATUAL]])</f>
        <v>0</v>
      </c>
      <c r="K208" s="176">
        <f>SUMIFS(tabela_registros[VALOR],tabela_registros[MÊS],$AE$1,tabela_registros[DIA],reservaoutrosconsolidado282935[[#Headers],[7]],tabela_registros[REGISTRO],DADOS!$N$6,tabela_registros[TIPO],DADOS!$AJ$5,tabela_registros[CATEGORIA],reservaoutrosconsolidado282935[[#This Row],[ATUAL]])</f>
        <v>0</v>
      </c>
      <c r="L208" s="176">
        <f>SUMIFS(tabela_registros[VALOR],tabela_registros[MÊS],$AE$1,tabela_registros[DIA],reservaoutrosconsolidado282935[[#Headers],[8]],tabela_registros[REGISTRO],DADOS!$N$6,tabela_registros[TIPO],DADOS!$AJ$5,tabela_registros[CATEGORIA],reservaoutrosconsolidado282935[[#This Row],[ATUAL]])</f>
        <v>0</v>
      </c>
      <c r="M208" s="176">
        <f>SUMIFS(tabela_registros[VALOR],tabela_registros[MÊS],$AE$1,tabela_registros[DIA],reservaoutrosconsolidado282935[[#Headers],[9]],tabela_registros[REGISTRO],DADOS!$N$6,tabela_registros[TIPO],DADOS!$AJ$5,tabela_registros[CATEGORIA],reservaoutrosconsolidado282935[[#This Row],[ATUAL]])</f>
        <v>0</v>
      </c>
      <c r="N208" s="176">
        <f>SUMIFS(tabela_registros[VALOR],tabela_registros[MÊS],$AE$1,tabela_registros[DIA],reservaoutrosconsolidado282935[[#Headers],[10]],tabela_registros[REGISTRO],DADOS!$N$6,tabela_registros[TIPO],DADOS!$AJ$5,tabela_registros[CATEGORIA],reservaoutrosconsolidado282935[[#This Row],[ATUAL]])</f>
        <v>0</v>
      </c>
      <c r="O208" s="176">
        <f>SUMIFS(tabela_registros[VALOR],tabela_registros[MÊS],$AE$1,tabela_registros[DIA],reservaoutrosconsolidado282935[[#Headers],[11]],tabela_registros[REGISTRO],DADOS!$N$6,tabela_registros[TIPO],DADOS!$AJ$5,tabela_registros[CATEGORIA],reservaoutrosconsolidado282935[[#This Row],[ATUAL]])</f>
        <v>0</v>
      </c>
      <c r="P208" s="176">
        <f>SUMIFS(tabela_registros[VALOR],tabela_registros[MÊS],$AE$1,tabela_registros[DIA],reservaoutrosconsolidado282935[[#Headers],[12]],tabela_registros[REGISTRO],DADOS!$N$6,tabela_registros[TIPO],DADOS!$AJ$5,tabela_registros[CATEGORIA],reservaoutrosconsolidado282935[[#This Row],[ATUAL]])</f>
        <v>0</v>
      </c>
      <c r="Q208" s="176">
        <f>SUMIFS(tabela_registros[VALOR],tabela_registros[MÊS],$AE$1,tabela_registros[DIA],reservaoutrosconsolidado282935[[#Headers],[13]],tabela_registros[REGISTRO],DADOS!$N$6,tabela_registros[TIPO],DADOS!$AJ$5,tabela_registros[CATEGORIA],reservaoutrosconsolidado282935[[#This Row],[ATUAL]])</f>
        <v>0</v>
      </c>
      <c r="R208" s="176">
        <f>SUMIFS(tabela_registros[VALOR],tabela_registros[MÊS],$AE$1,tabela_registros[DIA],reservaoutrosconsolidado282935[[#Headers],[14]],tabela_registros[REGISTRO],DADOS!$N$6,tabela_registros[TIPO],DADOS!$AJ$5,tabela_registros[CATEGORIA],reservaoutrosconsolidado282935[[#This Row],[ATUAL]])</f>
        <v>0</v>
      </c>
      <c r="S208" s="176">
        <f>SUMIFS(tabela_registros[VALOR],tabela_registros[MÊS],$AE$1,tabela_registros[DIA],reservaoutrosconsolidado282935[[#Headers],[15]],tabela_registros[REGISTRO],DADOS!$N$6,tabela_registros[TIPO],DADOS!$AJ$5,tabela_registros[CATEGORIA],reservaoutrosconsolidado282935[[#This Row],[ATUAL]])</f>
        <v>0</v>
      </c>
      <c r="T208" s="176">
        <f>SUMIFS(tabela_registros[VALOR],tabela_registros[MÊS],$AE$1,tabela_registros[DIA],reservaoutrosconsolidado282935[[#Headers],[16]],tabela_registros[REGISTRO],DADOS!$N$6,tabela_registros[TIPO],DADOS!$AJ$5,tabela_registros[CATEGORIA],reservaoutrosconsolidado282935[[#This Row],[ATUAL]])</f>
        <v>0</v>
      </c>
      <c r="U208" s="176">
        <f>SUMIFS(tabela_registros[VALOR],tabela_registros[MÊS],$AE$1,tabela_registros[DIA],reservaoutrosconsolidado282935[[#Headers],[17]],tabela_registros[REGISTRO],DADOS!$N$6,tabela_registros[TIPO],DADOS!$AJ$5,tabela_registros[CATEGORIA],reservaoutrosconsolidado282935[[#This Row],[ATUAL]])</f>
        <v>0</v>
      </c>
      <c r="V208" s="176">
        <f>SUMIFS(tabela_registros[VALOR],tabela_registros[MÊS],$AE$1,tabela_registros[DIA],reservaoutrosconsolidado282935[[#Headers],[18]],tabela_registros[REGISTRO],DADOS!$N$6,tabela_registros[TIPO],DADOS!$AJ$5,tabela_registros[CATEGORIA],reservaoutrosconsolidado282935[[#This Row],[ATUAL]])</f>
        <v>0</v>
      </c>
      <c r="W208" s="176">
        <f>SUMIFS(tabela_registros[VALOR],tabela_registros[MÊS],$AE$1,tabela_registros[DIA],reservaoutrosconsolidado282935[[#Headers],[19]],tabela_registros[REGISTRO],DADOS!$N$6,tabela_registros[TIPO],DADOS!$AJ$5,tabela_registros[CATEGORIA],reservaoutrosconsolidado282935[[#This Row],[ATUAL]])</f>
        <v>0</v>
      </c>
      <c r="X208" s="176">
        <f>SUMIFS(tabela_registros[VALOR],tabela_registros[MÊS],$AE$1,tabela_registros[DIA],reservaoutrosconsolidado282935[[#Headers],[20]],tabela_registros[REGISTRO],DADOS!$N$6,tabela_registros[TIPO],DADOS!$AJ$5,tabela_registros[CATEGORIA],reservaoutrosconsolidado282935[[#This Row],[ATUAL]])</f>
        <v>0</v>
      </c>
      <c r="Y208" s="176">
        <f>SUMIFS(tabela_registros[VALOR],tabela_registros[MÊS],$AE$1,tabela_registros[DIA],reservaoutrosconsolidado282935[[#Headers],[21]],tabela_registros[REGISTRO],DADOS!$N$6,tabela_registros[TIPO],DADOS!$AJ$5,tabela_registros[CATEGORIA],reservaoutrosconsolidado282935[[#This Row],[ATUAL]])</f>
        <v>0</v>
      </c>
      <c r="Z208" s="176">
        <f>SUMIFS(tabela_registros[VALOR],tabela_registros[MÊS],$AE$1,tabela_registros[DIA],reservaoutrosconsolidado282935[[#Headers],[22]],tabela_registros[REGISTRO],DADOS!$N$6,tabela_registros[TIPO],DADOS!$AJ$5,tabela_registros[CATEGORIA],reservaoutrosconsolidado282935[[#This Row],[ATUAL]])</f>
        <v>0</v>
      </c>
      <c r="AA208" s="176">
        <f>SUMIFS(tabela_registros[VALOR],tabela_registros[MÊS],$AE$1,tabela_registros[DIA],reservaoutrosconsolidado282935[[#Headers],[23]],tabela_registros[REGISTRO],DADOS!$N$6,tabela_registros[TIPO],DADOS!$AJ$5,tabela_registros[CATEGORIA],reservaoutrosconsolidado282935[[#This Row],[ATUAL]])</f>
        <v>0</v>
      </c>
      <c r="AB208" s="176">
        <f>SUMIFS(tabela_registros[VALOR],tabela_registros[MÊS],$AE$1,tabela_registros[DIA],reservaoutrosconsolidado282935[[#Headers],[24]],tabela_registros[REGISTRO],DADOS!$N$6,tabela_registros[TIPO],DADOS!$AJ$5,tabela_registros[CATEGORIA],reservaoutrosconsolidado282935[[#This Row],[ATUAL]])</f>
        <v>0</v>
      </c>
      <c r="AC208" s="176">
        <f>SUMIFS(tabela_registros[VALOR],tabela_registros[MÊS],$AE$1,tabela_registros[DIA],reservaoutrosconsolidado282935[[#Headers],[25]],tabela_registros[REGISTRO],DADOS!$N$6,tabela_registros[TIPO],DADOS!$AJ$5,tabela_registros[CATEGORIA],reservaoutrosconsolidado282935[[#This Row],[ATUAL]])</f>
        <v>0</v>
      </c>
      <c r="AD208" s="176">
        <f>SUMIFS(tabela_registros[VALOR],tabela_registros[MÊS],$AE$1,tabela_registros[DIA],reservaoutrosconsolidado282935[[#Headers],[26]],tabela_registros[REGISTRO],DADOS!$N$6,tabela_registros[TIPO],DADOS!$AJ$5,tabela_registros[CATEGORIA],reservaoutrosconsolidado282935[[#This Row],[ATUAL]])</f>
        <v>0</v>
      </c>
      <c r="AE208" s="176">
        <f>SUMIFS(tabela_registros[VALOR],tabela_registros[MÊS],$AE$1,tabela_registros[DIA],reservaoutrosconsolidado282935[[#Headers],[27]],tabela_registros[REGISTRO],DADOS!$N$6,tabela_registros[TIPO],DADOS!$AJ$5,tabela_registros[CATEGORIA],reservaoutrosconsolidado282935[[#This Row],[ATUAL]])</f>
        <v>0</v>
      </c>
      <c r="AF208" s="176">
        <f>SUMIFS(tabela_registros[VALOR],tabela_registros[MÊS],$AE$1,tabela_registros[DIA],reservaoutrosconsolidado282935[[#Headers],[28]],tabela_registros[REGISTRO],DADOS!$N$6,tabela_registros[TIPO],DADOS!$AJ$5,tabela_registros[CATEGORIA],reservaoutrosconsolidado282935[[#This Row],[ATUAL]])</f>
        <v>0</v>
      </c>
      <c r="AG208" s="176">
        <f>SUMIFS(tabela_registros[VALOR],tabela_registros[MÊS],$AE$1,tabela_registros[DIA],reservaoutrosconsolidado282935[[#Headers],[29]],tabela_registros[REGISTRO],DADOS!$N$6,tabela_registros[TIPO],DADOS!$AJ$5,tabela_registros[CATEGORIA],reservaoutrosconsolidado282935[[#This Row],[ATUAL]])</f>
        <v>0</v>
      </c>
      <c r="AH208" s="176">
        <f>SUMIFS(tabela_registros[VALOR],tabela_registros[MÊS],$AE$1,tabela_registros[DIA],reservaoutrosconsolidado282935[[#Headers],[30]],tabela_registros[REGISTRO],DADOS!$N$6,tabela_registros[TIPO],DADOS!$AJ$5,tabela_registros[CATEGORIA],reservaoutrosconsolidado282935[[#This Row],[ATUAL]])</f>
        <v>0</v>
      </c>
      <c r="AI208" s="190">
        <f>SUMIFS(tabela_registros[VALOR],tabela_registros[MÊS],$AE$1,tabela_registros[DIA],reservaoutrosconsolidado282935[[#Headers],[31]],tabela_registros[REGISTRO],DADOS!$N$6,tabela_registros[TIPO],DADOS!$AJ$5,tabela_registros[CATEGORIA],reservaoutrosconsolidado282935[[#This Row],[ATUAL]])</f>
        <v>0</v>
      </c>
      <c r="AJ208" s="167">
        <f>SUM(reservaoutrosconsolidado282935[[#This Row],[1]:[31]])</f>
        <v>0</v>
      </c>
      <c r="AK208" s="25"/>
    </row>
    <row r="209" spans="2:37" ht="19.5" customHeight="1" thickTop="1" thickBot="1" x14ac:dyDescent="0.3">
      <c r="B209" s="28"/>
      <c r="C209" s="27" t="str">
        <f>DADOS!$AP$6</f>
        <v>📝 NOVA EMPRESA</v>
      </c>
      <c r="D209" s="26" t="str">
        <f>IF(reservaoutrosconsolidado282935[[#This Row],[TOTAL (R$)]]=0,"",IF(OR(reservaoutrosconsolidado282935[[#This Row],[TOTAL (R$)]]=LARGE($AJ$206:$AJ$213,1),reservaoutrosconsolidado282935[[#This Row],[TOTAL (R$)]]=LARGE($AJ$206:$AJ$213,2)),DADOS!$I$11,""))</f>
        <v/>
      </c>
      <c r="E209" s="189">
        <f>SUMIFS(tabela_registros[VALOR],tabela_registros[MÊS],$AE$1,tabela_registros[DIA],reservaoutrosconsolidado282935[[#Headers],[1]],tabela_registros[REGISTRO],DADOS!$N$6,tabela_registros[TIPO],DADOS!$AJ$5,tabela_registros[CATEGORIA],reservaoutrosconsolidado282935[[#This Row],[ATUAL]])</f>
        <v>0</v>
      </c>
      <c r="F209" s="176">
        <f>SUMIFS(tabela_registros[VALOR],tabela_registros[MÊS],$AE$1,tabela_registros[DIA],reservaoutrosconsolidado282935[[#Headers],[2]],tabela_registros[REGISTRO],DADOS!$N$6,tabela_registros[TIPO],DADOS!$AJ$5,tabela_registros[CATEGORIA],reservaoutrosconsolidado282935[[#This Row],[ATUAL]])</f>
        <v>0</v>
      </c>
      <c r="G209" s="176">
        <f>SUMIFS(tabela_registros[VALOR],tabela_registros[MÊS],$AE$1,tabela_registros[DIA],reservaoutrosconsolidado282935[[#Headers],[3]],tabela_registros[REGISTRO],DADOS!$N$6,tabela_registros[TIPO],DADOS!$AJ$5,tabela_registros[CATEGORIA],reservaoutrosconsolidado282935[[#This Row],[ATUAL]])</f>
        <v>0</v>
      </c>
      <c r="H209" s="176">
        <f>SUMIFS(tabela_registros[VALOR],tabela_registros[MÊS],$AE$1,tabela_registros[DIA],reservaoutrosconsolidado282935[[#Headers],[4]],tabela_registros[REGISTRO],DADOS!$N$6,tabela_registros[TIPO],DADOS!$AJ$5,tabela_registros[CATEGORIA],reservaoutrosconsolidado282935[[#This Row],[ATUAL]])</f>
        <v>0</v>
      </c>
      <c r="I209" s="176">
        <f>SUMIFS(tabela_registros[VALOR],tabela_registros[MÊS],$AE$1,tabela_registros[DIA],reservaoutrosconsolidado282935[[#Headers],[5]],tabela_registros[REGISTRO],DADOS!$N$6,tabela_registros[TIPO],DADOS!$AJ$5,tabela_registros[CATEGORIA],reservaoutrosconsolidado282935[[#This Row],[ATUAL]])</f>
        <v>0</v>
      </c>
      <c r="J209" s="176">
        <f>SUMIFS(tabela_registros[VALOR],tabela_registros[MÊS],$AE$1,tabela_registros[DIA],reservaoutrosconsolidado282935[[#Headers],[6]],tabela_registros[REGISTRO],DADOS!$N$6,tabela_registros[TIPO],DADOS!$AJ$5,tabela_registros[CATEGORIA],reservaoutrosconsolidado282935[[#This Row],[ATUAL]])</f>
        <v>0</v>
      </c>
      <c r="K209" s="176">
        <f>SUMIFS(tabela_registros[VALOR],tabela_registros[MÊS],$AE$1,tabela_registros[DIA],reservaoutrosconsolidado282935[[#Headers],[7]],tabela_registros[REGISTRO],DADOS!$N$6,tabela_registros[TIPO],DADOS!$AJ$5,tabela_registros[CATEGORIA],reservaoutrosconsolidado282935[[#This Row],[ATUAL]])</f>
        <v>0</v>
      </c>
      <c r="L209" s="176">
        <f>SUMIFS(tabela_registros[VALOR],tabela_registros[MÊS],$AE$1,tabela_registros[DIA],reservaoutrosconsolidado282935[[#Headers],[8]],tabela_registros[REGISTRO],DADOS!$N$6,tabela_registros[TIPO],DADOS!$AJ$5,tabela_registros[CATEGORIA],reservaoutrosconsolidado282935[[#This Row],[ATUAL]])</f>
        <v>0</v>
      </c>
      <c r="M209" s="176">
        <f>SUMIFS(tabela_registros[VALOR],tabela_registros[MÊS],$AE$1,tabela_registros[DIA],reservaoutrosconsolidado282935[[#Headers],[9]],tabela_registros[REGISTRO],DADOS!$N$6,tabela_registros[TIPO],DADOS!$AJ$5,tabela_registros[CATEGORIA],reservaoutrosconsolidado282935[[#This Row],[ATUAL]])</f>
        <v>0</v>
      </c>
      <c r="N209" s="176">
        <f>SUMIFS(tabela_registros[VALOR],tabela_registros[MÊS],$AE$1,tabela_registros[DIA],reservaoutrosconsolidado282935[[#Headers],[10]],tabela_registros[REGISTRO],DADOS!$N$6,tabela_registros[TIPO],DADOS!$AJ$5,tabela_registros[CATEGORIA],reservaoutrosconsolidado282935[[#This Row],[ATUAL]])</f>
        <v>0</v>
      </c>
      <c r="O209" s="176">
        <f>SUMIFS(tabela_registros[VALOR],tabela_registros[MÊS],$AE$1,tabela_registros[DIA],reservaoutrosconsolidado282935[[#Headers],[11]],tabela_registros[REGISTRO],DADOS!$N$6,tabela_registros[TIPO],DADOS!$AJ$5,tabela_registros[CATEGORIA],reservaoutrosconsolidado282935[[#This Row],[ATUAL]])</f>
        <v>0</v>
      </c>
      <c r="P209" s="176">
        <f>SUMIFS(tabela_registros[VALOR],tabela_registros[MÊS],$AE$1,tabela_registros[DIA],reservaoutrosconsolidado282935[[#Headers],[12]],tabela_registros[REGISTRO],DADOS!$N$6,tabela_registros[TIPO],DADOS!$AJ$5,tabela_registros[CATEGORIA],reservaoutrosconsolidado282935[[#This Row],[ATUAL]])</f>
        <v>0</v>
      </c>
      <c r="Q209" s="176">
        <f>SUMIFS(tabela_registros[VALOR],tabela_registros[MÊS],$AE$1,tabela_registros[DIA],reservaoutrosconsolidado282935[[#Headers],[13]],tabela_registros[REGISTRO],DADOS!$N$6,tabela_registros[TIPO],DADOS!$AJ$5,tabela_registros[CATEGORIA],reservaoutrosconsolidado282935[[#This Row],[ATUAL]])</f>
        <v>0</v>
      </c>
      <c r="R209" s="176">
        <f>SUMIFS(tabela_registros[VALOR],tabela_registros[MÊS],$AE$1,tabela_registros[DIA],reservaoutrosconsolidado282935[[#Headers],[14]],tabela_registros[REGISTRO],DADOS!$N$6,tabela_registros[TIPO],DADOS!$AJ$5,tabela_registros[CATEGORIA],reservaoutrosconsolidado282935[[#This Row],[ATUAL]])</f>
        <v>0</v>
      </c>
      <c r="S209" s="176">
        <f>SUMIFS(tabela_registros[VALOR],tabela_registros[MÊS],$AE$1,tabela_registros[DIA],reservaoutrosconsolidado282935[[#Headers],[15]],tabela_registros[REGISTRO],DADOS!$N$6,tabela_registros[TIPO],DADOS!$AJ$5,tabela_registros[CATEGORIA],reservaoutrosconsolidado282935[[#This Row],[ATUAL]])</f>
        <v>0</v>
      </c>
      <c r="T209" s="176">
        <f>SUMIFS(tabela_registros[VALOR],tabela_registros[MÊS],$AE$1,tabela_registros[DIA],reservaoutrosconsolidado282935[[#Headers],[16]],tabela_registros[REGISTRO],DADOS!$N$6,tabela_registros[TIPO],DADOS!$AJ$5,tabela_registros[CATEGORIA],reservaoutrosconsolidado282935[[#This Row],[ATUAL]])</f>
        <v>0</v>
      </c>
      <c r="U209" s="176">
        <f>SUMIFS(tabela_registros[VALOR],tabela_registros[MÊS],$AE$1,tabela_registros[DIA],reservaoutrosconsolidado282935[[#Headers],[17]],tabela_registros[REGISTRO],DADOS!$N$6,tabela_registros[TIPO],DADOS!$AJ$5,tabela_registros[CATEGORIA],reservaoutrosconsolidado282935[[#This Row],[ATUAL]])</f>
        <v>0</v>
      </c>
      <c r="V209" s="176">
        <f>SUMIFS(tabela_registros[VALOR],tabela_registros[MÊS],$AE$1,tabela_registros[DIA],reservaoutrosconsolidado282935[[#Headers],[18]],tabela_registros[REGISTRO],DADOS!$N$6,tabela_registros[TIPO],DADOS!$AJ$5,tabela_registros[CATEGORIA],reservaoutrosconsolidado282935[[#This Row],[ATUAL]])</f>
        <v>0</v>
      </c>
      <c r="W209" s="176">
        <f>SUMIFS(tabela_registros[VALOR],tabela_registros[MÊS],$AE$1,tabela_registros[DIA],reservaoutrosconsolidado282935[[#Headers],[19]],tabela_registros[REGISTRO],DADOS!$N$6,tabela_registros[TIPO],DADOS!$AJ$5,tabela_registros[CATEGORIA],reservaoutrosconsolidado282935[[#This Row],[ATUAL]])</f>
        <v>0</v>
      </c>
      <c r="X209" s="176">
        <f>SUMIFS(tabela_registros[VALOR],tabela_registros[MÊS],$AE$1,tabela_registros[DIA],reservaoutrosconsolidado282935[[#Headers],[20]],tabela_registros[REGISTRO],DADOS!$N$6,tabela_registros[TIPO],DADOS!$AJ$5,tabela_registros[CATEGORIA],reservaoutrosconsolidado282935[[#This Row],[ATUAL]])</f>
        <v>0</v>
      </c>
      <c r="Y209" s="176">
        <f>SUMIFS(tabela_registros[VALOR],tabela_registros[MÊS],$AE$1,tabela_registros[DIA],reservaoutrosconsolidado282935[[#Headers],[21]],tabela_registros[REGISTRO],DADOS!$N$6,tabela_registros[TIPO],DADOS!$AJ$5,tabela_registros[CATEGORIA],reservaoutrosconsolidado282935[[#This Row],[ATUAL]])</f>
        <v>0</v>
      </c>
      <c r="Z209" s="176">
        <f>SUMIFS(tabela_registros[VALOR],tabela_registros[MÊS],$AE$1,tabela_registros[DIA],reservaoutrosconsolidado282935[[#Headers],[22]],tabela_registros[REGISTRO],DADOS!$N$6,tabela_registros[TIPO],DADOS!$AJ$5,tabela_registros[CATEGORIA],reservaoutrosconsolidado282935[[#This Row],[ATUAL]])</f>
        <v>0</v>
      </c>
      <c r="AA209" s="176">
        <f>SUMIFS(tabela_registros[VALOR],tabela_registros[MÊS],$AE$1,tabela_registros[DIA],reservaoutrosconsolidado282935[[#Headers],[23]],tabela_registros[REGISTRO],DADOS!$N$6,tabela_registros[TIPO],DADOS!$AJ$5,tabela_registros[CATEGORIA],reservaoutrosconsolidado282935[[#This Row],[ATUAL]])</f>
        <v>0</v>
      </c>
      <c r="AB209" s="176">
        <f>SUMIFS(tabela_registros[VALOR],tabela_registros[MÊS],$AE$1,tabela_registros[DIA],reservaoutrosconsolidado282935[[#Headers],[24]],tabela_registros[REGISTRO],DADOS!$N$6,tabela_registros[TIPO],DADOS!$AJ$5,tabela_registros[CATEGORIA],reservaoutrosconsolidado282935[[#This Row],[ATUAL]])</f>
        <v>0</v>
      </c>
      <c r="AC209" s="176">
        <f>SUMIFS(tabela_registros[VALOR],tabela_registros[MÊS],$AE$1,tabela_registros[DIA],reservaoutrosconsolidado282935[[#Headers],[25]],tabela_registros[REGISTRO],DADOS!$N$6,tabela_registros[TIPO],DADOS!$AJ$5,tabela_registros[CATEGORIA],reservaoutrosconsolidado282935[[#This Row],[ATUAL]])</f>
        <v>0</v>
      </c>
      <c r="AD209" s="176">
        <f>SUMIFS(tabela_registros[VALOR],tabela_registros[MÊS],$AE$1,tabela_registros[DIA],reservaoutrosconsolidado282935[[#Headers],[26]],tabela_registros[REGISTRO],DADOS!$N$6,tabela_registros[TIPO],DADOS!$AJ$5,tabela_registros[CATEGORIA],reservaoutrosconsolidado282935[[#This Row],[ATUAL]])</f>
        <v>0</v>
      </c>
      <c r="AE209" s="176">
        <f>SUMIFS(tabela_registros[VALOR],tabela_registros[MÊS],$AE$1,tabela_registros[DIA],reservaoutrosconsolidado282935[[#Headers],[27]],tabela_registros[REGISTRO],DADOS!$N$6,tabela_registros[TIPO],DADOS!$AJ$5,tabela_registros[CATEGORIA],reservaoutrosconsolidado282935[[#This Row],[ATUAL]])</f>
        <v>0</v>
      </c>
      <c r="AF209" s="176">
        <f>SUMIFS(tabela_registros[VALOR],tabela_registros[MÊS],$AE$1,tabela_registros[DIA],reservaoutrosconsolidado282935[[#Headers],[28]],tabela_registros[REGISTRO],DADOS!$N$6,tabela_registros[TIPO],DADOS!$AJ$5,tabela_registros[CATEGORIA],reservaoutrosconsolidado282935[[#This Row],[ATUAL]])</f>
        <v>0</v>
      </c>
      <c r="AG209" s="176">
        <f>SUMIFS(tabela_registros[VALOR],tabela_registros[MÊS],$AE$1,tabela_registros[DIA],reservaoutrosconsolidado282935[[#Headers],[29]],tabela_registros[REGISTRO],DADOS!$N$6,tabela_registros[TIPO],DADOS!$AJ$5,tabela_registros[CATEGORIA],reservaoutrosconsolidado282935[[#This Row],[ATUAL]])</f>
        <v>0</v>
      </c>
      <c r="AH209" s="176">
        <f>SUMIFS(tabela_registros[VALOR],tabela_registros[MÊS],$AE$1,tabela_registros[DIA],reservaoutrosconsolidado282935[[#Headers],[30]],tabela_registros[REGISTRO],DADOS!$N$6,tabela_registros[TIPO],DADOS!$AJ$5,tabela_registros[CATEGORIA],reservaoutrosconsolidado282935[[#This Row],[ATUAL]])</f>
        <v>0</v>
      </c>
      <c r="AI209" s="190">
        <f>SUMIFS(tabela_registros[VALOR],tabela_registros[MÊS],$AE$1,tabela_registros[DIA],reservaoutrosconsolidado282935[[#Headers],[31]],tabela_registros[REGISTRO],DADOS!$N$6,tabela_registros[TIPO],DADOS!$AJ$5,tabela_registros[CATEGORIA],reservaoutrosconsolidado282935[[#This Row],[ATUAL]])</f>
        <v>0</v>
      </c>
      <c r="AJ209" s="167">
        <f>SUM(reservaoutrosconsolidado282935[[#This Row],[1]:[31]])</f>
        <v>0</v>
      </c>
      <c r="AK209" s="25"/>
    </row>
    <row r="210" spans="2:37" ht="19.5" customHeight="1" thickTop="1" thickBot="1" x14ac:dyDescent="0.3">
      <c r="B210" s="28"/>
      <c r="C210" s="27" t="str">
        <f>DADOS!$AP$7</f>
        <v>📝 PEER TO COMPANY</v>
      </c>
      <c r="D210" s="26" t="str">
        <f>IF(reservaoutrosconsolidado282935[[#This Row],[TOTAL (R$)]]=0,"",IF(OR(reservaoutrosconsolidado282935[[#This Row],[TOTAL (R$)]]=LARGE($AJ$206:$AJ$213,1),reservaoutrosconsolidado282935[[#This Row],[TOTAL (R$)]]=LARGE($AJ$206:$AJ$213,2)),DADOS!$I$11,""))</f>
        <v/>
      </c>
      <c r="E210" s="189">
        <f>SUMIFS(tabela_registros[VALOR],tabela_registros[MÊS],$AE$1,tabela_registros[DIA],reservaoutrosconsolidado282935[[#Headers],[1]],tabela_registros[REGISTRO],DADOS!$N$6,tabela_registros[TIPO],DADOS!$AJ$5,tabela_registros[CATEGORIA],reservaoutrosconsolidado282935[[#This Row],[ATUAL]])</f>
        <v>0</v>
      </c>
      <c r="F210" s="176">
        <f>SUMIFS(tabela_registros[VALOR],tabela_registros[MÊS],$AE$1,tabela_registros[DIA],reservaoutrosconsolidado282935[[#Headers],[2]],tabela_registros[REGISTRO],DADOS!$N$6,tabela_registros[TIPO],DADOS!$AJ$5,tabela_registros[CATEGORIA],reservaoutrosconsolidado282935[[#This Row],[ATUAL]])</f>
        <v>0</v>
      </c>
      <c r="G210" s="176">
        <f>SUMIFS(tabela_registros[VALOR],tabela_registros[MÊS],$AE$1,tabela_registros[DIA],reservaoutrosconsolidado282935[[#Headers],[3]],tabela_registros[REGISTRO],DADOS!$N$6,tabela_registros[TIPO],DADOS!$AJ$5,tabela_registros[CATEGORIA],reservaoutrosconsolidado282935[[#This Row],[ATUAL]])</f>
        <v>0</v>
      </c>
      <c r="H210" s="176">
        <f>SUMIFS(tabela_registros[VALOR],tabela_registros[MÊS],$AE$1,tabela_registros[DIA],reservaoutrosconsolidado282935[[#Headers],[4]],tabela_registros[REGISTRO],DADOS!$N$6,tabela_registros[TIPO],DADOS!$AJ$5,tabela_registros[CATEGORIA],reservaoutrosconsolidado282935[[#This Row],[ATUAL]])</f>
        <v>0</v>
      </c>
      <c r="I210" s="176">
        <f>SUMIFS(tabela_registros[VALOR],tabela_registros[MÊS],$AE$1,tabela_registros[DIA],reservaoutrosconsolidado282935[[#Headers],[5]],tabela_registros[REGISTRO],DADOS!$N$6,tabela_registros[TIPO],DADOS!$AJ$5,tabela_registros[CATEGORIA],reservaoutrosconsolidado282935[[#This Row],[ATUAL]])</f>
        <v>0</v>
      </c>
      <c r="J210" s="176">
        <f>SUMIFS(tabela_registros[VALOR],tabela_registros[MÊS],$AE$1,tabela_registros[DIA],reservaoutrosconsolidado282935[[#Headers],[6]],tabela_registros[REGISTRO],DADOS!$N$6,tabela_registros[TIPO],DADOS!$AJ$5,tabela_registros[CATEGORIA],reservaoutrosconsolidado282935[[#This Row],[ATUAL]])</f>
        <v>0</v>
      </c>
      <c r="K210" s="176">
        <f>SUMIFS(tabela_registros[VALOR],tabela_registros[MÊS],$AE$1,tabela_registros[DIA],reservaoutrosconsolidado282935[[#Headers],[7]],tabela_registros[REGISTRO],DADOS!$N$6,tabela_registros[TIPO],DADOS!$AJ$5,tabela_registros[CATEGORIA],reservaoutrosconsolidado282935[[#This Row],[ATUAL]])</f>
        <v>0</v>
      </c>
      <c r="L210" s="176">
        <f>SUMIFS(tabela_registros[VALOR],tabela_registros[MÊS],$AE$1,tabela_registros[DIA],reservaoutrosconsolidado282935[[#Headers],[8]],tabela_registros[REGISTRO],DADOS!$N$6,tabela_registros[TIPO],DADOS!$AJ$5,tabela_registros[CATEGORIA],reservaoutrosconsolidado282935[[#This Row],[ATUAL]])</f>
        <v>0</v>
      </c>
      <c r="M210" s="176">
        <f>SUMIFS(tabela_registros[VALOR],tabela_registros[MÊS],$AE$1,tabela_registros[DIA],reservaoutrosconsolidado282935[[#Headers],[9]],tabela_registros[REGISTRO],DADOS!$N$6,tabela_registros[TIPO],DADOS!$AJ$5,tabela_registros[CATEGORIA],reservaoutrosconsolidado282935[[#This Row],[ATUAL]])</f>
        <v>0</v>
      </c>
      <c r="N210" s="176">
        <f>SUMIFS(tabela_registros[VALOR],tabela_registros[MÊS],$AE$1,tabela_registros[DIA],reservaoutrosconsolidado282935[[#Headers],[10]],tabela_registros[REGISTRO],DADOS!$N$6,tabela_registros[TIPO],DADOS!$AJ$5,tabela_registros[CATEGORIA],reservaoutrosconsolidado282935[[#This Row],[ATUAL]])</f>
        <v>0</v>
      </c>
      <c r="O210" s="176">
        <f>SUMIFS(tabela_registros[VALOR],tabela_registros[MÊS],$AE$1,tabela_registros[DIA],reservaoutrosconsolidado282935[[#Headers],[11]],tabela_registros[REGISTRO],DADOS!$N$6,tabela_registros[TIPO],DADOS!$AJ$5,tabela_registros[CATEGORIA],reservaoutrosconsolidado282935[[#This Row],[ATUAL]])</f>
        <v>0</v>
      </c>
      <c r="P210" s="176">
        <f>SUMIFS(tabela_registros[VALOR],tabela_registros[MÊS],$AE$1,tabela_registros[DIA],reservaoutrosconsolidado282935[[#Headers],[12]],tabela_registros[REGISTRO],DADOS!$N$6,tabela_registros[TIPO],DADOS!$AJ$5,tabela_registros[CATEGORIA],reservaoutrosconsolidado282935[[#This Row],[ATUAL]])</f>
        <v>0</v>
      </c>
      <c r="Q210" s="176">
        <f>SUMIFS(tabela_registros[VALOR],tabela_registros[MÊS],$AE$1,tabela_registros[DIA],reservaoutrosconsolidado282935[[#Headers],[13]],tabela_registros[REGISTRO],DADOS!$N$6,tabela_registros[TIPO],DADOS!$AJ$5,tabela_registros[CATEGORIA],reservaoutrosconsolidado282935[[#This Row],[ATUAL]])</f>
        <v>0</v>
      </c>
      <c r="R210" s="176">
        <f>SUMIFS(tabela_registros[VALOR],tabela_registros[MÊS],$AE$1,tabela_registros[DIA],reservaoutrosconsolidado282935[[#Headers],[14]],tabela_registros[REGISTRO],DADOS!$N$6,tabela_registros[TIPO],DADOS!$AJ$5,tabela_registros[CATEGORIA],reservaoutrosconsolidado282935[[#This Row],[ATUAL]])</f>
        <v>0</v>
      </c>
      <c r="S210" s="176">
        <f>SUMIFS(tabela_registros[VALOR],tabela_registros[MÊS],$AE$1,tabela_registros[DIA],reservaoutrosconsolidado282935[[#Headers],[15]],tabela_registros[REGISTRO],DADOS!$N$6,tabela_registros[TIPO],DADOS!$AJ$5,tabela_registros[CATEGORIA],reservaoutrosconsolidado282935[[#This Row],[ATUAL]])</f>
        <v>0</v>
      </c>
      <c r="T210" s="176">
        <f>SUMIFS(tabela_registros[VALOR],tabela_registros[MÊS],$AE$1,tabela_registros[DIA],reservaoutrosconsolidado282935[[#Headers],[16]],tabela_registros[REGISTRO],DADOS!$N$6,tabela_registros[TIPO],DADOS!$AJ$5,tabela_registros[CATEGORIA],reservaoutrosconsolidado282935[[#This Row],[ATUAL]])</f>
        <v>0</v>
      </c>
      <c r="U210" s="176">
        <f>SUMIFS(tabela_registros[VALOR],tabela_registros[MÊS],$AE$1,tabela_registros[DIA],reservaoutrosconsolidado282935[[#Headers],[17]],tabela_registros[REGISTRO],DADOS!$N$6,tabela_registros[TIPO],DADOS!$AJ$5,tabela_registros[CATEGORIA],reservaoutrosconsolidado282935[[#This Row],[ATUAL]])</f>
        <v>0</v>
      </c>
      <c r="V210" s="176">
        <f>SUMIFS(tabela_registros[VALOR],tabela_registros[MÊS],$AE$1,tabela_registros[DIA],reservaoutrosconsolidado282935[[#Headers],[18]],tabela_registros[REGISTRO],DADOS!$N$6,tabela_registros[TIPO],DADOS!$AJ$5,tabela_registros[CATEGORIA],reservaoutrosconsolidado282935[[#This Row],[ATUAL]])</f>
        <v>0</v>
      </c>
      <c r="W210" s="176">
        <f>SUMIFS(tabela_registros[VALOR],tabela_registros[MÊS],$AE$1,tabela_registros[DIA],reservaoutrosconsolidado282935[[#Headers],[19]],tabela_registros[REGISTRO],DADOS!$N$6,tabela_registros[TIPO],DADOS!$AJ$5,tabela_registros[CATEGORIA],reservaoutrosconsolidado282935[[#This Row],[ATUAL]])</f>
        <v>0</v>
      </c>
      <c r="X210" s="176">
        <f>SUMIFS(tabela_registros[VALOR],tabela_registros[MÊS],$AE$1,tabela_registros[DIA],reservaoutrosconsolidado282935[[#Headers],[20]],tabela_registros[REGISTRO],DADOS!$N$6,tabela_registros[TIPO],DADOS!$AJ$5,tabela_registros[CATEGORIA],reservaoutrosconsolidado282935[[#This Row],[ATUAL]])</f>
        <v>0</v>
      </c>
      <c r="Y210" s="176">
        <f>SUMIFS(tabela_registros[VALOR],tabela_registros[MÊS],$AE$1,tabela_registros[DIA],reservaoutrosconsolidado282935[[#Headers],[21]],tabela_registros[REGISTRO],DADOS!$N$6,tabela_registros[TIPO],DADOS!$AJ$5,tabela_registros[CATEGORIA],reservaoutrosconsolidado282935[[#This Row],[ATUAL]])</f>
        <v>0</v>
      </c>
      <c r="Z210" s="176">
        <f>SUMIFS(tabela_registros[VALOR],tabela_registros[MÊS],$AE$1,tabela_registros[DIA],reservaoutrosconsolidado282935[[#Headers],[22]],tabela_registros[REGISTRO],DADOS!$N$6,tabela_registros[TIPO],DADOS!$AJ$5,tabela_registros[CATEGORIA],reservaoutrosconsolidado282935[[#This Row],[ATUAL]])</f>
        <v>0</v>
      </c>
      <c r="AA210" s="176">
        <f>SUMIFS(tabela_registros[VALOR],tabela_registros[MÊS],$AE$1,tabela_registros[DIA],reservaoutrosconsolidado282935[[#Headers],[23]],tabela_registros[REGISTRO],DADOS!$N$6,tabela_registros[TIPO],DADOS!$AJ$5,tabela_registros[CATEGORIA],reservaoutrosconsolidado282935[[#This Row],[ATUAL]])</f>
        <v>0</v>
      </c>
      <c r="AB210" s="176">
        <f>SUMIFS(tabela_registros[VALOR],tabela_registros[MÊS],$AE$1,tabela_registros[DIA],reservaoutrosconsolidado282935[[#Headers],[24]],tabela_registros[REGISTRO],DADOS!$N$6,tabela_registros[TIPO],DADOS!$AJ$5,tabela_registros[CATEGORIA],reservaoutrosconsolidado282935[[#This Row],[ATUAL]])</f>
        <v>0</v>
      </c>
      <c r="AC210" s="176">
        <f>SUMIFS(tabela_registros[VALOR],tabela_registros[MÊS],$AE$1,tabela_registros[DIA],reservaoutrosconsolidado282935[[#Headers],[25]],tabela_registros[REGISTRO],DADOS!$N$6,tabela_registros[TIPO],DADOS!$AJ$5,tabela_registros[CATEGORIA],reservaoutrosconsolidado282935[[#This Row],[ATUAL]])</f>
        <v>0</v>
      </c>
      <c r="AD210" s="176">
        <f>SUMIFS(tabela_registros[VALOR],tabela_registros[MÊS],$AE$1,tabela_registros[DIA],reservaoutrosconsolidado282935[[#Headers],[26]],tabela_registros[REGISTRO],DADOS!$N$6,tabela_registros[TIPO],DADOS!$AJ$5,tabela_registros[CATEGORIA],reservaoutrosconsolidado282935[[#This Row],[ATUAL]])</f>
        <v>0</v>
      </c>
      <c r="AE210" s="176">
        <f>SUMIFS(tabela_registros[VALOR],tabela_registros[MÊS],$AE$1,tabela_registros[DIA],reservaoutrosconsolidado282935[[#Headers],[27]],tabela_registros[REGISTRO],DADOS!$N$6,tabela_registros[TIPO],DADOS!$AJ$5,tabela_registros[CATEGORIA],reservaoutrosconsolidado282935[[#This Row],[ATUAL]])</f>
        <v>0</v>
      </c>
      <c r="AF210" s="176">
        <f>SUMIFS(tabela_registros[VALOR],tabela_registros[MÊS],$AE$1,tabela_registros[DIA],reservaoutrosconsolidado282935[[#Headers],[28]],tabela_registros[REGISTRO],DADOS!$N$6,tabela_registros[TIPO],DADOS!$AJ$5,tabela_registros[CATEGORIA],reservaoutrosconsolidado282935[[#This Row],[ATUAL]])</f>
        <v>0</v>
      </c>
      <c r="AG210" s="176">
        <f>SUMIFS(tabela_registros[VALOR],tabela_registros[MÊS],$AE$1,tabela_registros[DIA],reservaoutrosconsolidado282935[[#Headers],[29]],tabela_registros[REGISTRO],DADOS!$N$6,tabela_registros[TIPO],DADOS!$AJ$5,tabela_registros[CATEGORIA],reservaoutrosconsolidado282935[[#This Row],[ATUAL]])</f>
        <v>0</v>
      </c>
      <c r="AH210" s="176">
        <f>SUMIFS(tabela_registros[VALOR],tabela_registros[MÊS],$AE$1,tabela_registros[DIA],reservaoutrosconsolidado282935[[#Headers],[30]],tabela_registros[REGISTRO],DADOS!$N$6,tabela_registros[TIPO],DADOS!$AJ$5,tabela_registros[CATEGORIA],reservaoutrosconsolidado282935[[#This Row],[ATUAL]])</f>
        <v>0</v>
      </c>
      <c r="AI210" s="190">
        <f>SUMIFS(tabela_registros[VALOR],tabela_registros[MÊS],$AE$1,tabela_registros[DIA],reservaoutrosconsolidado282935[[#Headers],[31]],tabela_registros[REGISTRO],DADOS!$N$6,tabela_registros[TIPO],DADOS!$AJ$5,tabela_registros[CATEGORIA],reservaoutrosconsolidado282935[[#This Row],[ATUAL]])</f>
        <v>0</v>
      </c>
      <c r="AJ210" s="167">
        <f>SUM(reservaoutrosconsolidado282935[[#This Row],[1]:[31]])</f>
        <v>0</v>
      </c>
      <c r="AK210" s="25"/>
    </row>
    <row r="211" spans="2:37" ht="19.5" customHeight="1" thickTop="1" thickBot="1" x14ac:dyDescent="0.3">
      <c r="B211" s="28"/>
      <c r="C211" s="27" t="str">
        <f>DADOS!$AP$8</f>
        <v>📝 PEER TO PEER</v>
      </c>
      <c r="D211" s="26" t="str">
        <f>IF(reservaoutrosconsolidado282935[[#This Row],[TOTAL (R$)]]=0,"",IF(OR(reservaoutrosconsolidado282935[[#This Row],[TOTAL (R$)]]=LARGE($AJ$206:$AJ$213,1),reservaoutrosconsolidado282935[[#This Row],[TOTAL (R$)]]=LARGE($AJ$206:$AJ$213,2)),DADOS!$I$11,""))</f>
        <v/>
      </c>
      <c r="E211" s="189">
        <f>SUMIFS(tabela_registros[VALOR],tabela_registros[MÊS],$AE$1,tabela_registros[DIA],reservaoutrosconsolidado282935[[#Headers],[1]],tabela_registros[REGISTRO],DADOS!$N$6,tabela_registros[TIPO],DADOS!$AJ$5,tabela_registros[CATEGORIA],reservaoutrosconsolidado282935[[#This Row],[ATUAL]])</f>
        <v>0</v>
      </c>
      <c r="F211" s="176">
        <f>SUMIFS(tabela_registros[VALOR],tabela_registros[MÊS],$AE$1,tabela_registros[DIA],reservaoutrosconsolidado282935[[#Headers],[2]],tabela_registros[REGISTRO],DADOS!$N$6,tabela_registros[TIPO],DADOS!$AJ$5,tabela_registros[CATEGORIA],reservaoutrosconsolidado282935[[#This Row],[ATUAL]])</f>
        <v>0</v>
      </c>
      <c r="G211" s="176">
        <f>SUMIFS(tabela_registros[VALOR],tabela_registros[MÊS],$AE$1,tabela_registros[DIA],reservaoutrosconsolidado282935[[#Headers],[3]],tabela_registros[REGISTRO],DADOS!$N$6,tabela_registros[TIPO],DADOS!$AJ$5,tabela_registros[CATEGORIA],reservaoutrosconsolidado282935[[#This Row],[ATUAL]])</f>
        <v>0</v>
      </c>
      <c r="H211" s="176">
        <f>SUMIFS(tabela_registros[VALOR],tabela_registros[MÊS],$AE$1,tabela_registros[DIA],reservaoutrosconsolidado282935[[#Headers],[4]],tabela_registros[REGISTRO],DADOS!$N$6,tabela_registros[TIPO],DADOS!$AJ$5,tabela_registros[CATEGORIA],reservaoutrosconsolidado282935[[#This Row],[ATUAL]])</f>
        <v>0</v>
      </c>
      <c r="I211" s="176">
        <f>SUMIFS(tabela_registros[VALOR],tabela_registros[MÊS],$AE$1,tabela_registros[DIA],reservaoutrosconsolidado282935[[#Headers],[5]],tabela_registros[REGISTRO],DADOS!$N$6,tabela_registros[TIPO],DADOS!$AJ$5,tabela_registros[CATEGORIA],reservaoutrosconsolidado282935[[#This Row],[ATUAL]])</f>
        <v>0</v>
      </c>
      <c r="J211" s="176">
        <f>SUMIFS(tabela_registros[VALOR],tabela_registros[MÊS],$AE$1,tabela_registros[DIA],reservaoutrosconsolidado282935[[#Headers],[6]],tabela_registros[REGISTRO],DADOS!$N$6,tabela_registros[TIPO],DADOS!$AJ$5,tabela_registros[CATEGORIA],reservaoutrosconsolidado282935[[#This Row],[ATUAL]])</f>
        <v>0</v>
      </c>
      <c r="K211" s="176">
        <f>SUMIFS(tabela_registros[VALOR],tabela_registros[MÊS],$AE$1,tabela_registros[DIA],reservaoutrosconsolidado282935[[#Headers],[7]],tabela_registros[REGISTRO],DADOS!$N$6,tabela_registros[TIPO],DADOS!$AJ$5,tabela_registros[CATEGORIA],reservaoutrosconsolidado282935[[#This Row],[ATUAL]])</f>
        <v>0</v>
      </c>
      <c r="L211" s="176">
        <f>SUMIFS(tabela_registros[VALOR],tabela_registros[MÊS],$AE$1,tabela_registros[DIA],reservaoutrosconsolidado282935[[#Headers],[8]],tabela_registros[REGISTRO],DADOS!$N$6,tabela_registros[TIPO],DADOS!$AJ$5,tabela_registros[CATEGORIA],reservaoutrosconsolidado282935[[#This Row],[ATUAL]])</f>
        <v>0</v>
      </c>
      <c r="M211" s="176">
        <f>SUMIFS(tabela_registros[VALOR],tabela_registros[MÊS],$AE$1,tabela_registros[DIA],reservaoutrosconsolidado282935[[#Headers],[9]],tabela_registros[REGISTRO],DADOS!$N$6,tabela_registros[TIPO],DADOS!$AJ$5,tabela_registros[CATEGORIA],reservaoutrosconsolidado282935[[#This Row],[ATUAL]])</f>
        <v>0</v>
      </c>
      <c r="N211" s="176">
        <f>SUMIFS(tabela_registros[VALOR],tabela_registros[MÊS],$AE$1,tabela_registros[DIA],reservaoutrosconsolidado282935[[#Headers],[10]],tabela_registros[REGISTRO],DADOS!$N$6,tabela_registros[TIPO],DADOS!$AJ$5,tabela_registros[CATEGORIA],reservaoutrosconsolidado282935[[#This Row],[ATUAL]])</f>
        <v>0</v>
      </c>
      <c r="O211" s="176">
        <f>SUMIFS(tabela_registros[VALOR],tabela_registros[MÊS],$AE$1,tabela_registros[DIA],reservaoutrosconsolidado282935[[#Headers],[11]],tabela_registros[REGISTRO],DADOS!$N$6,tabela_registros[TIPO],DADOS!$AJ$5,tabela_registros[CATEGORIA],reservaoutrosconsolidado282935[[#This Row],[ATUAL]])</f>
        <v>0</v>
      </c>
      <c r="P211" s="176">
        <f>SUMIFS(tabela_registros[VALOR],tabela_registros[MÊS],$AE$1,tabela_registros[DIA],reservaoutrosconsolidado282935[[#Headers],[12]],tabela_registros[REGISTRO],DADOS!$N$6,tabela_registros[TIPO],DADOS!$AJ$5,tabela_registros[CATEGORIA],reservaoutrosconsolidado282935[[#This Row],[ATUAL]])</f>
        <v>0</v>
      </c>
      <c r="Q211" s="176">
        <f>SUMIFS(tabela_registros[VALOR],tabela_registros[MÊS],$AE$1,tabela_registros[DIA],reservaoutrosconsolidado282935[[#Headers],[13]],tabela_registros[REGISTRO],DADOS!$N$6,tabela_registros[TIPO],DADOS!$AJ$5,tabela_registros[CATEGORIA],reservaoutrosconsolidado282935[[#This Row],[ATUAL]])</f>
        <v>0</v>
      </c>
      <c r="R211" s="176">
        <f>SUMIFS(tabela_registros[VALOR],tabela_registros[MÊS],$AE$1,tabela_registros[DIA],reservaoutrosconsolidado282935[[#Headers],[14]],tabela_registros[REGISTRO],DADOS!$N$6,tabela_registros[TIPO],DADOS!$AJ$5,tabela_registros[CATEGORIA],reservaoutrosconsolidado282935[[#This Row],[ATUAL]])</f>
        <v>0</v>
      </c>
      <c r="S211" s="176">
        <f>SUMIFS(tabela_registros[VALOR],tabela_registros[MÊS],$AE$1,tabela_registros[DIA],reservaoutrosconsolidado282935[[#Headers],[15]],tabela_registros[REGISTRO],DADOS!$N$6,tabela_registros[TIPO],DADOS!$AJ$5,tabela_registros[CATEGORIA],reservaoutrosconsolidado282935[[#This Row],[ATUAL]])</f>
        <v>0</v>
      </c>
      <c r="T211" s="176">
        <f>SUMIFS(tabela_registros[VALOR],tabela_registros[MÊS],$AE$1,tabela_registros[DIA],reservaoutrosconsolidado282935[[#Headers],[16]],tabela_registros[REGISTRO],DADOS!$N$6,tabela_registros[TIPO],DADOS!$AJ$5,tabela_registros[CATEGORIA],reservaoutrosconsolidado282935[[#This Row],[ATUAL]])</f>
        <v>0</v>
      </c>
      <c r="U211" s="176">
        <f>SUMIFS(tabela_registros[VALOR],tabela_registros[MÊS],$AE$1,tabela_registros[DIA],reservaoutrosconsolidado282935[[#Headers],[17]],tabela_registros[REGISTRO],DADOS!$N$6,tabela_registros[TIPO],DADOS!$AJ$5,tabela_registros[CATEGORIA],reservaoutrosconsolidado282935[[#This Row],[ATUAL]])</f>
        <v>0</v>
      </c>
      <c r="V211" s="176">
        <f>SUMIFS(tabela_registros[VALOR],tabela_registros[MÊS],$AE$1,tabela_registros[DIA],reservaoutrosconsolidado282935[[#Headers],[18]],tabela_registros[REGISTRO],DADOS!$N$6,tabela_registros[TIPO],DADOS!$AJ$5,tabela_registros[CATEGORIA],reservaoutrosconsolidado282935[[#This Row],[ATUAL]])</f>
        <v>0</v>
      </c>
      <c r="W211" s="176">
        <f>SUMIFS(tabela_registros[VALOR],tabela_registros[MÊS],$AE$1,tabela_registros[DIA],reservaoutrosconsolidado282935[[#Headers],[19]],tabela_registros[REGISTRO],DADOS!$N$6,tabela_registros[TIPO],DADOS!$AJ$5,tabela_registros[CATEGORIA],reservaoutrosconsolidado282935[[#This Row],[ATUAL]])</f>
        <v>0</v>
      </c>
      <c r="X211" s="176">
        <f>SUMIFS(tabela_registros[VALOR],tabela_registros[MÊS],$AE$1,tabela_registros[DIA],reservaoutrosconsolidado282935[[#Headers],[20]],tabela_registros[REGISTRO],DADOS!$N$6,tabela_registros[TIPO],DADOS!$AJ$5,tabela_registros[CATEGORIA],reservaoutrosconsolidado282935[[#This Row],[ATUAL]])</f>
        <v>0</v>
      </c>
      <c r="Y211" s="176">
        <f>SUMIFS(tabela_registros[VALOR],tabela_registros[MÊS],$AE$1,tabela_registros[DIA],reservaoutrosconsolidado282935[[#Headers],[21]],tabela_registros[REGISTRO],DADOS!$N$6,tabela_registros[TIPO],DADOS!$AJ$5,tabela_registros[CATEGORIA],reservaoutrosconsolidado282935[[#This Row],[ATUAL]])</f>
        <v>0</v>
      </c>
      <c r="Z211" s="176">
        <f>SUMIFS(tabela_registros[VALOR],tabela_registros[MÊS],$AE$1,tabela_registros[DIA],reservaoutrosconsolidado282935[[#Headers],[22]],tabela_registros[REGISTRO],DADOS!$N$6,tabela_registros[TIPO],DADOS!$AJ$5,tabela_registros[CATEGORIA],reservaoutrosconsolidado282935[[#This Row],[ATUAL]])</f>
        <v>0</v>
      </c>
      <c r="AA211" s="176">
        <f>SUMIFS(tabela_registros[VALOR],tabela_registros[MÊS],$AE$1,tabela_registros[DIA],reservaoutrosconsolidado282935[[#Headers],[23]],tabela_registros[REGISTRO],DADOS!$N$6,tabela_registros[TIPO],DADOS!$AJ$5,tabela_registros[CATEGORIA],reservaoutrosconsolidado282935[[#This Row],[ATUAL]])</f>
        <v>0</v>
      </c>
      <c r="AB211" s="176">
        <f>SUMIFS(tabela_registros[VALOR],tabela_registros[MÊS],$AE$1,tabela_registros[DIA],reservaoutrosconsolidado282935[[#Headers],[24]],tabela_registros[REGISTRO],DADOS!$N$6,tabela_registros[TIPO],DADOS!$AJ$5,tabela_registros[CATEGORIA],reservaoutrosconsolidado282935[[#This Row],[ATUAL]])</f>
        <v>0</v>
      </c>
      <c r="AC211" s="176">
        <f>SUMIFS(tabela_registros[VALOR],tabela_registros[MÊS],$AE$1,tabela_registros[DIA],reservaoutrosconsolidado282935[[#Headers],[25]],tabela_registros[REGISTRO],DADOS!$N$6,tabela_registros[TIPO],DADOS!$AJ$5,tabela_registros[CATEGORIA],reservaoutrosconsolidado282935[[#This Row],[ATUAL]])</f>
        <v>0</v>
      </c>
      <c r="AD211" s="176">
        <f>SUMIFS(tabela_registros[VALOR],tabela_registros[MÊS],$AE$1,tabela_registros[DIA],reservaoutrosconsolidado282935[[#Headers],[26]],tabela_registros[REGISTRO],DADOS!$N$6,tabela_registros[TIPO],DADOS!$AJ$5,tabela_registros[CATEGORIA],reservaoutrosconsolidado282935[[#This Row],[ATUAL]])</f>
        <v>0</v>
      </c>
      <c r="AE211" s="176">
        <f>SUMIFS(tabela_registros[VALOR],tabela_registros[MÊS],$AE$1,tabela_registros[DIA],reservaoutrosconsolidado282935[[#Headers],[27]],tabela_registros[REGISTRO],DADOS!$N$6,tabela_registros[TIPO],DADOS!$AJ$5,tabela_registros[CATEGORIA],reservaoutrosconsolidado282935[[#This Row],[ATUAL]])</f>
        <v>0</v>
      </c>
      <c r="AF211" s="176">
        <f>SUMIFS(tabela_registros[VALOR],tabela_registros[MÊS],$AE$1,tabela_registros[DIA],reservaoutrosconsolidado282935[[#Headers],[28]],tabela_registros[REGISTRO],DADOS!$N$6,tabela_registros[TIPO],DADOS!$AJ$5,tabela_registros[CATEGORIA],reservaoutrosconsolidado282935[[#This Row],[ATUAL]])</f>
        <v>0</v>
      </c>
      <c r="AG211" s="176">
        <f>SUMIFS(tabela_registros[VALOR],tabela_registros[MÊS],$AE$1,tabela_registros[DIA],reservaoutrosconsolidado282935[[#Headers],[29]],tabela_registros[REGISTRO],DADOS!$N$6,tabela_registros[TIPO],DADOS!$AJ$5,tabela_registros[CATEGORIA],reservaoutrosconsolidado282935[[#This Row],[ATUAL]])</f>
        <v>0</v>
      </c>
      <c r="AH211" s="176">
        <f>SUMIFS(tabela_registros[VALOR],tabela_registros[MÊS],$AE$1,tabela_registros[DIA],reservaoutrosconsolidado282935[[#Headers],[30]],tabela_registros[REGISTRO],DADOS!$N$6,tabela_registros[TIPO],DADOS!$AJ$5,tabela_registros[CATEGORIA],reservaoutrosconsolidado282935[[#This Row],[ATUAL]])</f>
        <v>0</v>
      </c>
      <c r="AI211" s="190">
        <f>SUMIFS(tabela_registros[VALOR],tabela_registros[MÊS],$AE$1,tabela_registros[DIA],reservaoutrosconsolidado282935[[#Headers],[31]],tabela_registros[REGISTRO],DADOS!$N$6,tabela_registros[TIPO],DADOS!$AJ$5,tabela_registros[CATEGORIA],reservaoutrosconsolidado282935[[#This Row],[ATUAL]])</f>
        <v>0</v>
      </c>
      <c r="AJ211" s="167">
        <f>SUM(reservaoutrosconsolidado282935[[#This Row],[1]:[31]])</f>
        <v>0</v>
      </c>
      <c r="AK211" s="25"/>
    </row>
    <row r="212" spans="2:37" ht="19.5" customHeight="1" thickTop="1" thickBot="1" x14ac:dyDescent="0.3">
      <c r="B212" s="28"/>
      <c r="C212" s="27" t="str">
        <f>DADOS!$AP$9</f>
        <v>📝 PREVIDÊNCIA PRIVADA</v>
      </c>
      <c r="D212" s="26" t="str">
        <f>IF(reservaoutrosconsolidado282935[[#This Row],[TOTAL (R$)]]=0,"",IF(OR(reservaoutrosconsolidado282935[[#This Row],[TOTAL (R$)]]=LARGE($AJ$206:$AJ$213,1),reservaoutrosconsolidado282935[[#This Row],[TOTAL (R$)]]=LARGE($AJ$206:$AJ$213,2)),DADOS!$I$11,""))</f>
        <v/>
      </c>
      <c r="E212" s="189">
        <f>SUMIFS(tabela_registros[VALOR],tabela_registros[MÊS],$AE$1,tabela_registros[DIA],reservaoutrosconsolidado282935[[#Headers],[1]],tabela_registros[REGISTRO],DADOS!$N$6,tabela_registros[TIPO],DADOS!$AJ$5,tabela_registros[CATEGORIA],reservaoutrosconsolidado282935[[#This Row],[ATUAL]])</f>
        <v>0</v>
      </c>
      <c r="F212" s="176">
        <f>SUMIFS(tabela_registros[VALOR],tabela_registros[MÊS],$AE$1,tabela_registros[DIA],reservaoutrosconsolidado282935[[#Headers],[2]],tabela_registros[REGISTRO],DADOS!$N$6,tabela_registros[TIPO],DADOS!$AJ$5,tabela_registros[CATEGORIA],reservaoutrosconsolidado282935[[#This Row],[ATUAL]])</f>
        <v>0</v>
      </c>
      <c r="G212" s="176">
        <f>SUMIFS(tabela_registros[VALOR],tabela_registros[MÊS],$AE$1,tabela_registros[DIA],reservaoutrosconsolidado282935[[#Headers],[3]],tabela_registros[REGISTRO],DADOS!$N$6,tabela_registros[TIPO],DADOS!$AJ$5,tabela_registros[CATEGORIA],reservaoutrosconsolidado282935[[#This Row],[ATUAL]])</f>
        <v>0</v>
      </c>
      <c r="H212" s="176">
        <f>SUMIFS(tabela_registros[VALOR],tabela_registros[MÊS],$AE$1,tabela_registros[DIA],reservaoutrosconsolidado282935[[#Headers],[4]],tabela_registros[REGISTRO],DADOS!$N$6,tabela_registros[TIPO],DADOS!$AJ$5,tabela_registros[CATEGORIA],reservaoutrosconsolidado282935[[#This Row],[ATUAL]])</f>
        <v>0</v>
      </c>
      <c r="I212" s="176">
        <f>SUMIFS(tabela_registros[VALOR],tabela_registros[MÊS],$AE$1,tabela_registros[DIA],reservaoutrosconsolidado282935[[#Headers],[5]],tabela_registros[REGISTRO],DADOS!$N$6,tabela_registros[TIPO],DADOS!$AJ$5,tabela_registros[CATEGORIA],reservaoutrosconsolidado282935[[#This Row],[ATUAL]])</f>
        <v>0</v>
      </c>
      <c r="J212" s="176">
        <f>SUMIFS(tabela_registros[VALOR],tabela_registros[MÊS],$AE$1,tabela_registros[DIA],reservaoutrosconsolidado282935[[#Headers],[6]],tabela_registros[REGISTRO],DADOS!$N$6,tabela_registros[TIPO],DADOS!$AJ$5,tabela_registros[CATEGORIA],reservaoutrosconsolidado282935[[#This Row],[ATUAL]])</f>
        <v>0</v>
      </c>
      <c r="K212" s="176">
        <f>SUMIFS(tabela_registros[VALOR],tabela_registros[MÊS],$AE$1,tabela_registros[DIA],reservaoutrosconsolidado282935[[#Headers],[7]],tabela_registros[REGISTRO],DADOS!$N$6,tabela_registros[TIPO],DADOS!$AJ$5,tabela_registros[CATEGORIA],reservaoutrosconsolidado282935[[#This Row],[ATUAL]])</f>
        <v>0</v>
      </c>
      <c r="L212" s="176">
        <f>SUMIFS(tabela_registros[VALOR],tabela_registros[MÊS],$AE$1,tabela_registros[DIA],reservaoutrosconsolidado282935[[#Headers],[8]],tabela_registros[REGISTRO],DADOS!$N$6,tabela_registros[TIPO],DADOS!$AJ$5,tabela_registros[CATEGORIA],reservaoutrosconsolidado282935[[#This Row],[ATUAL]])</f>
        <v>0</v>
      </c>
      <c r="M212" s="176">
        <f>SUMIFS(tabela_registros[VALOR],tabela_registros[MÊS],$AE$1,tabela_registros[DIA],reservaoutrosconsolidado282935[[#Headers],[9]],tabela_registros[REGISTRO],DADOS!$N$6,tabela_registros[TIPO],DADOS!$AJ$5,tabela_registros[CATEGORIA],reservaoutrosconsolidado282935[[#This Row],[ATUAL]])</f>
        <v>0</v>
      </c>
      <c r="N212" s="176">
        <f>SUMIFS(tabela_registros[VALOR],tabela_registros[MÊS],$AE$1,tabela_registros[DIA],reservaoutrosconsolidado282935[[#Headers],[10]],tabela_registros[REGISTRO],DADOS!$N$6,tabela_registros[TIPO],DADOS!$AJ$5,tabela_registros[CATEGORIA],reservaoutrosconsolidado282935[[#This Row],[ATUAL]])</f>
        <v>0</v>
      </c>
      <c r="O212" s="176">
        <f>SUMIFS(tabela_registros[VALOR],tabela_registros[MÊS],$AE$1,tabela_registros[DIA],reservaoutrosconsolidado282935[[#Headers],[11]],tabela_registros[REGISTRO],DADOS!$N$6,tabela_registros[TIPO],DADOS!$AJ$5,tabela_registros[CATEGORIA],reservaoutrosconsolidado282935[[#This Row],[ATUAL]])</f>
        <v>0</v>
      </c>
      <c r="P212" s="176">
        <f>SUMIFS(tabela_registros[VALOR],tabela_registros[MÊS],$AE$1,tabela_registros[DIA],reservaoutrosconsolidado282935[[#Headers],[12]],tabela_registros[REGISTRO],DADOS!$N$6,tabela_registros[TIPO],DADOS!$AJ$5,tabela_registros[CATEGORIA],reservaoutrosconsolidado282935[[#This Row],[ATUAL]])</f>
        <v>0</v>
      </c>
      <c r="Q212" s="176">
        <f>SUMIFS(tabela_registros[VALOR],tabela_registros[MÊS],$AE$1,tabela_registros[DIA],reservaoutrosconsolidado282935[[#Headers],[13]],tabela_registros[REGISTRO],DADOS!$N$6,tabela_registros[TIPO],DADOS!$AJ$5,tabela_registros[CATEGORIA],reservaoutrosconsolidado282935[[#This Row],[ATUAL]])</f>
        <v>0</v>
      </c>
      <c r="R212" s="176">
        <f>SUMIFS(tabela_registros[VALOR],tabela_registros[MÊS],$AE$1,tabela_registros[DIA],reservaoutrosconsolidado282935[[#Headers],[14]],tabela_registros[REGISTRO],DADOS!$N$6,tabela_registros[TIPO],DADOS!$AJ$5,tabela_registros[CATEGORIA],reservaoutrosconsolidado282935[[#This Row],[ATUAL]])</f>
        <v>0</v>
      </c>
      <c r="S212" s="176">
        <f>SUMIFS(tabela_registros[VALOR],tabela_registros[MÊS],$AE$1,tabela_registros[DIA],reservaoutrosconsolidado282935[[#Headers],[15]],tabela_registros[REGISTRO],DADOS!$N$6,tabela_registros[TIPO],DADOS!$AJ$5,tabela_registros[CATEGORIA],reservaoutrosconsolidado282935[[#This Row],[ATUAL]])</f>
        <v>0</v>
      </c>
      <c r="T212" s="176">
        <f>SUMIFS(tabela_registros[VALOR],tabela_registros[MÊS],$AE$1,tabela_registros[DIA],reservaoutrosconsolidado282935[[#Headers],[16]],tabela_registros[REGISTRO],DADOS!$N$6,tabela_registros[TIPO],DADOS!$AJ$5,tabela_registros[CATEGORIA],reservaoutrosconsolidado282935[[#This Row],[ATUAL]])</f>
        <v>0</v>
      </c>
      <c r="U212" s="176">
        <f>SUMIFS(tabela_registros[VALOR],tabela_registros[MÊS],$AE$1,tabela_registros[DIA],reservaoutrosconsolidado282935[[#Headers],[17]],tabela_registros[REGISTRO],DADOS!$N$6,tabela_registros[TIPO],DADOS!$AJ$5,tabela_registros[CATEGORIA],reservaoutrosconsolidado282935[[#This Row],[ATUAL]])</f>
        <v>0</v>
      </c>
      <c r="V212" s="176">
        <f>SUMIFS(tabela_registros[VALOR],tabela_registros[MÊS],$AE$1,tabela_registros[DIA],reservaoutrosconsolidado282935[[#Headers],[18]],tabela_registros[REGISTRO],DADOS!$N$6,tabela_registros[TIPO],DADOS!$AJ$5,tabela_registros[CATEGORIA],reservaoutrosconsolidado282935[[#This Row],[ATUAL]])</f>
        <v>0</v>
      </c>
      <c r="W212" s="176">
        <f>SUMIFS(tabela_registros[VALOR],tabela_registros[MÊS],$AE$1,tabela_registros[DIA],reservaoutrosconsolidado282935[[#Headers],[19]],tabela_registros[REGISTRO],DADOS!$N$6,tabela_registros[TIPO],DADOS!$AJ$5,tabela_registros[CATEGORIA],reservaoutrosconsolidado282935[[#This Row],[ATUAL]])</f>
        <v>0</v>
      </c>
      <c r="X212" s="176">
        <f>SUMIFS(tabela_registros[VALOR],tabela_registros[MÊS],$AE$1,tabela_registros[DIA],reservaoutrosconsolidado282935[[#Headers],[20]],tabela_registros[REGISTRO],DADOS!$N$6,tabela_registros[TIPO],DADOS!$AJ$5,tabela_registros[CATEGORIA],reservaoutrosconsolidado282935[[#This Row],[ATUAL]])</f>
        <v>0</v>
      </c>
      <c r="Y212" s="176">
        <f>SUMIFS(tabela_registros[VALOR],tabela_registros[MÊS],$AE$1,tabela_registros[DIA],reservaoutrosconsolidado282935[[#Headers],[21]],tabela_registros[REGISTRO],DADOS!$N$6,tabela_registros[TIPO],DADOS!$AJ$5,tabela_registros[CATEGORIA],reservaoutrosconsolidado282935[[#This Row],[ATUAL]])</f>
        <v>0</v>
      </c>
      <c r="Z212" s="176">
        <f>SUMIFS(tabela_registros[VALOR],tabela_registros[MÊS],$AE$1,tabela_registros[DIA],reservaoutrosconsolidado282935[[#Headers],[22]],tabela_registros[REGISTRO],DADOS!$N$6,tabela_registros[TIPO],DADOS!$AJ$5,tabela_registros[CATEGORIA],reservaoutrosconsolidado282935[[#This Row],[ATUAL]])</f>
        <v>0</v>
      </c>
      <c r="AA212" s="176">
        <f>SUMIFS(tabela_registros[VALOR],tabela_registros[MÊS],$AE$1,tabela_registros[DIA],reservaoutrosconsolidado282935[[#Headers],[23]],tabela_registros[REGISTRO],DADOS!$N$6,tabela_registros[TIPO],DADOS!$AJ$5,tabela_registros[CATEGORIA],reservaoutrosconsolidado282935[[#This Row],[ATUAL]])</f>
        <v>0</v>
      </c>
      <c r="AB212" s="176">
        <f>SUMIFS(tabela_registros[VALOR],tabela_registros[MÊS],$AE$1,tabela_registros[DIA],reservaoutrosconsolidado282935[[#Headers],[24]],tabela_registros[REGISTRO],DADOS!$N$6,tabela_registros[TIPO],DADOS!$AJ$5,tabela_registros[CATEGORIA],reservaoutrosconsolidado282935[[#This Row],[ATUAL]])</f>
        <v>0</v>
      </c>
      <c r="AC212" s="176">
        <f>SUMIFS(tabela_registros[VALOR],tabela_registros[MÊS],$AE$1,tabela_registros[DIA],reservaoutrosconsolidado282935[[#Headers],[25]],tabela_registros[REGISTRO],DADOS!$N$6,tabela_registros[TIPO],DADOS!$AJ$5,tabela_registros[CATEGORIA],reservaoutrosconsolidado282935[[#This Row],[ATUAL]])</f>
        <v>0</v>
      </c>
      <c r="AD212" s="176">
        <f>SUMIFS(tabela_registros[VALOR],tabela_registros[MÊS],$AE$1,tabela_registros[DIA],reservaoutrosconsolidado282935[[#Headers],[26]],tabela_registros[REGISTRO],DADOS!$N$6,tabela_registros[TIPO],DADOS!$AJ$5,tabela_registros[CATEGORIA],reservaoutrosconsolidado282935[[#This Row],[ATUAL]])</f>
        <v>0</v>
      </c>
      <c r="AE212" s="176">
        <f>SUMIFS(tabela_registros[VALOR],tabela_registros[MÊS],$AE$1,tabela_registros[DIA],reservaoutrosconsolidado282935[[#Headers],[27]],tabela_registros[REGISTRO],DADOS!$N$6,tabela_registros[TIPO],DADOS!$AJ$5,tabela_registros[CATEGORIA],reservaoutrosconsolidado282935[[#This Row],[ATUAL]])</f>
        <v>0</v>
      </c>
      <c r="AF212" s="176">
        <f>SUMIFS(tabela_registros[VALOR],tabela_registros[MÊS],$AE$1,tabela_registros[DIA],reservaoutrosconsolidado282935[[#Headers],[28]],tabela_registros[REGISTRO],DADOS!$N$6,tabela_registros[TIPO],DADOS!$AJ$5,tabela_registros[CATEGORIA],reservaoutrosconsolidado282935[[#This Row],[ATUAL]])</f>
        <v>0</v>
      </c>
      <c r="AG212" s="176">
        <f>SUMIFS(tabela_registros[VALOR],tabela_registros[MÊS],$AE$1,tabela_registros[DIA],reservaoutrosconsolidado282935[[#Headers],[29]],tabela_registros[REGISTRO],DADOS!$N$6,tabela_registros[TIPO],DADOS!$AJ$5,tabela_registros[CATEGORIA],reservaoutrosconsolidado282935[[#This Row],[ATUAL]])</f>
        <v>0</v>
      </c>
      <c r="AH212" s="176">
        <f>SUMIFS(tabela_registros[VALOR],tabela_registros[MÊS],$AE$1,tabela_registros[DIA],reservaoutrosconsolidado282935[[#Headers],[30]],tabela_registros[REGISTRO],DADOS!$N$6,tabela_registros[TIPO],DADOS!$AJ$5,tabela_registros[CATEGORIA],reservaoutrosconsolidado282935[[#This Row],[ATUAL]])</f>
        <v>0</v>
      </c>
      <c r="AI212" s="190">
        <f>SUMIFS(tabela_registros[VALOR],tabela_registros[MÊS],$AE$1,tabela_registros[DIA],reservaoutrosconsolidado282935[[#Headers],[31]],tabela_registros[REGISTRO],DADOS!$N$6,tabela_registros[TIPO],DADOS!$AJ$5,tabela_registros[CATEGORIA],reservaoutrosconsolidado282935[[#This Row],[ATUAL]])</f>
        <v>0</v>
      </c>
      <c r="AJ212" s="167">
        <f>SUM(reservaoutrosconsolidado282935[[#This Row],[1]:[31]])</f>
        <v>0</v>
      </c>
      <c r="AK212" s="25"/>
    </row>
    <row r="213" spans="2:37" ht="19.5" customHeight="1" thickTop="1" thickBot="1" x14ac:dyDescent="0.3">
      <c r="B213" s="28"/>
      <c r="C213" s="27" t="str">
        <f>DADOS!$AP$10</f>
        <v>📎 OUTROS</v>
      </c>
      <c r="D213" s="26" t="str">
        <f>IF(reservaoutrosconsolidado282935[[#This Row],[TOTAL (R$)]]=0,"",IF(OR(reservaoutrosconsolidado282935[[#This Row],[TOTAL (R$)]]=LARGE($AJ$206:$AJ$213,1),reservaoutrosconsolidado282935[[#This Row],[TOTAL (R$)]]=LARGE($AJ$206:$AJ$213,2)),DADOS!$I$11,""))</f>
        <v/>
      </c>
      <c r="E213" s="189">
        <f>SUMIFS(tabela_registros[VALOR],tabela_registros[MÊS],$AE$1,tabela_registros[DIA],reservaoutrosconsolidado282935[[#Headers],[1]],tabela_registros[REGISTRO],DADOS!$N$6,tabela_registros[TIPO],DADOS!$AJ$5,tabela_registros[CATEGORIA],reservaoutrosconsolidado282935[[#This Row],[ATUAL]])</f>
        <v>0</v>
      </c>
      <c r="F213" s="176">
        <f>SUMIFS(tabela_registros[VALOR],tabela_registros[MÊS],$AE$1,tabela_registros[DIA],reservaoutrosconsolidado282935[[#Headers],[2]],tabela_registros[REGISTRO],DADOS!$N$6,tabela_registros[TIPO],DADOS!$AJ$5,tabela_registros[CATEGORIA],reservaoutrosconsolidado282935[[#This Row],[ATUAL]])</f>
        <v>0</v>
      </c>
      <c r="G213" s="176">
        <f>SUMIFS(tabela_registros[VALOR],tabela_registros[MÊS],$AE$1,tabela_registros[DIA],reservaoutrosconsolidado282935[[#Headers],[3]],tabela_registros[REGISTRO],DADOS!$N$6,tabela_registros[TIPO],DADOS!$AJ$5,tabela_registros[CATEGORIA],reservaoutrosconsolidado282935[[#This Row],[ATUAL]])</f>
        <v>0</v>
      </c>
      <c r="H213" s="176">
        <f>SUMIFS(tabela_registros[VALOR],tabela_registros[MÊS],$AE$1,tabela_registros[DIA],reservaoutrosconsolidado282935[[#Headers],[4]],tabela_registros[REGISTRO],DADOS!$N$6,tabela_registros[TIPO],DADOS!$AJ$5,tabela_registros[CATEGORIA],reservaoutrosconsolidado282935[[#This Row],[ATUAL]])</f>
        <v>0</v>
      </c>
      <c r="I213" s="176">
        <f>SUMIFS(tabela_registros[VALOR],tabela_registros[MÊS],$AE$1,tabela_registros[DIA],reservaoutrosconsolidado282935[[#Headers],[5]],tabela_registros[REGISTRO],DADOS!$N$6,tabela_registros[TIPO],DADOS!$AJ$5,tabela_registros[CATEGORIA],reservaoutrosconsolidado282935[[#This Row],[ATUAL]])</f>
        <v>0</v>
      </c>
      <c r="J213" s="176">
        <f>SUMIFS(tabela_registros[VALOR],tabela_registros[MÊS],$AE$1,tabela_registros[DIA],reservaoutrosconsolidado282935[[#Headers],[6]],tabela_registros[REGISTRO],DADOS!$N$6,tabela_registros[TIPO],DADOS!$AJ$5,tabela_registros[CATEGORIA],reservaoutrosconsolidado282935[[#This Row],[ATUAL]])</f>
        <v>0</v>
      </c>
      <c r="K213" s="176">
        <f>SUMIFS(tabela_registros[VALOR],tabela_registros[MÊS],$AE$1,tabela_registros[DIA],reservaoutrosconsolidado282935[[#Headers],[7]],tabela_registros[REGISTRO],DADOS!$N$6,tabela_registros[TIPO],DADOS!$AJ$5,tabela_registros[CATEGORIA],reservaoutrosconsolidado282935[[#This Row],[ATUAL]])</f>
        <v>0</v>
      </c>
      <c r="L213" s="176">
        <f>SUMIFS(tabela_registros[VALOR],tabela_registros[MÊS],$AE$1,tabela_registros[DIA],reservaoutrosconsolidado282935[[#Headers],[8]],tabela_registros[REGISTRO],DADOS!$N$6,tabela_registros[TIPO],DADOS!$AJ$5,tabela_registros[CATEGORIA],reservaoutrosconsolidado282935[[#This Row],[ATUAL]])</f>
        <v>0</v>
      </c>
      <c r="M213" s="176">
        <f>SUMIFS(tabela_registros[VALOR],tabela_registros[MÊS],$AE$1,tabela_registros[DIA],reservaoutrosconsolidado282935[[#Headers],[9]],tabela_registros[REGISTRO],DADOS!$N$6,tabela_registros[TIPO],DADOS!$AJ$5,tabela_registros[CATEGORIA],reservaoutrosconsolidado282935[[#This Row],[ATUAL]])</f>
        <v>0</v>
      </c>
      <c r="N213" s="176">
        <f>SUMIFS(tabela_registros[VALOR],tabela_registros[MÊS],$AE$1,tabela_registros[DIA],reservaoutrosconsolidado282935[[#Headers],[10]],tabela_registros[REGISTRO],DADOS!$N$6,tabela_registros[TIPO],DADOS!$AJ$5,tabela_registros[CATEGORIA],reservaoutrosconsolidado282935[[#This Row],[ATUAL]])</f>
        <v>0</v>
      </c>
      <c r="O213" s="176">
        <f>SUMIFS(tabela_registros[VALOR],tabela_registros[MÊS],$AE$1,tabela_registros[DIA],reservaoutrosconsolidado282935[[#Headers],[11]],tabela_registros[REGISTRO],DADOS!$N$6,tabela_registros[TIPO],DADOS!$AJ$5,tabela_registros[CATEGORIA],reservaoutrosconsolidado282935[[#This Row],[ATUAL]])</f>
        <v>0</v>
      </c>
      <c r="P213" s="176">
        <f>SUMIFS(tabela_registros[VALOR],tabela_registros[MÊS],$AE$1,tabela_registros[DIA],reservaoutrosconsolidado282935[[#Headers],[12]],tabela_registros[REGISTRO],DADOS!$N$6,tabela_registros[TIPO],DADOS!$AJ$5,tabela_registros[CATEGORIA],reservaoutrosconsolidado282935[[#This Row],[ATUAL]])</f>
        <v>0</v>
      </c>
      <c r="Q213" s="176">
        <f>SUMIFS(tabela_registros[VALOR],tabela_registros[MÊS],$AE$1,tabela_registros[DIA],reservaoutrosconsolidado282935[[#Headers],[13]],tabela_registros[REGISTRO],DADOS!$N$6,tabela_registros[TIPO],DADOS!$AJ$5,tabela_registros[CATEGORIA],reservaoutrosconsolidado282935[[#This Row],[ATUAL]])</f>
        <v>0</v>
      </c>
      <c r="R213" s="176">
        <f>SUMIFS(tabela_registros[VALOR],tabela_registros[MÊS],$AE$1,tabela_registros[DIA],reservaoutrosconsolidado282935[[#Headers],[14]],tabela_registros[REGISTRO],DADOS!$N$6,tabela_registros[TIPO],DADOS!$AJ$5,tabela_registros[CATEGORIA],reservaoutrosconsolidado282935[[#This Row],[ATUAL]])</f>
        <v>0</v>
      </c>
      <c r="S213" s="176">
        <f>SUMIFS(tabela_registros[VALOR],tabela_registros[MÊS],$AE$1,tabela_registros[DIA],reservaoutrosconsolidado282935[[#Headers],[15]],tabela_registros[REGISTRO],DADOS!$N$6,tabela_registros[TIPO],DADOS!$AJ$5,tabela_registros[CATEGORIA],reservaoutrosconsolidado282935[[#This Row],[ATUAL]])</f>
        <v>0</v>
      </c>
      <c r="T213" s="176">
        <f>SUMIFS(tabela_registros[VALOR],tabela_registros[MÊS],$AE$1,tabela_registros[DIA],reservaoutrosconsolidado282935[[#Headers],[16]],tabela_registros[REGISTRO],DADOS!$N$6,tabela_registros[TIPO],DADOS!$AJ$5,tabela_registros[CATEGORIA],reservaoutrosconsolidado282935[[#This Row],[ATUAL]])</f>
        <v>0</v>
      </c>
      <c r="U213" s="176">
        <f>SUMIFS(tabela_registros[VALOR],tabela_registros[MÊS],$AE$1,tabela_registros[DIA],reservaoutrosconsolidado282935[[#Headers],[17]],tabela_registros[REGISTRO],DADOS!$N$6,tabela_registros[TIPO],DADOS!$AJ$5,tabela_registros[CATEGORIA],reservaoutrosconsolidado282935[[#This Row],[ATUAL]])</f>
        <v>0</v>
      </c>
      <c r="V213" s="176">
        <f>SUMIFS(tabela_registros[VALOR],tabela_registros[MÊS],$AE$1,tabela_registros[DIA],reservaoutrosconsolidado282935[[#Headers],[18]],tabela_registros[REGISTRO],DADOS!$N$6,tabela_registros[TIPO],DADOS!$AJ$5,tabela_registros[CATEGORIA],reservaoutrosconsolidado282935[[#This Row],[ATUAL]])</f>
        <v>0</v>
      </c>
      <c r="W213" s="176">
        <f>SUMIFS(tabela_registros[VALOR],tabela_registros[MÊS],$AE$1,tabela_registros[DIA],reservaoutrosconsolidado282935[[#Headers],[19]],tabela_registros[REGISTRO],DADOS!$N$6,tabela_registros[TIPO],DADOS!$AJ$5,tabela_registros[CATEGORIA],reservaoutrosconsolidado282935[[#This Row],[ATUAL]])</f>
        <v>0</v>
      </c>
      <c r="X213" s="176">
        <f>SUMIFS(tabela_registros[VALOR],tabela_registros[MÊS],$AE$1,tabela_registros[DIA],reservaoutrosconsolidado282935[[#Headers],[20]],tabela_registros[REGISTRO],DADOS!$N$6,tabela_registros[TIPO],DADOS!$AJ$5,tabela_registros[CATEGORIA],reservaoutrosconsolidado282935[[#This Row],[ATUAL]])</f>
        <v>0</v>
      </c>
      <c r="Y213" s="176">
        <f>SUMIFS(tabela_registros[VALOR],tabela_registros[MÊS],$AE$1,tabela_registros[DIA],reservaoutrosconsolidado282935[[#Headers],[21]],tabela_registros[REGISTRO],DADOS!$N$6,tabela_registros[TIPO],DADOS!$AJ$5,tabela_registros[CATEGORIA],reservaoutrosconsolidado282935[[#This Row],[ATUAL]])</f>
        <v>0</v>
      </c>
      <c r="Z213" s="176">
        <f>SUMIFS(tabela_registros[VALOR],tabela_registros[MÊS],$AE$1,tabela_registros[DIA],reservaoutrosconsolidado282935[[#Headers],[22]],tabela_registros[REGISTRO],DADOS!$N$6,tabela_registros[TIPO],DADOS!$AJ$5,tabela_registros[CATEGORIA],reservaoutrosconsolidado282935[[#This Row],[ATUAL]])</f>
        <v>0</v>
      </c>
      <c r="AA213" s="176">
        <f>SUMIFS(tabela_registros[VALOR],tabela_registros[MÊS],$AE$1,tabela_registros[DIA],reservaoutrosconsolidado282935[[#Headers],[23]],tabela_registros[REGISTRO],DADOS!$N$6,tabela_registros[TIPO],DADOS!$AJ$5,tabela_registros[CATEGORIA],reservaoutrosconsolidado282935[[#This Row],[ATUAL]])</f>
        <v>0</v>
      </c>
      <c r="AB213" s="176">
        <f>SUMIFS(tabela_registros[VALOR],tabela_registros[MÊS],$AE$1,tabela_registros[DIA],reservaoutrosconsolidado282935[[#Headers],[24]],tabela_registros[REGISTRO],DADOS!$N$6,tabela_registros[TIPO],DADOS!$AJ$5,tabela_registros[CATEGORIA],reservaoutrosconsolidado282935[[#This Row],[ATUAL]])</f>
        <v>0</v>
      </c>
      <c r="AC213" s="176">
        <f>SUMIFS(tabela_registros[VALOR],tabela_registros[MÊS],$AE$1,tabela_registros[DIA],reservaoutrosconsolidado282935[[#Headers],[25]],tabela_registros[REGISTRO],DADOS!$N$6,tabela_registros[TIPO],DADOS!$AJ$5,tabela_registros[CATEGORIA],reservaoutrosconsolidado282935[[#This Row],[ATUAL]])</f>
        <v>0</v>
      </c>
      <c r="AD213" s="176">
        <f>SUMIFS(tabela_registros[VALOR],tabela_registros[MÊS],$AE$1,tabela_registros[DIA],reservaoutrosconsolidado282935[[#Headers],[26]],tabela_registros[REGISTRO],DADOS!$N$6,tabela_registros[TIPO],DADOS!$AJ$5,tabela_registros[CATEGORIA],reservaoutrosconsolidado282935[[#This Row],[ATUAL]])</f>
        <v>0</v>
      </c>
      <c r="AE213" s="176">
        <f>SUMIFS(tabela_registros[VALOR],tabela_registros[MÊS],$AE$1,tabela_registros[DIA],reservaoutrosconsolidado282935[[#Headers],[27]],tabela_registros[REGISTRO],DADOS!$N$6,tabela_registros[TIPO],DADOS!$AJ$5,tabela_registros[CATEGORIA],reservaoutrosconsolidado282935[[#This Row],[ATUAL]])</f>
        <v>0</v>
      </c>
      <c r="AF213" s="176">
        <f>SUMIFS(tabela_registros[VALOR],tabela_registros[MÊS],$AE$1,tabela_registros[DIA],reservaoutrosconsolidado282935[[#Headers],[28]],tabela_registros[REGISTRO],DADOS!$N$6,tabela_registros[TIPO],DADOS!$AJ$5,tabela_registros[CATEGORIA],reservaoutrosconsolidado282935[[#This Row],[ATUAL]])</f>
        <v>0</v>
      </c>
      <c r="AG213" s="176">
        <f>SUMIFS(tabela_registros[VALOR],tabela_registros[MÊS],$AE$1,tabela_registros[DIA],reservaoutrosconsolidado282935[[#Headers],[29]],tabela_registros[REGISTRO],DADOS!$N$6,tabela_registros[TIPO],DADOS!$AJ$5,tabela_registros[CATEGORIA],reservaoutrosconsolidado282935[[#This Row],[ATUAL]])</f>
        <v>0</v>
      </c>
      <c r="AH213" s="176">
        <f>SUMIFS(tabela_registros[VALOR],tabela_registros[MÊS],$AE$1,tabela_registros[DIA],reservaoutrosconsolidado282935[[#Headers],[30]],tabela_registros[REGISTRO],DADOS!$N$6,tabela_registros[TIPO],DADOS!$AJ$5,tabela_registros[CATEGORIA],reservaoutrosconsolidado282935[[#This Row],[ATUAL]])</f>
        <v>0</v>
      </c>
      <c r="AI213" s="193">
        <f>SUMIFS(tabela_registros[VALOR],tabela_registros[MÊS],$AE$1,tabela_registros[DIA],reservaoutrosconsolidado282935[[#Headers],[31]],tabela_registros[REGISTRO],DADOS!$N$6,tabela_registros[TIPO],DADOS!$AJ$5,tabela_registros[CATEGORIA],reservaoutrosconsolidado282935[[#This Row],[ATUAL]])</f>
        <v>0</v>
      </c>
      <c r="AJ213" s="167">
        <f>SUM(reservaoutrosconsolidado282935[[#This Row],[1]:[31]])</f>
        <v>0</v>
      </c>
      <c r="AK213" s="25"/>
    </row>
    <row r="214" spans="2:37" s="16" customFormat="1" ht="21" customHeight="1" thickTop="1" thickBot="1" x14ac:dyDescent="0.35">
      <c r="B214" s="24"/>
      <c r="C214" s="23" t="s">
        <v>19</v>
      </c>
      <c r="D214" s="22"/>
      <c r="E214" s="195">
        <f>SUM(E206:E213)</f>
        <v>0</v>
      </c>
      <c r="F214" s="196">
        <f>SUM(F206:F213)+reservaoutrosconsolidado282935[[#This Row],[1]]</f>
        <v>0</v>
      </c>
      <c r="G214" s="196">
        <f>SUM(G206:G213)+reservaoutrosconsolidado282935[[#This Row],[2]]</f>
        <v>0</v>
      </c>
      <c r="H214" s="196">
        <f>SUM(H206:H213)+reservaoutrosconsolidado282935[[#This Row],[3]]</f>
        <v>0</v>
      </c>
      <c r="I214" s="196">
        <f>SUM(I206:I213)+reservaoutrosconsolidado282935[[#This Row],[4]]</f>
        <v>0</v>
      </c>
      <c r="J214" s="196">
        <f>SUM(J206:J213)+reservaoutrosconsolidado282935[[#This Row],[5]]</f>
        <v>0</v>
      </c>
      <c r="K214" s="196">
        <f>SUM(K206:K213)+reservaoutrosconsolidado282935[[#This Row],[6]]</f>
        <v>0</v>
      </c>
      <c r="L214" s="196">
        <f>SUM(L206:L213)+reservaoutrosconsolidado282935[[#This Row],[7]]</f>
        <v>0</v>
      </c>
      <c r="M214" s="196">
        <f>SUM(M206:M213)+reservaoutrosconsolidado282935[[#This Row],[8]]</f>
        <v>0</v>
      </c>
      <c r="N214" s="196">
        <f>SUM(N206:N213)+reservaoutrosconsolidado282935[[#This Row],[9]]</f>
        <v>0</v>
      </c>
      <c r="O214" s="196">
        <f>SUM(O206:O213)+reservaoutrosconsolidado282935[[#This Row],[10]]</f>
        <v>0</v>
      </c>
      <c r="P214" s="196">
        <f>SUM(P206:P213)+reservaoutrosconsolidado282935[[#This Row],[11]]</f>
        <v>0</v>
      </c>
      <c r="Q214" s="196">
        <f>SUM(Q206:Q213)+reservaoutrosconsolidado282935[[#This Row],[12]]</f>
        <v>0</v>
      </c>
      <c r="R214" s="196">
        <f>SUM(R206:R213)+reservaoutrosconsolidado282935[[#This Row],[13]]</f>
        <v>0</v>
      </c>
      <c r="S214" s="196">
        <f>SUM(S206:S213)+reservaoutrosconsolidado282935[[#This Row],[14]]</f>
        <v>0</v>
      </c>
      <c r="T214" s="196">
        <f>SUM(T206:T213)+reservaoutrosconsolidado282935[[#This Row],[15]]</f>
        <v>0</v>
      </c>
      <c r="U214" s="196">
        <f>SUM(U206:U213)+reservaoutrosconsolidado282935[[#This Row],[16]]</f>
        <v>0</v>
      </c>
      <c r="V214" s="196">
        <f>SUM(V206:V213)+reservaoutrosconsolidado282935[[#This Row],[17]]</f>
        <v>0</v>
      </c>
      <c r="W214" s="196">
        <f>SUM(W206:W213)+reservaoutrosconsolidado282935[[#This Row],[18]]</f>
        <v>0</v>
      </c>
      <c r="X214" s="196">
        <f>SUM(X206:X213)+reservaoutrosconsolidado282935[[#This Row],[19]]</f>
        <v>0</v>
      </c>
      <c r="Y214" s="196">
        <f>SUM(Y206:Y213)+reservaoutrosconsolidado282935[[#This Row],[20]]</f>
        <v>0</v>
      </c>
      <c r="Z214" s="196">
        <f>SUM(Z206:Z213)+reservaoutrosconsolidado282935[[#This Row],[21]]</f>
        <v>0</v>
      </c>
      <c r="AA214" s="196">
        <f>SUM(AA206:AA213)+reservaoutrosconsolidado282935[[#This Row],[22]]</f>
        <v>0</v>
      </c>
      <c r="AB214" s="196">
        <f>SUM(AB206:AB213)+reservaoutrosconsolidado282935[[#This Row],[23]]</f>
        <v>0</v>
      </c>
      <c r="AC214" s="196">
        <f>SUM(AC206:AC213)+reservaoutrosconsolidado282935[[#This Row],[24]]</f>
        <v>0</v>
      </c>
      <c r="AD214" s="196">
        <f>SUM(AD206:AD213)+reservaoutrosconsolidado282935[[#This Row],[25]]</f>
        <v>0</v>
      </c>
      <c r="AE214" s="196">
        <f>SUM(AE206:AE213)+reservaoutrosconsolidado282935[[#This Row],[26]]</f>
        <v>0</v>
      </c>
      <c r="AF214" s="196">
        <f>SUM(AF206:AF213)+reservaoutrosconsolidado282935[[#This Row],[27]]</f>
        <v>0</v>
      </c>
      <c r="AG214" s="196">
        <f>SUM(AG206:AG213)+reservaoutrosconsolidado282935[[#This Row],[28]]</f>
        <v>0</v>
      </c>
      <c r="AH214" s="196">
        <f>SUM(AH206:AH213)+reservaoutrosconsolidado282935[[#This Row],[29]]</f>
        <v>0</v>
      </c>
      <c r="AI214" s="197">
        <f>SUM(AI206:AI213)+reservaoutrosconsolidado282935[[#This Row],[30]]</f>
        <v>0</v>
      </c>
      <c r="AJ214" s="168">
        <f>reservaoutrosconsolidado282935[[#This Row],[31]]</f>
        <v>0</v>
      </c>
      <c r="AK214" s="17"/>
    </row>
    <row r="215" spans="2:37" ht="6.75" customHeight="1" thickTop="1" thickBot="1" x14ac:dyDescent="0.3">
      <c r="B215" s="15"/>
      <c r="C215" s="14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3"/>
      <c r="AE215" s="13"/>
      <c r="AF215" s="13"/>
      <c r="AG215" s="13"/>
      <c r="AH215" s="13"/>
      <c r="AI215" s="200"/>
      <c r="AJ215" s="11"/>
      <c r="AK215" s="10"/>
    </row>
    <row r="216" spans="2:37" ht="12.6" thickTop="1" x14ac:dyDescent="0.25">
      <c r="AI216" s="202"/>
    </row>
    <row r="217" spans="2:37" x14ac:dyDescent="0.25">
      <c r="AI217" s="202"/>
    </row>
  </sheetData>
  <sheetProtection algorithmName="SHA-512" hashValue="rWT1vJ3MFPBS/jydVcVsZZut09yyPRaB+hs2TgkK0FZVoJCuchARC1GIssn93/yLoKSGOz3hLHR7cHS8j83Z4w==" saltValue="W+v9ErJH8msp0FhC8/6zSQ==" spinCount="100000" sheet="1" objects="1" scenarios="1" selectLockedCells="1" selectUnlockedCells="1"/>
  <mergeCells count="26">
    <mergeCell ref="E164:AI164"/>
    <mergeCell ref="E33:AI33"/>
    <mergeCell ref="E56:AI56"/>
    <mergeCell ref="E10:AI10"/>
    <mergeCell ref="E21:AI21"/>
    <mergeCell ref="AF3:AG4"/>
    <mergeCell ref="Z3:AA4"/>
    <mergeCell ref="E183:AI183"/>
    <mergeCell ref="E202:AI202"/>
    <mergeCell ref="AC3:AD4"/>
    <mergeCell ref="E78:AI78"/>
    <mergeCell ref="E92:AI92"/>
    <mergeCell ref="E109:AI109"/>
    <mergeCell ref="E128:AI128"/>
    <mergeCell ref="E3:G3"/>
    <mergeCell ref="E4:G4"/>
    <mergeCell ref="I3:K3"/>
    <mergeCell ref="M3:O3"/>
    <mergeCell ref="Q3:S3"/>
    <mergeCell ref="U3:W3"/>
    <mergeCell ref="E147:AI147"/>
    <mergeCell ref="I4:K4"/>
    <mergeCell ref="M4:O4"/>
    <mergeCell ref="Q4:S4"/>
    <mergeCell ref="U4:W4"/>
    <mergeCell ref="C2:C6"/>
  </mergeCells>
  <hyperlinks>
    <hyperlink ref="Z3:AA4" location="'🔒'!A1" display="REGISTROS" xr:uid="{FBB4EC7E-A79C-40B5-B333-48759FC959AD}"/>
    <hyperlink ref="AF3:AG4" location="ANUAL!A1" display="ANUAL" xr:uid="{86AC00E8-518D-4BC4-A8F7-8E64F5733EB1}"/>
    <hyperlink ref="AC3:AD4" location="'📈'!A1" display="RADAR" xr:uid="{6F86AF12-CAD2-4F04-AE2B-531D25786E84}"/>
  </hyperlinks>
  <pageMargins left="0.511811024" right="0.511811024" top="0.78740157499999996" bottom="0.78740157499999996" header="0.31496062000000002" footer="0.31496062000000002"/>
  <ignoredErrors>
    <ignoredError sqref="E6:AI6" numberStoredAsText="1"/>
    <ignoredError sqref="F206:AJ214 D37:AJ51 D60:AJ73 E87:AJ87 F96:AJ104 E113:AJ197 AJ16 AJ27" calculatedColumn="1"/>
  </ignoredErrors>
  <drawing r:id="rId1"/>
  <tableParts count="12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</tableParts>
  <extLst>
    <ext xmlns:x14="http://schemas.microsoft.com/office/spreadsheetml/2009/9/main" uri="{05C60535-1F16-4fd2-B633-F4F36F0B64E0}">
      <x14:sparklineGroups xmlns:xm="http://schemas.microsoft.com/office/excel/2006/main">
        <x14:sparklineGroup manualMax="0" type="column" displayEmptyCellsAs="gap" high="1" negative="1" maxAxisType="group" xr2:uid="{6E332921-165A-418B-95F1-FA902B86E790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'1'!E16:AI16</xm:f>
              <xm:sqref>E10</xm:sqref>
            </x14:sparkline>
          </x14:sparklines>
        </x14:sparklineGroup>
        <x14:sparklineGroup manualMax="0" manualMin="0" type="column" displayEmptyCellsAs="gap" high="1" low="1" negative="1" minAxisType="custom" maxAxisType="group" xr2:uid="{61E67681-2D89-479F-8C3C-84094C5B22BD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'1'!E27:AI27</xm:f>
              <xm:sqref>E21</xm:sqref>
            </x14:sparkline>
          </x14:sparklines>
        </x14:sparklineGroup>
        <x14:sparklineGroup manualMax="0" manualMin="0" type="column" displayEmptyCellsAs="gap" high="1" low="1" negative="1" minAxisType="custom" maxAxisType="group" xr2:uid="{40CADDFC-5423-4E4B-826D-7981FBFCA58B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'1'!E87:AI87</xm:f>
              <xm:sqref>E78</xm:sqref>
            </x14:sparkline>
          </x14:sparklines>
        </x14:sparklineGroup>
        <x14:sparklineGroup manualMax="0" manualMin="0" type="column" displayEmptyCellsAs="gap" high="1" low="1" negative="1" minAxisType="custom" maxAxisType="group" xr2:uid="{B2B413E9-81E2-4817-A913-5649A1E242B1}">
          <x14:colorSeries rgb="FFC00000"/>
          <x14:colorNegative rgb="FFC00000"/>
          <x14:colorAxis rgb="FF000000"/>
          <x14:colorMarkers rgb="FF0070C0"/>
          <x14:colorFirst rgb="FFFFC000"/>
          <x14:colorLast rgb="FFFFC000"/>
          <x14:colorHigh rgb="FFFF0000"/>
          <x14:colorLow rgb="FFFFC000"/>
          <x14:sparklines>
            <x14:sparkline>
              <xm:f>'1'!E73:AI73</xm:f>
              <xm:sqref>E56</xm:sqref>
            </x14:sparkline>
          </x14:sparklines>
        </x14:sparklineGroup>
        <x14:sparklineGroup manualMax="0" manualMin="0" type="column" displayEmptyCellsAs="gap" high="1" low="1" negative="1" minAxisType="custom" maxAxisType="group" xr2:uid="{551EFFA5-63CF-4BA5-A14E-F17A45868C7F}">
          <x14:colorSeries rgb="FFC00000"/>
          <x14:colorNegative rgb="FFC00000"/>
          <x14:colorAxis rgb="FF000000"/>
          <x14:colorMarkers rgb="FF0070C0"/>
          <x14:colorFirst rgb="FFFFC000"/>
          <x14:colorLast rgb="FFFFC000"/>
          <x14:colorHigh rgb="FFFF0000"/>
          <x14:colorLow rgb="FFFFC000"/>
          <x14:sparklines>
            <x14:sparkline>
              <xm:f>'1'!E51:AI51</xm:f>
              <xm:sqref>E33</xm:sqref>
            </x14:sparkline>
          </x14:sparklines>
        </x14:sparklineGroup>
        <x14:sparklineGroup manualMax="0" manualMin="0" type="column" displayEmptyCellsAs="gap" high="1" low="1" negative="1" minAxisType="custom" maxAxisType="group" xr2:uid="{5DF93E23-DE4B-4B20-9989-A659454B9600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'1'!E104:AI104</xm:f>
              <xm:sqref>E92</xm:sqref>
            </x14:sparkline>
          </x14:sparklines>
        </x14:sparklineGroup>
        <x14:sparklineGroup manualMax="0" manualMin="0" type="column" displayEmptyCellsAs="gap" high="1" low="1" negative="1" minAxisType="custom" maxAxisType="group" xr2:uid="{5E10FED4-460E-4F49-91D0-D484EBF7D5DA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'1'!E123:AI123</xm:f>
              <xm:sqref>E109</xm:sqref>
            </x14:sparkline>
          </x14:sparklines>
        </x14:sparklineGroup>
        <x14:sparklineGroup manualMax="0" manualMin="0" type="column" displayEmptyCellsAs="gap" high="1" low="1" negative="1" minAxisType="custom" maxAxisType="group" xr2:uid="{08BC1DF8-8F9C-4FFC-A468-C65047206711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'1'!E142:AI142</xm:f>
              <xm:sqref>E128</xm:sqref>
            </x14:sparkline>
          </x14:sparklines>
        </x14:sparklineGroup>
        <x14:sparklineGroup manualMax="0" manualMin="0" type="column" displayEmptyCellsAs="gap" high="1" low="1" negative="1" minAxisType="custom" maxAxisType="group" xr2:uid="{49AFA6C0-BC63-402A-B209-F43716000714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'1'!E159:AI159</xm:f>
              <xm:sqref>E147</xm:sqref>
            </x14:sparkline>
          </x14:sparklines>
        </x14:sparklineGroup>
        <x14:sparklineGroup manualMax="0" manualMin="0" type="column" displayEmptyCellsAs="gap" high="1" low="1" negative="1" minAxisType="custom" maxAxisType="group" xr2:uid="{E0D9398F-3141-4C48-B184-59CD5437579A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'1'!E178:AI178</xm:f>
              <xm:sqref>E164</xm:sqref>
            </x14:sparkline>
          </x14:sparklines>
        </x14:sparklineGroup>
        <x14:sparklineGroup manualMax="0" manualMin="0" type="column" displayEmptyCellsAs="gap" high="1" low="1" negative="1" minAxisType="custom" maxAxisType="group" xr2:uid="{FC68AF48-D71C-40E5-AC83-CF539311F748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'1'!E197:AI197</xm:f>
              <xm:sqref>E183</xm:sqref>
            </x14:sparkline>
          </x14:sparklines>
        </x14:sparklineGroup>
        <x14:sparklineGroup manualMax="0" manualMin="0" type="column" displayEmptyCellsAs="gap" high="1" low="1" negative="1" minAxisType="custom" maxAxisType="group" xr2:uid="{A4EC1891-5D3C-45D3-BB93-610C4341C4D8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'1'!E214:AI214</xm:f>
              <xm:sqref>E202</xm:sqref>
            </x14:sparkline>
          </x14:sparklines>
        </x14:sparklineGroup>
      </x14:sparklineGroup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9DC85-C923-4F27-A989-C6237D32FA40}">
  <sheetPr codeName="Planilha6">
    <tabColor rgb="FFFFEBAB"/>
  </sheetPr>
  <dimension ref="A1:AL217"/>
  <sheetViews>
    <sheetView showGridLines="0" showRowColHeaders="0" showZeros="0" zoomScale="85" zoomScaleNormal="85" workbookViewId="0">
      <pane xSplit="3" ySplit="6" topLeftCell="D7" activePane="bottomRight" state="frozen"/>
      <selection activeCell="D24" sqref="D24"/>
      <selection pane="topRight" activeCell="D24" sqref="D24"/>
      <selection pane="bottomLeft" activeCell="D24" sqref="D24"/>
      <selection pane="bottomRight" activeCell="D24" sqref="D24"/>
    </sheetView>
  </sheetViews>
  <sheetFormatPr defaultColWidth="0" defaultRowHeight="12" zeroHeight="1" x14ac:dyDescent="0.25"/>
  <cols>
    <col min="1" max="1" width="2.109375" style="4" customWidth="1"/>
    <col min="2" max="2" width="1.5546875" style="4" customWidth="1"/>
    <col min="3" max="3" width="29.33203125" style="4" bestFit="1" customWidth="1"/>
    <col min="4" max="4" width="4.6640625" style="4" customWidth="1"/>
    <col min="5" max="33" width="5.5546875" style="4" customWidth="1"/>
    <col min="34" max="34" width="5.5546875" style="4" hidden="1" customWidth="1"/>
    <col min="35" max="35" width="5.5546875" style="9" hidden="1" customWidth="1"/>
    <col min="36" max="36" width="9.5546875" style="4" customWidth="1"/>
    <col min="37" max="37" width="1.5546875" style="4" customWidth="1"/>
    <col min="38" max="38" width="2" style="4" customWidth="1"/>
    <col min="39" max="16384" width="2.109375" style="4" hidden="1"/>
  </cols>
  <sheetData>
    <row r="1" spans="1:38" ht="29.25" hidden="1" customHeight="1" thickBot="1" x14ac:dyDescent="0.3">
      <c r="A1" s="80"/>
      <c r="B1" s="80"/>
      <c r="C1" s="80"/>
      <c r="D1" s="79"/>
      <c r="AD1" s="4" t="s">
        <v>215</v>
      </c>
      <c r="AE1" s="78">
        <v>2</v>
      </c>
      <c r="AH1" s="4" t="s">
        <v>214</v>
      </c>
      <c r="AI1" s="75">
        <f>IF('⚙️'!$Q$3=$AE$1,'⚙️'!$F$13,0)</f>
        <v>0</v>
      </c>
      <c r="AK1" s="75"/>
    </row>
    <row r="2" spans="1:38" ht="15.75" customHeight="1" thickTop="1" thickBot="1" x14ac:dyDescent="0.3">
      <c r="A2" s="77"/>
      <c r="B2" s="77"/>
      <c r="C2" s="245" t="s">
        <v>120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71"/>
      <c r="U2" s="71"/>
      <c r="V2" s="71"/>
      <c r="W2" s="71"/>
      <c r="X2" s="71"/>
      <c r="Y2" s="71"/>
      <c r="Z2" s="71"/>
      <c r="AA2" s="71"/>
      <c r="AB2" s="71"/>
      <c r="AC2" s="76"/>
      <c r="AD2" s="64"/>
      <c r="AE2" s="64"/>
      <c r="AF2" s="64"/>
      <c r="AG2" s="64"/>
      <c r="AH2" s="64"/>
      <c r="AI2" s="64"/>
      <c r="AJ2" s="64"/>
      <c r="AK2" s="64"/>
      <c r="AL2" s="64"/>
    </row>
    <row r="3" spans="1:38" s="73" customFormat="1" ht="18" customHeight="1" thickTop="1" thickBot="1" x14ac:dyDescent="0.3">
      <c r="A3" s="72"/>
      <c r="B3" s="72"/>
      <c r="C3" s="246"/>
      <c r="D3" s="2"/>
      <c r="E3" s="243" t="s">
        <v>211</v>
      </c>
      <c r="F3" s="243"/>
      <c r="G3" s="243"/>
      <c r="H3" s="71"/>
      <c r="I3" s="243" t="s">
        <v>210</v>
      </c>
      <c r="J3" s="243"/>
      <c r="K3" s="243"/>
      <c r="L3" s="71"/>
      <c r="M3" s="243" t="s">
        <v>209</v>
      </c>
      <c r="N3" s="243"/>
      <c r="O3" s="243"/>
      <c r="P3" s="71"/>
      <c r="Q3" s="243" t="s">
        <v>208</v>
      </c>
      <c r="R3" s="243"/>
      <c r="S3" s="243"/>
      <c r="T3" s="71"/>
      <c r="U3" s="243" t="s">
        <v>207</v>
      </c>
      <c r="V3" s="243"/>
      <c r="W3" s="243"/>
      <c r="X3" s="71"/>
      <c r="Y3" s="71"/>
      <c r="Z3" s="252" t="s">
        <v>23</v>
      </c>
      <c r="AA3" s="253"/>
      <c r="AB3" s="64"/>
      <c r="AC3" s="252" t="s">
        <v>24</v>
      </c>
      <c r="AD3" s="253"/>
      <c r="AE3" s="64"/>
      <c r="AF3" s="252" t="s">
        <v>22</v>
      </c>
      <c r="AG3" s="253"/>
      <c r="AH3" s="74"/>
      <c r="AI3" s="74"/>
      <c r="AJ3" s="74"/>
      <c r="AK3" s="64"/>
      <c r="AL3" s="64"/>
    </row>
    <row r="4" spans="1:38" s="73" customFormat="1" ht="18" customHeight="1" thickTop="1" thickBot="1" x14ac:dyDescent="0.3">
      <c r="A4" s="72"/>
      <c r="B4" s="72"/>
      <c r="C4" s="246"/>
      <c r="D4" s="2"/>
      <c r="E4" s="242">
        <f>$AJ$16</f>
        <v>358.857142857143</v>
      </c>
      <c r="F4" s="242"/>
      <c r="G4" s="242"/>
      <c r="H4" s="71"/>
      <c r="I4" s="242">
        <f>$AJ$14</f>
        <v>474</v>
      </c>
      <c r="J4" s="242"/>
      <c r="K4" s="242"/>
      <c r="L4" s="71"/>
      <c r="M4" s="242">
        <f>$AJ$15</f>
        <v>115.142857142857</v>
      </c>
      <c r="N4" s="242"/>
      <c r="O4" s="242"/>
      <c r="P4" s="71"/>
      <c r="Q4" s="242">
        <f>$AJ$25</f>
        <v>1588</v>
      </c>
      <c r="R4" s="242"/>
      <c r="S4" s="242"/>
      <c r="T4" s="71"/>
      <c r="U4" s="242">
        <f>$AJ$26</f>
        <v>86</v>
      </c>
      <c r="V4" s="242"/>
      <c r="W4" s="242"/>
      <c r="X4" s="71"/>
      <c r="Y4" s="71"/>
      <c r="Z4" s="254"/>
      <c r="AA4" s="255"/>
      <c r="AB4" s="64"/>
      <c r="AC4" s="254"/>
      <c r="AD4" s="255"/>
      <c r="AE4" s="64"/>
      <c r="AF4" s="254"/>
      <c r="AG4" s="255"/>
      <c r="AH4" s="74"/>
      <c r="AI4" s="74"/>
      <c r="AJ4" s="74"/>
      <c r="AK4" s="64"/>
      <c r="AL4" s="64"/>
    </row>
    <row r="5" spans="1:38" ht="11.25" customHeight="1" thickTop="1" thickBot="1" x14ac:dyDescent="0.3">
      <c r="A5" s="72"/>
      <c r="B5" s="72"/>
      <c r="C5" s="246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71"/>
      <c r="Y5" s="2"/>
      <c r="Z5" s="2"/>
      <c r="AA5" s="71"/>
      <c r="AB5" s="71"/>
      <c r="AC5" s="70"/>
      <c r="AD5" s="69"/>
      <c r="AE5" s="69"/>
      <c r="AF5" s="69"/>
      <c r="AG5" s="69"/>
      <c r="AH5" s="69"/>
      <c r="AI5" s="69"/>
      <c r="AJ5" s="64"/>
      <c r="AK5" s="64"/>
      <c r="AL5" s="64"/>
    </row>
    <row r="6" spans="1:38" ht="13.5" customHeight="1" thickTop="1" thickBot="1" x14ac:dyDescent="0.3">
      <c r="A6" s="68"/>
      <c r="B6" s="68"/>
      <c r="C6" s="247"/>
      <c r="D6" s="15"/>
      <c r="E6" s="67" t="s">
        <v>197</v>
      </c>
      <c r="F6" s="67" t="s">
        <v>196</v>
      </c>
      <c r="G6" s="66" t="s">
        <v>195</v>
      </c>
      <c r="H6" s="66" t="s">
        <v>194</v>
      </c>
      <c r="I6" s="66" t="s">
        <v>193</v>
      </c>
      <c r="J6" s="66" t="s">
        <v>192</v>
      </c>
      <c r="K6" s="66" t="s">
        <v>191</v>
      </c>
      <c r="L6" s="66" t="s">
        <v>190</v>
      </c>
      <c r="M6" s="66" t="s">
        <v>189</v>
      </c>
      <c r="N6" s="66" t="s">
        <v>188</v>
      </c>
      <c r="O6" s="66" t="s">
        <v>187</v>
      </c>
      <c r="P6" s="66" t="s">
        <v>186</v>
      </c>
      <c r="Q6" s="66" t="s">
        <v>185</v>
      </c>
      <c r="R6" s="66" t="s">
        <v>184</v>
      </c>
      <c r="S6" s="66" t="s">
        <v>183</v>
      </c>
      <c r="T6" s="66" t="s">
        <v>182</v>
      </c>
      <c r="U6" s="66" t="s">
        <v>181</v>
      </c>
      <c r="V6" s="66" t="s">
        <v>180</v>
      </c>
      <c r="W6" s="66" t="s">
        <v>179</v>
      </c>
      <c r="X6" s="66" t="s">
        <v>178</v>
      </c>
      <c r="Y6" s="66" t="s">
        <v>177</v>
      </c>
      <c r="Z6" s="66" t="s">
        <v>176</v>
      </c>
      <c r="AA6" s="66" t="s">
        <v>175</v>
      </c>
      <c r="AB6" s="66" t="s">
        <v>174</v>
      </c>
      <c r="AC6" s="66" t="s">
        <v>173</v>
      </c>
      <c r="AD6" s="66" t="s">
        <v>172</v>
      </c>
      <c r="AE6" s="66" t="s">
        <v>171</v>
      </c>
      <c r="AF6" s="66" t="s">
        <v>170</v>
      </c>
      <c r="AG6" s="66" t="s">
        <v>169</v>
      </c>
      <c r="AH6" s="66" t="s">
        <v>168</v>
      </c>
      <c r="AI6" s="65" t="s">
        <v>167</v>
      </c>
      <c r="AJ6" s="64"/>
      <c r="AK6" s="64"/>
      <c r="AL6" s="64"/>
    </row>
    <row r="7" spans="1:38" ht="12.6" thickTop="1" x14ac:dyDescent="0.25">
      <c r="E7" s="37"/>
      <c r="AI7" s="4"/>
    </row>
    <row r="8" spans="1:38" x14ac:dyDescent="0.25">
      <c r="AI8" s="4"/>
    </row>
    <row r="9" spans="1:38" x14ac:dyDescent="0.25">
      <c r="AI9" s="4"/>
    </row>
    <row r="10" spans="1:38" ht="39.75" customHeight="1" x14ac:dyDescent="0.7">
      <c r="C10" s="36"/>
      <c r="E10" s="240"/>
      <c r="F10" s="240"/>
      <c r="G10" s="240"/>
      <c r="H10" s="240"/>
      <c r="I10" s="240"/>
      <c r="J10" s="240"/>
      <c r="K10" s="240"/>
      <c r="L10" s="240"/>
      <c r="M10" s="240"/>
      <c r="N10" s="240"/>
      <c r="O10" s="240"/>
      <c r="P10" s="240"/>
      <c r="Q10" s="240"/>
      <c r="R10" s="240"/>
      <c r="S10" s="240"/>
      <c r="T10" s="240"/>
      <c r="U10" s="240"/>
      <c r="V10" s="240"/>
      <c r="W10" s="240"/>
      <c r="X10" s="240"/>
      <c r="Y10" s="240"/>
      <c r="Z10" s="240"/>
      <c r="AA10" s="240"/>
      <c r="AB10" s="240"/>
      <c r="AC10" s="240"/>
      <c r="AD10" s="240"/>
      <c r="AE10" s="240"/>
      <c r="AF10" s="240"/>
      <c r="AG10" s="240"/>
      <c r="AH10" s="240"/>
      <c r="AI10" s="240"/>
      <c r="AJ10" s="32" t="s">
        <v>19</v>
      </c>
    </row>
    <row r="11" spans="1:38" ht="12.6" thickBot="1" x14ac:dyDescent="0.3">
      <c r="AI11" s="4"/>
      <c r="AJ11" s="34" t="s">
        <v>202</v>
      </c>
    </row>
    <row r="12" spans="1:38" ht="6.75" customHeight="1" thickTop="1" thickBot="1" x14ac:dyDescent="0.3">
      <c r="B12" s="49"/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49"/>
      <c r="X12" s="49"/>
      <c r="Y12" s="49"/>
      <c r="Z12" s="49"/>
      <c r="AA12" s="49"/>
      <c r="AB12" s="49"/>
      <c r="AC12" s="49"/>
      <c r="AD12" s="49"/>
      <c r="AE12" s="49"/>
      <c r="AF12" s="49"/>
      <c r="AG12" s="49"/>
      <c r="AH12" s="49"/>
      <c r="AI12" s="49"/>
      <c r="AJ12" s="50"/>
      <c r="AK12" s="49"/>
    </row>
    <row r="13" spans="1:38" ht="13.2" hidden="1" thickTop="1" thickBot="1" x14ac:dyDescent="0.3">
      <c r="B13" s="2"/>
      <c r="C13" s="31" t="s">
        <v>199</v>
      </c>
      <c r="D13" s="30" t="s">
        <v>198</v>
      </c>
      <c r="E13" s="30" t="s">
        <v>197</v>
      </c>
      <c r="F13" s="30" t="s">
        <v>196</v>
      </c>
      <c r="G13" s="30" t="s">
        <v>195</v>
      </c>
      <c r="H13" s="30" t="s">
        <v>194</v>
      </c>
      <c r="I13" s="30" t="s">
        <v>193</v>
      </c>
      <c r="J13" s="30" t="s">
        <v>192</v>
      </c>
      <c r="K13" s="30" t="s">
        <v>191</v>
      </c>
      <c r="L13" s="30" t="s">
        <v>190</v>
      </c>
      <c r="M13" s="30" t="s">
        <v>189</v>
      </c>
      <c r="N13" s="30" t="s">
        <v>188</v>
      </c>
      <c r="O13" s="30" t="s">
        <v>187</v>
      </c>
      <c r="P13" s="30" t="s">
        <v>186</v>
      </c>
      <c r="Q13" s="30" t="s">
        <v>185</v>
      </c>
      <c r="R13" s="30" t="s">
        <v>184</v>
      </c>
      <c r="S13" s="30" t="s">
        <v>183</v>
      </c>
      <c r="T13" s="30" t="s">
        <v>182</v>
      </c>
      <c r="U13" s="30" t="s">
        <v>181</v>
      </c>
      <c r="V13" s="30" t="s">
        <v>180</v>
      </c>
      <c r="W13" s="30" t="s">
        <v>179</v>
      </c>
      <c r="X13" s="30" t="s">
        <v>178</v>
      </c>
      <c r="Y13" s="30" t="s">
        <v>177</v>
      </c>
      <c r="Z13" s="30" t="s">
        <v>176</v>
      </c>
      <c r="AA13" s="30" t="s">
        <v>175</v>
      </c>
      <c r="AB13" s="30" t="s">
        <v>174</v>
      </c>
      <c r="AC13" s="30" t="s">
        <v>173</v>
      </c>
      <c r="AD13" s="30" t="s">
        <v>172</v>
      </c>
      <c r="AE13" s="30" t="s">
        <v>171</v>
      </c>
      <c r="AF13" s="30" t="s">
        <v>170</v>
      </c>
      <c r="AG13" s="30" t="s">
        <v>169</v>
      </c>
      <c r="AH13" s="30" t="s">
        <v>168</v>
      </c>
      <c r="AI13" s="30" t="s">
        <v>167</v>
      </c>
      <c r="AJ13" s="29" t="s">
        <v>166</v>
      </c>
      <c r="AK13" s="49"/>
    </row>
    <row r="14" spans="1:38" ht="19.5" customHeight="1" thickTop="1" thickBot="1" x14ac:dyDescent="0.3">
      <c r="B14" s="49"/>
      <c r="C14" s="61" t="s">
        <v>206</v>
      </c>
      <c r="D14" s="60"/>
      <c r="E14" s="88">
        <f>SUMIFS(tabela_registros[VALOR],tabela_registros[MÊS],$AE$1,tabela_registros[DIA],fevtotal30[[#Headers],[1]],tabela_registros[REGISTRO],DADOS!$N$3)</f>
        <v>474</v>
      </c>
      <c r="F14" s="88">
        <f>SUMIFS(tabela_registros[VALOR],tabela_registros[MÊS],$AE$1,tabela_registros[DIA],fevtotal30[[#Headers],[2]],tabela_registros[REGISTRO],DADOS!$N$3)</f>
        <v>0</v>
      </c>
      <c r="G14" s="88">
        <f>SUMIFS(tabela_registros[VALOR],tabela_registros[MÊS],$AE$1,tabela_registros[DIA],fevtotal30[[#Headers],[3]],tabela_registros[REGISTRO],DADOS!$N$3)</f>
        <v>0</v>
      </c>
      <c r="H14" s="88">
        <f>SUMIFS(tabela_registros[VALOR],tabela_registros[MÊS],$AE$1,tabela_registros[DIA],fevtotal30[[#Headers],[4]],tabela_registros[REGISTRO],DADOS!$N$3)</f>
        <v>0</v>
      </c>
      <c r="I14" s="88">
        <f>SUMIFS(tabela_registros[VALOR],tabela_registros[MÊS],$AE$1,tabela_registros[DIA],fevtotal30[[#Headers],[5]],tabela_registros[REGISTRO],DADOS!$N$3)</f>
        <v>0</v>
      </c>
      <c r="J14" s="88">
        <f>SUMIFS(tabela_registros[VALOR],tabela_registros[MÊS],$AE$1,tabela_registros[DIA],fevtotal30[[#Headers],[6]],tabela_registros[REGISTRO],DADOS!$N$3)</f>
        <v>0</v>
      </c>
      <c r="K14" s="88">
        <f>SUMIFS(tabela_registros[VALOR],tabela_registros[MÊS],$AE$1,tabela_registros[DIA],fevtotal30[[#Headers],[7]],tabela_registros[REGISTRO],DADOS!$N$3)</f>
        <v>0</v>
      </c>
      <c r="L14" s="88">
        <f>SUMIFS(tabela_registros[VALOR],tabela_registros[MÊS],$AE$1,tabela_registros[DIA],fevtotal30[[#Headers],[8]],tabela_registros[REGISTRO],DADOS!$N$3)</f>
        <v>0</v>
      </c>
      <c r="M14" s="88">
        <f>SUMIFS(tabela_registros[VALOR],tabela_registros[MÊS],$AE$1,tabela_registros[DIA],fevtotal30[[#Headers],[9]],tabela_registros[REGISTRO],DADOS!$N$3)</f>
        <v>0</v>
      </c>
      <c r="N14" s="88">
        <f>SUMIFS(tabela_registros[VALOR],tabela_registros[MÊS],$AE$1,tabela_registros[DIA],fevtotal30[[#Headers],[10]],tabela_registros[REGISTRO],DADOS!$N$3)</f>
        <v>0</v>
      </c>
      <c r="O14" s="88">
        <f>SUMIFS(tabela_registros[VALOR],tabela_registros[MÊS],$AE$1,tabela_registros[DIA],fevtotal30[[#Headers],[11]],tabela_registros[REGISTRO],DADOS!$N$3)</f>
        <v>0</v>
      </c>
      <c r="P14" s="88">
        <f>SUMIFS(tabela_registros[VALOR],tabela_registros[MÊS],$AE$1,tabela_registros[DIA],fevtotal30[[#Headers],[12]],tabela_registros[REGISTRO],DADOS!$N$3)</f>
        <v>0</v>
      </c>
      <c r="Q14" s="88">
        <f>SUMIFS(tabela_registros[VALOR],tabela_registros[MÊS],$AE$1,tabela_registros[DIA],fevtotal30[[#Headers],[13]],tabela_registros[REGISTRO],DADOS!$N$3)</f>
        <v>0</v>
      </c>
      <c r="R14" s="88">
        <f>SUMIFS(tabela_registros[VALOR],tabela_registros[MÊS],$AE$1,tabela_registros[DIA],fevtotal30[[#Headers],[14]],tabela_registros[REGISTRO],DADOS!$N$3)</f>
        <v>0</v>
      </c>
      <c r="S14" s="88">
        <f>SUMIFS(tabela_registros[VALOR],tabela_registros[MÊS],$AE$1,tabela_registros[DIA],fevtotal30[[#Headers],[15]],tabela_registros[REGISTRO],DADOS!$N$3)</f>
        <v>0</v>
      </c>
      <c r="T14" s="88">
        <f>SUMIFS(tabela_registros[VALOR],tabela_registros[MÊS],$AE$1,tabela_registros[DIA],fevtotal30[[#Headers],[16]],tabela_registros[REGISTRO],DADOS!$N$3)</f>
        <v>0</v>
      </c>
      <c r="U14" s="88">
        <f>SUMIFS(tabela_registros[VALOR],tabela_registros[MÊS],$AE$1,tabela_registros[DIA],fevtotal30[[#Headers],[17]],tabela_registros[REGISTRO],DADOS!$N$3)</f>
        <v>0</v>
      </c>
      <c r="V14" s="88">
        <f>SUMIFS(tabela_registros[VALOR],tabela_registros[MÊS],$AE$1,tabela_registros[DIA],fevtotal30[[#Headers],[18]],tabela_registros[REGISTRO],DADOS!$N$3)</f>
        <v>0</v>
      </c>
      <c r="W14" s="88">
        <f>SUMIFS(tabela_registros[VALOR],tabela_registros[MÊS],$AE$1,tabela_registros[DIA],fevtotal30[[#Headers],[19]],tabela_registros[REGISTRO],DADOS!$N$3)</f>
        <v>0</v>
      </c>
      <c r="X14" s="88">
        <f>SUMIFS(tabela_registros[VALOR],tabela_registros[MÊS],$AE$1,tabela_registros[DIA],fevtotal30[[#Headers],[20]],tabela_registros[REGISTRO],DADOS!$N$3)</f>
        <v>0</v>
      </c>
      <c r="Y14" s="88">
        <f>SUMIFS(tabela_registros[VALOR],tabela_registros[MÊS],$AE$1,tabela_registros[DIA],fevtotal30[[#Headers],[21]],tabela_registros[REGISTRO],DADOS!$N$3)</f>
        <v>0</v>
      </c>
      <c r="Z14" s="88">
        <f>SUMIFS(tabela_registros[VALOR],tabela_registros[MÊS],$AE$1,tabela_registros[DIA],fevtotal30[[#Headers],[22]],tabela_registros[REGISTRO],DADOS!$N$3)</f>
        <v>0</v>
      </c>
      <c r="AA14" s="88">
        <f>SUMIFS(tabela_registros[VALOR],tabela_registros[MÊS],$AE$1,tabela_registros[DIA],fevtotal30[[#Headers],[23]],tabela_registros[REGISTRO],DADOS!$N$3)</f>
        <v>0</v>
      </c>
      <c r="AB14" s="88">
        <f>SUMIFS(tabela_registros[VALOR],tabela_registros[MÊS],$AE$1,tabela_registros[DIA],fevtotal30[[#Headers],[24]],tabela_registros[REGISTRO],DADOS!$N$3)</f>
        <v>0</v>
      </c>
      <c r="AC14" s="88">
        <f>SUMIFS(tabela_registros[VALOR],tabela_registros[MÊS],$AE$1,tabela_registros[DIA],fevtotal30[[#Headers],[25]],tabela_registros[REGISTRO],DADOS!$N$3)</f>
        <v>0</v>
      </c>
      <c r="AD14" s="88">
        <f>SUMIFS(tabela_registros[VALOR],tabela_registros[MÊS],$AE$1,tabela_registros[DIA],fevtotal30[[#Headers],[26]],tabela_registros[REGISTRO],DADOS!$N$3)</f>
        <v>0</v>
      </c>
      <c r="AE14" s="88">
        <f>SUMIFS(tabela_registros[VALOR],tabela_registros[MÊS],$AE$1,tabela_registros[DIA],fevtotal30[[#Headers],[27]],tabela_registros[REGISTRO],DADOS!$N$3)</f>
        <v>0</v>
      </c>
      <c r="AF14" s="88">
        <f>SUMIFS(tabela_registros[VALOR],tabela_registros[MÊS],$AE$1,tabela_registros[DIA],fevtotal30[[#Headers],[28]],tabela_registros[REGISTRO],DADOS!$N$3)</f>
        <v>0</v>
      </c>
      <c r="AG14" s="89">
        <f>SUMIFS(tabela_registros[VALOR],tabela_registros[MÊS],$AE$1,tabela_registros[DIA],fevtotal30[[#Headers],[29]],tabela_registros[REGISTRO],DADOS!$N$3)</f>
        <v>0</v>
      </c>
      <c r="AH14" s="90">
        <f>SUMIFS(tabela_registros[VALOR],tabela_registros[MÊS],$AE$1,tabela_registros[DIA],fevtotal30[[#Headers],[30]],tabela_registros[REGISTRO],DADOS!$N$3)</f>
        <v>0</v>
      </c>
      <c r="AI14" s="89">
        <f>SUMIFS(tabela_registros[VALOR],tabela_registros[MÊS],$AE$1,tabela_registros[DIA],fevtotal30[[#Headers],[31]],tabela_registros[REGISTRO],DADOS!$N$3)</f>
        <v>0</v>
      </c>
      <c r="AJ14" s="90">
        <f>SUM(fevtotal30[[#This Row],[1]:[31]])</f>
        <v>474</v>
      </c>
      <c r="AK14" s="49"/>
    </row>
    <row r="15" spans="1:38" ht="18" customHeight="1" thickTop="1" thickBot="1" x14ac:dyDescent="0.3">
      <c r="B15" s="49"/>
      <c r="C15" s="61" t="s">
        <v>205</v>
      </c>
      <c r="D15" s="60"/>
      <c r="E15" s="91">
        <f>SUMIFS(tabela_registros[VALOR],tabela_registros[MÊS],$AE$1,tabela_registros[DIA],fevtotal30[[#Headers],[1]],tabela_registros[REGISTRO],DADOS!$N$4)</f>
        <v>0</v>
      </c>
      <c r="F15" s="91">
        <f>SUMIFS(tabela_registros[VALOR],tabela_registros[MÊS],$AE$1,tabela_registros[DIA],fevtotal30[[#Headers],[2]],tabela_registros[REGISTRO],DADOS!$N$4)</f>
        <v>0</v>
      </c>
      <c r="G15" s="91">
        <f>SUMIFS(tabela_registros[VALOR],tabela_registros[MÊS],$AE$1,tabela_registros[DIA],fevtotal30[[#Headers],[3]],tabela_registros[REGISTRO],DADOS!$N$4)</f>
        <v>0</v>
      </c>
      <c r="H15" s="91">
        <f>SUMIFS(tabela_registros[VALOR],tabela_registros[MÊS],$AE$1,tabela_registros[DIA],fevtotal30[[#Headers],[4]],tabela_registros[REGISTRO],DADOS!$N$4)</f>
        <v>0</v>
      </c>
      <c r="I15" s="91">
        <f>SUMIFS(tabela_registros[VALOR],tabela_registros[MÊS],$AE$1,tabela_registros[DIA],fevtotal30[[#Headers],[5]],tabela_registros[REGISTRO],DADOS!$N$4)</f>
        <v>0</v>
      </c>
      <c r="J15" s="91">
        <f>SUMIFS(tabela_registros[VALOR],tabela_registros[MÊS],$AE$1,tabela_registros[DIA],fevtotal30[[#Headers],[6]],tabela_registros[REGISTRO],DADOS!$N$4)</f>
        <v>0</v>
      </c>
      <c r="K15" s="91">
        <f>SUMIFS(tabela_registros[VALOR],tabela_registros[MÊS],$AE$1,tabela_registros[DIA],fevtotal30[[#Headers],[7]],tabela_registros[REGISTRO],DADOS!$N$4)</f>
        <v>0</v>
      </c>
      <c r="L15" s="91">
        <f>SUMIFS(tabela_registros[VALOR],tabela_registros[MÊS],$AE$1,tabela_registros[DIA],fevtotal30[[#Headers],[8]],tabela_registros[REGISTRO],DADOS!$N$4)</f>
        <v>0</v>
      </c>
      <c r="M15" s="91">
        <f>SUMIFS(tabela_registros[VALOR],tabela_registros[MÊS],$AE$1,tabela_registros[DIA],fevtotal30[[#Headers],[9]],tabela_registros[REGISTRO],DADOS!$N$4)</f>
        <v>0</v>
      </c>
      <c r="N15" s="91">
        <f>SUMIFS(tabela_registros[VALOR],tabela_registros[MÊS],$AE$1,tabela_registros[DIA],fevtotal30[[#Headers],[10]],tabela_registros[REGISTRO],DADOS!$N$4)</f>
        <v>0</v>
      </c>
      <c r="O15" s="91">
        <f>SUMIFS(tabela_registros[VALOR],tabela_registros[MÊS],$AE$1,tabela_registros[DIA],fevtotal30[[#Headers],[11]],tabela_registros[REGISTRO],DADOS!$N$4)</f>
        <v>0</v>
      </c>
      <c r="P15" s="91">
        <f>SUMIFS(tabela_registros[VALOR],tabela_registros[MÊS],$AE$1,tabela_registros[DIA],fevtotal30[[#Headers],[12]],tabela_registros[REGISTRO],DADOS!$N$4)</f>
        <v>115.142857142857</v>
      </c>
      <c r="Q15" s="91">
        <f>SUMIFS(tabela_registros[VALOR],tabela_registros[MÊS],$AE$1,tabela_registros[DIA],fevtotal30[[#Headers],[13]],tabela_registros[REGISTRO],DADOS!$N$4)</f>
        <v>0</v>
      </c>
      <c r="R15" s="91">
        <f>SUMIFS(tabela_registros[VALOR],tabela_registros[MÊS],$AE$1,tabela_registros[DIA],fevtotal30[[#Headers],[14]],tabela_registros[REGISTRO],DADOS!$N$4)</f>
        <v>0</v>
      </c>
      <c r="S15" s="91">
        <f>SUMIFS(tabela_registros[VALOR],tabela_registros[MÊS],$AE$1,tabela_registros[DIA],fevtotal30[[#Headers],[15]],tabela_registros[REGISTRO],DADOS!$N$4)</f>
        <v>0</v>
      </c>
      <c r="T15" s="91">
        <f>SUMIFS(tabela_registros[VALOR],tabela_registros[MÊS],$AE$1,tabela_registros[DIA],fevtotal30[[#Headers],[16]],tabela_registros[REGISTRO],DADOS!$N$4)</f>
        <v>0</v>
      </c>
      <c r="U15" s="91">
        <f>SUMIFS(tabela_registros[VALOR],tabela_registros[MÊS],$AE$1,tabela_registros[DIA],fevtotal30[[#Headers],[17]],tabela_registros[REGISTRO],DADOS!$N$4)</f>
        <v>0</v>
      </c>
      <c r="V15" s="91">
        <f>SUMIFS(tabela_registros[VALOR],tabela_registros[MÊS],$AE$1,tabela_registros[DIA],fevtotal30[[#Headers],[18]],tabela_registros[REGISTRO],DADOS!$N$4)</f>
        <v>0</v>
      </c>
      <c r="W15" s="91">
        <f>SUMIFS(tabela_registros[VALOR],tabela_registros[MÊS],$AE$1,tabela_registros[DIA],fevtotal30[[#Headers],[19]],tabela_registros[REGISTRO],DADOS!$N$4)</f>
        <v>0</v>
      </c>
      <c r="X15" s="91">
        <f>SUMIFS(tabela_registros[VALOR],tabela_registros[MÊS],$AE$1,tabela_registros[DIA],fevtotal30[[#Headers],[20]],tabela_registros[REGISTRO],DADOS!$N$4)</f>
        <v>0</v>
      </c>
      <c r="Y15" s="91">
        <f>SUMIFS(tabela_registros[VALOR],tabela_registros[MÊS],$AE$1,tabela_registros[DIA],fevtotal30[[#Headers],[21]],tabela_registros[REGISTRO],DADOS!$N$4)</f>
        <v>0</v>
      </c>
      <c r="Z15" s="91">
        <f>SUMIFS(tabela_registros[VALOR],tabela_registros[MÊS],$AE$1,tabela_registros[DIA],fevtotal30[[#Headers],[22]],tabela_registros[REGISTRO],DADOS!$N$4)</f>
        <v>0</v>
      </c>
      <c r="AA15" s="91">
        <f>SUMIFS(tabela_registros[VALOR],tabela_registros[MÊS],$AE$1,tabela_registros[DIA],fevtotal30[[#Headers],[23]],tabela_registros[REGISTRO],DADOS!$N$4)</f>
        <v>0</v>
      </c>
      <c r="AB15" s="91">
        <f>SUMIFS(tabela_registros[VALOR],tabela_registros[MÊS],$AE$1,tabela_registros[DIA],fevtotal30[[#Headers],[24]],tabela_registros[REGISTRO],DADOS!$N$4)</f>
        <v>0</v>
      </c>
      <c r="AC15" s="91">
        <f>SUMIFS(tabela_registros[VALOR],tabela_registros[MÊS],$AE$1,tabela_registros[DIA],fevtotal30[[#Headers],[25]],tabela_registros[REGISTRO],DADOS!$N$4)</f>
        <v>0</v>
      </c>
      <c r="AD15" s="91">
        <f>SUMIFS(tabela_registros[VALOR],tabela_registros[MÊS],$AE$1,tabela_registros[DIA],fevtotal30[[#Headers],[26]],tabela_registros[REGISTRO],DADOS!$N$4)</f>
        <v>0</v>
      </c>
      <c r="AE15" s="91">
        <f>SUMIFS(tabela_registros[VALOR],tabela_registros[MÊS],$AE$1,tabela_registros[DIA],fevtotal30[[#Headers],[27]],tabela_registros[REGISTRO],DADOS!$N$4)</f>
        <v>0</v>
      </c>
      <c r="AF15" s="91">
        <f>SUMIFS(tabela_registros[VALOR],tabela_registros[MÊS],$AE$1,tabela_registros[DIA],fevtotal30[[#Headers],[28]],tabela_registros[REGISTRO],DADOS!$N$4)</f>
        <v>0</v>
      </c>
      <c r="AG15" s="92">
        <f>SUMIFS(tabela_registros[VALOR],tabela_registros[MÊS],$AE$1,tabela_registros[DIA],fevtotal30[[#Headers],[29]],tabela_registros[REGISTRO],DADOS!$N$4)</f>
        <v>0</v>
      </c>
      <c r="AH15" s="93">
        <f>SUMIFS(tabela_registros[VALOR],tabela_registros[MÊS],$AE$1,tabela_registros[DIA],fevtotal30[[#Headers],[30]],tabela_registros[REGISTRO],DADOS!$N$4)</f>
        <v>0</v>
      </c>
      <c r="AI15" s="92">
        <f>SUMIFS(tabela_registros[VALOR],tabela_registros[MÊS],$AE$1,tabela_registros[DIA],fevtotal30[[#Headers],[31]],tabela_registros[REGISTRO],DADOS!$N$4)</f>
        <v>0</v>
      </c>
      <c r="AJ15" s="93">
        <f>SUM(fevtotal30[[#This Row],[1]:[31]])</f>
        <v>115.142857142857</v>
      </c>
      <c r="AK15" s="49"/>
    </row>
    <row r="16" spans="1:38" s="16" customFormat="1" ht="21" customHeight="1" thickTop="1" thickBot="1" x14ac:dyDescent="0.35">
      <c r="B16" s="52"/>
      <c r="C16" s="57" t="s">
        <v>204</v>
      </c>
      <c r="D16" s="63"/>
      <c r="E16" s="55">
        <f>(E14-E15)+AI1</f>
        <v>474</v>
      </c>
      <c r="F16" s="54">
        <f>fevtotal30[[#This Row],[1]]+(F14-F15)</f>
        <v>474</v>
      </c>
      <c r="G16" s="54">
        <f>fevtotal30[[#This Row],[2]]+(G14-G15)</f>
        <v>474</v>
      </c>
      <c r="H16" s="54">
        <f>fevtotal30[[#This Row],[3]]+(H14-H15)</f>
        <v>474</v>
      </c>
      <c r="I16" s="54">
        <f>fevtotal30[[#This Row],[4]]+(I14-I15)</f>
        <v>474</v>
      </c>
      <c r="J16" s="54">
        <f>fevtotal30[[#This Row],[5]]+(J14-J15)</f>
        <v>474</v>
      </c>
      <c r="K16" s="54">
        <f>fevtotal30[[#This Row],[6]]+(K14-K15)</f>
        <v>474</v>
      </c>
      <c r="L16" s="54">
        <f>fevtotal30[[#This Row],[7]]+(L14-L15)</f>
        <v>474</v>
      </c>
      <c r="M16" s="54">
        <f>fevtotal30[[#This Row],[8]]+(M14-M15)</f>
        <v>474</v>
      </c>
      <c r="N16" s="54">
        <f>fevtotal30[[#This Row],[9]]+(N14-N15)</f>
        <v>474</v>
      </c>
      <c r="O16" s="54">
        <f>fevtotal30[[#This Row],[10]]+(O14-O15)</f>
        <v>474</v>
      </c>
      <c r="P16" s="54">
        <f>fevtotal30[[#This Row],[11]]+(P14-P15)</f>
        <v>358.857142857143</v>
      </c>
      <c r="Q16" s="54">
        <f>fevtotal30[[#This Row],[12]]+(Q14-Q15)</f>
        <v>358.857142857143</v>
      </c>
      <c r="R16" s="54">
        <f>fevtotal30[[#This Row],[13]]+(R14-R15)</f>
        <v>358.857142857143</v>
      </c>
      <c r="S16" s="54">
        <f>fevtotal30[[#This Row],[14]]+(S14-S15)</f>
        <v>358.857142857143</v>
      </c>
      <c r="T16" s="54">
        <f>fevtotal30[[#This Row],[15]]+(T14-T15)</f>
        <v>358.857142857143</v>
      </c>
      <c r="U16" s="54">
        <f>fevtotal30[[#This Row],[16]]+(U14-U15)</f>
        <v>358.857142857143</v>
      </c>
      <c r="V16" s="54">
        <f>fevtotal30[[#This Row],[17]]+(V14-V15)</f>
        <v>358.857142857143</v>
      </c>
      <c r="W16" s="54">
        <f>fevtotal30[[#This Row],[18]]+(W14-W15)</f>
        <v>358.857142857143</v>
      </c>
      <c r="X16" s="54">
        <f>fevtotal30[[#This Row],[19]]+(X14-X15)</f>
        <v>358.857142857143</v>
      </c>
      <c r="Y16" s="54">
        <f>fevtotal30[[#This Row],[20]]+(Y14-Y15)</f>
        <v>358.857142857143</v>
      </c>
      <c r="Z16" s="54">
        <f>fevtotal30[[#This Row],[21]]+(Z14-Z15)</f>
        <v>358.857142857143</v>
      </c>
      <c r="AA16" s="54">
        <f>fevtotal30[[#This Row],[22]]+(AA14-AA15)</f>
        <v>358.857142857143</v>
      </c>
      <c r="AB16" s="54">
        <f>fevtotal30[[#This Row],[23]]+(AB14-AB15)</f>
        <v>358.857142857143</v>
      </c>
      <c r="AC16" s="54">
        <f>fevtotal30[[#This Row],[24]]+(AC14-AC15)</f>
        <v>358.857142857143</v>
      </c>
      <c r="AD16" s="54">
        <f>fevtotal30[[#This Row],[25]]+(AD14-AD15)</f>
        <v>358.857142857143</v>
      </c>
      <c r="AE16" s="54">
        <f>fevtotal30[[#This Row],[26]]+(AE14-AE15)</f>
        <v>358.857142857143</v>
      </c>
      <c r="AF16" s="54">
        <f>fevtotal30[[#This Row],[27]]+(AF14-AF15)</f>
        <v>358.857142857143</v>
      </c>
      <c r="AG16" s="62">
        <f>fevtotal30[[#This Row],[28]]+(AG14-AG15)</f>
        <v>358.857142857143</v>
      </c>
      <c r="AH16" s="53">
        <f>fevtotal30[[#This Row],[29]]+(AH14-AH15)</f>
        <v>358.857142857143</v>
      </c>
      <c r="AI16" s="62">
        <f>fevtotal30[[#This Row],[30]]+(AI14-AI15)</f>
        <v>358.857142857143</v>
      </c>
      <c r="AJ16" s="53">
        <f>fevtotal30[[#This Row],[31]]</f>
        <v>358.857142857143</v>
      </c>
      <c r="AK16" s="52"/>
    </row>
    <row r="17" spans="1:37" ht="6.75" customHeight="1" thickTop="1" thickBot="1" x14ac:dyDescent="0.3">
      <c r="B17" s="49"/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49"/>
      <c r="X17" s="49"/>
      <c r="Y17" s="49"/>
      <c r="Z17" s="49"/>
      <c r="AA17" s="49"/>
      <c r="AB17" s="49"/>
      <c r="AC17" s="49"/>
      <c r="AD17" s="49"/>
      <c r="AE17" s="49"/>
      <c r="AF17" s="49"/>
      <c r="AG17" s="49"/>
      <c r="AH17" s="49"/>
      <c r="AI17" s="50"/>
      <c r="AJ17" s="49"/>
      <c r="AK17" s="49"/>
    </row>
    <row r="18" spans="1:37" ht="12.6" thickTop="1" x14ac:dyDescent="0.25">
      <c r="C18" s="46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  <c r="AH18" s="47"/>
      <c r="AI18" s="47"/>
    </row>
    <row r="19" spans="1:37" x14ac:dyDescent="0.25">
      <c r="C19" s="46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  <c r="AA19" s="47"/>
      <c r="AB19" s="47"/>
      <c r="AC19" s="47"/>
      <c r="AD19" s="47"/>
      <c r="AE19" s="47"/>
      <c r="AF19" s="47"/>
      <c r="AG19" s="47"/>
      <c r="AH19" s="47"/>
      <c r="AI19" s="47"/>
    </row>
    <row r="20" spans="1:37" x14ac:dyDescent="0.25">
      <c r="A20" s="46"/>
      <c r="B20" s="46"/>
      <c r="C20" s="46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  <c r="AA20" s="47"/>
      <c r="AB20" s="47"/>
      <c r="AC20" s="47"/>
      <c r="AD20" s="47"/>
      <c r="AE20" s="47"/>
      <c r="AF20" s="47"/>
      <c r="AG20" s="47"/>
      <c r="AH20" s="47"/>
      <c r="AI20" s="47"/>
    </row>
    <row r="21" spans="1:37" ht="39.75" customHeight="1" x14ac:dyDescent="0.25">
      <c r="A21" s="46"/>
      <c r="B21" s="46"/>
      <c r="C21" s="46"/>
      <c r="E21" s="240"/>
      <c r="F21" s="240"/>
      <c r="G21" s="240"/>
      <c r="H21" s="240"/>
      <c r="I21" s="240"/>
      <c r="J21" s="240"/>
      <c r="K21" s="240"/>
      <c r="L21" s="240"/>
      <c r="M21" s="240"/>
      <c r="N21" s="240"/>
      <c r="O21" s="240"/>
      <c r="P21" s="240"/>
      <c r="Q21" s="240"/>
      <c r="R21" s="240"/>
      <c r="S21" s="240"/>
      <c r="T21" s="240"/>
      <c r="U21" s="240"/>
      <c r="V21" s="240"/>
      <c r="W21" s="240"/>
      <c r="X21" s="240"/>
      <c r="Y21" s="240"/>
      <c r="Z21" s="240"/>
      <c r="AA21" s="240"/>
      <c r="AB21" s="240"/>
      <c r="AC21" s="240"/>
      <c r="AD21" s="240"/>
      <c r="AE21" s="240"/>
      <c r="AF21" s="240"/>
      <c r="AG21" s="240"/>
      <c r="AH21" s="240"/>
      <c r="AI21" s="240"/>
      <c r="AJ21" s="32" t="s">
        <v>19</v>
      </c>
    </row>
    <row r="22" spans="1:37" ht="11.25" customHeight="1" thickBot="1" x14ac:dyDescent="0.75">
      <c r="C22" s="36"/>
      <c r="AI22" s="4"/>
      <c r="AJ22" s="34" t="s">
        <v>202</v>
      </c>
    </row>
    <row r="23" spans="1:37" ht="6.75" customHeight="1" thickTop="1" thickBot="1" x14ac:dyDescent="0.3">
      <c r="B23" s="49"/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49"/>
      <c r="X23" s="49"/>
      <c r="Y23" s="49"/>
      <c r="Z23" s="49"/>
      <c r="AA23" s="49"/>
      <c r="AB23" s="49"/>
      <c r="AC23" s="49"/>
      <c r="AD23" s="49"/>
      <c r="AE23" s="49"/>
      <c r="AF23" s="49"/>
      <c r="AG23" s="49"/>
      <c r="AH23" s="49"/>
      <c r="AI23" s="49"/>
      <c r="AJ23" s="50"/>
      <c r="AK23" s="49"/>
    </row>
    <row r="24" spans="1:37" ht="13.2" hidden="1" thickTop="1" thickBot="1" x14ac:dyDescent="0.3">
      <c r="B24" s="2"/>
      <c r="C24" s="30" t="s">
        <v>199</v>
      </c>
      <c r="D24" s="49" t="s">
        <v>198</v>
      </c>
      <c r="E24" s="30" t="s">
        <v>197</v>
      </c>
      <c r="F24" s="30" t="s">
        <v>196</v>
      </c>
      <c r="G24" s="30" t="s">
        <v>195</v>
      </c>
      <c r="H24" s="30" t="s">
        <v>194</v>
      </c>
      <c r="I24" s="30" t="s">
        <v>193</v>
      </c>
      <c r="J24" s="30" t="s">
        <v>192</v>
      </c>
      <c r="K24" s="30" t="s">
        <v>191</v>
      </c>
      <c r="L24" s="30" t="s">
        <v>190</v>
      </c>
      <c r="M24" s="30" t="s">
        <v>189</v>
      </c>
      <c r="N24" s="30" t="s">
        <v>188</v>
      </c>
      <c r="O24" s="30" t="s">
        <v>187</v>
      </c>
      <c r="P24" s="30" t="s">
        <v>186</v>
      </c>
      <c r="Q24" s="30" t="s">
        <v>185</v>
      </c>
      <c r="R24" s="30" t="s">
        <v>184</v>
      </c>
      <c r="S24" s="30" t="s">
        <v>183</v>
      </c>
      <c r="T24" s="30" t="s">
        <v>182</v>
      </c>
      <c r="U24" s="30" t="s">
        <v>181</v>
      </c>
      <c r="V24" s="30" t="s">
        <v>180</v>
      </c>
      <c r="W24" s="30" t="s">
        <v>179</v>
      </c>
      <c r="X24" s="30" t="s">
        <v>178</v>
      </c>
      <c r="Y24" s="30" t="s">
        <v>177</v>
      </c>
      <c r="Z24" s="30" t="s">
        <v>176</v>
      </c>
      <c r="AA24" s="30" t="s">
        <v>175</v>
      </c>
      <c r="AB24" s="30" t="s">
        <v>174</v>
      </c>
      <c r="AC24" s="30" t="s">
        <v>173</v>
      </c>
      <c r="AD24" s="30" t="s">
        <v>172</v>
      </c>
      <c r="AE24" s="30" t="s">
        <v>171</v>
      </c>
      <c r="AF24" s="30" t="s">
        <v>170</v>
      </c>
      <c r="AG24" s="30" t="s">
        <v>169</v>
      </c>
      <c r="AH24" s="30" t="s">
        <v>168</v>
      </c>
      <c r="AI24" s="30" t="s">
        <v>167</v>
      </c>
      <c r="AJ24" s="29" t="s">
        <v>166</v>
      </c>
      <c r="AK24" s="49"/>
    </row>
    <row r="25" spans="1:37" ht="19.5" customHeight="1" thickTop="1" thickBot="1" x14ac:dyDescent="0.3">
      <c r="B25" s="49"/>
      <c r="C25" s="61" t="s">
        <v>7</v>
      </c>
      <c r="D25" s="60"/>
      <c r="E25" s="88">
        <f>SUMIFS(tabela_registros[VALOR],tabela_registros[MÊS],$AE$1,tabela_registros[DIA],fevtotal30[[#Headers],[1]],tabela_registros[REGISTRO],DADOS!$N$5)</f>
        <v>0</v>
      </c>
      <c r="F25" s="88">
        <f>SUMIFS(tabela_registros[VALOR],tabela_registros[MÊS],$AE$1,tabela_registros[DIA],fevtotal30[[#Headers],[2]],tabela_registros[REGISTRO],DADOS!$N$5)</f>
        <v>1588</v>
      </c>
      <c r="G25" s="88">
        <f>SUMIFS(tabela_registros[VALOR],tabela_registros[MÊS],$AE$1,tabela_registros[DIA],fevtotal30[[#Headers],[3]],tabela_registros[REGISTRO],DADOS!$N$5)</f>
        <v>0</v>
      </c>
      <c r="H25" s="88">
        <f>SUMIFS(tabela_registros[VALOR],tabela_registros[MÊS],$AE$1,tabela_registros[DIA],fevtotal30[[#Headers],[4]],tabela_registros[REGISTRO],DADOS!$N$5)</f>
        <v>0</v>
      </c>
      <c r="I25" s="88">
        <f>SUMIFS(tabela_registros[VALOR],tabela_registros[MÊS],$AE$1,tabela_registros[DIA],fevtotal30[[#Headers],[5]],tabela_registros[REGISTRO],DADOS!$N$5)</f>
        <v>0</v>
      </c>
      <c r="J25" s="88">
        <f>SUMIFS(tabela_registros[VALOR],tabela_registros[MÊS],$AE$1,tabela_registros[DIA],fevtotal30[[#Headers],[6]],tabela_registros[REGISTRO],DADOS!$N$5)</f>
        <v>0</v>
      </c>
      <c r="K25" s="88">
        <f>SUMIFS(tabela_registros[VALOR],tabela_registros[MÊS],$AE$1,tabela_registros[DIA],fevtotal30[[#Headers],[7]],tabela_registros[REGISTRO],DADOS!$N$5)</f>
        <v>0</v>
      </c>
      <c r="L25" s="88">
        <f>SUMIFS(tabela_registros[VALOR],tabela_registros[MÊS],$AE$1,tabela_registros[DIA],fevtotal30[[#Headers],[8]],tabela_registros[REGISTRO],DADOS!$N$5)</f>
        <v>0</v>
      </c>
      <c r="M25" s="88">
        <f>SUMIFS(tabela_registros[VALOR],tabela_registros[MÊS],$AE$1,tabela_registros[DIA],fevtotal30[[#Headers],[9]],tabela_registros[REGISTRO],DADOS!$N$5)</f>
        <v>0</v>
      </c>
      <c r="N25" s="88">
        <f>SUMIFS(tabela_registros[VALOR],tabela_registros[MÊS],$AE$1,tabela_registros[DIA],fevtotal30[[#Headers],[10]],tabela_registros[REGISTRO],DADOS!$N$5)</f>
        <v>0</v>
      </c>
      <c r="O25" s="88">
        <f>SUMIFS(tabela_registros[VALOR],tabela_registros[MÊS],$AE$1,tabela_registros[DIA],fevtotal30[[#Headers],[11]],tabela_registros[REGISTRO],DADOS!$N$5)</f>
        <v>0</v>
      </c>
      <c r="P25" s="88">
        <f>SUMIFS(tabela_registros[VALOR],tabela_registros[MÊS],$AE$1,tabela_registros[DIA],fevtotal30[[#Headers],[12]],tabela_registros[REGISTRO],DADOS!$N$5)</f>
        <v>0</v>
      </c>
      <c r="Q25" s="88">
        <f>SUMIFS(tabela_registros[VALOR],tabela_registros[MÊS],$AE$1,tabela_registros[DIA],fevtotal30[[#Headers],[13]],tabela_registros[REGISTRO],DADOS!$N$5)</f>
        <v>0</v>
      </c>
      <c r="R25" s="88">
        <f>SUMIFS(tabela_registros[VALOR],tabela_registros[MÊS],$AE$1,tabela_registros[DIA],fevtotal30[[#Headers],[14]],tabela_registros[REGISTRO],DADOS!$N$5)</f>
        <v>0</v>
      </c>
      <c r="S25" s="88">
        <f>SUMIFS(tabela_registros[VALOR],tabela_registros[MÊS],$AE$1,tabela_registros[DIA],fevtotal30[[#Headers],[15]],tabela_registros[REGISTRO],DADOS!$N$5)</f>
        <v>0</v>
      </c>
      <c r="T25" s="88">
        <f>SUMIFS(tabela_registros[VALOR],tabela_registros[MÊS],$AE$1,tabela_registros[DIA],fevtotal30[[#Headers],[16]],tabela_registros[REGISTRO],DADOS!$N$5)</f>
        <v>0</v>
      </c>
      <c r="U25" s="88">
        <f>SUMIFS(tabela_registros[VALOR],tabela_registros[MÊS],$AE$1,tabela_registros[DIA],fevtotal30[[#Headers],[17]],tabela_registros[REGISTRO],DADOS!$N$5)</f>
        <v>0</v>
      </c>
      <c r="V25" s="88">
        <f>SUMIFS(tabela_registros[VALOR],tabela_registros[MÊS],$AE$1,tabela_registros[DIA],fevtotal30[[#Headers],[18]],tabela_registros[REGISTRO],DADOS!$N$5)</f>
        <v>0</v>
      </c>
      <c r="W25" s="88">
        <f>SUMIFS(tabela_registros[VALOR],tabela_registros[MÊS],$AE$1,tabela_registros[DIA],fevtotal30[[#Headers],[19]],tabela_registros[REGISTRO],DADOS!$N$5)</f>
        <v>0</v>
      </c>
      <c r="X25" s="88">
        <f>SUMIFS(tabela_registros[VALOR],tabela_registros[MÊS],$AE$1,tabela_registros[DIA],fevtotal30[[#Headers],[20]],tabela_registros[REGISTRO],DADOS!$N$5)</f>
        <v>0</v>
      </c>
      <c r="Y25" s="88">
        <f>SUMIFS(tabela_registros[VALOR],tabela_registros[MÊS],$AE$1,tabela_registros[DIA],fevtotal30[[#Headers],[21]],tabela_registros[REGISTRO],DADOS!$N$5)</f>
        <v>0</v>
      </c>
      <c r="Z25" s="88">
        <f>SUMIFS(tabela_registros[VALOR],tabela_registros[MÊS],$AE$1,tabela_registros[DIA],fevtotal30[[#Headers],[22]],tabela_registros[REGISTRO],DADOS!$N$5)</f>
        <v>0</v>
      </c>
      <c r="AA25" s="88">
        <f>SUMIFS(tabela_registros[VALOR],tabela_registros[MÊS],$AE$1,tabela_registros[DIA],fevtotal30[[#Headers],[23]],tabela_registros[REGISTRO],DADOS!$N$5)</f>
        <v>0</v>
      </c>
      <c r="AB25" s="88">
        <f>SUMIFS(tabela_registros[VALOR],tabela_registros[MÊS],$AE$1,tabela_registros[DIA],fevtotal30[[#Headers],[24]],tabela_registros[REGISTRO],DADOS!$N$5)</f>
        <v>0</v>
      </c>
      <c r="AC25" s="88">
        <f>SUMIFS(tabela_registros[VALOR],tabela_registros[MÊS],$AE$1,tabela_registros[DIA],fevtotal30[[#Headers],[25]],tabela_registros[REGISTRO],DADOS!$N$5)</f>
        <v>0</v>
      </c>
      <c r="AD25" s="88">
        <f>SUMIFS(tabela_registros[VALOR],tabela_registros[MÊS],$AE$1,tabela_registros[DIA],fevtotal30[[#Headers],[26]],tabela_registros[REGISTRO],DADOS!$N$5)</f>
        <v>0</v>
      </c>
      <c r="AE25" s="88">
        <f>SUMIFS(tabela_registros[VALOR],tabela_registros[MÊS],$AE$1,tabela_registros[DIA],fevtotal30[[#Headers],[27]],tabela_registros[REGISTRO],DADOS!$N$5)</f>
        <v>0</v>
      </c>
      <c r="AF25" s="88">
        <f>SUMIFS(tabela_registros[VALOR],tabela_registros[MÊS],$AE$1,tabela_registros[DIA],fevtotal30[[#Headers],[28]],tabela_registros[REGISTRO],DADOS!$N$5)</f>
        <v>0</v>
      </c>
      <c r="AG25" s="89">
        <f>SUMIFS(tabela_registros[VALOR],tabela_registros[MÊS],$AE$1,tabela_registros[DIA],fevtotal30[[#Headers],[29]],tabela_registros[REGISTRO],DADOS!$N$5)</f>
        <v>0</v>
      </c>
      <c r="AH25" s="90">
        <f>SUMIFS(tabela_registros[VALOR],tabela_registros[MÊS],$AE$1,tabela_registros[DIA],fevtotal30[[#Headers],[30]],tabela_registros[REGISTRO],DADOS!$N$5)</f>
        <v>0</v>
      </c>
      <c r="AI25" s="89">
        <f>SUMIFS(tabela_registros[VALOR],tabela_registros[MÊS],$AE$1,tabela_registros[DIA],fevtotal30[[#Headers],[31]],tabela_registros[REGISTRO],DADOS!$N$5)</f>
        <v>0</v>
      </c>
      <c r="AJ25" s="90">
        <f>SUM(E25:AI25)</f>
        <v>1588</v>
      </c>
      <c r="AK25" s="49"/>
    </row>
    <row r="26" spans="1:37" ht="18" customHeight="1" thickTop="1" thickBot="1" x14ac:dyDescent="0.3">
      <c r="B26" s="49"/>
      <c r="C26" s="59" t="s">
        <v>8</v>
      </c>
      <c r="D26" s="58"/>
      <c r="E26" s="91">
        <f>SUMIFS(tabela_registros[VALOR],tabela_registros[MÊS],$AE$1,tabela_registros[DIA],fevtotal30[[#Headers],[1]],tabela_registros[REGISTRO],DADOS!$N$6)</f>
        <v>0</v>
      </c>
      <c r="F26" s="91">
        <f>SUMIFS(tabela_registros[VALOR],tabela_registros[MÊS],$AE$1,tabela_registros[DIA],fevtotal30[[#Headers],[2]],tabela_registros[REGISTRO],DADOS!$N$6)</f>
        <v>86</v>
      </c>
      <c r="G26" s="91">
        <f>SUMIFS(tabela_registros[VALOR],tabela_registros[MÊS],$AE$1,tabela_registros[DIA],fevtotal30[[#Headers],[3]],tabela_registros[REGISTRO],DADOS!$N$6)</f>
        <v>0</v>
      </c>
      <c r="H26" s="91">
        <f>SUMIFS(tabela_registros[VALOR],tabela_registros[MÊS],$AE$1,tabela_registros[DIA],fevtotal30[[#Headers],[4]],tabela_registros[REGISTRO],DADOS!$N$6)</f>
        <v>0</v>
      </c>
      <c r="I26" s="91">
        <f>SUMIFS(tabela_registros[VALOR],tabela_registros[MÊS],$AE$1,tabela_registros[DIA],fevtotal30[[#Headers],[5]],tabela_registros[REGISTRO],DADOS!$N$6)</f>
        <v>0</v>
      </c>
      <c r="J26" s="91">
        <f>SUMIFS(tabela_registros[VALOR],tabela_registros[MÊS],$AE$1,tabela_registros[DIA],fevtotal30[[#Headers],[6]],tabela_registros[REGISTRO],DADOS!$N$6)</f>
        <v>0</v>
      </c>
      <c r="K26" s="91">
        <f>SUMIFS(tabela_registros[VALOR],tabela_registros[MÊS],$AE$1,tabela_registros[DIA],fevtotal30[[#Headers],[7]],tabela_registros[REGISTRO],DADOS!$N$6)</f>
        <v>0</v>
      </c>
      <c r="L26" s="91">
        <f>SUMIFS(tabela_registros[VALOR],tabela_registros[MÊS],$AE$1,tabela_registros[DIA],fevtotal30[[#Headers],[8]],tabela_registros[REGISTRO],DADOS!$N$6)</f>
        <v>0</v>
      </c>
      <c r="M26" s="91">
        <f>SUMIFS(tabela_registros[VALOR],tabela_registros[MÊS],$AE$1,tabela_registros[DIA],fevtotal30[[#Headers],[9]],tabela_registros[REGISTRO],DADOS!$N$6)</f>
        <v>0</v>
      </c>
      <c r="N26" s="91">
        <f>SUMIFS(tabela_registros[VALOR],tabela_registros[MÊS],$AE$1,tabela_registros[DIA],fevtotal30[[#Headers],[10]],tabela_registros[REGISTRO],DADOS!$N$6)</f>
        <v>0</v>
      </c>
      <c r="O26" s="91">
        <f>SUMIFS(tabela_registros[VALOR],tabela_registros[MÊS],$AE$1,tabela_registros[DIA],fevtotal30[[#Headers],[11]],tabela_registros[REGISTRO],DADOS!$N$6)</f>
        <v>0</v>
      </c>
      <c r="P26" s="91">
        <f>SUMIFS(tabela_registros[VALOR],tabela_registros[MÊS],$AE$1,tabela_registros[DIA],fevtotal30[[#Headers],[12]],tabela_registros[REGISTRO],DADOS!$N$6)</f>
        <v>0</v>
      </c>
      <c r="Q26" s="91">
        <f>SUMIFS(tabela_registros[VALOR],tabela_registros[MÊS],$AE$1,tabela_registros[DIA],fevtotal30[[#Headers],[13]],tabela_registros[REGISTRO],DADOS!$N$6)</f>
        <v>0</v>
      </c>
      <c r="R26" s="91">
        <f>SUMIFS(tabela_registros[VALOR],tabela_registros[MÊS],$AE$1,tabela_registros[DIA],fevtotal30[[#Headers],[14]],tabela_registros[REGISTRO],DADOS!$N$6)</f>
        <v>0</v>
      </c>
      <c r="S26" s="91">
        <f>SUMIFS(tabela_registros[VALOR],tabela_registros[MÊS],$AE$1,tabela_registros[DIA],fevtotal30[[#Headers],[15]],tabela_registros[REGISTRO],DADOS!$N$6)</f>
        <v>0</v>
      </c>
      <c r="T26" s="91">
        <f>SUMIFS(tabela_registros[VALOR],tabela_registros[MÊS],$AE$1,tabela_registros[DIA],fevtotal30[[#Headers],[16]],tabela_registros[REGISTRO],DADOS!$N$6)</f>
        <v>0</v>
      </c>
      <c r="U26" s="91">
        <f>SUMIFS(tabela_registros[VALOR],tabela_registros[MÊS],$AE$1,tabela_registros[DIA],fevtotal30[[#Headers],[17]],tabela_registros[REGISTRO],DADOS!$N$6)</f>
        <v>0</v>
      </c>
      <c r="V26" s="91">
        <f>SUMIFS(tabela_registros[VALOR],tabela_registros[MÊS],$AE$1,tabela_registros[DIA],fevtotal30[[#Headers],[18]],tabela_registros[REGISTRO],DADOS!$N$6)</f>
        <v>0</v>
      </c>
      <c r="W26" s="91">
        <f>SUMIFS(tabela_registros[VALOR],tabela_registros[MÊS],$AE$1,tabela_registros[DIA],fevtotal30[[#Headers],[19]],tabela_registros[REGISTRO],DADOS!$N$6)</f>
        <v>0</v>
      </c>
      <c r="X26" s="91">
        <f>SUMIFS(tabela_registros[VALOR],tabela_registros[MÊS],$AE$1,tabela_registros[DIA],fevtotal30[[#Headers],[20]],tabela_registros[REGISTRO],DADOS!$N$6)</f>
        <v>0</v>
      </c>
      <c r="Y26" s="91">
        <f>SUMIFS(tabela_registros[VALOR],tabela_registros[MÊS],$AE$1,tabela_registros[DIA],fevtotal30[[#Headers],[21]],tabela_registros[REGISTRO],DADOS!$N$6)</f>
        <v>0</v>
      </c>
      <c r="Z26" s="91">
        <f>SUMIFS(tabela_registros[VALOR],tabela_registros[MÊS],$AE$1,tabela_registros[DIA],fevtotal30[[#Headers],[22]],tabela_registros[REGISTRO],DADOS!$N$6)</f>
        <v>0</v>
      </c>
      <c r="AA26" s="91">
        <f>SUMIFS(tabela_registros[VALOR],tabela_registros[MÊS],$AE$1,tabela_registros[DIA],fevtotal30[[#Headers],[23]],tabela_registros[REGISTRO],DADOS!$N$6)</f>
        <v>0</v>
      </c>
      <c r="AB26" s="91">
        <f>SUMIFS(tabela_registros[VALOR],tabela_registros[MÊS],$AE$1,tabela_registros[DIA],fevtotal30[[#Headers],[24]],tabela_registros[REGISTRO],DADOS!$N$6)</f>
        <v>0</v>
      </c>
      <c r="AC26" s="91">
        <f>SUMIFS(tabela_registros[VALOR],tabela_registros[MÊS],$AE$1,tabela_registros[DIA],fevtotal30[[#Headers],[25]],tabela_registros[REGISTRO],DADOS!$N$6)</f>
        <v>0</v>
      </c>
      <c r="AD26" s="91">
        <f>SUMIFS(tabela_registros[VALOR],tabela_registros[MÊS],$AE$1,tabela_registros[DIA],fevtotal30[[#Headers],[26]],tabela_registros[REGISTRO],DADOS!$N$6)</f>
        <v>0</v>
      </c>
      <c r="AE26" s="91">
        <f>SUMIFS(tabela_registros[VALOR],tabela_registros[MÊS],$AE$1,tabela_registros[DIA],fevtotal30[[#Headers],[27]],tabela_registros[REGISTRO],DADOS!$N$6)</f>
        <v>0</v>
      </c>
      <c r="AF26" s="91">
        <f>SUMIFS(tabela_registros[VALOR],tabela_registros[MÊS],$AE$1,tabela_registros[DIA],fevtotal30[[#Headers],[28]],tabela_registros[REGISTRO],DADOS!$N$6)</f>
        <v>0</v>
      </c>
      <c r="AG26" s="92">
        <f>SUMIFS(tabela_registros[VALOR],tabela_registros[MÊS],$AE$1,tabela_registros[DIA],fevtotal30[[#Headers],[29]],tabela_registros[REGISTRO],DADOS!$N$6)</f>
        <v>0</v>
      </c>
      <c r="AH26" s="93">
        <f>SUMIFS(tabela_registros[VALOR],tabela_registros[MÊS],$AE$1,tabela_registros[DIA],fevtotal30[[#Headers],[30]],tabela_registros[REGISTRO],DADOS!$N$6)</f>
        <v>0</v>
      </c>
      <c r="AI26" s="92">
        <f>SUMIFS(tabela_registros[VALOR],tabela_registros[MÊS],$AE$1,tabela_registros[DIA],fevtotal30[[#Headers],[31]],tabela_registros[REGISTRO],DADOS!$N$6)</f>
        <v>0</v>
      </c>
      <c r="AJ26" s="93">
        <f>SUM(E26:AI26)</f>
        <v>86</v>
      </c>
      <c r="AK26" s="49"/>
    </row>
    <row r="27" spans="1:37" s="16" customFormat="1" ht="21" customHeight="1" thickTop="1" thickBot="1" x14ac:dyDescent="0.35">
      <c r="B27" s="52"/>
      <c r="C27" s="57" t="s">
        <v>19</v>
      </c>
      <c r="D27" s="56"/>
      <c r="E27" s="55">
        <f>SUM(E25:E26)</f>
        <v>0</v>
      </c>
      <c r="F27" s="54">
        <f>SUM(F25:F26)+fevinvestir21[[#This Row],[1]]</f>
        <v>1674</v>
      </c>
      <c r="G27" s="54">
        <f>SUM(G25:G26)+fevinvestir21[[#This Row],[2]]</f>
        <v>1674</v>
      </c>
      <c r="H27" s="54">
        <f>SUM(H25:H26)+fevinvestir21[[#This Row],[3]]</f>
        <v>1674</v>
      </c>
      <c r="I27" s="54">
        <f>SUM(I25:I26)+fevinvestir21[[#This Row],[4]]</f>
        <v>1674</v>
      </c>
      <c r="J27" s="54">
        <f>SUM(J25:J26)+fevinvestir21[[#This Row],[5]]</f>
        <v>1674</v>
      </c>
      <c r="K27" s="54">
        <f>SUM(K25:K26)+fevinvestir21[[#This Row],[6]]</f>
        <v>1674</v>
      </c>
      <c r="L27" s="54">
        <f>SUM(L25:L26)+fevinvestir21[[#This Row],[7]]</f>
        <v>1674</v>
      </c>
      <c r="M27" s="54">
        <f>SUM(M25:M26)+fevinvestir21[[#This Row],[8]]</f>
        <v>1674</v>
      </c>
      <c r="N27" s="54">
        <f>SUM(N25:N26)+fevinvestir21[[#This Row],[9]]</f>
        <v>1674</v>
      </c>
      <c r="O27" s="54">
        <f>SUM(O25:O26)+fevinvestir21[[#This Row],[10]]</f>
        <v>1674</v>
      </c>
      <c r="P27" s="54">
        <f>SUM(P25:P26)+fevinvestir21[[#This Row],[11]]</f>
        <v>1674</v>
      </c>
      <c r="Q27" s="54">
        <f>SUM(Q25:Q26)+fevinvestir21[[#This Row],[12]]</f>
        <v>1674</v>
      </c>
      <c r="R27" s="54">
        <f>SUM(R25:R26)+fevinvestir21[[#This Row],[13]]</f>
        <v>1674</v>
      </c>
      <c r="S27" s="54">
        <f>SUM(S25:S26)+fevinvestir21[[#This Row],[14]]</f>
        <v>1674</v>
      </c>
      <c r="T27" s="54">
        <f>SUM(T25:T26)+fevinvestir21[[#This Row],[15]]</f>
        <v>1674</v>
      </c>
      <c r="U27" s="54">
        <f>SUM(U25:U26)+fevinvestir21[[#This Row],[16]]</f>
        <v>1674</v>
      </c>
      <c r="V27" s="54">
        <f>SUM(V25:V26)+fevinvestir21[[#This Row],[17]]</f>
        <v>1674</v>
      </c>
      <c r="W27" s="54">
        <f>SUM(W25:W26)+fevinvestir21[[#This Row],[18]]</f>
        <v>1674</v>
      </c>
      <c r="X27" s="54">
        <f>SUM(X25:X26)+fevinvestir21[[#This Row],[19]]</f>
        <v>1674</v>
      </c>
      <c r="Y27" s="54">
        <f>SUM(Y25:Y26)+fevinvestir21[[#This Row],[20]]</f>
        <v>1674</v>
      </c>
      <c r="Z27" s="54">
        <f>SUM(Z25:Z26)+fevinvestir21[[#This Row],[21]]</f>
        <v>1674</v>
      </c>
      <c r="AA27" s="54">
        <f>SUM(AA25:AA26)+fevinvestir21[[#This Row],[22]]</f>
        <v>1674</v>
      </c>
      <c r="AB27" s="54">
        <f>SUM(AB25:AB26)+fevinvestir21[[#This Row],[23]]</f>
        <v>1674</v>
      </c>
      <c r="AC27" s="54">
        <f>SUM(AC25:AC26)+fevinvestir21[[#This Row],[24]]</f>
        <v>1674</v>
      </c>
      <c r="AD27" s="54">
        <f>SUM(AD25:AD26)+fevinvestir21[[#This Row],[25]]</f>
        <v>1674</v>
      </c>
      <c r="AE27" s="54">
        <f>SUM(AE25:AE26)+fevinvestir21[[#This Row],[26]]</f>
        <v>1674</v>
      </c>
      <c r="AF27" s="54">
        <f>SUM(AF25:AF26)+fevinvestir21[[#This Row],[27]]</f>
        <v>1674</v>
      </c>
      <c r="AG27" s="62">
        <f>SUM(AG25:AG26)+fevinvestir21[[#This Row],[28]]</f>
        <v>1674</v>
      </c>
      <c r="AH27" s="53">
        <f>SUM(AH25:AH26)+fevinvestir21[[#This Row],[29]]</f>
        <v>1674</v>
      </c>
      <c r="AI27" s="62">
        <f>SUM(AI25:AI26)+fevinvestir21[[#This Row],[30]]</f>
        <v>1674</v>
      </c>
      <c r="AJ27" s="53">
        <f>fevinvestir21[[#This Row],[31]]</f>
        <v>1674</v>
      </c>
      <c r="AK27" s="52"/>
    </row>
    <row r="28" spans="1:37" ht="6.75" hidden="1" customHeight="1" thickTop="1" thickBot="1" x14ac:dyDescent="0.35">
      <c r="B28" s="49"/>
      <c r="C28" t="s">
        <v>204</v>
      </c>
      <c r="D28"/>
      <c r="E28" s="51">
        <f>SUBTOTAL(109,fevinvestir21[1])</f>
        <v>0</v>
      </c>
      <c r="F28" s="51">
        <f>SUBTOTAL(109,fevinvestir21[2])</f>
        <v>3348</v>
      </c>
      <c r="G28" s="51">
        <f>SUBTOTAL(109,fevinvestir21[3])</f>
        <v>1674</v>
      </c>
      <c r="H28" s="51">
        <f>SUBTOTAL(109,fevinvestir21[4])</f>
        <v>1674</v>
      </c>
      <c r="I28" s="51">
        <f>SUBTOTAL(109,fevinvestir21[5])</f>
        <v>1674</v>
      </c>
      <c r="J28" s="51">
        <f>SUBTOTAL(109,fevinvestir21[6])</f>
        <v>1674</v>
      </c>
      <c r="K28" s="51">
        <f>SUBTOTAL(109,fevinvestir21[7])</f>
        <v>1674</v>
      </c>
      <c r="L28" s="51">
        <f>SUBTOTAL(109,fevinvestir21[8])</f>
        <v>1674</v>
      </c>
      <c r="M28" s="51">
        <f>SUBTOTAL(109,fevinvestir21[9])</f>
        <v>1674</v>
      </c>
      <c r="N28" s="51">
        <f>SUBTOTAL(109,fevinvestir21[10])</f>
        <v>1674</v>
      </c>
      <c r="O28" s="51">
        <f>SUBTOTAL(109,fevinvestir21[11])</f>
        <v>1674</v>
      </c>
      <c r="P28" s="51">
        <f>SUBTOTAL(109,fevinvestir21[12])</f>
        <v>1674</v>
      </c>
      <c r="Q28" s="51">
        <f>SUBTOTAL(109,fevinvestir21[13])</f>
        <v>1674</v>
      </c>
      <c r="R28" s="51">
        <f>SUBTOTAL(109,fevinvestir21[14])</f>
        <v>1674</v>
      </c>
      <c r="S28" s="51">
        <f>SUBTOTAL(109,fevinvestir21[15])</f>
        <v>1674</v>
      </c>
      <c r="T28" s="51">
        <f>SUBTOTAL(109,fevinvestir21[16])</f>
        <v>1674</v>
      </c>
      <c r="U28" s="51">
        <f>SUBTOTAL(109,fevinvestir21[17])</f>
        <v>1674</v>
      </c>
      <c r="V28" s="51">
        <f>SUBTOTAL(109,fevinvestir21[18])</f>
        <v>1674</v>
      </c>
      <c r="W28" s="51">
        <f>SUBTOTAL(109,fevinvestir21[19])</f>
        <v>1674</v>
      </c>
      <c r="X28" s="51">
        <f>SUBTOTAL(109,fevinvestir21[20])</f>
        <v>1674</v>
      </c>
      <c r="Y28" s="51">
        <f>SUBTOTAL(109,fevinvestir21[21])</f>
        <v>1674</v>
      </c>
      <c r="Z28" s="51">
        <f>SUBTOTAL(109,fevinvestir21[22])</f>
        <v>1674</v>
      </c>
      <c r="AA28" s="51">
        <f>SUBTOTAL(109,fevinvestir21[23])</f>
        <v>1674</v>
      </c>
      <c r="AB28" s="51">
        <f>SUBTOTAL(109,fevinvestir21[24])</f>
        <v>1674</v>
      </c>
      <c r="AC28" s="51">
        <f>SUBTOTAL(109,fevinvestir21[25])</f>
        <v>1674</v>
      </c>
      <c r="AD28" s="51">
        <f>SUBTOTAL(109,fevinvestir21[26])</f>
        <v>1674</v>
      </c>
      <c r="AE28" s="51">
        <f>SUBTOTAL(109,fevinvestir21[27])</f>
        <v>1674</v>
      </c>
      <c r="AF28" s="51">
        <f>SUBTOTAL(109,fevinvestir21[28])</f>
        <v>1674</v>
      </c>
      <c r="AG28" s="51">
        <f>SUBTOTAL(109,fevinvestir21[29])</f>
        <v>1674</v>
      </c>
      <c r="AH28" s="51">
        <f>SUBTOTAL(109,fevinvestir21[30])</f>
        <v>1674</v>
      </c>
      <c r="AI28" s="51">
        <f>SUBTOTAL(109,fevinvestir21[31])</f>
        <v>1674</v>
      </c>
      <c r="AJ28" s="51">
        <f>SUBTOTAL(109,fevinvestir21[TOTAL (R$)])</f>
        <v>3348</v>
      </c>
      <c r="AK28" s="49"/>
    </row>
    <row r="29" spans="1:37" ht="6.75" customHeight="1" thickTop="1" thickBot="1" x14ac:dyDescent="0.3">
      <c r="B29" s="49"/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49"/>
      <c r="X29" s="49"/>
      <c r="Y29" s="49"/>
      <c r="Z29" s="49"/>
      <c r="AA29" s="49"/>
      <c r="AB29" s="49"/>
      <c r="AC29" s="49"/>
      <c r="AD29" s="49"/>
      <c r="AE29" s="49"/>
      <c r="AF29" s="49"/>
      <c r="AG29" s="49"/>
      <c r="AH29" s="49"/>
      <c r="AI29" s="50"/>
      <c r="AJ29" s="49"/>
      <c r="AK29" s="49"/>
    </row>
    <row r="30" spans="1:37" ht="12.6" thickTop="1" x14ac:dyDescent="0.25">
      <c r="C30" s="46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 s="47"/>
      <c r="Z30" s="47"/>
      <c r="AA30" s="47"/>
      <c r="AB30" s="47"/>
      <c r="AC30" s="47"/>
      <c r="AD30" s="47"/>
      <c r="AE30" s="47"/>
      <c r="AF30" s="47"/>
      <c r="AG30" s="47"/>
      <c r="AH30" s="47"/>
      <c r="AI30" s="47"/>
    </row>
    <row r="31" spans="1:37" x14ac:dyDescent="0.25">
      <c r="C31" s="46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47"/>
      <c r="X31" s="47"/>
      <c r="Y31" s="47"/>
      <c r="Z31" s="47"/>
      <c r="AA31" s="47"/>
      <c r="AB31" s="47"/>
      <c r="AC31" s="47"/>
      <c r="AD31" s="47"/>
      <c r="AE31" s="47"/>
      <c r="AF31" s="47"/>
      <c r="AG31" s="47"/>
      <c r="AH31" s="47"/>
      <c r="AI31" s="47"/>
    </row>
    <row r="32" spans="1:37" x14ac:dyDescent="0.25">
      <c r="C32" s="46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47"/>
      <c r="AB32" s="47"/>
      <c r="AC32" s="47"/>
      <c r="AD32" s="47"/>
      <c r="AE32" s="47"/>
      <c r="AF32" s="47"/>
      <c r="AG32" s="47"/>
      <c r="AH32" s="47"/>
      <c r="AI32" s="47"/>
    </row>
    <row r="33" spans="2:37" ht="39.75" customHeight="1" x14ac:dyDescent="0.25">
      <c r="C33" s="46"/>
      <c r="E33" s="240"/>
      <c r="F33" s="240"/>
      <c r="G33" s="240"/>
      <c r="H33" s="240"/>
      <c r="I33" s="240"/>
      <c r="J33" s="240"/>
      <c r="K33" s="240"/>
      <c r="L33" s="240"/>
      <c r="M33" s="240"/>
      <c r="N33" s="240"/>
      <c r="O33" s="240"/>
      <c r="P33" s="240"/>
      <c r="Q33" s="240"/>
      <c r="R33" s="240"/>
      <c r="S33" s="240"/>
      <c r="T33" s="240"/>
      <c r="U33" s="240"/>
      <c r="V33" s="240"/>
      <c r="W33" s="240"/>
      <c r="X33" s="240"/>
      <c r="Y33" s="240"/>
      <c r="Z33" s="240"/>
      <c r="AA33" s="240"/>
      <c r="AB33" s="240"/>
      <c r="AC33" s="240"/>
      <c r="AD33" s="240"/>
      <c r="AE33" s="240"/>
      <c r="AF33" s="240"/>
      <c r="AG33" s="240"/>
      <c r="AH33" s="240"/>
      <c r="AI33" s="240"/>
      <c r="AJ33" s="32" t="s">
        <v>19</v>
      </c>
    </row>
    <row r="34" spans="2:37" ht="11.25" customHeight="1" thickBot="1" x14ac:dyDescent="0.75">
      <c r="C34" s="36"/>
      <c r="AI34" s="4"/>
      <c r="AJ34" s="34" t="s">
        <v>202</v>
      </c>
    </row>
    <row r="35" spans="2:37" ht="6.75" customHeight="1" thickTop="1" thickBot="1" x14ac:dyDescent="0.3">
      <c r="B35" s="33"/>
      <c r="C35" s="45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F35" s="44"/>
      <c r="AG35" s="44"/>
      <c r="AH35" s="44"/>
      <c r="AI35" s="44"/>
      <c r="AJ35" s="43"/>
      <c r="AK35" s="33"/>
    </row>
    <row r="36" spans="2:37" ht="12.6" hidden="1" thickBot="1" x14ac:dyDescent="0.3">
      <c r="B36" s="2"/>
      <c r="C36" s="31" t="s">
        <v>132</v>
      </c>
      <c r="D36" s="30" t="s">
        <v>198</v>
      </c>
      <c r="E36" s="30" t="s">
        <v>197</v>
      </c>
      <c r="F36" s="30" t="s">
        <v>196</v>
      </c>
      <c r="G36" s="30" t="s">
        <v>195</v>
      </c>
      <c r="H36" s="30" t="s">
        <v>194</v>
      </c>
      <c r="I36" s="30" t="s">
        <v>193</v>
      </c>
      <c r="J36" s="30" t="s">
        <v>192</v>
      </c>
      <c r="K36" s="30" t="s">
        <v>191</v>
      </c>
      <c r="L36" s="30" t="s">
        <v>190</v>
      </c>
      <c r="M36" s="30" t="s">
        <v>189</v>
      </c>
      <c r="N36" s="30" t="s">
        <v>188</v>
      </c>
      <c r="O36" s="30" t="s">
        <v>187</v>
      </c>
      <c r="P36" s="30" t="s">
        <v>186</v>
      </c>
      <c r="Q36" s="30" t="s">
        <v>185</v>
      </c>
      <c r="R36" s="30" t="s">
        <v>184</v>
      </c>
      <c r="S36" s="30" t="s">
        <v>183</v>
      </c>
      <c r="T36" s="30" t="s">
        <v>182</v>
      </c>
      <c r="U36" s="30" t="s">
        <v>181</v>
      </c>
      <c r="V36" s="30" t="s">
        <v>180</v>
      </c>
      <c r="W36" s="30" t="s">
        <v>179</v>
      </c>
      <c r="X36" s="30" t="s">
        <v>178</v>
      </c>
      <c r="Y36" s="30" t="s">
        <v>177</v>
      </c>
      <c r="Z36" s="30" t="s">
        <v>176</v>
      </c>
      <c r="AA36" s="30" t="s">
        <v>175</v>
      </c>
      <c r="AB36" s="30" t="s">
        <v>174</v>
      </c>
      <c r="AC36" s="30" t="s">
        <v>173</v>
      </c>
      <c r="AD36" s="30" t="s">
        <v>172</v>
      </c>
      <c r="AE36" s="30" t="s">
        <v>171</v>
      </c>
      <c r="AF36" s="30" t="s">
        <v>170</v>
      </c>
      <c r="AG36" s="30" t="s">
        <v>169</v>
      </c>
      <c r="AH36" s="30" t="s">
        <v>168</v>
      </c>
      <c r="AI36" s="30" t="s">
        <v>167</v>
      </c>
      <c r="AJ36" s="42" t="s">
        <v>19</v>
      </c>
      <c r="AK36" s="2" t="s">
        <v>203</v>
      </c>
    </row>
    <row r="37" spans="2:37" ht="19.5" customHeight="1" thickTop="1" thickBot="1" x14ac:dyDescent="0.3">
      <c r="B37" s="28"/>
      <c r="C37" s="27" t="str">
        <f>DADOS!$R$3</f>
        <v>💧 ÁGUA</v>
      </c>
      <c r="D37" s="26" t="str">
        <f>IF(despesafixaconsolidadofev[[#This Row],[TOTAL]]=0,"",IF(OR(despesafixaconsolidadofev[[#This Row],[TOTAL]]=LARGE($AJ$37:$AJ$50,1),despesafixaconsolidadofev[[#This Row],[TOTAL]]=LARGE($AJ$37:$AJ$50,2),despesafixaconsolidadofev[[#This Row],[TOTAL]]=LARGE($AJ$37:$AJ$50,3),despesafixaconsolidadofev[[#This Row],[TOTAL]]=LARGE($AJ$37:$AJ$50,4),despesafixaconsolidadofev[[#This Row],[TOTAL]]=LARGE($AJ$37:$AJ$50,5)),DADOS!$I$8,""))</f>
        <v/>
      </c>
      <c r="E37" s="94">
        <f>SUMIFS(tabela_registros[VALOR],tabela_registros[MÊS],$AE$1,tabela_registros[DIA],fevtotal30[[#Headers],[1]],tabela_registros[REGISTRO],DADOS!$N$4,tabela_registros[TIPO],DADOS!$P$3,tabela_registros[CATEGORIA],despesafixaconsolidadofev[[#This Row],[DESPESA FIXA]])</f>
        <v>0</v>
      </c>
      <c r="F37" s="88">
        <f>SUMIFS(tabela_registros[VALOR],tabela_registros[MÊS],$AE$1,tabela_registros[DIA],fevtotal30[[#Headers],[2]],tabela_registros[REGISTRO],DADOS!$N$4,tabela_registros[TIPO],DADOS!$P$3,tabela_registros[CATEGORIA],despesafixaconsolidadofev[[#This Row],[DESPESA FIXA]])</f>
        <v>0</v>
      </c>
      <c r="G37" s="88">
        <f>SUMIFS(tabela_registros[VALOR],tabela_registros[MÊS],$AE$1,tabela_registros[DIA],fevtotal30[[#Headers],[3]],tabela_registros[REGISTRO],DADOS!$N$4,tabela_registros[TIPO],DADOS!$P$3,tabela_registros[CATEGORIA],despesafixaconsolidadofev[[#This Row],[DESPESA FIXA]])</f>
        <v>0</v>
      </c>
      <c r="H37" s="88">
        <f>SUMIFS(tabela_registros[VALOR],tabela_registros[MÊS],$AE$1,tabela_registros[DIA],fevtotal30[[#Headers],[4]],tabela_registros[REGISTRO],DADOS!$N$4,tabela_registros[TIPO],DADOS!$P$3,tabela_registros[CATEGORIA],despesafixaconsolidadofev[[#This Row],[DESPESA FIXA]])</f>
        <v>0</v>
      </c>
      <c r="I37" s="88">
        <f>SUMIFS(tabela_registros[VALOR],tabela_registros[MÊS],$AE$1,tabela_registros[DIA],fevtotal30[[#Headers],[5]],tabela_registros[REGISTRO],DADOS!$N$4,tabela_registros[TIPO],DADOS!$P$3,tabela_registros[CATEGORIA],despesafixaconsolidadofev[[#This Row],[DESPESA FIXA]])</f>
        <v>0</v>
      </c>
      <c r="J37" s="88">
        <f>SUMIFS(tabela_registros[VALOR],tabela_registros[MÊS],$AE$1,tabela_registros[DIA],fevtotal30[[#Headers],[6]],tabela_registros[REGISTRO],DADOS!$N$4,tabela_registros[TIPO],DADOS!$P$3,tabela_registros[CATEGORIA],despesafixaconsolidadofev[[#This Row],[DESPESA FIXA]])</f>
        <v>0</v>
      </c>
      <c r="K37" s="88">
        <f>SUMIFS(tabela_registros[VALOR],tabela_registros[MÊS],$AE$1,tabela_registros[DIA],fevtotal30[[#Headers],[7]],tabela_registros[REGISTRO],DADOS!$N$4,tabela_registros[TIPO],DADOS!$P$3,tabela_registros[CATEGORIA],despesafixaconsolidadofev[[#This Row],[DESPESA FIXA]])</f>
        <v>0</v>
      </c>
      <c r="L37" s="88">
        <f>SUMIFS(tabela_registros[VALOR],tabela_registros[MÊS],$AE$1,tabela_registros[DIA],fevtotal30[[#Headers],[8]],tabela_registros[REGISTRO],DADOS!$N$4,tabela_registros[TIPO],DADOS!$P$3,tabela_registros[CATEGORIA],despesafixaconsolidadofev[[#This Row],[DESPESA FIXA]])</f>
        <v>0</v>
      </c>
      <c r="M37" s="88">
        <f>SUMIFS(tabela_registros[VALOR],tabela_registros[MÊS],$AE$1,tabela_registros[DIA],fevtotal30[[#Headers],[9]],tabela_registros[REGISTRO],DADOS!$N$4,tabela_registros[TIPO],DADOS!$P$3,tabela_registros[CATEGORIA],despesafixaconsolidadofev[[#This Row],[DESPESA FIXA]])</f>
        <v>0</v>
      </c>
      <c r="N37" s="88">
        <f>SUMIFS(tabela_registros[VALOR],tabela_registros[MÊS],$AE$1,tabela_registros[DIA],fevtotal30[[#Headers],[10]],tabela_registros[REGISTRO],DADOS!$N$4,tabela_registros[TIPO],DADOS!$P$3,tabela_registros[CATEGORIA],despesafixaconsolidadofev[[#This Row],[DESPESA FIXA]])</f>
        <v>0</v>
      </c>
      <c r="O37" s="88">
        <f>SUMIFS(tabela_registros[VALOR],tabela_registros[MÊS],$AE$1,tabela_registros[DIA],fevtotal30[[#Headers],[11]],tabela_registros[REGISTRO],DADOS!$N$4,tabela_registros[TIPO],DADOS!$P$3,tabela_registros[CATEGORIA],despesafixaconsolidadofev[[#This Row],[DESPESA FIXA]])</f>
        <v>0</v>
      </c>
      <c r="P37" s="88">
        <f>SUMIFS(tabela_registros[VALOR],tabela_registros[MÊS],$AE$1,tabela_registros[DIA],fevtotal30[[#Headers],[12]],tabela_registros[REGISTRO],DADOS!$N$4,tabela_registros[TIPO],DADOS!$P$3,tabela_registros[CATEGORIA],despesafixaconsolidadofev[[#This Row],[DESPESA FIXA]])</f>
        <v>0</v>
      </c>
      <c r="Q37" s="88">
        <f>SUMIFS(tabela_registros[VALOR],tabela_registros[MÊS],$AE$1,tabela_registros[DIA],fevtotal30[[#Headers],[13]],tabela_registros[REGISTRO],DADOS!$N$4,tabela_registros[TIPO],DADOS!$P$3,tabela_registros[CATEGORIA],despesafixaconsolidadofev[[#This Row],[DESPESA FIXA]])</f>
        <v>0</v>
      </c>
      <c r="R37" s="88">
        <f>SUMIFS(tabela_registros[VALOR],tabela_registros[MÊS],$AE$1,tabela_registros[DIA],fevtotal30[[#Headers],[14]],tabela_registros[REGISTRO],DADOS!$N$4,tabela_registros[TIPO],DADOS!$P$3,tabela_registros[CATEGORIA],despesafixaconsolidadofev[[#This Row],[DESPESA FIXA]])</f>
        <v>0</v>
      </c>
      <c r="S37" s="88">
        <f>SUMIFS(tabela_registros[VALOR],tabela_registros[MÊS],$AE$1,tabela_registros[DIA],fevtotal30[[#Headers],[15]],tabela_registros[REGISTRO],DADOS!$N$4,tabela_registros[TIPO],DADOS!$P$3,tabela_registros[CATEGORIA],despesafixaconsolidadofev[[#This Row],[DESPESA FIXA]])</f>
        <v>0</v>
      </c>
      <c r="T37" s="88">
        <f>SUMIFS(tabela_registros[VALOR],tabela_registros[MÊS],$AE$1,tabela_registros[DIA],fevtotal30[[#Headers],[16]],tabela_registros[REGISTRO],DADOS!$N$4,tabela_registros[TIPO],DADOS!$P$3,tabela_registros[CATEGORIA],despesafixaconsolidadofev[[#This Row],[DESPESA FIXA]])</f>
        <v>0</v>
      </c>
      <c r="U37" s="88">
        <f>SUMIFS(tabela_registros[VALOR],tabela_registros[MÊS],$AE$1,tabela_registros[DIA],fevtotal30[[#Headers],[17]],tabela_registros[REGISTRO],DADOS!$N$4,tabela_registros[TIPO],DADOS!$P$3,tabela_registros[CATEGORIA],despesafixaconsolidadofev[[#This Row],[DESPESA FIXA]])</f>
        <v>0</v>
      </c>
      <c r="V37" s="88">
        <f>SUMIFS(tabela_registros[VALOR],tabela_registros[MÊS],$AE$1,tabela_registros[DIA],fevtotal30[[#Headers],[18]],tabela_registros[REGISTRO],DADOS!$N$4,tabela_registros[TIPO],DADOS!$P$3,tabela_registros[CATEGORIA],despesafixaconsolidadofev[[#This Row],[DESPESA FIXA]])</f>
        <v>0</v>
      </c>
      <c r="W37" s="88">
        <f>SUMIFS(tabela_registros[VALOR],tabela_registros[MÊS],$AE$1,tabela_registros[DIA],fevtotal30[[#Headers],[19]],tabela_registros[REGISTRO],DADOS!$N$4,tabela_registros[TIPO],DADOS!$P$3,tabela_registros[CATEGORIA],despesafixaconsolidadofev[[#This Row],[DESPESA FIXA]])</f>
        <v>0</v>
      </c>
      <c r="X37" s="88">
        <f>SUMIFS(tabela_registros[VALOR],tabela_registros[MÊS],$AE$1,tabela_registros[DIA],fevtotal30[[#Headers],[20]],tabela_registros[REGISTRO],DADOS!$N$4,tabela_registros[TIPO],DADOS!$P$3,tabela_registros[CATEGORIA],despesafixaconsolidadofev[[#This Row],[DESPESA FIXA]])</f>
        <v>0</v>
      </c>
      <c r="Y37" s="88">
        <f>SUMIFS(tabela_registros[VALOR],tabela_registros[MÊS],$AE$1,tabela_registros[DIA],fevtotal30[[#Headers],[21]],tabela_registros[REGISTRO],DADOS!$N$4,tabela_registros[TIPO],DADOS!$P$3,tabela_registros[CATEGORIA],despesafixaconsolidadofev[[#This Row],[DESPESA FIXA]])</f>
        <v>0</v>
      </c>
      <c r="Z37" s="88">
        <f>SUMIFS(tabela_registros[VALOR],tabela_registros[MÊS],$AE$1,tabela_registros[DIA],fevtotal30[[#Headers],[22]],tabela_registros[REGISTRO],DADOS!$N$4,tabela_registros[TIPO],DADOS!$P$3,tabela_registros[CATEGORIA],despesafixaconsolidadofev[[#This Row],[DESPESA FIXA]])</f>
        <v>0</v>
      </c>
      <c r="AA37" s="88">
        <f>SUMIFS(tabela_registros[VALOR],tabela_registros[MÊS],$AE$1,tabela_registros[DIA],fevtotal30[[#Headers],[23]],tabela_registros[REGISTRO],DADOS!$N$4,tabela_registros[TIPO],DADOS!$P$3,tabela_registros[CATEGORIA],despesafixaconsolidadofev[[#This Row],[DESPESA FIXA]])</f>
        <v>0</v>
      </c>
      <c r="AB37" s="88">
        <f>SUMIFS(tabela_registros[VALOR],tabela_registros[MÊS],$AE$1,tabela_registros[DIA],fevtotal30[[#Headers],[24]],tabela_registros[REGISTRO],DADOS!$N$4,tabela_registros[TIPO],DADOS!$P$3,tabela_registros[CATEGORIA],despesafixaconsolidadofev[[#This Row],[DESPESA FIXA]])</f>
        <v>0</v>
      </c>
      <c r="AC37" s="88">
        <f>SUMIFS(tabela_registros[VALOR],tabela_registros[MÊS],$AE$1,tabela_registros[DIA],fevtotal30[[#Headers],[25]],tabela_registros[REGISTRO],DADOS!$N$4,tabela_registros[TIPO],DADOS!$P$3,tabela_registros[CATEGORIA],despesafixaconsolidadofev[[#This Row],[DESPESA FIXA]])</f>
        <v>0</v>
      </c>
      <c r="AD37" s="88">
        <f>SUMIFS(tabela_registros[VALOR],tabela_registros[MÊS],$AE$1,tabela_registros[DIA],fevtotal30[[#Headers],[26]],tabela_registros[REGISTRO],DADOS!$N$4,tabela_registros[TIPO],DADOS!$P$3,tabela_registros[CATEGORIA],despesafixaconsolidadofev[[#This Row],[DESPESA FIXA]])</f>
        <v>0</v>
      </c>
      <c r="AE37" s="88">
        <f>SUMIFS(tabela_registros[VALOR],tabela_registros[MÊS],$AE$1,tabela_registros[DIA],fevtotal30[[#Headers],[27]],tabela_registros[REGISTRO],DADOS!$N$4,tabela_registros[TIPO],DADOS!$P$3,tabela_registros[CATEGORIA],despesafixaconsolidadofev[[#This Row],[DESPESA FIXA]])</f>
        <v>0</v>
      </c>
      <c r="AF37" s="88">
        <f>SUMIFS(tabela_registros[VALOR],tabela_registros[MÊS],$AE$1,tabela_registros[DIA],fevtotal30[[#Headers],[28]],tabela_registros[REGISTRO],DADOS!$N$4,tabela_registros[TIPO],DADOS!$P$3,tabela_registros[CATEGORIA],despesafixaconsolidadofev[[#This Row],[DESPESA FIXA]])</f>
        <v>0</v>
      </c>
      <c r="AG37" s="88">
        <f>SUMIFS(tabela_registros[VALOR],tabela_registros[MÊS],$AE$1,tabela_registros[DIA],fevtotal30[[#Headers],[29]],tabela_registros[REGISTRO],DADOS!$N$4,tabela_registros[TIPO],DADOS!$P$3,tabela_registros[CATEGORIA],despesafixaconsolidadofev[[#This Row],[DESPESA FIXA]])</f>
        <v>0</v>
      </c>
      <c r="AH37" s="88">
        <f>SUMIFS(tabela_registros[VALOR],tabela_registros[MÊS],$AE$1,tabela_registros[DIA],fevtotal30[[#Headers],[30]],tabela_registros[REGISTRO],DADOS!$N$4,tabela_registros[TIPO],DADOS!$P$3,tabela_registros[CATEGORIA],despesafixaconsolidadofev[[#This Row],[DESPESA FIXA]])</f>
        <v>0</v>
      </c>
      <c r="AI37" s="100">
        <f>SUMIFS(tabela_registros[VALOR],tabela_registros[MÊS],$AE$1,tabela_registros[DIA],fevtotal30[[#Headers],[31]],tabela_registros[REGISTRO],DADOS!$N$4,tabela_registros[TIPO],DADOS!$P$3,tabela_registros[CATEGORIA],despesafixaconsolidadofev[[#This Row],[DESPESA FIXA]])</f>
        <v>0</v>
      </c>
      <c r="AJ37" s="95">
        <f>SUM(despesafixaconsolidadofev[[#This Row],[1]:[31]])</f>
        <v>0</v>
      </c>
      <c r="AK37" s="28"/>
    </row>
    <row r="38" spans="2:37" ht="18" customHeight="1" thickTop="1" thickBot="1" x14ac:dyDescent="0.3">
      <c r="B38" s="28"/>
      <c r="C38" s="27" t="str">
        <f>DADOS!$R$4</f>
        <v>🐶 ANIMAIS DE ESTIMAÇÃO</v>
      </c>
      <c r="D38" s="26" t="str">
        <f>IF(despesafixaconsolidadofev[[#This Row],[TOTAL]]=0,"",IF(OR(despesafixaconsolidadofev[[#This Row],[TOTAL]]=LARGE($AJ$37:$AJ$50,1),despesafixaconsolidadofev[[#This Row],[TOTAL]]=LARGE($AJ$37:$AJ$50,2),despesafixaconsolidadofev[[#This Row],[TOTAL]]=LARGE($AJ$37:$AJ$50,3),despesafixaconsolidadofev[[#This Row],[TOTAL]]=LARGE($AJ$37:$AJ$50,4),despesafixaconsolidadofev[[#This Row],[TOTAL]]=LARGE($AJ$37:$AJ$50,5)),DADOS!$I$8,""))</f>
        <v/>
      </c>
      <c r="E38" s="96">
        <f>SUMIFS(tabela_registros[VALOR],tabela_registros[MÊS],$AE$1,tabela_registros[DIA],fevtotal30[[#Headers],[1]],tabela_registros[REGISTRO],DADOS!$N$4,tabela_registros[TIPO],DADOS!$P$3,tabela_registros[CATEGORIA],despesafixaconsolidadofev[[#This Row],[DESPESA FIXA]])</f>
        <v>0</v>
      </c>
      <c r="F38" s="91">
        <f>SUMIFS(tabela_registros[VALOR],tabela_registros[MÊS],$AE$1,tabela_registros[DIA],fevtotal30[[#Headers],[2]],tabela_registros[REGISTRO],DADOS!$N$4,tabela_registros[TIPO],DADOS!$P$3,tabela_registros[CATEGORIA],despesafixaconsolidadofev[[#This Row],[DESPESA FIXA]])</f>
        <v>0</v>
      </c>
      <c r="G38" s="91">
        <f>SUMIFS(tabela_registros[VALOR],tabela_registros[MÊS],$AE$1,tabela_registros[DIA],fevtotal30[[#Headers],[3]],tabela_registros[REGISTRO],DADOS!$N$4,tabela_registros[TIPO],DADOS!$P$3,tabela_registros[CATEGORIA],despesafixaconsolidadofev[[#This Row],[DESPESA FIXA]])</f>
        <v>0</v>
      </c>
      <c r="H38" s="91">
        <f>SUMIFS(tabela_registros[VALOR],tabela_registros[MÊS],$AE$1,tabela_registros[DIA],fevtotal30[[#Headers],[4]],tabela_registros[REGISTRO],DADOS!$N$4,tabela_registros[TIPO],DADOS!$P$3,tabela_registros[CATEGORIA],despesafixaconsolidadofev[[#This Row],[DESPESA FIXA]])</f>
        <v>0</v>
      </c>
      <c r="I38" s="91">
        <f>SUMIFS(tabela_registros[VALOR],tabela_registros[MÊS],$AE$1,tabela_registros[DIA],fevtotal30[[#Headers],[5]],tabela_registros[REGISTRO],DADOS!$N$4,tabela_registros[TIPO],DADOS!$P$3,tabela_registros[CATEGORIA],despesafixaconsolidadofev[[#This Row],[DESPESA FIXA]])</f>
        <v>0</v>
      </c>
      <c r="J38" s="91">
        <f>SUMIFS(tabela_registros[VALOR],tabela_registros[MÊS],$AE$1,tabela_registros[DIA],fevtotal30[[#Headers],[6]],tabela_registros[REGISTRO],DADOS!$N$4,tabela_registros[TIPO],DADOS!$P$3,tabela_registros[CATEGORIA],despesafixaconsolidadofev[[#This Row],[DESPESA FIXA]])</f>
        <v>0</v>
      </c>
      <c r="K38" s="91">
        <f>SUMIFS(tabela_registros[VALOR],tabela_registros[MÊS],$AE$1,tabela_registros[DIA],fevtotal30[[#Headers],[7]],tabela_registros[REGISTRO],DADOS!$N$4,tabela_registros[TIPO],DADOS!$P$3,tabela_registros[CATEGORIA],despesafixaconsolidadofev[[#This Row],[DESPESA FIXA]])</f>
        <v>0</v>
      </c>
      <c r="L38" s="91">
        <f>SUMIFS(tabela_registros[VALOR],tabela_registros[MÊS],$AE$1,tabela_registros[DIA],fevtotal30[[#Headers],[8]],tabela_registros[REGISTRO],DADOS!$N$4,tabela_registros[TIPO],DADOS!$P$3,tabela_registros[CATEGORIA],despesafixaconsolidadofev[[#This Row],[DESPESA FIXA]])</f>
        <v>0</v>
      </c>
      <c r="M38" s="91">
        <f>SUMIFS(tabela_registros[VALOR],tabela_registros[MÊS],$AE$1,tabela_registros[DIA],fevtotal30[[#Headers],[9]],tabela_registros[REGISTRO],DADOS!$N$4,tabela_registros[TIPO],DADOS!$P$3,tabela_registros[CATEGORIA],despesafixaconsolidadofev[[#This Row],[DESPESA FIXA]])</f>
        <v>0</v>
      </c>
      <c r="N38" s="91">
        <f>SUMIFS(tabela_registros[VALOR],tabela_registros[MÊS],$AE$1,tabela_registros[DIA],fevtotal30[[#Headers],[10]],tabela_registros[REGISTRO],DADOS!$N$4,tabela_registros[TIPO],DADOS!$P$3,tabela_registros[CATEGORIA],despesafixaconsolidadofev[[#This Row],[DESPESA FIXA]])</f>
        <v>0</v>
      </c>
      <c r="O38" s="91">
        <f>SUMIFS(tabela_registros[VALOR],tabela_registros[MÊS],$AE$1,tabela_registros[DIA],fevtotal30[[#Headers],[11]],tabela_registros[REGISTRO],DADOS!$N$4,tabela_registros[TIPO],DADOS!$P$3,tabela_registros[CATEGORIA],despesafixaconsolidadofev[[#This Row],[DESPESA FIXA]])</f>
        <v>0</v>
      </c>
      <c r="P38" s="91">
        <f>SUMIFS(tabela_registros[VALOR],tabela_registros[MÊS],$AE$1,tabela_registros[DIA],fevtotal30[[#Headers],[12]],tabela_registros[REGISTRO],DADOS!$N$4,tabela_registros[TIPO],DADOS!$P$3,tabela_registros[CATEGORIA],despesafixaconsolidadofev[[#This Row],[DESPESA FIXA]])</f>
        <v>0</v>
      </c>
      <c r="Q38" s="91">
        <f>SUMIFS(tabela_registros[VALOR],tabela_registros[MÊS],$AE$1,tabela_registros[DIA],fevtotal30[[#Headers],[13]],tabela_registros[REGISTRO],DADOS!$N$4,tabela_registros[TIPO],DADOS!$P$3,tabela_registros[CATEGORIA],despesafixaconsolidadofev[[#This Row],[DESPESA FIXA]])</f>
        <v>0</v>
      </c>
      <c r="R38" s="91">
        <f>SUMIFS(tabela_registros[VALOR],tabela_registros[MÊS],$AE$1,tabela_registros[DIA],fevtotal30[[#Headers],[14]],tabela_registros[REGISTRO],DADOS!$N$4,tabela_registros[TIPO],DADOS!$P$3,tabela_registros[CATEGORIA],despesafixaconsolidadofev[[#This Row],[DESPESA FIXA]])</f>
        <v>0</v>
      </c>
      <c r="S38" s="91">
        <f>SUMIFS(tabela_registros[VALOR],tabela_registros[MÊS],$AE$1,tabela_registros[DIA],fevtotal30[[#Headers],[15]],tabela_registros[REGISTRO],DADOS!$N$4,tabela_registros[TIPO],DADOS!$P$3,tabela_registros[CATEGORIA],despesafixaconsolidadofev[[#This Row],[DESPESA FIXA]])</f>
        <v>0</v>
      </c>
      <c r="T38" s="91">
        <f>SUMIFS(tabela_registros[VALOR],tabela_registros[MÊS],$AE$1,tabela_registros[DIA],fevtotal30[[#Headers],[16]],tabela_registros[REGISTRO],DADOS!$N$4,tabela_registros[TIPO],DADOS!$P$3,tabela_registros[CATEGORIA],despesafixaconsolidadofev[[#This Row],[DESPESA FIXA]])</f>
        <v>0</v>
      </c>
      <c r="U38" s="91">
        <f>SUMIFS(tabela_registros[VALOR],tabela_registros[MÊS],$AE$1,tabela_registros[DIA],fevtotal30[[#Headers],[17]],tabela_registros[REGISTRO],DADOS!$N$4,tabela_registros[TIPO],DADOS!$P$3,tabela_registros[CATEGORIA],despesafixaconsolidadofev[[#This Row],[DESPESA FIXA]])</f>
        <v>0</v>
      </c>
      <c r="V38" s="91">
        <f>SUMIFS(tabela_registros[VALOR],tabela_registros[MÊS],$AE$1,tabela_registros[DIA],fevtotal30[[#Headers],[18]],tabela_registros[REGISTRO],DADOS!$N$4,tabela_registros[TIPO],DADOS!$P$3,tabela_registros[CATEGORIA],despesafixaconsolidadofev[[#This Row],[DESPESA FIXA]])</f>
        <v>0</v>
      </c>
      <c r="W38" s="91">
        <f>SUMIFS(tabela_registros[VALOR],tabela_registros[MÊS],$AE$1,tabela_registros[DIA],fevtotal30[[#Headers],[19]],tabela_registros[REGISTRO],DADOS!$N$4,tabela_registros[TIPO],DADOS!$P$3,tabela_registros[CATEGORIA],despesafixaconsolidadofev[[#This Row],[DESPESA FIXA]])</f>
        <v>0</v>
      </c>
      <c r="X38" s="91">
        <f>SUMIFS(tabela_registros[VALOR],tabela_registros[MÊS],$AE$1,tabela_registros[DIA],fevtotal30[[#Headers],[20]],tabela_registros[REGISTRO],DADOS!$N$4,tabela_registros[TIPO],DADOS!$P$3,tabela_registros[CATEGORIA],despesafixaconsolidadofev[[#This Row],[DESPESA FIXA]])</f>
        <v>0</v>
      </c>
      <c r="Y38" s="91">
        <f>SUMIFS(tabela_registros[VALOR],tabela_registros[MÊS],$AE$1,tabela_registros[DIA],fevtotal30[[#Headers],[21]],tabela_registros[REGISTRO],DADOS!$N$4,tabela_registros[TIPO],DADOS!$P$3,tabela_registros[CATEGORIA],despesafixaconsolidadofev[[#This Row],[DESPESA FIXA]])</f>
        <v>0</v>
      </c>
      <c r="Z38" s="91">
        <f>SUMIFS(tabela_registros[VALOR],tabela_registros[MÊS],$AE$1,tabela_registros[DIA],fevtotal30[[#Headers],[22]],tabela_registros[REGISTRO],DADOS!$N$4,tabela_registros[TIPO],DADOS!$P$3,tabela_registros[CATEGORIA],despesafixaconsolidadofev[[#This Row],[DESPESA FIXA]])</f>
        <v>0</v>
      </c>
      <c r="AA38" s="91">
        <f>SUMIFS(tabela_registros[VALOR],tabela_registros[MÊS],$AE$1,tabela_registros[DIA],fevtotal30[[#Headers],[23]],tabela_registros[REGISTRO],DADOS!$N$4,tabela_registros[TIPO],DADOS!$P$3,tabela_registros[CATEGORIA],despesafixaconsolidadofev[[#This Row],[DESPESA FIXA]])</f>
        <v>0</v>
      </c>
      <c r="AB38" s="91">
        <f>SUMIFS(tabela_registros[VALOR],tabela_registros[MÊS],$AE$1,tabela_registros[DIA],fevtotal30[[#Headers],[24]],tabela_registros[REGISTRO],DADOS!$N$4,tabela_registros[TIPO],DADOS!$P$3,tabela_registros[CATEGORIA],despesafixaconsolidadofev[[#This Row],[DESPESA FIXA]])</f>
        <v>0</v>
      </c>
      <c r="AC38" s="91">
        <f>SUMIFS(tabela_registros[VALOR],tabela_registros[MÊS],$AE$1,tabela_registros[DIA],fevtotal30[[#Headers],[25]],tabela_registros[REGISTRO],DADOS!$N$4,tabela_registros[TIPO],DADOS!$P$3,tabela_registros[CATEGORIA],despesafixaconsolidadofev[[#This Row],[DESPESA FIXA]])</f>
        <v>0</v>
      </c>
      <c r="AD38" s="91">
        <f>SUMIFS(tabela_registros[VALOR],tabela_registros[MÊS],$AE$1,tabela_registros[DIA],fevtotal30[[#Headers],[26]],tabela_registros[REGISTRO],DADOS!$N$4,tabela_registros[TIPO],DADOS!$P$3,tabela_registros[CATEGORIA],despesafixaconsolidadofev[[#This Row],[DESPESA FIXA]])</f>
        <v>0</v>
      </c>
      <c r="AE38" s="91">
        <f>SUMIFS(tabela_registros[VALOR],tabela_registros[MÊS],$AE$1,tabela_registros[DIA],fevtotal30[[#Headers],[27]],tabela_registros[REGISTRO],DADOS!$N$4,tabela_registros[TIPO],DADOS!$P$3,tabela_registros[CATEGORIA],despesafixaconsolidadofev[[#This Row],[DESPESA FIXA]])</f>
        <v>0</v>
      </c>
      <c r="AF38" s="91">
        <f>SUMIFS(tabela_registros[VALOR],tabela_registros[MÊS],$AE$1,tabela_registros[DIA],fevtotal30[[#Headers],[28]],tabela_registros[REGISTRO],DADOS!$N$4,tabela_registros[TIPO],DADOS!$P$3,tabela_registros[CATEGORIA],despesafixaconsolidadofev[[#This Row],[DESPESA FIXA]])</f>
        <v>0</v>
      </c>
      <c r="AG38" s="91">
        <f>SUMIFS(tabela_registros[VALOR],tabela_registros[MÊS],$AE$1,tabela_registros[DIA],fevtotal30[[#Headers],[29]],tabela_registros[REGISTRO],DADOS!$N$4,tabela_registros[TIPO],DADOS!$P$3,tabela_registros[CATEGORIA],despesafixaconsolidadofev[[#This Row],[DESPESA FIXA]])</f>
        <v>0</v>
      </c>
      <c r="AH38" s="91">
        <f>SUMIFS(tabela_registros[VALOR],tabela_registros[MÊS],$AE$1,tabela_registros[DIA],fevtotal30[[#Headers],[30]],tabela_registros[REGISTRO],DADOS!$N$4,tabela_registros[TIPO],DADOS!$P$3,tabela_registros[CATEGORIA],despesafixaconsolidadofev[[#This Row],[DESPESA FIXA]])</f>
        <v>0</v>
      </c>
      <c r="AI38" s="101">
        <f>SUMIFS(tabela_registros[VALOR],tabela_registros[MÊS],$AE$1,tabela_registros[DIA],fevtotal30[[#Headers],[31]],tabela_registros[REGISTRO],DADOS!$N$4,tabela_registros[TIPO],DADOS!$P$3,tabela_registros[CATEGORIA],despesafixaconsolidadofev[[#This Row],[DESPESA FIXA]])</f>
        <v>0</v>
      </c>
      <c r="AJ38" s="97">
        <f>SUM(despesafixaconsolidadofev[[#This Row],[1]:[31]])</f>
        <v>0</v>
      </c>
      <c r="AK38" s="28"/>
    </row>
    <row r="39" spans="2:37" ht="18" customHeight="1" thickTop="1" thickBot="1" x14ac:dyDescent="0.3">
      <c r="B39" s="28"/>
      <c r="C39" s="27" t="str">
        <f>DADOS!$R$5</f>
        <v>🔖 ASSINATURAS E SERVIÇOS</v>
      </c>
      <c r="D39" s="26" t="str">
        <f>IF(despesafixaconsolidadofev[[#This Row],[TOTAL]]=0,"",IF(OR(despesafixaconsolidadofev[[#This Row],[TOTAL]]=LARGE($AJ$37:$AJ$50,1),despesafixaconsolidadofev[[#This Row],[TOTAL]]=LARGE($AJ$37:$AJ$50,2),despesafixaconsolidadofev[[#This Row],[TOTAL]]=LARGE($AJ$37:$AJ$50,3),despesafixaconsolidadofev[[#This Row],[TOTAL]]=LARGE($AJ$37:$AJ$50,4),despesafixaconsolidadofev[[#This Row],[TOTAL]]=LARGE($AJ$37:$AJ$50,5)),DADOS!$I$8,""))</f>
        <v/>
      </c>
      <c r="E39" s="96">
        <f>SUMIFS(tabela_registros[VALOR],tabela_registros[MÊS],$AE$1,tabela_registros[DIA],fevtotal30[[#Headers],[1]],tabela_registros[REGISTRO],DADOS!$N$4,tabela_registros[TIPO],DADOS!$P$3,tabela_registros[CATEGORIA],despesafixaconsolidadofev[[#This Row],[DESPESA FIXA]])</f>
        <v>0</v>
      </c>
      <c r="F39" s="91">
        <f>SUMIFS(tabela_registros[VALOR],tabela_registros[MÊS],$AE$1,tabela_registros[DIA],fevtotal30[[#Headers],[2]],tabela_registros[REGISTRO],DADOS!$N$4,tabela_registros[TIPO],DADOS!$P$3,tabela_registros[CATEGORIA],despesafixaconsolidadofev[[#This Row],[DESPESA FIXA]])</f>
        <v>0</v>
      </c>
      <c r="G39" s="91">
        <f>SUMIFS(tabela_registros[VALOR],tabela_registros[MÊS],$AE$1,tabela_registros[DIA],fevtotal30[[#Headers],[3]],tabela_registros[REGISTRO],DADOS!$N$4,tabela_registros[TIPO],DADOS!$P$3,tabela_registros[CATEGORIA],despesafixaconsolidadofev[[#This Row],[DESPESA FIXA]])</f>
        <v>0</v>
      </c>
      <c r="H39" s="91">
        <f>SUMIFS(tabela_registros[VALOR],tabela_registros[MÊS],$AE$1,tabela_registros[DIA],fevtotal30[[#Headers],[4]],tabela_registros[REGISTRO],DADOS!$N$4,tabela_registros[TIPO],DADOS!$P$3,tabela_registros[CATEGORIA],despesafixaconsolidadofev[[#This Row],[DESPESA FIXA]])</f>
        <v>0</v>
      </c>
      <c r="I39" s="91">
        <f>SUMIFS(tabela_registros[VALOR],tabela_registros[MÊS],$AE$1,tabela_registros[DIA],fevtotal30[[#Headers],[5]],tabela_registros[REGISTRO],DADOS!$N$4,tabela_registros[TIPO],DADOS!$P$3,tabela_registros[CATEGORIA],despesafixaconsolidadofev[[#This Row],[DESPESA FIXA]])</f>
        <v>0</v>
      </c>
      <c r="J39" s="91">
        <f>SUMIFS(tabela_registros[VALOR],tabela_registros[MÊS],$AE$1,tabela_registros[DIA],fevtotal30[[#Headers],[6]],tabela_registros[REGISTRO],DADOS!$N$4,tabela_registros[TIPO],DADOS!$P$3,tabela_registros[CATEGORIA],despesafixaconsolidadofev[[#This Row],[DESPESA FIXA]])</f>
        <v>0</v>
      </c>
      <c r="K39" s="91">
        <f>SUMIFS(tabela_registros[VALOR],tabela_registros[MÊS],$AE$1,tabela_registros[DIA],fevtotal30[[#Headers],[7]],tabela_registros[REGISTRO],DADOS!$N$4,tabela_registros[TIPO],DADOS!$P$3,tabela_registros[CATEGORIA],despesafixaconsolidadofev[[#This Row],[DESPESA FIXA]])</f>
        <v>0</v>
      </c>
      <c r="L39" s="91">
        <f>SUMIFS(tabela_registros[VALOR],tabela_registros[MÊS],$AE$1,tabela_registros[DIA],fevtotal30[[#Headers],[8]],tabela_registros[REGISTRO],DADOS!$N$4,tabela_registros[TIPO],DADOS!$P$3,tabela_registros[CATEGORIA],despesafixaconsolidadofev[[#This Row],[DESPESA FIXA]])</f>
        <v>0</v>
      </c>
      <c r="M39" s="91">
        <f>SUMIFS(tabela_registros[VALOR],tabela_registros[MÊS],$AE$1,tabela_registros[DIA],fevtotal30[[#Headers],[9]],tabela_registros[REGISTRO],DADOS!$N$4,tabela_registros[TIPO],DADOS!$P$3,tabela_registros[CATEGORIA],despesafixaconsolidadofev[[#This Row],[DESPESA FIXA]])</f>
        <v>0</v>
      </c>
      <c r="N39" s="91">
        <f>SUMIFS(tabela_registros[VALOR],tabela_registros[MÊS],$AE$1,tabela_registros[DIA],fevtotal30[[#Headers],[10]],tabela_registros[REGISTRO],DADOS!$N$4,tabela_registros[TIPO],DADOS!$P$3,tabela_registros[CATEGORIA],despesafixaconsolidadofev[[#This Row],[DESPESA FIXA]])</f>
        <v>0</v>
      </c>
      <c r="O39" s="91">
        <f>SUMIFS(tabela_registros[VALOR],tabela_registros[MÊS],$AE$1,tabela_registros[DIA],fevtotal30[[#Headers],[11]],tabela_registros[REGISTRO],DADOS!$N$4,tabela_registros[TIPO],DADOS!$P$3,tabela_registros[CATEGORIA],despesafixaconsolidadofev[[#This Row],[DESPESA FIXA]])</f>
        <v>0</v>
      </c>
      <c r="P39" s="91">
        <f>SUMIFS(tabela_registros[VALOR],tabela_registros[MÊS],$AE$1,tabela_registros[DIA],fevtotal30[[#Headers],[12]],tabela_registros[REGISTRO],DADOS!$N$4,tabela_registros[TIPO],DADOS!$P$3,tabela_registros[CATEGORIA],despesafixaconsolidadofev[[#This Row],[DESPESA FIXA]])</f>
        <v>0</v>
      </c>
      <c r="Q39" s="91">
        <f>SUMIFS(tabela_registros[VALOR],tabela_registros[MÊS],$AE$1,tabela_registros[DIA],fevtotal30[[#Headers],[13]],tabela_registros[REGISTRO],DADOS!$N$4,tabela_registros[TIPO],DADOS!$P$3,tabela_registros[CATEGORIA],despesafixaconsolidadofev[[#This Row],[DESPESA FIXA]])</f>
        <v>0</v>
      </c>
      <c r="R39" s="91">
        <f>SUMIFS(tabela_registros[VALOR],tabela_registros[MÊS],$AE$1,tabela_registros[DIA],fevtotal30[[#Headers],[14]],tabela_registros[REGISTRO],DADOS!$N$4,tabela_registros[TIPO],DADOS!$P$3,tabela_registros[CATEGORIA],despesafixaconsolidadofev[[#This Row],[DESPESA FIXA]])</f>
        <v>0</v>
      </c>
      <c r="S39" s="91">
        <f>SUMIFS(tabela_registros[VALOR],tabela_registros[MÊS],$AE$1,tabela_registros[DIA],fevtotal30[[#Headers],[15]],tabela_registros[REGISTRO],DADOS!$N$4,tabela_registros[TIPO],DADOS!$P$3,tabela_registros[CATEGORIA],despesafixaconsolidadofev[[#This Row],[DESPESA FIXA]])</f>
        <v>0</v>
      </c>
      <c r="T39" s="91">
        <f>SUMIFS(tabela_registros[VALOR],tabela_registros[MÊS],$AE$1,tabela_registros[DIA],fevtotal30[[#Headers],[16]],tabela_registros[REGISTRO],DADOS!$N$4,tabela_registros[TIPO],DADOS!$P$3,tabela_registros[CATEGORIA],despesafixaconsolidadofev[[#This Row],[DESPESA FIXA]])</f>
        <v>0</v>
      </c>
      <c r="U39" s="91">
        <f>SUMIFS(tabela_registros[VALOR],tabela_registros[MÊS],$AE$1,tabela_registros[DIA],fevtotal30[[#Headers],[17]],tabela_registros[REGISTRO],DADOS!$N$4,tabela_registros[TIPO],DADOS!$P$3,tabela_registros[CATEGORIA],despesafixaconsolidadofev[[#This Row],[DESPESA FIXA]])</f>
        <v>0</v>
      </c>
      <c r="V39" s="91">
        <f>SUMIFS(tabela_registros[VALOR],tabela_registros[MÊS],$AE$1,tabela_registros[DIA],fevtotal30[[#Headers],[18]],tabela_registros[REGISTRO],DADOS!$N$4,tabela_registros[TIPO],DADOS!$P$3,tabela_registros[CATEGORIA],despesafixaconsolidadofev[[#This Row],[DESPESA FIXA]])</f>
        <v>0</v>
      </c>
      <c r="W39" s="91">
        <f>SUMIFS(tabela_registros[VALOR],tabela_registros[MÊS],$AE$1,tabela_registros[DIA],fevtotal30[[#Headers],[19]],tabela_registros[REGISTRO],DADOS!$N$4,tabela_registros[TIPO],DADOS!$P$3,tabela_registros[CATEGORIA],despesafixaconsolidadofev[[#This Row],[DESPESA FIXA]])</f>
        <v>0</v>
      </c>
      <c r="X39" s="91">
        <f>SUMIFS(tabela_registros[VALOR],tabela_registros[MÊS],$AE$1,tabela_registros[DIA],fevtotal30[[#Headers],[20]],tabela_registros[REGISTRO],DADOS!$N$4,tabela_registros[TIPO],DADOS!$P$3,tabela_registros[CATEGORIA],despesafixaconsolidadofev[[#This Row],[DESPESA FIXA]])</f>
        <v>0</v>
      </c>
      <c r="Y39" s="91">
        <f>SUMIFS(tabela_registros[VALOR],tabela_registros[MÊS],$AE$1,tabela_registros[DIA],fevtotal30[[#Headers],[21]],tabela_registros[REGISTRO],DADOS!$N$4,tabela_registros[TIPO],DADOS!$P$3,tabela_registros[CATEGORIA],despesafixaconsolidadofev[[#This Row],[DESPESA FIXA]])</f>
        <v>0</v>
      </c>
      <c r="Z39" s="91">
        <f>SUMIFS(tabela_registros[VALOR],tabela_registros[MÊS],$AE$1,tabela_registros[DIA],fevtotal30[[#Headers],[22]],tabela_registros[REGISTRO],DADOS!$N$4,tabela_registros[TIPO],DADOS!$P$3,tabela_registros[CATEGORIA],despesafixaconsolidadofev[[#This Row],[DESPESA FIXA]])</f>
        <v>0</v>
      </c>
      <c r="AA39" s="91">
        <f>SUMIFS(tabela_registros[VALOR],tabela_registros[MÊS],$AE$1,tabela_registros[DIA],fevtotal30[[#Headers],[23]],tabela_registros[REGISTRO],DADOS!$N$4,tabela_registros[TIPO],DADOS!$P$3,tabela_registros[CATEGORIA],despesafixaconsolidadofev[[#This Row],[DESPESA FIXA]])</f>
        <v>0</v>
      </c>
      <c r="AB39" s="91">
        <f>SUMIFS(tabela_registros[VALOR],tabela_registros[MÊS],$AE$1,tabela_registros[DIA],fevtotal30[[#Headers],[24]],tabela_registros[REGISTRO],DADOS!$N$4,tabela_registros[TIPO],DADOS!$P$3,tabela_registros[CATEGORIA],despesafixaconsolidadofev[[#This Row],[DESPESA FIXA]])</f>
        <v>0</v>
      </c>
      <c r="AC39" s="91">
        <f>SUMIFS(tabela_registros[VALOR],tabela_registros[MÊS],$AE$1,tabela_registros[DIA],fevtotal30[[#Headers],[25]],tabela_registros[REGISTRO],DADOS!$N$4,tabela_registros[TIPO],DADOS!$P$3,tabela_registros[CATEGORIA],despesafixaconsolidadofev[[#This Row],[DESPESA FIXA]])</f>
        <v>0</v>
      </c>
      <c r="AD39" s="91">
        <f>SUMIFS(tabela_registros[VALOR],tabela_registros[MÊS],$AE$1,tabela_registros[DIA],fevtotal30[[#Headers],[26]],tabela_registros[REGISTRO],DADOS!$N$4,tabela_registros[TIPO],DADOS!$P$3,tabela_registros[CATEGORIA],despesafixaconsolidadofev[[#This Row],[DESPESA FIXA]])</f>
        <v>0</v>
      </c>
      <c r="AE39" s="91">
        <f>SUMIFS(tabela_registros[VALOR],tabela_registros[MÊS],$AE$1,tabela_registros[DIA],fevtotal30[[#Headers],[27]],tabela_registros[REGISTRO],DADOS!$N$4,tabela_registros[TIPO],DADOS!$P$3,tabela_registros[CATEGORIA],despesafixaconsolidadofev[[#This Row],[DESPESA FIXA]])</f>
        <v>0</v>
      </c>
      <c r="AF39" s="91">
        <f>SUMIFS(tabela_registros[VALOR],tabela_registros[MÊS],$AE$1,tabela_registros[DIA],fevtotal30[[#Headers],[28]],tabela_registros[REGISTRO],DADOS!$N$4,tabela_registros[TIPO],DADOS!$P$3,tabela_registros[CATEGORIA],despesafixaconsolidadofev[[#This Row],[DESPESA FIXA]])</f>
        <v>0</v>
      </c>
      <c r="AG39" s="91">
        <f>SUMIFS(tabela_registros[VALOR],tabela_registros[MÊS],$AE$1,tabela_registros[DIA],fevtotal30[[#Headers],[29]],tabela_registros[REGISTRO],DADOS!$N$4,tabela_registros[TIPO],DADOS!$P$3,tabela_registros[CATEGORIA],despesafixaconsolidadofev[[#This Row],[DESPESA FIXA]])</f>
        <v>0</v>
      </c>
      <c r="AH39" s="91">
        <f>SUMIFS(tabela_registros[VALOR],tabela_registros[MÊS],$AE$1,tabela_registros[DIA],fevtotal30[[#Headers],[30]],tabela_registros[REGISTRO],DADOS!$N$4,tabela_registros[TIPO],DADOS!$P$3,tabela_registros[CATEGORIA],despesafixaconsolidadofev[[#This Row],[DESPESA FIXA]])</f>
        <v>0</v>
      </c>
      <c r="AI39" s="101">
        <f>SUMIFS(tabela_registros[VALOR],tabela_registros[MÊS],$AE$1,tabela_registros[DIA],fevtotal30[[#Headers],[31]],tabela_registros[REGISTRO],DADOS!$N$4,tabela_registros[TIPO],DADOS!$P$3,tabela_registros[CATEGORIA],despesafixaconsolidadofev[[#This Row],[DESPESA FIXA]])</f>
        <v>0</v>
      </c>
      <c r="AJ39" s="97">
        <f>SUM(despesafixaconsolidadofev[[#This Row],[1]:[31]])</f>
        <v>0</v>
      </c>
      <c r="AK39" s="28"/>
    </row>
    <row r="40" spans="2:37" ht="18" customHeight="1" thickTop="1" thickBot="1" x14ac:dyDescent="0.3">
      <c r="B40" s="28"/>
      <c r="C40" s="27" t="str">
        <f>DADOS!$R$6</f>
        <v>📱 CELULAR</v>
      </c>
      <c r="D40" s="26" t="str">
        <f>IF(despesafixaconsolidadofev[[#This Row],[TOTAL]]=0,"",IF(OR(despesafixaconsolidadofev[[#This Row],[TOTAL]]=LARGE($AJ$37:$AJ$50,1),despesafixaconsolidadofev[[#This Row],[TOTAL]]=LARGE($AJ$37:$AJ$50,2),despesafixaconsolidadofev[[#This Row],[TOTAL]]=LARGE($AJ$37:$AJ$50,3),despesafixaconsolidadofev[[#This Row],[TOTAL]]=LARGE($AJ$37:$AJ$50,4),despesafixaconsolidadofev[[#This Row],[TOTAL]]=LARGE($AJ$37:$AJ$50,5)),DADOS!$I$8,""))</f>
        <v/>
      </c>
      <c r="E40" s="96">
        <f>SUMIFS(tabela_registros[VALOR],tabela_registros[MÊS],$AE$1,tabela_registros[DIA],fevtotal30[[#Headers],[1]],tabela_registros[REGISTRO],DADOS!$N$4,tabela_registros[TIPO],DADOS!$P$3,tabela_registros[CATEGORIA],despesafixaconsolidadofev[[#This Row],[DESPESA FIXA]])</f>
        <v>0</v>
      </c>
      <c r="F40" s="91">
        <f>SUMIFS(tabela_registros[VALOR],tabela_registros[MÊS],$AE$1,tabela_registros[DIA],fevtotal30[[#Headers],[2]],tabela_registros[REGISTRO],DADOS!$N$4,tabela_registros[TIPO],DADOS!$P$3,tabela_registros[CATEGORIA],despesafixaconsolidadofev[[#This Row],[DESPESA FIXA]])</f>
        <v>0</v>
      </c>
      <c r="G40" s="91">
        <f>SUMIFS(tabela_registros[VALOR],tabela_registros[MÊS],$AE$1,tabela_registros[DIA],fevtotal30[[#Headers],[3]],tabela_registros[REGISTRO],DADOS!$N$4,tabela_registros[TIPO],DADOS!$P$3,tabela_registros[CATEGORIA],despesafixaconsolidadofev[[#This Row],[DESPESA FIXA]])</f>
        <v>0</v>
      </c>
      <c r="H40" s="91">
        <f>SUMIFS(tabela_registros[VALOR],tabela_registros[MÊS],$AE$1,tabela_registros[DIA],fevtotal30[[#Headers],[4]],tabela_registros[REGISTRO],DADOS!$N$4,tabela_registros[TIPO],DADOS!$P$3,tabela_registros[CATEGORIA],despesafixaconsolidadofev[[#This Row],[DESPESA FIXA]])</f>
        <v>0</v>
      </c>
      <c r="I40" s="91">
        <f>SUMIFS(tabela_registros[VALOR],tabela_registros[MÊS],$AE$1,tabela_registros[DIA],fevtotal30[[#Headers],[5]],tabela_registros[REGISTRO],DADOS!$N$4,tabela_registros[TIPO],DADOS!$P$3,tabela_registros[CATEGORIA],despesafixaconsolidadofev[[#This Row],[DESPESA FIXA]])</f>
        <v>0</v>
      </c>
      <c r="J40" s="91">
        <f>SUMIFS(tabela_registros[VALOR],tabela_registros[MÊS],$AE$1,tabela_registros[DIA],fevtotal30[[#Headers],[6]],tabela_registros[REGISTRO],DADOS!$N$4,tabela_registros[TIPO],DADOS!$P$3,tabela_registros[CATEGORIA],despesafixaconsolidadofev[[#This Row],[DESPESA FIXA]])</f>
        <v>0</v>
      </c>
      <c r="K40" s="91">
        <f>SUMIFS(tabela_registros[VALOR],tabela_registros[MÊS],$AE$1,tabela_registros[DIA],fevtotal30[[#Headers],[7]],tabela_registros[REGISTRO],DADOS!$N$4,tabela_registros[TIPO],DADOS!$P$3,tabela_registros[CATEGORIA],despesafixaconsolidadofev[[#This Row],[DESPESA FIXA]])</f>
        <v>0</v>
      </c>
      <c r="L40" s="91">
        <f>SUMIFS(tabela_registros[VALOR],tabela_registros[MÊS],$AE$1,tabela_registros[DIA],fevtotal30[[#Headers],[8]],tabela_registros[REGISTRO],DADOS!$N$4,tabela_registros[TIPO],DADOS!$P$3,tabela_registros[CATEGORIA],despesafixaconsolidadofev[[#This Row],[DESPESA FIXA]])</f>
        <v>0</v>
      </c>
      <c r="M40" s="91">
        <f>SUMIFS(tabela_registros[VALOR],tabela_registros[MÊS],$AE$1,tabela_registros[DIA],fevtotal30[[#Headers],[9]],tabela_registros[REGISTRO],DADOS!$N$4,tabela_registros[TIPO],DADOS!$P$3,tabela_registros[CATEGORIA],despesafixaconsolidadofev[[#This Row],[DESPESA FIXA]])</f>
        <v>0</v>
      </c>
      <c r="N40" s="91">
        <f>SUMIFS(tabela_registros[VALOR],tabela_registros[MÊS],$AE$1,tabela_registros[DIA],fevtotal30[[#Headers],[10]],tabela_registros[REGISTRO],DADOS!$N$4,tabela_registros[TIPO],DADOS!$P$3,tabela_registros[CATEGORIA],despesafixaconsolidadofev[[#This Row],[DESPESA FIXA]])</f>
        <v>0</v>
      </c>
      <c r="O40" s="91">
        <f>SUMIFS(tabela_registros[VALOR],tabela_registros[MÊS],$AE$1,tabela_registros[DIA],fevtotal30[[#Headers],[11]],tabela_registros[REGISTRO],DADOS!$N$4,tabela_registros[TIPO],DADOS!$P$3,tabela_registros[CATEGORIA],despesafixaconsolidadofev[[#This Row],[DESPESA FIXA]])</f>
        <v>0</v>
      </c>
      <c r="P40" s="91">
        <f>SUMIFS(tabela_registros[VALOR],tabela_registros[MÊS],$AE$1,tabela_registros[DIA],fevtotal30[[#Headers],[12]],tabela_registros[REGISTRO],DADOS!$N$4,tabela_registros[TIPO],DADOS!$P$3,tabela_registros[CATEGORIA],despesafixaconsolidadofev[[#This Row],[DESPESA FIXA]])</f>
        <v>0</v>
      </c>
      <c r="Q40" s="91">
        <f>SUMIFS(tabela_registros[VALOR],tabela_registros[MÊS],$AE$1,tabela_registros[DIA],fevtotal30[[#Headers],[13]],tabela_registros[REGISTRO],DADOS!$N$4,tabela_registros[TIPO],DADOS!$P$3,tabela_registros[CATEGORIA],despesafixaconsolidadofev[[#This Row],[DESPESA FIXA]])</f>
        <v>0</v>
      </c>
      <c r="R40" s="91">
        <f>SUMIFS(tabela_registros[VALOR],tabela_registros[MÊS],$AE$1,tabela_registros[DIA],fevtotal30[[#Headers],[14]],tabela_registros[REGISTRO],DADOS!$N$4,tabela_registros[TIPO],DADOS!$P$3,tabela_registros[CATEGORIA],despesafixaconsolidadofev[[#This Row],[DESPESA FIXA]])</f>
        <v>0</v>
      </c>
      <c r="S40" s="91">
        <f>SUMIFS(tabela_registros[VALOR],tabela_registros[MÊS],$AE$1,tabela_registros[DIA],fevtotal30[[#Headers],[15]],tabela_registros[REGISTRO],DADOS!$N$4,tabela_registros[TIPO],DADOS!$P$3,tabela_registros[CATEGORIA],despesafixaconsolidadofev[[#This Row],[DESPESA FIXA]])</f>
        <v>0</v>
      </c>
      <c r="T40" s="91">
        <f>SUMIFS(tabela_registros[VALOR],tabela_registros[MÊS],$AE$1,tabela_registros[DIA],fevtotal30[[#Headers],[16]],tabela_registros[REGISTRO],DADOS!$N$4,tabela_registros[TIPO],DADOS!$P$3,tabela_registros[CATEGORIA],despesafixaconsolidadofev[[#This Row],[DESPESA FIXA]])</f>
        <v>0</v>
      </c>
      <c r="U40" s="91">
        <f>SUMIFS(tabela_registros[VALOR],tabela_registros[MÊS],$AE$1,tabela_registros[DIA],fevtotal30[[#Headers],[17]],tabela_registros[REGISTRO],DADOS!$N$4,tabela_registros[TIPO],DADOS!$P$3,tabela_registros[CATEGORIA],despesafixaconsolidadofev[[#This Row],[DESPESA FIXA]])</f>
        <v>0</v>
      </c>
      <c r="V40" s="91">
        <f>SUMIFS(tabela_registros[VALOR],tabela_registros[MÊS],$AE$1,tabela_registros[DIA],fevtotal30[[#Headers],[18]],tabela_registros[REGISTRO],DADOS!$N$4,tabela_registros[TIPO],DADOS!$P$3,tabela_registros[CATEGORIA],despesafixaconsolidadofev[[#This Row],[DESPESA FIXA]])</f>
        <v>0</v>
      </c>
      <c r="W40" s="91">
        <f>SUMIFS(tabela_registros[VALOR],tabela_registros[MÊS],$AE$1,tabela_registros[DIA],fevtotal30[[#Headers],[19]],tabela_registros[REGISTRO],DADOS!$N$4,tabela_registros[TIPO],DADOS!$P$3,tabela_registros[CATEGORIA],despesafixaconsolidadofev[[#This Row],[DESPESA FIXA]])</f>
        <v>0</v>
      </c>
      <c r="X40" s="91">
        <f>SUMIFS(tabela_registros[VALOR],tabela_registros[MÊS],$AE$1,tabela_registros[DIA],fevtotal30[[#Headers],[20]],tabela_registros[REGISTRO],DADOS!$N$4,tabela_registros[TIPO],DADOS!$P$3,tabela_registros[CATEGORIA],despesafixaconsolidadofev[[#This Row],[DESPESA FIXA]])</f>
        <v>0</v>
      </c>
      <c r="Y40" s="91">
        <f>SUMIFS(tabela_registros[VALOR],tabela_registros[MÊS],$AE$1,tabela_registros[DIA],fevtotal30[[#Headers],[21]],tabela_registros[REGISTRO],DADOS!$N$4,tabela_registros[TIPO],DADOS!$P$3,tabela_registros[CATEGORIA],despesafixaconsolidadofev[[#This Row],[DESPESA FIXA]])</f>
        <v>0</v>
      </c>
      <c r="Z40" s="91">
        <f>SUMIFS(tabela_registros[VALOR],tabela_registros[MÊS],$AE$1,tabela_registros[DIA],fevtotal30[[#Headers],[22]],tabela_registros[REGISTRO],DADOS!$N$4,tabela_registros[TIPO],DADOS!$P$3,tabela_registros[CATEGORIA],despesafixaconsolidadofev[[#This Row],[DESPESA FIXA]])</f>
        <v>0</v>
      </c>
      <c r="AA40" s="91">
        <f>SUMIFS(tabela_registros[VALOR],tabela_registros[MÊS],$AE$1,tabela_registros[DIA],fevtotal30[[#Headers],[23]],tabela_registros[REGISTRO],DADOS!$N$4,tabela_registros[TIPO],DADOS!$P$3,tabela_registros[CATEGORIA],despesafixaconsolidadofev[[#This Row],[DESPESA FIXA]])</f>
        <v>0</v>
      </c>
      <c r="AB40" s="91">
        <f>SUMIFS(tabela_registros[VALOR],tabela_registros[MÊS],$AE$1,tabela_registros[DIA],fevtotal30[[#Headers],[24]],tabela_registros[REGISTRO],DADOS!$N$4,tabela_registros[TIPO],DADOS!$P$3,tabela_registros[CATEGORIA],despesafixaconsolidadofev[[#This Row],[DESPESA FIXA]])</f>
        <v>0</v>
      </c>
      <c r="AC40" s="91">
        <f>SUMIFS(tabela_registros[VALOR],tabela_registros[MÊS],$AE$1,tabela_registros[DIA],fevtotal30[[#Headers],[25]],tabela_registros[REGISTRO],DADOS!$N$4,tabela_registros[TIPO],DADOS!$P$3,tabela_registros[CATEGORIA],despesafixaconsolidadofev[[#This Row],[DESPESA FIXA]])</f>
        <v>0</v>
      </c>
      <c r="AD40" s="91">
        <f>SUMIFS(tabela_registros[VALOR],tabela_registros[MÊS],$AE$1,tabela_registros[DIA],fevtotal30[[#Headers],[26]],tabela_registros[REGISTRO],DADOS!$N$4,tabela_registros[TIPO],DADOS!$P$3,tabela_registros[CATEGORIA],despesafixaconsolidadofev[[#This Row],[DESPESA FIXA]])</f>
        <v>0</v>
      </c>
      <c r="AE40" s="91">
        <f>SUMIFS(tabela_registros[VALOR],tabela_registros[MÊS],$AE$1,tabela_registros[DIA],fevtotal30[[#Headers],[27]],tabela_registros[REGISTRO],DADOS!$N$4,tabela_registros[TIPO],DADOS!$P$3,tabela_registros[CATEGORIA],despesafixaconsolidadofev[[#This Row],[DESPESA FIXA]])</f>
        <v>0</v>
      </c>
      <c r="AF40" s="91">
        <f>SUMIFS(tabela_registros[VALOR],tabela_registros[MÊS],$AE$1,tabela_registros[DIA],fevtotal30[[#Headers],[28]],tabela_registros[REGISTRO],DADOS!$N$4,tabela_registros[TIPO],DADOS!$P$3,tabela_registros[CATEGORIA],despesafixaconsolidadofev[[#This Row],[DESPESA FIXA]])</f>
        <v>0</v>
      </c>
      <c r="AG40" s="91">
        <f>SUMIFS(tabela_registros[VALOR],tabela_registros[MÊS],$AE$1,tabela_registros[DIA],fevtotal30[[#Headers],[29]],tabela_registros[REGISTRO],DADOS!$N$4,tabela_registros[TIPO],DADOS!$P$3,tabela_registros[CATEGORIA],despesafixaconsolidadofev[[#This Row],[DESPESA FIXA]])</f>
        <v>0</v>
      </c>
      <c r="AH40" s="91">
        <f>SUMIFS(tabela_registros[VALOR],tabela_registros[MÊS],$AE$1,tabela_registros[DIA],fevtotal30[[#Headers],[30]],tabela_registros[REGISTRO],DADOS!$N$4,tabela_registros[TIPO],DADOS!$P$3,tabela_registros[CATEGORIA],despesafixaconsolidadofev[[#This Row],[DESPESA FIXA]])</f>
        <v>0</v>
      </c>
      <c r="AI40" s="101">
        <f>SUMIFS(tabela_registros[VALOR],tabela_registros[MÊS],$AE$1,tabela_registros[DIA],fevtotal30[[#Headers],[31]],tabela_registros[REGISTRO],DADOS!$N$4,tabela_registros[TIPO],DADOS!$P$3,tabela_registros[CATEGORIA],despesafixaconsolidadofev[[#This Row],[DESPESA FIXA]])</f>
        <v>0</v>
      </c>
      <c r="AJ40" s="97">
        <f>SUM(despesafixaconsolidadofev[[#This Row],[1]:[31]])</f>
        <v>0</v>
      </c>
      <c r="AK40" s="28"/>
    </row>
    <row r="41" spans="2:37" ht="18" customHeight="1" thickTop="1" thickBot="1" x14ac:dyDescent="0.3">
      <c r="B41" s="28"/>
      <c r="C41" s="27" t="str">
        <f>DADOS!$R$7</f>
        <v>📖 EDUCAÇÃO</v>
      </c>
      <c r="D41" s="26" t="str">
        <f>IF(despesafixaconsolidadofev[[#This Row],[TOTAL]]=0,"",IF(OR(despesafixaconsolidadofev[[#This Row],[TOTAL]]=LARGE($AJ$37:$AJ$50,1),despesafixaconsolidadofev[[#This Row],[TOTAL]]=LARGE($AJ$37:$AJ$50,2),despesafixaconsolidadofev[[#This Row],[TOTAL]]=LARGE($AJ$37:$AJ$50,3),despesafixaconsolidadofev[[#This Row],[TOTAL]]=LARGE($AJ$37:$AJ$50,4),despesafixaconsolidadofev[[#This Row],[TOTAL]]=LARGE($AJ$37:$AJ$50,5)),DADOS!$I$8,""))</f>
        <v/>
      </c>
      <c r="E41" s="96">
        <f>SUMIFS(tabela_registros[VALOR],tabela_registros[MÊS],$AE$1,tabela_registros[DIA],fevtotal30[[#Headers],[1]],tabela_registros[REGISTRO],DADOS!$N$4,tabela_registros[TIPO],DADOS!$P$3,tabela_registros[CATEGORIA],despesafixaconsolidadofev[[#This Row],[DESPESA FIXA]])</f>
        <v>0</v>
      </c>
      <c r="F41" s="91">
        <f>SUMIFS(tabela_registros[VALOR],tabela_registros[MÊS],$AE$1,tabela_registros[DIA],fevtotal30[[#Headers],[2]],tabela_registros[REGISTRO],DADOS!$N$4,tabela_registros[TIPO],DADOS!$P$3,tabela_registros[CATEGORIA],despesafixaconsolidadofev[[#This Row],[DESPESA FIXA]])</f>
        <v>0</v>
      </c>
      <c r="G41" s="91">
        <f>SUMIFS(tabela_registros[VALOR],tabela_registros[MÊS],$AE$1,tabela_registros[DIA],fevtotal30[[#Headers],[3]],tabela_registros[REGISTRO],DADOS!$N$4,tabela_registros[TIPO],DADOS!$P$3,tabela_registros[CATEGORIA],despesafixaconsolidadofev[[#This Row],[DESPESA FIXA]])</f>
        <v>0</v>
      </c>
      <c r="H41" s="91">
        <f>SUMIFS(tabela_registros[VALOR],tabela_registros[MÊS],$AE$1,tabela_registros[DIA],fevtotal30[[#Headers],[4]],tabela_registros[REGISTRO],DADOS!$N$4,tabela_registros[TIPO],DADOS!$P$3,tabela_registros[CATEGORIA],despesafixaconsolidadofev[[#This Row],[DESPESA FIXA]])</f>
        <v>0</v>
      </c>
      <c r="I41" s="91">
        <f>SUMIFS(tabela_registros[VALOR],tabela_registros[MÊS],$AE$1,tabela_registros[DIA],fevtotal30[[#Headers],[5]],tabela_registros[REGISTRO],DADOS!$N$4,tabela_registros[TIPO],DADOS!$P$3,tabela_registros[CATEGORIA],despesafixaconsolidadofev[[#This Row],[DESPESA FIXA]])</f>
        <v>0</v>
      </c>
      <c r="J41" s="91">
        <f>SUMIFS(tabela_registros[VALOR],tabela_registros[MÊS],$AE$1,tabela_registros[DIA],fevtotal30[[#Headers],[6]],tabela_registros[REGISTRO],DADOS!$N$4,tabela_registros[TIPO],DADOS!$P$3,tabela_registros[CATEGORIA],despesafixaconsolidadofev[[#This Row],[DESPESA FIXA]])</f>
        <v>0</v>
      </c>
      <c r="K41" s="91">
        <f>SUMIFS(tabela_registros[VALOR],tabela_registros[MÊS],$AE$1,tabela_registros[DIA],fevtotal30[[#Headers],[7]],tabela_registros[REGISTRO],DADOS!$N$4,tabela_registros[TIPO],DADOS!$P$3,tabela_registros[CATEGORIA],despesafixaconsolidadofev[[#This Row],[DESPESA FIXA]])</f>
        <v>0</v>
      </c>
      <c r="L41" s="91">
        <f>SUMIFS(tabela_registros[VALOR],tabela_registros[MÊS],$AE$1,tabela_registros[DIA],fevtotal30[[#Headers],[8]],tabela_registros[REGISTRO],DADOS!$N$4,tabela_registros[TIPO],DADOS!$P$3,tabela_registros[CATEGORIA],despesafixaconsolidadofev[[#This Row],[DESPESA FIXA]])</f>
        <v>0</v>
      </c>
      <c r="M41" s="91">
        <f>SUMIFS(tabela_registros[VALOR],tabela_registros[MÊS],$AE$1,tabela_registros[DIA],fevtotal30[[#Headers],[9]],tabela_registros[REGISTRO],DADOS!$N$4,tabela_registros[TIPO],DADOS!$P$3,tabela_registros[CATEGORIA],despesafixaconsolidadofev[[#This Row],[DESPESA FIXA]])</f>
        <v>0</v>
      </c>
      <c r="N41" s="91">
        <f>SUMIFS(tabela_registros[VALOR],tabela_registros[MÊS],$AE$1,tabela_registros[DIA],fevtotal30[[#Headers],[10]],tabela_registros[REGISTRO],DADOS!$N$4,tabela_registros[TIPO],DADOS!$P$3,tabela_registros[CATEGORIA],despesafixaconsolidadofev[[#This Row],[DESPESA FIXA]])</f>
        <v>0</v>
      </c>
      <c r="O41" s="91">
        <f>SUMIFS(tabela_registros[VALOR],tabela_registros[MÊS],$AE$1,tabela_registros[DIA],fevtotal30[[#Headers],[11]],tabela_registros[REGISTRO],DADOS!$N$4,tabela_registros[TIPO],DADOS!$P$3,tabela_registros[CATEGORIA],despesafixaconsolidadofev[[#This Row],[DESPESA FIXA]])</f>
        <v>0</v>
      </c>
      <c r="P41" s="91">
        <f>SUMIFS(tabela_registros[VALOR],tabela_registros[MÊS],$AE$1,tabela_registros[DIA],fevtotal30[[#Headers],[12]],tabela_registros[REGISTRO],DADOS!$N$4,tabela_registros[TIPO],DADOS!$P$3,tabela_registros[CATEGORIA],despesafixaconsolidadofev[[#This Row],[DESPESA FIXA]])</f>
        <v>0</v>
      </c>
      <c r="Q41" s="91">
        <f>SUMIFS(tabela_registros[VALOR],tabela_registros[MÊS],$AE$1,tabela_registros[DIA],fevtotal30[[#Headers],[13]],tabela_registros[REGISTRO],DADOS!$N$4,tabela_registros[TIPO],DADOS!$P$3,tabela_registros[CATEGORIA],despesafixaconsolidadofev[[#This Row],[DESPESA FIXA]])</f>
        <v>0</v>
      </c>
      <c r="R41" s="91">
        <f>SUMIFS(tabela_registros[VALOR],tabela_registros[MÊS],$AE$1,tabela_registros[DIA],fevtotal30[[#Headers],[14]],tabela_registros[REGISTRO],DADOS!$N$4,tabela_registros[TIPO],DADOS!$P$3,tabela_registros[CATEGORIA],despesafixaconsolidadofev[[#This Row],[DESPESA FIXA]])</f>
        <v>0</v>
      </c>
      <c r="S41" s="91">
        <f>SUMIFS(tabela_registros[VALOR],tabela_registros[MÊS],$AE$1,tabela_registros[DIA],fevtotal30[[#Headers],[15]],tabela_registros[REGISTRO],DADOS!$N$4,tabela_registros[TIPO],DADOS!$P$3,tabela_registros[CATEGORIA],despesafixaconsolidadofev[[#This Row],[DESPESA FIXA]])</f>
        <v>0</v>
      </c>
      <c r="T41" s="91">
        <f>SUMIFS(tabela_registros[VALOR],tabela_registros[MÊS],$AE$1,tabela_registros[DIA],fevtotal30[[#Headers],[16]],tabela_registros[REGISTRO],DADOS!$N$4,tabela_registros[TIPO],DADOS!$P$3,tabela_registros[CATEGORIA],despesafixaconsolidadofev[[#This Row],[DESPESA FIXA]])</f>
        <v>0</v>
      </c>
      <c r="U41" s="91">
        <f>SUMIFS(tabela_registros[VALOR],tabela_registros[MÊS],$AE$1,tabela_registros[DIA],fevtotal30[[#Headers],[17]],tabela_registros[REGISTRO],DADOS!$N$4,tabela_registros[TIPO],DADOS!$P$3,tabela_registros[CATEGORIA],despesafixaconsolidadofev[[#This Row],[DESPESA FIXA]])</f>
        <v>0</v>
      </c>
      <c r="V41" s="91">
        <f>SUMIFS(tabela_registros[VALOR],tabela_registros[MÊS],$AE$1,tabela_registros[DIA],fevtotal30[[#Headers],[18]],tabela_registros[REGISTRO],DADOS!$N$4,tabela_registros[TIPO],DADOS!$P$3,tabela_registros[CATEGORIA],despesafixaconsolidadofev[[#This Row],[DESPESA FIXA]])</f>
        <v>0</v>
      </c>
      <c r="W41" s="91">
        <f>SUMIFS(tabela_registros[VALOR],tabela_registros[MÊS],$AE$1,tabela_registros[DIA],fevtotal30[[#Headers],[19]],tabela_registros[REGISTRO],DADOS!$N$4,tabela_registros[TIPO],DADOS!$P$3,tabela_registros[CATEGORIA],despesafixaconsolidadofev[[#This Row],[DESPESA FIXA]])</f>
        <v>0</v>
      </c>
      <c r="X41" s="91">
        <f>SUMIFS(tabela_registros[VALOR],tabela_registros[MÊS],$AE$1,tabela_registros[DIA],fevtotal30[[#Headers],[20]],tabela_registros[REGISTRO],DADOS!$N$4,tabela_registros[TIPO],DADOS!$P$3,tabela_registros[CATEGORIA],despesafixaconsolidadofev[[#This Row],[DESPESA FIXA]])</f>
        <v>0</v>
      </c>
      <c r="Y41" s="91">
        <f>SUMIFS(tabela_registros[VALOR],tabela_registros[MÊS],$AE$1,tabela_registros[DIA],fevtotal30[[#Headers],[21]],tabela_registros[REGISTRO],DADOS!$N$4,tabela_registros[TIPO],DADOS!$P$3,tabela_registros[CATEGORIA],despesafixaconsolidadofev[[#This Row],[DESPESA FIXA]])</f>
        <v>0</v>
      </c>
      <c r="Z41" s="91">
        <f>SUMIFS(tabela_registros[VALOR],tabela_registros[MÊS],$AE$1,tabela_registros[DIA],fevtotal30[[#Headers],[22]],tabela_registros[REGISTRO],DADOS!$N$4,tabela_registros[TIPO],DADOS!$P$3,tabela_registros[CATEGORIA],despesafixaconsolidadofev[[#This Row],[DESPESA FIXA]])</f>
        <v>0</v>
      </c>
      <c r="AA41" s="91">
        <f>SUMIFS(tabela_registros[VALOR],tabela_registros[MÊS],$AE$1,tabela_registros[DIA],fevtotal30[[#Headers],[23]],tabela_registros[REGISTRO],DADOS!$N$4,tabela_registros[TIPO],DADOS!$P$3,tabela_registros[CATEGORIA],despesafixaconsolidadofev[[#This Row],[DESPESA FIXA]])</f>
        <v>0</v>
      </c>
      <c r="AB41" s="91">
        <f>SUMIFS(tabela_registros[VALOR],tabela_registros[MÊS],$AE$1,tabela_registros[DIA],fevtotal30[[#Headers],[24]],tabela_registros[REGISTRO],DADOS!$N$4,tabela_registros[TIPO],DADOS!$P$3,tabela_registros[CATEGORIA],despesafixaconsolidadofev[[#This Row],[DESPESA FIXA]])</f>
        <v>0</v>
      </c>
      <c r="AC41" s="91">
        <f>SUMIFS(tabela_registros[VALOR],tabela_registros[MÊS],$AE$1,tabela_registros[DIA],fevtotal30[[#Headers],[25]],tabela_registros[REGISTRO],DADOS!$N$4,tabela_registros[TIPO],DADOS!$P$3,tabela_registros[CATEGORIA],despesafixaconsolidadofev[[#This Row],[DESPESA FIXA]])</f>
        <v>0</v>
      </c>
      <c r="AD41" s="91">
        <f>SUMIFS(tabela_registros[VALOR],tabela_registros[MÊS],$AE$1,tabela_registros[DIA],fevtotal30[[#Headers],[26]],tabela_registros[REGISTRO],DADOS!$N$4,tabela_registros[TIPO],DADOS!$P$3,tabela_registros[CATEGORIA],despesafixaconsolidadofev[[#This Row],[DESPESA FIXA]])</f>
        <v>0</v>
      </c>
      <c r="AE41" s="91">
        <f>SUMIFS(tabela_registros[VALOR],tabela_registros[MÊS],$AE$1,tabela_registros[DIA],fevtotal30[[#Headers],[27]],tabela_registros[REGISTRO],DADOS!$N$4,tabela_registros[TIPO],DADOS!$P$3,tabela_registros[CATEGORIA],despesafixaconsolidadofev[[#This Row],[DESPESA FIXA]])</f>
        <v>0</v>
      </c>
      <c r="AF41" s="91">
        <f>SUMIFS(tabela_registros[VALOR],tabela_registros[MÊS],$AE$1,tabela_registros[DIA],fevtotal30[[#Headers],[28]],tabela_registros[REGISTRO],DADOS!$N$4,tabela_registros[TIPO],DADOS!$P$3,tabela_registros[CATEGORIA],despesafixaconsolidadofev[[#This Row],[DESPESA FIXA]])</f>
        <v>0</v>
      </c>
      <c r="AG41" s="91">
        <f>SUMIFS(tabela_registros[VALOR],tabela_registros[MÊS],$AE$1,tabela_registros[DIA],fevtotal30[[#Headers],[29]],tabela_registros[REGISTRO],DADOS!$N$4,tabela_registros[TIPO],DADOS!$P$3,tabela_registros[CATEGORIA],despesafixaconsolidadofev[[#This Row],[DESPESA FIXA]])</f>
        <v>0</v>
      </c>
      <c r="AH41" s="91">
        <f>SUMIFS(tabela_registros[VALOR],tabela_registros[MÊS],$AE$1,tabela_registros[DIA],fevtotal30[[#Headers],[30]],tabela_registros[REGISTRO],DADOS!$N$4,tabela_registros[TIPO],DADOS!$P$3,tabela_registros[CATEGORIA],despesafixaconsolidadofev[[#This Row],[DESPESA FIXA]])</f>
        <v>0</v>
      </c>
      <c r="AI41" s="101">
        <f>SUMIFS(tabela_registros[VALOR],tabela_registros[MÊS],$AE$1,tabela_registros[DIA],fevtotal30[[#Headers],[31]],tabela_registros[REGISTRO],DADOS!$N$4,tabela_registros[TIPO],DADOS!$P$3,tabela_registros[CATEGORIA],despesafixaconsolidadofev[[#This Row],[DESPESA FIXA]])</f>
        <v>0</v>
      </c>
      <c r="AJ41" s="97">
        <f>SUM(despesafixaconsolidadofev[[#This Row],[1]:[31]])</f>
        <v>0</v>
      </c>
      <c r="AK41" s="28"/>
    </row>
    <row r="42" spans="2:37" ht="18" customHeight="1" thickTop="1" thickBot="1" x14ac:dyDescent="0.3">
      <c r="B42" s="28"/>
      <c r="C42" s="27" t="str">
        <f>DADOS!$R$8</f>
        <v>🏦 EMPRÉSTIMO</v>
      </c>
      <c r="D42" s="26" t="str">
        <f>IF(despesafixaconsolidadofev[[#This Row],[TOTAL]]=0,"",IF(OR(despesafixaconsolidadofev[[#This Row],[TOTAL]]=LARGE($AJ$37:$AJ$50,1),despesafixaconsolidadofev[[#This Row],[TOTAL]]=LARGE($AJ$37:$AJ$50,2),despesafixaconsolidadofev[[#This Row],[TOTAL]]=LARGE($AJ$37:$AJ$50,3),despesafixaconsolidadofev[[#This Row],[TOTAL]]=LARGE($AJ$37:$AJ$50,4),despesafixaconsolidadofev[[#This Row],[TOTAL]]=LARGE($AJ$37:$AJ$50,5)),DADOS!$I$8,""))</f>
        <v/>
      </c>
      <c r="E42" s="96">
        <f>SUMIFS(tabela_registros[VALOR],tabela_registros[MÊS],$AE$1,tabela_registros[DIA],fevtotal30[[#Headers],[1]],tabela_registros[REGISTRO],DADOS!$N$4,tabela_registros[TIPO],DADOS!$P$3,tabela_registros[CATEGORIA],despesafixaconsolidadofev[[#This Row],[DESPESA FIXA]])</f>
        <v>0</v>
      </c>
      <c r="F42" s="91">
        <f>SUMIFS(tabela_registros[VALOR],tabela_registros[MÊS],$AE$1,tabela_registros[DIA],fevtotal30[[#Headers],[2]],tabela_registros[REGISTRO],DADOS!$N$4,tabela_registros[TIPO],DADOS!$P$3,tabela_registros[CATEGORIA],despesafixaconsolidadofev[[#This Row],[DESPESA FIXA]])</f>
        <v>0</v>
      </c>
      <c r="G42" s="91">
        <f>SUMIFS(tabela_registros[VALOR],tabela_registros[MÊS],$AE$1,tabela_registros[DIA],fevtotal30[[#Headers],[3]],tabela_registros[REGISTRO],DADOS!$N$4,tabela_registros[TIPO],DADOS!$P$3,tabela_registros[CATEGORIA],despesafixaconsolidadofev[[#This Row],[DESPESA FIXA]])</f>
        <v>0</v>
      </c>
      <c r="H42" s="91">
        <f>SUMIFS(tabela_registros[VALOR],tabela_registros[MÊS],$AE$1,tabela_registros[DIA],fevtotal30[[#Headers],[4]],tabela_registros[REGISTRO],DADOS!$N$4,tabela_registros[TIPO],DADOS!$P$3,tabela_registros[CATEGORIA],despesafixaconsolidadofev[[#This Row],[DESPESA FIXA]])</f>
        <v>0</v>
      </c>
      <c r="I42" s="91">
        <f>SUMIFS(tabela_registros[VALOR],tabela_registros[MÊS],$AE$1,tabela_registros[DIA],fevtotal30[[#Headers],[5]],tabela_registros[REGISTRO],DADOS!$N$4,tabela_registros[TIPO],DADOS!$P$3,tabela_registros[CATEGORIA],despesafixaconsolidadofev[[#This Row],[DESPESA FIXA]])</f>
        <v>0</v>
      </c>
      <c r="J42" s="91">
        <f>SUMIFS(tabela_registros[VALOR],tabela_registros[MÊS],$AE$1,tabela_registros[DIA],fevtotal30[[#Headers],[6]],tabela_registros[REGISTRO],DADOS!$N$4,tabela_registros[TIPO],DADOS!$P$3,tabela_registros[CATEGORIA],despesafixaconsolidadofev[[#This Row],[DESPESA FIXA]])</f>
        <v>0</v>
      </c>
      <c r="K42" s="91">
        <f>SUMIFS(tabela_registros[VALOR],tabela_registros[MÊS],$AE$1,tabela_registros[DIA],fevtotal30[[#Headers],[7]],tabela_registros[REGISTRO],DADOS!$N$4,tabela_registros[TIPO],DADOS!$P$3,tabela_registros[CATEGORIA],despesafixaconsolidadofev[[#This Row],[DESPESA FIXA]])</f>
        <v>0</v>
      </c>
      <c r="L42" s="91">
        <f>SUMIFS(tabela_registros[VALOR],tabela_registros[MÊS],$AE$1,tabela_registros[DIA],fevtotal30[[#Headers],[8]],tabela_registros[REGISTRO],DADOS!$N$4,tabela_registros[TIPO],DADOS!$P$3,tabela_registros[CATEGORIA],despesafixaconsolidadofev[[#This Row],[DESPESA FIXA]])</f>
        <v>0</v>
      </c>
      <c r="M42" s="91">
        <f>SUMIFS(tabela_registros[VALOR],tabela_registros[MÊS],$AE$1,tabela_registros[DIA],fevtotal30[[#Headers],[9]],tabela_registros[REGISTRO],DADOS!$N$4,tabela_registros[TIPO],DADOS!$P$3,tabela_registros[CATEGORIA],despesafixaconsolidadofev[[#This Row],[DESPESA FIXA]])</f>
        <v>0</v>
      </c>
      <c r="N42" s="91">
        <f>SUMIFS(tabela_registros[VALOR],tabela_registros[MÊS],$AE$1,tabela_registros[DIA],fevtotal30[[#Headers],[10]],tabela_registros[REGISTRO],DADOS!$N$4,tabela_registros[TIPO],DADOS!$P$3,tabela_registros[CATEGORIA],despesafixaconsolidadofev[[#This Row],[DESPESA FIXA]])</f>
        <v>0</v>
      </c>
      <c r="O42" s="91">
        <f>SUMIFS(tabela_registros[VALOR],tabela_registros[MÊS],$AE$1,tabela_registros[DIA],fevtotal30[[#Headers],[11]],tabela_registros[REGISTRO],DADOS!$N$4,tabela_registros[TIPO],DADOS!$P$3,tabela_registros[CATEGORIA],despesafixaconsolidadofev[[#This Row],[DESPESA FIXA]])</f>
        <v>0</v>
      </c>
      <c r="P42" s="91">
        <f>SUMIFS(tabela_registros[VALOR],tabela_registros[MÊS],$AE$1,tabela_registros[DIA],fevtotal30[[#Headers],[12]],tabela_registros[REGISTRO],DADOS!$N$4,tabela_registros[TIPO],DADOS!$P$3,tabela_registros[CATEGORIA],despesafixaconsolidadofev[[#This Row],[DESPESA FIXA]])</f>
        <v>0</v>
      </c>
      <c r="Q42" s="91">
        <f>SUMIFS(tabela_registros[VALOR],tabela_registros[MÊS],$AE$1,tabela_registros[DIA],fevtotal30[[#Headers],[13]],tabela_registros[REGISTRO],DADOS!$N$4,tabela_registros[TIPO],DADOS!$P$3,tabela_registros[CATEGORIA],despesafixaconsolidadofev[[#This Row],[DESPESA FIXA]])</f>
        <v>0</v>
      </c>
      <c r="R42" s="91">
        <f>SUMIFS(tabela_registros[VALOR],tabela_registros[MÊS],$AE$1,tabela_registros[DIA],fevtotal30[[#Headers],[14]],tabela_registros[REGISTRO],DADOS!$N$4,tabela_registros[TIPO],DADOS!$P$3,tabela_registros[CATEGORIA],despesafixaconsolidadofev[[#This Row],[DESPESA FIXA]])</f>
        <v>0</v>
      </c>
      <c r="S42" s="91">
        <f>SUMIFS(tabela_registros[VALOR],tabela_registros[MÊS],$AE$1,tabela_registros[DIA],fevtotal30[[#Headers],[15]],tabela_registros[REGISTRO],DADOS!$N$4,tabela_registros[TIPO],DADOS!$P$3,tabela_registros[CATEGORIA],despesafixaconsolidadofev[[#This Row],[DESPESA FIXA]])</f>
        <v>0</v>
      </c>
      <c r="T42" s="91">
        <f>SUMIFS(tabela_registros[VALOR],tabela_registros[MÊS],$AE$1,tabela_registros[DIA],fevtotal30[[#Headers],[16]],tabela_registros[REGISTRO],DADOS!$N$4,tabela_registros[TIPO],DADOS!$P$3,tabela_registros[CATEGORIA],despesafixaconsolidadofev[[#This Row],[DESPESA FIXA]])</f>
        <v>0</v>
      </c>
      <c r="U42" s="91">
        <f>SUMIFS(tabela_registros[VALOR],tabela_registros[MÊS],$AE$1,tabela_registros[DIA],fevtotal30[[#Headers],[17]],tabela_registros[REGISTRO],DADOS!$N$4,tabela_registros[TIPO],DADOS!$P$3,tabela_registros[CATEGORIA],despesafixaconsolidadofev[[#This Row],[DESPESA FIXA]])</f>
        <v>0</v>
      </c>
      <c r="V42" s="91">
        <f>SUMIFS(tabela_registros[VALOR],tabela_registros[MÊS],$AE$1,tabela_registros[DIA],fevtotal30[[#Headers],[18]],tabela_registros[REGISTRO],DADOS!$N$4,tabela_registros[TIPO],DADOS!$P$3,tabela_registros[CATEGORIA],despesafixaconsolidadofev[[#This Row],[DESPESA FIXA]])</f>
        <v>0</v>
      </c>
      <c r="W42" s="91">
        <f>SUMIFS(tabela_registros[VALOR],tabela_registros[MÊS],$AE$1,tabela_registros[DIA],fevtotal30[[#Headers],[19]],tabela_registros[REGISTRO],DADOS!$N$4,tabela_registros[TIPO],DADOS!$P$3,tabela_registros[CATEGORIA],despesafixaconsolidadofev[[#This Row],[DESPESA FIXA]])</f>
        <v>0</v>
      </c>
      <c r="X42" s="91">
        <f>SUMIFS(tabela_registros[VALOR],tabela_registros[MÊS],$AE$1,tabela_registros[DIA],fevtotal30[[#Headers],[20]],tabela_registros[REGISTRO],DADOS!$N$4,tabela_registros[TIPO],DADOS!$P$3,tabela_registros[CATEGORIA],despesafixaconsolidadofev[[#This Row],[DESPESA FIXA]])</f>
        <v>0</v>
      </c>
      <c r="Y42" s="91">
        <f>SUMIFS(tabela_registros[VALOR],tabela_registros[MÊS],$AE$1,tabela_registros[DIA],fevtotal30[[#Headers],[21]],tabela_registros[REGISTRO],DADOS!$N$4,tabela_registros[TIPO],DADOS!$P$3,tabela_registros[CATEGORIA],despesafixaconsolidadofev[[#This Row],[DESPESA FIXA]])</f>
        <v>0</v>
      </c>
      <c r="Z42" s="91">
        <f>SUMIFS(tabela_registros[VALOR],tabela_registros[MÊS],$AE$1,tabela_registros[DIA],fevtotal30[[#Headers],[22]],tabela_registros[REGISTRO],DADOS!$N$4,tabela_registros[TIPO],DADOS!$P$3,tabela_registros[CATEGORIA],despesafixaconsolidadofev[[#This Row],[DESPESA FIXA]])</f>
        <v>0</v>
      </c>
      <c r="AA42" s="91">
        <f>SUMIFS(tabela_registros[VALOR],tabela_registros[MÊS],$AE$1,tabela_registros[DIA],fevtotal30[[#Headers],[23]],tabela_registros[REGISTRO],DADOS!$N$4,tabela_registros[TIPO],DADOS!$P$3,tabela_registros[CATEGORIA],despesafixaconsolidadofev[[#This Row],[DESPESA FIXA]])</f>
        <v>0</v>
      </c>
      <c r="AB42" s="91">
        <f>SUMIFS(tabela_registros[VALOR],tabela_registros[MÊS],$AE$1,tabela_registros[DIA],fevtotal30[[#Headers],[24]],tabela_registros[REGISTRO],DADOS!$N$4,tabela_registros[TIPO],DADOS!$P$3,tabela_registros[CATEGORIA],despesafixaconsolidadofev[[#This Row],[DESPESA FIXA]])</f>
        <v>0</v>
      </c>
      <c r="AC42" s="91">
        <f>SUMIFS(tabela_registros[VALOR],tabela_registros[MÊS],$AE$1,tabela_registros[DIA],fevtotal30[[#Headers],[25]],tabela_registros[REGISTRO],DADOS!$N$4,tabela_registros[TIPO],DADOS!$P$3,tabela_registros[CATEGORIA],despesafixaconsolidadofev[[#This Row],[DESPESA FIXA]])</f>
        <v>0</v>
      </c>
      <c r="AD42" s="91">
        <f>SUMIFS(tabela_registros[VALOR],tabela_registros[MÊS],$AE$1,tabela_registros[DIA],fevtotal30[[#Headers],[26]],tabela_registros[REGISTRO],DADOS!$N$4,tabela_registros[TIPO],DADOS!$P$3,tabela_registros[CATEGORIA],despesafixaconsolidadofev[[#This Row],[DESPESA FIXA]])</f>
        <v>0</v>
      </c>
      <c r="AE42" s="91">
        <f>SUMIFS(tabela_registros[VALOR],tabela_registros[MÊS],$AE$1,tabela_registros[DIA],fevtotal30[[#Headers],[27]],tabela_registros[REGISTRO],DADOS!$N$4,tabela_registros[TIPO],DADOS!$P$3,tabela_registros[CATEGORIA],despesafixaconsolidadofev[[#This Row],[DESPESA FIXA]])</f>
        <v>0</v>
      </c>
      <c r="AF42" s="91">
        <f>SUMIFS(tabela_registros[VALOR],tabela_registros[MÊS],$AE$1,tabela_registros[DIA],fevtotal30[[#Headers],[28]],tabela_registros[REGISTRO],DADOS!$N$4,tabela_registros[TIPO],DADOS!$P$3,tabela_registros[CATEGORIA],despesafixaconsolidadofev[[#This Row],[DESPESA FIXA]])</f>
        <v>0</v>
      </c>
      <c r="AG42" s="91">
        <f>SUMIFS(tabela_registros[VALOR],tabela_registros[MÊS],$AE$1,tabela_registros[DIA],fevtotal30[[#Headers],[29]],tabela_registros[REGISTRO],DADOS!$N$4,tabela_registros[TIPO],DADOS!$P$3,tabela_registros[CATEGORIA],despesafixaconsolidadofev[[#This Row],[DESPESA FIXA]])</f>
        <v>0</v>
      </c>
      <c r="AH42" s="91">
        <f>SUMIFS(tabela_registros[VALOR],tabela_registros[MÊS],$AE$1,tabela_registros[DIA],fevtotal30[[#Headers],[30]],tabela_registros[REGISTRO],DADOS!$N$4,tabela_registros[TIPO],DADOS!$P$3,tabela_registros[CATEGORIA],despesafixaconsolidadofev[[#This Row],[DESPESA FIXA]])</f>
        <v>0</v>
      </c>
      <c r="AI42" s="101">
        <f>SUMIFS(tabela_registros[VALOR],tabela_registros[MÊS],$AE$1,tabela_registros[DIA],fevtotal30[[#Headers],[31]],tabela_registros[REGISTRO],DADOS!$N$4,tabela_registros[TIPO],DADOS!$P$3,tabela_registros[CATEGORIA],despesafixaconsolidadofev[[#This Row],[DESPESA FIXA]])</f>
        <v>0</v>
      </c>
      <c r="AJ42" s="97">
        <f>SUM(despesafixaconsolidadofev[[#This Row],[1]:[31]])</f>
        <v>0</v>
      </c>
      <c r="AK42" s="28"/>
    </row>
    <row r="43" spans="2:37" ht="18" customHeight="1" thickTop="1" thickBot="1" x14ac:dyDescent="0.3">
      <c r="B43" s="28"/>
      <c r="C43" s="27" t="str">
        <f>DADOS!$R$9</f>
        <v>💡 ENERGIA</v>
      </c>
      <c r="D43" s="26" t="str">
        <f>IF(despesafixaconsolidadofev[[#This Row],[TOTAL]]=0,"",IF(OR(despesafixaconsolidadofev[[#This Row],[TOTAL]]=LARGE($AJ$37:$AJ$50,1),despesafixaconsolidadofev[[#This Row],[TOTAL]]=LARGE($AJ$37:$AJ$50,2),despesafixaconsolidadofev[[#This Row],[TOTAL]]=LARGE($AJ$37:$AJ$50,3),despesafixaconsolidadofev[[#This Row],[TOTAL]]=LARGE($AJ$37:$AJ$50,4),despesafixaconsolidadofev[[#This Row],[TOTAL]]=LARGE($AJ$37:$AJ$50,5)),DADOS!$I$8,""))</f>
        <v>💣</v>
      </c>
      <c r="E43" s="96">
        <f>SUMIFS(tabela_registros[VALOR],tabela_registros[MÊS],$AE$1,tabela_registros[DIA],fevtotal30[[#Headers],[1]],tabela_registros[REGISTRO],DADOS!$N$4,tabela_registros[TIPO],DADOS!$P$3,tabela_registros[CATEGORIA],despesafixaconsolidadofev[[#This Row],[DESPESA FIXA]])</f>
        <v>0</v>
      </c>
      <c r="F43" s="91">
        <f>SUMIFS(tabela_registros[VALOR],tabela_registros[MÊS],$AE$1,tabela_registros[DIA],fevtotal30[[#Headers],[2]],tabela_registros[REGISTRO],DADOS!$N$4,tabela_registros[TIPO],DADOS!$P$3,tabela_registros[CATEGORIA],despesafixaconsolidadofev[[#This Row],[DESPESA FIXA]])</f>
        <v>0</v>
      </c>
      <c r="G43" s="91">
        <f>SUMIFS(tabela_registros[VALOR],tabela_registros[MÊS],$AE$1,tabela_registros[DIA],fevtotal30[[#Headers],[3]],tabela_registros[REGISTRO],DADOS!$N$4,tabela_registros[TIPO],DADOS!$P$3,tabela_registros[CATEGORIA],despesafixaconsolidadofev[[#This Row],[DESPESA FIXA]])</f>
        <v>0</v>
      </c>
      <c r="H43" s="91">
        <f>SUMIFS(tabela_registros[VALOR],tabela_registros[MÊS],$AE$1,tabela_registros[DIA],fevtotal30[[#Headers],[4]],tabela_registros[REGISTRO],DADOS!$N$4,tabela_registros[TIPO],DADOS!$P$3,tabela_registros[CATEGORIA],despesafixaconsolidadofev[[#This Row],[DESPESA FIXA]])</f>
        <v>0</v>
      </c>
      <c r="I43" s="91">
        <f>SUMIFS(tabela_registros[VALOR],tabela_registros[MÊS],$AE$1,tabela_registros[DIA],fevtotal30[[#Headers],[5]],tabela_registros[REGISTRO],DADOS!$N$4,tabela_registros[TIPO],DADOS!$P$3,tabela_registros[CATEGORIA],despesafixaconsolidadofev[[#This Row],[DESPESA FIXA]])</f>
        <v>0</v>
      </c>
      <c r="J43" s="91">
        <f>SUMIFS(tabela_registros[VALOR],tabela_registros[MÊS],$AE$1,tabela_registros[DIA],fevtotal30[[#Headers],[6]],tabela_registros[REGISTRO],DADOS!$N$4,tabela_registros[TIPO],DADOS!$P$3,tabela_registros[CATEGORIA],despesafixaconsolidadofev[[#This Row],[DESPESA FIXA]])</f>
        <v>0</v>
      </c>
      <c r="K43" s="91">
        <f>SUMIFS(tabela_registros[VALOR],tabela_registros[MÊS],$AE$1,tabela_registros[DIA],fevtotal30[[#Headers],[7]],tabela_registros[REGISTRO],DADOS!$N$4,tabela_registros[TIPO],DADOS!$P$3,tabela_registros[CATEGORIA],despesafixaconsolidadofev[[#This Row],[DESPESA FIXA]])</f>
        <v>0</v>
      </c>
      <c r="L43" s="91">
        <f>SUMIFS(tabela_registros[VALOR],tabela_registros[MÊS],$AE$1,tabela_registros[DIA],fevtotal30[[#Headers],[8]],tabela_registros[REGISTRO],DADOS!$N$4,tabela_registros[TIPO],DADOS!$P$3,tabela_registros[CATEGORIA],despesafixaconsolidadofev[[#This Row],[DESPESA FIXA]])</f>
        <v>0</v>
      </c>
      <c r="M43" s="91">
        <f>SUMIFS(tabela_registros[VALOR],tabela_registros[MÊS],$AE$1,tabela_registros[DIA],fevtotal30[[#Headers],[9]],tabela_registros[REGISTRO],DADOS!$N$4,tabela_registros[TIPO],DADOS!$P$3,tabela_registros[CATEGORIA],despesafixaconsolidadofev[[#This Row],[DESPESA FIXA]])</f>
        <v>0</v>
      </c>
      <c r="N43" s="91">
        <f>SUMIFS(tabela_registros[VALOR],tabela_registros[MÊS],$AE$1,tabela_registros[DIA],fevtotal30[[#Headers],[10]],tabela_registros[REGISTRO],DADOS!$N$4,tabela_registros[TIPO],DADOS!$P$3,tabela_registros[CATEGORIA],despesafixaconsolidadofev[[#This Row],[DESPESA FIXA]])</f>
        <v>0</v>
      </c>
      <c r="O43" s="91">
        <f>SUMIFS(tabela_registros[VALOR],tabela_registros[MÊS],$AE$1,tabela_registros[DIA],fevtotal30[[#Headers],[11]],tabela_registros[REGISTRO],DADOS!$N$4,tabela_registros[TIPO],DADOS!$P$3,tabela_registros[CATEGORIA],despesafixaconsolidadofev[[#This Row],[DESPESA FIXA]])</f>
        <v>0</v>
      </c>
      <c r="P43" s="91">
        <f>SUMIFS(tabela_registros[VALOR],tabela_registros[MÊS],$AE$1,tabela_registros[DIA],fevtotal30[[#Headers],[12]],tabela_registros[REGISTRO],DADOS!$N$4,tabela_registros[TIPO],DADOS!$P$3,tabela_registros[CATEGORIA],despesafixaconsolidadofev[[#This Row],[DESPESA FIXA]])</f>
        <v>115.142857142857</v>
      </c>
      <c r="Q43" s="91">
        <f>SUMIFS(tabela_registros[VALOR],tabela_registros[MÊS],$AE$1,tabela_registros[DIA],fevtotal30[[#Headers],[13]],tabela_registros[REGISTRO],DADOS!$N$4,tabela_registros[TIPO],DADOS!$P$3,tabela_registros[CATEGORIA],despesafixaconsolidadofev[[#This Row],[DESPESA FIXA]])</f>
        <v>0</v>
      </c>
      <c r="R43" s="91">
        <f>SUMIFS(tabela_registros[VALOR],tabela_registros[MÊS],$AE$1,tabela_registros[DIA],fevtotal30[[#Headers],[14]],tabela_registros[REGISTRO],DADOS!$N$4,tabela_registros[TIPO],DADOS!$P$3,tabela_registros[CATEGORIA],despesafixaconsolidadofev[[#This Row],[DESPESA FIXA]])</f>
        <v>0</v>
      </c>
      <c r="S43" s="91">
        <f>SUMIFS(tabela_registros[VALOR],tabela_registros[MÊS],$AE$1,tabela_registros[DIA],fevtotal30[[#Headers],[15]],tabela_registros[REGISTRO],DADOS!$N$4,tabela_registros[TIPO],DADOS!$P$3,tabela_registros[CATEGORIA],despesafixaconsolidadofev[[#This Row],[DESPESA FIXA]])</f>
        <v>0</v>
      </c>
      <c r="T43" s="91">
        <f>SUMIFS(tabela_registros[VALOR],tabela_registros[MÊS],$AE$1,tabela_registros[DIA],fevtotal30[[#Headers],[16]],tabela_registros[REGISTRO],DADOS!$N$4,tabela_registros[TIPO],DADOS!$P$3,tabela_registros[CATEGORIA],despesafixaconsolidadofev[[#This Row],[DESPESA FIXA]])</f>
        <v>0</v>
      </c>
      <c r="U43" s="91">
        <f>SUMIFS(tabela_registros[VALOR],tabela_registros[MÊS],$AE$1,tabela_registros[DIA],fevtotal30[[#Headers],[17]],tabela_registros[REGISTRO],DADOS!$N$4,tabela_registros[TIPO],DADOS!$P$3,tabela_registros[CATEGORIA],despesafixaconsolidadofev[[#This Row],[DESPESA FIXA]])</f>
        <v>0</v>
      </c>
      <c r="V43" s="91">
        <f>SUMIFS(tabela_registros[VALOR],tabela_registros[MÊS],$AE$1,tabela_registros[DIA],fevtotal30[[#Headers],[18]],tabela_registros[REGISTRO],DADOS!$N$4,tabela_registros[TIPO],DADOS!$P$3,tabela_registros[CATEGORIA],despesafixaconsolidadofev[[#This Row],[DESPESA FIXA]])</f>
        <v>0</v>
      </c>
      <c r="W43" s="91">
        <f>SUMIFS(tabela_registros[VALOR],tabela_registros[MÊS],$AE$1,tabela_registros[DIA],fevtotal30[[#Headers],[19]],tabela_registros[REGISTRO],DADOS!$N$4,tabela_registros[TIPO],DADOS!$P$3,tabela_registros[CATEGORIA],despesafixaconsolidadofev[[#This Row],[DESPESA FIXA]])</f>
        <v>0</v>
      </c>
      <c r="X43" s="91">
        <f>SUMIFS(tabela_registros[VALOR],tabela_registros[MÊS],$AE$1,tabela_registros[DIA],fevtotal30[[#Headers],[20]],tabela_registros[REGISTRO],DADOS!$N$4,tabela_registros[TIPO],DADOS!$P$3,tabela_registros[CATEGORIA],despesafixaconsolidadofev[[#This Row],[DESPESA FIXA]])</f>
        <v>0</v>
      </c>
      <c r="Y43" s="91">
        <f>SUMIFS(tabela_registros[VALOR],tabela_registros[MÊS],$AE$1,tabela_registros[DIA],fevtotal30[[#Headers],[21]],tabela_registros[REGISTRO],DADOS!$N$4,tabela_registros[TIPO],DADOS!$P$3,tabela_registros[CATEGORIA],despesafixaconsolidadofev[[#This Row],[DESPESA FIXA]])</f>
        <v>0</v>
      </c>
      <c r="Z43" s="91">
        <f>SUMIFS(tabela_registros[VALOR],tabela_registros[MÊS],$AE$1,tabela_registros[DIA],fevtotal30[[#Headers],[22]],tabela_registros[REGISTRO],DADOS!$N$4,tabela_registros[TIPO],DADOS!$P$3,tabela_registros[CATEGORIA],despesafixaconsolidadofev[[#This Row],[DESPESA FIXA]])</f>
        <v>0</v>
      </c>
      <c r="AA43" s="91">
        <f>SUMIFS(tabela_registros[VALOR],tabela_registros[MÊS],$AE$1,tabela_registros[DIA],fevtotal30[[#Headers],[23]],tabela_registros[REGISTRO],DADOS!$N$4,tabela_registros[TIPO],DADOS!$P$3,tabela_registros[CATEGORIA],despesafixaconsolidadofev[[#This Row],[DESPESA FIXA]])</f>
        <v>0</v>
      </c>
      <c r="AB43" s="91">
        <f>SUMIFS(tabela_registros[VALOR],tabela_registros[MÊS],$AE$1,tabela_registros[DIA],fevtotal30[[#Headers],[24]],tabela_registros[REGISTRO],DADOS!$N$4,tabela_registros[TIPO],DADOS!$P$3,tabela_registros[CATEGORIA],despesafixaconsolidadofev[[#This Row],[DESPESA FIXA]])</f>
        <v>0</v>
      </c>
      <c r="AC43" s="91">
        <f>SUMIFS(tabela_registros[VALOR],tabela_registros[MÊS],$AE$1,tabela_registros[DIA],fevtotal30[[#Headers],[25]],tabela_registros[REGISTRO],DADOS!$N$4,tabela_registros[TIPO],DADOS!$P$3,tabela_registros[CATEGORIA],despesafixaconsolidadofev[[#This Row],[DESPESA FIXA]])</f>
        <v>0</v>
      </c>
      <c r="AD43" s="91">
        <f>SUMIFS(tabela_registros[VALOR],tabela_registros[MÊS],$AE$1,tabela_registros[DIA],fevtotal30[[#Headers],[26]],tabela_registros[REGISTRO],DADOS!$N$4,tabela_registros[TIPO],DADOS!$P$3,tabela_registros[CATEGORIA],despesafixaconsolidadofev[[#This Row],[DESPESA FIXA]])</f>
        <v>0</v>
      </c>
      <c r="AE43" s="91">
        <f>SUMIFS(tabela_registros[VALOR],tabela_registros[MÊS],$AE$1,tabela_registros[DIA],fevtotal30[[#Headers],[27]],tabela_registros[REGISTRO],DADOS!$N$4,tabela_registros[TIPO],DADOS!$P$3,tabela_registros[CATEGORIA],despesafixaconsolidadofev[[#This Row],[DESPESA FIXA]])</f>
        <v>0</v>
      </c>
      <c r="AF43" s="91">
        <f>SUMIFS(tabela_registros[VALOR],tabela_registros[MÊS],$AE$1,tabela_registros[DIA],fevtotal30[[#Headers],[28]],tabela_registros[REGISTRO],DADOS!$N$4,tabela_registros[TIPO],DADOS!$P$3,tabela_registros[CATEGORIA],despesafixaconsolidadofev[[#This Row],[DESPESA FIXA]])</f>
        <v>0</v>
      </c>
      <c r="AG43" s="91">
        <f>SUMIFS(tabela_registros[VALOR],tabela_registros[MÊS],$AE$1,tabela_registros[DIA],fevtotal30[[#Headers],[29]],tabela_registros[REGISTRO],DADOS!$N$4,tabela_registros[TIPO],DADOS!$P$3,tabela_registros[CATEGORIA],despesafixaconsolidadofev[[#This Row],[DESPESA FIXA]])</f>
        <v>0</v>
      </c>
      <c r="AH43" s="91">
        <f>SUMIFS(tabela_registros[VALOR],tabela_registros[MÊS],$AE$1,tabela_registros[DIA],fevtotal30[[#Headers],[30]],tabela_registros[REGISTRO],DADOS!$N$4,tabela_registros[TIPO],DADOS!$P$3,tabela_registros[CATEGORIA],despesafixaconsolidadofev[[#This Row],[DESPESA FIXA]])</f>
        <v>0</v>
      </c>
      <c r="AI43" s="101">
        <f>SUMIFS(tabela_registros[VALOR],tabela_registros[MÊS],$AE$1,tabela_registros[DIA],fevtotal30[[#Headers],[31]],tabela_registros[REGISTRO],DADOS!$N$4,tabela_registros[TIPO],DADOS!$P$3,tabela_registros[CATEGORIA],despesafixaconsolidadofev[[#This Row],[DESPESA FIXA]])</f>
        <v>0</v>
      </c>
      <c r="AJ43" s="97">
        <f>SUM(despesafixaconsolidadofev[[#This Row],[1]:[31]])</f>
        <v>115.142857142857</v>
      </c>
      <c r="AK43" s="28"/>
    </row>
    <row r="44" spans="2:37" ht="18" customHeight="1" thickTop="1" thickBot="1" x14ac:dyDescent="0.3">
      <c r="B44" s="28"/>
      <c r="C44" s="27" t="str">
        <f>DADOS!$R$10</f>
        <v>👨‍👩‍👧 FAMÍLIA</v>
      </c>
      <c r="D44" s="26" t="str">
        <f>IF(despesafixaconsolidadofev[[#This Row],[TOTAL]]=0,"",IF(OR(despesafixaconsolidadofev[[#This Row],[TOTAL]]=LARGE($AJ$37:$AJ$50,1),despesafixaconsolidadofev[[#This Row],[TOTAL]]=LARGE($AJ$37:$AJ$50,2),despesafixaconsolidadofev[[#This Row],[TOTAL]]=LARGE($AJ$37:$AJ$50,3),despesafixaconsolidadofev[[#This Row],[TOTAL]]=LARGE($AJ$37:$AJ$50,4),despesafixaconsolidadofev[[#This Row],[TOTAL]]=LARGE($AJ$37:$AJ$50,5)),DADOS!$I$8,""))</f>
        <v/>
      </c>
      <c r="E44" s="96">
        <f>SUMIFS(tabela_registros[VALOR],tabela_registros[MÊS],$AE$1,tabela_registros[DIA],fevtotal30[[#Headers],[1]],tabela_registros[REGISTRO],DADOS!$N$4,tabela_registros[TIPO],DADOS!$P$3,tabela_registros[CATEGORIA],despesafixaconsolidadofev[[#This Row],[DESPESA FIXA]])</f>
        <v>0</v>
      </c>
      <c r="F44" s="91">
        <f>SUMIFS(tabela_registros[VALOR],tabela_registros[MÊS],$AE$1,tabela_registros[DIA],fevtotal30[[#Headers],[2]],tabela_registros[REGISTRO],DADOS!$N$4,tabela_registros[TIPO],DADOS!$P$3,tabela_registros[CATEGORIA],despesafixaconsolidadofev[[#This Row],[DESPESA FIXA]])</f>
        <v>0</v>
      </c>
      <c r="G44" s="91">
        <f>SUMIFS(tabela_registros[VALOR],tabela_registros[MÊS],$AE$1,tabela_registros[DIA],fevtotal30[[#Headers],[3]],tabela_registros[REGISTRO],DADOS!$N$4,tabela_registros[TIPO],DADOS!$P$3,tabela_registros[CATEGORIA],despesafixaconsolidadofev[[#This Row],[DESPESA FIXA]])</f>
        <v>0</v>
      </c>
      <c r="H44" s="91">
        <f>SUMIFS(tabela_registros[VALOR],tabela_registros[MÊS],$AE$1,tabela_registros[DIA],fevtotal30[[#Headers],[4]],tabela_registros[REGISTRO],DADOS!$N$4,tabela_registros[TIPO],DADOS!$P$3,tabela_registros[CATEGORIA],despesafixaconsolidadofev[[#This Row],[DESPESA FIXA]])</f>
        <v>0</v>
      </c>
      <c r="I44" s="91">
        <f>SUMIFS(tabela_registros[VALOR],tabela_registros[MÊS],$AE$1,tabela_registros[DIA],fevtotal30[[#Headers],[5]],tabela_registros[REGISTRO],DADOS!$N$4,tabela_registros[TIPO],DADOS!$P$3,tabela_registros[CATEGORIA],despesafixaconsolidadofev[[#This Row],[DESPESA FIXA]])</f>
        <v>0</v>
      </c>
      <c r="J44" s="91">
        <f>SUMIFS(tabela_registros[VALOR],tabela_registros[MÊS],$AE$1,tabela_registros[DIA],fevtotal30[[#Headers],[6]],tabela_registros[REGISTRO],DADOS!$N$4,tabela_registros[TIPO],DADOS!$P$3,tabela_registros[CATEGORIA],despesafixaconsolidadofev[[#This Row],[DESPESA FIXA]])</f>
        <v>0</v>
      </c>
      <c r="K44" s="91">
        <f>SUMIFS(tabela_registros[VALOR],tabela_registros[MÊS],$AE$1,tabela_registros[DIA],fevtotal30[[#Headers],[7]],tabela_registros[REGISTRO],DADOS!$N$4,tabela_registros[TIPO],DADOS!$P$3,tabela_registros[CATEGORIA],despesafixaconsolidadofev[[#This Row],[DESPESA FIXA]])</f>
        <v>0</v>
      </c>
      <c r="L44" s="91">
        <f>SUMIFS(tabela_registros[VALOR],tabela_registros[MÊS],$AE$1,tabela_registros[DIA],fevtotal30[[#Headers],[8]],tabela_registros[REGISTRO],DADOS!$N$4,tabela_registros[TIPO],DADOS!$P$3,tabela_registros[CATEGORIA],despesafixaconsolidadofev[[#This Row],[DESPESA FIXA]])</f>
        <v>0</v>
      </c>
      <c r="M44" s="91">
        <f>SUMIFS(tabela_registros[VALOR],tabela_registros[MÊS],$AE$1,tabela_registros[DIA],fevtotal30[[#Headers],[9]],tabela_registros[REGISTRO],DADOS!$N$4,tabela_registros[TIPO],DADOS!$P$3,tabela_registros[CATEGORIA],despesafixaconsolidadofev[[#This Row],[DESPESA FIXA]])</f>
        <v>0</v>
      </c>
      <c r="N44" s="91">
        <f>SUMIFS(tabela_registros[VALOR],tabela_registros[MÊS],$AE$1,tabela_registros[DIA],fevtotal30[[#Headers],[10]],tabela_registros[REGISTRO],DADOS!$N$4,tabela_registros[TIPO],DADOS!$P$3,tabela_registros[CATEGORIA],despesafixaconsolidadofev[[#This Row],[DESPESA FIXA]])</f>
        <v>0</v>
      </c>
      <c r="O44" s="91">
        <f>SUMIFS(tabela_registros[VALOR],tabela_registros[MÊS],$AE$1,tabela_registros[DIA],fevtotal30[[#Headers],[11]],tabela_registros[REGISTRO],DADOS!$N$4,tabela_registros[TIPO],DADOS!$P$3,tabela_registros[CATEGORIA],despesafixaconsolidadofev[[#This Row],[DESPESA FIXA]])</f>
        <v>0</v>
      </c>
      <c r="P44" s="91">
        <f>SUMIFS(tabela_registros[VALOR],tabela_registros[MÊS],$AE$1,tabela_registros[DIA],fevtotal30[[#Headers],[12]],tabela_registros[REGISTRO],DADOS!$N$4,tabela_registros[TIPO],DADOS!$P$3,tabela_registros[CATEGORIA],despesafixaconsolidadofev[[#This Row],[DESPESA FIXA]])</f>
        <v>0</v>
      </c>
      <c r="Q44" s="91">
        <f>SUMIFS(tabela_registros[VALOR],tabela_registros[MÊS],$AE$1,tabela_registros[DIA],fevtotal30[[#Headers],[13]],tabela_registros[REGISTRO],DADOS!$N$4,tabela_registros[TIPO],DADOS!$P$3,tabela_registros[CATEGORIA],despesafixaconsolidadofev[[#This Row],[DESPESA FIXA]])</f>
        <v>0</v>
      </c>
      <c r="R44" s="91">
        <f>SUMIFS(tabela_registros[VALOR],tabela_registros[MÊS],$AE$1,tabela_registros[DIA],fevtotal30[[#Headers],[14]],tabela_registros[REGISTRO],DADOS!$N$4,tabela_registros[TIPO],DADOS!$P$3,tabela_registros[CATEGORIA],despesafixaconsolidadofev[[#This Row],[DESPESA FIXA]])</f>
        <v>0</v>
      </c>
      <c r="S44" s="91">
        <f>SUMIFS(tabela_registros[VALOR],tabela_registros[MÊS],$AE$1,tabela_registros[DIA],fevtotal30[[#Headers],[15]],tabela_registros[REGISTRO],DADOS!$N$4,tabela_registros[TIPO],DADOS!$P$3,tabela_registros[CATEGORIA],despesafixaconsolidadofev[[#This Row],[DESPESA FIXA]])</f>
        <v>0</v>
      </c>
      <c r="T44" s="91">
        <f>SUMIFS(tabela_registros[VALOR],tabela_registros[MÊS],$AE$1,tabela_registros[DIA],fevtotal30[[#Headers],[16]],tabela_registros[REGISTRO],DADOS!$N$4,tabela_registros[TIPO],DADOS!$P$3,tabela_registros[CATEGORIA],despesafixaconsolidadofev[[#This Row],[DESPESA FIXA]])</f>
        <v>0</v>
      </c>
      <c r="U44" s="91">
        <f>SUMIFS(tabela_registros[VALOR],tabela_registros[MÊS],$AE$1,tabela_registros[DIA],fevtotal30[[#Headers],[17]],tabela_registros[REGISTRO],DADOS!$N$4,tabela_registros[TIPO],DADOS!$P$3,tabela_registros[CATEGORIA],despesafixaconsolidadofev[[#This Row],[DESPESA FIXA]])</f>
        <v>0</v>
      </c>
      <c r="V44" s="91">
        <f>SUMIFS(tabela_registros[VALOR],tabela_registros[MÊS],$AE$1,tabela_registros[DIA],fevtotal30[[#Headers],[18]],tabela_registros[REGISTRO],DADOS!$N$4,tabela_registros[TIPO],DADOS!$P$3,tabela_registros[CATEGORIA],despesafixaconsolidadofev[[#This Row],[DESPESA FIXA]])</f>
        <v>0</v>
      </c>
      <c r="W44" s="91">
        <f>SUMIFS(tabela_registros[VALOR],tabela_registros[MÊS],$AE$1,tabela_registros[DIA],fevtotal30[[#Headers],[19]],tabela_registros[REGISTRO],DADOS!$N$4,tabela_registros[TIPO],DADOS!$P$3,tabela_registros[CATEGORIA],despesafixaconsolidadofev[[#This Row],[DESPESA FIXA]])</f>
        <v>0</v>
      </c>
      <c r="X44" s="91">
        <f>SUMIFS(tabela_registros[VALOR],tabela_registros[MÊS],$AE$1,tabela_registros[DIA],fevtotal30[[#Headers],[20]],tabela_registros[REGISTRO],DADOS!$N$4,tabela_registros[TIPO],DADOS!$P$3,tabela_registros[CATEGORIA],despesafixaconsolidadofev[[#This Row],[DESPESA FIXA]])</f>
        <v>0</v>
      </c>
      <c r="Y44" s="91">
        <f>SUMIFS(tabela_registros[VALOR],tabela_registros[MÊS],$AE$1,tabela_registros[DIA],fevtotal30[[#Headers],[21]],tabela_registros[REGISTRO],DADOS!$N$4,tabela_registros[TIPO],DADOS!$P$3,tabela_registros[CATEGORIA],despesafixaconsolidadofev[[#This Row],[DESPESA FIXA]])</f>
        <v>0</v>
      </c>
      <c r="Z44" s="91">
        <f>SUMIFS(tabela_registros[VALOR],tabela_registros[MÊS],$AE$1,tabela_registros[DIA],fevtotal30[[#Headers],[22]],tabela_registros[REGISTRO],DADOS!$N$4,tabela_registros[TIPO],DADOS!$P$3,tabela_registros[CATEGORIA],despesafixaconsolidadofev[[#This Row],[DESPESA FIXA]])</f>
        <v>0</v>
      </c>
      <c r="AA44" s="91">
        <f>SUMIFS(tabela_registros[VALOR],tabela_registros[MÊS],$AE$1,tabela_registros[DIA],fevtotal30[[#Headers],[23]],tabela_registros[REGISTRO],DADOS!$N$4,tabela_registros[TIPO],DADOS!$P$3,tabela_registros[CATEGORIA],despesafixaconsolidadofev[[#This Row],[DESPESA FIXA]])</f>
        <v>0</v>
      </c>
      <c r="AB44" s="91">
        <f>SUMIFS(tabela_registros[VALOR],tabela_registros[MÊS],$AE$1,tabela_registros[DIA],fevtotal30[[#Headers],[24]],tabela_registros[REGISTRO],DADOS!$N$4,tabela_registros[TIPO],DADOS!$P$3,tabela_registros[CATEGORIA],despesafixaconsolidadofev[[#This Row],[DESPESA FIXA]])</f>
        <v>0</v>
      </c>
      <c r="AC44" s="91">
        <f>SUMIFS(tabela_registros[VALOR],tabela_registros[MÊS],$AE$1,tabela_registros[DIA],fevtotal30[[#Headers],[25]],tabela_registros[REGISTRO],DADOS!$N$4,tabela_registros[TIPO],DADOS!$P$3,tabela_registros[CATEGORIA],despesafixaconsolidadofev[[#This Row],[DESPESA FIXA]])</f>
        <v>0</v>
      </c>
      <c r="AD44" s="91">
        <f>SUMIFS(tabela_registros[VALOR],tabela_registros[MÊS],$AE$1,tabela_registros[DIA],fevtotal30[[#Headers],[26]],tabela_registros[REGISTRO],DADOS!$N$4,tabela_registros[TIPO],DADOS!$P$3,tabela_registros[CATEGORIA],despesafixaconsolidadofev[[#This Row],[DESPESA FIXA]])</f>
        <v>0</v>
      </c>
      <c r="AE44" s="91">
        <f>SUMIFS(tabela_registros[VALOR],tabela_registros[MÊS],$AE$1,tabela_registros[DIA],fevtotal30[[#Headers],[27]],tabela_registros[REGISTRO],DADOS!$N$4,tabela_registros[TIPO],DADOS!$P$3,tabela_registros[CATEGORIA],despesafixaconsolidadofev[[#This Row],[DESPESA FIXA]])</f>
        <v>0</v>
      </c>
      <c r="AF44" s="91">
        <f>SUMIFS(tabela_registros[VALOR],tabela_registros[MÊS],$AE$1,tabela_registros[DIA],fevtotal30[[#Headers],[28]],tabela_registros[REGISTRO],DADOS!$N$4,tabela_registros[TIPO],DADOS!$P$3,tabela_registros[CATEGORIA],despesafixaconsolidadofev[[#This Row],[DESPESA FIXA]])</f>
        <v>0</v>
      </c>
      <c r="AG44" s="91">
        <f>SUMIFS(tabela_registros[VALOR],tabela_registros[MÊS],$AE$1,tabela_registros[DIA],fevtotal30[[#Headers],[29]],tabela_registros[REGISTRO],DADOS!$N$4,tabela_registros[TIPO],DADOS!$P$3,tabela_registros[CATEGORIA],despesafixaconsolidadofev[[#This Row],[DESPESA FIXA]])</f>
        <v>0</v>
      </c>
      <c r="AH44" s="91">
        <f>SUMIFS(tabela_registros[VALOR],tabela_registros[MÊS],$AE$1,tabela_registros[DIA],fevtotal30[[#Headers],[30]],tabela_registros[REGISTRO],DADOS!$N$4,tabela_registros[TIPO],DADOS!$P$3,tabela_registros[CATEGORIA],despesafixaconsolidadofev[[#This Row],[DESPESA FIXA]])</f>
        <v>0</v>
      </c>
      <c r="AI44" s="101">
        <f>SUMIFS(tabela_registros[VALOR],tabela_registros[MÊS],$AE$1,tabela_registros[DIA],fevtotal30[[#Headers],[31]],tabela_registros[REGISTRO],DADOS!$N$4,tabela_registros[TIPO],DADOS!$P$3,tabela_registros[CATEGORIA],despesafixaconsolidadofev[[#This Row],[DESPESA FIXA]])</f>
        <v>0</v>
      </c>
      <c r="AJ44" s="97">
        <f>SUM(despesafixaconsolidadofev[[#This Row],[1]:[31]])</f>
        <v>0</v>
      </c>
      <c r="AK44" s="28"/>
    </row>
    <row r="45" spans="2:37" ht="18" customHeight="1" thickTop="1" thickBot="1" x14ac:dyDescent="0.3">
      <c r="B45" s="28"/>
      <c r="C45" s="27" t="str">
        <f>DADOS!$R$11</f>
        <v>🔢 IMPOSTOS</v>
      </c>
      <c r="D45" s="26" t="str">
        <f>IF(despesafixaconsolidadofev[[#This Row],[TOTAL]]=0,"",IF(OR(despesafixaconsolidadofev[[#This Row],[TOTAL]]=LARGE($AJ$37:$AJ$50,1),despesafixaconsolidadofev[[#This Row],[TOTAL]]=LARGE($AJ$37:$AJ$50,2),despesafixaconsolidadofev[[#This Row],[TOTAL]]=LARGE($AJ$37:$AJ$50,3),despesafixaconsolidadofev[[#This Row],[TOTAL]]=LARGE($AJ$37:$AJ$50,4),despesafixaconsolidadofev[[#This Row],[TOTAL]]=LARGE($AJ$37:$AJ$50,5)),DADOS!$I$8,""))</f>
        <v/>
      </c>
      <c r="E45" s="96">
        <f>SUMIFS(tabela_registros[VALOR],tabela_registros[MÊS],$AE$1,tabela_registros[DIA],fevtotal30[[#Headers],[1]],tabela_registros[REGISTRO],DADOS!$N$4,tabela_registros[TIPO],DADOS!$P$3,tabela_registros[CATEGORIA],despesafixaconsolidadofev[[#This Row],[DESPESA FIXA]])</f>
        <v>0</v>
      </c>
      <c r="F45" s="91">
        <f>SUMIFS(tabela_registros[VALOR],tabela_registros[MÊS],$AE$1,tabela_registros[DIA],fevtotal30[[#Headers],[2]],tabela_registros[REGISTRO],DADOS!$N$4,tabela_registros[TIPO],DADOS!$P$3,tabela_registros[CATEGORIA],despesafixaconsolidadofev[[#This Row],[DESPESA FIXA]])</f>
        <v>0</v>
      </c>
      <c r="G45" s="91">
        <f>SUMIFS(tabela_registros[VALOR],tabela_registros[MÊS],$AE$1,tabela_registros[DIA],fevtotal30[[#Headers],[3]],tabela_registros[REGISTRO],DADOS!$N$4,tabela_registros[TIPO],DADOS!$P$3,tabela_registros[CATEGORIA],despesafixaconsolidadofev[[#This Row],[DESPESA FIXA]])</f>
        <v>0</v>
      </c>
      <c r="H45" s="91">
        <f>SUMIFS(tabela_registros[VALOR],tabela_registros[MÊS],$AE$1,tabela_registros[DIA],fevtotal30[[#Headers],[4]],tabela_registros[REGISTRO],DADOS!$N$4,tabela_registros[TIPO],DADOS!$P$3,tabela_registros[CATEGORIA],despesafixaconsolidadofev[[#This Row],[DESPESA FIXA]])</f>
        <v>0</v>
      </c>
      <c r="I45" s="91">
        <f>SUMIFS(tabela_registros[VALOR],tabela_registros[MÊS],$AE$1,tabela_registros[DIA],fevtotal30[[#Headers],[5]],tabela_registros[REGISTRO],DADOS!$N$4,tabela_registros[TIPO],DADOS!$P$3,tabela_registros[CATEGORIA],despesafixaconsolidadofev[[#This Row],[DESPESA FIXA]])</f>
        <v>0</v>
      </c>
      <c r="J45" s="91">
        <f>SUMIFS(tabela_registros[VALOR],tabela_registros[MÊS],$AE$1,tabela_registros[DIA],fevtotal30[[#Headers],[6]],tabela_registros[REGISTRO],DADOS!$N$4,tabela_registros[TIPO],DADOS!$P$3,tabela_registros[CATEGORIA],despesafixaconsolidadofev[[#This Row],[DESPESA FIXA]])</f>
        <v>0</v>
      </c>
      <c r="K45" s="91">
        <f>SUMIFS(tabela_registros[VALOR],tabela_registros[MÊS],$AE$1,tabela_registros[DIA],fevtotal30[[#Headers],[7]],tabela_registros[REGISTRO],DADOS!$N$4,tabela_registros[TIPO],DADOS!$P$3,tabela_registros[CATEGORIA],despesafixaconsolidadofev[[#This Row],[DESPESA FIXA]])</f>
        <v>0</v>
      </c>
      <c r="L45" s="91">
        <f>SUMIFS(tabela_registros[VALOR],tabela_registros[MÊS],$AE$1,tabela_registros[DIA],fevtotal30[[#Headers],[8]],tabela_registros[REGISTRO],DADOS!$N$4,tabela_registros[TIPO],DADOS!$P$3,tabela_registros[CATEGORIA],despesafixaconsolidadofev[[#This Row],[DESPESA FIXA]])</f>
        <v>0</v>
      </c>
      <c r="M45" s="91">
        <f>SUMIFS(tabela_registros[VALOR],tabela_registros[MÊS],$AE$1,tabela_registros[DIA],fevtotal30[[#Headers],[9]],tabela_registros[REGISTRO],DADOS!$N$4,tabela_registros[TIPO],DADOS!$P$3,tabela_registros[CATEGORIA],despesafixaconsolidadofev[[#This Row],[DESPESA FIXA]])</f>
        <v>0</v>
      </c>
      <c r="N45" s="91">
        <f>SUMIFS(tabela_registros[VALOR],tabela_registros[MÊS],$AE$1,tabela_registros[DIA],fevtotal30[[#Headers],[10]],tabela_registros[REGISTRO],DADOS!$N$4,tabela_registros[TIPO],DADOS!$P$3,tabela_registros[CATEGORIA],despesafixaconsolidadofev[[#This Row],[DESPESA FIXA]])</f>
        <v>0</v>
      </c>
      <c r="O45" s="91">
        <f>SUMIFS(tabela_registros[VALOR],tabela_registros[MÊS],$AE$1,tabela_registros[DIA],fevtotal30[[#Headers],[11]],tabela_registros[REGISTRO],DADOS!$N$4,tabela_registros[TIPO],DADOS!$P$3,tabela_registros[CATEGORIA],despesafixaconsolidadofev[[#This Row],[DESPESA FIXA]])</f>
        <v>0</v>
      </c>
      <c r="P45" s="91">
        <f>SUMIFS(tabela_registros[VALOR],tabela_registros[MÊS],$AE$1,tabela_registros[DIA],fevtotal30[[#Headers],[12]],tabela_registros[REGISTRO],DADOS!$N$4,tabela_registros[TIPO],DADOS!$P$3,tabela_registros[CATEGORIA],despesafixaconsolidadofev[[#This Row],[DESPESA FIXA]])</f>
        <v>0</v>
      </c>
      <c r="Q45" s="91">
        <f>SUMIFS(tabela_registros[VALOR],tabela_registros[MÊS],$AE$1,tabela_registros[DIA],fevtotal30[[#Headers],[13]],tabela_registros[REGISTRO],DADOS!$N$4,tabela_registros[TIPO],DADOS!$P$3,tabela_registros[CATEGORIA],despesafixaconsolidadofev[[#This Row],[DESPESA FIXA]])</f>
        <v>0</v>
      </c>
      <c r="R45" s="91">
        <f>SUMIFS(tabela_registros[VALOR],tabela_registros[MÊS],$AE$1,tabela_registros[DIA],fevtotal30[[#Headers],[14]],tabela_registros[REGISTRO],DADOS!$N$4,tabela_registros[TIPO],DADOS!$P$3,tabela_registros[CATEGORIA],despesafixaconsolidadofev[[#This Row],[DESPESA FIXA]])</f>
        <v>0</v>
      </c>
      <c r="S45" s="91">
        <f>SUMIFS(tabela_registros[VALOR],tabela_registros[MÊS],$AE$1,tabela_registros[DIA],fevtotal30[[#Headers],[15]],tabela_registros[REGISTRO],DADOS!$N$4,tabela_registros[TIPO],DADOS!$P$3,tabela_registros[CATEGORIA],despesafixaconsolidadofev[[#This Row],[DESPESA FIXA]])</f>
        <v>0</v>
      </c>
      <c r="T45" s="91">
        <f>SUMIFS(tabela_registros[VALOR],tabela_registros[MÊS],$AE$1,tabela_registros[DIA],fevtotal30[[#Headers],[16]],tabela_registros[REGISTRO],DADOS!$N$4,tabela_registros[TIPO],DADOS!$P$3,tabela_registros[CATEGORIA],despesafixaconsolidadofev[[#This Row],[DESPESA FIXA]])</f>
        <v>0</v>
      </c>
      <c r="U45" s="91">
        <f>SUMIFS(tabela_registros[VALOR],tabela_registros[MÊS],$AE$1,tabela_registros[DIA],fevtotal30[[#Headers],[17]],tabela_registros[REGISTRO],DADOS!$N$4,tabela_registros[TIPO],DADOS!$P$3,tabela_registros[CATEGORIA],despesafixaconsolidadofev[[#This Row],[DESPESA FIXA]])</f>
        <v>0</v>
      </c>
      <c r="V45" s="91">
        <f>SUMIFS(tabela_registros[VALOR],tabela_registros[MÊS],$AE$1,tabela_registros[DIA],fevtotal30[[#Headers],[18]],tabela_registros[REGISTRO],DADOS!$N$4,tabela_registros[TIPO],DADOS!$P$3,tabela_registros[CATEGORIA],despesafixaconsolidadofev[[#This Row],[DESPESA FIXA]])</f>
        <v>0</v>
      </c>
      <c r="W45" s="91">
        <f>SUMIFS(tabela_registros[VALOR],tabela_registros[MÊS],$AE$1,tabela_registros[DIA],fevtotal30[[#Headers],[19]],tabela_registros[REGISTRO],DADOS!$N$4,tabela_registros[TIPO],DADOS!$P$3,tabela_registros[CATEGORIA],despesafixaconsolidadofev[[#This Row],[DESPESA FIXA]])</f>
        <v>0</v>
      </c>
      <c r="X45" s="91">
        <f>SUMIFS(tabela_registros[VALOR],tabela_registros[MÊS],$AE$1,tabela_registros[DIA],fevtotal30[[#Headers],[20]],tabela_registros[REGISTRO],DADOS!$N$4,tabela_registros[TIPO],DADOS!$P$3,tabela_registros[CATEGORIA],despesafixaconsolidadofev[[#This Row],[DESPESA FIXA]])</f>
        <v>0</v>
      </c>
      <c r="Y45" s="91">
        <f>SUMIFS(tabela_registros[VALOR],tabela_registros[MÊS],$AE$1,tabela_registros[DIA],fevtotal30[[#Headers],[21]],tabela_registros[REGISTRO],DADOS!$N$4,tabela_registros[TIPO],DADOS!$P$3,tabela_registros[CATEGORIA],despesafixaconsolidadofev[[#This Row],[DESPESA FIXA]])</f>
        <v>0</v>
      </c>
      <c r="Z45" s="91">
        <f>SUMIFS(tabela_registros[VALOR],tabela_registros[MÊS],$AE$1,tabela_registros[DIA],fevtotal30[[#Headers],[22]],tabela_registros[REGISTRO],DADOS!$N$4,tabela_registros[TIPO],DADOS!$P$3,tabela_registros[CATEGORIA],despesafixaconsolidadofev[[#This Row],[DESPESA FIXA]])</f>
        <v>0</v>
      </c>
      <c r="AA45" s="91">
        <f>SUMIFS(tabela_registros[VALOR],tabela_registros[MÊS],$AE$1,tabela_registros[DIA],fevtotal30[[#Headers],[23]],tabela_registros[REGISTRO],DADOS!$N$4,tabela_registros[TIPO],DADOS!$P$3,tabela_registros[CATEGORIA],despesafixaconsolidadofev[[#This Row],[DESPESA FIXA]])</f>
        <v>0</v>
      </c>
      <c r="AB45" s="91">
        <f>SUMIFS(tabela_registros[VALOR],tabela_registros[MÊS],$AE$1,tabela_registros[DIA],fevtotal30[[#Headers],[24]],tabela_registros[REGISTRO],DADOS!$N$4,tabela_registros[TIPO],DADOS!$P$3,tabela_registros[CATEGORIA],despesafixaconsolidadofev[[#This Row],[DESPESA FIXA]])</f>
        <v>0</v>
      </c>
      <c r="AC45" s="91">
        <f>SUMIFS(tabela_registros[VALOR],tabela_registros[MÊS],$AE$1,tabela_registros[DIA],fevtotal30[[#Headers],[25]],tabela_registros[REGISTRO],DADOS!$N$4,tabela_registros[TIPO],DADOS!$P$3,tabela_registros[CATEGORIA],despesafixaconsolidadofev[[#This Row],[DESPESA FIXA]])</f>
        <v>0</v>
      </c>
      <c r="AD45" s="91">
        <f>SUMIFS(tabela_registros[VALOR],tabela_registros[MÊS],$AE$1,tabela_registros[DIA],fevtotal30[[#Headers],[26]],tabela_registros[REGISTRO],DADOS!$N$4,tabela_registros[TIPO],DADOS!$P$3,tabela_registros[CATEGORIA],despesafixaconsolidadofev[[#This Row],[DESPESA FIXA]])</f>
        <v>0</v>
      </c>
      <c r="AE45" s="91">
        <f>SUMIFS(tabela_registros[VALOR],tabela_registros[MÊS],$AE$1,tabela_registros[DIA],fevtotal30[[#Headers],[27]],tabela_registros[REGISTRO],DADOS!$N$4,tabela_registros[TIPO],DADOS!$P$3,tabela_registros[CATEGORIA],despesafixaconsolidadofev[[#This Row],[DESPESA FIXA]])</f>
        <v>0</v>
      </c>
      <c r="AF45" s="91">
        <f>SUMIFS(tabela_registros[VALOR],tabela_registros[MÊS],$AE$1,tabela_registros[DIA],fevtotal30[[#Headers],[28]],tabela_registros[REGISTRO],DADOS!$N$4,tabela_registros[TIPO],DADOS!$P$3,tabela_registros[CATEGORIA],despesafixaconsolidadofev[[#This Row],[DESPESA FIXA]])</f>
        <v>0</v>
      </c>
      <c r="AG45" s="91">
        <f>SUMIFS(tabela_registros[VALOR],tabela_registros[MÊS],$AE$1,tabela_registros[DIA],fevtotal30[[#Headers],[29]],tabela_registros[REGISTRO],DADOS!$N$4,tabela_registros[TIPO],DADOS!$P$3,tabela_registros[CATEGORIA],despesafixaconsolidadofev[[#This Row],[DESPESA FIXA]])</f>
        <v>0</v>
      </c>
      <c r="AH45" s="91">
        <f>SUMIFS(tabela_registros[VALOR],tabela_registros[MÊS],$AE$1,tabela_registros[DIA],fevtotal30[[#Headers],[30]],tabela_registros[REGISTRO],DADOS!$N$4,tabela_registros[TIPO],DADOS!$P$3,tabela_registros[CATEGORIA],despesafixaconsolidadofev[[#This Row],[DESPESA FIXA]])</f>
        <v>0</v>
      </c>
      <c r="AI45" s="101">
        <f>SUMIFS(tabela_registros[VALOR],tabela_registros[MÊS],$AE$1,tabela_registros[DIA],fevtotal30[[#Headers],[31]],tabela_registros[REGISTRO],DADOS!$N$4,tabela_registros[TIPO],DADOS!$P$3,tabela_registros[CATEGORIA],despesafixaconsolidadofev[[#This Row],[DESPESA FIXA]])</f>
        <v>0</v>
      </c>
      <c r="AJ45" s="97">
        <f>SUM(despesafixaconsolidadofev[[#This Row],[1]:[31]])</f>
        <v>0</v>
      </c>
      <c r="AK45" s="28"/>
    </row>
    <row r="46" spans="2:37" ht="18" customHeight="1" thickTop="1" thickBot="1" x14ac:dyDescent="0.3">
      <c r="B46" s="28"/>
      <c r="C46" s="27" t="str">
        <f>DADOS!$R$12</f>
        <v>🖱️ INTERNET</v>
      </c>
      <c r="D46" s="26" t="str">
        <f>IF(despesafixaconsolidadofev[[#This Row],[TOTAL]]=0,"",IF(OR(despesafixaconsolidadofev[[#This Row],[TOTAL]]=LARGE($AJ$37:$AJ$50,1),despesafixaconsolidadofev[[#This Row],[TOTAL]]=LARGE($AJ$37:$AJ$50,2),despesafixaconsolidadofev[[#This Row],[TOTAL]]=LARGE($AJ$37:$AJ$50,3),despesafixaconsolidadofev[[#This Row],[TOTAL]]=LARGE($AJ$37:$AJ$50,4),despesafixaconsolidadofev[[#This Row],[TOTAL]]=LARGE($AJ$37:$AJ$50,5)),DADOS!$I$8,""))</f>
        <v/>
      </c>
      <c r="E46" s="96">
        <f>SUMIFS(tabela_registros[VALOR],tabela_registros[MÊS],$AE$1,tabela_registros[DIA],fevtotal30[[#Headers],[1]],tabela_registros[REGISTRO],DADOS!$N$4,tabela_registros[TIPO],DADOS!$P$3,tabela_registros[CATEGORIA],despesafixaconsolidadofev[[#This Row],[DESPESA FIXA]])</f>
        <v>0</v>
      </c>
      <c r="F46" s="91">
        <f>SUMIFS(tabela_registros[VALOR],tabela_registros[MÊS],$AE$1,tabela_registros[DIA],fevtotal30[[#Headers],[2]],tabela_registros[REGISTRO],DADOS!$N$4,tabela_registros[TIPO],DADOS!$P$3,tabela_registros[CATEGORIA],despesafixaconsolidadofev[[#This Row],[DESPESA FIXA]])</f>
        <v>0</v>
      </c>
      <c r="G46" s="91">
        <f>SUMIFS(tabela_registros[VALOR],tabela_registros[MÊS],$AE$1,tabela_registros[DIA],fevtotal30[[#Headers],[3]],tabela_registros[REGISTRO],DADOS!$N$4,tabela_registros[TIPO],DADOS!$P$3,tabela_registros[CATEGORIA],despesafixaconsolidadofev[[#This Row],[DESPESA FIXA]])</f>
        <v>0</v>
      </c>
      <c r="H46" s="91">
        <f>SUMIFS(tabela_registros[VALOR],tabela_registros[MÊS],$AE$1,tabela_registros[DIA],fevtotal30[[#Headers],[4]],tabela_registros[REGISTRO],DADOS!$N$4,tabela_registros[TIPO],DADOS!$P$3,tabela_registros[CATEGORIA],despesafixaconsolidadofev[[#This Row],[DESPESA FIXA]])</f>
        <v>0</v>
      </c>
      <c r="I46" s="91">
        <f>SUMIFS(tabela_registros[VALOR],tabela_registros[MÊS],$AE$1,tabela_registros[DIA],fevtotal30[[#Headers],[5]],tabela_registros[REGISTRO],DADOS!$N$4,tabela_registros[TIPO],DADOS!$P$3,tabela_registros[CATEGORIA],despesafixaconsolidadofev[[#This Row],[DESPESA FIXA]])</f>
        <v>0</v>
      </c>
      <c r="J46" s="91">
        <f>SUMIFS(tabela_registros[VALOR],tabela_registros[MÊS],$AE$1,tabela_registros[DIA],fevtotal30[[#Headers],[6]],tabela_registros[REGISTRO],DADOS!$N$4,tabela_registros[TIPO],DADOS!$P$3,tabela_registros[CATEGORIA],despesafixaconsolidadofev[[#This Row],[DESPESA FIXA]])</f>
        <v>0</v>
      </c>
      <c r="K46" s="91">
        <f>SUMIFS(tabela_registros[VALOR],tabela_registros[MÊS],$AE$1,tabela_registros[DIA],fevtotal30[[#Headers],[7]],tabela_registros[REGISTRO],DADOS!$N$4,tabela_registros[TIPO],DADOS!$P$3,tabela_registros[CATEGORIA],despesafixaconsolidadofev[[#This Row],[DESPESA FIXA]])</f>
        <v>0</v>
      </c>
      <c r="L46" s="91">
        <f>SUMIFS(tabela_registros[VALOR],tabela_registros[MÊS],$AE$1,tabela_registros[DIA],fevtotal30[[#Headers],[8]],tabela_registros[REGISTRO],DADOS!$N$4,tabela_registros[TIPO],DADOS!$P$3,tabela_registros[CATEGORIA],despesafixaconsolidadofev[[#This Row],[DESPESA FIXA]])</f>
        <v>0</v>
      </c>
      <c r="M46" s="91">
        <f>SUMIFS(tabela_registros[VALOR],tabela_registros[MÊS],$AE$1,tabela_registros[DIA],fevtotal30[[#Headers],[9]],tabela_registros[REGISTRO],DADOS!$N$4,tabela_registros[TIPO],DADOS!$P$3,tabela_registros[CATEGORIA],despesafixaconsolidadofev[[#This Row],[DESPESA FIXA]])</f>
        <v>0</v>
      </c>
      <c r="N46" s="91">
        <f>SUMIFS(tabela_registros[VALOR],tabela_registros[MÊS],$AE$1,tabela_registros[DIA],fevtotal30[[#Headers],[10]],tabela_registros[REGISTRO],DADOS!$N$4,tabela_registros[TIPO],DADOS!$P$3,tabela_registros[CATEGORIA],despesafixaconsolidadofev[[#This Row],[DESPESA FIXA]])</f>
        <v>0</v>
      </c>
      <c r="O46" s="91">
        <f>SUMIFS(tabela_registros[VALOR],tabela_registros[MÊS],$AE$1,tabela_registros[DIA],fevtotal30[[#Headers],[11]],tabela_registros[REGISTRO],DADOS!$N$4,tabela_registros[TIPO],DADOS!$P$3,tabela_registros[CATEGORIA],despesafixaconsolidadofev[[#This Row],[DESPESA FIXA]])</f>
        <v>0</v>
      </c>
      <c r="P46" s="91">
        <f>SUMIFS(tabela_registros[VALOR],tabela_registros[MÊS],$AE$1,tabela_registros[DIA],fevtotal30[[#Headers],[12]],tabela_registros[REGISTRO],DADOS!$N$4,tabela_registros[TIPO],DADOS!$P$3,tabela_registros[CATEGORIA],despesafixaconsolidadofev[[#This Row],[DESPESA FIXA]])</f>
        <v>0</v>
      </c>
      <c r="Q46" s="91">
        <f>SUMIFS(tabela_registros[VALOR],tabela_registros[MÊS],$AE$1,tabela_registros[DIA],fevtotal30[[#Headers],[13]],tabela_registros[REGISTRO],DADOS!$N$4,tabela_registros[TIPO],DADOS!$P$3,tabela_registros[CATEGORIA],despesafixaconsolidadofev[[#This Row],[DESPESA FIXA]])</f>
        <v>0</v>
      </c>
      <c r="R46" s="91">
        <f>SUMIFS(tabela_registros[VALOR],tabela_registros[MÊS],$AE$1,tabela_registros[DIA],fevtotal30[[#Headers],[14]],tabela_registros[REGISTRO],DADOS!$N$4,tabela_registros[TIPO],DADOS!$P$3,tabela_registros[CATEGORIA],despesafixaconsolidadofev[[#This Row],[DESPESA FIXA]])</f>
        <v>0</v>
      </c>
      <c r="S46" s="91">
        <f>SUMIFS(tabela_registros[VALOR],tabela_registros[MÊS],$AE$1,tabela_registros[DIA],fevtotal30[[#Headers],[15]],tabela_registros[REGISTRO],DADOS!$N$4,tabela_registros[TIPO],DADOS!$P$3,tabela_registros[CATEGORIA],despesafixaconsolidadofev[[#This Row],[DESPESA FIXA]])</f>
        <v>0</v>
      </c>
      <c r="T46" s="91">
        <f>SUMIFS(tabela_registros[VALOR],tabela_registros[MÊS],$AE$1,tabela_registros[DIA],fevtotal30[[#Headers],[16]],tabela_registros[REGISTRO],DADOS!$N$4,tabela_registros[TIPO],DADOS!$P$3,tabela_registros[CATEGORIA],despesafixaconsolidadofev[[#This Row],[DESPESA FIXA]])</f>
        <v>0</v>
      </c>
      <c r="U46" s="91">
        <f>SUMIFS(tabela_registros[VALOR],tabela_registros[MÊS],$AE$1,tabela_registros[DIA],fevtotal30[[#Headers],[17]],tabela_registros[REGISTRO],DADOS!$N$4,tabela_registros[TIPO],DADOS!$P$3,tabela_registros[CATEGORIA],despesafixaconsolidadofev[[#This Row],[DESPESA FIXA]])</f>
        <v>0</v>
      </c>
      <c r="V46" s="91">
        <f>SUMIFS(tabela_registros[VALOR],tabela_registros[MÊS],$AE$1,tabela_registros[DIA],fevtotal30[[#Headers],[18]],tabela_registros[REGISTRO],DADOS!$N$4,tabela_registros[TIPO],DADOS!$P$3,tabela_registros[CATEGORIA],despesafixaconsolidadofev[[#This Row],[DESPESA FIXA]])</f>
        <v>0</v>
      </c>
      <c r="W46" s="91">
        <f>SUMIFS(tabela_registros[VALOR],tabela_registros[MÊS],$AE$1,tabela_registros[DIA],fevtotal30[[#Headers],[19]],tabela_registros[REGISTRO],DADOS!$N$4,tabela_registros[TIPO],DADOS!$P$3,tabela_registros[CATEGORIA],despesafixaconsolidadofev[[#This Row],[DESPESA FIXA]])</f>
        <v>0</v>
      </c>
      <c r="X46" s="91">
        <f>SUMIFS(tabela_registros[VALOR],tabela_registros[MÊS],$AE$1,tabela_registros[DIA],fevtotal30[[#Headers],[20]],tabela_registros[REGISTRO],DADOS!$N$4,tabela_registros[TIPO],DADOS!$P$3,tabela_registros[CATEGORIA],despesafixaconsolidadofev[[#This Row],[DESPESA FIXA]])</f>
        <v>0</v>
      </c>
      <c r="Y46" s="91">
        <f>SUMIFS(tabela_registros[VALOR],tabela_registros[MÊS],$AE$1,tabela_registros[DIA],fevtotal30[[#Headers],[21]],tabela_registros[REGISTRO],DADOS!$N$4,tabela_registros[TIPO],DADOS!$P$3,tabela_registros[CATEGORIA],despesafixaconsolidadofev[[#This Row],[DESPESA FIXA]])</f>
        <v>0</v>
      </c>
      <c r="Z46" s="91">
        <f>SUMIFS(tabela_registros[VALOR],tabela_registros[MÊS],$AE$1,tabela_registros[DIA],fevtotal30[[#Headers],[22]],tabela_registros[REGISTRO],DADOS!$N$4,tabela_registros[TIPO],DADOS!$P$3,tabela_registros[CATEGORIA],despesafixaconsolidadofev[[#This Row],[DESPESA FIXA]])</f>
        <v>0</v>
      </c>
      <c r="AA46" s="91">
        <f>SUMIFS(tabela_registros[VALOR],tabela_registros[MÊS],$AE$1,tabela_registros[DIA],fevtotal30[[#Headers],[23]],tabela_registros[REGISTRO],DADOS!$N$4,tabela_registros[TIPO],DADOS!$P$3,tabela_registros[CATEGORIA],despesafixaconsolidadofev[[#This Row],[DESPESA FIXA]])</f>
        <v>0</v>
      </c>
      <c r="AB46" s="91">
        <f>SUMIFS(tabela_registros[VALOR],tabela_registros[MÊS],$AE$1,tabela_registros[DIA],fevtotal30[[#Headers],[24]],tabela_registros[REGISTRO],DADOS!$N$4,tabela_registros[TIPO],DADOS!$P$3,tabela_registros[CATEGORIA],despesafixaconsolidadofev[[#This Row],[DESPESA FIXA]])</f>
        <v>0</v>
      </c>
      <c r="AC46" s="91">
        <f>SUMIFS(tabela_registros[VALOR],tabela_registros[MÊS],$AE$1,tabela_registros[DIA],fevtotal30[[#Headers],[25]],tabela_registros[REGISTRO],DADOS!$N$4,tabela_registros[TIPO],DADOS!$P$3,tabela_registros[CATEGORIA],despesafixaconsolidadofev[[#This Row],[DESPESA FIXA]])</f>
        <v>0</v>
      </c>
      <c r="AD46" s="91">
        <f>SUMIFS(tabela_registros[VALOR],tabela_registros[MÊS],$AE$1,tabela_registros[DIA],fevtotal30[[#Headers],[26]],tabela_registros[REGISTRO],DADOS!$N$4,tabela_registros[TIPO],DADOS!$P$3,tabela_registros[CATEGORIA],despesafixaconsolidadofev[[#This Row],[DESPESA FIXA]])</f>
        <v>0</v>
      </c>
      <c r="AE46" s="91">
        <f>SUMIFS(tabela_registros[VALOR],tabela_registros[MÊS],$AE$1,tabela_registros[DIA],fevtotal30[[#Headers],[27]],tabela_registros[REGISTRO],DADOS!$N$4,tabela_registros[TIPO],DADOS!$P$3,tabela_registros[CATEGORIA],despesafixaconsolidadofev[[#This Row],[DESPESA FIXA]])</f>
        <v>0</v>
      </c>
      <c r="AF46" s="91">
        <f>SUMIFS(tabela_registros[VALOR],tabela_registros[MÊS],$AE$1,tabela_registros[DIA],fevtotal30[[#Headers],[28]],tabela_registros[REGISTRO],DADOS!$N$4,tabela_registros[TIPO],DADOS!$P$3,tabela_registros[CATEGORIA],despesafixaconsolidadofev[[#This Row],[DESPESA FIXA]])</f>
        <v>0</v>
      </c>
      <c r="AG46" s="91">
        <f>SUMIFS(tabela_registros[VALOR],tabela_registros[MÊS],$AE$1,tabela_registros[DIA],fevtotal30[[#Headers],[29]],tabela_registros[REGISTRO],DADOS!$N$4,tabela_registros[TIPO],DADOS!$P$3,tabela_registros[CATEGORIA],despesafixaconsolidadofev[[#This Row],[DESPESA FIXA]])</f>
        <v>0</v>
      </c>
      <c r="AH46" s="91">
        <f>SUMIFS(tabela_registros[VALOR],tabela_registros[MÊS],$AE$1,tabela_registros[DIA],fevtotal30[[#Headers],[30]],tabela_registros[REGISTRO],DADOS!$N$4,tabela_registros[TIPO],DADOS!$P$3,tabela_registros[CATEGORIA],despesafixaconsolidadofev[[#This Row],[DESPESA FIXA]])</f>
        <v>0</v>
      </c>
      <c r="AI46" s="101">
        <f>SUMIFS(tabela_registros[VALOR],tabela_registros[MÊS],$AE$1,tabela_registros[DIA],fevtotal30[[#Headers],[31]],tabela_registros[REGISTRO],DADOS!$N$4,tabela_registros[TIPO],DADOS!$P$3,tabela_registros[CATEGORIA],despesafixaconsolidadofev[[#This Row],[DESPESA FIXA]])</f>
        <v>0</v>
      </c>
      <c r="AJ46" s="97">
        <f>SUM(despesafixaconsolidadofev[[#This Row],[1]:[31]])</f>
        <v>0</v>
      </c>
      <c r="AK46" s="28"/>
    </row>
    <row r="47" spans="2:37" ht="18" customHeight="1" thickTop="1" thickBot="1" x14ac:dyDescent="0.3">
      <c r="B47" s="28"/>
      <c r="C47" s="27" t="str">
        <f>DADOS!$R$13</f>
        <v>🏠 MORADIA</v>
      </c>
      <c r="D47" s="26" t="str">
        <f>IF(despesafixaconsolidadofev[[#This Row],[TOTAL]]=0,"",IF(OR(despesafixaconsolidadofev[[#This Row],[TOTAL]]=LARGE($AJ$37:$AJ$50,1),despesafixaconsolidadofev[[#This Row],[TOTAL]]=LARGE($AJ$37:$AJ$50,2),despesafixaconsolidadofev[[#This Row],[TOTAL]]=LARGE($AJ$37:$AJ$50,3),despesafixaconsolidadofev[[#This Row],[TOTAL]]=LARGE($AJ$37:$AJ$50,4),despesafixaconsolidadofev[[#This Row],[TOTAL]]=LARGE($AJ$37:$AJ$50,5)),DADOS!$I$8,""))</f>
        <v/>
      </c>
      <c r="E47" s="96">
        <f>SUMIFS(tabela_registros[VALOR],tabela_registros[MÊS],$AE$1,tabela_registros[DIA],fevtotal30[[#Headers],[1]],tabela_registros[REGISTRO],DADOS!$N$4,tabela_registros[TIPO],DADOS!$P$3,tabela_registros[CATEGORIA],despesafixaconsolidadofev[[#This Row],[DESPESA FIXA]])</f>
        <v>0</v>
      </c>
      <c r="F47" s="91">
        <f>SUMIFS(tabela_registros[VALOR],tabela_registros[MÊS],$AE$1,tabela_registros[DIA],fevtotal30[[#Headers],[2]],tabela_registros[REGISTRO],DADOS!$N$4,tabela_registros[TIPO],DADOS!$P$3,tabela_registros[CATEGORIA],despesafixaconsolidadofev[[#This Row],[DESPESA FIXA]])</f>
        <v>0</v>
      </c>
      <c r="G47" s="91">
        <f>SUMIFS(tabela_registros[VALOR],tabela_registros[MÊS],$AE$1,tabela_registros[DIA],fevtotal30[[#Headers],[3]],tabela_registros[REGISTRO],DADOS!$N$4,tabela_registros[TIPO],DADOS!$P$3,tabela_registros[CATEGORIA],despesafixaconsolidadofev[[#This Row],[DESPESA FIXA]])</f>
        <v>0</v>
      </c>
      <c r="H47" s="91">
        <f>SUMIFS(tabela_registros[VALOR],tabela_registros[MÊS],$AE$1,tabela_registros[DIA],fevtotal30[[#Headers],[4]],tabela_registros[REGISTRO],DADOS!$N$4,tabela_registros[TIPO],DADOS!$P$3,tabela_registros[CATEGORIA],despesafixaconsolidadofev[[#This Row],[DESPESA FIXA]])</f>
        <v>0</v>
      </c>
      <c r="I47" s="91">
        <f>SUMIFS(tabela_registros[VALOR],tabela_registros[MÊS],$AE$1,tabela_registros[DIA],fevtotal30[[#Headers],[5]],tabela_registros[REGISTRO],DADOS!$N$4,tabela_registros[TIPO],DADOS!$P$3,tabela_registros[CATEGORIA],despesafixaconsolidadofev[[#This Row],[DESPESA FIXA]])</f>
        <v>0</v>
      </c>
      <c r="J47" s="91">
        <f>SUMIFS(tabela_registros[VALOR],tabela_registros[MÊS],$AE$1,tabela_registros[DIA],fevtotal30[[#Headers],[6]],tabela_registros[REGISTRO],DADOS!$N$4,tabela_registros[TIPO],DADOS!$P$3,tabela_registros[CATEGORIA],despesafixaconsolidadofev[[#This Row],[DESPESA FIXA]])</f>
        <v>0</v>
      </c>
      <c r="K47" s="91">
        <f>SUMIFS(tabela_registros[VALOR],tabela_registros[MÊS],$AE$1,tabela_registros[DIA],fevtotal30[[#Headers],[7]],tabela_registros[REGISTRO],DADOS!$N$4,tabela_registros[TIPO],DADOS!$P$3,tabela_registros[CATEGORIA],despesafixaconsolidadofev[[#This Row],[DESPESA FIXA]])</f>
        <v>0</v>
      </c>
      <c r="L47" s="91">
        <f>SUMIFS(tabela_registros[VALOR],tabela_registros[MÊS],$AE$1,tabela_registros[DIA],fevtotal30[[#Headers],[8]],tabela_registros[REGISTRO],DADOS!$N$4,tabela_registros[TIPO],DADOS!$P$3,tabela_registros[CATEGORIA],despesafixaconsolidadofev[[#This Row],[DESPESA FIXA]])</f>
        <v>0</v>
      </c>
      <c r="M47" s="91">
        <f>SUMIFS(tabela_registros[VALOR],tabela_registros[MÊS],$AE$1,tabela_registros[DIA],fevtotal30[[#Headers],[9]],tabela_registros[REGISTRO],DADOS!$N$4,tabela_registros[TIPO],DADOS!$P$3,tabela_registros[CATEGORIA],despesafixaconsolidadofev[[#This Row],[DESPESA FIXA]])</f>
        <v>0</v>
      </c>
      <c r="N47" s="91">
        <f>SUMIFS(tabela_registros[VALOR],tabela_registros[MÊS],$AE$1,tabela_registros[DIA],fevtotal30[[#Headers],[10]],tabela_registros[REGISTRO],DADOS!$N$4,tabela_registros[TIPO],DADOS!$P$3,tabela_registros[CATEGORIA],despesafixaconsolidadofev[[#This Row],[DESPESA FIXA]])</f>
        <v>0</v>
      </c>
      <c r="O47" s="91">
        <f>SUMIFS(tabela_registros[VALOR],tabela_registros[MÊS],$AE$1,tabela_registros[DIA],fevtotal30[[#Headers],[11]],tabela_registros[REGISTRO],DADOS!$N$4,tabela_registros[TIPO],DADOS!$P$3,tabela_registros[CATEGORIA],despesafixaconsolidadofev[[#This Row],[DESPESA FIXA]])</f>
        <v>0</v>
      </c>
      <c r="P47" s="91">
        <f>SUMIFS(tabela_registros[VALOR],tabela_registros[MÊS],$AE$1,tabela_registros[DIA],fevtotal30[[#Headers],[12]],tabela_registros[REGISTRO],DADOS!$N$4,tabela_registros[TIPO],DADOS!$P$3,tabela_registros[CATEGORIA],despesafixaconsolidadofev[[#This Row],[DESPESA FIXA]])</f>
        <v>0</v>
      </c>
      <c r="Q47" s="91">
        <f>SUMIFS(tabela_registros[VALOR],tabela_registros[MÊS],$AE$1,tabela_registros[DIA],fevtotal30[[#Headers],[13]],tabela_registros[REGISTRO],DADOS!$N$4,tabela_registros[TIPO],DADOS!$P$3,tabela_registros[CATEGORIA],despesafixaconsolidadofev[[#This Row],[DESPESA FIXA]])</f>
        <v>0</v>
      </c>
      <c r="R47" s="91">
        <f>SUMIFS(tabela_registros[VALOR],tabela_registros[MÊS],$AE$1,tabela_registros[DIA],fevtotal30[[#Headers],[14]],tabela_registros[REGISTRO],DADOS!$N$4,tabela_registros[TIPO],DADOS!$P$3,tabela_registros[CATEGORIA],despesafixaconsolidadofev[[#This Row],[DESPESA FIXA]])</f>
        <v>0</v>
      </c>
      <c r="S47" s="91">
        <f>SUMIFS(tabela_registros[VALOR],tabela_registros[MÊS],$AE$1,tabela_registros[DIA],fevtotal30[[#Headers],[15]],tabela_registros[REGISTRO],DADOS!$N$4,tabela_registros[TIPO],DADOS!$P$3,tabela_registros[CATEGORIA],despesafixaconsolidadofev[[#This Row],[DESPESA FIXA]])</f>
        <v>0</v>
      </c>
      <c r="T47" s="91">
        <f>SUMIFS(tabela_registros[VALOR],tabela_registros[MÊS],$AE$1,tabela_registros[DIA],fevtotal30[[#Headers],[16]],tabela_registros[REGISTRO],DADOS!$N$4,tabela_registros[TIPO],DADOS!$P$3,tabela_registros[CATEGORIA],despesafixaconsolidadofev[[#This Row],[DESPESA FIXA]])</f>
        <v>0</v>
      </c>
      <c r="U47" s="91">
        <f>SUMIFS(tabela_registros[VALOR],tabela_registros[MÊS],$AE$1,tabela_registros[DIA],fevtotal30[[#Headers],[17]],tabela_registros[REGISTRO],DADOS!$N$4,tabela_registros[TIPO],DADOS!$P$3,tabela_registros[CATEGORIA],despesafixaconsolidadofev[[#This Row],[DESPESA FIXA]])</f>
        <v>0</v>
      </c>
      <c r="V47" s="91">
        <f>SUMIFS(tabela_registros[VALOR],tabela_registros[MÊS],$AE$1,tabela_registros[DIA],fevtotal30[[#Headers],[18]],tabela_registros[REGISTRO],DADOS!$N$4,tabela_registros[TIPO],DADOS!$P$3,tabela_registros[CATEGORIA],despesafixaconsolidadofev[[#This Row],[DESPESA FIXA]])</f>
        <v>0</v>
      </c>
      <c r="W47" s="91">
        <f>SUMIFS(tabela_registros[VALOR],tabela_registros[MÊS],$AE$1,tabela_registros[DIA],fevtotal30[[#Headers],[19]],tabela_registros[REGISTRO],DADOS!$N$4,tabela_registros[TIPO],DADOS!$P$3,tabela_registros[CATEGORIA],despesafixaconsolidadofev[[#This Row],[DESPESA FIXA]])</f>
        <v>0</v>
      </c>
      <c r="X47" s="91">
        <f>SUMIFS(tabela_registros[VALOR],tabela_registros[MÊS],$AE$1,tabela_registros[DIA],fevtotal30[[#Headers],[20]],tabela_registros[REGISTRO],DADOS!$N$4,tabela_registros[TIPO],DADOS!$P$3,tabela_registros[CATEGORIA],despesafixaconsolidadofev[[#This Row],[DESPESA FIXA]])</f>
        <v>0</v>
      </c>
      <c r="Y47" s="91">
        <f>SUMIFS(tabela_registros[VALOR],tabela_registros[MÊS],$AE$1,tabela_registros[DIA],fevtotal30[[#Headers],[21]],tabela_registros[REGISTRO],DADOS!$N$4,tabela_registros[TIPO],DADOS!$P$3,tabela_registros[CATEGORIA],despesafixaconsolidadofev[[#This Row],[DESPESA FIXA]])</f>
        <v>0</v>
      </c>
      <c r="Z47" s="91">
        <f>SUMIFS(tabela_registros[VALOR],tabela_registros[MÊS],$AE$1,tabela_registros[DIA],fevtotal30[[#Headers],[22]],tabela_registros[REGISTRO],DADOS!$N$4,tabela_registros[TIPO],DADOS!$P$3,tabela_registros[CATEGORIA],despesafixaconsolidadofev[[#This Row],[DESPESA FIXA]])</f>
        <v>0</v>
      </c>
      <c r="AA47" s="91">
        <f>SUMIFS(tabela_registros[VALOR],tabela_registros[MÊS],$AE$1,tabela_registros[DIA],fevtotal30[[#Headers],[23]],tabela_registros[REGISTRO],DADOS!$N$4,tabela_registros[TIPO],DADOS!$P$3,tabela_registros[CATEGORIA],despesafixaconsolidadofev[[#This Row],[DESPESA FIXA]])</f>
        <v>0</v>
      </c>
      <c r="AB47" s="91">
        <f>SUMIFS(tabela_registros[VALOR],tabela_registros[MÊS],$AE$1,tabela_registros[DIA],fevtotal30[[#Headers],[24]],tabela_registros[REGISTRO],DADOS!$N$4,tabela_registros[TIPO],DADOS!$P$3,tabela_registros[CATEGORIA],despesafixaconsolidadofev[[#This Row],[DESPESA FIXA]])</f>
        <v>0</v>
      </c>
      <c r="AC47" s="91">
        <f>SUMIFS(tabela_registros[VALOR],tabela_registros[MÊS],$AE$1,tabela_registros[DIA],fevtotal30[[#Headers],[25]],tabela_registros[REGISTRO],DADOS!$N$4,tabela_registros[TIPO],DADOS!$P$3,tabela_registros[CATEGORIA],despesafixaconsolidadofev[[#This Row],[DESPESA FIXA]])</f>
        <v>0</v>
      </c>
      <c r="AD47" s="91">
        <f>SUMIFS(tabela_registros[VALOR],tabela_registros[MÊS],$AE$1,tabela_registros[DIA],fevtotal30[[#Headers],[26]],tabela_registros[REGISTRO],DADOS!$N$4,tabela_registros[TIPO],DADOS!$P$3,tabela_registros[CATEGORIA],despesafixaconsolidadofev[[#This Row],[DESPESA FIXA]])</f>
        <v>0</v>
      </c>
      <c r="AE47" s="91">
        <f>SUMIFS(tabela_registros[VALOR],tabela_registros[MÊS],$AE$1,tabela_registros[DIA],fevtotal30[[#Headers],[27]],tabela_registros[REGISTRO],DADOS!$N$4,tabela_registros[TIPO],DADOS!$P$3,tabela_registros[CATEGORIA],despesafixaconsolidadofev[[#This Row],[DESPESA FIXA]])</f>
        <v>0</v>
      </c>
      <c r="AF47" s="91">
        <f>SUMIFS(tabela_registros[VALOR],tabela_registros[MÊS],$AE$1,tabela_registros[DIA],fevtotal30[[#Headers],[28]],tabela_registros[REGISTRO],DADOS!$N$4,tabela_registros[TIPO],DADOS!$P$3,tabela_registros[CATEGORIA],despesafixaconsolidadofev[[#This Row],[DESPESA FIXA]])</f>
        <v>0</v>
      </c>
      <c r="AG47" s="91">
        <f>SUMIFS(tabela_registros[VALOR],tabela_registros[MÊS],$AE$1,tabela_registros[DIA],fevtotal30[[#Headers],[29]],tabela_registros[REGISTRO],DADOS!$N$4,tabela_registros[TIPO],DADOS!$P$3,tabela_registros[CATEGORIA],despesafixaconsolidadofev[[#This Row],[DESPESA FIXA]])</f>
        <v>0</v>
      </c>
      <c r="AH47" s="91">
        <f>SUMIFS(tabela_registros[VALOR],tabela_registros[MÊS],$AE$1,tabela_registros[DIA],fevtotal30[[#Headers],[30]],tabela_registros[REGISTRO],DADOS!$N$4,tabela_registros[TIPO],DADOS!$P$3,tabela_registros[CATEGORIA],despesafixaconsolidadofev[[#This Row],[DESPESA FIXA]])</f>
        <v>0</v>
      </c>
      <c r="AI47" s="101">
        <f>SUMIFS(tabela_registros[VALOR],tabela_registros[MÊS],$AE$1,tabela_registros[DIA],fevtotal30[[#Headers],[31]],tabela_registros[REGISTRO],DADOS!$N$4,tabela_registros[TIPO],DADOS!$P$3,tabela_registros[CATEGORIA],despesafixaconsolidadofev[[#This Row],[DESPESA FIXA]])</f>
        <v>0</v>
      </c>
      <c r="AJ47" s="97">
        <f>SUM(despesafixaconsolidadofev[[#This Row],[1]:[31]])</f>
        <v>0</v>
      </c>
      <c r="AK47" s="28"/>
    </row>
    <row r="48" spans="2:37" ht="18" customHeight="1" thickTop="1" thickBot="1" x14ac:dyDescent="0.3">
      <c r="B48" s="28"/>
      <c r="C48" s="27" t="str">
        <f>DADOS!$R$14</f>
        <v>💊 SAÚDE</v>
      </c>
      <c r="D48" s="26" t="str">
        <f>IF(despesafixaconsolidadofev[[#This Row],[TOTAL]]=0,"",IF(OR(despesafixaconsolidadofev[[#This Row],[TOTAL]]=LARGE($AJ$37:$AJ$50,1),despesafixaconsolidadofev[[#This Row],[TOTAL]]=LARGE($AJ$37:$AJ$50,2),despesafixaconsolidadofev[[#This Row],[TOTAL]]=LARGE($AJ$37:$AJ$50,3),despesafixaconsolidadofev[[#This Row],[TOTAL]]=LARGE($AJ$37:$AJ$50,4),despesafixaconsolidadofev[[#This Row],[TOTAL]]=LARGE($AJ$37:$AJ$50,5)),DADOS!$I$8,""))</f>
        <v/>
      </c>
      <c r="E48" s="96">
        <f>SUMIFS(tabela_registros[VALOR],tabela_registros[MÊS],$AE$1,tabela_registros[DIA],fevtotal30[[#Headers],[1]],tabela_registros[REGISTRO],DADOS!$N$4,tabela_registros[TIPO],DADOS!$P$3,tabela_registros[CATEGORIA],despesafixaconsolidadofev[[#This Row],[DESPESA FIXA]])</f>
        <v>0</v>
      </c>
      <c r="F48" s="91">
        <f>SUMIFS(tabela_registros[VALOR],tabela_registros[MÊS],$AE$1,tabela_registros[DIA],fevtotal30[[#Headers],[2]],tabela_registros[REGISTRO],DADOS!$N$4,tabela_registros[TIPO],DADOS!$P$3,tabela_registros[CATEGORIA],despesafixaconsolidadofev[[#This Row],[DESPESA FIXA]])</f>
        <v>0</v>
      </c>
      <c r="G48" s="91">
        <f>SUMIFS(tabela_registros[VALOR],tabela_registros[MÊS],$AE$1,tabela_registros[DIA],fevtotal30[[#Headers],[3]],tabela_registros[REGISTRO],DADOS!$N$4,tabela_registros[TIPO],DADOS!$P$3,tabela_registros[CATEGORIA],despesafixaconsolidadofev[[#This Row],[DESPESA FIXA]])</f>
        <v>0</v>
      </c>
      <c r="H48" s="91">
        <f>SUMIFS(tabela_registros[VALOR],tabela_registros[MÊS],$AE$1,tabela_registros[DIA],fevtotal30[[#Headers],[4]],tabela_registros[REGISTRO],DADOS!$N$4,tabela_registros[TIPO],DADOS!$P$3,tabela_registros[CATEGORIA],despesafixaconsolidadofev[[#This Row],[DESPESA FIXA]])</f>
        <v>0</v>
      </c>
      <c r="I48" s="91">
        <f>SUMIFS(tabela_registros[VALOR],tabela_registros[MÊS],$AE$1,tabela_registros[DIA],fevtotal30[[#Headers],[5]],tabela_registros[REGISTRO],DADOS!$N$4,tabela_registros[TIPO],DADOS!$P$3,tabela_registros[CATEGORIA],despesafixaconsolidadofev[[#This Row],[DESPESA FIXA]])</f>
        <v>0</v>
      </c>
      <c r="J48" s="91">
        <f>SUMIFS(tabela_registros[VALOR],tabela_registros[MÊS],$AE$1,tabela_registros[DIA],fevtotal30[[#Headers],[6]],tabela_registros[REGISTRO],DADOS!$N$4,tabela_registros[TIPO],DADOS!$P$3,tabela_registros[CATEGORIA],despesafixaconsolidadofev[[#This Row],[DESPESA FIXA]])</f>
        <v>0</v>
      </c>
      <c r="K48" s="91">
        <f>SUMIFS(tabela_registros[VALOR],tabela_registros[MÊS],$AE$1,tabela_registros[DIA],fevtotal30[[#Headers],[7]],tabela_registros[REGISTRO],DADOS!$N$4,tabela_registros[TIPO],DADOS!$P$3,tabela_registros[CATEGORIA],despesafixaconsolidadofev[[#This Row],[DESPESA FIXA]])</f>
        <v>0</v>
      </c>
      <c r="L48" s="91">
        <f>SUMIFS(tabela_registros[VALOR],tabela_registros[MÊS],$AE$1,tabela_registros[DIA],fevtotal30[[#Headers],[8]],tabela_registros[REGISTRO],DADOS!$N$4,tabela_registros[TIPO],DADOS!$P$3,tabela_registros[CATEGORIA],despesafixaconsolidadofev[[#This Row],[DESPESA FIXA]])</f>
        <v>0</v>
      </c>
      <c r="M48" s="91">
        <f>SUMIFS(tabela_registros[VALOR],tabela_registros[MÊS],$AE$1,tabela_registros[DIA],fevtotal30[[#Headers],[9]],tabela_registros[REGISTRO],DADOS!$N$4,tabela_registros[TIPO],DADOS!$P$3,tabela_registros[CATEGORIA],despesafixaconsolidadofev[[#This Row],[DESPESA FIXA]])</f>
        <v>0</v>
      </c>
      <c r="N48" s="91">
        <f>SUMIFS(tabela_registros[VALOR],tabela_registros[MÊS],$AE$1,tabela_registros[DIA],fevtotal30[[#Headers],[10]],tabela_registros[REGISTRO],DADOS!$N$4,tabela_registros[TIPO],DADOS!$P$3,tabela_registros[CATEGORIA],despesafixaconsolidadofev[[#This Row],[DESPESA FIXA]])</f>
        <v>0</v>
      </c>
      <c r="O48" s="91">
        <f>SUMIFS(tabela_registros[VALOR],tabela_registros[MÊS],$AE$1,tabela_registros[DIA],fevtotal30[[#Headers],[11]],tabela_registros[REGISTRO],DADOS!$N$4,tabela_registros[TIPO],DADOS!$P$3,tabela_registros[CATEGORIA],despesafixaconsolidadofev[[#This Row],[DESPESA FIXA]])</f>
        <v>0</v>
      </c>
      <c r="P48" s="91">
        <f>SUMIFS(tabela_registros[VALOR],tabela_registros[MÊS],$AE$1,tabela_registros[DIA],fevtotal30[[#Headers],[12]],tabela_registros[REGISTRO],DADOS!$N$4,tabela_registros[TIPO],DADOS!$P$3,tabela_registros[CATEGORIA],despesafixaconsolidadofev[[#This Row],[DESPESA FIXA]])</f>
        <v>0</v>
      </c>
      <c r="Q48" s="91">
        <f>SUMIFS(tabela_registros[VALOR],tabela_registros[MÊS],$AE$1,tabela_registros[DIA],fevtotal30[[#Headers],[13]],tabela_registros[REGISTRO],DADOS!$N$4,tabela_registros[TIPO],DADOS!$P$3,tabela_registros[CATEGORIA],despesafixaconsolidadofev[[#This Row],[DESPESA FIXA]])</f>
        <v>0</v>
      </c>
      <c r="R48" s="91">
        <f>SUMIFS(tabela_registros[VALOR],tabela_registros[MÊS],$AE$1,tabela_registros[DIA],fevtotal30[[#Headers],[14]],tabela_registros[REGISTRO],DADOS!$N$4,tabela_registros[TIPO],DADOS!$P$3,tabela_registros[CATEGORIA],despesafixaconsolidadofev[[#This Row],[DESPESA FIXA]])</f>
        <v>0</v>
      </c>
      <c r="S48" s="91">
        <f>SUMIFS(tabela_registros[VALOR],tabela_registros[MÊS],$AE$1,tabela_registros[DIA],fevtotal30[[#Headers],[15]],tabela_registros[REGISTRO],DADOS!$N$4,tabela_registros[TIPO],DADOS!$P$3,tabela_registros[CATEGORIA],despesafixaconsolidadofev[[#This Row],[DESPESA FIXA]])</f>
        <v>0</v>
      </c>
      <c r="T48" s="91">
        <f>SUMIFS(tabela_registros[VALOR],tabela_registros[MÊS],$AE$1,tabela_registros[DIA],fevtotal30[[#Headers],[16]],tabela_registros[REGISTRO],DADOS!$N$4,tabela_registros[TIPO],DADOS!$P$3,tabela_registros[CATEGORIA],despesafixaconsolidadofev[[#This Row],[DESPESA FIXA]])</f>
        <v>0</v>
      </c>
      <c r="U48" s="91">
        <f>SUMIFS(tabela_registros[VALOR],tabela_registros[MÊS],$AE$1,tabela_registros[DIA],fevtotal30[[#Headers],[17]],tabela_registros[REGISTRO],DADOS!$N$4,tabela_registros[TIPO],DADOS!$P$3,tabela_registros[CATEGORIA],despesafixaconsolidadofev[[#This Row],[DESPESA FIXA]])</f>
        <v>0</v>
      </c>
      <c r="V48" s="91">
        <f>SUMIFS(tabela_registros[VALOR],tabela_registros[MÊS],$AE$1,tabela_registros[DIA],fevtotal30[[#Headers],[18]],tabela_registros[REGISTRO],DADOS!$N$4,tabela_registros[TIPO],DADOS!$P$3,tabela_registros[CATEGORIA],despesafixaconsolidadofev[[#This Row],[DESPESA FIXA]])</f>
        <v>0</v>
      </c>
      <c r="W48" s="91">
        <f>SUMIFS(tabela_registros[VALOR],tabela_registros[MÊS],$AE$1,tabela_registros[DIA],fevtotal30[[#Headers],[19]],tabela_registros[REGISTRO],DADOS!$N$4,tabela_registros[TIPO],DADOS!$P$3,tabela_registros[CATEGORIA],despesafixaconsolidadofev[[#This Row],[DESPESA FIXA]])</f>
        <v>0</v>
      </c>
      <c r="X48" s="91">
        <f>SUMIFS(tabela_registros[VALOR],tabela_registros[MÊS],$AE$1,tabela_registros[DIA],fevtotal30[[#Headers],[20]],tabela_registros[REGISTRO],DADOS!$N$4,tabela_registros[TIPO],DADOS!$P$3,tabela_registros[CATEGORIA],despesafixaconsolidadofev[[#This Row],[DESPESA FIXA]])</f>
        <v>0</v>
      </c>
      <c r="Y48" s="91">
        <f>SUMIFS(tabela_registros[VALOR],tabela_registros[MÊS],$AE$1,tabela_registros[DIA],fevtotal30[[#Headers],[21]],tabela_registros[REGISTRO],DADOS!$N$4,tabela_registros[TIPO],DADOS!$P$3,tabela_registros[CATEGORIA],despesafixaconsolidadofev[[#This Row],[DESPESA FIXA]])</f>
        <v>0</v>
      </c>
      <c r="Z48" s="91">
        <f>SUMIFS(tabela_registros[VALOR],tabela_registros[MÊS],$AE$1,tabela_registros[DIA],fevtotal30[[#Headers],[22]],tabela_registros[REGISTRO],DADOS!$N$4,tabela_registros[TIPO],DADOS!$P$3,tabela_registros[CATEGORIA],despesafixaconsolidadofev[[#This Row],[DESPESA FIXA]])</f>
        <v>0</v>
      </c>
      <c r="AA48" s="91">
        <f>SUMIFS(tabela_registros[VALOR],tabela_registros[MÊS],$AE$1,tabela_registros[DIA],fevtotal30[[#Headers],[23]],tabela_registros[REGISTRO],DADOS!$N$4,tabela_registros[TIPO],DADOS!$P$3,tabela_registros[CATEGORIA],despesafixaconsolidadofev[[#This Row],[DESPESA FIXA]])</f>
        <v>0</v>
      </c>
      <c r="AB48" s="91">
        <f>SUMIFS(tabela_registros[VALOR],tabela_registros[MÊS],$AE$1,tabela_registros[DIA],fevtotal30[[#Headers],[24]],tabela_registros[REGISTRO],DADOS!$N$4,tabela_registros[TIPO],DADOS!$P$3,tabela_registros[CATEGORIA],despesafixaconsolidadofev[[#This Row],[DESPESA FIXA]])</f>
        <v>0</v>
      </c>
      <c r="AC48" s="91">
        <f>SUMIFS(tabela_registros[VALOR],tabela_registros[MÊS],$AE$1,tabela_registros[DIA],fevtotal30[[#Headers],[25]],tabela_registros[REGISTRO],DADOS!$N$4,tabela_registros[TIPO],DADOS!$P$3,tabela_registros[CATEGORIA],despesafixaconsolidadofev[[#This Row],[DESPESA FIXA]])</f>
        <v>0</v>
      </c>
      <c r="AD48" s="91">
        <f>SUMIFS(tabela_registros[VALOR],tabela_registros[MÊS],$AE$1,tabela_registros[DIA],fevtotal30[[#Headers],[26]],tabela_registros[REGISTRO],DADOS!$N$4,tabela_registros[TIPO],DADOS!$P$3,tabela_registros[CATEGORIA],despesafixaconsolidadofev[[#This Row],[DESPESA FIXA]])</f>
        <v>0</v>
      </c>
      <c r="AE48" s="91">
        <f>SUMIFS(tabela_registros[VALOR],tabela_registros[MÊS],$AE$1,tabela_registros[DIA],fevtotal30[[#Headers],[27]],tabela_registros[REGISTRO],DADOS!$N$4,tabela_registros[TIPO],DADOS!$P$3,tabela_registros[CATEGORIA],despesafixaconsolidadofev[[#This Row],[DESPESA FIXA]])</f>
        <v>0</v>
      </c>
      <c r="AF48" s="91">
        <f>SUMIFS(tabela_registros[VALOR],tabela_registros[MÊS],$AE$1,tabela_registros[DIA],fevtotal30[[#Headers],[28]],tabela_registros[REGISTRO],DADOS!$N$4,tabela_registros[TIPO],DADOS!$P$3,tabela_registros[CATEGORIA],despesafixaconsolidadofev[[#This Row],[DESPESA FIXA]])</f>
        <v>0</v>
      </c>
      <c r="AG48" s="91">
        <f>SUMIFS(tabela_registros[VALOR],tabela_registros[MÊS],$AE$1,tabela_registros[DIA],fevtotal30[[#Headers],[29]],tabela_registros[REGISTRO],DADOS!$N$4,tabela_registros[TIPO],DADOS!$P$3,tabela_registros[CATEGORIA],despesafixaconsolidadofev[[#This Row],[DESPESA FIXA]])</f>
        <v>0</v>
      </c>
      <c r="AH48" s="91">
        <f>SUMIFS(tabela_registros[VALOR],tabela_registros[MÊS],$AE$1,tabela_registros[DIA],fevtotal30[[#Headers],[30]],tabela_registros[REGISTRO],DADOS!$N$4,tabela_registros[TIPO],DADOS!$P$3,tabela_registros[CATEGORIA],despesafixaconsolidadofev[[#This Row],[DESPESA FIXA]])</f>
        <v>0</v>
      </c>
      <c r="AI48" s="101">
        <f>SUMIFS(tabela_registros[VALOR],tabela_registros[MÊS],$AE$1,tabela_registros[DIA],fevtotal30[[#Headers],[31]],tabela_registros[REGISTRO],DADOS!$N$4,tabela_registros[TIPO],DADOS!$P$3,tabela_registros[CATEGORIA],despesafixaconsolidadofev[[#This Row],[DESPESA FIXA]])</f>
        <v>0</v>
      </c>
      <c r="AJ48" s="97">
        <f>SUM(despesafixaconsolidadofev[[#This Row],[1]:[31]])</f>
        <v>0</v>
      </c>
      <c r="AK48" s="28"/>
    </row>
    <row r="49" spans="2:37" ht="18" customHeight="1" thickTop="1" thickBot="1" x14ac:dyDescent="0.3">
      <c r="B49" s="28"/>
      <c r="C49" s="27" t="str">
        <f>DADOS!$R$15</f>
        <v>📞 TELEFONE</v>
      </c>
      <c r="D49" s="26" t="str">
        <f>IF(despesafixaconsolidadofev[[#This Row],[TOTAL]]=0,"",IF(OR(despesafixaconsolidadofev[[#This Row],[TOTAL]]=LARGE($AJ$37:$AJ$50,1),despesafixaconsolidadofev[[#This Row],[TOTAL]]=LARGE($AJ$37:$AJ$50,2),despesafixaconsolidadofev[[#This Row],[TOTAL]]=LARGE($AJ$37:$AJ$50,3),despesafixaconsolidadofev[[#This Row],[TOTAL]]=LARGE($AJ$37:$AJ$50,4),despesafixaconsolidadofev[[#This Row],[TOTAL]]=LARGE($AJ$37:$AJ$50,5)),DADOS!$I$8,""))</f>
        <v/>
      </c>
      <c r="E49" s="96">
        <f>SUMIFS(tabela_registros[VALOR],tabela_registros[MÊS],$AE$1,tabela_registros[DIA],fevtotal30[[#Headers],[1]],tabela_registros[REGISTRO],DADOS!$N$4,tabela_registros[TIPO],DADOS!$P$3,tabela_registros[CATEGORIA],despesafixaconsolidadofev[[#This Row],[DESPESA FIXA]])</f>
        <v>0</v>
      </c>
      <c r="F49" s="91">
        <f>SUMIFS(tabela_registros[VALOR],tabela_registros[MÊS],$AE$1,tabela_registros[DIA],fevtotal30[[#Headers],[2]],tabela_registros[REGISTRO],DADOS!$N$4,tabela_registros[TIPO],DADOS!$P$3,tabela_registros[CATEGORIA],despesafixaconsolidadofev[[#This Row],[DESPESA FIXA]])</f>
        <v>0</v>
      </c>
      <c r="G49" s="91">
        <f>SUMIFS(tabela_registros[VALOR],tabela_registros[MÊS],$AE$1,tabela_registros[DIA],fevtotal30[[#Headers],[3]],tabela_registros[REGISTRO],DADOS!$N$4,tabela_registros[TIPO],DADOS!$P$3,tabela_registros[CATEGORIA],despesafixaconsolidadofev[[#This Row],[DESPESA FIXA]])</f>
        <v>0</v>
      </c>
      <c r="H49" s="91">
        <f>SUMIFS(tabela_registros[VALOR],tabela_registros[MÊS],$AE$1,tabela_registros[DIA],fevtotal30[[#Headers],[4]],tabela_registros[REGISTRO],DADOS!$N$4,tabela_registros[TIPO],DADOS!$P$3,tabela_registros[CATEGORIA],despesafixaconsolidadofev[[#This Row],[DESPESA FIXA]])</f>
        <v>0</v>
      </c>
      <c r="I49" s="91">
        <f>SUMIFS(tabela_registros[VALOR],tabela_registros[MÊS],$AE$1,tabela_registros[DIA],fevtotal30[[#Headers],[5]],tabela_registros[REGISTRO],DADOS!$N$4,tabela_registros[TIPO],DADOS!$P$3,tabela_registros[CATEGORIA],despesafixaconsolidadofev[[#This Row],[DESPESA FIXA]])</f>
        <v>0</v>
      </c>
      <c r="J49" s="91">
        <f>SUMIFS(tabela_registros[VALOR],tabela_registros[MÊS],$AE$1,tabela_registros[DIA],fevtotal30[[#Headers],[6]],tabela_registros[REGISTRO],DADOS!$N$4,tabela_registros[TIPO],DADOS!$P$3,tabela_registros[CATEGORIA],despesafixaconsolidadofev[[#This Row],[DESPESA FIXA]])</f>
        <v>0</v>
      </c>
      <c r="K49" s="91">
        <f>SUMIFS(tabela_registros[VALOR],tabela_registros[MÊS],$AE$1,tabela_registros[DIA],fevtotal30[[#Headers],[7]],tabela_registros[REGISTRO],DADOS!$N$4,tabela_registros[TIPO],DADOS!$P$3,tabela_registros[CATEGORIA],despesafixaconsolidadofev[[#This Row],[DESPESA FIXA]])</f>
        <v>0</v>
      </c>
      <c r="L49" s="91">
        <f>SUMIFS(tabela_registros[VALOR],tabela_registros[MÊS],$AE$1,tabela_registros[DIA],fevtotal30[[#Headers],[8]],tabela_registros[REGISTRO],DADOS!$N$4,tabela_registros[TIPO],DADOS!$P$3,tabela_registros[CATEGORIA],despesafixaconsolidadofev[[#This Row],[DESPESA FIXA]])</f>
        <v>0</v>
      </c>
      <c r="M49" s="91">
        <f>SUMIFS(tabela_registros[VALOR],tabela_registros[MÊS],$AE$1,tabela_registros[DIA],fevtotal30[[#Headers],[9]],tabela_registros[REGISTRO],DADOS!$N$4,tabela_registros[TIPO],DADOS!$P$3,tabela_registros[CATEGORIA],despesafixaconsolidadofev[[#This Row],[DESPESA FIXA]])</f>
        <v>0</v>
      </c>
      <c r="N49" s="91">
        <f>SUMIFS(tabela_registros[VALOR],tabela_registros[MÊS],$AE$1,tabela_registros[DIA],fevtotal30[[#Headers],[10]],tabela_registros[REGISTRO],DADOS!$N$4,tabela_registros[TIPO],DADOS!$P$3,tabela_registros[CATEGORIA],despesafixaconsolidadofev[[#This Row],[DESPESA FIXA]])</f>
        <v>0</v>
      </c>
      <c r="O49" s="91">
        <f>SUMIFS(tabela_registros[VALOR],tabela_registros[MÊS],$AE$1,tabela_registros[DIA],fevtotal30[[#Headers],[11]],tabela_registros[REGISTRO],DADOS!$N$4,tabela_registros[TIPO],DADOS!$P$3,tabela_registros[CATEGORIA],despesafixaconsolidadofev[[#This Row],[DESPESA FIXA]])</f>
        <v>0</v>
      </c>
      <c r="P49" s="91">
        <f>SUMIFS(tabela_registros[VALOR],tabela_registros[MÊS],$AE$1,tabela_registros[DIA],fevtotal30[[#Headers],[12]],tabela_registros[REGISTRO],DADOS!$N$4,tabela_registros[TIPO],DADOS!$P$3,tabela_registros[CATEGORIA],despesafixaconsolidadofev[[#This Row],[DESPESA FIXA]])</f>
        <v>0</v>
      </c>
      <c r="Q49" s="91">
        <f>SUMIFS(tabela_registros[VALOR],tabela_registros[MÊS],$AE$1,tabela_registros[DIA],fevtotal30[[#Headers],[13]],tabela_registros[REGISTRO],DADOS!$N$4,tabela_registros[TIPO],DADOS!$P$3,tabela_registros[CATEGORIA],despesafixaconsolidadofev[[#This Row],[DESPESA FIXA]])</f>
        <v>0</v>
      </c>
      <c r="R49" s="91">
        <f>SUMIFS(tabela_registros[VALOR],tabela_registros[MÊS],$AE$1,tabela_registros[DIA],fevtotal30[[#Headers],[14]],tabela_registros[REGISTRO],DADOS!$N$4,tabela_registros[TIPO],DADOS!$P$3,tabela_registros[CATEGORIA],despesafixaconsolidadofev[[#This Row],[DESPESA FIXA]])</f>
        <v>0</v>
      </c>
      <c r="S49" s="91">
        <f>SUMIFS(tabela_registros[VALOR],tabela_registros[MÊS],$AE$1,tabela_registros[DIA],fevtotal30[[#Headers],[15]],tabela_registros[REGISTRO],DADOS!$N$4,tabela_registros[TIPO],DADOS!$P$3,tabela_registros[CATEGORIA],despesafixaconsolidadofev[[#This Row],[DESPESA FIXA]])</f>
        <v>0</v>
      </c>
      <c r="T49" s="91">
        <f>SUMIFS(tabela_registros[VALOR],tabela_registros[MÊS],$AE$1,tabela_registros[DIA],fevtotal30[[#Headers],[16]],tabela_registros[REGISTRO],DADOS!$N$4,tabela_registros[TIPO],DADOS!$P$3,tabela_registros[CATEGORIA],despesafixaconsolidadofev[[#This Row],[DESPESA FIXA]])</f>
        <v>0</v>
      </c>
      <c r="U49" s="91">
        <f>SUMIFS(tabela_registros[VALOR],tabela_registros[MÊS],$AE$1,tabela_registros[DIA],fevtotal30[[#Headers],[17]],tabela_registros[REGISTRO],DADOS!$N$4,tabela_registros[TIPO],DADOS!$P$3,tabela_registros[CATEGORIA],despesafixaconsolidadofev[[#This Row],[DESPESA FIXA]])</f>
        <v>0</v>
      </c>
      <c r="V49" s="91">
        <f>SUMIFS(tabela_registros[VALOR],tabela_registros[MÊS],$AE$1,tabela_registros[DIA],fevtotal30[[#Headers],[18]],tabela_registros[REGISTRO],DADOS!$N$4,tabela_registros[TIPO],DADOS!$P$3,tabela_registros[CATEGORIA],despesafixaconsolidadofev[[#This Row],[DESPESA FIXA]])</f>
        <v>0</v>
      </c>
      <c r="W49" s="91">
        <f>SUMIFS(tabela_registros[VALOR],tabela_registros[MÊS],$AE$1,tabela_registros[DIA],fevtotal30[[#Headers],[19]],tabela_registros[REGISTRO],DADOS!$N$4,tabela_registros[TIPO],DADOS!$P$3,tabela_registros[CATEGORIA],despesafixaconsolidadofev[[#This Row],[DESPESA FIXA]])</f>
        <v>0</v>
      </c>
      <c r="X49" s="91">
        <f>SUMIFS(tabela_registros[VALOR],tabela_registros[MÊS],$AE$1,tabela_registros[DIA],fevtotal30[[#Headers],[20]],tabela_registros[REGISTRO],DADOS!$N$4,tabela_registros[TIPO],DADOS!$P$3,tabela_registros[CATEGORIA],despesafixaconsolidadofev[[#This Row],[DESPESA FIXA]])</f>
        <v>0</v>
      </c>
      <c r="Y49" s="91">
        <f>SUMIFS(tabela_registros[VALOR],tabela_registros[MÊS],$AE$1,tabela_registros[DIA],fevtotal30[[#Headers],[21]],tabela_registros[REGISTRO],DADOS!$N$4,tabela_registros[TIPO],DADOS!$P$3,tabela_registros[CATEGORIA],despesafixaconsolidadofev[[#This Row],[DESPESA FIXA]])</f>
        <v>0</v>
      </c>
      <c r="Z49" s="91">
        <f>SUMIFS(tabela_registros[VALOR],tabela_registros[MÊS],$AE$1,tabela_registros[DIA],fevtotal30[[#Headers],[22]],tabela_registros[REGISTRO],DADOS!$N$4,tabela_registros[TIPO],DADOS!$P$3,tabela_registros[CATEGORIA],despesafixaconsolidadofev[[#This Row],[DESPESA FIXA]])</f>
        <v>0</v>
      </c>
      <c r="AA49" s="91">
        <f>SUMIFS(tabela_registros[VALOR],tabela_registros[MÊS],$AE$1,tabela_registros[DIA],fevtotal30[[#Headers],[23]],tabela_registros[REGISTRO],DADOS!$N$4,tabela_registros[TIPO],DADOS!$P$3,tabela_registros[CATEGORIA],despesafixaconsolidadofev[[#This Row],[DESPESA FIXA]])</f>
        <v>0</v>
      </c>
      <c r="AB49" s="91">
        <f>SUMIFS(tabela_registros[VALOR],tabela_registros[MÊS],$AE$1,tabela_registros[DIA],fevtotal30[[#Headers],[24]],tabela_registros[REGISTRO],DADOS!$N$4,tabela_registros[TIPO],DADOS!$P$3,tabela_registros[CATEGORIA],despesafixaconsolidadofev[[#This Row],[DESPESA FIXA]])</f>
        <v>0</v>
      </c>
      <c r="AC49" s="91">
        <f>SUMIFS(tabela_registros[VALOR],tabela_registros[MÊS],$AE$1,tabela_registros[DIA],fevtotal30[[#Headers],[25]],tabela_registros[REGISTRO],DADOS!$N$4,tabela_registros[TIPO],DADOS!$P$3,tabela_registros[CATEGORIA],despesafixaconsolidadofev[[#This Row],[DESPESA FIXA]])</f>
        <v>0</v>
      </c>
      <c r="AD49" s="91">
        <f>SUMIFS(tabela_registros[VALOR],tabela_registros[MÊS],$AE$1,tabela_registros[DIA],fevtotal30[[#Headers],[26]],tabela_registros[REGISTRO],DADOS!$N$4,tabela_registros[TIPO],DADOS!$P$3,tabela_registros[CATEGORIA],despesafixaconsolidadofev[[#This Row],[DESPESA FIXA]])</f>
        <v>0</v>
      </c>
      <c r="AE49" s="91">
        <f>SUMIFS(tabela_registros[VALOR],tabela_registros[MÊS],$AE$1,tabela_registros[DIA],fevtotal30[[#Headers],[27]],tabela_registros[REGISTRO],DADOS!$N$4,tabela_registros[TIPO],DADOS!$P$3,tabela_registros[CATEGORIA],despesafixaconsolidadofev[[#This Row],[DESPESA FIXA]])</f>
        <v>0</v>
      </c>
      <c r="AF49" s="91">
        <f>SUMIFS(tabela_registros[VALOR],tabela_registros[MÊS],$AE$1,tabela_registros[DIA],fevtotal30[[#Headers],[28]],tabela_registros[REGISTRO],DADOS!$N$4,tabela_registros[TIPO],DADOS!$P$3,tabela_registros[CATEGORIA],despesafixaconsolidadofev[[#This Row],[DESPESA FIXA]])</f>
        <v>0</v>
      </c>
      <c r="AG49" s="91">
        <f>SUMIFS(tabela_registros[VALOR],tabela_registros[MÊS],$AE$1,tabela_registros[DIA],fevtotal30[[#Headers],[29]],tabela_registros[REGISTRO],DADOS!$N$4,tabela_registros[TIPO],DADOS!$P$3,tabela_registros[CATEGORIA],despesafixaconsolidadofev[[#This Row],[DESPESA FIXA]])</f>
        <v>0</v>
      </c>
      <c r="AH49" s="91">
        <f>SUMIFS(tabela_registros[VALOR],tabela_registros[MÊS],$AE$1,tabela_registros[DIA],fevtotal30[[#Headers],[30]],tabela_registros[REGISTRO],DADOS!$N$4,tabela_registros[TIPO],DADOS!$P$3,tabela_registros[CATEGORIA],despesafixaconsolidadofev[[#This Row],[DESPESA FIXA]])</f>
        <v>0</v>
      </c>
      <c r="AI49" s="101">
        <f>SUMIFS(tabela_registros[VALOR],tabela_registros[MÊS],$AE$1,tabela_registros[DIA],fevtotal30[[#Headers],[31]],tabela_registros[REGISTRO],DADOS!$N$4,tabela_registros[TIPO],DADOS!$P$3,tabela_registros[CATEGORIA],despesafixaconsolidadofev[[#This Row],[DESPESA FIXA]])</f>
        <v>0</v>
      </c>
      <c r="AJ49" s="97">
        <f>SUM(despesafixaconsolidadofev[[#This Row],[1]:[31]])</f>
        <v>0</v>
      </c>
      <c r="AK49" s="28"/>
    </row>
    <row r="50" spans="2:37" ht="18" customHeight="1" thickTop="1" thickBot="1" x14ac:dyDescent="0.3">
      <c r="B50" s="28"/>
      <c r="C50" s="27" t="str">
        <f>DADOS!$R$16</f>
        <v>📎 OUTROS</v>
      </c>
      <c r="D50" s="26" t="str">
        <f>IF(despesafixaconsolidadofev[[#This Row],[TOTAL]]=0,"",IF(OR(despesafixaconsolidadofev[[#This Row],[TOTAL]]=LARGE($AJ$37:$AJ$50,1),despesafixaconsolidadofev[[#This Row],[TOTAL]]=LARGE($AJ$37:$AJ$50,2),despesafixaconsolidadofev[[#This Row],[TOTAL]]=LARGE($AJ$37:$AJ$50,3),despesafixaconsolidadofev[[#This Row],[TOTAL]]=LARGE($AJ$37:$AJ$50,4),despesafixaconsolidadofev[[#This Row],[TOTAL]]=LARGE($AJ$37:$AJ$50,5)),DADOS!$I$8,""))</f>
        <v/>
      </c>
      <c r="E50" s="98">
        <f>SUMIFS(tabela_registros[VALOR],tabela_registros[MÊS],$AE$1,tabela_registros[DIA],fevtotal30[[#Headers],[1]],tabela_registros[REGISTRO],DADOS!$N$4,tabela_registros[TIPO],DADOS!$P$3,tabela_registros[CATEGORIA],despesafixaconsolidadofev[[#This Row],[DESPESA FIXA]])</f>
        <v>0</v>
      </c>
      <c r="F50" s="99">
        <f>SUMIFS(tabela_registros[VALOR],tabela_registros[MÊS],$AE$1,tabela_registros[DIA],fevtotal30[[#Headers],[2]],tabela_registros[REGISTRO],DADOS!$N$4,tabela_registros[TIPO],DADOS!$P$3,tabela_registros[CATEGORIA],despesafixaconsolidadofev[[#This Row],[DESPESA FIXA]])</f>
        <v>0</v>
      </c>
      <c r="G50" s="99">
        <f>SUMIFS(tabela_registros[VALOR],tabela_registros[MÊS],$AE$1,tabela_registros[DIA],fevtotal30[[#Headers],[3]],tabela_registros[REGISTRO],DADOS!$N$4,tabela_registros[TIPO],DADOS!$P$3,tabela_registros[CATEGORIA],despesafixaconsolidadofev[[#This Row],[DESPESA FIXA]])</f>
        <v>0</v>
      </c>
      <c r="H50" s="99">
        <f>SUMIFS(tabela_registros[VALOR],tabela_registros[MÊS],$AE$1,tabela_registros[DIA],fevtotal30[[#Headers],[4]],tabela_registros[REGISTRO],DADOS!$N$4,tabela_registros[TIPO],DADOS!$P$3,tabela_registros[CATEGORIA],despesafixaconsolidadofev[[#This Row],[DESPESA FIXA]])</f>
        <v>0</v>
      </c>
      <c r="I50" s="99">
        <f>SUMIFS(tabela_registros[VALOR],tabela_registros[MÊS],$AE$1,tabela_registros[DIA],fevtotal30[[#Headers],[5]],tabela_registros[REGISTRO],DADOS!$N$4,tabela_registros[TIPO],DADOS!$P$3,tabela_registros[CATEGORIA],despesafixaconsolidadofev[[#This Row],[DESPESA FIXA]])</f>
        <v>0</v>
      </c>
      <c r="J50" s="99">
        <f>SUMIFS(tabela_registros[VALOR],tabela_registros[MÊS],$AE$1,tabela_registros[DIA],fevtotal30[[#Headers],[6]],tabela_registros[REGISTRO],DADOS!$N$4,tabela_registros[TIPO],DADOS!$P$3,tabela_registros[CATEGORIA],despesafixaconsolidadofev[[#This Row],[DESPESA FIXA]])</f>
        <v>0</v>
      </c>
      <c r="K50" s="99">
        <f>SUMIFS(tabela_registros[VALOR],tabela_registros[MÊS],$AE$1,tabela_registros[DIA],fevtotal30[[#Headers],[7]],tabela_registros[REGISTRO],DADOS!$N$4,tabela_registros[TIPO],DADOS!$P$3,tabela_registros[CATEGORIA],despesafixaconsolidadofev[[#This Row],[DESPESA FIXA]])</f>
        <v>0</v>
      </c>
      <c r="L50" s="99">
        <f>SUMIFS(tabela_registros[VALOR],tabela_registros[MÊS],$AE$1,tabela_registros[DIA],fevtotal30[[#Headers],[8]],tabela_registros[REGISTRO],DADOS!$N$4,tabela_registros[TIPO],DADOS!$P$3,tabela_registros[CATEGORIA],despesafixaconsolidadofev[[#This Row],[DESPESA FIXA]])</f>
        <v>0</v>
      </c>
      <c r="M50" s="99">
        <f>SUMIFS(tabela_registros[VALOR],tabela_registros[MÊS],$AE$1,tabela_registros[DIA],fevtotal30[[#Headers],[9]],tabela_registros[REGISTRO],DADOS!$N$4,tabela_registros[TIPO],DADOS!$P$3,tabela_registros[CATEGORIA],despesafixaconsolidadofev[[#This Row],[DESPESA FIXA]])</f>
        <v>0</v>
      </c>
      <c r="N50" s="99">
        <f>SUMIFS(tabela_registros[VALOR],tabela_registros[MÊS],$AE$1,tabela_registros[DIA],fevtotal30[[#Headers],[10]],tabela_registros[REGISTRO],DADOS!$N$4,tabela_registros[TIPO],DADOS!$P$3,tabela_registros[CATEGORIA],despesafixaconsolidadofev[[#This Row],[DESPESA FIXA]])</f>
        <v>0</v>
      </c>
      <c r="O50" s="99">
        <f>SUMIFS(tabela_registros[VALOR],tabela_registros[MÊS],$AE$1,tabela_registros[DIA],fevtotal30[[#Headers],[11]],tabela_registros[REGISTRO],DADOS!$N$4,tabela_registros[TIPO],DADOS!$P$3,tabela_registros[CATEGORIA],despesafixaconsolidadofev[[#This Row],[DESPESA FIXA]])</f>
        <v>0</v>
      </c>
      <c r="P50" s="99">
        <f>SUMIFS(tabela_registros[VALOR],tabela_registros[MÊS],$AE$1,tabela_registros[DIA],fevtotal30[[#Headers],[12]],tabela_registros[REGISTRO],DADOS!$N$4,tabela_registros[TIPO],DADOS!$P$3,tabela_registros[CATEGORIA],despesafixaconsolidadofev[[#This Row],[DESPESA FIXA]])</f>
        <v>0</v>
      </c>
      <c r="Q50" s="99">
        <f>SUMIFS(tabela_registros[VALOR],tabela_registros[MÊS],$AE$1,tabela_registros[DIA],fevtotal30[[#Headers],[13]],tabela_registros[REGISTRO],DADOS!$N$4,tabela_registros[TIPO],DADOS!$P$3,tabela_registros[CATEGORIA],despesafixaconsolidadofev[[#This Row],[DESPESA FIXA]])</f>
        <v>0</v>
      </c>
      <c r="R50" s="99">
        <f>SUMIFS(tabela_registros[VALOR],tabela_registros[MÊS],$AE$1,tabela_registros[DIA],fevtotal30[[#Headers],[14]],tabela_registros[REGISTRO],DADOS!$N$4,tabela_registros[TIPO],DADOS!$P$3,tabela_registros[CATEGORIA],despesafixaconsolidadofev[[#This Row],[DESPESA FIXA]])</f>
        <v>0</v>
      </c>
      <c r="S50" s="99">
        <f>SUMIFS(tabela_registros[VALOR],tabela_registros[MÊS],$AE$1,tabela_registros[DIA],fevtotal30[[#Headers],[15]],tabela_registros[REGISTRO],DADOS!$N$4,tabela_registros[TIPO],DADOS!$P$3,tabela_registros[CATEGORIA],despesafixaconsolidadofev[[#This Row],[DESPESA FIXA]])</f>
        <v>0</v>
      </c>
      <c r="T50" s="99">
        <f>SUMIFS(tabela_registros[VALOR],tabela_registros[MÊS],$AE$1,tabela_registros[DIA],fevtotal30[[#Headers],[16]],tabela_registros[REGISTRO],DADOS!$N$4,tabela_registros[TIPO],DADOS!$P$3,tabela_registros[CATEGORIA],despesafixaconsolidadofev[[#This Row],[DESPESA FIXA]])</f>
        <v>0</v>
      </c>
      <c r="U50" s="99">
        <f>SUMIFS(tabela_registros[VALOR],tabela_registros[MÊS],$AE$1,tabela_registros[DIA],fevtotal30[[#Headers],[17]],tabela_registros[REGISTRO],DADOS!$N$4,tabela_registros[TIPO],DADOS!$P$3,tabela_registros[CATEGORIA],despesafixaconsolidadofev[[#This Row],[DESPESA FIXA]])</f>
        <v>0</v>
      </c>
      <c r="V50" s="99">
        <f>SUMIFS(tabela_registros[VALOR],tabela_registros[MÊS],$AE$1,tabela_registros[DIA],fevtotal30[[#Headers],[18]],tabela_registros[REGISTRO],DADOS!$N$4,tabela_registros[TIPO],DADOS!$P$3,tabela_registros[CATEGORIA],despesafixaconsolidadofev[[#This Row],[DESPESA FIXA]])</f>
        <v>0</v>
      </c>
      <c r="W50" s="99">
        <f>SUMIFS(tabela_registros[VALOR],tabela_registros[MÊS],$AE$1,tabela_registros[DIA],fevtotal30[[#Headers],[19]],tabela_registros[REGISTRO],DADOS!$N$4,tabela_registros[TIPO],DADOS!$P$3,tabela_registros[CATEGORIA],despesafixaconsolidadofev[[#This Row],[DESPESA FIXA]])</f>
        <v>0</v>
      </c>
      <c r="X50" s="99">
        <f>SUMIFS(tabela_registros[VALOR],tabela_registros[MÊS],$AE$1,tabela_registros[DIA],fevtotal30[[#Headers],[20]],tabela_registros[REGISTRO],DADOS!$N$4,tabela_registros[TIPO],DADOS!$P$3,tabela_registros[CATEGORIA],despesafixaconsolidadofev[[#This Row],[DESPESA FIXA]])</f>
        <v>0</v>
      </c>
      <c r="Y50" s="99">
        <f>SUMIFS(tabela_registros[VALOR],tabela_registros[MÊS],$AE$1,tabela_registros[DIA],fevtotal30[[#Headers],[21]],tabela_registros[REGISTRO],DADOS!$N$4,tabela_registros[TIPO],DADOS!$P$3,tabela_registros[CATEGORIA],despesafixaconsolidadofev[[#This Row],[DESPESA FIXA]])</f>
        <v>0</v>
      </c>
      <c r="Z50" s="99">
        <f>SUMIFS(tabela_registros[VALOR],tabela_registros[MÊS],$AE$1,tabela_registros[DIA],fevtotal30[[#Headers],[22]],tabela_registros[REGISTRO],DADOS!$N$4,tabela_registros[TIPO],DADOS!$P$3,tabela_registros[CATEGORIA],despesafixaconsolidadofev[[#This Row],[DESPESA FIXA]])</f>
        <v>0</v>
      </c>
      <c r="AA50" s="99">
        <f>SUMIFS(tabela_registros[VALOR],tabela_registros[MÊS],$AE$1,tabela_registros[DIA],fevtotal30[[#Headers],[23]],tabela_registros[REGISTRO],DADOS!$N$4,tabela_registros[TIPO],DADOS!$P$3,tabela_registros[CATEGORIA],despesafixaconsolidadofev[[#This Row],[DESPESA FIXA]])</f>
        <v>0</v>
      </c>
      <c r="AB50" s="99">
        <f>SUMIFS(tabela_registros[VALOR],tabela_registros[MÊS],$AE$1,tabela_registros[DIA],fevtotal30[[#Headers],[24]],tabela_registros[REGISTRO],DADOS!$N$4,tabela_registros[TIPO],DADOS!$P$3,tabela_registros[CATEGORIA],despesafixaconsolidadofev[[#This Row],[DESPESA FIXA]])</f>
        <v>0</v>
      </c>
      <c r="AC50" s="99">
        <f>SUMIFS(tabela_registros[VALOR],tabela_registros[MÊS],$AE$1,tabela_registros[DIA],fevtotal30[[#Headers],[25]],tabela_registros[REGISTRO],DADOS!$N$4,tabela_registros[TIPO],DADOS!$P$3,tabela_registros[CATEGORIA],despesafixaconsolidadofev[[#This Row],[DESPESA FIXA]])</f>
        <v>0</v>
      </c>
      <c r="AD50" s="99">
        <f>SUMIFS(tabela_registros[VALOR],tabela_registros[MÊS],$AE$1,tabela_registros[DIA],fevtotal30[[#Headers],[26]],tabela_registros[REGISTRO],DADOS!$N$4,tabela_registros[TIPO],DADOS!$P$3,tabela_registros[CATEGORIA],despesafixaconsolidadofev[[#This Row],[DESPESA FIXA]])</f>
        <v>0</v>
      </c>
      <c r="AE50" s="99">
        <f>SUMIFS(tabela_registros[VALOR],tabela_registros[MÊS],$AE$1,tabela_registros[DIA],fevtotal30[[#Headers],[27]],tabela_registros[REGISTRO],DADOS!$N$4,tabela_registros[TIPO],DADOS!$P$3,tabela_registros[CATEGORIA],despesafixaconsolidadofev[[#This Row],[DESPESA FIXA]])</f>
        <v>0</v>
      </c>
      <c r="AF50" s="99">
        <f>SUMIFS(tabela_registros[VALOR],tabela_registros[MÊS],$AE$1,tabela_registros[DIA],fevtotal30[[#Headers],[28]],tabela_registros[REGISTRO],DADOS!$N$4,tabela_registros[TIPO],DADOS!$P$3,tabela_registros[CATEGORIA],despesafixaconsolidadofev[[#This Row],[DESPESA FIXA]])</f>
        <v>0</v>
      </c>
      <c r="AG50" s="99">
        <f>SUMIFS(tabela_registros[VALOR],tabela_registros[MÊS],$AE$1,tabela_registros[DIA],fevtotal30[[#Headers],[29]],tabela_registros[REGISTRO],DADOS!$N$4,tabela_registros[TIPO],DADOS!$P$3,tabela_registros[CATEGORIA],despesafixaconsolidadofev[[#This Row],[DESPESA FIXA]])</f>
        <v>0</v>
      </c>
      <c r="AH50" s="99">
        <f>SUMIFS(tabela_registros[VALOR],tabela_registros[MÊS],$AE$1,tabela_registros[DIA],fevtotal30[[#Headers],[30]],tabela_registros[REGISTRO],DADOS!$N$4,tabela_registros[TIPO],DADOS!$P$3,tabela_registros[CATEGORIA],despesafixaconsolidadofev[[#This Row],[DESPESA FIXA]])</f>
        <v>0</v>
      </c>
      <c r="AI50" s="102">
        <f>SUMIFS(tabela_registros[VALOR],tabela_registros[MÊS],$AE$1,tabela_registros[DIA],fevtotal30[[#Headers],[31]],tabela_registros[REGISTRO],DADOS!$N$4,tabela_registros[TIPO],DADOS!$P$3,tabela_registros[CATEGORIA],despesafixaconsolidadofev[[#This Row],[DESPESA FIXA]])</f>
        <v>0</v>
      </c>
      <c r="AJ50" s="103">
        <f>SUM(despesafixaconsolidadofev[[#This Row],[1]:[31]])</f>
        <v>0</v>
      </c>
      <c r="AK50" s="28"/>
    </row>
    <row r="51" spans="2:37" s="16" customFormat="1" ht="21" customHeight="1" thickTop="1" thickBot="1" x14ac:dyDescent="0.35">
      <c r="B51" s="24"/>
      <c r="C51" s="23" t="s">
        <v>19</v>
      </c>
      <c r="D51" s="41" t="str">
        <f>IF(despesafixaconsolidadofev[[#This Row],[TOTAL]]=0,"",IF(OR(despesafixaconsolidadofev[[#This Row],[TOTAL]]=SMALL($AJ$37:$AJ$50,1),despesafixaconsolidadofev[[#This Row],[TOTAL]]=SMALL($AJ$37:$AJ$50,2),despesafixaconsolidadofev[[#This Row],[TOTAL]]=SMALL($AJ$37:$AJ$50,3),despesafixaconsolidadofev[[#This Row],[TOTAL]]=SMALL($AJ$37:$AJ$50,4),despesafixaconsolidadofev[[#This Row],[TOTAL]]=SMALL($AJ$37:$AJ$50,5)),DADOS!$I$8,""))</f>
        <v/>
      </c>
      <c r="E51" s="21">
        <f>SUM(E37:E50)</f>
        <v>0</v>
      </c>
      <c r="F51" s="20">
        <f>SUM(F37:F50)+despesafixaconsolidadofev[[#This Row],[1]]</f>
        <v>0</v>
      </c>
      <c r="G51" s="20">
        <f>SUM(G37:G50)+despesafixaconsolidadofev[[#This Row],[2]]</f>
        <v>0</v>
      </c>
      <c r="H51" s="20">
        <f>SUM(H37:H50)+despesafixaconsolidadofev[[#This Row],[3]]</f>
        <v>0</v>
      </c>
      <c r="I51" s="20">
        <f>SUM(I37:I50)+despesafixaconsolidadofev[[#This Row],[4]]</f>
        <v>0</v>
      </c>
      <c r="J51" s="20">
        <f>SUM(J37:J50)+despesafixaconsolidadofev[[#This Row],[5]]</f>
        <v>0</v>
      </c>
      <c r="K51" s="20">
        <f>SUM(K37:K50)+despesafixaconsolidadofev[[#This Row],[6]]</f>
        <v>0</v>
      </c>
      <c r="L51" s="20">
        <f>SUM(L37:L50)+despesafixaconsolidadofev[[#This Row],[7]]</f>
        <v>0</v>
      </c>
      <c r="M51" s="20">
        <f>SUM(M37:M50)+despesafixaconsolidadofev[[#This Row],[8]]</f>
        <v>0</v>
      </c>
      <c r="N51" s="20">
        <f>SUM(N37:N50)+despesafixaconsolidadofev[[#This Row],[9]]</f>
        <v>0</v>
      </c>
      <c r="O51" s="20">
        <f>SUM(O37:O50)+despesafixaconsolidadofev[[#This Row],[10]]</f>
        <v>0</v>
      </c>
      <c r="P51" s="20">
        <f>SUM(P37:P50)+despesafixaconsolidadofev[[#This Row],[11]]</f>
        <v>115.142857142857</v>
      </c>
      <c r="Q51" s="20">
        <f>SUM(Q37:Q50)+despesafixaconsolidadofev[[#This Row],[12]]</f>
        <v>115.142857142857</v>
      </c>
      <c r="R51" s="20">
        <f>SUM(R37:R50)+despesafixaconsolidadofev[[#This Row],[13]]</f>
        <v>115.142857142857</v>
      </c>
      <c r="S51" s="20">
        <f>SUM(S37:S50)+despesafixaconsolidadofev[[#This Row],[14]]</f>
        <v>115.142857142857</v>
      </c>
      <c r="T51" s="20">
        <f>SUM(T37:T50)+despesafixaconsolidadofev[[#This Row],[15]]</f>
        <v>115.142857142857</v>
      </c>
      <c r="U51" s="20">
        <f>SUM(U37:U50)+despesafixaconsolidadofev[[#This Row],[16]]</f>
        <v>115.142857142857</v>
      </c>
      <c r="V51" s="20">
        <f>SUM(V37:V50)+despesafixaconsolidadofev[[#This Row],[17]]</f>
        <v>115.142857142857</v>
      </c>
      <c r="W51" s="20">
        <f>SUM(W37:W50)+despesafixaconsolidadofev[[#This Row],[18]]</f>
        <v>115.142857142857</v>
      </c>
      <c r="X51" s="20">
        <f>SUM(X37:X50)+despesafixaconsolidadofev[[#This Row],[19]]</f>
        <v>115.142857142857</v>
      </c>
      <c r="Y51" s="20">
        <f>SUM(Y37:Y50)+despesafixaconsolidadofev[[#This Row],[20]]</f>
        <v>115.142857142857</v>
      </c>
      <c r="Z51" s="20">
        <f>SUM(Z37:Z50)+despesafixaconsolidadofev[[#This Row],[21]]</f>
        <v>115.142857142857</v>
      </c>
      <c r="AA51" s="20">
        <f>SUM(AA37:AA50)+despesafixaconsolidadofev[[#This Row],[22]]</f>
        <v>115.142857142857</v>
      </c>
      <c r="AB51" s="20">
        <f>SUM(AB37:AB50)+despesafixaconsolidadofev[[#This Row],[23]]</f>
        <v>115.142857142857</v>
      </c>
      <c r="AC51" s="20">
        <f>SUM(AC37:AC50)+despesafixaconsolidadofev[[#This Row],[24]]</f>
        <v>115.142857142857</v>
      </c>
      <c r="AD51" s="20">
        <f>SUM(AD37:AD50)+despesafixaconsolidadofev[[#This Row],[25]]</f>
        <v>115.142857142857</v>
      </c>
      <c r="AE51" s="20">
        <f>SUM(AE37:AE50)+despesafixaconsolidadofev[[#This Row],[26]]</f>
        <v>115.142857142857</v>
      </c>
      <c r="AF51" s="20">
        <f>SUM(AF37:AF50)+despesafixaconsolidadofev[[#This Row],[27]]</f>
        <v>115.142857142857</v>
      </c>
      <c r="AG51" s="20">
        <f>SUM(AG37:AG50)+despesafixaconsolidadofev[[#This Row],[28]]</f>
        <v>115.142857142857</v>
      </c>
      <c r="AH51" s="20">
        <f>SUM(AH37:AH50)+despesafixaconsolidadofev[[#This Row],[29]]</f>
        <v>115.142857142857</v>
      </c>
      <c r="AI51" s="19">
        <f>SUM(AI37:AI50)+despesafixaconsolidadofev[[#This Row],[30]]</f>
        <v>115.142857142857</v>
      </c>
      <c r="AJ51" s="18">
        <f>despesafixaconsolidadofev[[#This Row],[31]]</f>
        <v>115.142857142857</v>
      </c>
      <c r="AK51" s="17"/>
    </row>
    <row r="52" spans="2:37" ht="6.75" customHeight="1" thickTop="1" thickBot="1" x14ac:dyDescent="0.3">
      <c r="B52" s="15"/>
      <c r="C52" s="40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39"/>
      <c r="AG52" s="39"/>
      <c r="AH52" s="39"/>
      <c r="AI52" s="48"/>
      <c r="AJ52" s="15"/>
      <c r="AK52" s="10"/>
    </row>
    <row r="53" spans="2:37" ht="12.6" thickTop="1" x14ac:dyDescent="0.25">
      <c r="C53" s="46"/>
      <c r="D53" s="47"/>
      <c r="E53" s="47"/>
      <c r="F53" s="47"/>
      <c r="G53" s="47"/>
      <c r="H53" s="47"/>
      <c r="I53" s="47"/>
      <c r="J53" s="47"/>
      <c r="K53" s="47"/>
      <c r="L53" s="47"/>
      <c r="M53" s="47"/>
      <c r="N53" s="47"/>
      <c r="O53" s="47"/>
      <c r="P53" s="47"/>
      <c r="Q53" s="47"/>
      <c r="R53" s="47"/>
      <c r="S53" s="47"/>
      <c r="T53" s="47"/>
      <c r="U53" s="47"/>
      <c r="V53" s="47"/>
      <c r="W53" s="47"/>
      <c r="X53" s="47"/>
      <c r="Y53" s="47"/>
      <c r="Z53" s="47"/>
      <c r="AA53" s="47"/>
      <c r="AB53" s="47"/>
      <c r="AC53" s="47"/>
      <c r="AD53" s="47"/>
      <c r="AE53" s="47"/>
      <c r="AF53" s="47"/>
      <c r="AG53" s="47"/>
      <c r="AH53" s="47"/>
      <c r="AI53" s="47"/>
      <c r="AK53" s="37"/>
    </row>
    <row r="54" spans="2:37" x14ac:dyDescent="0.25">
      <c r="C54" s="46"/>
      <c r="D54" s="47"/>
      <c r="E54" s="47"/>
      <c r="F54" s="47"/>
      <c r="G54" s="47"/>
      <c r="H54" s="47"/>
      <c r="I54" s="47"/>
      <c r="J54" s="47"/>
      <c r="K54" s="47"/>
      <c r="L54" s="47"/>
      <c r="M54" s="47"/>
      <c r="N54" s="47"/>
      <c r="O54" s="47"/>
      <c r="P54" s="47"/>
      <c r="Q54" s="47"/>
      <c r="R54" s="47"/>
      <c r="S54" s="47"/>
      <c r="T54" s="47"/>
      <c r="U54" s="47"/>
      <c r="V54" s="47"/>
      <c r="W54" s="47"/>
      <c r="X54" s="47"/>
      <c r="Y54" s="47"/>
      <c r="Z54" s="47"/>
      <c r="AA54" s="47"/>
      <c r="AB54" s="47"/>
      <c r="AC54" s="47"/>
      <c r="AD54" s="47"/>
      <c r="AE54" s="47"/>
      <c r="AF54" s="47"/>
      <c r="AG54" s="47"/>
      <c r="AH54" s="47"/>
      <c r="AI54" s="47"/>
    </row>
    <row r="55" spans="2:37" x14ac:dyDescent="0.25">
      <c r="C55" s="46"/>
      <c r="D55" s="47"/>
      <c r="E55" s="47"/>
      <c r="F55" s="47"/>
      <c r="G55" s="47"/>
      <c r="H55" s="47"/>
      <c r="I55" s="47"/>
      <c r="J55" s="47"/>
      <c r="K55" s="47"/>
      <c r="L55" s="47"/>
      <c r="M55" s="47"/>
      <c r="N55" s="47"/>
      <c r="O55" s="47"/>
      <c r="P55" s="47"/>
      <c r="Q55" s="47"/>
      <c r="R55" s="47"/>
      <c r="S55" s="47"/>
      <c r="T55" s="47"/>
      <c r="U55" s="47"/>
      <c r="V55" s="47"/>
      <c r="W55" s="47"/>
      <c r="X55" s="47"/>
      <c r="Y55" s="47"/>
      <c r="Z55" s="47"/>
      <c r="AA55" s="47"/>
      <c r="AB55" s="47"/>
      <c r="AC55" s="47"/>
      <c r="AD55" s="47"/>
      <c r="AE55" s="47"/>
      <c r="AF55" s="47"/>
      <c r="AG55" s="47"/>
      <c r="AH55" s="47"/>
      <c r="AI55" s="47"/>
    </row>
    <row r="56" spans="2:37" ht="39.75" customHeight="1" x14ac:dyDescent="0.25">
      <c r="C56" s="46"/>
      <c r="E56" s="240"/>
      <c r="F56" s="240"/>
      <c r="G56" s="240"/>
      <c r="H56" s="240"/>
      <c r="I56" s="240"/>
      <c r="J56" s="240"/>
      <c r="K56" s="240"/>
      <c r="L56" s="240"/>
      <c r="M56" s="240"/>
      <c r="N56" s="240"/>
      <c r="O56" s="240"/>
      <c r="P56" s="240"/>
      <c r="Q56" s="240"/>
      <c r="R56" s="240"/>
      <c r="S56" s="240"/>
      <c r="T56" s="240"/>
      <c r="U56" s="240"/>
      <c r="V56" s="240"/>
      <c r="W56" s="240"/>
      <c r="X56" s="240"/>
      <c r="Y56" s="240"/>
      <c r="Z56" s="240"/>
      <c r="AA56" s="240"/>
      <c r="AB56" s="240"/>
      <c r="AC56" s="240"/>
      <c r="AD56" s="240"/>
      <c r="AE56" s="240"/>
      <c r="AF56" s="240"/>
      <c r="AG56" s="240"/>
      <c r="AH56" s="240"/>
      <c r="AI56" s="240"/>
      <c r="AJ56" s="32" t="s">
        <v>19</v>
      </c>
    </row>
    <row r="57" spans="2:37" ht="11.25" customHeight="1" thickBot="1" x14ac:dyDescent="0.75">
      <c r="C57" s="36"/>
      <c r="AI57" s="4"/>
      <c r="AJ57" s="34" t="s">
        <v>202</v>
      </c>
    </row>
    <row r="58" spans="2:37" ht="6.75" customHeight="1" thickTop="1" thickBot="1" x14ac:dyDescent="0.3">
      <c r="B58" s="33"/>
      <c r="C58" s="45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44"/>
      <c r="AH58" s="44"/>
      <c r="AI58" s="44"/>
      <c r="AJ58" s="43"/>
      <c r="AK58" s="33"/>
    </row>
    <row r="59" spans="2:37" ht="12.6" hidden="1" thickBot="1" x14ac:dyDescent="0.3">
      <c r="B59" s="2"/>
      <c r="C59" s="31" t="s">
        <v>116</v>
      </c>
      <c r="D59" s="30" t="s">
        <v>198</v>
      </c>
      <c r="E59" s="30" t="s">
        <v>197</v>
      </c>
      <c r="F59" s="30" t="s">
        <v>196</v>
      </c>
      <c r="G59" s="30" t="s">
        <v>195</v>
      </c>
      <c r="H59" s="30" t="s">
        <v>194</v>
      </c>
      <c r="I59" s="30" t="s">
        <v>193</v>
      </c>
      <c r="J59" s="30" t="s">
        <v>192</v>
      </c>
      <c r="K59" s="30" t="s">
        <v>191</v>
      </c>
      <c r="L59" s="30" t="s">
        <v>190</v>
      </c>
      <c r="M59" s="30" t="s">
        <v>189</v>
      </c>
      <c r="N59" s="30" t="s">
        <v>188</v>
      </c>
      <c r="O59" s="30" t="s">
        <v>187</v>
      </c>
      <c r="P59" s="30" t="s">
        <v>186</v>
      </c>
      <c r="Q59" s="30" t="s">
        <v>185</v>
      </c>
      <c r="R59" s="30" t="s">
        <v>184</v>
      </c>
      <c r="S59" s="30" t="s">
        <v>183</v>
      </c>
      <c r="T59" s="30" t="s">
        <v>182</v>
      </c>
      <c r="U59" s="30" t="s">
        <v>181</v>
      </c>
      <c r="V59" s="30" t="s">
        <v>180</v>
      </c>
      <c r="W59" s="30" t="s">
        <v>179</v>
      </c>
      <c r="X59" s="30" t="s">
        <v>178</v>
      </c>
      <c r="Y59" s="30" t="s">
        <v>177</v>
      </c>
      <c r="Z59" s="30" t="s">
        <v>176</v>
      </c>
      <c r="AA59" s="30" t="s">
        <v>175</v>
      </c>
      <c r="AB59" s="30" t="s">
        <v>174</v>
      </c>
      <c r="AC59" s="30" t="s">
        <v>173</v>
      </c>
      <c r="AD59" s="30" t="s">
        <v>172</v>
      </c>
      <c r="AE59" s="30" t="s">
        <v>171</v>
      </c>
      <c r="AF59" s="30" t="s">
        <v>170</v>
      </c>
      <c r="AG59" s="30" t="s">
        <v>169</v>
      </c>
      <c r="AH59" s="30" t="s">
        <v>168</v>
      </c>
      <c r="AI59" s="30" t="s">
        <v>167</v>
      </c>
      <c r="AJ59" s="42" t="s">
        <v>19</v>
      </c>
      <c r="AK59" s="2" t="s">
        <v>203</v>
      </c>
    </row>
    <row r="60" spans="2:37" ht="19.5" customHeight="1" thickTop="1" thickBot="1" x14ac:dyDescent="0.3">
      <c r="B60" s="28"/>
      <c r="C60" s="27" t="str">
        <f>DADOS!$T$3</f>
        <v>🍕 ALIMENTAÇÃO</v>
      </c>
      <c r="D60" s="26" t="str">
        <f>IF(despesavariávelconsolidadofev[[#This Row],[TOTAL]]=0,"",IF(OR(despesavariávelconsolidadofev[[#This Row],[TOTAL]]=LARGE($AJ$60:$AJ$72,1),despesavariávelconsolidadofev[[#This Row],[TOTAL]]=LARGE($AJ$60:$AJ$72,2),despesavariávelconsolidadofev[[#This Row],[TOTAL]]=LARGE($AJ$60:$AJ$72,3),despesavariávelconsolidadofev[[#This Row],[TOTAL]]=LARGE($AJ$60:$AJ$72,4),despesavariávelconsolidadofev[[#This Row],[TOTAL]]=LARGE($AJ$60:$AJ$72,5)),DADOS!$I$8,""))</f>
        <v/>
      </c>
      <c r="E60" s="94">
        <f>SUMIFS(tabela_registros[VALOR],tabela_registros[MÊS],$AE$1,tabela_registros[DIA],fevtotal30[[#Headers],[1]],tabela_registros[REGISTRO],DADOS!$N$4,tabela_registros[TIPO],DADOS!$P$4,tabela_registros[CATEGORIA],despesavariávelconsolidadofev[[#This Row],[DESPESA VARIÁVEL]])</f>
        <v>0</v>
      </c>
      <c r="F60" s="88">
        <f>SUMIFS(tabela_registros[VALOR],tabela_registros[MÊS],$AE$1,tabela_registros[DIA],fevtotal30[[#Headers],[2]],tabela_registros[REGISTRO],DADOS!$N$4,tabela_registros[TIPO],DADOS!$P$4,tabela_registros[CATEGORIA],despesavariávelconsolidadofev[[#This Row],[DESPESA VARIÁVEL]])</f>
        <v>0</v>
      </c>
      <c r="G60" s="88">
        <f>SUMIFS(tabela_registros[VALOR],tabela_registros[MÊS],$AE$1,tabela_registros[DIA],fevtotal30[[#Headers],[3]],tabela_registros[REGISTRO],DADOS!$N$4,tabela_registros[TIPO],DADOS!$P$4,tabela_registros[CATEGORIA],despesavariávelconsolidadofev[[#This Row],[DESPESA VARIÁVEL]])</f>
        <v>0</v>
      </c>
      <c r="H60" s="88">
        <f>SUMIFS(tabela_registros[VALOR],tabela_registros[MÊS],$AE$1,tabela_registros[DIA],fevtotal30[[#Headers],[4]],tabela_registros[REGISTRO],DADOS!$N$4,tabela_registros[TIPO],DADOS!$P$4,tabela_registros[CATEGORIA],despesavariávelconsolidadofev[[#This Row],[DESPESA VARIÁVEL]])</f>
        <v>0</v>
      </c>
      <c r="I60" s="88">
        <f>SUMIFS(tabela_registros[VALOR],tabela_registros[MÊS],$AE$1,tabela_registros[DIA],fevtotal30[[#Headers],[5]],tabela_registros[REGISTRO],DADOS!$N$4,tabela_registros[TIPO],DADOS!$P$4,tabela_registros[CATEGORIA],despesavariávelconsolidadofev[[#This Row],[DESPESA VARIÁVEL]])</f>
        <v>0</v>
      </c>
      <c r="J60" s="88">
        <f>SUMIFS(tabela_registros[VALOR],tabela_registros[MÊS],$AE$1,tabela_registros[DIA],fevtotal30[[#Headers],[6]],tabela_registros[REGISTRO],DADOS!$N$4,tabela_registros[TIPO],DADOS!$P$4,tabela_registros[CATEGORIA],despesavariávelconsolidadofev[[#This Row],[DESPESA VARIÁVEL]])</f>
        <v>0</v>
      </c>
      <c r="K60" s="88">
        <f>SUMIFS(tabela_registros[VALOR],tabela_registros[MÊS],$AE$1,tabela_registros[DIA],fevtotal30[[#Headers],[7]],tabela_registros[REGISTRO],DADOS!$N$4,tabela_registros[TIPO],DADOS!$P$4,tabela_registros[CATEGORIA],despesavariávelconsolidadofev[[#This Row],[DESPESA VARIÁVEL]])</f>
        <v>0</v>
      </c>
      <c r="L60" s="88">
        <f>SUMIFS(tabela_registros[VALOR],tabela_registros[MÊS],$AE$1,tabela_registros[DIA],fevtotal30[[#Headers],[8]],tabela_registros[REGISTRO],DADOS!$N$4,tabela_registros[TIPO],DADOS!$P$4,tabela_registros[CATEGORIA],despesavariávelconsolidadofev[[#This Row],[DESPESA VARIÁVEL]])</f>
        <v>0</v>
      </c>
      <c r="M60" s="88">
        <f>SUMIFS(tabela_registros[VALOR],tabela_registros[MÊS],$AE$1,tabela_registros[DIA],fevtotal30[[#Headers],[9]],tabela_registros[REGISTRO],DADOS!$N$4,tabela_registros[TIPO],DADOS!$P$4,tabela_registros[CATEGORIA],despesavariávelconsolidadofev[[#This Row],[DESPESA VARIÁVEL]])</f>
        <v>0</v>
      </c>
      <c r="N60" s="88">
        <f>SUMIFS(tabela_registros[VALOR],tabela_registros[MÊS],$AE$1,tabela_registros[DIA],fevtotal30[[#Headers],[10]],tabela_registros[REGISTRO],DADOS!$N$4,tabela_registros[TIPO],DADOS!$P$4,tabela_registros[CATEGORIA],despesavariávelconsolidadofev[[#This Row],[DESPESA VARIÁVEL]])</f>
        <v>0</v>
      </c>
      <c r="O60" s="88">
        <f>SUMIFS(tabela_registros[VALOR],tabela_registros[MÊS],$AE$1,tabela_registros[DIA],fevtotal30[[#Headers],[11]],tabela_registros[REGISTRO],DADOS!$N$4,tabela_registros[TIPO],DADOS!$P$4,tabela_registros[CATEGORIA],despesavariávelconsolidadofev[[#This Row],[DESPESA VARIÁVEL]])</f>
        <v>0</v>
      </c>
      <c r="P60" s="88">
        <f>SUMIFS(tabela_registros[VALOR],tabela_registros[MÊS],$AE$1,tabela_registros[DIA],fevtotal30[[#Headers],[12]],tabela_registros[REGISTRO],DADOS!$N$4,tabela_registros[TIPO],DADOS!$P$4,tabela_registros[CATEGORIA],despesavariávelconsolidadofev[[#This Row],[DESPESA VARIÁVEL]])</f>
        <v>0</v>
      </c>
      <c r="Q60" s="88">
        <f>SUMIFS(tabela_registros[VALOR],tabela_registros[MÊS],$AE$1,tabela_registros[DIA],fevtotal30[[#Headers],[13]],tabela_registros[REGISTRO],DADOS!$N$4,tabela_registros[TIPO],DADOS!$P$4,tabela_registros[CATEGORIA],despesavariávelconsolidadofev[[#This Row],[DESPESA VARIÁVEL]])</f>
        <v>0</v>
      </c>
      <c r="R60" s="88">
        <f>SUMIFS(tabela_registros[VALOR],tabela_registros[MÊS],$AE$1,tabela_registros[DIA],fevtotal30[[#Headers],[14]],tabela_registros[REGISTRO],DADOS!$N$4,tabela_registros[TIPO],DADOS!$P$4,tabela_registros[CATEGORIA],despesavariávelconsolidadofev[[#This Row],[DESPESA VARIÁVEL]])</f>
        <v>0</v>
      </c>
      <c r="S60" s="88">
        <f>SUMIFS(tabela_registros[VALOR],tabela_registros[MÊS],$AE$1,tabela_registros[DIA],fevtotal30[[#Headers],[15]],tabela_registros[REGISTRO],DADOS!$N$4,tabela_registros[TIPO],DADOS!$P$4,tabela_registros[CATEGORIA],despesavariávelconsolidadofev[[#This Row],[DESPESA VARIÁVEL]])</f>
        <v>0</v>
      </c>
      <c r="T60" s="88">
        <f>SUMIFS(tabela_registros[VALOR],tabela_registros[MÊS],$AE$1,tabela_registros[DIA],fevtotal30[[#Headers],[16]],tabela_registros[REGISTRO],DADOS!$N$4,tabela_registros[TIPO],DADOS!$P$4,tabela_registros[CATEGORIA],despesavariávelconsolidadofev[[#This Row],[DESPESA VARIÁVEL]])</f>
        <v>0</v>
      </c>
      <c r="U60" s="88">
        <f>SUMIFS(tabela_registros[VALOR],tabela_registros[MÊS],$AE$1,tabela_registros[DIA],fevtotal30[[#Headers],[17]],tabela_registros[REGISTRO],DADOS!$N$4,tabela_registros[TIPO],DADOS!$P$4,tabela_registros[CATEGORIA],despesavariávelconsolidadofev[[#This Row],[DESPESA VARIÁVEL]])</f>
        <v>0</v>
      </c>
      <c r="V60" s="88">
        <f>SUMIFS(tabela_registros[VALOR],tabela_registros[MÊS],$AE$1,tabela_registros[DIA],fevtotal30[[#Headers],[18]],tabela_registros[REGISTRO],DADOS!$N$4,tabela_registros[TIPO],DADOS!$P$4,tabela_registros[CATEGORIA],despesavariávelconsolidadofev[[#This Row],[DESPESA VARIÁVEL]])</f>
        <v>0</v>
      </c>
      <c r="W60" s="88">
        <f>SUMIFS(tabela_registros[VALOR],tabela_registros[MÊS],$AE$1,tabela_registros[DIA],fevtotal30[[#Headers],[19]],tabela_registros[REGISTRO],DADOS!$N$4,tabela_registros[TIPO],DADOS!$P$4,tabela_registros[CATEGORIA],despesavariávelconsolidadofev[[#This Row],[DESPESA VARIÁVEL]])</f>
        <v>0</v>
      </c>
      <c r="X60" s="88">
        <f>SUMIFS(tabela_registros[VALOR],tabela_registros[MÊS],$AE$1,tabela_registros[DIA],fevtotal30[[#Headers],[20]],tabela_registros[REGISTRO],DADOS!$N$4,tabela_registros[TIPO],DADOS!$P$4,tabela_registros[CATEGORIA],despesavariávelconsolidadofev[[#This Row],[DESPESA VARIÁVEL]])</f>
        <v>0</v>
      </c>
      <c r="Y60" s="88">
        <f>SUMIFS(tabela_registros[VALOR],tabela_registros[MÊS],$AE$1,tabela_registros[DIA],fevtotal30[[#Headers],[21]],tabela_registros[REGISTRO],DADOS!$N$4,tabela_registros[TIPO],DADOS!$P$4,tabela_registros[CATEGORIA],despesavariávelconsolidadofev[[#This Row],[DESPESA VARIÁVEL]])</f>
        <v>0</v>
      </c>
      <c r="Z60" s="88">
        <f>SUMIFS(tabela_registros[VALOR],tabela_registros[MÊS],$AE$1,tabela_registros[DIA],fevtotal30[[#Headers],[22]],tabela_registros[REGISTRO],DADOS!$N$4,tabela_registros[TIPO],DADOS!$P$4,tabela_registros[CATEGORIA],despesavariávelconsolidadofev[[#This Row],[DESPESA VARIÁVEL]])</f>
        <v>0</v>
      </c>
      <c r="AA60" s="88">
        <f>SUMIFS(tabela_registros[VALOR],tabela_registros[MÊS],$AE$1,tabela_registros[DIA],fevtotal30[[#Headers],[23]],tabela_registros[REGISTRO],DADOS!$N$4,tabela_registros[TIPO],DADOS!$P$4,tabela_registros[CATEGORIA],despesavariávelconsolidadofev[[#This Row],[DESPESA VARIÁVEL]])</f>
        <v>0</v>
      </c>
      <c r="AB60" s="88">
        <f>SUMIFS(tabela_registros[VALOR],tabela_registros[MÊS],$AE$1,tabela_registros[DIA],fevtotal30[[#Headers],[24]],tabela_registros[REGISTRO],DADOS!$N$4,tabela_registros[TIPO],DADOS!$P$4,tabela_registros[CATEGORIA],despesavariávelconsolidadofev[[#This Row],[DESPESA VARIÁVEL]])</f>
        <v>0</v>
      </c>
      <c r="AC60" s="88">
        <f>SUMIFS(tabela_registros[VALOR],tabela_registros[MÊS],$AE$1,tabela_registros[DIA],fevtotal30[[#Headers],[25]],tabela_registros[REGISTRO],DADOS!$N$4,tabela_registros[TIPO],DADOS!$P$4,tabela_registros[CATEGORIA],despesavariávelconsolidadofev[[#This Row],[DESPESA VARIÁVEL]])</f>
        <v>0</v>
      </c>
      <c r="AD60" s="88">
        <f>SUMIFS(tabela_registros[VALOR],tabela_registros[MÊS],$AE$1,tabela_registros[DIA],fevtotal30[[#Headers],[26]],tabela_registros[REGISTRO],DADOS!$N$4,tabela_registros[TIPO],DADOS!$P$4,tabela_registros[CATEGORIA],despesavariávelconsolidadofev[[#This Row],[DESPESA VARIÁVEL]])</f>
        <v>0</v>
      </c>
      <c r="AE60" s="88">
        <f>SUMIFS(tabela_registros[VALOR],tabela_registros[MÊS],$AE$1,tabela_registros[DIA],fevtotal30[[#Headers],[27]],tabela_registros[REGISTRO],DADOS!$N$4,tabela_registros[TIPO],DADOS!$P$4,tabela_registros[CATEGORIA],despesavariávelconsolidadofev[[#This Row],[DESPESA VARIÁVEL]])</f>
        <v>0</v>
      </c>
      <c r="AF60" s="88">
        <f>SUMIFS(tabela_registros[VALOR],tabela_registros[MÊS],$AE$1,tabela_registros[DIA],fevtotal30[[#Headers],[28]],tabela_registros[REGISTRO],DADOS!$N$4,tabela_registros[TIPO],DADOS!$P$4,tabela_registros[CATEGORIA],despesavariávelconsolidadofev[[#This Row],[DESPESA VARIÁVEL]])</f>
        <v>0</v>
      </c>
      <c r="AG60" s="88">
        <f>SUMIFS(tabela_registros[VALOR],tabela_registros[MÊS],$AE$1,tabela_registros[DIA],fevtotal30[[#Headers],[29]],tabela_registros[REGISTRO],DADOS!$N$4,tabela_registros[TIPO],DADOS!$P$4,tabela_registros[CATEGORIA],despesavariávelconsolidadofev[[#This Row],[DESPESA VARIÁVEL]])</f>
        <v>0</v>
      </c>
      <c r="AH60" s="88">
        <f>SUMIFS(tabela_registros[VALOR],tabela_registros[MÊS],$AE$1,tabela_registros[DIA],fevtotal30[[#Headers],[30]],tabela_registros[REGISTRO],DADOS!$N$4,tabela_registros[TIPO],DADOS!$P$4,tabela_registros[CATEGORIA],despesavariávelconsolidadofev[[#This Row],[DESPESA VARIÁVEL]])</f>
        <v>0</v>
      </c>
      <c r="AI60" s="100">
        <f>SUMIFS(tabela_registros[VALOR],tabela_registros[MÊS],$AE$1,tabela_registros[DIA],fevtotal30[[#Headers],[31]],tabela_registros[REGISTRO],DADOS!$N$4,tabela_registros[TIPO],DADOS!$P$4,tabela_registros[CATEGORIA],despesavariávelconsolidadofev[[#This Row],[DESPESA VARIÁVEL]])</f>
        <v>0</v>
      </c>
      <c r="AJ60" s="95">
        <f>SUM(despesavariávelconsolidadofev[[#This Row],[1]:[31]])</f>
        <v>0</v>
      </c>
      <c r="AK60" s="28"/>
    </row>
    <row r="61" spans="2:37" ht="18" customHeight="1" thickTop="1" thickBot="1" x14ac:dyDescent="0.3">
      <c r="B61" s="28"/>
      <c r="C61" s="27" t="str">
        <f>DADOS!$T$4</f>
        <v>💳 CARTÃO DE CRÉDITO</v>
      </c>
      <c r="D61" s="26" t="str">
        <f>IF(despesavariávelconsolidadofev[[#This Row],[TOTAL]]=0,"",IF(OR(despesavariávelconsolidadofev[[#This Row],[TOTAL]]=LARGE($AJ$60:$AJ$72,1),despesavariávelconsolidadofev[[#This Row],[TOTAL]]=LARGE($AJ$60:$AJ$72,2),despesavariávelconsolidadofev[[#This Row],[TOTAL]]=LARGE($AJ$60:$AJ$72,3),despesavariávelconsolidadofev[[#This Row],[TOTAL]]=LARGE($AJ$60:$AJ$72,4),despesavariávelconsolidadofev[[#This Row],[TOTAL]]=LARGE($AJ$60:$AJ$72,5)),DADOS!$I$8,""))</f>
        <v/>
      </c>
      <c r="E61" s="96">
        <f>SUMIFS(tabela_registros[VALOR],tabela_registros[MÊS],$AE$1,tabela_registros[DIA],fevtotal30[[#Headers],[1]],tabela_registros[REGISTRO],DADOS!$N$4,tabela_registros[TIPO],DADOS!$P$4,tabela_registros[CATEGORIA],despesavariávelconsolidadofev[[#This Row],[DESPESA VARIÁVEL]])</f>
        <v>0</v>
      </c>
      <c r="F61" s="91">
        <f>SUMIFS(tabela_registros[VALOR],tabela_registros[MÊS],$AE$1,tabela_registros[DIA],fevtotal30[[#Headers],[2]],tabela_registros[REGISTRO],DADOS!$N$4,tabela_registros[TIPO],DADOS!$P$4,tabela_registros[CATEGORIA],despesavariávelconsolidadofev[[#This Row],[DESPESA VARIÁVEL]])</f>
        <v>0</v>
      </c>
      <c r="G61" s="91">
        <f>SUMIFS(tabela_registros[VALOR],tabela_registros[MÊS],$AE$1,tabela_registros[DIA],fevtotal30[[#Headers],[3]],tabela_registros[REGISTRO],DADOS!$N$4,tabela_registros[TIPO],DADOS!$P$4,tabela_registros[CATEGORIA],despesavariávelconsolidadofev[[#This Row],[DESPESA VARIÁVEL]])</f>
        <v>0</v>
      </c>
      <c r="H61" s="91">
        <f>SUMIFS(tabela_registros[VALOR],tabela_registros[MÊS],$AE$1,tabela_registros[DIA],fevtotal30[[#Headers],[4]],tabela_registros[REGISTRO],DADOS!$N$4,tabela_registros[TIPO],DADOS!$P$4,tabela_registros[CATEGORIA],despesavariávelconsolidadofev[[#This Row],[DESPESA VARIÁVEL]])</f>
        <v>0</v>
      </c>
      <c r="I61" s="91">
        <f>SUMIFS(tabela_registros[VALOR],tabela_registros[MÊS],$AE$1,tabela_registros[DIA],fevtotal30[[#Headers],[5]],tabela_registros[REGISTRO],DADOS!$N$4,tabela_registros[TIPO],DADOS!$P$4,tabela_registros[CATEGORIA],despesavariávelconsolidadofev[[#This Row],[DESPESA VARIÁVEL]])</f>
        <v>0</v>
      </c>
      <c r="J61" s="91">
        <f>SUMIFS(tabela_registros[VALOR],tabela_registros[MÊS],$AE$1,tabela_registros[DIA],fevtotal30[[#Headers],[6]],tabela_registros[REGISTRO],DADOS!$N$4,tabela_registros[TIPO],DADOS!$P$4,tabela_registros[CATEGORIA],despesavariávelconsolidadofev[[#This Row],[DESPESA VARIÁVEL]])</f>
        <v>0</v>
      </c>
      <c r="K61" s="91">
        <f>SUMIFS(tabela_registros[VALOR],tabela_registros[MÊS],$AE$1,tabela_registros[DIA],fevtotal30[[#Headers],[7]],tabela_registros[REGISTRO],DADOS!$N$4,tabela_registros[TIPO],DADOS!$P$4,tabela_registros[CATEGORIA],despesavariávelconsolidadofev[[#This Row],[DESPESA VARIÁVEL]])</f>
        <v>0</v>
      </c>
      <c r="L61" s="91">
        <f>SUMIFS(tabela_registros[VALOR],tabela_registros[MÊS],$AE$1,tabela_registros[DIA],fevtotal30[[#Headers],[8]],tabela_registros[REGISTRO],DADOS!$N$4,tabela_registros[TIPO],DADOS!$P$4,tabela_registros[CATEGORIA],despesavariávelconsolidadofev[[#This Row],[DESPESA VARIÁVEL]])</f>
        <v>0</v>
      </c>
      <c r="M61" s="91">
        <f>SUMIFS(tabela_registros[VALOR],tabela_registros[MÊS],$AE$1,tabela_registros[DIA],fevtotal30[[#Headers],[9]],tabela_registros[REGISTRO],DADOS!$N$4,tabela_registros[TIPO],DADOS!$P$4,tabela_registros[CATEGORIA],despesavariávelconsolidadofev[[#This Row],[DESPESA VARIÁVEL]])</f>
        <v>0</v>
      </c>
      <c r="N61" s="91">
        <f>SUMIFS(tabela_registros[VALOR],tabela_registros[MÊS],$AE$1,tabela_registros[DIA],fevtotal30[[#Headers],[10]],tabela_registros[REGISTRO],DADOS!$N$4,tabela_registros[TIPO],DADOS!$P$4,tabela_registros[CATEGORIA],despesavariávelconsolidadofev[[#This Row],[DESPESA VARIÁVEL]])</f>
        <v>0</v>
      </c>
      <c r="O61" s="91">
        <f>SUMIFS(tabela_registros[VALOR],tabela_registros[MÊS],$AE$1,tabela_registros[DIA],fevtotal30[[#Headers],[11]],tabela_registros[REGISTRO],DADOS!$N$4,tabela_registros[TIPO],DADOS!$P$4,tabela_registros[CATEGORIA],despesavariávelconsolidadofev[[#This Row],[DESPESA VARIÁVEL]])</f>
        <v>0</v>
      </c>
      <c r="P61" s="91">
        <f>SUMIFS(tabela_registros[VALOR],tabela_registros[MÊS],$AE$1,tabela_registros[DIA],fevtotal30[[#Headers],[12]],tabela_registros[REGISTRO],DADOS!$N$4,tabela_registros[TIPO],DADOS!$P$4,tabela_registros[CATEGORIA],despesavariávelconsolidadofev[[#This Row],[DESPESA VARIÁVEL]])</f>
        <v>0</v>
      </c>
      <c r="Q61" s="91">
        <f>SUMIFS(tabela_registros[VALOR],tabela_registros[MÊS],$AE$1,tabela_registros[DIA],fevtotal30[[#Headers],[13]],tabela_registros[REGISTRO],DADOS!$N$4,tabela_registros[TIPO],DADOS!$P$4,tabela_registros[CATEGORIA],despesavariávelconsolidadofev[[#This Row],[DESPESA VARIÁVEL]])</f>
        <v>0</v>
      </c>
      <c r="R61" s="91">
        <f>SUMIFS(tabela_registros[VALOR],tabela_registros[MÊS],$AE$1,tabela_registros[DIA],fevtotal30[[#Headers],[14]],tabela_registros[REGISTRO],DADOS!$N$4,tabela_registros[TIPO],DADOS!$P$4,tabela_registros[CATEGORIA],despesavariávelconsolidadofev[[#This Row],[DESPESA VARIÁVEL]])</f>
        <v>0</v>
      </c>
      <c r="S61" s="91">
        <f>SUMIFS(tabela_registros[VALOR],tabela_registros[MÊS],$AE$1,tabela_registros[DIA],fevtotal30[[#Headers],[15]],tabela_registros[REGISTRO],DADOS!$N$4,tabela_registros[TIPO],DADOS!$P$4,tabela_registros[CATEGORIA],despesavariávelconsolidadofev[[#This Row],[DESPESA VARIÁVEL]])</f>
        <v>0</v>
      </c>
      <c r="T61" s="91">
        <f>SUMIFS(tabela_registros[VALOR],tabela_registros[MÊS],$AE$1,tabela_registros[DIA],fevtotal30[[#Headers],[16]],tabela_registros[REGISTRO],DADOS!$N$4,tabela_registros[TIPO],DADOS!$P$4,tabela_registros[CATEGORIA],despesavariávelconsolidadofev[[#This Row],[DESPESA VARIÁVEL]])</f>
        <v>0</v>
      </c>
      <c r="U61" s="91">
        <f>SUMIFS(tabela_registros[VALOR],tabela_registros[MÊS],$AE$1,tabela_registros[DIA],fevtotal30[[#Headers],[17]],tabela_registros[REGISTRO],DADOS!$N$4,tabela_registros[TIPO],DADOS!$P$4,tabela_registros[CATEGORIA],despesavariávelconsolidadofev[[#This Row],[DESPESA VARIÁVEL]])</f>
        <v>0</v>
      </c>
      <c r="V61" s="91">
        <f>SUMIFS(tabela_registros[VALOR],tabela_registros[MÊS],$AE$1,tabela_registros[DIA],fevtotal30[[#Headers],[18]],tabela_registros[REGISTRO],DADOS!$N$4,tabela_registros[TIPO],DADOS!$P$4,tabela_registros[CATEGORIA],despesavariávelconsolidadofev[[#This Row],[DESPESA VARIÁVEL]])</f>
        <v>0</v>
      </c>
      <c r="W61" s="91">
        <f>SUMIFS(tabela_registros[VALOR],tabela_registros[MÊS],$AE$1,tabela_registros[DIA],fevtotal30[[#Headers],[19]],tabela_registros[REGISTRO],DADOS!$N$4,tabela_registros[TIPO],DADOS!$P$4,tabela_registros[CATEGORIA],despesavariávelconsolidadofev[[#This Row],[DESPESA VARIÁVEL]])</f>
        <v>0</v>
      </c>
      <c r="X61" s="91">
        <f>SUMIFS(tabela_registros[VALOR],tabela_registros[MÊS],$AE$1,tabela_registros[DIA],fevtotal30[[#Headers],[20]],tabela_registros[REGISTRO],DADOS!$N$4,tabela_registros[TIPO],DADOS!$P$4,tabela_registros[CATEGORIA],despesavariávelconsolidadofev[[#This Row],[DESPESA VARIÁVEL]])</f>
        <v>0</v>
      </c>
      <c r="Y61" s="91">
        <f>SUMIFS(tabela_registros[VALOR],tabela_registros[MÊS],$AE$1,tabela_registros[DIA],fevtotal30[[#Headers],[21]],tabela_registros[REGISTRO],DADOS!$N$4,tabela_registros[TIPO],DADOS!$P$4,tabela_registros[CATEGORIA],despesavariávelconsolidadofev[[#This Row],[DESPESA VARIÁVEL]])</f>
        <v>0</v>
      </c>
      <c r="Z61" s="91">
        <f>SUMIFS(tabela_registros[VALOR],tabela_registros[MÊS],$AE$1,tabela_registros[DIA],fevtotal30[[#Headers],[22]],tabela_registros[REGISTRO],DADOS!$N$4,tabela_registros[TIPO],DADOS!$P$4,tabela_registros[CATEGORIA],despesavariávelconsolidadofev[[#This Row],[DESPESA VARIÁVEL]])</f>
        <v>0</v>
      </c>
      <c r="AA61" s="91">
        <f>SUMIFS(tabela_registros[VALOR],tabela_registros[MÊS],$AE$1,tabela_registros[DIA],fevtotal30[[#Headers],[23]],tabela_registros[REGISTRO],DADOS!$N$4,tabela_registros[TIPO],DADOS!$P$4,tabela_registros[CATEGORIA],despesavariávelconsolidadofev[[#This Row],[DESPESA VARIÁVEL]])</f>
        <v>0</v>
      </c>
      <c r="AB61" s="91">
        <f>SUMIFS(tabela_registros[VALOR],tabela_registros[MÊS],$AE$1,tabela_registros[DIA],fevtotal30[[#Headers],[24]],tabela_registros[REGISTRO],DADOS!$N$4,tabela_registros[TIPO],DADOS!$P$4,tabela_registros[CATEGORIA],despesavariávelconsolidadofev[[#This Row],[DESPESA VARIÁVEL]])</f>
        <v>0</v>
      </c>
      <c r="AC61" s="91">
        <f>SUMIFS(tabela_registros[VALOR],tabela_registros[MÊS],$AE$1,tabela_registros[DIA],fevtotal30[[#Headers],[25]],tabela_registros[REGISTRO],DADOS!$N$4,tabela_registros[TIPO],DADOS!$P$4,tabela_registros[CATEGORIA],despesavariávelconsolidadofev[[#This Row],[DESPESA VARIÁVEL]])</f>
        <v>0</v>
      </c>
      <c r="AD61" s="91">
        <f>SUMIFS(tabela_registros[VALOR],tabela_registros[MÊS],$AE$1,tabela_registros[DIA],fevtotal30[[#Headers],[26]],tabela_registros[REGISTRO],DADOS!$N$4,tabela_registros[TIPO],DADOS!$P$4,tabela_registros[CATEGORIA],despesavariávelconsolidadofev[[#This Row],[DESPESA VARIÁVEL]])</f>
        <v>0</v>
      </c>
      <c r="AE61" s="91">
        <f>SUMIFS(tabela_registros[VALOR],tabela_registros[MÊS],$AE$1,tabela_registros[DIA],fevtotal30[[#Headers],[27]],tabela_registros[REGISTRO],DADOS!$N$4,tabela_registros[TIPO],DADOS!$P$4,tabela_registros[CATEGORIA],despesavariávelconsolidadofev[[#This Row],[DESPESA VARIÁVEL]])</f>
        <v>0</v>
      </c>
      <c r="AF61" s="91">
        <f>SUMIFS(tabela_registros[VALOR],tabela_registros[MÊS],$AE$1,tabela_registros[DIA],fevtotal30[[#Headers],[28]],tabela_registros[REGISTRO],DADOS!$N$4,tabela_registros[TIPO],DADOS!$P$4,tabela_registros[CATEGORIA],despesavariávelconsolidadofev[[#This Row],[DESPESA VARIÁVEL]])</f>
        <v>0</v>
      </c>
      <c r="AG61" s="91">
        <f>SUMIFS(tabela_registros[VALOR],tabela_registros[MÊS],$AE$1,tabela_registros[DIA],fevtotal30[[#Headers],[29]],tabela_registros[REGISTRO],DADOS!$N$4,tabela_registros[TIPO],DADOS!$P$4,tabela_registros[CATEGORIA],despesavariávelconsolidadofev[[#This Row],[DESPESA VARIÁVEL]])</f>
        <v>0</v>
      </c>
      <c r="AH61" s="91">
        <f>SUMIFS(tabela_registros[VALOR],tabela_registros[MÊS],$AE$1,tabela_registros[DIA],fevtotal30[[#Headers],[30]],tabela_registros[REGISTRO],DADOS!$N$4,tabela_registros[TIPO],DADOS!$P$4,tabela_registros[CATEGORIA],despesavariávelconsolidadofev[[#This Row],[DESPESA VARIÁVEL]])</f>
        <v>0</v>
      </c>
      <c r="AI61" s="101">
        <f>SUMIFS(tabela_registros[VALOR],tabela_registros[MÊS],$AE$1,tabela_registros[DIA],fevtotal30[[#Headers],[31]],tabela_registros[REGISTRO],DADOS!$N$4,tabela_registros[TIPO],DADOS!$P$4,tabela_registros[CATEGORIA],despesavariávelconsolidadofev[[#This Row],[DESPESA VARIÁVEL]])</f>
        <v>0</v>
      </c>
      <c r="AJ61" s="97">
        <f>SUM(despesavariávelconsolidadofev[[#This Row],[1]:[31]])</f>
        <v>0</v>
      </c>
      <c r="AK61" s="28"/>
    </row>
    <row r="62" spans="2:37" ht="18" customHeight="1" thickTop="1" thickBot="1" x14ac:dyDescent="0.3">
      <c r="B62" s="28"/>
      <c r="C62" s="27" t="str">
        <f>DADOS!$T$5</f>
        <v>✍️ CHEQUE ESPECIAL</v>
      </c>
      <c r="D62" s="26" t="str">
        <f>IF(despesavariávelconsolidadofev[[#This Row],[TOTAL]]=0,"",IF(OR(despesavariávelconsolidadofev[[#This Row],[TOTAL]]=LARGE($AJ$60:$AJ$72,1),despesavariávelconsolidadofev[[#This Row],[TOTAL]]=LARGE($AJ$60:$AJ$72,2),despesavariávelconsolidadofev[[#This Row],[TOTAL]]=LARGE($AJ$60:$AJ$72,3),despesavariávelconsolidadofev[[#This Row],[TOTAL]]=LARGE($AJ$60:$AJ$72,4),despesavariávelconsolidadofev[[#This Row],[TOTAL]]=LARGE($AJ$60:$AJ$72,5)),DADOS!$I$8,""))</f>
        <v/>
      </c>
      <c r="E62" s="96">
        <f>SUMIFS(tabela_registros[VALOR],tabela_registros[MÊS],$AE$1,tabela_registros[DIA],fevtotal30[[#Headers],[1]],tabela_registros[REGISTRO],DADOS!$N$4,tabela_registros[TIPO],DADOS!$P$4,tabela_registros[CATEGORIA],despesavariávelconsolidadofev[[#This Row],[DESPESA VARIÁVEL]])</f>
        <v>0</v>
      </c>
      <c r="F62" s="91">
        <f>SUMIFS(tabela_registros[VALOR],tabela_registros[MÊS],$AE$1,tabela_registros[DIA],fevtotal30[[#Headers],[2]],tabela_registros[REGISTRO],DADOS!$N$4,tabela_registros[TIPO],DADOS!$P$4,tabela_registros[CATEGORIA],despesavariávelconsolidadofev[[#This Row],[DESPESA VARIÁVEL]])</f>
        <v>0</v>
      </c>
      <c r="G62" s="91">
        <f>SUMIFS(tabela_registros[VALOR],tabela_registros[MÊS],$AE$1,tabela_registros[DIA],fevtotal30[[#Headers],[3]],tabela_registros[REGISTRO],DADOS!$N$4,tabela_registros[TIPO],DADOS!$P$4,tabela_registros[CATEGORIA],despesavariávelconsolidadofev[[#This Row],[DESPESA VARIÁVEL]])</f>
        <v>0</v>
      </c>
      <c r="H62" s="91">
        <f>SUMIFS(tabela_registros[VALOR],tabela_registros[MÊS],$AE$1,tabela_registros[DIA],fevtotal30[[#Headers],[4]],tabela_registros[REGISTRO],DADOS!$N$4,tabela_registros[TIPO],DADOS!$P$4,tabela_registros[CATEGORIA],despesavariávelconsolidadofev[[#This Row],[DESPESA VARIÁVEL]])</f>
        <v>0</v>
      </c>
      <c r="I62" s="91">
        <f>SUMIFS(tabela_registros[VALOR],tabela_registros[MÊS],$AE$1,tabela_registros[DIA],fevtotal30[[#Headers],[5]],tabela_registros[REGISTRO],DADOS!$N$4,tabela_registros[TIPO],DADOS!$P$4,tabela_registros[CATEGORIA],despesavariávelconsolidadofev[[#This Row],[DESPESA VARIÁVEL]])</f>
        <v>0</v>
      </c>
      <c r="J62" s="91">
        <f>SUMIFS(tabela_registros[VALOR],tabela_registros[MÊS],$AE$1,tabela_registros[DIA],fevtotal30[[#Headers],[6]],tabela_registros[REGISTRO],DADOS!$N$4,tabela_registros[TIPO],DADOS!$P$4,tabela_registros[CATEGORIA],despesavariávelconsolidadofev[[#This Row],[DESPESA VARIÁVEL]])</f>
        <v>0</v>
      </c>
      <c r="K62" s="91">
        <f>SUMIFS(tabela_registros[VALOR],tabela_registros[MÊS],$AE$1,tabela_registros[DIA],fevtotal30[[#Headers],[7]],tabela_registros[REGISTRO],DADOS!$N$4,tabela_registros[TIPO],DADOS!$P$4,tabela_registros[CATEGORIA],despesavariávelconsolidadofev[[#This Row],[DESPESA VARIÁVEL]])</f>
        <v>0</v>
      </c>
      <c r="L62" s="91">
        <f>SUMIFS(tabela_registros[VALOR],tabela_registros[MÊS],$AE$1,tabela_registros[DIA],fevtotal30[[#Headers],[8]],tabela_registros[REGISTRO],DADOS!$N$4,tabela_registros[TIPO],DADOS!$P$4,tabela_registros[CATEGORIA],despesavariávelconsolidadofev[[#This Row],[DESPESA VARIÁVEL]])</f>
        <v>0</v>
      </c>
      <c r="M62" s="91">
        <f>SUMIFS(tabela_registros[VALOR],tabela_registros[MÊS],$AE$1,tabela_registros[DIA],fevtotal30[[#Headers],[9]],tabela_registros[REGISTRO],DADOS!$N$4,tabela_registros[TIPO],DADOS!$P$4,tabela_registros[CATEGORIA],despesavariávelconsolidadofev[[#This Row],[DESPESA VARIÁVEL]])</f>
        <v>0</v>
      </c>
      <c r="N62" s="91">
        <f>SUMIFS(tabela_registros[VALOR],tabela_registros[MÊS],$AE$1,tabela_registros[DIA],fevtotal30[[#Headers],[10]],tabela_registros[REGISTRO],DADOS!$N$4,tabela_registros[TIPO],DADOS!$P$4,tabela_registros[CATEGORIA],despesavariávelconsolidadofev[[#This Row],[DESPESA VARIÁVEL]])</f>
        <v>0</v>
      </c>
      <c r="O62" s="91">
        <f>SUMIFS(tabela_registros[VALOR],tabela_registros[MÊS],$AE$1,tabela_registros[DIA],fevtotal30[[#Headers],[11]],tabela_registros[REGISTRO],DADOS!$N$4,tabela_registros[TIPO],DADOS!$P$4,tabela_registros[CATEGORIA],despesavariávelconsolidadofev[[#This Row],[DESPESA VARIÁVEL]])</f>
        <v>0</v>
      </c>
      <c r="P62" s="91">
        <f>SUMIFS(tabela_registros[VALOR],tabela_registros[MÊS],$AE$1,tabela_registros[DIA],fevtotal30[[#Headers],[12]],tabela_registros[REGISTRO],DADOS!$N$4,tabela_registros[TIPO],DADOS!$P$4,tabela_registros[CATEGORIA],despesavariávelconsolidadofev[[#This Row],[DESPESA VARIÁVEL]])</f>
        <v>0</v>
      </c>
      <c r="Q62" s="91">
        <f>SUMIFS(tabela_registros[VALOR],tabela_registros[MÊS],$AE$1,tabela_registros[DIA],fevtotal30[[#Headers],[13]],tabela_registros[REGISTRO],DADOS!$N$4,tabela_registros[TIPO],DADOS!$P$4,tabela_registros[CATEGORIA],despesavariávelconsolidadofev[[#This Row],[DESPESA VARIÁVEL]])</f>
        <v>0</v>
      </c>
      <c r="R62" s="91">
        <f>SUMIFS(tabela_registros[VALOR],tabela_registros[MÊS],$AE$1,tabela_registros[DIA],fevtotal30[[#Headers],[14]],tabela_registros[REGISTRO],DADOS!$N$4,tabela_registros[TIPO],DADOS!$P$4,tabela_registros[CATEGORIA],despesavariávelconsolidadofev[[#This Row],[DESPESA VARIÁVEL]])</f>
        <v>0</v>
      </c>
      <c r="S62" s="91">
        <f>SUMIFS(tabela_registros[VALOR],tabela_registros[MÊS],$AE$1,tabela_registros[DIA],fevtotal30[[#Headers],[15]],tabela_registros[REGISTRO],DADOS!$N$4,tabela_registros[TIPO],DADOS!$P$4,tabela_registros[CATEGORIA],despesavariávelconsolidadofev[[#This Row],[DESPESA VARIÁVEL]])</f>
        <v>0</v>
      </c>
      <c r="T62" s="91">
        <f>SUMIFS(tabela_registros[VALOR],tabela_registros[MÊS],$AE$1,tabela_registros[DIA],fevtotal30[[#Headers],[16]],tabela_registros[REGISTRO],DADOS!$N$4,tabela_registros[TIPO],DADOS!$P$4,tabela_registros[CATEGORIA],despesavariávelconsolidadofev[[#This Row],[DESPESA VARIÁVEL]])</f>
        <v>0</v>
      </c>
      <c r="U62" s="91">
        <f>SUMIFS(tabela_registros[VALOR],tabela_registros[MÊS],$AE$1,tabela_registros[DIA],fevtotal30[[#Headers],[17]],tabela_registros[REGISTRO],DADOS!$N$4,tabela_registros[TIPO],DADOS!$P$4,tabela_registros[CATEGORIA],despesavariávelconsolidadofev[[#This Row],[DESPESA VARIÁVEL]])</f>
        <v>0</v>
      </c>
      <c r="V62" s="91">
        <f>SUMIFS(tabela_registros[VALOR],tabela_registros[MÊS],$AE$1,tabela_registros[DIA],fevtotal30[[#Headers],[18]],tabela_registros[REGISTRO],DADOS!$N$4,tabela_registros[TIPO],DADOS!$P$4,tabela_registros[CATEGORIA],despesavariávelconsolidadofev[[#This Row],[DESPESA VARIÁVEL]])</f>
        <v>0</v>
      </c>
      <c r="W62" s="91">
        <f>SUMIFS(tabela_registros[VALOR],tabela_registros[MÊS],$AE$1,tabela_registros[DIA],fevtotal30[[#Headers],[19]],tabela_registros[REGISTRO],DADOS!$N$4,tabela_registros[TIPO],DADOS!$P$4,tabela_registros[CATEGORIA],despesavariávelconsolidadofev[[#This Row],[DESPESA VARIÁVEL]])</f>
        <v>0</v>
      </c>
      <c r="X62" s="91">
        <f>SUMIFS(tabela_registros[VALOR],tabela_registros[MÊS],$AE$1,tabela_registros[DIA],fevtotal30[[#Headers],[20]],tabela_registros[REGISTRO],DADOS!$N$4,tabela_registros[TIPO],DADOS!$P$4,tabela_registros[CATEGORIA],despesavariávelconsolidadofev[[#This Row],[DESPESA VARIÁVEL]])</f>
        <v>0</v>
      </c>
      <c r="Y62" s="91">
        <f>SUMIFS(tabela_registros[VALOR],tabela_registros[MÊS],$AE$1,tabela_registros[DIA],fevtotal30[[#Headers],[21]],tabela_registros[REGISTRO],DADOS!$N$4,tabela_registros[TIPO],DADOS!$P$4,tabela_registros[CATEGORIA],despesavariávelconsolidadofev[[#This Row],[DESPESA VARIÁVEL]])</f>
        <v>0</v>
      </c>
      <c r="Z62" s="91">
        <f>SUMIFS(tabela_registros[VALOR],tabela_registros[MÊS],$AE$1,tabela_registros[DIA],fevtotal30[[#Headers],[22]],tabela_registros[REGISTRO],DADOS!$N$4,tabela_registros[TIPO],DADOS!$P$4,tabela_registros[CATEGORIA],despesavariávelconsolidadofev[[#This Row],[DESPESA VARIÁVEL]])</f>
        <v>0</v>
      </c>
      <c r="AA62" s="91">
        <f>SUMIFS(tabela_registros[VALOR],tabela_registros[MÊS],$AE$1,tabela_registros[DIA],fevtotal30[[#Headers],[23]],tabela_registros[REGISTRO],DADOS!$N$4,tabela_registros[TIPO],DADOS!$P$4,tabela_registros[CATEGORIA],despesavariávelconsolidadofev[[#This Row],[DESPESA VARIÁVEL]])</f>
        <v>0</v>
      </c>
      <c r="AB62" s="91">
        <f>SUMIFS(tabela_registros[VALOR],tabela_registros[MÊS],$AE$1,tabela_registros[DIA],fevtotal30[[#Headers],[24]],tabela_registros[REGISTRO],DADOS!$N$4,tabela_registros[TIPO],DADOS!$P$4,tabela_registros[CATEGORIA],despesavariávelconsolidadofev[[#This Row],[DESPESA VARIÁVEL]])</f>
        <v>0</v>
      </c>
      <c r="AC62" s="91">
        <f>SUMIFS(tabela_registros[VALOR],tabela_registros[MÊS],$AE$1,tabela_registros[DIA],fevtotal30[[#Headers],[25]],tabela_registros[REGISTRO],DADOS!$N$4,tabela_registros[TIPO],DADOS!$P$4,tabela_registros[CATEGORIA],despesavariávelconsolidadofev[[#This Row],[DESPESA VARIÁVEL]])</f>
        <v>0</v>
      </c>
      <c r="AD62" s="91">
        <f>SUMIFS(tabela_registros[VALOR],tabela_registros[MÊS],$AE$1,tabela_registros[DIA],fevtotal30[[#Headers],[26]],tabela_registros[REGISTRO],DADOS!$N$4,tabela_registros[TIPO],DADOS!$P$4,tabela_registros[CATEGORIA],despesavariávelconsolidadofev[[#This Row],[DESPESA VARIÁVEL]])</f>
        <v>0</v>
      </c>
      <c r="AE62" s="91">
        <f>SUMIFS(tabela_registros[VALOR],tabela_registros[MÊS],$AE$1,tabela_registros[DIA],fevtotal30[[#Headers],[27]],tabela_registros[REGISTRO],DADOS!$N$4,tabela_registros[TIPO],DADOS!$P$4,tabela_registros[CATEGORIA],despesavariávelconsolidadofev[[#This Row],[DESPESA VARIÁVEL]])</f>
        <v>0</v>
      </c>
      <c r="AF62" s="91">
        <f>SUMIFS(tabela_registros[VALOR],tabela_registros[MÊS],$AE$1,tabela_registros[DIA],fevtotal30[[#Headers],[28]],tabela_registros[REGISTRO],DADOS!$N$4,tabela_registros[TIPO],DADOS!$P$4,tabela_registros[CATEGORIA],despesavariávelconsolidadofev[[#This Row],[DESPESA VARIÁVEL]])</f>
        <v>0</v>
      </c>
      <c r="AG62" s="91">
        <f>SUMIFS(tabela_registros[VALOR],tabela_registros[MÊS],$AE$1,tabela_registros[DIA],fevtotal30[[#Headers],[29]],tabela_registros[REGISTRO],DADOS!$N$4,tabela_registros[TIPO],DADOS!$P$4,tabela_registros[CATEGORIA],despesavariávelconsolidadofev[[#This Row],[DESPESA VARIÁVEL]])</f>
        <v>0</v>
      </c>
      <c r="AH62" s="91">
        <f>SUMIFS(tabela_registros[VALOR],tabela_registros[MÊS],$AE$1,tabela_registros[DIA],fevtotal30[[#Headers],[30]],tabela_registros[REGISTRO],DADOS!$N$4,tabela_registros[TIPO],DADOS!$P$4,tabela_registros[CATEGORIA],despesavariávelconsolidadofev[[#This Row],[DESPESA VARIÁVEL]])</f>
        <v>0</v>
      </c>
      <c r="AI62" s="101">
        <f>SUMIFS(tabela_registros[VALOR],tabela_registros[MÊS],$AE$1,tabela_registros[DIA],fevtotal30[[#Headers],[31]],tabela_registros[REGISTRO],DADOS!$N$4,tabela_registros[TIPO],DADOS!$P$4,tabela_registros[CATEGORIA],despesavariávelconsolidadofev[[#This Row],[DESPESA VARIÁVEL]])</f>
        <v>0</v>
      </c>
      <c r="AJ62" s="97">
        <f>SUM(despesavariávelconsolidadofev[[#This Row],[1]:[31]])</f>
        <v>0</v>
      </c>
      <c r="AK62" s="28"/>
    </row>
    <row r="63" spans="2:37" ht="18" customHeight="1" thickTop="1" thickBot="1" x14ac:dyDescent="0.3">
      <c r="B63" s="28"/>
      <c r="C63" s="27" t="str">
        <f>DADOS!$T$6</f>
        <v>💄 CUIDADOS PESSOAIS</v>
      </c>
      <c r="D63" s="26" t="str">
        <f>IF(despesavariávelconsolidadofev[[#This Row],[TOTAL]]=0,"",IF(OR(despesavariávelconsolidadofev[[#This Row],[TOTAL]]=LARGE($AJ$60:$AJ$72,1),despesavariávelconsolidadofev[[#This Row],[TOTAL]]=LARGE($AJ$60:$AJ$72,2),despesavariávelconsolidadofev[[#This Row],[TOTAL]]=LARGE($AJ$60:$AJ$72,3),despesavariávelconsolidadofev[[#This Row],[TOTAL]]=LARGE($AJ$60:$AJ$72,4),despesavariávelconsolidadofev[[#This Row],[TOTAL]]=LARGE($AJ$60:$AJ$72,5)),DADOS!$I$8,""))</f>
        <v/>
      </c>
      <c r="E63" s="96">
        <f>SUMIFS(tabela_registros[VALOR],tabela_registros[MÊS],$AE$1,tabela_registros[DIA],fevtotal30[[#Headers],[1]],tabela_registros[REGISTRO],DADOS!$N$4,tabela_registros[TIPO],DADOS!$P$4,tabela_registros[CATEGORIA],despesavariávelconsolidadofev[[#This Row],[DESPESA VARIÁVEL]])</f>
        <v>0</v>
      </c>
      <c r="F63" s="91">
        <f>SUMIFS(tabela_registros[VALOR],tabela_registros[MÊS],$AE$1,tabela_registros[DIA],fevtotal30[[#Headers],[2]],tabela_registros[REGISTRO],DADOS!$N$4,tabela_registros[TIPO],DADOS!$P$4,tabela_registros[CATEGORIA],despesavariávelconsolidadofev[[#This Row],[DESPESA VARIÁVEL]])</f>
        <v>0</v>
      </c>
      <c r="G63" s="91">
        <f>SUMIFS(tabela_registros[VALOR],tabela_registros[MÊS],$AE$1,tabela_registros[DIA],fevtotal30[[#Headers],[3]],tabela_registros[REGISTRO],DADOS!$N$4,tabela_registros[TIPO],DADOS!$P$4,tabela_registros[CATEGORIA],despesavariávelconsolidadofev[[#This Row],[DESPESA VARIÁVEL]])</f>
        <v>0</v>
      </c>
      <c r="H63" s="91">
        <f>SUMIFS(tabela_registros[VALOR],tabela_registros[MÊS],$AE$1,tabela_registros[DIA],fevtotal30[[#Headers],[4]],tabela_registros[REGISTRO],DADOS!$N$4,tabela_registros[TIPO],DADOS!$P$4,tabela_registros[CATEGORIA],despesavariávelconsolidadofev[[#This Row],[DESPESA VARIÁVEL]])</f>
        <v>0</v>
      </c>
      <c r="I63" s="91">
        <f>SUMIFS(tabela_registros[VALOR],tabela_registros[MÊS],$AE$1,tabela_registros[DIA],fevtotal30[[#Headers],[5]],tabela_registros[REGISTRO],DADOS!$N$4,tabela_registros[TIPO],DADOS!$P$4,tabela_registros[CATEGORIA],despesavariávelconsolidadofev[[#This Row],[DESPESA VARIÁVEL]])</f>
        <v>0</v>
      </c>
      <c r="J63" s="91">
        <f>SUMIFS(tabela_registros[VALOR],tabela_registros[MÊS],$AE$1,tabela_registros[DIA],fevtotal30[[#Headers],[6]],tabela_registros[REGISTRO],DADOS!$N$4,tabela_registros[TIPO],DADOS!$P$4,tabela_registros[CATEGORIA],despesavariávelconsolidadofev[[#This Row],[DESPESA VARIÁVEL]])</f>
        <v>0</v>
      </c>
      <c r="K63" s="91">
        <f>SUMIFS(tabela_registros[VALOR],tabela_registros[MÊS],$AE$1,tabela_registros[DIA],fevtotal30[[#Headers],[7]],tabela_registros[REGISTRO],DADOS!$N$4,tabela_registros[TIPO],DADOS!$P$4,tabela_registros[CATEGORIA],despesavariávelconsolidadofev[[#This Row],[DESPESA VARIÁVEL]])</f>
        <v>0</v>
      </c>
      <c r="L63" s="91">
        <f>SUMIFS(tabela_registros[VALOR],tabela_registros[MÊS],$AE$1,tabela_registros[DIA],fevtotal30[[#Headers],[8]],tabela_registros[REGISTRO],DADOS!$N$4,tabela_registros[TIPO],DADOS!$P$4,tabela_registros[CATEGORIA],despesavariávelconsolidadofev[[#This Row],[DESPESA VARIÁVEL]])</f>
        <v>0</v>
      </c>
      <c r="M63" s="91">
        <f>SUMIFS(tabela_registros[VALOR],tabela_registros[MÊS],$AE$1,tabela_registros[DIA],fevtotal30[[#Headers],[9]],tabela_registros[REGISTRO],DADOS!$N$4,tabela_registros[TIPO],DADOS!$P$4,tabela_registros[CATEGORIA],despesavariávelconsolidadofev[[#This Row],[DESPESA VARIÁVEL]])</f>
        <v>0</v>
      </c>
      <c r="N63" s="91">
        <f>SUMIFS(tabela_registros[VALOR],tabela_registros[MÊS],$AE$1,tabela_registros[DIA],fevtotal30[[#Headers],[10]],tabela_registros[REGISTRO],DADOS!$N$4,tabela_registros[TIPO],DADOS!$P$4,tabela_registros[CATEGORIA],despesavariávelconsolidadofev[[#This Row],[DESPESA VARIÁVEL]])</f>
        <v>0</v>
      </c>
      <c r="O63" s="91">
        <f>SUMIFS(tabela_registros[VALOR],tabela_registros[MÊS],$AE$1,tabela_registros[DIA],fevtotal30[[#Headers],[11]],tabela_registros[REGISTRO],DADOS!$N$4,tabela_registros[TIPO],DADOS!$P$4,tabela_registros[CATEGORIA],despesavariávelconsolidadofev[[#This Row],[DESPESA VARIÁVEL]])</f>
        <v>0</v>
      </c>
      <c r="P63" s="91">
        <f>SUMIFS(tabela_registros[VALOR],tabela_registros[MÊS],$AE$1,tabela_registros[DIA],fevtotal30[[#Headers],[12]],tabela_registros[REGISTRO],DADOS!$N$4,tabela_registros[TIPO],DADOS!$P$4,tabela_registros[CATEGORIA],despesavariávelconsolidadofev[[#This Row],[DESPESA VARIÁVEL]])</f>
        <v>0</v>
      </c>
      <c r="Q63" s="91">
        <f>SUMIFS(tabela_registros[VALOR],tabela_registros[MÊS],$AE$1,tabela_registros[DIA],fevtotal30[[#Headers],[13]],tabela_registros[REGISTRO],DADOS!$N$4,tabela_registros[TIPO],DADOS!$P$4,tabela_registros[CATEGORIA],despesavariávelconsolidadofev[[#This Row],[DESPESA VARIÁVEL]])</f>
        <v>0</v>
      </c>
      <c r="R63" s="91">
        <f>SUMIFS(tabela_registros[VALOR],tabela_registros[MÊS],$AE$1,tabela_registros[DIA],fevtotal30[[#Headers],[14]],tabela_registros[REGISTRO],DADOS!$N$4,tabela_registros[TIPO],DADOS!$P$4,tabela_registros[CATEGORIA],despesavariávelconsolidadofev[[#This Row],[DESPESA VARIÁVEL]])</f>
        <v>0</v>
      </c>
      <c r="S63" s="91">
        <f>SUMIFS(tabela_registros[VALOR],tabela_registros[MÊS],$AE$1,tabela_registros[DIA],fevtotal30[[#Headers],[15]],tabela_registros[REGISTRO],DADOS!$N$4,tabela_registros[TIPO],DADOS!$P$4,tabela_registros[CATEGORIA],despesavariávelconsolidadofev[[#This Row],[DESPESA VARIÁVEL]])</f>
        <v>0</v>
      </c>
      <c r="T63" s="91">
        <f>SUMIFS(tabela_registros[VALOR],tabela_registros[MÊS],$AE$1,tabela_registros[DIA],fevtotal30[[#Headers],[16]],tabela_registros[REGISTRO],DADOS!$N$4,tabela_registros[TIPO],DADOS!$P$4,tabela_registros[CATEGORIA],despesavariávelconsolidadofev[[#This Row],[DESPESA VARIÁVEL]])</f>
        <v>0</v>
      </c>
      <c r="U63" s="91">
        <f>SUMIFS(tabela_registros[VALOR],tabela_registros[MÊS],$AE$1,tabela_registros[DIA],fevtotal30[[#Headers],[17]],tabela_registros[REGISTRO],DADOS!$N$4,tabela_registros[TIPO],DADOS!$P$4,tabela_registros[CATEGORIA],despesavariávelconsolidadofev[[#This Row],[DESPESA VARIÁVEL]])</f>
        <v>0</v>
      </c>
      <c r="V63" s="91">
        <f>SUMIFS(tabela_registros[VALOR],tabela_registros[MÊS],$AE$1,tabela_registros[DIA],fevtotal30[[#Headers],[18]],tabela_registros[REGISTRO],DADOS!$N$4,tabela_registros[TIPO],DADOS!$P$4,tabela_registros[CATEGORIA],despesavariávelconsolidadofev[[#This Row],[DESPESA VARIÁVEL]])</f>
        <v>0</v>
      </c>
      <c r="W63" s="91">
        <f>SUMIFS(tabela_registros[VALOR],tabela_registros[MÊS],$AE$1,tabela_registros[DIA],fevtotal30[[#Headers],[19]],tabela_registros[REGISTRO],DADOS!$N$4,tabela_registros[TIPO],DADOS!$P$4,tabela_registros[CATEGORIA],despesavariávelconsolidadofev[[#This Row],[DESPESA VARIÁVEL]])</f>
        <v>0</v>
      </c>
      <c r="X63" s="91">
        <f>SUMIFS(tabela_registros[VALOR],tabela_registros[MÊS],$AE$1,tabela_registros[DIA],fevtotal30[[#Headers],[20]],tabela_registros[REGISTRO],DADOS!$N$4,tabela_registros[TIPO],DADOS!$P$4,tabela_registros[CATEGORIA],despesavariávelconsolidadofev[[#This Row],[DESPESA VARIÁVEL]])</f>
        <v>0</v>
      </c>
      <c r="Y63" s="91">
        <f>SUMIFS(tabela_registros[VALOR],tabela_registros[MÊS],$AE$1,tabela_registros[DIA],fevtotal30[[#Headers],[21]],tabela_registros[REGISTRO],DADOS!$N$4,tabela_registros[TIPO],DADOS!$P$4,tabela_registros[CATEGORIA],despesavariávelconsolidadofev[[#This Row],[DESPESA VARIÁVEL]])</f>
        <v>0</v>
      </c>
      <c r="Z63" s="91">
        <f>SUMIFS(tabela_registros[VALOR],tabela_registros[MÊS],$AE$1,tabela_registros[DIA],fevtotal30[[#Headers],[22]],tabela_registros[REGISTRO],DADOS!$N$4,tabela_registros[TIPO],DADOS!$P$4,tabela_registros[CATEGORIA],despesavariávelconsolidadofev[[#This Row],[DESPESA VARIÁVEL]])</f>
        <v>0</v>
      </c>
      <c r="AA63" s="91">
        <f>SUMIFS(tabela_registros[VALOR],tabela_registros[MÊS],$AE$1,tabela_registros[DIA],fevtotal30[[#Headers],[23]],tabela_registros[REGISTRO],DADOS!$N$4,tabela_registros[TIPO],DADOS!$P$4,tabela_registros[CATEGORIA],despesavariávelconsolidadofev[[#This Row],[DESPESA VARIÁVEL]])</f>
        <v>0</v>
      </c>
      <c r="AB63" s="91">
        <f>SUMIFS(tabela_registros[VALOR],tabela_registros[MÊS],$AE$1,tabela_registros[DIA],fevtotal30[[#Headers],[24]],tabela_registros[REGISTRO],DADOS!$N$4,tabela_registros[TIPO],DADOS!$P$4,tabela_registros[CATEGORIA],despesavariávelconsolidadofev[[#This Row],[DESPESA VARIÁVEL]])</f>
        <v>0</v>
      </c>
      <c r="AC63" s="91">
        <f>SUMIFS(tabela_registros[VALOR],tabela_registros[MÊS],$AE$1,tabela_registros[DIA],fevtotal30[[#Headers],[25]],tabela_registros[REGISTRO],DADOS!$N$4,tabela_registros[TIPO],DADOS!$P$4,tabela_registros[CATEGORIA],despesavariávelconsolidadofev[[#This Row],[DESPESA VARIÁVEL]])</f>
        <v>0</v>
      </c>
      <c r="AD63" s="91">
        <f>SUMIFS(tabela_registros[VALOR],tabela_registros[MÊS],$AE$1,tabela_registros[DIA],fevtotal30[[#Headers],[26]],tabela_registros[REGISTRO],DADOS!$N$4,tabela_registros[TIPO],DADOS!$P$4,tabela_registros[CATEGORIA],despesavariávelconsolidadofev[[#This Row],[DESPESA VARIÁVEL]])</f>
        <v>0</v>
      </c>
      <c r="AE63" s="91">
        <f>SUMIFS(tabela_registros[VALOR],tabela_registros[MÊS],$AE$1,tabela_registros[DIA],fevtotal30[[#Headers],[27]],tabela_registros[REGISTRO],DADOS!$N$4,tabela_registros[TIPO],DADOS!$P$4,tabela_registros[CATEGORIA],despesavariávelconsolidadofev[[#This Row],[DESPESA VARIÁVEL]])</f>
        <v>0</v>
      </c>
      <c r="AF63" s="91">
        <f>SUMIFS(tabela_registros[VALOR],tabela_registros[MÊS],$AE$1,tabela_registros[DIA],fevtotal30[[#Headers],[28]],tabela_registros[REGISTRO],DADOS!$N$4,tabela_registros[TIPO],DADOS!$P$4,tabela_registros[CATEGORIA],despesavariávelconsolidadofev[[#This Row],[DESPESA VARIÁVEL]])</f>
        <v>0</v>
      </c>
      <c r="AG63" s="91">
        <f>SUMIFS(tabela_registros[VALOR],tabela_registros[MÊS],$AE$1,tabela_registros[DIA],fevtotal30[[#Headers],[29]],tabela_registros[REGISTRO],DADOS!$N$4,tabela_registros[TIPO],DADOS!$P$4,tabela_registros[CATEGORIA],despesavariávelconsolidadofev[[#This Row],[DESPESA VARIÁVEL]])</f>
        <v>0</v>
      </c>
      <c r="AH63" s="91">
        <f>SUMIFS(tabela_registros[VALOR],tabela_registros[MÊS],$AE$1,tabela_registros[DIA],fevtotal30[[#Headers],[30]],tabela_registros[REGISTRO],DADOS!$N$4,tabela_registros[TIPO],DADOS!$P$4,tabela_registros[CATEGORIA],despesavariávelconsolidadofev[[#This Row],[DESPESA VARIÁVEL]])</f>
        <v>0</v>
      </c>
      <c r="AI63" s="101">
        <f>SUMIFS(tabela_registros[VALOR],tabela_registros[MÊS],$AE$1,tabela_registros[DIA],fevtotal30[[#Headers],[31]],tabela_registros[REGISTRO],DADOS!$N$4,tabela_registros[TIPO],DADOS!$P$4,tabela_registros[CATEGORIA],despesavariávelconsolidadofev[[#This Row],[DESPESA VARIÁVEL]])</f>
        <v>0</v>
      </c>
      <c r="AJ63" s="97">
        <f>SUM(despesavariávelconsolidadofev[[#This Row],[1]:[31]])</f>
        <v>0</v>
      </c>
      <c r="AK63" s="28"/>
    </row>
    <row r="64" spans="2:37" ht="18" customHeight="1" thickTop="1" thickBot="1" x14ac:dyDescent="0.3">
      <c r="B64" s="28"/>
      <c r="C64" s="27" t="str">
        <f>DADOS!$T$7</f>
        <v>🤝 DOAÇÃO</v>
      </c>
      <c r="D64" s="26" t="str">
        <f>IF(despesavariávelconsolidadofev[[#This Row],[TOTAL]]=0,"",IF(OR(despesavariávelconsolidadofev[[#This Row],[TOTAL]]=LARGE($AJ$60:$AJ$72,1),despesavariávelconsolidadofev[[#This Row],[TOTAL]]=LARGE($AJ$60:$AJ$72,2),despesavariávelconsolidadofev[[#This Row],[TOTAL]]=LARGE($AJ$60:$AJ$72,3),despesavariávelconsolidadofev[[#This Row],[TOTAL]]=LARGE($AJ$60:$AJ$72,4),despesavariávelconsolidadofev[[#This Row],[TOTAL]]=LARGE($AJ$60:$AJ$72,5)),DADOS!$I$8,""))</f>
        <v/>
      </c>
      <c r="E64" s="96">
        <f>SUMIFS(tabela_registros[VALOR],tabela_registros[MÊS],$AE$1,tabela_registros[DIA],fevtotal30[[#Headers],[1]],tabela_registros[REGISTRO],DADOS!$N$4,tabela_registros[TIPO],DADOS!$P$4,tabela_registros[CATEGORIA],despesavariávelconsolidadofev[[#This Row],[DESPESA VARIÁVEL]])</f>
        <v>0</v>
      </c>
      <c r="F64" s="91">
        <f>SUMIFS(tabela_registros[VALOR],tabela_registros[MÊS],$AE$1,tabela_registros[DIA],fevtotal30[[#Headers],[2]],tabela_registros[REGISTRO],DADOS!$N$4,tabela_registros[TIPO],DADOS!$P$4,tabela_registros[CATEGORIA],despesavariávelconsolidadofev[[#This Row],[DESPESA VARIÁVEL]])</f>
        <v>0</v>
      </c>
      <c r="G64" s="91">
        <f>SUMIFS(tabela_registros[VALOR],tabela_registros[MÊS],$AE$1,tabela_registros[DIA],fevtotal30[[#Headers],[3]],tabela_registros[REGISTRO],DADOS!$N$4,tabela_registros[TIPO],DADOS!$P$4,tabela_registros[CATEGORIA],despesavariávelconsolidadofev[[#This Row],[DESPESA VARIÁVEL]])</f>
        <v>0</v>
      </c>
      <c r="H64" s="91">
        <f>SUMIFS(tabela_registros[VALOR],tabela_registros[MÊS],$AE$1,tabela_registros[DIA],fevtotal30[[#Headers],[4]],tabela_registros[REGISTRO],DADOS!$N$4,tabela_registros[TIPO],DADOS!$P$4,tabela_registros[CATEGORIA],despesavariávelconsolidadofev[[#This Row],[DESPESA VARIÁVEL]])</f>
        <v>0</v>
      </c>
      <c r="I64" s="91">
        <f>SUMIFS(tabela_registros[VALOR],tabela_registros[MÊS],$AE$1,tabela_registros[DIA],fevtotal30[[#Headers],[5]],tabela_registros[REGISTRO],DADOS!$N$4,tabela_registros[TIPO],DADOS!$P$4,tabela_registros[CATEGORIA],despesavariávelconsolidadofev[[#This Row],[DESPESA VARIÁVEL]])</f>
        <v>0</v>
      </c>
      <c r="J64" s="91">
        <f>SUMIFS(tabela_registros[VALOR],tabela_registros[MÊS],$AE$1,tabela_registros[DIA],fevtotal30[[#Headers],[6]],tabela_registros[REGISTRO],DADOS!$N$4,tabela_registros[TIPO],DADOS!$P$4,tabela_registros[CATEGORIA],despesavariávelconsolidadofev[[#This Row],[DESPESA VARIÁVEL]])</f>
        <v>0</v>
      </c>
      <c r="K64" s="91">
        <f>SUMIFS(tabela_registros[VALOR],tabela_registros[MÊS],$AE$1,tabela_registros[DIA],fevtotal30[[#Headers],[7]],tabela_registros[REGISTRO],DADOS!$N$4,tabela_registros[TIPO],DADOS!$P$4,tabela_registros[CATEGORIA],despesavariávelconsolidadofev[[#This Row],[DESPESA VARIÁVEL]])</f>
        <v>0</v>
      </c>
      <c r="L64" s="91">
        <f>SUMIFS(tabela_registros[VALOR],tabela_registros[MÊS],$AE$1,tabela_registros[DIA],fevtotal30[[#Headers],[8]],tabela_registros[REGISTRO],DADOS!$N$4,tabela_registros[TIPO],DADOS!$P$4,tabela_registros[CATEGORIA],despesavariávelconsolidadofev[[#This Row],[DESPESA VARIÁVEL]])</f>
        <v>0</v>
      </c>
      <c r="M64" s="91">
        <f>SUMIFS(tabela_registros[VALOR],tabela_registros[MÊS],$AE$1,tabela_registros[DIA],fevtotal30[[#Headers],[9]],tabela_registros[REGISTRO],DADOS!$N$4,tabela_registros[TIPO],DADOS!$P$4,tabela_registros[CATEGORIA],despesavariávelconsolidadofev[[#This Row],[DESPESA VARIÁVEL]])</f>
        <v>0</v>
      </c>
      <c r="N64" s="91">
        <f>SUMIFS(tabela_registros[VALOR],tabela_registros[MÊS],$AE$1,tabela_registros[DIA],fevtotal30[[#Headers],[10]],tabela_registros[REGISTRO],DADOS!$N$4,tabela_registros[TIPO],DADOS!$P$4,tabela_registros[CATEGORIA],despesavariávelconsolidadofev[[#This Row],[DESPESA VARIÁVEL]])</f>
        <v>0</v>
      </c>
      <c r="O64" s="91">
        <f>SUMIFS(tabela_registros[VALOR],tabela_registros[MÊS],$AE$1,tabela_registros[DIA],fevtotal30[[#Headers],[11]],tabela_registros[REGISTRO],DADOS!$N$4,tabela_registros[TIPO],DADOS!$P$4,tabela_registros[CATEGORIA],despesavariávelconsolidadofev[[#This Row],[DESPESA VARIÁVEL]])</f>
        <v>0</v>
      </c>
      <c r="P64" s="91">
        <f>SUMIFS(tabela_registros[VALOR],tabela_registros[MÊS],$AE$1,tabela_registros[DIA],fevtotal30[[#Headers],[12]],tabela_registros[REGISTRO],DADOS!$N$4,tabela_registros[TIPO],DADOS!$P$4,tabela_registros[CATEGORIA],despesavariávelconsolidadofev[[#This Row],[DESPESA VARIÁVEL]])</f>
        <v>0</v>
      </c>
      <c r="Q64" s="91">
        <f>SUMIFS(tabela_registros[VALOR],tabela_registros[MÊS],$AE$1,tabela_registros[DIA],fevtotal30[[#Headers],[13]],tabela_registros[REGISTRO],DADOS!$N$4,tabela_registros[TIPO],DADOS!$P$4,tabela_registros[CATEGORIA],despesavariávelconsolidadofev[[#This Row],[DESPESA VARIÁVEL]])</f>
        <v>0</v>
      </c>
      <c r="R64" s="91">
        <f>SUMIFS(tabela_registros[VALOR],tabela_registros[MÊS],$AE$1,tabela_registros[DIA],fevtotal30[[#Headers],[14]],tabela_registros[REGISTRO],DADOS!$N$4,tabela_registros[TIPO],DADOS!$P$4,tabela_registros[CATEGORIA],despesavariávelconsolidadofev[[#This Row],[DESPESA VARIÁVEL]])</f>
        <v>0</v>
      </c>
      <c r="S64" s="91">
        <f>SUMIFS(tabela_registros[VALOR],tabela_registros[MÊS],$AE$1,tabela_registros[DIA],fevtotal30[[#Headers],[15]],tabela_registros[REGISTRO],DADOS!$N$4,tabela_registros[TIPO],DADOS!$P$4,tabela_registros[CATEGORIA],despesavariávelconsolidadofev[[#This Row],[DESPESA VARIÁVEL]])</f>
        <v>0</v>
      </c>
      <c r="T64" s="91">
        <f>SUMIFS(tabela_registros[VALOR],tabela_registros[MÊS],$AE$1,tabela_registros[DIA],fevtotal30[[#Headers],[16]],tabela_registros[REGISTRO],DADOS!$N$4,tabela_registros[TIPO],DADOS!$P$4,tabela_registros[CATEGORIA],despesavariávelconsolidadofev[[#This Row],[DESPESA VARIÁVEL]])</f>
        <v>0</v>
      </c>
      <c r="U64" s="91">
        <f>SUMIFS(tabela_registros[VALOR],tabela_registros[MÊS],$AE$1,tabela_registros[DIA],fevtotal30[[#Headers],[17]],tabela_registros[REGISTRO],DADOS!$N$4,tabela_registros[TIPO],DADOS!$P$4,tabela_registros[CATEGORIA],despesavariávelconsolidadofev[[#This Row],[DESPESA VARIÁVEL]])</f>
        <v>0</v>
      </c>
      <c r="V64" s="91">
        <f>SUMIFS(tabela_registros[VALOR],tabela_registros[MÊS],$AE$1,tabela_registros[DIA],fevtotal30[[#Headers],[18]],tabela_registros[REGISTRO],DADOS!$N$4,tabela_registros[TIPO],DADOS!$P$4,tabela_registros[CATEGORIA],despesavariávelconsolidadofev[[#This Row],[DESPESA VARIÁVEL]])</f>
        <v>0</v>
      </c>
      <c r="W64" s="91">
        <f>SUMIFS(tabela_registros[VALOR],tabela_registros[MÊS],$AE$1,tabela_registros[DIA],fevtotal30[[#Headers],[19]],tabela_registros[REGISTRO],DADOS!$N$4,tabela_registros[TIPO],DADOS!$P$4,tabela_registros[CATEGORIA],despesavariávelconsolidadofev[[#This Row],[DESPESA VARIÁVEL]])</f>
        <v>0</v>
      </c>
      <c r="X64" s="91">
        <f>SUMIFS(tabela_registros[VALOR],tabela_registros[MÊS],$AE$1,tabela_registros[DIA],fevtotal30[[#Headers],[20]],tabela_registros[REGISTRO],DADOS!$N$4,tabela_registros[TIPO],DADOS!$P$4,tabela_registros[CATEGORIA],despesavariávelconsolidadofev[[#This Row],[DESPESA VARIÁVEL]])</f>
        <v>0</v>
      </c>
      <c r="Y64" s="91">
        <f>SUMIFS(tabela_registros[VALOR],tabela_registros[MÊS],$AE$1,tabela_registros[DIA],fevtotal30[[#Headers],[21]],tabela_registros[REGISTRO],DADOS!$N$4,tabela_registros[TIPO],DADOS!$P$4,tabela_registros[CATEGORIA],despesavariávelconsolidadofev[[#This Row],[DESPESA VARIÁVEL]])</f>
        <v>0</v>
      </c>
      <c r="Z64" s="91">
        <f>SUMIFS(tabela_registros[VALOR],tabela_registros[MÊS],$AE$1,tabela_registros[DIA],fevtotal30[[#Headers],[22]],tabela_registros[REGISTRO],DADOS!$N$4,tabela_registros[TIPO],DADOS!$P$4,tabela_registros[CATEGORIA],despesavariávelconsolidadofev[[#This Row],[DESPESA VARIÁVEL]])</f>
        <v>0</v>
      </c>
      <c r="AA64" s="91">
        <f>SUMIFS(tabela_registros[VALOR],tabela_registros[MÊS],$AE$1,tabela_registros[DIA],fevtotal30[[#Headers],[23]],tabela_registros[REGISTRO],DADOS!$N$4,tabela_registros[TIPO],DADOS!$P$4,tabela_registros[CATEGORIA],despesavariávelconsolidadofev[[#This Row],[DESPESA VARIÁVEL]])</f>
        <v>0</v>
      </c>
      <c r="AB64" s="91">
        <f>SUMIFS(tabela_registros[VALOR],tabela_registros[MÊS],$AE$1,tabela_registros[DIA],fevtotal30[[#Headers],[24]],tabela_registros[REGISTRO],DADOS!$N$4,tabela_registros[TIPO],DADOS!$P$4,tabela_registros[CATEGORIA],despesavariávelconsolidadofev[[#This Row],[DESPESA VARIÁVEL]])</f>
        <v>0</v>
      </c>
      <c r="AC64" s="91">
        <f>SUMIFS(tabela_registros[VALOR],tabela_registros[MÊS],$AE$1,tabela_registros[DIA],fevtotal30[[#Headers],[25]],tabela_registros[REGISTRO],DADOS!$N$4,tabela_registros[TIPO],DADOS!$P$4,tabela_registros[CATEGORIA],despesavariávelconsolidadofev[[#This Row],[DESPESA VARIÁVEL]])</f>
        <v>0</v>
      </c>
      <c r="AD64" s="91">
        <f>SUMIFS(tabela_registros[VALOR],tabela_registros[MÊS],$AE$1,tabela_registros[DIA],fevtotal30[[#Headers],[26]],tabela_registros[REGISTRO],DADOS!$N$4,tabela_registros[TIPO],DADOS!$P$4,tabela_registros[CATEGORIA],despesavariávelconsolidadofev[[#This Row],[DESPESA VARIÁVEL]])</f>
        <v>0</v>
      </c>
      <c r="AE64" s="91">
        <f>SUMIFS(tabela_registros[VALOR],tabela_registros[MÊS],$AE$1,tabela_registros[DIA],fevtotal30[[#Headers],[27]],tabela_registros[REGISTRO],DADOS!$N$4,tabela_registros[TIPO],DADOS!$P$4,tabela_registros[CATEGORIA],despesavariávelconsolidadofev[[#This Row],[DESPESA VARIÁVEL]])</f>
        <v>0</v>
      </c>
      <c r="AF64" s="91">
        <f>SUMIFS(tabela_registros[VALOR],tabela_registros[MÊS],$AE$1,tabela_registros[DIA],fevtotal30[[#Headers],[28]],tabela_registros[REGISTRO],DADOS!$N$4,tabela_registros[TIPO],DADOS!$P$4,tabela_registros[CATEGORIA],despesavariávelconsolidadofev[[#This Row],[DESPESA VARIÁVEL]])</f>
        <v>0</v>
      </c>
      <c r="AG64" s="91">
        <f>SUMIFS(tabela_registros[VALOR],tabela_registros[MÊS],$AE$1,tabela_registros[DIA],fevtotal30[[#Headers],[29]],tabela_registros[REGISTRO],DADOS!$N$4,tabela_registros[TIPO],DADOS!$P$4,tabela_registros[CATEGORIA],despesavariávelconsolidadofev[[#This Row],[DESPESA VARIÁVEL]])</f>
        <v>0</v>
      </c>
      <c r="AH64" s="91">
        <f>SUMIFS(tabela_registros[VALOR],tabela_registros[MÊS],$AE$1,tabela_registros[DIA],fevtotal30[[#Headers],[30]],tabela_registros[REGISTRO],DADOS!$N$4,tabela_registros[TIPO],DADOS!$P$4,tabela_registros[CATEGORIA],despesavariávelconsolidadofev[[#This Row],[DESPESA VARIÁVEL]])</f>
        <v>0</v>
      </c>
      <c r="AI64" s="101">
        <f>SUMIFS(tabela_registros[VALOR],tabela_registros[MÊS],$AE$1,tabela_registros[DIA],fevtotal30[[#Headers],[31]],tabela_registros[REGISTRO],DADOS!$N$4,tabela_registros[TIPO],DADOS!$P$4,tabela_registros[CATEGORIA],despesavariávelconsolidadofev[[#This Row],[DESPESA VARIÁVEL]])</f>
        <v>0</v>
      </c>
      <c r="AJ64" s="97">
        <f>SUM(despesavariávelconsolidadofev[[#This Row],[1]:[31]])</f>
        <v>0</v>
      </c>
      <c r="AK64" s="28"/>
    </row>
    <row r="65" spans="2:37" ht="18" customHeight="1" thickTop="1" thickBot="1" x14ac:dyDescent="0.3">
      <c r="B65" s="28"/>
      <c r="C65" s="27" t="str">
        <f>DADOS!$T$8</f>
        <v>📖 EDUCAÇÃO</v>
      </c>
      <c r="D65" s="26" t="str">
        <f>IF(despesavariávelconsolidadofev[[#This Row],[TOTAL]]=0,"",IF(OR(despesavariávelconsolidadofev[[#This Row],[TOTAL]]=LARGE($AJ$60:$AJ$72,1),despesavariávelconsolidadofev[[#This Row],[TOTAL]]=LARGE($AJ$60:$AJ$72,2),despesavariávelconsolidadofev[[#This Row],[TOTAL]]=LARGE($AJ$60:$AJ$72,3),despesavariávelconsolidadofev[[#This Row],[TOTAL]]=LARGE($AJ$60:$AJ$72,4),despesavariávelconsolidadofev[[#This Row],[TOTAL]]=LARGE($AJ$60:$AJ$72,5)),DADOS!$I$8,""))</f>
        <v/>
      </c>
      <c r="E65" s="96">
        <f>SUMIFS(tabela_registros[VALOR],tabela_registros[MÊS],$AE$1,tabela_registros[DIA],fevtotal30[[#Headers],[1]],tabela_registros[REGISTRO],DADOS!$N$4,tabela_registros[TIPO],DADOS!$P$4,tabela_registros[CATEGORIA],despesavariávelconsolidadofev[[#This Row],[DESPESA VARIÁVEL]])</f>
        <v>0</v>
      </c>
      <c r="F65" s="91">
        <f>SUMIFS(tabela_registros[VALOR],tabela_registros[MÊS],$AE$1,tabela_registros[DIA],fevtotal30[[#Headers],[2]],tabela_registros[REGISTRO],DADOS!$N$4,tabela_registros[TIPO],DADOS!$P$4,tabela_registros[CATEGORIA],despesavariávelconsolidadofev[[#This Row],[DESPESA VARIÁVEL]])</f>
        <v>0</v>
      </c>
      <c r="G65" s="91">
        <f>SUMIFS(tabela_registros[VALOR],tabela_registros[MÊS],$AE$1,tabela_registros[DIA],fevtotal30[[#Headers],[3]],tabela_registros[REGISTRO],DADOS!$N$4,tabela_registros[TIPO],DADOS!$P$4,tabela_registros[CATEGORIA],despesavariávelconsolidadofev[[#This Row],[DESPESA VARIÁVEL]])</f>
        <v>0</v>
      </c>
      <c r="H65" s="91">
        <f>SUMIFS(tabela_registros[VALOR],tabela_registros[MÊS],$AE$1,tabela_registros[DIA],fevtotal30[[#Headers],[4]],tabela_registros[REGISTRO],DADOS!$N$4,tabela_registros[TIPO],DADOS!$P$4,tabela_registros[CATEGORIA],despesavariávelconsolidadofev[[#This Row],[DESPESA VARIÁVEL]])</f>
        <v>0</v>
      </c>
      <c r="I65" s="91">
        <f>SUMIFS(tabela_registros[VALOR],tabela_registros[MÊS],$AE$1,tabela_registros[DIA],fevtotal30[[#Headers],[5]],tabela_registros[REGISTRO],DADOS!$N$4,tabela_registros[TIPO],DADOS!$P$4,tabela_registros[CATEGORIA],despesavariávelconsolidadofev[[#This Row],[DESPESA VARIÁVEL]])</f>
        <v>0</v>
      </c>
      <c r="J65" s="91">
        <f>SUMIFS(tabela_registros[VALOR],tabela_registros[MÊS],$AE$1,tabela_registros[DIA],fevtotal30[[#Headers],[6]],tabela_registros[REGISTRO],DADOS!$N$4,tabela_registros[TIPO],DADOS!$P$4,tabela_registros[CATEGORIA],despesavariávelconsolidadofev[[#This Row],[DESPESA VARIÁVEL]])</f>
        <v>0</v>
      </c>
      <c r="K65" s="91">
        <f>SUMIFS(tabela_registros[VALOR],tabela_registros[MÊS],$AE$1,tabela_registros[DIA],fevtotal30[[#Headers],[7]],tabela_registros[REGISTRO],DADOS!$N$4,tabela_registros[TIPO],DADOS!$P$4,tabela_registros[CATEGORIA],despesavariávelconsolidadofev[[#This Row],[DESPESA VARIÁVEL]])</f>
        <v>0</v>
      </c>
      <c r="L65" s="91">
        <f>SUMIFS(tabela_registros[VALOR],tabela_registros[MÊS],$AE$1,tabela_registros[DIA],fevtotal30[[#Headers],[8]],tabela_registros[REGISTRO],DADOS!$N$4,tabela_registros[TIPO],DADOS!$P$4,tabela_registros[CATEGORIA],despesavariávelconsolidadofev[[#This Row],[DESPESA VARIÁVEL]])</f>
        <v>0</v>
      </c>
      <c r="M65" s="91">
        <f>SUMIFS(tabela_registros[VALOR],tabela_registros[MÊS],$AE$1,tabela_registros[DIA],fevtotal30[[#Headers],[9]],tabela_registros[REGISTRO],DADOS!$N$4,tabela_registros[TIPO],DADOS!$P$4,tabela_registros[CATEGORIA],despesavariávelconsolidadofev[[#This Row],[DESPESA VARIÁVEL]])</f>
        <v>0</v>
      </c>
      <c r="N65" s="91">
        <f>SUMIFS(tabela_registros[VALOR],tabela_registros[MÊS],$AE$1,tabela_registros[DIA],fevtotal30[[#Headers],[10]],tabela_registros[REGISTRO],DADOS!$N$4,tabela_registros[TIPO],DADOS!$P$4,tabela_registros[CATEGORIA],despesavariávelconsolidadofev[[#This Row],[DESPESA VARIÁVEL]])</f>
        <v>0</v>
      </c>
      <c r="O65" s="91">
        <f>SUMIFS(tabela_registros[VALOR],tabela_registros[MÊS],$AE$1,tabela_registros[DIA],fevtotal30[[#Headers],[11]],tabela_registros[REGISTRO],DADOS!$N$4,tabela_registros[TIPO],DADOS!$P$4,tabela_registros[CATEGORIA],despesavariávelconsolidadofev[[#This Row],[DESPESA VARIÁVEL]])</f>
        <v>0</v>
      </c>
      <c r="P65" s="91">
        <f>SUMIFS(tabela_registros[VALOR],tabela_registros[MÊS],$AE$1,tabela_registros[DIA],fevtotal30[[#Headers],[12]],tabela_registros[REGISTRO],DADOS!$N$4,tabela_registros[TIPO],DADOS!$P$4,tabela_registros[CATEGORIA],despesavariávelconsolidadofev[[#This Row],[DESPESA VARIÁVEL]])</f>
        <v>0</v>
      </c>
      <c r="Q65" s="91">
        <f>SUMIFS(tabela_registros[VALOR],tabela_registros[MÊS],$AE$1,tabela_registros[DIA],fevtotal30[[#Headers],[13]],tabela_registros[REGISTRO],DADOS!$N$4,tabela_registros[TIPO],DADOS!$P$4,tabela_registros[CATEGORIA],despesavariávelconsolidadofev[[#This Row],[DESPESA VARIÁVEL]])</f>
        <v>0</v>
      </c>
      <c r="R65" s="91">
        <f>SUMIFS(tabela_registros[VALOR],tabela_registros[MÊS],$AE$1,tabela_registros[DIA],fevtotal30[[#Headers],[14]],tabela_registros[REGISTRO],DADOS!$N$4,tabela_registros[TIPO],DADOS!$P$4,tabela_registros[CATEGORIA],despesavariávelconsolidadofev[[#This Row],[DESPESA VARIÁVEL]])</f>
        <v>0</v>
      </c>
      <c r="S65" s="91">
        <f>SUMIFS(tabela_registros[VALOR],tabela_registros[MÊS],$AE$1,tabela_registros[DIA],fevtotal30[[#Headers],[15]],tabela_registros[REGISTRO],DADOS!$N$4,tabela_registros[TIPO],DADOS!$P$4,tabela_registros[CATEGORIA],despesavariávelconsolidadofev[[#This Row],[DESPESA VARIÁVEL]])</f>
        <v>0</v>
      </c>
      <c r="T65" s="91">
        <f>SUMIFS(tabela_registros[VALOR],tabela_registros[MÊS],$AE$1,tabela_registros[DIA],fevtotal30[[#Headers],[16]],tabela_registros[REGISTRO],DADOS!$N$4,tabela_registros[TIPO],DADOS!$P$4,tabela_registros[CATEGORIA],despesavariávelconsolidadofev[[#This Row],[DESPESA VARIÁVEL]])</f>
        <v>0</v>
      </c>
      <c r="U65" s="91">
        <f>SUMIFS(tabela_registros[VALOR],tabela_registros[MÊS],$AE$1,tabela_registros[DIA],fevtotal30[[#Headers],[17]],tabela_registros[REGISTRO],DADOS!$N$4,tabela_registros[TIPO],DADOS!$P$4,tabela_registros[CATEGORIA],despesavariávelconsolidadofev[[#This Row],[DESPESA VARIÁVEL]])</f>
        <v>0</v>
      </c>
      <c r="V65" s="91">
        <f>SUMIFS(tabela_registros[VALOR],tabela_registros[MÊS],$AE$1,tabela_registros[DIA],fevtotal30[[#Headers],[18]],tabela_registros[REGISTRO],DADOS!$N$4,tabela_registros[TIPO],DADOS!$P$4,tabela_registros[CATEGORIA],despesavariávelconsolidadofev[[#This Row],[DESPESA VARIÁVEL]])</f>
        <v>0</v>
      </c>
      <c r="W65" s="91">
        <f>SUMIFS(tabela_registros[VALOR],tabela_registros[MÊS],$AE$1,tabela_registros[DIA],fevtotal30[[#Headers],[19]],tabela_registros[REGISTRO],DADOS!$N$4,tabela_registros[TIPO],DADOS!$P$4,tabela_registros[CATEGORIA],despesavariávelconsolidadofev[[#This Row],[DESPESA VARIÁVEL]])</f>
        <v>0</v>
      </c>
      <c r="X65" s="91">
        <f>SUMIFS(tabela_registros[VALOR],tabela_registros[MÊS],$AE$1,tabela_registros[DIA],fevtotal30[[#Headers],[20]],tabela_registros[REGISTRO],DADOS!$N$4,tabela_registros[TIPO],DADOS!$P$4,tabela_registros[CATEGORIA],despesavariávelconsolidadofev[[#This Row],[DESPESA VARIÁVEL]])</f>
        <v>0</v>
      </c>
      <c r="Y65" s="91">
        <f>SUMIFS(tabela_registros[VALOR],tabela_registros[MÊS],$AE$1,tabela_registros[DIA],fevtotal30[[#Headers],[21]],tabela_registros[REGISTRO],DADOS!$N$4,tabela_registros[TIPO],DADOS!$P$4,tabela_registros[CATEGORIA],despesavariávelconsolidadofev[[#This Row],[DESPESA VARIÁVEL]])</f>
        <v>0</v>
      </c>
      <c r="Z65" s="91">
        <f>SUMIFS(tabela_registros[VALOR],tabela_registros[MÊS],$AE$1,tabela_registros[DIA],fevtotal30[[#Headers],[22]],tabela_registros[REGISTRO],DADOS!$N$4,tabela_registros[TIPO],DADOS!$P$4,tabela_registros[CATEGORIA],despesavariávelconsolidadofev[[#This Row],[DESPESA VARIÁVEL]])</f>
        <v>0</v>
      </c>
      <c r="AA65" s="91">
        <f>SUMIFS(tabela_registros[VALOR],tabela_registros[MÊS],$AE$1,tabela_registros[DIA],fevtotal30[[#Headers],[23]],tabela_registros[REGISTRO],DADOS!$N$4,tabela_registros[TIPO],DADOS!$P$4,tabela_registros[CATEGORIA],despesavariávelconsolidadofev[[#This Row],[DESPESA VARIÁVEL]])</f>
        <v>0</v>
      </c>
      <c r="AB65" s="91">
        <f>SUMIFS(tabela_registros[VALOR],tabela_registros[MÊS],$AE$1,tabela_registros[DIA],fevtotal30[[#Headers],[24]],tabela_registros[REGISTRO],DADOS!$N$4,tabela_registros[TIPO],DADOS!$P$4,tabela_registros[CATEGORIA],despesavariávelconsolidadofev[[#This Row],[DESPESA VARIÁVEL]])</f>
        <v>0</v>
      </c>
      <c r="AC65" s="91">
        <f>SUMIFS(tabela_registros[VALOR],tabela_registros[MÊS],$AE$1,tabela_registros[DIA],fevtotal30[[#Headers],[25]],tabela_registros[REGISTRO],DADOS!$N$4,tabela_registros[TIPO],DADOS!$P$4,tabela_registros[CATEGORIA],despesavariávelconsolidadofev[[#This Row],[DESPESA VARIÁVEL]])</f>
        <v>0</v>
      </c>
      <c r="AD65" s="91">
        <f>SUMIFS(tabela_registros[VALOR],tabela_registros[MÊS],$AE$1,tabela_registros[DIA],fevtotal30[[#Headers],[26]],tabela_registros[REGISTRO],DADOS!$N$4,tabela_registros[TIPO],DADOS!$P$4,tabela_registros[CATEGORIA],despesavariávelconsolidadofev[[#This Row],[DESPESA VARIÁVEL]])</f>
        <v>0</v>
      </c>
      <c r="AE65" s="91">
        <f>SUMIFS(tabela_registros[VALOR],tabela_registros[MÊS],$AE$1,tabela_registros[DIA],fevtotal30[[#Headers],[27]],tabela_registros[REGISTRO],DADOS!$N$4,tabela_registros[TIPO],DADOS!$P$4,tabela_registros[CATEGORIA],despesavariávelconsolidadofev[[#This Row],[DESPESA VARIÁVEL]])</f>
        <v>0</v>
      </c>
      <c r="AF65" s="91">
        <f>SUMIFS(tabela_registros[VALOR],tabela_registros[MÊS],$AE$1,tabela_registros[DIA],fevtotal30[[#Headers],[28]],tabela_registros[REGISTRO],DADOS!$N$4,tabela_registros[TIPO],DADOS!$P$4,tabela_registros[CATEGORIA],despesavariávelconsolidadofev[[#This Row],[DESPESA VARIÁVEL]])</f>
        <v>0</v>
      </c>
      <c r="AG65" s="91">
        <f>SUMIFS(tabela_registros[VALOR],tabela_registros[MÊS],$AE$1,tabela_registros[DIA],fevtotal30[[#Headers],[29]],tabela_registros[REGISTRO],DADOS!$N$4,tabela_registros[TIPO],DADOS!$P$4,tabela_registros[CATEGORIA],despesavariávelconsolidadofev[[#This Row],[DESPESA VARIÁVEL]])</f>
        <v>0</v>
      </c>
      <c r="AH65" s="91">
        <f>SUMIFS(tabela_registros[VALOR],tabela_registros[MÊS],$AE$1,tabela_registros[DIA],fevtotal30[[#Headers],[30]],tabela_registros[REGISTRO],DADOS!$N$4,tabela_registros[TIPO],DADOS!$P$4,tabela_registros[CATEGORIA],despesavariávelconsolidadofev[[#This Row],[DESPESA VARIÁVEL]])</f>
        <v>0</v>
      </c>
      <c r="AI65" s="101">
        <f>SUMIFS(tabela_registros[VALOR],tabela_registros[MÊS],$AE$1,tabela_registros[DIA],fevtotal30[[#Headers],[31]],tabela_registros[REGISTRO],DADOS!$N$4,tabela_registros[TIPO],DADOS!$P$4,tabela_registros[CATEGORIA],despesavariávelconsolidadofev[[#This Row],[DESPESA VARIÁVEL]])</f>
        <v>0</v>
      </c>
      <c r="AJ65" s="97">
        <f>SUM(despesavariávelconsolidadofev[[#This Row],[1]:[31]])</f>
        <v>0</v>
      </c>
      <c r="AK65" s="28"/>
    </row>
    <row r="66" spans="2:37" ht="18" customHeight="1" thickTop="1" thickBot="1" x14ac:dyDescent="0.3">
      <c r="B66" s="28"/>
      <c r="C66" s="27" t="str">
        <f>DADOS!$T$9</f>
        <v>🎭 LAZER</v>
      </c>
      <c r="D66" s="26" t="str">
        <f>IF(despesavariávelconsolidadofev[[#This Row],[TOTAL]]=0,"",IF(OR(despesavariávelconsolidadofev[[#This Row],[TOTAL]]=LARGE($AJ$60:$AJ$72,1),despesavariávelconsolidadofev[[#This Row],[TOTAL]]=LARGE($AJ$60:$AJ$72,2),despesavariávelconsolidadofev[[#This Row],[TOTAL]]=LARGE($AJ$60:$AJ$72,3),despesavariávelconsolidadofev[[#This Row],[TOTAL]]=LARGE($AJ$60:$AJ$72,4),despesavariávelconsolidadofev[[#This Row],[TOTAL]]=LARGE($AJ$60:$AJ$72,5)),DADOS!$I$8,""))</f>
        <v/>
      </c>
      <c r="E66" s="96">
        <f>SUMIFS(tabela_registros[VALOR],tabela_registros[MÊS],$AE$1,tabela_registros[DIA],fevtotal30[[#Headers],[1]],tabela_registros[REGISTRO],DADOS!$N$4,tabela_registros[TIPO],DADOS!$P$4,tabela_registros[CATEGORIA],despesavariávelconsolidadofev[[#This Row],[DESPESA VARIÁVEL]])</f>
        <v>0</v>
      </c>
      <c r="F66" s="91">
        <f>SUMIFS(tabela_registros[VALOR],tabela_registros[MÊS],$AE$1,tabela_registros[DIA],fevtotal30[[#Headers],[2]],tabela_registros[REGISTRO],DADOS!$N$4,tabela_registros[TIPO],DADOS!$P$4,tabela_registros[CATEGORIA],despesavariávelconsolidadofev[[#This Row],[DESPESA VARIÁVEL]])</f>
        <v>0</v>
      </c>
      <c r="G66" s="91">
        <f>SUMIFS(tabela_registros[VALOR],tabela_registros[MÊS],$AE$1,tabela_registros[DIA],fevtotal30[[#Headers],[3]],tabela_registros[REGISTRO],DADOS!$N$4,tabela_registros[TIPO],DADOS!$P$4,tabela_registros[CATEGORIA],despesavariávelconsolidadofev[[#This Row],[DESPESA VARIÁVEL]])</f>
        <v>0</v>
      </c>
      <c r="H66" s="91">
        <f>SUMIFS(tabela_registros[VALOR],tabela_registros[MÊS],$AE$1,tabela_registros[DIA],fevtotal30[[#Headers],[4]],tabela_registros[REGISTRO],DADOS!$N$4,tabela_registros[TIPO],DADOS!$P$4,tabela_registros[CATEGORIA],despesavariávelconsolidadofev[[#This Row],[DESPESA VARIÁVEL]])</f>
        <v>0</v>
      </c>
      <c r="I66" s="91">
        <f>SUMIFS(tabela_registros[VALOR],tabela_registros[MÊS],$AE$1,tabela_registros[DIA],fevtotal30[[#Headers],[5]],tabela_registros[REGISTRO],DADOS!$N$4,tabela_registros[TIPO],DADOS!$P$4,tabela_registros[CATEGORIA],despesavariávelconsolidadofev[[#This Row],[DESPESA VARIÁVEL]])</f>
        <v>0</v>
      </c>
      <c r="J66" s="91">
        <f>SUMIFS(tabela_registros[VALOR],tabela_registros[MÊS],$AE$1,tabela_registros[DIA],fevtotal30[[#Headers],[6]],tabela_registros[REGISTRO],DADOS!$N$4,tabela_registros[TIPO],DADOS!$P$4,tabela_registros[CATEGORIA],despesavariávelconsolidadofev[[#This Row],[DESPESA VARIÁVEL]])</f>
        <v>0</v>
      </c>
      <c r="K66" s="91">
        <f>SUMIFS(tabela_registros[VALOR],tabela_registros[MÊS],$AE$1,tabela_registros[DIA],fevtotal30[[#Headers],[7]],tabela_registros[REGISTRO],DADOS!$N$4,tabela_registros[TIPO],DADOS!$P$4,tabela_registros[CATEGORIA],despesavariávelconsolidadofev[[#This Row],[DESPESA VARIÁVEL]])</f>
        <v>0</v>
      </c>
      <c r="L66" s="91">
        <f>SUMIFS(tabela_registros[VALOR],tabela_registros[MÊS],$AE$1,tabela_registros[DIA],fevtotal30[[#Headers],[8]],tabela_registros[REGISTRO],DADOS!$N$4,tabela_registros[TIPO],DADOS!$P$4,tabela_registros[CATEGORIA],despesavariávelconsolidadofev[[#This Row],[DESPESA VARIÁVEL]])</f>
        <v>0</v>
      </c>
      <c r="M66" s="91">
        <f>SUMIFS(tabela_registros[VALOR],tabela_registros[MÊS],$AE$1,tabela_registros[DIA],fevtotal30[[#Headers],[9]],tabela_registros[REGISTRO],DADOS!$N$4,tabela_registros[TIPO],DADOS!$P$4,tabela_registros[CATEGORIA],despesavariávelconsolidadofev[[#This Row],[DESPESA VARIÁVEL]])</f>
        <v>0</v>
      </c>
      <c r="N66" s="91">
        <f>SUMIFS(tabela_registros[VALOR],tabela_registros[MÊS],$AE$1,tabela_registros[DIA],fevtotal30[[#Headers],[10]],tabela_registros[REGISTRO],DADOS!$N$4,tabela_registros[TIPO],DADOS!$P$4,tabela_registros[CATEGORIA],despesavariávelconsolidadofev[[#This Row],[DESPESA VARIÁVEL]])</f>
        <v>0</v>
      </c>
      <c r="O66" s="91">
        <f>SUMIFS(tabela_registros[VALOR],tabela_registros[MÊS],$AE$1,tabela_registros[DIA],fevtotal30[[#Headers],[11]],tabela_registros[REGISTRO],DADOS!$N$4,tabela_registros[TIPO],DADOS!$P$4,tabela_registros[CATEGORIA],despesavariávelconsolidadofev[[#This Row],[DESPESA VARIÁVEL]])</f>
        <v>0</v>
      </c>
      <c r="P66" s="91">
        <f>SUMIFS(tabela_registros[VALOR],tabela_registros[MÊS],$AE$1,tabela_registros[DIA],fevtotal30[[#Headers],[12]],tabela_registros[REGISTRO],DADOS!$N$4,tabela_registros[TIPO],DADOS!$P$4,tabela_registros[CATEGORIA],despesavariávelconsolidadofev[[#This Row],[DESPESA VARIÁVEL]])</f>
        <v>0</v>
      </c>
      <c r="Q66" s="91">
        <f>SUMIFS(tabela_registros[VALOR],tabela_registros[MÊS],$AE$1,tabela_registros[DIA],fevtotal30[[#Headers],[13]],tabela_registros[REGISTRO],DADOS!$N$4,tabela_registros[TIPO],DADOS!$P$4,tabela_registros[CATEGORIA],despesavariávelconsolidadofev[[#This Row],[DESPESA VARIÁVEL]])</f>
        <v>0</v>
      </c>
      <c r="R66" s="91">
        <f>SUMIFS(tabela_registros[VALOR],tabela_registros[MÊS],$AE$1,tabela_registros[DIA],fevtotal30[[#Headers],[14]],tabela_registros[REGISTRO],DADOS!$N$4,tabela_registros[TIPO],DADOS!$P$4,tabela_registros[CATEGORIA],despesavariávelconsolidadofev[[#This Row],[DESPESA VARIÁVEL]])</f>
        <v>0</v>
      </c>
      <c r="S66" s="91">
        <f>SUMIFS(tabela_registros[VALOR],tabela_registros[MÊS],$AE$1,tabela_registros[DIA],fevtotal30[[#Headers],[15]],tabela_registros[REGISTRO],DADOS!$N$4,tabela_registros[TIPO],DADOS!$P$4,tabela_registros[CATEGORIA],despesavariávelconsolidadofev[[#This Row],[DESPESA VARIÁVEL]])</f>
        <v>0</v>
      </c>
      <c r="T66" s="91">
        <f>SUMIFS(tabela_registros[VALOR],tabela_registros[MÊS],$AE$1,tabela_registros[DIA],fevtotal30[[#Headers],[16]],tabela_registros[REGISTRO],DADOS!$N$4,tabela_registros[TIPO],DADOS!$P$4,tabela_registros[CATEGORIA],despesavariávelconsolidadofev[[#This Row],[DESPESA VARIÁVEL]])</f>
        <v>0</v>
      </c>
      <c r="U66" s="91">
        <f>SUMIFS(tabela_registros[VALOR],tabela_registros[MÊS],$AE$1,tabela_registros[DIA],fevtotal30[[#Headers],[17]],tabela_registros[REGISTRO],DADOS!$N$4,tabela_registros[TIPO],DADOS!$P$4,tabela_registros[CATEGORIA],despesavariávelconsolidadofev[[#This Row],[DESPESA VARIÁVEL]])</f>
        <v>0</v>
      </c>
      <c r="V66" s="91">
        <f>SUMIFS(tabela_registros[VALOR],tabela_registros[MÊS],$AE$1,tabela_registros[DIA],fevtotal30[[#Headers],[18]],tabela_registros[REGISTRO],DADOS!$N$4,tabela_registros[TIPO],DADOS!$P$4,tabela_registros[CATEGORIA],despesavariávelconsolidadofev[[#This Row],[DESPESA VARIÁVEL]])</f>
        <v>0</v>
      </c>
      <c r="W66" s="91">
        <f>SUMIFS(tabela_registros[VALOR],tabela_registros[MÊS],$AE$1,tabela_registros[DIA],fevtotal30[[#Headers],[19]],tabela_registros[REGISTRO],DADOS!$N$4,tabela_registros[TIPO],DADOS!$P$4,tabela_registros[CATEGORIA],despesavariávelconsolidadofev[[#This Row],[DESPESA VARIÁVEL]])</f>
        <v>0</v>
      </c>
      <c r="X66" s="91">
        <f>SUMIFS(tabela_registros[VALOR],tabela_registros[MÊS],$AE$1,tabela_registros[DIA],fevtotal30[[#Headers],[20]],tabela_registros[REGISTRO],DADOS!$N$4,tabela_registros[TIPO],DADOS!$P$4,tabela_registros[CATEGORIA],despesavariávelconsolidadofev[[#This Row],[DESPESA VARIÁVEL]])</f>
        <v>0</v>
      </c>
      <c r="Y66" s="91">
        <f>SUMIFS(tabela_registros[VALOR],tabela_registros[MÊS],$AE$1,tabela_registros[DIA],fevtotal30[[#Headers],[21]],tabela_registros[REGISTRO],DADOS!$N$4,tabela_registros[TIPO],DADOS!$P$4,tabela_registros[CATEGORIA],despesavariávelconsolidadofev[[#This Row],[DESPESA VARIÁVEL]])</f>
        <v>0</v>
      </c>
      <c r="Z66" s="91">
        <f>SUMIFS(tabela_registros[VALOR],tabela_registros[MÊS],$AE$1,tabela_registros[DIA],fevtotal30[[#Headers],[22]],tabela_registros[REGISTRO],DADOS!$N$4,tabela_registros[TIPO],DADOS!$P$4,tabela_registros[CATEGORIA],despesavariávelconsolidadofev[[#This Row],[DESPESA VARIÁVEL]])</f>
        <v>0</v>
      </c>
      <c r="AA66" s="91">
        <f>SUMIFS(tabela_registros[VALOR],tabela_registros[MÊS],$AE$1,tabela_registros[DIA],fevtotal30[[#Headers],[23]],tabela_registros[REGISTRO],DADOS!$N$4,tabela_registros[TIPO],DADOS!$P$4,tabela_registros[CATEGORIA],despesavariávelconsolidadofev[[#This Row],[DESPESA VARIÁVEL]])</f>
        <v>0</v>
      </c>
      <c r="AB66" s="91">
        <f>SUMIFS(tabela_registros[VALOR],tabela_registros[MÊS],$AE$1,tabela_registros[DIA],fevtotal30[[#Headers],[24]],tabela_registros[REGISTRO],DADOS!$N$4,tabela_registros[TIPO],DADOS!$P$4,tabela_registros[CATEGORIA],despesavariávelconsolidadofev[[#This Row],[DESPESA VARIÁVEL]])</f>
        <v>0</v>
      </c>
      <c r="AC66" s="91">
        <f>SUMIFS(tabela_registros[VALOR],tabela_registros[MÊS],$AE$1,tabela_registros[DIA],fevtotal30[[#Headers],[25]],tabela_registros[REGISTRO],DADOS!$N$4,tabela_registros[TIPO],DADOS!$P$4,tabela_registros[CATEGORIA],despesavariávelconsolidadofev[[#This Row],[DESPESA VARIÁVEL]])</f>
        <v>0</v>
      </c>
      <c r="AD66" s="91">
        <f>SUMIFS(tabela_registros[VALOR],tabela_registros[MÊS],$AE$1,tabela_registros[DIA],fevtotal30[[#Headers],[26]],tabela_registros[REGISTRO],DADOS!$N$4,tabela_registros[TIPO],DADOS!$P$4,tabela_registros[CATEGORIA],despesavariávelconsolidadofev[[#This Row],[DESPESA VARIÁVEL]])</f>
        <v>0</v>
      </c>
      <c r="AE66" s="91">
        <f>SUMIFS(tabela_registros[VALOR],tabela_registros[MÊS],$AE$1,tabela_registros[DIA],fevtotal30[[#Headers],[27]],tabela_registros[REGISTRO],DADOS!$N$4,tabela_registros[TIPO],DADOS!$P$4,tabela_registros[CATEGORIA],despesavariávelconsolidadofev[[#This Row],[DESPESA VARIÁVEL]])</f>
        <v>0</v>
      </c>
      <c r="AF66" s="91">
        <f>SUMIFS(tabela_registros[VALOR],tabela_registros[MÊS],$AE$1,tabela_registros[DIA],fevtotal30[[#Headers],[28]],tabela_registros[REGISTRO],DADOS!$N$4,tabela_registros[TIPO],DADOS!$P$4,tabela_registros[CATEGORIA],despesavariávelconsolidadofev[[#This Row],[DESPESA VARIÁVEL]])</f>
        <v>0</v>
      </c>
      <c r="AG66" s="91">
        <f>SUMIFS(tabela_registros[VALOR],tabela_registros[MÊS],$AE$1,tabela_registros[DIA],fevtotal30[[#Headers],[29]],tabela_registros[REGISTRO],DADOS!$N$4,tabela_registros[TIPO],DADOS!$P$4,tabela_registros[CATEGORIA],despesavariávelconsolidadofev[[#This Row],[DESPESA VARIÁVEL]])</f>
        <v>0</v>
      </c>
      <c r="AH66" s="91">
        <f>SUMIFS(tabela_registros[VALOR],tabela_registros[MÊS],$AE$1,tabela_registros[DIA],fevtotal30[[#Headers],[30]],tabela_registros[REGISTRO],DADOS!$N$4,tabela_registros[TIPO],DADOS!$P$4,tabela_registros[CATEGORIA],despesavariávelconsolidadofev[[#This Row],[DESPESA VARIÁVEL]])</f>
        <v>0</v>
      </c>
      <c r="AI66" s="101">
        <f>SUMIFS(tabela_registros[VALOR],tabela_registros[MÊS],$AE$1,tabela_registros[DIA],fevtotal30[[#Headers],[31]],tabela_registros[REGISTRO],DADOS!$N$4,tabela_registros[TIPO],DADOS!$P$4,tabela_registros[CATEGORIA],despesavariávelconsolidadofev[[#This Row],[DESPESA VARIÁVEL]])</f>
        <v>0</v>
      </c>
      <c r="AJ66" s="97">
        <f>SUM(despesavariávelconsolidadofev[[#This Row],[1]:[31]])</f>
        <v>0</v>
      </c>
      <c r="AK66" s="28"/>
    </row>
    <row r="67" spans="2:37" ht="18" customHeight="1" thickTop="1" thickBot="1" x14ac:dyDescent="0.3">
      <c r="B67" s="28"/>
      <c r="C67" s="27" t="str">
        <f>DADOS!$T$10</f>
        <v>🛒 MERCADO</v>
      </c>
      <c r="D67" s="26" t="str">
        <f>IF(despesavariávelconsolidadofev[[#This Row],[TOTAL]]=0,"",IF(OR(despesavariávelconsolidadofev[[#This Row],[TOTAL]]=LARGE($AJ$60:$AJ$72,1),despesavariávelconsolidadofev[[#This Row],[TOTAL]]=LARGE($AJ$60:$AJ$72,2),despesavariávelconsolidadofev[[#This Row],[TOTAL]]=LARGE($AJ$60:$AJ$72,3),despesavariávelconsolidadofev[[#This Row],[TOTAL]]=LARGE($AJ$60:$AJ$72,4),despesavariávelconsolidadofev[[#This Row],[TOTAL]]=LARGE($AJ$60:$AJ$72,5)),DADOS!$I$8,""))</f>
        <v/>
      </c>
      <c r="E67" s="96">
        <f>SUMIFS(tabela_registros[VALOR],tabela_registros[MÊS],$AE$1,tabela_registros[DIA],fevtotal30[[#Headers],[1]],tabela_registros[REGISTRO],DADOS!$N$4,tabela_registros[TIPO],DADOS!$P$4,tabela_registros[CATEGORIA],despesavariávelconsolidadofev[[#This Row],[DESPESA VARIÁVEL]])</f>
        <v>0</v>
      </c>
      <c r="F67" s="91">
        <f>SUMIFS(tabela_registros[VALOR],tabela_registros[MÊS],$AE$1,tabela_registros[DIA],fevtotal30[[#Headers],[2]],tabela_registros[REGISTRO],DADOS!$N$4,tabela_registros[TIPO],DADOS!$P$4,tabela_registros[CATEGORIA],despesavariávelconsolidadofev[[#This Row],[DESPESA VARIÁVEL]])</f>
        <v>0</v>
      </c>
      <c r="G67" s="91">
        <f>SUMIFS(tabela_registros[VALOR],tabela_registros[MÊS],$AE$1,tabela_registros[DIA],fevtotal30[[#Headers],[3]],tabela_registros[REGISTRO],DADOS!$N$4,tabela_registros[TIPO],DADOS!$P$4,tabela_registros[CATEGORIA],despesavariávelconsolidadofev[[#This Row],[DESPESA VARIÁVEL]])</f>
        <v>0</v>
      </c>
      <c r="H67" s="91">
        <f>SUMIFS(tabela_registros[VALOR],tabela_registros[MÊS],$AE$1,tabela_registros[DIA],fevtotal30[[#Headers],[4]],tabela_registros[REGISTRO],DADOS!$N$4,tabela_registros[TIPO],DADOS!$P$4,tabela_registros[CATEGORIA],despesavariávelconsolidadofev[[#This Row],[DESPESA VARIÁVEL]])</f>
        <v>0</v>
      </c>
      <c r="I67" s="91">
        <f>SUMIFS(tabela_registros[VALOR],tabela_registros[MÊS],$AE$1,tabela_registros[DIA],fevtotal30[[#Headers],[5]],tabela_registros[REGISTRO],DADOS!$N$4,tabela_registros[TIPO],DADOS!$P$4,tabela_registros[CATEGORIA],despesavariávelconsolidadofev[[#This Row],[DESPESA VARIÁVEL]])</f>
        <v>0</v>
      </c>
      <c r="J67" s="91">
        <f>SUMIFS(tabela_registros[VALOR],tabela_registros[MÊS],$AE$1,tabela_registros[DIA],fevtotal30[[#Headers],[6]],tabela_registros[REGISTRO],DADOS!$N$4,tabela_registros[TIPO],DADOS!$P$4,tabela_registros[CATEGORIA],despesavariávelconsolidadofev[[#This Row],[DESPESA VARIÁVEL]])</f>
        <v>0</v>
      </c>
      <c r="K67" s="91">
        <f>SUMIFS(tabela_registros[VALOR],tabela_registros[MÊS],$AE$1,tabela_registros[DIA],fevtotal30[[#Headers],[7]],tabela_registros[REGISTRO],DADOS!$N$4,tabela_registros[TIPO],DADOS!$P$4,tabela_registros[CATEGORIA],despesavariávelconsolidadofev[[#This Row],[DESPESA VARIÁVEL]])</f>
        <v>0</v>
      </c>
      <c r="L67" s="91">
        <f>SUMIFS(tabela_registros[VALOR],tabela_registros[MÊS],$AE$1,tabela_registros[DIA],fevtotal30[[#Headers],[8]],tabela_registros[REGISTRO],DADOS!$N$4,tabela_registros[TIPO],DADOS!$P$4,tabela_registros[CATEGORIA],despesavariávelconsolidadofev[[#This Row],[DESPESA VARIÁVEL]])</f>
        <v>0</v>
      </c>
      <c r="M67" s="91">
        <f>SUMIFS(tabela_registros[VALOR],tabela_registros[MÊS],$AE$1,tabela_registros[DIA],fevtotal30[[#Headers],[9]],tabela_registros[REGISTRO],DADOS!$N$4,tabela_registros[TIPO],DADOS!$P$4,tabela_registros[CATEGORIA],despesavariávelconsolidadofev[[#This Row],[DESPESA VARIÁVEL]])</f>
        <v>0</v>
      </c>
      <c r="N67" s="91">
        <f>SUMIFS(tabela_registros[VALOR],tabela_registros[MÊS],$AE$1,tabela_registros[DIA],fevtotal30[[#Headers],[10]],tabela_registros[REGISTRO],DADOS!$N$4,tabela_registros[TIPO],DADOS!$P$4,tabela_registros[CATEGORIA],despesavariávelconsolidadofev[[#This Row],[DESPESA VARIÁVEL]])</f>
        <v>0</v>
      </c>
      <c r="O67" s="91">
        <f>SUMIFS(tabela_registros[VALOR],tabela_registros[MÊS],$AE$1,tabela_registros[DIA],fevtotal30[[#Headers],[11]],tabela_registros[REGISTRO],DADOS!$N$4,tabela_registros[TIPO],DADOS!$P$4,tabela_registros[CATEGORIA],despesavariávelconsolidadofev[[#This Row],[DESPESA VARIÁVEL]])</f>
        <v>0</v>
      </c>
      <c r="P67" s="91">
        <f>SUMIFS(tabela_registros[VALOR],tabela_registros[MÊS],$AE$1,tabela_registros[DIA],fevtotal30[[#Headers],[12]],tabela_registros[REGISTRO],DADOS!$N$4,tabela_registros[TIPO],DADOS!$P$4,tabela_registros[CATEGORIA],despesavariávelconsolidadofev[[#This Row],[DESPESA VARIÁVEL]])</f>
        <v>0</v>
      </c>
      <c r="Q67" s="91">
        <f>SUMIFS(tabela_registros[VALOR],tabela_registros[MÊS],$AE$1,tabela_registros[DIA],fevtotal30[[#Headers],[13]],tabela_registros[REGISTRO],DADOS!$N$4,tabela_registros[TIPO],DADOS!$P$4,tabela_registros[CATEGORIA],despesavariávelconsolidadofev[[#This Row],[DESPESA VARIÁVEL]])</f>
        <v>0</v>
      </c>
      <c r="R67" s="91">
        <f>SUMIFS(tabela_registros[VALOR],tabela_registros[MÊS],$AE$1,tabela_registros[DIA],fevtotal30[[#Headers],[14]],tabela_registros[REGISTRO],DADOS!$N$4,tabela_registros[TIPO],DADOS!$P$4,tabela_registros[CATEGORIA],despesavariávelconsolidadofev[[#This Row],[DESPESA VARIÁVEL]])</f>
        <v>0</v>
      </c>
      <c r="S67" s="91">
        <f>SUMIFS(tabela_registros[VALOR],tabela_registros[MÊS],$AE$1,tabela_registros[DIA],fevtotal30[[#Headers],[15]],tabela_registros[REGISTRO],DADOS!$N$4,tabela_registros[TIPO],DADOS!$P$4,tabela_registros[CATEGORIA],despesavariávelconsolidadofev[[#This Row],[DESPESA VARIÁVEL]])</f>
        <v>0</v>
      </c>
      <c r="T67" s="91">
        <f>SUMIFS(tabela_registros[VALOR],tabela_registros[MÊS],$AE$1,tabela_registros[DIA],fevtotal30[[#Headers],[16]],tabela_registros[REGISTRO],DADOS!$N$4,tabela_registros[TIPO],DADOS!$P$4,tabela_registros[CATEGORIA],despesavariávelconsolidadofev[[#This Row],[DESPESA VARIÁVEL]])</f>
        <v>0</v>
      </c>
      <c r="U67" s="91">
        <f>SUMIFS(tabela_registros[VALOR],tabela_registros[MÊS],$AE$1,tabela_registros[DIA],fevtotal30[[#Headers],[17]],tabela_registros[REGISTRO],DADOS!$N$4,tabela_registros[TIPO],DADOS!$P$4,tabela_registros[CATEGORIA],despesavariávelconsolidadofev[[#This Row],[DESPESA VARIÁVEL]])</f>
        <v>0</v>
      </c>
      <c r="V67" s="91">
        <f>SUMIFS(tabela_registros[VALOR],tabela_registros[MÊS],$AE$1,tabela_registros[DIA],fevtotal30[[#Headers],[18]],tabela_registros[REGISTRO],DADOS!$N$4,tabela_registros[TIPO],DADOS!$P$4,tabela_registros[CATEGORIA],despesavariávelconsolidadofev[[#This Row],[DESPESA VARIÁVEL]])</f>
        <v>0</v>
      </c>
      <c r="W67" s="91">
        <f>SUMIFS(tabela_registros[VALOR],tabela_registros[MÊS],$AE$1,tabela_registros[DIA],fevtotal30[[#Headers],[19]],tabela_registros[REGISTRO],DADOS!$N$4,tabela_registros[TIPO],DADOS!$P$4,tabela_registros[CATEGORIA],despesavariávelconsolidadofev[[#This Row],[DESPESA VARIÁVEL]])</f>
        <v>0</v>
      </c>
      <c r="X67" s="91">
        <f>SUMIFS(tabela_registros[VALOR],tabela_registros[MÊS],$AE$1,tabela_registros[DIA],fevtotal30[[#Headers],[20]],tabela_registros[REGISTRO],DADOS!$N$4,tabela_registros[TIPO],DADOS!$P$4,tabela_registros[CATEGORIA],despesavariávelconsolidadofev[[#This Row],[DESPESA VARIÁVEL]])</f>
        <v>0</v>
      </c>
      <c r="Y67" s="91">
        <f>SUMIFS(tabela_registros[VALOR],tabela_registros[MÊS],$AE$1,tabela_registros[DIA],fevtotal30[[#Headers],[21]],tabela_registros[REGISTRO],DADOS!$N$4,tabela_registros[TIPO],DADOS!$P$4,tabela_registros[CATEGORIA],despesavariávelconsolidadofev[[#This Row],[DESPESA VARIÁVEL]])</f>
        <v>0</v>
      </c>
      <c r="Z67" s="91">
        <f>SUMIFS(tabela_registros[VALOR],tabela_registros[MÊS],$AE$1,tabela_registros[DIA],fevtotal30[[#Headers],[22]],tabela_registros[REGISTRO],DADOS!$N$4,tabela_registros[TIPO],DADOS!$P$4,tabela_registros[CATEGORIA],despesavariávelconsolidadofev[[#This Row],[DESPESA VARIÁVEL]])</f>
        <v>0</v>
      </c>
      <c r="AA67" s="91">
        <f>SUMIFS(tabela_registros[VALOR],tabela_registros[MÊS],$AE$1,tabela_registros[DIA],fevtotal30[[#Headers],[23]],tabela_registros[REGISTRO],DADOS!$N$4,tabela_registros[TIPO],DADOS!$P$4,tabela_registros[CATEGORIA],despesavariávelconsolidadofev[[#This Row],[DESPESA VARIÁVEL]])</f>
        <v>0</v>
      </c>
      <c r="AB67" s="91">
        <f>SUMIFS(tabela_registros[VALOR],tabela_registros[MÊS],$AE$1,tabela_registros[DIA],fevtotal30[[#Headers],[24]],tabela_registros[REGISTRO],DADOS!$N$4,tabela_registros[TIPO],DADOS!$P$4,tabela_registros[CATEGORIA],despesavariávelconsolidadofev[[#This Row],[DESPESA VARIÁVEL]])</f>
        <v>0</v>
      </c>
      <c r="AC67" s="91">
        <f>SUMIFS(tabela_registros[VALOR],tabela_registros[MÊS],$AE$1,tabela_registros[DIA],fevtotal30[[#Headers],[25]],tabela_registros[REGISTRO],DADOS!$N$4,tabela_registros[TIPO],DADOS!$P$4,tabela_registros[CATEGORIA],despesavariávelconsolidadofev[[#This Row],[DESPESA VARIÁVEL]])</f>
        <v>0</v>
      </c>
      <c r="AD67" s="91">
        <f>SUMIFS(tabela_registros[VALOR],tabela_registros[MÊS],$AE$1,tabela_registros[DIA],fevtotal30[[#Headers],[26]],tabela_registros[REGISTRO],DADOS!$N$4,tabela_registros[TIPO],DADOS!$P$4,tabela_registros[CATEGORIA],despesavariávelconsolidadofev[[#This Row],[DESPESA VARIÁVEL]])</f>
        <v>0</v>
      </c>
      <c r="AE67" s="91">
        <f>SUMIFS(tabela_registros[VALOR],tabela_registros[MÊS],$AE$1,tabela_registros[DIA],fevtotal30[[#Headers],[27]],tabela_registros[REGISTRO],DADOS!$N$4,tabela_registros[TIPO],DADOS!$P$4,tabela_registros[CATEGORIA],despesavariávelconsolidadofev[[#This Row],[DESPESA VARIÁVEL]])</f>
        <v>0</v>
      </c>
      <c r="AF67" s="91">
        <f>SUMIFS(tabela_registros[VALOR],tabela_registros[MÊS],$AE$1,tabela_registros[DIA],fevtotal30[[#Headers],[28]],tabela_registros[REGISTRO],DADOS!$N$4,tabela_registros[TIPO],DADOS!$P$4,tabela_registros[CATEGORIA],despesavariávelconsolidadofev[[#This Row],[DESPESA VARIÁVEL]])</f>
        <v>0</v>
      </c>
      <c r="AG67" s="91">
        <f>SUMIFS(tabela_registros[VALOR],tabela_registros[MÊS],$AE$1,tabela_registros[DIA],fevtotal30[[#Headers],[29]],tabela_registros[REGISTRO],DADOS!$N$4,tabela_registros[TIPO],DADOS!$P$4,tabela_registros[CATEGORIA],despesavariávelconsolidadofev[[#This Row],[DESPESA VARIÁVEL]])</f>
        <v>0</v>
      </c>
      <c r="AH67" s="91">
        <f>SUMIFS(tabela_registros[VALOR],tabela_registros[MÊS],$AE$1,tabela_registros[DIA],fevtotal30[[#Headers],[30]],tabela_registros[REGISTRO],DADOS!$N$4,tabela_registros[TIPO],DADOS!$P$4,tabela_registros[CATEGORIA],despesavariávelconsolidadofev[[#This Row],[DESPESA VARIÁVEL]])</f>
        <v>0</v>
      </c>
      <c r="AI67" s="101">
        <f>SUMIFS(tabela_registros[VALOR],tabela_registros[MÊS],$AE$1,tabela_registros[DIA],fevtotal30[[#Headers],[31]],tabela_registros[REGISTRO],DADOS!$N$4,tabela_registros[TIPO],DADOS!$P$4,tabela_registros[CATEGORIA],despesavariávelconsolidadofev[[#This Row],[DESPESA VARIÁVEL]])</f>
        <v>0</v>
      </c>
      <c r="AJ67" s="97">
        <f>SUM(despesavariávelconsolidadofev[[#This Row],[1]:[31]])</f>
        <v>0</v>
      </c>
      <c r="AK67" s="28"/>
    </row>
    <row r="68" spans="2:37" ht="18" customHeight="1" thickTop="1" thickBot="1" x14ac:dyDescent="0.3">
      <c r="B68" s="28"/>
      <c r="C68" s="27" t="str">
        <f>DADOS!$T$11</f>
        <v>🎁 PRESENTES</v>
      </c>
      <c r="D68" s="26" t="str">
        <f>IF(despesavariávelconsolidadofev[[#This Row],[TOTAL]]=0,"",IF(OR(despesavariávelconsolidadofev[[#This Row],[TOTAL]]=LARGE($AJ$60:$AJ$72,1),despesavariávelconsolidadofev[[#This Row],[TOTAL]]=LARGE($AJ$60:$AJ$72,2),despesavariávelconsolidadofev[[#This Row],[TOTAL]]=LARGE($AJ$60:$AJ$72,3),despesavariávelconsolidadofev[[#This Row],[TOTAL]]=LARGE($AJ$60:$AJ$72,4),despesavariávelconsolidadofev[[#This Row],[TOTAL]]=LARGE($AJ$60:$AJ$72,5)),DADOS!$I$8,""))</f>
        <v/>
      </c>
      <c r="E68" s="96">
        <f>SUMIFS(tabela_registros[VALOR],tabela_registros[MÊS],$AE$1,tabela_registros[DIA],fevtotal30[[#Headers],[1]],tabela_registros[REGISTRO],DADOS!$N$4,tabela_registros[TIPO],DADOS!$P$4,tabela_registros[CATEGORIA],despesavariávelconsolidadofev[[#This Row],[DESPESA VARIÁVEL]])</f>
        <v>0</v>
      </c>
      <c r="F68" s="91">
        <f>SUMIFS(tabela_registros[VALOR],tabela_registros[MÊS],$AE$1,tabela_registros[DIA],fevtotal30[[#Headers],[2]],tabela_registros[REGISTRO],DADOS!$N$4,tabela_registros[TIPO],DADOS!$P$4,tabela_registros[CATEGORIA],despesavariávelconsolidadofev[[#This Row],[DESPESA VARIÁVEL]])</f>
        <v>0</v>
      </c>
      <c r="G68" s="91">
        <f>SUMIFS(tabela_registros[VALOR],tabela_registros[MÊS],$AE$1,tabela_registros[DIA],fevtotal30[[#Headers],[3]],tabela_registros[REGISTRO],DADOS!$N$4,tabela_registros[TIPO],DADOS!$P$4,tabela_registros[CATEGORIA],despesavariávelconsolidadofev[[#This Row],[DESPESA VARIÁVEL]])</f>
        <v>0</v>
      </c>
      <c r="H68" s="91">
        <f>SUMIFS(tabela_registros[VALOR],tabela_registros[MÊS],$AE$1,tabela_registros[DIA],fevtotal30[[#Headers],[4]],tabela_registros[REGISTRO],DADOS!$N$4,tabela_registros[TIPO],DADOS!$P$4,tabela_registros[CATEGORIA],despesavariávelconsolidadofev[[#This Row],[DESPESA VARIÁVEL]])</f>
        <v>0</v>
      </c>
      <c r="I68" s="91">
        <f>SUMIFS(tabela_registros[VALOR],tabela_registros[MÊS],$AE$1,tabela_registros[DIA],fevtotal30[[#Headers],[5]],tabela_registros[REGISTRO],DADOS!$N$4,tabela_registros[TIPO],DADOS!$P$4,tabela_registros[CATEGORIA],despesavariávelconsolidadofev[[#This Row],[DESPESA VARIÁVEL]])</f>
        <v>0</v>
      </c>
      <c r="J68" s="91">
        <f>SUMIFS(tabela_registros[VALOR],tabela_registros[MÊS],$AE$1,tabela_registros[DIA],fevtotal30[[#Headers],[6]],tabela_registros[REGISTRO],DADOS!$N$4,tabela_registros[TIPO],DADOS!$P$4,tabela_registros[CATEGORIA],despesavariávelconsolidadofev[[#This Row],[DESPESA VARIÁVEL]])</f>
        <v>0</v>
      </c>
      <c r="K68" s="91">
        <f>SUMIFS(tabela_registros[VALOR],tabela_registros[MÊS],$AE$1,tabela_registros[DIA],fevtotal30[[#Headers],[7]],tabela_registros[REGISTRO],DADOS!$N$4,tabela_registros[TIPO],DADOS!$P$4,tabela_registros[CATEGORIA],despesavariávelconsolidadofev[[#This Row],[DESPESA VARIÁVEL]])</f>
        <v>0</v>
      </c>
      <c r="L68" s="91">
        <f>SUMIFS(tabela_registros[VALOR],tabela_registros[MÊS],$AE$1,tabela_registros[DIA],fevtotal30[[#Headers],[8]],tabela_registros[REGISTRO],DADOS!$N$4,tabela_registros[TIPO],DADOS!$P$4,tabela_registros[CATEGORIA],despesavariávelconsolidadofev[[#This Row],[DESPESA VARIÁVEL]])</f>
        <v>0</v>
      </c>
      <c r="M68" s="91">
        <f>SUMIFS(tabela_registros[VALOR],tabela_registros[MÊS],$AE$1,tabela_registros[DIA],fevtotal30[[#Headers],[9]],tabela_registros[REGISTRO],DADOS!$N$4,tabela_registros[TIPO],DADOS!$P$4,tabela_registros[CATEGORIA],despesavariávelconsolidadofev[[#This Row],[DESPESA VARIÁVEL]])</f>
        <v>0</v>
      </c>
      <c r="N68" s="91">
        <f>SUMIFS(tabela_registros[VALOR],tabela_registros[MÊS],$AE$1,tabela_registros[DIA],fevtotal30[[#Headers],[10]],tabela_registros[REGISTRO],DADOS!$N$4,tabela_registros[TIPO],DADOS!$P$4,tabela_registros[CATEGORIA],despesavariávelconsolidadofev[[#This Row],[DESPESA VARIÁVEL]])</f>
        <v>0</v>
      </c>
      <c r="O68" s="91">
        <f>SUMIFS(tabela_registros[VALOR],tabela_registros[MÊS],$AE$1,tabela_registros[DIA],fevtotal30[[#Headers],[11]],tabela_registros[REGISTRO],DADOS!$N$4,tabela_registros[TIPO],DADOS!$P$4,tabela_registros[CATEGORIA],despesavariávelconsolidadofev[[#This Row],[DESPESA VARIÁVEL]])</f>
        <v>0</v>
      </c>
      <c r="P68" s="91">
        <f>SUMIFS(tabela_registros[VALOR],tabela_registros[MÊS],$AE$1,tabela_registros[DIA],fevtotal30[[#Headers],[12]],tabela_registros[REGISTRO],DADOS!$N$4,tabela_registros[TIPO],DADOS!$P$4,tabela_registros[CATEGORIA],despesavariávelconsolidadofev[[#This Row],[DESPESA VARIÁVEL]])</f>
        <v>0</v>
      </c>
      <c r="Q68" s="91">
        <f>SUMIFS(tabela_registros[VALOR],tabela_registros[MÊS],$AE$1,tabela_registros[DIA],fevtotal30[[#Headers],[13]],tabela_registros[REGISTRO],DADOS!$N$4,tabela_registros[TIPO],DADOS!$P$4,tabela_registros[CATEGORIA],despesavariávelconsolidadofev[[#This Row],[DESPESA VARIÁVEL]])</f>
        <v>0</v>
      </c>
      <c r="R68" s="91">
        <f>SUMIFS(tabela_registros[VALOR],tabela_registros[MÊS],$AE$1,tabela_registros[DIA],fevtotal30[[#Headers],[14]],tabela_registros[REGISTRO],DADOS!$N$4,tabela_registros[TIPO],DADOS!$P$4,tabela_registros[CATEGORIA],despesavariávelconsolidadofev[[#This Row],[DESPESA VARIÁVEL]])</f>
        <v>0</v>
      </c>
      <c r="S68" s="91">
        <f>SUMIFS(tabela_registros[VALOR],tabela_registros[MÊS],$AE$1,tabela_registros[DIA],fevtotal30[[#Headers],[15]],tabela_registros[REGISTRO],DADOS!$N$4,tabela_registros[TIPO],DADOS!$P$4,tabela_registros[CATEGORIA],despesavariávelconsolidadofev[[#This Row],[DESPESA VARIÁVEL]])</f>
        <v>0</v>
      </c>
      <c r="T68" s="91">
        <f>SUMIFS(tabela_registros[VALOR],tabela_registros[MÊS],$AE$1,tabela_registros[DIA],fevtotal30[[#Headers],[16]],tabela_registros[REGISTRO],DADOS!$N$4,tabela_registros[TIPO],DADOS!$P$4,tabela_registros[CATEGORIA],despesavariávelconsolidadofev[[#This Row],[DESPESA VARIÁVEL]])</f>
        <v>0</v>
      </c>
      <c r="U68" s="91">
        <f>SUMIFS(tabela_registros[VALOR],tabela_registros[MÊS],$AE$1,tabela_registros[DIA],fevtotal30[[#Headers],[17]],tabela_registros[REGISTRO],DADOS!$N$4,tabela_registros[TIPO],DADOS!$P$4,tabela_registros[CATEGORIA],despesavariávelconsolidadofev[[#This Row],[DESPESA VARIÁVEL]])</f>
        <v>0</v>
      </c>
      <c r="V68" s="91">
        <f>SUMIFS(tabela_registros[VALOR],tabela_registros[MÊS],$AE$1,tabela_registros[DIA],fevtotal30[[#Headers],[18]],tabela_registros[REGISTRO],DADOS!$N$4,tabela_registros[TIPO],DADOS!$P$4,tabela_registros[CATEGORIA],despesavariávelconsolidadofev[[#This Row],[DESPESA VARIÁVEL]])</f>
        <v>0</v>
      </c>
      <c r="W68" s="91">
        <f>SUMIFS(tabela_registros[VALOR],tabela_registros[MÊS],$AE$1,tabela_registros[DIA],fevtotal30[[#Headers],[19]],tabela_registros[REGISTRO],DADOS!$N$4,tabela_registros[TIPO],DADOS!$P$4,tabela_registros[CATEGORIA],despesavariávelconsolidadofev[[#This Row],[DESPESA VARIÁVEL]])</f>
        <v>0</v>
      </c>
      <c r="X68" s="91">
        <f>SUMIFS(tabela_registros[VALOR],tabela_registros[MÊS],$AE$1,tabela_registros[DIA],fevtotal30[[#Headers],[20]],tabela_registros[REGISTRO],DADOS!$N$4,tabela_registros[TIPO],DADOS!$P$4,tabela_registros[CATEGORIA],despesavariávelconsolidadofev[[#This Row],[DESPESA VARIÁVEL]])</f>
        <v>0</v>
      </c>
      <c r="Y68" s="91">
        <f>SUMIFS(tabela_registros[VALOR],tabela_registros[MÊS],$AE$1,tabela_registros[DIA],fevtotal30[[#Headers],[21]],tabela_registros[REGISTRO],DADOS!$N$4,tabela_registros[TIPO],DADOS!$P$4,tabela_registros[CATEGORIA],despesavariávelconsolidadofev[[#This Row],[DESPESA VARIÁVEL]])</f>
        <v>0</v>
      </c>
      <c r="Z68" s="91">
        <f>SUMIFS(tabela_registros[VALOR],tabela_registros[MÊS],$AE$1,tabela_registros[DIA],fevtotal30[[#Headers],[22]],tabela_registros[REGISTRO],DADOS!$N$4,tabela_registros[TIPO],DADOS!$P$4,tabela_registros[CATEGORIA],despesavariávelconsolidadofev[[#This Row],[DESPESA VARIÁVEL]])</f>
        <v>0</v>
      </c>
      <c r="AA68" s="91">
        <f>SUMIFS(tabela_registros[VALOR],tabela_registros[MÊS],$AE$1,tabela_registros[DIA],fevtotal30[[#Headers],[23]],tabela_registros[REGISTRO],DADOS!$N$4,tabela_registros[TIPO],DADOS!$P$4,tabela_registros[CATEGORIA],despesavariávelconsolidadofev[[#This Row],[DESPESA VARIÁVEL]])</f>
        <v>0</v>
      </c>
      <c r="AB68" s="91">
        <f>SUMIFS(tabela_registros[VALOR],tabela_registros[MÊS],$AE$1,tabela_registros[DIA],fevtotal30[[#Headers],[24]],tabela_registros[REGISTRO],DADOS!$N$4,tabela_registros[TIPO],DADOS!$P$4,tabela_registros[CATEGORIA],despesavariávelconsolidadofev[[#This Row],[DESPESA VARIÁVEL]])</f>
        <v>0</v>
      </c>
      <c r="AC68" s="91">
        <f>SUMIFS(tabela_registros[VALOR],tabela_registros[MÊS],$AE$1,tabela_registros[DIA],fevtotal30[[#Headers],[25]],tabela_registros[REGISTRO],DADOS!$N$4,tabela_registros[TIPO],DADOS!$P$4,tabela_registros[CATEGORIA],despesavariávelconsolidadofev[[#This Row],[DESPESA VARIÁVEL]])</f>
        <v>0</v>
      </c>
      <c r="AD68" s="91">
        <f>SUMIFS(tabela_registros[VALOR],tabela_registros[MÊS],$AE$1,tabela_registros[DIA],fevtotal30[[#Headers],[26]],tabela_registros[REGISTRO],DADOS!$N$4,tabela_registros[TIPO],DADOS!$P$4,tabela_registros[CATEGORIA],despesavariávelconsolidadofev[[#This Row],[DESPESA VARIÁVEL]])</f>
        <v>0</v>
      </c>
      <c r="AE68" s="91">
        <f>SUMIFS(tabela_registros[VALOR],tabela_registros[MÊS],$AE$1,tabela_registros[DIA],fevtotal30[[#Headers],[27]],tabela_registros[REGISTRO],DADOS!$N$4,tabela_registros[TIPO],DADOS!$P$4,tabela_registros[CATEGORIA],despesavariávelconsolidadofev[[#This Row],[DESPESA VARIÁVEL]])</f>
        <v>0</v>
      </c>
      <c r="AF68" s="91">
        <f>SUMIFS(tabela_registros[VALOR],tabela_registros[MÊS],$AE$1,tabela_registros[DIA],fevtotal30[[#Headers],[28]],tabela_registros[REGISTRO],DADOS!$N$4,tabela_registros[TIPO],DADOS!$P$4,tabela_registros[CATEGORIA],despesavariávelconsolidadofev[[#This Row],[DESPESA VARIÁVEL]])</f>
        <v>0</v>
      </c>
      <c r="AG68" s="91">
        <f>SUMIFS(tabela_registros[VALOR],tabela_registros[MÊS],$AE$1,tabela_registros[DIA],fevtotal30[[#Headers],[29]],tabela_registros[REGISTRO],DADOS!$N$4,tabela_registros[TIPO],DADOS!$P$4,tabela_registros[CATEGORIA],despesavariávelconsolidadofev[[#This Row],[DESPESA VARIÁVEL]])</f>
        <v>0</v>
      </c>
      <c r="AH68" s="91">
        <f>SUMIFS(tabela_registros[VALOR],tabela_registros[MÊS],$AE$1,tabela_registros[DIA],fevtotal30[[#Headers],[30]],tabela_registros[REGISTRO],DADOS!$N$4,tabela_registros[TIPO],DADOS!$P$4,tabela_registros[CATEGORIA],despesavariávelconsolidadofev[[#This Row],[DESPESA VARIÁVEL]])</f>
        <v>0</v>
      </c>
      <c r="AI68" s="101">
        <f>SUMIFS(tabela_registros[VALOR],tabela_registros[MÊS],$AE$1,tabela_registros[DIA],fevtotal30[[#Headers],[31]],tabela_registros[REGISTRO],DADOS!$N$4,tabela_registros[TIPO],DADOS!$P$4,tabela_registros[CATEGORIA],despesavariávelconsolidadofev[[#This Row],[DESPESA VARIÁVEL]])</f>
        <v>0</v>
      </c>
      <c r="AJ68" s="97">
        <f>SUM(despesavariávelconsolidadofev[[#This Row],[1]:[31]])</f>
        <v>0</v>
      </c>
      <c r="AK68" s="28"/>
    </row>
    <row r="69" spans="2:37" ht="18" customHeight="1" thickTop="1" thickBot="1" x14ac:dyDescent="0.3">
      <c r="B69" s="28"/>
      <c r="C69" s="27" t="str">
        <f>DADOS!$T$12</f>
        <v>💊 SAÚDE</v>
      </c>
      <c r="D69" s="26" t="str">
        <f>IF(despesavariávelconsolidadofev[[#This Row],[TOTAL]]=0,"",IF(OR(despesavariávelconsolidadofev[[#This Row],[TOTAL]]=LARGE($AJ$60:$AJ$72,1),despesavariávelconsolidadofev[[#This Row],[TOTAL]]=LARGE($AJ$60:$AJ$72,2),despesavariávelconsolidadofev[[#This Row],[TOTAL]]=LARGE($AJ$60:$AJ$72,3),despesavariávelconsolidadofev[[#This Row],[TOTAL]]=LARGE($AJ$60:$AJ$72,4),despesavariávelconsolidadofev[[#This Row],[TOTAL]]=LARGE($AJ$60:$AJ$72,5)),DADOS!$I$8,""))</f>
        <v/>
      </c>
      <c r="E69" s="96">
        <f>SUMIFS(tabela_registros[VALOR],tabela_registros[MÊS],$AE$1,tabela_registros[DIA],fevtotal30[[#Headers],[1]],tabela_registros[REGISTRO],DADOS!$N$4,tabela_registros[TIPO],DADOS!$P$4,tabela_registros[CATEGORIA],despesavariávelconsolidadofev[[#This Row],[DESPESA VARIÁVEL]])</f>
        <v>0</v>
      </c>
      <c r="F69" s="91">
        <f>SUMIFS(tabela_registros[VALOR],tabela_registros[MÊS],$AE$1,tabela_registros[DIA],fevtotal30[[#Headers],[2]],tabela_registros[REGISTRO],DADOS!$N$4,tabela_registros[TIPO],DADOS!$P$4,tabela_registros[CATEGORIA],despesavariávelconsolidadofev[[#This Row],[DESPESA VARIÁVEL]])</f>
        <v>0</v>
      </c>
      <c r="G69" s="91">
        <f>SUMIFS(tabela_registros[VALOR],tabela_registros[MÊS],$AE$1,tabela_registros[DIA],fevtotal30[[#Headers],[3]],tabela_registros[REGISTRO],DADOS!$N$4,tabela_registros[TIPO],DADOS!$P$4,tabela_registros[CATEGORIA],despesavariávelconsolidadofev[[#This Row],[DESPESA VARIÁVEL]])</f>
        <v>0</v>
      </c>
      <c r="H69" s="91">
        <f>SUMIFS(tabela_registros[VALOR],tabela_registros[MÊS],$AE$1,tabela_registros[DIA],fevtotal30[[#Headers],[4]],tabela_registros[REGISTRO],DADOS!$N$4,tabela_registros[TIPO],DADOS!$P$4,tabela_registros[CATEGORIA],despesavariávelconsolidadofev[[#This Row],[DESPESA VARIÁVEL]])</f>
        <v>0</v>
      </c>
      <c r="I69" s="91">
        <f>SUMIFS(tabela_registros[VALOR],tabela_registros[MÊS],$AE$1,tabela_registros[DIA],fevtotal30[[#Headers],[5]],tabela_registros[REGISTRO],DADOS!$N$4,tabela_registros[TIPO],DADOS!$P$4,tabela_registros[CATEGORIA],despesavariávelconsolidadofev[[#This Row],[DESPESA VARIÁVEL]])</f>
        <v>0</v>
      </c>
      <c r="J69" s="91">
        <f>SUMIFS(tabela_registros[VALOR],tabela_registros[MÊS],$AE$1,tabela_registros[DIA],fevtotal30[[#Headers],[6]],tabela_registros[REGISTRO],DADOS!$N$4,tabela_registros[TIPO],DADOS!$P$4,tabela_registros[CATEGORIA],despesavariávelconsolidadofev[[#This Row],[DESPESA VARIÁVEL]])</f>
        <v>0</v>
      </c>
      <c r="K69" s="91">
        <f>SUMIFS(tabela_registros[VALOR],tabela_registros[MÊS],$AE$1,tabela_registros[DIA],fevtotal30[[#Headers],[7]],tabela_registros[REGISTRO],DADOS!$N$4,tabela_registros[TIPO],DADOS!$P$4,tabela_registros[CATEGORIA],despesavariávelconsolidadofev[[#This Row],[DESPESA VARIÁVEL]])</f>
        <v>0</v>
      </c>
      <c r="L69" s="91">
        <f>SUMIFS(tabela_registros[VALOR],tabela_registros[MÊS],$AE$1,tabela_registros[DIA],fevtotal30[[#Headers],[8]],tabela_registros[REGISTRO],DADOS!$N$4,tabela_registros[TIPO],DADOS!$P$4,tabela_registros[CATEGORIA],despesavariávelconsolidadofev[[#This Row],[DESPESA VARIÁVEL]])</f>
        <v>0</v>
      </c>
      <c r="M69" s="91">
        <f>SUMIFS(tabela_registros[VALOR],tabela_registros[MÊS],$AE$1,tabela_registros[DIA],fevtotal30[[#Headers],[9]],tabela_registros[REGISTRO],DADOS!$N$4,tabela_registros[TIPO],DADOS!$P$4,tabela_registros[CATEGORIA],despesavariávelconsolidadofev[[#This Row],[DESPESA VARIÁVEL]])</f>
        <v>0</v>
      </c>
      <c r="N69" s="91">
        <f>SUMIFS(tabela_registros[VALOR],tabela_registros[MÊS],$AE$1,tabela_registros[DIA],fevtotal30[[#Headers],[10]],tabela_registros[REGISTRO],DADOS!$N$4,tabela_registros[TIPO],DADOS!$P$4,tabela_registros[CATEGORIA],despesavariávelconsolidadofev[[#This Row],[DESPESA VARIÁVEL]])</f>
        <v>0</v>
      </c>
      <c r="O69" s="91">
        <f>SUMIFS(tabela_registros[VALOR],tabela_registros[MÊS],$AE$1,tabela_registros[DIA],fevtotal30[[#Headers],[11]],tabela_registros[REGISTRO],DADOS!$N$4,tabela_registros[TIPO],DADOS!$P$4,tabela_registros[CATEGORIA],despesavariávelconsolidadofev[[#This Row],[DESPESA VARIÁVEL]])</f>
        <v>0</v>
      </c>
      <c r="P69" s="91">
        <f>SUMIFS(tabela_registros[VALOR],tabela_registros[MÊS],$AE$1,tabela_registros[DIA],fevtotal30[[#Headers],[12]],tabela_registros[REGISTRO],DADOS!$N$4,tabela_registros[TIPO],DADOS!$P$4,tabela_registros[CATEGORIA],despesavariávelconsolidadofev[[#This Row],[DESPESA VARIÁVEL]])</f>
        <v>0</v>
      </c>
      <c r="Q69" s="91">
        <f>SUMIFS(tabela_registros[VALOR],tabela_registros[MÊS],$AE$1,tabela_registros[DIA],fevtotal30[[#Headers],[13]],tabela_registros[REGISTRO],DADOS!$N$4,tabela_registros[TIPO],DADOS!$P$4,tabela_registros[CATEGORIA],despesavariávelconsolidadofev[[#This Row],[DESPESA VARIÁVEL]])</f>
        <v>0</v>
      </c>
      <c r="R69" s="91">
        <f>SUMIFS(tabela_registros[VALOR],tabela_registros[MÊS],$AE$1,tabela_registros[DIA],fevtotal30[[#Headers],[14]],tabela_registros[REGISTRO],DADOS!$N$4,tabela_registros[TIPO],DADOS!$P$4,tabela_registros[CATEGORIA],despesavariávelconsolidadofev[[#This Row],[DESPESA VARIÁVEL]])</f>
        <v>0</v>
      </c>
      <c r="S69" s="91">
        <f>SUMIFS(tabela_registros[VALOR],tabela_registros[MÊS],$AE$1,tabela_registros[DIA],fevtotal30[[#Headers],[15]],tabela_registros[REGISTRO],DADOS!$N$4,tabela_registros[TIPO],DADOS!$P$4,tabela_registros[CATEGORIA],despesavariávelconsolidadofev[[#This Row],[DESPESA VARIÁVEL]])</f>
        <v>0</v>
      </c>
      <c r="T69" s="91">
        <f>SUMIFS(tabela_registros[VALOR],tabela_registros[MÊS],$AE$1,tabela_registros[DIA],fevtotal30[[#Headers],[16]],tabela_registros[REGISTRO],DADOS!$N$4,tabela_registros[TIPO],DADOS!$P$4,tabela_registros[CATEGORIA],despesavariávelconsolidadofev[[#This Row],[DESPESA VARIÁVEL]])</f>
        <v>0</v>
      </c>
      <c r="U69" s="91">
        <f>SUMIFS(tabela_registros[VALOR],tabela_registros[MÊS],$AE$1,tabela_registros[DIA],fevtotal30[[#Headers],[17]],tabela_registros[REGISTRO],DADOS!$N$4,tabela_registros[TIPO],DADOS!$P$4,tabela_registros[CATEGORIA],despesavariávelconsolidadofev[[#This Row],[DESPESA VARIÁVEL]])</f>
        <v>0</v>
      </c>
      <c r="V69" s="91">
        <f>SUMIFS(tabela_registros[VALOR],tabela_registros[MÊS],$AE$1,tabela_registros[DIA],fevtotal30[[#Headers],[18]],tabela_registros[REGISTRO],DADOS!$N$4,tabela_registros[TIPO],DADOS!$P$4,tabela_registros[CATEGORIA],despesavariávelconsolidadofev[[#This Row],[DESPESA VARIÁVEL]])</f>
        <v>0</v>
      </c>
      <c r="W69" s="91">
        <f>SUMIFS(tabela_registros[VALOR],tabela_registros[MÊS],$AE$1,tabela_registros[DIA],fevtotal30[[#Headers],[19]],tabela_registros[REGISTRO],DADOS!$N$4,tabela_registros[TIPO],DADOS!$P$4,tabela_registros[CATEGORIA],despesavariávelconsolidadofev[[#This Row],[DESPESA VARIÁVEL]])</f>
        <v>0</v>
      </c>
      <c r="X69" s="91">
        <f>SUMIFS(tabela_registros[VALOR],tabela_registros[MÊS],$AE$1,tabela_registros[DIA],fevtotal30[[#Headers],[20]],tabela_registros[REGISTRO],DADOS!$N$4,tabela_registros[TIPO],DADOS!$P$4,tabela_registros[CATEGORIA],despesavariávelconsolidadofev[[#This Row],[DESPESA VARIÁVEL]])</f>
        <v>0</v>
      </c>
      <c r="Y69" s="91">
        <f>SUMIFS(tabela_registros[VALOR],tabela_registros[MÊS],$AE$1,tabela_registros[DIA],fevtotal30[[#Headers],[21]],tabela_registros[REGISTRO],DADOS!$N$4,tabela_registros[TIPO],DADOS!$P$4,tabela_registros[CATEGORIA],despesavariávelconsolidadofev[[#This Row],[DESPESA VARIÁVEL]])</f>
        <v>0</v>
      </c>
      <c r="Z69" s="91">
        <f>SUMIFS(tabela_registros[VALOR],tabela_registros[MÊS],$AE$1,tabela_registros[DIA],fevtotal30[[#Headers],[22]],tabela_registros[REGISTRO],DADOS!$N$4,tabela_registros[TIPO],DADOS!$P$4,tabela_registros[CATEGORIA],despesavariávelconsolidadofev[[#This Row],[DESPESA VARIÁVEL]])</f>
        <v>0</v>
      </c>
      <c r="AA69" s="91">
        <f>SUMIFS(tabela_registros[VALOR],tabela_registros[MÊS],$AE$1,tabela_registros[DIA],fevtotal30[[#Headers],[23]],tabela_registros[REGISTRO],DADOS!$N$4,tabela_registros[TIPO],DADOS!$P$4,tabela_registros[CATEGORIA],despesavariávelconsolidadofev[[#This Row],[DESPESA VARIÁVEL]])</f>
        <v>0</v>
      </c>
      <c r="AB69" s="91">
        <f>SUMIFS(tabela_registros[VALOR],tabela_registros[MÊS],$AE$1,tabela_registros[DIA],fevtotal30[[#Headers],[24]],tabela_registros[REGISTRO],DADOS!$N$4,tabela_registros[TIPO],DADOS!$P$4,tabela_registros[CATEGORIA],despesavariávelconsolidadofev[[#This Row],[DESPESA VARIÁVEL]])</f>
        <v>0</v>
      </c>
      <c r="AC69" s="91">
        <f>SUMIFS(tabela_registros[VALOR],tabela_registros[MÊS],$AE$1,tabela_registros[DIA],fevtotal30[[#Headers],[25]],tabela_registros[REGISTRO],DADOS!$N$4,tabela_registros[TIPO],DADOS!$P$4,tabela_registros[CATEGORIA],despesavariávelconsolidadofev[[#This Row],[DESPESA VARIÁVEL]])</f>
        <v>0</v>
      </c>
      <c r="AD69" s="91">
        <f>SUMIFS(tabela_registros[VALOR],tabela_registros[MÊS],$AE$1,tabela_registros[DIA],fevtotal30[[#Headers],[26]],tabela_registros[REGISTRO],DADOS!$N$4,tabela_registros[TIPO],DADOS!$P$4,tabela_registros[CATEGORIA],despesavariávelconsolidadofev[[#This Row],[DESPESA VARIÁVEL]])</f>
        <v>0</v>
      </c>
      <c r="AE69" s="91">
        <f>SUMIFS(tabela_registros[VALOR],tabela_registros[MÊS],$AE$1,tabela_registros[DIA],fevtotal30[[#Headers],[27]],tabela_registros[REGISTRO],DADOS!$N$4,tabela_registros[TIPO],DADOS!$P$4,tabela_registros[CATEGORIA],despesavariávelconsolidadofev[[#This Row],[DESPESA VARIÁVEL]])</f>
        <v>0</v>
      </c>
      <c r="AF69" s="91">
        <f>SUMIFS(tabela_registros[VALOR],tabela_registros[MÊS],$AE$1,tabela_registros[DIA],fevtotal30[[#Headers],[28]],tabela_registros[REGISTRO],DADOS!$N$4,tabela_registros[TIPO],DADOS!$P$4,tabela_registros[CATEGORIA],despesavariávelconsolidadofev[[#This Row],[DESPESA VARIÁVEL]])</f>
        <v>0</v>
      </c>
      <c r="AG69" s="91">
        <f>SUMIFS(tabela_registros[VALOR],tabela_registros[MÊS],$AE$1,tabela_registros[DIA],fevtotal30[[#Headers],[29]],tabela_registros[REGISTRO],DADOS!$N$4,tabela_registros[TIPO],DADOS!$P$4,tabela_registros[CATEGORIA],despesavariávelconsolidadofev[[#This Row],[DESPESA VARIÁVEL]])</f>
        <v>0</v>
      </c>
      <c r="AH69" s="91">
        <f>SUMIFS(tabela_registros[VALOR],tabela_registros[MÊS],$AE$1,tabela_registros[DIA],fevtotal30[[#Headers],[30]],tabela_registros[REGISTRO],DADOS!$N$4,tabela_registros[TIPO],DADOS!$P$4,tabela_registros[CATEGORIA],despesavariávelconsolidadofev[[#This Row],[DESPESA VARIÁVEL]])</f>
        <v>0</v>
      </c>
      <c r="AI69" s="101">
        <f>SUMIFS(tabela_registros[VALOR],tabela_registros[MÊS],$AE$1,tabela_registros[DIA],fevtotal30[[#Headers],[31]],tabela_registros[REGISTRO],DADOS!$N$4,tabela_registros[TIPO],DADOS!$P$4,tabela_registros[CATEGORIA],despesavariávelconsolidadofev[[#This Row],[DESPESA VARIÁVEL]])</f>
        <v>0</v>
      </c>
      <c r="AJ69" s="97">
        <f>SUM(despesavariávelconsolidadofev[[#This Row],[1]:[31]])</f>
        <v>0</v>
      </c>
      <c r="AK69" s="28"/>
    </row>
    <row r="70" spans="2:37" ht="18" customHeight="1" thickTop="1" thickBot="1" x14ac:dyDescent="0.3">
      <c r="B70" s="28"/>
      <c r="C70" s="27" t="str">
        <f>DADOS!$T$13</f>
        <v>🚍 TRANSPORTE</v>
      </c>
      <c r="D70" s="26" t="str">
        <f>IF(despesavariávelconsolidadofev[[#This Row],[TOTAL]]=0,"",IF(OR(despesavariávelconsolidadofev[[#This Row],[TOTAL]]=LARGE($AJ$60:$AJ$72,1),despesavariávelconsolidadofev[[#This Row],[TOTAL]]=LARGE($AJ$60:$AJ$72,2),despesavariávelconsolidadofev[[#This Row],[TOTAL]]=LARGE($AJ$60:$AJ$72,3),despesavariávelconsolidadofev[[#This Row],[TOTAL]]=LARGE($AJ$60:$AJ$72,4),despesavariávelconsolidadofev[[#This Row],[TOTAL]]=LARGE($AJ$60:$AJ$72,5)),DADOS!$I$8,""))</f>
        <v/>
      </c>
      <c r="E70" s="96">
        <f>SUMIFS(tabela_registros[VALOR],tabela_registros[MÊS],$AE$1,tabela_registros[DIA],fevtotal30[[#Headers],[1]],tabela_registros[REGISTRO],DADOS!$N$4,tabela_registros[TIPO],DADOS!$P$4,tabela_registros[CATEGORIA],despesavariávelconsolidadofev[[#This Row],[DESPESA VARIÁVEL]])</f>
        <v>0</v>
      </c>
      <c r="F70" s="91">
        <f>SUMIFS(tabela_registros[VALOR],tabela_registros[MÊS],$AE$1,tabela_registros[DIA],fevtotal30[[#Headers],[2]],tabela_registros[REGISTRO],DADOS!$N$4,tabela_registros[TIPO],DADOS!$P$4,tabela_registros[CATEGORIA],despesavariávelconsolidadofev[[#This Row],[DESPESA VARIÁVEL]])</f>
        <v>0</v>
      </c>
      <c r="G70" s="91">
        <f>SUMIFS(tabela_registros[VALOR],tabela_registros[MÊS],$AE$1,tabela_registros[DIA],fevtotal30[[#Headers],[3]],tabela_registros[REGISTRO],DADOS!$N$4,tabela_registros[TIPO],DADOS!$P$4,tabela_registros[CATEGORIA],despesavariávelconsolidadofev[[#This Row],[DESPESA VARIÁVEL]])</f>
        <v>0</v>
      </c>
      <c r="H70" s="91">
        <f>SUMIFS(tabela_registros[VALOR],tabela_registros[MÊS],$AE$1,tabela_registros[DIA],fevtotal30[[#Headers],[4]],tabela_registros[REGISTRO],DADOS!$N$4,tabela_registros[TIPO],DADOS!$P$4,tabela_registros[CATEGORIA],despesavariávelconsolidadofev[[#This Row],[DESPESA VARIÁVEL]])</f>
        <v>0</v>
      </c>
      <c r="I70" s="91">
        <f>SUMIFS(tabela_registros[VALOR],tabela_registros[MÊS],$AE$1,tabela_registros[DIA],fevtotal30[[#Headers],[5]],tabela_registros[REGISTRO],DADOS!$N$4,tabela_registros[TIPO],DADOS!$P$4,tabela_registros[CATEGORIA],despesavariávelconsolidadofev[[#This Row],[DESPESA VARIÁVEL]])</f>
        <v>0</v>
      </c>
      <c r="J70" s="91">
        <f>SUMIFS(tabela_registros[VALOR],tabela_registros[MÊS],$AE$1,tabela_registros[DIA],fevtotal30[[#Headers],[6]],tabela_registros[REGISTRO],DADOS!$N$4,tabela_registros[TIPO],DADOS!$P$4,tabela_registros[CATEGORIA],despesavariávelconsolidadofev[[#This Row],[DESPESA VARIÁVEL]])</f>
        <v>0</v>
      </c>
      <c r="K70" s="91">
        <f>SUMIFS(tabela_registros[VALOR],tabela_registros[MÊS],$AE$1,tabela_registros[DIA],fevtotal30[[#Headers],[7]],tabela_registros[REGISTRO],DADOS!$N$4,tabela_registros[TIPO],DADOS!$P$4,tabela_registros[CATEGORIA],despesavariávelconsolidadofev[[#This Row],[DESPESA VARIÁVEL]])</f>
        <v>0</v>
      </c>
      <c r="L70" s="91">
        <f>SUMIFS(tabela_registros[VALOR],tabela_registros[MÊS],$AE$1,tabela_registros[DIA],fevtotal30[[#Headers],[8]],tabela_registros[REGISTRO],DADOS!$N$4,tabela_registros[TIPO],DADOS!$P$4,tabela_registros[CATEGORIA],despesavariávelconsolidadofev[[#This Row],[DESPESA VARIÁVEL]])</f>
        <v>0</v>
      </c>
      <c r="M70" s="91">
        <f>SUMIFS(tabela_registros[VALOR],tabela_registros[MÊS],$AE$1,tabela_registros[DIA],fevtotal30[[#Headers],[9]],tabela_registros[REGISTRO],DADOS!$N$4,tabela_registros[TIPO],DADOS!$P$4,tabela_registros[CATEGORIA],despesavariávelconsolidadofev[[#This Row],[DESPESA VARIÁVEL]])</f>
        <v>0</v>
      </c>
      <c r="N70" s="91">
        <f>SUMIFS(tabela_registros[VALOR],tabela_registros[MÊS],$AE$1,tabela_registros[DIA],fevtotal30[[#Headers],[10]],tabela_registros[REGISTRO],DADOS!$N$4,tabela_registros[TIPO],DADOS!$P$4,tabela_registros[CATEGORIA],despesavariávelconsolidadofev[[#This Row],[DESPESA VARIÁVEL]])</f>
        <v>0</v>
      </c>
      <c r="O70" s="91">
        <f>SUMIFS(tabela_registros[VALOR],tabela_registros[MÊS],$AE$1,tabela_registros[DIA],fevtotal30[[#Headers],[11]],tabela_registros[REGISTRO],DADOS!$N$4,tabela_registros[TIPO],DADOS!$P$4,tabela_registros[CATEGORIA],despesavariávelconsolidadofev[[#This Row],[DESPESA VARIÁVEL]])</f>
        <v>0</v>
      </c>
      <c r="P70" s="91">
        <f>SUMIFS(tabela_registros[VALOR],tabela_registros[MÊS],$AE$1,tabela_registros[DIA],fevtotal30[[#Headers],[12]],tabela_registros[REGISTRO],DADOS!$N$4,tabela_registros[TIPO],DADOS!$P$4,tabela_registros[CATEGORIA],despesavariávelconsolidadofev[[#This Row],[DESPESA VARIÁVEL]])</f>
        <v>0</v>
      </c>
      <c r="Q70" s="91">
        <f>SUMIFS(tabela_registros[VALOR],tabela_registros[MÊS],$AE$1,tabela_registros[DIA],fevtotal30[[#Headers],[13]],tabela_registros[REGISTRO],DADOS!$N$4,tabela_registros[TIPO],DADOS!$P$4,tabela_registros[CATEGORIA],despesavariávelconsolidadofev[[#This Row],[DESPESA VARIÁVEL]])</f>
        <v>0</v>
      </c>
      <c r="R70" s="91">
        <f>SUMIFS(tabela_registros[VALOR],tabela_registros[MÊS],$AE$1,tabela_registros[DIA],fevtotal30[[#Headers],[14]],tabela_registros[REGISTRO],DADOS!$N$4,tabela_registros[TIPO],DADOS!$P$4,tabela_registros[CATEGORIA],despesavariávelconsolidadofev[[#This Row],[DESPESA VARIÁVEL]])</f>
        <v>0</v>
      </c>
      <c r="S70" s="91">
        <f>SUMIFS(tabela_registros[VALOR],tabela_registros[MÊS],$AE$1,tabela_registros[DIA],fevtotal30[[#Headers],[15]],tabela_registros[REGISTRO],DADOS!$N$4,tabela_registros[TIPO],DADOS!$P$4,tabela_registros[CATEGORIA],despesavariávelconsolidadofev[[#This Row],[DESPESA VARIÁVEL]])</f>
        <v>0</v>
      </c>
      <c r="T70" s="91">
        <f>SUMIFS(tabela_registros[VALOR],tabela_registros[MÊS],$AE$1,tabela_registros[DIA],fevtotal30[[#Headers],[16]],tabela_registros[REGISTRO],DADOS!$N$4,tabela_registros[TIPO],DADOS!$P$4,tabela_registros[CATEGORIA],despesavariávelconsolidadofev[[#This Row],[DESPESA VARIÁVEL]])</f>
        <v>0</v>
      </c>
      <c r="U70" s="91">
        <f>SUMIFS(tabela_registros[VALOR],tabela_registros[MÊS],$AE$1,tabela_registros[DIA],fevtotal30[[#Headers],[17]],tabela_registros[REGISTRO],DADOS!$N$4,tabela_registros[TIPO],DADOS!$P$4,tabela_registros[CATEGORIA],despesavariávelconsolidadofev[[#This Row],[DESPESA VARIÁVEL]])</f>
        <v>0</v>
      </c>
      <c r="V70" s="91">
        <f>SUMIFS(tabela_registros[VALOR],tabela_registros[MÊS],$AE$1,tabela_registros[DIA],fevtotal30[[#Headers],[18]],tabela_registros[REGISTRO],DADOS!$N$4,tabela_registros[TIPO],DADOS!$P$4,tabela_registros[CATEGORIA],despesavariávelconsolidadofev[[#This Row],[DESPESA VARIÁVEL]])</f>
        <v>0</v>
      </c>
      <c r="W70" s="91">
        <f>SUMIFS(tabela_registros[VALOR],tabela_registros[MÊS],$AE$1,tabela_registros[DIA],fevtotal30[[#Headers],[19]],tabela_registros[REGISTRO],DADOS!$N$4,tabela_registros[TIPO],DADOS!$P$4,tabela_registros[CATEGORIA],despesavariávelconsolidadofev[[#This Row],[DESPESA VARIÁVEL]])</f>
        <v>0</v>
      </c>
      <c r="X70" s="91">
        <f>SUMIFS(tabela_registros[VALOR],tabela_registros[MÊS],$AE$1,tabela_registros[DIA],fevtotal30[[#Headers],[20]],tabela_registros[REGISTRO],DADOS!$N$4,tabela_registros[TIPO],DADOS!$P$4,tabela_registros[CATEGORIA],despesavariávelconsolidadofev[[#This Row],[DESPESA VARIÁVEL]])</f>
        <v>0</v>
      </c>
      <c r="Y70" s="91">
        <f>SUMIFS(tabela_registros[VALOR],tabela_registros[MÊS],$AE$1,tabela_registros[DIA],fevtotal30[[#Headers],[21]],tabela_registros[REGISTRO],DADOS!$N$4,tabela_registros[TIPO],DADOS!$P$4,tabela_registros[CATEGORIA],despesavariávelconsolidadofev[[#This Row],[DESPESA VARIÁVEL]])</f>
        <v>0</v>
      </c>
      <c r="Z70" s="91">
        <f>SUMIFS(tabela_registros[VALOR],tabela_registros[MÊS],$AE$1,tabela_registros[DIA],fevtotal30[[#Headers],[22]],tabela_registros[REGISTRO],DADOS!$N$4,tabela_registros[TIPO],DADOS!$P$4,tabela_registros[CATEGORIA],despesavariávelconsolidadofev[[#This Row],[DESPESA VARIÁVEL]])</f>
        <v>0</v>
      </c>
      <c r="AA70" s="91">
        <f>SUMIFS(tabela_registros[VALOR],tabela_registros[MÊS],$AE$1,tabela_registros[DIA],fevtotal30[[#Headers],[23]],tabela_registros[REGISTRO],DADOS!$N$4,tabela_registros[TIPO],DADOS!$P$4,tabela_registros[CATEGORIA],despesavariávelconsolidadofev[[#This Row],[DESPESA VARIÁVEL]])</f>
        <v>0</v>
      </c>
      <c r="AB70" s="91">
        <f>SUMIFS(tabela_registros[VALOR],tabela_registros[MÊS],$AE$1,tabela_registros[DIA],fevtotal30[[#Headers],[24]],tabela_registros[REGISTRO],DADOS!$N$4,tabela_registros[TIPO],DADOS!$P$4,tabela_registros[CATEGORIA],despesavariávelconsolidadofev[[#This Row],[DESPESA VARIÁVEL]])</f>
        <v>0</v>
      </c>
      <c r="AC70" s="91">
        <f>SUMIFS(tabela_registros[VALOR],tabela_registros[MÊS],$AE$1,tabela_registros[DIA],fevtotal30[[#Headers],[25]],tabela_registros[REGISTRO],DADOS!$N$4,tabela_registros[TIPO],DADOS!$P$4,tabela_registros[CATEGORIA],despesavariávelconsolidadofev[[#This Row],[DESPESA VARIÁVEL]])</f>
        <v>0</v>
      </c>
      <c r="AD70" s="91">
        <f>SUMIFS(tabela_registros[VALOR],tabela_registros[MÊS],$AE$1,tabela_registros[DIA],fevtotal30[[#Headers],[26]],tabela_registros[REGISTRO],DADOS!$N$4,tabela_registros[TIPO],DADOS!$P$4,tabela_registros[CATEGORIA],despesavariávelconsolidadofev[[#This Row],[DESPESA VARIÁVEL]])</f>
        <v>0</v>
      </c>
      <c r="AE70" s="91">
        <f>SUMIFS(tabela_registros[VALOR],tabela_registros[MÊS],$AE$1,tabela_registros[DIA],fevtotal30[[#Headers],[27]],tabela_registros[REGISTRO],DADOS!$N$4,tabela_registros[TIPO],DADOS!$P$4,tabela_registros[CATEGORIA],despesavariávelconsolidadofev[[#This Row],[DESPESA VARIÁVEL]])</f>
        <v>0</v>
      </c>
      <c r="AF70" s="91">
        <f>SUMIFS(tabela_registros[VALOR],tabela_registros[MÊS],$AE$1,tabela_registros[DIA],fevtotal30[[#Headers],[28]],tabela_registros[REGISTRO],DADOS!$N$4,tabela_registros[TIPO],DADOS!$P$4,tabela_registros[CATEGORIA],despesavariávelconsolidadofev[[#This Row],[DESPESA VARIÁVEL]])</f>
        <v>0</v>
      </c>
      <c r="AG70" s="91">
        <f>SUMIFS(tabela_registros[VALOR],tabela_registros[MÊS],$AE$1,tabela_registros[DIA],fevtotal30[[#Headers],[29]],tabela_registros[REGISTRO],DADOS!$N$4,tabela_registros[TIPO],DADOS!$P$4,tabela_registros[CATEGORIA],despesavariávelconsolidadofev[[#This Row],[DESPESA VARIÁVEL]])</f>
        <v>0</v>
      </c>
      <c r="AH70" s="91">
        <f>SUMIFS(tabela_registros[VALOR],tabela_registros[MÊS],$AE$1,tabela_registros[DIA],fevtotal30[[#Headers],[30]],tabela_registros[REGISTRO],DADOS!$N$4,tabela_registros[TIPO],DADOS!$P$4,tabela_registros[CATEGORIA],despesavariávelconsolidadofev[[#This Row],[DESPESA VARIÁVEL]])</f>
        <v>0</v>
      </c>
      <c r="AI70" s="101">
        <f>SUMIFS(tabela_registros[VALOR],tabela_registros[MÊS],$AE$1,tabela_registros[DIA],fevtotal30[[#Headers],[31]],tabela_registros[REGISTRO],DADOS!$N$4,tabela_registros[TIPO],DADOS!$P$4,tabela_registros[CATEGORIA],despesavariávelconsolidadofev[[#This Row],[DESPESA VARIÁVEL]])</f>
        <v>0</v>
      </c>
      <c r="AJ70" s="97">
        <f>SUM(despesavariávelconsolidadofev[[#This Row],[1]:[31]])</f>
        <v>0</v>
      </c>
      <c r="AK70" s="28"/>
    </row>
    <row r="71" spans="2:37" ht="18" customHeight="1" thickTop="1" thickBot="1" x14ac:dyDescent="0.3">
      <c r="B71" s="28"/>
      <c r="C71" s="27" t="str">
        <f>DADOS!$T$14</f>
        <v>🛍️ VESTUÁRIO</v>
      </c>
      <c r="D71" s="26" t="str">
        <f>IF(despesavariávelconsolidadofev[[#This Row],[TOTAL]]=0,"",IF(OR(despesavariávelconsolidadofev[[#This Row],[TOTAL]]=LARGE($AJ$60:$AJ$72,1),despesavariávelconsolidadofev[[#This Row],[TOTAL]]=LARGE($AJ$60:$AJ$72,2),despesavariávelconsolidadofev[[#This Row],[TOTAL]]=LARGE($AJ$60:$AJ$72,3),despesavariávelconsolidadofev[[#This Row],[TOTAL]]=LARGE($AJ$60:$AJ$72,4),despesavariávelconsolidadofev[[#This Row],[TOTAL]]=LARGE($AJ$60:$AJ$72,5)),DADOS!$I$8,""))</f>
        <v/>
      </c>
      <c r="E71" s="96">
        <f>SUMIFS(tabela_registros[VALOR],tabela_registros[MÊS],$AE$1,tabela_registros[DIA],fevtotal30[[#Headers],[1]],tabela_registros[REGISTRO],DADOS!$N$4,tabela_registros[TIPO],DADOS!$P$4,tabela_registros[CATEGORIA],despesavariávelconsolidadofev[[#This Row],[DESPESA VARIÁVEL]])</f>
        <v>0</v>
      </c>
      <c r="F71" s="91">
        <f>SUMIFS(tabela_registros[VALOR],tabela_registros[MÊS],$AE$1,tabela_registros[DIA],fevtotal30[[#Headers],[2]],tabela_registros[REGISTRO],DADOS!$N$4,tabela_registros[TIPO],DADOS!$P$4,tabela_registros[CATEGORIA],despesavariávelconsolidadofev[[#This Row],[DESPESA VARIÁVEL]])</f>
        <v>0</v>
      </c>
      <c r="G71" s="91">
        <f>SUMIFS(tabela_registros[VALOR],tabela_registros[MÊS],$AE$1,tabela_registros[DIA],fevtotal30[[#Headers],[3]],tabela_registros[REGISTRO],DADOS!$N$4,tabela_registros[TIPO],DADOS!$P$4,tabela_registros[CATEGORIA],despesavariávelconsolidadofev[[#This Row],[DESPESA VARIÁVEL]])</f>
        <v>0</v>
      </c>
      <c r="H71" s="91">
        <f>SUMIFS(tabela_registros[VALOR],tabela_registros[MÊS],$AE$1,tabela_registros[DIA],fevtotal30[[#Headers],[4]],tabela_registros[REGISTRO],DADOS!$N$4,tabela_registros[TIPO],DADOS!$P$4,tabela_registros[CATEGORIA],despesavariávelconsolidadofev[[#This Row],[DESPESA VARIÁVEL]])</f>
        <v>0</v>
      </c>
      <c r="I71" s="91">
        <f>SUMIFS(tabela_registros[VALOR],tabela_registros[MÊS],$AE$1,tabela_registros[DIA],fevtotal30[[#Headers],[5]],tabela_registros[REGISTRO],DADOS!$N$4,tabela_registros[TIPO],DADOS!$P$4,tabela_registros[CATEGORIA],despesavariávelconsolidadofev[[#This Row],[DESPESA VARIÁVEL]])</f>
        <v>0</v>
      </c>
      <c r="J71" s="91">
        <f>SUMIFS(tabela_registros[VALOR],tabela_registros[MÊS],$AE$1,tabela_registros[DIA],fevtotal30[[#Headers],[6]],tabela_registros[REGISTRO],DADOS!$N$4,tabela_registros[TIPO],DADOS!$P$4,tabela_registros[CATEGORIA],despesavariávelconsolidadofev[[#This Row],[DESPESA VARIÁVEL]])</f>
        <v>0</v>
      </c>
      <c r="K71" s="91">
        <f>SUMIFS(tabela_registros[VALOR],tabela_registros[MÊS],$AE$1,tabela_registros[DIA],fevtotal30[[#Headers],[7]],tabela_registros[REGISTRO],DADOS!$N$4,tabela_registros[TIPO],DADOS!$P$4,tabela_registros[CATEGORIA],despesavariávelconsolidadofev[[#This Row],[DESPESA VARIÁVEL]])</f>
        <v>0</v>
      </c>
      <c r="L71" s="91">
        <f>SUMIFS(tabela_registros[VALOR],tabela_registros[MÊS],$AE$1,tabela_registros[DIA],fevtotal30[[#Headers],[8]],tabela_registros[REGISTRO],DADOS!$N$4,tabela_registros[TIPO],DADOS!$P$4,tabela_registros[CATEGORIA],despesavariávelconsolidadofev[[#This Row],[DESPESA VARIÁVEL]])</f>
        <v>0</v>
      </c>
      <c r="M71" s="91">
        <f>SUMIFS(tabela_registros[VALOR],tabela_registros[MÊS],$AE$1,tabela_registros[DIA],fevtotal30[[#Headers],[9]],tabela_registros[REGISTRO],DADOS!$N$4,tabela_registros[TIPO],DADOS!$P$4,tabela_registros[CATEGORIA],despesavariávelconsolidadofev[[#This Row],[DESPESA VARIÁVEL]])</f>
        <v>0</v>
      </c>
      <c r="N71" s="91">
        <f>SUMIFS(tabela_registros[VALOR],tabela_registros[MÊS],$AE$1,tabela_registros[DIA],fevtotal30[[#Headers],[10]],tabela_registros[REGISTRO],DADOS!$N$4,tabela_registros[TIPO],DADOS!$P$4,tabela_registros[CATEGORIA],despesavariávelconsolidadofev[[#This Row],[DESPESA VARIÁVEL]])</f>
        <v>0</v>
      </c>
      <c r="O71" s="91">
        <f>SUMIFS(tabela_registros[VALOR],tabela_registros[MÊS],$AE$1,tabela_registros[DIA],fevtotal30[[#Headers],[11]],tabela_registros[REGISTRO],DADOS!$N$4,tabela_registros[TIPO],DADOS!$P$4,tabela_registros[CATEGORIA],despesavariávelconsolidadofev[[#This Row],[DESPESA VARIÁVEL]])</f>
        <v>0</v>
      </c>
      <c r="P71" s="91">
        <f>SUMIFS(tabela_registros[VALOR],tabela_registros[MÊS],$AE$1,tabela_registros[DIA],fevtotal30[[#Headers],[12]],tabela_registros[REGISTRO],DADOS!$N$4,tabela_registros[TIPO],DADOS!$P$4,tabela_registros[CATEGORIA],despesavariávelconsolidadofev[[#This Row],[DESPESA VARIÁVEL]])</f>
        <v>0</v>
      </c>
      <c r="Q71" s="91">
        <f>SUMIFS(tabela_registros[VALOR],tabela_registros[MÊS],$AE$1,tabela_registros[DIA],fevtotal30[[#Headers],[13]],tabela_registros[REGISTRO],DADOS!$N$4,tabela_registros[TIPO],DADOS!$P$4,tabela_registros[CATEGORIA],despesavariávelconsolidadofev[[#This Row],[DESPESA VARIÁVEL]])</f>
        <v>0</v>
      </c>
      <c r="R71" s="91">
        <f>SUMIFS(tabela_registros[VALOR],tabela_registros[MÊS],$AE$1,tabela_registros[DIA],fevtotal30[[#Headers],[14]],tabela_registros[REGISTRO],DADOS!$N$4,tabela_registros[TIPO],DADOS!$P$4,tabela_registros[CATEGORIA],despesavariávelconsolidadofev[[#This Row],[DESPESA VARIÁVEL]])</f>
        <v>0</v>
      </c>
      <c r="S71" s="91">
        <f>SUMIFS(tabela_registros[VALOR],tabela_registros[MÊS],$AE$1,tabela_registros[DIA],fevtotal30[[#Headers],[15]],tabela_registros[REGISTRO],DADOS!$N$4,tabela_registros[TIPO],DADOS!$P$4,tabela_registros[CATEGORIA],despesavariávelconsolidadofev[[#This Row],[DESPESA VARIÁVEL]])</f>
        <v>0</v>
      </c>
      <c r="T71" s="91">
        <f>SUMIFS(tabela_registros[VALOR],tabela_registros[MÊS],$AE$1,tabela_registros[DIA],fevtotal30[[#Headers],[16]],tabela_registros[REGISTRO],DADOS!$N$4,tabela_registros[TIPO],DADOS!$P$4,tabela_registros[CATEGORIA],despesavariávelconsolidadofev[[#This Row],[DESPESA VARIÁVEL]])</f>
        <v>0</v>
      </c>
      <c r="U71" s="91">
        <f>SUMIFS(tabela_registros[VALOR],tabela_registros[MÊS],$AE$1,tabela_registros[DIA],fevtotal30[[#Headers],[17]],tabela_registros[REGISTRO],DADOS!$N$4,tabela_registros[TIPO],DADOS!$P$4,tabela_registros[CATEGORIA],despesavariávelconsolidadofev[[#This Row],[DESPESA VARIÁVEL]])</f>
        <v>0</v>
      </c>
      <c r="V71" s="91">
        <f>SUMIFS(tabela_registros[VALOR],tabela_registros[MÊS],$AE$1,tabela_registros[DIA],fevtotal30[[#Headers],[18]],tabela_registros[REGISTRO],DADOS!$N$4,tabela_registros[TIPO],DADOS!$P$4,tabela_registros[CATEGORIA],despesavariávelconsolidadofev[[#This Row],[DESPESA VARIÁVEL]])</f>
        <v>0</v>
      </c>
      <c r="W71" s="91">
        <f>SUMIFS(tabela_registros[VALOR],tabela_registros[MÊS],$AE$1,tabela_registros[DIA],fevtotal30[[#Headers],[19]],tabela_registros[REGISTRO],DADOS!$N$4,tabela_registros[TIPO],DADOS!$P$4,tabela_registros[CATEGORIA],despesavariávelconsolidadofev[[#This Row],[DESPESA VARIÁVEL]])</f>
        <v>0</v>
      </c>
      <c r="X71" s="91">
        <f>SUMIFS(tabela_registros[VALOR],tabela_registros[MÊS],$AE$1,tabela_registros[DIA],fevtotal30[[#Headers],[20]],tabela_registros[REGISTRO],DADOS!$N$4,tabela_registros[TIPO],DADOS!$P$4,tabela_registros[CATEGORIA],despesavariávelconsolidadofev[[#This Row],[DESPESA VARIÁVEL]])</f>
        <v>0</v>
      </c>
      <c r="Y71" s="91">
        <f>SUMIFS(tabela_registros[VALOR],tabela_registros[MÊS],$AE$1,tabela_registros[DIA],fevtotal30[[#Headers],[21]],tabela_registros[REGISTRO],DADOS!$N$4,tabela_registros[TIPO],DADOS!$P$4,tabela_registros[CATEGORIA],despesavariávelconsolidadofev[[#This Row],[DESPESA VARIÁVEL]])</f>
        <v>0</v>
      </c>
      <c r="Z71" s="91">
        <f>SUMIFS(tabela_registros[VALOR],tabela_registros[MÊS],$AE$1,tabela_registros[DIA],fevtotal30[[#Headers],[22]],tabela_registros[REGISTRO],DADOS!$N$4,tabela_registros[TIPO],DADOS!$P$4,tabela_registros[CATEGORIA],despesavariávelconsolidadofev[[#This Row],[DESPESA VARIÁVEL]])</f>
        <v>0</v>
      </c>
      <c r="AA71" s="91">
        <f>SUMIFS(tabela_registros[VALOR],tabela_registros[MÊS],$AE$1,tabela_registros[DIA],fevtotal30[[#Headers],[23]],tabela_registros[REGISTRO],DADOS!$N$4,tabela_registros[TIPO],DADOS!$P$4,tabela_registros[CATEGORIA],despesavariávelconsolidadofev[[#This Row],[DESPESA VARIÁVEL]])</f>
        <v>0</v>
      </c>
      <c r="AB71" s="91">
        <f>SUMIFS(tabela_registros[VALOR],tabela_registros[MÊS],$AE$1,tabela_registros[DIA],fevtotal30[[#Headers],[24]],tabela_registros[REGISTRO],DADOS!$N$4,tabela_registros[TIPO],DADOS!$P$4,tabela_registros[CATEGORIA],despesavariávelconsolidadofev[[#This Row],[DESPESA VARIÁVEL]])</f>
        <v>0</v>
      </c>
      <c r="AC71" s="91">
        <f>SUMIFS(tabela_registros[VALOR],tabela_registros[MÊS],$AE$1,tabela_registros[DIA],fevtotal30[[#Headers],[25]],tabela_registros[REGISTRO],DADOS!$N$4,tabela_registros[TIPO],DADOS!$P$4,tabela_registros[CATEGORIA],despesavariávelconsolidadofev[[#This Row],[DESPESA VARIÁVEL]])</f>
        <v>0</v>
      </c>
      <c r="AD71" s="91">
        <f>SUMIFS(tabela_registros[VALOR],tabela_registros[MÊS],$AE$1,tabela_registros[DIA],fevtotal30[[#Headers],[26]],tabela_registros[REGISTRO],DADOS!$N$4,tabela_registros[TIPO],DADOS!$P$4,tabela_registros[CATEGORIA],despesavariávelconsolidadofev[[#This Row],[DESPESA VARIÁVEL]])</f>
        <v>0</v>
      </c>
      <c r="AE71" s="91">
        <f>SUMIFS(tabela_registros[VALOR],tabela_registros[MÊS],$AE$1,tabela_registros[DIA],fevtotal30[[#Headers],[27]],tabela_registros[REGISTRO],DADOS!$N$4,tabela_registros[TIPO],DADOS!$P$4,tabela_registros[CATEGORIA],despesavariávelconsolidadofev[[#This Row],[DESPESA VARIÁVEL]])</f>
        <v>0</v>
      </c>
      <c r="AF71" s="91">
        <f>SUMIFS(tabela_registros[VALOR],tabela_registros[MÊS],$AE$1,tabela_registros[DIA],fevtotal30[[#Headers],[28]],tabela_registros[REGISTRO],DADOS!$N$4,tabela_registros[TIPO],DADOS!$P$4,tabela_registros[CATEGORIA],despesavariávelconsolidadofev[[#This Row],[DESPESA VARIÁVEL]])</f>
        <v>0</v>
      </c>
      <c r="AG71" s="91">
        <f>SUMIFS(tabela_registros[VALOR],tabela_registros[MÊS],$AE$1,tabela_registros[DIA],fevtotal30[[#Headers],[29]],tabela_registros[REGISTRO],DADOS!$N$4,tabela_registros[TIPO],DADOS!$P$4,tabela_registros[CATEGORIA],despesavariávelconsolidadofev[[#This Row],[DESPESA VARIÁVEL]])</f>
        <v>0</v>
      </c>
      <c r="AH71" s="91">
        <f>SUMIFS(tabela_registros[VALOR],tabela_registros[MÊS],$AE$1,tabela_registros[DIA],fevtotal30[[#Headers],[30]],tabela_registros[REGISTRO],DADOS!$N$4,tabela_registros[TIPO],DADOS!$P$4,tabela_registros[CATEGORIA],despesavariávelconsolidadofev[[#This Row],[DESPESA VARIÁVEL]])</f>
        <v>0</v>
      </c>
      <c r="AI71" s="101">
        <f>SUMIFS(tabela_registros[VALOR],tabela_registros[MÊS],$AE$1,tabela_registros[DIA],fevtotal30[[#Headers],[31]],tabela_registros[REGISTRO],DADOS!$N$4,tabela_registros[TIPO],DADOS!$P$4,tabela_registros[CATEGORIA],despesavariávelconsolidadofev[[#This Row],[DESPESA VARIÁVEL]])</f>
        <v>0</v>
      </c>
      <c r="AJ71" s="97">
        <f>SUM(despesavariávelconsolidadofev[[#This Row],[1]:[31]])</f>
        <v>0</v>
      </c>
      <c r="AK71" s="28"/>
    </row>
    <row r="72" spans="2:37" ht="18" customHeight="1" thickTop="1" thickBot="1" x14ac:dyDescent="0.3">
      <c r="B72" s="28"/>
      <c r="C72" s="27" t="str">
        <f>DADOS!$T$15</f>
        <v>📎 OUTROS</v>
      </c>
      <c r="D72" s="26" t="str">
        <f>IF(despesavariávelconsolidadofev[[#This Row],[TOTAL]]=0,"",IF(OR(despesavariávelconsolidadofev[[#This Row],[TOTAL]]=LARGE($AJ$60:$AJ$72,1),despesavariávelconsolidadofev[[#This Row],[TOTAL]]=LARGE($AJ$60:$AJ$72,2),despesavariávelconsolidadofev[[#This Row],[TOTAL]]=LARGE($AJ$60:$AJ$72,3),despesavariávelconsolidadofev[[#This Row],[TOTAL]]=LARGE($AJ$60:$AJ$72,4),despesavariávelconsolidadofev[[#This Row],[TOTAL]]=LARGE($AJ$60:$AJ$72,5)),DADOS!$I$8,""))</f>
        <v/>
      </c>
      <c r="E72" s="96">
        <f>SUMIFS(tabela_registros[VALOR],tabela_registros[MÊS],$AE$1,tabela_registros[DIA],fevtotal30[[#Headers],[1]],tabela_registros[REGISTRO],DADOS!$N$4,tabela_registros[TIPO],DADOS!$P$4,tabela_registros[CATEGORIA],despesavariávelconsolidadofev[[#This Row],[DESPESA VARIÁVEL]])</f>
        <v>0</v>
      </c>
      <c r="F72" s="91">
        <f>SUMIFS(tabela_registros[VALOR],tabela_registros[MÊS],$AE$1,tabela_registros[DIA],fevtotal30[[#Headers],[2]],tabela_registros[REGISTRO],DADOS!$N$4,tabela_registros[TIPO],DADOS!$P$4,tabela_registros[CATEGORIA],despesavariávelconsolidadofev[[#This Row],[DESPESA VARIÁVEL]])</f>
        <v>0</v>
      </c>
      <c r="G72" s="91">
        <f>SUMIFS(tabela_registros[VALOR],tabela_registros[MÊS],$AE$1,tabela_registros[DIA],fevtotal30[[#Headers],[3]],tabela_registros[REGISTRO],DADOS!$N$4,tabela_registros[TIPO],DADOS!$P$4,tabela_registros[CATEGORIA],despesavariávelconsolidadofev[[#This Row],[DESPESA VARIÁVEL]])</f>
        <v>0</v>
      </c>
      <c r="H72" s="91">
        <f>SUMIFS(tabela_registros[VALOR],tabela_registros[MÊS],$AE$1,tabela_registros[DIA],fevtotal30[[#Headers],[4]],tabela_registros[REGISTRO],DADOS!$N$4,tabela_registros[TIPO],DADOS!$P$4,tabela_registros[CATEGORIA],despesavariávelconsolidadofev[[#This Row],[DESPESA VARIÁVEL]])</f>
        <v>0</v>
      </c>
      <c r="I72" s="91">
        <f>SUMIFS(tabela_registros[VALOR],tabela_registros[MÊS],$AE$1,tabela_registros[DIA],fevtotal30[[#Headers],[5]],tabela_registros[REGISTRO],DADOS!$N$4,tabela_registros[TIPO],DADOS!$P$4,tabela_registros[CATEGORIA],despesavariávelconsolidadofev[[#This Row],[DESPESA VARIÁVEL]])</f>
        <v>0</v>
      </c>
      <c r="J72" s="91">
        <f>SUMIFS(tabela_registros[VALOR],tabela_registros[MÊS],$AE$1,tabela_registros[DIA],fevtotal30[[#Headers],[6]],tabela_registros[REGISTRO],DADOS!$N$4,tabela_registros[TIPO],DADOS!$P$4,tabela_registros[CATEGORIA],despesavariávelconsolidadofev[[#This Row],[DESPESA VARIÁVEL]])</f>
        <v>0</v>
      </c>
      <c r="K72" s="91">
        <f>SUMIFS(tabela_registros[VALOR],tabela_registros[MÊS],$AE$1,tabela_registros[DIA],fevtotal30[[#Headers],[7]],tabela_registros[REGISTRO],DADOS!$N$4,tabela_registros[TIPO],DADOS!$P$4,tabela_registros[CATEGORIA],despesavariávelconsolidadofev[[#This Row],[DESPESA VARIÁVEL]])</f>
        <v>0</v>
      </c>
      <c r="L72" s="91">
        <f>SUMIFS(tabela_registros[VALOR],tabela_registros[MÊS],$AE$1,tabela_registros[DIA],fevtotal30[[#Headers],[8]],tabela_registros[REGISTRO],DADOS!$N$4,tabela_registros[TIPO],DADOS!$P$4,tabela_registros[CATEGORIA],despesavariávelconsolidadofev[[#This Row],[DESPESA VARIÁVEL]])</f>
        <v>0</v>
      </c>
      <c r="M72" s="91">
        <f>SUMIFS(tabela_registros[VALOR],tabela_registros[MÊS],$AE$1,tabela_registros[DIA],fevtotal30[[#Headers],[9]],tabela_registros[REGISTRO],DADOS!$N$4,tabela_registros[TIPO],DADOS!$P$4,tabela_registros[CATEGORIA],despesavariávelconsolidadofev[[#This Row],[DESPESA VARIÁVEL]])</f>
        <v>0</v>
      </c>
      <c r="N72" s="91">
        <f>SUMIFS(tabela_registros[VALOR],tabela_registros[MÊS],$AE$1,tabela_registros[DIA],fevtotal30[[#Headers],[10]],tabela_registros[REGISTRO],DADOS!$N$4,tabela_registros[TIPO],DADOS!$P$4,tabela_registros[CATEGORIA],despesavariávelconsolidadofev[[#This Row],[DESPESA VARIÁVEL]])</f>
        <v>0</v>
      </c>
      <c r="O72" s="91">
        <f>SUMIFS(tabela_registros[VALOR],tabela_registros[MÊS],$AE$1,tabela_registros[DIA],fevtotal30[[#Headers],[11]],tabela_registros[REGISTRO],DADOS!$N$4,tabela_registros[TIPO],DADOS!$P$4,tabela_registros[CATEGORIA],despesavariávelconsolidadofev[[#This Row],[DESPESA VARIÁVEL]])</f>
        <v>0</v>
      </c>
      <c r="P72" s="91">
        <f>SUMIFS(tabela_registros[VALOR],tabela_registros[MÊS],$AE$1,tabela_registros[DIA],fevtotal30[[#Headers],[12]],tabela_registros[REGISTRO],DADOS!$N$4,tabela_registros[TIPO],DADOS!$P$4,tabela_registros[CATEGORIA],despesavariávelconsolidadofev[[#This Row],[DESPESA VARIÁVEL]])</f>
        <v>0</v>
      </c>
      <c r="Q72" s="91">
        <f>SUMIFS(tabela_registros[VALOR],tabela_registros[MÊS],$AE$1,tabela_registros[DIA],fevtotal30[[#Headers],[13]],tabela_registros[REGISTRO],DADOS!$N$4,tabela_registros[TIPO],DADOS!$P$4,tabela_registros[CATEGORIA],despesavariávelconsolidadofev[[#This Row],[DESPESA VARIÁVEL]])</f>
        <v>0</v>
      </c>
      <c r="R72" s="91">
        <f>SUMIFS(tabela_registros[VALOR],tabela_registros[MÊS],$AE$1,tabela_registros[DIA],fevtotal30[[#Headers],[14]],tabela_registros[REGISTRO],DADOS!$N$4,tabela_registros[TIPO],DADOS!$P$4,tabela_registros[CATEGORIA],despesavariávelconsolidadofev[[#This Row],[DESPESA VARIÁVEL]])</f>
        <v>0</v>
      </c>
      <c r="S72" s="91">
        <f>SUMIFS(tabela_registros[VALOR],tabela_registros[MÊS],$AE$1,tabela_registros[DIA],fevtotal30[[#Headers],[15]],tabela_registros[REGISTRO],DADOS!$N$4,tabela_registros[TIPO],DADOS!$P$4,tabela_registros[CATEGORIA],despesavariávelconsolidadofev[[#This Row],[DESPESA VARIÁVEL]])</f>
        <v>0</v>
      </c>
      <c r="T72" s="91">
        <f>SUMIFS(tabela_registros[VALOR],tabela_registros[MÊS],$AE$1,tabela_registros[DIA],fevtotal30[[#Headers],[16]],tabela_registros[REGISTRO],DADOS!$N$4,tabela_registros[TIPO],DADOS!$P$4,tabela_registros[CATEGORIA],despesavariávelconsolidadofev[[#This Row],[DESPESA VARIÁVEL]])</f>
        <v>0</v>
      </c>
      <c r="U72" s="91">
        <f>SUMIFS(tabela_registros[VALOR],tabela_registros[MÊS],$AE$1,tabela_registros[DIA],fevtotal30[[#Headers],[17]],tabela_registros[REGISTRO],DADOS!$N$4,tabela_registros[TIPO],DADOS!$P$4,tabela_registros[CATEGORIA],despesavariávelconsolidadofev[[#This Row],[DESPESA VARIÁVEL]])</f>
        <v>0</v>
      </c>
      <c r="V72" s="91">
        <f>SUMIFS(tabela_registros[VALOR],tabela_registros[MÊS],$AE$1,tabela_registros[DIA],fevtotal30[[#Headers],[18]],tabela_registros[REGISTRO],DADOS!$N$4,tabela_registros[TIPO],DADOS!$P$4,tabela_registros[CATEGORIA],despesavariávelconsolidadofev[[#This Row],[DESPESA VARIÁVEL]])</f>
        <v>0</v>
      </c>
      <c r="W72" s="91">
        <f>SUMIFS(tabela_registros[VALOR],tabela_registros[MÊS],$AE$1,tabela_registros[DIA],fevtotal30[[#Headers],[19]],tabela_registros[REGISTRO],DADOS!$N$4,tabela_registros[TIPO],DADOS!$P$4,tabela_registros[CATEGORIA],despesavariávelconsolidadofev[[#This Row],[DESPESA VARIÁVEL]])</f>
        <v>0</v>
      </c>
      <c r="X72" s="91">
        <f>SUMIFS(tabela_registros[VALOR],tabela_registros[MÊS],$AE$1,tabela_registros[DIA],fevtotal30[[#Headers],[20]],tabela_registros[REGISTRO],DADOS!$N$4,tabela_registros[TIPO],DADOS!$P$4,tabela_registros[CATEGORIA],despesavariávelconsolidadofev[[#This Row],[DESPESA VARIÁVEL]])</f>
        <v>0</v>
      </c>
      <c r="Y72" s="91">
        <f>SUMIFS(tabela_registros[VALOR],tabela_registros[MÊS],$AE$1,tabela_registros[DIA],fevtotal30[[#Headers],[21]],tabela_registros[REGISTRO],DADOS!$N$4,tabela_registros[TIPO],DADOS!$P$4,tabela_registros[CATEGORIA],despesavariávelconsolidadofev[[#This Row],[DESPESA VARIÁVEL]])</f>
        <v>0</v>
      </c>
      <c r="Z72" s="91">
        <f>SUMIFS(tabela_registros[VALOR],tabela_registros[MÊS],$AE$1,tabela_registros[DIA],fevtotal30[[#Headers],[22]],tabela_registros[REGISTRO],DADOS!$N$4,tabela_registros[TIPO],DADOS!$P$4,tabela_registros[CATEGORIA],despesavariávelconsolidadofev[[#This Row],[DESPESA VARIÁVEL]])</f>
        <v>0</v>
      </c>
      <c r="AA72" s="91">
        <f>SUMIFS(tabela_registros[VALOR],tabela_registros[MÊS],$AE$1,tabela_registros[DIA],fevtotal30[[#Headers],[23]],tabela_registros[REGISTRO],DADOS!$N$4,tabela_registros[TIPO],DADOS!$P$4,tabela_registros[CATEGORIA],despesavariávelconsolidadofev[[#This Row],[DESPESA VARIÁVEL]])</f>
        <v>0</v>
      </c>
      <c r="AB72" s="91">
        <f>SUMIFS(tabela_registros[VALOR],tabela_registros[MÊS],$AE$1,tabela_registros[DIA],fevtotal30[[#Headers],[24]],tabela_registros[REGISTRO],DADOS!$N$4,tabela_registros[TIPO],DADOS!$P$4,tabela_registros[CATEGORIA],despesavariávelconsolidadofev[[#This Row],[DESPESA VARIÁVEL]])</f>
        <v>0</v>
      </c>
      <c r="AC72" s="91">
        <f>SUMIFS(tabela_registros[VALOR],tabela_registros[MÊS],$AE$1,tabela_registros[DIA],fevtotal30[[#Headers],[25]],tabela_registros[REGISTRO],DADOS!$N$4,tabela_registros[TIPO],DADOS!$P$4,tabela_registros[CATEGORIA],despesavariávelconsolidadofev[[#This Row],[DESPESA VARIÁVEL]])</f>
        <v>0</v>
      </c>
      <c r="AD72" s="91">
        <f>SUMIFS(tabela_registros[VALOR],tabela_registros[MÊS],$AE$1,tabela_registros[DIA],fevtotal30[[#Headers],[26]],tabela_registros[REGISTRO],DADOS!$N$4,tabela_registros[TIPO],DADOS!$P$4,tabela_registros[CATEGORIA],despesavariávelconsolidadofev[[#This Row],[DESPESA VARIÁVEL]])</f>
        <v>0</v>
      </c>
      <c r="AE72" s="91">
        <f>SUMIFS(tabela_registros[VALOR],tabela_registros[MÊS],$AE$1,tabela_registros[DIA],fevtotal30[[#Headers],[27]],tabela_registros[REGISTRO],DADOS!$N$4,tabela_registros[TIPO],DADOS!$P$4,tabela_registros[CATEGORIA],despesavariávelconsolidadofev[[#This Row],[DESPESA VARIÁVEL]])</f>
        <v>0</v>
      </c>
      <c r="AF72" s="91">
        <f>SUMIFS(tabela_registros[VALOR],tabela_registros[MÊS],$AE$1,tabela_registros[DIA],fevtotal30[[#Headers],[28]],tabela_registros[REGISTRO],DADOS!$N$4,tabela_registros[TIPO],DADOS!$P$4,tabela_registros[CATEGORIA],despesavariávelconsolidadofev[[#This Row],[DESPESA VARIÁVEL]])</f>
        <v>0</v>
      </c>
      <c r="AG72" s="91">
        <f>SUMIFS(tabela_registros[VALOR],tabela_registros[MÊS],$AE$1,tabela_registros[DIA],fevtotal30[[#Headers],[29]],tabela_registros[REGISTRO],DADOS!$N$4,tabela_registros[TIPO],DADOS!$P$4,tabela_registros[CATEGORIA],despesavariávelconsolidadofev[[#This Row],[DESPESA VARIÁVEL]])</f>
        <v>0</v>
      </c>
      <c r="AH72" s="91">
        <f>SUMIFS(tabela_registros[VALOR],tabela_registros[MÊS],$AE$1,tabela_registros[DIA],fevtotal30[[#Headers],[30]],tabela_registros[REGISTRO],DADOS!$N$4,tabela_registros[TIPO],DADOS!$P$4,tabela_registros[CATEGORIA],despesavariávelconsolidadofev[[#This Row],[DESPESA VARIÁVEL]])</f>
        <v>0</v>
      </c>
      <c r="AI72" s="102">
        <f>SUMIFS(tabela_registros[VALOR],tabela_registros[MÊS],$AE$1,tabela_registros[DIA],fevtotal30[[#Headers],[31]],tabela_registros[REGISTRO],DADOS!$N$4,tabela_registros[TIPO],DADOS!$P$4,tabela_registros[CATEGORIA],despesavariávelconsolidadofev[[#This Row],[DESPESA VARIÁVEL]])</f>
        <v>0</v>
      </c>
      <c r="AJ72" s="97">
        <f>SUM(despesavariávelconsolidadofev[[#This Row],[1]:[31]])</f>
        <v>0</v>
      </c>
      <c r="AK72" s="28"/>
    </row>
    <row r="73" spans="2:37" s="16" customFormat="1" ht="21" customHeight="1" thickTop="1" thickBot="1" x14ac:dyDescent="0.35">
      <c r="B73" s="24"/>
      <c r="C73" s="23" t="s">
        <v>19</v>
      </c>
      <c r="D73" s="41" t="str">
        <f>IF(despesavariávelconsolidadofev[[#This Row],[TOTAL]]=0,"",IF(OR(despesavariávelconsolidadofev[[#This Row],[TOTAL]]=SMALL(despesavariávelconsolidadofev[TOTAL],1),despesavariávelconsolidadofev[[#This Row],[TOTAL]]=SMALL(despesavariávelconsolidadofev[TOTAL],2),despesavariávelconsolidadofev[[#This Row],[TOTAL]]=SMALL(despesavariávelconsolidadofev[TOTAL],3),despesavariávelconsolidadofev[[#This Row],[TOTAL]]=SMALL(despesavariávelconsolidadofev[TOTAL],4),despesavariávelconsolidadofev[[#This Row],[TOTAL]]=SMALL(despesavariávelconsolidadofev[TOTAL],5)),DADOS!$I$8,""))</f>
        <v/>
      </c>
      <c r="E73" s="21">
        <f>SUM(E60:E72)</f>
        <v>0</v>
      </c>
      <c r="F73" s="20">
        <f>SUM(F60:F72)+despesavariávelconsolidadofev[[#This Row],[1]]</f>
        <v>0</v>
      </c>
      <c r="G73" s="20">
        <f>SUM(G60:G72)+despesavariávelconsolidadofev[[#This Row],[2]]</f>
        <v>0</v>
      </c>
      <c r="H73" s="20">
        <f>SUM(H60:H72)+despesavariávelconsolidadofev[[#This Row],[3]]</f>
        <v>0</v>
      </c>
      <c r="I73" s="20">
        <f>SUM(I60:I72)+despesavariávelconsolidadofev[[#This Row],[4]]</f>
        <v>0</v>
      </c>
      <c r="J73" s="20">
        <f>SUM(J60:J72)+despesavariávelconsolidadofev[[#This Row],[5]]</f>
        <v>0</v>
      </c>
      <c r="K73" s="20">
        <f>SUM(K60:K72)+despesavariávelconsolidadofev[[#This Row],[6]]</f>
        <v>0</v>
      </c>
      <c r="L73" s="20">
        <f>SUM(L60:L72)+despesavariávelconsolidadofev[[#This Row],[7]]</f>
        <v>0</v>
      </c>
      <c r="M73" s="20">
        <f>SUM(M60:M72)+despesavariávelconsolidadofev[[#This Row],[8]]</f>
        <v>0</v>
      </c>
      <c r="N73" s="20">
        <f>SUM(N60:N72)+despesavariávelconsolidadofev[[#This Row],[9]]</f>
        <v>0</v>
      </c>
      <c r="O73" s="20">
        <f>SUM(O60:O72)+despesavariávelconsolidadofev[[#This Row],[10]]</f>
        <v>0</v>
      </c>
      <c r="P73" s="20">
        <f>SUM(P60:P72)+despesavariávelconsolidadofev[[#This Row],[11]]</f>
        <v>0</v>
      </c>
      <c r="Q73" s="20">
        <f>SUM(Q60:Q72)+despesavariávelconsolidadofev[[#This Row],[12]]</f>
        <v>0</v>
      </c>
      <c r="R73" s="20">
        <f>SUM(R60:R72)+despesavariávelconsolidadofev[[#This Row],[13]]</f>
        <v>0</v>
      </c>
      <c r="S73" s="20">
        <f>SUM(S60:S72)+despesavariávelconsolidadofev[[#This Row],[14]]</f>
        <v>0</v>
      </c>
      <c r="T73" s="20">
        <f>SUM(T60:T72)+despesavariávelconsolidadofev[[#This Row],[15]]</f>
        <v>0</v>
      </c>
      <c r="U73" s="20">
        <f>SUM(U60:U72)+despesavariávelconsolidadofev[[#This Row],[16]]</f>
        <v>0</v>
      </c>
      <c r="V73" s="20">
        <f>SUM(V60:V72)+despesavariávelconsolidadofev[[#This Row],[17]]</f>
        <v>0</v>
      </c>
      <c r="W73" s="20">
        <f>SUM(W60:W72)+despesavariávelconsolidadofev[[#This Row],[18]]</f>
        <v>0</v>
      </c>
      <c r="X73" s="20">
        <f>SUM(X60:X72)+despesavariávelconsolidadofev[[#This Row],[19]]</f>
        <v>0</v>
      </c>
      <c r="Y73" s="20">
        <f>SUM(Y60:Y72)+despesavariávelconsolidadofev[[#This Row],[20]]</f>
        <v>0</v>
      </c>
      <c r="Z73" s="20">
        <f>SUM(Z60:Z72)+despesavariávelconsolidadofev[[#This Row],[21]]</f>
        <v>0</v>
      </c>
      <c r="AA73" s="20">
        <f>SUM(AA60:AA72)+despesavariávelconsolidadofev[[#This Row],[22]]</f>
        <v>0</v>
      </c>
      <c r="AB73" s="20">
        <f>SUM(AB60:AB72)+despesavariávelconsolidadofev[[#This Row],[23]]</f>
        <v>0</v>
      </c>
      <c r="AC73" s="20">
        <f>SUM(AC60:AC72)+despesavariávelconsolidadofev[[#This Row],[24]]</f>
        <v>0</v>
      </c>
      <c r="AD73" s="20">
        <f>SUM(AD60:AD72)+despesavariávelconsolidadofev[[#This Row],[25]]</f>
        <v>0</v>
      </c>
      <c r="AE73" s="20">
        <f>SUM(AE60:AE72)+despesavariávelconsolidadofev[[#This Row],[26]]</f>
        <v>0</v>
      </c>
      <c r="AF73" s="20">
        <f>SUM(AF60:AF72)+despesavariávelconsolidadofev[[#This Row],[27]]</f>
        <v>0</v>
      </c>
      <c r="AG73" s="20">
        <f>SUM(AG60:AG72)+despesavariávelconsolidadofev[[#This Row],[28]]</f>
        <v>0</v>
      </c>
      <c r="AH73" s="20">
        <f>SUM(AH60:AH72)+despesavariávelconsolidadofev[[#This Row],[29]]</f>
        <v>0</v>
      </c>
      <c r="AI73" s="19">
        <f>SUM(AI60:AI72)+despesavariávelconsolidadofev[[#This Row],[30]]</f>
        <v>0</v>
      </c>
      <c r="AJ73" s="18">
        <f>despesavariávelconsolidadofev[[#This Row],[31]]</f>
        <v>0</v>
      </c>
      <c r="AK73" s="17"/>
    </row>
    <row r="74" spans="2:37" ht="6.75" customHeight="1" thickTop="1" thickBot="1" x14ac:dyDescent="0.3">
      <c r="B74" s="15"/>
      <c r="C74" s="40"/>
      <c r="D74" s="39"/>
      <c r="E74" s="39"/>
      <c r="F74" s="39"/>
      <c r="G74" s="39"/>
      <c r="H74" s="39"/>
      <c r="I74" s="39"/>
      <c r="J74" s="39"/>
      <c r="K74" s="39"/>
      <c r="L74" s="39"/>
      <c r="M74" s="39"/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  <c r="AG74" s="39"/>
      <c r="AH74" s="39"/>
      <c r="AI74" s="38"/>
      <c r="AJ74" s="15"/>
      <c r="AK74" s="10"/>
    </row>
    <row r="75" spans="2:37" ht="12.6" thickTop="1" x14ac:dyDescent="0.25">
      <c r="E75" s="37"/>
      <c r="AI75" s="4"/>
    </row>
    <row r="76" spans="2:37" x14ac:dyDescent="0.25">
      <c r="AI76" s="4"/>
    </row>
    <row r="77" spans="2:37" x14ac:dyDescent="0.25">
      <c r="AI77" s="4"/>
    </row>
    <row r="78" spans="2:37" ht="39.75" customHeight="1" x14ac:dyDescent="0.7">
      <c r="C78" s="36"/>
      <c r="E78" s="240"/>
      <c r="F78" s="240"/>
      <c r="G78" s="240"/>
      <c r="H78" s="240"/>
      <c r="I78" s="240"/>
      <c r="J78" s="240"/>
      <c r="K78" s="240"/>
      <c r="L78" s="240"/>
      <c r="M78" s="240"/>
      <c r="N78" s="240"/>
      <c r="O78" s="240"/>
      <c r="P78" s="240"/>
      <c r="Q78" s="240"/>
      <c r="R78" s="240"/>
      <c r="S78" s="240"/>
      <c r="T78" s="240"/>
      <c r="U78" s="240"/>
      <c r="V78" s="240"/>
      <c r="W78" s="240"/>
      <c r="X78" s="240"/>
      <c r="Y78" s="240"/>
      <c r="Z78" s="240"/>
      <c r="AA78" s="240"/>
      <c r="AB78" s="240"/>
      <c r="AC78" s="240"/>
      <c r="AD78" s="240"/>
      <c r="AE78" s="240"/>
      <c r="AF78" s="240"/>
      <c r="AG78" s="240"/>
      <c r="AH78" s="240"/>
      <c r="AI78" s="240"/>
      <c r="AJ78" s="32" t="s">
        <v>19</v>
      </c>
    </row>
    <row r="79" spans="2:37" ht="12.6" thickBot="1" x14ac:dyDescent="0.3">
      <c r="B79" s="35"/>
      <c r="AI79" s="4"/>
      <c r="AJ79" s="34" t="s">
        <v>202</v>
      </c>
    </row>
    <row r="80" spans="2:37" ht="6.75" customHeight="1" thickTop="1" thickBot="1" x14ac:dyDescent="0.3">
      <c r="B80" s="2"/>
      <c r="C80" s="14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I80" s="13"/>
      <c r="AJ80" s="12"/>
      <c r="AK80" s="33"/>
    </row>
    <row r="81" spans="2:37" ht="13.2" hidden="1" thickTop="1" thickBot="1" x14ac:dyDescent="0.3">
      <c r="B81" s="2"/>
      <c r="C81" s="31" t="s">
        <v>199</v>
      </c>
      <c r="D81" s="30" t="s">
        <v>198</v>
      </c>
      <c r="E81" s="30" t="s">
        <v>197</v>
      </c>
      <c r="F81" s="30" t="s">
        <v>196</v>
      </c>
      <c r="G81" s="30" t="s">
        <v>195</v>
      </c>
      <c r="H81" s="30" t="s">
        <v>194</v>
      </c>
      <c r="I81" s="30" t="s">
        <v>193</v>
      </c>
      <c r="J81" s="30" t="s">
        <v>192</v>
      </c>
      <c r="K81" s="30" t="s">
        <v>191</v>
      </c>
      <c r="L81" s="30" t="s">
        <v>190</v>
      </c>
      <c r="M81" s="30" t="s">
        <v>189</v>
      </c>
      <c r="N81" s="30" t="s">
        <v>188</v>
      </c>
      <c r="O81" s="30" t="s">
        <v>187</v>
      </c>
      <c r="P81" s="30" t="s">
        <v>186</v>
      </c>
      <c r="Q81" s="30" t="s">
        <v>185</v>
      </c>
      <c r="R81" s="30" t="s">
        <v>184</v>
      </c>
      <c r="S81" s="30" t="s">
        <v>183</v>
      </c>
      <c r="T81" s="30" t="s">
        <v>182</v>
      </c>
      <c r="U81" s="30" t="s">
        <v>181</v>
      </c>
      <c r="V81" s="30" t="s">
        <v>180</v>
      </c>
      <c r="W81" s="30" t="s">
        <v>179</v>
      </c>
      <c r="X81" s="30" t="s">
        <v>178</v>
      </c>
      <c r="Y81" s="30" t="s">
        <v>177</v>
      </c>
      <c r="Z81" s="30" t="s">
        <v>176</v>
      </c>
      <c r="AA81" s="30" t="s">
        <v>175</v>
      </c>
      <c r="AB81" s="30" t="s">
        <v>174</v>
      </c>
      <c r="AC81" s="30" t="s">
        <v>173</v>
      </c>
      <c r="AD81" s="30" t="s">
        <v>172</v>
      </c>
      <c r="AE81" s="30" t="s">
        <v>171</v>
      </c>
      <c r="AF81" s="30" t="s">
        <v>170</v>
      </c>
      <c r="AG81" s="30" t="s">
        <v>169</v>
      </c>
      <c r="AH81" s="30" t="s">
        <v>168</v>
      </c>
      <c r="AI81" s="30" t="s">
        <v>167</v>
      </c>
      <c r="AJ81" s="29" t="s">
        <v>166</v>
      </c>
      <c r="AK81" s="2"/>
    </row>
    <row r="82" spans="2:37" ht="19.5" customHeight="1" thickTop="1" thickBot="1" x14ac:dyDescent="0.3">
      <c r="B82" s="28"/>
      <c r="C82" s="27" t="str">
        <f>DADOS!$X$3</f>
        <v>💵 ALUGUEL</v>
      </c>
      <c r="D82" s="26" t="str">
        <f>IF(receitasfixasconsolidadofev[[#This Row],[TOTAL (R$)]]=0,"",IF(OR(receitasfixasconsolidadofev[[#This Row],[TOTAL (R$)]]=LARGE($AJ$82:$AJ$86,1),receitasfixasconsolidadofev[[#This Row],[TOTAL (R$)]]=LARGE($AJ$82:$AJ$86,2)),DADOS!$I$9,""))</f>
        <v/>
      </c>
      <c r="E82" s="94">
        <f>SUMIFS(tabela_registros[VALOR],tabela_registros[MÊS],$AE$1,tabela_registros[DIA],receitasfixasconsolidadofev[[#Headers],[1]],tabela_registros[REGISTRO],DADOS!$N$3,tabela_registros[TIPO],DADOS!$V$3,tabela_registros[CATEGORIA],receitasfixasconsolidadofev[[#This Row],[ATUAL]])</f>
        <v>0</v>
      </c>
      <c r="F82" s="88">
        <f>SUMIFS(tabela_registros[VALOR],tabela_registros[MÊS],$AE$1,tabela_registros[DIA],receitasfixasconsolidadofev[[#Headers],[2]],tabela_registros[REGISTRO],DADOS!$N$3,tabela_registros[TIPO],DADOS!$V$3,tabela_registros[CATEGORIA],receitasfixasconsolidadofev[[#This Row],[ATUAL]])</f>
        <v>0</v>
      </c>
      <c r="G82" s="88">
        <f>SUMIFS(tabela_registros[VALOR],tabela_registros[MÊS],$AE$1,tabela_registros[DIA],receitasfixasconsolidadofev[[#Headers],[3]],tabela_registros[REGISTRO],DADOS!$N$3,tabela_registros[TIPO],DADOS!$V$3,tabela_registros[CATEGORIA],receitasfixasconsolidadofev[[#This Row],[ATUAL]])</f>
        <v>0</v>
      </c>
      <c r="H82" s="88">
        <f>SUMIFS(tabela_registros[VALOR],tabela_registros[MÊS],$AE$1,tabela_registros[DIA],receitasfixasconsolidadofev[[#Headers],[4]],tabela_registros[REGISTRO],DADOS!$N$3,tabela_registros[TIPO],DADOS!$V$3,tabela_registros[CATEGORIA],receitasfixasconsolidadofev[[#This Row],[ATUAL]])</f>
        <v>0</v>
      </c>
      <c r="I82" s="88">
        <f>SUMIFS(tabela_registros[VALOR],tabela_registros[MÊS],$AE$1,tabela_registros[DIA],receitasfixasconsolidadofev[[#Headers],[5]],tabela_registros[REGISTRO],DADOS!$N$3,tabela_registros[TIPO],DADOS!$V$3,tabela_registros[CATEGORIA],receitasfixasconsolidadofev[[#This Row],[ATUAL]])</f>
        <v>0</v>
      </c>
      <c r="J82" s="88">
        <f>SUMIFS(tabela_registros[VALOR],tabela_registros[MÊS],$AE$1,tabela_registros[DIA],receitasfixasconsolidadofev[[#Headers],[6]],tabela_registros[REGISTRO],DADOS!$N$3,tabela_registros[TIPO],DADOS!$V$3,tabela_registros[CATEGORIA],receitasfixasconsolidadofev[[#This Row],[ATUAL]])</f>
        <v>0</v>
      </c>
      <c r="K82" s="88">
        <f>SUMIFS(tabela_registros[VALOR],tabela_registros[MÊS],$AE$1,tabela_registros[DIA],receitasfixasconsolidadofev[[#Headers],[7]],tabela_registros[REGISTRO],DADOS!$N$3,tabela_registros[TIPO],DADOS!$V$3,tabela_registros[CATEGORIA],receitasfixasconsolidadofev[[#This Row],[ATUAL]])</f>
        <v>0</v>
      </c>
      <c r="L82" s="88">
        <f>SUMIFS(tabela_registros[VALOR],tabela_registros[MÊS],$AE$1,tabela_registros[DIA],receitasfixasconsolidadofev[[#Headers],[8]],tabela_registros[REGISTRO],DADOS!$N$3,tabela_registros[TIPO],DADOS!$V$3,tabela_registros[CATEGORIA],receitasfixasconsolidadofev[[#This Row],[ATUAL]])</f>
        <v>0</v>
      </c>
      <c r="M82" s="88">
        <f>SUMIFS(tabela_registros[VALOR],tabela_registros[MÊS],$AE$1,tabela_registros[DIA],receitasfixasconsolidadofev[[#Headers],[9]],tabela_registros[REGISTRO],DADOS!$N$3,tabela_registros[TIPO],DADOS!$V$3,tabela_registros[CATEGORIA],receitasfixasconsolidadofev[[#This Row],[ATUAL]])</f>
        <v>0</v>
      </c>
      <c r="N82" s="88">
        <f>SUMIFS(tabela_registros[VALOR],tabela_registros[MÊS],$AE$1,tabela_registros[DIA],receitasfixasconsolidadofev[[#Headers],[10]],tabela_registros[REGISTRO],DADOS!$N$3,tabela_registros[TIPO],DADOS!$V$3,tabela_registros[CATEGORIA],receitasfixasconsolidadofev[[#This Row],[ATUAL]])</f>
        <v>0</v>
      </c>
      <c r="O82" s="88">
        <f>SUMIFS(tabela_registros[VALOR],tabela_registros[MÊS],$AE$1,tabela_registros[DIA],receitasfixasconsolidadofev[[#Headers],[11]],tabela_registros[REGISTRO],DADOS!$N$3,tabela_registros[TIPO],DADOS!$V$3,tabela_registros[CATEGORIA],receitasfixasconsolidadofev[[#This Row],[ATUAL]])</f>
        <v>0</v>
      </c>
      <c r="P82" s="88">
        <f>SUMIFS(tabela_registros[VALOR],tabela_registros[MÊS],$AE$1,tabela_registros[DIA],receitasfixasconsolidadofev[[#Headers],[12]],tabela_registros[REGISTRO],DADOS!$N$3,tabela_registros[TIPO],DADOS!$V$3,tabela_registros[CATEGORIA],receitasfixasconsolidadofev[[#This Row],[ATUAL]])</f>
        <v>0</v>
      </c>
      <c r="Q82" s="88">
        <f>SUMIFS(tabela_registros[VALOR],tabela_registros[MÊS],$AE$1,tabela_registros[DIA],receitasfixasconsolidadofev[[#Headers],[13]],tabela_registros[REGISTRO],DADOS!$N$3,tabela_registros[TIPO],DADOS!$V$3,tabela_registros[CATEGORIA],receitasfixasconsolidadofev[[#This Row],[ATUAL]])</f>
        <v>0</v>
      </c>
      <c r="R82" s="88">
        <f>SUMIFS(tabela_registros[VALOR],tabela_registros[MÊS],$AE$1,tabela_registros[DIA],receitasfixasconsolidadofev[[#Headers],[14]],tabela_registros[REGISTRO],DADOS!$N$3,tabela_registros[TIPO],DADOS!$V$3,tabela_registros[CATEGORIA],receitasfixasconsolidadofev[[#This Row],[ATUAL]])</f>
        <v>0</v>
      </c>
      <c r="S82" s="88">
        <f>SUMIFS(tabela_registros[VALOR],tabela_registros[MÊS],$AE$1,tabela_registros[DIA],receitasfixasconsolidadofev[[#Headers],[15]],tabela_registros[REGISTRO],DADOS!$N$3,tabela_registros[TIPO],DADOS!$V$3,tabela_registros[CATEGORIA],receitasfixasconsolidadofev[[#This Row],[ATUAL]])</f>
        <v>0</v>
      </c>
      <c r="T82" s="88">
        <f>SUMIFS(tabela_registros[VALOR],tabela_registros[MÊS],$AE$1,tabela_registros[DIA],receitasfixasconsolidadofev[[#Headers],[16]],tabela_registros[REGISTRO],DADOS!$N$3,tabela_registros[TIPO],DADOS!$V$3,tabela_registros[CATEGORIA],receitasfixasconsolidadofev[[#This Row],[ATUAL]])</f>
        <v>0</v>
      </c>
      <c r="U82" s="88">
        <f>SUMIFS(tabela_registros[VALOR],tabela_registros[MÊS],$AE$1,tabela_registros[DIA],receitasfixasconsolidadofev[[#Headers],[17]],tabela_registros[REGISTRO],DADOS!$N$3,tabela_registros[TIPO],DADOS!$V$3,tabela_registros[CATEGORIA],receitasfixasconsolidadofev[[#This Row],[ATUAL]])</f>
        <v>0</v>
      </c>
      <c r="V82" s="88">
        <f>SUMIFS(tabela_registros[VALOR],tabela_registros[MÊS],$AE$1,tabela_registros[DIA],receitasfixasconsolidadofev[[#Headers],[18]],tabela_registros[REGISTRO],DADOS!$N$3,tabela_registros[TIPO],DADOS!$V$3,tabela_registros[CATEGORIA],receitasfixasconsolidadofev[[#This Row],[ATUAL]])</f>
        <v>0</v>
      </c>
      <c r="W82" s="88">
        <f>SUMIFS(tabela_registros[VALOR],tabela_registros[MÊS],$AE$1,tabela_registros[DIA],receitasfixasconsolidadofev[[#Headers],[19]],tabela_registros[REGISTRO],DADOS!$N$3,tabela_registros[TIPO],DADOS!$V$3,tabela_registros[CATEGORIA],receitasfixasconsolidadofev[[#This Row],[ATUAL]])</f>
        <v>0</v>
      </c>
      <c r="X82" s="88">
        <f>SUMIFS(tabela_registros[VALOR],tabela_registros[MÊS],$AE$1,tabela_registros[DIA],receitasfixasconsolidadofev[[#Headers],[20]],tabela_registros[REGISTRO],DADOS!$N$3,tabela_registros[TIPO],DADOS!$V$3,tabela_registros[CATEGORIA],receitasfixasconsolidadofev[[#This Row],[ATUAL]])</f>
        <v>0</v>
      </c>
      <c r="Y82" s="88">
        <f>SUMIFS(tabela_registros[VALOR],tabela_registros[MÊS],$AE$1,tabela_registros[DIA],receitasfixasconsolidadofev[[#Headers],[21]],tabela_registros[REGISTRO],DADOS!$N$3,tabela_registros[TIPO],DADOS!$V$3,tabela_registros[CATEGORIA],receitasfixasconsolidadofev[[#This Row],[ATUAL]])</f>
        <v>0</v>
      </c>
      <c r="Z82" s="88">
        <f>SUMIFS(tabela_registros[VALOR],tabela_registros[MÊS],$AE$1,tabela_registros[DIA],receitasfixasconsolidadofev[[#Headers],[22]],tabela_registros[REGISTRO],DADOS!$N$3,tabela_registros[TIPO],DADOS!$V$3,tabela_registros[CATEGORIA],receitasfixasconsolidadofev[[#This Row],[ATUAL]])</f>
        <v>0</v>
      </c>
      <c r="AA82" s="88">
        <f>SUMIFS(tabela_registros[VALOR],tabela_registros[MÊS],$AE$1,tabela_registros[DIA],receitasfixasconsolidadofev[[#Headers],[23]],tabela_registros[REGISTRO],DADOS!$N$3,tabela_registros[TIPO],DADOS!$V$3,tabela_registros[CATEGORIA],receitasfixasconsolidadofev[[#This Row],[ATUAL]])</f>
        <v>0</v>
      </c>
      <c r="AB82" s="88">
        <f>SUMIFS(tabela_registros[VALOR],tabela_registros[MÊS],$AE$1,tabela_registros[DIA],receitasfixasconsolidadofev[[#Headers],[24]],tabela_registros[REGISTRO],DADOS!$N$3,tabela_registros[TIPO],DADOS!$V$3,tabela_registros[CATEGORIA],receitasfixasconsolidadofev[[#This Row],[ATUAL]])</f>
        <v>0</v>
      </c>
      <c r="AC82" s="88">
        <f>SUMIFS(tabela_registros[VALOR],tabela_registros[MÊS],$AE$1,tabela_registros[DIA],receitasfixasconsolidadofev[[#Headers],[25]],tabela_registros[REGISTRO],DADOS!$N$3,tabela_registros[TIPO],DADOS!$V$3,tabela_registros[CATEGORIA],receitasfixasconsolidadofev[[#This Row],[ATUAL]])</f>
        <v>0</v>
      </c>
      <c r="AD82" s="88">
        <f>SUMIFS(tabela_registros[VALOR],tabela_registros[MÊS],$AE$1,tabela_registros[DIA],receitasfixasconsolidadofev[[#Headers],[26]],tabela_registros[REGISTRO],DADOS!$N$3,tabela_registros[TIPO],DADOS!$V$3,tabela_registros[CATEGORIA],receitasfixasconsolidadofev[[#This Row],[ATUAL]])</f>
        <v>0</v>
      </c>
      <c r="AE82" s="88">
        <f>SUMIFS(tabela_registros[VALOR],tabela_registros[MÊS],$AE$1,tabela_registros[DIA],receitasfixasconsolidadofev[[#Headers],[27]],tabela_registros[REGISTRO],DADOS!$N$3,tabela_registros[TIPO],DADOS!$V$3,tabela_registros[CATEGORIA],receitasfixasconsolidadofev[[#This Row],[ATUAL]])</f>
        <v>0</v>
      </c>
      <c r="AF82" s="88">
        <f>SUMIFS(tabela_registros[VALOR],tabela_registros[MÊS],$AE$1,tabela_registros[DIA],receitasfixasconsolidadofev[[#Headers],[28]],tabela_registros[REGISTRO],DADOS!$N$3,tabela_registros[TIPO],DADOS!$V$3,tabela_registros[CATEGORIA],receitasfixasconsolidadofev[[#This Row],[ATUAL]])</f>
        <v>0</v>
      </c>
      <c r="AG82" s="88">
        <f>SUMIFS(tabela_registros[VALOR],tabela_registros[MÊS],$AE$1,tabela_registros[DIA],receitasfixasconsolidadofev[[#Headers],[29]],tabela_registros[REGISTRO],DADOS!$N$3,tabela_registros[TIPO],DADOS!$V$3,tabela_registros[CATEGORIA],receitasfixasconsolidadofev[[#This Row],[ATUAL]])</f>
        <v>0</v>
      </c>
      <c r="AH82" s="88">
        <f>SUMIFS(tabela_registros[VALOR],tabela_registros[MÊS],$AE$1,tabela_registros[DIA],receitasfixasconsolidadofev[[#Headers],[30]],tabela_registros[REGISTRO],DADOS!$N$3,tabela_registros[TIPO],DADOS!$V$3,tabela_registros[CATEGORIA],receitasfixasconsolidadofev[[#This Row],[ATUAL]])</f>
        <v>0</v>
      </c>
      <c r="AI82" s="100">
        <f>SUMIFS(tabela_registros[VALOR],tabela_registros[MÊS],$AE$1,tabela_registros[DIA],receitasfixasconsolidadofev[[#Headers],[31]],tabela_registros[REGISTRO],DADOS!$N$3,tabela_registros[TIPO],DADOS!$V$3,tabela_registros[CATEGORIA],receitasfixasconsolidadofev[[#This Row],[ATUAL]])</f>
        <v>0</v>
      </c>
      <c r="AJ82" s="97">
        <f>SUM(receitasfixasconsolidadofev[[#This Row],[1]:[31]])</f>
        <v>0</v>
      </c>
      <c r="AK82" s="25"/>
    </row>
    <row r="83" spans="2:37" ht="19.5" customHeight="1" thickTop="1" thickBot="1" x14ac:dyDescent="0.3">
      <c r="B83" s="28"/>
      <c r="C83" s="27" t="str">
        <f>DADOS!$X$4</f>
        <v>💸APOSENTADORIA</v>
      </c>
      <c r="D83" s="26" t="str">
        <f>IF(receitasfixasconsolidadofev[[#This Row],[TOTAL (R$)]]=0,"",IF(OR(receitasfixasconsolidadofev[[#This Row],[TOTAL (R$)]]=LARGE($AJ$82:$AJ$86,1),receitasfixasconsolidadofev[[#This Row],[TOTAL (R$)]]=LARGE($AJ$82:$AJ$86,2)),DADOS!$I$9,""))</f>
        <v/>
      </c>
      <c r="E83" s="96">
        <f>SUMIFS(tabela_registros[VALOR],tabela_registros[MÊS],$AE$1,tabela_registros[DIA],receitasfixasconsolidadofev[[#Headers],[1]],tabela_registros[REGISTRO],DADOS!$N$3,tabela_registros[TIPO],DADOS!$V$3,tabela_registros[CATEGORIA],receitasfixasconsolidadofev[[#This Row],[ATUAL]])</f>
        <v>0</v>
      </c>
      <c r="F83" s="91">
        <f>SUMIFS(tabela_registros[VALOR],tabela_registros[MÊS],$AE$1,tabela_registros[DIA],receitasfixasconsolidadofev[[#Headers],[2]],tabela_registros[REGISTRO],DADOS!$N$3,tabela_registros[TIPO],DADOS!$V$3,tabela_registros[CATEGORIA],receitasfixasconsolidadofev[[#This Row],[ATUAL]])</f>
        <v>0</v>
      </c>
      <c r="G83" s="91">
        <f>SUMIFS(tabela_registros[VALOR],tabela_registros[MÊS],$AE$1,tabela_registros[DIA],receitasfixasconsolidadofev[[#Headers],[3]],tabela_registros[REGISTRO],DADOS!$N$3,tabela_registros[TIPO],DADOS!$V$3,tabela_registros[CATEGORIA],receitasfixasconsolidadofev[[#This Row],[ATUAL]])</f>
        <v>0</v>
      </c>
      <c r="H83" s="91">
        <f>SUMIFS(tabela_registros[VALOR],tabela_registros[MÊS],$AE$1,tabela_registros[DIA],receitasfixasconsolidadofev[[#Headers],[4]],tabela_registros[REGISTRO],DADOS!$N$3,tabela_registros[TIPO],DADOS!$V$3,tabela_registros[CATEGORIA],receitasfixasconsolidadofev[[#This Row],[ATUAL]])</f>
        <v>0</v>
      </c>
      <c r="I83" s="91">
        <f>SUMIFS(tabela_registros[VALOR],tabela_registros[MÊS],$AE$1,tabela_registros[DIA],receitasfixasconsolidadofev[[#Headers],[5]],tabela_registros[REGISTRO],DADOS!$N$3,tabela_registros[TIPO],DADOS!$V$3,tabela_registros[CATEGORIA],receitasfixasconsolidadofev[[#This Row],[ATUAL]])</f>
        <v>0</v>
      </c>
      <c r="J83" s="91">
        <f>SUMIFS(tabela_registros[VALOR],tabela_registros[MÊS],$AE$1,tabela_registros[DIA],receitasfixasconsolidadofev[[#Headers],[6]],tabela_registros[REGISTRO],DADOS!$N$3,tabela_registros[TIPO],DADOS!$V$3,tabela_registros[CATEGORIA],receitasfixasconsolidadofev[[#This Row],[ATUAL]])</f>
        <v>0</v>
      </c>
      <c r="K83" s="91">
        <f>SUMIFS(tabela_registros[VALOR],tabela_registros[MÊS],$AE$1,tabela_registros[DIA],receitasfixasconsolidadofev[[#Headers],[7]],tabela_registros[REGISTRO],DADOS!$N$3,tabela_registros[TIPO],DADOS!$V$3,tabela_registros[CATEGORIA],receitasfixasconsolidadofev[[#This Row],[ATUAL]])</f>
        <v>0</v>
      </c>
      <c r="L83" s="91">
        <f>SUMIFS(tabela_registros[VALOR],tabela_registros[MÊS],$AE$1,tabela_registros[DIA],receitasfixasconsolidadofev[[#Headers],[8]],tabela_registros[REGISTRO],DADOS!$N$3,tabela_registros[TIPO],DADOS!$V$3,tabela_registros[CATEGORIA],receitasfixasconsolidadofev[[#This Row],[ATUAL]])</f>
        <v>0</v>
      </c>
      <c r="M83" s="91">
        <f>SUMIFS(tabela_registros[VALOR],tabela_registros[MÊS],$AE$1,tabela_registros[DIA],receitasfixasconsolidadofev[[#Headers],[9]],tabela_registros[REGISTRO],DADOS!$N$3,tabela_registros[TIPO],DADOS!$V$3,tabela_registros[CATEGORIA],receitasfixasconsolidadofev[[#This Row],[ATUAL]])</f>
        <v>0</v>
      </c>
      <c r="N83" s="91">
        <f>SUMIFS(tabela_registros[VALOR],tabela_registros[MÊS],$AE$1,tabela_registros[DIA],receitasfixasconsolidadofev[[#Headers],[10]],tabela_registros[REGISTRO],DADOS!$N$3,tabela_registros[TIPO],DADOS!$V$3,tabela_registros[CATEGORIA],receitasfixasconsolidadofev[[#This Row],[ATUAL]])</f>
        <v>0</v>
      </c>
      <c r="O83" s="91">
        <f>SUMIFS(tabela_registros[VALOR],tabela_registros[MÊS],$AE$1,tabela_registros[DIA],receitasfixasconsolidadofev[[#Headers],[11]],tabela_registros[REGISTRO],DADOS!$N$3,tabela_registros[TIPO],DADOS!$V$3,tabela_registros[CATEGORIA],receitasfixasconsolidadofev[[#This Row],[ATUAL]])</f>
        <v>0</v>
      </c>
      <c r="P83" s="91">
        <f>SUMIFS(tabela_registros[VALOR],tabela_registros[MÊS],$AE$1,tabela_registros[DIA],receitasfixasconsolidadofev[[#Headers],[12]],tabela_registros[REGISTRO],DADOS!$N$3,tabela_registros[TIPO],DADOS!$V$3,tabela_registros[CATEGORIA],receitasfixasconsolidadofev[[#This Row],[ATUAL]])</f>
        <v>0</v>
      </c>
      <c r="Q83" s="91">
        <f>SUMIFS(tabela_registros[VALOR],tabela_registros[MÊS],$AE$1,tabela_registros[DIA],receitasfixasconsolidadofev[[#Headers],[13]],tabela_registros[REGISTRO],DADOS!$N$3,tabela_registros[TIPO],DADOS!$V$3,tabela_registros[CATEGORIA],receitasfixasconsolidadofev[[#This Row],[ATUAL]])</f>
        <v>0</v>
      </c>
      <c r="R83" s="91">
        <f>SUMIFS(tabela_registros[VALOR],tabela_registros[MÊS],$AE$1,tabela_registros[DIA],receitasfixasconsolidadofev[[#Headers],[14]],tabela_registros[REGISTRO],DADOS!$N$3,tabela_registros[TIPO],DADOS!$V$3,tabela_registros[CATEGORIA],receitasfixasconsolidadofev[[#This Row],[ATUAL]])</f>
        <v>0</v>
      </c>
      <c r="S83" s="91">
        <f>SUMIFS(tabela_registros[VALOR],tabela_registros[MÊS],$AE$1,tabela_registros[DIA],receitasfixasconsolidadofev[[#Headers],[15]],tabela_registros[REGISTRO],DADOS!$N$3,tabela_registros[TIPO],DADOS!$V$3,tabela_registros[CATEGORIA],receitasfixasconsolidadofev[[#This Row],[ATUAL]])</f>
        <v>0</v>
      </c>
      <c r="T83" s="91">
        <f>SUMIFS(tabela_registros[VALOR],tabela_registros[MÊS],$AE$1,tabela_registros[DIA],receitasfixasconsolidadofev[[#Headers],[16]],tabela_registros[REGISTRO],DADOS!$N$3,tabela_registros[TIPO],DADOS!$V$3,tabela_registros[CATEGORIA],receitasfixasconsolidadofev[[#This Row],[ATUAL]])</f>
        <v>0</v>
      </c>
      <c r="U83" s="91">
        <f>SUMIFS(tabela_registros[VALOR],tabela_registros[MÊS],$AE$1,tabela_registros[DIA],receitasfixasconsolidadofev[[#Headers],[17]],tabela_registros[REGISTRO],DADOS!$N$3,tabela_registros[TIPO],DADOS!$V$3,tabela_registros[CATEGORIA],receitasfixasconsolidadofev[[#This Row],[ATUAL]])</f>
        <v>0</v>
      </c>
      <c r="V83" s="91">
        <f>SUMIFS(tabela_registros[VALOR],tabela_registros[MÊS],$AE$1,tabela_registros[DIA],receitasfixasconsolidadofev[[#Headers],[18]],tabela_registros[REGISTRO],DADOS!$N$3,tabela_registros[TIPO],DADOS!$V$3,tabela_registros[CATEGORIA],receitasfixasconsolidadofev[[#This Row],[ATUAL]])</f>
        <v>0</v>
      </c>
      <c r="W83" s="91">
        <f>SUMIFS(tabela_registros[VALOR],tabela_registros[MÊS],$AE$1,tabela_registros[DIA],receitasfixasconsolidadofev[[#Headers],[19]],tabela_registros[REGISTRO],DADOS!$N$3,tabela_registros[TIPO],DADOS!$V$3,tabela_registros[CATEGORIA],receitasfixasconsolidadofev[[#This Row],[ATUAL]])</f>
        <v>0</v>
      </c>
      <c r="X83" s="91">
        <f>SUMIFS(tabela_registros[VALOR],tabela_registros[MÊS],$AE$1,tabela_registros[DIA],receitasfixasconsolidadofev[[#Headers],[20]],tabela_registros[REGISTRO],DADOS!$N$3,tabela_registros[TIPO],DADOS!$V$3,tabela_registros[CATEGORIA],receitasfixasconsolidadofev[[#This Row],[ATUAL]])</f>
        <v>0</v>
      </c>
      <c r="Y83" s="91">
        <f>SUMIFS(tabela_registros[VALOR],tabela_registros[MÊS],$AE$1,tabela_registros[DIA],receitasfixasconsolidadofev[[#Headers],[21]],tabela_registros[REGISTRO],DADOS!$N$3,tabela_registros[TIPO],DADOS!$V$3,tabela_registros[CATEGORIA],receitasfixasconsolidadofev[[#This Row],[ATUAL]])</f>
        <v>0</v>
      </c>
      <c r="Z83" s="91">
        <f>SUMIFS(tabela_registros[VALOR],tabela_registros[MÊS],$AE$1,tabela_registros[DIA],receitasfixasconsolidadofev[[#Headers],[22]],tabela_registros[REGISTRO],DADOS!$N$3,tabela_registros[TIPO],DADOS!$V$3,tabela_registros[CATEGORIA],receitasfixasconsolidadofev[[#This Row],[ATUAL]])</f>
        <v>0</v>
      </c>
      <c r="AA83" s="91">
        <f>SUMIFS(tabela_registros[VALOR],tabela_registros[MÊS],$AE$1,tabela_registros[DIA],receitasfixasconsolidadofev[[#Headers],[23]],tabela_registros[REGISTRO],DADOS!$N$3,tabela_registros[TIPO],DADOS!$V$3,tabela_registros[CATEGORIA],receitasfixasconsolidadofev[[#This Row],[ATUAL]])</f>
        <v>0</v>
      </c>
      <c r="AB83" s="91">
        <f>SUMIFS(tabela_registros[VALOR],tabela_registros[MÊS],$AE$1,tabela_registros[DIA],receitasfixasconsolidadofev[[#Headers],[24]],tabela_registros[REGISTRO],DADOS!$N$3,tabela_registros[TIPO],DADOS!$V$3,tabela_registros[CATEGORIA],receitasfixasconsolidadofev[[#This Row],[ATUAL]])</f>
        <v>0</v>
      </c>
      <c r="AC83" s="91">
        <f>SUMIFS(tabela_registros[VALOR],tabela_registros[MÊS],$AE$1,tabela_registros[DIA],receitasfixasconsolidadofev[[#Headers],[25]],tabela_registros[REGISTRO],DADOS!$N$3,tabela_registros[TIPO],DADOS!$V$3,tabela_registros[CATEGORIA],receitasfixasconsolidadofev[[#This Row],[ATUAL]])</f>
        <v>0</v>
      </c>
      <c r="AD83" s="91">
        <f>SUMIFS(tabela_registros[VALOR],tabela_registros[MÊS],$AE$1,tabela_registros[DIA],receitasfixasconsolidadofev[[#Headers],[26]],tabela_registros[REGISTRO],DADOS!$N$3,tabela_registros[TIPO],DADOS!$V$3,tabela_registros[CATEGORIA],receitasfixasconsolidadofev[[#This Row],[ATUAL]])</f>
        <v>0</v>
      </c>
      <c r="AE83" s="91">
        <f>SUMIFS(tabela_registros[VALOR],tabela_registros[MÊS],$AE$1,tabela_registros[DIA],receitasfixasconsolidadofev[[#Headers],[27]],tabela_registros[REGISTRO],DADOS!$N$3,tabela_registros[TIPO],DADOS!$V$3,tabela_registros[CATEGORIA],receitasfixasconsolidadofev[[#This Row],[ATUAL]])</f>
        <v>0</v>
      </c>
      <c r="AF83" s="91">
        <f>SUMIFS(tabela_registros[VALOR],tabela_registros[MÊS],$AE$1,tabela_registros[DIA],receitasfixasconsolidadofev[[#Headers],[28]],tabela_registros[REGISTRO],DADOS!$N$3,tabela_registros[TIPO],DADOS!$V$3,tabela_registros[CATEGORIA],receitasfixasconsolidadofev[[#This Row],[ATUAL]])</f>
        <v>0</v>
      </c>
      <c r="AG83" s="91">
        <f>SUMIFS(tabela_registros[VALOR],tabela_registros[MÊS],$AE$1,tabela_registros[DIA],receitasfixasconsolidadofev[[#Headers],[29]],tabela_registros[REGISTRO],DADOS!$N$3,tabela_registros[TIPO],DADOS!$V$3,tabela_registros[CATEGORIA],receitasfixasconsolidadofev[[#This Row],[ATUAL]])</f>
        <v>0</v>
      </c>
      <c r="AH83" s="91">
        <f>SUMIFS(tabela_registros[VALOR],tabela_registros[MÊS],$AE$1,tabela_registros[DIA],receitasfixasconsolidadofev[[#Headers],[30]],tabela_registros[REGISTRO],DADOS!$N$3,tabela_registros[TIPO],DADOS!$V$3,tabela_registros[CATEGORIA],receitasfixasconsolidadofev[[#This Row],[ATUAL]])</f>
        <v>0</v>
      </c>
      <c r="AI83" s="101">
        <f>SUMIFS(tabela_registros[VALOR],tabela_registros[MÊS],$AE$1,tabela_registros[DIA],receitasfixasconsolidadofev[[#Headers],[31]],tabela_registros[REGISTRO],DADOS!$N$3,tabela_registros[TIPO],DADOS!$V$3,tabela_registros[CATEGORIA],receitasfixasconsolidadofev[[#This Row],[ATUAL]])</f>
        <v>0</v>
      </c>
      <c r="AJ83" s="97">
        <f>SUM(receitasfixasconsolidadofev[[#This Row],[1]:[31]])</f>
        <v>0</v>
      </c>
      <c r="AK83" s="25"/>
    </row>
    <row r="84" spans="2:37" ht="19.5" customHeight="1" thickTop="1" thickBot="1" x14ac:dyDescent="0.3">
      <c r="B84" s="28"/>
      <c r="C84" s="27" t="str">
        <f>DADOS!$X$5</f>
        <v>🎀 MESADA</v>
      </c>
      <c r="D84" s="26" t="str">
        <f>IF(receitasfixasconsolidadofev[[#This Row],[TOTAL (R$)]]=0,"",IF(OR(receitasfixasconsolidadofev[[#This Row],[TOTAL (R$)]]=LARGE($AJ$82:$AJ$86,1),receitasfixasconsolidadofev[[#This Row],[TOTAL (R$)]]=LARGE($AJ$82:$AJ$86,2)),DADOS!$I$9,""))</f>
        <v>🐄</v>
      </c>
      <c r="E84" s="96">
        <f>SUMIFS(tabela_registros[VALOR],tabela_registros[MÊS],$AE$1,tabela_registros[DIA],receitasfixasconsolidadofev[[#Headers],[1]],tabela_registros[REGISTRO],DADOS!$N$3,tabela_registros[TIPO],DADOS!$V$3,tabela_registros[CATEGORIA],receitasfixasconsolidadofev[[#This Row],[ATUAL]])</f>
        <v>474</v>
      </c>
      <c r="F84" s="91">
        <f>SUMIFS(tabela_registros[VALOR],tabela_registros[MÊS],$AE$1,tabela_registros[DIA],receitasfixasconsolidadofev[[#Headers],[2]],tabela_registros[REGISTRO],DADOS!$N$3,tabela_registros[TIPO],DADOS!$V$3,tabela_registros[CATEGORIA],receitasfixasconsolidadofev[[#This Row],[ATUAL]])</f>
        <v>0</v>
      </c>
      <c r="G84" s="91">
        <f>SUMIFS(tabela_registros[VALOR],tabela_registros[MÊS],$AE$1,tabela_registros[DIA],receitasfixasconsolidadofev[[#Headers],[3]],tabela_registros[REGISTRO],DADOS!$N$3,tabela_registros[TIPO],DADOS!$V$3,tabela_registros[CATEGORIA],receitasfixasconsolidadofev[[#This Row],[ATUAL]])</f>
        <v>0</v>
      </c>
      <c r="H84" s="91">
        <f>SUMIFS(tabela_registros[VALOR],tabela_registros[MÊS],$AE$1,tabela_registros[DIA],receitasfixasconsolidadofev[[#Headers],[4]],tabela_registros[REGISTRO],DADOS!$N$3,tabela_registros[TIPO],DADOS!$V$3,tabela_registros[CATEGORIA],receitasfixasconsolidadofev[[#This Row],[ATUAL]])</f>
        <v>0</v>
      </c>
      <c r="I84" s="91">
        <f>SUMIFS(tabela_registros[VALOR],tabela_registros[MÊS],$AE$1,tabela_registros[DIA],receitasfixasconsolidadofev[[#Headers],[5]],tabela_registros[REGISTRO],DADOS!$N$3,tabela_registros[TIPO],DADOS!$V$3,tabela_registros[CATEGORIA],receitasfixasconsolidadofev[[#This Row],[ATUAL]])</f>
        <v>0</v>
      </c>
      <c r="J84" s="91">
        <f>SUMIFS(tabela_registros[VALOR],tabela_registros[MÊS],$AE$1,tabela_registros[DIA],receitasfixasconsolidadofev[[#Headers],[6]],tabela_registros[REGISTRO],DADOS!$N$3,tabela_registros[TIPO],DADOS!$V$3,tabela_registros[CATEGORIA],receitasfixasconsolidadofev[[#This Row],[ATUAL]])</f>
        <v>0</v>
      </c>
      <c r="K84" s="91">
        <f>SUMIFS(tabela_registros[VALOR],tabela_registros[MÊS],$AE$1,tabela_registros[DIA],receitasfixasconsolidadofev[[#Headers],[7]],tabela_registros[REGISTRO],DADOS!$N$3,tabela_registros[TIPO],DADOS!$V$3,tabela_registros[CATEGORIA],receitasfixasconsolidadofev[[#This Row],[ATUAL]])</f>
        <v>0</v>
      </c>
      <c r="L84" s="91">
        <f>SUMIFS(tabela_registros[VALOR],tabela_registros[MÊS],$AE$1,tabela_registros[DIA],receitasfixasconsolidadofev[[#Headers],[8]],tabela_registros[REGISTRO],DADOS!$N$3,tabela_registros[TIPO],DADOS!$V$3,tabela_registros[CATEGORIA],receitasfixasconsolidadofev[[#This Row],[ATUAL]])</f>
        <v>0</v>
      </c>
      <c r="M84" s="91">
        <f>SUMIFS(tabela_registros[VALOR],tabela_registros[MÊS],$AE$1,tabela_registros[DIA],receitasfixasconsolidadofev[[#Headers],[9]],tabela_registros[REGISTRO],DADOS!$N$3,tabela_registros[TIPO],DADOS!$V$3,tabela_registros[CATEGORIA],receitasfixasconsolidadofev[[#This Row],[ATUAL]])</f>
        <v>0</v>
      </c>
      <c r="N84" s="91">
        <f>SUMIFS(tabela_registros[VALOR],tabela_registros[MÊS],$AE$1,tabela_registros[DIA],receitasfixasconsolidadofev[[#Headers],[10]],tabela_registros[REGISTRO],DADOS!$N$3,tabela_registros[TIPO],DADOS!$V$3,tabela_registros[CATEGORIA],receitasfixasconsolidadofev[[#This Row],[ATUAL]])</f>
        <v>0</v>
      </c>
      <c r="O84" s="91">
        <f>SUMIFS(tabela_registros[VALOR],tabela_registros[MÊS],$AE$1,tabela_registros[DIA],receitasfixasconsolidadofev[[#Headers],[11]],tabela_registros[REGISTRO],DADOS!$N$3,tabela_registros[TIPO],DADOS!$V$3,tabela_registros[CATEGORIA],receitasfixasconsolidadofev[[#This Row],[ATUAL]])</f>
        <v>0</v>
      </c>
      <c r="P84" s="91">
        <f>SUMIFS(tabela_registros[VALOR],tabela_registros[MÊS],$AE$1,tabela_registros[DIA],receitasfixasconsolidadofev[[#Headers],[12]],tabela_registros[REGISTRO],DADOS!$N$3,tabela_registros[TIPO],DADOS!$V$3,tabela_registros[CATEGORIA],receitasfixasconsolidadofev[[#This Row],[ATUAL]])</f>
        <v>0</v>
      </c>
      <c r="Q84" s="91">
        <f>SUMIFS(tabela_registros[VALOR],tabela_registros[MÊS],$AE$1,tabela_registros[DIA],receitasfixasconsolidadofev[[#Headers],[13]],tabela_registros[REGISTRO],DADOS!$N$3,tabela_registros[TIPO],DADOS!$V$3,tabela_registros[CATEGORIA],receitasfixasconsolidadofev[[#This Row],[ATUAL]])</f>
        <v>0</v>
      </c>
      <c r="R84" s="91">
        <f>SUMIFS(tabela_registros[VALOR],tabela_registros[MÊS],$AE$1,tabela_registros[DIA],receitasfixasconsolidadofev[[#Headers],[14]],tabela_registros[REGISTRO],DADOS!$N$3,tabela_registros[TIPO],DADOS!$V$3,tabela_registros[CATEGORIA],receitasfixasconsolidadofev[[#This Row],[ATUAL]])</f>
        <v>0</v>
      </c>
      <c r="S84" s="91">
        <f>SUMIFS(tabela_registros[VALOR],tabela_registros[MÊS],$AE$1,tabela_registros[DIA],receitasfixasconsolidadofev[[#Headers],[15]],tabela_registros[REGISTRO],DADOS!$N$3,tabela_registros[TIPO],DADOS!$V$3,tabela_registros[CATEGORIA],receitasfixasconsolidadofev[[#This Row],[ATUAL]])</f>
        <v>0</v>
      </c>
      <c r="T84" s="91">
        <f>SUMIFS(tabela_registros[VALOR],tabela_registros[MÊS],$AE$1,tabela_registros[DIA],receitasfixasconsolidadofev[[#Headers],[16]],tabela_registros[REGISTRO],DADOS!$N$3,tabela_registros[TIPO],DADOS!$V$3,tabela_registros[CATEGORIA],receitasfixasconsolidadofev[[#This Row],[ATUAL]])</f>
        <v>0</v>
      </c>
      <c r="U84" s="91">
        <f>SUMIFS(tabela_registros[VALOR],tabela_registros[MÊS],$AE$1,tabela_registros[DIA],receitasfixasconsolidadofev[[#Headers],[17]],tabela_registros[REGISTRO],DADOS!$N$3,tabela_registros[TIPO],DADOS!$V$3,tabela_registros[CATEGORIA],receitasfixasconsolidadofev[[#This Row],[ATUAL]])</f>
        <v>0</v>
      </c>
      <c r="V84" s="91">
        <f>SUMIFS(tabela_registros[VALOR],tabela_registros[MÊS],$AE$1,tabela_registros[DIA],receitasfixasconsolidadofev[[#Headers],[18]],tabela_registros[REGISTRO],DADOS!$N$3,tabela_registros[TIPO],DADOS!$V$3,tabela_registros[CATEGORIA],receitasfixasconsolidadofev[[#This Row],[ATUAL]])</f>
        <v>0</v>
      </c>
      <c r="W84" s="91">
        <f>SUMIFS(tabela_registros[VALOR],tabela_registros[MÊS],$AE$1,tabela_registros[DIA],receitasfixasconsolidadofev[[#Headers],[19]],tabela_registros[REGISTRO],DADOS!$N$3,tabela_registros[TIPO],DADOS!$V$3,tabela_registros[CATEGORIA],receitasfixasconsolidadofev[[#This Row],[ATUAL]])</f>
        <v>0</v>
      </c>
      <c r="X84" s="91">
        <f>SUMIFS(tabela_registros[VALOR],tabela_registros[MÊS],$AE$1,tabela_registros[DIA],receitasfixasconsolidadofev[[#Headers],[20]],tabela_registros[REGISTRO],DADOS!$N$3,tabela_registros[TIPO],DADOS!$V$3,tabela_registros[CATEGORIA],receitasfixasconsolidadofev[[#This Row],[ATUAL]])</f>
        <v>0</v>
      </c>
      <c r="Y84" s="91">
        <f>SUMIFS(tabela_registros[VALOR],tabela_registros[MÊS],$AE$1,tabela_registros[DIA],receitasfixasconsolidadofev[[#Headers],[21]],tabela_registros[REGISTRO],DADOS!$N$3,tabela_registros[TIPO],DADOS!$V$3,tabela_registros[CATEGORIA],receitasfixasconsolidadofev[[#This Row],[ATUAL]])</f>
        <v>0</v>
      </c>
      <c r="Z84" s="91">
        <f>SUMIFS(tabela_registros[VALOR],tabela_registros[MÊS],$AE$1,tabela_registros[DIA],receitasfixasconsolidadofev[[#Headers],[22]],tabela_registros[REGISTRO],DADOS!$N$3,tabela_registros[TIPO],DADOS!$V$3,tabela_registros[CATEGORIA],receitasfixasconsolidadofev[[#This Row],[ATUAL]])</f>
        <v>0</v>
      </c>
      <c r="AA84" s="91">
        <f>SUMIFS(tabela_registros[VALOR],tabela_registros[MÊS],$AE$1,tabela_registros[DIA],receitasfixasconsolidadofev[[#Headers],[23]],tabela_registros[REGISTRO],DADOS!$N$3,tabela_registros[TIPO],DADOS!$V$3,tabela_registros[CATEGORIA],receitasfixasconsolidadofev[[#This Row],[ATUAL]])</f>
        <v>0</v>
      </c>
      <c r="AB84" s="91">
        <f>SUMIFS(tabela_registros[VALOR],tabela_registros[MÊS],$AE$1,tabela_registros[DIA],receitasfixasconsolidadofev[[#Headers],[24]],tabela_registros[REGISTRO],DADOS!$N$3,tabela_registros[TIPO],DADOS!$V$3,tabela_registros[CATEGORIA],receitasfixasconsolidadofev[[#This Row],[ATUAL]])</f>
        <v>0</v>
      </c>
      <c r="AC84" s="91">
        <f>SUMIFS(tabela_registros[VALOR],tabela_registros[MÊS],$AE$1,tabela_registros[DIA],receitasfixasconsolidadofev[[#Headers],[25]],tabela_registros[REGISTRO],DADOS!$N$3,tabela_registros[TIPO],DADOS!$V$3,tabela_registros[CATEGORIA],receitasfixasconsolidadofev[[#This Row],[ATUAL]])</f>
        <v>0</v>
      </c>
      <c r="AD84" s="91">
        <f>SUMIFS(tabela_registros[VALOR],tabela_registros[MÊS],$AE$1,tabela_registros[DIA],receitasfixasconsolidadofev[[#Headers],[26]],tabela_registros[REGISTRO],DADOS!$N$3,tabela_registros[TIPO],DADOS!$V$3,tabela_registros[CATEGORIA],receitasfixasconsolidadofev[[#This Row],[ATUAL]])</f>
        <v>0</v>
      </c>
      <c r="AE84" s="91">
        <f>SUMIFS(tabela_registros[VALOR],tabela_registros[MÊS],$AE$1,tabela_registros[DIA],receitasfixasconsolidadofev[[#Headers],[27]],tabela_registros[REGISTRO],DADOS!$N$3,tabela_registros[TIPO],DADOS!$V$3,tabela_registros[CATEGORIA],receitasfixasconsolidadofev[[#This Row],[ATUAL]])</f>
        <v>0</v>
      </c>
      <c r="AF84" s="91">
        <f>SUMIFS(tabela_registros[VALOR],tabela_registros[MÊS],$AE$1,tabela_registros[DIA],receitasfixasconsolidadofev[[#Headers],[28]],tabela_registros[REGISTRO],DADOS!$N$3,tabela_registros[TIPO],DADOS!$V$3,tabela_registros[CATEGORIA],receitasfixasconsolidadofev[[#This Row],[ATUAL]])</f>
        <v>0</v>
      </c>
      <c r="AG84" s="91">
        <f>SUMIFS(tabela_registros[VALOR],tabela_registros[MÊS],$AE$1,tabela_registros[DIA],receitasfixasconsolidadofev[[#Headers],[29]],tabela_registros[REGISTRO],DADOS!$N$3,tabela_registros[TIPO],DADOS!$V$3,tabela_registros[CATEGORIA],receitasfixasconsolidadofev[[#This Row],[ATUAL]])</f>
        <v>0</v>
      </c>
      <c r="AH84" s="91">
        <f>SUMIFS(tabela_registros[VALOR],tabela_registros[MÊS],$AE$1,tabela_registros[DIA],receitasfixasconsolidadofev[[#Headers],[30]],tabela_registros[REGISTRO],DADOS!$N$3,tabela_registros[TIPO],DADOS!$V$3,tabela_registros[CATEGORIA],receitasfixasconsolidadofev[[#This Row],[ATUAL]])</f>
        <v>0</v>
      </c>
      <c r="AI84" s="101">
        <f>SUMIFS(tabela_registros[VALOR],tabela_registros[MÊS],$AE$1,tabela_registros[DIA],receitasfixasconsolidadofev[[#Headers],[31]],tabela_registros[REGISTRO],DADOS!$N$3,tabela_registros[TIPO],DADOS!$V$3,tabela_registros[CATEGORIA],receitasfixasconsolidadofev[[#This Row],[ATUAL]])</f>
        <v>0</v>
      </c>
      <c r="AJ84" s="97">
        <f>SUM(receitasfixasconsolidadofev[[#This Row],[1]:[31]])</f>
        <v>474</v>
      </c>
      <c r="AK84" s="25"/>
    </row>
    <row r="85" spans="2:37" ht="19.5" customHeight="1" thickTop="1" thickBot="1" x14ac:dyDescent="0.3">
      <c r="B85" s="28"/>
      <c r="C85" s="27" t="str">
        <f>DADOS!$X$6</f>
        <v>💰 SALÁRIO</v>
      </c>
      <c r="D85" s="26" t="str">
        <f>IF(receitasfixasconsolidadofev[[#This Row],[TOTAL (R$)]]=0,"",IF(OR(receitasfixasconsolidadofev[[#This Row],[TOTAL (R$)]]=LARGE($AJ$82:$AJ$86,1),receitasfixasconsolidadofev[[#This Row],[TOTAL (R$)]]=LARGE($AJ$82:$AJ$86,2)),DADOS!$I$9,""))</f>
        <v/>
      </c>
      <c r="E85" s="96">
        <f>SUMIFS(tabela_registros[VALOR],tabela_registros[MÊS],$AE$1,tabela_registros[DIA],receitasfixasconsolidadofev[[#Headers],[1]],tabela_registros[REGISTRO],DADOS!$N$3,tabela_registros[TIPO],DADOS!$V$3,tabela_registros[CATEGORIA],receitasfixasconsolidadofev[[#This Row],[ATUAL]])</f>
        <v>0</v>
      </c>
      <c r="F85" s="91">
        <f>SUMIFS(tabela_registros[VALOR],tabela_registros[MÊS],$AE$1,tabela_registros[DIA],receitasfixasconsolidadofev[[#Headers],[2]],tabela_registros[REGISTRO],DADOS!$N$3,tabela_registros[TIPO],DADOS!$V$3,tabela_registros[CATEGORIA],receitasfixasconsolidadofev[[#This Row],[ATUAL]])</f>
        <v>0</v>
      </c>
      <c r="G85" s="91">
        <f>SUMIFS(tabela_registros[VALOR],tabela_registros[MÊS],$AE$1,tabela_registros[DIA],receitasfixasconsolidadofev[[#Headers],[3]],tabela_registros[REGISTRO],DADOS!$N$3,tabela_registros[TIPO],DADOS!$V$3,tabela_registros[CATEGORIA],receitasfixasconsolidadofev[[#This Row],[ATUAL]])</f>
        <v>0</v>
      </c>
      <c r="H85" s="91">
        <f>SUMIFS(tabela_registros[VALOR],tabela_registros[MÊS],$AE$1,tabela_registros[DIA],receitasfixasconsolidadofev[[#Headers],[4]],tabela_registros[REGISTRO],DADOS!$N$3,tabela_registros[TIPO],DADOS!$V$3,tabela_registros[CATEGORIA],receitasfixasconsolidadofev[[#This Row],[ATUAL]])</f>
        <v>0</v>
      </c>
      <c r="I85" s="91">
        <f>SUMIFS(tabela_registros[VALOR],tabela_registros[MÊS],$AE$1,tabela_registros[DIA],receitasfixasconsolidadofev[[#Headers],[5]],tabela_registros[REGISTRO],DADOS!$N$3,tabela_registros[TIPO],DADOS!$V$3,tabela_registros[CATEGORIA],receitasfixasconsolidadofev[[#This Row],[ATUAL]])</f>
        <v>0</v>
      </c>
      <c r="J85" s="91">
        <f>SUMIFS(tabela_registros[VALOR],tabela_registros[MÊS],$AE$1,tabela_registros[DIA],receitasfixasconsolidadofev[[#Headers],[6]],tabela_registros[REGISTRO],DADOS!$N$3,tabela_registros[TIPO],DADOS!$V$3,tabela_registros[CATEGORIA],receitasfixasconsolidadofev[[#This Row],[ATUAL]])</f>
        <v>0</v>
      </c>
      <c r="K85" s="91">
        <f>SUMIFS(tabela_registros[VALOR],tabela_registros[MÊS],$AE$1,tabela_registros[DIA],receitasfixasconsolidadofev[[#Headers],[7]],tabela_registros[REGISTRO],DADOS!$N$3,tabela_registros[TIPO],DADOS!$V$3,tabela_registros[CATEGORIA],receitasfixasconsolidadofev[[#This Row],[ATUAL]])</f>
        <v>0</v>
      </c>
      <c r="L85" s="91">
        <f>SUMIFS(tabela_registros[VALOR],tabela_registros[MÊS],$AE$1,tabela_registros[DIA],receitasfixasconsolidadofev[[#Headers],[8]],tabela_registros[REGISTRO],DADOS!$N$3,tabela_registros[TIPO],DADOS!$V$3,tabela_registros[CATEGORIA],receitasfixasconsolidadofev[[#This Row],[ATUAL]])</f>
        <v>0</v>
      </c>
      <c r="M85" s="91">
        <f>SUMIFS(tabela_registros[VALOR],tabela_registros[MÊS],$AE$1,tabela_registros[DIA],receitasfixasconsolidadofev[[#Headers],[9]],tabela_registros[REGISTRO],DADOS!$N$3,tabela_registros[TIPO],DADOS!$V$3,tabela_registros[CATEGORIA],receitasfixasconsolidadofev[[#This Row],[ATUAL]])</f>
        <v>0</v>
      </c>
      <c r="N85" s="91">
        <f>SUMIFS(tabela_registros[VALOR],tabela_registros[MÊS],$AE$1,tabela_registros[DIA],receitasfixasconsolidadofev[[#Headers],[10]],tabela_registros[REGISTRO],DADOS!$N$3,tabela_registros[TIPO],DADOS!$V$3,tabela_registros[CATEGORIA],receitasfixasconsolidadofev[[#This Row],[ATUAL]])</f>
        <v>0</v>
      </c>
      <c r="O85" s="91">
        <f>SUMIFS(tabela_registros[VALOR],tabela_registros[MÊS],$AE$1,tabela_registros[DIA],receitasfixasconsolidadofev[[#Headers],[11]],tabela_registros[REGISTRO],DADOS!$N$3,tabela_registros[TIPO],DADOS!$V$3,tabela_registros[CATEGORIA],receitasfixasconsolidadofev[[#This Row],[ATUAL]])</f>
        <v>0</v>
      </c>
      <c r="P85" s="91">
        <f>SUMIFS(tabela_registros[VALOR],tabela_registros[MÊS],$AE$1,tabela_registros[DIA],receitasfixasconsolidadofev[[#Headers],[12]],tabela_registros[REGISTRO],DADOS!$N$3,tabela_registros[TIPO],DADOS!$V$3,tabela_registros[CATEGORIA],receitasfixasconsolidadofev[[#This Row],[ATUAL]])</f>
        <v>0</v>
      </c>
      <c r="Q85" s="91">
        <f>SUMIFS(tabela_registros[VALOR],tabela_registros[MÊS],$AE$1,tabela_registros[DIA],receitasfixasconsolidadofev[[#Headers],[13]],tabela_registros[REGISTRO],DADOS!$N$3,tabela_registros[TIPO],DADOS!$V$3,tabela_registros[CATEGORIA],receitasfixasconsolidadofev[[#This Row],[ATUAL]])</f>
        <v>0</v>
      </c>
      <c r="R85" s="91">
        <f>SUMIFS(tabela_registros[VALOR],tabela_registros[MÊS],$AE$1,tabela_registros[DIA],receitasfixasconsolidadofev[[#Headers],[14]],tabela_registros[REGISTRO],DADOS!$N$3,tabela_registros[TIPO],DADOS!$V$3,tabela_registros[CATEGORIA],receitasfixasconsolidadofev[[#This Row],[ATUAL]])</f>
        <v>0</v>
      </c>
      <c r="S85" s="91">
        <f>SUMIFS(tabela_registros[VALOR],tabela_registros[MÊS],$AE$1,tabela_registros[DIA],receitasfixasconsolidadofev[[#Headers],[15]],tabela_registros[REGISTRO],DADOS!$N$3,tabela_registros[TIPO],DADOS!$V$3,tabela_registros[CATEGORIA],receitasfixasconsolidadofev[[#This Row],[ATUAL]])</f>
        <v>0</v>
      </c>
      <c r="T85" s="91">
        <f>SUMIFS(tabela_registros[VALOR],tabela_registros[MÊS],$AE$1,tabela_registros[DIA],receitasfixasconsolidadofev[[#Headers],[16]],tabela_registros[REGISTRO],DADOS!$N$3,tabela_registros[TIPO],DADOS!$V$3,tabela_registros[CATEGORIA],receitasfixasconsolidadofev[[#This Row],[ATUAL]])</f>
        <v>0</v>
      </c>
      <c r="U85" s="91">
        <f>SUMIFS(tabela_registros[VALOR],tabela_registros[MÊS],$AE$1,tabela_registros[DIA],receitasfixasconsolidadofev[[#Headers],[17]],tabela_registros[REGISTRO],DADOS!$N$3,tabela_registros[TIPO],DADOS!$V$3,tabela_registros[CATEGORIA],receitasfixasconsolidadofev[[#This Row],[ATUAL]])</f>
        <v>0</v>
      </c>
      <c r="V85" s="91">
        <f>SUMIFS(tabela_registros[VALOR],tabela_registros[MÊS],$AE$1,tabela_registros[DIA],receitasfixasconsolidadofev[[#Headers],[18]],tabela_registros[REGISTRO],DADOS!$N$3,tabela_registros[TIPO],DADOS!$V$3,tabela_registros[CATEGORIA],receitasfixasconsolidadofev[[#This Row],[ATUAL]])</f>
        <v>0</v>
      </c>
      <c r="W85" s="91">
        <f>SUMIFS(tabela_registros[VALOR],tabela_registros[MÊS],$AE$1,tabela_registros[DIA],receitasfixasconsolidadofev[[#Headers],[19]],tabela_registros[REGISTRO],DADOS!$N$3,tabela_registros[TIPO],DADOS!$V$3,tabela_registros[CATEGORIA],receitasfixasconsolidadofev[[#This Row],[ATUAL]])</f>
        <v>0</v>
      </c>
      <c r="X85" s="91">
        <f>SUMIFS(tabela_registros[VALOR],tabela_registros[MÊS],$AE$1,tabela_registros[DIA],receitasfixasconsolidadofev[[#Headers],[20]],tabela_registros[REGISTRO],DADOS!$N$3,tabela_registros[TIPO],DADOS!$V$3,tabela_registros[CATEGORIA],receitasfixasconsolidadofev[[#This Row],[ATUAL]])</f>
        <v>0</v>
      </c>
      <c r="Y85" s="91">
        <f>SUMIFS(tabela_registros[VALOR],tabela_registros[MÊS],$AE$1,tabela_registros[DIA],receitasfixasconsolidadofev[[#Headers],[21]],tabela_registros[REGISTRO],DADOS!$N$3,tabela_registros[TIPO],DADOS!$V$3,tabela_registros[CATEGORIA],receitasfixasconsolidadofev[[#This Row],[ATUAL]])</f>
        <v>0</v>
      </c>
      <c r="Z85" s="91">
        <f>SUMIFS(tabela_registros[VALOR],tabela_registros[MÊS],$AE$1,tabela_registros[DIA],receitasfixasconsolidadofev[[#Headers],[22]],tabela_registros[REGISTRO],DADOS!$N$3,tabela_registros[TIPO],DADOS!$V$3,tabela_registros[CATEGORIA],receitasfixasconsolidadofev[[#This Row],[ATUAL]])</f>
        <v>0</v>
      </c>
      <c r="AA85" s="91">
        <f>SUMIFS(tabela_registros[VALOR],tabela_registros[MÊS],$AE$1,tabela_registros[DIA],receitasfixasconsolidadofev[[#Headers],[23]],tabela_registros[REGISTRO],DADOS!$N$3,tabela_registros[TIPO],DADOS!$V$3,tabela_registros[CATEGORIA],receitasfixasconsolidadofev[[#This Row],[ATUAL]])</f>
        <v>0</v>
      </c>
      <c r="AB85" s="91">
        <f>SUMIFS(tabela_registros[VALOR],tabela_registros[MÊS],$AE$1,tabela_registros[DIA],receitasfixasconsolidadofev[[#Headers],[24]],tabela_registros[REGISTRO],DADOS!$N$3,tabela_registros[TIPO],DADOS!$V$3,tabela_registros[CATEGORIA],receitasfixasconsolidadofev[[#This Row],[ATUAL]])</f>
        <v>0</v>
      </c>
      <c r="AC85" s="91">
        <f>SUMIFS(tabela_registros[VALOR],tabela_registros[MÊS],$AE$1,tabela_registros[DIA],receitasfixasconsolidadofev[[#Headers],[25]],tabela_registros[REGISTRO],DADOS!$N$3,tabela_registros[TIPO],DADOS!$V$3,tabela_registros[CATEGORIA],receitasfixasconsolidadofev[[#This Row],[ATUAL]])</f>
        <v>0</v>
      </c>
      <c r="AD85" s="91">
        <f>SUMIFS(tabela_registros[VALOR],tabela_registros[MÊS],$AE$1,tabela_registros[DIA],receitasfixasconsolidadofev[[#Headers],[26]],tabela_registros[REGISTRO],DADOS!$N$3,tabela_registros[TIPO],DADOS!$V$3,tabela_registros[CATEGORIA],receitasfixasconsolidadofev[[#This Row],[ATUAL]])</f>
        <v>0</v>
      </c>
      <c r="AE85" s="91">
        <f>SUMIFS(tabela_registros[VALOR],tabela_registros[MÊS],$AE$1,tabela_registros[DIA],receitasfixasconsolidadofev[[#Headers],[27]],tabela_registros[REGISTRO],DADOS!$N$3,tabela_registros[TIPO],DADOS!$V$3,tabela_registros[CATEGORIA],receitasfixasconsolidadofev[[#This Row],[ATUAL]])</f>
        <v>0</v>
      </c>
      <c r="AF85" s="91">
        <f>SUMIFS(tabela_registros[VALOR],tabela_registros[MÊS],$AE$1,tabela_registros[DIA],receitasfixasconsolidadofev[[#Headers],[28]],tabela_registros[REGISTRO],DADOS!$N$3,tabela_registros[TIPO],DADOS!$V$3,tabela_registros[CATEGORIA],receitasfixasconsolidadofev[[#This Row],[ATUAL]])</f>
        <v>0</v>
      </c>
      <c r="AG85" s="91">
        <f>SUMIFS(tabela_registros[VALOR],tabela_registros[MÊS],$AE$1,tabela_registros[DIA],receitasfixasconsolidadofev[[#Headers],[29]],tabela_registros[REGISTRO],DADOS!$N$3,tabela_registros[TIPO],DADOS!$V$3,tabela_registros[CATEGORIA],receitasfixasconsolidadofev[[#This Row],[ATUAL]])</f>
        <v>0</v>
      </c>
      <c r="AH85" s="91">
        <f>SUMIFS(tabela_registros[VALOR],tabela_registros[MÊS],$AE$1,tabela_registros[DIA],receitasfixasconsolidadofev[[#Headers],[30]],tabela_registros[REGISTRO],DADOS!$N$3,tabela_registros[TIPO],DADOS!$V$3,tabela_registros[CATEGORIA],receitasfixasconsolidadofev[[#This Row],[ATUAL]])</f>
        <v>0</v>
      </c>
      <c r="AI85" s="101">
        <f>SUMIFS(tabela_registros[VALOR],tabela_registros[MÊS],$AE$1,tabela_registros[DIA],receitasfixasconsolidadofev[[#Headers],[31]],tabela_registros[REGISTRO],DADOS!$N$3,tabela_registros[TIPO],DADOS!$V$3,tabela_registros[CATEGORIA],receitasfixasconsolidadofev[[#This Row],[ATUAL]])</f>
        <v>0</v>
      </c>
      <c r="AJ85" s="97">
        <f>SUM(receitasfixasconsolidadofev[[#This Row],[1]:[31]])</f>
        <v>0</v>
      </c>
      <c r="AK85" s="25"/>
    </row>
    <row r="86" spans="2:37" ht="18" customHeight="1" thickTop="1" thickBot="1" x14ac:dyDescent="0.3">
      <c r="B86" s="28"/>
      <c r="C86" s="27" t="str">
        <f>DADOS!$X$7</f>
        <v>📎 OUTROS</v>
      </c>
      <c r="D86" s="26" t="str">
        <f>IF(receitasfixasconsolidadofev[[#This Row],[TOTAL (R$)]]=0,"",IF(OR(receitasfixasconsolidadofev[[#This Row],[TOTAL (R$)]]=LARGE($AJ$82:$AJ$86,1),receitasfixasconsolidadofev[[#This Row],[TOTAL (R$)]]=LARGE($AJ$82:$AJ$86,2)),DADOS!$I$9,""))</f>
        <v/>
      </c>
      <c r="E86" s="96">
        <f>SUMIFS(tabela_registros[VALOR],tabela_registros[MÊS],$AE$1,tabela_registros[DIA],receitasfixasconsolidadofev[[#Headers],[1]],tabela_registros[REGISTRO],DADOS!$N$3,tabela_registros[TIPO],DADOS!$V$3,tabela_registros[CATEGORIA],receitasfixasconsolidadofev[[#This Row],[ATUAL]])</f>
        <v>0</v>
      </c>
      <c r="F86" s="91">
        <f>SUMIFS(tabela_registros[VALOR],tabela_registros[MÊS],$AE$1,tabela_registros[DIA],receitasfixasconsolidadofev[[#Headers],[2]],tabela_registros[REGISTRO],DADOS!$N$3,tabela_registros[TIPO],DADOS!$V$3,tabela_registros[CATEGORIA],receitasfixasconsolidadofev[[#This Row],[ATUAL]])</f>
        <v>0</v>
      </c>
      <c r="G86" s="91">
        <f>SUMIFS(tabela_registros[VALOR],tabela_registros[MÊS],$AE$1,tabela_registros[DIA],receitasfixasconsolidadofev[[#Headers],[3]],tabela_registros[REGISTRO],DADOS!$N$3,tabela_registros[TIPO],DADOS!$V$3,tabela_registros[CATEGORIA],receitasfixasconsolidadofev[[#This Row],[ATUAL]])</f>
        <v>0</v>
      </c>
      <c r="H86" s="91">
        <f>SUMIFS(tabela_registros[VALOR],tabela_registros[MÊS],$AE$1,tabela_registros[DIA],receitasfixasconsolidadofev[[#Headers],[4]],tabela_registros[REGISTRO],DADOS!$N$3,tabela_registros[TIPO],DADOS!$V$3,tabela_registros[CATEGORIA],receitasfixasconsolidadofev[[#This Row],[ATUAL]])</f>
        <v>0</v>
      </c>
      <c r="I86" s="91">
        <f>SUMIFS(tabela_registros[VALOR],tabela_registros[MÊS],$AE$1,tabela_registros[DIA],receitasfixasconsolidadofev[[#Headers],[5]],tabela_registros[REGISTRO],DADOS!$N$3,tabela_registros[TIPO],DADOS!$V$3,tabela_registros[CATEGORIA],receitasfixasconsolidadofev[[#This Row],[ATUAL]])</f>
        <v>0</v>
      </c>
      <c r="J86" s="91">
        <f>SUMIFS(tabela_registros[VALOR],tabela_registros[MÊS],$AE$1,tabela_registros[DIA],receitasfixasconsolidadofev[[#Headers],[6]],tabela_registros[REGISTRO],DADOS!$N$3,tabela_registros[TIPO],DADOS!$V$3,tabela_registros[CATEGORIA],receitasfixasconsolidadofev[[#This Row],[ATUAL]])</f>
        <v>0</v>
      </c>
      <c r="K86" s="91">
        <f>SUMIFS(tabela_registros[VALOR],tabela_registros[MÊS],$AE$1,tabela_registros[DIA],receitasfixasconsolidadofev[[#Headers],[7]],tabela_registros[REGISTRO],DADOS!$N$3,tabela_registros[TIPO],DADOS!$V$3,tabela_registros[CATEGORIA],receitasfixasconsolidadofev[[#This Row],[ATUAL]])</f>
        <v>0</v>
      </c>
      <c r="L86" s="91">
        <f>SUMIFS(tabela_registros[VALOR],tabela_registros[MÊS],$AE$1,tabela_registros[DIA],receitasfixasconsolidadofev[[#Headers],[8]],tabela_registros[REGISTRO],DADOS!$N$3,tabela_registros[TIPO],DADOS!$V$3,tabela_registros[CATEGORIA],receitasfixasconsolidadofev[[#This Row],[ATUAL]])</f>
        <v>0</v>
      </c>
      <c r="M86" s="91">
        <f>SUMIFS(tabela_registros[VALOR],tabela_registros[MÊS],$AE$1,tabela_registros[DIA],receitasfixasconsolidadofev[[#Headers],[9]],tabela_registros[REGISTRO],DADOS!$N$3,tabela_registros[TIPO],DADOS!$V$3,tabela_registros[CATEGORIA],receitasfixasconsolidadofev[[#This Row],[ATUAL]])</f>
        <v>0</v>
      </c>
      <c r="N86" s="91">
        <f>SUMIFS(tabela_registros[VALOR],tabela_registros[MÊS],$AE$1,tabela_registros[DIA],receitasfixasconsolidadofev[[#Headers],[10]],tabela_registros[REGISTRO],DADOS!$N$3,tabela_registros[TIPO],DADOS!$V$3,tabela_registros[CATEGORIA],receitasfixasconsolidadofev[[#This Row],[ATUAL]])</f>
        <v>0</v>
      </c>
      <c r="O86" s="91">
        <f>SUMIFS(tabela_registros[VALOR],tabela_registros[MÊS],$AE$1,tabela_registros[DIA],receitasfixasconsolidadofev[[#Headers],[11]],tabela_registros[REGISTRO],DADOS!$N$3,tabela_registros[TIPO],DADOS!$V$3,tabela_registros[CATEGORIA],receitasfixasconsolidadofev[[#This Row],[ATUAL]])</f>
        <v>0</v>
      </c>
      <c r="P86" s="91">
        <f>SUMIFS(tabela_registros[VALOR],tabela_registros[MÊS],$AE$1,tabela_registros[DIA],receitasfixasconsolidadofev[[#Headers],[12]],tabela_registros[REGISTRO],DADOS!$N$3,tabela_registros[TIPO],DADOS!$V$3,tabela_registros[CATEGORIA],receitasfixasconsolidadofev[[#This Row],[ATUAL]])</f>
        <v>0</v>
      </c>
      <c r="Q86" s="91">
        <f>SUMIFS(tabela_registros[VALOR],tabela_registros[MÊS],$AE$1,tabela_registros[DIA],receitasfixasconsolidadofev[[#Headers],[13]],tabela_registros[REGISTRO],DADOS!$N$3,tabela_registros[TIPO],DADOS!$V$3,tabela_registros[CATEGORIA],receitasfixasconsolidadofev[[#This Row],[ATUAL]])</f>
        <v>0</v>
      </c>
      <c r="R86" s="91">
        <f>SUMIFS(tabela_registros[VALOR],tabela_registros[MÊS],$AE$1,tabela_registros[DIA],receitasfixasconsolidadofev[[#Headers],[14]],tabela_registros[REGISTRO],DADOS!$N$3,tabela_registros[TIPO],DADOS!$V$3,tabela_registros[CATEGORIA],receitasfixasconsolidadofev[[#This Row],[ATUAL]])</f>
        <v>0</v>
      </c>
      <c r="S86" s="91">
        <f>SUMIFS(tabela_registros[VALOR],tabela_registros[MÊS],$AE$1,tabela_registros[DIA],receitasfixasconsolidadofev[[#Headers],[15]],tabela_registros[REGISTRO],DADOS!$N$3,tabela_registros[TIPO],DADOS!$V$3,tabela_registros[CATEGORIA],receitasfixasconsolidadofev[[#This Row],[ATUAL]])</f>
        <v>0</v>
      </c>
      <c r="T86" s="91">
        <f>SUMIFS(tabela_registros[VALOR],tabela_registros[MÊS],$AE$1,tabela_registros[DIA],receitasfixasconsolidadofev[[#Headers],[16]],tabela_registros[REGISTRO],DADOS!$N$3,tabela_registros[TIPO],DADOS!$V$3,tabela_registros[CATEGORIA],receitasfixasconsolidadofev[[#This Row],[ATUAL]])</f>
        <v>0</v>
      </c>
      <c r="U86" s="91">
        <f>SUMIFS(tabela_registros[VALOR],tabela_registros[MÊS],$AE$1,tabela_registros[DIA],receitasfixasconsolidadofev[[#Headers],[17]],tabela_registros[REGISTRO],DADOS!$N$3,tabela_registros[TIPO],DADOS!$V$3,tabela_registros[CATEGORIA],receitasfixasconsolidadofev[[#This Row],[ATUAL]])</f>
        <v>0</v>
      </c>
      <c r="V86" s="91">
        <f>SUMIFS(tabela_registros[VALOR],tabela_registros[MÊS],$AE$1,tabela_registros[DIA],receitasfixasconsolidadofev[[#Headers],[18]],tabela_registros[REGISTRO],DADOS!$N$3,tabela_registros[TIPO],DADOS!$V$3,tabela_registros[CATEGORIA],receitasfixasconsolidadofev[[#This Row],[ATUAL]])</f>
        <v>0</v>
      </c>
      <c r="W86" s="91">
        <f>SUMIFS(tabela_registros[VALOR],tabela_registros[MÊS],$AE$1,tabela_registros[DIA],receitasfixasconsolidadofev[[#Headers],[19]],tabela_registros[REGISTRO],DADOS!$N$3,tabela_registros[TIPO],DADOS!$V$3,tabela_registros[CATEGORIA],receitasfixasconsolidadofev[[#This Row],[ATUAL]])</f>
        <v>0</v>
      </c>
      <c r="X86" s="91">
        <f>SUMIFS(tabela_registros[VALOR],tabela_registros[MÊS],$AE$1,tabela_registros[DIA],receitasfixasconsolidadofev[[#Headers],[20]],tabela_registros[REGISTRO],DADOS!$N$3,tabela_registros[TIPO],DADOS!$V$3,tabela_registros[CATEGORIA],receitasfixasconsolidadofev[[#This Row],[ATUAL]])</f>
        <v>0</v>
      </c>
      <c r="Y86" s="91">
        <f>SUMIFS(tabela_registros[VALOR],tabela_registros[MÊS],$AE$1,tabela_registros[DIA],receitasfixasconsolidadofev[[#Headers],[21]],tabela_registros[REGISTRO],DADOS!$N$3,tabela_registros[TIPO],DADOS!$V$3,tabela_registros[CATEGORIA],receitasfixasconsolidadofev[[#This Row],[ATUAL]])</f>
        <v>0</v>
      </c>
      <c r="Z86" s="91">
        <f>SUMIFS(tabela_registros[VALOR],tabela_registros[MÊS],$AE$1,tabela_registros[DIA],receitasfixasconsolidadofev[[#Headers],[22]],tabela_registros[REGISTRO],DADOS!$N$3,tabela_registros[TIPO],DADOS!$V$3,tabela_registros[CATEGORIA],receitasfixasconsolidadofev[[#This Row],[ATUAL]])</f>
        <v>0</v>
      </c>
      <c r="AA86" s="91">
        <f>SUMIFS(tabela_registros[VALOR],tabela_registros[MÊS],$AE$1,tabela_registros[DIA],receitasfixasconsolidadofev[[#Headers],[23]],tabela_registros[REGISTRO],DADOS!$N$3,tabela_registros[TIPO],DADOS!$V$3,tabela_registros[CATEGORIA],receitasfixasconsolidadofev[[#This Row],[ATUAL]])</f>
        <v>0</v>
      </c>
      <c r="AB86" s="91">
        <f>SUMIFS(tabela_registros[VALOR],tabela_registros[MÊS],$AE$1,tabela_registros[DIA],receitasfixasconsolidadofev[[#Headers],[24]],tabela_registros[REGISTRO],DADOS!$N$3,tabela_registros[TIPO],DADOS!$V$3,tabela_registros[CATEGORIA],receitasfixasconsolidadofev[[#This Row],[ATUAL]])</f>
        <v>0</v>
      </c>
      <c r="AC86" s="91">
        <f>SUMIFS(tabela_registros[VALOR],tabela_registros[MÊS],$AE$1,tabela_registros[DIA],receitasfixasconsolidadofev[[#Headers],[25]],tabela_registros[REGISTRO],DADOS!$N$3,tabela_registros[TIPO],DADOS!$V$3,tabela_registros[CATEGORIA],receitasfixasconsolidadofev[[#This Row],[ATUAL]])</f>
        <v>0</v>
      </c>
      <c r="AD86" s="91">
        <f>SUMIFS(tabela_registros[VALOR],tabela_registros[MÊS],$AE$1,tabela_registros[DIA],receitasfixasconsolidadofev[[#Headers],[26]],tabela_registros[REGISTRO],DADOS!$N$3,tabela_registros[TIPO],DADOS!$V$3,tabela_registros[CATEGORIA],receitasfixasconsolidadofev[[#This Row],[ATUAL]])</f>
        <v>0</v>
      </c>
      <c r="AE86" s="91">
        <f>SUMIFS(tabela_registros[VALOR],tabela_registros[MÊS],$AE$1,tabela_registros[DIA],receitasfixasconsolidadofev[[#Headers],[27]],tabela_registros[REGISTRO],DADOS!$N$3,tabela_registros[TIPO],DADOS!$V$3,tabela_registros[CATEGORIA],receitasfixasconsolidadofev[[#This Row],[ATUAL]])</f>
        <v>0</v>
      </c>
      <c r="AF86" s="91">
        <f>SUMIFS(tabela_registros[VALOR],tabela_registros[MÊS],$AE$1,tabela_registros[DIA],receitasfixasconsolidadofev[[#Headers],[28]],tabela_registros[REGISTRO],DADOS!$N$3,tabela_registros[TIPO],DADOS!$V$3,tabela_registros[CATEGORIA],receitasfixasconsolidadofev[[#This Row],[ATUAL]])</f>
        <v>0</v>
      </c>
      <c r="AG86" s="99">
        <f>SUMIFS(tabela_registros[VALOR],tabela_registros[MÊS],$AE$1,tabela_registros[DIA],receitasfixasconsolidadofev[[#Headers],[29]],tabela_registros[REGISTRO],DADOS!$N$3,tabela_registros[TIPO],DADOS!$V$3,tabela_registros[CATEGORIA],receitasfixasconsolidadofev[[#This Row],[ATUAL]])</f>
        <v>0</v>
      </c>
      <c r="AH86" s="99">
        <f>SUMIFS(tabela_registros[VALOR],tabela_registros[MÊS],$AE$1,tabela_registros[DIA],receitasfixasconsolidadofev[[#Headers],[30]],tabela_registros[REGISTRO],DADOS!$N$3,tabela_registros[TIPO],DADOS!$V$3,tabela_registros[CATEGORIA],receitasfixasconsolidadofev[[#This Row],[ATUAL]])</f>
        <v>0</v>
      </c>
      <c r="AI86" s="102">
        <f>SUMIFS(tabela_registros[VALOR],tabela_registros[MÊS],$AE$1,tabela_registros[DIA],receitasfixasconsolidadofev[[#Headers],[31]],tabela_registros[REGISTRO],DADOS!$N$3,tabela_registros[TIPO],DADOS!$V$3,tabela_registros[CATEGORIA],receitasfixasconsolidadofev[[#This Row],[ATUAL]])</f>
        <v>0</v>
      </c>
      <c r="AJ86" s="103">
        <f>SUM(receitasfixasconsolidadofev[[#This Row],[1]:[31]])</f>
        <v>0</v>
      </c>
      <c r="AK86" s="25"/>
    </row>
    <row r="87" spans="2:37" s="16" customFormat="1" ht="21" customHeight="1" thickTop="1" thickBot="1" x14ac:dyDescent="0.35">
      <c r="B87" s="24"/>
      <c r="C87" s="23" t="s">
        <v>19</v>
      </c>
      <c r="D87" s="22"/>
      <c r="E87" s="21">
        <f>SUM(E82:E86)</f>
        <v>474</v>
      </c>
      <c r="F87" s="20">
        <f>SUM(F82:F86)+receitasfixasconsolidadofev[[#This Row],[1]]</f>
        <v>474</v>
      </c>
      <c r="G87" s="20">
        <f>SUM(G82:G86)+receitasfixasconsolidadofev[[#This Row],[2]]</f>
        <v>474</v>
      </c>
      <c r="H87" s="20">
        <f>SUM(H82:H86)+receitasfixasconsolidadofev[[#This Row],[3]]</f>
        <v>474</v>
      </c>
      <c r="I87" s="20">
        <f>SUM(I82:I86)+receitasfixasconsolidadofev[[#This Row],[4]]</f>
        <v>474</v>
      </c>
      <c r="J87" s="20">
        <f>SUM(J82:J86)+receitasfixasconsolidadofev[[#This Row],[5]]</f>
        <v>474</v>
      </c>
      <c r="K87" s="20">
        <f>SUM(K82:K86)+receitasfixasconsolidadofev[[#This Row],[6]]</f>
        <v>474</v>
      </c>
      <c r="L87" s="20">
        <f>SUM(L82:L86)+receitasfixasconsolidadofev[[#This Row],[7]]</f>
        <v>474</v>
      </c>
      <c r="M87" s="20">
        <f>SUM(M82:M86)+receitasfixasconsolidadofev[[#This Row],[8]]</f>
        <v>474</v>
      </c>
      <c r="N87" s="20">
        <f>SUM(N82:N86)+receitasfixasconsolidadofev[[#This Row],[9]]</f>
        <v>474</v>
      </c>
      <c r="O87" s="20">
        <f>SUM(O82:O86)+receitasfixasconsolidadofev[[#This Row],[10]]</f>
        <v>474</v>
      </c>
      <c r="P87" s="20">
        <f>SUM(P82:P86)+receitasfixasconsolidadofev[[#This Row],[11]]</f>
        <v>474</v>
      </c>
      <c r="Q87" s="20">
        <f>SUM(Q82:Q86)+receitasfixasconsolidadofev[[#This Row],[12]]</f>
        <v>474</v>
      </c>
      <c r="R87" s="20">
        <f>SUM(R82:R86)+receitasfixasconsolidadofev[[#This Row],[13]]</f>
        <v>474</v>
      </c>
      <c r="S87" s="20">
        <f>SUM(S82:S86)+receitasfixasconsolidadofev[[#This Row],[14]]</f>
        <v>474</v>
      </c>
      <c r="T87" s="20">
        <f>SUM(T82:T86)+receitasfixasconsolidadofev[[#This Row],[15]]</f>
        <v>474</v>
      </c>
      <c r="U87" s="20">
        <f>SUM(U82:U86)+receitasfixasconsolidadofev[[#This Row],[16]]</f>
        <v>474</v>
      </c>
      <c r="V87" s="20">
        <f>SUM(V82:V86)+receitasfixasconsolidadofev[[#This Row],[17]]</f>
        <v>474</v>
      </c>
      <c r="W87" s="20">
        <f>SUM(W82:W86)+receitasfixasconsolidadofev[[#This Row],[18]]</f>
        <v>474</v>
      </c>
      <c r="X87" s="20">
        <f>SUM(X82:X86)+receitasfixasconsolidadofev[[#This Row],[19]]</f>
        <v>474</v>
      </c>
      <c r="Y87" s="20">
        <f>SUM(Y82:Y86)+receitasfixasconsolidadofev[[#This Row],[20]]</f>
        <v>474</v>
      </c>
      <c r="Z87" s="20">
        <f>SUM(Z82:Z86)+receitasfixasconsolidadofev[[#This Row],[21]]</f>
        <v>474</v>
      </c>
      <c r="AA87" s="20">
        <f>SUM(AA82:AA86)+receitasfixasconsolidadofev[[#This Row],[22]]</f>
        <v>474</v>
      </c>
      <c r="AB87" s="20">
        <f>SUM(AB82:AB86)+receitasfixasconsolidadofev[[#This Row],[23]]</f>
        <v>474</v>
      </c>
      <c r="AC87" s="20">
        <f>SUM(AC82:AC86)+receitasfixasconsolidadofev[[#This Row],[24]]</f>
        <v>474</v>
      </c>
      <c r="AD87" s="20">
        <f>SUM(AD82:AD86)+receitasfixasconsolidadofev[[#This Row],[25]]</f>
        <v>474</v>
      </c>
      <c r="AE87" s="20">
        <f>SUM(AE82:AE86)+receitasfixasconsolidadofev[[#This Row],[26]]</f>
        <v>474</v>
      </c>
      <c r="AF87" s="20">
        <f>SUM(AF82:AF86)+receitasfixasconsolidadofev[[#This Row],[27]]</f>
        <v>474</v>
      </c>
      <c r="AG87" s="20">
        <f>SUM(AG82:AG86)+receitasfixasconsolidadofev[[#This Row],[28]]</f>
        <v>474</v>
      </c>
      <c r="AH87" s="20">
        <f>SUM(AH82:AH86)+receitasfixasconsolidadofev[[#This Row],[29]]</f>
        <v>474</v>
      </c>
      <c r="AI87" s="19">
        <f>SUM(AI82:AI86)+receitasfixasconsolidadofev[[#This Row],[30]]</f>
        <v>474</v>
      </c>
      <c r="AJ87" s="18">
        <f>receitasfixasconsolidadofev[[#This Row],[31]]</f>
        <v>474</v>
      </c>
      <c r="AK87" s="17"/>
    </row>
    <row r="88" spans="2:37" ht="6.75" customHeight="1" thickTop="1" thickBot="1" x14ac:dyDescent="0.3">
      <c r="B88" s="15"/>
      <c r="C88" s="14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2"/>
      <c r="AJ88" s="11"/>
      <c r="AK88" s="10"/>
    </row>
    <row r="89" spans="2:37" ht="12.6" thickTop="1" x14ac:dyDescent="0.25">
      <c r="E89" s="37"/>
      <c r="AI89" s="4"/>
    </row>
    <row r="90" spans="2:37" x14ac:dyDescent="0.25">
      <c r="AI90" s="4"/>
    </row>
    <row r="91" spans="2:37" x14ac:dyDescent="0.25">
      <c r="AI91" s="4"/>
    </row>
    <row r="92" spans="2:37" ht="39.75" customHeight="1" x14ac:dyDescent="0.7">
      <c r="C92" s="36"/>
      <c r="E92" s="240"/>
      <c r="F92" s="240"/>
      <c r="G92" s="240"/>
      <c r="H92" s="240"/>
      <c r="I92" s="240"/>
      <c r="J92" s="240"/>
      <c r="K92" s="240"/>
      <c r="L92" s="240"/>
      <c r="M92" s="240"/>
      <c r="N92" s="240"/>
      <c r="O92" s="240"/>
      <c r="P92" s="240"/>
      <c r="Q92" s="240"/>
      <c r="R92" s="240"/>
      <c r="S92" s="240"/>
      <c r="T92" s="240"/>
      <c r="U92" s="240"/>
      <c r="V92" s="240"/>
      <c r="W92" s="240"/>
      <c r="X92" s="240"/>
      <c r="Y92" s="240"/>
      <c r="Z92" s="240"/>
      <c r="AA92" s="240"/>
      <c r="AB92" s="240"/>
      <c r="AC92" s="240"/>
      <c r="AD92" s="240"/>
      <c r="AE92" s="240"/>
      <c r="AF92" s="240"/>
      <c r="AG92" s="240"/>
      <c r="AH92" s="240"/>
      <c r="AI92" s="240"/>
      <c r="AJ92" s="32" t="s">
        <v>19</v>
      </c>
    </row>
    <row r="93" spans="2:37" ht="12.6" thickBot="1" x14ac:dyDescent="0.3">
      <c r="B93" s="35"/>
      <c r="AI93" s="4"/>
      <c r="AJ93" s="34" t="s">
        <v>202</v>
      </c>
    </row>
    <row r="94" spans="2:37" ht="6.75" customHeight="1" thickTop="1" thickBot="1" x14ac:dyDescent="0.3">
      <c r="B94" s="2"/>
      <c r="C94" s="14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2"/>
      <c r="AK94" s="33"/>
    </row>
    <row r="95" spans="2:37" ht="13.2" hidden="1" thickTop="1" thickBot="1" x14ac:dyDescent="0.3">
      <c r="B95" s="2"/>
      <c r="C95" s="31" t="s">
        <v>199</v>
      </c>
      <c r="D95" s="30" t="s">
        <v>198</v>
      </c>
      <c r="E95" s="30" t="s">
        <v>197</v>
      </c>
      <c r="F95" s="30" t="s">
        <v>196</v>
      </c>
      <c r="G95" s="30" t="s">
        <v>195</v>
      </c>
      <c r="H95" s="30" t="s">
        <v>194</v>
      </c>
      <c r="I95" s="30" t="s">
        <v>193</v>
      </c>
      <c r="J95" s="30" t="s">
        <v>192</v>
      </c>
      <c r="K95" s="30" t="s">
        <v>191</v>
      </c>
      <c r="L95" s="30" t="s">
        <v>190</v>
      </c>
      <c r="M95" s="30" t="s">
        <v>189</v>
      </c>
      <c r="N95" s="30" t="s">
        <v>188</v>
      </c>
      <c r="O95" s="30" t="s">
        <v>187</v>
      </c>
      <c r="P95" s="30" t="s">
        <v>186</v>
      </c>
      <c r="Q95" s="30" t="s">
        <v>185</v>
      </c>
      <c r="R95" s="30" t="s">
        <v>184</v>
      </c>
      <c r="S95" s="30" t="s">
        <v>183</v>
      </c>
      <c r="T95" s="30" t="s">
        <v>182</v>
      </c>
      <c r="U95" s="30" t="s">
        <v>181</v>
      </c>
      <c r="V95" s="30" t="s">
        <v>180</v>
      </c>
      <c r="W95" s="30" t="s">
        <v>179</v>
      </c>
      <c r="X95" s="30" t="s">
        <v>178</v>
      </c>
      <c r="Y95" s="30" t="s">
        <v>177</v>
      </c>
      <c r="Z95" s="30" t="s">
        <v>176</v>
      </c>
      <c r="AA95" s="30" t="s">
        <v>175</v>
      </c>
      <c r="AB95" s="30" t="s">
        <v>174</v>
      </c>
      <c r="AC95" s="30" t="s">
        <v>173</v>
      </c>
      <c r="AD95" s="30" t="s">
        <v>172</v>
      </c>
      <c r="AE95" s="30" t="s">
        <v>171</v>
      </c>
      <c r="AF95" s="30" t="s">
        <v>170</v>
      </c>
      <c r="AG95" s="30" t="s">
        <v>169</v>
      </c>
      <c r="AH95" s="30" t="s">
        <v>168</v>
      </c>
      <c r="AI95" s="30" t="s">
        <v>167</v>
      </c>
      <c r="AJ95" s="29" t="s">
        <v>166</v>
      </c>
      <c r="AK95" s="2"/>
    </row>
    <row r="96" spans="2:37" ht="19.5" customHeight="1" thickTop="1" thickBot="1" x14ac:dyDescent="0.3">
      <c r="B96" s="28"/>
      <c r="C96" s="27" t="str">
        <f>DADOS!$Z$3</f>
        <v>🏅 BÔNUS</v>
      </c>
      <c r="D96" s="26" t="str">
        <f>IF(receitasvariáveisconsolidadofev[[#This Row],[TOTAL (R$)]]=0,"",IF(OR(receitasvariáveisconsolidadofev[[#This Row],[TOTAL (R$)]]=LARGE($AJ$96:$AJ$103,1),receitasvariáveisconsolidadofev[[#This Row],[TOTAL (R$)]]=LARGE($AJ$96:$AJ$103,2)),DADOS!$I$9,""))</f>
        <v/>
      </c>
      <c r="E96" s="96">
        <f>SUMIFS(tabela_registros[VALOR],tabela_registros[MÊS],$AE$1,tabela_registros[DIA],receitasvariáveisconsolidadofev[[#Headers],[1]],tabela_registros[REGISTRO],DADOS!$N$3,tabela_registros[TIPO],DADOS!$V$4,tabela_registros[CATEGORIA],receitasvariáveisconsolidadofev[[#This Row],[ATUAL]])</f>
        <v>0</v>
      </c>
      <c r="F96" s="91">
        <f>SUMIFS(tabela_registros[VALOR],tabela_registros[MÊS],$AE$1,tabela_registros[DIA],receitasvariáveisconsolidadofev[[#Headers],[2]],tabela_registros[REGISTRO],DADOS!$N$3,tabela_registros[TIPO],DADOS!$V$4,tabela_registros[CATEGORIA],receitasvariáveisconsolidadofev[[#This Row],[ATUAL]])</f>
        <v>0</v>
      </c>
      <c r="G96" s="91">
        <f>SUMIFS(tabela_registros[VALOR],tabela_registros[MÊS],$AE$1,tabela_registros[DIA],receitasvariáveisconsolidadofev[[#Headers],[3]],tabela_registros[REGISTRO],DADOS!$N$3,tabela_registros[TIPO],DADOS!$V$4,tabela_registros[CATEGORIA],receitasvariáveisconsolidadofev[[#This Row],[ATUAL]])</f>
        <v>0</v>
      </c>
      <c r="H96" s="91">
        <f>SUMIFS(tabela_registros[VALOR],tabela_registros[MÊS],$AE$1,tabela_registros[DIA],receitasvariáveisconsolidadofev[[#Headers],[4]],tabela_registros[REGISTRO],DADOS!$N$3,tabela_registros[TIPO],DADOS!$V$4,tabela_registros[CATEGORIA],receitasvariáveisconsolidadofev[[#This Row],[ATUAL]])</f>
        <v>0</v>
      </c>
      <c r="I96" s="91">
        <f>SUMIFS(tabela_registros[VALOR],tabela_registros[MÊS],$AE$1,tabela_registros[DIA],receitasvariáveisconsolidadofev[[#Headers],[5]],tabela_registros[REGISTRO],DADOS!$N$3,tabela_registros[TIPO],DADOS!$V$4,tabela_registros[CATEGORIA],receitasvariáveisconsolidadofev[[#This Row],[ATUAL]])</f>
        <v>0</v>
      </c>
      <c r="J96" s="91">
        <f>SUMIFS(tabela_registros[VALOR],tabela_registros[MÊS],$AE$1,tabela_registros[DIA],receitasvariáveisconsolidadofev[[#Headers],[6]],tabela_registros[REGISTRO],DADOS!$N$3,tabela_registros[TIPO],DADOS!$V$4,tabela_registros[CATEGORIA],receitasvariáveisconsolidadofev[[#This Row],[ATUAL]])</f>
        <v>0</v>
      </c>
      <c r="K96" s="91">
        <f>SUMIFS(tabela_registros[VALOR],tabela_registros[MÊS],$AE$1,tabela_registros[DIA],receitasvariáveisconsolidadofev[[#Headers],[7]],tabela_registros[REGISTRO],DADOS!$N$3,tabela_registros[TIPO],DADOS!$V$4,tabela_registros[CATEGORIA],receitasvariáveisconsolidadofev[[#This Row],[ATUAL]])</f>
        <v>0</v>
      </c>
      <c r="L96" s="91">
        <f>SUMIFS(tabela_registros[VALOR],tabela_registros[MÊS],$AE$1,tabela_registros[DIA],receitasvariáveisconsolidadofev[[#Headers],[8]],tabela_registros[REGISTRO],DADOS!$N$3,tabela_registros[TIPO],DADOS!$V$4,tabela_registros[CATEGORIA],receitasvariáveisconsolidadofev[[#This Row],[ATUAL]])</f>
        <v>0</v>
      </c>
      <c r="M96" s="91">
        <f>SUMIFS(tabela_registros[VALOR],tabela_registros[MÊS],$AE$1,tabela_registros[DIA],receitasvariáveisconsolidadofev[[#Headers],[9]],tabela_registros[REGISTRO],DADOS!$N$3,tabela_registros[TIPO],DADOS!$V$4,tabela_registros[CATEGORIA],receitasvariáveisconsolidadofev[[#This Row],[ATUAL]])</f>
        <v>0</v>
      </c>
      <c r="N96" s="91">
        <f>SUMIFS(tabela_registros[VALOR],tabela_registros[MÊS],$AE$1,tabela_registros[DIA],receitasvariáveisconsolidadofev[[#Headers],[10]],tabela_registros[REGISTRO],DADOS!$N$3,tabela_registros[TIPO],DADOS!$V$4,tabela_registros[CATEGORIA],receitasvariáveisconsolidadofev[[#This Row],[ATUAL]])</f>
        <v>0</v>
      </c>
      <c r="O96" s="91">
        <f>SUMIFS(tabela_registros[VALOR],tabela_registros[MÊS],$AE$1,tabela_registros[DIA],receitasvariáveisconsolidadofev[[#Headers],[11]],tabela_registros[REGISTRO],DADOS!$N$3,tabela_registros[TIPO],DADOS!$V$4,tabela_registros[CATEGORIA],receitasvariáveisconsolidadofev[[#This Row],[ATUAL]])</f>
        <v>0</v>
      </c>
      <c r="P96" s="91">
        <f>SUMIFS(tabela_registros[VALOR],tabela_registros[MÊS],$AE$1,tabela_registros[DIA],receitasvariáveisconsolidadofev[[#Headers],[12]],tabela_registros[REGISTRO],DADOS!$N$3,tabela_registros[TIPO],DADOS!$V$4,tabela_registros[CATEGORIA],receitasvariáveisconsolidadofev[[#This Row],[ATUAL]])</f>
        <v>0</v>
      </c>
      <c r="Q96" s="91">
        <f>SUMIFS(tabela_registros[VALOR],tabela_registros[MÊS],$AE$1,tabela_registros[DIA],receitasvariáveisconsolidadofev[[#Headers],[13]],tabela_registros[REGISTRO],DADOS!$N$3,tabela_registros[TIPO],DADOS!$V$4,tabela_registros[CATEGORIA],receitasvariáveisconsolidadofev[[#This Row],[ATUAL]])</f>
        <v>0</v>
      </c>
      <c r="R96" s="91">
        <f>SUMIFS(tabela_registros[VALOR],tabela_registros[MÊS],$AE$1,tabela_registros[DIA],receitasvariáveisconsolidadofev[[#Headers],[14]],tabela_registros[REGISTRO],DADOS!$N$3,tabela_registros[TIPO],DADOS!$V$4,tabela_registros[CATEGORIA],receitasvariáveisconsolidadofev[[#This Row],[ATUAL]])</f>
        <v>0</v>
      </c>
      <c r="S96" s="91">
        <f>SUMIFS(tabela_registros[VALOR],tabela_registros[MÊS],$AE$1,tabela_registros[DIA],receitasvariáveisconsolidadofev[[#Headers],[15]],tabela_registros[REGISTRO],DADOS!$N$3,tabela_registros[TIPO],DADOS!$V$4,tabela_registros[CATEGORIA],receitasvariáveisconsolidadofev[[#This Row],[ATUAL]])</f>
        <v>0</v>
      </c>
      <c r="T96" s="91">
        <f>SUMIFS(tabela_registros[VALOR],tabela_registros[MÊS],$AE$1,tabela_registros[DIA],receitasvariáveisconsolidadofev[[#Headers],[16]],tabela_registros[REGISTRO],DADOS!$N$3,tabela_registros[TIPO],DADOS!$V$4,tabela_registros[CATEGORIA],receitasvariáveisconsolidadofev[[#This Row],[ATUAL]])</f>
        <v>0</v>
      </c>
      <c r="U96" s="91">
        <f>SUMIFS(tabela_registros[VALOR],tabela_registros[MÊS],$AE$1,tabela_registros[DIA],receitasvariáveisconsolidadofev[[#Headers],[17]],tabela_registros[REGISTRO],DADOS!$N$3,tabela_registros[TIPO],DADOS!$V$4,tabela_registros[CATEGORIA],receitasvariáveisconsolidadofev[[#This Row],[ATUAL]])</f>
        <v>0</v>
      </c>
      <c r="V96" s="91">
        <f>SUMIFS(tabela_registros[VALOR],tabela_registros[MÊS],$AE$1,tabela_registros[DIA],receitasvariáveisconsolidadofev[[#Headers],[18]],tabela_registros[REGISTRO],DADOS!$N$3,tabela_registros[TIPO],DADOS!$V$4,tabela_registros[CATEGORIA],receitasvariáveisconsolidadofev[[#This Row],[ATUAL]])</f>
        <v>0</v>
      </c>
      <c r="W96" s="91">
        <f>SUMIFS(tabela_registros[VALOR],tabela_registros[MÊS],$AE$1,tabela_registros[DIA],receitasvariáveisconsolidadofev[[#Headers],[19]],tabela_registros[REGISTRO],DADOS!$N$3,tabela_registros[TIPO],DADOS!$V$4,tabela_registros[CATEGORIA],receitasvariáveisconsolidadofev[[#This Row],[ATUAL]])</f>
        <v>0</v>
      </c>
      <c r="X96" s="91">
        <f>SUMIFS(tabela_registros[VALOR],tabela_registros[MÊS],$AE$1,tabela_registros[DIA],receitasvariáveisconsolidadofev[[#Headers],[20]],tabela_registros[REGISTRO],DADOS!$N$3,tabela_registros[TIPO],DADOS!$V$4,tabela_registros[CATEGORIA],receitasvariáveisconsolidadofev[[#This Row],[ATUAL]])</f>
        <v>0</v>
      </c>
      <c r="Y96" s="91">
        <f>SUMIFS(tabela_registros[VALOR],tabela_registros[MÊS],$AE$1,tabela_registros[DIA],receitasvariáveisconsolidadofev[[#Headers],[21]],tabela_registros[REGISTRO],DADOS!$N$3,tabela_registros[TIPO],DADOS!$V$4,tabela_registros[CATEGORIA],receitasvariáveisconsolidadofev[[#This Row],[ATUAL]])</f>
        <v>0</v>
      </c>
      <c r="Z96" s="91">
        <f>SUMIFS(tabela_registros[VALOR],tabela_registros[MÊS],$AE$1,tabela_registros[DIA],receitasvariáveisconsolidadofev[[#Headers],[22]],tabela_registros[REGISTRO],DADOS!$N$3,tabela_registros[TIPO],DADOS!$V$4,tabela_registros[CATEGORIA],receitasvariáveisconsolidadofev[[#This Row],[ATUAL]])</f>
        <v>0</v>
      </c>
      <c r="AA96" s="91">
        <f>SUMIFS(tabela_registros[VALOR],tabela_registros[MÊS],$AE$1,tabela_registros[DIA],receitasvariáveisconsolidadofev[[#Headers],[23]],tabela_registros[REGISTRO],DADOS!$N$3,tabela_registros[TIPO],DADOS!$V$4,tabela_registros[CATEGORIA],receitasvariáveisconsolidadofev[[#This Row],[ATUAL]])</f>
        <v>0</v>
      </c>
      <c r="AB96" s="91">
        <f>SUMIFS(tabela_registros[VALOR],tabela_registros[MÊS],$AE$1,tabela_registros[DIA],receitasvariáveisconsolidadofev[[#Headers],[24]],tabela_registros[REGISTRO],DADOS!$N$3,tabela_registros[TIPO],DADOS!$V$4,tabela_registros[CATEGORIA],receitasvariáveisconsolidadofev[[#This Row],[ATUAL]])</f>
        <v>0</v>
      </c>
      <c r="AC96" s="91">
        <f>SUMIFS(tabela_registros[VALOR],tabela_registros[MÊS],$AE$1,tabela_registros[DIA],receitasvariáveisconsolidadofev[[#Headers],[25]],tabela_registros[REGISTRO],DADOS!$N$3,tabela_registros[TIPO],DADOS!$V$4,tabela_registros[CATEGORIA],receitasvariáveisconsolidadofev[[#This Row],[ATUAL]])</f>
        <v>0</v>
      </c>
      <c r="AD96" s="91">
        <f>SUMIFS(tabela_registros[VALOR],tabela_registros[MÊS],$AE$1,tabela_registros[DIA],receitasvariáveisconsolidadofev[[#Headers],[26]],tabela_registros[REGISTRO],DADOS!$N$3,tabela_registros[TIPO],DADOS!$V$4,tabela_registros[CATEGORIA],receitasvariáveisconsolidadofev[[#This Row],[ATUAL]])</f>
        <v>0</v>
      </c>
      <c r="AE96" s="91">
        <f>SUMIFS(tabela_registros[VALOR],tabela_registros[MÊS],$AE$1,tabela_registros[DIA],receitasvariáveisconsolidadofev[[#Headers],[27]],tabela_registros[REGISTRO],DADOS!$N$3,tabela_registros[TIPO],DADOS!$V$4,tabela_registros[CATEGORIA],receitasvariáveisconsolidadofev[[#This Row],[ATUAL]])</f>
        <v>0</v>
      </c>
      <c r="AF96" s="91">
        <f>SUMIFS(tabela_registros[VALOR],tabela_registros[MÊS],$AE$1,tabela_registros[DIA],receitasvariáveisconsolidadofev[[#Headers],[28]],tabela_registros[REGISTRO],DADOS!$N$3,tabela_registros[TIPO],DADOS!$V$4,tabela_registros[CATEGORIA],receitasvariáveisconsolidadofev[[#This Row],[ATUAL]])</f>
        <v>0</v>
      </c>
      <c r="AG96" s="91">
        <f>SUMIFS(tabela_registros[VALOR],tabela_registros[MÊS],$AE$1,tabela_registros[DIA],receitasvariáveisconsolidadofev[[#Headers],[29]],tabela_registros[REGISTRO],DADOS!$N$3,tabela_registros[TIPO],DADOS!$V$4,tabela_registros[CATEGORIA],receitasvariáveisconsolidadofev[[#This Row],[ATUAL]])</f>
        <v>0</v>
      </c>
      <c r="AH96" s="91">
        <f>SUMIFS(tabela_registros[VALOR],tabela_registros[MÊS],$AE$1,tabela_registros[DIA],receitasvariáveisconsolidadofev[[#Headers],[30]],tabela_registros[REGISTRO],DADOS!$N$3,tabela_registros[TIPO],DADOS!$V$4,tabela_registros[CATEGORIA],receitasvariáveisconsolidadofev[[#This Row],[ATUAL]])</f>
        <v>0</v>
      </c>
      <c r="AI96" s="101">
        <f>SUMIFS(tabela_registros[VALOR],tabela_registros[MÊS],$AE$1,tabela_registros[DIA],receitasvariáveisconsolidadofev[[#Headers],[31]],tabela_registros[REGISTRO],DADOS!$N$3,tabela_registros[TIPO],DADOS!$V$4,tabela_registros[CATEGORIA],receitasvariáveisconsolidadofev[[#This Row],[ATUAL]])</f>
        <v>0</v>
      </c>
      <c r="AJ96" s="97">
        <f>SUM(receitasvariáveisconsolidadofev[[#This Row],[1]:[31]])</f>
        <v>0</v>
      </c>
      <c r="AK96" s="25"/>
    </row>
    <row r="97" spans="2:37" ht="19.5" customHeight="1" thickTop="1" thickBot="1" x14ac:dyDescent="0.3">
      <c r="B97" s="28"/>
      <c r="C97" s="27" t="str">
        <f>DADOS!$Z$4</f>
        <v>🤑 COMISSÃO</v>
      </c>
      <c r="D97" s="26" t="str">
        <f>IF(receitasvariáveisconsolidadofev[[#This Row],[TOTAL (R$)]]=0,"",IF(OR(receitasvariáveisconsolidadofev[[#This Row],[TOTAL (R$)]]=LARGE($AJ$96:$AJ$103,1),receitasvariáveisconsolidadofev[[#This Row],[TOTAL (R$)]]=LARGE($AJ$96:$AJ$103,2)),DADOS!$I$9,""))</f>
        <v/>
      </c>
      <c r="E97" s="96">
        <f>SUMIFS(tabela_registros[VALOR],tabela_registros[MÊS],$AE$1,tabela_registros[DIA],receitasvariáveisconsolidadofev[[#Headers],[1]],tabela_registros[REGISTRO],DADOS!$N$3,tabela_registros[TIPO],DADOS!$V$4,tabela_registros[CATEGORIA],receitasvariáveisconsolidadofev[[#This Row],[ATUAL]])</f>
        <v>0</v>
      </c>
      <c r="F97" s="91">
        <f>SUMIFS(tabela_registros[VALOR],tabela_registros[MÊS],$AE$1,tabela_registros[DIA],receitasvariáveisconsolidadofev[[#Headers],[2]],tabela_registros[REGISTRO],DADOS!$N$3,tabela_registros[TIPO],DADOS!$V$4,tabela_registros[CATEGORIA],receitasvariáveisconsolidadofev[[#This Row],[ATUAL]])</f>
        <v>0</v>
      </c>
      <c r="G97" s="91">
        <f>SUMIFS(tabela_registros[VALOR],tabela_registros[MÊS],$AE$1,tabela_registros[DIA],receitasvariáveisconsolidadofev[[#Headers],[3]],tabela_registros[REGISTRO],DADOS!$N$3,tabela_registros[TIPO],DADOS!$V$4,tabela_registros[CATEGORIA],receitasvariáveisconsolidadofev[[#This Row],[ATUAL]])</f>
        <v>0</v>
      </c>
      <c r="H97" s="91">
        <f>SUMIFS(tabela_registros[VALOR],tabela_registros[MÊS],$AE$1,tabela_registros[DIA],receitasvariáveisconsolidadofev[[#Headers],[4]],tabela_registros[REGISTRO],DADOS!$N$3,tabela_registros[TIPO],DADOS!$V$4,tabela_registros[CATEGORIA],receitasvariáveisconsolidadofev[[#This Row],[ATUAL]])</f>
        <v>0</v>
      </c>
      <c r="I97" s="91">
        <f>SUMIFS(tabela_registros[VALOR],tabela_registros[MÊS],$AE$1,tabela_registros[DIA],receitasvariáveisconsolidadofev[[#Headers],[5]],tabela_registros[REGISTRO],DADOS!$N$3,tabela_registros[TIPO],DADOS!$V$4,tabela_registros[CATEGORIA],receitasvariáveisconsolidadofev[[#This Row],[ATUAL]])</f>
        <v>0</v>
      </c>
      <c r="J97" s="91">
        <f>SUMIFS(tabela_registros[VALOR],tabela_registros[MÊS],$AE$1,tabela_registros[DIA],receitasvariáveisconsolidadofev[[#Headers],[6]],tabela_registros[REGISTRO],DADOS!$N$3,tabela_registros[TIPO],DADOS!$V$4,tabela_registros[CATEGORIA],receitasvariáveisconsolidadofev[[#This Row],[ATUAL]])</f>
        <v>0</v>
      </c>
      <c r="K97" s="91">
        <f>SUMIFS(tabela_registros[VALOR],tabela_registros[MÊS],$AE$1,tabela_registros[DIA],receitasvariáveisconsolidadofev[[#Headers],[7]],tabela_registros[REGISTRO],DADOS!$N$3,tabela_registros[TIPO],DADOS!$V$4,tabela_registros[CATEGORIA],receitasvariáveisconsolidadofev[[#This Row],[ATUAL]])</f>
        <v>0</v>
      </c>
      <c r="L97" s="91">
        <f>SUMIFS(tabela_registros[VALOR],tabela_registros[MÊS],$AE$1,tabela_registros[DIA],receitasvariáveisconsolidadofev[[#Headers],[8]],tabela_registros[REGISTRO],DADOS!$N$3,tabela_registros[TIPO],DADOS!$V$4,tabela_registros[CATEGORIA],receitasvariáveisconsolidadofev[[#This Row],[ATUAL]])</f>
        <v>0</v>
      </c>
      <c r="M97" s="91">
        <f>SUMIFS(tabela_registros[VALOR],tabela_registros[MÊS],$AE$1,tabela_registros[DIA],receitasvariáveisconsolidadofev[[#Headers],[9]],tabela_registros[REGISTRO],DADOS!$N$3,tabela_registros[TIPO],DADOS!$V$4,tabela_registros[CATEGORIA],receitasvariáveisconsolidadofev[[#This Row],[ATUAL]])</f>
        <v>0</v>
      </c>
      <c r="N97" s="91">
        <f>SUMIFS(tabela_registros[VALOR],tabela_registros[MÊS],$AE$1,tabela_registros[DIA],receitasvariáveisconsolidadofev[[#Headers],[10]],tabela_registros[REGISTRO],DADOS!$N$3,tabela_registros[TIPO],DADOS!$V$4,tabela_registros[CATEGORIA],receitasvariáveisconsolidadofev[[#This Row],[ATUAL]])</f>
        <v>0</v>
      </c>
      <c r="O97" s="91">
        <f>SUMIFS(tabela_registros[VALOR],tabela_registros[MÊS],$AE$1,tabela_registros[DIA],receitasvariáveisconsolidadofev[[#Headers],[11]],tabela_registros[REGISTRO],DADOS!$N$3,tabela_registros[TIPO],DADOS!$V$4,tabela_registros[CATEGORIA],receitasvariáveisconsolidadofev[[#This Row],[ATUAL]])</f>
        <v>0</v>
      </c>
      <c r="P97" s="91">
        <f>SUMIFS(tabela_registros[VALOR],tabela_registros[MÊS],$AE$1,tabela_registros[DIA],receitasvariáveisconsolidadofev[[#Headers],[12]],tabela_registros[REGISTRO],DADOS!$N$3,tabela_registros[TIPO],DADOS!$V$4,tabela_registros[CATEGORIA],receitasvariáveisconsolidadofev[[#This Row],[ATUAL]])</f>
        <v>0</v>
      </c>
      <c r="Q97" s="91">
        <f>SUMIFS(tabela_registros[VALOR],tabela_registros[MÊS],$AE$1,tabela_registros[DIA],receitasvariáveisconsolidadofev[[#Headers],[13]],tabela_registros[REGISTRO],DADOS!$N$3,tabela_registros[TIPO],DADOS!$V$4,tabela_registros[CATEGORIA],receitasvariáveisconsolidadofev[[#This Row],[ATUAL]])</f>
        <v>0</v>
      </c>
      <c r="R97" s="91">
        <f>SUMIFS(tabela_registros[VALOR],tabela_registros[MÊS],$AE$1,tabela_registros[DIA],receitasvariáveisconsolidadofev[[#Headers],[14]],tabela_registros[REGISTRO],DADOS!$N$3,tabela_registros[TIPO],DADOS!$V$4,tabela_registros[CATEGORIA],receitasvariáveisconsolidadofev[[#This Row],[ATUAL]])</f>
        <v>0</v>
      </c>
      <c r="S97" s="91">
        <f>SUMIFS(tabela_registros[VALOR],tabela_registros[MÊS],$AE$1,tabela_registros[DIA],receitasvariáveisconsolidadofev[[#Headers],[15]],tabela_registros[REGISTRO],DADOS!$N$3,tabela_registros[TIPO],DADOS!$V$4,tabela_registros[CATEGORIA],receitasvariáveisconsolidadofev[[#This Row],[ATUAL]])</f>
        <v>0</v>
      </c>
      <c r="T97" s="91">
        <f>SUMIFS(tabela_registros[VALOR],tabela_registros[MÊS],$AE$1,tabela_registros[DIA],receitasvariáveisconsolidadofev[[#Headers],[16]],tabela_registros[REGISTRO],DADOS!$N$3,tabela_registros[TIPO],DADOS!$V$4,tabela_registros[CATEGORIA],receitasvariáveisconsolidadofev[[#This Row],[ATUAL]])</f>
        <v>0</v>
      </c>
      <c r="U97" s="91">
        <f>SUMIFS(tabela_registros[VALOR],tabela_registros[MÊS],$AE$1,tabela_registros[DIA],receitasvariáveisconsolidadofev[[#Headers],[17]],tabela_registros[REGISTRO],DADOS!$N$3,tabela_registros[TIPO],DADOS!$V$4,tabela_registros[CATEGORIA],receitasvariáveisconsolidadofev[[#This Row],[ATUAL]])</f>
        <v>0</v>
      </c>
      <c r="V97" s="91">
        <f>SUMIFS(tabela_registros[VALOR],tabela_registros[MÊS],$AE$1,tabela_registros[DIA],receitasvariáveisconsolidadofev[[#Headers],[18]],tabela_registros[REGISTRO],DADOS!$N$3,tabela_registros[TIPO],DADOS!$V$4,tabela_registros[CATEGORIA],receitasvariáveisconsolidadofev[[#This Row],[ATUAL]])</f>
        <v>0</v>
      </c>
      <c r="W97" s="91">
        <f>SUMIFS(tabela_registros[VALOR],tabela_registros[MÊS],$AE$1,tabela_registros[DIA],receitasvariáveisconsolidadofev[[#Headers],[19]],tabela_registros[REGISTRO],DADOS!$N$3,tabela_registros[TIPO],DADOS!$V$4,tabela_registros[CATEGORIA],receitasvariáveisconsolidadofev[[#This Row],[ATUAL]])</f>
        <v>0</v>
      </c>
      <c r="X97" s="91">
        <f>SUMIFS(tabela_registros[VALOR],tabela_registros[MÊS],$AE$1,tabela_registros[DIA],receitasvariáveisconsolidadofev[[#Headers],[20]],tabela_registros[REGISTRO],DADOS!$N$3,tabela_registros[TIPO],DADOS!$V$4,tabela_registros[CATEGORIA],receitasvariáveisconsolidadofev[[#This Row],[ATUAL]])</f>
        <v>0</v>
      </c>
      <c r="Y97" s="91">
        <f>SUMIFS(tabela_registros[VALOR],tabela_registros[MÊS],$AE$1,tabela_registros[DIA],receitasvariáveisconsolidadofev[[#Headers],[21]],tabela_registros[REGISTRO],DADOS!$N$3,tabela_registros[TIPO],DADOS!$V$4,tabela_registros[CATEGORIA],receitasvariáveisconsolidadofev[[#This Row],[ATUAL]])</f>
        <v>0</v>
      </c>
      <c r="Z97" s="91">
        <f>SUMIFS(tabela_registros[VALOR],tabela_registros[MÊS],$AE$1,tabela_registros[DIA],receitasvariáveisconsolidadofev[[#Headers],[22]],tabela_registros[REGISTRO],DADOS!$N$3,tabela_registros[TIPO],DADOS!$V$4,tabela_registros[CATEGORIA],receitasvariáveisconsolidadofev[[#This Row],[ATUAL]])</f>
        <v>0</v>
      </c>
      <c r="AA97" s="91">
        <f>SUMIFS(tabela_registros[VALOR],tabela_registros[MÊS],$AE$1,tabela_registros[DIA],receitasvariáveisconsolidadofev[[#Headers],[23]],tabela_registros[REGISTRO],DADOS!$N$3,tabela_registros[TIPO],DADOS!$V$4,tabela_registros[CATEGORIA],receitasvariáveisconsolidadofev[[#This Row],[ATUAL]])</f>
        <v>0</v>
      </c>
      <c r="AB97" s="91">
        <f>SUMIFS(tabela_registros[VALOR],tabela_registros[MÊS],$AE$1,tabela_registros[DIA],receitasvariáveisconsolidadofev[[#Headers],[24]],tabela_registros[REGISTRO],DADOS!$N$3,tabela_registros[TIPO],DADOS!$V$4,tabela_registros[CATEGORIA],receitasvariáveisconsolidadofev[[#This Row],[ATUAL]])</f>
        <v>0</v>
      </c>
      <c r="AC97" s="91">
        <f>SUMIFS(tabela_registros[VALOR],tabela_registros[MÊS],$AE$1,tabela_registros[DIA],receitasvariáveisconsolidadofev[[#Headers],[25]],tabela_registros[REGISTRO],DADOS!$N$3,tabela_registros[TIPO],DADOS!$V$4,tabela_registros[CATEGORIA],receitasvariáveisconsolidadofev[[#This Row],[ATUAL]])</f>
        <v>0</v>
      </c>
      <c r="AD97" s="91">
        <f>SUMIFS(tabela_registros[VALOR],tabela_registros[MÊS],$AE$1,tabela_registros[DIA],receitasvariáveisconsolidadofev[[#Headers],[26]],tabela_registros[REGISTRO],DADOS!$N$3,tabela_registros[TIPO],DADOS!$V$4,tabela_registros[CATEGORIA],receitasvariáveisconsolidadofev[[#This Row],[ATUAL]])</f>
        <v>0</v>
      </c>
      <c r="AE97" s="91">
        <f>SUMIFS(tabela_registros[VALOR],tabela_registros[MÊS],$AE$1,tabela_registros[DIA],receitasvariáveisconsolidadofev[[#Headers],[27]],tabela_registros[REGISTRO],DADOS!$N$3,tabela_registros[TIPO],DADOS!$V$4,tabela_registros[CATEGORIA],receitasvariáveisconsolidadofev[[#This Row],[ATUAL]])</f>
        <v>0</v>
      </c>
      <c r="AF97" s="91">
        <f>SUMIFS(tabela_registros[VALOR],tabela_registros[MÊS],$AE$1,tabela_registros[DIA],receitasvariáveisconsolidadofev[[#Headers],[28]],tabela_registros[REGISTRO],DADOS!$N$3,tabela_registros[TIPO],DADOS!$V$4,tabela_registros[CATEGORIA],receitasvariáveisconsolidadofev[[#This Row],[ATUAL]])</f>
        <v>0</v>
      </c>
      <c r="AG97" s="91">
        <f>SUMIFS(tabela_registros[VALOR],tabela_registros[MÊS],$AE$1,tabela_registros[DIA],receitasvariáveisconsolidadofev[[#Headers],[29]],tabela_registros[REGISTRO],DADOS!$N$3,tabela_registros[TIPO],DADOS!$V$4,tabela_registros[CATEGORIA],receitasvariáveisconsolidadofev[[#This Row],[ATUAL]])</f>
        <v>0</v>
      </c>
      <c r="AH97" s="91">
        <f>SUMIFS(tabela_registros[VALOR],tabela_registros[MÊS],$AE$1,tabela_registros[DIA],receitasvariáveisconsolidadofev[[#Headers],[30]],tabela_registros[REGISTRO],DADOS!$N$3,tabela_registros[TIPO],DADOS!$V$4,tabela_registros[CATEGORIA],receitasvariáveisconsolidadofev[[#This Row],[ATUAL]])</f>
        <v>0</v>
      </c>
      <c r="AI97" s="101">
        <f>SUMIFS(tabela_registros[VALOR],tabela_registros[MÊS],$AE$1,tabela_registros[DIA],receitasvariáveisconsolidadofev[[#Headers],[31]],tabela_registros[REGISTRO],DADOS!$N$3,tabela_registros[TIPO],DADOS!$V$4,tabela_registros[CATEGORIA],receitasvariáveisconsolidadofev[[#This Row],[ATUAL]])</f>
        <v>0</v>
      </c>
      <c r="AJ97" s="97">
        <f>SUM(receitasvariáveisconsolidadofev[[#This Row],[1]:[31]])</f>
        <v>0</v>
      </c>
      <c r="AK97" s="25"/>
    </row>
    <row r="98" spans="2:37" ht="19.5" customHeight="1" thickTop="1" thickBot="1" x14ac:dyDescent="0.3">
      <c r="B98" s="28"/>
      <c r="C98" s="27" t="str">
        <f>DADOS!$Z$5</f>
        <v>🎗️ HERANÇA</v>
      </c>
      <c r="D98" s="26" t="str">
        <f>IF(receitasvariáveisconsolidadofev[[#This Row],[TOTAL (R$)]]=0,"",IF(OR(receitasvariáveisconsolidadofev[[#This Row],[TOTAL (R$)]]=LARGE($AJ$96:$AJ$103,1),receitasvariáveisconsolidadofev[[#This Row],[TOTAL (R$)]]=LARGE($AJ$96:$AJ$103,2)),DADOS!$I$9,""))</f>
        <v/>
      </c>
      <c r="E98" s="96">
        <f>SUMIFS(tabela_registros[VALOR],tabela_registros[MÊS],$AE$1,tabela_registros[DIA],receitasvariáveisconsolidadofev[[#Headers],[1]],tabela_registros[REGISTRO],DADOS!$N$3,tabela_registros[TIPO],DADOS!$V$4,tabela_registros[CATEGORIA],receitasvariáveisconsolidadofev[[#This Row],[ATUAL]])</f>
        <v>0</v>
      </c>
      <c r="F98" s="91">
        <f>SUMIFS(tabela_registros[VALOR],tabela_registros[MÊS],$AE$1,tabela_registros[DIA],receitasvariáveisconsolidadofev[[#Headers],[2]],tabela_registros[REGISTRO],DADOS!$N$3,tabela_registros[TIPO],DADOS!$V$4,tabela_registros[CATEGORIA],receitasvariáveisconsolidadofev[[#This Row],[ATUAL]])</f>
        <v>0</v>
      </c>
      <c r="G98" s="91">
        <f>SUMIFS(tabela_registros[VALOR],tabela_registros[MÊS],$AE$1,tabela_registros[DIA],receitasvariáveisconsolidadofev[[#Headers],[3]],tabela_registros[REGISTRO],DADOS!$N$3,tabela_registros[TIPO],DADOS!$V$4,tabela_registros[CATEGORIA],receitasvariáveisconsolidadofev[[#This Row],[ATUAL]])</f>
        <v>0</v>
      </c>
      <c r="H98" s="91">
        <f>SUMIFS(tabela_registros[VALOR],tabela_registros[MÊS],$AE$1,tabela_registros[DIA],receitasvariáveisconsolidadofev[[#Headers],[4]],tabela_registros[REGISTRO],DADOS!$N$3,tabela_registros[TIPO],DADOS!$V$4,tabela_registros[CATEGORIA],receitasvariáveisconsolidadofev[[#This Row],[ATUAL]])</f>
        <v>0</v>
      </c>
      <c r="I98" s="91">
        <f>SUMIFS(tabela_registros[VALOR],tabela_registros[MÊS],$AE$1,tabela_registros[DIA],receitasvariáveisconsolidadofev[[#Headers],[5]],tabela_registros[REGISTRO],DADOS!$N$3,tabela_registros[TIPO],DADOS!$V$4,tabela_registros[CATEGORIA],receitasvariáveisconsolidadofev[[#This Row],[ATUAL]])</f>
        <v>0</v>
      </c>
      <c r="J98" s="91">
        <f>SUMIFS(tabela_registros[VALOR],tabela_registros[MÊS],$AE$1,tabela_registros[DIA],receitasvariáveisconsolidadofev[[#Headers],[6]],tabela_registros[REGISTRO],DADOS!$N$3,tabela_registros[TIPO],DADOS!$V$4,tabela_registros[CATEGORIA],receitasvariáveisconsolidadofev[[#This Row],[ATUAL]])</f>
        <v>0</v>
      </c>
      <c r="K98" s="91">
        <f>SUMIFS(tabela_registros[VALOR],tabela_registros[MÊS],$AE$1,tabela_registros[DIA],receitasvariáveisconsolidadofev[[#Headers],[7]],tabela_registros[REGISTRO],DADOS!$N$3,tabela_registros[TIPO],DADOS!$V$4,tabela_registros[CATEGORIA],receitasvariáveisconsolidadofev[[#This Row],[ATUAL]])</f>
        <v>0</v>
      </c>
      <c r="L98" s="91">
        <f>SUMIFS(tabela_registros[VALOR],tabela_registros[MÊS],$AE$1,tabela_registros[DIA],receitasvariáveisconsolidadofev[[#Headers],[8]],tabela_registros[REGISTRO],DADOS!$N$3,tabela_registros[TIPO],DADOS!$V$4,tabela_registros[CATEGORIA],receitasvariáveisconsolidadofev[[#This Row],[ATUAL]])</f>
        <v>0</v>
      </c>
      <c r="M98" s="91">
        <f>SUMIFS(tabela_registros[VALOR],tabela_registros[MÊS],$AE$1,tabela_registros[DIA],receitasvariáveisconsolidadofev[[#Headers],[9]],tabela_registros[REGISTRO],DADOS!$N$3,tabela_registros[TIPO],DADOS!$V$4,tabela_registros[CATEGORIA],receitasvariáveisconsolidadofev[[#This Row],[ATUAL]])</f>
        <v>0</v>
      </c>
      <c r="N98" s="91">
        <f>SUMIFS(tabela_registros[VALOR],tabela_registros[MÊS],$AE$1,tabela_registros[DIA],receitasvariáveisconsolidadofev[[#Headers],[10]],tabela_registros[REGISTRO],DADOS!$N$3,tabela_registros[TIPO],DADOS!$V$4,tabela_registros[CATEGORIA],receitasvariáveisconsolidadofev[[#This Row],[ATUAL]])</f>
        <v>0</v>
      </c>
      <c r="O98" s="91">
        <f>SUMIFS(tabela_registros[VALOR],tabela_registros[MÊS],$AE$1,tabela_registros[DIA],receitasvariáveisconsolidadofev[[#Headers],[11]],tabela_registros[REGISTRO],DADOS!$N$3,tabela_registros[TIPO],DADOS!$V$4,tabela_registros[CATEGORIA],receitasvariáveisconsolidadofev[[#This Row],[ATUAL]])</f>
        <v>0</v>
      </c>
      <c r="P98" s="91">
        <f>SUMIFS(tabela_registros[VALOR],tabela_registros[MÊS],$AE$1,tabela_registros[DIA],receitasvariáveisconsolidadofev[[#Headers],[12]],tabela_registros[REGISTRO],DADOS!$N$3,tabela_registros[TIPO],DADOS!$V$4,tabela_registros[CATEGORIA],receitasvariáveisconsolidadofev[[#This Row],[ATUAL]])</f>
        <v>0</v>
      </c>
      <c r="Q98" s="91">
        <f>SUMIFS(tabela_registros[VALOR],tabela_registros[MÊS],$AE$1,tabela_registros[DIA],receitasvariáveisconsolidadofev[[#Headers],[13]],tabela_registros[REGISTRO],DADOS!$N$3,tabela_registros[TIPO],DADOS!$V$4,tabela_registros[CATEGORIA],receitasvariáveisconsolidadofev[[#This Row],[ATUAL]])</f>
        <v>0</v>
      </c>
      <c r="R98" s="91">
        <f>SUMIFS(tabela_registros[VALOR],tabela_registros[MÊS],$AE$1,tabela_registros[DIA],receitasvariáveisconsolidadofev[[#Headers],[14]],tabela_registros[REGISTRO],DADOS!$N$3,tabela_registros[TIPO],DADOS!$V$4,tabela_registros[CATEGORIA],receitasvariáveisconsolidadofev[[#This Row],[ATUAL]])</f>
        <v>0</v>
      </c>
      <c r="S98" s="91">
        <f>SUMIFS(tabela_registros[VALOR],tabela_registros[MÊS],$AE$1,tabela_registros[DIA],receitasvariáveisconsolidadofev[[#Headers],[15]],tabela_registros[REGISTRO],DADOS!$N$3,tabela_registros[TIPO],DADOS!$V$4,tabela_registros[CATEGORIA],receitasvariáveisconsolidadofev[[#This Row],[ATUAL]])</f>
        <v>0</v>
      </c>
      <c r="T98" s="91">
        <f>SUMIFS(tabela_registros[VALOR],tabela_registros[MÊS],$AE$1,tabela_registros[DIA],receitasvariáveisconsolidadofev[[#Headers],[16]],tabela_registros[REGISTRO],DADOS!$N$3,tabela_registros[TIPO],DADOS!$V$4,tabela_registros[CATEGORIA],receitasvariáveisconsolidadofev[[#This Row],[ATUAL]])</f>
        <v>0</v>
      </c>
      <c r="U98" s="91">
        <f>SUMIFS(tabela_registros[VALOR],tabela_registros[MÊS],$AE$1,tabela_registros[DIA],receitasvariáveisconsolidadofev[[#Headers],[17]],tabela_registros[REGISTRO],DADOS!$N$3,tabela_registros[TIPO],DADOS!$V$4,tabela_registros[CATEGORIA],receitasvariáveisconsolidadofev[[#This Row],[ATUAL]])</f>
        <v>0</v>
      </c>
      <c r="V98" s="91">
        <f>SUMIFS(tabela_registros[VALOR],tabela_registros[MÊS],$AE$1,tabela_registros[DIA],receitasvariáveisconsolidadofev[[#Headers],[18]],tabela_registros[REGISTRO],DADOS!$N$3,tabela_registros[TIPO],DADOS!$V$4,tabela_registros[CATEGORIA],receitasvariáveisconsolidadofev[[#This Row],[ATUAL]])</f>
        <v>0</v>
      </c>
      <c r="W98" s="91">
        <f>SUMIFS(tabela_registros[VALOR],tabela_registros[MÊS],$AE$1,tabela_registros[DIA],receitasvariáveisconsolidadofev[[#Headers],[19]],tabela_registros[REGISTRO],DADOS!$N$3,tabela_registros[TIPO],DADOS!$V$4,tabela_registros[CATEGORIA],receitasvariáveisconsolidadofev[[#This Row],[ATUAL]])</f>
        <v>0</v>
      </c>
      <c r="X98" s="91">
        <f>SUMIFS(tabela_registros[VALOR],tabela_registros[MÊS],$AE$1,tabela_registros[DIA],receitasvariáveisconsolidadofev[[#Headers],[20]],tabela_registros[REGISTRO],DADOS!$N$3,tabela_registros[TIPO],DADOS!$V$4,tabela_registros[CATEGORIA],receitasvariáveisconsolidadofev[[#This Row],[ATUAL]])</f>
        <v>0</v>
      </c>
      <c r="Y98" s="91">
        <f>SUMIFS(tabela_registros[VALOR],tabela_registros[MÊS],$AE$1,tabela_registros[DIA],receitasvariáveisconsolidadofev[[#Headers],[21]],tabela_registros[REGISTRO],DADOS!$N$3,tabela_registros[TIPO],DADOS!$V$4,tabela_registros[CATEGORIA],receitasvariáveisconsolidadofev[[#This Row],[ATUAL]])</f>
        <v>0</v>
      </c>
      <c r="Z98" s="91">
        <f>SUMIFS(tabela_registros[VALOR],tabela_registros[MÊS],$AE$1,tabela_registros[DIA],receitasvariáveisconsolidadofev[[#Headers],[22]],tabela_registros[REGISTRO],DADOS!$N$3,tabela_registros[TIPO],DADOS!$V$4,tabela_registros[CATEGORIA],receitasvariáveisconsolidadofev[[#This Row],[ATUAL]])</f>
        <v>0</v>
      </c>
      <c r="AA98" s="91">
        <f>SUMIFS(tabela_registros[VALOR],tabela_registros[MÊS],$AE$1,tabela_registros[DIA],receitasvariáveisconsolidadofev[[#Headers],[23]],tabela_registros[REGISTRO],DADOS!$N$3,tabela_registros[TIPO],DADOS!$V$4,tabela_registros[CATEGORIA],receitasvariáveisconsolidadofev[[#This Row],[ATUAL]])</f>
        <v>0</v>
      </c>
      <c r="AB98" s="91">
        <f>SUMIFS(tabela_registros[VALOR],tabela_registros[MÊS],$AE$1,tabela_registros[DIA],receitasvariáveisconsolidadofev[[#Headers],[24]],tabela_registros[REGISTRO],DADOS!$N$3,tabela_registros[TIPO],DADOS!$V$4,tabela_registros[CATEGORIA],receitasvariáveisconsolidadofev[[#This Row],[ATUAL]])</f>
        <v>0</v>
      </c>
      <c r="AC98" s="91">
        <f>SUMIFS(tabela_registros[VALOR],tabela_registros[MÊS],$AE$1,tabela_registros[DIA],receitasvariáveisconsolidadofev[[#Headers],[25]],tabela_registros[REGISTRO],DADOS!$N$3,tabela_registros[TIPO],DADOS!$V$4,tabela_registros[CATEGORIA],receitasvariáveisconsolidadofev[[#This Row],[ATUAL]])</f>
        <v>0</v>
      </c>
      <c r="AD98" s="91">
        <f>SUMIFS(tabela_registros[VALOR],tabela_registros[MÊS],$AE$1,tabela_registros[DIA],receitasvariáveisconsolidadofev[[#Headers],[26]],tabela_registros[REGISTRO],DADOS!$N$3,tabela_registros[TIPO],DADOS!$V$4,tabela_registros[CATEGORIA],receitasvariáveisconsolidadofev[[#This Row],[ATUAL]])</f>
        <v>0</v>
      </c>
      <c r="AE98" s="91">
        <f>SUMIFS(tabela_registros[VALOR],tabela_registros[MÊS],$AE$1,tabela_registros[DIA],receitasvariáveisconsolidadofev[[#Headers],[27]],tabela_registros[REGISTRO],DADOS!$N$3,tabela_registros[TIPO],DADOS!$V$4,tabela_registros[CATEGORIA],receitasvariáveisconsolidadofev[[#This Row],[ATUAL]])</f>
        <v>0</v>
      </c>
      <c r="AF98" s="91">
        <f>SUMIFS(tabela_registros[VALOR],tabela_registros[MÊS],$AE$1,tabela_registros[DIA],receitasvariáveisconsolidadofev[[#Headers],[28]],tabela_registros[REGISTRO],DADOS!$N$3,tabela_registros[TIPO],DADOS!$V$4,tabela_registros[CATEGORIA],receitasvariáveisconsolidadofev[[#This Row],[ATUAL]])</f>
        <v>0</v>
      </c>
      <c r="AG98" s="91">
        <f>SUMIFS(tabela_registros[VALOR],tabela_registros[MÊS],$AE$1,tabela_registros[DIA],receitasvariáveisconsolidadofev[[#Headers],[29]],tabela_registros[REGISTRO],DADOS!$N$3,tabela_registros[TIPO],DADOS!$V$4,tabela_registros[CATEGORIA],receitasvariáveisconsolidadofev[[#This Row],[ATUAL]])</f>
        <v>0</v>
      </c>
      <c r="AH98" s="91">
        <f>SUMIFS(tabela_registros[VALOR],tabela_registros[MÊS],$AE$1,tabela_registros[DIA],receitasvariáveisconsolidadofev[[#Headers],[30]],tabela_registros[REGISTRO],DADOS!$N$3,tabela_registros[TIPO],DADOS!$V$4,tabela_registros[CATEGORIA],receitasvariáveisconsolidadofev[[#This Row],[ATUAL]])</f>
        <v>0</v>
      </c>
      <c r="AI98" s="101">
        <f>SUMIFS(tabela_registros[VALOR],tabela_registros[MÊS],$AE$1,tabela_registros[DIA],receitasvariáveisconsolidadofev[[#Headers],[31]],tabela_registros[REGISTRO],DADOS!$N$3,tabela_registros[TIPO],DADOS!$V$4,tabela_registros[CATEGORIA],receitasvariáveisconsolidadofev[[#This Row],[ATUAL]])</f>
        <v>0</v>
      </c>
      <c r="AJ98" s="97">
        <f>SUM(receitasvariáveisconsolidadofev[[#This Row],[1]:[31]])</f>
        <v>0</v>
      </c>
      <c r="AK98" s="25"/>
    </row>
    <row r="99" spans="2:37" ht="19.5" customHeight="1" thickTop="1" thickBot="1" x14ac:dyDescent="0.3">
      <c r="B99" s="28"/>
      <c r="C99" s="27" t="str">
        <f>DADOS!$Z$6</f>
        <v>💲 INVESTIMENTOS</v>
      </c>
      <c r="D99" s="26" t="str">
        <f>IF(receitasvariáveisconsolidadofev[[#This Row],[TOTAL (R$)]]=0,"",IF(OR(receitasvariáveisconsolidadofev[[#This Row],[TOTAL (R$)]]=LARGE($AJ$96:$AJ$103,1),receitasvariáveisconsolidadofev[[#This Row],[TOTAL (R$)]]=LARGE($AJ$96:$AJ$103,2)),DADOS!$I$9,""))</f>
        <v/>
      </c>
      <c r="E99" s="96">
        <f>SUMIFS(tabela_registros[VALOR],tabela_registros[MÊS],$AE$1,tabela_registros[DIA],receitasvariáveisconsolidadofev[[#Headers],[1]],tabela_registros[REGISTRO],DADOS!$N$3,tabela_registros[TIPO],DADOS!$V$4,tabela_registros[CATEGORIA],receitasvariáveisconsolidadofev[[#This Row],[ATUAL]])</f>
        <v>0</v>
      </c>
      <c r="F99" s="91">
        <f>SUMIFS(tabela_registros[VALOR],tabela_registros[MÊS],$AE$1,tabela_registros[DIA],receitasvariáveisconsolidadofev[[#Headers],[2]],tabela_registros[REGISTRO],DADOS!$N$3,tabela_registros[TIPO],DADOS!$V$4,tabela_registros[CATEGORIA],receitasvariáveisconsolidadofev[[#This Row],[ATUAL]])</f>
        <v>0</v>
      </c>
      <c r="G99" s="91">
        <f>SUMIFS(tabela_registros[VALOR],tabela_registros[MÊS],$AE$1,tabela_registros[DIA],receitasvariáveisconsolidadofev[[#Headers],[3]],tabela_registros[REGISTRO],DADOS!$N$3,tabela_registros[TIPO],DADOS!$V$4,tabela_registros[CATEGORIA],receitasvariáveisconsolidadofev[[#This Row],[ATUAL]])</f>
        <v>0</v>
      </c>
      <c r="H99" s="91">
        <f>SUMIFS(tabela_registros[VALOR],tabela_registros[MÊS],$AE$1,tabela_registros[DIA],receitasvariáveisconsolidadofev[[#Headers],[4]],tabela_registros[REGISTRO],DADOS!$N$3,tabela_registros[TIPO],DADOS!$V$4,tabela_registros[CATEGORIA],receitasvariáveisconsolidadofev[[#This Row],[ATUAL]])</f>
        <v>0</v>
      </c>
      <c r="I99" s="91">
        <f>SUMIFS(tabela_registros[VALOR],tabela_registros[MÊS],$AE$1,tabela_registros[DIA],receitasvariáveisconsolidadofev[[#Headers],[5]],tabela_registros[REGISTRO],DADOS!$N$3,tabela_registros[TIPO],DADOS!$V$4,tabela_registros[CATEGORIA],receitasvariáveisconsolidadofev[[#This Row],[ATUAL]])</f>
        <v>0</v>
      </c>
      <c r="J99" s="91">
        <f>SUMIFS(tabela_registros[VALOR],tabela_registros[MÊS],$AE$1,tabela_registros[DIA],receitasvariáveisconsolidadofev[[#Headers],[6]],tabela_registros[REGISTRO],DADOS!$N$3,tabela_registros[TIPO],DADOS!$V$4,tabela_registros[CATEGORIA],receitasvariáveisconsolidadofev[[#This Row],[ATUAL]])</f>
        <v>0</v>
      </c>
      <c r="K99" s="91">
        <f>SUMIFS(tabela_registros[VALOR],tabela_registros[MÊS],$AE$1,tabela_registros[DIA],receitasvariáveisconsolidadofev[[#Headers],[7]],tabela_registros[REGISTRO],DADOS!$N$3,tabela_registros[TIPO],DADOS!$V$4,tabela_registros[CATEGORIA],receitasvariáveisconsolidadofev[[#This Row],[ATUAL]])</f>
        <v>0</v>
      </c>
      <c r="L99" s="91">
        <f>SUMIFS(tabela_registros[VALOR],tabela_registros[MÊS],$AE$1,tabela_registros[DIA],receitasvariáveisconsolidadofev[[#Headers],[8]],tabela_registros[REGISTRO],DADOS!$N$3,tabela_registros[TIPO],DADOS!$V$4,tabela_registros[CATEGORIA],receitasvariáveisconsolidadofev[[#This Row],[ATUAL]])</f>
        <v>0</v>
      </c>
      <c r="M99" s="91">
        <f>SUMIFS(tabela_registros[VALOR],tabela_registros[MÊS],$AE$1,tabela_registros[DIA],receitasvariáveisconsolidadofev[[#Headers],[9]],tabela_registros[REGISTRO],DADOS!$N$3,tabela_registros[TIPO],DADOS!$V$4,tabela_registros[CATEGORIA],receitasvariáveisconsolidadofev[[#This Row],[ATUAL]])</f>
        <v>0</v>
      </c>
      <c r="N99" s="91">
        <f>SUMIFS(tabela_registros[VALOR],tabela_registros[MÊS],$AE$1,tabela_registros[DIA],receitasvariáveisconsolidadofev[[#Headers],[10]],tabela_registros[REGISTRO],DADOS!$N$3,tabela_registros[TIPO],DADOS!$V$4,tabela_registros[CATEGORIA],receitasvariáveisconsolidadofev[[#This Row],[ATUAL]])</f>
        <v>0</v>
      </c>
      <c r="O99" s="91">
        <f>SUMIFS(tabela_registros[VALOR],tabela_registros[MÊS],$AE$1,tabela_registros[DIA],receitasvariáveisconsolidadofev[[#Headers],[11]],tabela_registros[REGISTRO],DADOS!$N$3,tabela_registros[TIPO],DADOS!$V$4,tabela_registros[CATEGORIA],receitasvariáveisconsolidadofev[[#This Row],[ATUAL]])</f>
        <v>0</v>
      </c>
      <c r="P99" s="91">
        <f>SUMIFS(tabela_registros[VALOR],tabela_registros[MÊS],$AE$1,tabela_registros[DIA],receitasvariáveisconsolidadofev[[#Headers],[12]],tabela_registros[REGISTRO],DADOS!$N$3,tabela_registros[TIPO],DADOS!$V$4,tabela_registros[CATEGORIA],receitasvariáveisconsolidadofev[[#This Row],[ATUAL]])</f>
        <v>0</v>
      </c>
      <c r="Q99" s="91">
        <f>SUMIFS(tabela_registros[VALOR],tabela_registros[MÊS],$AE$1,tabela_registros[DIA],receitasvariáveisconsolidadofev[[#Headers],[13]],tabela_registros[REGISTRO],DADOS!$N$3,tabela_registros[TIPO],DADOS!$V$4,tabela_registros[CATEGORIA],receitasvariáveisconsolidadofev[[#This Row],[ATUAL]])</f>
        <v>0</v>
      </c>
      <c r="R99" s="91">
        <f>SUMIFS(tabela_registros[VALOR],tabela_registros[MÊS],$AE$1,tabela_registros[DIA],receitasvariáveisconsolidadofev[[#Headers],[14]],tabela_registros[REGISTRO],DADOS!$N$3,tabela_registros[TIPO],DADOS!$V$4,tabela_registros[CATEGORIA],receitasvariáveisconsolidadofev[[#This Row],[ATUAL]])</f>
        <v>0</v>
      </c>
      <c r="S99" s="91">
        <f>SUMIFS(tabela_registros[VALOR],tabela_registros[MÊS],$AE$1,tabela_registros[DIA],receitasvariáveisconsolidadofev[[#Headers],[15]],tabela_registros[REGISTRO],DADOS!$N$3,tabela_registros[TIPO],DADOS!$V$4,tabela_registros[CATEGORIA],receitasvariáveisconsolidadofev[[#This Row],[ATUAL]])</f>
        <v>0</v>
      </c>
      <c r="T99" s="91">
        <f>SUMIFS(tabela_registros[VALOR],tabela_registros[MÊS],$AE$1,tabela_registros[DIA],receitasvariáveisconsolidadofev[[#Headers],[16]],tabela_registros[REGISTRO],DADOS!$N$3,tabela_registros[TIPO],DADOS!$V$4,tabela_registros[CATEGORIA],receitasvariáveisconsolidadofev[[#This Row],[ATUAL]])</f>
        <v>0</v>
      </c>
      <c r="U99" s="91">
        <f>SUMIFS(tabela_registros[VALOR],tabela_registros[MÊS],$AE$1,tabela_registros[DIA],receitasvariáveisconsolidadofev[[#Headers],[17]],tabela_registros[REGISTRO],DADOS!$N$3,tabela_registros[TIPO],DADOS!$V$4,tabela_registros[CATEGORIA],receitasvariáveisconsolidadofev[[#This Row],[ATUAL]])</f>
        <v>0</v>
      </c>
      <c r="V99" s="91">
        <f>SUMIFS(tabela_registros[VALOR],tabela_registros[MÊS],$AE$1,tabela_registros[DIA],receitasvariáveisconsolidadofev[[#Headers],[18]],tabela_registros[REGISTRO],DADOS!$N$3,tabela_registros[TIPO],DADOS!$V$4,tabela_registros[CATEGORIA],receitasvariáveisconsolidadofev[[#This Row],[ATUAL]])</f>
        <v>0</v>
      </c>
      <c r="W99" s="91">
        <f>SUMIFS(tabela_registros[VALOR],tabela_registros[MÊS],$AE$1,tabela_registros[DIA],receitasvariáveisconsolidadofev[[#Headers],[19]],tabela_registros[REGISTRO],DADOS!$N$3,tabela_registros[TIPO],DADOS!$V$4,tabela_registros[CATEGORIA],receitasvariáveisconsolidadofev[[#This Row],[ATUAL]])</f>
        <v>0</v>
      </c>
      <c r="X99" s="91">
        <f>SUMIFS(tabela_registros[VALOR],tabela_registros[MÊS],$AE$1,tabela_registros[DIA],receitasvariáveisconsolidadofev[[#Headers],[20]],tabela_registros[REGISTRO],DADOS!$N$3,tabela_registros[TIPO],DADOS!$V$4,tabela_registros[CATEGORIA],receitasvariáveisconsolidadofev[[#This Row],[ATUAL]])</f>
        <v>0</v>
      </c>
      <c r="Y99" s="91">
        <f>SUMIFS(tabela_registros[VALOR],tabela_registros[MÊS],$AE$1,tabela_registros[DIA],receitasvariáveisconsolidadofev[[#Headers],[21]],tabela_registros[REGISTRO],DADOS!$N$3,tabela_registros[TIPO],DADOS!$V$4,tabela_registros[CATEGORIA],receitasvariáveisconsolidadofev[[#This Row],[ATUAL]])</f>
        <v>0</v>
      </c>
      <c r="Z99" s="91">
        <f>SUMIFS(tabela_registros[VALOR],tabela_registros[MÊS],$AE$1,tabela_registros[DIA],receitasvariáveisconsolidadofev[[#Headers],[22]],tabela_registros[REGISTRO],DADOS!$N$3,tabela_registros[TIPO],DADOS!$V$4,tabela_registros[CATEGORIA],receitasvariáveisconsolidadofev[[#This Row],[ATUAL]])</f>
        <v>0</v>
      </c>
      <c r="AA99" s="91">
        <f>SUMIFS(tabela_registros[VALOR],tabela_registros[MÊS],$AE$1,tabela_registros[DIA],receitasvariáveisconsolidadofev[[#Headers],[23]],tabela_registros[REGISTRO],DADOS!$N$3,tabela_registros[TIPO],DADOS!$V$4,tabela_registros[CATEGORIA],receitasvariáveisconsolidadofev[[#This Row],[ATUAL]])</f>
        <v>0</v>
      </c>
      <c r="AB99" s="91">
        <f>SUMIFS(tabela_registros[VALOR],tabela_registros[MÊS],$AE$1,tabela_registros[DIA],receitasvariáveisconsolidadofev[[#Headers],[24]],tabela_registros[REGISTRO],DADOS!$N$3,tabela_registros[TIPO],DADOS!$V$4,tabela_registros[CATEGORIA],receitasvariáveisconsolidadofev[[#This Row],[ATUAL]])</f>
        <v>0</v>
      </c>
      <c r="AC99" s="91">
        <f>SUMIFS(tabela_registros[VALOR],tabela_registros[MÊS],$AE$1,tabela_registros[DIA],receitasvariáveisconsolidadofev[[#Headers],[25]],tabela_registros[REGISTRO],DADOS!$N$3,tabela_registros[TIPO],DADOS!$V$4,tabela_registros[CATEGORIA],receitasvariáveisconsolidadofev[[#This Row],[ATUAL]])</f>
        <v>0</v>
      </c>
      <c r="AD99" s="91">
        <f>SUMIFS(tabela_registros[VALOR],tabela_registros[MÊS],$AE$1,tabela_registros[DIA],receitasvariáveisconsolidadofev[[#Headers],[26]],tabela_registros[REGISTRO],DADOS!$N$3,tabela_registros[TIPO],DADOS!$V$4,tabela_registros[CATEGORIA],receitasvariáveisconsolidadofev[[#This Row],[ATUAL]])</f>
        <v>0</v>
      </c>
      <c r="AE99" s="91">
        <f>SUMIFS(tabela_registros[VALOR],tabela_registros[MÊS],$AE$1,tabela_registros[DIA],receitasvariáveisconsolidadofev[[#Headers],[27]],tabela_registros[REGISTRO],DADOS!$N$3,tabela_registros[TIPO],DADOS!$V$4,tabela_registros[CATEGORIA],receitasvariáveisconsolidadofev[[#This Row],[ATUAL]])</f>
        <v>0</v>
      </c>
      <c r="AF99" s="91">
        <f>SUMIFS(tabela_registros[VALOR],tabela_registros[MÊS],$AE$1,tabela_registros[DIA],receitasvariáveisconsolidadofev[[#Headers],[28]],tabela_registros[REGISTRO],DADOS!$N$3,tabela_registros[TIPO],DADOS!$V$4,tabela_registros[CATEGORIA],receitasvariáveisconsolidadofev[[#This Row],[ATUAL]])</f>
        <v>0</v>
      </c>
      <c r="AG99" s="91">
        <f>SUMIFS(tabela_registros[VALOR],tabela_registros[MÊS],$AE$1,tabela_registros[DIA],receitasvariáveisconsolidadofev[[#Headers],[29]],tabela_registros[REGISTRO],DADOS!$N$3,tabela_registros[TIPO],DADOS!$V$4,tabela_registros[CATEGORIA],receitasvariáveisconsolidadofev[[#This Row],[ATUAL]])</f>
        <v>0</v>
      </c>
      <c r="AH99" s="91">
        <f>SUMIFS(tabela_registros[VALOR],tabela_registros[MÊS],$AE$1,tabela_registros[DIA],receitasvariáveisconsolidadofev[[#Headers],[30]],tabela_registros[REGISTRO],DADOS!$N$3,tabela_registros[TIPO],DADOS!$V$4,tabela_registros[CATEGORIA],receitasvariáveisconsolidadofev[[#This Row],[ATUAL]])</f>
        <v>0</v>
      </c>
      <c r="AI99" s="101">
        <f>SUMIFS(tabela_registros[VALOR],tabela_registros[MÊS],$AE$1,tabela_registros[DIA],receitasvariáveisconsolidadofev[[#Headers],[31]],tabela_registros[REGISTRO],DADOS!$N$3,tabela_registros[TIPO],DADOS!$V$4,tabela_registros[CATEGORIA],receitasvariáveisconsolidadofev[[#This Row],[ATUAL]])</f>
        <v>0</v>
      </c>
      <c r="AJ99" s="97">
        <f>SUM(receitasvariáveisconsolidadofev[[#This Row],[1]:[31]])</f>
        <v>0</v>
      </c>
      <c r="AK99" s="25"/>
    </row>
    <row r="100" spans="2:37" ht="19.5" customHeight="1" thickTop="1" thickBot="1" x14ac:dyDescent="0.3">
      <c r="B100" s="28"/>
      <c r="C100" s="27" t="str">
        <f>DADOS!$Z$7</f>
        <v>🧾 NOTA DE SERVIÇO</v>
      </c>
      <c r="D100" s="26" t="str">
        <f>IF(receitasvariáveisconsolidadofev[[#This Row],[TOTAL (R$)]]=0,"",IF(OR(receitasvariáveisconsolidadofev[[#This Row],[TOTAL (R$)]]=LARGE($AJ$96:$AJ$103,1),receitasvariáveisconsolidadofev[[#This Row],[TOTAL (R$)]]=LARGE($AJ$96:$AJ$103,2)),DADOS!$I$9,""))</f>
        <v/>
      </c>
      <c r="E100" s="96">
        <f>SUMIFS(tabela_registros[VALOR],tabela_registros[MÊS],$AE$1,tabela_registros[DIA],receitasvariáveisconsolidadofev[[#Headers],[1]],tabela_registros[REGISTRO],DADOS!$N$3,tabela_registros[TIPO],DADOS!$V$4,tabela_registros[CATEGORIA],receitasvariáveisconsolidadofev[[#This Row],[ATUAL]])</f>
        <v>0</v>
      </c>
      <c r="F100" s="91">
        <f>SUMIFS(tabela_registros[VALOR],tabela_registros[MÊS],$AE$1,tabela_registros[DIA],receitasvariáveisconsolidadofev[[#Headers],[2]],tabela_registros[REGISTRO],DADOS!$N$3,tabela_registros[TIPO],DADOS!$V$4,tabela_registros[CATEGORIA],receitasvariáveisconsolidadofev[[#This Row],[ATUAL]])</f>
        <v>0</v>
      </c>
      <c r="G100" s="91">
        <f>SUMIFS(tabela_registros[VALOR],tabela_registros[MÊS],$AE$1,tabela_registros[DIA],receitasvariáveisconsolidadofev[[#Headers],[3]],tabela_registros[REGISTRO],DADOS!$N$3,tabela_registros[TIPO],DADOS!$V$4,tabela_registros[CATEGORIA],receitasvariáveisconsolidadofev[[#This Row],[ATUAL]])</f>
        <v>0</v>
      </c>
      <c r="H100" s="91">
        <f>SUMIFS(tabela_registros[VALOR],tabela_registros[MÊS],$AE$1,tabela_registros[DIA],receitasvariáveisconsolidadofev[[#Headers],[4]],tabela_registros[REGISTRO],DADOS!$N$3,tabela_registros[TIPO],DADOS!$V$4,tabela_registros[CATEGORIA],receitasvariáveisconsolidadofev[[#This Row],[ATUAL]])</f>
        <v>0</v>
      </c>
      <c r="I100" s="91">
        <f>SUMIFS(tabela_registros[VALOR],tabela_registros[MÊS],$AE$1,tabela_registros[DIA],receitasvariáveisconsolidadofev[[#Headers],[5]],tabela_registros[REGISTRO],DADOS!$N$3,tabela_registros[TIPO],DADOS!$V$4,tabela_registros[CATEGORIA],receitasvariáveisconsolidadofev[[#This Row],[ATUAL]])</f>
        <v>0</v>
      </c>
      <c r="J100" s="91">
        <f>SUMIFS(tabela_registros[VALOR],tabela_registros[MÊS],$AE$1,tabela_registros[DIA],receitasvariáveisconsolidadofev[[#Headers],[6]],tabela_registros[REGISTRO],DADOS!$N$3,tabela_registros[TIPO],DADOS!$V$4,tabela_registros[CATEGORIA],receitasvariáveisconsolidadofev[[#This Row],[ATUAL]])</f>
        <v>0</v>
      </c>
      <c r="K100" s="91">
        <f>SUMIFS(tabela_registros[VALOR],tabela_registros[MÊS],$AE$1,tabela_registros[DIA],receitasvariáveisconsolidadofev[[#Headers],[7]],tabela_registros[REGISTRO],DADOS!$N$3,tabela_registros[TIPO],DADOS!$V$4,tabela_registros[CATEGORIA],receitasvariáveisconsolidadofev[[#This Row],[ATUAL]])</f>
        <v>0</v>
      </c>
      <c r="L100" s="91">
        <f>SUMIFS(tabela_registros[VALOR],tabela_registros[MÊS],$AE$1,tabela_registros[DIA],receitasvariáveisconsolidadofev[[#Headers],[8]],tabela_registros[REGISTRO],DADOS!$N$3,tabela_registros[TIPO],DADOS!$V$4,tabela_registros[CATEGORIA],receitasvariáveisconsolidadofev[[#This Row],[ATUAL]])</f>
        <v>0</v>
      </c>
      <c r="M100" s="91">
        <f>SUMIFS(tabela_registros[VALOR],tabela_registros[MÊS],$AE$1,tabela_registros[DIA],receitasvariáveisconsolidadofev[[#Headers],[9]],tabela_registros[REGISTRO],DADOS!$N$3,tabela_registros[TIPO],DADOS!$V$4,tabela_registros[CATEGORIA],receitasvariáveisconsolidadofev[[#This Row],[ATUAL]])</f>
        <v>0</v>
      </c>
      <c r="N100" s="91">
        <f>SUMIFS(tabela_registros[VALOR],tabela_registros[MÊS],$AE$1,tabela_registros[DIA],receitasvariáveisconsolidadofev[[#Headers],[10]],tabela_registros[REGISTRO],DADOS!$N$3,tabela_registros[TIPO],DADOS!$V$4,tabela_registros[CATEGORIA],receitasvariáveisconsolidadofev[[#This Row],[ATUAL]])</f>
        <v>0</v>
      </c>
      <c r="O100" s="91">
        <f>SUMIFS(tabela_registros[VALOR],tabela_registros[MÊS],$AE$1,tabela_registros[DIA],receitasvariáveisconsolidadofev[[#Headers],[11]],tabela_registros[REGISTRO],DADOS!$N$3,tabela_registros[TIPO],DADOS!$V$4,tabela_registros[CATEGORIA],receitasvariáveisconsolidadofev[[#This Row],[ATUAL]])</f>
        <v>0</v>
      </c>
      <c r="P100" s="91">
        <f>SUMIFS(tabela_registros[VALOR],tabela_registros[MÊS],$AE$1,tabela_registros[DIA],receitasvariáveisconsolidadofev[[#Headers],[12]],tabela_registros[REGISTRO],DADOS!$N$3,tabela_registros[TIPO],DADOS!$V$4,tabela_registros[CATEGORIA],receitasvariáveisconsolidadofev[[#This Row],[ATUAL]])</f>
        <v>0</v>
      </c>
      <c r="Q100" s="91">
        <f>SUMIFS(tabela_registros[VALOR],tabela_registros[MÊS],$AE$1,tabela_registros[DIA],receitasvariáveisconsolidadofev[[#Headers],[13]],tabela_registros[REGISTRO],DADOS!$N$3,tabela_registros[TIPO],DADOS!$V$4,tabela_registros[CATEGORIA],receitasvariáveisconsolidadofev[[#This Row],[ATUAL]])</f>
        <v>0</v>
      </c>
      <c r="R100" s="91">
        <f>SUMIFS(tabela_registros[VALOR],tabela_registros[MÊS],$AE$1,tabela_registros[DIA],receitasvariáveisconsolidadofev[[#Headers],[14]],tabela_registros[REGISTRO],DADOS!$N$3,tabela_registros[TIPO],DADOS!$V$4,tabela_registros[CATEGORIA],receitasvariáveisconsolidadofev[[#This Row],[ATUAL]])</f>
        <v>0</v>
      </c>
      <c r="S100" s="91">
        <f>SUMIFS(tabela_registros[VALOR],tabela_registros[MÊS],$AE$1,tabela_registros[DIA],receitasvariáveisconsolidadofev[[#Headers],[15]],tabela_registros[REGISTRO],DADOS!$N$3,tabela_registros[TIPO],DADOS!$V$4,tabela_registros[CATEGORIA],receitasvariáveisconsolidadofev[[#This Row],[ATUAL]])</f>
        <v>0</v>
      </c>
      <c r="T100" s="91">
        <f>SUMIFS(tabela_registros[VALOR],tabela_registros[MÊS],$AE$1,tabela_registros[DIA],receitasvariáveisconsolidadofev[[#Headers],[16]],tabela_registros[REGISTRO],DADOS!$N$3,tabela_registros[TIPO],DADOS!$V$4,tabela_registros[CATEGORIA],receitasvariáveisconsolidadofev[[#This Row],[ATUAL]])</f>
        <v>0</v>
      </c>
      <c r="U100" s="91">
        <f>SUMIFS(tabela_registros[VALOR],tabela_registros[MÊS],$AE$1,tabela_registros[DIA],receitasvariáveisconsolidadofev[[#Headers],[17]],tabela_registros[REGISTRO],DADOS!$N$3,tabela_registros[TIPO],DADOS!$V$4,tabela_registros[CATEGORIA],receitasvariáveisconsolidadofev[[#This Row],[ATUAL]])</f>
        <v>0</v>
      </c>
      <c r="V100" s="91">
        <f>SUMIFS(tabela_registros[VALOR],tabela_registros[MÊS],$AE$1,tabela_registros[DIA],receitasvariáveisconsolidadofev[[#Headers],[18]],tabela_registros[REGISTRO],DADOS!$N$3,tabela_registros[TIPO],DADOS!$V$4,tabela_registros[CATEGORIA],receitasvariáveisconsolidadofev[[#This Row],[ATUAL]])</f>
        <v>0</v>
      </c>
      <c r="W100" s="91">
        <f>SUMIFS(tabela_registros[VALOR],tabela_registros[MÊS],$AE$1,tabela_registros[DIA],receitasvariáveisconsolidadofev[[#Headers],[19]],tabela_registros[REGISTRO],DADOS!$N$3,tabela_registros[TIPO],DADOS!$V$4,tabela_registros[CATEGORIA],receitasvariáveisconsolidadofev[[#This Row],[ATUAL]])</f>
        <v>0</v>
      </c>
      <c r="X100" s="91">
        <f>SUMIFS(tabela_registros[VALOR],tabela_registros[MÊS],$AE$1,tabela_registros[DIA],receitasvariáveisconsolidadofev[[#Headers],[20]],tabela_registros[REGISTRO],DADOS!$N$3,tabela_registros[TIPO],DADOS!$V$4,tabela_registros[CATEGORIA],receitasvariáveisconsolidadofev[[#This Row],[ATUAL]])</f>
        <v>0</v>
      </c>
      <c r="Y100" s="91">
        <f>SUMIFS(tabela_registros[VALOR],tabela_registros[MÊS],$AE$1,tabela_registros[DIA],receitasvariáveisconsolidadofev[[#Headers],[21]],tabela_registros[REGISTRO],DADOS!$N$3,tabela_registros[TIPO],DADOS!$V$4,tabela_registros[CATEGORIA],receitasvariáveisconsolidadofev[[#This Row],[ATUAL]])</f>
        <v>0</v>
      </c>
      <c r="Z100" s="91">
        <f>SUMIFS(tabela_registros[VALOR],tabela_registros[MÊS],$AE$1,tabela_registros[DIA],receitasvariáveisconsolidadofev[[#Headers],[22]],tabela_registros[REGISTRO],DADOS!$N$3,tabela_registros[TIPO],DADOS!$V$4,tabela_registros[CATEGORIA],receitasvariáveisconsolidadofev[[#This Row],[ATUAL]])</f>
        <v>0</v>
      </c>
      <c r="AA100" s="91">
        <f>SUMIFS(tabela_registros[VALOR],tabela_registros[MÊS],$AE$1,tabela_registros[DIA],receitasvariáveisconsolidadofev[[#Headers],[23]],tabela_registros[REGISTRO],DADOS!$N$3,tabela_registros[TIPO],DADOS!$V$4,tabela_registros[CATEGORIA],receitasvariáveisconsolidadofev[[#This Row],[ATUAL]])</f>
        <v>0</v>
      </c>
      <c r="AB100" s="91">
        <f>SUMIFS(tabela_registros[VALOR],tabela_registros[MÊS],$AE$1,tabela_registros[DIA],receitasvariáveisconsolidadofev[[#Headers],[24]],tabela_registros[REGISTRO],DADOS!$N$3,tabela_registros[TIPO],DADOS!$V$4,tabela_registros[CATEGORIA],receitasvariáveisconsolidadofev[[#This Row],[ATUAL]])</f>
        <v>0</v>
      </c>
      <c r="AC100" s="91">
        <f>SUMIFS(tabela_registros[VALOR],tabela_registros[MÊS],$AE$1,tabela_registros[DIA],receitasvariáveisconsolidadofev[[#Headers],[25]],tabela_registros[REGISTRO],DADOS!$N$3,tabela_registros[TIPO],DADOS!$V$4,tabela_registros[CATEGORIA],receitasvariáveisconsolidadofev[[#This Row],[ATUAL]])</f>
        <v>0</v>
      </c>
      <c r="AD100" s="91">
        <f>SUMIFS(tabela_registros[VALOR],tabela_registros[MÊS],$AE$1,tabela_registros[DIA],receitasvariáveisconsolidadofev[[#Headers],[26]],tabela_registros[REGISTRO],DADOS!$N$3,tabela_registros[TIPO],DADOS!$V$4,tabela_registros[CATEGORIA],receitasvariáveisconsolidadofev[[#This Row],[ATUAL]])</f>
        <v>0</v>
      </c>
      <c r="AE100" s="91">
        <f>SUMIFS(tabela_registros[VALOR],tabela_registros[MÊS],$AE$1,tabela_registros[DIA],receitasvariáveisconsolidadofev[[#Headers],[27]],tabela_registros[REGISTRO],DADOS!$N$3,tabela_registros[TIPO],DADOS!$V$4,tabela_registros[CATEGORIA],receitasvariáveisconsolidadofev[[#This Row],[ATUAL]])</f>
        <v>0</v>
      </c>
      <c r="AF100" s="91">
        <f>SUMIFS(tabela_registros[VALOR],tabela_registros[MÊS],$AE$1,tabela_registros[DIA],receitasvariáveisconsolidadofev[[#Headers],[28]],tabela_registros[REGISTRO],DADOS!$N$3,tabela_registros[TIPO],DADOS!$V$4,tabela_registros[CATEGORIA],receitasvariáveisconsolidadofev[[#This Row],[ATUAL]])</f>
        <v>0</v>
      </c>
      <c r="AG100" s="91">
        <f>SUMIFS(tabela_registros[VALOR],tabela_registros[MÊS],$AE$1,tabela_registros[DIA],receitasvariáveisconsolidadofev[[#Headers],[29]],tabela_registros[REGISTRO],DADOS!$N$3,tabela_registros[TIPO],DADOS!$V$4,tabela_registros[CATEGORIA],receitasvariáveisconsolidadofev[[#This Row],[ATUAL]])</f>
        <v>0</v>
      </c>
      <c r="AH100" s="91">
        <f>SUMIFS(tabela_registros[VALOR],tabela_registros[MÊS],$AE$1,tabela_registros[DIA],receitasvariáveisconsolidadofev[[#Headers],[30]],tabela_registros[REGISTRO],DADOS!$N$3,tabela_registros[TIPO],DADOS!$V$4,tabela_registros[CATEGORIA],receitasvariáveisconsolidadofev[[#This Row],[ATUAL]])</f>
        <v>0</v>
      </c>
      <c r="AI100" s="101">
        <f>SUMIFS(tabela_registros[VALOR],tabela_registros[MÊS],$AE$1,tabela_registros[DIA],receitasvariáveisconsolidadofev[[#Headers],[31]],tabela_registros[REGISTRO],DADOS!$N$3,tabela_registros[TIPO],DADOS!$V$4,tabela_registros[CATEGORIA],receitasvariáveisconsolidadofev[[#This Row],[ATUAL]])</f>
        <v>0</v>
      </c>
      <c r="AJ100" s="97">
        <f>SUM(receitasvariáveisconsolidadofev[[#This Row],[1]:[31]])</f>
        <v>0</v>
      </c>
      <c r="AK100" s="25"/>
    </row>
    <row r="101" spans="2:37" ht="19.5" customHeight="1" thickTop="1" thickBot="1" x14ac:dyDescent="0.3">
      <c r="B101" s="28"/>
      <c r="C101" s="27" t="str">
        <f>DADOS!$Z$8</f>
        <v>🎁 PRESENTE</v>
      </c>
      <c r="D101" s="26" t="str">
        <f>IF(receitasvariáveisconsolidadofev[[#This Row],[TOTAL (R$)]]=0,"",IF(OR(receitasvariáveisconsolidadofev[[#This Row],[TOTAL (R$)]]=LARGE($AJ$96:$AJ$103,1),receitasvariáveisconsolidadofev[[#This Row],[TOTAL (R$)]]=LARGE($AJ$96:$AJ$103,2)),DADOS!$I$9,""))</f>
        <v/>
      </c>
      <c r="E101" s="96">
        <f>SUMIFS(tabela_registros[VALOR],tabela_registros[MÊS],$AE$1,tabela_registros[DIA],receitasvariáveisconsolidadofev[[#Headers],[1]],tabela_registros[REGISTRO],DADOS!$N$3,tabela_registros[TIPO],DADOS!$V$4,tabela_registros[CATEGORIA],receitasvariáveisconsolidadofev[[#This Row],[ATUAL]])</f>
        <v>0</v>
      </c>
      <c r="F101" s="91">
        <f>SUMIFS(tabela_registros[VALOR],tabela_registros[MÊS],$AE$1,tabela_registros[DIA],receitasvariáveisconsolidadofev[[#Headers],[2]],tabela_registros[REGISTRO],DADOS!$N$3,tabela_registros[TIPO],DADOS!$V$4,tabela_registros[CATEGORIA],receitasvariáveisconsolidadofev[[#This Row],[ATUAL]])</f>
        <v>0</v>
      </c>
      <c r="G101" s="91">
        <f>SUMIFS(tabela_registros[VALOR],tabela_registros[MÊS],$AE$1,tabela_registros[DIA],receitasvariáveisconsolidadofev[[#Headers],[3]],tabela_registros[REGISTRO],DADOS!$N$3,tabela_registros[TIPO],DADOS!$V$4,tabela_registros[CATEGORIA],receitasvariáveisconsolidadofev[[#This Row],[ATUAL]])</f>
        <v>0</v>
      </c>
      <c r="H101" s="91">
        <f>SUMIFS(tabela_registros[VALOR],tabela_registros[MÊS],$AE$1,tabela_registros[DIA],receitasvariáveisconsolidadofev[[#Headers],[4]],tabela_registros[REGISTRO],DADOS!$N$3,tabela_registros[TIPO],DADOS!$V$4,tabela_registros[CATEGORIA],receitasvariáveisconsolidadofev[[#This Row],[ATUAL]])</f>
        <v>0</v>
      </c>
      <c r="I101" s="91">
        <f>SUMIFS(tabela_registros[VALOR],tabela_registros[MÊS],$AE$1,tabela_registros[DIA],receitasvariáveisconsolidadofev[[#Headers],[5]],tabela_registros[REGISTRO],DADOS!$N$3,tabela_registros[TIPO],DADOS!$V$4,tabela_registros[CATEGORIA],receitasvariáveisconsolidadofev[[#This Row],[ATUAL]])</f>
        <v>0</v>
      </c>
      <c r="J101" s="91">
        <f>SUMIFS(tabela_registros[VALOR],tabela_registros[MÊS],$AE$1,tabela_registros[DIA],receitasvariáveisconsolidadofev[[#Headers],[6]],tabela_registros[REGISTRO],DADOS!$N$3,tabela_registros[TIPO],DADOS!$V$4,tabela_registros[CATEGORIA],receitasvariáveisconsolidadofev[[#This Row],[ATUAL]])</f>
        <v>0</v>
      </c>
      <c r="K101" s="91">
        <f>SUMIFS(tabela_registros[VALOR],tabela_registros[MÊS],$AE$1,tabela_registros[DIA],receitasvariáveisconsolidadofev[[#Headers],[7]],tabela_registros[REGISTRO],DADOS!$N$3,tabela_registros[TIPO],DADOS!$V$4,tabela_registros[CATEGORIA],receitasvariáveisconsolidadofev[[#This Row],[ATUAL]])</f>
        <v>0</v>
      </c>
      <c r="L101" s="91">
        <f>SUMIFS(tabela_registros[VALOR],tabela_registros[MÊS],$AE$1,tabela_registros[DIA],receitasvariáveisconsolidadofev[[#Headers],[8]],tabela_registros[REGISTRO],DADOS!$N$3,tabela_registros[TIPO],DADOS!$V$4,tabela_registros[CATEGORIA],receitasvariáveisconsolidadofev[[#This Row],[ATUAL]])</f>
        <v>0</v>
      </c>
      <c r="M101" s="91">
        <f>SUMIFS(tabela_registros[VALOR],tabela_registros[MÊS],$AE$1,tabela_registros[DIA],receitasvariáveisconsolidadofev[[#Headers],[9]],tabela_registros[REGISTRO],DADOS!$N$3,tabela_registros[TIPO],DADOS!$V$4,tabela_registros[CATEGORIA],receitasvariáveisconsolidadofev[[#This Row],[ATUAL]])</f>
        <v>0</v>
      </c>
      <c r="N101" s="91">
        <f>SUMIFS(tabela_registros[VALOR],tabela_registros[MÊS],$AE$1,tabela_registros[DIA],receitasvariáveisconsolidadofev[[#Headers],[10]],tabela_registros[REGISTRO],DADOS!$N$3,tabela_registros[TIPO],DADOS!$V$4,tabela_registros[CATEGORIA],receitasvariáveisconsolidadofev[[#This Row],[ATUAL]])</f>
        <v>0</v>
      </c>
      <c r="O101" s="91">
        <f>SUMIFS(tabela_registros[VALOR],tabela_registros[MÊS],$AE$1,tabela_registros[DIA],receitasvariáveisconsolidadofev[[#Headers],[11]],tabela_registros[REGISTRO],DADOS!$N$3,tabela_registros[TIPO],DADOS!$V$4,tabela_registros[CATEGORIA],receitasvariáveisconsolidadofev[[#This Row],[ATUAL]])</f>
        <v>0</v>
      </c>
      <c r="P101" s="91">
        <f>SUMIFS(tabela_registros[VALOR],tabela_registros[MÊS],$AE$1,tabela_registros[DIA],receitasvariáveisconsolidadofev[[#Headers],[12]],tabela_registros[REGISTRO],DADOS!$N$3,tabela_registros[TIPO],DADOS!$V$4,tabela_registros[CATEGORIA],receitasvariáveisconsolidadofev[[#This Row],[ATUAL]])</f>
        <v>0</v>
      </c>
      <c r="Q101" s="91">
        <f>SUMIFS(tabela_registros[VALOR],tabela_registros[MÊS],$AE$1,tabela_registros[DIA],receitasvariáveisconsolidadofev[[#Headers],[13]],tabela_registros[REGISTRO],DADOS!$N$3,tabela_registros[TIPO],DADOS!$V$4,tabela_registros[CATEGORIA],receitasvariáveisconsolidadofev[[#This Row],[ATUAL]])</f>
        <v>0</v>
      </c>
      <c r="R101" s="91">
        <f>SUMIFS(tabela_registros[VALOR],tabela_registros[MÊS],$AE$1,tabela_registros[DIA],receitasvariáveisconsolidadofev[[#Headers],[14]],tabela_registros[REGISTRO],DADOS!$N$3,tabela_registros[TIPO],DADOS!$V$4,tabela_registros[CATEGORIA],receitasvariáveisconsolidadofev[[#This Row],[ATUAL]])</f>
        <v>0</v>
      </c>
      <c r="S101" s="91">
        <f>SUMIFS(tabela_registros[VALOR],tabela_registros[MÊS],$AE$1,tabela_registros[DIA],receitasvariáveisconsolidadofev[[#Headers],[15]],tabela_registros[REGISTRO],DADOS!$N$3,tabela_registros[TIPO],DADOS!$V$4,tabela_registros[CATEGORIA],receitasvariáveisconsolidadofev[[#This Row],[ATUAL]])</f>
        <v>0</v>
      </c>
      <c r="T101" s="91">
        <f>SUMIFS(tabela_registros[VALOR],tabela_registros[MÊS],$AE$1,tabela_registros[DIA],receitasvariáveisconsolidadofev[[#Headers],[16]],tabela_registros[REGISTRO],DADOS!$N$3,tabela_registros[TIPO],DADOS!$V$4,tabela_registros[CATEGORIA],receitasvariáveisconsolidadofev[[#This Row],[ATUAL]])</f>
        <v>0</v>
      </c>
      <c r="U101" s="91">
        <f>SUMIFS(tabela_registros[VALOR],tabela_registros[MÊS],$AE$1,tabela_registros[DIA],receitasvariáveisconsolidadofev[[#Headers],[17]],tabela_registros[REGISTRO],DADOS!$N$3,tabela_registros[TIPO],DADOS!$V$4,tabela_registros[CATEGORIA],receitasvariáveisconsolidadofev[[#This Row],[ATUAL]])</f>
        <v>0</v>
      </c>
      <c r="V101" s="91">
        <f>SUMIFS(tabela_registros[VALOR],tabela_registros[MÊS],$AE$1,tabela_registros[DIA],receitasvariáveisconsolidadofev[[#Headers],[18]],tabela_registros[REGISTRO],DADOS!$N$3,tabela_registros[TIPO],DADOS!$V$4,tabela_registros[CATEGORIA],receitasvariáveisconsolidadofev[[#This Row],[ATUAL]])</f>
        <v>0</v>
      </c>
      <c r="W101" s="91">
        <f>SUMIFS(tabela_registros[VALOR],tabela_registros[MÊS],$AE$1,tabela_registros[DIA],receitasvariáveisconsolidadofev[[#Headers],[19]],tabela_registros[REGISTRO],DADOS!$N$3,tabela_registros[TIPO],DADOS!$V$4,tabela_registros[CATEGORIA],receitasvariáveisconsolidadofev[[#This Row],[ATUAL]])</f>
        <v>0</v>
      </c>
      <c r="X101" s="91">
        <f>SUMIFS(tabela_registros[VALOR],tabela_registros[MÊS],$AE$1,tabela_registros[DIA],receitasvariáveisconsolidadofev[[#Headers],[20]],tabela_registros[REGISTRO],DADOS!$N$3,tabela_registros[TIPO],DADOS!$V$4,tabela_registros[CATEGORIA],receitasvariáveisconsolidadofev[[#This Row],[ATUAL]])</f>
        <v>0</v>
      </c>
      <c r="Y101" s="91">
        <f>SUMIFS(tabela_registros[VALOR],tabela_registros[MÊS],$AE$1,tabela_registros[DIA],receitasvariáveisconsolidadofev[[#Headers],[21]],tabela_registros[REGISTRO],DADOS!$N$3,tabela_registros[TIPO],DADOS!$V$4,tabela_registros[CATEGORIA],receitasvariáveisconsolidadofev[[#This Row],[ATUAL]])</f>
        <v>0</v>
      </c>
      <c r="Z101" s="91">
        <f>SUMIFS(tabela_registros[VALOR],tabela_registros[MÊS],$AE$1,tabela_registros[DIA],receitasvariáveisconsolidadofev[[#Headers],[22]],tabela_registros[REGISTRO],DADOS!$N$3,tabela_registros[TIPO],DADOS!$V$4,tabela_registros[CATEGORIA],receitasvariáveisconsolidadofev[[#This Row],[ATUAL]])</f>
        <v>0</v>
      </c>
      <c r="AA101" s="91">
        <f>SUMIFS(tabela_registros[VALOR],tabela_registros[MÊS],$AE$1,tabela_registros[DIA],receitasvariáveisconsolidadofev[[#Headers],[23]],tabela_registros[REGISTRO],DADOS!$N$3,tabela_registros[TIPO],DADOS!$V$4,tabela_registros[CATEGORIA],receitasvariáveisconsolidadofev[[#This Row],[ATUAL]])</f>
        <v>0</v>
      </c>
      <c r="AB101" s="91">
        <f>SUMIFS(tabela_registros[VALOR],tabela_registros[MÊS],$AE$1,tabela_registros[DIA],receitasvariáveisconsolidadofev[[#Headers],[24]],tabela_registros[REGISTRO],DADOS!$N$3,tabela_registros[TIPO],DADOS!$V$4,tabela_registros[CATEGORIA],receitasvariáveisconsolidadofev[[#This Row],[ATUAL]])</f>
        <v>0</v>
      </c>
      <c r="AC101" s="91">
        <f>SUMIFS(tabela_registros[VALOR],tabela_registros[MÊS],$AE$1,tabela_registros[DIA],receitasvariáveisconsolidadofev[[#Headers],[25]],tabela_registros[REGISTRO],DADOS!$N$3,tabela_registros[TIPO],DADOS!$V$4,tabela_registros[CATEGORIA],receitasvariáveisconsolidadofev[[#This Row],[ATUAL]])</f>
        <v>0</v>
      </c>
      <c r="AD101" s="91">
        <f>SUMIFS(tabela_registros[VALOR],tabela_registros[MÊS],$AE$1,tabela_registros[DIA],receitasvariáveisconsolidadofev[[#Headers],[26]],tabela_registros[REGISTRO],DADOS!$N$3,tabela_registros[TIPO],DADOS!$V$4,tabela_registros[CATEGORIA],receitasvariáveisconsolidadofev[[#This Row],[ATUAL]])</f>
        <v>0</v>
      </c>
      <c r="AE101" s="91">
        <f>SUMIFS(tabela_registros[VALOR],tabela_registros[MÊS],$AE$1,tabela_registros[DIA],receitasvariáveisconsolidadofev[[#Headers],[27]],tabela_registros[REGISTRO],DADOS!$N$3,tabela_registros[TIPO],DADOS!$V$4,tabela_registros[CATEGORIA],receitasvariáveisconsolidadofev[[#This Row],[ATUAL]])</f>
        <v>0</v>
      </c>
      <c r="AF101" s="91">
        <f>SUMIFS(tabela_registros[VALOR],tabela_registros[MÊS],$AE$1,tabela_registros[DIA],receitasvariáveisconsolidadofev[[#Headers],[28]],tabela_registros[REGISTRO],DADOS!$N$3,tabela_registros[TIPO],DADOS!$V$4,tabela_registros[CATEGORIA],receitasvariáveisconsolidadofev[[#This Row],[ATUAL]])</f>
        <v>0</v>
      </c>
      <c r="AG101" s="91">
        <f>SUMIFS(tabela_registros[VALOR],tabela_registros[MÊS],$AE$1,tabela_registros[DIA],receitasvariáveisconsolidadofev[[#Headers],[29]],tabela_registros[REGISTRO],DADOS!$N$3,tabela_registros[TIPO],DADOS!$V$4,tabela_registros[CATEGORIA],receitasvariáveisconsolidadofev[[#This Row],[ATUAL]])</f>
        <v>0</v>
      </c>
      <c r="AH101" s="91">
        <f>SUMIFS(tabela_registros[VALOR],tabela_registros[MÊS],$AE$1,tabela_registros[DIA],receitasvariáveisconsolidadofev[[#Headers],[30]],tabela_registros[REGISTRO],DADOS!$N$3,tabela_registros[TIPO],DADOS!$V$4,tabela_registros[CATEGORIA],receitasvariáveisconsolidadofev[[#This Row],[ATUAL]])</f>
        <v>0</v>
      </c>
      <c r="AI101" s="101">
        <f>SUMIFS(tabela_registros[VALOR],tabela_registros[MÊS],$AE$1,tabela_registros[DIA],receitasvariáveisconsolidadofev[[#Headers],[31]],tabela_registros[REGISTRO],DADOS!$N$3,tabela_registros[TIPO],DADOS!$V$4,tabela_registros[CATEGORIA],receitasvariáveisconsolidadofev[[#This Row],[ATUAL]])</f>
        <v>0</v>
      </c>
      <c r="AJ101" s="97">
        <f>SUM(receitasvariáveisconsolidadofev[[#This Row],[1]:[31]])</f>
        <v>0</v>
      </c>
      <c r="AK101" s="25"/>
    </row>
    <row r="102" spans="2:37" ht="19.5" customHeight="1" thickTop="1" thickBot="1" x14ac:dyDescent="0.3">
      <c r="B102" s="28"/>
      <c r="C102" s="27" t="str">
        <f>DADOS!$Z$9</f>
        <v>👷‍♀️ TRABALHO TEMPORÁRIO</v>
      </c>
      <c r="D102" s="26" t="str">
        <f>IF(receitasvariáveisconsolidadofev[[#This Row],[TOTAL (R$)]]=0,"",IF(OR(receitasvariáveisconsolidadofev[[#This Row],[TOTAL (R$)]]=LARGE($AJ$96:$AJ$103,1),receitasvariáveisconsolidadofev[[#This Row],[TOTAL (R$)]]=LARGE($AJ$96:$AJ$103,2)),DADOS!$I$9,""))</f>
        <v/>
      </c>
      <c r="E102" s="96">
        <f>SUMIFS(tabela_registros[VALOR],tabela_registros[MÊS],$AE$1,tabela_registros[DIA],receitasvariáveisconsolidadofev[[#Headers],[1]],tabela_registros[REGISTRO],DADOS!$N$3,tabela_registros[TIPO],DADOS!$V$4,tabela_registros[CATEGORIA],receitasvariáveisconsolidadofev[[#This Row],[ATUAL]])</f>
        <v>0</v>
      </c>
      <c r="F102" s="91">
        <f>SUMIFS(tabela_registros[VALOR],tabela_registros[MÊS],$AE$1,tabela_registros[DIA],receitasvariáveisconsolidadofev[[#Headers],[2]],tabela_registros[REGISTRO],DADOS!$N$3,tabela_registros[TIPO],DADOS!$V$4,tabela_registros[CATEGORIA],receitasvariáveisconsolidadofev[[#This Row],[ATUAL]])</f>
        <v>0</v>
      </c>
      <c r="G102" s="91">
        <f>SUMIFS(tabela_registros[VALOR],tabela_registros[MÊS],$AE$1,tabela_registros[DIA],receitasvariáveisconsolidadofev[[#Headers],[3]],tabela_registros[REGISTRO],DADOS!$N$3,tabela_registros[TIPO],DADOS!$V$4,tabela_registros[CATEGORIA],receitasvariáveisconsolidadofev[[#This Row],[ATUAL]])</f>
        <v>0</v>
      </c>
      <c r="H102" s="91">
        <f>SUMIFS(tabela_registros[VALOR],tabela_registros[MÊS],$AE$1,tabela_registros[DIA],receitasvariáveisconsolidadofev[[#Headers],[4]],tabela_registros[REGISTRO],DADOS!$N$3,tabela_registros[TIPO],DADOS!$V$4,tabela_registros[CATEGORIA],receitasvariáveisconsolidadofev[[#This Row],[ATUAL]])</f>
        <v>0</v>
      </c>
      <c r="I102" s="91">
        <f>SUMIFS(tabela_registros[VALOR],tabela_registros[MÊS],$AE$1,tabela_registros[DIA],receitasvariáveisconsolidadofev[[#Headers],[5]],tabela_registros[REGISTRO],DADOS!$N$3,tabela_registros[TIPO],DADOS!$V$4,tabela_registros[CATEGORIA],receitasvariáveisconsolidadofev[[#This Row],[ATUAL]])</f>
        <v>0</v>
      </c>
      <c r="J102" s="91">
        <f>SUMIFS(tabela_registros[VALOR],tabela_registros[MÊS],$AE$1,tabela_registros[DIA],receitasvariáveisconsolidadofev[[#Headers],[6]],tabela_registros[REGISTRO],DADOS!$N$3,tabela_registros[TIPO],DADOS!$V$4,tabela_registros[CATEGORIA],receitasvariáveisconsolidadofev[[#This Row],[ATUAL]])</f>
        <v>0</v>
      </c>
      <c r="K102" s="91">
        <f>SUMIFS(tabela_registros[VALOR],tabela_registros[MÊS],$AE$1,tabela_registros[DIA],receitasvariáveisconsolidadofev[[#Headers],[7]],tabela_registros[REGISTRO],DADOS!$N$3,tabela_registros[TIPO],DADOS!$V$4,tabela_registros[CATEGORIA],receitasvariáveisconsolidadofev[[#This Row],[ATUAL]])</f>
        <v>0</v>
      </c>
      <c r="L102" s="91">
        <f>SUMIFS(tabela_registros[VALOR],tabela_registros[MÊS],$AE$1,tabela_registros[DIA],receitasvariáveisconsolidadofev[[#Headers],[8]],tabela_registros[REGISTRO],DADOS!$N$3,tabela_registros[TIPO],DADOS!$V$4,tabela_registros[CATEGORIA],receitasvariáveisconsolidadofev[[#This Row],[ATUAL]])</f>
        <v>0</v>
      </c>
      <c r="M102" s="91">
        <f>SUMIFS(tabela_registros[VALOR],tabela_registros[MÊS],$AE$1,tabela_registros[DIA],receitasvariáveisconsolidadofev[[#Headers],[9]],tabela_registros[REGISTRO],DADOS!$N$3,tabela_registros[TIPO],DADOS!$V$4,tabela_registros[CATEGORIA],receitasvariáveisconsolidadofev[[#This Row],[ATUAL]])</f>
        <v>0</v>
      </c>
      <c r="N102" s="91">
        <f>SUMIFS(tabela_registros[VALOR],tabela_registros[MÊS],$AE$1,tabela_registros[DIA],receitasvariáveisconsolidadofev[[#Headers],[10]],tabela_registros[REGISTRO],DADOS!$N$3,tabela_registros[TIPO],DADOS!$V$4,tabela_registros[CATEGORIA],receitasvariáveisconsolidadofev[[#This Row],[ATUAL]])</f>
        <v>0</v>
      </c>
      <c r="O102" s="91">
        <f>SUMIFS(tabela_registros[VALOR],tabela_registros[MÊS],$AE$1,tabela_registros[DIA],receitasvariáveisconsolidadofev[[#Headers],[11]],tabela_registros[REGISTRO],DADOS!$N$3,tabela_registros[TIPO],DADOS!$V$4,tabela_registros[CATEGORIA],receitasvariáveisconsolidadofev[[#This Row],[ATUAL]])</f>
        <v>0</v>
      </c>
      <c r="P102" s="91">
        <f>SUMIFS(tabela_registros[VALOR],tabela_registros[MÊS],$AE$1,tabela_registros[DIA],receitasvariáveisconsolidadofev[[#Headers],[12]],tabela_registros[REGISTRO],DADOS!$N$3,tabela_registros[TIPO],DADOS!$V$4,tabela_registros[CATEGORIA],receitasvariáveisconsolidadofev[[#This Row],[ATUAL]])</f>
        <v>0</v>
      </c>
      <c r="Q102" s="91">
        <f>SUMIFS(tabela_registros[VALOR],tabela_registros[MÊS],$AE$1,tabela_registros[DIA],receitasvariáveisconsolidadofev[[#Headers],[13]],tabela_registros[REGISTRO],DADOS!$N$3,tabela_registros[TIPO],DADOS!$V$4,tabela_registros[CATEGORIA],receitasvariáveisconsolidadofev[[#This Row],[ATUAL]])</f>
        <v>0</v>
      </c>
      <c r="R102" s="91">
        <f>SUMIFS(tabela_registros[VALOR],tabela_registros[MÊS],$AE$1,tabela_registros[DIA],receitasvariáveisconsolidadofev[[#Headers],[14]],tabela_registros[REGISTRO],DADOS!$N$3,tabela_registros[TIPO],DADOS!$V$4,tabela_registros[CATEGORIA],receitasvariáveisconsolidadofev[[#This Row],[ATUAL]])</f>
        <v>0</v>
      </c>
      <c r="S102" s="91">
        <f>SUMIFS(tabela_registros[VALOR],tabela_registros[MÊS],$AE$1,tabela_registros[DIA],receitasvariáveisconsolidadofev[[#Headers],[15]],tabela_registros[REGISTRO],DADOS!$N$3,tabela_registros[TIPO],DADOS!$V$4,tabela_registros[CATEGORIA],receitasvariáveisconsolidadofev[[#This Row],[ATUAL]])</f>
        <v>0</v>
      </c>
      <c r="T102" s="91">
        <f>SUMIFS(tabela_registros[VALOR],tabela_registros[MÊS],$AE$1,tabela_registros[DIA],receitasvariáveisconsolidadofev[[#Headers],[16]],tabela_registros[REGISTRO],DADOS!$N$3,tabela_registros[TIPO],DADOS!$V$4,tabela_registros[CATEGORIA],receitasvariáveisconsolidadofev[[#This Row],[ATUAL]])</f>
        <v>0</v>
      </c>
      <c r="U102" s="91">
        <f>SUMIFS(tabela_registros[VALOR],tabela_registros[MÊS],$AE$1,tabela_registros[DIA],receitasvariáveisconsolidadofev[[#Headers],[17]],tabela_registros[REGISTRO],DADOS!$N$3,tabela_registros[TIPO],DADOS!$V$4,tabela_registros[CATEGORIA],receitasvariáveisconsolidadofev[[#This Row],[ATUAL]])</f>
        <v>0</v>
      </c>
      <c r="V102" s="91">
        <f>SUMIFS(tabela_registros[VALOR],tabela_registros[MÊS],$AE$1,tabela_registros[DIA],receitasvariáveisconsolidadofev[[#Headers],[18]],tabela_registros[REGISTRO],DADOS!$N$3,tabela_registros[TIPO],DADOS!$V$4,tabela_registros[CATEGORIA],receitasvariáveisconsolidadofev[[#This Row],[ATUAL]])</f>
        <v>0</v>
      </c>
      <c r="W102" s="91">
        <f>SUMIFS(tabela_registros[VALOR],tabela_registros[MÊS],$AE$1,tabela_registros[DIA],receitasvariáveisconsolidadofev[[#Headers],[19]],tabela_registros[REGISTRO],DADOS!$N$3,tabela_registros[TIPO],DADOS!$V$4,tabela_registros[CATEGORIA],receitasvariáveisconsolidadofev[[#This Row],[ATUAL]])</f>
        <v>0</v>
      </c>
      <c r="X102" s="91">
        <f>SUMIFS(tabela_registros[VALOR],tabela_registros[MÊS],$AE$1,tabela_registros[DIA],receitasvariáveisconsolidadofev[[#Headers],[20]],tabela_registros[REGISTRO],DADOS!$N$3,tabela_registros[TIPO],DADOS!$V$4,tabela_registros[CATEGORIA],receitasvariáveisconsolidadofev[[#This Row],[ATUAL]])</f>
        <v>0</v>
      </c>
      <c r="Y102" s="91">
        <f>SUMIFS(tabela_registros[VALOR],tabela_registros[MÊS],$AE$1,tabela_registros[DIA],receitasvariáveisconsolidadofev[[#Headers],[21]],tabela_registros[REGISTRO],DADOS!$N$3,tabela_registros[TIPO],DADOS!$V$4,tabela_registros[CATEGORIA],receitasvariáveisconsolidadofev[[#This Row],[ATUAL]])</f>
        <v>0</v>
      </c>
      <c r="Z102" s="91">
        <f>SUMIFS(tabela_registros[VALOR],tabela_registros[MÊS],$AE$1,tabela_registros[DIA],receitasvariáveisconsolidadofev[[#Headers],[22]],tabela_registros[REGISTRO],DADOS!$N$3,tabela_registros[TIPO],DADOS!$V$4,tabela_registros[CATEGORIA],receitasvariáveisconsolidadofev[[#This Row],[ATUAL]])</f>
        <v>0</v>
      </c>
      <c r="AA102" s="91">
        <f>SUMIFS(tabela_registros[VALOR],tabela_registros[MÊS],$AE$1,tabela_registros[DIA],receitasvariáveisconsolidadofev[[#Headers],[23]],tabela_registros[REGISTRO],DADOS!$N$3,tabela_registros[TIPO],DADOS!$V$4,tabela_registros[CATEGORIA],receitasvariáveisconsolidadofev[[#This Row],[ATUAL]])</f>
        <v>0</v>
      </c>
      <c r="AB102" s="91">
        <f>SUMIFS(tabela_registros[VALOR],tabela_registros[MÊS],$AE$1,tabela_registros[DIA],receitasvariáveisconsolidadofev[[#Headers],[24]],tabela_registros[REGISTRO],DADOS!$N$3,tabela_registros[TIPO],DADOS!$V$4,tabela_registros[CATEGORIA],receitasvariáveisconsolidadofev[[#This Row],[ATUAL]])</f>
        <v>0</v>
      </c>
      <c r="AC102" s="91">
        <f>SUMIFS(tabela_registros[VALOR],tabela_registros[MÊS],$AE$1,tabela_registros[DIA],receitasvariáveisconsolidadofev[[#Headers],[25]],tabela_registros[REGISTRO],DADOS!$N$3,tabela_registros[TIPO],DADOS!$V$4,tabela_registros[CATEGORIA],receitasvariáveisconsolidadofev[[#This Row],[ATUAL]])</f>
        <v>0</v>
      </c>
      <c r="AD102" s="91">
        <f>SUMIFS(tabela_registros[VALOR],tabela_registros[MÊS],$AE$1,tabela_registros[DIA],receitasvariáveisconsolidadofev[[#Headers],[26]],tabela_registros[REGISTRO],DADOS!$N$3,tabela_registros[TIPO],DADOS!$V$4,tabela_registros[CATEGORIA],receitasvariáveisconsolidadofev[[#This Row],[ATUAL]])</f>
        <v>0</v>
      </c>
      <c r="AE102" s="91">
        <f>SUMIFS(tabela_registros[VALOR],tabela_registros[MÊS],$AE$1,tabela_registros[DIA],receitasvariáveisconsolidadofev[[#Headers],[27]],tabela_registros[REGISTRO],DADOS!$N$3,tabela_registros[TIPO],DADOS!$V$4,tabela_registros[CATEGORIA],receitasvariáveisconsolidadofev[[#This Row],[ATUAL]])</f>
        <v>0</v>
      </c>
      <c r="AF102" s="91">
        <f>SUMIFS(tabela_registros[VALOR],tabela_registros[MÊS],$AE$1,tabela_registros[DIA],receitasvariáveisconsolidadofev[[#Headers],[28]],tabela_registros[REGISTRO],DADOS!$N$3,tabela_registros[TIPO],DADOS!$V$4,tabela_registros[CATEGORIA],receitasvariáveisconsolidadofev[[#This Row],[ATUAL]])</f>
        <v>0</v>
      </c>
      <c r="AG102" s="91">
        <f>SUMIFS(tabela_registros[VALOR],tabela_registros[MÊS],$AE$1,tabela_registros[DIA],receitasvariáveisconsolidadofev[[#Headers],[29]],tabela_registros[REGISTRO],DADOS!$N$3,tabela_registros[TIPO],DADOS!$V$4,tabela_registros[CATEGORIA],receitasvariáveisconsolidadofev[[#This Row],[ATUAL]])</f>
        <v>0</v>
      </c>
      <c r="AH102" s="91">
        <f>SUMIFS(tabela_registros[VALOR],tabela_registros[MÊS],$AE$1,tabela_registros[DIA],receitasvariáveisconsolidadofev[[#Headers],[30]],tabela_registros[REGISTRO],DADOS!$N$3,tabela_registros[TIPO],DADOS!$V$4,tabela_registros[CATEGORIA],receitasvariáveisconsolidadofev[[#This Row],[ATUAL]])</f>
        <v>0</v>
      </c>
      <c r="AI102" s="101">
        <f>SUMIFS(tabela_registros[VALOR],tabela_registros[MÊS],$AE$1,tabela_registros[DIA],receitasvariáveisconsolidadofev[[#Headers],[31]],tabela_registros[REGISTRO],DADOS!$N$3,tabela_registros[TIPO],DADOS!$V$4,tabela_registros[CATEGORIA],receitasvariáveisconsolidadofev[[#This Row],[ATUAL]])</f>
        <v>0</v>
      </c>
      <c r="AJ102" s="97">
        <f>SUM(receitasvariáveisconsolidadofev[[#This Row],[1]:[31]])</f>
        <v>0</v>
      </c>
      <c r="AK102" s="25"/>
    </row>
    <row r="103" spans="2:37" ht="18" customHeight="1" thickTop="1" thickBot="1" x14ac:dyDescent="0.3">
      <c r="B103" s="28"/>
      <c r="C103" s="27" t="str">
        <f>DADOS!$Z$10</f>
        <v>📎 OUTROS</v>
      </c>
      <c r="D103" s="26" t="str">
        <f>IF(receitasvariáveisconsolidadofev[[#This Row],[TOTAL (R$)]]=0,"",IF(OR(receitasvariáveisconsolidadofev[[#This Row],[TOTAL (R$)]]=LARGE($AJ$96:$AJ$103,1),receitasvariáveisconsolidadofev[[#This Row],[TOTAL (R$)]]=LARGE($AJ$96:$AJ$103,2)),DADOS!$I$9,""))</f>
        <v/>
      </c>
      <c r="E103" s="96">
        <f>SUMIFS(tabela_registros[VALOR],tabela_registros[MÊS],$AE$1,tabela_registros[DIA],receitasvariáveisconsolidadofev[[#Headers],[1]],tabela_registros[REGISTRO],DADOS!$N$3,tabela_registros[TIPO],DADOS!$V$4,tabela_registros[CATEGORIA],receitasvariáveisconsolidadofev[[#This Row],[ATUAL]])</f>
        <v>0</v>
      </c>
      <c r="F103" s="91">
        <f>SUMIFS(tabela_registros[VALOR],tabela_registros[MÊS],$AE$1,tabela_registros[DIA],receitasvariáveisconsolidadofev[[#Headers],[2]],tabela_registros[REGISTRO],DADOS!$N$3,tabela_registros[TIPO],DADOS!$V$4,tabela_registros[CATEGORIA],receitasvariáveisconsolidadofev[[#This Row],[ATUAL]])</f>
        <v>0</v>
      </c>
      <c r="G103" s="91">
        <f>SUMIFS(tabela_registros[VALOR],tabela_registros[MÊS],$AE$1,tabela_registros[DIA],receitasvariáveisconsolidadofev[[#Headers],[3]],tabela_registros[REGISTRO],DADOS!$N$3,tabela_registros[TIPO],DADOS!$V$4,tabela_registros[CATEGORIA],receitasvariáveisconsolidadofev[[#This Row],[ATUAL]])</f>
        <v>0</v>
      </c>
      <c r="H103" s="91">
        <f>SUMIFS(tabela_registros[VALOR],tabela_registros[MÊS],$AE$1,tabela_registros[DIA],receitasvariáveisconsolidadofev[[#Headers],[4]],tabela_registros[REGISTRO],DADOS!$N$3,tabela_registros[TIPO],DADOS!$V$4,tabela_registros[CATEGORIA],receitasvariáveisconsolidadofev[[#This Row],[ATUAL]])</f>
        <v>0</v>
      </c>
      <c r="I103" s="91">
        <f>SUMIFS(tabela_registros[VALOR],tabela_registros[MÊS],$AE$1,tabela_registros[DIA],receitasvariáveisconsolidadofev[[#Headers],[5]],tabela_registros[REGISTRO],DADOS!$N$3,tabela_registros[TIPO],DADOS!$V$4,tabela_registros[CATEGORIA],receitasvariáveisconsolidadofev[[#This Row],[ATUAL]])</f>
        <v>0</v>
      </c>
      <c r="J103" s="91">
        <f>SUMIFS(tabela_registros[VALOR],tabela_registros[MÊS],$AE$1,tabela_registros[DIA],receitasvariáveisconsolidadofev[[#Headers],[6]],tabela_registros[REGISTRO],DADOS!$N$3,tabela_registros[TIPO],DADOS!$V$4,tabela_registros[CATEGORIA],receitasvariáveisconsolidadofev[[#This Row],[ATUAL]])</f>
        <v>0</v>
      </c>
      <c r="K103" s="91">
        <f>SUMIFS(tabela_registros[VALOR],tabela_registros[MÊS],$AE$1,tabela_registros[DIA],receitasvariáveisconsolidadofev[[#Headers],[7]],tabela_registros[REGISTRO],DADOS!$N$3,tabela_registros[TIPO],DADOS!$V$4,tabela_registros[CATEGORIA],receitasvariáveisconsolidadofev[[#This Row],[ATUAL]])</f>
        <v>0</v>
      </c>
      <c r="L103" s="91">
        <f>SUMIFS(tabela_registros[VALOR],tabela_registros[MÊS],$AE$1,tabela_registros[DIA],receitasvariáveisconsolidadofev[[#Headers],[8]],tabela_registros[REGISTRO],DADOS!$N$3,tabela_registros[TIPO],DADOS!$V$4,tabela_registros[CATEGORIA],receitasvariáveisconsolidadofev[[#This Row],[ATUAL]])</f>
        <v>0</v>
      </c>
      <c r="M103" s="91">
        <f>SUMIFS(tabela_registros[VALOR],tabela_registros[MÊS],$AE$1,tabela_registros[DIA],receitasvariáveisconsolidadofev[[#Headers],[9]],tabela_registros[REGISTRO],DADOS!$N$3,tabela_registros[TIPO],DADOS!$V$4,tabela_registros[CATEGORIA],receitasvariáveisconsolidadofev[[#This Row],[ATUAL]])</f>
        <v>0</v>
      </c>
      <c r="N103" s="91">
        <f>SUMIFS(tabela_registros[VALOR],tabela_registros[MÊS],$AE$1,tabela_registros[DIA],receitasvariáveisconsolidadofev[[#Headers],[10]],tabela_registros[REGISTRO],DADOS!$N$3,tabela_registros[TIPO],DADOS!$V$4,tabela_registros[CATEGORIA],receitasvariáveisconsolidadofev[[#This Row],[ATUAL]])</f>
        <v>0</v>
      </c>
      <c r="O103" s="91">
        <f>SUMIFS(tabela_registros[VALOR],tabela_registros[MÊS],$AE$1,tabela_registros[DIA],receitasvariáveisconsolidadofev[[#Headers],[11]],tabela_registros[REGISTRO],DADOS!$N$3,tabela_registros[TIPO],DADOS!$V$4,tabela_registros[CATEGORIA],receitasvariáveisconsolidadofev[[#This Row],[ATUAL]])</f>
        <v>0</v>
      </c>
      <c r="P103" s="91">
        <f>SUMIFS(tabela_registros[VALOR],tabela_registros[MÊS],$AE$1,tabela_registros[DIA],receitasvariáveisconsolidadofev[[#Headers],[12]],tabela_registros[REGISTRO],DADOS!$N$3,tabela_registros[TIPO],DADOS!$V$4,tabela_registros[CATEGORIA],receitasvariáveisconsolidadofev[[#This Row],[ATUAL]])</f>
        <v>0</v>
      </c>
      <c r="Q103" s="91">
        <f>SUMIFS(tabela_registros[VALOR],tabela_registros[MÊS],$AE$1,tabela_registros[DIA],receitasvariáveisconsolidadofev[[#Headers],[13]],tabela_registros[REGISTRO],DADOS!$N$3,tabela_registros[TIPO],DADOS!$V$4,tabela_registros[CATEGORIA],receitasvariáveisconsolidadofev[[#This Row],[ATUAL]])</f>
        <v>0</v>
      </c>
      <c r="R103" s="91">
        <f>SUMIFS(tabela_registros[VALOR],tabela_registros[MÊS],$AE$1,tabela_registros[DIA],receitasvariáveisconsolidadofev[[#Headers],[14]],tabela_registros[REGISTRO],DADOS!$N$3,tabela_registros[TIPO],DADOS!$V$4,tabela_registros[CATEGORIA],receitasvariáveisconsolidadofev[[#This Row],[ATUAL]])</f>
        <v>0</v>
      </c>
      <c r="S103" s="91">
        <f>SUMIFS(tabela_registros[VALOR],tabela_registros[MÊS],$AE$1,tabela_registros[DIA],receitasvariáveisconsolidadofev[[#Headers],[15]],tabela_registros[REGISTRO],DADOS!$N$3,tabela_registros[TIPO],DADOS!$V$4,tabela_registros[CATEGORIA],receitasvariáveisconsolidadofev[[#This Row],[ATUAL]])</f>
        <v>0</v>
      </c>
      <c r="T103" s="91">
        <f>SUMIFS(tabela_registros[VALOR],tabela_registros[MÊS],$AE$1,tabela_registros[DIA],receitasvariáveisconsolidadofev[[#Headers],[16]],tabela_registros[REGISTRO],DADOS!$N$3,tabela_registros[TIPO],DADOS!$V$4,tabela_registros[CATEGORIA],receitasvariáveisconsolidadofev[[#This Row],[ATUAL]])</f>
        <v>0</v>
      </c>
      <c r="U103" s="91">
        <f>SUMIFS(tabela_registros[VALOR],tabela_registros[MÊS],$AE$1,tabela_registros[DIA],receitasvariáveisconsolidadofev[[#Headers],[17]],tabela_registros[REGISTRO],DADOS!$N$3,tabela_registros[TIPO],DADOS!$V$4,tabela_registros[CATEGORIA],receitasvariáveisconsolidadofev[[#This Row],[ATUAL]])</f>
        <v>0</v>
      </c>
      <c r="V103" s="91">
        <f>SUMIFS(tabela_registros[VALOR],tabela_registros[MÊS],$AE$1,tabela_registros[DIA],receitasvariáveisconsolidadofev[[#Headers],[18]],tabela_registros[REGISTRO],DADOS!$N$3,tabela_registros[TIPO],DADOS!$V$4,tabela_registros[CATEGORIA],receitasvariáveisconsolidadofev[[#This Row],[ATUAL]])</f>
        <v>0</v>
      </c>
      <c r="W103" s="91">
        <f>SUMIFS(tabela_registros[VALOR],tabela_registros[MÊS],$AE$1,tabela_registros[DIA],receitasvariáveisconsolidadofev[[#Headers],[19]],tabela_registros[REGISTRO],DADOS!$N$3,tabela_registros[TIPO],DADOS!$V$4,tabela_registros[CATEGORIA],receitasvariáveisconsolidadofev[[#This Row],[ATUAL]])</f>
        <v>0</v>
      </c>
      <c r="X103" s="91">
        <f>SUMIFS(tabela_registros[VALOR],tabela_registros[MÊS],$AE$1,tabela_registros[DIA],receitasvariáveisconsolidadofev[[#Headers],[20]],tabela_registros[REGISTRO],DADOS!$N$3,tabela_registros[TIPO],DADOS!$V$4,tabela_registros[CATEGORIA],receitasvariáveisconsolidadofev[[#This Row],[ATUAL]])</f>
        <v>0</v>
      </c>
      <c r="Y103" s="91">
        <f>SUMIFS(tabela_registros[VALOR],tabela_registros[MÊS],$AE$1,tabela_registros[DIA],receitasvariáveisconsolidadofev[[#Headers],[21]],tabela_registros[REGISTRO],DADOS!$N$3,tabela_registros[TIPO],DADOS!$V$4,tabela_registros[CATEGORIA],receitasvariáveisconsolidadofev[[#This Row],[ATUAL]])</f>
        <v>0</v>
      </c>
      <c r="Z103" s="91">
        <f>SUMIFS(tabela_registros[VALOR],tabela_registros[MÊS],$AE$1,tabela_registros[DIA],receitasvariáveisconsolidadofev[[#Headers],[22]],tabela_registros[REGISTRO],DADOS!$N$3,tabela_registros[TIPO],DADOS!$V$4,tabela_registros[CATEGORIA],receitasvariáveisconsolidadofev[[#This Row],[ATUAL]])</f>
        <v>0</v>
      </c>
      <c r="AA103" s="91">
        <f>SUMIFS(tabela_registros[VALOR],tabela_registros[MÊS],$AE$1,tabela_registros[DIA],receitasvariáveisconsolidadofev[[#Headers],[23]],tabela_registros[REGISTRO],DADOS!$N$3,tabela_registros[TIPO],DADOS!$V$4,tabela_registros[CATEGORIA],receitasvariáveisconsolidadofev[[#This Row],[ATUAL]])</f>
        <v>0</v>
      </c>
      <c r="AB103" s="91">
        <f>SUMIFS(tabela_registros[VALOR],tabela_registros[MÊS],$AE$1,tabela_registros[DIA],receitasvariáveisconsolidadofev[[#Headers],[24]],tabela_registros[REGISTRO],DADOS!$N$3,tabela_registros[TIPO],DADOS!$V$4,tabela_registros[CATEGORIA],receitasvariáveisconsolidadofev[[#This Row],[ATUAL]])</f>
        <v>0</v>
      </c>
      <c r="AC103" s="91">
        <f>SUMIFS(tabela_registros[VALOR],tabela_registros[MÊS],$AE$1,tabela_registros[DIA],receitasvariáveisconsolidadofev[[#Headers],[25]],tabela_registros[REGISTRO],DADOS!$N$3,tabela_registros[TIPO],DADOS!$V$4,tabela_registros[CATEGORIA],receitasvariáveisconsolidadofev[[#This Row],[ATUAL]])</f>
        <v>0</v>
      </c>
      <c r="AD103" s="91">
        <f>SUMIFS(tabela_registros[VALOR],tabela_registros[MÊS],$AE$1,tabela_registros[DIA],receitasvariáveisconsolidadofev[[#Headers],[26]],tabela_registros[REGISTRO],DADOS!$N$3,tabela_registros[TIPO],DADOS!$V$4,tabela_registros[CATEGORIA],receitasvariáveisconsolidadofev[[#This Row],[ATUAL]])</f>
        <v>0</v>
      </c>
      <c r="AE103" s="91">
        <f>SUMIFS(tabela_registros[VALOR],tabela_registros[MÊS],$AE$1,tabela_registros[DIA],receitasvariáveisconsolidadofev[[#Headers],[27]],tabela_registros[REGISTRO],DADOS!$N$3,tabela_registros[TIPO],DADOS!$V$4,tabela_registros[CATEGORIA],receitasvariáveisconsolidadofev[[#This Row],[ATUAL]])</f>
        <v>0</v>
      </c>
      <c r="AF103" s="91">
        <f>SUMIFS(tabela_registros[VALOR],tabela_registros[MÊS],$AE$1,tabela_registros[DIA],receitasvariáveisconsolidadofev[[#Headers],[28]],tabela_registros[REGISTRO],DADOS!$N$3,tabela_registros[TIPO],DADOS!$V$4,tabela_registros[CATEGORIA],receitasvariáveisconsolidadofev[[#This Row],[ATUAL]])</f>
        <v>0</v>
      </c>
      <c r="AG103" s="99">
        <f>SUMIFS(tabela_registros[VALOR],tabela_registros[MÊS],$AE$1,tabela_registros[DIA],receitasvariáveisconsolidadofev[[#Headers],[29]],tabela_registros[REGISTRO],DADOS!$N$3,tabela_registros[TIPO],DADOS!$V$4,tabela_registros[CATEGORIA],receitasvariáveisconsolidadofev[[#This Row],[ATUAL]])</f>
        <v>0</v>
      </c>
      <c r="AH103" s="99">
        <f>SUMIFS(tabela_registros[VALOR],tabela_registros[MÊS],$AE$1,tabela_registros[DIA],receitasvariáveisconsolidadofev[[#Headers],[30]],tabela_registros[REGISTRO],DADOS!$N$3,tabela_registros[TIPO],DADOS!$V$4,tabela_registros[CATEGORIA],receitasvariáveisconsolidadofev[[#This Row],[ATUAL]])</f>
        <v>0</v>
      </c>
      <c r="AI103" s="102">
        <f>SUMIFS(tabela_registros[VALOR],tabela_registros[MÊS],$AE$1,tabela_registros[DIA],receitasvariáveisconsolidadofev[[#Headers],[31]],tabela_registros[REGISTRO],DADOS!$N$3,tabela_registros[TIPO],DADOS!$V$4,tabela_registros[CATEGORIA],receitasvariáveisconsolidadofev[[#This Row],[ATUAL]])</f>
        <v>0</v>
      </c>
      <c r="AJ103" s="103">
        <f>SUM(receitasvariáveisconsolidadofev[[#This Row],[1]:[31]])</f>
        <v>0</v>
      </c>
      <c r="AK103" s="25"/>
    </row>
    <row r="104" spans="2:37" s="16" customFormat="1" ht="21" customHeight="1" thickTop="1" thickBot="1" x14ac:dyDescent="0.35">
      <c r="B104" s="24"/>
      <c r="C104" s="23" t="s">
        <v>19</v>
      </c>
      <c r="D104" s="22"/>
      <c r="E104" s="21">
        <f>SUM(E96:E103)</f>
        <v>0</v>
      </c>
      <c r="F104" s="20">
        <f>SUM(F96:F103)+receitasvariáveisconsolidadofev[[#This Row],[1]]</f>
        <v>0</v>
      </c>
      <c r="G104" s="20">
        <f>SUM(G96:G103)+receitasvariáveisconsolidadofev[[#This Row],[2]]</f>
        <v>0</v>
      </c>
      <c r="H104" s="20">
        <f>SUM(H96:H103)+receitasvariáveisconsolidadofev[[#This Row],[3]]</f>
        <v>0</v>
      </c>
      <c r="I104" s="20">
        <f>SUM(I96:I103)+receitasvariáveisconsolidadofev[[#This Row],[4]]</f>
        <v>0</v>
      </c>
      <c r="J104" s="20">
        <f>SUM(J96:J103)+receitasvariáveisconsolidadofev[[#This Row],[5]]</f>
        <v>0</v>
      </c>
      <c r="K104" s="20">
        <f>SUM(K96:K103)+receitasvariáveisconsolidadofev[[#This Row],[6]]</f>
        <v>0</v>
      </c>
      <c r="L104" s="20">
        <f>SUM(L96:L103)+receitasvariáveisconsolidadofev[[#This Row],[7]]</f>
        <v>0</v>
      </c>
      <c r="M104" s="20">
        <f>SUM(M96:M103)+receitasvariáveisconsolidadofev[[#This Row],[8]]</f>
        <v>0</v>
      </c>
      <c r="N104" s="20">
        <f>SUM(N96:N103)+receitasvariáveisconsolidadofev[[#This Row],[9]]</f>
        <v>0</v>
      </c>
      <c r="O104" s="20">
        <f>SUM(O96:O103)+receitasvariáveisconsolidadofev[[#This Row],[10]]</f>
        <v>0</v>
      </c>
      <c r="P104" s="20">
        <f>SUM(P96:P103)+receitasvariáveisconsolidadofev[[#This Row],[11]]</f>
        <v>0</v>
      </c>
      <c r="Q104" s="20">
        <f>SUM(Q96:Q103)+receitasvariáveisconsolidadofev[[#This Row],[12]]</f>
        <v>0</v>
      </c>
      <c r="R104" s="20">
        <f>SUM(R96:R103)+receitasvariáveisconsolidadofev[[#This Row],[13]]</f>
        <v>0</v>
      </c>
      <c r="S104" s="20">
        <f>SUM(S96:S103)+receitasvariáveisconsolidadofev[[#This Row],[14]]</f>
        <v>0</v>
      </c>
      <c r="T104" s="20">
        <f>SUM(T96:T103)+receitasvariáveisconsolidadofev[[#This Row],[15]]</f>
        <v>0</v>
      </c>
      <c r="U104" s="20">
        <f>SUM(U96:U103)+receitasvariáveisconsolidadofev[[#This Row],[16]]</f>
        <v>0</v>
      </c>
      <c r="V104" s="20">
        <f>SUM(V96:V103)+receitasvariáveisconsolidadofev[[#This Row],[17]]</f>
        <v>0</v>
      </c>
      <c r="W104" s="20">
        <f>SUM(W96:W103)+receitasvariáveisconsolidadofev[[#This Row],[18]]</f>
        <v>0</v>
      </c>
      <c r="X104" s="20">
        <f>SUM(X96:X103)+receitasvariáveisconsolidadofev[[#This Row],[19]]</f>
        <v>0</v>
      </c>
      <c r="Y104" s="20">
        <f>SUM(Y96:Y103)+receitasvariáveisconsolidadofev[[#This Row],[20]]</f>
        <v>0</v>
      </c>
      <c r="Z104" s="20">
        <f>SUM(Z96:Z103)+receitasvariáveisconsolidadofev[[#This Row],[21]]</f>
        <v>0</v>
      </c>
      <c r="AA104" s="20">
        <f>SUM(AA96:AA103)+receitasvariáveisconsolidadofev[[#This Row],[22]]</f>
        <v>0</v>
      </c>
      <c r="AB104" s="20">
        <f>SUM(AB96:AB103)+receitasvariáveisconsolidadofev[[#This Row],[23]]</f>
        <v>0</v>
      </c>
      <c r="AC104" s="20">
        <f>SUM(AC96:AC103)+receitasvariáveisconsolidadofev[[#This Row],[24]]</f>
        <v>0</v>
      </c>
      <c r="AD104" s="20">
        <f>SUM(AD96:AD103)+receitasvariáveisconsolidadofev[[#This Row],[25]]</f>
        <v>0</v>
      </c>
      <c r="AE104" s="20">
        <f>SUM(AE96:AE103)+receitasvariáveisconsolidadofev[[#This Row],[26]]</f>
        <v>0</v>
      </c>
      <c r="AF104" s="20">
        <f>SUM(AF96:AF103)+receitasvariáveisconsolidadofev[[#This Row],[27]]</f>
        <v>0</v>
      </c>
      <c r="AG104" s="20">
        <f>SUM(AG96:AG103)+receitasvariáveisconsolidadofev[[#This Row],[28]]</f>
        <v>0</v>
      </c>
      <c r="AH104" s="20">
        <f>SUM(AH96:AH103)+receitasvariáveisconsolidadofev[[#This Row],[29]]</f>
        <v>0</v>
      </c>
      <c r="AI104" s="19">
        <f>SUM(AI96:AI103)+receitasvariáveisconsolidadofev[[#This Row],[30]]</f>
        <v>0</v>
      </c>
      <c r="AJ104" s="18">
        <f>receitasvariáveisconsolidadofev[[#This Row],[31]]</f>
        <v>0</v>
      </c>
      <c r="AK104" s="17"/>
    </row>
    <row r="105" spans="2:37" ht="6.75" customHeight="1" thickTop="1" thickBot="1" x14ac:dyDescent="0.3">
      <c r="B105" s="15"/>
      <c r="C105" s="14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2"/>
      <c r="AJ105" s="11"/>
      <c r="AK105" s="10"/>
    </row>
    <row r="106" spans="2:37" ht="12.6" thickTop="1" x14ac:dyDescent="0.25">
      <c r="E106" s="37"/>
      <c r="AI106" s="4"/>
    </row>
    <row r="107" spans="2:37" x14ac:dyDescent="0.25">
      <c r="AI107" s="4"/>
    </row>
    <row r="108" spans="2:37" x14ac:dyDescent="0.25">
      <c r="AI108" s="4"/>
    </row>
    <row r="109" spans="2:37" ht="39.75" customHeight="1" x14ac:dyDescent="0.7">
      <c r="C109" s="36"/>
      <c r="E109" s="240"/>
      <c r="F109" s="240"/>
      <c r="G109" s="240"/>
      <c r="H109" s="240"/>
      <c r="I109" s="240"/>
      <c r="J109" s="240"/>
      <c r="K109" s="240"/>
      <c r="L109" s="240"/>
      <c r="M109" s="240"/>
      <c r="N109" s="240"/>
      <c r="O109" s="240"/>
      <c r="P109" s="240"/>
      <c r="Q109" s="240"/>
      <c r="R109" s="240"/>
      <c r="S109" s="240"/>
      <c r="T109" s="240"/>
      <c r="U109" s="240"/>
      <c r="V109" s="240"/>
      <c r="W109" s="240"/>
      <c r="X109" s="240"/>
      <c r="Y109" s="240"/>
      <c r="Z109" s="240"/>
      <c r="AA109" s="240"/>
      <c r="AB109" s="240"/>
      <c r="AC109" s="240"/>
      <c r="AD109" s="240"/>
      <c r="AE109" s="240"/>
      <c r="AF109" s="240"/>
      <c r="AG109" s="240"/>
      <c r="AH109" s="240"/>
      <c r="AI109" s="240"/>
      <c r="AJ109" s="32" t="s">
        <v>19</v>
      </c>
    </row>
    <row r="110" spans="2:37" ht="12.6" thickBot="1" x14ac:dyDescent="0.3">
      <c r="B110" s="35"/>
      <c r="AI110" s="4"/>
      <c r="AJ110" s="34" t="s">
        <v>202</v>
      </c>
    </row>
    <row r="111" spans="2:37" ht="6.75" customHeight="1" thickTop="1" thickBot="1" x14ac:dyDescent="0.3">
      <c r="B111" s="2"/>
      <c r="C111" s="14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2"/>
      <c r="AK111" s="33"/>
    </row>
    <row r="112" spans="2:37" ht="13.2" hidden="1" thickTop="1" thickBot="1" x14ac:dyDescent="0.3">
      <c r="B112" s="2"/>
      <c r="C112" s="31" t="s">
        <v>199</v>
      </c>
      <c r="D112" s="30" t="s">
        <v>198</v>
      </c>
      <c r="E112" s="30" t="s">
        <v>197</v>
      </c>
      <c r="F112" s="30" t="s">
        <v>196</v>
      </c>
      <c r="G112" s="30" t="s">
        <v>195</v>
      </c>
      <c r="H112" s="30" t="s">
        <v>194</v>
      </c>
      <c r="I112" s="30" t="s">
        <v>193</v>
      </c>
      <c r="J112" s="30" t="s">
        <v>192</v>
      </c>
      <c r="K112" s="30" t="s">
        <v>191</v>
      </c>
      <c r="L112" s="30" t="s">
        <v>190</v>
      </c>
      <c r="M112" s="30" t="s">
        <v>189</v>
      </c>
      <c r="N112" s="30" t="s">
        <v>188</v>
      </c>
      <c r="O112" s="30" t="s">
        <v>187</v>
      </c>
      <c r="P112" s="30" t="s">
        <v>186</v>
      </c>
      <c r="Q112" s="30" t="s">
        <v>185</v>
      </c>
      <c r="R112" s="30" t="s">
        <v>184</v>
      </c>
      <c r="S112" s="30" t="s">
        <v>183</v>
      </c>
      <c r="T112" s="30" t="s">
        <v>182</v>
      </c>
      <c r="U112" s="30" t="s">
        <v>181</v>
      </c>
      <c r="V112" s="30" t="s">
        <v>180</v>
      </c>
      <c r="W112" s="30" t="s">
        <v>179</v>
      </c>
      <c r="X112" s="30" t="s">
        <v>178</v>
      </c>
      <c r="Y112" s="30" t="s">
        <v>177</v>
      </c>
      <c r="Z112" s="30" t="s">
        <v>176</v>
      </c>
      <c r="AA112" s="30" t="s">
        <v>175</v>
      </c>
      <c r="AB112" s="30" t="s">
        <v>174</v>
      </c>
      <c r="AC112" s="30" t="s">
        <v>173</v>
      </c>
      <c r="AD112" s="30" t="s">
        <v>172</v>
      </c>
      <c r="AE112" s="30" t="s">
        <v>171</v>
      </c>
      <c r="AF112" s="30" t="s">
        <v>170</v>
      </c>
      <c r="AG112" s="30" t="s">
        <v>169</v>
      </c>
      <c r="AH112" s="30" t="s">
        <v>168</v>
      </c>
      <c r="AI112" s="30" t="s">
        <v>167</v>
      </c>
      <c r="AJ112" s="29" t="s">
        <v>166</v>
      </c>
      <c r="AK112" s="2"/>
    </row>
    <row r="113" spans="2:37" ht="19.5" customHeight="1" thickTop="1" thickBot="1" x14ac:dyDescent="0.3">
      <c r="B113" s="28"/>
      <c r="C113" s="27" t="str">
        <f>DADOS!$AD$3</f>
        <v>📝 CDB</v>
      </c>
      <c r="D113" s="26" t="str">
        <f>IF(investirrendafixaconsolidadofev[[#This Row],[TOTAL (R$)]]=0,"",IF(OR(investirrendafixaconsolidadofev[[#This Row],[TOTAL (R$)]]=LARGE($AJ$113:$AJ$122,1),investirrendafixaconsolidadofev[[#This Row],[TOTAL (R$)]]=LARGE($AJ$113:$AJ$122,2)),DADOS!$I$10,""))</f>
        <v/>
      </c>
      <c r="E113" s="96">
        <f>SUMIFS(tabela_registros[VALOR],tabela_registros[MÊS],$AE$1,tabela_registros[DIA],investirrendafixaconsolidadofev[[#Headers],[1]],tabela_registros[REGISTRO],DADOS!$N$5,tabela_registros[TIPO],DADOS!$AB$3,tabela_registros[CATEGORIA],investirrendafixaconsolidadofev[[#This Row],[ATUAL]])</f>
        <v>0</v>
      </c>
      <c r="F113" s="91">
        <f>SUMIFS(tabela_registros[VALOR],tabela_registros[MÊS],$AE$1,tabela_registros[DIA],investirrendafixaconsolidadofev[[#Headers],[2]],tabela_registros[REGISTRO],DADOS!$N$5,tabela_registros[TIPO],DADOS!$AB$3,tabela_registros[CATEGORIA],investirrendafixaconsolidadofev[[#This Row],[ATUAL]])</f>
        <v>0</v>
      </c>
      <c r="G113" s="91">
        <f>SUMIFS(tabela_registros[VALOR],tabela_registros[MÊS],$AE$1,tabela_registros[DIA],investirrendafixaconsolidadofev[[#Headers],[3]],tabela_registros[REGISTRO],DADOS!$N$5,tabela_registros[TIPO],DADOS!$AB$3,tabela_registros[CATEGORIA],investirrendafixaconsolidadofev[[#This Row],[ATUAL]])</f>
        <v>0</v>
      </c>
      <c r="H113" s="91">
        <f>SUMIFS(tabela_registros[VALOR],tabela_registros[MÊS],$AE$1,tabela_registros[DIA],investirrendafixaconsolidadofev[[#Headers],[4]],tabela_registros[REGISTRO],DADOS!$N$5,tabela_registros[TIPO],DADOS!$AB$3,tabela_registros[CATEGORIA],investirrendafixaconsolidadofev[[#This Row],[ATUAL]])</f>
        <v>0</v>
      </c>
      <c r="I113" s="91">
        <f>SUMIFS(tabela_registros[VALOR],tabela_registros[MÊS],$AE$1,tabela_registros[DIA],investirrendafixaconsolidadofev[[#Headers],[5]],tabela_registros[REGISTRO],DADOS!$N$5,tabela_registros[TIPO],DADOS!$AB$3,tabela_registros[CATEGORIA],investirrendafixaconsolidadofev[[#This Row],[ATUAL]])</f>
        <v>0</v>
      </c>
      <c r="J113" s="91">
        <f>SUMIFS(tabela_registros[VALOR],tabela_registros[MÊS],$AE$1,tabela_registros[DIA],investirrendafixaconsolidadofev[[#Headers],[6]],tabela_registros[REGISTRO],DADOS!$N$5,tabela_registros[TIPO],DADOS!$AB$3,tabela_registros[CATEGORIA],investirrendafixaconsolidadofev[[#This Row],[ATUAL]])</f>
        <v>0</v>
      </c>
      <c r="K113" s="91">
        <f>SUMIFS(tabela_registros[VALOR],tabela_registros[MÊS],$AE$1,tabela_registros[DIA],investirrendafixaconsolidadofev[[#Headers],[7]],tabela_registros[REGISTRO],DADOS!$N$5,tabela_registros[TIPO],DADOS!$AB$3,tabela_registros[CATEGORIA],investirrendafixaconsolidadofev[[#This Row],[ATUAL]])</f>
        <v>0</v>
      </c>
      <c r="L113" s="91">
        <f>SUMIFS(tabela_registros[VALOR],tabela_registros[MÊS],$AE$1,tabela_registros[DIA],investirrendafixaconsolidadofev[[#Headers],[8]],tabela_registros[REGISTRO],DADOS!$N$5,tabela_registros[TIPO],DADOS!$AB$3,tabela_registros[CATEGORIA],investirrendafixaconsolidadofev[[#This Row],[ATUAL]])</f>
        <v>0</v>
      </c>
      <c r="M113" s="91">
        <f>SUMIFS(tabela_registros[VALOR],tabela_registros[MÊS],$AE$1,tabela_registros[DIA],investirrendafixaconsolidadofev[[#Headers],[9]],tabela_registros[REGISTRO],DADOS!$N$5,tabela_registros[TIPO],DADOS!$AB$3,tabela_registros[CATEGORIA],investirrendafixaconsolidadofev[[#This Row],[ATUAL]])</f>
        <v>0</v>
      </c>
      <c r="N113" s="91">
        <f>SUMIFS(tabela_registros[VALOR],tabela_registros[MÊS],$AE$1,tabela_registros[DIA],investirrendafixaconsolidadofev[[#Headers],[10]],tabela_registros[REGISTRO],DADOS!$N$5,tabela_registros[TIPO],DADOS!$AB$3,tabela_registros[CATEGORIA],investirrendafixaconsolidadofev[[#This Row],[ATUAL]])</f>
        <v>0</v>
      </c>
      <c r="O113" s="91">
        <f>SUMIFS(tabela_registros[VALOR],tabela_registros[MÊS],$AE$1,tabela_registros[DIA],investirrendafixaconsolidadofev[[#Headers],[11]],tabela_registros[REGISTRO],DADOS!$N$5,tabela_registros[TIPO],DADOS!$AB$3,tabela_registros[CATEGORIA],investirrendafixaconsolidadofev[[#This Row],[ATUAL]])</f>
        <v>0</v>
      </c>
      <c r="P113" s="91">
        <f>SUMIFS(tabela_registros[VALOR],tabela_registros[MÊS],$AE$1,tabela_registros[DIA],investirrendafixaconsolidadofev[[#Headers],[12]],tabela_registros[REGISTRO],DADOS!$N$5,tabela_registros[TIPO],DADOS!$AB$3,tabela_registros[CATEGORIA],investirrendafixaconsolidadofev[[#This Row],[ATUAL]])</f>
        <v>0</v>
      </c>
      <c r="Q113" s="91">
        <f>SUMIFS(tabela_registros[VALOR],tabela_registros[MÊS],$AE$1,tabela_registros[DIA],investirrendafixaconsolidadofev[[#Headers],[13]],tabela_registros[REGISTRO],DADOS!$N$5,tabela_registros[TIPO],DADOS!$AB$3,tabela_registros[CATEGORIA],investirrendafixaconsolidadofev[[#This Row],[ATUAL]])</f>
        <v>0</v>
      </c>
      <c r="R113" s="91">
        <f>SUMIFS(tabela_registros[VALOR],tabela_registros[MÊS],$AE$1,tabela_registros[DIA],investirrendafixaconsolidadofev[[#Headers],[14]],tabela_registros[REGISTRO],DADOS!$N$5,tabela_registros[TIPO],DADOS!$AB$3,tabela_registros[CATEGORIA],investirrendafixaconsolidadofev[[#This Row],[ATUAL]])</f>
        <v>0</v>
      </c>
      <c r="S113" s="91">
        <f>SUMIFS(tabela_registros[VALOR],tabela_registros[MÊS],$AE$1,tabela_registros[DIA],investirrendafixaconsolidadofev[[#Headers],[15]],tabela_registros[REGISTRO],DADOS!$N$5,tabela_registros[TIPO],DADOS!$AB$3,tabela_registros[CATEGORIA],investirrendafixaconsolidadofev[[#This Row],[ATUAL]])</f>
        <v>0</v>
      </c>
      <c r="T113" s="91">
        <f>SUMIFS(tabela_registros[VALOR],tabela_registros[MÊS],$AE$1,tabela_registros[DIA],investirrendafixaconsolidadofev[[#Headers],[16]],tabela_registros[REGISTRO],DADOS!$N$5,tabela_registros[TIPO],DADOS!$AB$3,tabela_registros[CATEGORIA],investirrendafixaconsolidadofev[[#This Row],[ATUAL]])</f>
        <v>0</v>
      </c>
      <c r="U113" s="91">
        <f>SUMIFS(tabela_registros[VALOR],tabela_registros[MÊS],$AE$1,tabela_registros[DIA],investirrendafixaconsolidadofev[[#Headers],[17]],tabela_registros[REGISTRO],DADOS!$N$5,tabela_registros[TIPO],DADOS!$AB$3,tabela_registros[CATEGORIA],investirrendafixaconsolidadofev[[#This Row],[ATUAL]])</f>
        <v>0</v>
      </c>
      <c r="V113" s="91">
        <f>SUMIFS(tabela_registros[VALOR],tabela_registros[MÊS],$AE$1,tabela_registros[DIA],investirrendafixaconsolidadofev[[#Headers],[18]],tabela_registros[REGISTRO],DADOS!$N$5,tabela_registros[TIPO],DADOS!$AB$3,tabela_registros[CATEGORIA],investirrendafixaconsolidadofev[[#This Row],[ATUAL]])</f>
        <v>0</v>
      </c>
      <c r="W113" s="91">
        <f>SUMIFS(tabela_registros[VALOR],tabela_registros[MÊS],$AE$1,tabela_registros[DIA],investirrendafixaconsolidadofev[[#Headers],[19]],tabela_registros[REGISTRO],DADOS!$N$5,tabela_registros[TIPO],DADOS!$AB$3,tabela_registros[CATEGORIA],investirrendafixaconsolidadofev[[#This Row],[ATUAL]])</f>
        <v>0</v>
      </c>
      <c r="X113" s="91">
        <f>SUMIFS(tabela_registros[VALOR],tabela_registros[MÊS],$AE$1,tabela_registros[DIA],investirrendafixaconsolidadofev[[#Headers],[20]],tabela_registros[REGISTRO],DADOS!$N$5,tabela_registros[TIPO],DADOS!$AB$3,tabela_registros[CATEGORIA],investirrendafixaconsolidadofev[[#This Row],[ATUAL]])</f>
        <v>0</v>
      </c>
      <c r="Y113" s="91">
        <f>SUMIFS(tabela_registros[VALOR],tabela_registros[MÊS],$AE$1,tabela_registros[DIA],investirrendafixaconsolidadofev[[#Headers],[21]],tabela_registros[REGISTRO],DADOS!$N$5,tabela_registros[TIPO],DADOS!$AB$3,tabela_registros[CATEGORIA],investirrendafixaconsolidadofev[[#This Row],[ATUAL]])</f>
        <v>0</v>
      </c>
      <c r="Z113" s="91">
        <f>SUMIFS(tabela_registros[VALOR],tabela_registros[MÊS],$AE$1,tabela_registros[DIA],investirrendafixaconsolidadofev[[#Headers],[22]],tabela_registros[REGISTRO],DADOS!$N$5,tabela_registros[TIPO],DADOS!$AB$3,tabela_registros[CATEGORIA],investirrendafixaconsolidadofev[[#This Row],[ATUAL]])</f>
        <v>0</v>
      </c>
      <c r="AA113" s="91">
        <f>SUMIFS(tabela_registros[VALOR],tabela_registros[MÊS],$AE$1,tabela_registros[DIA],investirrendafixaconsolidadofev[[#Headers],[23]],tabela_registros[REGISTRO],DADOS!$N$5,tabela_registros[TIPO],DADOS!$AB$3,tabela_registros[CATEGORIA],investirrendafixaconsolidadofev[[#This Row],[ATUAL]])</f>
        <v>0</v>
      </c>
      <c r="AB113" s="91">
        <f>SUMIFS(tabela_registros[VALOR],tabela_registros[MÊS],$AE$1,tabela_registros[DIA],investirrendafixaconsolidadofev[[#Headers],[24]],tabela_registros[REGISTRO],DADOS!$N$5,tabela_registros[TIPO],DADOS!$AB$3,tabela_registros[CATEGORIA],investirrendafixaconsolidadofev[[#This Row],[ATUAL]])</f>
        <v>0</v>
      </c>
      <c r="AC113" s="91">
        <f>SUMIFS(tabela_registros[VALOR],tabela_registros[MÊS],$AE$1,tabela_registros[DIA],investirrendafixaconsolidadofev[[#Headers],[25]],tabela_registros[REGISTRO],DADOS!$N$5,tabela_registros[TIPO],DADOS!$AB$3,tabela_registros[CATEGORIA],investirrendafixaconsolidadofev[[#This Row],[ATUAL]])</f>
        <v>0</v>
      </c>
      <c r="AD113" s="91">
        <f>SUMIFS(tabela_registros[VALOR],tabela_registros[MÊS],$AE$1,tabela_registros[DIA],investirrendafixaconsolidadofev[[#Headers],[26]],tabela_registros[REGISTRO],DADOS!$N$5,tabela_registros[TIPO],DADOS!$AB$3,tabela_registros[CATEGORIA],investirrendafixaconsolidadofev[[#This Row],[ATUAL]])</f>
        <v>0</v>
      </c>
      <c r="AE113" s="91">
        <f>SUMIFS(tabela_registros[VALOR],tabela_registros[MÊS],$AE$1,tabela_registros[DIA],investirrendafixaconsolidadofev[[#Headers],[27]],tabela_registros[REGISTRO],DADOS!$N$5,tabela_registros[TIPO],DADOS!$AB$3,tabela_registros[CATEGORIA],investirrendafixaconsolidadofev[[#This Row],[ATUAL]])</f>
        <v>0</v>
      </c>
      <c r="AF113" s="91">
        <f>SUMIFS(tabela_registros[VALOR],tabela_registros[MÊS],$AE$1,tabela_registros[DIA],investirrendafixaconsolidadofev[[#Headers],[28]],tabela_registros[REGISTRO],DADOS!$N$5,tabela_registros[TIPO],DADOS!$AB$3,tabela_registros[CATEGORIA],investirrendafixaconsolidadofev[[#This Row],[ATUAL]])</f>
        <v>0</v>
      </c>
      <c r="AG113" s="91">
        <f>SUMIFS(tabela_registros[VALOR],tabela_registros[MÊS],$AE$1,tabela_registros[DIA],investirrendafixaconsolidadofev[[#Headers],[29]],tabela_registros[REGISTRO],DADOS!$N$5,tabela_registros[TIPO],DADOS!$AB$3,tabela_registros[CATEGORIA],investirrendafixaconsolidadofev[[#This Row],[ATUAL]])</f>
        <v>0</v>
      </c>
      <c r="AH113" s="91">
        <f>SUMIFS(tabela_registros[VALOR],tabela_registros[MÊS],$AE$1,tabela_registros[DIA],investirrendafixaconsolidadofev[[#Headers],[30]],tabela_registros[REGISTRO],DADOS!$N$5,tabela_registros[TIPO],DADOS!$AB$3,tabela_registros[CATEGORIA],investirrendafixaconsolidadofev[[#This Row],[ATUAL]])</f>
        <v>0</v>
      </c>
      <c r="AI113" s="101">
        <f>SUMIFS(tabela_registros[VALOR],tabela_registros[MÊS],$AE$1,tabela_registros[DIA],investirrendafixaconsolidadofev[[#Headers],[31]],tabela_registros[REGISTRO],DADOS!$N$5,tabela_registros[TIPO],DADOS!$AB$3,tabela_registros[CATEGORIA],investirrendafixaconsolidadofev[[#This Row],[ATUAL]])</f>
        <v>0</v>
      </c>
      <c r="AJ113" s="97">
        <f>SUM(investirrendafixaconsolidadofev[[#This Row],[1]:[31]])</f>
        <v>0</v>
      </c>
      <c r="AK113" s="25"/>
    </row>
    <row r="114" spans="2:37" ht="19.5" customHeight="1" thickTop="1" thickBot="1" x14ac:dyDescent="0.3">
      <c r="B114" s="28"/>
      <c r="C114" s="27" t="str">
        <f>DADOS!$AD$4</f>
        <v>📝 CRA</v>
      </c>
      <c r="D114" s="26" t="str">
        <f>IF(investirrendafixaconsolidadofev[[#This Row],[TOTAL (R$)]]=0,"",IF(OR(investirrendafixaconsolidadofev[[#This Row],[TOTAL (R$)]]=LARGE($AJ$113:$AJ$122,1),investirrendafixaconsolidadofev[[#This Row],[TOTAL (R$)]]=LARGE($AJ$113:$AJ$122,2)),DADOS!$I$10,""))</f>
        <v/>
      </c>
      <c r="E114" s="96">
        <f>SUMIFS(tabela_registros[VALOR],tabela_registros[MÊS],$AE$1,tabela_registros[DIA],investirrendafixaconsolidadofev[[#Headers],[1]],tabela_registros[REGISTRO],DADOS!$N$5,tabela_registros[TIPO],DADOS!$AB$3,tabela_registros[CATEGORIA],investirrendafixaconsolidadofev[[#This Row],[ATUAL]])</f>
        <v>0</v>
      </c>
      <c r="F114" s="91">
        <f>SUMIFS(tabela_registros[VALOR],tabela_registros[MÊS],$AE$1,tabela_registros[DIA],investirrendafixaconsolidadofev[[#Headers],[2]],tabela_registros[REGISTRO],DADOS!$N$5,tabela_registros[TIPO],DADOS!$AB$3,tabela_registros[CATEGORIA],investirrendafixaconsolidadofev[[#This Row],[ATUAL]])</f>
        <v>0</v>
      </c>
      <c r="G114" s="91">
        <f>SUMIFS(tabela_registros[VALOR],tabela_registros[MÊS],$AE$1,tabela_registros[DIA],investirrendafixaconsolidadofev[[#Headers],[3]],tabela_registros[REGISTRO],DADOS!$N$5,tabela_registros[TIPO],DADOS!$AB$3,tabela_registros[CATEGORIA],investirrendafixaconsolidadofev[[#This Row],[ATUAL]])</f>
        <v>0</v>
      </c>
      <c r="H114" s="91">
        <f>SUMIFS(tabela_registros[VALOR],tabela_registros[MÊS],$AE$1,tabela_registros[DIA],investirrendafixaconsolidadofev[[#Headers],[4]],tabela_registros[REGISTRO],DADOS!$N$5,tabela_registros[TIPO],DADOS!$AB$3,tabela_registros[CATEGORIA],investirrendafixaconsolidadofev[[#This Row],[ATUAL]])</f>
        <v>0</v>
      </c>
      <c r="I114" s="91">
        <f>SUMIFS(tabela_registros[VALOR],tabela_registros[MÊS],$AE$1,tabela_registros[DIA],investirrendafixaconsolidadofev[[#Headers],[5]],tabela_registros[REGISTRO],DADOS!$N$5,tabela_registros[TIPO],DADOS!$AB$3,tabela_registros[CATEGORIA],investirrendafixaconsolidadofev[[#This Row],[ATUAL]])</f>
        <v>0</v>
      </c>
      <c r="J114" s="91">
        <f>SUMIFS(tabela_registros[VALOR],tabela_registros[MÊS],$AE$1,tabela_registros[DIA],investirrendafixaconsolidadofev[[#Headers],[6]],tabela_registros[REGISTRO],DADOS!$N$5,tabela_registros[TIPO],DADOS!$AB$3,tabela_registros[CATEGORIA],investirrendafixaconsolidadofev[[#This Row],[ATUAL]])</f>
        <v>0</v>
      </c>
      <c r="K114" s="91">
        <f>SUMIFS(tabela_registros[VALOR],tabela_registros[MÊS],$AE$1,tabela_registros[DIA],investirrendafixaconsolidadofev[[#Headers],[7]],tabela_registros[REGISTRO],DADOS!$N$5,tabela_registros[TIPO],DADOS!$AB$3,tabela_registros[CATEGORIA],investirrendafixaconsolidadofev[[#This Row],[ATUAL]])</f>
        <v>0</v>
      </c>
      <c r="L114" s="91">
        <f>SUMIFS(tabela_registros[VALOR],tabela_registros[MÊS],$AE$1,tabela_registros[DIA],investirrendafixaconsolidadofev[[#Headers],[8]],tabela_registros[REGISTRO],DADOS!$N$5,tabela_registros[TIPO],DADOS!$AB$3,tabela_registros[CATEGORIA],investirrendafixaconsolidadofev[[#This Row],[ATUAL]])</f>
        <v>0</v>
      </c>
      <c r="M114" s="91">
        <f>SUMIFS(tabela_registros[VALOR],tabela_registros[MÊS],$AE$1,tabela_registros[DIA],investirrendafixaconsolidadofev[[#Headers],[9]],tabela_registros[REGISTRO],DADOS!$N$5,tabela_registros[TIPO],DADOS!$AB$3,tabela_registros[CATEGORIA],investirrendafixaconsolidadofev[[#This Row],[ATUAL]])</f>
        <v>0</v>
      </c>
      <c r="N114" s="91">
        <f>SUMIFS(tabela_registros[VALOR],tabela_registros[MÊS],$AE$1,tabela_registros[DIA],investirrendafixaconsolidadofev[[#Headers],[10]],tabela_registros[REGISTRO],DADOS!$N$5,tabela_registros[TIPO],DADOS!$AB$3,tabela_registros[CATEGORIA],investirrendafixaconsolidadofev[[#This Row],[ATUAL]])</f>
        <v>0</v>
      </c>
      <c r="O114" s="91">
        <f>SUMIFS(tabela_registros[VALOR],tabela_registros[MÊS],$AE$1,tabela_registros[DIA],investirrendafixaconsolidadofev[[#Headers],[11]],tabela_registros[REGISTRO],DADOS!$N$5,tabela_registros[TIPO],DADOS!$AB$3,tabela_registros[CATEGORIA],investirrendafixaconsolidadofev[[#This Row],[ATUAL]])</f>
        <v>0</v>
      </c>
      <c r="P114" s="91">
        <f>SUMIFS(tabela_registros[VALOR],tabela_registros[MÊS],$AE$1,tabela_registros[DIA],investirrendafixaconsolidadofev[[#Headers],[12]],tabela_registros[REGISTRO],DADOS!$N$5,tabela_registros[TIPO],DADOS!$AB$3,tabela_registros[CATEGORIA],investirrendafixaconsolidadofev[[#This Row],[ATUAL]])</f>
        <v>0</v>
      </c>
      <c r="Q114" s="91">
        <f>SUMIFS(tabela_registros[VALOR],tabela_registros[MÊS],$AE$1,tabela_registros[DIA],investirrendafixaconsolidadofev[[#Headers],[13]],tabela_registros[REGISTRO],DADOS!$N$5,tabela_registros[TIPO],DADOS!$AB$3,tabela_registros[CATEGORIA],investirrendafixaconsolidadofev[[#This Row],[ATUAL]])</f>
        <v>0</v>
      </c>
      <c r="R114" s="91">
        <f>SUMIFS(tabela_registros[VALOR],tabela_registros[MÊS],$AE$1,tabela_registros[DIA],investirrendafixaconsolidadofev[[#Headers],[14]],tabela_registros[REGISTRO],DADOS!$N$5,tabela_registros[TIPO],DADOS!$AB$3,tabela_registros[CATEGORIA],investirrendafixaconsolidadofev[[#This Row],[ATUAL]])</f>
        <v>0</v>
      </c>
      <c r="S114" s="91">
        <f>SUMIFS(tabela_registros[VALOR],tabela_registros[MÊS],$AE$1,tabela_registros[DIA],investirrendafixaconsolidadofev[[#Headers],[15]],tabela_registros[REGISTRO],DADOS!$N$5,tabela_registros[TIPO],DADOS!$AB$3,tabela_registros[CATEGORIA],investirrendafixaconsolidadofev[[#This Row],[ATUAL]])</f>
        <v>0</v>
      </c>
      <c r="T114" s="91">
        <f>SUMIFS(tabela_registros[VALOR],tabela_registros[MÊS],$AE$1,tabela_registros[DIA],investirrendafixaconsolidadofev[[#Headers],[16]],tabela_registros[REGISTRO],DADOS!$N$5,tabela_registros[TIPO],DADOS!$AB$3,tabela_registros[CATEGORIA],investirrendafixaconsolidadofev[[#This Row],[ATUAL]])</f>
        <v>0</v>
      </c>
      <c r="U114" s="91">
        <f>SUMIFS(tabela_registros[VALOR],tabela_registros[MÊS],$AE$1,tabela_registros[DIA],investirrendafixaconsolidadofev[[#Headers],[17]],tabela_registros[REGISTRO],DADOS!$N$5,tabela_registros[TIPO],DADOS!$AB$3,tabela_registros[CATEGORIA],investirrendafixaconsolidadofev[[#This Row],[ATUAL]])</f>
        <v>0</v>
      </c>
      <c r="V114" s="91">
        <f>SUMIFS(tabela_registros[VALOR],tabela_registros[MÊS],$AE$1,tabela_registros[DIA],investirrendafixaconsolidadofev[[#Headers],[18]],tabela_registros[REGISTRO],DADOS!$N$5,tabela_registros[TIPO],DADOS!$AB$3,tabela_registros[CATEGORIA],investirrendafixaconsolidadofev[[#This Row],[ATUAL]])</f>
        <v>0</v>
      </c>
      <c r="W114" s="91">
        <f>SUMIFS(tabela_registros[VALOR],tabela_registros[MÊS],$AE$1,tabela_registros[DIA],investirrendafixaconsolidadofev[[#Headers],[19]],tabela_registros[REGISTRO],DADOS!$N$5,tabela_registros[TIPO],DADOS!$AB$3,tabela_registros[CATEGORIA],investirrendafixaconsolidadofev[[#This Row],[ATUAL]])</f>
        <v>0</v>
      </c>
      <c r="X114" s="91">
        <f>SUMIFS(tabela_registros[VALOR],tabela_registros[MÊS],$AE$1,tabela_registros[DIA],investirrendafixaconsolidadofev[[#Headers],[20]],tabela_registros[REGISTRO],DADOS!$N$5,tabela_registros[TIPO],DADOS!$AB$3,tabela_registros[CATEGORIA],investirrendafixaconsolidadofev[[#This Row],[ATUAL]])</f>
        <v>0</v>
      </c>
      <c r="Y114" s="91">
        <f>SUMIFS(tabela_registros[VALOR],tabela_registros[MÊS],$AE$1,tabela_registros[DIA],investirrendafixaconsolidadofev[[#Headers],[21]],tabela_registros[REGISTRO],DADOS!$N$5,tabela_registros[TIPO],DADOS!$AB$3,tabela_registros[CATEGORIA],investirrendafixaconsolidadofev[[#This Row],[ATUAL]])</f>
        <v>0</v>
      </c>
      <c r="Z114" s="91">
        <f>SUMIFS(tabela_registros[VALOR],tabela_registros[MÊS],$AE$1,tabela_registros[DIA],investirrendafixaconsolidadofev[[#Headers],[22]],tabela_registros[REGISTRO],DADOS!$N$5,tabela_registros[TIPO],DADOS!$AB$3,tabela_registros[CATEGORIA],investirrendafixaconsolidadofev[[#This Row],[ATUAL]])</f>
        <v>0</v>
      </c>
      <c r="AA114" s="91">
        <f>SUMIFS(tabela_registros[VALOR],tabela_registros[MÊS],$AE$1,tabela_registros[DIA],investirrendafixaconsolidadofev[[#Headers],[23]],tabela_registros[REGISTRO],DADOS!$N$5,tabela_registros[TIPO],DADOS!$AB$3,tabela_registros[CATEGORIA],investirrendafixaconsolidadofev[[#This Row],[ATUAL]])</f>
        <v>0</v>
      </c>
      <c r="AB114" s="91">
        <f>SUMIFS(tabela_registros[VALOR],tabela_registros[MÊS],$AE$1,tabela_registros[DIA],investirrendafixaconsolidadofev[[#Headers],[24]],tabela_registros[REGISTRO],DADOS!$N$5,tabela_registros[TIPO],DADOS!$AB$3,tabela_registros[CATEGORIA],investirrendafixaconsolidadofev[[#This Row],[ATUAL]])</f>
        <v>0</v>
      </c>
      <c r="AC114" s="91">
        <f>SUMIFS(tabela_registros[VALOR],tabela_registros[MÊS],$AE$1,tabela_registros[DIA],investirrendafixaconsolidadofev[[#Headers],[25]],tabela_registros[REGISTRO],DADOS!$N$5,tabela_registros[TIPO],DADOS!$AB$3,tabela_registros[CATEGORIA],investirrendafixaconsolidadofev[[#This Row],[ATUAL]])</f>
        <v>0</v>
      </c>
      <c r="AD114" s="91">
        <f>SUMIFS(tabela_registros[VALOR],tabela_registros[MÊS],$AE$1,tabela_registros[DIA],investirrendafixaconsolidadofev[[#Headers],[26]],tabela_registros[REGISTRO],DADOS!$N$5,tabela_registros[TIPO],DADOS!$AB$3,tabela_registros[CATEGORIA],investirrendafixaconsolidadofev[[#This Row],[ATUAL]])</f>
        <v>0</v>
      </c>
      <c r="AE114" s="91">
        <f>SUMIFS(tabela_registros[VALOR],tabela_registros[MÊS],$AE$1,tabela_registros[DIA],investirrendafixaconsolidadofev[[#Headers],[27]],tabela_registros[REGISTRO],DADOS!$N$5,tabela_registros[TIPO],DADOS!$AB$3,tabela_registros[CATEGORIA],investirrendafixaconsolidadofev[[#This Row],[ATUAL]])</f>
        <v>0</v>
      </c>
      <c r="AF114" s="91">
        <f>SUMIFS(tabela_registros[VALOR],tabela_registros[MÊS],$AE$1,tabela_registros[DIA],investirrendafixaconsolidadofev[[#Headers],[28]],tabela_registros[REGISTRO],DADOS!$N$5,tabela_registros[TIPO],DADOS!$AB$3,tabela_registros[CATEGORIA],investirrendafixaconsolidadofev[[#This Row],[ATUAL]])</f>
        <v>0</v>
      </c>
      <c r="AG114" s="91">
        <f>SUMIFS(tabela_registros[VALOR],tabela_registros[MÊS],$AE$1,tabela_registros[DIA],investirrendafixaconsolidadofev[[#Headers],[29]],tabela_registros[REGISTRO],DADOS!$N$5,tabela_registros[TIPO],DADOS!$AB$3,tabela_registros[CATEGORIA],investirrendafixaconsolidadofev[[#This Row],[ATUAL]])</f>
        <v>0</v>
      </c>
      <c r="AH114" s="91">
        <f>SUMIFS(tabela_registros[VALOR],tabela_registros[MÊS],$AE$1,tabela_registros[DIA],investirrendafixaconsolidadofev[[#Headers],[30]],tabela_registros[REGISTRO],DADOS!$N$5,tabela_registros[TIPO],DADOS!$AB$3,tabela_registros[CATEGORIA],investirrendafixaconsolidadofev[[#This Row],[ATUAL]])</f>
        <v>0</v>
      </c>
      <c r="AI114" s="101">
        <f>SUMIFS(tabela_registros[VALOR],tabela_registros[MÊS],$AE$1,tabela_registros[DIA],investirrendafixaconsolidadofev[[#Headers],[31]],tabela_registros[REGISTRO],DADOS!$N$5,tabela_registros[TIPO],DADOS!$AB$3,tabela_registros[CATEGORIA],investirrendafixaconsolidadofev[[#This Row],[ATUAL]])</f>
        <v>0</v>
      </c>
      <c r="AJ114" s="97">
        <f>SUM(investirrendafixaconsolidadofev[[#This Row],[1]:[31]])</f>
        <v>0</v>
      </c>
      <c r="AK114" s="25"/>
    </row>
    <row r="115" spans="2:37" ht="19.5" customHeight="1" thickTop="1" thickBot="1" x14ac:dyDescent="0.3">
      <c r="B115" s="28"/>
      <c r="C115" s="27" t="str">
        <f>DADOS!$AD$5</f>
        <v>📝 CRI</v>
      </c>
      <c r="D115" s="26" t="str">
        <f>IF(investirrendafixaconsolidadofev[[#This Row],[TOTAL (R$)]]=0,"",IF(OR(investirrendafixaconsolidadofev[[#This Row],[TOTAL (R$)]]=LARGE($AJ$113:$AJ$122,1),investirrendafixaconsolidadofev[[#This Row],[TOTAL (R$)]]=LARGE($AJ$113:$AJ$122,2)),DADOS!$I$10,""))</f>
        <v/>
      </c>
      <c r="E115" s="96">
        <f>SUMIFS(tabela_registros[VALOR],tabela_registros[MÊS],$AE$1,tabela_registros[DIA],investirrendafixaconsolidadofev[[#Headers],[1]],tabela_registros[REGISTRO],DADOS!$N$5,tabela_registros[TIPO],DADOS!$AB$3,tabela_registros[CATEGORIA],investirrendafixaconsolidadofev[[#This Row],[ATUAL]])</f>
        <v>0</v>
      </c>
      <c r="F115" s="91">
        <f>SUMIFS(tabela_registros[VALOR],tabela_registros[MÊS],$AE$1,tabela_registros[DIA],investirrendafixaconsolidadofev[[#Headers],[2]],tabela_registros[REGISTRO],DADOS!$N$5,tabela_registros[TIPO],DADOS!$AB$3,tabela_registros[CATEGORIA],investirrendafixaconsolidadofev[[#This Row],[ATUAL]])</f>
        <v>0</v>
      </c>
      <c r="G115" s="91">
        <f>SUMIFS(tabela_registros[VALOR],tabela_registros[MÊS],$AE$1,tabela_registros[DIA],investirrendafixaconsolidadofev[[#Headers],[3]],tabela_registros[REGISTRO],DADOS!$N$5,tabela_registros[TIPO],DADOS!$AB$3,tabela_registros[CATEGORIA],investirrendafixaconsolidadofev[[#This Row],[ATUAL]])</f>
        <v>0</v>
      </c>
      <c r="H115" s="91">
        <f>SUMIFS(tabela_registros[VALOR],tabela_registros[MÊS],$AE$1,tabela_registros[DIA],investirrendafixaconsolidadofev[[#Headers],[4]],tabela_registros[REGISTRO],DADOS!$N$5,tabela_registros[TIPO],DADOS!$AB$3,tabela_registros[CATEGORIA],investirrendafixaconsolidadofev[[#This Row],[ATUAL]])</f>
        <v>0</v>
      </c>
      <c r="I115" s="91">
        <f>SUMIFS(tabela_registros[VALOR],tabela_registros[MÊS],$AE$1,tabela_registros[DIA],investirrendafixaconsolidadofev[[#Headers],[5]],tabela_registros[REGISTRO],DADOS!$N$5,tabela_registros[TIPO],DADOS!$AB$3,tabela_registros[CATEGORIA],investirrendafixaconsolidadofev[[#This Row],[ATUAL]])</f>
        <v>0</v>
      </c>
      <c r="J115" s="91">
        <f>SUMIFS(tabela_registros[VALOR],tabela_registros[MÊS],$AE$1,tabela_registros[DIA],investirrendafixaconsolidadofev[[#Headers],[6]],tabela_registros[REGISTRO],DADOS!$N$5,tabela_registros[TIPO],DADOS!$AB$3,tabela_registros[CATEGORIA],investirrendafixaconsolidadofev[[#This Row],[ATUAL]])</f>
        <v>0</v>
      </c>
      <c r="K115" s="91">
        <f>SUMIFS(tabela_registros[VALOR],tabela_registros[MÊS],$AE$1,tabela_registros[DIA],investirrendafixaconsolidadofev[[#Headers],[7]],tabela_registros[REGISTRO],DADOS!$N$5,tabela_registros[TIPO],DADOS!$AB$3,tabela_registros[CATEGORIA],investirrendafixaconsolidadofev[[#This Row],[ATUAL]])</f>
        <v>0</v>
      </c>
      <c r="L115" s="91">
        <f>SUMIFS(tabela_registros[VALOR],tabela_registros[MÊS],$AE$1,tabela_registros[DIA],investirrendafixaconsolidadofev[[#Headers],[8]],tabela_registros[REGISTRO],DADOS!$N$5,tabela_registros[TIPO],DADOS!$AB$3,tabela_registros[CATEGORIA],investirrendafixaconsolidadofev[[#This Row],[ATUAL]])</f>
        <v>0</v>
      </c>
      <c r="M115" s="91">
        <f>SUMIFS(tabela_registros[VALOR],tabela_registros[MÊS],$AE$1,tabela_registros[DIA],investirrendafixaconsolidadofev[[#Headers],[9]],tabela_registros[REGISTRO],DADOS!$N$5,tabela_registros[TIPO],DADOS!$AB$3,tabela_registros[CATEGORIA],investirrendafixaconsolidadofev[[#This Row],[ATUAL]])</f>
        <v>0</v>
      </c>
      <c r="N115" s="91">
        <f>SUMIFS(tabela_registros[VALOR],tabela_registros[MÊS],$AE$1,tabela_registros[DIA],investirrendafixaconsolidadofev[[#Headers],[10]],tabela_registros[REGISTRO],DADOS!$N$5,tabela_registros[TIPO],DADOS!$AB$3,tabela_registros[CATEGORIA],investirrendafixaconsolidadofev[[#This Row],[ATUAL]])</f>
        <v>0</v>
      </c>
      <c r="O115" s="91">
        <f>SUMIFS(tabela_registros[VALOR],tabela_registros[MÊS],$AE$1,tabela_registros[DIA],investirrendafixaconsolidadofev[[#Headers],[11]],tabela_registros[REGISTRO],DADOS!$N$5,tabela_registros[TIPO],DADOS!$AB$3,tabela_registros[CATEGORIA],investirrendafixaconsolidadofev[[#This Row],[ATUAL]])</f>
        <v>0</v>
      </c>
      <c r="P115" s="91">
        <f>SUMIFS(tabela_registros[VALOR],tabela_registros[MÊS],$AE$1,tabela_registros[DIA],investirrendafixaconsolidadofev[[#Headers],[12]],tabela_registros[REGISTRO],DADOS!$N$5,tabela_registros[TIPO],DADOS!$AB$3,tabela_registros[CATEGORIA],investirrendafixaconsolidadofev[[#This Row],[ATUAL]])</f>
        <v>0</v>
      </c>
      <c r="Q115" s="91">
        <f>SUMIFS(tabela_registros[VALOR],tabela_registros[MÊS],$AE$1,tabela_registros[DIA],investirrendafixaconsolidadofev[[#Headers],[13]],tabela_registros[REGISTRO],DADOS!$N$5,tabela_registros[TIPO],DADOS!$AB$3,tabela_registros[CATEGORIA],investirrendafixaconsolidadofev[[#This Row],[ATUAL]])</f>
        <v>0</v>
      </c>
      <c r="R115" s="91">
        <f>SUMIFS(tabela_registros[VALOR],tabela_registros[MÊS],$AE$1,tabela_registros[DIA],investirrendafixaconsolidadofev[[#Headers],[14]],tabela_registros[REGISTRO],DADOS!$N$5,tabela_registros[TIPO],DADOS!$AB$3,tabela_registros[CATEGORIA],investirrendafixaconsolidadofev[[#This Row],[ATUAL]])</f>
        <v>0</v>
      </c>
      <c r="S115" s="91">
        <f>SUMIFS(tabela_registros[VALOR],tabela_registros[MÊS],$AE$1,tabela_registros[DIA],investirrendafixaconsolidadofev[[#Headers],[15]],tabela_registros[REGISTRO],DADOS!$N$5,tabela_registros[TIPO],DADOS!$AB$3,tabela_registros[CATEGORIA],investirrendafixaconsolidadofev[[#This Row],[ATUAL]])</f>
        <v>0</v>
      </c>
      <c r="T115" s="91">
        <f>SUMIFS(tabela_registros[VALOR],tabela_registros[MÊS],$AE$1,tabela_registros[DIA],investirrendafixaconsolidadofev[[#Headers],[16]],tabela_registros[REGISTRO],DADOS!$N$5,tabela_registros[TIPO],DADOS!$AB$3,tabela_registros[CATEGORIA],investirrendafixaconsolidadofev[[#This Row],[ATUAL]])</f>
        <v>0</v>
      </c>
      <c r="U115" s="91">
        <f>SUMIFS(tabela_registros[VALOR],tabela_registros[MÊS],$AE$1,tabela_registros[DIA],investirrendafixaconsolidadofev[[#Headers],[17]],tabela_registros[REGISTRO],DADOS!$N$5,tabela_registros[TIPO],DADOS!$AB$3,tabela_registros[CATEGORIA],investirrendafixaconsolidadofev[[#This Row],[ATUAL]])</f>
        <v>0</v>
      </c>
      <c r="V115" s="91">
        <f>SUMIFS(tabela_registros[VALOR],tabela_registros[MÊS],$AE$1,tabela_registros[DIA],investirrendafixaconsolidadofev[[#Headers],[18]],tabela_registros[REGISTRO],DADOS!$N$5,tabela_registros[TIPO],DADOS!$AB$3,tabela_registros[CATEGORIA],investirrendafixaconsolidadofev[[#This Row],[ATUAL]])</f>
        <v>0</v>
      </c>
      <c r="W115" s="91">
        <f>SUMIFS(tabela_registros[VALOR],tabela_registros[MÊS],$AE$1,tabela_registros[DIA],investirrendafixaconsolidadofev[[#Headers],[19]],tabela_registros[REGISTRO],DADOS!$N$5,tabela_registros[TIPO],DADOS!$AB$3,tabela_registros[CATEGORIA],investirrendafixaconsolidadofev[[#This Row],[ATUAL]])</f>
        <v>0</v>
      </c>
      <c r="X115" s="91">
        <f>SUMIFS(tabela_registros[VALOR],tabela_registros[MÊS],$AE$1,tabela_registros[DIA],investirrendafixaconsolidadofev[[#Headers],[20]],tabela_registros[REGISTRO],DADOS!$N$5,tabela_registros[TIPO],DADOS!$AB$3,tabela_registros[CATEGORIA],investirrendafixaconsolidadofev[[#This Row],[ATUAL]])</f>
        <v>0</v>
      </c>
      <c r="Y115" s="91">
        <f>SUMIFS(tabela_registros[VALOR],tabela_registros[MÊS],$AE$1,tabela_registros[DIA],investirrendafixaconsolidadofev[[#Headers],[21]],tabela_registros[REGISTRO],DADOS!$N$5,tabela_registros[TIPO],DADOS!$AB$3,tabela_registros[CATEGORIA],investirrendafixaconsolidadofev[[#This Row],[ATUAL]])</f>
        <v>0</v>
      </c>
      <c r="Z115" s="91">
        <f>SUMIFS(tabela_registros[VALOR],tabela_registros[MÊS],$AE$1,tabela_registros[DIA],investirrendafixaconsolidadofev[[#Headers],[22]],tabela_registros[REGISTRO],DADOS!$N$5,tabela_registros[TIPO],DADOS!$AB$3,tabela_registros[CATEGORIA],investirrendafixaconsolidadofev[[#This Row],[ATUAL]])</f>
        <v>0</v>
      </c>
      <c r="AA115" s="91">
        <f>SUMIFS(tabela_registros[VALOR],tabela_registros[MÊS],$AE$1,tabela_registros[DIA],investirrendafixaconsolidadofev[[#Headers],[23]],tabela_registros[REGISTRO],DADOS!$N$5,tabela_registros[TIPO],DADOS!$AB$3,tabela_registros[CATEGORIA],investirrendafixaconsolidadofev[[#This Row],[ATUAL]])</f>
        <v>0</v>
      </c>
      <c r="AB115" s="91">
        <f>SUMIFS(tabela_registros[VALOR],tabela_registros[MÊS],$AE$1,tabela_registros[DIA],investirrendafixaconsolidadofev[[#Headers],[24]],tabela_registros[REGISTRO],DADOS!$N$5,tabela_registros[TIPO],DADOS!$AB$3,tabela_registros[CATEGORIA],investirrendafixaconsolidadofev[[#This Row],[ATUAL]])</f>
        <v>0</v>
      </c>
      <c r="AC115" s="91">
        <f>SUMIFS(tabela_registros[VALOR],tabela_registros[MÊS],$AE$1,tabela_registros[DIA],investirrendafixaconsolidadofev[[#Headers],[25]],tabela_registros[REGISTRO],DADOS!$N$5,tabela_registros[TIPO],DADOS!$AB$3,tabela_registros[CATEGORIA],investirrendafixaconsolidadofev[[#This Row],[ATUAL]])</f>
        <v>0</v>
      </c>
      <c r="AD115" s="91">
        <f>SUMIFS(tabela_registros[VALOR],tabela_registros[MÊS],$AE$1,tabela_registros[DIA],investirrendafixaconsolidadofev[[#Headers],[26]],tabela_registros[REGISTRO],DADOS!$N$5,tabela_registros[TIPO],DADOS!$AB$3,tabela_registros[CATEGORIA],investirrendafixaconsolidadofev[[#This Row],[ATUAL]])</f>
        <v>0</v>
      </c>
      <c r="AE115" s="91">
        <f>SUMIFS(tabela_registros[VALOR],tabela_registros[MÊS],$AE$1,tabela_registros[DIA],investirrendafixaconsolidadofev[[#Headers],[27]],tabela_registros[REGISTRO],DADOS!$N$5,tabela_registros[TIPO],DADOS!$AB$3,tabela_registros[CATEGORIA],investirrendafixaconsolidadofev[[#This Row],[ATUAL]])</f>
        <v>0</v>
      </c>
      <c r="AF115" s="91">
        <f>SUMIFS(tabela_registros[VALOR],tabela_registros[MÊS],$AE$1,tabela_registros[DIA],investirrendafixaconsolidadofev[[#Headers],[28]],tabela_registros[REGISTRO],DADOS!$N$5,tabela_registros[TIPO],DADOS!$AB$3,tabela_registros[CATEGORIA],investirrendafixaconsolidadofev[[#This Row],[ATUAL]])</f>
        <v>0</v>
      </c>
      <c r="AG115" s="91">
        <f>SUMIFS(tabela_registros[VALOR],tabela_registros[MÊS],$AE$1,tabela_registros[DIA],investirrendafixaconsolidadofev[[#Headers],[29]],tabela_registros[REGISTRO],DADOS!$N$5,tabela_registros[TIPO],DADOS!$AB$3,tabela_registros[CATEGORIA],investirrendafixaconsolidadofev[[#This Row],[ATUAL]])</f>
        <v>0</v>
      </c>
      <c r="AH115" s="91">
        <f>SUMIFS(tabela_registros[VALOR],tabela_registros[MÊS],$AE$1,tabela_registros[DIA],investirrendafixaconsolidadofev[[#Headers],[30]],tabela_registros[REGISTRO],DADOS!$N$5,tabela_registros[TIPO],DADOS!$AB$3,tabela_registros[CATEGORIA],investirrendafixaconsolidadofev[[#This Row],[ATUAL]])</f>
        <v>0</v>
      </c>
      <c r="AI115" s="101">
        <f>SUMIFS(tabela_registros[VALOR],tabela_registros[MÊS],$AE$1,tabela_registros[DIA],investirrendafixaconsolidadofev[[#Headers],[31]],tabela_registros[REGISTRO],DADOS!$N$5,tabela_registros[TIPO],DADOS!$AB$3,tabela_registros[CATEGORIA],investirrendafixaconsolidadofev[[#This Row],[ATUAL]])</f>
        <v>0</v>
      </c>
      <c r="AJ115" s="97">
        <f>SUM(investirrendafixaconsolidadofev[[#This Row],[1]:[31]])</f>
        <v>0</v>
      </c>
      <c r="AK115" s="25"/>
    </row>
    <row r="116" spans="2:37" ht="19.5" customHeight="1" thickTop="1" thickBot="1" x14ac:dyDescent="0.3">
      <c r="B116" s="28"/>
      <c r="C116" s="27" t="str">
        <f>DADOS!$AD$6</f>
        <v>📝 DEBÊNTURE</v>
      </c>
      <c r="D116" s="26" t="str">
        <f>IF(investirrendafixaconsolidadofev[[#This Row],[TOTAL (R$)]]=0,"",IF(OR(investirrendafixaconsolidadofev[[#This Row],[TOTAL (R$)]]=LARGE($AJ$113:$AJ$122,1),investirrendafixaconsolidadofev[[#This Row],[TOTAL (R$)]]=LARGE($AJ$113:$AJ$122,2)),DADOS!$I$10,""))</f>
        <v/>
      </c>
      <c r="E116" s="96">
        <f>SUMIFS(tabela_registros[VALOR],tabela_registros[MÊS],$AE$1,tabela_registros[DIA],investirrendafixaconsolidadofev[[#Headers],[1]],tabela_registros[REGISTRO],DADOS!$N$5,tabela_registros[TIPO],DADOS!$AB$3,tabela_registros[CATEGORIA],investirrendafixaconsolidadofev[[#This Row],[ATUAL]])</f>
        <v>0</v>
      </c>
      <c r="F116" s="91">
        <f>SUMIFS(tabela_registros[VALOR],tabela_registros[MÊS],$AE$1,tabela_registros[DIA],investirrendafixaconsolidadofev[[#Headers],[2]],tabela_registros[REGISTRO],DADOS!$N$5,tabela_registros[TIPO],DADOS!$AB$3,tabela_registros[CATEGORIA],investirrendafixaconsolidadofev[[#This Row],[ATUAL]])</f>
        <v>0</v>
      </c>
      <c r="G116" s="91">
        <f>SUMIFS(tabela_registros[VALOR],tabela_registros[MÊS],$AE$1,tabela_registros[DIA],investirrendafixaconsolidadofev[[#Headers],[3]],tabela_registros[REGISTRO],DADOS!$N$5,tabela_registros[TIPO],DADOS!$AB$3,tabela_registros[CATEGORIA],investirrendafixaconsolidadofev[[#This Row],[ATUAL]])</f>
        <v>0</v>
      </c>
      <c r="H116" s="91">
        <f>SUMIFS(tabela_registros[VALOR],tabela_registros[MÊS],$AE$1,tabela_registros[DIA],investirrendafixaconsolidadofev[[#Headers],[4]],tabela_registros[REGISTRO],DADOS!$N$5,tabela_registros[TIPO],DADOS!$AB$3,tabela_registros[CATEGORIA],investirrendafixaconsolidadofev[[#This Row],[ATUAL]])</f>
        <v>0</v>
      </c>
      <c r="I116" s="91">
        <f>SUMIFS(tabela_registros[VALOR],tabela_registros[MÊS],$AE$1,tabela_registros[DIA],investirrendafixaconsolidadofev[[#Headers],[5]],tabela_registros[REGISTRO],DADOS!$N$5,tabela_registros[TIPO],DADOS!$AB$3,tabela_registros[CATEGORIA],investirrendafixaconsolidadofev[[#This Row],[ATUAL]])</f>
        <v>0</v>
      </c>
      <c r="J116" s="91">
        <f>SUMIFS(tabela_registros[VALOR],tabela_registros[MÊS],$AE$1,tabela_registros[DIA],investirrendafixaconsolidadofev[[#Headers],[6]],tabela_registros[REGISTRO],DADOS!$N$5,tabela_registros[TIPO],DADOS!$AB$3,tabela_registros[CATEGORIA],investirrendafixaconsolidadofev[[#This Row],[ATUAL]])</f>
        <v>0</v>
      </c>
      <c r="K116" s="91">
        <f>SUMIFS(tabela_registros[VALOR],tabela_registros[MÊS],$AE$1,tabela_registros[DIA],investirrendafixaconsolidadofev[[#Headers],[7]],tabela_registros[REGISTRO],DADOS!$N$5,tabela_registros[TIPO],DADOS!$AB$3,tabela_registros[CATEGORIA],investirrendafixaconsolidadofev[[#This Row],[ATUAL]])</f>
        <v>0</v>
      </c>
      <c r="L116" s="91">
        <f>SUMIFS(tabela_registros[VALOR],tabela_registros[MÊS],$AE$1,tabela_registros[DIA],investirrendafixaconsolidadofev[[#Headers],[8]],tabela_registros[REGISTRO],DADOS!$N$5,tabela_registros[TIPO],DADOS!$AB$3,tabela_registros[CATEGORIA],investirrendafixaconsolidadofev[[#This Row],[ATUAL]])</f>
        <v>0</v>
      </c>
      <c r="M116" s="91">
        <f>SUMIFS(tabela_registros[VALOR],tabela_registros[MÊS],$AE$1,tabela_registros[DIA],investirrendafixaconsolidadofev[[#Headers],[9]],tabela_registros[REGISTRO],DADOS!$N$5,tabela_registros[TIPO],DADOS!$AB$3,tabela_registros[CATEGORIA],investirrendafixaconsolidadofev[[#This Row],[ATUAL]])</f>
        <v>0</v>
      </c>
      <c r="N116" s="91">
        <f>SUMIFS(tabela_registros[VALOR],tabela_registros[MÊS],$AE$1,tabela_registros[DIA],investirrendafixaconsolidadofev[[#Headers],[10]],tabela_registros[REGISTRO],DADOS!$N$5,tabela_registros[TIPO],DADOS!$AB$3,tabela_registros[CATEGORIA],investirrendafixaconsolidadofev[[#This Row],[ATUAL]])</f>
        <v>0</v>
      </c>
      <c r="O116" s="91">
        <f>SUMIFS(tabela_registros[VALOR],tabela_registros[MÊS],$AE$1,tabela_registros[DIA],investirrendafixaconsolidadofev[[#Headers],[11]],tabela_registros[REGISTRO],DADOS!$N$5,tabela_registros[TIPO],DADOS!$AB$3,tabela_registros[CATEGORIA],investirrendafixaconsolidadofev[[#This Row],[ATUAL]])</f>
        <v>0</v>
      </c>
      <c r="P116" s="91">
        <f>SUMIFS(tabela_registros[VALOR],tabela_registros[MÊS],$AE$1,tabela_registros[DIA],investirrendafixaconsolidadofev[[#Headers],[12]],tabela_registros[REGISTRO],DADOS!$N$5,tabela_registros[TIPO],DADOS!$AB$3,tabela_registros[CATEGORIA],investirrendafixaconsolidadofev[[#This Row],[ATUAL]])</f>
        <v>0</v>
      </c>
      <c r="Q116" s="91">
        <f>SUMIFS(tabela_registros[VALOR],tabela_registros[MÊS],$AE$1,tabela_registros[DIA],investirrendafixaconsolidadofev[[#Headers],[13]],tabela_registros[REGISTRO],DADOS!$N$5,tabela_registros[TIPO],DADOS!$AB$3,tabela_registros[CATEGORIA],investirrendafixaconsolidadofev[[#This Row],[ATUAL]])</f>
        <v>0</v>
      </c>
      <c r="R116" s="91">
        <f>SUMIFS(tabela_registros[VALOR],tabela_registros[MÊS],$AE$1,tabela_registros[DIA],investirrendafixaconsolidadofev[[#Headers],[14]],tabela_registros[REGISTRO],DADOS!$N$5,tabela_registros[TIPO],DADOS!$AB$3,tabela_registros[CATEGORIA],investirrendafixaconsolidadofev[[#This Row],[ATUAL]])</f>
        <v>0</v>
      </c>
      <c r="S116" s="91">
        <f>SUMIFS(tabela_registros[VALOR],tabela_registros[MÊS],$AE$1,tabela_registros[DIA],investirrendafixaconsolidadofev[[#Headers],[15]],tabela_registros[REGISTRO],DADOS!$N$5,tabela_registros[TIPO],DADOS!$AB$3,tabela_registros[CATEGORIA],investirrendafixaconsolidadofev[[#This Row],[ATUAL]])</f>
        <v>0</v>
      </c>
      <c r="T116" s="91">
        <f>SUMIFS(tabela_registros[VALOR],tabela_registros[MÊS],$AE$1,tabela_registros[DIA],investirrendafixaconsolidadofev[[#Headers],[16]],tabela_registros[REGISTRO],DADOS!$N$5,tabela_registros[TIPO],DADOS!$AB$3,tabela_registros[CATEGORIA],investirrendafixaconsolidadofev[[#This Row],[ATUAL]])</f>
        <v>0</v>
      </c>
      <c r="U116" s="91">
        <f>SUMIFS(tabela_registros[VALOR],tabela_registros[MÊS],$AE$1,tabela_registros[DIA],investirrendafixaconsolidadofev[[#Headers],[17]],tabela_registros[REGISTRO],DADOS!$N$5,tabela_registros[TIPO],DADOS!$AB$3,tabela_registros[CATEGORIA],investirrendafixaconsolidadofev[[#This Row],[ATUAL]])</f>
        <v>0</v>
      </c>
      <c r="V116" s="91">
        <f>SUMIFS(tabela_registros[VALOR],tabela_registros[MÊS],$AE$1,tabela_registros[DIA],investirrendafixaconsolidadofev[[#Headers],[18]],tabela_registros[REGISTRO],DADOS!$N$5,tabela_registros[TIPO],DADOS!$AB$3,tabela_registros[CATEGORIA],investirrendafixaconsolidadofev[[#This Row],[ATUAL]])</f>
        <v>0</v>
      </c>
      <c r="W116" s="91">
        <f>SUMIFS(tabela_registros[VALOR],tabela_registros[MÊS],$AE$1,tabela_registros[DIA],investirrendafixaconsolidadofev[[#Headers],[19]],tabela_registros[REGISTRO],DADOS!$N$5,tabela_registros[TIPO],DADOS!$AB$3,tabela_registros[CATEGORIA],investirrendafixaconsolidadofev[[#This Row],[ATUAL]])</f>
        <v>0</v>
      </c>
      <c r="X116" s="91">
        <f>SUMIFS(tabela_registros[VALOR],tabela_registros[MÊS],$AE$1,tabela_registros[DIA],investirrendafixaconsolidadofev[[#Headers],[20]],tabela_registros[REGISTRO],DADOS!$N$5,tabela_registros[TIPO],DADOS!$AB$3,tabela_registros[CATEGORIA],investirrendafixaconsolidadofev[[#This Row],[ATUAL]])</f>
        <v>0</v>
      </c>
      <c r="Y116" s="91">
        <f>SUMIFS(tabela_registros[VALOR],tabela_registros[MÊS],$AE$1,tabela_registros[DIA],investirrendafixaconsolidadofev[[#Headers],[21]],tabela_registros[REGISTRO],DADOS!$N$5,tabela_registros[TIPO],DADOS!$AB$3,tabela_registros[CATEGORIA],investirrendafixaconsolidadofev[[#This Row],[ATUAL]])</f>
        <v>0</v>
      </c>
      <c r="Z116" s="91">
        <f>SUMIFS(tabela_registros[VALOR],tabela_registros[MÊS],$AE$1,tabela_registros[DIA],investirrendafixaconsolidadofev[[#Headers],[22]],tabela_registros[REGISTRO],DADOS!$N$5,tabela_registros[TIPO],DADOS!$AB$3,tabela_registros[CATEGORIA],investirrendafixaconsolidadofev[[#This Row],[ATUAL]])</f>
        <v>0</v>
      </c>
      <c r="AA116" s="91">
        <f>SUMIFS(tabela_registros[VALOR],tabela_registros[MÊS],$AE$1,tabela_registros[DIA],investirrendafixaconsolidadofev[[#Headers],[23]],tabela_registros[REGISTRO],DADOS!$N$5,tabela_registros[TIPO],DADOS!$AB$3,tabela_registros[CATEGORIA],investirrendafixaconsolidadofev[[#This Row],[ATUAL]])</f>
        <v>0</v>
      </c>
      <c r="AB116" s="91">
        <f>SUMIFS(tabela_registros[VALOR],tabela_registros[MÊS],$AE$1,tabela_registros[DIA],investirrendafixaconsolidadofev[[#Headers],[24]],tabela_registros[REGISTRO],DADOS!$N$5,tabela_registros[TIPO],DADOS!$AB$3,tabela_registros[CATEGORIA],investirrendafixaconsolidadofev[[#This Row],[ATUAL]])</f>
        <v>0</v>
      </c>
      <c r="AC116" s="91">
        <f>SUMIFS(tabela_registros[VALOR],tabela_registros[MÊS],$AE$1,tabela_registros[DIA],investirrendafixaconsolidadofev[[#Headers],[25]],tabela_registros[REGISTRO],DADOS!$N$5,tabela_registros[TIPO],DADOS!$AB$3,tabela_registros[CATEGORIA],investirrendafixaconsolidadofev[[#This Row],[ATUAL]])</f>
        <v>0</v>
      </c>
      <c r="AD116" s="91">
        <f>SUMIFS(tabela_registros[VALOR],tabela_registros[MÊS],$AE$1,tabela_registros[DIA],investirrendafixaconsolidadofev[[#Headers],[26]],tabela_registros[REGISTRO],DADOS!$N$5,tabela_registros[TIPO],DADOS!$AB$3,tabela_registros[CATEGORIA],investirrendafixaconsolidadofev[[#This Row],[ATUAL]])</f>
        <v>0</v>
      </c>
      <c r="AE116" s="91">
        <f>SUMIFS(tabela_registros[VALOR],tabela_registros[MÊS],$AE$1,tabela_registros[DIA],investirrendafixaconsolidadofev[[#Headers],[27]],tabela_registros[REGISTRO],DADOS!$N$5,tabela_registros[TIPO],DADOS!$AB$3,tabela_registros[CATEGORIA],investirrendafixaconsolidadofev[[#This Row],[ATUAL]])</f>
        <v>0</v>
      </c>
      <c r="AF116" s="91">
        <f>SUMIFS(tabela_registros[VALOR],tabela_registros[MÊS],$AE$1,tabela_registros[DIA],investirrendafixaconsolidadofev[[#Headers],[28]],tabela_registros[REGISTRO],DADOS!$N$5,tabela_registros[TIPO],DADOS!$AB$3,tabela_registros[CATEGORIA],investirrendafixaconsolidadofev[[#This Row],[ATUAL]])</f>
        <v>0</v>
      </c>
      <c r="AG116" s="91">
        <f>SUMIFS(tabela_registros[VALOR],tabela_registros[MÊS],$AE$1,tabela_registros[DIA],investirrendafixaconsolidadofev[[#Headers],[29]],tabela_registros[REGISTRO],DADOS!$N$5,tabela_registros[TIPO],DADOS!$AB$3,tabela_registros[CATEGORIA],investirrendafixaconsolidadofev[[#This Row],[ATUAL]])</f>
        <v>0</v>
      </c>
      <c r="AH116" s="91">
        <f>SUMIFS(tabela_registros[VALOR],tabela_registros[MÊS],$AE$1,tabela_registros[DIA],investirrendafixaconsolidadofev[[#Headers],[30]],tabela_registros[REGISTRO],DADOS!$N$5,tabela_registros[TIPO],DADOS!$AB$3,tabela_registros[CATEGORIA],investirrendafixaconsolidadofev[[#This Row],[ATUAL]])</f>
        <v>0</v>
      </c>
      <c r="AI116" s="101">
        <f>SUMIFS(tabela_registros[VALOR],tabela_registros[MÊS],$AE$1,tabela_registros[DIA],investirrendafixaconsolidadofev[[#Headers],[31]],tabela_registros[REGISTRO],DADOS!$N$5,tabela_registros[TIPO],DADOS!$AB$3,tabela_registros[CATEGORIA],investirrendafixaconsolidadofev[[#This Row],[ATUAL]])</f>
        <v>0</v>
      </c>
      <c r="AJ116" s="97">
        <f>SUM(investirrendafixaconsolidadofev[[#This Row],[1]:[31]])</f>
        <v>0</v>
      </c>
      <c r="AK116" s="25"/>
    </row>
    <row r="117" spans="2:37" ht="19.5" customHeight="1" thickTop="1" thickBot="1" x14ac:dyDescent="0.3">
      <c r="B117" s="28"/>
      <c r="C117" s="27" t="str">
        <f>DADOS!$AD$7</f>
        <v>📝 EXTERIOR</v>
      </c>
      <c r="D117" s="26" t="str">
        <f>IF(investirrendafixaconsolidadofev[[#This Row],[TOTAL (R$)]]=0,"",IF(OR(investirrendafixaconsolidadofev[[#This Row],[TOTAL (R$)]]=LARGE($AJ$113:$AJ$122,1),investirrendafixaconsolidadofev[[#This Row],[TOTAL (R$)]]=LARGE($AJ$113:$AJ$122,2)),DADOS!$I$10,""))</f>
        <v/>
      </c>
      <c r="E117" s="96">
        <f>SUMIFS(tabela_registros[VALOR],tabela_registros[MÊS],$AE$1,tabela_registros[DIA],investirrendafixaconsolidadofev[[#Headers],[1]],tabela_registros[REGISTRO],DADOS!$N$5,tabela_registros[TIPO],DADOS!$AB$3,tabela_registros[CATEGORIA],investirrendafixaconsolidadofev[[#This Row],[ATUAL]])</f>
        <v>0</v>
      </c>
      <c r="F117" s="91">
        <f>SUMIFS(tabela_registros[VALOR],tabela_registros[MÊS],$AE$1,tabela_registros[DIA],investirrendafixaconsolidadofev[[#Headers],[2]],tabela_registros[REGISTRO],DADOS!$N$5,tabela_registros[TIPO],DADOS!$AB$3,tabela_registros[CATEGORIA],investirrendafixaconsolidadofev[[#This Row],[ATUAL]])</f>
        <v>0</v>
      </c>
      <c r="G117" s="91">
        <f>SUMIFS(tabela_registros[VALOR],tabela_registros[MÊS],$AE$1,tabela_registros[DIA],investirrendafixaconsolidadofev[[#Headers],[3]],tabela_registros[REGISTRO],DADOS!$N$5,tabela_registros[TIPO],DADOS!$AB$3,tabela_registros[CATEGORIA],investirrendafixaconsolidadofev[[#This Row],[ATUAL]])</f>
        <v>0</v>
      </c>
      <c r="H117" s="91">
        <f>SUMIFS(tabela_registros[VALOR],tabela_registros[MÊS],$AE$1,tabela_registros[DIA],investirrendafixaconsolidadofev[[#Headers],[4]],tabela_registros[REGISTRO],DADOS!$N$5,tabela_registros[TIPO],DADOS!$AB$3,tabela_registros[CATEGORIA],investirrendafixaconsolidadofev[[#This Row],[ATUAL]])</f>
        <v>0</v>
      </c>
      <c r="I117" s="91">
        <f>SUMIFS(tabela_registros[VALOR],tabela_registros[MÊS],$AE$1,tabela_registros[DIA],investirrendafixaconsolidadofev[[#Headers],[5]],tabela_registros[REGISTRO],DADOS!$N$5,tabela_registros[TIPO],DADOS!$AB$3,tabela_registros[CATEGORIA],investirrendafixaconsolidadofev[[#This Row],[ATUAL]])</f>
        <v>0</v>
      </c>
      <c r="J117" s="91">
        <f>SUMIFS(tabela_registros[VALOR],tabela_registros[MÊS],$AE$1,tabela_registros[DIA],investirrendafixaconsolidadofev[[#Headers],[6]],tabela_registros[REGISTRO],DADOS!$N$5,tabela_registros[TIPO],DADOS!$AB$3,tabela_registros[CATEGORIA],investirrendafixaconsolidadofev[[#This Row],[ATUAL]])</f>
        <v>0</v>
      </c>
      <c r="K117" s="91">
        <f>SUMIFS(tabela_registros[VALOR],tabela_registros[MÊS],$AE$1,tabela_registros[DIA],investirrendafixaconsolidadofev[[#Headers],[7]],tabela_registros[REGISTRO],DADOS!$N$5,tabela_registros[TIPO],DADOS!$AB$3,tabela_registros[CATEGORIA],investirrendafixaconsolidadofev[[#This Row],[ATUAL]])</f>
        <v>0</v>
      </c>
      <c r="L117" s="91">
        <f>SUMIFS(tabela_registros[VALOR],tabela_registros[MÊS],$AE$1,tabela_registros[DIA],investirrendafixaconsolidadofev[[#Headers],[8]],tabela_registros[REGISTRO],DADOS!$N$5,tabela_registros[TIPO],DADOS!$AB$3,tabela_registros[CATEGORIA],investirrendafixaconsolidadofev[[#This Row],[ATUAL]])</f>
        <v>0</v>
      </c>
      <c r="M117" s="91">
        <f>SUMIFS(tabela_registros[VALOR],tabela_registros[MÊS],$AE$1,tabela_registros[DIA],investirrendafixaconsolidadofev[[#Headers],[9]],tabela_registros[REGISTRO],DADOS!$N$5,tabela_registros[TIPO],DADOS!$AB$3,tabela_registros[CATEGORIA],investirrendafixaconsolidadofev[[#This Row],[ATUAL]])</f>
        <v>0</v>
      </c>
      <c r="N117" s="91">
        <f>SUMIFS(tabela_registros[VALOR],tabela_registros[MÊS],$AE$1,tabela_registros[DIA],investirrendafixaconsolidadofev[[#Headers],[10]],tabela_registros[REGISTRO],DADOS!$N$5,tabela_registros[TIPO],DADOS!$AB$3,tabela_registros[CATEGORIA],investirrendafixaconsolidadofev[[#This Row],[ATUAL]])</f>
        <v>0</v>
      </c>
      <c r="O117" s="91">
        <f>SUMIFS(tabela_registros[VALOR],tabela_registros[MÊS],$AE$1,tabela_registros[DIA],investirrendafixaconsolidadofev[[#Headers],[11]],tabela_registros[REGISTRO],DADOS!$N$5,tabela_registros[TIPO],DADOS!$AB$3,tabela_registros[CATEGORIA],investirrendafixaconsolidadofev[[#This Row],[ATUAL]])</f>
        <v>0</v>
      </c>
      <c r="P117" s="91">
        <f>SUMIFS(tabela_registros[VALOR],tabela_registros[MÊS],$AE$1,tabela_registros[DIA],investirrendafixaconsolidadofev[[#Headers],[12]],tabela_registros[REGISTRO],DADOS!$N$5,tabela_registros[TIPO],DADOS!$AB$3,tabela_registros[CATEGORIA],investirrendafixaconsolidadofev[[#This Row],[ATUAL]])</f>
        <v>0</v>
      </c>
      <c r="Q117" s="91">
        <f>SUMIFS(tabela_registros[VALOR],tabela_registros[MÊS],$AE$1,tabela_registros[DIA],investirrendafixaconsolidadofev[[#Headers],[13]],tabela_registros[REGISTRO],DADOS!$N$5,tabela_registros[TIPO],DADOS!$AB$3,tabela_registros[CATEGORIA],investirrendafixaconsolidadofev[[#This Row],[ATUAL]])</f>
        <v>0</v>
      </c>
      <c r="R117" s="91">
        <f>SUMIFS(tabela_registros[VALOR],tabela_registros[MÊS],$AE$1,tabela_registros[DIA],investirrendafixaconsolidadofev[[#Headers],[14]],tabela_registros[REGISTRO],DADOS!$N$5,tabela_registros[TIPO],DADOS!$AB$3,tabela_registros[CATEGORIA],investirrendafixaconsolidadofev[[#This Row],[ATUAL]])</f>
        <v>0</v>
      </c>
      <c r="S117" s="91">
        <f>SUMIFS(tabela_registros[VALOR],tabela_registros[MÊS],$AE$1,tabela_registros[DIA],investirrendafixaconsolidadofev[[#Headers],[15]],tabela_registros[REGISTRO],DADOS!$N$5,tabela_registros[TIPO],DADOS!$AB$3,tabela_registros[CATEGORIA],investirrendafixaconsolidadofev[[#This Row],[ATUAL]])</f>
        <v>0</v>
      </c>
      <c r="T117" s="91">
        <f>SUMIFS(tabela_registros[VALOR],tabela_registros[MÊS],$AE$1,tabela_registros[DIA],investirrendafixaconsolidadofev[[#Headers],[16]],tabela_registros[REGISTRO],DADOS!$N$5,tabela_registros[TIPO],DADOS!$AB$3,tabela_registros[CATEGORIA],investirrendafixaconsolidadofev[[#This Row],[ATUAL]])</f>
        <v>0</v>
      </c>
      <c r="U117" s="91">
        <f>SUMIFS(tabela_registros[VALOR],tabela_registros[MÊS],$AE$1,tabela_registros[DIA],investirrendafixaconsolidadofev[[#Headers],[17]],tabela_registros[REGISTRO],DADOS!$N$5,tabela_registros[TIPO],DADOS!$AB$3,tabela_registros[CATEGORIA],investirrendafixaconsolidadofev[[#This Row],[ATUAL]])</f>
        <v>0</v>
      </c>
      <c r="V117" s="91">
        <f>SUMIFS(tabela_registros[VALOR],tabela_registros[MÊS],$AE$1,tabela_registros[DIA],investirrendafixaconsolidadofev[[#Headers],[18]],tabela_registros[REGISTRO],DADOS!$N$5,tabela_registros[TIPO],DADOS!$AB$3,tabela_registros[CATEGORIA],investirrendafixaconsolidadofev[[#This Row],[ATUAL]])</f>
        <v>0</v>
      </c>
      <c r="W117" s="91">
        <f>SUMIFS(tabela_registros[VALOR],tabela_registros[MÊS],$AE$1,tabela_registros[DIA],investirrendafixaconsolidadofev[[#Headers],[19]],tabela_registros[REGISTRO],DADOS!$N$5,tabela_registros[TIPO],DADOS!$AB$3,tabela_registros[CATEGORIA],investirrendafixaconsolidadofev[[#This Row],[ATUAL]])</f>
        <v>0</v>
      </c>
      <c r="X117" s="91">
        <f>SUMIFS(tabela_registros[VALOR],tabela_registros[MÊS],$AE$1,tabela_registros[DIA],investirrendafixaconsolidadofev[[#Headers],[20]],tabela_registros[REGISTRO],DADOS!$N$5,tabela_registros[TIPO],DADOS!$AB$3,tabela_registros[CATEGORIA],investirrendafixaconsolidadofev[[#This Row],[ATUAL]])</f>
        <v>0</v>
      </c>
      <c r="Y117" s="91">
        <f>SUMIFS(tabela_registros[VALOR],tabela_registros[MÊS],$AE$1,tabela_registros[DIA],investirrendafixaconsolidadofev[[#Headers],[21]],tabela_registros[REGISTRO],DADOS!$N$5,tabela_registros[TIPO],DADOS!$AB$3,tabela_registros[CATEGORIA],investirrendafixaconsolidadofev[[#This Row],[ATUAL]])</f>
        <v>0</v>
      </c>
      <c r="Z117" s="91">
        <f>SUMIFS(tabela_registros[VALOR],tabela_registros[MÊS],$AE$1,tabela_registros[DIA],investirrendafixaconsolidadofev[[#Headers],[22]],tabela_registros[REGISTRO],DADOS!$N$5,tabela_registros[TIPO],DADOS!$AB$3,tabela_registros[CATEGORIA],investirrendafixaconsolidadofev[[#This Row],[ATUAL]])</f>
        <v>0</v>
      </c>
      <c r="AA117" s="91">
        <f>SUMIFS(tabela_registros[VALOR],tabela_registros[MÊS],$AE$1,tabela_registros[DIA],investirrendafixaconsolidadofev[[#Headers],[23]],tabela_registros[REGISTRO],DADOS!$N$5,tabela_registros[TIPO],DADOS!$AB$3,tabela_registros[CATEGORIA],investirrendafixaconsolidadofev[[#This Row],[ATUAL]])</f>
        <v>0</v>
      </c>
      <c r="AB117" s="91">
        <f>SUMIFS(tabela_registros[VALOR],tabela_registros[MÊS],$AE$1,tabela_registros[DIA],investirrendafixaconsolidadofev[[#Headers],[24]],tabela_registros[REGISTRO],DADOS!$N$5,tabela_registros[TIPO],DADOS!$AB$3,tabela_registros[CATEGORIA],investirrendafixaconsolidadofev[[#This Row],[ATUAL]])</f>
        <v>0</v>
      </c>
      <c r="AC117" s="91">
        <f>SUMIFS(tabela_registros[VALOR],tabela_registros[MÊS],$AE$1,tabela_registros[DIA],investirrendafixaconsolidadofev[[#Headers],[25]],tabela_registros[REGISTRO],DADOS!$N$5,tabela_registros[TIPO],DADOS!$AB$3,tabela_registros[CATEGORIA],investirrendafixaconsolidadofev[[#This Row],[ATUAL]])</f>
        <v>0</v>
      </c>
      <c r="AD117" s="91">
        <f>SUMIFS(tabela_registros[VALOR],tabela_registros[MÊS],$AE$1,tabela_registros[DIA],investirrendafixaconsolidadofev[[#Headers],[26]],tabela_registros[REGISTRO],DADOS!$N$5,tabela_registros[TIPO],DADOS!$AB$3,tabela_registros[CATEGORIA],investirrendafixaconsolidadofev[[#This Row],[ATUAL]])</f>
        <v>0</v>
      </c>
      <c r="AE117" s="91">
        <f>SUMIFS(tabela_registros[VALOR],tabela_registros[MÊS],$AE$1,tabela_registros[DIA],investirrendafixaconsolidadofev[[#Headers],[27]],tabela_registros[REGISTRO],DADOS!$N$5,tabela_registros[TIPO],DADOS!$AB$3,tabela_registros[CATEGORIA],investirrendafixaconsolidadofev[[#This Row],[ATUAL]])</f>
        <v>0</v>
      </c>
      <c r="AF117" s="91">
        <f>SUMIFS(tabela_registros[VALOR],tabela_registros[MÊS],$AE$1,tabela_registros[DIA],investirrendafixaconsolidadofev[[#Headers],[28]],tabela_registros[REGISTRO],DADOS!$N$5,tabela_registros[TIPO],DADOS!$AB$3,tabela_registros[CATEGORIA],investirrendafixaconsolidadofev[[#This Row],[ATUAL]])</f>
        <v>0</v>
      </c>
      <c r="AG117" s="91">
        <f>SUMIFS(tabela_registros[VALOR],tabela_registros[MÊS],$AE$1,tabela_registros[DIA],investirrendafixaconsolidadofev[[#Headers],[29]],tabela_registros[REGISTRO],DADOS!$N$5,tabela_registros[TIPO],DADOS!$AB$3,tabela_registros[CATEGORIA],investirrendafixaconsolidadofev[[#This Row],[ATUAL]])</f>
        <v>0</v>
      </c>
      <c r="AH117" s="91">
        <f>SUMIFS(tabela_registros[VALOR],tabela_registros[MÊS],$AE$1,tabela_registros[DIA],investirrendafixaconsolidadofev[[#Headers],[30]],tabela_registros[REGISTRO],DADOS!$N$5,tabela_registros[TIPO],DADOS!$AB$3,tabela_registros[CATEGORIA],investirrendafixaconsolidadofev[[#This Row],[ATUAL]])</f>
        <v>0</v>
      </c>
      <c r="AI117" s="101">
        <f>SUMIFS(tabela_registros[VALOR],tabela_registros[MÊS],$AE$1,tabela_registros[DIA],investirrendafixaconsolidadofev[[#Headers],[31]],tabela_registros[REGISTRO],DADOS!$N$5,tabela_registros[TIPO],DADOS!$AB$3,tabela_registros[CATEGORIA],investirrendafixaconsolidadofev[[#This Row],[ATUAL]])</f>
        <v>0</v>
      </c>
      <c r="AJ117" s="97">
        <f>SUM(investirrendafixaconsolidadofev[[#This Row],[1]:[31]])</f>
        <v>0</v>
      </c>
      <c r="AK117" s="25"/>
    </row>
    <row r="118" spans="2:37" ht="19.5" customHeight="1" thickTop="1" thickBot="1" x14ac:dyDescent="0.3">
      <c r="B118" s="28"/>
      <c r="C118" s="27" t="str">
        <f>DADOS!$AD$8</f>
        <v>📝 LC</v>
      </c>
      <c r="D118" s="26" t="str">
        <f>IF(investirrendafixaconsolidadofev[[#This Row],[TOTAL (R$)]]=0,"",IF(OR(investirrendafixaconsolidadofev[[#This Row],[TOTAL (R$)]]=LARGE($AJ$113:$AJ$122,1),investirrendafixaconsolidadofev[[#This Row],[TOTAL (R$)]]=LARGE($AJ$113:$AJ$122,2)),DADOS!$I$10,""))</f>
        <v/>
      </c>
      <c r="E118" s="96">
        <f>SUMIFS(tabela_registros[VALOR],tabela_registros[MÊS],$AE$1,tabela_registros[DIA],investirrendafixaconsolidadofev[[#Headers],[1]],tabela_registros[REGISTRO],DADOS!$N$5,tabela_registros[TIPO],DADOS!$AB$3,tabela_registros[CATEGORIA],investirrendafixaconsolidadofev[[#This Row],[ATUAL]])</f>
        <v>0</v>
      </c>
      <c r="F118" s="91">
        <f>SUMIFS(tabela_registros[VALOR],tabela_registros[MÊS],$AE$1,tabela_registros[DIA],investirrendafixaconsolidadofev[[#Headers],[2]],tabela_registros[REGISTRO],DADOS!$N$5,tabela_registros[TIPO],DADOS!$AB$3,tabela_registros[CATEGORIA],investirrendafixaconsolidadofev[[#This Row],[ATUAL]])</f>
        <v>0</v>
      </c>
      <c r="G118" s="91">
        <f>SUMIFS(tabela_registros[VALOR],tabela_registros[MÊS],$AE$1,tabela_registros[DIA],investirrendafixaconsolidadofev[[#Headers],[3]],tabela_registros[REGISTRO],DADOS!$N$5,tabela_registros[TIPO],DADOS!$AB$3,tabela_registros[CATEGORIA],investirrendafixaconsolidadofev[[#This Row],[ATUAL]])</f>
        <v>0</v>
      </c>
      <c r="H118" s="91">
        <f>SUMIFS(tabela_registros[VALOR],tabela_registros[MÊS],$AE$1,tabela_registros[DIA],investirrendafixaconsolidadofev[[#Headers],[4]],tabela_registros[REGISTRO],DADOS!$N$5,tabela_registros[TIPO],DADOS!$AB$3,tabela_registros[CATEGORIA],investirrendafixaconsolidadofev[[#This Row],[ATUAL]])</f>
        <v>0</v>
      </c>
      <c r="I118" s="91">
        <f>SUMIFS(tabela_registros[VALOR],tabela_registros[MÊS],$AE$1,tabela_registros[DIA],investirrendafixaconsolidadofev[[#Headers],[5]],tabela_registros[REGISTRO],DADOS!$N$5,tabela_registros[TIPO],DADOS!$AB$3,tabela_registros[CATEGORIA],investirrendafixaconsolidadofev[[#This Row],[ATUAL]])</f>
        <v>0</v>
      </c>
      <c r="J118" s="91">
        <f>SUMIFS(tabela_registros[VALOR],tabela_registros[MÊS],$AE$1,tabela_registros[DIA],investirrendafixaconsolidadofev[[#Headers],[6]],tabela_registros[REGISTRO],DADOS!$N$5,tabela_registros[TIPO],DADOS!$AB$3,tabela_registros[CATEGORIA],investirrendafixaconsolidadofev[[#This Row],[ATUAL]])</f>
        <v>0</v>
      </c>
      <c r="K118" s="91">
        <f>SUMIFS(tabela_registros[VALOR],tabela_registros[MÊS],$AE$1,tabela_registros[DIA],investirrendafixaconsolidadofev[[#Headers],[7]],tabela_registros[REGISTRO],DADOS!$N$5,tabela_registros[TIPO],DADOS!$AB$3,tabela_registros[CATEGORIA],investirrendafixaconsolidadofev[[#This Row],[ATUAL]])</f>
        <v>0</v>
      </c>
      <c r="L118" s="91">
        <f>SUMIFS(tabela_registros[VALOR],tabela_registros[MÊS],$AE$1,tabela_registros[DIA],investirrendafixaconsolidadofev[[#Headers],[8]],tabela_registros[REGISTRO],DADOS!$N$5,tabela_registros[TIPO],DADOS!$AB$3,tabela_registros[CATEGORIA],investirrendafixaconsolidadofev[[#This Row],[ATUAL]])</f>
        <v>0</v>
      </c>
      <c r="M118" s="91">
        <f>SUMIFS(tabela_registros[VALOR],tabela_registros[MÊS],$AE$1,tabela_registros[DIA],investirrendafixaconsolidadofev[[#Headers],[9]],tabela_registros[REGISTRO],DADOS!$N$5,tabela_registros[TIPO],DADOS!$AB$3,tabela_registros[CATEGORIA],investirrendafixaconsolidadofev[[#This Row],[ATUAL]])</f>
        <v>0</v>
      </c>
      <c r="N118" s="91">
        <f>SUMIFS(tabela_registros[VALOR],tabela_registros[MÊS],$AE$1,tabela_registros[DIA],investirrendafixaconsolidadofev[[#Headers],[10]],tabela_registros[REGISTRO],DADOS!$N$5,tabela_registros[TIPO],DADOS!$AB$3,tabela_registros[CATEGORIA],investirrendafixaconsolidadofev[[#This Row],[ATUAL]])</f>
        <v>0</v>
      </c>
      <c r="O118" s="91">
        <f>SUMIFS(tabela_registros[VALOR],tabela_registros[MÊS],$AE$1,tabela_registros[DIA],investirrendafixaconsolidadofev[[#Headers],[11]],tabela_registros[REGISTRO],DADOS!$N$5,tabela_registros[TIPO],DADOS!$AB$3,tabela_registros[CATEGORIA],investirrendafixaconsolidadofev[[#This Row],[ATUAL]])</f>
        <v>0</v>
      </c>
      <c r="P118" s="91">
        <f>SUMIFS(tabela_registros[VALOR],tabela_registros[MÊS],$AE$1,tabela_registros[DIA],investirrendafixaconsolidadofev[[#Headers],[12]],tabela_registros[REGISTRO],DADOS!$N$5,tabela_registros[TIPO],DADOS!$AB$3,tabela_registros[CATEGORIA],investirrendafixaconsolidadofev[[#This Row],[ATUAL]])</f>
        <v>0</v>
      </c>
      <c r="Q118" s="91">
        <f>SUMIFS(tabela_registros[VALOR],tabela_registros[MÊS],$AE$1,tabela_registros[DIA],investirrendafixaconsolidadofev[[#Headers],[13]],tabela_registros[REGISTRO],DADOS!$N$5,tabela_registros[TIPO],DADOS!$AB$3,tabela_registros[CATEGORIA],investirrendafixaconsolidadofev[[#This Row],[ATUAL]])</f>
        <v>0</v>
      </c>
      <c r="R118" s="91">
        <f>SUMIFS(tabela_registros[VALOR],tabela_registros[MÊS],$AE$1,tabela_registros[DIA],investirrendafixaconsolidadofev[[#Headers],[14]],tabela_registros[REGISTRO],DADOS!$N$5,tabela_registros[TIPO],DADOS!$AB$3,tabela_registros[CATEGORIA],investirrendafixaconsolidadofev[[#This Row],[ATUAL]])</f>
        <v>0</v>
      </c>
      <c r="S118" s="91">
        <f>SUMIFS(tabela_registros[VALOR],tabela_registros[MÊS],$AE$1,tabela_registros[DIA],investirrendafixaconsolidadofev[[#Headers],[15]],tabela_registros[REGISTRO],DADOS!$N$5,tabela_registros[TIPO],DADOS!$AB$3,tabela_registros[CATEGORIA],investirrendafixaconsolidadofev[[#This Row],[ATUAL]])</f>
        <v>0</v>
      </c>
      <c r="T118" s="91">
        <f>SUMIFS(tabela_registros[VALOR],tabela_registros[MÊS],$AE$1,tabela_registros[DIA],investirrendafixaconsolidadofev[[#Headers],[16]],tabela_registros[REGISTRO],DADOS!$N$5,tabela_registros[TIPO],DADOS!$AB$3,tabela_registros[CATEGORIA],investirrendafixaconsolidadofev[[#This Row],[ATUAL]])</f>
        <v>0</v>
      </c>
      <c r="U118" s="91">
        <f>SUMIFS(tabela_registros[VALOR],tabela_registros[MÊS],$AE$1,tabela_registros[DIA],investirrendafixaconsolidadofev[[#Headers],[17]],tabela_registros[REGISTRO],DADOS!$N$5,tabela_registros[TIPO],DADOS!$AB$3,tabela_registros[CATEGORIA],investirrendafixaconsolidadofev[[#This Row],[ATUAL]])</f>
        <v>0</v>
      </c>
      <c r="V118" s="91">
        <f>SUMIFS(tabela_registros[VALOR],tabela_registros[MÊS],$AE$1,tabela_registros[DIA],investirrendafixaconsolidadofev[[#Headers],[18]],tabela_registros[REGISTRO],DADOS!$N$5,tabela_registros[TIPO],DADOS!$AB$3,tabela_registros[CATEGORIA],investirrendafixaconsolidadofev[[#This Row],[ATUAL]])</f>
        <v>0</v>
      </c>
      <c r="W118" s="91">
        <f>SUMIFS(tabela_registros[VALOR],tabela_registros[MÊS],$AE$1,tabela_registros[DIA],investirrendafixaconsolidadofev[[#Headers],[19]],tabela_registros[REGISTRO],DADOS!$N$5,tabela_registros[TIPO],DADOS!$AB$3,tabela_registros[CATEGORIA],investirrendafixaconsolidadofev[[#This Row],[ATUAL]])</f>
        <v>0</v>
      </c>
      <c r="X118" s="91">
        <f>SUMIFS(tabela_registros[VALOR],tabela_registros[MÊS],$AE$1,tabela_registros[DIA],investirrendafixaconsolidadofev[[#Headers],[20]],tabela_registros[REGISTRO],DADOS!$N$5,tabela_registros[TIPO],DADOS!$AB$3,tabela_registros[CATEGORIA],investirrendafixaconsolidadofev[[#This Row],[ATUAL]])</f>
        <v>0</v>
      </c>
      <c r="Y118" s="91">
        <f>SUMIFS(tabela_registros[VALOR],tabela_registros[MÊS],$AE$1,tabela_registros[DIA],investirrendafixaconsolidadofev[[#Headers],[21]],tabela_registros[REGISTRO],DADOS!$N$5,tabela_registros[TIPO],DADOS!$AB$3,tabela_registros[CATEGORIA],investirrendafixaconsolidadofev[[#This Row],[ATUAL]])</f>
        <v>0</v>
      </c>
      <c r="Z118" s="91">
        <f>SUMIFS(tabela_registros[VALOR],tabela_registros[MÊS],$AE$1,tabela_registros[DIA],investirrendafixaconsolidadofev[[#Headers],[22]],tabela_registros[REGISTRO],DADOS!$N$5,tabela_registros[TIPO],DADOS!$AB$3,tabela_registros[CATEGORIA],investirrendafixaconsolidadofev[[#This Row],[ATUAL]])</f>
        <v>0</v>
      </c>
      <c r="AA118" s="91">
        <f>SUMIFS(tabela_registros[VALOR],tabela_registros[MÊS],$AE$1,tabela_registros[DIA],investirrendafixaconsolidadofev[[#Headers],[23]],tabela_registros[REGISTRO],DADOS!$N$5,tabela_registros[TIPO],DADOS!$AB$3,tabela_registros[CATEGORIA],investirrendafixaconsolidadofev[[#This Row],[ATUAL]])</f>
        <v>0</v>
      </c>
      <c r="AB118" s="91">
        <f>SUMIFS(tabela_registros[VALOR],tabela_registros[MÊS],$AE$1,tabela_registros[DIA],investirrendafixaconsolidadofev[[#Headers],[24]],tabela_registros[REGISTRO],DADOS!$N$5,tabela_registros[TIPO],DADOS!$AB$3,tabela_registros[CATEGORIA],investirrendafixaconsolidadofev[[#This Row],[ATUAL]])</f>
        <v>0</v>
      </c>
      <c r="AC118" s="91">
        <f>SUMIFS(tabela_registros[VALOR],tabela_registros[MÊS],$AE$1,tabela_registros[DIA],investirrendafixaconsolidadofev[[#Headers],[25]],tabela_registros[REGISTRO],DADOS!$N$5,tabela_registros[TIPO],DADOS!$AB$3,tabela_registros[CATEGORIA],investirrendafixaconsolidadofev[[#This Row],[ATUAL]])</f>
        <v>0</v>
      </c>
      <c r="AD118" s="91">
        <f>SUMIFS(tabela_registros[VALOR],tabela_registros[MÊS],$AE$1,tabela_registros[DIA],investirrendafixaconsolidadofev[[#Headers],[26]],tabela_registros[REGISTRO],DADOS!$N$5,tabela_registros[TIPO],DADOS!$AB$3,tabela_registros[CATEGORIA],investirrendafixaconsolidadofev[[#This Row],[ATUAL]])</f>
        <v>0</v>
      </c>
      <c r="AE118" s="91">
        <f>SUMIFS(tabela_registros[VALOR],tabela_registros[MÊS],$AE$1,tabela_registros[DIA],investirrendafixaconsolidadofev[[#Headers],[27]],tabela_registros[REGISTRO],DADOS!$N$5,tabela_registros[TIPO],DADOS!$AB$3,tabela_registros[CATEGORIA],investirrendafixaconsolidadofev[[#This Row],[ATUAL]])</f>
        <v>0</v>
      </c>
      <c r="AF118" s="91">
        <f>SUMIFS(tabela_registros[VALOR],tabela_registros[MÊS],$AE$1,tabela_registros[DIA],investirrendafixaconsolidadofev[[#Headers],[28]],tabela_registros[REGISTRO],DADOS!$N$5,tabela_registros[TIPO],DADOS!$AB$3,tabela_registros[CATEGORIA],investirrendafixaconsolidadofev[[#This Row],[ATUAL]])</f>
        <v>0</v>
      </c>
      <c r="AG118" s="91">
        <f>SUMIFS(tabela_registros[VALOR],tabela_registros[MÊS],$AE$1,tabela_registros[DIA],investirrendafixaconsolidadofev[[#Headers],[29]],tabela_registros[REGISTRO],DADOS!$N$5,tabela_registros[TIPO],DADOS!$AB$3,tabela_registros[CATEGORIA],investirrendafixaconsolidadofev[[#This Row],[ATUAL]])</f>
        <v>0</v>
      </c>
      <c r="AH118" s="91">
        <f>SUMIFS(tabela_registros[VALOR],tabela_registros[MÊS],$AE$1,tabela_registros[DIA],investirrendafixaconsolidadofev[[#Headers],[30]],tabela_registros[REGISTRO],DADOS!$N$5,tabela_registros[TIPO],DADOS!$AB$3,tabela_registros[CATEGORIA],investirrendafixaconsolidadofev[[#This Row],[ATUAL]])</f>
        <v>0</v>
      </c>
      <c r="AI118" s="101">
        <f>SUMIFS(tabela_registros[VALOR],tabela_registros[MÊS],$AE$1,tabela_registros[DIA],investirrendafixaconsolidadofev[[#Headers],[31]],tabela_registros[REGISTRO],DADOS!$N$5,tabela_registros[TIPO],DADOS!$AB$3,tabela_registros[CATEGORIA],investirrendafixaconsolidadofev[[#This Row],[ATUAL]])</f>
        <v>0</v>
      </c>
      <c r="AJ118" s="97">
        <f>SUM(investirrendafixaconsolidadofev[[#This Row],[1]:[31]])</f>
        <v>0</v>
      </c>
      <c r="AK118" s="25"/>
    </row>
    <row r="119" spans="2:37" ht="19.5" customHeight="1" thickTop="1" thickBot="1" x14ac:dyDescent="0.3">
      <c r="B119" s="28"/>
      <c r="C119" s="27" t="str">
        <f>DADOS!$AD$9</f>
        <v>📝 LCA</v>
      </c>
      <c r="D119" s="26" t="str">
        <f>IF(investirrendafixaconsolidadofev[[#This Row],[TOTAL (R$)]]=0,"",IF(OR(investirrendafixaconsolidadofev[[#This Row],[TOTAL (R$)]]=LARGE($AJ$113:$AJ$122,1),investirrendafixaconsolidadofev[[#This Row],[TOTAL (R$)]]=LARGE($AJ$113:$AJ$122,2)),DADOS!$I$10,""))</f>
        <v/>
      </c>
      <c r="E119" s="96">
        <f>SUMIFS(tabela_registros[VALOR],tabela_registros[MÊS],$AE$1,tabela_registros[DIA],investirrendafixaconsolidadofev[[#Headers],[1]],tabela_registros[REGISTRO],DADOS!$N$5,tabela_registros[TIPO],DADOS!$AB$3,tabela_registros[CATEGORIA],investirrendafixaconsolidadofev[[#This Row],[ATUAL]])</f>
        <v>0</v>
      </c>
      <c r="F119" s="91">
        <f>SUMIFS(tabela_registros[VALOR],tabela_registros[MÊS],$AE$1,tabela_registros[DIA],investirrendafixaconsolidadofev[[#Headers],[2]],tabela_registros[REGISTRO],DADOS!$N$5,tabela_registros[TIPO],DADOS!$AB$3,tabela_registros[CATEGORIA],investirrendafixaconsolidadofev[[#This Row],[ATUAL]])</f>
        <v>0</v>
      </c>
      <c r="G119" s="91">
        <f>SUMIFS(tabela_registros[VALOR],tabela_registros[MÊS],$AE$1,tabela_registros[DIA],investirrendafixaconsolidadofev[[#Headers],[3]],tabela_registros[REGISTRO],DADOS!$N$5,tabela_registros[TIPO],DADOS!$AB$3,tabela_registros[CATEGORIA],investirrendafixaconsolidadofev[[#This Row],[ATUAL]])</f>
        <v>0</v>
      </c>
      <c r="H119" s="91">
        <f>SUMIFS(tabela_registros[VALOR],tabela_registros[MÊS],$AE$1,tabela_registros[DIA],investirrendafixaconsolidadofev[[#Headers],[4]],tabela_registros[REGISTRO],DADOS!$N$5,tabela_registros[TIPO],DADOS!$AB$3,tabela_registros[CATEGORIA],investirrendafixaconsolidadofev[[#This Row],[ATUAL]])</f>
        <v>0</v>
      </c>
      <c r="I119" s="91">
        <f>SUMIFS(tabela_registros[VALOR],tabela_registros[MÊS],$AE$1,tabela_registros[DIA],investirrendafixaconsolidadofev[[#Headers],[5]],tabela_registros[REGISTRO],DADOS!$N$5,tabela_registros[TIPO],DADOS!$AB$3,tabela_registros[CATEGORIA],investirrendafixaconsolidadofev[[#This Row],[ATUAL]])</f>
        <v>0</v>
      </c>
      <c r="J119" s="91">
        <f>SUMIFS(tabela_registros[VALOR],tabela_registros[MÊS],$AE$1,tabela_registros[DIA],investirrendafixaconsolidadofev[[#Headers],[6]],tabela_registros[REGISTRO],DADOS!$N$5,tabela_registros[TIPO],DADOS!$AB$3,tabela_registros[CATEGORIA],investirrendafixaconsolidadofev[[#This Row],[ATUAL]])</f>
        <v>0</v>
      </c>
      <c r="K119" s="91">
        <f>SUMIFS(tabela_registros[VALOR],tabela_registros[MÊS],$AE$1,tabela_registros[DIA],investirrendafixaconsolidadofev[[#Headers],[7]],tabela_registros[REGISTRO],DADOS!$N$5,tabela_registros[TIPO],DADOS!$AB$3,tabela_registros[CATEGORIA],investirrendafixaconsolidadofev[[#This Row],[ATUAL]])</f>
        <v>0</v>
      </c>
      <c r="L119" s="91">
        <f>SUMIFS(tabela_registros[VALOR],tabela_registros[MÊS],$AE$1,tabela_registros[DIA],investirrendafixaconsolidadofev[[#Headers],[8]],tabela_registros[REGISTRO],DADOS!$N$5,tabela_registros[TIPO],DADOS!$AB$3,tabela_registros[CATEGORIA],investirrendafixaconsolidadofev[[#This Row],[ATUAL]])</f>
        <v>0</v>
      </c>
      <c r="M119" s="91">
        <f>SUMIFS(tabela_registros[VALOR],tabela_registros[MÊS],$AE$1,tabela_registros[DIA],investirrendafixaconsolidadofev[[#Headers],[9]],tabela_registros[REGISTRO],DADOS!$N$5,tabela_registros[TIPO],DADOS!$AB$3,tabela_registros[CATEGORIA],investirrendafixaconsolidadofev[[#This Row],[ATUAL]])</f>
        <v>0</v>
      </c>
      <c r="N119" s="91">
        <f>SUMIFS(tabela_registros[VALOR],tabela_registros[MÊS],$AE$1,tabela_registros[DIA],investirrendafixaconsolidadofev[[#Headers],[10]],tabela_registros[REGISTRO],DADOS!$N$5,tabela_registros[TIPO],DADOS!$AB$3,tabela_registros[CATEGORIA],investirrendafixaconsolidadofev[[#This Row],[ATUAL]])</f>
        <v>0</v>
      </c>
      <c r="O119" s="91">
        <f>SUMIFS(tabela_registros[VALOR],tabela_registros[MÊS],$AE$1,tabela_registros[DIA],investirrendafixaconsolidadofev[[#Headers],[11]],tabela_registros[REGISTRO],DADOS!$N$5,tabela_registros[TIPO],DADOS!$AB$3,tabela_registros[CATEGORIA],investirrendafixaconsolidadofev[[#This Row],[ATUAL]])</f>
        <v>0</v>
      </c>
      <c r="P119" s="91">
        <f>SUMIFS(tabela_registros[VALOR],tabela_registros[MÊS],$AE$1,tabela_registros[DIA],investirrendafixaconsolidadofev[[#Headers],[12]],tabela_registros[REGISTRO],DADOS!$N$5,tabela_registros[TIPO],DADOS!$AB$3,tabela_registros[CATEGORIA],investirrendafixaconsolidadofev[[#This Row],[ATUAL]])</f>
        <v>0</v>
      </c>
      <c r="Q119" s="91">
        <f>SUMIFS(tabela_registros[VALOR],tabela_registros[MÊS],$AE$1,tabela_registros[DIA],investirrendafixaconsolidadofev[[#Headers],[13]],tabela_registros[REGISTRO],DADOS!$N$5,tabela_registros[TIPO],DADOS!$AB$3,tabela_registros[CATEGORIA],investirrendafixaconsolidadofev[[#This Row],[ATUAL]])</f>
        <v>0</v>
      </c>
      <c r="R119" s="91">
        <f>SUMIFS(tabela_registros[VALOR],tabela_registros[MÊS],$AE$1,tabela_registros[DIA],investirrendafixaconsolidadofev[[#Headers],[14]],tabela_registros[REGISTRO],DADOS!$N$5,tabela_registros[TIPO],DADOS!$AB$3,tabela_registros[CATEGORIA],investirrendafixaconsolidadofev[[#This Row],[ATUAL]])</f>
        <v>0</v>
      </c>
      <c r="S119" s="91">
        <f>SUMIFS(tabela_registros[VALOR],tabela_registros[MÊS],$AE$1,tabela_registros[DIA],investirrendafixaconsolidadofev[[#Headers],[15]],tabela_registros[REGISTRO],DADOS!$N$5,tabela_registros[TIPO],DADOS!$AB$3,tabela_registros[CATEGORIA],investirrendafixaconsolidadofev[[#This Row],[ATUAL]])</f>
        <v>0</v>
      </c>
      <c r="T119" s="91">
        <f>SUMIFS(tabela_registros[VALOR],tabela_registros[MÊS],$AE$1,tabela_registros[DIA],investirrendafixaconsolidadofev[[#Headers],[16]],tabela_registros[REGISTRO],DADOS!$N$5,tabela_registros[TIPO],DADOS!$AB$3,tabela_registros[CATEGORIA],investirrendafixaconsolidadofev[[#This Row],[ATUAL]])</f>
        <v>0</v>
      </c>
      <c r="U119" s="91">
        <f>SUMIFS(tabela_registros[VALOR],tabela_registros[MÊS],$AE$1,tabela_registros[DIA],investirrendafixaconsolidadofev[[#Headers],[17]],tabela_registros[REGISTRO],DADOS!$N$5,tabela_registros[TIPO],DADOS!$AB$3,tabela_registros[CATEGORIA],investirrendafixaconsolidadofev[[#This Row],[ATUAL]])</f>
        <v>0</v>
      </c>
      <c r="V119" s="91">
        <f>SUMIFS(tabela_registros[VALOR],tabela_registros[MÊS],$AE$1,tabela_registros[DIA],investirrendafixaconsolidadofev[[#Headers],[18]],tabela_registros[REGISTRO],DADOS!$N$5,tabela_registros[TIPO],DADOS!$AB$3,tabela_registros[CATEGORIA],investirrendafixaconsolidadofev[[#This Row],[ATUAL]])</f>
        <v>0</v>
      </c>
      <c r="W119" s="91">
        <f>SUMIFS(tabela_registros[VALOR],tabela_registros[MÊS],$AE$1,tabela_registros[DIA],investirrendafixaconsolidadofev[[#Headers],[19]],tabela_registros[REGISTRO],DADOS!$N$5,tabela_registros[TIPO],DADOS!$AB$3,tabela_registros[CATEGORIA],investirrendafixaconsolidadofev[[#This Row],[ATUAL]])</f>
        <v>0</v>
      </c>
      <c r="X119" s="91">
        <f>SUMIFS(tabela_registros[VALOR],tabela_registros[MÊS],$AE$1,tabela_registros[DIA],investirrendafixaconsolidadofev[[#Headers],[20]],tabela_registros[REGISTRO],DADOS!$N$5,tabela_registros[TIPO],DADOS!$AB$3,tabela_registros[CATEGORIA],investirrendafixaconsolidadofev[[#This Row],[ATUAL]])</f>
        <v>0</v>
      </c>
      <c r="Y119" s="91">
        <f>SUMIFS(tabela_registros[VALOR],tabela_registros[MÊS],$AE$1,tabela_registros[DIA],investirrendafixaconsolidadofev[[#Headers],[21]],tabela_registros[REGISTRO],DADOS!$N$5,tabela_registros[TIPO],DADOS!$AB$3,tabela_registros[CATEGORIA],investirrendafixaconsolidadofev[[#This Row],[ATUAL]])</f>
        <v>0</v>
      </c>
      <c r="Z119" s="91">
        <f>SUMIFS(tabela_registros[VALOR],tabela_registros[MÊS],$AE$1,tabela_registros[DIA],investirrendafixaconsolidadofev[[#Headers],[22]],tabela_registros[REGISTRO],DADOS!$N$5,tabela_registros[TIPO],DADOS!$AB$3,tabela_registros[CATEGORIA],investirrendafixaconsolidadofev[[#This Row],[ATUAL]])</f>
        <v>0</v>
      </c>
      <c r="AA119" s="91">
        <f>SUMIFS(tabela_registros[VALOR],tabela_registros[MÊS],$AE$1,tabela_registros[DIA],investirrendafixaconsolidadofev[[#Headers],[23]],tabela_registros[REGISTRO],DADOS!$N$5,tabela_registros[TIPO],DADOS!$AB$3,tabela_registros[CATEGORIA],investirrendafixaconsolidadofev[[#This Row],[ATUAL]])</f>
        <v>0</v>
      </c>
      <c r="AB119" s="91">
        <f>SUMIFS(tabela_registros[VALOR],tabela_registros[MÊS],$AE$1,tabela_registros[DIA],investirrendafixaconsolidadofev[[#Headers],[24]],tabela_registros[REGISTRO],DADOS!$N$5,tabela_registros[TIPO],DADOS!$AB$3,tabela_registros[CATEGORIA],investirrendafixaconsolidadofev[[#This Row],[ATUAL]])</f>
        <v>0</v>
      </c>
      <c r="AC119" s="91">
        <f>SUMIFS(tabela_registros[VALOR],tabela_registros[MÊS],$AE$1,tabela_registros[DIA],investirrendafixaconsolidadofev[[#Headers],[25]],tabela_registros[REGISTRO],DADOS!$N$5,tabela_registros[TIPO],DADOS!$AB$3,tabela_registros[CATEGORIA],investirrendafixaconsolidadofev[[#This Row],[ATUAL]])</f>
        <v>0</v>
      </c>
      <c r="AD119" s="91">
        <f>SUMIFS(tabela_registros[VALOR],tabela_registros[MÊS],$AE$1,tabela_registros[DIA],investirrendafixaconsolidadofev[[#Headers],[26]],tabela_registros[REGISTRO],DADOS!$N$5,tabela_registros[TIPO],DADOS!$AB$3,tabela_registros[CATEGORIA],investirrendafixaconsolidadofev[[#This Row],[ATUAL]])</f>
        <v>0</v>
      </c>
      <c r="AE119" s="91">
        <f>SUMIFS(tabela_registros[VALOR],tabela_registros[MÊS],$AE$1,tabela_registros[DIA],investirrendafixaconsolidadofev[[#Headers],[27]],tabela_registros[REGISTRO],DADOS!$N$5,tabela_registros[TIPO],DADOS!$AB$3,tabela_registros[CATEGORIA],investirrendafixaconsolidadofev[[#This Row],[ATUAL]])</f>
        <v>0</v>
      </c>
      <c r="AF119" s="91">
        <f>SUMIFS(tabela_registros[VALOR],tabela_registros[MÊS],$AE$1,tabela_registros[DIA],investirrendafixaconsolidadofev[[#Headers],[28]],tabela_registros[REGISTRO],DADOS!$N$5,tabela_registros[TIPO],DADOS!$AB$3,tabela_registros[CATEGORIA],investirrendafixaconsolidadofev[[#This Row],[ATUAL]])</f>
        <v>0</v>
      </c>
      <c r="AG119" s="91">
        <f>SUMIFS(tabela_registros[VALOR],tabela_registros[MÊS],$AE$1,tabela_registros[DIA],investirrendafixaconsolidadofev[[#Headers],[29]],tabela_registros[REGISTRO],DADOS!$N$5,tabela_registros[TIPO],DADOS!$AB$3,tabela_registros[CATEGORIA],investirrendafixaconsolidadofev[[#This Row],[ATUAL]])</f>
        <v>0</v>
      </c>
      <c r="AH119" s="91">
        <f>SUMIFS(tabela_registros[VALOR],tabela_registros[MÊS],$AE$1,tabela_registros[DIA],investirrendafixaconsolidadofev[[#Headers],[30]],tabela_registros[REGISTRO],DADOS!$N$5,tabela_registros[TIPO],DADOS!$AB$3,tabela_registros[CATEGORIA],investirrendafixaconsolidadofev[[#This Row],[ATUAL]])</f>
        <v>0</v>
      </c>
      <c r="AI119" s="101">
        <f>SUMIFS(tabela_registros[VALOR],tabela_registros[MÊS],$AE$1,tabela_registros[DIA],investirrendafixaconsolidadofev[[#Headers],[31]],tabela_registros[REGISTRO],DADOS!$N$5,tabela_registros[TIPO],DADOS!$AB$3,tabela_registros[CATEGORIA],investirrendafixaconsolidadofev[[#This Row],[ATUAL]])</f>
        <v>0</v>
      </c>
      <c r="AJ119" s="97">
        <f>SUM(investirrendafixaconsolidadofev[[#This Row],[1]:[31]])</f>
        <v>0</v>
      </c>
      <c r="AK119" s="25"/>
    </row>
    <row r="120" spans="2:37" ht="19.5" customHeight="1" thickTop="1" thickBot="1" x14ac:dyDescent="0.3">
      <c r="B120" s="28"/>
      <c r="C120" s="27" t="str">
        <f>DADOS!$AD$10</f>
        <v>📝 LCI</v>
      </c>
      <c r="D120" s="26" t="str">
        <f>IF(investirrendafixaconsolidadofev[[#This Row],[TOTAL (R$)]]=0,"",IF(OR(investirrendafixaconsolidadofev[[#This Row],[TOTAL (R$)]]=LARGE($AJ$113:$AJ$122,1),investirrendafixaconsolidadofev[[#This Row],[TOTAL (R$)]]=LARGE($AJ$113:$AJ$122,2)),DADOS!$I$10,""))</f>
        <v/>
      </c>
      <c r="E120" s="96">
        <f>SUMIFS(tabela_registros[VALOR],tabela_registros[MÊS],$AE$1,tabela_registros[DIA],investirrendafixaconsolidadofev[[#Headers],[1]],tabela_registros[REGISTRO],DADOS!$N$5,tabela_registros[TIPO],DADOS!$AB$3,tabela_registros[CATEGORIA],investirrendafixaconsolidadofev[[#This Row],[ATUAL]])</f>
        <v>0</v>
      </c>
      <c r="F120" s="91">
        <f>SUMIFS(tabela_registros[VALOR],tabela_registros[MÊS],$AE$1,tabela_registros[DIA],investirrendafixaconsolidadofev[[#Headers],[2]],tabela_registros[REGISTRO],DADOS!$N$5,tabela_registros[TIPO],DADOS!$AB$3,tabela_registros[CATEGORIA],investirrendafixaconsolidadofev[[#This Row],[ATUAL]])</f>
        <v>0</v>
      </c>
      <c r="G120" s="91">
        <f>SUMIFS(tabela_registros[VALOR],tabela_registros[MÊS],$AE$1,tabela_registros[DIA],investirrendafixaconsolidadofev[[#Headers],[3]],tabela_registros[REGISTRO],DADOS!$N$5,tabela_registros[TIPO],DADOS!$AB$3,tabela_registros[CATEGORIA],investirrendafixaconsolidadofev[[#This Row],[ATUAL]])</f>
        <v>0</v>
      </c>
      <c r="H120" s="91">
        <f>SUMIFS(tabela_registros[VALOR],tabela_registros[MÊS],$AE$1,tabela_registros[DIA],investirrendafixaconsolidadofev[[#Headers],[4]],tabela_registros[REGISTRO],DADOS!$N$5,tabela_registros[TIPO],DADOS!$AB$3,tabela_registros[CATEGORIA],investirrendafixaconsolidadofev[[#This Row],[ATUAL]])</f>
        <v>0</v>
      </c>
      <c r="I120" s="91">
        <f>SUMIFS(tabela_registros[VALOR],tabela_registros[MÊS],$AE$1,tabela_registros[DIA],investirrendafixaconsolidadofev[[#Headers],[5]],tabela_registros[REGISTRO],DADOS!$N$5,tabela_registros[TIPO],DADOS!$AB$3,tabela_registros[CATEGORIA],investirrendafixaconsolidadofev[[#This Row],[ATUAL]])</f>
        <v>0</v>
      </c>
      <c r="J120" s="91">
        <f>SUMIFS(tabela_registros[VALOR],tabela_registros[MÊS],$AE$1,tabela_registros[DIA],investirrendafixaconsolidadofev[[#Headers],[6]],tabela_registros[REGISTRO],DADOS!$N$5,tabela_registros[TIPO],DADOS!$AB$3,tabela_registros[CATEGORIA],investirrendafixaconsolidadofev[[#This Row],[ATUAL]])</f>
        <v>0</v>
      </c>
      <c r="K120" s="91">
        <f>SUMIFS(tabela_registros[VALOR],tabela_registros[MÊS],$AE$1,tabela_registros[DIA],investirrendafixaconsolidadofev[[#Headers],[7]],tabela_registros[REGISTRO],DADOS!$N$5,tabela_registros[TIPO],DADOS!$AB$3,tabela_registros[CATEGORIA],investirrendafixaconsolidadofev[[#This Row],[ATUAL]])</f>
        <v>0</v>
      </c>
      <c r="L120" s="91">
        <f>SUMIFS(tabela_registros[VALOR],tabela_registros[MÊS],$AE$1,tabela_registros[DIA],investirrendafixaconsolidadofev[[#Headers],[8]],tabela_registros[REGISTRO],DADOS!$N$5,tabela_registros[TIPO],DADOS!$AB$3,tabela_registros[CATEGORIA],investirrendafixaconsolidadofev[[#This Row],[ATUAL]])</f>
        <v>0</v>
      </c>
      <c r="M120" s="91">
        <f>SUMIFS(tabela_registros[VALOR],tabela_registros[MÊS],$AE$1,tabela_registros[DIA],investirrendafixaconsolidadofev[[#Headers],[9]],tabela_registros[REGISTRO],DADOS!$N$5,tabela_registros[TIPO],DADOS!$AB$3,tabela_registros[CATEGORIA],investirrendafixaconsolidadofev[[#This Row],[ATUAL]])</f>
        <v>0</v>
      </c>
      <c r="N120" s="91">
        <f>SUMIFS(tabela_registros[VALOR],tabela_registros[MÊS],$AE$1,tabela_registros[DIA],investirrendafixaconsolidadofev[[#Headers],[10]],tabela_registros[REGISTRO],DADOS!$N$5,tabela_registros[TIPO],DADOS!$AB$3,tabela_registros[CATEGORIA],investirrendafixaconsolidadofev[[#This Row],[ATUAL]])</f>
        <v>0</v>
      </c>
      <c r="O120" s="91">
        <f>SUMIFS(tabela_registros[VALOR],tabela_registros[MÊS],$AE$1,tabela_registros[DIA],investirrendafixaconsolidadofev[[#Headers],[11]],tabela_registros[REGISTRO],DADOS!$N$5,tabela_registros[TIPO],DADOS!$AB$3,tabela_registros[CATEGORIA],investirrendafixaconsolidadofev[[#This Row],[ATUAL]])</f>
        <v>0</v>
      </c>
      <c r="P120" s="91">
        <f>SUMIFS(tabela_registros[VALOR],tabela_registros[MÊS],$AE$1,tabela_registros[DIA],investirrendafixaconsolidadofev[[#Headers],[12]],tabela_registros[REGISTRO],DADOS!$N$5,tabela_registros[TIPO],DADOS!$AB$3,tabela_registros[CATEGORIA],investirrendafixaconsolidadofev[[#This Row],[ATUAL]])</f>
        <v>0</v>
      </c>
      <c r="Q120" s="91">
        <f>SUMIFS(tabela_registros[VALOR],tabela_registros[MÊS],$AE$1,tabela_registros[DIA],investirrendafixaconsolidadofev[[#Headers],[13]],tabela_registros[REGISTRO],DADOS!$N$5,tabela_registros[TIPO],DADOS!$AB$3,tabela_registros[CATEGORIA],investirrendafixaconsolidadofev[[#This Row],[ATUAL]])</f>
        <v>0</v>
      </c>
      <c r="R120" s="91">
        <f>SUMIFS(tabela_registros[VALOR],tabela_registros[MÊS],$AE$1,tabela_registros[DIA],investirrendafixaconsolidadofev[[#Headers],[14]],tabela_registros[REGISTRO],DADOS!$N$5,tabela_registros[TIPO],DADOS!$AB$3,tabela_registros[CATEGORIA],investirrendafixaconsolidadofev[[#This Row],[ATUAL]])</f>
        <v>0</v>
      </c>
      <c r="S120" s="91">
        <f>SUMIFS(tabela_registros[VALOR],tabela_registros[MÊS],$AE$1,tabela_registros[DIA],investirrendafixaconsolidadofev[[#Headers],[15]],tabela_registros[REGISTRO],DADOS!$N$5,tabela_registros[TIPO],DADOS!$AB$3,tabela_registros[CATEGORIA],investirrendafixaconsolidadofev[[#This Row],[ATUAL]])</f>
        <v>0</v>
      </c>
      <c r="T120" s="91">
        <f>SUMIFS(tabela_registros[VALOR],tabela_registros[MÊS],$AE$1,tabela_registros[DIA],investirrendafixaconsolidadofev[[#Headers],[16]],tabela_registros[REGISTRO],DADOS!$N$5,tabela_registros[TIPO],DADOS!$AB$3,tabela_registros[CATEGORIA],investirrendafixaconsolidadofev[[#This Row],[ATUAL]])</f>
        <v>0</v>
      </c>
      <c r="U120" s="91">
        <f>SUMIFS(tabela_registros[VALOR],tabela_registros[MÊS],$AE$1,tabela_registros[DIA],investirrendafixaconsolidadofev[[#Headers],[17]],tabela_registros[REGISTRO],DADOS!$N$5,tabela_registros[TIPO],DADOS!$AB$3,tabela_registros[CATEGORIA],investirrendafixaconsolidadofev[[#This Row],[ATUAL]])</f>
        <v>0</v>
      </c>
      <c r="V120" s="91">
        <f>SUMIFS(tabela_registros[VALOR],tabela_registros[MÊS],$AE$1,tabela_registros[DIA],investirrendafixaconsolidadofev[[#Headers],[18]],tabela_registros[REGISTRO],DADOS!$N$5,tabela_registros[TIPO],DADOS!$AB$3,tabela_registros[CATEGORIA],investirrendafixaconsolidadofev[[#This Row],[ATUAL]])</f>
        <v>0</v>
      </c>
      <c r="W120" s="91">
        <f>SUMIFS(tabela_registros[VALOR],tabela_registros[MÊS],$AE$1,tabela_registros[DIA],investirrendafixaconsolidadofev[[#Headers],[19]],tabela_registros[REGISTRO],DADOS!$N$5,tabela_registros[TIPO],DADOS!$AB$3,tabela_registros[CATEGORIA],investirrendafixaconsolidadofev[[#This Row],[ATUAL]])</f>
        <v>0</v>
      </c>
      <c r="X120" s="91">
        <f>SUMIFS(tabela_registros[VALOR],tabela_registros[MÊS],$AE$1,tabela_registros[DIA],investirrendafixaconsolidadofev[[#Headers],[20]],tabela_registros[REGISTRO],DADOS!$N$5,tabela_registros[TIPO],DADOS!$AB$3,tabela_registros[CATEGORIA],investirrendafixaconsolidadofev[[#This Row],[ATUAL]])</f>
        <v>0</v>
      </c>
      <c r="Y120" s="91">
        <f>SUMIFS(tabela_registros[VALOR],tabela_registros[MÊS],$AE$1,tabela_registros[DIA],investirrendafixaconsolidadofev[[#Headers],[21]],tabela_registros[REGISTRO],DADOS!$N$5,tabela_registros[TIPO],DADOS!$AB$3,tabela_registros[CATEGORIA],investirrendafixaconsolidadofev[[#This Row],[ATUAL]])</f>
        <v>0</v>
      </c>
      <c r="Z120" s="91">
        <f>SUMIFS(tabela_registros[VALOR],tabela_registros[MÊS],$AE$1,tabela_registros[DIA],investirrendafixaconsolidadofev[[#Headers],[22]],tabela_registros[REGISTRO],DADOS!$N$5,tabela_registros[TIPO],DADOS!$AB$3,tabela_registros[CATEGORIA],investirrendafixaconsolidadofev[[#This Row],[ATUAL]])</f>
        <v>0</v>
      </c>
      <c r="AA120" s="91">
        <f>SUMIFS(tabela_registros[VALOR],tabela_registros[MÊS],$AE$1,tabela_registros[DIA],investirrendafixaconsolidadofev[[#Headers],[23]],tabela_registros[REGISTRO],DADOS!$N$5,tabela_registros[TIPO],DADOS!$AB$3,tabela_registros[CATEGORIA],investirrendafixaconsolidadofev[[#This Row],[ATUAL]])</f>
        <v>0</v>
      </c>
      <c r="AB120" s="91">
        <f>SUMIFS(tabela_registros[VALOR],tabela_registros[MÊS],$AE$1,tabela_registros[DIA],investirrendafixaconsolidadofev[[#Headers],[24]],tabela_registros[REGISTRO],DADOS!$N$5,tabela_registros[TIPO],DADOS!$AB$3,tabela_registros[CATEGORIA],investirrendafixaconsolidadofev[[#This Row],[ATUAL]])</f>
        <v>0</v>
      </c>
      <c r="AC120" s="91">
        <f>SUMIFS(tabela_registros[VALOR],tabela_registros[MÊS],$AE$1,tabela_registros[DIA],investirrendafixaconsolidadofev[[#Headers],[25]],tabela_registros[REGISTRO],DADOS!$N$5,tabela_registros[TIPO],DADOS!$AB$3,tabela_registros[CATEGORIA],investirrendafixaconsolidadofev[[#This Row],[ATUAL]])</f>
        <v>0</v>
      </c>
      <c r="AD120" s="91">
        <f>SUMIFS(tabela_registros[VALOR],tabela_registros[MÊS],$AE$1,tabela_registros[DIA],investirrendafixaconsolidadofev[[#Headers],[26]],tabela_registros[REGISTRO],DADOS!$N$5,tabela_registros[TIPO],DADOS!$AB$3,tabela_registros[CATEGORIA],investirrendafixaconsolidadofev[[#This Row],[ATUAL]])</f>
        <v>0</v>
      </c>
      <c r="AE120" s="91">
        <f>SUMIFS(tabela_registros[VALOR],tabela_registros[MÊS],$AE$1,tabela_registros[DIA],investirrendafixaconsolidadofev[[#Headers],[27]],tabela_registros[REGISTRO],DADOS!$N$5,tabela_registros[TIPO],DADOS!$AB$3,tabela_registros[CATEGORIA],investirrendafixaconsolidadofev[[#This Row],[ATUAL]])</f>
        <v>0</v>
      </c>
      <c r="AF120" s="91">
        <f>SUMIFS(tabela_registros[VALOR],tabela_registros[MÊS],$AE$1,tabela_registros[DIA],investirrendafixaconsolidadofev[[#Headers],[28]],tabela_registros[REGISTRO],DADOS!$N$5,tabela_registros[TIPO],DADOS!$AB$3,tabela_registros[CATEGORIA],investirrendafixaconsolidadofev[[#This Row],[ATUAL]])</f>
        <v>0</v>
      </c>
      <c r="AG120" s="91">
        <f>SUMIFS(tabela_registros[VALOR],tabela_registros[MÊS],$AE$1,tabela_registros[DIA],investirrendafixaconsolidadofev[[#Headers],[29]],tabela_registros[REGISTRO],DADOS!$N$5,tabela_registros[TIPO],DADOS!$AB$3,tabela_registros[CATEGORIA],investirrendafixaconsolidadofev[[#This Row],[ATUAL]])</f>
        <v>0</v>
      </c>
      <c r="AH120" s="91">
        <f>SUMIFS(tabela_registros[VALOR],tabela_registros[MÊS],$AE$1,tabela_registros[DIA],investirrendafixaconsolidadofev[[#Headers],[30]],tabela_registros[REGISTRO],DADOS!$N$5,tabela_registros[TIPO],DADOS!$AB$3,tabela_registros[CATEGORIA],investirrendafixaconsolidadofev[[#This Row],[ATUAL]])</f>
        <v>0</v>
      </c>
      <c r="AI120" s="101">
        <f>SUMIFS(tabela_registros[VALOR],tabela_registros[MÊS],$AE$1,tabela_registros[DIA],investirrendafixaconsolidadofev[[#Headers],[31]],tabela_registros[REGISTRO],DADOS!$N$5,tabela_registros[TIPO],DADOS!$AB$3,tabela_registros[CATEGORIA],investirrendafixaconsolidadofev[[#This Row],[ATUAL]])</f>
        <v>0</v>
      </c>
      <c r="AJ120" s="97">
        <f>SUM(investirrendafixaconsolidadofev[[#This Row],[1]:[31]])</f>
        <v>0</v>
      </c>
      <c r="AK120" s="25"/>
    </row>
    <row r="121" spans="2:37" ht="19.5" customHeight="1" thickTop="1" thickBot="1" x14ac:dyDescent="0.3">
      <c r="B121" s="28"/>
      <c r="C121" s="27" t="str">
        <f>DADOS!$AD$11</f>
        <v>📝 TESOURO DIRETO</v>
      </c>
      <c r="D121" s="26" t="str">
        <f>IF(investirrendafixaconsolidadofev[[#This Row],[TOTAL (R$)]]=0,"",IF(OR(investirrendafixaconsolidadofev[[#This Row],[TOTAL (R$)]]=LARGE($AJ$113:$AJ$122,1),investirrendafixaconsolidadofev[[#This Row],[TOTAL (R$)]]=LARGE($AJ$113:$AJ$122,2)),DADOS!$I$10,""))</f>
        <v/>
      </c>
      <c r="E121" s="96">
        <f>SUMIFS(tabela_registros[VALOR],tabela_registros[MÊS],$AE$1,tabela_registros[DIA],investirrendafixaconsolidadofev[[#Headers],[1]],tabela_registros[REGISTRO],DADOS!$N$5,tabela_registros[TIPO],DADOS!$AB$3,tabela_registros[CATEGORIA],investirrendafixaconsolidadofev[[#This Row],[ATUAL]])</f>
        <v>0</v>
      </c>
      <c r="F121" s="91">
        <f>SUMIFS(tabela_registros[VALOR],tabela_registros[MÊS],$AE$1,tabela_registros[DIA],investirrendafixaconsolidadofev[[#Headers],[2]],tabela_registros[REGISTRO],DADOS!$N$5,tabela_registros[TIPO],DADOS!$AB$3,tabela_registros[CATEGORIA],investirrendafixaconsolidadofev[[#This Row],[ATUAL]])</f>
        <v>0</v>
      </c>
      <c r="G121" s="91">
        <f>SUMIFS(tabela_registros[VALOR],tabela_registros[MÊS],$AE$1,tabela_registros[DIA],investirrendafixaconsolidadofev[[#Headers],[3]],tabela_registros[REGISTRO],DADOS!$N$5,tabela_registros[TIPO],DADOS!$AB$3,tabela_registros[CATEGORIA],investirrendafixaconsolidadofev[[#This Row],[ATUAL]])</f>
        <v>0</v>
      </c>
      <c r="H121" s="91">
        <f>SUMIFS(tabela_registros[VALOR],tabela_registros[MÊS],$AE$1,tabela_registros[DIA],investirrendafixaconsolidadofev[[#Headers],[4]],tabela_registros[REGISTRO],DADOS!$N$5,tabela_registros[TIPO],DADOS!$AB$3,tabela_registros[CATEGORIA],investirrendafixaconsolidadofev[[#This Row],[ATUAL]])</f>
        <v>0</v>
      </c>
      <c r="I121" s="91">
        <f>SUMIFS(tabela_registros[VALOR],tabela_registros[MÊS],$AE$1,tabela_registros[DIA],investirrendafixaconsolidadofev[[#Headers],[5]],tabela_registros[REGISTRO],DADOS!$N$5,tabela_registros[TIPO],DADOS!$AB$3,tabela_registros[CATEGORIA],investirrendafixaconsolidadofev[[#This Row],[ATUAL]])</f>
        <v>0</v>
      </c>
      <c r="J121" s="91">
        <f>SUMIFS(tabela_registros[VALOR],tabela_registros[MÊS],$AE$1,tabela_registros[DIA],investirrendafixaconsolidadofev[[#Headers],[6]],tabela_registros[REGISTRO],DADOS!$N$5,tabela_registros[TIPO],DADOS!$AB$3,tabela_registros[CATEGORIA],investirrendafixaconsolidadofev[[#This Row],[ATUAL]])</f>
        <v>0</v>
      </c>
      <c r="K121" s="91">
        <f>SUMIFS(tabela_registros[VALOR],tabela_registros[MÊS],$AE$1,tabela_registros[DIA],investirrendafixaconsolidadofev[[#Headers],[7]],tabela_registros[REGISTRO],DADOS!$N$5,tabela_registros[TIPO],DADOS!$AB$3,tabela_registros[CATEGORIA],investirrendafixaconsolidadofev[[#This Row],[ATUAL]])</f>
        <v>0</v>
      </c>
      <c r="L121" s="91">
        <f>SUMIFS(tabela_registros[VALOR],tabela_registros[MÊS],$AE$1,tabela_registros[DIA],investirrendafixaconsolidadofev[[#Headers],[8]],tabela_registros[REGISTRO],DADOS!$N$5,tabela_registros[TIPO],DADOS!$AB$3,tabela_registros[CATEGORIA],investirrendafixaconsolidadofev[[#This Row],[ATUAL]])</f>
        <v>0</v>
      </c>
      <c r="M121" s="91">
        <f>SUMIFS(tabela_registros[VALOR],tabela_registros[MÊS],$AE$1,tabela_registros[DIA],investirrendafixaconsolidadofev[[#Headers],[9]],tabela_registros[REGISTRO],DADOS!$N$5,tabela_registros[TIPO],DADOS!$AB$3,tabela_registros[CATEGORIA],investirrendafixaconsolidadofev[[#This Row],[ATUAL]])</f>
        <v>0</v>
      </c>
      <c r="N121" s="91">
        <f>SUMIFS(tabela_registros[VALOR],tabela_registros[MÊS],$AE$1,tabela_registros[DIA],investirrendafixaconsolidadofev[[#Headers],[10]],tabela_registros[REGISTRO],DADOS!$N$5,tabela_registros[TIPO],DADOS!$AB$3,tabela_registros[CATEGORIA],investirrendafixaconsolidadofev[[#This Row],[ATUAL]])</f>
        <v>0</v>
      </c>
      <c r="O121" s="91">
        <f>SUMIFS(tabela_registros[VALOR],tabela_registros[MÊS],$AE$1,tabela_registros[DIA],investirrendafixaconsolidadofev[[#Headers],[11]],tabela_registros[REGISTRO],DADOS!$N$5,tabela_registros[TIPO],DADOS!$AB$3,tabela_registros[CATEGORIA],investirrendafixaconsolidadofev[[#This Row],[ATUAL]])</f>
        <v>0</v>
      </c>
      <c r="P121" s="91">
        <f>SUMIFS(tabela_registros[VALOR],tabela_registros[MÊS],$AE$1,tabela_registros[DIA],investirrendafixaconsolidadofev[[#Headers],[12]],tabela_registros[REGISTRO],DADOS!$N$5,tabela_registros[TIPO],DADOS!$AB$3,tabela_registros[CATEGORIA],investirrendafixaconsolidadofev[[#This Row],[ATUAL]])</f>
        <v>0</v>
      </c>
      <c r="Q121" s="91">
        <f>SUMIFS(tabela_registros[VALOR],tabela_registros[MÊS],$AE$1,tabela_registros[DIA],investirrendafixaconsolidadofev[[#Headers],[13]],tabela_registros[REGISTRO],DADOS!$N$5,tabela_registros[TIPO],DADOS!$AB$3,tabela_registros[CATEGORIA],investirrendafixaconsolidadofev[[#This Row],[ATUAL]])</f>
        <v>0</v>
      </c>
      <c r="R121" s="91">
        <f>SUMIFS(tabela_registros[VALOR],tabela_registros[MÊS],$AE$1,tabela_registros[DIA],investirrendafixaconsolidadofev[[#Headers],[14]],tabela_registros[REGISTRO],DADOS!$N$5,tabela_registros[TIPO],DADOS!$AB$3,tabela_registros[CATEGORIA],investirrendafixaconsolidadofev[[#This Row],[ATUAL]])</f>
        <v>0</v>
      </c>
      <c r="S121" s="91">
        <f>SUMIFS(tabela_registros[VALOR],tabela_registros[MÊS],$AE$1,tabela_registros[DIA],investirrendafixaconsolidadofev[[#Headers],[15]],tabela_registros[REGISTRO],DADOS!$N$5,tabela_registros[TIPO],DADOS!$AB$3,tabela_registros[CATEGORIA],investirrendafixaconsolidadofev[[#This Row],[ATUAL]])</f>
        <v>0</v>
      </c>
      <c r="T121" s="91">
        <f>SUMIFS(tabela_registros[VALOR],tabela_registros[MÊS],$AE$1,tabela_registros[DIA],investirrendafixaconsolidadofev[[#Headers],[16]],tabela_registros[REGISTRO],DADOS!$N$5,tabela_registros[TIPO],DADOS!$AB$3,tabela_registros[CATEGORIA],investirrendafixaconsolidadofev[[#This Row],[ATUAL]])</f>
        <v>0</v>
      </c>
      <c r="U121" s="91">
        <f>SUMIFS(tabela_registros[VALOR],tabela_registros[MÊS],$AE$1,tabela_registros[DIA],investirrendafixaconsolidadofev[[#Headers],[17]],tabela_registros[REGISTRO],DADOS!$N$5,tabela_registros[TIPO],DADOS!$AB$3,tabela_registros[CATEGORIA],investirrendafixaconsolidadofev[[#This Row],[ATUAL]])</f>
        <v>0</v>
      </c>
      <c r="V121" s="91">
        <f>SUMIFS(tabela_registros[VALOR],tabela_registros[MÊS],$AE$1,tabela_registros[DIA],investirrendafixaconsolidadofev[[#Headers],[18]],tabela_registros[REGISTRO],DADOS!$N$5,tabela_registros[TIPO],DADOS!$AB$3,tabela_registros[CATEGORIA],investirrendafixaconsolidadofev[[#This Row],[ATUAL]])</f>
        <v>0</v>
      </c>
      <c r="W121" s="91">
        <f>SUMIFS(tabela_registros[VALOR],tabela_registros[MÊS],$AE$1,tabela_registros[DIA],investirrendafixaconsolidadofev[[#Headers],[19]],tabela_registros[REGISTRO],DADOS!$N$5,tabela_registros[TIPO],DADOS!$AB$3,tabela_registros[CATEGORIA],investirrendafixaconsolidadofev[[#This Row],[ATUAL]])</f>
        <v>0</v>
      </c>
      <c r="X121" s="91">
        <f>SUMIFS(tabela_registros[VALOR],tabela_registros[MÊS],$AE$1,tabela_registros[DIA],investirrendafixaconsolidadofev[[#Headers],[20]],tabela_registros[REGISTRO],DADOS!$N$5,tabela_registros[TIPO],DADOS!$AB$3,tabela_registros[CATEGORIA],investirrendafixaconsolidadofev[[#This Row],[ATUAL]])</f>
        <v>0</v>
      </c>
      <c r="Y121" s="91">
        <f>SUMIFS(tabela_registros[VALOR],tabela_registros[MÊS],$AE$1,tabela_registros[DIA],investirrendafixaconsolidadofev[[#Headers],[21]],tabela_registros[REGISTRO],DADOS!$N$5,tabela_registros[TIPO],DADOS!$AB$3,tabela_registros[CATEGORIA],investirrendafixaconsolidadofev[[#This Row],[ATUAL]])</f>
        <v>0</v>
      </c>
      <c r="Z121" s="91">
        <f>SUMIFS(tabela_registros[VALOR],tabela_registros[MÊS],$AE$1,tabela_registros[DIA],investirrendafixaconsolidadofev[[#Headers],[22]],tabela_registros[REGISTRO],DADOS!$N$5,tabela_registros[TIPO],DADOS!$AB$3,tabela_registros[CATEGORIA],investirrendafixaconsolidadofev[[#This Row],[ATUAL]])</f>
        <v>0</v>
      </c>
      <c r="AA121" s="91">
        <f>SUMIFS(tabela_registros[VALOR],tabela_registros[MÊS],$AE$1,tabela_registros[DIA],investirrendafixaconsolidadofev[[#Headers],[23]],tabela_registros[REGISTRO],DADOS!$N$5,tabela_registros[TIPO],DADOS!$AB$3,tabela_registros[CATEGORIA],investirrendafixaconsolidadofev[[#This Row],[ATUAL]])</f>
        <v>0</v>
      </c>
      <c r="AB121" s="91">
        <f>SUMIFS(tabela_registros[VALOR],tabela_registros[MÊS],$AE$1,tabela_registros[DIA],investirrendafixaconsolidadofev[[#Headers],[24]],tabela_registros[REGISTRO],DADOS!$N$5,tabela_registros[TIPO],DADOS!$AB$3,tabela_registros[CATEGORIA],investirrendafixaconsolidadofev[[#This Row],[ATUAL]])</f>
        <v>0</v>
      </c>
      <c r="AC121" s="91">
        <f>SUMIFS(tabela_registros[VALOR],tabela_registros[MÊS],$AE$1,tabela_registros[DIA],investirrendafixaconsolidadofev[[#Headers],[25]],tabela_registros[REGISTRO],DADOS!$N$5,tabela_registros[TIPO],DADOS!$AB$3,tabela_registros[CATEGORIA],investirrendafixaconsolidadofev[[#This Row],[ATUAL]])</f>
        <v>0</v>
      </c>
      <c r="AD121" s="91">
        <f>SUMIFS(tabela_registros[VALOR],tabela_registros[MÊS],$AE$1,tabela_registros[DIA],investirrendafixaconsolidadofev[[#Headers],[26]],tabela_registros[REGISTRO],DADOS!$N$5,tabela_registros[TIPO],DADOS!$AB$3,tabela_registros[CATEGORIA],investirrendafixaconsolidadofev[[#This Row],[ATUAL]])</f>
        <v>0</v>
      </c>
      <c r="AE121" s="91">
        <f>SUMIFS(tabela_registros[VALOR],tabela_registros[MÊS],$AE$1,tabela_registros[DIA],investirrendafixaconsolidadofev[[#Headers],[27]],tabela_registros[REGISTRO],DADOS!$N$5,tabela_registros[TIPO],DADOS!$AB$3,tabela_registros[CATEGORIA],investirrendafixaconsolidadofev[[#This Row],[ATUAL]])</f>
        <v>0</v>
      </c>
      <c r="AF121" s="91">
        <f>SUMIFS(tabela_registros[VALOR],tabela_registros[MÊS],$AE$1,tabela_registros[DIA],investirrendafixaconsolidadofev[[#Headers],[28]],tabela_registros[REGISTRO],DADOS!$N$5,tabela_registros[TIPO],DADOS!$AB$3,tabela_registros[CATEGORIA],investirrendafixaconsolidadofev[[#This Row],[ATUAL]])</f>
        <v>0</v>
      </c>
      <c r="AG121" s="91">
        <f>SUMIFS(tabela_registros[VALOR],tabela_registros[MÊS],$AE$1,tabela_registros[DIA],investirrendafixaconsolidadofev[[#Headers],[29]],tabela_registros[REGISTRO],DADOS!$N$5,tabela_registros[TIPO],DADOS!$AB$3,tabela_registros[CATEGORIA],investirrendafixaconsolidadofev[[#This Row],[ATUAL]])</f>
        <v>0</v>
      </c>
      <c r="AH121" s="91">
        <f>SUMIFS(tabela_registros[VALOR],tabela_registros[MÊS],$AE$1,tabela_registros[DIA],investirrendafixaconsolidadofev[[#Headers],[30]],tabela_registros[REGISTRO],DADOS!$N$5,tabela_registros[TIPO],DADOS!$AB$3,tabela_registros[CATEGORIA],investirrendafixaconsolidadofev[[#This Row],[ATUAL]])</f>
        <v>0</v>
      </c>
      <c r="AI121" s="101">
        <f>SUMIFS(tabela_registros[VALOR],tabela_registros[MÊS],$AE$1,tabela_registros[DIA],investirrendafixaconsolidadofev[[#Headers],[31]],tabela_registros[REGISTRO],DADOS!$N$5,tabela_registros[TIPO],DADOS!$AB$3,tabela_registros[CATEGORIA],investirrendafixaconsolidadofev[[#This Row],[ATUAL]])</f>
        <v>0</v>
      </c>
      <c r="AJ121" s="97">
        <f>SUM(investirrendafixaconsolidadofev[[#This Row],[1]:[31]])</f>
        <v>0</v>
      </c>
      <c r="AK121" s="25"/>
    </row>
    <row r="122" spans="2:37" ht="19.5" customHeight="1" thickTop="1" thickBot="1" x14ac:dyDescent="0.3">
      <c r="B122" s="28"/>
      <c r="C122" s="27" t="str">
        <f>DADOS!$AD$12</f>
        <v>📎 OUTROS</v>
      </c>
      <c r="D122" s="26" t="str">
        <f>IF(investirrendafixaconsolidadofev[[#This Row],[TOTAL (R$)]]=0,"",IF(OR(investirrendafixaconsolidadofev[[#This Row],[TOTAL (R$)]]=LARGE($AJ$113:$AJ$122,1),investirrendafixaconsolidadofev[[#This Row],[TOTAL (R$)]]=LARGE($AJ$113:$AJ$122,2)),DADOS!$I$10,""))</f>
        <v/>
      </c>
      <c r="E122" s="96">
        <f>SUMIFS(tabela_registros[VALOR],tabela_registros[MÊS],$AE$1,tabela_registros[DIA],investirrendafixaconsolidadofev[[#Headers],[1]],tabela_registros[REGISTRO],DADOS!$N$5,tabela_registros[TIPO],DADOS!$AB$3,tabela_registros[CATEGORIA],investirrendafixaconsolidadofev[[#This Row],[ATUAL]])</f>
        <v>0</v>
      </c>
      <c r="F122" s="91">
        <f>SUMIFS(tabela_registros[VALOR],tabela_registros[MÊS],$AE$1,tabela_registros[DIA],investirrendafixaconsolidadofev[[#Headers],[2]],tabela_registros[REGISTRO],DADOS!$N$5,tabela_registros[TIPO],DADOS!$AB$3,tabela_registros[CATEGORIA],investirrendafixaconsolidadofev[[#This Row],[ATUAL]])</f>
        <v>0</v>
      </c>
      <c r="G122" s="91">
        <f>SUMIFS(tabela_registros[VALOR],tabela_registros[MÊS],$AE$1,tabela_registros[DIA],investirrendafixaconsolidadofev[[#Headers],[3]],tabela_registros[REGISTRO],DADOS!$N$5,tabela_registros[TIPO],DADOS!$AB$3,tabela_registros[CATEGORIA],investirrendafixaconsolidadofev[[#This Row],[ATUAL]])</f>
        <v>0</v>
      </c>
      <c r="H122" s="91">
        <f>SUMIFS(tabela_registros[VALOR],tabela_registros[MÊS],$AE$1,tabela_registros[DIA],investirrendafixaconsolidadofev[[#Headers],[4]],tabela_registros[REGISTRO],DADOS!$N$5,tabela_registros[TIPO],DADOS!$AB$3,tabela_registros[CATEGORIA],investirrendafixaconsolidadofev[[#This Row],[ATUAL]])</f>
        <v>0</v>
      </c>
      <c r="I122" s="91">
        <f>SUMIFS(tabela_registros[VALOR],tabela_registros[MÊS],$AE$1,tabela_registros[DIA],investirrendafixaconsolidadofev[[#Headers],[5]],tabela_registros[REGISTRO],DADOS!$N$5,tabela_registros[TIPO],DADOS!$AB$3,tabela_registros[CATEGORIA],investirrendafixaconsolidadofev[[#This Row],[ATUAL]])</f>
        <v>0</v>
      </c>
      <c r="J122" s="91">
        <f>SUMIFS(tabela_registros[VALOR],tabela_registros[MÊS],$AE$1,tabela_registros[DIA],investirrendafixaconsolidadofev[[#Headers],[6]],tabela_registros[REGISTRO],DADOS!$N$5,tabela_registros[TIPO],DADOS!$AB$3,tabela_registros[CATEGORIA],investirrendafixaconsolidadofev[[#This Row],[ATUAL]])</f>
        <v>0</v>
      </c>
      <c r="K122" s="91">
        <f>SUMIFS(tabela_registros[VALOR],tabela_registros[MÊS],$AE$1,tabela_registros[DIA],investirrendafixaconsolidadofev[[#Headers],[7]],tabela_registros[REGISTRO],DADOS!$N$5,tabela_registros[TIPO],DADOS!$AB$3,tabela_registros[CATEGORIA],investirrendafixaconsolidadofev[[#This Row],[ATUAL]])</f>
        <v>0</v>
      </c>
      <c r="L122" s="91">
        <f>SUMIFS(tabela_registros[VALOR],tabela_registros[MÊS],$AE$1,tabela_registros[DIA],investirrendafixaconsolidadofev[[#Headers],[8]],tabela_registros[REGISTRO],DADOS!$N$5,tabela_registros[TIPO],DADOS!$AB$3,tabela_registros[CATEGORIA],investirrendafixaconsolidadofev[[#This Row],[ATUAL]])</f>
        <v>0</v>
      </c>
      <c r="M122" s="91">
        <f>SUMIFS(tabela_registros[VALOR],tabela_registros[MÊS],$AE$1,tabela_registros[DIA],investirrendafixaconsolidadofev[[#Headers],[9]],tabela_registros[REGISTRO],DADOS!$N$5,tabela_registros[TIPO],DADOS!$AB$3,tabela_registros[CATEGORIA],investirrendafixaconsolidadofev[[#This Row],[ATUAL]])</f>
        <v>0</v>
      </c>
      <c r="N122" s="91">
        <f>SUMIFS(tabela_registros[VALOR],tabela_registros[MÊS],$AE$1,tabela_registros[DIA],investirrendafixaconsolidadofev[[#Headers],[10]],tabela_registros[REGISTRO],DADOS!$N$5,tabela_registros[TIPO],DADOS!$AB$3,tabela_registros[CATEGORIA],investirrendafixaconsolidadofev[[#This Row],[ATUAL]])</f>
        <v>0</v>
      </c>
      <c r="O122" s="91">
        <f>SUMIFS(tabela_registros[VALOR],tabela_registros[MÊS],$AE$1,tabela_registros[DIA],investirrendafixaconsolidadofev[[#Headers],[11]],tabela_registros[REGISTRO],DADOS!$N$5,tabela_registros[TIPO],DADOS!$AB$3,tabela_registros[CATEGORIA],investirrendafixaconsolidadofev[[#This Row],[ATUAL]])</f>
        <v>0</v>
      </c>
      <c r="P122" s="91">
        <f>SUMIFS(tabela_registros[VALOR],tabela_registros[MÊS],$AE$1,tabela_registros[DIA],investirrendafixaconsolidadofev[[#Headers],[12]],tabela_registros[REGISTRO],DADOS!$N$5,tabela_registros[TIPO],DADOS!$AB$3,tabela_registros[CATEGORIA],investirrendafixaconsolidadofev[[#This Row],[ATUAL]])</f>
        <v>0</v>
      </c>
      <c r="Q122" s="91">
        <f>SUMIFS(tabela_registros[VALOR],tabela_registros[MÊS],$AE$1,tabela_registros[DIA],investirrendafixaconsolidadofev[[#Headers],[13]],tabela_registros[REGISTRO],DADOS!$N$5,tabela_registros[TIPO],DADOS!$AB$3,tabela_registros[CATEGORIA],investirrendafixaconsolidadofev[[#This Row],[ATUAL]])</f>
        <v>0</v>
      </c>
      <c r="R122" s="91">
        <f>SUMIFS(tabela_registros[VALOR],tabela_registros[MÊS],$AE$1,tabela_registros[DIA],investirrendafixaconsolidadofev[[#Headers],[14]],tabela_registros[REGISTRO],DADOS!$N$5,tabela_registros[TIPO],DADOS!$AB$3,tabela_registros[CATEGORIA],investirrendafixaconsolidadofev[[#This Row],[ATUAL]])</f>
        <v>0</v>
      </c>
      <c r="S122" s="91">
        <f>SUMIFS(tabela_registros[VALOR],tabela_registros[MÊS],$AE$1,tabela_registros[DIA],investirrendafixaconsolidadofev[[#Headers],[15]],tabela_registros[REGISTRO],DADOS!$N$5,tabela_registros[TIPO],DADOS!$AB$3,tabela_registros[CATEGORIA],investirrendafixaconsolidadofev[[#This Row],[ATUAL]])</f>
        <v>0</v>
      </c>
      <c r="T122" s="91">
        <f>SUMIFS(tabela_registros[VALOR],tabela_registros[MÊS],$AE$1,tabela_registros[DIA],investirrendafixaconsolidadofev[[#Headers],[16]],tabela_registros[REGISTRO],DADOS!$N$5,tabela_registros[TIPO],DADOS!$AB$3,tabela_registros[CATEGORIA],investirrendafixaconsolidadofev[[#This Row],[ATUAL]])</f>
        <v>0</v>
      </c>
      <c r="U122" s="91">
        <f>SUMIFS(tabela_registros[VALOR],tabela_registros[MÊS],$AE$1,tabela_registros[DIA],investirrendafixaconsolidadofev[[#Headers],[17]],tabela_registros[REGISTRO],DADOS!$N$5,tabela_registros[TIPO],DADOS!$AB$3,tabela_registros[CATEGORIA],investirrendafixaconsolidadofev[[#This Row],[ATUAL]])</f>
        <v>0</v>
      </c>
      <c r="V122" s="91">
        <f>SUMIFS(tabela_registros[VALOR],tabela_registros[MÊS],$AE$1,tabela_registros[DIA],investirrendafixaconsolidadofev[[#Headers],[18]],tabela_registros[REGISTRO],DADOS!$N$5,tabela_registros[TIPO],DADOS!$AB$3,tabela_registros[CATEGORIA],investirrendafixaconsolidadofev[[#This Row],[ATUAL]])</f>
        <v>0</v>
      </c>
      <c r="W122" s="91">
        <f>SUMIFS(tabela_registros[VALOR],tabela_registros[MÊS],$AE$1,tabela_registros[DIA],investirrendafixaconsolidadofev[[#Headers],[19]],tabela_registros[REGISTRO],DADOS!$N$5,tabela_registros[TIPO],DADOS!$AB$3,tabela_registros[CATEGORIA],investirrendafixaconsolidadofev[[#This Row],[ATUAL]])</f>
        <v>0</v>
      </c>
      <c r="X122" s="91">
        <f>SUMIFS(tabela_registros[VALOR],tabela_registros[MÊS],$AE$1,tabela_registros[DIA],investirrendafixaconsolidadofev[[#Headers],[20]],tabela_registros[REGISTRO],DADOS!$N$5,tabela_registros[TIPO],DADOS!$AB$3,tabela_registros[CATEGORIA],investirrendafixaconsolidadofev[[#This Row],[ATUAL]])</f>
        <v>0</v>
      </c>
      <c r="Y122" s="91">
        <f>SUMIFS(tabela_registros[VALOR],tabela_registros[MÊS],$AE$1,tabela_registros[DIA],investirrendafixaconsolidadofev[[#Headers],[21]],tabela_registros[REGISTRO],DADOS!$N$5,tabela_registros[TIPO],DADOS!$AB$3,tabela_registros[CATEGORIA],investirrendafixaconsolidadofev[[#This Row],[ATUAL]])</f>
        <v>0</v>
      </c>
      <c r="Z122" s="91">
        <f>SUMIFS(tabela_registros[VALOR],tabela_registros[MÊS],$AE$1,tabela_registros[DIA],investirrendafixaconsolidadofev[[#Headers],[22]],tabela_registros[REGISTRO],DADOS!$N$5,tabela_registros[TIPO],DADOS!$AB$3,tabela_registros[CATEGORIA],investirrendafixaconsolidadofev[[#This Row],[ATUAL]])</f>
        <v>0</v>
      </c>
      <c r="AA122" s="91">
        <f>SUMIFS(tabela_registros[VALOR],tabela_registros[MÊS],$AE$1,tabela_registros[DIA],investirrendafixaconsolidadofev[[#Headers],[23]],tabela_registros[REGISTRO],DADOS!$N$5,tabela_registros[TIPO],DADOS!$AB$3,tabela_registros[CATEGORIA],investirrendafixaconsolidadofev[[#This Row],[ATUAL]])</f>
        <v>0</v>
      </c>
      <c r="AB122" s="91">
        <f>SUMIFS(tabela_registros[VALOR],tabela_registros[MÊS],$AE$1,tabela_registros[DIA],investirrendafixaconsolidadofev[[#Headers],[24]],tabela_registros[REGISTRO],DADOS!$N$5,tabela_registros[TIPO],DADOS!$AB$3,tabela_registros[CATEGORIA],investirrendafixaconsolidadofev[[#This Row],[ATUAL]])</f>
        <v>0</v>
      </c>
      <c r="AC122" s="91">
        <f>SUMIFS(tabela_registros[VALOR],tabela_registros[MÊS],$AE$1,tabela_registros[DIA],investirrendafixaconsolidadofev[[#Headers],[25]],tabela_registros[REGISTRO],DADOS!$N$5,tabela_registros[TIPO],DADOS!$AB$3,tabela_registros[CATEGORIA],investirrendafixaconsolidadofev[[#This Row],[ATUAL]])</f>
        <v>0</v>
      </c>
      <c r="AD122" s="91">
        <f>SUMIFS(tabela_registros[VALOR],tabela_registros[MÊS],$AE$1,tabela_registros[DIA],investirrendafixaconsolidadofev[[#Headers],[26]],tabela_registros[REGISTRO],DADOS!$N$5,tabela_registros[TIPO],DADOS!$AB$3,tabela_registros[CATEGORIA],investirrendafixaconsolidadofev[[#This Row],[ATUAL]])</f>
        <v>0</v>
      </c>
      <c r="AE122" s="91">
        <f>SUMIFS(tabela_registros[VALOR],tabela_registros[MÊS],$AE$1,tabela_registros[DIA],investirrendafixaconsolidadofev[[#Headers],[27]],tabela_registros[REGISTRO],DADOS!$N$5,tabela_registros[TIPO],DADOS!$AB$3,tabela_registros[CATEGORIA],investirrendafixaconsolidadofev[[#This Row],[ATUAL]])</f>
        <v>0</v>
      </c>
      <c r="AF122" s="91">
        <f>SUMIFS(tabela_registros[VALOR],tabela_registros[MÊS],$AE$1,tabela_registros[DIA],investirrendafixaconsolidadofev[[#Headers],[28]],tabela_registros[REGISTRO],DADOS!$N$5,tabela_registros[TIPO],DADOS!$AB$3,tabela_registros[CATEGORIA],investirrendafixaconsolidadofev[[#This Row],[ATUAL]])</f>
        <v>0</v>
      </c>
      <c r="AG122" s="99">
        <f>SUMIFS(tabela_registros[VALOR],tabela_registros[MÊS],$AE$1,tabela_registros[DIA],investirrendafixaconsolidadofev[[#Headers],[29]],tabela_registros[REGISTRO],DADOS!$N$5,tabela_registros[TIPO],DADOS!$AB$3,tabela_registros[CATEGORIA],investirrendafixaconsolidadofev[[#This Row],[ATUAL]])</f>
        <v>0</v>
      </c>
      <c r="AH122" s="99">
        <f>SUMIFS(tabela_registros[VALOR],tabela_registros[MÊS],$AE$1,tabela_registros[DIA],investirrendafixaconsolidadofev[[#Headers],[30]],tabela_registros[REGISTRO],DADOS!$N$5,tabela_registros[TIPO],DADOS!$AB$3,tabela_registros[CATEGORIA],investirrendafixaconsolidadofev[[#This Row],[ATUAL]])</f>
        <v>0</v>
      </c>
      <c r="AI122" s="102">
        <f>SUMIFS(tabela_registros[VALOR],tabela_registros[MÊS],$AE$1,tabela_registros[DIA],investirrendafixaconsolidadofev[[#Headers],[31]],tabela_registros[REGISTRO],DADOS!$N$5,tabela_registros[TIPO],DADOS!$AB$3,tabela_registros[CATEGORIA],investirrendafixaconsolidadofev[[#This Row],[ATUAL]])</f>
        <v>0</v>
      </c>
      <c r="AJ122" s="103">
        <f>SUM(investirrendafixaconsolidadofev[[#This Row],[1]:[31]])</f>
        <v>0</v>
      </c>
      <c r="AK122" s="25"/>
    </row>
    <row r="123" spans="2:37" s="16" customFormat="1" ht="21" customHeight="1" thickTop="1" thickBot="1" x14ac:dyDescent="0.35">
      <c r="B123" s="24"/>
      <c r="C123" s="23" t="s">
        <v>19</v>
      </c>
      <c r="D123" s="22"/>
      <c r="E123" s="21">
        <f>SUM(E113:E122)</f>
        <v>0</v>
      </c>
      <c r="F123" s="20">
        <f>SUM(F113:F122)+investirrendafixaconsolidadofev[[#This Row],[1]]</f>
        <v>0</v>
      </c>
      <c r="G123" s="20">
        <f>SUM(G113:G122)+investirrendafixaconsolidadofev[[#This Row],[2]]</f>
        <v>0</v>
      </c>
      <c r="H123" s="20">
        <f>SUM(H113:H122)+investirrendafixaconsolidadofev[[#This Row],[3]]</f>
        <v>0</v>
      </c>
      <c r="I123" s="20">
        <f>SUM(I113:I122)+investirrendafixaconsolidadofev[[#This Row],[4]]</f>
        <v>0</v>
      </c>
      <c r="J123" s="20">
        <f>SUM(J113:J122)+investirrendafixaconsolidadofev[[#This Row],[5]]</f>
        <v>0</v>
      </c>
      <c r="K123" s="20">
        <f>SUM(K113:K122)+investirrendafixaconsolidadofev[[#This Row],[6]]</f>
        <v>0</v>
      </c>
      <c r="L123" s="20">
        <f>SUM(L113:L122)+investirrendafixaconsolidadofev[[#This Row],[7]]</f>
        <v>0</v>
      </c>
      <c r="M123" s="20">
        <f>SUM(M113:M122)+investirrendafixaconsolidadofev[[#This Row],[8]]</f>
        <v>0</v>
      </c>
      <c r="N123" s="20">
        <f>SUM(N113:N122)+investirrendafixaconsolidadofev[[#This Row],[9]]</f>
        <v>0</v>
      </c>
      <c r="O123" s="20">
        <f>SUM(O113:O122)+investirrendafixaconsolidadofev[[#This Row],[10]]</f>
        <v>0</v>
      </c>
      <c r="P123" s="20">
        <f>SUM(P113:P122)+investirrendafixaconsolidadofev[[#This Row],[11]]</f>
        <v>0</v>
      </c>
      <c r="Q123" s="20">
        <f>SUM(Q113:Q122)+investirrendafixaconsolidadofev[[#This Row],[12]]</f>
        <v>0</v>
      </c>
      <c r="R123" s="20">
        <f>SUM(R113:R122)+investirrendafixaconsolidadofev[[#This Row],[13]]</f>
        <v>0</v>
      </c>
      <c r="S123" s="20">
        <f>SUM(S113:S122)+investirrendafixaconsolidadofev[[#This Row],[14]]</f>
        <v>0</v>
      </c>
      <c r="T123" s="20">
        <f>SUM(T113:T122)+investirrendafixaconsolidadofev[[#This Row],[15]]</f>
        <v>0</v>
      </c>
      <c r="U123" s="20">
        <f>SUM(U113:U122)+investirrendafixaconsolidadofev[[#This Row],[16]]</f>
        <v>0</v>
      </c>
      <c r="V123" s="20">
        <f>SUM(V113:V122)+investirrendafixaconsolidadofev[[#This Row],[17]]</f>
        <v>0</v>
      </c>
      <c r="W123" s="20">
        <f>SUM(W113:W122)+investirrendafixaconsolidadofev[[#This Row],[18]]</f>
        <v>0</v>
      </c>
      <c r="X123" s="20">
        <f>SUM(X113:X122)+investirrendafixaconsolidadofev[[#This Row],[19]]</f>
        <v>0</v>
      </c>
      <c r="Y123" s="20">
        <f>SUM(Y113:Y122)+investirrendafixaconsolidadofev[[#This Row],[20]]</f>
        <v>0</v>
      </c>
      <c r="Z123" s="20">
        <f>SUM(Z113:Z122)+investirrendafixaconsolidadofev[[#This Row],[21]]</f>
        <v>0</v>
      </c>
      <c r="AA123" s="20">
        <f>SUM(AA113:AA122)+investirrendafixaconsolidadofev[[#This Row],[22]]</f>
        <v>0</v>
      </c>
      <c r="AB123" s="20">
        <f>SUM(AB113:AB122)+investirrendafixaconsolidadofev[[#This Row],[23]]</f>
        <v>0</v>
      </c>
      <c r="AC123" s="20">
        <f>SUM(AC113:AC122)+investirrendafixaconsolidadofev[[#This Row],[24]]</f>
        <v>0</v>
      </c>
      <c r="AD123" s="20">
        <f>SUM(AD113:AD122)+investirrendafixaconsolidadofev[[#This Row],[25]]</f>
        <v>0</v>
      </c>
      <c r="AE123" s="20">
        <f>SUM(AE113:AE122)+investirrendafixaconsolidadofev[[#This Row],[26]]</f>
        <v>0</v>
      </c>
      <c r="AF123" s="20">
        <f>SUM(AF113:AF122)+investirrendafixaconsolidadofev[[#This Row],[27]]</f>
        <v>0</v>
      </c>
      <c r="AG123" s="20">
        <f>SUM(AG113:AG122)+investirrendafixaconsolidadofev[[#This Row],[28]]</f>
        <v>0</v>
      </c>
      <c r="AH123" s="20">
        <f>SUM(AH113:AH122)+investirrendafixaconsolidadofev[[#This Row],[29]]</f>
        <v>0</v>
      </c>
      <c r="AI123" s="19">
        <f>SUM(AI113:AI122)+investirrendafixaconsolidadofev[[#This Row],[30]]</f>
        <v>0</v>
      </c>
      <c r="AJ123" s="18">
        <f>investirrendafixaconsolidadofev[[#This Row],[31]]</f>
        <v>0</v>
      </c>
      <c r="AK123" s="17"/>
    </row>
    <row r="124" spans="2:37" ht="6.75" customHeight="1" thickTop="1" thickBot="1" x14ac:dyDescent="0.3">
      <c r="B124" s="15"/>
      <c r="C124" s="14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  <c r="AI124" s="12"/>
      <c r="AJ124" s="11"/>
      <c r="AK124" s="10"/>
    </row>
    <row r="125" spans="2:37" ht="12.6" thickTop="1" x14ac:dyDescent="0.25">
      <c r="E125" s="37"/>
      <c r="AI125" s="4"/>
    </row>
    <row r="126" spans="2:37" x14ac:dyDescent="0.25">
      <c r="AI126" s="4"/>
    </row>
    <row r="127" spans="2:37" x14ac:dyDescent="0.25">
      <c r="AI127" s="4"/>
    </row>
    <row r="128" spans="2:37" ht="39.75" customHeight="1" x14ac:dyDescent="0.7">
      <c r="C128" s="36"/>
      <c r="E128" s="240"/>
      <c r="F128" s="240"/>
      <c r="G128" s="240"/>
      <c r="H128" s="240"/>
      <c r="I128" s="240"/>
      <c r="J128" s="240"/>
      <c r="K128" s="240"/>
      <c r="L128" s="240"/>
      <c r="M128" s="240"/>
      <c r="N128" s="240"/>
      <c r="O128" s="240"/>
      <c r="P128" s="240"/>
      <c r="Q128" s="240"/>
      <c r="R128" s="240"/>
      <c r="S128" s="240"/>
      <c r="T128" s="240"/>
      <c r="U128" s="240"/>
      <c r="V128" s="240"/>
      <c r="W128" s="240"/>
      <c r="X128" s="240"/>
      <c r="Y128" s="240"/>
      <c r="Z128" s="240"/>
      <c r="AA128" s="240"/>
      <c r="AB128" s="240"/>
      <c r="AC128" s="240"/>
      <c r="AD128" s="240"/>
      <c r="AE128" s="240"/>
      <c r="AF128" s="240"/>
      <c r="AG128" s="240"/>
      <c r="AH128" s="240"/>
      <c r="AI128" s="240"/>
      <c r="AJ128" s="32" t="s">
        <v>19</v>
      </c>
    </row>
    <row r="129" spans="2:37" ht="12.6" thickBot="1" x14ac:dyDescent="0.3">
      <c r="B129" s="35"/>
      <c r="AI129" s="4"/>
      <c r="AJ129" s="34" t="s">
        <v>202</v>
      </c>
    </row>
    <row r="130" spans="2:37" ht="6.75" customHeight="1" thickTop="1" thickBot="1" x14ac:dyDescent="0.3">
      <c r="B130" s="2"/>
      <c r="C130" s="14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  <c r="AA130" s="13"/>
      <c r="AB130" s="13"/>
      <c r="AC130" s="13"/>
      <c r="AD130" s="13"/>
      <c r="AE130" s="13"/>
      <c r="AF130" s="13"/>
      <c r="AG130" s="13"/>
      <c r="AH130" s="13"/>
      <c r="AI130" s="13"/>
      <c r="AJ130" s="12"/>
      <c r="AK130" s="33"/>
    </row>
    <row r="131" spans="2:37" ht="13.2" hidden="1" thickTop="1" thickBot="1" x14ac:dyDescent="0.3">
      <c r="B131" s="2"/>
      <c r="C131" s="31" t="s">
        <v>199</v>
      </c>
      <c r="D131" s="30" t="s">
        <v>198</v>
      </c>
      <c r="E131" s="30" t="s">
        <v>197</v>
      </c>
      <c r="F131" s="30" t="s">
        <v>196</v>
      </c>
      <c r="G131" s="30" t="s">
        <v>195</v>
      </c>
      <c r="H131" s="30" t="s">
        <v>194</v>
      </c>
      <c r="I131" s="30" t="s">
        <v>193</v>
      </c>
      <c r="J131" s="30" t="s">
        <v>192</v>
      </c>
      <c r="K131" s="30" t="s">
        <v>191</v>
      </c>
      <c r="L131" s="30" t="s">
        <v>190</v>
      </c>
      <c r="M131" s="30" t="s">
        <v>189</v>
      </c>
      <c r="N131" s="30" t="s">
        <v>188</v>
      </c>
      <c r="O131" s="30" t="s">
        <v>187</v>
      </c>
      <c r="P131" s="30" t="s">
        <v>186</v>
      </c>
      <c r="Q131" s="30" t="s">
        <v>185</v>
      </c>
      <c r="R131" s="30" t="s">
        <v>184</v>
      </c>
      <c r="S131" s="30" t="s">
        <v>183</v>
      </c>
      <c r="T131" s="30" t="s">
        <v>182</v>
      </c>
      <c r="U131" s="30" t="s">
        <v>181</v>
      </c>
      <c r="V131" s="30" t="s">
        <v>180</v>
      </c>
      <c r="W131" s="30" t="s">
        <v>179</v>
      </c>
      <c r="X131" s="30" t="s">
        <v>178</v>
      </c>
      <c r="Y131" s="30" t="s">
        <v>177</v>
      </c>
      <c r="Z131" s="30" t="s">
        <v>176</v>
      </c>
      <c r="AA131" s="30" t="s">
        <v>175</v>
      </c>
      <c r="AB131" s="30" t="s">
        <v>174</v>
      </c>
      <c r="AC131" s="30" t="s">
        <v>173</v>
      </c>
      <c r="AD131" s="30" t="s">
        <v>172</v>
      </c>
      <c r="AE131" s="30" t="s">
        <v>171</v>
      </c>
      <c r="AF131" s="30" t="s">
        <v>170</v>
      </c>
      <c r="AG131" s="30" t="s">
        <v>169</v>
      </c>
      <c r="AH131" s="30" t="s">
        <v>168</v>
      </c>
      <c r="AI131" s="30" t="s">
        <v>167</v>
      </c>
      <c r="AJ131" s="29" t="s">
        <v>166</v>
      </c>
      <c r="AK131" s="2"/>
    </row>
    <row r="132" spans="2:37" ht="19.5" customHeight="1" thickTop="1" thickBot="1" x14ac:dyDescent="0.3">
      <c r="B132" s="28"/>
      <c r="C132" s="27" t="str">
        <f>DADOS!$AF$3</f>
        <v>📝 AÇÃO</v>
      </c>
      <c r="D132" s="26" t="str">
        <f>IF(investirrendavariávelconsolidadofev[[#This Row],[TOTAL (R$)]]=0,"",IF(OR(investirrendavariávelconsolidadofev[[#This Row],[TOTAL (R$)]]=LARGE($AJ$132:$AJ$141,1),investirrendavariávelconsolidadofev[[#This Row],[TOTAL (R$)]]=LARGE($AJ$132:$AJ$141,2)),DADOS!$I$10,""))</f>
        <v/>
      </c>
      <c r="E132" s="96">
        <f>SUMIFS(tabela_registros[VALOR],tabela_registros[MÊS],$AE$1,tabela_registros[DIA],investirrendavariávelconsolidadofev[[#Headers],[1]],tabela_registros[REGISTRO],DADOS!$N$5,tabela_registros[TIPO],DADOS!$AB$4,tabela_registros[CATEGORIA],investirrendavariávelconsolidadofev[[#This Row],[ATUAL]])</f>
        <v>0</v>
      </c>
      <c r="F132" s="91">
        <f>SUMIFS(tabela_registros[VALOR],tabela_registros[MÊS],$AE$1,tabela_registros[DIA],investirrendavariávelconsolidadofev[[#Headers],[2]],tabela_registros[REGISTRO],DADOS!$N$5,tabela_registros[TIPO],DADOS!$AB$4,tabela_registros[CATEGORIA],investirrendavariávelconsolidadofev[[#This Row],[ATUAL]])</f>
        <v>0</v>
      </c>
      <c r="G132" s="91">
        <f>SUMIFS(tabela_registros[VALOR],tabela_registros[MÊS],$AE$1,tabela_registros[DIA],investirrendavariávelconsolidadofev[[#Headers],[3]],tabela_registros[REGISTRO],DADOS!$N$5,tabela_registros[TIPO],DADOS!$AB$4,tabela_registros[CATEGORIA],investirrendavariávelconsolidadofev[[#This Row],[ATUAL]])</f>
        <v>0</v>
      </c>
      <c r="H132" s="91">
        <f>SUMIFS(tabela_registros[VALOR],tabela_registros[MÊS],$AE$1,tabela_registros[DIA],investirrendavariávelconsolidadofev[[#Headers],[4]],tabela_registros[REGISTRO],DADOS!$N$5,tabela_registros[TIPO],DADOS!$AB$4,tabela_registros[CATEGORIA],investirrendavariávelconsolidadofev[[#This Row],[ATUAL]])</f>
        <v>0</v>
      </c>
      <c r="I132" s="91">
        <f>SUMIFS(tabela_registros[VALOR],tabela_registros[MÊS],$AE$1,tabela_registros[DIA],investirrendavariávelconsolidadofev[[#Headers],[5]],tabela_registros[REGISTRO],DADOS!$N$5,tabela_registros[TIPO],DADOS!$AB$4,tabela_registros[CATEGORIA],investirrendavariávelconsolidadofev[[#This Row],[ATUAL]])</f>
        <v>0</v>
      </c>
      <c r="J132" s="91">
        <f>SUMIFS(tabela_registros[VALOR],tabela_registros[MÊS],$AE$1,tabela_registros[DIA],investirrendavariávelconsolidadofev[[#Headers],[6]],tabela_registros[REGISTRO],DADOS!$N$5,tabela_registros[TIPO],DADOS!$AB$4,tabela_registros[CATEGORIA],investirrendavariávelconsolidadofev[[#This Row],[ATUAL]])</f>
        <v>0</v>
      </c>
      <c r="K132" s="91">
        <f>SUMIFS(tabela_registros[VALOR],tabela_registros[MÊS],$AE$1,tabela_registros[DIA],investirrendavariávelconsolidadofev[[#Headers],[7]],tabela_registros[REGISTRO],DADOS!$N$5,tabela_registros[TIPO],DADOS!$AB$4,tabela_registros[CATEGORIA],investirrendavariávelconsolidadofev[[#This Row],[ATUAL]])</f>
        <v>0</v>
      </c>
      <c r="L132" s="91">
        <f>SUMIFS(tabela_registros[VALOR],tabela_registros[MÊS],$AE$1,tabela_registros[DIA],investirrendavariávelconsolidadofev[[#Headers],[8]],tabela_registros[REGISTRO],DADOS!$N$5,tabela_registros[TIPO],DADOS!$AB$4,tabela_registros[CATEGORIA],investirrendavariávelconsolidadofev[[#This Row],[ATUAL]])</f>
        <v>0</v>
      </c>
      <c r="M132" s="91">
        <f>SUMIFS(tabela_registros[VALOR],tabela_registros[MÊS],$AE$1,tabela_registros[DIA],investirrendavariávelconsolidadofev[[#Headers],[9]],tabela_registros[REGISTRO],DADOS!$N$5,tabela_registros[TIPO],DADOS!$AB$4,tabela_registros[CATEGORIA],investirrendavariávelconsolidadofev[[#This Row],[ATUAL]])</f>
        <v>0</v>
      </c>
      <c r="N132" s="91">
        <f>SUMIFS(tabela_registros[VALOR],tabela_registros[MÊS],$AE$1,tabela_registros[DIA],investirrendavariávelconsolidadofev[[#Headers],[10]],tabela_registros[REGISTRO],DADOS!$N$5,tabela_registros[TIPO],DADOS!$AB$4,tabela_registros[CATEGORIA],investirrendavariávelconsolidadofev[[#This Row],[ATUAL]])</f>
        <v>0</v>
      </c>
      <c r="O132" s="91">
        <f>SUMIFS(tabela_registros[VALOR],tabela_registros[MÊS],$AE$1,tabela_registros[DIA],investirrendavariávelconsolidadofev[[#Headers],[11]],tabela_registros[REGISTRO],DADOS!$N$5,tabela_registros[TIPO],DADOS!$AB$4,tabela_registros[CATEGORIA],investirrendavariávelconsolidadofev[[#This Row],[ATUAL]])</f>
        <v>0</v>
      </c>
      <c r="P132" s="91">
        <f>SUMIFS(tabela_registros[VALOR],tabela_registros[MÊS],$AE$1,tabela_registros[DIA],investirrendavariávelconsolidadofev[[#Headers],[12]],tabela_registros[REGISTRO],DADOS!$N$5,tabela_registros[TIPO],DADOS!$AB$4,tabela_registros[CATEGORIA],investirrendavariávelconsolidadofev[[#This Row],[ATUAL]])</f>
        <v>0</v>
      </c>
      <c r="Q132" s="91">
        <f>SUMIFS(tabela_registros[VALOR],tabela_registros[MÊS],$AE$1,tabela_registros[DIA],investirrendavariávelconsolidadofev[[#Headers],[13]],tabela_registros[REGISTRO],DADOS!$N$5,tabela_registros[TIPO],DADOS!$AB$4,tabela_registros[CATEGORIA],investirrendavariávelconsolidadofev[[#This Row],[ATUAL]])</f>
        <v>0</v>
      </c>
      <c r="R132" s="91">
        <f>SUMIFS(tabela_registros[VALOR],tabela_registros[MÊS],$AE$1,tabela_registros[DIA],investirrendavariávelconsolidadofev[[#Headers],[14]],tabela_registros[REGISTRO],DADOS!$N$5,tabela_registros[TIPO],DADOS!$AB$4,tabela_registros[CATEGORIA],investirrendavariávelconsolidadofev[[#This Row],[ATUAL]])</f>
        <v>0</v>
      </c>
      <c r="S132" s="91">
        <f>SUMIFS(tabela_registros[VALOR],tabela_registros[MÊS],$AE$1,tabela_registros[DIA],investirrendavariávelconsolidadofev[[#Headers],[15]],tabela_registros[REGISTRO],DADOS!$N$5,tabela_registros[TIPO],DADOS!$AB$4,tabela_registros[CATEGORIA],investirrendavariávelconsolidadofev[[#This Row],[ATUAL]])</f>
        <v>0</v>
      </c>
      <c r="T132" s="91">
        <f>SUMIFS(tabela_registros[VALOR],tabela_registros[MÊS],$AE$1,tabela_registros[DIA],investirrendavariávelconsolidadofev[[#Headers],[16]],tabela_registros[REGISTRO],DADOS!$N$5,tabela_registros[TIPO],DADOS!$AB$4,tabela_registros[CATEGORIA],investirrendavariávelconsolidadofev[[#This Row],[ATUAL]])</f>
        <v>0</v>
      </c>
      <c r="U132" s="91">
        <f>SUMIFS(tabela_registros[VALOR],tabela_registros[MÊS],$AE$1,tabela_registros[DIA],investirrendavariávelconsolidadofev[[#Headers],[17]],tabela_registros[REGISTRO],DADOS!$N$5,tabela_registros[TIPO],DADOS!$AB$4,tabela_registros[CATEGORIA],investirrendavariávelconsolidadofev[[#This Row],[ATUAL]])</f>
        <v>0</v>
      </c>
      <c r="V132" s="91">
        <f>SUMIFS(tabela_registros[VALOR],tabela_registros[MÊS],$AE$1,tabela_registros[DIA],investirrendavariávelconsolidadofev[[#Headers],[18]],tabela_registros[REGISTRO],DADOS!$N$5,tabela_registros[TIPO],DADOS!$AB$4,tabela_registros[CATEGORIA],investirrendavariávelconsolidadofev[[#This Row],[ATUAL]])</f>
        <v>0</v>
      </c>
      <c r="W132" s="91">
        <f>SUMIFS(tabela_registros[VALOR],tabela_registros[MÊS],$AE$1,tabela_registros[DIA],investirrendavariávelconsolidadofev[[#Headers],[19]],tabela_registros[REGISTRO],DADOS!$N$5,tabela_registros[TIPO],DADOS!$AB$4,tabela_registros[CATEGORIA],investirrendavariávelconsolidadofev[[#This Row],[ATUAL]])</f>
        <v>0</v>
      </c>
      <c r="X132" s="91">
        <f>SUMIFS(tabela_registros[VALOR],tabela_registros[MÊS],$AE$1,tabela_registros[DIA],investirrendavariávelconsolidadofev[[#Headers],[20]],tabela_registros[REGISTRO],DADOS!$N$5,tabela_registros[TIPO],DADOS!$AB$4,tabela_registros[CATEGORIA],investirrendavariávelconsolidadofev[[#This Row],[ATUAL]])</f>
        <v>0</v>
      </c>
      <c r="Y132" s="91">
        <f>SUMIFS(tabela_registros[VALOR],tabela_registros[MÊS],$AE$1,tabela_registros[DIA],investirrendavariávelconsolidadofev[[#Headers],[21]],tabela_registros[REGISTRO],DADOS!$N$5,tabela_registros[TIPO],DADOS!$AB$4,tabela_registros[CATEGORIA],investirrendavariávelconsolidadofev[[#This Row],[ATUAL]])</f>
        <v>0</v>
      </c>
      <c r="Z132" s="91">
        <f>SUMIFS(tabela_registros[VALOR],tabela_registros[MÊS],$AE$1,tabela_registros[DIA],investirrendavariávelconsolidadofev[[#Headers],[22]],tabela_registros[REGISTRO],DADOS!$N$5,tabela_registros[TIPO],DADOS!$AB$4,tabela_registros[CATEGORIA],investirrendavariávelconsolidadofev[[#This Row],[ATUAL]])</f>
        <v>0</v>
      </c>
      <c r="AA132" s="91">
        <f>SUMIFS(tabela_registros[VALOR],tabela_registros[MÊS],$AE$1,tabela_registros[DIA],investirrendavariávelconsolidadofev[[#Headers],[23]],tabela_registros[REGISTRO],DADOS!$N$5,tabela_registros[TIPO],DADOS!$AB$4,tabela_registros[CATEGORIA],investirrendavariávelconsolidadofev[[#This Row],[ATUAL]])</f>
        <v>0</v>
      </c>
      <c r="AB132" s="91">
        <f>SUMIFS(tabela_registros[VALOR],tabela_registros[MÊS],$AE$1,tabela_registros[DIA],investirrendavariávelconsolidadofev[[#Headers],[24]],tabela_registros[REGISTRO],DADOS!$N$5,tabela_registros[TIPO],DADOS!$AB$4,tabela_registros[CATEGORIA],investirrendavariávelconsolidadofev[[#This Row],[ATUAL]])</f>
        <v>0</v>
      </c>
      <c r="AC132" s="91">
        <f>SUMIFS(tabela_registros[VALOR],tabela_registros[MÊS],$AE$1,tabela_registros[DIA],investirrendavariávelconsolidadofev[[#Headers],[25]],tabela_registros[REGISTRO],DADOS!$N$5,tabela_registros[TIPO],DADOS!$AB$4,tabela_registros[CATEGORIA],investirrendavariávelconsolidadofev[[#This Row],[ATUAL]])</f>
        <v>0</v>
      </c>
      <c r="AD132" s="91">
        <f>SUMIFS(tabela_registros[VALOR],tabela_registros[MÊS],$AE$1,tabela_registros[DIA],investirrendavariávelconsolidadofev[[#Headers],[26]],tabela_registros[REGISTRO],DADOS!$N$5,tabela_registros[TIPO],DADOS!$AB$4,tabela_registros[CATEGORIA],investirrendavariávelconsolidadofev[[#This Row],[ATUAL]])</f>
        <v>0</v>
      </c>
      <c r="AE132" s="91">
        <f>SUMIFS(tabela_registros[VALOR],tabela_registros[MÊS],$AE$1,tabela_registros[DIA],investirrendavariávelconsolidadofev[[#Headers],[27]],tabela_registros[REGISTRO],DADOS!$N$5,tabela_registros[TIPO],DADOS!$AB$4,tabela_registros[CATEGORIA],investirrendavariávelconsolidadofev[[#This Row],[ATUAL]])</f>
        <v>0</v>
      </c>
      <c r="AF132" s="91">
        <f>SUMIFS(tabela_registros[VALOR],tabela_registros[MÊS],$AE$1,tabela_registros[DIA],investirrendavariávelconsolidadofev[[#Headers],[28]],tabela_registros[REGISTRO],DADOS!$N$5,tabela_registros[TIPO],DADOS!$AB$4,tabela_registros[CATEGORIA],investirrendavariávelconsolidadofev[[#This Row],[ATUAL]])</f>
        <v>0</v>
      </c>
      <c r="AG132" s="91">
        <f>SUMIFS(tabela_registros[VALOR],tabela_registros[MÊS],$AE$1,tabela_registros[DIA],investirrendavariávelconsolidadofev[[#Headers],[29]],tabela_registros[REGISTRO],DADOS!$N$5,tabela_registros[TIPO],DADOS!$AB$4,tabela_registros[CATEGORIA],investirrendavariávelconsolidadofev[[#This Row],[ATUAL]])</f>
        <v>0</v>
      </c>
      <c r="AH132" s="91">
        <f>SUMIFS(tabela_registros[VALOR],tabela_registros[MÊS],$AE$1,tabela_registros[DIA],investirrendavariávelconsolidadofev[[#Headers],[30]],tabela_registros[REGISTRO],DADOS!$N$5,tabela_registros[TIPO],DADOS!$AB$4,tabela_registros[CATEGORIA],investirrendavariávelconsolidadofev[[#This Row],[ATUAL]])</f>
        <v>0</v>
      </c>
      <c r="AI132" s="101">
        <f>SUMIFS(tabela_registros[VALOR],tabela_registros[MÊS],$AE$1,tabela_registros[DIA],investirrendavariávelconsolidadofev[[#Headers],[31]],tabela_registros[REGISTRO],DADOS!$N$5,tabela_registros[TIPO],DADOS!$AB$4,tabela_registros[CATEGORIA],investirrendavariávelconsolidadofev[[#This Row],[ATUAL]])</f>
        <v>0</v>
      </c>
      <c r="AJ132" s="97">
        <f>SUM(investirrendavariávelconsolidadofev[[#This Row],[1]:[31]])</f>
        <v>0</v>
      </c>
      <c r="AK132" s="25"/>
    </row>
    <row r="133" spans="2:37" ht="19.5" customHeight="1" thickTop="1" thickBot="1" x14ac:dyDescent="0.3">
      <c r="B133" s="28"/>
      <c r="C133" s="27" t="str">
        <f>DADOS!$AF$4</f>
        <v>📝 COMÓDITE</v>
      </c>
      <c r="D133" s="26" t="str">
        <f>IF(investirrendavariávelconsolidadofev[[#This Row],[TOTAL (R$)]]=0,"",IF(OR(investirrendavariávelconsolidadofev[[#This Row],[TOTAL (R$)]]=LARGE($AJ$132:$AJ$141,1),investirrendavariávelconsolidadofev[[#This Row],[TOTAL (R$)]]=LARGE($AJ$132:$AJ$141,2)),DADOS!$I$10,""))</f>
        <v>💎</v>
      </c>
      <c r="E133" s="96">
        <f>SUMIFS(tabela_registros[VALOR],tabela_registros[MÊS],$AE$1,tabela_registros[DIA],investirrendavariávelconsolidadofev[[#Headers],[1]],tabela_registros[REGISTRO],DADOS!$N$5,tabela_registros[TIPO],DADOS!$AB$4,tabela_registros[CATEGORIA],investirrendavariávelconsolidadofev[[#This Row],[ATUAL]])</f>
        <v>0</v>
      </c>
      <c r="F133" s="91">
        <f>SUMIFS(tabela_registros[VALOR],tabela_registros[MÊS],$AE$1,tabela_registros[DIA],investirrendavariávelconsolidadofev[[#Headers],[2]],tabela_registros[REGISTRO],DADOS!$N$5,tabela_registros[TIPO],DADOS!$AB$4,tabela_registros[CATEGORIA],investirrendavariávelconsolidadofev[[#This Row],[ATUAL]])</f>
        <v>244</v>
      </c>
      <c r="G133" s="91">
        <f>SUMIFS(tabela_registros[VALOR],tabela_registros[MÊS],$AE$1,tabela_registros[DIA],investirrendavariávelconsolidadofev[[#Headers],[3]],tabela_registros[REGISTRO],DADOS!$N$5,tabela_registros[TIPO],DADOS!$AB$4,tabela_registros[CATEGORIA],investirrendavariávelconsolidadofev[[#This Row],[ATUAL]])</f>
        <v>0</v>
      </c>
      <c r="H133" s="91">
        <f>SUMIFS(tabela_registros[VALOR],tabela_registros[MÊS],$AE$1,tabela_registros[DIA],investirrendavariávelconsolidadofev[[#Headers],[4]],tabela_registros[REGISTRO],DADOS!$N$5,tabela_registros[TIPO],DADOS!$AB$4,tabela_registros[CATEGORIA],investirrendavariávelconsolidadofev[[#This Row],[ATUAL]])</f>
        <v>0</v>
      </c>
      <c r="I133" s="91">
        <f>SUMIFS(tabela_registros[VALOR],tabela_registros[MÊS],$AE$1,tabela_registros[DIA],investirrendavariávelconsolidadofev[[#Headers],[5]],tabela_registros[REGISTRO],DADOS!$N$5,tabela_registros[TIPO],DADOS!$AB$4,tabela_registros[CATEGORIA],investirrendavariávelconsolidadofev[[#This Row],[ATUAL]])</f>
        <v>0</v>
      </c>
      <c r="J133" s="91">
        <f>SUMIFS(tabela_registros[VALOR],tabela_registros[MÊS],$AE$1,tabela_registros[DIA],investirrendavariávelconsolidadofev[[#Headers],[6]],tabela_registros[REGISTRO],DADOS!$N$5,tabela_registros[TIPO],DADOS!$AB$4,tabela_registros[CATEGORIA],investirrendavariávelconsolidadofev[[#This Row],[ATUAL]])</f>
        <v>0</v>
      </c>
      <c r="K133" s="91">
        <f>SUMIFS(tabela_registros[VALOR],tabela_registros[MÊS],$AE$1,tabela_registros[DIA],investirrendavariávelconsolidadofev[[#Headers],[7]],tabela_registros[REGISTRO],DADOS!$N$5,tabela_registros[TIPO],DADOS!$AB$4,tabela_registros[CATEGORIA],investirrendavariávelconsolidadofev[[#This Row],[ATUAL]])</f>
        <v>0</v>
      </c>
      <c r="L133" s="91">
        <f>SUMIFS(tabela_registros[VALOR],tabela_registros[MÊS],$AE$1,tabela_registros[DIA],investirrendavariávelconsolidadofev[[#Headers],[8]],tabela_registros[REGISTRO],DADOS!$N$5,tabela_registros[TIPO],DADOS!$AB$4,tabela_registros[CATEGORIA],investirrendavariávelconsolidadofev[[#This Row],[ATUAL]])</f>
        <v>0</v>
      </c>
      <c r="M133" s="91">
        <f>SUMIFS(tabela_registros[VALOR],tabela_registros[MÊS],$AE$1,tabela_registros[DIA],investirrendavariávelconsolidadofev[[#Headers],[9]],tabela_registros[REGISTRO],DADOS!$N$5,tabela_registros[TIPO],DADOS!$AB$4,tabela_registros[CATEGORIA],investirrendavariávelconsolidadofev[[#This Row],[ATUAL]])</f>
        <v>0</v>
      </c>
      <c r="N133" s="91">
        <f>SUMIFS(tabela_registros[VALOR],tabela_registros[MÊS],$AE$1,tabela_registros[DIA],investirrendavariávelconsolidadofev[[#Headers],[10]],tabela_registros[REGISTRO],DADOS!$N$5,tabela_registros[TIPO],DADOS!$AB$4,tabela_registros[CATEGORIA],investirrendavariávelconsolidadofev[[#This Row],[ATUAL]])</f>
        <v>0</v>
      </c>
      <c r="O133" s="91">
        <f>SUMIFS(tabela_registros[VALOR],tabela_registros[MÊS],$AE$1,tabela_registros[DIA],investirrendavariávelconsolidadofev[[#Headers],[11]],tabela_registros[REGISTRO],DADOS!$N$5,tabela_registros[TIPO],DADOS!$AB$4,tabela_registros[CATEGORIA],investirrendavariávelconsolidadofev[[#This Row],[ATUAL]])</f>
        <v>0</v>
      </c>
      <c r="P133" s="91">
        <f>SUMIFS(tabela_registros[VALOR],tabela_registros[MÊS],$AE$1,tabela_registros[DIA],investirrendavariávelconsolidadofev[[#Headers],[12]],tabela_registros[REGISTRO],DADOS!$N$5,tabela_registros[TIPO],DADOS!$AB$4,tabela_registros[CATEGORIA],investirrendavariávelconsolidadofev[[#This Row],[ATUAL]])</f>
        <v>0</v>
      </c>
      <c r="Q133" s="91">
        <f>SUMIFS(tabela_registros[VALOR],tabela_registros[MÊS],$AE$1,tabela_registros[DIA],investirrendavariávelconsolidadofev[[#Headers],[13]],tabela_registros[REGISTRO],DADOS!$N$5,tabela_registros[TIPO],DADOS!$AB$4,tabela_registros[CATEGORIA],investirrendavariávelconsolidadofev[[#This Row],[ATUAL]])</f>
        <v>0</v>
      </c>
      <c r="R133" s="91">
        <f>SUMIFS(tabela_registros[VALOR],tabela_registros[MÊS],$AE$1,tabela_registros[DIA],investirrendavariávelconsolidadofev[[#Headers],[14]],tabela_registros[REGISTRO],DADOS!$N$5,tabela_registros[TIPO],DADOS!$AB$4,tabela_registros[CATEGORIA],investirrendavariávelconsolidadofev[[#This Row],[ATUAL]])</f>
        <v>0</v>
      </c>
      <c r="S133" s="91">
        <f>SUMIFS(tabela_registros[VALOR],tabela_registros[MÊS],$AE$1,tabela_registros[DIA],investirrendavariávelconsolidadofev[[#Headers],[15]],tabela_registros[REGISTRO],DADOS!$N$5,tabela_registros[TIPO],DADOS!$AB$4,tabela_registros[CATEGORIA],investirrendavariávelconsolidadofev[[#This Row],[ATUAL]])</f>
        <v>0</v>
      </c>
      <c r="T133" s="91">
        <f>SUMIFS(tabela_registros[VALOR],tabela_registros[MÊS],$AE$1,tabela_registros[DIA],investirrendavariávelconsolidadofev[[#Headers],[16]],tabela_registros[REGISTRO],DADOS!$N$5,tabela_registros[TIPO],DADOS!$AB$4,tabela_registros[CATEGORIA],investirrendavariávelconsolidadofev[[#This Row],[ATUAL]])</f>
        <v>0</v>
      </c>
      <c r="U133" s="91">
        <f>SUMIFS(tabela_registros[VALOR],tabela_registros[MÊS],$AE$1,tabela_registros[DIA],investirrendavariávelconsolidadofev[[#Headers],[17]],tabela_registros[REGISTRO],DADOS!$N$5,tabela_registros[TIPO],DADOS!$AB$4,tabela_registros[CATEGORIA],investirrendavariávelconsolidadofev[[#This Row],[ATUAL]])</f>
        <v>0</v>
      </c>
      <c r="V133" s="91">
        <f>SUMIFS(tabela_registros[VALOR],tabela_registros[MÊS],$AE$1,tabela_registros[DIA],investirrendavariávelconsolidadofev[[#Headers],[18]],tabela_registros[REGISTRO],DADOS!$N$5,tabela_registros[TIPO],DADOS!$AB$4,tabela_registros[CATEGORIA],investirrendavariávelconsolidadofev[[#This Row],[ATUAL]])</f>
        <v>0</v>
      </c>
      <c r="W133" s="91">
        <f>SUMIFS(tabela_registros[VALOR],tabela_registros[MÊS],$AE$1,tabela_registros[DIA],investirrendavariávelconsolidadofev[[#Headers],[19]],tabela_registros[REGISTRO],DADOS!$N$5,tabela_registros[TIPO],DADOS!$AB$4,tabela_registros[CATEGORIA],investirrendavariávelconsolidadofev[[#This Row],[ATUAL]])</f>
        <v>0</v>
      </c>
      <c r="X133" s="91">
        <f>SUMIFS(tabela_registros[VALOR],tabela_registros[MÊS],$AE$1,tabela_registros[DIA],investirrendavariávelconsolidadofev[[#Headers],[20]],tabela_registros[REGISTRO],DADOS!$N$5,tabela_registros[TIPO],DADOS!$AB$4,tabela_registros[CATEGORIA],investirrendavariávelconsolidadofev[[#This Row],[ATUAL]])</f>
        <v>0</v>
      </c>
      <c r="Y133" s="91">
        <f>SUMIFS(tabela_registros[VALOR],tabela_registros[MÊS],$AE$1,tabela_registros[DIA],investirrendavariávelconsolidadofev[[#Headers],[21]],tabela_registros[REGISTRO],DADOS!$N$5,tabela_registros[TIPO],DADOS!$AB$4,tabela_registros[CATEGORIA],investirrendavariávelconsolidadofev[[#This Row],[ATUAL]])</f>
        <v>0</v>
      </c>
      <c r="Z133" s="91">
        <f>SUMIFS(tabela_registros[VALOR],tabela_registros[MÊS],$AE$1,tabela_registros[DIA],investirrendavariávelconsolidadofev[[#Headers],[22]],tabela_registros[REGISTRO],DADOS!$N$5,tabela_registros[TIPO],DADOS!$AB$4,tabela_registros[CATEGORIA],investirrendavariávelconsolidadofev[[#This Row],[ATUAL]])</f>
        <v>0</v>
      </c>
      <c r="AA133" s="91">
        <f>SUMIFS(tabela_registros[VALOR],tabela_registros[MÊS],$AE$1,tabela_registros[DIA],investirrendavariávelconsolidadofev[[#Headers],[23]],tabela_registros[REGISTRO],DADOS!$N$5,tabela_registros[TIPO],DADOS!$AB$4,tabela_registros[CATEGORIA],investirrendavariávelconsolidadofev[[#This Row],[ATUAL]])</f>
        <v>0</v>
      </c>
      <c r="AB133" s="91">
        <f>SUMIFS(tabela_registros[VALOR],tabela_registros[MÊS],$AE$1,tabela_registros[DIA],investirrendavariávelconsolidadofev[[#Headers],[24]],tabela_registros[REGISTRO],DADOS!$N$5,tabela_registros[TIPO],DADOS!$AB$4,tabela_registros[CATEGORIA],investirrendavariávelconsolidadofev[[#This Row],[ATUAL]])</f>
        <v>0</v>
      </c>
      <c r="AC133" s="91">
        <f>SUMIFS(tabela_registros[VALOR],tabela_registros[MÊS],$AE$1,tabela_registros[DIA],investirrendavariávelconsolidadofev[[#Headers],[25]],tabela_registros[REGISTRO],DADOS!$N$5,tabela_registros[TIPO],DADOS!$AB$4,tabela_registros[CATEGORIA],investirrendavariávelconsolidadofev[[#This Row],[ATUAL]])</f>
        <v>0</v>
      </c>
      <c r="AD133" s="91">
        <f>SUMIFS(tabela_registros[VALOR],tabela_registros[MÊS],$AE$1,tabela_registros[DIA],investirrendavariávelconsolidadofev[[#Headers],[26]],tabela_registros[REGISTRO],DADOS!$N$5,tabela_registros[TIPO],DADOS!$AB$4,tabela_registros[CATEGORIA],investirrendavariávelconsolidadofev[[#This Row],[ATUAL]])</f>
        <v>0</v>
      </c>
      <c r="AE133" s="91">
        <f>SUMIFS(tabela_registros[VALOR],tabela_registros[MÊS],$AE$1,tabela_registros[DIA],investirrendavariávelconsolidadofev[[#Headers],[27]],tabela_registros[REGISTRO],DADOS!$N$5,tabela_registros[TIPO],DADOS!$AB$4,tabela_registros[CATEGORIA],investirrendavariávelconsolidadofev[[#This Row],[ATUAL]])</f>
        <v>0</v>
      </c>
      <c r="AF133" s="91">
        <f>SUMIFS(tabela_registros[VALOR],tabela_registros[MÊS],$AE$1,tabela_registros[DIA],investirrendavariávelconsolidadofev[[#Headers],[28]],tabela_registros[REGISTRO],DADOS!$N$5,tabela_registros[TIPO],DADOS!$AB$4,tabela_registros[CATEGORIA],investirrendavariávelconsolidadofev[[#This Row],[ATUAL]])</f>
        <v>0</v>
      </c>
      <c r="AG133" s="91">
        <f>SUMIFS(tabela_registros[VALOR],tabela_registros[MÊS],$AE$1,tabela_registros[DIA],investirrendavariávelconsolidadofev[[#Headers],[29]],tabela_registros[REGISTRO],DADOS!$N$5,tabela_registros[TIPO],DADOS!$AB$4,tabela_registros[CATEGORIA],investirrendavariávelconsolidadofev[[#This Row],[ATUAL]])</f>
        <v>0</v>
      </c>
      <c r="AH133" s="91">
        <f>SUMIFS(tabela_registros[VALOR],tabela_registros[MÊS],$AE$1,tabela_registros[DIA],investirrendavariávelconsolidadofev[[#Headers],[30]],tabela_registros[REGISTRO],DADOS!$N$5,tabela_registros[TIPO],DADOS!$AB$4,tabela_registros[CATEGORIA],investirrendavariávelconsolidadofev[[#This Row],[ATUAL]])</f>
        <v>0</v>
      </c>
      <c r="AI133" s="101">
        <f>SUMIFS(tabela_registros[VALOR],tabela_registros[MÊS],$AE$1,tabela_registros[DIA],investirrendavariávelconsolidadofev[[#Headers],[31]],tabela_registros[REGISTRO],DADOS!$N$5,tabela_registros[TIPO],DADOS!$AB$4,tabela_registros[CATEGORIA],investirrendavariávelconsolidadofev[[#This Row],[ATUAL]])</f>
        <v>0</v>
      </c>
      <c r="AJ133" s="97">
        <f>SUM(investirrendavariávelconsolidadofev[[#This Row],[1]:[31]])</f>
        <v>244</v>
      </c>
      <c r="AK133" s="25"/>
    </row>
    <row r="134" spans="2:37" ht="19.5" customHeight="1" thickTop="1" thickBot="1" x14ac:dyDescent="0.3">
      <c r="B134" s="28"/>
      <c r="C134" s="27" t="str">
        <f>DADOS!$AF$5</f>
        <v>📝 CONTRATO DE FUTUROS</v>
      </c>
      <c r="D134" s="26" t="str">
        <f>IF(investirrendavariávelconsolidadofev[[#This Row],[TOTAL (R$)]]=0,"",IF(OR(investirrendavariávelconsolidadofev[[#This Row],[TOTAL (R$)]]=LARGE($AJ$132:$AJ$141,1),investirrendavariávelconsolidadofev[[#This Row],[TOTAL (R$)]]=LARGE($AJ$132:$AJ$141,2)),DADOS!$I$10,""))</f>
        <v/>
      </c>
      <c r="E134" s="96">
        <f>SUMIFS(tabela_registros[VALOR],tabela_registros[MÊS],$AE$1,tabela_registros[DIA],investirrendavariávelconsolidadofev[[#Headers],[1]],tabela_registros[REGISTRO],DADOS!$N$5,tabela_registros[TIPO],DADOS!$AB$4,tabela_registros[CATEGORIA],investirrendavariávelconsolidadofev[[#This Row],[ATUAL]])</f>
        <v>0</v>
      </c>
      <c r="F134" s="91">
        <f>SUMIFS(tabela_registros[VALOR],tabela_registros[MÊS],$AE$1,tabela_registros[DIA],investirrendavariávelconsolidadofev[[#Headers],[2]],tabela_registros[REGISTRO],DADOS!$N$5,tabela_registros[TIPO],DADOS!$AB$4,tabela_registros[CATEGORIA],investirrendavariávelconsolidadofev[[#This Row],[ATUAL]])</f>
        <v>128</v>
      </c>
      <c r="G134" s="91">
        <f>SUMIFS(tabela_registros[VALOR],tabela_registros[MÊS],$AE$1,tabela_registros[DIA],investirrendavariávelconsolidadofev[[#Headers],[3]],tabela_registros[REGISTRO],DADOS!$N$5,tabela_registros[TIPO],DADOS!$AB$4,tabela_registros[CATEGORIA],investirrendavariávelconsolidadofev[[#This Row],[ATUAL]])</f>
        <v>0</v>
      </c>
      <c r="H134" s="91">
        <f>SUMIFS(tabela_registros[VALOR],tabela_registros[MÊS],$AE$1,tabela_registros[DIA],investirrendavariávelconsolidadofev[[#Headers],[4]],tabela_registros[REGISTRO],DADOS!$N$5,tabela_registros[TIPO],DADOS!$AB$4,tabela_registros[CATEGORIA],investirrendavariávelconsolidadofev[[#This Row],[ATUAL]])</f>
        <v>0</v>
      </c>
      <c r="I134" s="91">
        <f>SUMIFS(tabela_registros[VALOR],tabela_registros[MÊS],$AE$1,tabela_registros[DIA],investirrendavariávelconsolidadofev[[#Headers],[5]],tabela_registros[REGISTRO],DADOS!$N$5,tabela_registros[TIPO],DADOS!$AB$4,tabela_registros[CATEGORIA],investirrendavariávelconsolidadofev[[#This Row],[ATUAL]])</f>
        <v>0</v>
      </c>
      <c r="J134" s="91">
        <f>SUMIFS(tabela_registros[VALOR],tabela_registros[MÊS],$AE$1,tabela_registros[DIA],investirrendavariávelconsolidadofev[[#Headers],[6]],tabela_registros[REGISTRO],DADOS!$N$5,tabela_registros[TIPO],DADOS!$AB$4,tabela_registros[CATEGORIA],investirrendavariávelconsolidadofev[[#This Row],[ATUAL]])</f>
        <v>0</v>
      </c>
      <c r="K134" s="91">
        <f>SUMIFS(tabela_registros[VALOR],tabela_registros[MÊS],$AE$1,tabela_registros[DIA],investirrendavariávelconsolidadofev[[#Headers],[7]],tabela_registros[REGISTRO],DADOS!$N$5,tabela_registros[TIPO],DADOS!$AB$4,tabela_registros[CATEGORIA],investirrendavariávelconsolidadofev[[#This Row],[ATUAL]])</f>
        <v>0</v>
      </c>
      <c r="L134" s="91">
        <f>SUMIFS(tabela_registros[VALOR],tabela_registros[MÊS],$AE$1,tabela_registros[DIA],investirrendavariávelconsolidadofev[[#Headers],[8]],tabela_registros[REGISTRO],DADOS!$N$5,tabela_registros[TIPO],DADOS!$AB$4,tabela_registros[CATEGORIA],investirrendavariávelconsolidadofev[[#This Row],[ATUAL]])</f>
        <v>0</v>
      </c>
      <c r="M134" s="91">
        <f>SUMIFS(tabela_registros[VALOR],tabela_registros[MÊS],$AE$1,tabela_registros[DIA],investirrendavariávelconsolidadofev[[#Headers],[9]],tabela_registros[REGISTRO],DADOS!$N$5,tabela_registros[TIPO],DADOS!$AB$4,tabela_registros[CATEGORIA],investirrendavariávelconsolidadofev[[#This Row],[ATUAL]])</f>
        <v>0</v>
      </c>
      <c r="N134" s="91">
        <f>SUMIFS(tabela_registros[VALOR],tabela_registros[MÊS],$AE$1,tabela_registros[DIA],investirrendavariávelconsolidadofev[[#Headers],[10]],tabela_registros[REGISTRO],DADOS!$N$5,tabela_registros[TIPO],DADOS!$AB$4,tabela_registros[CATEGORIA],investirrendavariávelconsolidadofev[[#This Row],[ATUAL]])</f>
        <v>0</v>
      </c>
      <c r="O134" s="91">
        <f>SUMIFS(tabela_registros[VALOR],tabela_registros[MÊS],$AE$1,tabela_registros[DIA],investirrendavariávelconsolidadofev[[#Headers],[11]],tabela_registros[REGISTRO],DADOS!$N$5,tabela_registros[TIPO],DADOS!$AB$4,tabela_registros[CATEGORIA],investirrendavariávelconsolidadofev[[#This Row],[ATUAL]])</f>
        <v>0</v>
      </c>
      <c r="P134" s="91">
        <f>SUMIFS(tabela_registros[VALOR],tabela_registros[MÊS],$AE$1,tabela_registros[DIA],investirrendavariávelconsolidadofev[[#Headers],[12]],tabela_registros[REGISTRO],DADOS!$N$5,tabela_registros[TIPO],DADOS!$AB$4,tabela_registros[CATEGORIA],investirrendavariávelconsolidadofev[[#This Row],[ATUAL]])</f>
        <v>0</v>
      </c>
      <c r="Q134" s="91">
        <f>SUMIFS(tabela_registros[VALOR],tabela_registros[MÊS],$AE$1,tabela_registros[DIA],investirrendavariávelconsolidadofev[[#Headers],[13]],tabela_registros[REGISTRO],DADOS!$N$5,tabela_registros[TIPO],DADOS!$AB$4,tabela_registros[CATEGORIA],investirrendavariávelconsolidadofev[[#This Row],[ATUAL]])</f>
        <v>0</v>
      </c>
      <c r="R134" s="91">
        <f>SUMIFS(tabela_registros[VALOR],tabela_registros[MÊS],$AE$1,tabela_registros[DIA],investirrendavariávelconsolidadofev[[#Headers],[14]],tabela_registros[REGISTRO],DADOS!$N$5,tabela_registros[TIPO],DADOS!$AB$4,tabela_registros[CATEGORIA],investirrendavariávelconsolidadofev[[#This Row],[ATUAL]])</f>
        <v>0</v>
      </c>
      <c r="S134" s="91">
        <f>SUMIFS(tabela_registros[VALOR],tabela_registros[MÊS],$AE$1,tabela_registros[DIA],investirrendavariávelconsolidadofev[[#Headers],[15]],tabela_registros[REGISTRO],DADOS!$N$5,tabela_registros[TIPO],DADOS!$AB$4,tabela_registros[CATEGORIA],investirrendavariávelconsolidadofev[[#This Row],[ATUAL]])</f>
        <v>0</v>
      </c>
      <c r="T134" s="91">
        <f>SUMIFS(tabela_registros[VALOR],tabela_registros[MÊS],$AE$1,tabela_registros[DIA],investirrendavariávelconsolidadofev[[#Headers],[16]],tabela_registros[REGISTRO],DADOS!$N$5,tabela_registros[TIPO],DADOS!$AB$4,tabela_registros[CATEGORIA],investirrendavariávelconsolidadofev[[#This Row],[ATUAL]])</f>
        <v>0</v>
      </c>
      <c r="U134" s="91">
        <f>SUMIFS(tabela_registros[VALOR],tabela_registros[MÊS],$AE$1,tabela_registros[DIA],investirrendavariávelconsolidadofev[[#Headers],[17]],tabela_registros[REGISTRO],DADOS!$N$5,tabela_registros[TIPO],DADOS!$AB$4,tabela_registros[CATEGORIA],investirrendavariávelconsolidadofev[[#This Row],[ATUAL]])</f>
        <v>0</v>
      </c>
      <c r="V134" s="91">
        <f>SUMIFS(tabela_registros[VALOR],tabela_registros[MÊS],$AE$1,tabela_registros[DIA],investirrendavariávelconsolidadofev[[#Headers],[18]],tabela_registros[REGISTRO],DADOS!$N$5,tabela_registros[TIPO],DADOS!$AB$4,tabela_registros[CATEGORIA],investirrendavariávelconsolidadofev[[#This Row],[ATUAL]])</f>
        <v>0</v>
      </c>
      <c r="W134" s="91">
        <f>SUMIFS(tabela_registros[VALOR],tabela_registros[MÊS],$AE$1,tabela_registros[DIA],investirrendavariávelconsolidadofev[[#Headers],[19]],tabela_registros[REGISTRO],DADOS!$N$5,tabela_registros[TIPO],DADOS!$AB$4,tabela_registros[CATEGORIA],investirrendavariávelconsolidadofev[[#This Row],[ATUAL]])</f>
        <v>0</v>
      </c>
      <c r="X134" s="91">
        <f>SUMIFS(tabela_registros[VALOR],tabela_registros[MÊS],$AE$1,tabela_registros[DIA],investirrendavariávelconsolidadofev[[#Headers],[20]],tabela_registros[REGISTRO],DADOS!$N$5,tabela_registros[TIPO],DADOS!$AB$4,tabela_registros[CATEGORIA],investirrendavariávelconsolidadofev[[#This Row],[ATUAL]])</f>
        <v>0</v>
      </c>
      <c r="Y134" s="91">
        <f>SUMIFS(tabela_registros[VALOR],tabela_registros[MÊS],$AE$1,tabela_registros[DIA],investirrendavariávelconsolidadofev[[#Headers],[21]],tabela_registros[REGISTRO],DADOS!$N$5,tabela_registros[TIPO],DADOS!$AB$4,tabela_registros[CATEGORIA],investirrendavariávelconsolidadofev[[#This Row],[ATUAL]])</f>
        <v>0</v>
      </c>
      <c r="Z134" s="91">
        <f>SUMIFS(tabela_registros[VALOR],tabela_registros[MÊS],$AE$1,tabela_registros[DIA],investirrendavariávelconsolidadofev[[#Headers],[22]],tabela_registros[REGISTRO],DADOS!$N$5,tabela_registros[TIPO],DADOS!$AB$4,tabela_registros[CATEGORIA],investirrendavariávelconsolidadofev[[#This Row],[ATUAL]])</f>
        <v>0</v>
      </c>
      <c r="AA134" s="91">
        <f>SUMIFS(tabela_registros[VALOR],tabela_registros[MÊS],$AE$1,tabela_registros[DIA],investirrendavariávelconsolidadofev[[#Headers],[23]],tabela_registros[REGISTRO],DADOS!$N$5,tabela_registros[TIPO],DADOS!$AB$4,tabela_registros[CATEGORIA],investirrendavariávelconsolidadofev[[#This Row],[ATUAL]])</f>
        <v>0</v>
      </c>
      <c r="AB134" s="91">
        <f>SUMIFS(tabela_registros[VALOR],tabela_registros[MÊS],$AE$1,tabela_registros[DIA],investirrendavariávelconsolidadofev[[#Headers],[24]],tabela_registros[REGISTRO],DADOS!$N$5,tabela_registros[TIPO],DADOS!$AB$4,tabela_registros[CATEGORIA],investirrendavariávelconsolidadofev[[#This Row],[ATUAL]])</f>
        <v>0</v>
      </c>
      <c r="AC134" s="91">
        <f>SUMIFS(tabela_registros[VALOR],tabela_registros[MÊS],$AE$1,tabela_registros[DIA],investirrendavariávelconsolidadofev[[#Headers],[25]],tabela_registros[REGISTRO],DADOS!$N$5,tabela_registros[TIPO],DADOS!$AB$4,tabela_registros[CATEGORIA],investirrendavariávelconsolidadofev[[#This Row],[ATUAL]])</f>
        <v>0</v>
      </c>
      <c r="AD134" s="91">
        <f>SUMIFS(tabela_registros[VALOR],tabela_registros[MÊS],$AE$1,tabela_registros[DIA],investirrendavariávelconsolidadofev[[#Headers],[26]],tabela_registros[REGISTRO],DADOS!$N$5,tabela_registros[TIPO],DADOS!$AB$4,tabela_registros[CATEGORIA],investirrendavariávelconsolidadofev[[#This Row],[ATUAL]])</f>
        <v>0</v>
      </c>
      <c r="AE134" s="91">
        <f>SUMIFS(tabela_registros[VALOR],tabela_registros[MÊS],$AE$1,tabela_registros[DIA],investirrendavariávelconsolidadofev[[#Headers],[27]],tabela_registros[REGISTRO],DADOS!$N$5,tabela_registros[TIPO],DADOS!$AB$4,tabela_registros[CATEGORIA],investirrendavariávelconsolidadofev[[#This Row],[ATUAL]])</f>
        <v>0</v>
      </c>
      <c r="AF134" s="91">
        <f>SUMIFS(tabela_registros[VALOR],tabela_registros[MÊS],$AE$1,tabela_registros[DIA],investirrendavariávelconsolidadofev[[#Headers],[28]],tabela_registros[REGISTRO],DADOS!$N$5,tabela_registros[TIPO],DADOS!$AB$4,tabela_registros[CATEGORIA],investirrendavariávelconsolidadofev[[#This Row],[ATUAL]])</f>
        <v>0</v>
      </c>
      <c r="AG134" s="91">
        <f>SUMIFS(tabela_registros[VALOR],tabela_registros[MÊS],$AE$1,tabela_registros[DIA],investirrendavariávelconsolidadofev[[#Headers],[29]],tabela_registros[REGISTRO],DADOS!$N$5,tabela_registros[TIPO],DADOS!$AB$4,tabela_registros[CATEGORIA],investirrendavariávelconsolidadofev[[#This Row],[ATUAL]])</f>
        <v>0</v>
      </c>
      <c r="AH134" s="91">
        <f>SUMIFS(tabela_registros[VALOR],tabela_registros[MÊS],$AE$1,tabela_registros[DIA],investirrendavariávelconsolidadofev[[#Headers],[30]],tabela_registros[REGISTRO],DADOS!$N$5,tabela_registros[TIPO],DADOS!$AB$4,tabela_registros[CATEGORIA],investirrendavariávelconsolidadofev[[#This Row],[ATUAL]])</f>
        <v>0</v>
      </c>
      <c r="AI134" s="101">
        <f>SUMIFS(tabela_registros[VALOR],tabela_registros[MÊS],$AE$1,tabela_registros[DIA],investirrendavariávelconsolidadofev[[#Headers],[31]],tabela_registros[REGISTRO],DADOS!$N$5,tabela_registros[TIPO],DADOS!$AB$4,tabela_registros[CATEGORIA],investirrendavariávelconsolidadofev[[#This Row],[ATUAL]])</f>
        <v>0</v>
      </c>
      <c r="AJ134" s="97">
        <f>SUM(investirrendavariávelconsolidadofev[[#This Row],[1]:[31]])</f>
        <v>128</v>
      </c>
      <c r="AK134" s="25"/>
    </row>
    <row r="135" spans="2:37" ht="19.5" customHeight="1" thickTop="1" thickBot="1" x14ac:dyDescent="0.3">
      <c r="B135" s="28"/>
      <c r="C135" s="27" t="str">
        <f>DADOS!$AF$6</f>
        <v>📝 CONTRATO DE OPÇÕES</v>
      </c>
      <c r="D135" s="26" t="str">
        <f>IF(investirrendavariávelconsolidadofev[[#This Row],[TOTAL (R$)]]=0,"",IF(OR(investirrendavariávelconsolidadofev[[#This Row],[TOTAL (R$)]]=LARGE($AJ$132:$AJ$141,1),investirrendavariávelconsolidadofev[[#This Row],[TOTAL (R$)]]=LARGE($AJ$132:$AJ$141,2)),DADOS!$I$10,""))</f>
        <v>💎</v>
      </c>
      <c r="E135" s="96">
        <f>SUMIFS(tabela_registros[VALOR],tabela_registros[MÊS],$AE$1,tabela_registros[DIA],investirrendavariávelconsolidadofev[[#Headers],[1]],tabela_registros[REGISTRO],DADOS!$N$5,tabela_registros[TIPO],DADOS!$AB$4,tabela_registros[CATEGORIA],investirrendavariávelconsolidadofev[[#This Row],[ATUAL]])</f>
        <v>0</v>
      </c>
      <c r="F135" s="91">
        <f>SUMIFS(tabela_registros[VALOR],tabela_registros[MÊS],$AE$1,tabela_registros[DIA],investirrendavariávelconsolidadofev[[#Headers],[2]],tabela_registros[REGISTRO],DADOS!$N$5,tabela_registros[TIPO],DADOS!$AB$4,tabela_registros[CATEGORIA],investirrendavariávelconsolidadofev[[#This Row],[ATUAL]])</f>
        <v>572</v>
      </c>
      <c r="G135" s="91">
        <f>SUMIFS(tabela_registros[VALOR],tabela_registros[MÊS],$AE$1,tabela_registros[DIA],investirrendavariávelconsolidadofev[[#Headers],[3]],tabela_registros[REGISTRO],DADOS!$N$5,tabela_registros[TIPO],DADOS!$AB$4,tabela_registros[CATEGORIA],investirrendavariávelconsolidadofev[[#This Row],[ATUAL]])</f>
        <v>0</v>
      </c>
      <c r="H135" s="91">
        <f>SUMIFS(tabela_registros[VALOR],tabela_registros[MÊS],$AE$1,tabela_registros[DIA],investirrendavariávelconsolidadofev[[#Headers],[4]],tabela_registros[REGISTRO],DADOS!$N$5,tabela_registros[TIPO],DADOS!$AB$4,tabela_registros[CATEGORIA],investirrendavariávelconsolidadofev[[#This Row],[ATUAL]])</f>
        <v>0</v>
      </c>
      <c r="I135" s="91">
        <f>SUMIFS(tabela_registros[VALOR],tabela_registros[MÊS],$AE$1,tabela_registros[DIA],investirrendavariávelconsolidadofev[[#Headers],[5]],tabela_registros[REGISTRO],DADOS!$N$5,tabela_registros[TIPO],DADOS!$AB$4,tabela_registros[CATEGORIA],investirrendavariávelconsolidadofev[[#This Row],[ATUAL]])</f>
        <v>0</v>
      </c>
      <c r="J135" s="91">
        <f>SUMIFS(tabela_registros[VALOR],tabela_registros[MÊS],$AE$1,tabela_registros[DIA],investirrendavariávelconsolidadofev[[#Headers],[6]],tabela_registros[REGISTRO],DADOS!$N$5,tabela_registros[TIPO],DADOS!$AB$4,tabela_registros[CATEGORIA],investirrendavariávelconsolidadofev[[#This Row],[ATUAL]])</f>
        <v>0</v>
      </c>
      <c r="K135" s="91">
        <f>SUMIFS(tabela_registros[VALOR],tabela_registros[MÊS],$AE$1,tabela_registros[DIA],investirrendavariávelconsolidadofev[[#Headers],[7]],tabela_registros[REGISTRO],DADOS!$N$5,tabela_registros[TIPO],DADOS!$AB$4,tabela_registros[CATEGORIA],investirrendavariávelconsolidadofev[[#This Row],[ATUAL]])</f>
        <v>0</v>
      </c>
      <c r="L135" s="91">
        <f>SUMIFS(tabela_registros[VALOR],tabela_registros[MÊS],$AE$1,tabela_registros[DIA],investirrendavariávelconsolidadofev[[#Headers],[8]],tabela_registros[REGISTRO],DADOS!$N$5,tabela_registros[TIPO],DADOS!$AB$4,tabela_registros[CATEGORIA],investirrendavariávelconsolidadofev[[#This Row],[ATUAL]])</f>
        <v>0</v>
      </c>
      <c r="M135" s="91">
        <f>SUMIFS(tabela_registros[VALOR],tabela_registros[MÊS],$AE$1,tabela_registros[DIA],investirrendavariávelconsolidadofev[[#Headers],[9]],tabela_registros[REGISTRO],DADOS!$N$5,tabela_registros[TIPO],DADOS!$AB$4,tabela_registros[CATEGORIA],investirrendavariávelconsolidadofev[[#This Row],[ATUAL]])</f>
        <v>0</v>
      </c>
      <c r="N135" s="91">
        <f>SUMIFS(tabela_registros[VALOR],tabela_registros[MÊS],$AE$1,tabela_registros[DIA],investirrendavariávelconsolidadofev[[#Headers],[10]],tabela_registros[REGISTRO],DADOS!$N$5,tabela_registros[TIPO],DADOS!$AB$4,tabela_registros[CATEGORIA],investirrendavariávelconsolidadofev[[#This Row],[ATUAL]])</f>
        <v>0</v>
      </c>
      <c r="O135" s="91">
        <f>SUMIFS(tabela_registros[VALOR],tabela_registros[MÊS],$AE$1,tabela_registros[DIA],investirrendavariávelconsolidadofev[[#Headers],[11]],tabela_registros[REGISTRO],DADOS!$N$5,tabela_registros[TIPO],DADOS!$AB$4,tabela_registros[CATEGORIA],investirrendavariávelconsolidadofev[[#This Row],[ATUAL]])</f>
        <v>0</v>
      </c>
      <c r="P135" s="91">
        <f>SUMIFS(tabela_registros[VALOR],tabela_registros[MÊS],$AE$1,tabela_registros[DIA],investirrendavariávelconsolidadofev[[#Headers],[12]],tabela_registros[REGISTRO],DADOS!$N$5,tabela_registros[TIPO],DADOS!$AB$4,tabela_registros[CATEGORIA],investirrendavariávelconsolidadofev[[#This Row],[ATUAL]])</f>
        <v>0</v>
      </c>
      <c r="Q135" s="91">
        <f>SUMIFS(tabela_registros[VALOR],tabela_registros[MÊS],$AE$1,tabela_registros[DIA],investirrendavariávelconsolidadofev[[#Headers],[13]],tabela_registros[REGISTRO],DADOS!$N$5,tabela_registros[TIPO],DADOS!$AB$4,tabela_registros[CATEGORIA],investirrendavariávelconsolidadofev[[#This Row],[ATUAL]])</f>
        <v>0</v>
      </c>
      <c r="R135" s="91">
        <f>SUMIFS(tabela_registros[VALOR],tabela_registros[MÊS],$AE$1,tabela_registros[DIA],investirrendavariávelconsolidadofev[[#Headers],[14]],tabela_registros[REGISTRO],DADOS!$N$5,tabela_registros[TIPO],DADOS!$AB$4,tabela_registros[CATEGORIA],investirrendavariávelconsolidadofev[[#This Row],[ATUAL]])</f>
        <v>0</v>
      </c>
      <c r="S135" s="91">
        <f>SUMIFS(tabela_registros[VALOR],tabela_registros[MÊS],$AE$1,tabela_registros[DIA],investirrendavariávelconsolidadofev[[#Headers],[15]],tabela_registros[REGISTRO],DADOS!$N$5,tabela_registros[TIPO],DADOS!$AB$4,tabela_registros[CATEGORIA],investirrendavariávelconsolidadofev[[#This Row],[ATUAL]])</f>
        <v>0</v>
      </c>
      <c r="T135" s="91">
        <f>SUMIFS(tabela_registros[VALOR],tabela_registros[MÊS],$AE$1,tabela_registros[DIA],investirrendavariávelconsolidadofev[[#Headers],[16]],tabela_registros[REGISTRO],DADOS!$N$5,tabela_registros[TIPO],DADOS!$AB$4,tabela_registros[CATEGORIA],investirrendavariávelconsolidadofev[[#This Row],[ATUAL]])</f>
        <v>0</v>
      </c>
      <c r="U135" s="91">
        <f>SUMIFS(tabela_registros[VALOR],tabela_registros[MÊS],$AE$1,tabela_registros[DIA],investirrendavariávelconsolidadofev[[#Headers],[17]],tabela_registros[REGISTRO],DADOS!$N$5,tabela_registros[TIPO],DADOS!$AB$4,tabela_registros[CATEGORIA],investirrendavariávelconsolidadofev[[#This Row],[ATUAL]])</f>
        <v>0</v>
      </c>
      <c r="V135" s="91">
        <f>SUMIFS(tabela_registros[VALOR],tabela_registros[MÊS],$AE$1,tabela_registros[DIA],investirrendavariávelconsolidadofev[[#Headers],[18]],tabela_registros[REGISTRO],DADOS!$N$5,tabela_registros[TIPO],DADOS!$AB$4,tabela_registros[CATEGORIA],investirrendavariávelconsolidadofev[[#This Row],[ATUAL]])</f>
        <v>0</v>
      </c>
      <c r="W135" s="91">
        <f>SUMIFS(tabela_registros[VALOR],tabela_registros[MÊS],$AE$1,tabela_registros[DIA],investirrendavariávelconsolidadofev[[#Headers],[19]],tabela_registros[REGISTRO],DADOS!$N$5,tabela_registros[TIPO],DADOS!$AB$4,tabela_registros[CATEGORIA],investirrendavariávelconsolidadofev[[#This Row],[ATUAL]])</f>
        <v>0</v>
      </c>
      <c r="X135" s="91">
        <f>SUMIFS(tabela_registros[VALOR],tabela_registros[MÊS],$AE$1,tabela_registros[DIA],investirrendavariávelconsolidadofev[[#Headers],[20]],tabela_registros[REGISTRO],DADOS!$N$5,tabela_registros[TIPO],DADOS!$AB$4,tabela_registros[CATEGORIA],investirrendavariávelconsolidadofev[[#This Row],[ATUAL]])</f>
        <v>0</v>
      </c>
      <c r="Y135" s="91">
        <f>SUMIFS(tabela_registros[VALOR],tabela_registros[MÊS],$AE$1,tabela_registros[DIA],investirrendavariávelconsolidadofev[[#Headers],[21]],tabela_registros[REGISTRO],DADOS!$N$5,tabela_registros[TIPO],DADOS!$AB$4,tabela_registros[CATEGORIA],investirrendavariávelconsolidadofev[[#This Row],[ATUAL]])</f>
        <v>0</v>
      </c>
      <c r="Z135" s="91">
        <f>SUMIFS(tabela_registros[VALOR],tabela_registros[MÊS],$AE$1,tabela_registros[DIA],investirrendavariávelconsolidadofev[[#Headers],[22]],tabela_registros[REGISTRO],DADOS!$N$5,tabela_registros[TIPO],DADOS!$AB$4,tabela_registros[CATEGORIA],investirrendavariávelconsolidadofev[[#This Row],[ATUAL]])</f>
        <v>0</v>
      </c>
      <c r="AA135" s="91">
        <f>SUMIFS(tabela_registros[VALOR],tabela_registros[MÊS],$AE$1,tabela_registros[DIA],investirrendavariávelconsolidadofev[[#Headers],[23]],tabela_registros[REGISTRO],DADOS!$N$5,tabela_registros[TIPO],DADOS!$AB$4,tabela_registros[CATEGORIA],investirrendavariávelconsolidadofev[[#This Row],[ATUAL]])</f>
        <v>0</v>
      </c>
      <c r="AB135" s="91">
        <f>SUMIFS(tabela_registros[VALOR],tabela_registros[MÊS],$AE$1,tabela_registros[DIA],investirrendavariávelconsolidadofev[[#Headers],[24]],tabela_registros[REGISTRO],DADOS!$N$5,tabela_registros[TIPO],DADOS!$AB$4,tabela_registros[CATEGORIA],investirrendavariávelconsolidadofev[[#This Row],[ATUAL]])</f>
        <v>0</v>
      </c>
      <c r="AC135" s="91">
        <f>SUMIFS(tabela_registros[VALOR],tabela_registros[MÊS],$AE$1,tabela_registros[DIA],investirrendavariávelconsolidadofev[[#Headers],[25]],tabela_registros[REGISTRO],DADOS!$N$5,tabela_registros[TIPO],DADOS!$AB$4,tabela_registros[CATEGORIA],investirrendavariávelconsolidadofev[[#This Row],[ATUAL]])</f>
        <v>0</v>
      </c>
      <c r="AD135" s="91">
        <f>SUMIFS(tabela_registros[VALOR],tabela_registros[MÊS],$AE$1,tabela_registros[DIA],investirrendavariávelconsolidadofev[[#Headers],[26]],tabela_registros[REGISTRO],DADOS!$N$5,tabela_registros[TIPO],DADOS!$AB$4,tabela_registros[CATEGORIA],investirrendavariávelconsolidadofev[[#This Row],[ATUAL]])</f>
        <v>0</v>
      </c>
      <c r="AE135" s="91">
        <f>SUMIFS(tabela_registros[VALOR],tabela_registros[MÊS],$AE$1,tabela_registros[DIA],investirrendavariávelconsolidadofev[[#Headers],[27]],tabela_registros[REGISTRO],DADOS!$N$5,tabela_registros[TIPO],DADOS!$AB$4,tabela_registros[CATEGORIA],investirrendavariávelconsolidadofev[[#This Row],[ATUAL]])</f>
        <v>0</v>
      </c>
      <c r="AF135" s="91">
        <f>SUMIFS(tabela_registros[VALOR],tabela_registros[MÊS],$AE$1,tabela_registros[DIA],investirrendavariávelconsolidadofev[[#Headers],[28]],tabela_registros[REGISTRO],DADOS!$N$5,tabela_registros[TIPO],DADOS!$AB$4,tabela_registros[CATEGORIA],investirrendavariávelconsolidadofev[[#This Row],[ATUAL]])</f>
        <v>0</v>
      </c>
      <c r="AG135" s="91">
        <f>SUMIFS(tabela_registros[VALOR],tabela_registros[MÊS],$AE$1,tabela_registros[DIA],investirrendavariávelconsolidadofev[[#Headers],[29]],tabela_registros[REGISTRO],DADOS!$N$5,tabela_registros[TIPO],DADOS!$AB$4,tabela_registros[CATEGORIA],investirrendavariávelconsolidadofev[[#This Row],[ATUAL]])</f>
        <v>0</v>
      </c>
      <c r="AH135" s="91">
        <f>SUMIFS(tabela_registros[VALOR],tabela_registros[MÊS],$AE$1,tabela_registros[DIA],investirrendavariávelconsolidadofev[[#Headers],[30]],tabela_registros[REGISTRO],DADOS!$N$5,tabela_registros[TIPO],DADOS!$AB$4,tabela_registros[CATEGORIA],investirrendavariávelconsolidadofev[[#This Row],[ATUAL]])</f>
        <v>0</v>
      </c>
      <c r="AI135" s="101">
        <f>SUMIFS(tabela_registros[VALOR],tabela_registros[MÊS],$AE$1,tabela_registros[DIA],investirrendavariávelconsolidadofev[[#Headers],[31]],tabela_registros[REGISTRO],DADOS!$N$5,tabela_registros[TIPO],DADOS!$AB$4,tabela_registros[CATEGORIA],investirrendavariávelconsolidadofev[[#This Row],[ATUAL]])</f>
        <v>0</v>
      </c>
      <c r="AJ135" s="97">
        <f>SUM(investirrendavariávelconsolidadofev[[#This Row],[1]:[31]])</f>
        <v>572</v>
      </c>
      <c r="AK135" s="25"/>
    </row>
    <row r="136" spans="2:37" ht="19.5" customHeight="1" thickTop="1" thickBot="1" x14ac:dyDescent="0.3">
      <c r="B136" s="28"/>
      <c r="C136" s="27" t="str">
        <f>DADOS!$AF$7</f>
        <v>📝 CRIPTOMOEDA</v>
      </c>
      <c r="D136" s="26" t="str">
        <f>IF(investirrendavariávelconsolidadofev[[#This Row],[TOTAL (R$)]]=0,"",IF(OR(investirrendavariávelconsolidadofev[[#This Row],[TOTAL (R$)]]=LARGE($AJ$132:$AJ$141,1),investirrendavariávelconsolidadofev[[#This Row],[TOTAL (R$)]]=LARGE($AJ$132:$AJ$141,2)),DADOS!$I$10,""))</f>
        <v/>
      </c>
      <c r="E136" s="96">
        <f>SUMIFS(tabela_registros[VALOR],tabela_registros[MÊS],$AE$1,tabela_registros[DIA],investirrendavariávelconsolidadofev[[#Headers],[1]],tabela_registros[REGISTRO],DADOS!$N$5,tabela_registros[TIPO],DADOS!$AB$4,tabela_registros[CATEGORIA],investirrendavariávelconsolidadofev[[#This Row],[ATUAL]])</f>
        <v>0</v>
      </c>
      <c r="F136" s="91">
        <f>SUMIFS(tabela_registros[VALOR],tabela_registros[MÊS],$AE$1,tabela_registros[DIA],investirrendavariávelconsolidadofev[[#Headers],[2]],tabela_registros[REGISTRO],DADOS!$N$5,tabela_registros[TIPO],DADOS!$AB$4,tabela_registros[CATEGORIA],investirrendavariávelconsolidadofev[[#This Row],[ATUAL]])</f>
        <v>140</v>
      </c>
      <c r="G136" s="91">
        <f>SUMIFS(tabela_registros[VALOR],tabela_registros[MÊS],$AE$1,tabela_registros[DIA],investirrendavariávelconsolidadofev[[#Headers],[3]],tabela_registros[REGISTRO],DADOS!$N$5,tabela_registros[TIPO],DADOS!$AB$4,tabela_registros[CATEGORIA],investirrendavariávelconsolidadofev[[#This Row],[ATUAL]])</f>
        <v>0</v>
      </c>
      <c r="H136" s="91">
        <f>SUMIFS(tabela_registros[VALOR],tabela_registros[MÊS],$AE$1,tabela_registros[DIA],investirrendavariávelconsolidadofev[[#Headers],[4]],tabela_registros[REGISTRO],DADOS!$N$5,tabela_registros[TIPO],DADOS!$AB$4,tabela_registros[CATEGORIA],investirrendavariávelconsolidadofev[[#This Row],[ATUAL]])</f>
        <v>0</v>
      </c>
      <c r="I136" s="91">
        <f>SUMIFS(tabela_registros[VALOR],tabela_registros[MÊS],$AE$1,tabela_registros[DIA],investirrendavariávelconsolidadofev[[#Headers],[5]],tabela_registros[REGISTRO],DADOS!$N$5,tabela_registros[TIPO],DADOS!$AB$4,tabela_registros[CATEGORIA],investirrendavariávelconsolidadofev[[#This Row],[ATUAL]])</f>
        <v>0</v>
      </c>
      <c r="J136" s="91">
        <f>SUMIFS(tabela_registros[VALOR],tabela_registros[MÊS],$AE$1,tabela_registros[DIA],investirrendavariávelconsolidadofev[[#Headers],[6]],tabela_registros[REGISTRO],DADOS!$N$5,tabela_registros[TIPO],DADOS!$AB$4,tabela_registros[CATEGORIA],investirrendavariávelconsolidadofev[[#This Row],[ATUAL]])</f>
        <v>0</v>
      </c>
      <c r="K136" s="91">
        <f>SUMIFS(tabela_registros[VALOR],tabela_registros[MÊS],$AE$1,tabela_registros[DIA],investirrendavariávelconsolidadofev[[#Headers],[7]],tabela_registros[REGISTRO],DADOS!$N$5,tabela_registros[TIPO],DADOS!$AB$4,tabela_registros[CATEGORIA],investirrendavariávelconsolidadofev[[#This Row],[ATUAL]])</f>
        <v>0</v>
      </c>
      <c r="L136" s="91">
        <f>SUMIFS(tabela_registros[VALOR],tabela_registros[MÊS],$AE$1,tabela_registros[DIA],investirrendavariávelconsolidadofev[[#Headers],[8]],tabela_registros[REGISTRO],DADOS!$N$5,tabela_registros[TIPO],DADOS!$AB$4,tabela_registros[CATEGORIA],investirrendavariávelconsolidadofev[[#This Row],[ATUAL]])</f>
        <v>0</v>
      </c>
      <c r="M136" s="91">
        <f>SUMIFS(tabela_registros[VALOR],tabela_registros[MÊS],$AE$1,tabela_registros[DIA],investirrendavariávelconsolidadofev[[#Headers],[9]],tabela_registros[REGISTRO],DADOS!$N$5,tabela_registros[TIPO],DADOS!$AB$4,tabela_registros[CATEGORIA],investirrendavariávelconsolidadofev[[#This Row],[ATUAL]])</f>
        <v>0</v>
      </c>
      <c r="N136" s="91">
        <f>SUMIFS(tabela_registros[VALOR],tabela_registros[MÊS],$AE$1,tabela_registros[DIA],investirrendavariávelconsolidadofev[[#Headers],[10]],tabela_registros[REGISTRO],DADOS!$N$5,tabela_registros[TIPO],DADOS!$AB$4,tabela_registros[CATEGORIA],investirrendavariávelconsolidadofev[[#This Row],[ATUAL]])</f>
        <v>0</v>
      </c>
      <c r="O136" s="91">
        <f>SUMIFS(tabela_registros[VALOR],tabela_registros[MÊS],$AE$1,tabela_registros[DIA],investirrendavariávelconsolidadofev[[#Headers],[11]],tabela_registros[REGISTRO],DADOS!$N$5,tabela_registros[TIPO],DADOS!$AB$4,tabela_registros[CATEGORIA],investirrendavariávelconsolidadofev[[#This Row],[ATUAL]])</f>
        <v>0</v>
      </c>
      <c r="P136" s="91">
        <f>SUMIFS(tabela_registros[VALOR],tabela_registros[MÊS],$AE$1,tabela_registros[DIA],investirrendavariávelconsolidadofev[[#Headers],[12]],tabela_registros[REGISTRO],DADOS!$N$5,tabela_registros[TIPO],DADOS!$AB$4,tabela_registros[CATEGORIA],investirrendavariávelconsolidadofev[[#This Row],[ATUAL]])</f>
        <v>0</v>
      </c>
      <c r="Q136" s="91">
        <f>SUMIFS(tabela_registros[VALOR],tabela_registros[MÊS],$AE$1,tabela_registros[DIA],investirrendavariávelconsolidadofev[[#Headers],[13]],tabela_registros[REGISTRO],DADOS!$N$5,tabela_registros[TIPO],DADOS!$AB$4,tabela_registros[CATEGORIA],investirrendavariávelconsolidadofev[[#This Row],[ATUAL]])</f>
        <v>0</v>
      </c>
      <c r="R136" s="91">
        <f>SUMIFS(tabela_registros[VALOR],tabela_registros[MÊS],$AE$1,tabela_registros[DIA],investirrendavariávelconsolidadofev[[#Headers],[14]],tabela_registros[REGISTRO],DADOS!$N$5,tabela_registros[TIPO],DADOS!$AB$4,tabela_registros[CATEGORIA],investirrendavariávelconsolidadofev[[#This Row],[ATUAL]])</f>
        <v>0</v>
      </c>
      <c r="S136" s="91">
        <f>SUMIFS(tabela_registros[VALOR],tabela_registros[MÊS],$AE$1,tabela_registros[DIA],investirrendavariávelconsolidadofev[[#Headers],[15]],tabela_registros[REGISTRO],DADOS!$N$5,tabela_registros[TIPO],DADOS!$AB$4,tabela_registros[CATEGORIA],investirrendavariávelconsolidadofev[[#This Row],[ATUAL]])</f>
        <v>0</v>
      </c>
      <c r="T136" s="91">
        <f>SUMIFS(tabela_registros[VALOR],tabela_registros[MÊS],$AE$1,tabela_registros[DIA],investirrendavariávelconsolidadofev[[#Headers],[16]],tabela_registros[REGISTRO],DADOS!$N$5,tabela_registros[TIPO],DADOS!$AB$4,tabela_registros[CATEGORIA],investirrendavariávelconsolidadofev[[#This Row],[ATUAL]])</f>
        <v>0</v>
      </c>
      <c r="U136" s="91">
        <f>SUMIFS(tabela_registros[VALOR],tabela_registros[MÊS],$AE$1,tabela_registros[DIA],investirrendavariávelconsolidadofev[[#Headers],[17]],tabela_registros[REGISTRO],DADOS!$N$5,tabela_registros[TIPO],DADOS!$AB$4,tabela_registros[CATEGORIA],investirrendavariávelconsolidadofev[[#This Row],[ATUAL]])</f>
        <v>0</v>
      </c>
      <c r="V136" s="91">
        <f>SUMIFS(tabela_registros[VALOR],tabela_registros[MÊS],$AE$1,tabela_registros[DIA],investirrendavariávelconsolidadofev[[#Headers],[18]],tabela_registros[REGISTRO],DADOS!$N$5,tabela_registros[TIPO],DADOS!$AB$4,tabela_registros[CATEGORIA],investirrendavariávelconsolidadofev[[#This Row],[ATUAL]])</f>
        <v>0</v>
      </c>
      <c r="W136" s="91">
        <f>SUMIFS(tabela_registros[VALOR],tabela_registros[MÊS],$AE$1,tabela_registros[DIA],investirrendavariávelconsolidadofev[[#Headers],[19]],tabela_registros[REGISTRO],DADOS!$N$5,tabela_registros[TIPO],DADOS!$AB$4,tabela_registros[CATEGORIA],investirrendavariávelconsolidadofev[[#This Row],[ATUAL]])</f>
        <v>0</v>
      </c>
      <c r="X136" s="91">
        <f>SUMIFS(tabela_registros[VALOR],tabela_registros[MÊS],$AE$1,tabela_registros[DIA],investirrendavariávelconsolidadofev[[#Headers],[20]],tabela_registros[REGISTRO],DADOS!$N$5,tabela_registros[TIPO],DADOS!$AB$4,tabela_registros[CATEGORIA],investirrendavariávelconsolidadofev[[#This Row],[ATUAL]])</f>
        <v>0</v>
      </c>
      <c r="Y136" s="91">
        <f>SUMIFS(tabela_registros[VALOR],tabela_registros[MÊS],$AE$1,tabela_registros[DIA],investirrendavariávelconsolidadofev[[#Headers],[21]],tabela_registros[REGISTRO],DADOS!$N$5,tabela_registros[TIPO],DADOS!$AB$4,tabela_registros[CATEGORIA],investirrendavariávelconsolidadofev[[#This Row],[ATUAL]])</f>
        <v>0</v>
      </c>
      <c r="Z136" s="91">
        <f>SUMIFS(tabela_registros[VALOR],tabela_registros[MÊS],$AE$1,tabela_registros[DIA],investirrendavariávelconsolidadofev[[#Headers],[22]],tabela_registros[REGISTRO],DADOS!$N$5,tabela_registros[TIPO],DADOS!$AB$4,tabela_registros[CATEGORIA],investirrendavariávelconsolidadofev[[#This Row],[ATUAL]])</f>
        <v>0</v>
      </c>
      <c r="AA136" s="91">
        <f>SUMIFS(tabela_registros[VALOR],tabela_registros[MÊS],$AE$1,tabela_registros[DIA],investirrendavariávelconsolidadofev[[#Headers],[23]],tabela_registros[REGISTRO],DADOS!$N$5,tabela_registros[TIPO],DADOS!$AB$4,tabela_registros[CATEGORIA],investirrendavariávelconsolidadofev[[#This Row],[ATUAL]])</f>
        <v>0</v>
      </c>
      <c r="AB136" s="91">
        <f>SUMIFS(tabela_registros[VALOR],tabela_registros[MÊS],$AE$1,tabela_registros[DIA],investirrendavariávelconsolidadofev[[#Headers],[24]],tabela_registros[REGISTRO],DADOS!$N$5,tabela_registros[TIPO],DADOS!$AB$4,tabela_registros[CATEGORIA],investirrendavariávelconsolidadofev[[#This Row],[ATUAL]])</f>
        <v>0</v>
      </c>
      <c r="AC136" s="91">
        <f>SUMIFS(tabela_registros[VALOR],tabela_registros[MÊS],$AE$1,tabela_registros[DIA],investirrendavariávelconsolidadofev[[#Headers],[25]],tabela_registros[REGISTRO],DADOS!$N$5,tabela_registros[TIPO],DADOS!$AB$4,tabela_registros[CATEGORIA],investirrendavariávelconsolidadofev[[#This Row],[ATUAL]])</f>
        <v>0</v>
      </c>
      <c r="AD136" s="91">
        <f>SUMIFS(tabela_registros[VALOR],tabela_registros[MÊS],$AE$1,tabela_registros[DIA],investirrendavariávelconsolidadofev[[#Headers],[26]],tabela_registros[REGISTRO],DADOS!$N$5,tabela_registros[TIPO],DADOS!$AB$4,tabela_registros[CATEGORIA],investirrendavariávelconsolidadofev[[#This Row],[ATUAL]])</f>
        <v>0</v>
      </c>
      <c r="AE136" s="91">
        <f>SUMIFS(tabela_registros[VALOR],tabela_registros[MÊS],$AE$1,tabela_registros[DIA],investirrendavariávelconsolidadofev[[#Headers],[27]],tabela_registros[REGISTRO],DADOS!$N$5,tabela_registros[TIPO],DADOS!$AB$4,tabela_registros[CATEGORIA],investirrendavariávelconsolidadofev[[#This Row],[ATUAL]])</f>
        <v>0</v>
      </c>
      <c r="AF136" s="91">
        <f>SUMIFS(tabela_registros[VALOR],tabela_registros[MÊS],$AE$1,tabela_registros[DIA],investirrendavariávelconsolidadofev[[#Headers],[28]],tabela_registros[REGISTRO],DADOS!$N$5,tabela_registros[TIPO],DADOS!$AB$4,tabela_registros[CATEGORIA],investirrendavariávelconsolidadofev[[#This Row],[ATUAL]])</f>
        <v>0</v>
      </c>
      <c r="AG136" s="91">
        <f>SUMIFS(tabela_registros[VALOR],tabela_registros[MÊS],$AE$1,tabela_registros[DIA],investirrendavariávelconsolidadofev[[#Headers],[29]],tabela_registros[REGISTRO],DADOS!$N$5,tabela_registros[TIPO],DADOS!$AB$4,tabela_registros[CATEGORIA],investirrendavariávelconsolidadofev[[#This Row],[ATUAL]])</f>
        <v>0</v>
      </c>
      <c r="AH136" s="91">
        <f>SUMIFS(tabela_registros[VALOR],tabela_registros[MÊS],$AE$1,tabela_registros[DIA],investirrendavariávelconsolidadofev[[#Headers],[30]],tabela_registros[REGISTRO],DADOS!$N$5,tabela_registros[TIPO],DADOS!$AB$4,tabela_registros[CATEGORIA],investirrendavariávelconsolidadofev[[#This Row],[ATUAL]])</f>
        <v>0</v>
      </c>
      <c r="AI136" s="101">
        <f>SUMIFS(tabela_registros[VALOR],tabela_registros[MÊS],$AE$1,tabela_registros[DIA],investirrendavariávelconsolidadofev[[#Headers],[31]],tabela_registros[REGISTRO],DADOS!$N$5,tabela_registros[TIPO],DADOS!$AB$4,tabela_registros[CATEGORIA],investirrendavariávelconsolidadofev[[#This Row],[ATUAL]])</f>
        <v>0</v>
      </c>
      <c r="AJ136" s="97">
        <f>SUM(investirrendavariávelconsolidadofev[[#This Row],[1]:[31]])</f>
        <v>140</v>
      </c>
      <c r="AK136" s="25"/>
    </row>
    <row r="137" spans="2:37" ht="19.5" customHeight="1" thickTop="1" thickBot="1" x14ac:dyDescent="0.3">
      <c r="B137" s="28"/>
      <c r="C137" s="27" t="str">
        <f>DADOS!$AF$8</f>
        <v>📝 ETF</v>
      </c>
      <c r="D137" s="26" t="str">
        <f>IF(investirrendavariávelconsolidadofev[[#This Row],[TOTAL (R$)]]=0,"",IF(OR(investirrendavariávelconsolidadofev[[#This Row],[TOTAL (R$)]]=LARGE($AJ$132:$AJ$141,1),investirrendavariávelconsolidadofev[[#This Row],[TOTAL (R$)]]=LARGE($AJ$132:$AJ$141,2)),DADOS!$I$10,""))</f>
        <v/>
      </c>
      <c r="E137" s="96">
        <f>SUMIFS(tabela_registros[VALOR],tabela_registros[MÊS],$AE$1,tabela_registros[DIA],investirrendavariávelconsolidadofev[[#Headers],[1]],tabela_registros[REGISTRO],DADOS!$N$5,tabela_registros[TIPO],DADOS!$AB$4,tabela_registros[CATEGORIA],investirrendavariávelconsolidadofev[[#This Row],[ATUAL]])</f>
        <v>0</v>
      </c>
      <c r="F137" s="91">
        <f>SUMIFS(tabela_registros[VALOR],tabela_registros[MÊS],$AE$1,tabela_registros[DIA],investirrendavariávelconsolidadofev[[#Headers],[2]],tabela_registros[REGISTRO],DADOS!$N$5,tabela_registros[TIPO],DADOS!$AB$4,tabela_registros[CATEGORIA],investirrendavariávelconsolidadofev[[#This Row],[ATUAL]])</f>
        <v>0</v>
      </c>
      <c r="G137" s="91">
        <f>SUMIFS(tabela_registros[VALOR],tabela_registros[MÊS],$AE$1,tabela_registros[DIA],investirrendavariávelconsolidadofev[[#Headers],[3]],tabela_registros[REGISTRO],DADOS!$N$5,tabela_registros[TIPO],DADOS!$AB$4,tabela_registros[CATEGORIA],investirrendavariávelconsolidadofev[[#This Row],[ATUAL]])</f>
        <v>0</v>
      </c>
      <c r="H137" s="91">
        <f>SUMIFS(tabela_registros[VALOR],tabela_registros[MÊS],$AE$1,tabela_registros[DIA],investirrendavariávelconsolidadofev[[#Headers],[4]],tabela_registros[REGISTRO],DADOS!$N$5,tabela_registros[TIPO],DADOS!$AB$4,tabela_registros[CATEGORIA],investirrendavariávelconsolidadofev[[#This Row],[ATUAL]])</f>
        <v>0</v>
      </c>
      <c r="I137" s="91">
        <f>SUMIFS(tabela_registros[VALOR],tabela_registros[MÊS],$AE$1,tabela_registros[DIA],investirrendavariávelconsolidadofev[[#Headers],[5]],tabela_registros[REGISTRO],DADOS!$N$5,tabela_registros[TIPO],DADOS!$AB$4,tabela_registros[CATEGORIA],investirrendavariávelconsolidadofev[[#This Row],[ATUAL]])</f>
        <v>0</v>
      </c>
      <c r="J137" s="91">
        <f>SUMIFS(tabela_registros[VALOR],tabela_registros[MÊS],$AE$1,tabela_registros[DIA],investirrendavariávelconsolidadofev[[#Headers],[6]],tabela_registros[REGISTRO],DADOS!$N$5,tabela_registros[TIPO],DADOS!$AB$4,tabela_registros[CATEGORIA],investirrendavariávelconsolidadofev[[#This Row],[ATUAL]])</f>
        <v>0</v>
      </c>
      <c r="K137" s="91">
        <f>SUMIFS(tabela_registros[VALOR],tabela_registros[MÊS],$AE$1,tabela_registros[DIA],investirrendavariávelconsolidadofev[[#Headers],[7]],tabela_registros[REGISTRO],DADOS!$N$5,tabela_registros[TIPO],DADOS!$AB$4,tabela_registros[CATEGORIA],investirrendavariávelconsolidadofev[[#This Row],[ATUAL]])</f>
        <v>0</v>
      </c>
      <c r="L137" s="91">
        <f>SUMIFS(tabela_registros[VALOR],tabela_registros[MÊS],$AE$1,tabela_registros[DIA],investirrendavariávelconsolidadofev[[#Headers],[8]],tabela_registros[REGISTRO],DADOS!$N$5,tabela_registros[TIPO],DADOS!$AB$4,tabela_registros[CATEGORIA],investirrendavariávelconsolidadofev[[#This Row],[ATUAL]])</f>
        <v>0</v>
      </c>
      <c r="M137" s="91">
        <f>SUMIFS(tabela_registros[VALOR],tabela_registros[MÊS],$AE$1,tabela_registros[DIA],investirrendavariávelconsolidadofev[[#Headers],[9]],tabela_registros[REGISTRO],DADOS!$N$5,tabela_registros[TIPO],DADOS!$AB$4,tabela_registros[CATEGORIA],investirrendavariávelconsolidadofev[[#This Row],[ATUAL]])</f>
        <v>0</v>
      </c>
      <c r="N137" s="91">
        <f>SUMIFS(tabela_registros[VALOR],tabela_registros[MÊS],$AE$1,tabela_registros[DIA],investirrendavariávelconsolidadofev[[#Headers],[10]],tabela_registros[REGISTRO],DADOS!$N$5,tabela_registros[TIPO],DADOS!$AB$4,tabela_registros[CATEGORIA],investirrendavariávelconsolidadofev[[#This Row],[ATUAL]])</f>
        <v>0</v>
      </c>
      <c r="O137" s="91">
        <f>SUMIFS(tabela_registros[VALOR],tabela_registros[MÊS],$AE$1,tabela_registros[DIA],investirrendavariávelconsolidadofev[[#Headers],[11]],tabela_registros[REGISTRO],DADOS!$N$5,tabela_registros[TIPO],DADOS!$AB$4,tabela_registros[CATEGORIA],investirrendavariávelconsolidadofev[[#This Row],[ATUAL]])</f>
        <v>0</v>
      </c>
      <c r="P137" s="91">
        <f>SUMIFS(tabela_registros[VALOR],tabela_registros[MÊS],$AE$1,tabela_registros[DIA],investirrendavariávelconsolidadofev[[#Headers],[12]],tabela_registros[REGISTRO],DADOS!$N$5,tabela_registros[TIPO],DADOS!$AB$4,tabela_registros[CATEGORIA],investirrendavariávelconsolidadofev[[#This Row],[ATUAL]])</f>
        <v>0</v>
      </c>
      <c r="Q137" s="91">
        <f>SUMIFS(tabela_registros[VALOR],tabela_registros[MÊS],$AE$1,tabela_registros[DIA],investirrendavariávelconsolidadofev[[#Headers],[13]],tabela_registros[REGISTRO],DADOS!$N$5,tabela_registros[TIPO],DADOS!$AB$4,tabela_registros[CATEGORIA],investirrendavariávelconsolidadofev[[#This Row],[ATUAL]])</f>
        <v>0</v>
      </c>
      <c r="R137" s="91">
        <f>SUMIFS(tabela_registros[VALOR],tabela_registros[MÊS],$AE$1,tabela_registros[DIA],investirrendavariávelconsolidadofev[[#Headers],[14]],tabela_registros[REGISTRO],DADOS!$N$5,tabela_registros[TIPO],DADOS!$AB$4,tabela_registros[CATEGORIA],investirrendavariávelconsolidadofev[[#This Row],[ATUAL]])</f>
        <v>0</v>
      </c>
      <c r="S137" s="91">
        <f>SUMIFS(tabela_registros[VALOR],tabela_registros[MÊS],$AE$1,tabela_registros[DIA],investirrendavariávelconsolidadofev[[#Headers],[15]],tabela_registros[REGISTRO],DADOS!$N$5,tabela_registros[TIPO],DADOS!$AB$4,tabela_registros[CATEGORIA],investirrendavariávelconsolidadofev[[#This Row],[ATUAL]])</f>
        <v>0</v>
      </c>
      <c r="T137" s="91">
        <f>SUMIFS(tabela_registros[VALOR],tabela_registros[MÊS],$AE$1,tabela_registros[DIA],investirrendavariávelconsolidadofev[[#Headers],[16]],tabela_registros[REGISTRO],DADOS!$N$5,tabela_registros[TIPO],DADOS!$AB$4,tabela_registros[CATEGORIA],investirrendavariávelconsolidadofev[[#This Row],[ATUAL]])</f>
        <v>0</v>
      </c>
      <c r="U137" s="91">
        <f>SUMIFS(tabela_registros[VALOR],tabela_registros[MÊS],$AE$1,tabela_registros[DIA],investirrendavariávelconsolidadofev[[#Headers],[17]],tabela_registros[REGISTRO],DADOS!$N$5,tabela_registros[TIPO],DADOS!$AB$4,tabela_registros[CATEGORIA],investirrendavariávelconsolidadofev[[#This Row],[ATUAL]])</f>
        <v>0</v>
      </c>
      <c r="V137" s="91">
        <f>SUMIFS(tabela_registros[VALOR],tabela_registros[MÊS],$AE$1,tabela_registros[DIA],investirrendavariávelconsolidadofev[[#Headers],[18]],tabela_registros[REGISTRO],DADOS!$N$5,tabela_registros[TIPO],DADOS!$AB$4,tabela_registros[CATEGORIA],investirrendavariávelconsolidadofev[[#This Row],[ATUAL]])</f>
        <v>0</v>
      </c>
      <c r="W137" s="91">
        <f>SUMIFS(tabela_registros[VALOR],tabela_registros[MÊS],$AE$1,tabela_registros[DIA],investirrendavariávelconsolidadofev[[#Headers],[19]],tabela_registros[REGISTRO],DADOS!$N$5,tabela_registros[TIPO],DADOS!$AB$4,tabela_registros[CATEGORIA],investirrendavariávelconsolidadofev[[#This Row],[ATUAL]])</f>
        <v>0</v>
      </c>
      <c r="X137" s="91">
        <f>SUMIFS(tabela_registros[VALOR],tabela_registros[MÊS],$AE$1,tabela_registros[DIA],investirrendavariávelconsolidadofev[[#Headers],[20]],tabela_registros[REGISTRO],DADOS!$N$5,tabela_registros[TIPO],DADOS!$AB$4,tabela_registros[CATEGORIA],investirrendavariávelconsolidadofev[[#This Row],[ATUAL]])</f>
        <v>0</v>
      </c>
      <c r="Y137" s="91">
        <f>SUMIFS(tabela_registros[VALOR],tabela_registros[MÊS],$AE$1,tabela_registros[DIA],investirrendavariávelconsolidadofev[[#Headers],[21]],tabela_registros[REGISTRO],DADOS!$N$5,tabela_registros[TIPO],DADOS!$AB$4,tabela_registros[CATEGORIA],investirrendavariávelconsolidadofev[[#This Row],[ATUAL]])</f>
        <v>0</v>
      </c>
      <c r="Z137" s="91">
        <f>SUMIFS(tabela_registros[VALOR],tabela_registros[MÊS],$AE$1,tabela_registros[DIA],investirrendavariávelconsolidadofev[[#Headers],[22]],tabela_registros[REGISTRO],DADOS!$N$5,tabela_registros[TIPO],DADOS!$AB$4,tabela_registros[CATEGORIA],investirrendavariávelconsolidadofev[[#This Row],[ATUAL]])</f>
        <v>0</v>
      </c>
      <c r="AA137" s="91">
        <f>SUMIFS(tabela_registros[VALOR],tabela_registros[MÊS],$AE$1,tabela_registros[DIA],investirrendavariávelconsolidadofev[[#Headers],[23]],tabela_registros[REGISTRO],DADOS!$N$5,tabela_registros[TIPO],DADOS!$AB$4,tabela_registros[CATEGORIA],investirrendavariávelconsolidadofev[[#This Row],[ATUAL]])</f>
        <v>0</v>
      </c>
      <c r="AB137" s="91">
        <f>SUMIFS(tabela_registros[VALOR],tabela_registros[MÊS],$AE$1,tabela_registros[DIA],investirrendavariávelconsolidadofev[[#Headers],[24]],tabela_registros[REGISTRO],DADOS!$N$5,tabela_registros[TIPO],DADOS!$AB$4,tabela_registros[CATEGORIA],investirrendavariávelconsolidadofev[[#This Row],[ATUAL]])</f>
        <v>0</v>
      </c>
      <c r="AC137" s="91">
        <f>SUMIFS(tabela_registros[VALOR],tabela_registros[MÊS],$AE$1,tabela_registros[DIA],investirrendavariávelconsolidadofev[[#Headers],[25]],tabela_registros[REGISTRO],DADOS!$N$5,tabela_registros[TIPO],DADOS!$AB$4,tabela_registros[CATEGORIA],investirrendavariávelconsolidadofev[[#This Row],[ATUAL]])</f>
        <v>0</v>
      </c>
      <c r="AD137" s="91">
        <f>SUMIFS(tabela_registros[VALOR],tabela_registros[MÊS],$AE$1,tabela_registros[DIA],investirrendavariávelconsolidadofev[[#Headers],[26]],tabela_registros[REGISTRO],DADOS!$N$5,tabela_registros[TIPO],DADOS!$AB$4,tabela_registros[CATEGORIA],investirrendavariávelconsolidadofev[[#This Row],[ATUAL]])</f>
        <v>0</v>
      </c>
      <c r="AE137" s="91">
        <f>SUMIFS(tabela_registros[VALOR],tabela_registros[MÊS],$AE$1,tabela_registros[DIA],investirrendavariávelconsolidadofev[[#Headers],[27]],tabela_registros[REGISTRO],DADOS!$N$5,tabela_registros[TIPO],DADOS!$AB$4,tabela_registros[CATEGORIA],investirrendavariávelconsolidadofev[[#This Row],[ATUAL]])</f>
        <v>0</v>
      </c>
      <c r="AF137" s="91">
        <f>SUMIFS(tabela_registros[VALOR],tabela_registros[MÊS],$AE$1,tabela_registros[DIA],investirrendavariávelconsolidadofev[[#Headers],[28]],tabela_registros[REGISTRO],DADOS!$N$5,tabela_registros[TIPO],DADOS!$AB$4,tabela_registros[CATEGORIA],investirrendavariávelconsolidadofev[[#This Row],[ATUAL]])</f>
        <v>0</v>
      </c>
      <c r="AG137" s="91">
        <f>SUMIFS(tabela_registros[VALOR],tabela_registros[MÊS],$AE$1,tabela_registros[DIA],investirrendavariávelconsolidadofev[[#Headers],[29]],tabela_registros[REGISTRO],DADOS!$N$5,tabela_registros[TIPO],DADOS!$AB$4,tabela_registros[CATEGORIA],investirrendavariávelconsolidadofev[[#This Row],[ATUAL]])</f>
        <v>0</v>
      </c>
      <c r="AH137" s="91">
        <f>SUMIFS(tabela_registros[VALOR],tabela_registros[MÊS],$AE$1,tabela_registros[DIA],investirrendavariávelconsolidadofev[[#Headers],[30]],tabela_registros[REGISTRO],DADOS!$N$5,tabela_registros[TIPO],DADOS!$AB$4,tabela_registros[CATEGORIA],investirrendavariávelconsolidadofev[[#This Row],[ATUAL]])</f>
        <v>0</v>
      </c>
      <c r="AI137" s="101">
        <f>SUMIFS(tabela_registros[VALOR],tabela_registros[MÊS],$AE$1,tabela_registros[DIA],investirrendavariávelconsolidadofev[[#Headers],[31]],tabela_registros[REGISTRO],DADOS!$N$5,tabela_registros[TIPO],DADOS!$AB$4,tabela_registros[CATEGORIA],investirrendavariávelconsolidadofev[[#This Row],[ATUAL]])</f>
        <v>0</v>
      </c>
      <c r="AJ137" s="97">
        <f>SUM(investirrendavariávelconsolidadofev[[#This Row],[1]:[31]])</f>
        <v>0</v>
      </c>
      <c r="AK137" s="25"/>
    </row>
    <row r="138" spans="2:37" ht="19.5" customHeight="1" thickTop="1" thickBot="1" x14ac:dyDescent="0.3">
      <c r="B138" s="28"/>
      <c r="C138" s="27" t="str">
        <f>DADOS!$AF$9</f>
        <v>📝 EXTERIOR</v>
      </c>
      <c r="D138" s="26" t="str">
        <f>IF(investirrendavariávelconsolidadofev[[#This Row],[TOTAL (R$)]]=0,"",IF(OR(investirrendavariávelconsolidadofev[[#This Row],[TOTAL (R$)]]=LARGE($AJ$132:$AJ$141,1),investirrendavariávelconsolidadofev[[#This Row],[TOTAL (R$)]]=LARGE($AJ$132:$AJ$141,2)),DADOS!$I$10,""))</f>
        <v/>
      </c>
      <c r="E138" s="96">
        <f>SUMIFS(tabela_registros[VALOR],tabela_registros[MÊS],$AE$1,tabela_registros[DIA],investirrendavariávelconsolidadofev[[#Headers],[1]],tabela_registros[REGISTRO],DADOS!$N$5,tabela_registros[TIPO],DADOS!$AB$4,tabela_registros[CATEGORIA],investirrendavariávelconsolidadofev[[#This Row],[ATUAL]])</f>
        <v>0</v>
      </c>
      <c r="F138" s="91">
        <f>SUMIFS(tabela_registros[VALOR],tabela_registros[MÊS],$AE$1,tabela_registros[DIA],investirrendavariávelconsolidadofev[[#Headers],[2]],tabela_registros[REGISTRO],DADOS!$N$5,tabela_registros[TIPO],DADOS!$AB$4,tabela_registros[CATEGORIA],investirrendavariávelconsolidadofev[[#This Row],[ATUAL]])</f>
        <v>146</v>
      </c>
      <c r="G138" s="91">
        <f>SUMIFS(tabela_registros[VALOR],tabela_registros[MÊS],$AE$1,tabela_registros[DIA],investirrendavariávelconsolidadofev[[#Headers],[3]],tabela_registros[REGISTRO],DADOS!$N$5,tabela_registros[TIPO],DADOS!$AB$4,tabela_registros[CATEGORIA],investirrendavariávelconsolidadofev[[#This Row],[ATUAL]])</f>
        <v>0</v>
      </c>
      <c r="H138" s="91">
        <f>SUMIFS(tabela_registros[VALOR],tabela_registros[MÊS],$AE$1,tabela_registros[DIA],investirrendavariávelconsolidadofev[[#Headers],[4]],tabela_registros[REGISTRO],DADOS!$N$5,tabela_registros[TIPO],DADOS!$AB$4,tabela_registros[CATEGORIA],investirrendavariávelconsolidadofev[[#This Row],[ATUAL]])</f>
        <v>0</v>
      </c>
      <c r="I138" s="91">
        <f>SUMIFS(tabela_registros[VALOR],tabela_registros[MÊS],$AE$1,tabela_registros[DIA],investirrendavariávelconsolidadofev[[#Headers],[5]],tabela_registros[REGISTRO],DADOS!$N$5,tabela_registros[TIPO],DADOS!$AB$4,tabela_registros[CATEGORIA],investirrendavariávelconsolidadofev[[#This Row],[ATUAL]])</f>
        <v>0</v>
      </c>
      <c r="J138" s="91">
        <f>SUMIFS(tabela_registros[VALOR],tabela_registros[MÊS],$AE$1,tabela_registros[DIA],investirrendavariávelconsolidadofev[[#Headers],[6]],tabela_registros[REGISTRO],DADOS!$N$5,tabela_registros[TIPO],DADOS!$AB$4,tabela_registros[CATEGORIA],investirrendavariávelconsolidadofev[[#This Row],[ATUAL]])</f>
        <v>0</v>
      </c>
      <c r="K138" s="91">
        <f>SUMIFS(tabela_registros[VALOR],tabela_registros[MÊS],$AE$1,tabela_registros[DIA],investirrendavariávelconsolidadofev[[#Headers],[7]],tabela_registros[REGISTRO],DADOS!$N$5,tabela_registros[TIPO],DADOS!$AB$4,tabela_registros[CATEGORIA],investirrendavariávelconsolidadofev[[#This Row],[ATUAL]])</f>
        <v>0</v>
      </c>
      <c r="L138" s="91">
        <f>SUMIFS(tabela_registros[VALOR],tabela_registros[MÊS],$AE$1,tabela_registros[DIA],investirrendavariávelconsolidadofev[[#Headers],[8]],tabela_registros[REGISTRO],DADOS!$N$5,tabela_registros[TIPO],DADOS!$AB$4,tabela_registros[CATEGORIA],investirrendavariávelconsolidadofev[[#This Row],[ATUAL]])</f>
        <v>0</v>
      </c>
      <c r="M138" s="91">
        <f>SUMIFS(tabela_registros[VALOR],tabela_registros[MÊS],$AE$1,tabela_registros[DIA],investirrendavariávelconsolidadofev[[#Headers],[9]],tabela_registros[REGISTRO],DADOS!$N$5,tabela_registros[TIPO],DADOS!$AB$4,tabela_registros[CATEGORIA],investirrendavariávelconsolidadofev[[#This Row],[ATUAL]])</f>
        <v>0</v>
      </c>
      <c r="N138" s="91">
        <f>SUMIFS(tabela_registros[VALOR],tabela_registros[MÊS],$AE$1,tabela_registros[DIA],investirrendavariávelconsolidadofev[[#Headers],[10]],tabela_registros[REGISTRO],DADOS!$N$5,tabela_registros[TIPO],DADOS!$AB$4,tabela_registros[CATEGORIA],investirrendavariávelconsolidadofev[[#This Row],[ATUAL]])</f>
        <v>0</v>
      </c>
      <c r="O138" s="91">
        <f>SUMIFS(tabela_registros[VALOR],tabela_registros[MÊS],$AE$1,tabela_registros[DIA],investirrendavariávelconsolidadofev[[#Headers],[11]],tabela_registros[REGISTRO],DADOS!$N$5,tabela_registros[TIPO],DADOS!$AB$4,tabela_registros[CATEGORIA],investirrendavariávelconsolidadofev[[#This Row],[ATUAL]])</f>
        <v>0</v>
      </c>
      <c r="P138" s="91">
        <f>SUMIFS(tabela_registros[VALOR],tabela_registros[MÊS],$AE$1,tabela_registros[DIA],investirrendavariávelconsolidadofev[[#Headers],[12]],tabela_registros[REGISTRO],DADOS!$N$5,tabela_registros[TIPO],DADOS!$AB$4,tabela_registros[CATEGORIA],investirrendavariávelconsolidadofev[[#This Row],[ATUAL]])</f>
        <v>0</v>
      </c>
      <c r="Q138" s="91">
        <f>SUMIFS(tabela_registros[VALOR],tabela_registros[MÊS],$AE$1,tabela_registros[DIA],investirrendavariávelconsolidadofev[[#Headers],[13]],tabela_registros[REGISTRO],DADOS!$N$5,tabela_registros[TIPO],DADOS!$AB$4,tabela_registros[CATEGORIA],investirrendavariávelconsolidadofev[[#This Row],[ATUAL]])</f>
        <v>0</v>
      </c>
      <c r="R138" s="91">
        <f>SUMIFS(tabela_registros[VALOR],tabela_registros[MÊS],$AE$1,tabela_registros[DIA],investirrendavariávelconsolidadofev[[#Headers],[14]],tabela_registros[REGISTRO],DADOS!$N$5,tabela_registros[TIPO],DADOS!$AB$4,tabela_registros[CATEGORIA],investirrendavariávelconsolidadofev[[#This Row],[ATUAL]])</f>
        <v>0</v>
      </c>
      <c r="S138" s="91">
        <f>SUMIFS(tabela_registros[VALOR],tabela_registros[MÊS],$AE$1,tabela_registros[DIA],investirrendavariávelconsolidadofev[[#Headers],[15]],tabela_registros[REGISTRO],DADOS!$N$5,tabela_registros[TIPO],DADOS!$AB$4,tabela_registros[CATEGORIA],investirrendavariávelconsolidadofev[[#This Row],[ATUAL]])</f>
        <v>0</v>
      </c>
      <c r="T138" s="91">
        <f>SUMIFS(tabela_registros[VALOR],tabela_registros[MÊS],$AE$1,tabela_registros[DIA],investirrendavariávelconsolidadofev[[#Headers],[16]],tabela_registros[REGISTRO],DADOS!$N$5,tabela_registros[TIPO],DADOS!$AB$4,tabela_registros[CATEGORIA],investirrendavariávelconsolidadofev[[#This Row],[ATUAL]])</f>
        <v>0</v>
      </c>
      <c r="U138" s="91">
        <f>SUMIFS(tabela_registros[VALOR],tabela_registros[MÊS],$AE$1,tabela_registros[DIA],investirrendavariávelconsolidadofev[[#Headers],[17]],tabela_registros[REGISTRO],DADOS!$N$5,tabela_registros[TIPO],DADOS!$AB$4,tabela_registros[CATEGORIA],investirrendavariávelconsolidadofev[[#This Row],[ATUAL]])</f>
        <v>0</v>
      </c>
      <c r="V138" s="91">
        <f>SUMIFS(tabela_registros[VALOR],tabela_registros[MÊS],$AE$1,tabela_registros[DIA],investirrendavariávelconsolidadofev[[#Headers],[18]],tabela_registros[REGISTRO],DADOS!$N$5,tabela_registros[TIPO],DADOS!$AB$4,tabela_registros[CATEGORIA],investirrendavariávelconsolidadofev[[#This Row],[ATUAL]])</f>
        <v>0</v>
      </c>
      <c r="W138" s="91">
        <f>SUMIFS(tabela_registros[VALOR],tabela_registros[MÊS],$AE$1,tabela_registros[DIA],investirrendavariávelconsolidadofev[[#Headers],[19]],tabela_registros[REGISTRO],DADOS!$N$5,tabela_registros[TIPO],DADOS!$AB$4,tabela_registros[CATEGORIA],investirrendavariávelconsolidadofev[[#This Row],[ATUAL]])</f>
        <v>0</v>
      </c>
      <c r="X138" s="91">
        <f>SUMIFS(tabela_registros[VALOR],tabela_registros[MÊS],$AE$1,tabela_registros[DIA],investirrendavariávelconsolidadofev[[#Headers],[20]],tabela_registros[REGISTRO],DADOS!$N$5,tabela_registros[TIPO],DADOS!$AB$4,tabela_registros[CATEGORIA],investirrendavariávelconsolidadofev[[#This Row],[ATUAL]])</f>
        <v>0</v>
      </c>
      <c r="Y138" s="91">
        <f>SUMIFS(tabela_registros[VALOR],tabela_registros[MÊS],$AE$1,tabela_registros[DIA],investirrendavariávelconsolidadofev[[#Headers],[21]],tabela_registros[REGISTRO],DADOS!$N$5,tabela_registros[TIPO],DADOS!$AB$4,tabela_registros[CATEGORIA],investirrendavariávelconsolidadofev[[#This Row],[ATUAL]])</f>
        <v>0</v>
      </c>
      <c r="Z138" s="91">
        <f>SUMIFS(tabela_registros[VALOR],tabela_registros[MÊS],$AE$1,tabela_registros[DIA],investirrendavariávelconsolidadofev[[#Headers],[22]],tabela_registros[REGISTRO],DADOS!$N$5,tabela_registros[TIPO],DADOS!$AB$4,tabela_registros[CATEGORIA],investirrendavariávelconsolidadofev[[#This Row],[ATUAL]])</f>
        <v>0</v>
      </c>
      <c r="AA138" s="91">
        <f>SUMIFS(tabela_registros[VALOR],tabela_registros[MÊS],$AE$1,tabela_registros[DIA],investirrendavariávelconsolidadofev[[#Headers],[23]],tabela_registros[REGISTRO],DADOS!$N$5,tabela_registros[TIPO],DADOS!$AB$4,tabela_registros[CATEGORIA],investirrendavariávelconsolidadofev[[#This Row],[ATUAL]])</f>
        <v>0</v>
      </c>
      <c r="AB138" s="91">
        <f>SUMIFS(tabela_registros[VALOR],tabela_registros[MÊS],$AE$1,tabela_registros[DIA],investirrendavariávelconsolidadofev[[#Headers],[24]],tabela_registros[REGISTRO],DADOS!$N$5,tabela_registros[TIPO],DADOS!$AB$4,tabela_registros[CATEGORIA],investirrendavariávelconsolidadofev[[#This Row],[ATUAL]])</f>
        <v>0</v>
      </c>
      <c r="AC138" s="91">
        <f>SUMIFS(tabela_registros[VALOR],tabela_registros[MÊS],$AE$1,tabela_registros[DIA],investirrendavariávelconsolidadofev[[#Headers],[25]],tabela_registros[REGISTRO],DADOS!$N$5,tabela_registros[TIPO],DADOS!$AB$4,tabela_registros[CATEGORIA],investirrendavariávelconsolidadofev[[#This Row],[ATUAL]])</f>
        <v>0</v>
      </c>
      <c r="AD138" s="91">
        <f>SUMIFS(tabela_registros[VALOR],tabela_registros[MÊS],$AE$1,tabela_registros[DIA],investirrendavariávelconsolidadofev[[#Headers],[26]],tabela_registros[REGISTRO],DADOS!$N$5,tabela_registros[TIPO],DADOS!$AB$4,tabela_registros[CATEGORIA],investirrendavariávelconsolidadofev[[#This Row],[ATUAL]])</f>
        <v>0</v>
      </c>
      <c r="AE138" s="91">
        <f>SUMIFS(tabela_registros[VALOR],tabela_registros[MÊS],$AE$1,tabela_registros[DIA],investirrendavariávelconsolidadofev[[#Headers],[27]],tabela_registros[REGISTRO],DADOS!$N$5,tabela_registros[TIPO],DADOS!$AB$4,tabela_registros[CATEGORIA],investirrendavariávelconsolidadofev[[#This Row],[ATUAL]])</f>
        <v>0</v>
      </c>
      <c r="AF138" s="91">
        <f>SUMIFS(tabela_registros[VALOR],tabela_registros[MÊS],$AE$1,tabela_registros[DIA],investirrendavariávelconsolidadofev[[#Headers],[28]],tabela_registros[REGISTRO],DADOS!$N$5,tabela_registros[TIPO],DADOS!$AB$4,tabela_registros[CATEGORIA],investirrendavariávelconsolidadofev[[#This Row],[ATUAL]])</f>
        <v>0</v>
      </c>
      <c r="AG138" s="91">
        <f>SUMIFS(tabela_registros[VALOR],tabela_registros[MÊS],$AE$1,tabela_registros[DIA],investirrendavariávelconsolidadofev[[#Headers],[29]],tabela_registros[REGISTRO],DADOS!$N$5,tabela_registros[TIPO],DADOS!$AB$4,tabela_registros[CATEGORIA],investirrendavariávelconsolidadofev[[#This Row],[ATUAL]])</f>
        <v>0</v>
      </c>
      <c r="AH138" s="91">
        <f>SUMIFS(tabela_registros[VALOR],tabela_registros[MÊS],$AE$1,tabela_registros[DIA],investirrendavariávelconsolidadofev[[#Headers],[30]],tabela_registros[REGISTRO],DADOS!$N$5,tabela_registros[TIPO],DADOS!$AB$4,tabela_registros[CATEGORIA],investirrendavariávelconsolidadofev[[#This Row],[ATUAL]])</f>
        <v>0</v>
      </c>
      <c r="AI138" s="101">
        <f>SUMIFS(tabela_registros[VALOR],tabela_registros[MÊS],$AE$1,tabela_registros[DIA],investirrendavariávelconsolidadofev[[#Headers],[31]],tabela_registros[REGISTRO],DADOS!$N$5,tabela_registros[TIPO],DADOS!$AB$4,tabela_registros[CATEGORIA],investirrendavariávelconsolidadofev[[#This Row],[ATUAL]])</f>
        <v>0</v>
      </c>
      <c r="AJ138" s="97">
        <f>SUM(investirrendavariávelconsolidadofev[[#This Row],[1]:[31]])</f>
        <v>146</v>
      </c>
      <c r="AK138" s="25"/>
    </row>
    <row r="139" spans="2:37" ht="19.5" customHeight="1" thickTop="1" thickBot="1" x14ac:dyDescent="0.3">
      <c r="B139" s="28"/>
      <c r="C139" s="27" t="str">
        <f>DADOS!$AF$10</f>
        <v>📝 FII</v>
      </c>
      <c r="D139" s="26" t="str">
        <f>IF(investirrendavariávelconsolidadofev[[#This Row],[TOTAL (R$)]]=0,"",IF(OR(investirrendavariávelconsolidadofev[[#This Row],[TOTAL (R$)]]=LARGE($AJ$132:$AJ$141,1),investirrendavariávelconsolidadofev[[#This Row],[TOTAL (R$)]]=LARGE($AJ$132:$AJ$141,2)),DADOS!$I$10,""))</f>
        <v/>
      </c>
      <c r="E139" s="96">
        <f>SUMIFS(tabela_registros[VALOR],tabela_registros[MÊS],$AE$1,tabela_registros[DIA],investirrendavariávelconsolidadofev[[#Headers],[1]],tabela_registros[REGISTRO],DADOS!$N$5,tabela_registros[TIPO],DADOS!$AB$4,tabela_registros[CATEGORIA],investirrendavariávelconsolidadofev[[#This Row],[ATUAL]])</f>
        <v>0</v>
      </c>
      <c r="F139" s="91">
        <f>SUMIFS(tabela_registros[VALOR],tabela_registros[MÊS],$AE$1,tabela_registros[DIA],investirrendavariávelconsolidadofev[[#Headers],[2]],tabela_registros[REGISTRO],DADOS!$N$5,tabela_registros[TIPO],DADOS!$AB$4,tabela_registros[CATEGORIA],investirrendavariávelconsolidadofev[[#This Row],[ATUAL]])</f>
        <v>0</v>
      </c>
      <c r="G139" s="91">
        <f>SUMIFS(tabela_registros[VALOR],tabela_registros[MÊS],$AE$1,tabela_registros[DIA],investirrendavariávelconsolidadofev[[#Headers],[3]],tabela_registros[REGISTRO],DADOS!$N$5,tabela_registros[TIPO],DADOS!$AB$4,tabela_registros[CATEGORIA],investirrendavariávelconsolidadofev[[#This Row],[ATUAL]])</f>
        <v>0</v>
      </c>
      <c r="H139" s="91">
        <f>SUMIFS(tabela_registros[VALOR],tabela_registros[MÊS],$AE$1,tabela_registros[DIA],investirrendavariávelconsolidadofev[[#Headers],[4]],tabela_registros[REGISTRO],DADOS!$N$5,tabela_registros[TIPO],DADOS!$AB$4,tabela_registros[CATEGORIA],investirrendavariávelconsolidadofev[[#This Row],[ATUAL]])</f>
        <v>0</v>
      </c>
      <c r="I139" s="91">
        <f>SUMIFS(tabela_registros[VALOR],tabela_registros[MÊS],$AE$1,tabela_registros[DIA],investirrendavariávelconsolidadofev[[#Headers],[5]],tabela_registros[REGISTRO],DADOS!$N$5,tabela_registros[TIPO],DADOS!$AB$4,tabela_registros[CATEGORIA],investirrendavariávelconsolidadofev[[#This Row],[ATUAL]])</f>
        <v>0</v>
      </c>
      <c r="J139" s="91">
        <f>SUMIFS(tabela_registros[VALOR],tabela_registros[MÊS],$AE$1,tabela_registros[DIA],investirrendavariávelconsolidadofev[[#Headers],[6]],tabela_registros[REGISTRO],DADOS!$N$5,tabela_registros[TIPO],DADOS!$AB$4,tabela_registros[CATEGORIA],investirrendavariávelconsolidadofev[[#This Row],[ATUAL]])</f>
        <v>0</v>
      </c>
      <c r="K139" s="91">
        <f>SUMIFS(tabela_registros[VALOR],tabela_registros[MÊS],$AE$1,tabela_registros[DIA],investirrendavariávelconsolidadofev[[#Headers],[7]],tabela_registros[REGISTRO],DADOS!$N$5,tabela_registros[TIPO],DADOS!$AB$4,tabela_registros[CATEGORIA],investirrendavariávelconsolidadofev[[#This Row],[ATUAL]])</f>
        <v>0</v>
      </c>
      <c r="L139" s="91">
        <f>SUMIFS(tabela_registros[VALOR],tabela_registros[MÊS],$AE$1,tabela_registros[DIA],investirrendavariávelconsolidadofev[[#Headers],[8]],tabela_registros[REGISTRO],DADOS!$N$5,tabela_registros[TIPO],DADOS!$AB$4,tabela_registros[CATEGORIA],investirrendavariávelconsolidadofev[[#This Row],[ATUAL]])</f>
        <v>0</v>
      </c>
      <c r="M139" s="91">
        <f>SUMIFS(tabela_registros[VALOR],tabela_registros[MÊS],$AE$1,tabela_registros[DIA],investirrendavariávelconsolidadofev[[#Headers],[9]],tabela_registros[REGISTRO],DADOS!$N$5,tabela_registros[TIPO],DADOS!$AB$4,tabela_registros[CATEGORIA],investirrendavariávelconsolidadofev[[#This Row],[ATUAL]])</f>
        <v>0</v>
      </c>
      <c r="N139" s="91">
        <f>SUMIFS(tabela_registros[VALOR],tabela_registros[MÊS],$AE$1,tabela_registros[DIA],investirrendavariávelconsolidadofev[[#Headers],[10]],tabela_registros[REGISTRO],DADOS!$N$5,tabela_registros[TIPO],DADOS!$AB$4,tabela_registros[CATEGORIA],investirrendavariávelconsolidadofev[[#This Row],[ATUAL]])</f>
        <v>0</v>
      </c>
      <c r="O139" s="91">
        <f>SUMIFS(tabela_registros[VALOR],tabela_registros[MÊS],$AE$1,tabela_registros[DIA],investirrendavariávelconsolidadofev[[#Headers],[11]],tabela_registros[REGISTRO],DADOS!$N$5,tabela_registros[TIPO],DADOS!$AB$4,tabela_registros[CATEGORIA],investirrendavariávelconsolidadofev[[#This Row],[ATUAL]])</f>
        <v>0</v>
      </c>
      <c r="P139" s="91">
        <f>SUMIFS(tabela_registros[VALOR],tabela_registros[MÊS],$AE$1,tabela_registros[DIA],investirrendavariávelconsolidadofev[[#Headers],[12]],tabela_registros[REGISTRO],DADOS!$N$5,tabela_registros[TIPO],DADOS!$AB$4,tabela_registros[CATEGORIA],investirrendavariávelconsolidadofev[[#This Row],[ATUAL]])</f>
        <v>0</v>
      </c>
      <c r="Q139" s="91">
        <f>SUMIFS(tabela_registros[VALOR],tabela_registros[MÊS],$AE$1,tabela_registros[DIA],investirrendavariávelconsolidadofev[[#Headers],[13]],tabela_registros[REGISTRO],DADOS!$N$5,tabela_registros[TIPO],DADOS!$AB$4,tabela_registros[CATEGORIA],investirrendavariávelconsolidadofev[[#This Row],[ATUAL]])</f>
        <v>0</v>
      </c>
      <c r="R139" s="91">
        <f>SUMIFS(tabela_registros[VALOR],tabela_registros[MÊS],$AE$1,tabela_registros[DIA],investirrendavariávelconsolidadofev[[#Headers],[14]],tabela_registros[REGISTRO],DADOS!$N$5,tabela_registros[TIPO],DADOS!$AB$4,tabela_registros[CATEGORIA],investirrendavariávelconsolidadofev[[#This Row],[ATUAL]])</f>
        <v>0</v>
      </c>
      <c r="S139" s="91">
        <f>SUMIFS(tabela_registros[VALOR],tabela_registros[MÊS],$AE$1,tabela_registros[DIA],investirrendavariávelconsolidadofev[[#Headers],[15]],tabela_registros[REGISTRO],DADOS!$N$5,tabela_registros[TIPO],DADOS!$AB$4,tabela_registros[CATEGORIA],investirrendavariávelconsolidadofev[[#This Row],[ATUAL]])</f>
        <v>0</v>
      </c>
      <c r="T139" s="91">
        <f>SUMIFS(tabela_registros[VALOR],tabela_registros[MÊS],$AE$1,tabela_registros[DIA],investirrendavariávelconsolidadofev[[#Headers],[16]],tabela_registros[REGISTRO],DADOS!$N$5,tabela_registros[TIPO],DADOS!$AB$4,tabela_registros[CATEGORIA],investirrendavariávelconsolidadofev[[#This Row],[ATUAL]])</f>
        <v>0</v>
      </c>
      <c r="U139" s="91">
        <f>SUMIFS(tabela_registros[VALOR],tabela_registros[MÊS],$AE$1,tabela_registros[DIA],investirrendavariávelconsolidadofev[[#Headers],[17]],tabela_registros[REGISTRO],DADOS!$N$5,tabela_registros[TIPO],DADOS!$AB$4,tabela_registros[CATEGORIA],investirrendavariávelconsolidadofev[[#This Row],[ATUAL]])</f>
        <v>0</v>
      </c>
      <c r="V139" s="91">
        <f>SUMIFS(tabela_registros[VALOR],tabela_registros[MÊS],$AE$1,tabela_registros[DIA],investirrendavariávelconsolidadofev[[#Headers],[18]],tabela_registros[REGISTRO],DADOS!$N$5,tabela_registros[TIPO],DADOS!$AB$4,tabela_registros[CATEGORIA],investirrendavariávelconsolidadofev[[#This Row],[ATUAL]])</f>
        <v>0</v>
      </c>
      <c r="W139" s="91">
        <f>SUMIFS(tabela_registros[VALOR],tabela_registros[MÊS],$AE$1,tabela_registros[DIA],investirrendavariávelconsolidadofev[[#Headers],[19]],tabela_registros[REGISTRO],DADOS!$N$5,tabela_registros[TIPO],DADOS!$AB$4,tabela_registros[CATEGORIA],investirrendavariávelconsolidadofev[[#This Row],[ATUAL]])</f>
        <v>0</v>
      </c>
      <c r="X139" s="91">
        <f>SUMIFS(tabela_registros[VALOR],tabela_registros[MÊS],$AE$1,tabela_registros[DIA],investirrendavariávelconsolidadofev[[#Headers],[20]],tabela_registros[REGISTRO],DADOS!$N$5,tabela_registros[TIPO],DADOS!$AB$4,tabela_registros[CATEGORIA],investirrendavariávelconsolidadofev[[#This Row],[ATUAL]])</f>
        <v>0</v>
      </c>
      <c r="Y139" s="91">
        <f>SUMIFS(tabela_registros[VALOR],tabela_registros[MÊS],$AE$1,tabela_registros[DIA],investirrendavariávelconsolidadofev[[#Headers],[21]],tabela_registros[REGISTRO],DADOS!$N$5,tabela_registros[TIPO],DADOS!$AB$4,tabela_registros[CATEGORIA],investirrendavariávelconsolidadofev[[#This Row],[ATUAL]])</f>
        <v>0</v>
      </c>
      <c r="Z139" s="91">
        <f>SUMIFS(tabela_registros[VALOR],tabela_registros[MÊS],$AE$1,tabela_registros[DIA],investirrendavariávelconsolidadofev[[#Headers],[22]],tabela_registros[REGISTRO],DADOS!$N$5,tabela_registros[TIPO],DADOS!$AB$4,tabela_registros[CATEGORIA],investirrendavariávelconsolidadofev[[#This Row],[ATUAL]])</f>
        <v>0</v>
      </c>
      <c r="AA139" s="91">
        <f>SUMIFS(tabela_registros[VALOR],tabela_registros[MÊS],$AE$1,tabela_registros[DIA],investirrendavariávelconsolidadofev[[#Headers],[23]],tabela_registros[REGISTRO],DADOS!$N$5,tabela_registros[TIPO],DADOS!$AB$4,tabela_registros[CATEGORIA],investirrendavariávelconsolidadofev[[#This Row],[ATUAL]])</f>
        <v>0</v>
      </c>
      <c r="AB139" s="91">
        <f>SUMIFS(tabela_registros[VALOR],tabela_registros[MÊS],$AE$1,tabela_registros[DIA],investirrendavariávelconsolidadofev[[#Headers],[24]],tabela_registros[REGISTRO],DADOS!$N$5,tabela_registros[TIPO],DADOS!$AB$4,tabela_registros[CATEGORIA],investirrendavariávelconsolidadofev[[#This Row],[ATUAL]])</f>
        <v>0</v>
      </c>
      <c r="AC139" s="91">
        <f>SUMIFS(tabela_registros[VALOR],tabela_registros[MÊS],$AE$1,tabela_registros[DIA],investirrendavariávelconsolidadofev[[#Headers],[25]],tabela_registros[REGISTRO],DADOS!$N$5,tabela_registros[TIPO],DADOS!$AB$4,tabela_registros[CATEGORIA],investirrendavariávelconsolidadofev[[#This Row],[ATUAL]])</f>
        <v>0</v>
      </c>
      <c r="AD139" s="91">
        <f>SUMIFS(tabela_registros[VALOR],tabela_registros[MÊS],$AE$1,tabela_registros[DIA],investirrendavariávelconsolidadofev[[#Headers],[26]],tabela_registros[REGISTRO],DADOS!$N$5,tabela_registros[TIPO],DADOS!$AB$4,tabela_registros[CATEGORIA],investirrendavariávelconsolidadofev[[#This Row],[ATUAL]])</f>
        <v>0</v>
      </c>
      <c r="AE139" s="91">
        <f>SUMIFS(tabela_registros[VALOR],tabela_registros[MÊS],$AE$1,tabela_registros[DIA],investirrendavariávelconsolidadofev[[#Headers],[27]],tabela_registros[REGISTRO],DADOS!$N$5,tabela_registros[TIPO],DADOS!$AB$4,tabela_registros[CATEGORIA],investirrendavariávelconsolidadofev[[#This Row],[ATUAL]])</f>
        <v>0</v>
      </c>
      <c r="AF139" s="91">
        <f>SUMIFS(tabela_registros[VALOR],tabela_registros[MÊS],$AE$1,tabela_registros[DIA],investirrendavariávelconsolidadofev[[#Headers],[28]],tabela_registros[REGISTRO],DADOS!$N$5,tabela_registros[TIPO],DADOS!$AB$4,tabela_registros[CATEGORIA],investirrendavariávelconsolidadofev[[#This Row],[ATUAL]])</f>
        <v>0</v>
      </c>
      <c r="AG139" s="91">
        <f>SUMIFS(tabela_registros[VALOR],tabela_registros[MÊS],$AE$1,tabela_registros[DIA],investirrendavariávelconsolidadofev[[#Headers],[29]],tabela_registros[REGISTRO],DADOS!$N$5,tabela_registros[TIPO],DADOS!$AB$4,tabela_registros[CATEGORIA],investirrendavariávelconsolidadofev[[#This Row],[ATUAL]])</f>
        <v>0</v>
      </c>
      <c r="AH139" s="91">
        <f>SUMIFS(tabela_registros[VALOR],tabela_registros[MÊS],$AE$1,tabela_registros[DIA],investirrendavariávelconsolidadofev[[#Headers],[30]],tabela_registros[REGISTRO],DADOS!$N$5,tabela_registros[TIPO],DADOS!$AB$4,tabela_registros[CATEGORIA],investirrendavariávelconsolidadofev[[#This Row],[ATUAL]])</f>
        <v>0</v>
      </c>
      <c r="AI139" s="101">
        <f>SUMIFS(tabela_registros[VALOR],tabela_registros[MÊS],$AE$1,tabela_registros[DIA],investirrendavariávelconsolidadofev[[#Headers],[31]],tabela_registros[REGISTRO],DADOS!$N$5,tabela_registros[TIPO],DADOS!$AB$4,tabela_registros[CATEGORIA],investirrendavariávelconsolidadofev[[#This Row],[ATUAL]])</f>
        <v>0</v>
      </c>
      <c r="AJ139" s="97">
        <f>SUM(investirrendavariávelconsolidadofev[[#This Row],[1]:[31]])</f>
        <v>0</v>
      </c>
      <c r="AK139" s="25"/>
    </row>
    <row r="140" spans="2:37" ht="19.5" customHeight="1" thickTop="1" thickBot="1" x14ac:dyDescent="0.3">
      <c r="B140" s="28"/>
      <c r="C140" s="27" t="str">
        <f>DADOS!$AF$11</f>
        <v>📝 MOEDA</v>
      </c>
      <c r="D140" s="26" t="str">
        <f>IF(investirrendavariávelconsolidadofev[[#This Row],[TOTAL (R$)]]=0,"",IF(OR(investirrendavariávelconsolidadofev[[#This Row],[TOTAL (R$)]]=LARGE($AJ$132:$AJ$141,1),investirrendavariávelconsolidadofev[[#This Row],[TOTAL (R$)]]=LARGE($AJ$132:$AJ$141,2)),DADOS!$I$10,""))</f>
        <v/>
      </c>
      <c r="E140" s="96">
        <f>SUMIFS(tabela_registros[VALOR],tabela_registros[MÊS],$AE$1,tabela_registros[DIA],investirrendavariávelconsolidadofev[[#Headers],[1]],tabela_registros[REGISTRO],DADOS!$N$5,tabela_registros[TIPO],DADOS!$AB$4,tabela_registros[CATEGORIA],investirrendavariávelconsolidadofev[[#This Row],[ATUAL]])</f>
        <v>0</v>
      </c>
      <c r="F140" s="91">
        <f>SUMIFS(tabela_registros[VALOR],tabela_registros[MÊS],$AE$1,tabela_registros[DIA],investirrendavariávelconsolidadofev[[#Headers],[2]],tabela_registros[REGISTRO],DADOS!$N$5,tabela_registros[TIPO],DADOS!$AB$4,tabela_registros[CATEGORIA],investirrendavariávelconsolidadofev[[#This Row],[ATUAL]])</f>
        <v>0</v>
      </c>
      <c r="G140" s="91">
        <f>SUMIFS(tabela_registros[VALOR],tabela_registros[MÊS],$AE$1,tabela_registros[DIA],investirrendavariávelconsolidadofev[[#Headers],[3]],tabela_registros[REGISTRO],DADOS!$N$5,tabela_registros[TIPO],DADOS!$AB$4,tabela_registros[CATEGORIA],investirrendavariávelconsolidadofev[[#This Row],[ATUAL]])</f>
        <v>0</v>
      </c>
      <c r="H140" s="91">
        <f>SUMIFS(tabela_registros[VALOR],tabela_registros[MÊS],$AE$1,tabela_registros[DIA],investirrendavariávelconsolidadofev[[#Headers],[4]],tabela_registros[REGISTRO],DADOS!$N$5,tabela_registros[TIPO],DADOS!$AB$4,tabela_registros[CATEGORIA],investirrendavariávelconsolidadofev[[#This Row],[ATUAL]])</f>
        <v>0</v>
      </c>
      <c r="I140" s="91">
        <f>SUMIFS(tabela_registros[VALOR],tabela_registros[MÊS],$AE$1,tabela_registros[DIA],investirrendavariávelconsolidadofev[[#Headers],[5]],tabela_registros[REGISTRO],DADOS!$N$5,tabela_registros[TIPO],DADOS!$AB$4,tabela_registros[CATEGORIA],investirrendavariávelconsolidadofev[[#This Row],[ATUAL]])</f>
        <v>0</v>
      </c>
      <c r="J140" s="91">
        <f>SUMIFS(tabela_registros[VALOR],tabela_registros[MÊS],$AE$1,tabela_registros[DIA],investirrendavariávelconsolidadofev[[#Headers],[6]],tabela_registros[REGISTRO],DADOS!$N$5,tabela_registros[TIPO],DADOS!$AB$4,tabela_registros[CATEGORIA],investirrendavariávelconsolidadofev[[#This Row],[ATUAL]])</f>
        <v>0</v>
      </c>
      <c r="K140" s="91">
        <f>SUMIFS(tabela_registros[VALOR],tabela_registros[MÊS],$AE$1,tabela_registros[DIA],investirrendavariávelconsolidadofev[[#Headers],[7]],tabela_registros[REGISTRO],DADOS!$N$5,tabela_registros[TIPO],DADOS!$AB$4,tabela_registros[CATEGORIA],investirrendavariávelconsolidadofev[[#This Row],[ATUAL]])</f>
        <v>0</v>
      </c>
      <c r="L140" s="91">
        <f>SUMIFS(tabela_registros[VALOR],tabela_registros[MÊS],$AE$1,tabela_registros[DIA],investirrendavariávelconsolidadofev[[#Headers],[8]],tabela_registros[REGISTRO],DADOS!$N$5,tabela_registros[TIPO],DADOS!$AB$4,tabela_registros[CATEGORIA],investirrendavariávelconsolidadofev[[#This Row],[ATUAL]])</f>
        <v>0</v>
      </c>
      <c r="M140" s="91">
        <f>SUMIFS(tabela_registros[VALOR],tabela_registros[MÊS],$AE$1,tabela_registros[DIA],investirrendavariávelconsolidadofev[[#Headers],[9]],tabela_registros[REGISTRO],DADOS!$N$5,tabela_registros[TIPO],DADOS!$AB$4,tabela_registros[CATEGORIA],investirrendavariávelconsolidadofev[[#This Row],[ATUAL]])</f>
        <v>0</v>
      </c>
      <c r="N140" s="91">
        <f>SUMIFS(tabela_registros[VALOR],tabela_registros[MÊS],$AE$1,tabela_registros[DIA],investirrendavariávelconsolidadofev[[#Headers],[10]],tabela_registros[REGISTRO],DADOS!$N$5,tabela_registros[TIPO],DADOS!$AB$4,tabela_registros[CATEGORIA],investirrendavariávelconsolidadofev[[#This Row],[ATUAL]])</f>
        <v>0</v>
      </c>
      <c r="O140" s="91">
        <f>SUMIFS(tabela_registros[VALOR],tabela_registros[MÊS],$AE$1,tabela_registros[DIA],investirrendavariávelconsolidadofev[[#Headers],[11]],tabela_registros[REGISTRO],DADOS!$N$5,tabela_registros[TIPO],DADOS!$AB$4,tabela_registros[CATEGORIA],investirrendavariávelconsolidadofev[[#This Row],[ATUAL]])</f>
        <v>0</v>
      </c>
      <c r="P140" s="91">
        <f>SUMIFS(tabela_registros[VALOR],tabela_registros[MÊS],$AE$1,tabela_registros[DIA],investirrendavariávelconsolidadofev[[#Headers],[12]],tabela_registros[REGISTRO],DADOS!$N$5,tabela_registros[TIPO],DADOS!$AB$4,tabela_registros[CATEGORIA],investirrendavariávelconsolidadofev[[#This Row],[ATUAL]])</f>
        <v>0</v>
      </c>
      <c r="Q140" s="91">
        <f>SUMIFS(tabela_registros[VALOR],tabela_registros[MÊS],$AE$1,tabela_registros[DIA],investirrendavariávelconsolidadofev[[#Headers],[13]],tabela_registros[REGISTRO],DADOS!$N$5,tabela_registros[TIPO],DADOS!$AB$4,tabela_registros[CATEGORIA],investirrendavariávelconsolidadofev[[#This Row],[ATUAL]])</f>
        <v>0</v>
      </c>
      <c r="R140" s="91">
        <f>SUMIFS(tabela_registros[VALOR],tabela_registros[MÊS],$AE$1,tabela_registros[DIA],investirrendavariávelconsolidadofev[[#Headers],[14]],tabela_registros[REGISTRO],DADOS!$N$5,tabela_registros[TIPO],DADOS!$AB$4,tabela_registros[CATEGORIA],investirrendavariávelconsolidadofev[[#This Row],[ATUAL]])</f>
        <v>0</v>
      </c>
      <c r="S140" s="91">
        <f>SUMIFS(tabela_registros[VALOR],tabela_registros[MÊS],$AE$1,tabela_registros[DIA],investirrendavariávelconsolidadofev[[#Headers],[15]],tabela_registros[REGISTRO],DADOS!$N$5,tabela_registros[TIPO],DADOS!$AB$4,tabela_registros[CATEGORIA],investirrendavariávelconsolidadofev[[#This Row],[ATUAL]])</f>
        <v>0</v>
      </c>
      <c r="T140" s="91">
        <f>SUMIFS(tabela_registros[VALOR],tabela_registros[MÊS],$AE$1,tabela_registros[DIA],investirrendavariávelconsolidadofev[[#Headers],[16]],tabela_registros[REGISTRO],DADOS!$N$5,tabela_registros[TIPO],DADOS!$AB$4,tabela_registros[CATEGORIA],investirrendavariávelconsolidadofev[[#This Row],[ATUAL]])</f>
        <v>0</v>
      </c>
      <c r="U140" s="91">
        <f>SUMIFS(tabela_registros[VALOR],tabela_registros[MÊS],$AE$1,tabela_registros[DIA],investirrendavariávelconsolidadofev[[#Headers],[17]],tabela_registros[REGISTRO],DADOS!$N$5,tabela_registros[TIPO],DADOS!$AB$4,tabela_registros[CATEGORIA],investirrendavariávelconsolidadofev[[#This Row],[ATUAL]])</f>
        <v>0</v>
      </c>
      <c r="V140" s="91">
        <f>SUMIFS(tabela_registros[VALOR],tabela_registros[MÊS],$AE$1,tabela_registros[DIA],investirrendavariávelconsolidadofev[[#Headers],[18]],tabela_registros[REGISTRO],DADOS!$N$5,tabela_registros[TIPO],DADOS!$AB$4,tabela_registros[CATEGORIA],investirrendavariávelconsolidadofev[[#This Row],[ATUAL]])</f>
        <v>0</v>
      </c>
      <c r="W140" s="91">
        <f>SUMIFS(tabela_registros[VALOR],tabela_registros[MÊS],$AE$1,tabela_registros[DIA],investirrendavariávelconsolidadofev[[#Headers],[19]],tabela_registros[REGISTRO],DADOS!$N$5,tabela_registros[TIPO],DADOS!$AB$4,tabela_registros[CATEGORIA],investirrendavariávelconsolidadofev[[#This Row],[ATUAL]])</f>
        <v>0</v>
      </c>
      <c r="X140" s="91">
        <f>SUMIFS(tabela_registros[VALOR],tabela_registros[MÊS],$AE$1,tabela_registros[DIA],investirrendavariávelconsolidadofev[[#Headers],[20]],tabela_registros[REGISTRO],DADOS!$N$5,tabela_registros[TIPO],DADOS!$AB$4,tabela_registros[CATEGORIA],investirrendavariávelconsolidadofev[[#This Row],[ATUAL]])</f>
        <v>0</v>
      </c>
      <c r="Y140" s="91">
        <f>SUMIFS(tabela_registros[VALOR],tabela_registros[MÊS],$AE$1,tabela_registros[DIA],investirrendavariávelconsolidadofev[[#Headers],[21]],tabela_registros[REGISTRO],DADOS!$N$5,tabela_registros[TIPO],DADOS!$AB$4,tabela_registros[CATEGORIA],investirrendavariávelconsolidadofev[[#This Row],[ATUAL]])</f>
        <v>0</v>
      </c>
      <c r="Z140" s="91">
        <f>SUMIFS(tabela_registros[VALOR],tabela_registros[MÊS],$AE$1,tabela_registros[DIA],investirrendavariávelconsolidadofev[[#Headers],[22]],tabela_registros[REGISTRO],DADOS!$N$5,tabela_registros[TIPO],DADOS!$AB$4,tabela_registros[CATEGORIA],investirrendavariávelconsolidadofev[[#This Row],[ATUAL]])</f>
        <v>0</v>
      </c>
      <c r="AA140" s="91">
        <f>SUMIFS(tabela_registros[VALOR],tabela_registros[MÊS],$AE$1,tabela_registros[DIA],investirrendavariávelconsolidadofev[[#Headers],[23]],tabela_registros[REGISTRO],DADOS!$N$5,tabela_registros[TIPO],DADOS!$AB$4,tabela_registros[CATEGORIA],investirrendavariávelconsolidadofev[[#This Row],[ATUAL]])</f>
        <v>0</v>
      </c>
      <c r="AB140" s="91">
        <f>SUMIFS(tabela_registros[VALOR],tabela_registros[MÊS],$AE$1,tabela_registros[DIA],investirrendavariávelconsolidadofev[[#Headers],[24]],tabela_registros[REGISTRO],DADOS!$N$5,tabela_registros[TIPO],DADOS!$AB$4,tabela_registros[CATEGORIA],investirrendavariávelconsolidadofev[[#This Row],[ATUAL]])</f>
        <v>0</v>
      </c>
      <c r="AC140" s="91">
        <f>SUMIFS(tabela_registros[VALOR],tabela_registros[MÊS],$AE$1,tabela_registros[DIA],investirrendavariávelconsolidadofev[[#Headers],[25]],tabela_registros[REGISTRO],DADOS!$N$5,tabela_registros[TIPO],DADOS!$AB$4,tabela_registros[CATEGORIA],investirrendavariávelconsolidadofev[[#This Row],[ATUAL]])</f>
        <v>0</v>
      </c>
      <c r="AD140" s="91">
        <f>SUMIFS(tabela_registros[VALOR],tabela_registros[MÊS],$AE$1,tabela_registros[DIA],investirrendavariávelconsolidadofev[[#Headers],[26]],tabela_registros[REGISTRO],DADOS!$N$5,tabela_registros[TIPO],DADOS!$AB$4,tabela_registros[CATEGORIA],investirrendavariávelconsolidadofev[[#This Row],[ATUAL]])</f>
        <v>0</v>
      </c>
      <c r="AE140" s="91">
        <f>SUMIFS(tabela_registros[VALOR],tabela_registros[MÊS],$AE$1,tabela_registros[DIA],investirrendavariávelconsolidadofev[[#Headers],[27]],tabela_registros[REGISTRO],DADOS!$N$5,tabela_registros[TIPO],DADOS!$AB$4,tabela_registros[CATEGORIA],investirrendavariávelconsolidadofev[[#This Row],[ATUAL]])</f>
        <v>0</v>
      </c>
      <c r="AF140" s="91">
        <f>SUMIFS(tabela_registros[VALOR],tabela_registros[MÊS],$AE$1,tabela_registros[DIA],investirrendavariávelconsolidadofev[[#Headers],[28]],tabela_registros[REGISTRO],DADOS!$N$5,tabela_registros[TIPO],DADOS!$AB$4,tabela_registros[CATEGORIA],investirrendavariávelconsolidadofev[[#This Row],[ATUAL]])</f>
        <v>0</v>
      </c>
      <c r="AG140" s="91">
        <f>SUMIFS(tabela_registros[VALOR],tabela_registros[MÊS],$AE$1,tabela_registros[DIA],investirrendavariávelconsolidadofev[[#Headers],[29]],tabela_registros[REGISTRO],DADOS!$N$5,tabela_registros[TIPO],DADOS!$AB$4,tabela_registros[CATEGORIA],investirrendavariávelconsolidadofev[[#This Row],[ATUAL]])</f>
        <v>0</v>
      </c>
      <c r="AH140" s="91">
        <f>SUMIFS(tabela_registros[VALOR],tabela_registros[MÊS],$AE$1,tabela_registros[DIA],investirrendavariávelconsolidadofev[[#Headers],[30]],tabela_registros[REGISTRO],DADOS!$N$5,tabela_registros[TIPO],DADOS!$AB$4,tabela_registros[CATEGORIA],investirrendavariávelconsolidadofev[[#This Row],[ATUAL]])</f>
        <v>0</v>
      </c>
      <c r="AI140" s="101">
        <f>SUMIFS(tabela_registros[VALOR],tabela_registros[MÊS],$AE$1,tabela_registros[DIA],investirrendavariávelconsolidadofev[[#Headers],[31]],tabela_registros[REGISTRO],DADOS!$N$5,tabela_registros[TIPO],DADOS!$AB$4,tabela_registros[CATEGORIA],investirrendavariávelconsolidadofev[[#This Row],[ATUAL]])</f>
        <v>0</v>
      </c>
      <c r="AJ140" s="97">
        <f>SUM(investirrendavariávelconsolidadofev[[#This Row],[1]:[31]])</f>
        <v>0</v>
      </c>
      <c r="AK140" s="25"/>
    </row>
    <row r="141" spans="2:37" ht="19.5" customHeight="1" thickTop="1" thickBot="1" x14ac:dyDescent="0.3">
      <c r="B141" s="28"/>
      <c r="C141" s="27" t="str">
        <f>DADOS!$AF$12</f>
        <v>📎 OUTROS</v>
      </c>
      <c r="D141" s="26" t="str">
        <f>IF(investirrendavariávelconsolidadofev[[#This Row],[TOTAL (R$)]]=0,"",IF(OR(investirrendavariávelconsolidadofev[[#This Row],[TOTAL (R$)]]=LARGE($AJ$132:$AJ$141,1),investirrendavariávelconsolidadofev[[#This Row],[TOTAL (R$)]]=LARGE($AJ$132:$AJ$141,2)),DADOS!$I$10,""))</f>
        <v/>
      </c>
      <c r="E141" s="96">
        <f>SUMIFS(tabela_registros[VALOR],tabela_registros[MÊS],$AE$1,tabela_registros[DIA],investirrendavariávelconsolidadofev[[#Headers],[1]],tabela_registros[REGISTRO],DADOS!$N$5,tabela_registros[TIPO],DADOS!$AB$4,tabela_registros[CATEGORIA],investirrendavariávelconsolidadofev[[#This Row],[ATUAL]])</f>
        <v>0</v>
      </c>
      <c r="F141" s="91">
        <f>SUMIFS(tabela_registros[VALOR],tabela_registros[MÊS],$AE$1,tabela_registros[DIA],investirrendavariávelconsolidadofev[[#Headers],[2]],tabela_registros[REGISTRO],DADOS!$N$5,tabela_registros[TIPO],DADOS!$AB$4,tabela_registros[CATEGORIA],investirrendavariávelconsolidadofev[[#This Row],[ATUAL]])</f>
        <v>0</v>
      </c>
      <c r="G141" s="91">
        <f>SUMIFS(tabela_registros[VALOR],tabela_registros[MÊS],$AE$1,tabela_registros[DIA],investirrendavariávelconsolidadofev[[#Headers],[3]],tabela_registros[REGISTRO],DADOS!$N$5,tabela_registros[TIPO],DADOS!$AB$4,tabela_registros[CATEGORIA],investirrendavariávelconsolidadofev[[#This Row],[ATUAL]])</f>
        <v>0</v>
      </c>
      <c r="H141" s="91">
        <f>SUMIFS(tabela_registros[VALOR],tabela_registros[MÊS],$AE$1,tabela_registros[DIA],investirrendavariávelconsolidadofev[[#Headers],[4]],tabela_registros[REGISTRO],DADOS!$N$5,tabela_registros[TIPO],DADOS!$AB$4,tabela_registros[CATEGORIA],investirrendavariávelconsolidadofev[[#This Row],[ATUAL]])</f>
        <v>0</v>
      </c>
      <c r="I141" s="91">
        <f>SUMIFS(tabela_registros[VALOR],tabela_registros[MÊS],$AE$1,tabela_registros[DIA],investirrendavariávelconsolidadofev[[#Headers],[5]],tabela_registros[REGISTRO],DADOS!$N$5,tabela_registros[TIPO],DADOS!$AB$4,tabela_registros[CATEGORIA],investirrendavariávelconsolidadofev[[#This Row],[ATUAL]])</f>
        <v>0</v>
      </c>
      <c r="J141" s="91">
        <f>SUMIFS(tabela_registros[VALOR],tabela_registros[MÊS],$AE$1,tabela_registros[DIA],investirrendavariávelconsolidadofev[[#Headers],[6]],tabela_registros[REGISTRO],DADOS!$N$5,tabela_registros[TIPO],DADOS!$AB$4,tabela_registros[CATEGORIA],investirrendavariávelconsolidadofev[[#This Row],[ATUAL]])</f>
        <v>0</v>
      </c>
      <c r="K141" s="91">
        <f>SUMIFS(tabela_registros[VALOR],tabela_registros[MÊS],$AE$1,tabela_registros[DIA],investirrendavariávelconsolidadofev[[#Headers],[7]],tabela_registros[REGISTRO],DADOS!$N$5,tabela_registros[TIPO],DADOS!$AB$4,tabela_registros[CATEGORIA],investirrendavariávelconsolidadofev[[#This Row],[ATUAL]])</f>
        <v>0</v>
      </c>
      <c r="L141" s="91">
        <f>SUMIFS(tabela_registros[VALOR],tabela_registros[MÊS],$AE$1,tabela_registros[DIA],investirrendavariávelconsolidadofev[[#Headers],[8]],tabela_registros[REGISTRO],DADOS!$N$5,tabela_registros[TIPO],DADOS!$AB$4,tabela_registros[CATEGORIA],investirrendavariávelconsolidadofev[[#This Row],[ATUAL]])</f>
        <v>0</v>
      </c>
      <c r="M141" s="91">
        <f>SUMIFS(tabela_registros[VALOR],tabela_registros[MÊS],$AE$1,tabela_registros[DIA],investirrendavariávelconsolidadofev[[#Headers],[9]],tabela_registros[REGISTRO],DADOS!$N$5,tabela_registros[TIPO],DADOS!$AB$4,tabela_registros[CATEGORIA],investirrendavariávelconsolidadofev[[#This Row],[ATUAL]])</f>
        <v>0</v>
      </c>
      <c r="N141" s="91">
        <f>SUMIFS(tabela_registros[VALOR],tabela_registros[MÊS],$AE$1,tabela_registros[DIA],investirrendavariávelconsolidadofev[[#Headers],[10]],tabela_registros[REGISTRO],DADOS!$N$5,tabela_registros[TIPO],DADOS!$AB$4,tabela_registros[CATEGORIA],investirrendavariávelconsolidadofev[[#This Row],[ATUAL]])</f>
        <v>0</v>
      </c>
      <c r="O141" s="91">
        <f>SUMIFS(tabela_registros[VALOR],tabela_registros[MÊS],$AE$1,tabela_registros[DIA],investirrendavariávelconsolidadofev[[#Headers],[11]],tabela_registros[REGISTRO],DADOS!$N$5,tabela_registros[TIPO],DADOS!$AB$4,tabela_registros[CATEGORIA],investirrendavariávelconsolidadofev[[#This Row],[ATUAL]])</f>
        <v>0</v>
      </c>
      <c r="P141" s="91">
        <f>SUMIFS(tabela_registros[VALOR],tabela_registros[MÊS],$AE$1,tabela_registros[DIA],investirrendavariávelconsolidadofev[[#Headers],[12]],tabela_registros[REGISTRO],DADOS!$N$5,tabela_registros[TIPO],DADOS!$AB$4,tabela_registros[CATEGORIA],investirrendavariávelconsolidadofev[[#This Row],[ATUAL]])</f>
        <v>0</v>
      </c>
      <c r="Q141" s="91">
        <f>SUMIFS(tabela_registros[VALOR],tabela_registros[MÊS],$AE$1,tabela_registros[DIA],investirrendavariávelconsolidadofev[[#Headers],[13]],tabela_registros[REGISTRO],DADOS!$N$5,tabela_registros[TIPO],DADOS!$AB$4,tabela_registros[CATEGORIA],investirrendavariávelconsolidadofev[[#This Row],[ATUAL]])</f>
        <v>0</v>
      </c>
      <c r="R141" s="91">
        <f>SUMIFS(tabela_registros[VALOR],tabela_registros[MÊS],$AE$1,tabela_registros[DIA],investirrendavariávelconsolidadofev[[#Headers],[14]],tabela_registros[REGISTRO],DADOS!$N$5,tabela_registros[TIPO],DADOS!$AB$4,tabela_registros[CATEGORIA],investirrendavariávelconsolidadofev[[#This Row],[ATUAL]])</f>
        <v>0</v>
      </c>
      <c r="S141" s="91">
        <f>SUMIFS(tabela_registros[VALOR],tabela_registros[MÊS],$AE$1,tabela_registros[DIA],investirrendavariávelconsolidadofev[[#Headers],[15]],tabela_registros[REGISTRO],DADOS!$N$5,tabela_registros[TIPO],DADOS!$AB$4,tabela_registros[CATEGORIA],investirrendavariávelconsolidadofev[[#This Row],[ATUAL]])</f>
        <v>0</v>
      </c>
      <c r="T141" s="91">
        <f>SUMIFS(tabela_registros[VALOR],tabela_registros[MÊS],$AE$1,tabela_registros[DIA],investirrendavariávelconsolidadofev[[#Headers],[16]],tabela_registros[REGISTRO],DADOS!$N$5,tabela_registros[TIPO],DADOS!$AB$4,tabela_registros[CATEGORIA],investirrendavariávelconsolidadofev[[#This Row],[ATUAL]])</f>
        <v>0</v>
      </c>
      <c r="U141" s="91">
        <f>SUMIFS(tabela_registros[VALOR],tabela_registros[MÊS],$AE$1,tabela_registros[DIA],investirrendavariávelconsolidadofev[[#Headers],[17]],tabela_registros[REGISTRO],DADOS!$N$5,tabela_registros[TIPO],DADOS!$AB$4,tabela_registros[CATEGORIA],investirrendavariávelconsolidadofev[[#This Row],[ATUAL]])</f>
        <v>0</v>
      </c>
      <c r="V141" s="91">
        <f>SUMIFS(tabela_registros[VALOR],tabela_registros[MÊS],$AE$1,tabela_registros[DIA],investirrendavariávelconsolidadofev[[#Headers],[18]],tabela_registros[REGISTRO],DADOS!$N$5,tabela_registros[TIPO],DADOS!$AB$4,tabela_registros[CATEGORIA],investirrendavariávelconsolidadofev[[#This Row],[ATUAL]])</f>
        <v>0</v>
      </c>
      <c r="W141" s="91">
        <f>SUMIFS(tabela_registros[VALOR],tabela_registros[MÊS],$AE$1,tabela_registros[DIA],investirrendavariávelconsolidadofev[[#Headers],[19]],tabela_registros[REGISTRO],DADOS!$N$5,tabela_registros[TIPO],DADOS!$AB$4,tabela_registros[CATEGORIA],investirrendavariávelconsolidadofev[[#This Row],[ATUAL]])</f>
        <v>0</v>
      </c>
      <c r="X141" s="91">
        <f>SUMIFS(tabela_registros[VALOR],tabela_registros[MÊS],$AE$1,tabela_registros[DIA],investirrendavariávelconsolidadofev[[#Headers],[20]],tabela_registros[REGISTRO],DADOS!$N$5,tabela_registros[TIPO],DADOS!$AB$4,tabela_registros[CATEGORIA],investirrendavariávelconsolidadofev[[#This Row],[ATUAL]])</f>
        <v>0</v>
      </c>
      <c r="Y141" s="91">
        <f>SUMIFS(tabela_registros[VALOR],tabela_registros[MÊS],$AE$1,tabela_registros[DIA],investirrendavariávelconsolidadofev[[#Headers],[21]],tabela_registros[REGISTRO],DADOS!$N$5,tabela_registros[TIPO],DADOS!$AB$4,tabela_registros[CATEGORIA],investirrendavariávelconsolidadofev[[#This Row],[ATUAL]])</f>
        <v>0</v>
      </c>
      <c r="Z141" s="91">
        <f>SUMIFS(tabela_registros[VALOR],tabela_registros[MÊS],$AE$1,tabela_registros[DIA],investirrendavariávelconsolidadofev[[#Headers],[22]],tabela_registros[REGISTRO],DADOS!$N$5,tabela_registros[TIPO],DADOS!$AB$4,tabela_registros[CATEGORIA],investirrendavariávelconsolidadofev[[#This Row],[ATUAL]])</f>
        <v>0</v>
      </c>
      <c r="AA141" s="91">
        <f>SUMIFS(tabela_registros[VALOR],tabela_registros[MÊS],$AE$1,tabela_registros[DIA],investirrendavariávelconsolidadofev[[#Headers],[23]],tabela_registros[REGISTRO],DADOS!$N$5,tabela_registros[TIPO],DADOS!$AB$4,tabela_registros[CATEGORIA],investirrendavariávelconsolidadofev[[#This Row],[ATUAL]])</f>
        <v>0</v>
      </c>
      <c r="AB141" s="91">
        <f>SUMIFS(tabela_registros[VALOR],tabela_registros[MÊS],$AE$1,tabela_registros[DIA],investirrendavariávelconsolidadofev[[#Headers],[24]],tabela_registros[REGISTRO],DADOS!$N$5,tabela_registros[TIPO],DADOS!$AB$4,tabela_registros[CATEGORIA],investirrendavariávelconsolidadofev[[#This Row],[ATUAL]])</f>
        <v>0</v>
      </c>
      <c r="AC141" s="91">
        <f>SUMIFS(tabela_registros[VALOR],tabela_registros[MÊS],$AE$1,tabela_registros[DIA],investirrendavariávelconsolidadofev[[#Headers],[25]],tabela_registros[REGISTRO],DADOS!$N$5,tabela_registros[TIPO],DADOS!$AB$4,tabela_registros[CATEGORIA],investirrendavariávelconsolidadofev[[#This Row],[ATUAL]])</f>
        <v>0</v>
      </c>
      <c r="AD141" s="91">
        <f>SUMIFS(tabela_registros[VALOR],tabela_registros[MÊS],$AE$1,tabela_registros[DIA],investirrendavariávelconsolidadofev[[#Headers],[26]],tabela_registros[REGISTRO],DADOS!$N$5,tabela_registros[TIPO],DADOS!$AB$4,tabela_registros[CATEGORIA],investirrendavariávelconsolidadofev[[#This Row],[ATUAL]])</f>
        <v>0</v>
      </c>
      <c r="AE141" s="91">
        <f>SUMIFS(tabela_registros[VALOR],tabela_registros[MÊS],$AE$1,tabela_registros[DIA],investirrendavariávelconsolidadofev[[#Headers],[27]],tabela_registros[REGISTRO],DADOS!$N$5,tabela_registros[TIPO],DADOS!$AB$4,tabela_registros[CATEGORIA],investirrendavariávelconsolidadofev[[#This Row],[ATUAL]])</f>
        <v>0</v>
      </c>
      <c r="AF141" s="91">
        <f>SUMIFS(tabela_registros[VALOR],tabela_registros[MÊS],$AE$1,tabela_registros[DIA],investirrendavariávelconsolidadofev[[#Headers],[28]],tabela_registros[REGISTRO],DADOS!$N$5,tabela_registros[TIPO],DADOS!$AB$4,tabela_registros[CATEGORIA],investirrendavariávelconsolidadofev[[#This Row],[ATUAL]])</f>
        <v>0</v>
      </c>
      <c r="AG141" s="91">
        <f>SUMIFS(tabela_registros[VALOR],tabela_registros[MÊS],$AE$1,tabela_registros[DIA],investirrendavariávelconsolidadofev[[#Headers],[29]],tabela_registros[REGISTRO],DADOS!$N$5,tabela_registros[TIPO],DADOS!$AB$4,tabela_registros[CATEGORIA],investirrendavariávelconsolidadofev[[#This Row],[ATUAL]])</f>
        <v>0</v>
      </c>
      <c r="AH141" s="91">
        <f>SUMIFS(tabela_registros[VALOR],tabela_registros[MÊS],$AE$1,tabela_registros[DIA],investirrendavariávelconsolidadofev[[#Headers],[30]],tabela_registros[REGISTRO],DADOS!$N$5,tabela_registros[TIPO],DADOS!$AB$4,tabela_registros[CATEGORIA],investirrendavariávelconsolidadofev[[#This Row],[ATUAL]])</f>
        <v>0</v>
      </c>
      <c r="AI141" s="101">
        <f>SUMIFS(tabela_registros[VALOR],tabela_registros[MÊS],$AE$1,tabela_registros[DIA],investirrendavariávelconsolidadofev[[#Headers],[31]],tabela_registros[REGISTRO],DADOS!$N$5,tabela_registros[TIPO],DADOS!$AB$4,tabela_registros[CATEGORIA],investirrendavariávelconsolidadofev[[#This Row],[ATUAL]])</f>
        <v>0</v>
      </c>
      <c r="AJ141" s="97">
        <f>SUM(investirrendavariávelconsolidadofev[[#This Row],[1]:[31]])</f>
        <v>0</v>
      </c>
      <c r="AK141" s="25"/>
    </row>
    <row r="142" spans="2:37" s="16" customFormat="1" ht="21" customHeight="1" thickTop="1" thickBot="1" x14ac:dyDescent="0.35">
      <c r="B142" s="24"/>
      <c r="C142" s="23" t="s">
        <v>19</v>
      </c>
      <c r="D142" s="22"/>
      <c r="E142" s="21">
        <f>SUM(E132:E141)</f>
        <v>0</v>
      </c>
      <c r="F142" s="20">
        <f>SUM(F132:F141)+investirrendavariávelconsolidadofev[[#This Row],[1]]</f>
        <v>1230</v>
      </c>
      <c r="G142" s="20">
        <f>SUM(G132:G141)+investirrendavariávelconsolidadofev[[#This Row],[2]]</f>
        <v>1230</v>
      </c>
      <c r="H142" s="20">
        <f>SUM(H132:H141)+investirrendavariávelconsolidadofev[[#This Row],[3]]</f>
        <v>1230</v>
      </c>
      <c r="I142" s="20">
        <f>SUM(I132:I141)+investirrendavariávelconsolidadofev[[#This Row],[4]]</f>
        <v>1230</v>
      </c>
      <c r="J142" s="20">
        <f>SUM(J132:J141)+investirrendavariávelconsolidadofev[[#This Row],[5]]</f>
        <v>1230</v>
      </c>
      <c r="K142" s="20">
        <f>SUM(K132:K141)+investirrendavariávelconsolidadofev[[#This Row],[6]]</f>
        <v>1230</v>
      </c>
      <c r="L142" s="20">
        <f>SUM(L132:L141)+investirrendavariávelconsolidadofev[[#This Row],[7]]</f>
        <v>1230</v>
      </c>
      <c r="M142" s="20">
        <f>SUM(M132:M141)+investirrendavariávelconsolidadofev[[#This Row],[8]]</f>
        <v>1230</v>
      </c>
      <c r="N142" s="20">
        <f>SUM(N132:N141)+investirrendavariávelconsolidadofev[[#This Row],[9]]</f>
        <v>1230</v>
      </c>
      <c r="O142" s="20">
        <f>SUM(O132:O141)+investirrendavariávelconsolidadofev[[#This Row],[10]]</f>
        <v>1230</v>
      </c>
      <c r="P142" s="20">
        <f>SUM(P132:P141)+investirrendavariávelconsolidadofev[[#This Row],[11]]</f>
        <v>1230</v>
      </c>
      <c r="Q142" s="20">
        <f>SUM(Q132:Q141)+investirrendavariávelconsolidadofev[[#This Row],[12]]</f>
        <v>1230</v>
      </c>
      <c r="R142" s="20">
        <f>SUM(R132:R141)+investirrendavariávelconsolidadofev[[#This Row],[13]]</f>
        <v>1230</v>
      </c>
      <c r="S142" s="20">
        <f>SUM(S132:S141)+investirrendavariávelconsolidadofev[[#This Row],[14]]</f>
        <v>1230</v>
      </c>
      <c r="T142" s="20">
        <f>SUM(T132:T141)+investirrendavariávelconsolidadofev[[#This Row],[15]]</f>
        <v>1230</v>
      </c>
      <c r="U142" s="20">
        <f>SUM(U132:U141)+investirrendavariávelconsolidadofev[[#This Row],[16]]</f>
        <v>1230</v>
      </c>
      <c r="V142" s="20">
        <f>SUM(V132:V141)+investirrendavariávelconsolidadofev[[#This Row],[17]]</f>
        <v>1230</v>
      </c>
      <c r="W142" s="20">
        <f>SUM(W132:W141)+investirrendavariávelconsolidadofev[[#This Row],[18]]</f>
        <v>1230</v>
      </c>
      <c r="X142" s="20">
        <f>SUM(X132:X141)+investirrendavariávelconsolidadofev[[#This Row],[19]]</f>
        <v>1230</v>
      </c>
      <c r="Y142" s="20">
        <f>SUM(Y132:Y141)+investirrendavariávelconsolidadofev[[#This Row],[20]]</f>
        <v>1230</v>
      </c>
      <c r="Z142" s="20">
        <f>SUM(Z132:Z141)+investirrendavariávelconsolidadofev[[#This Row],[21]]</f>
        <v>1230</v>
      </c>
      <c r="AA142" s="20">
        <f>SUM(AA132:AA141)+investirrendavariávelconsolidadofev[[#This Row],[22]]</f>
        <v>1230</v>
      </c>
      <c r="AB142" s="20">
        <f>SUM(AB132:AB141)+investirrendavariávelconsolidadofev[[#This Row],[23]]</f>
        <v>1230</v>
      </c>
      <c r="AC142" s="20">
        <f>SUM(AC132:AC141)+investirrendavariávelconsolidadofev[[#This Row],[24]]</f>
        <v>1230</v>
      </c>
      <c r="AD142" s="20">
        <f>SUM(AD132:AD141)+investirrendavariávelconsolidadofev[[#This Row],[25]]</f>
        <v>1230</v>
      </c>
      <c r="AE142" s="20">
        <f>SUM(AE132:AE141)+investirrendavariávelconsolidadofev[[#This Row],[26]]</f>
        <v>1230</v>
      </c>
      <c r="AF142" s="20">
        <f>SUM(AF132:AF141)+investirrendavariávelconsolidadofev[[#This Row],[27]]</f>
        <v>1230</v>
      </c>
      <c r="AG142" s="20">
        <f>SUM(AG132:AG141)+investirrendavariávelconsolidadofev[[#This Row],[28]]</f>
        <v>1230</v>
      </c>
      <c r="AH142" s="20">
        <f>SUM(AH132:AH141)+investirrendavariávelconsolidadofev[[#This Row],[29]]</f>
        <v>1230</v>
      </c>
      <c r="AI142" s="19">
        <f>SUM(AI132:AI141)+investirrendavariávelconsolidadofev[[#This Row],[30]]</f>
        <v>1230</v>
      </c>
      <c r="AJ142" s="18">
        <f>investirrendavariávelconsolidadofev[[#This Row],[31]]</f>
        <v>1230</v>
      </c>
      <c r="AK142" s="17"/>
    </row>
    <row r="143" spans="2:37" ht="6.75" customHeight="1" thickTop="1" thickBot="1" x14ac:dyDescent="0.3">
      <c r="B143" s="15"/>
      <c r="C143" s="14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  <c r="AE143" s="13"/>
      <c r="AF143" s="13"/>
      <c r="AG143" s="13"/>
      <c r="AH143" s="13"/>
      <c r="AI143" s="12"/>
      <c r="AJ143" s="11"/>
      <c r="AK143" s="10"/>
    </row>
    <row r="144" spans="2:37" ht="12.6" thickTop="1" x14ac:dyDescent="0.25">
      <c r="E144" s="37"/>
      <c r="AI144" s="4"/>
    </row>
    <row r="145" spans="2:37" x14ac:dyDescent="0.25">
      <c r="AI145" s="4"/>
    </row>
    <row r="146" spans="2:37" x14ac:dyDescent="0.25">
      <c r="AI146" s="4"/>
    </row>
    <row r="147" spans="2:37" ht="39.75" customHeight="1" x14ac:dyDescent="0.7">
      <c r="C147" s="36"/>
      <c r="E147" s="240"/>
      <c r="F147" s="240"/>
      <c r="G147" s="240"/>
      <c r="H147" s="240"/>
      <c r="I147" s="240"/>
      <c r="J147" s="240"/>
      <c r="K147" s="240"/>
      <c r="L147" s="240"/>
      <c r="M147" s="240"/>
      <c r="N147" s="240"/>
      <c r="O147" s="240"/>
      <c r="P147" s="240"/>
      <c r="Q147" s="240"/>
      <c r="R147" s="240"/>
      <c r="S147" s="240"/>
      <c r="T147" s="240"/>
      <c r="U147" s="240"/>
      <c r="V147" s="240"/>
      <c r="W147" s="240"/>
      <c r="X147" s="240"/>
      <c r="Y147" s="240"/>
      <c r="Z147" s="240"/>
      <c r="AA147" s="240"/>
      <c r="AB147" s="240"/>
      <c r="AC147" s="240"/>
      <c r="AD147" s="240"/>
      <c r="AE147" s="240"/>
      <c r="AF147" s="240"/>
      <c r="AG147" s="240"/>
      <c r="AH147" s="240"/>
      <c r="AI147" s="240"/>
      <c r="AJ147" s="32" t="s">
        <v>19</v>
      </c>
    </row>
    <row r="148" spans="2:37" ht="12.6" thickBot="1" x14ac:dyDescent="0.3">
      <c r="B148" s="35"/>
      <c r="AI148" s="4"/>
      <c r="AJ148" s="34" t="s">
        <v>202</v>
      </c>
    </row>
    <row r="149" spans="2:37" ht="6.75" customHeight="1" thickTop="1" thickBot="1" x14ac:dyDescent="0.3">
      <c r="B149" s="2"/>
      <c r="C149" s="14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F149" s="13"/>
      <c r="AG149" s="13"/>
      <c r="AH149" s="13"/>
      <c r="AI149" s="13"/>
      <c r="AJ149" s="12"/>
      <c r="AK149" s="33"/>
    </row>
    <row r="150" spans="2:37" ht="13.2" hidden="1" thickTop="1" thickBot="1" x14ac:dyDescent="0.3">
      <c r="B150" s="2"/>
      <c r="C150" s="31" t="s">
        <v>199</v>
      </c>
      <c r="D150" s="30" t="s">
        <v>198</v>
      </c>
      <c r="E150" s="30" t="s">
        <v>197</v>
      </c>
      <c r="F150" s="30" t="s">
        <v>196</v>
      </c>
      <c r="G150" s="30" t="s">
        <v>195</v>
      </c>
      <c r="H150" s="30" t="s">
        <v>194</v>
      </c>
      <c r="I150" s="30" t="s">
        <v>193</v>
      </c>
      <c r="J150" s="30" t="s">
        <v>192</v>
      </c>
      <c r="K150" s="30" t="s">
        <v>191</v>
      </c>
      <c r="L150" s="30" t="s">
        <v>190</v>
      </c>
      <c r="M150" s="30" t="s">
        <v>189</v>
      </c>
      <c r="N150" s="30" t="s">
        <v>188</v>
      </c>
      <c r="O150" s="30" t="s">
        <v>187</v>
      </c>
      <c r="P150" s="30" t="s">
        <v>186</v>
      </c>
      <c r="Q150" s="30" t="s">
        <v>185</v>
      </c>
      <c r="R150" s="30" t="s">
        <v>184</v>
      </c>
      <c r="S150" s="30" t="s">
        <v>183</v>
      </c>
      <c r="T150" s="30" t="s">
        <v>182</v>
      </c>
      <c r="U150" s="30" t="s">
        <v>181</v>
      </c>
      <c r="V150" s="30" t="s">
        <v>180</v>
      </c>
      <c r="W150" s="30" t="s">
        <v>179</v>
      </c>
      <c r="X150" s="30" t="s">
        <v>178</v>
      </c>
      <c r="Y150" s="30" t="s">
        <v>177</v>
      </c>
      <c r="Z150" s="30" t="s">
        <v>176</v>
      </c>
      <c r="AA150" s="30" t="s">
        <v>175</v>
      </c>
      <c r="AB150" s="30" t="s">
        <v>174</v>
      </c>
      <c r="AC150" s="30" t="s">
        <v>173</v>
      </c>
      <c r="AD150" s="30" t="s">
        <v>172</v>
      </c>
      <c r="AE150" s="30" t="s">
        <v>171</v>
      </c>
      <c r="AF150" s="30" t="s">
        <v>170</v>
      </c>
      <c r="AG150" s="30" t="s">
        <v>169</v>
      </c>
      <c r="AH150" s="30" t="s">
        <v>168</v>
      </c>
      <c r="AI150" s="30" t="s">
        <v>167</v>
      </c>
      <c r="AJ150" s="29" t="s">
        <v>166</v>
      </c>
      <c r="AK150" s="2"/>
    </row>
    <row r="151" spans="2:37" ht="19.5" customHeight="1" thickTop="1" thickBot="1" x14ac:dyDescent="0.3">
      <c r="B151" s="28"/>
      <c r="C151" s="27" t="str">
        <f>DADOS!$AH$3</f>
        <v>📝 COE</v>
      </c>
      <c r="D151" s="26" t="str">
        <f>IF(investiroutrosconsolidadofev[[#This Row],[TOTAL (R$)]]=0,"",IF(OR(investiroutrosconsolidadofev[[#This Row],[TOTAL (R$)]]=LARGE($AJ$151:$AJ$158,1),investiroutrosconsolidadofev[[#This Row],[TOTAL (R$)]]=LARGE($AJ$151:$AJ$158,2)),DADOS!$I$10,""))</f>
        <v>💎</v>
      </c>
      <c r="E151" s="96">
        <f>SUMIFS(tabela_registros[VALOR],tabela_registros[MÊS],$AE$1,tabela_registros[DIA],investiroutrosconsolidadofev[[#Headers],[1]],tabela_registros[REGISTRO],DADOS!$N$5,tabela_registros[TIPO],DADOS!$AB$5,tabela_registros[CATEGORIA],investiroutrosconsolidadofev[[#This Row],[ATUAL]])</f>
        <v>0</v>
      </c>
      <c r="F151" s="91">
        <f>SUMIFS(tabela_registros[VALOR],tabela_registros[MÊS],$AE$1,tabela_registros[DIA],investiroutrosconsolidadofev[[#Headers],[2]],tabela_registros[REGISTRO],DADOS!$N$5,tabela_registros[TIPO],DADOS!$AB$5,tabela_registros[CATEGORIA],investiroutrosconsolidadofev[[#This Row],[ATUAL]])</f>
        <v>176</v>
      </c>
      <c r="G151" s="91">
        <f>SUMIFS(tabela_registros[VALOR],tabela_registros[MÊS],$AE$1,tabela_registros[DIA],investiroutrosconsolidadofev[[#Headers],[3]],tabela_registros[REGISTRO],DADOS!$N$5,tabela_registros[TIPO],DADOS!$AB$5,tabela_registros[CATEGORIA],investiroutrosconsolidadofev[[#This Row],[ATUAL]])</f>
        <v>0</v>
      </c>
      <c r="H151" s="91">
        <f>SUMIFS(tabela_registros[VALOR],tabela_registros[MÊS],$AE$1,tabela_registros[DIA],investiroutrosconsolidadofev[[#Headers],[4]],tabela_registros[REGISTRO],DADOS!$N$5,tabela_registros[TIPO],DADOS!$AB$5,tabela_registros[CATEGORIA],investiroutrosconsolidadofev[[#This Row],[ATUAL]])</f>
        <v>0</v>
      </c>
      <c r="I151" s="91">
        <f>SUMIFS(tabela_registros[VALOR],tabela_registros[MÊS],$AE$1,tabela_registros[DIA],investiroutrosconsolidadofev[[#Headers],[5]],tabela_registros[REGISTRO],DADOS!$N$5,tabela_registros[TIPO],DADOS!$AB$5,tabela_registros[CATEGORIA],investiroutrosconsolidadofev[[#This Row],[ATUAL]])</f>
        <v>0</v>
      </c>
      <c r="J151" s="91">
        <f>SUMIFS(tabela_registros[VALOR],tabela_registros[MÊS],$AE$1,tabela_registros[DIA],investiroutrosconsolidadofev[[#Headers],[6]],tabela_registros[REGISTRO],DADOS!$N$5,tabela_registros[TIPO],DADOS!$AB$5,tabela_registros[CATEGORIA],investiroutrosconsolidadofev[[#This Row],[ATUAL]])</f>
        <v>0</v>
      </c>
      <c r="K151" s="91">
        <f>SUMIFS(tabela_registros[VALOR],tabela_registros[MÊS],$AE$1,tabela_registros[DIA],investiroutrosconsolidadofev[[#Headers],[7]],tabela_registros[REGISTRO],DADOS!$N$5,tabela_registros[TIPO],DADOS!$AB$5,tabela_registros[CATEGORIA],investiroutrosconsolidadofev[[#This Row],[ATUAL]])</f>
        <v>0</v>
      </c>
      <c r="L151" s="91">
        <f>SUMIFS(tabela_registros[VALOR],tabela_registros[MÊS],$AE$1,tabela_registros[DIA],investiroutrosconsolidadofev[[#Headers],[8]],tabela_registros[REGISTRO],DADOS!$N$5,tabela_registros[TIPO],DADOS!$AB$5,tabela_registros[CATEGORIA],investiroutrosconsolidadofev[[#This Row],[ATUAL]])</f>
        <v>0</v>
      </c>
      <c r="M151" s="91">
        <f>SUMIFS(tabela_registros[VALOR],tabela_registros[MÊS],$AE$1,tabela_registros[DIA],investiroutrosconsolidadofev[[#Headers],[9]],tabela_registros[REGISTRO],DADOS!$N$5,tabela_registros[TIPO],DADOS!$AB$5,tabela_registros[CATEGORIA],investiroutrosconsolidadofev[[#This Row],[ATUAL]])</f>
        <v>0</v>
      </c>
      <c r="N151" s="91">
        <f>SUMIFS(tabela_registros[VALOR],tabela_registros[MÊS],$AE$1,tabela_registros[DIA],investiroutrosconsolidadofev[[#Headers],[10]],tabela_registros[REGISTRO],DADOS!$N$5,tabela_registros[TIPO],DADOS!$AB$5,tabela_registros[CATEGORIA],investiroutrosconsolidadofev[[#This Row],[ATUAL]])</f>
        <v>0</v>
      </c>
      <c r="O151" s="91">
        <f>SUMIFS(tabela_registros[VALOR],tabela_registros[MÊS],$AE$1,tabela_registros[DIA],investiroutrosconsolidadofev[[#Headers],[11]],tabela_registros[REGISTRO],DADOS!$N$5,tabela_registros[TIPO],DADOS!$AB$5,tabela_registros[CATEGORIA],investiroutrosconsolidadofev[[#This Row],[ATUAL]])</f>
        <v>0</v>
      </c>
      <c r="P151" s="91">
        <f>SUMIFS(tabela_registros[VALOR],tabela_registros[MÊS],$AE$1,tabela_registros[DIA],investiroutrosconsolidadofev[[#Headers],[12]],tabela_registros[REGISTRO],DADOS!$N$5,tabela_registros[TIPO],DADOS!$AB$5,tabela_registros[CATEGORIA],investiroutrosconsolidadofev[[#This Row],[ATUAL]])</f>
        <v>0</v>
      </c>
      <c r="Q151" s="91">
        <f>SUMIFS(tabela_registros[VALOR],tabela_registros[MÊS],$AE$1,tabela_registros[DIA],investiroutrosconsolidadofev[[#Headers],[13]],tabela_registros[REGISTRO],DADOS!$N$5,tabela_registros[TIPO],DADOS!$AB$5,tabela_registros[CATEGORIA],investiroutrosconsolidadofev[[#This Row],[ATUAL]])</f>
        <v>0</v>
      </c>
      <c r="R151" s="91">
        <f>SUMIFS(tabela_registros[VALOR],tabela_registros[MÊS],$AE$1,tabela_registros[DIA],investiroutrosconsolidadofev[[#Headers],[14]],tabela_registros[REGISTRO],DADOS!$N$5,tabela_registros[TIPO],DADOS!$AB$5,tabela_registros[CATEGORIA],investiroutrosconsolidadofev[[#This Row],[ATUAL]])</f>
        <v>0</v>
      </c>
      <c r="S151" s="91">
        <f>SUMIFS(tabela_registros[VALOR],tabela_registros[MÊS],$AE$1,tabela_registros[DIA],investiroutrosconsolidadofev[[#Headers],[15]],tabela_registros[REGISTRO],DADOS!$N$5,tabela_registros[TIPO],DADOS!$AB$5,tabela_registros[CATEGORIA],investiroutrosconsolidadofev[[#This Row],[ATUAL]])</f>
        <v>0</v>
      </c>
      <c r="T151" s="91">
        <f>SUMIFS(tabela_registros[VALOR],tabela_registros[MÊS],$AE$1,tabela_registros[DIA],investiroutrosconsolidadofev[[#Headers],[16]],tabela_registros[REGISTRO],DADOS!$N$5,tabela_registros[TIPO],DADOS!$AB$5,tabela_registros[CATEGORIA],investiroutrosconsolidadofev[[#This Row],[ATUAL]])</f>
        <v>0</v>
      </c>
      <c r="U151" s="91">
        <f>SUMIFS(tabela_registros[VALOR],tabela_registros[MÊS],$AE$1,tabela_registros[DIA],investiroutrosconsolidadofev[[#Headers],[17]],tabela_registros[REGISTRO],DADOS!$N$5,tabela_registros[TIPO],DADOS!$AB$5,tabela_registros[CATEGORIA],investiroutrosconsolidadofev[[#This Row],[ATUAL]])</f>
        <v>0</v>
      </c>
      <c r="V151" s="91">
        <f>SUMIFS(tabela_registros[VALOR],tabela_registros[MÊS],$AE$1,tabela_registros[DIA],investiroutrosconsolidadofev[[#Headers],[18]],tabela_registros[REGISTRO],DADOS!$N$5,tabela_registros[TIPO],DADOS!$AB$5,tabela_registros[CATEGORIA],investiroutrosconsolidadofev[[#This Row],[ATUAL]])</f>
        <v>0</v>
      </c>
      <c r="W151" s="91">
        <f>SUMIFS(tabela_registros[VALOR],tabela_registros[MÊS],$AE$1,tabela_registros[DIA],investiroutrosconsolidadofev[[#Headers],[19]],tabela_registros[REGISTRO],DADOS!$N$5,tabela_registros[TIPO],DADOS!$AB$5,tabela_registros[CATEGORIA],investiroutrosconsolidadofev[[#This Row],[ATUAL]])</f>
        <v>0</v>
      </c>
      <c r="X151" s="91">
        <f>SUMIFS(tabela_registros[VALOR],tabela_registros[MÊS],$AE$1,tabela_registros[DIA],investiroutrosconsolidadofev[[#Headers],[20]],tabela_registros[REGISTRO],DADOS!$N$5,tabela_registros[TIPO],DADOS!$AB$5,tabela_registros[CATEGORIA],investiroutrosconsolidadofev[[#This Row],[ATUAL]])</f>
        <v>0</v>
      </c>
      <c r="Y151" s="91">
        <f>SUMIFS(tabela_registros[VALOR],tabela_registros[MÊS],$AE$1,tabela_registros[DIA],investiroutrosconsolidadofev[[#Headers],[21]],tabela_registros[REGISTRO],DADOS!$N$5,tabela_registros[TIPO],DADOS!$AB$5,tabela_registros[CATEGORIA],investiroutrosconsolidadofev[[#This Row],[ATUAL]])</f>
        <v>0</v>
      </c>
      <c r="Z151" s="91">
        <f>SUMIFS(tabela_registros[VALOR],tabela_registros[MÊS],$AE$1,tabela_registros[DIA],investiroutrosconsolidadofev[[#Headers],[22]],tabela_registros[REGISTRO],DADOS!$N$5,tabela_registros[TIPO],DADOS!$AB$5,tabela_registros[CATEGORIA],investiroutrosconsolidadofev[[#This Row],[ATUAL]])</f>
        <v>0</v>
      </c>
      <c r="AA151" s="91">
        <f>SUMIFS(tabela_registros[VALOR],tabela_registros[MÊS],$AE$1,tabela_registros[DIA],investiroutrosconsolidadofev[[#Headers],[23]],tabela_registros[REGISTRO],DADOS!$N$5,tabela_registros[TIPO],DADOS!$AB$5,tabela_registros[CATEGORIA],investiroutrosconsolidadofev[[#This Row],[ATUAL]])</f>
        <v>0</v>
      </c>
      <c r="AB151" s="91">
        <f>SUMIFS(tabela_registros[VALOR],tabela_registros[MÊS],$AE$1,tabela_registros[DIA],investiroutrosconsolidadofev[[#Headers],[24]],tabela_registros[REGISTRO],DADOS!$N$5,tabela_registros[TIPO],DADOS!$AB$5,tabela_registros[CATEGORIA],investiroutrosconsolidadofev[[#This Row],[ATUAL]])</f>
        <v>0</v>
      </c>
      <c r="AC151" s="91">
        <f>SUMIFS(tabela_registros[VALOR],tabela_registros[MÊS],$AE$1,tabela_registros[DIA],investiroutrosconsolidadofev[[#Headers],[25]],tabela_registros[REGISTRO],DADOS!$N$5,tabela_registros[TIPO],DADOS!$AB$5,tabela_registros[CATEGORIA],investiroutrosconsolidadofev[[#This Row],[ATUAL]])</f>
        <v>0</v>
      </c>
      <c r="AD151" s="91">
        <f>SUMIFS(tabela_registros[VALOR],tabela_registros[MÊS],$AE$1,tabela_registros[DIA],investiroutrosconsolidadofev[[#Headers],[26]],tabela_registros[REGISTRO],DADOS!$N$5,tabela_registros[TIPO],DADOS!$AB$5,tabela_registros[CATEGORIA],investiroutrosconsolidadofev[[#This Row],[ATUAL]])</f>
        <v>0</v>
      </c>
      <c r="AE151" s="91">
        <f>SUMIFS(tabela_registros[VALOR],tabela_registros[MÊS],$AE$1,tabela_registros[DIA],investiroutrosconsolidadofev[[#Headers],[27]],tabela_registros[REGISTRO],DADOS!$N$5,tabela_registros[TIPO],DADOS!$AB$5,tabela_registros[CATEGORIA],investiroutrosconsolidadofev[[#This Row],[ATUAL]])</f>
        <v>0</v>
      </c>
      <c r="AF151" s="91">
        <f>SUMIFS(tabela_registros[VALOR],tabela_registros[MÊS],$AE$1,tabela_registros[DIA],investiroutrosconsolidadofev[[#Headers],[28]],tabela_registros[REGISTRO],DADOS!$N$5,tabela_registros[TIPO],DADOS!$AB$5,tabela_registros[CATEGORIA],investiroutrosconsolidadofev[[#This Row],[ATUAL]])</f>
        <v>0</v>
      </c>
      <c r="AG151" s="91">
        <f>SUMIFS(tabela_registros[VALOR],tabela_registros[MÊS],$AE$1,tabela_registros[DIA],investiroutrosconsolidadofev[[#Headers],[29]],tabela_registros[REGISTRO],DADOS!$N$5,tabela_registros[TIPO],DADOS!$AB$5,tabela_registros[CATEGORIA],investiroutrosconsolidadofev[[#This Row],[ATUAL]])</f>
        <v>0</v>
      </c>
      <c r="AH151" s="91">
        <f>SUMIFS(tabela_registros[VALOR],tabela_registros[MÊS],$AE$1,tabela_registros[DIA],investiroutrosconsolidadofev[[#Headers],[30]],tabela_registros[REGISTRO],DADOS!$N$5,tabela_registros[TIPO],DADOS!$AB$5,tabela_registros[CATEGORIA],investiroutrosconsolidadofev[[#This Row],[ATUAL]])</f>
        <v>0</v>
      </c>
      <c r="AI151" s="101">
        <f>SUMIFS(tabela_registros[VALOR],tabela_registros[MÊS],$AE$1,tabela_registros[DIA],investiroutrosconsolidadofev[[#Headers],[31]],tabela_registros[REGISTRO],DADOS!$N$5,tabela_registros[TIPO],DADOS!$AB$5,tabela_registros[CATEGORIA],investiroutrosconsolidadofev[[#This Row],[ATUAL]])</f>
        <v>0</v>
      </c>
      <c r="AJ151" s="97">
        <f>SUM(investiroutrosconsolidadofev[[#This Row],[1]:[31]])</f>
        <v>176</v>
      </c>
      <c r="AK151" s="25"/>
    </row>
    <row r="152" spans="2:37" ht="19.5" customHeight="1" thickTop="1" thickBot="1" x14ac:dyDescent="0.3">
      <c r="B152" s="28"/>
      <c r="C152" s="27" t="str">
        <f>DADOS!$AH$4</f>
        <v>📝 FOREX</v>
      </c>
      <c r="D152" s="26" t="str">
        <f>IF(investiroutrosconsolidadofev[[#This Row],[TOTAL (R$)]]=0,"",IF(OR(investiroutrosconsolidadofev[[#This Row],[TOTAL (R$)]]=LARGE($AJ$151:$AJ$158,1),investiroutrosconsolidadofev[[#This Row],[TOTAL (R$)]]=LARGE($AJ$151:$AJ$158,2)),DADOS!$I$10,""))</f>
        <v/>
      </c>
      <c r="E152" s="96">
        <f>SUMIFS(tabela_registros[VALOR],tabela_registros[MÊS],$AE$1,tabela_registros[DIA],investiroutrosconsolidadofev[[#Headers],[1]],tabela_registros[REGISTRO],DADOS!$N$5,tabela_registros[TIPO],DADOS!$AB$5,tabela_registros[CATEGORIA],investiroutrosconsolidadofev[[#This Row],[ATUAL]])</f>
        <v>0</v>
      </c>
      <c r="F152" s="91">
        <f>SUMIFS(tabela_registros[VALOR],tabela_registros[MÊS],$AE$1,tabela_registros[DIA],investiroutrosconsolidadofev[[#Headers],[2]],tabela_registros[REGISTRO],DADOS!$N$5,tabela_registros[TIPO],DADOS!$AB$5,tabela_registros[CATEGORIA],investiroutrosconsolidadofev[[#This Row],[ATUAL]])</f>
        <v>0</v>
      </c>
      <c r="G152" s="91">
        <f>SUMIFS(tabela_registros[VALOR],tabela_registros[MÊS],$AE$1,tabela_registros[DIA],investiroutrosconsolidadofev[[#Headers],[3]],tabela_registros[REGISTRO],DADOS!$N$5,tabela_registros[TIPO],DADOS!$AB$5,tabela_registros[CATEGORIA],investiroutrosconsolidadofev[[#This Row],[ATUAL]])</f>
        <v>0</v>
      </c>
      <c r="H152" s="91">
        <f>SUMIFS(tabela_registros[VALOR],tabela_registros[MÊS],$AE$1,tabela_registros[DIA],investiroutrosconsolidadofev[[#Headers],[4]],tabela_registros[REGISTRO],DADOS!$N$5,tabela_registros[TIPO],DADOS!$AB$5,tabela_registros[CATEGORIA],investiroutrosconsolidadofev[[#This Row],[ATUAL]])</f>
        <v>0</v>
      </c>
      <c r="I152" s="91">
        <f>SUMIFS(tabela_registros[VALOR],tabela_registros[MÊS],$AE$1,tabela_registros[DIA],investiroutrosconsolidadofev[[#Headers],[5]],tabela_registros[REGISTRO],DADOS!$N$5,tabela_registros[TIPO],DADOS!$AB$5,tabela_registros[CATEGORIA],investiroutrosconsolidadofev[[#This Row],[ATUAL]])</f>
        <v>0</v>
      </c>
      <c r="J152" s="91">
        <f>SUMIFS(tabela_registros[VALOR],tabela_registros[MÊS],$AE$1,tabela_registros[DIA],investiroutrosconsolidadofev[[#Headers],[6]],tabela_registros[REGISTRO],DADOS!$N$5,tabela_registros[TIPO],DADOS!$AB$5,tabela_registros[CATEGORIA],investiroutrosconsolidadofev[[#This Row],[ATUAL]])</f>
        <v>0</v>
      </c>
      <c r="K152" s="91">
        <f>SUMIFS(tabela_registros[VALOR],tabela_registros[MÊS],$AE$1,tabela_registros[DIA],investiroutrosconsolidadofev[[#Headers],[7]],tabela_registros[REGISTRO],DADOS!$N$5,tabela_registros[TIPO],DADOS!$AB$5,tabela_registros[CATEGORIA],investiroutrosconsolidadofev[[#This Row],[ATUAL]])</f>
        <v>0</v>
      </c>
      <c r="L152" s="91">
        <f>SUMIFS(tabela_registros[VALOR],tabela_registros[MÊS],$AE$1,tabela_registros[DIA],investiroutrosconsolidadofev[[#Headers],[8]],tabela_registros[REGISTRO],DADOS!$N$5,tabela_registros[TIPO],DADOS!$AB$5,tabela_registros[CATEGORIA],investiroutrosconsolidadofev[[#This Row],[ATUAL]])</f>
        <v>0</v>
      </c>
      <c r="M152" s="91">
        <f>SUMIFS(tabela_registros[VALOR],tabela_registros[MÊS],$AE$1,tabela_registros[DIA],investiroutrosconsolidadofev[[#Headers],[9]],tabela_registros[REGISTRO],DADOS!$N$5,tabela_registros[TIPO],DADOS!$AB$5,tabela_registros[CATEGORIA],investiroutrosconsolidadofev[[#This Row],[ATUAL]])</f>
        <v>0</v>
      </c>
      <c r="N152" s="91">
        <f>SUMIFS(tabela_registros[VALOR],tabela_registros[MÊS],$AE$1,tabela_registros[DIA],investiroutrosconsolidadofev[[#Headers],[10]],tabela_registros[REGISTRO],DADOS!$N$5,tabela_registros[TIPO],DADOS!$AB$5,tabela_registros[CATEGORIA],investiroutrosconsolidadofev[[#This Row],[ATUAL]])</f>
        <v>0</v>
      </c>
      <c r="O152" s="91">
        <f>SUMIFS(tabela_registros[VALOR],tabela_registros[MÊS],$AE$1,tabela_registros[DIA],investiroutrosconsolidadofev[[#Headers],[11]],tabela_registros[REGISTRO],DADOS!$N$5,tabela_registros[TIPO],DADOS!$AB$5,tabela_registros[CATEGORIA],investiroutrosconsolidadofev[[#This Row],[ATUAL]])</f>
        <v>0</v>
      </c>
      <c r="P152" s="91">
        <f>SUMIFS(tabela_registros[VALOR],tabela_registros[MÊS],$AE$1,tabela_registros[DIA],investiroutrosconsolidadofev[[#Headers],[12]],tabela_registros[REGISTRO],DADOS!$N$5,tabela_registros[TIPO],DADOS!$AB$5,tabela_registros[CATEGORIA],investiroutrosconsolidadofev[[#This Row],[ATUAL]])</f>
        <v>0</v>
      </c>
      <c r="Q152" s="91">
        <f>SUMIFS(tabela_registros[VALOR],tabela_registros[MÊS],$AE$1,tabela_registros[DIA],investiroutrosconsolidadofev[[#Headers],[13]],tabela_registros[REGISTRO],DADOS!$N$5,tabela_registros[TIPO],DADOS!$AB$5,tabela_registros[CATEGORIA],investiroutrosconsolidadofev[[#This Row],[ATUAL]])</f>
        <v>0</v>
      </c>
      <c r="R152" s="91">
        <f>SUMIFS(tabela_registros[VALOR],tabela_registros[MÊS],$AE$1,tabela_registros[DIA],investiroutrosconsolidadofev[[#Headers],[14]],tabela_registros[REGISTRO],DADOS!$N$5,tabela_registros[TIPO],DADOS!$AB$5,tabela_registros[CATEGORIA],investiroutrosconsolidadofev[[#This Row],[ATUAL]])</f>
        <v>0</v>
      </c>
      <c r="S152" s="91">
        <f>SUMIFS(tabela_registros[VALOR],tabela_registros[MÊS],$AE$1,tabela_registros[DIA],investiroutrosconsolidadofev[[#Headers],[15]],tabela_registros[REGISTRO],DADOS!$N$5,tabela_registros[TIPO],DADOS!$AB$5,tabela_registros[CATEGORIA],investiroutrosconsolidadofev[[#This Row],[ATUAL]])</f>
        <v>0</v>
      </c>
      <c r="T152" s="91">
        <f>SUMIFS(tabela_registros[VALOR],tabela_registros[MÊS],$AE$1,tabela_registros[DIA],investiroutrosconsolidadofev[[#Headers],[16]],tabela_registros[REGISTRO],DADOS!$N$5,tabela_registros[TIPO],DADOS!$AB$5,tabela_registros[CATEGORIA],investiroutrosconsolidadofev[[#This Row],[ATUAL]])</f>
        <v>0</v>
      </c>
      <c r="U152" s="91">
        <f>SUMIFS(tabela_registros[VALOR],tabela_registros[MÊS],$AE$1,tabela_registros[DIA],investiroutrosconsolidadofev[[#Headers],[17]],tabela_registros[REGISTRO],DADOS!$N$5,tabela_registros[TIPO],DADOS!$AB$5,tabela_registros[CATEGORIA],investiroutrosconsolidadofev[[#This Row],[ATUAL]])</f>
        <v>0</v>
      </c>
      <c r="V152" s="91">
        <f>SUMIFS(tabela_registros[VALOR],tabela_registros[MÊS],$AE$1,tabela_registros[DIA],investiroutrosconsolidadofev[[#Headers],[18]],tabela_registros[REGISTRO],DADOS!$N$5,tabela_registros[TIPO],DADOS!$AB$5,tabela_registros[CATEGORIA],investiroutrosconsolidadofev[[#This Row],[ATUAL]])</f>
        <v>0</v>
      </c>
      <c r="W152" s="91">
        <f>SUMIFS(tabela_registros[VALOR],tabela_registros[MÊS],$AE$1,tabela_registros[DIA],investiroutrosconsolidadofev[[#Headers],[19]],tabela_registros[REGISTRO],DADOS!$N$5,tabela_registros[TIPO],DADOS!$AB$5,tabela_registros[CATEGORIA],investiroutrosconsolidadofev[[#This Row],[ATUAL]])</f>
        <v>0</v>
      </c>
      <c r="X152" s="91">
        <f>SUMIFS(tabela_registros[VALOR],tabela_registros[MÊS],$AE$1,tabela_registros[DIA],investiroutrosconsolidadofev[[#Headers],[20]],tabela_registros[REGISTRO],DADOS!$N$5,tabela_registros[TIPO],DADOS!$AB$5,tabela_registros[CATEGORIA],investiroutrosconsolidadofev[[#This Row],[ATUAL]])</f>
        <v>0</v>
      </c>
      <c r="Y152" s="91">
        <f>SUMIFS(tabela_registros[VALOR],tabela_registros[MÊS],$AE$1,tabela_registros[DIA],investiroutrosconsolidadofev[[#Headers],[21]],tabela_registros[REGISTRO],DADOS!$N$5,tabela_registros[TIPO],DADOS!$AB$5,tabela_registros[CATEGORIA],investiroutrosconsolidadofev[[#This Row],[ATUAL]])</f>
        <v>0</v>
      </c>
      <c r="Z152" s="91">
        <f>SUMIFS(tabela_registros[VALOR],tabela_registros[MÊS],$AE$1,tabela_registros[DIA],investiroutrosconsolidadofev[[#Headers],[22]],tabela_registros[REGISTRO],DADOS!$N$5,tabela_registros[TIPO],DADOS!$AB$5,tabela_registros[CATEGORIA],investiroutrosconsolidadofev[[#This Row],[ATUAL]])</f>
        <v>0</v>
      </c>
      <c r="AA152" s="91">
        <f>SUMIFS(tabela_registros[VALOR],tabela_registros[MÊS],$AE$1,tabela_registros[DIA],investiroutrosconsolidadofev[[#Headers],[23]],tabela_registros[REGISTRO],DADOS!$N$5,tabela_registros[TIPO],DADOS!$AB$5,tabela_registros[CATEGORIA],investiroutrosconsolidadofev[[#This Row],[ATUAL]])</f>
        <v>0</v>
      </c>
      <c r="AB152" s="91">
        <f>SUMIFS(tabela_registros[VALOR],tabela_registros[MÊS],$AE$1,tabela_registros[DIA],investiroutrosconsolidadofev[[#Headers],[24]],tabela_registros[REGISTRO],DADOS!$N$5,tabela_registros[TIPO],DADOS!$AB$5,tabela_registros[CATEGORIA],investiroutrosconsolidadofev[[#This Row],[ATUAL]])</f>
        <v>0</v>
      </c>
      <c r="AC152" s="91">
        <f>SUMIFS(tabela_registros[VALOR],tabela_registros[MÊS],$AE$1,tabela_registros[DIA],investiroutrosconsolidadofev[[#Headers],[25]],tabela_registros[REGISTRO],DADOS!$N$5,tabela_registros[TIPO],DADOS!$AB$5,tabela_registros[CATEGORIA],investiroutrosconsolidadofev[[#This Row],[ATUAL]])</f>
        <v>0</v>
      </c>
      <c r="AD152" s="91">
        <f>SUMIFS(tabela_registros[VALOR],tabela_registros[MÊS],$AE$1,tabela_registros[DIA],investiroutrosconsolidadofev[[#Headers],[26]],tabela_registros[REGISTRO],DADOS!$N$5,tabela_registros[TIPO],DADOS!$AB$5,tabela_registros[CATEGORIA],investiroutrosconsolidadofev[[#This Row],[ATUAL]])</f>
        <v>0</v>
      </c>
      <c r="AE152" s="91">
        <f>SUMIFS(tabela_registros[VALOR],tabela_registros[MÊS],$AE$1,tabela_registros[DIA],investiroutrosconsolidadofev[[#Headers],[27]],tabela_registros[REGISTRO],DADOS!$N$5,tabela_registros[TIPO],DADOS!$AB$5,tabela_registros[CATEGORIA],investiroutrosconsolidadofev[[#This Row],[ATUAL]])</f>
        <v>0</v>
      </c>
      <c r="AF152" s="91">
        <f>SUMIFS(tabela_registros[VALOR],tabela_registros[MÊS],$AE$1,tabela_registros[DIA],investiroutrosconsolidadofev[[#Headers],[28]],tabela_registros[REGISTRO],DADOS!$N$5,tabela_registros[TIPO],DADOS!$AB$5,tabela_registros[CATEGORIA],investiroutrosconsolidadofev[[#This Row],[ATUAL]])</f>
        <v>0</v>
      </c>
      <c r="AG152" s="91">
        <f>SUMIFS(tabela_registros[VALOR],tabela_registros[MÊS],$AE$1,tabela_registros[DIA],investiroutrosconsolidadofev[[#Headers],[29]],tabela_registros[REGISTRO],DADOS!$N$5,tabela_registros[TIPO],DADOS!$AB$5,tabela_registros[CATEGORIA],investiroutrosconsolidadofev[[#This Row],[ATUAL]])</f>
        <v>0</v>
      </c>
      <c r="AH152" s="91">
        <f>SUMIFS(tabela_registros[VALOR],tabela_registros[MÊS],$AE$1,tabela_registros[DIA],investiroutrosconsolidadofev[[#Headers],[30]],tabela_registros[REGISTRO],DADOS!$N$5,tabela_registros[TIPO],DADOS!$AB$5,tabela_registros[CATEGORIA],investiroutrosconsolidadofev[[#This Row],[ATUAL]])</f>
        <v>0</v>
      </c>
      <c r="AI152" s="101">
        <f>SUMIFS(tabela_registros[VALOR],tabela_registros[MÊS],$AE$1,tabela_registros[DIA],investiroutrosconsolidadofev[[#Headers],[31]],tabela_registros[REGISTRO],DADOS!$N$5,tabela_registros[TIPO],DADOS!$AB$5,tabela_registros[CATEGORIA],investiroutrosconsolidadofev[[#This Row],[ATUAL]])</f>
        <v>0</v>
      </c>
      <c r="AJ152" s="97">
        <f>SUM(investiroutrosconsolidadofev[[#This Row],[1]:[31]])</f>
        <v>0</v>
      </c>
      <c r="AK152" s="25"/>
    </row>
    <row r="153" spans="2:37" ht="19.5" customHeight="1" thickTop="1" thickBot="1" x14ac:dyDescent="0.3">
      <c r="B153" s="28"/>
      <c r="C153" s="27" t="str">
        <f>DADOS!$AH$5</f>
        <v>📝 FUNDO DE INVESTIMENTO</v>
      </c>
      <c r="D153" s="26" t="str">
        <f>IF(investiroutrosconsolidadofev[[#This Row],[TOTAL (R$)]]=0,"",IF(OR(investiroutrosconsolidadofev[[#This Row],[TOTAL (R$)]]=LARGE($AJ$151:$AJ$158,1),investiroutrosconsolidadofev[[#This Row],[TOTAL (R$)]]=LARGE($AJ$151:$AJ$158,2)),DADOS!$I$10,""))</f>
        <v/>
      </c>
      <c r="E153" s="96">
        <f>SUMIFS(tabela_registros[VALOR],tabela_registros[MÊS],$AE$1,tabela_registros[DIA],investiroutrosconsolidadofev[[#Headers],[1]],tabela_registros[REGISTRO],DADOS!$N$5,tabela_registros[TIPO],DADOS!$AB$5,tabela_registros[CATEGORIA],investiroutrosconsolidadofev[[#This Row],[ATUAL]])</f>
        <v>0</v>
      </c>
      <c r="F153" s="91">
        <f>SUMIFS(tabela_registros[VALOR],tabela_registros[MÊS],$AE$1,tabela_registros[DIA],investiroutrosconsolidadofev[[#Headers],[2]],tabela_registros[REGISTRO],DADOS!$N$5,tabela_registros[TIPO],DADOS!$AB$5,tabela_registros[CATEGORIA],investiroutrosconsolidadofev[[#This Row],[ATUAL]])</f>
        <v>0</v>
      </c>
      <c r="G153" s="91">
        <f>SUMIFS(tabela_registros[VALOR],tabela_registros[MÊS],$AE$1,tabela_registros[DIA],investiroutrosconsolidadofev[[#Headers],[3]],tabela_registros[REGISTRO],DADOS!$N$5,tabela_registros[TIPO],DADOS!$AB$5,tabela_registros[CATEGORIA],investiroutrosconsolidadofev[[#This Row],[ATUAL]])</f>
        <v>0</v>
      </c>
      <c r="H153" s="91">
        <f>SUMIFS(tabela_registros[VALOR],tabela_registros[MÊS],$AE$1,tabela_registros[DIA],investiroutrosconsolidadofev[[#Headers],[4]],tabela_registros[REGISTRO],DADOS!$N$5,tabela_registros[TIPO],DADOS!$AB$5,tabela_registros[CATEGORIA],investiroutrosconsolidadofev[[#This Row],[ATUAL]])</f>
        <v>0</v>
      </c>
      <c r="I153" s="91">
        <f>SUMIFS(tabela_registros[VALOR],tabela_registros[MÊS],$AE$1,tabela_registros[DIA],investiroutrosconsolidadofev[[#Headers],[5]],tabela_registros[REGISTRO],DADOS!$N$5,tabela_registros[TIPO],DADOS!$AB$5,tabela_registros[CATEGORIA],investiroutrosconsolidadofev[[#This Row],[ATUAL]])</f>
        <v>0</v>
      </c>
      <c r="J153" s="91">
        <f>SUMIFS(tabela_registros[VALOR],tabela_registros[MÊS],$AE$1,tabela_registros[DIA],investiroutrosconsolidadofev[[#Headers],[6]],tabela_registros[REGISTRO],DADOS!$N$5,tabela_registros[TIPO],DADOS!$AB$5,tabela_registros[CATEGORIA],investiroutrosconsolidadofev[[#This Row],[ATUAL]])</f>
        <v>0</v>
      </c>
      <c r="K153" s="91">
        <f>SUMIFS(tabela_registros[VALOR],tabela_registros[MÊS],$AE$1,tabela_registros[DIA],investiroutrosconsolidadofev[[#Headers],[7]],tabela_registros[REGISTRO],DADOS!$N$5,tabela_registros[TIPO],DADOS!$AB$5,tabela_registros[CATEGORIA],investiroutrosconsolidadofev[[#This Row],[ATUAL]])</f>
        <v>0</v>
      </c>
      <c r="L153" s="91">
        <f>SUMIFS(tabela_registros[VALOR],tabela_registros[MÊS],$AE$1,tabela_registros[DIA],investiroutrosconsolidadofev[[#Headers],[8]],tabela_registros[REGISTRO],DADOS!$N$5,tabela_registros[TIPO],DADOS!$AB$5,tabela_registros[CATEGORIA],investiroutrosconsolidadofev[[#This Row],[ATUAL]])</f>
        <v>0</v>
      </c>
      <c r="M153" s="91">
        <f>SUMIFS(tabela_registros[VALOR],tabela_registros[MÊS],$AE$1,tabela_registros[DIA],investiroutrosconsolidadofev[[#Headers],[9]],tabela_registros[REGISTRO],DADOS!$N$5,tabela_registros[TIPO],DADOS!$AB$5,tabela_registros[CATEGORIA],investiroutrosconsolidadofev[[#This Row],[ATUAL]])</f>
        <v>0</v>
      </c>
      <c r="N153" s="91">
        <f>SUMIFS(tabela_registros[VALOR],tabela_registros[MÊS],$AE$1,tabela_registros[DIA],investiroutrosconsolidadofev[[#Headers],[10]],tabela_registros[REGISTRO],DADOS!$N$5,tabela_registros[TIPO],DADOS!$AB$5,tabela_registros[CATEGORIA],investiroutrosconsolidadofev[[#This Row],[ATUAL]])</f>
        <v>0</v>
      </c>
      <c r="O153" s="91">
        <f>SUMIFS(tabela_registros[VALOR],tabela_registros[MÊS],$AE$1,tabela_registros[DIA],investiroutrosconsolidadofev[[#Headers],[11]],tabela_registros[REGISTRO],DADOS!$N$5,tabela_registros[TIPO],DADOS!$AB$5,tabela_registros[CATEGORIA],investiroutrosconsolidadofev[[#This Row],[ATUAL]])</f>
        <v>0</v>
      </c>
      <c r="P153" s="91">
        <f>SUMIFS(tabela_registros[VALOR],tabela_registros[MÊS],$AE$1,tabela_registros[DIA],investiroutrosconsolidadofev[[#Headers],[12]],tabela_registros[REGISTRO],DADOS!$N$5,tabela_registros[TIPO],DADOS!$AB$5,tabela_registros[CATEGORIA],investiroutrosconsolidadofev[[#This Row],[ATUAL]])</f>
        <v>0</v>
      </c>
      <c r="Q153" s="91">
        <f>SUMIFS(tabela_registros[VALOR],tabela_registros[MÊS],$AE$1,tabela_registros[DIA],investiroutrosconsolidadofev[[#Headers],[13]],tabela_registros[REGISTRO],DADOS!$N$5,tabela_registros[TIPO],DADOS!$AB$5,tabela_registros[CATEGORIA],investiroutrosconsolidadofev[[#This Row],[ATUAL]])</f>
        <v>0</v>
      </c>
      <c r="R153" s="91">
        <f>SUMIFS(tabela_registros[VALOR],tabela_registros[MÊS],$AE$1,tabela_registros[DIA],investiroutrosconsolidadofev[[#Headers],[14]],tabela_registros[REGISTRO],DADOS!$N$5,tabela_registros[TIPO],DADOS!$AB$5,tabela_registros[CATEGORIA],investiroutrosconsolidadofev[[#This Row],[ATUAL]])</f>
        <v>0</v>
      </c>
      <c r="S153" s="91">
        <f>SUMIFS(tabela_registros[VALOR],tabela_registros[MÊS],$AE$1,tabela_registros[DIA],investiroutrosconsolidadofev[[#Headers],[15]],tabela_registros[REGISTRO],DADOS!$N$5,tabela_registros[TIPO],DADOS!$AB$5,tabela_registros[CATEGORIA],investiroutrosconsolidadofev[[#This Row],[ATUAL]])</f>
        <v>0</v>
      </c>
      <c r="T153" s="91">
        <f>SUMIFS(tabela_registros[VALOR],tabela_registros[MÊS],$AE$1,tabela_registros[DIA],investiroutrosconsolidadofev[[#Headers],[16]],tabela_registros[REGISTRO],DADOS!$N$5,tabela_registros[TIPO],DADOS!$AB$5,tabela_registros[CATEGORIA],investiroutrosconsolidadofev[[#This Row],[ATUAL]])</f>
        <v>0</v>
      </c>
      <c r="U153" s="91">
        <f>SUMIFS(tabela_registros[VALOR],tabela_registros[MÊS],$AE$1,tabela_registros[DIA],investiroutrosconsolidadofev[[#Headers],[17]],tabela_registros[REGISTRO],DADOS!$N$5,tabela_registros[TIPO],DADOS!$AB$5,tabela_registros[CATEGORIA],investiroutrosconsolidadofev[[#This Row],[ATUAL]])</f>
        <v>0</v>
      </c>
      <c r="V153" s="91">
        <f>SUMIFS(tabela_registros[VALOR],tabela_registros[MÊS],$AE$1,tabela_registros[DIA],investiroutrosconsolidadofev[[#Headers],[18]],tabela_registros[REGISTRO],DADOS!$N$5,tabela_registros[TIPO],DADOS!$AB$5,tabela_registros[CATEGORIA],investiroutrosconsolidadofev[[#This Row],[ATUAL]])</f>
        <v>0</v>
      </c>
      <c r="W153" s="91">
        <f>SUMIFS(tabela_registros[VALOR],tabela_registros[MÊS],$AE$1,tabela_registros[DIA],investiroutrosconsolidadofev[[#Headers],[19]],tabela_registros[REGISTRO],DADOS!$N$5,tabela_registros[TIPO],DADOS!$AB$5,tabela_registros[CATEGORIA],investiroutrosconsolidadofev[[#This Row],[ATUAL]])</f>
        <v>0</v>
      </c>
      <c r="X153" s="91">
        <f>SUMIFS(tabela_registros[VALOR],tabela_registros[MÊS],$AE$1,tabela_registros[DIA],investiroutrosconsolidadofev[[#Headers],[20]],tabela_registros[REGISTRO],DADOS!$N$5,tabela_registros[TIPO],DADOS!$AB$5,tabela_registros[CATEGORIA],investiroutrosconsolidadofev[[#This Row],[ATUAL]])</f>
        <v>0</v>
      </c>
      <c r="Y153" s="91">
        <f>SUMIFS(tabela_registros[VALOR],tabela_registros[MÊS],$AE$1,tabela_registros[DIA],investiroutrosconsolidadofev[[#Headers],[21]],tabela_registros[REGISTRO],DADOS!$N$5,tabela_registros[TIPO],DADOS!$AB$5,tabela_registros[CATEGORIA],investiroutrosconsolidadofev[[#This Row],[ATUAL]])</f>
        <v>0</v>
      </c>
      <c r="Z153" s="91">
        <f>SUMIFS(tabela_registros[VALOR],tabela_registros[MÊS],$AE$1,tabela_registros[DIA],investiroutrosconsolidadofev[[#Headers],[22]],tabela_registros[REGISTRO],DADOS!$N$5,tabela_registros[TIPO],DADOS!$AB$5,tabela_registros[CATEGORIA],investiroutrosconsolidadofev[[#This Row],[ATUAL]])</f>
        <v>0</v>
      </c>
      <c r="AA153" s="91">
        <f>SUMIFS(tabela_registros[VALOR],tabela_registros[MÊS],$AE$1,tabela_registros[DIA],investiroutrosconsolidadofev[[#Headers],[23]],tabela_registros[REGISTRO],DADOS!$N$5,tabela_registros[TIPO],DADOS!$AB$5,tabela_registros[CATEGORIA],investiroutrosconsolidadofev[[#This Row],[ATUAL]])</f>
        <v>0</v>
      </c>
      <c r="AB153" s="91">
        <f>SUMIFS(tabela_registros[VALOR],tabela_registros[MÊS],$AE$1,tabela_registros[DIA],investiroutrosconsolidadofev[[#Headers],[24]],tabela_registros[REGISTRO],DADOS!$N$5,tabela_registros[TIPO],DADOS!$AB$5,tabela_registros[CATEGORIA],investiroutrosconsolidadofev[[#This Row],[ATUAL]])</f>
        <v>0</v>
      </c>
      <c r="AC153" s="91">
        <f>SUMIFS(tabela_registros[VALOR],tabela_registros[MÊS],$AE$1,tabela_registros[DIA],investiroutrosconsolidadofev[[#Headers],[25]],tabela_registros[REGISTRO],DADOS!$N$5,tabela_registros[TIPO],DADOS!$AB$5,tabela_registros[CATEGORIA],investiroutrosconsolidadofev[[#This Row],[ATUAL]])</f>
        <v>0</v>
      </c>
      <c r="AD153" s="91">
        <f>SUMIFS(tabela_registros[VALOR],tabela_registros[MÊS],$AE$1,tabela_registros[DIA],investiroutrosconsolidadofev[[#Headers],[26]],tabela_registros[REGISTRO],DADOS!$N$5,tabela_registros[TIPO],DADOS!$AB$5,tabela_registros[CATEGORIA],investiroutrosconsolidadofev[[#This Row],[ATUAL]])</f>
        <v>0</v>
      </c>
      <c r="AE153" s="91">
        <f>SUMIFS(tabela_registros[VALOR],tabela_registros[MÊS],$AE$1,tabela_registros[DIA],investiroutrosconsolidadofev[[#Headers],[27]],tabela_registros[REGISTRO],DADOS!$N$5,tabela_registros[TIPO],DADOS!$AB$5,tabela_registros[CATEGORIA],investiroutrosconsolidadofev[[#This Row],[ATUAL]])</f>
        <v>0</v>
      </c>
      <c r="AF153" s="91">
        <f>SUMIFS(tabela_registros[VALOR],tabela_registros[MÊS],$AE$1,tabela_registros[DIA],investiroutrosconsolidadofev[[#Headers],[28]],tabela_registros[REGISTRO],DADOS!$N$5,tabela_registros[TIPO],DADOS!$AB$5,tabela_registros[CATEGORIA],investiroutrosconsolidadofev[[#This Row],[ATUAL]])</f>
        <v>0</v>
      </c>
      <c r="AG153" s="91">
        <f>SUMIFS(tabela_registros[VALOR],tabela_registros[MÊS],$AE$1,tabela_registros[DIA],investiroutrosconsolidadofev[[#Headers],[29]],tabela_registros[REGISTRO],DADOS!$N$5,tabela_registros[TIPO],DADOS!$AB$5,tabela_registros[CATEGORIA],investiroutrosconsolidadofev[[#This Row],[ATUAL]])</f>
        <v>0</v>
      </c>
      <c r="AH153" s="91">
        <f>SUMIFS(tabela_registros[VALOR],tabela_registros[MÊS],$AE$1,tabela_registros[DIA],investiroutrosconsolidadofev[[#Headers],[30]],tabela_registros[REGISTRO],DADOS!$N$5,tabela_registros[TIPO],DADOS!$AB$5,tabela_registros[CATEGORIA],investiroutrosconsolidadofev[[#This Row],[ATUAL]])</f>
        <v>0</v>
      </c>
      <c r="AI153" s="101">
        <f>SUMIFS(tabela_registros[VALOR],tabela_registros[MÊS],$AE$1,tabela_registros[DIA],investiroutrosconsolidadofev[[#Headers],[31]],tabela_registros[REGISTRO],DADOS!$N$5,tabela_registros[TIPO],DADOS!$AB$5,tabela_registros[CATEGORIA],investiroutrosconsolidadofev[[#This Row],[ATUAL]])</f>
        <v>0</v>
      </c>
      <c r="AJ153" s="97">
        <f>SUM(investiroutrosconsolidadofev[[#This Row],[1]:[31]])</f>
        <v>0</v>
      </c>
      <c r="AK153" s="25"/>
    </row>
    <row r="154" spans="2:37" ht="19.5" customHeight="1" thickTop="1" thickBot="1" x14ac:dyDescent="0.3">
      <c r="B154" s="28"/>
      <c r="C154" s="27" t="str">
        <f>DADOS!$AH$6</f>
        <v>📝 NOVA EMPRESA</v>
      </c>
      <c r="D154" s="26" t="str">
        <f>IF(investiroutrosconsolidadofev[[#This Row],[TOTAL (R$)]]=0,"",IF(OR(investiroutrosconsolidadofev[[#This Row],[TOTAL (R$)]]=LARGE($AJ$151:$AJ$158,1),investiroutrosconsolidadofev[[#This Row],[TOTAL (R$)]]=LARGE($AJ$151:$AJ$158,2)),DADOS!$I$10,""))</f>
        <v/>
      </c>
      <c r="E154" s="96">
        <f>SUMIFS(tabela_registros[VALOR],tabela_registros[MÊS],$AE$1,tabela_registros[DIA],investiroutrosconsolidadofev[[#Headers],[1]],tabela_registros[REGISTRO],DADOS!$N$5,tabela_registros[TIPO],DADOS!$AB$5,tabela_registros[CATEGORIA],investiroutrosconsolidadofev[[#This Row],[ATUAL]])</f>
        <v>0</v>
      </c>
      <c r="F154" s="91">
        <f>SUMIFS(tabela_registros[VALOR],tabela_registros[MÊS],$AE$1,tabela_registros[DIA],investiroutrosconsolidadofev[[#Headers],[2]],tabela_registros[REGISTRO],DADOS!$N$5,tabela_registros[TIPO],DADOS!$AB$5,tabela_registros[CATEGORIA],investiroutrosconsolidadofev[[#This Row],[ATUAL]])</f>
        <v>0</v>
      </c>
      <c r="G154" s="91">
        <f>SUMIFS(tabela_registros[VALOR],tabela_registros[MÊS],$AE$1,tabela_registros[DIA],investiroutrosconsolidadofev[[#Headers],[3]],tabela_registros[REGISTRO],DADOS!$N$5,tabela_registros[TIPO],DADOS!$AB$5,tabela_registros[CATEGORIA],investiroutrosconsolidadofev[[#This Row],[ATUAL]])</f>
        <v>0</v>
      </c>
      <c r="H154" s="91">
        <f>SUMIFS(tabela_registros[VALOR],tabela_registros[MÊS],$AE$1,tabela_registros[DIA],investiroutrosconsolidadofev[[#Headers],[4]],tabela_registros[REGISTRO],DADOS!$N$5,tabela_registros[TIPO],DADOS!$AB$5,tabela_registros[CATEGORIA],investiroutrosconsolidadofev[[#This Row],[ATUAL]])</f>
        <v>0</v>
      </c>
      <c r="I154" s="91">
        <f>SUMIFS(tabela_registros[VALOR],tabela_registros[MÊS],$AE$1,tabela_registros[DIA],investiroutrosconsolidadofev[[#Headers],[5]],tabela_registros[REGISTRO],DADOS!$N$5,tabela_registros[TIPO],DADOS!$AB$5,tabela_registros[CATEGORIA],investiroutrosconsolidadofev[[#This Row],[ATUAL]])</f>
        <v>0</v>
      </c>
      <c r="J154" s="91">
        <f>SUMIFS(tabela_registros[VALOR],tabela_registros[MÊS],$AE$1,tabela_registros[DIA],investiroutrosconsolidadofev[[#Headers],[6]],tabela_registros[REGISTRO],DADOS!$N$5,tabela_registros[TIPO],DADOS!$AB$5,tabela_registros[CATEGORIA],investiroutrosconsolidadofev[[#This Row],[ATUAL]])</f>
        <v>0</v>
      </c>
      <c r="K154" s="91">
        <f>SUMIFS(tabela_registros[VALOR],tabela_registros[MÊS],$AE$1,tabela_registros[DIA],investiroutrosconsolidadofev[[#Headers],[7]],tabela_registros[REGISTRO],DADOS!$N$5,tabela_registros[TIPO],DADOS!$AB$5,tabela_registros[CATEGORIA],investiroutrosconsolidadofev[[#This Row],[ATUAL]])</f>
        <v>0</v>
      </c>
      <c r="L154" s="91">
        <f>SUMIFS(tabela_registros[VALOR],tabela_registros[MÊS],$AE$1,tabela_registros[DIA],investiroutrosconsolidadofev[[#Headers],[8]],tabela_registros[REGISTRO],DADOS!$N$5,tabela_registros[TIPO],DADOS!$AB$5,tabela_registros[CATEGORIA],investiroutrosconsolidadofev[[#This Row],[ATUAL]])</f>
        <v>0</v>
      </c>
      <c r="M154" s="91">
        <f>SUMIFS(tabela_registros[VALOR],tabela_registros[MÊS],$AE$1,tabela_registros[DIA],investiroutrosconsolidadofev[[#Headers],[9]],tabela_registros[REGISTRO],DADOS!$N$5,tabela_registros[TIPO],DADOS!$AB$5,tabela_registros[CATEGORIA],investiroutrosconsolidadofev[[#This Row],[ATUAL]])</f>
        <v>0</v>
      </c>
      <c r="N154" s="91">
        <f>SUMIFS(tabela_registros[VALOR],tabela_registros[MÊS],$AE$1,tabela_registros[DIA],investiroutrosconsolidadofev[[#Headers],[10]],tabela_registros[REGISTRO],DADOS!$N$5,tabela_registros[TIPO],DADOS!$AB$5,tabela_registros[CATEGORIA],investiroutrosconsolidadofev[[#This Row],[ATUAL]])</f>
        <v>0</v>
      </c>
      <c r="O154" s="91">
        <f>SUMIFS(tabela_registros[VALOR],tabela_registros[MÊS],$AE$1,tabela_registros[DIA],investiroutrosconsolidadofev[[#Headers],[11]],tabela_registros[REGISTRO],DADOS!$N$5,tabela_registros[TIPO],DADOS!$AB$5,tabela_registros[CATEGORIA],investiroutrosconsolidadofev[[#This Row],[ATUAL]])</f>
        <v>0</v>
      </c>
      <c r="P154" s="91">
        <f>SUMIFS(tabela_registros[VALOR],tabela_registros[MÊS],$AE$1,tabela_registros[DIA],investiroutrosconsolidadofev[[#Headers],[12]],tabela_registros[REGISTRO],DADOS!$N$5,tabela_registros[TIPO],DADOS!$AB$5,tabela_registros[CATEGORIA],investiroutrosconsolidadofev[[#This Row],[ATUAL]])</f>
        <v>0</v>
      </c>
      <c r="Q154" s="91">
        <f>SUMIFS(tabela_registros[VALOR],tabela_registros[MÊS],$AE$1,tabela_registros[DIA],investiroutrosconsolidadofev[[#Headers],[13]],tabela_registros[REGISTRO],DADOS!$N$5,tabela_registros[TIPO],DADOS!$AB$5,tabela_registros[CATEGORIA],investiroutrosconsolidadofev[[#This Row],[ATUAL]])</f>
        <v>0</v>
      </c>
      <c r="R154" s="91">
        <f>SUMIFS(tabela_registros[VALOR],tabela_registros[MÊS],$AE$1,tabela_registros[DIA],investiroutrosconsolidadofev[[#Headers],[14]],tabela_registros[REGISTRO],DADOS!$N$5,tabela_registros[TIPO],DADOS!$AB$5,tabela_registros[CATEGORIA],investiroutrosconsolidadofev[[#This Row],[ATUAL]])</f>
        <v>0</v>
      </c>
      <c r="S154" s="91">
        <f>SUMIFS(tabela_registros[VALOR],tabela_registros[MÊS],$AE$1,tabela_registros[DIA],investiroutrosconsolidadofev[[#Headers],[15]],tabela_registros[REGISTRO],DADOS!$N$5,tabela_registros[TIPO],DADOS!$AB$5,tabela_registros[CATEGORIA],investiroutrosconsolidadofev[[#This Row],[ATUAL]])</f>
        <v>0</v>
      </c>
      <c r="T154" s="91">
        <f>SUMIFS(tabela_registros[VALOR],tabela_registros[MÊS],$AE$1,tabela_registros[DIA],investiroutrosconsolidadofev[[#Headers],[16]],tabela_registros[REGISTRO],DADOS!$N$5,tabela_registros[TIPO],DADOS!$AB$5,tabela_registros[CATEGORIA],investiroutrosconsolidadofev[[#This Row],[ATUAL]])</f>
        <v>0</v>
      </c>
      <c r="U154" s="91">
        <f>SUMIFS(tabela_registros[VALOR],tabela_registros[MÊS],$AE$1,tabela_registros[DIA],investiroutrosconsolidadofev[[#Headers],[17]],tabela_registros[REGISTRO],DADOS!$N$5,tabela_registros[TIPO],DADOS!$AB$5,tabela_registros[CATEGORIA],investiroutrosconsolidadofev[[#This Row],[ATUAL]])</f>
        <v>0</v>
      </c>
      <c r="V154" s="91">
        <f>SUMIFS(tabela_registros[VALOR],tabela_registros[MÊS],$AE$1,tabela_registros[DIA],investiroutrosconsolidadofev[[#Headers],[18]],tabela_registros[REGISTRO],DADOS!$N$5,tabela_registros[TIPO],DADOS!$AB$5,tabela_registros[CATEGORIA],investiroutrosconsolidadofev[[#This Row],[ATUAL]])</f>
        <v>0</v>
      </c>
      <c r="W154" s="91">
        <f>SUMIFS(tabela_registros[VALOR],tabela_registros[MÊS],$AE$1,tabela_registros[DIA],investiroutrosconsolidadofev[[#Headers],[19]],tabela_registros[REGISTRO],DADOS!$N$5,tabela_registros[TIPO],DADOS!$AB$5,tabela_registros[CATEGORIA],investiroutrosconsolidadofev[[#This Row],[ATUAL]])</f>
        <v>0</v>
      </c>
      <c r="X154" s="91">
        <f>SUMIFS(tabela_registros[VALOR],tabela_registros[MÊS],$AE$1,tabela_registros[DIA],investiroutrosconsolidadofev[[#Headers],[20]],tabela_registros[REGISTRO],DADOS!$N$5,tabela_registros[TIPO],DADOS!$AB$5,tabela_registros[CATEGORIA],investiroutrosconsolidadofev[[#This Row],[ATUAL]])</f>
        <v>0</v>
      </c>
      <c r="Y154" s="91">
        <f>SUMIFS(tabela_registros[VALOR],tabela_registros[MÊS],$AE$1,tabela_registros[DIA],investiroutrosconsolidadofev[[#Headers],[21]],tabela_registros[REGISTRO],DADOS!$N$5,tabela_registros[TIPO],DADOS!$AB$5,tabela_registros[CATEGORIA],investiroutrosconsolidadofev[[#This Row],[ATUAL]])</f>
        <v>0</v>
      </c>
      <c r="Z154" s="91">
        <f>SUMIFS(tabela_registros[VALOR],tabela_registros[MÊS],$AE$1,tabela_registros[DIA],investiroutrosconsolidadofev[[#Headers],[22]],tabela_registros[REGISTRO],DADOS!$N$5,tabela_registros[TIPO],DADOS!$AB$5,tabela_registros[CATEGORIA],investiroutrosconsolidadofev[[#This Row],[ATUAL]])</f>
        <v>0</v>
      </c>
      <c r="AA154" s="91">
        <f>SUMIFS(tabela_registros[VALOR],tabela_registros[MÊS],$AE$1,tabela_registros[DIA],investiroutrosconsolidadofev[[#Headers],[23]],tabela_registros[REGISTRO],DADOS!$N$5,tabela_registros[TIPO],DADOS!$AB$5,tabela_registros[CATEGORIA],investiroutrosconsolidadofev[[#This Row],[ATUAL]])</f>
        <v>0</v>
      </c>
      <c r="AB154" s="91">
        <f>SUMIFS(tabela_registros[VALOR],tabela_registros[MÊS],$AE$1,tabela_registros[DIA],investiroutrosconsolidadofev[[#Headers],[24]],tabela_registros[REGISTRO],DADOS!$N$5,tabela_registros[TIPO],DADOS!$AB$5,tabela_registros[CATEGORIA],investiroutrosconsolidadofev[[#This Row],[ATUAL]])</f>
        <v>0</v>
      </c>
      <c r="AC154" s="91">
        <f>SUMIFS(tabela_registros[VALOR],tabela_registros[MÊS],$AE$1,tabela_registros[DIA],investiroutrosconsolidadofev[[#Headers],[25]],tabela_registros[REGISTRO],DADOS!$N$5,tabela_registros[TIPO],DADOS!$AB$5,tabela_registros[CATEGORIA],investiroutrosconsolidadofev[[#This Row],[ATUAL]])</f>
        <v>0</v>
      </c>
      <c r="AD154" s="91">
        <f>SUMIFS(tabela_registros[VALOR],tabela_registros[MÊS],$AE$1,tabela_registros[DIA],investiroutrosconsolidadofev[[#Headers],[26]],tabela_registros[REGISTRO],DADOS!$N$5,tabela_registros[TIPO],DADOS!$AB$5,tabela_registros[CATEGORIA],investiroutrosconsolidadofev[[#This Row],[ATUAL]])</f>
        <v>0</v>
      </c>
      <c r="AE154" s="91">
        <f>SUMIFS(tabela_registros[VALOR],tabela_registros[MÊS],$AE$1,tabela_registros[DIA],investiroutrosconsolidadofev[[#Headers],[27]],tabela_registros[REGISTRO],DADOS!$N$5,tabela_registros[TIPO],DADOS!$AB$5,tabela_registros[CATEGORIA],investiroutrosconsolidadofev[[#This Row],[ATUAL]])</f>
        <v>0</v>
      </c>
      <c r="AF154" s="91">
        <f>SUMIFS(tabela_registros[VALOR],tabela_registros[MÊS],$AE$1,tabela_registros[DIA],investiroutrosconsolidadofev[[#Headers],[28]],tabela_registros[REGISTRO],DADOS!$N$5,tabela_registros[TIPO],DADOS!$AB$5,tabela_registros[CATEGORIA],investiroutrosconsolidadofev[[#This Row],[ATUAL]])</f>
        <v>0</v>
      </c>
      <c r="AG154" s="91">
        <f>SUMIFS(tabela_registros[VALOR],tabela_registros[MÊS],$AE$1,tabela_registros[DIA],investiroutrosconsolidadofev[[#Headers],[29]],tabela_registros[REGISTRO],DADOS!$N$5,tabela_registros[TIPO],DADOS!$AB$5,tabela_registros[CATEGORIA],investiroutrosconsolidadofev[[#This Row],[ATUAL]])</f>
        <v>0</v>
      </c>
      <c r="AH154" s="91">
        <f>SUMIFS(tabela_registros[VALOR],tabela_registros[MÊS],$AE$1,tabela_registros[DIA],investiroutrosconsolidadofev[[#Headers],[30]],tabela_registros[REGISTRO],DADOS!$N$5,tabela_registros[TIPO],DADOS!$AB$5,tabela_registros[CATEGORIA],investiroutrosconsolidadofev[[#This Row],[ATUAL]])</f>
        <v>0</v>
      </c>
      <c r="AI154" s="101">
        <f>SUMIFS(tabela_registros[VALOR],tabela_registros[MÊS],$AE$1,tabela_registros[DIA],investiroutrosconsolidadofev[[#Headers],[31]],tabela_registros[REGISTRO],DADOS!$N$5,tabela_registros[TIPO],DADOS!$AB$5,tabela_registros[CATEGORIA],investiroutrosconsolidadofev[[#This Row],[ATUAL]])</f>
        <v>0</v>
      </c>
      <c r="AJ154" s="97">
        <f>SUM(investiroutrosconsolidadofev[[#This Row],[1]:[31]])</f>
        <v>0</v>
      </c>
      <c r="AK154" s="25"/>
    </row>
    <row r="155" spans="2:37" ht="19.5" customHeight="1" thickTop="1" thickBot="1" x14ac:dyDescent="0.3">
      <c r="B155" s="28"/>
      <c r="C155" s="27" t="str">
        <f>DADOS!$AH$7</f>
        <v>📝 PEER TO COMPANY</v>
      </c>
      <c r="D155" s="26" t="str">
        <f>IF(investiroutrosconsolidadofev[[#This Row],[TOTAL (R$)]]=0,"",IF(OR(investiroutrosconsolidadofev[[#This Row],[TOTAL (R$)]]=LARGE($AJ$151:$AJ$158,1),investiroutrosconsolidadofev[[#This Row],[TOTAL (R$)]]=LARGE($AJ$151:$AJ$158,2)),DADOS!$I$10,""))</f>
        <v/>
      </c>
      <c r="E155" s="96">
        <f>SUMIFS(tabela_registros[VALOR],tabela_registros[MÊS],$AE$1,tabela_registros[DIA],investiroutrosconsolidadofev[[#Headers],[1]],tabela_registros[REGISTRO],DADOS!$N$5,tabela_registros[TIPO],DADOS!$AB$5,tabela_registros[CATEGORIA],investiroutrosconsolidadofev[[#This Row],[ATUAL]])</f>
        <v>0</v>
      </c>
      <c r="F155" s="91">
        <f>SUMIFS(tabela_registros[VALOR],tabela_registros[MÊS],$AE$1,tabela_registros[DIA],investiroutrosconsolidadofev[[#Headers],[2]],tabela_registros[REGISTRO],DADOS!$N$5,tabela_registros[TIPO],DADOS!$AB$5,tabela_registros[CATEGORIA],investiroutrosconsolidadofev[[#This Row],[ATUAL]])</f>
        <v>0</v>
      </c>
      <c r="G155" s="91">
        <f>SUMIFS(tabela_registros[VALOR],tabela_registros[MÊS],$AE$1,tabela_registros[DIA],investiroutrosconsolidadofev[[#Headers],[3]],tabela_registros[REGISTRO],DADOS!$N$5,tabela_registros[TIPO],DADOS!$AB$5,tabela_registros[CATEGORIA],investiroutrosconsolidadofev[[#This Row],[ATUAL]])</f>
        <v>0</v>
      </c>
      <c r="H155" s="91">
        <f>SUMIFS(tabela_registros[VALOR],tabela_registros[MÊS],$AE$1,tabela_registros[DIA],investiroutrosconsolidadofev[[#Headers],[4]],tabela_registros[REGISTRO],DADOS!$N$5,tabela_registros[TIPO],DADOS!$AB$5,tabela_registros[CATEGORIA],investiroutrosconsolidadofev[[#This Row],[ATUAL]])</f>
        <v>0</v>
      </c>
      <c r="I155" s="91">
        <f>SUMIFS(tabela_registros[VALOR],tabela_registros[MÊS],$AE$1,tabela_registros[DIA],investiroutrosconsolidadofev[[#Headers],[5]],tabela_registros[REGISTRO],DADOS!$N$5,tabela_registros[TIPO],DADOS!$AB$5,tabela_registros[CATEGORIA],investiroutrosconsolidadofev[[#This Row],[ATUAL]])</f>
        <v>0</v>
      </c>
      <c r="J155" s="91">
        <f>SUMIFS(tabela_registros[VALOR],tabela_registros[MÊS],$AE$1,tabela_registros[DIA],investiroutrosconsolidadofev[[#Headers],[6]],tabela_registros[REGISTRO],DADOS!$N$5,tabela_registros[TIPO],DADOS!$AB$5,tabela_registros[CATEGORIA],investiroutrosconsolidadofev[[#This Row],[ATUAL]])</f>
        <v>0</v>
      </c>
      <c r="K155" s="91">
        <f>SUMIFS(tabela_registros[VALOR],tabela_registros[MÊS],$AE$1,tabela_registros[DIA],investiroutrosconsolidadofev[[#Headers],[7]],tabela_registros[REGISTRO],DADOS!$N$5,tabela_registros[TIPO],DADOS!$AB$5,tabela_registros[CATEGORIA],investiroutrosconsolidadofev[[#This Row],[ATUAL]])</f>
        <v>0</v>
      </c>
      <c r="L155" s="91">
        <f>SUMIFS(tabela_registros[VALOR],tabela_registros[MÊS],$AE$1,tabela_registros[DIA],investiroutrosconsolidadofev[[#Headers],[8]],tabela_registros[REGISTRO],DADOS!$N$5,tabela_registros[TIPO],DADOS!$AB$5,tabela_registros[CATEGORIA],investiroutrosconsolidadofev[[#This Row],[ATUAL]])</f>
        <v>0</v>
      </c>
      <c r="M155" s="91">
        <f>SUMIFS(tabela_registros[VALOR],tabela_registros[MÊS],$AE$1,tabela_registros[DIA],investiroutrosconsolidadofev[[#Headers],[9]],tabela_registros[REGISTRO],DADOS!$N$5,tabela_registros[TIPO],DADOS!$AB$5,tabela_registros[CATEGORIA],investiroutrosconsolidadofev[[#This Row],[ATUAL]])</f>
        <v>0</v>
      </c>
      <c r="N155" s="91">
        <f>SUMIFS(tabela_registros[VALOR],tabela_registros[MÊS],$AE$1,tabela_registros[DIA],investiroutrosconsolidadofev[[#Headers],[10]],tabela_registros[REGISTRO],DADOS!$N$5,tabela_registros[TIPO],DADOS!$AB$5,tabela_registros[CATEGORIA],investiroutrosconsolidadofev[[#This Row],[ATUAL]])</f>
        <v>0</v>
      </c>
      <c r="O155" s="91">
        <f>SUMIFS(tabela_registros[VALOR],tabela_registros[MÊS],$AE$1,tabela_registros[DIA],investiroutrosconsolidadofev[[#Headers],[11]],tabela_registros[REGISTRO],DADOS!$N$5,tabela_registros[TIPO],DADOS!$AB$5,tabela_registros[CATEGORIA],investiroutrosconsolidadofev[[#This Row],[ATUAL]])</f>
        <v>0</v>
      </c>
      <c r="P155" s="91">
        <f>SUMIFS(tabela_registros[VALOR],tabela_registros[MÊS],$AE$1,tabela_registros[DIA],investiroutrosconsolidadofev[[#Headers],[12]],tabela_registros[REGISTRO],DADOS!$N$5,tabela_registros[TIPO],DADOS!$AB$5,tabela_registros[CATEGORIA],investiroutrosconsolidadofev[[#This Row],[ATUAL]])</f>
        <v>0</v>
      </c>
      <c r="Q155" s="91">
        <f>SUMIFS(tabela_registros[VALOR],tabela_registros[MÊS],$AE$1,tabela_registros[DIA],investiroutrosconsolidadofev[[#Headers],[13]],tabela_registros[REGISTRO],DADOS!$N$5,tabela_registros[TIPO],DADOS!$AB$5,tabela_registros[CATEGORIA],investiroutrosconsolidadofev[[#This Row],[ATUAL]])</f>
        <v>0</v>
      </c>
      <c r="R155" s="91">
        <f>SUMIFS(tabela_registros[VALOR],tabela_registros[MÊS],$AE$1,tabela_registros[DIA],investiroutrosconsolidadofev[[#Headers],[14]],tabela_registros[REGISTRO],DADOS!$N$5,tabela_registros[TIPO],DADOS!$AB$5,tabela_registros[CATEGORIA],investiroutrosconsolidadofev[[#This Row],[ATUAL]])</f>
        <v>0</v>
      </c>
      <c r="S155" s="91">
        <f>SUMIFS(tabela_registros[VALOR],tabela_registros[MÊS],$AE$1,tabela_registros[DIA],investiroutrosconsolidadofev[[#Headers],[15]],tabela_registros[REGISTRO],DADOS!$N$5,tabela_registros[TIPO],DADOS!$AB$5,tabela_registros[CATEGORIA],investiroutrosconsolidadofev[[#This Row],[ATUAL]])</f>
        <v>0</v>
      </c>
      <c r="T155" s="91">
        <f>SUMIFS(tabela_registros[VALOR],tabela_registros[MÊS],$AE$1,tabela_registros[DIA],investiroutrosconsolidadofev[[#Headers],[16]],tabela_registros[REGISTRO],DADOS!$N$5,tabela_registros[TIPO],DADOS!$AB$5,tabela_registros[CATEGORIA],investiroutrosconsolidadofev[[#This Row],[ATUAL]])</f>
        <v>0</v>
      </c>
      <c r="U155" s="91">
        <f>SUMIFS(tabela_registros[VALOR],tabela_registros[MÊS],$AE$1,tabela_registros[DIA],investiroutrosconsolidadofev[[#Headers],[17]],tabela_registros[REGISTRO],DADOS!$N$5,tabela_registros[TIPO],DADOS!$AB$5,tabela_registros[CATEGORIA],investiroutrosconsolidadofev[[#This Row],[ATUAL]])</f>
        <v>0</v>
      </c>
      <c r="V155" s="91">
        <f>SUMIFS(tabela_registros[VALOR],tabela_registros[MÊS],$AE$1,tabela_registros[DIA],investiroutrosconsolidadofev[[#Headers],[18]],tabela_registros[REGISTRO],DADOS!$N$5,tabela_registros[TIPO],DADOS!$AB$5,tabela_registros[CATEGORIA],investiroutrosconsolidadofev[[#This Row],[ATUAL]])</f>
        <v>0</v>
      </c>
      <c r="W155" s="91">
        <f>SUMIFS(tabela_registros[VALOR],tabela_registros[MÊS],$AE$1,tabela_registros[DIA],investiroutrosconsolidadofev[[#Headers],[19]],tabela_registros[REGISTRO],DADOS!$N$5,tabela_registros[TIPO],DADOS!$AB$5,tabela_registros[CATEGORIA],investiroutrosconsolidadofev[[#This Row],[ATUAL]])</f>
        <v>0</v>
      </c>
      <c r="X155" s="91">
        <f>SUMIFS(tabela_registros[VALOR],tabela_registros[MÊS],$AE$1,tabela_registros[DIA],investiroutrosconsolidadofev[[#Headers],[20]],tabela_registros[REGISTRO],DADOS!$N$5,tabela_registros[TIPO],DADOS!$AB$5,tabela_registros[CATEGORIA],investiroutrosconsolidadofev[[#This Row],[ATUAL]])</f>
        <v>0</v>
      </c>
      <c r="Y155" s="91">
        <f>SUMIFS(tabela_registros[VALOR],tabela_registros[MÊS],$AE$1,tabela_registros[DIA],investiroutrosconsolidadofev[[#Headers],[21]],tabela_registros[REGISTRO],DADOS!$N$5,tabela_registros[TIPO],DADOS!$AB$5,tabela_registros[CATEGORIA],investiroutrosconsolidadofev[[#This Row],[ATUAL]])</f>
        <v>0</v>
      </c>
      <c r="Z155" s="91">
        <f>SUMIFS(tabela_registros[VALOR],tabela_registros[MÊS],$AE$1,tabela_registros[DIA],investiroutrosconsolidadofev[[#Headers],[22]],tabela_registros[REGISTRO],DADOS!$N$5,tabela_registros[TIPO],DADOS!$AB$5,tabela_registros[CATEGORIA],investiroutrosconsolidadofev[[#This Row],[ATUAL]])</f>
        <v>0</v>
      </c>
      <c r="AA155" s="91">
        <f>SUMIFS(tabela_registros[VALOR],tabela_registros[MÊS],$AE$1,tabela_registros[DIA],investiroutrosconsolidadofev[[#Headers],[23]],tabela_registros[REGISTRO],DADOS!$N$5,tabela_registros[TIPO],DADOS!$AB$5,tabela_registros[CATEGORIA],investiroutrosconsolidadofev[[#This Row],[ATUAL]])</f>
        <v>0</v>
      </c>
      <c r="AB155" s="91">
        <f>SUMIFS(tabela_registros[VALOR],tabela_registros[MÊS],$AE$1,tabela_registros[DIA],investiroutrosconsolidadofev[[#Headers],[24]],tabela_registros[REGISTRO],DADOS!$N$5,tabela_registros[TIPO],DADOS!$AB$5,tabela_registros[CATEGORIA],investiroutrosconsolidadofev[[#This Row],[ATUAL]])</f>
        <v>0</v>
      </c>
      <c r="AC155" s="91">
        <f>SUMIFS(tabela_registros[VALOR],tabela_registros[MÊS],$AE$1,tabela_registros[DIA],investiroutrosconsolidadofev[[#Headers],[25]],tabela_registros[REGISTRO],DADOS!$N$5,tabela_registros[TIPO],DADOS!$AB$5,tabela_registros[CATEGORIA],investiroutrosconsolidadofev[[#This Row],[ATUAL]])</f>
        <v>0</v>
      </c>
      <c r="AD155" s="91">
        <f>SUMIFS(tabela_registros[VALOR],tabela_registros[MÊS],$AE$1,tabela_registros[DIA],investiroutrosconsolidadofev[[#Headers],[26]],tabela_registros[REGISTRO],DADOS!$N$5,tabela_registros[TIPO],DADOS!$AB$5,tabela_registros[CATEGORIA],investiroutrosconsolidadofev[[#This Row],[ATUAL]])</f>
        <v>0</v>
      </c>
      <c r="AE155" s="91">
        <f>SUMIFS(tabela_registros[VALOR],tabela_registros[MÊS],$AE$1,tabela_registros[DIA],investiroutrosconsolidadofev[[#Headers],[27]],tabela_registros[REGISTRO],DADOS!$N$5,tabela_registros[TIPO],DADOS!$AB$5,tabela_registros[CATEGORIA],investiroutrosconsolidadofev[[#This Row],[ATUAL]])</f>
        <v>0</v>
      </c>
      <c r="AF155" s="91">
        <f>SUMIFS(tabela_registros[VALOR],tabela_registros[MÊS],$AE$1,tabela_registros[DIA],investiroutrosconsolidadofev[[#Headers],[28]],tabela_registros[REGISTRO],DADOS!$N$5,tabela_registros[TIPO],DADOS!$AB$5,tabela_registros[CATEGORIA],investiroutrosconsolidadofev[[#This Row],[ATUAL]])</f>
        <v>0</v>
      </c>
      <c r="AG155" s="91">
        <f>SUMIFS(tabela_registros[VALOR],tabela_registros[MÊS],$AE$1,tabela_registros[DIA],investiroutrosconsolidadofev[[#Headers],[29]],tabela_registros[REGISTRO],DADOS!$N$5,tabela_registros[TIPO],DADOS!$AB$5,tabela_registros[CATEGORIA],investiroutrosconsolidadofev[[#This Row],[ATUAL]])</f>
        <v>0</v>
      </c>
      <c r="AH155" s="91">
        <f>SUMIFS(tabela_registros[VALOR],tabela_registros[MÊS],$AE$1,tabela_registros[DIA],investiroutrosconsolidadofev[[#Headers],[30]],tabela_registros[REGISTRO],DADOS!$N$5,tabela_registros[TIPO],DADOS!$AB$5,tabela_registros[CATEGORIA],investiroutrosconsolidadofev[[#This Row],[ATUAL]])</f>
        <v>0</v>
      </c>
      <c r="AI155" s="101">
        <f>SUMIFS(tabela_registros[VALOR],tabela_registros[MÊS],$AE$1,tabela_registros[DIA],investiroutrosconsolidadofev[[#Headers],[31]],tabela_registros[REGISTRO],DADOS!$N$5,tabela_registros[TIPO],DADOS!$AB$5,tabela_registros[CATEGORIA],investiroutrosconsolidadofev[[#This Row],[ATUAL]])</f>
        <v>0</v>
      </c>
      <c r="AJ155" s="97">
        <f>SUM(investiroutrosconsolidadofev[[#This Row],[1]:[31]])</f>
        <v>0</v>
      </c>
      <c r="AK155" s="25"/>
    </row>
    <row r="156" spans="2:37" ht="19.5" customHeight="1" thickTop="1" thickBot="1" x14ac:dyDescent="0.3">
      <c r="B156" s="28"/>
      <c r="C156" s="27" t="str">
        <f>DADOS!$AH$8</f>
        <v>📝 PEER TO PEER</v>
      </c>
      <c r="D156" s="26" t="str">
        <f>IF(investiroutrosconsolidadofev[[#This Row],[TOTAL (R$)]]=0,"",IF(OR(investiroutrosconsolidadofev[[#This Row],[TOTAL (R$)]]=LARGE($AJ$151:$AJ$158,1),investiroutrosconsolidadofev[[#This Row],[TOTAL (R$)]]=LARGE($AJ$151:$AJ$158,2)),DADOS!$I$10,""))</f>
        <v>💎</v>
      </c>
      <c r="E156" s="96">
        <f>SUMIFS(tabela_registros[VALOR],tabela_registros[MÊS],$AE$1,tabela_registros[DIA],investiroutrosconsolidadofev[[#Headers],[1]],tabela_registros[REGISTRO],DADOS!$N$5,tabela_registros[TIPO],DADOS!$AB$5,tabela_registros[CATEGORIA],investiroutrosconsolidadofev[[#This Row],[ATUAL]])</f>
        <v>0</v>
      </c>
      <c r="F156" s="91">
        <f>SUMIFS(tabela_registros[VALOR],tabela_registros[MÊS],$AE$1,tabela_registros[DIA],investiroutrosconsolidadofev[[#Headers],[2]],tabela_registros[REGISTRO],DADOS!$N$5,tabela_registros[TIPO],DADOS!$AB$5,tabela_registros[CATEGORIA],investiroutrosconsolidadofev[[#This Row],[ATUAL]])</f>
        <v>182</v>
      </c>
      <c r="G156" s="91">
        <f>SUMIFS(tabela_registros[VALOR],tabela_registros[MÊS],$AE$1,tabela_registros[DIA],investiroutrosconsolidadofev[[#Headers],[3]],tabela_registros[REGISTRO],DADOS!$N$5,tabela_registros[TIPO],DADOS!$AB$5,tabela_registros[CATEGORIA],investiroutrosconsolidadofev[[#This Row],[ATUAL]])</f>
        <v>0</v>
      </c>
      <c r="H156" s="91">
        <f>SUMIFS(tabela_registros[VALOR],tabela_registros[MÊS],$AE$1,tabela_registros[DIA],investiroutrosconsolidadofev[[#Headers],[4]],tabela_registros[REGISTRO],DADOS!$N$5,tabela_registros[TIPO],DADOS!$AB$5,tabela_registros[CATEGORIA],investiroutrosconsolidadofev[[#This Row],[ATUAL]])</f>
        <v>0</v>
      </c>
      <c r="I156" s="91">
        <f>SUMIFS(tabela_registros[VALOR],tabela_registros[MÊS],$AE$1,tabela_registros[DIA],investiroutrosconsolidadofev[[#Headers],[5]],tabela_registros[REGISTRO],DADOS!$N$5,tabela_registros[TIPO],DADOS!$AB$5,tabela_registros[CATEGORIA],investiroutrosconsolidadofev[[#This Row],[ATUAL]])</f>
        <v>0</v>
      </c>
      <c r="J156" s="91">
        <f>SUMIFS(tabela_registros[VALOR],tabela_registros[MÊS],$AE$1,tabela_registros[DIA],investiroutrosconsolidadofev[[#Headers],[6]],tabela_registros[REGISTRO],DADOS!$N$5,tabela_registros[TIPO],DADOS!$AB$5,tabela_registros[CATEGORIA],investiroutrosconsolidadofev[[#This Row],[ATUAL]])</f>
        <v>0</v>
      </c>
      <c r="K156" s="91">
        <f>SUMIFS(tabela_registros[VALOR],tabela_registros[MÊS],$AE$1,tabela_registros[DIA],investiroutrosconsolidadofev[[#Headers],[7]],tabela_registros[REGISTRO],DADOS!$N$5,tabela_registros[TIPO],DADOS!$AB$5,tabela_registros[CATEGORIA],investiroutrosconsolidadofev[[#This Row],[ATUAL]])</f>
        <v>0</v>
      </c>
      <c r="L156" s="91">
        <f>SUMIFS(tabela_registros[VALOR],tabela_registros[MÊS],$AE$1,tabela_registros[DIA],investiroutrosconsolidadofev[[#Headers],[8]],tabela_registros[REGISTRO],DADOS!$N$5,tabela_registros[TIPO],DADOS!$AB$5,tabela_registros[CATEGORIA],investiroutrosconsolidadofev[[#This Row],[ATUAL]])</f>
        <v>0</v>
      </c>
      <c r="M156" s="91">
        <f>SUMIFS(tabela_registros[VALOR],tabela_registros[MÊS],$AE$1,tabela_registros[DIA],investiroutrosconsolidadofev[[#Headers],[9]],tabela_registros[REGISTRO],DADOS!$N$5,tabela_registros[TIPO],DADOS!$AB$5,tabela_registros[CATEGORIA],investiroutrosconsolidadofev[[#This Row],[ATUAL]])</f>
        <v>0</v>
      </c>
      <c r="N156" s="91">
        <f>SUMIFS(tabela_registros[VALOR],tabela_registros[MÊS],$AE$1,tabela_registros[DIA],investiroutrosconsolidadofev[[#Headers],[10]],tabela_registros[REGISTRO],DADOS!$N$5,tabela_registros[TIPO],DADOS!$AB$5,tabela_registros[CATEGORIA],investiroutrosconsolidadofev[[#This Row],[ATUAL]])</f>
        <v>0</v>
      </c>
      <c r="O156" s="91">
        <f>SUMIFS(tabela_registros[VALOR],tabela_registros[MÊS],$AE$1,tabela_registros[DIA],investiroutrosconsolidadofev[[#Headers],[11]],tabela_registros[REGISTRO],DADOS!$N$5,tabela_registros[TIPO],DADOS!$AB$5,tabela_registros[CATEGORIA],investiroutrosconsolidadofev[[#This Row],[ATUAL]])</f>
        <v>0</v>
      </c>
      <c r="P156" s="91">
        <f>SUMIFS(tabela_registros[VALOR],tabela_registros[MÊS],$AE$1,tabela_registros[DIA],investiroutrosconsolidadofev[[#Headers],[12]],tabela_registros[REGISTRO],DADOS!$N$5,tabela_registros[TIPO],DADOS!$AB$5,tabela_registros[CATEGORIA],investiroutrosconsolidadofev[[#This Row],[ATUAL]])</f>
        <v>0</v>
      </c>
      <c r="Q156" s="91">
        <f>SUMIFS(tabela_registros[VALOR],tabela_registros[MÊS],$AE$1,tabela_registros[DIA],investiroutrosconsolidadofev[[#Headers],[13]],tabela_registros[REGISTRO],DADOS!$N$5,tabela_registros[TIPO],DADOS!$AB$5,tabela_registros[CATEGORIA],investiroutrosconsolidadofev[[#This Row],[ATUAL]])</f>
        <v>0</v>
      </c>
      <c r="R156" s="91">
        <f>SUMIFS(tabela_registros[VALOR],tabela_registros[MÊS],$AE$1,tabela_registros[DIA],investiroutrosconsolidadofev[[#Headers],[14]],tabela_registros[REGISTRO],DADOS!$N$5,tabela_registros[TIPO],DADOS!$AB$5,tabela_registros[CATEGORIA],investiroutrosconsolidadofev[[#This Row],[ATUAL]])</f>
        <v>0</v>
      </c>
      <c r="S156" s="91">
        <f>SUMIFS(tabela_registros[VALOR],tabela_registros[MÊS],$AE$1,tabela_registros[DIA],investiroutrosconsolidadofev[[#Headers],[15]],tabela_registros[REGISTRO],DADOS!$N$5,tabela_registros[TIPO],DADOS!$AB$5,tabela_registros[CATEGORIA],investiroutrosconsolidadofev[[#This Row],[ATUAL]])</f>
        <v>0</v>
      </c>
      <c r="T156" s="91">
        <f>SUMIFS(tabela_registros[VALOR],tabela_registros[MÊS],$AE$1,tabela_registros[DIA],investiroutrosconsolidadofev[[#Headers],[16]],tabela_registros[REGISTRO],DADOS!$N$5,tabela_registros[TIPO],DADOS!$AB$5,tabela_registros[CATEGORIA],investiroutrosconsolidadofev[[#This Row],[ATUAL]])</f>
        <v>0</v>
      </c>
      <c r="U156" s="91">
        <f>SUMIFS(tabela_registros[VALOR],tabela_registros[MÊS],$AE$1,tabela_registros[DIA],investiroutrosconsolidadofev[[#Headers],[17]],tabela_registros[REGISTRO],DADOS!$N$5,tabela_registros[TIPO],DADOS!$AB$5,tabela_registros[CATEGORIA],investiroutrosconsolidadofev[[#This Row],[ATUAL]])</f>
        <v>0</v>
      </c>
      <c r="V156" s="91">
        <f>SUMIFS(tabela_registros[VALOR],tabela_registros[MÊS],$AE$1,tabela_registros[DIA],investiroutrosconsolidadofev[[#Headers],[18]],tabela_registros[REGISTRO],DADOS!$N$5,tabela_registros[TIPO],DADOS!$AB$5,tabela_registros[CATEGORIA],investiroutrosconsolidadofev[[#This Row],[ATUAL]])</f>
        <v>0</v>
      </c>
      <c r="W156" s="91">
        <f>SUMIFS(tabela_registros[VALOR],tabela_registros[MÊS],$AE$1,tabela_registros[DIA],investiroutrosconsolidadofev[[#Headers],[19]],tabela_registros[REGISTRO],DADOS!$N$5,tabela_registros[TIPO],DADOS!$AB$5,tabela_registros[CATEGORIA],investiroutrosconsolidadofev[[#This Row],[ATUAL]])</f>
        <v>0</v>
      </c>
      <c r="X156" s="91">
        <f>SUMIFS(tabela_registros[VALOR],tabela_registros[MÊS],$AE$1,tabela_registros[DIA],investiroutrosconsolidadofev[[#Headers],[20]],tabela_registros[REGISTRO],DADOS!$N$5,tabela_registros[TIPO],DADOS!$AB$5,tabela_registros[CATEGORIA],investiroutrosconsolidadofev[[#This Row],[ATUAL]])</f>
        <v>0</v>
      </c>
      <c r="Y156" s="91">
        <f>SUMIFS(tabela_registros[VALOR],tabela_registros[MÊS],$AE$1,tabela_registros[DIA],investiroutrosconsolidadofev[[#Headers],[21]],tabela_registros[REGISTRO],DADOS!$N$5,tabela_registros[TIPO],DADOS!$AB$5,tabela_registros[CATEGORIA],investiroutrosconsolidadofev[[#This Row],[ATUAL]])</f>
        <v>0</v>
      </c>
      <c r="Z156" s="91">
        <f>SUMIFS(tabela_registros[VALOR],tabela_registros[MÊS],$AE$1,tabela_registros[DIA],investiroutrosconsolidadofev[[#Headers],[22]],tabela_registros[REGISTRO],DADOS!$N$5,tabela_registros[TIPO],DADOS!$AB$5,tabela_registros[CATEGORIA],investiroutrosconsolidadofev[[#This Row],[ATUAL]])</f>
        <v>0</v>
      </c>
      <c r="AA156" s="91">
        <f>SUMIFS(tabela_registros[VALOR],tabela_registros[MÊS],$AE$1,tabela_registros[DIA],investiroutrosconsolidadofev[[#Headers],[23]],tabela_registros[REGISTRO],DADOS!$N$5,tabela_registros[TIPO],DADOS!$AB$5,tabela_registros[CATEGORIA],investiroutrosconsolidadofev[[#This Row],[ATUAL]])</f>
        <v>0</v>
      </c>
      <c r="AB156" s="91">
        <f>SUMIFS(tabela_registros[VALOR],tabela_registros[MÊS],$AE$1,tabela_registros[DIA],investiroutrosconsolidadofev[[#Headers],[24]],tabela_registros[REGISTRO],DADOS!$N$5,tabela_registros[TIPO],DADOS!$AB$5,tabela_registros[CATEGORIA],investiroutrosconsolidadofev[[#This Row],[ATUAL]])</f>
        <v>0</v>
      </c>
      <c r="AC156" s="91">
        <f>SUMIFS(tabela_registros[VALOR],tabela_registros[MÊS],$AE$1,tabela_registros[DIA],investiroutrosconsolidadofev[[#Headers],[25]],tabela_registros[REGISTRO],DADOS!$N$5,tabela_registros[TIPO],DADOS!$AB$5,tabela_registros[CATEGORIA],investiroutrosconsolidadofev[[#This Row],[ATUAL]])</f>
        <v>0</v>
      </c>
      <c r="AD156" s="91">
        <f>SUMIFS(tabela_registros[VALOR],tabela_registros[MÊS],$AE$1,tabela_registros[DIA],investiroutrosconsolidadofev[[#Headers],[26]],tabela_registros[REGISTRO],DADOS!$N$5,tabela_registros[TIPO],DADOS!$AB$5,tabela_registros[CATEGORIA],investiroutrosconsolidadofev[[#This Row],[ATUAL]])</f>
        <v>0</v>
      </c>
      <c r="AE156" s="91">
        <f>SUMIFS(tabela_registros[VALOR],tabela_registros[MÊS],$AE$1,tabela_registros[DIA],investiroutrosconsolidadofev[[#Headers],[27]],tabela_registros[REGISTRO],DADOS!$N$5,tabela_registros[TIPO],DADOS!$AB$5,tabela_registros[CATEGORIA],investiroutrosconsolidadofev[[#This Row],[ATUAL]])</f>
        <v>0</v>
      </c>
      <c r="AF156" s="91">
        <f>SUMIFS(tabela_registros[VALOR],tabela_registros[MÊS],$AE$1,tabela_registros[DIA],investiroutrosconsolidadofev[[#Headers],[28]],tabela_registros[REGISTRO],DADOS!$N$5,tabela_registros[TIPO],DADOS!$AB$5,tabela_registros[CATEGORIA],investiroutrosconsolidadofev[[#This Row],[ATUAL]])</f>
        <v>0</v>
      </c>
      <c r="AG156" s="91">
        <f>SUMIFS(tabela_registros[VALOR],tabela_registros[MÊS],$AE$1,tabela_registros[DIA],investiroutrosconsolidadofev[[#Headers],[29]],tabela_registros[REGISTRO],DADOS!$N$5,tabela_registros[TIPO],DADOS!$AB$5,tabela_registros[CATEGORIA],investiroutrosconsolidadofev[[#This Row],[ATUAL]])</f>
        <v>0</v>
      </c>
      <c r="AH156" s="91">
        <f>SUMIFS(tabela_registros[VALOR],tabela_registros[MÊS],$AE$1,tabela_registros[DIA],investiroutrosconsolidadofev[[#Headers],[30]],tabela_registros[REGISTRO],DADOS!$N$5,tabela_registros[TIPO],DADOS!$AB$5,tabela_registros[CATEGORIA],investiroutrosconsolidadofev[[#This Row],[ATUAL]])</f>
        <v>0</v>
      </c>
      <c r="AI156" s="101">
        <f>SUMIFS(tabela_registros[VALOR],tabela_registros[MÊS],$AE$1,tabela_registros[DIA],investiroutrosconsolidadofev[[#Headers],[31]],tabela_registros[REGISTRO],DADOS!$N$5,tabela_registros[TIPO],DADOS!$AB$5,tabela_registros[CATEGORIA],investiroutrosconsolidadofev[[#This Row],[ATUAL]])</f>
        <v>0</v>
      </c>
      <c r="AJ156" s="97">
        <f>SUM(investiroutrosconsolidadofev[[#This Row],[1]:[31]])</f>
        <v>182</v>
      </c>
      <c r="AK156" s="25"/>
    </row>
    <row r="157" spans="2:37" ht="19.5" customHeight="1" thickTop="1" thickBot="1" x14ac:dyDescent="0.3">
      <c r="B157" s="28"/>
      <c r="C157" s="27" t="str">
        <f>DADOS!$AH$9</f>
        <v>📝 PREVIDÊNCIA PRIVADA</v>
      </c>
      <c r="D157" s="26" t="str">
        <f>IF(investiroutrosconsolidadofev[[#This Row],[TOTAL (R$)]]=0,"",IF(OR(investiroutrosconsolidadofev[[#This Row],[TOTAL (R$)]]=LARGE($AJ$151:$AJ$158,1),investiroutrosconsolidadofev[[#This Row],[TOTAL (R$)]]=LARGE($AJ$151:$AJ$158,2)),DADOS!$I$10,""))</f>
        <v/>
      </c>
      <c r="E157" s="96">
        <f>SUMIFS(tabela_registros[VALOR],tabela_registros[MÊS],$AE$1,tabela_registros[DIA],investiroutrosconsolidadofev[[#Headers],[1]],tabela_registros[REGISTRO],DADOS!$N$5,tabela_registros[TIPO],DADOS!$AB$5,tabela_registros[CATEGORIA],investiroutrosconsolidadofev[[#This Row],[ATUAL]])</f>
        <v>0</v>
      </c>
      <c r="F157" s="91">
        <f>SUMIFS(tabela_registros[VALOR],tabela_registros[MÊS],$AE$1,tabela_registros[DIA],investiroutrosconsolidadofev[[#Headers],[2]],tabela_registros[REGISTRO],DADOS!$N$5,tabela_registros[TIPO],DADOS!$AB$5,tabela_registros[CATEGORIA],investiroutrosconsolidadofev[[#This Row],[ATUAL]])</f>
        <v>0</v>
      </c>
      <c r="G157" s="91">
        <f>SUMIFS(tabela_registros[VALOR],tabela_registros[MÊS],$AE$1,tabela_registros[DIA],investiroutrosconsolidadofev[[#Headers],[3]],tabela_registros[REGISTRO],DADOS!$N$5,tabela_registros[TIPO],DADOS!$AB$5,tabela_registros[CATEGORIA],investiroutrosconsolidadofev[[#This Row],[ATUAL]])</f>
        <v>0</v>
      </c>
      <c r="H157" s="91">
        <f>SUMIFS(tabela_registros[VALOR],tabela_registros[MÊS],$AE$1,tabela_registros[DIA],investiroutrosconsolidadofev[[#Headers],[4]],tabela_registros[REGISTRO],DADOS!$N$5,tabela_registros[TIPO],DADOS!$AB$5,tabela_registros[CATEGORIA],investiroutrosconsolidadofev[[#This Row],[ATUAL]])</f>
        <v>0</v>
      </c>
      <c r="I157" s="91">
        <f>SUMIFS(tabela_registros[VALOR],tabela_registros[MÊS],$AE$1,tabela_registros[DIA],investiroutrosconsolidadofev[[#Headers],[5]],tabela_registros[REGISTRO],DADOS!$N$5,tabela_registros[TIPO],DADOS!$AB$5,tabela_registros[CATEGORIA],investiroutrosconsolidadofev[[#This Row],[ATUAL]])</f>
        <v>0</v>
      </c>
      <c r="J157" s="91">
        <f>SUMIFS(tabela_registros[VALOR],tabela_registros[MÊS],$AE$1,tabela_registros[DIA],investiroutrosconsolidadofev[[#Headers],[6]],tabela_registros[REGISTRO],DADOS!$N$5,tabela_registros[TIPO],DADOS!$AB$5,tabela_registros[CATEGORIA],investiroutrosconsolidadofev[[#This Row],[ATUAL]])</f>
        <v>0</v>
      </c>
      <c r="K157" s="91">
        <f>SUMIFS(tabela_registros[VALOR],tabela_registros[MÊS],$AE$1,tabela_registros[DIA],investiroutrosconsolidadofev[[#Headers],[7]],tabela_registros[REGISTRO],DADOS!$N$5,tabela_registros[TIPO],DADOS!$AB$5,tabela_registros[CATEGORIA],investiroutrosconsolidadofev[[#This Row],[ATUAL]])</f>
        <v>0</v>
      </c>
      <c r="L157" s="91">
        <f>SUMIFS(tabela_registros[VALOR],tabela_registros[MÊS],$AE$1,tabela_registros[DIA],investiroutrosconsolidadofev[[#Headers],[8]],tabela_registros[REGISTRO],DADOS!$N$5,tabela_registros[TIPO],DADOS!$AB$5,tabela_registros[CATEGORIA],investiroutrosconsolidadofev[[#This Row],[ATUAL]])</f>
        <v>0</v>
      </c>
      <c r="M157" s="91">
        <f>SUMIFS(tabela_registros[VALOR],tabela_registros[MÊS],$AE$1,tabela_registros[DIA],investiroutrosconsolidadofev[[#Headers],[9]],tabela_registros[REGISTRO],DADOS!$N$5,tabela_registros[TIPO],DADOS!$AB$5,tabela_registros[CATEGORIA],investiroutrosconsolidadofev[[#This Row],[ATUAL]])</f>
        <v>0</v>
      </c>
      <c r="N157" s="91">
        <f>SUMIFS(tabela_registros[VALOR],tabela_registros[MÊS],$AE$1,tabela_registros[DIA],investiroutrosconsolidadofev[[#Headers],[10]],tabela_registros[REGISTRO],DADOS!$N$5,tabela_registros[TIPO],DADOS!$AB$5,tabela_registros[CATEGORIA],investiroutrosconsolidadofev[[#This Row],[ATUAL]])</f>
        <v>0</v>
      </c>
      <c r="O157" s="91">
        <f>SUMIFS(tabela_registros[VALOR],tabela_registros[MÊS],$AE$1,tabela_registros[DIA],investiroutrosconsolidadofev[[#Headers],[11]],tabela_registros[REGISTRO],DADOS!$N$5,tabela_registros[TIPO],DADOS!$AB$5,tabela_registros[CATEGORIA],investiroutrosconsolidadofev[[#This Row],[ATUAL]])</f>
        <v>0</v>
      </c>
      <c r="P157" s="91">
        <f>SUMIFS(tabela_registros[VALOR],tabela_registros[MÊS],$AE$1,tabela_registros[DIA],investiroutrosconsolidadofev[[#Headers],[12]],tabela_registros[REGISTRO],DADOS!$N$5,tabela_registros[TIPO],DADOS!$AB$5,tabela_registros[CATEGORIA],investiroutrosconsolidadofev[[#This Row],[ATUAL]])</f>
        <v>0</v>
      </c>
      <c r="Q157" s="91">
        <f>SUMIFS(tabela_registros[VALOR],tabela_registros[MÊS],$AE$1,tabela_registros[DIA],investiroutrosconsolidadofev[[#Headers],[13]],tabela_registros[REGISTRO],DADOS!$N$5,tabela_registros[TIPO],DADOS!$AB$5,tabela_registros[CATEGORIA],investiroutrosconsolidadofev[[#This Row],[ATUAL]])</f>
        <v>0</v>
      </c>
      <c r="R157" s="91">
        <f>SUMIFS(tabela_registros[VALOR],tabela_registros[MÊS],$AE$1,tabela_registros[DIA],investiroutrosconsolidadofev[[#Headers],[14]],tabela_registros[REGISTRO],DADOS!$N$5,tabela_registros[TIPO],DADOS!$AB$5,tabela_registros[CATEGORIA],investiroutrosconsolidadofev[[#This Row],[ATUAL]])</f>
        <v>0</v>
      </c>
      <c r="S157" s="91">
        <f>SUMIFS(tabela_registros[VALOR],tabela_registros[MÊS],$AE$1,tabela_registros[DIA],investiroutrosconsolidadofev[[#Headers],[15]],tabela_registros[REGISTRO],DADOS!$N$5,tabela_registros[TIPO],DADOS!$AB$5,tabela_registros[CATEGORIA],investiroutrosconsolidadofev[[#This Row],[ATUAL]])</f>
        <v>0</v>
      </c>
      <c r="T157" s="91">
        <f>SUMIFS(tabela_registros[VALOR],tabela_registros[MÊS],$AE$1,tabela_registros[DIA],investiroutrosconsolidadofev[[#Headers],[16]],tabela_registros[REGISTRO],DADOS!$N$5,tabela_registros[TIPO],DADOS!$AB$5,tabela_registros[CATEGORIA],investiroutrosconsolidadofev[[#This Row],[ATUAL]])</f>
        <v>0</v>
      </c>
      <c r="U157" s="91">
        <f>SUMIFS(tabela_registros[VALOR],tabela_registros[MÊS],$AE$1,tabela_registros[DIA],investiroutrosconsolidadofev[[#Headers],[17]],tabela_registros[REGISTRO],DADOS!$N$5,tabela_registros[TIPO],DADOS!$AB$5,tabela_registros[CATEGORIA],investiroutrosconsolidadofev[[#This Row],[ATUAL]])</f>
        <v>0</v>
      </c>
      <c r="V157" s="91">
        <f>SUMIFS(tabela_registros[VALOR],tabela_registros[MÊS],$AE$1,tabela_registros[DIA],investiroutrosconsolidadofev[[#Headers],[18]],tabela_registros[REGISTRO],DADOS!$N$5,tabela_registros[TIPO],DADOS!$AB$5,tabela_registros[CATEGORIA],investiroutrosconsolidadofev[[#This Row],[ATUAL]])</f>
        <v>0</v>
      </c>
      <c r="W157" s="91">
        <f>SUMIFS(tabela_registros[VALOR],tabela_registros[MÊS],$AE$1,tabela_registros[DIA],investiroutrosconsolidadofev[[#Headers],[19]],tabela_registros[REGISTRO],DADOS!$N$5,tabela_registros[TIPO],DADOS!$AB$5,tabela_registros[CATEGORIA],investiroutrosconsolidadofev[[#This Row],[ATUAL]])</f>
        <v>0</v>
      </c>
      <c r="X157" s="91">
        <f>SUMIFS(tabela_registros[VALOR],tabela_registros[MÊS],$AE$1,tabela_registros[DIA],investiroutrosconsolidadofev[[#Headers],[20]],tabela_registros[REGISTRO],DADOS!$N$5,tabela_registros[TIPO],DADOS!$AB$5,tabela_registros[CATEGORIA],investiroutrosconsolidadofev[[#This Row],[ATUAL]])</f>
        <v>0</v>
      </c>
      <c r="Y157" s="91">
        <f>SUMIFS(tabela_registros[VALOR],tabela_registros[MÊS],$AE$1,tabela_registros[DIA],investiroutrosconsolidadofev[[#Headers],[21]],tabela_registros[REGISTRO],DADOS!$N$5,tabela_registros[TIPO],DADOS!$AB$5,tabela_registros[CATEGORIA],investiroutrosconsolidadofev[[#This Row],[ATUAL]])</f>
        <v>0</v>
      </c>
      <c r="Z157" s="91">
        <f>SUMIFS(tabela_registros[VALOR],tabela_registros[MÊS],$AE$1,tabela_registros[DIA],investiroutrosconsolidadofev[[#Headers],[22]],tabela_registros[REGISTRO],DADOS!$N$5,tabela_registros[TIPO],DADOS!$AB$5,tabela_registros[CATEGORIA],investiroutrosconsolidadofev[[#This Row],[ATUAL]])</f>
        <v>0</v>
      </c>
      <c r="AA157" s="91">
        <f>SUMIFS(tabela_registros[VALOR],tabela_registros[MÊS],$AE$1,tabela_registros[DIA],investiroutrosconsolidadofev[[#Headers],[23]],tabela_registros[REGISTRO],DADOS!$N$5,tabela_registros[TIPO],DADOS!$AB$5,tabela_registros[CATEGORIA],investiroutrosconsolidadofev[[#This Row],[ATUAL]])</f>
        <v>0</v>
      </c>
      <c r="AB157" s="91">
        <f>SUMIFS(tabela_registros[VALOR],tabela_registros[MÊS],$AE$1,tabela_registros[DIA],investiroutrosconsolidadofev[[#Headers],[24]],tabela_registros[REGISTRO],DADOS!$N$5,tabela_registros[TIPO],DADOS!$AB$5,tabela_registros[CATEGORIA],investiroutrosconsolidadofev[[#This Row],[ATUAL]])</f>
        <v>0</v>
      </c>
      <c r="AC157" s="91">
        <f>SUMIFS(tabela_registros[VALOR],tabela_registros[MÊS],$AE$1,tabela_registros[DIA],investiroutrosconsolidadofev[[#Headers],[25]],tabela_registros[REGISTRO],DADOS!$N$5,tabela_registros[TIPO],DADOS!$AB$5,tabela_registros[CATEGORIA],investiroutrosconsolidadofev[[#This Row],[ATUAL]])</f>
        <v>0</v>
      </c>
      <c r="AD157" s="91">
        <f>SUMIFS(tabela_registros[VALOR],tabela_registros[MÊS],$AE$1,tabela_registros[DIA],investiroutrosconsolidadofev[[#Headers],[26]],tabela_registros[REGISTRO],DADOS!$N$5,tabela_registros[TIPO],DADOS!$AB$5,tabela_registros[CATEGORIA],investiroutrosconsolidadofev[[#This Row],[ATUAL]])</f>
        <v>0</v>
      </c>
      <c r="AE157" s="91">
        <f>SUMIFS(tabela_registros[VALOR],tabela_registros[MÊS],$AE$1,tabela_registros[DIA],investiroutrosconsolidadofev[[#Headers],[27]],tabela_registros[REGISTRO],DADOS!$N$5,tabela_registros[TIPO],DADOS!$AB$5,tabela_registros[CATEGORIA],investiroutrosconsolidadofev[[#This Row],[ATUAL]])</f>
        <v>0</v>
      </c>
      <c r="AF157" s="91">
        <f>SUMIFS(tabela_registros[VALOR],tabela_registros[MÊS],$AE$1,tabela_registros[DIA],investiroutrosconsolidadofev[[#Headers],[28]],tabela_registros[REGISTRO],DADOS!$N$5,tabela_registros[TIPO],DADOS!$AB$5,tabela_registros[CATEGORIA],investiroutrosconsolidadofev[[#This Row],[ATUAL]])</f>
        <v>0</v>
      </c>
      <c r="AG157" s="91">
        <f>SUMIFS(tabela_registros[VALOR],tabela_registros[MÊS],$AE$1,tabela_registros[DIA],investiroutrosconsolidadofev[[#Headers],[29]],tabela_registros[REGISTRO],DADOS!$N$5,tabela_registros[TIPO],DADOS!$AB$5,tabela_registros[CATEGORIA],investiroutrosconsolidadofev[[#This Row],[ATUAL]])</f>
        <v>0</v>
      </c>
      <c r="AH157" s="91">
        <f>SUMIFS(tabela_registros[VALOR],tabela_registros[MÊS],$AE$1,tabela_registros[DIA],investiroutrosconsolidadofev[[#Headers],[30]],tabela_registros[REGISTRO],DADOS!$N$5,tabela_registros[TIPO],DADOS!$AB$5,tabela_registros[CATEGORIA],investiroutrosconsolidadofev[[#This Row],[ATUAL]])</f>
        <v>0</v>
      </c>
      <c r="AI157" s="101">
        <f>SUMIFS(tabela_registros[VALOR],tabela_registros[MÊS],$AE$1,tabela_registros[DIA],investiroutrosconsolidadofev[[#Headers],[31]],tabela_registros[REGISTRO],DADOS!$N$5,tabela_registros[TIPO],DADOS!$AB$5,tabela_registros[CATEGORIA],investiroutrosconsolidadofev[[#This Row],[ATUAL]])</f>
        <v>0</v>
      </c>
      <c r="AJ157" s="97">
        <f>SUM(investiroutrosconsolidadofev[[#This Row],[1]:[31]])</f>
        <v>0</v>
      </c>
      <c r="AK157" s="25"/>
    </row>
    <row r="158" spans="2:37" ht="19.5" customHeight="1" thickTop="1" thickBot="1" x14ac:dyDescent="0.3">
      <c r="B158" s="28"/>
      <c r="C158" s="27" t="str">
        <f>DADOS!$AH$10</f>
        <v>📎 OUTROS</v>
      </c>
      <c r="D158" s="26" t="str">
        <f>IF(investiroutrosconsolidadofev[[#This Row],[TOTAL (R$)]]=0,"",IF(OR(investiroutrosconsolidadofev[[#This Row],[TOTAL (R$)]]=LARGE($AJ$151:$AJ$158,1),investiroutrosconsolidadofev[[#This Row],[TOTAL (R$)]]=LARGE($AJ$151:$AJ$158,2)),DADOS!$I$10,""))</f>
        <v/>
      </c>
      <c r="E158" s="96">
        <f>SUMIFS(tabela_registros[VALOR],tabela_registros[MÊS],$AE$1,tabela_registros[DIA],investiroutrosconsolidadofev[[#Headers],[1]],tabela_registros[REGISTRO],DADOS!$N$5,tabela_registros[TIPO],DADOS!$AB$5,tabela_registros[CATEGORIA],investiroutrosconsolidadofev[[#This Row],[ATUAL]])</f>
        <v>0</v>
      </c>
      <c r="F158" s="91">
        <f>SUMIFS(tabela_registros[VALOR],tabela_registros[MÊS],$AE$1,tabela_registros[DIA],investiroutrosconsolidadofev[[#Headers],[2]],tabela_registros[REGISTRO],DADOS!$N$5,tabela_registros[TIPO],DADOS!$AB$5,tabela_registros[CATEGORIA],investiroutrosconsolidadofev[[#This Row],[ATUAL]])</f>
        <v>0</v>
      </c>
      <c r="G158" s="91">
        <f>SUMIFS(tabela_registros[VALOR],tabela_registros[MÊS],$AE$1,tabela_registros[DIA],investiroutrosconsolidadofev[[#Headers],[3]],tabela_registros[REGISTRO],DADOS!$N$5,tabela_registros[TIPO],DADOS!$AB$5,tabela_registros[CATEGORIA],investiroutrosconsolidadofev[[#This Row],[ATUAL]])</f>
        <v>0</v>
      </c>
      <c r="H158" s="91">
        <f>SUMIFS(tabela_registros[VALOR],tabela_registros[MÊS],$AE$1,tabela_registros[DIA],investiroutrosconsolidadofev[[#Headers],[4]],tabela_registros[REGISTRO],DADOS!$N$5,tabela_registros[TIPO],DADOS!$AB$5,tabela_registros[CATEGORIA],investiroutrosconsolidadofev[[#This Row],[ATUAL]])</f>
        <v>0</v>
      </c>
      <c r="I158" s="91">
        <f>SUMIFS(tabela_registros[VALOR],tabela_registros[MÊS],$AE$1,tabela_registros[DIA],investiroutrosconsolidadofev[[#Headers],[5]],tabela_registros[REGISTRO],DADOS!$N$5,tabela_registros[TIPO],DADOS!$AB$5,tabela_registros[CATEGORIA],investiroutrosconsolidadofev[[#This Row],[ATUAL]])</f>
        <v>0</v>
      </c>
      <c r="J158" s="91">
        <f>SUMIFS(tabela_registros[VALOR],tabela_registros[MÊS],$AE$1,tabela_registros[DIA],investiroutrosconsolidadofev[[#Headers],[6]],tabela_registros[REGISTRO],DADOS!$N$5,tabela_registros[TIPO],DADOS!$AB$5,tabela_registros[CATEGORIA],investiroutrosconsolidadofev[[#This Row],[ATUAL]])</f>
        <v>0</v>
      </c>
      <c r="K158" s="91">
        <f>SUMIFS(tabela_registros[VALOR],tabela_registros[MÊS],$AE$1,tabela_registros[DIA],investiroutrosconsolidadofev[[#Headers],[7]],tabela_registros[REGISTRO],DADOS!$N$5,tabela_registros[TIPO],DADOS!$AB$5,tabela_registros[CATEGORIA],investiroutrosconsolidadofev[[#This Row],[ATUAL]])</f>
        <v>0</v>
      </c>
      <c r="L158" s="91">
        <f>SUMIFS(tabela_registros[VALOR],tabela_registros[MÊS],$AE$1,tabela_registros[DIA],investiroutrosconsolidadofev[[#Headers],[8]],tabela_registros[REGISTRO],DADOS!$N$5,tabela_registros[TIPO],DADOS!$AB$5,tabela_registros[CATEGORIA],investiroutrosconsolidadofev[[#This Row],[ATUAL]])</f>
        <v>0</v>
      </c>
      <c r="M158" s="91">
        <f>SUMIFS(tabela_registros[VALOR],tabela_registros[MÊS],$AE$1,tabela_registros[DIA],investiroutrosconsolidadofev[[#Headers],[9]],tabela_registros[REGISTRO],DADOS!$N$5,tabela_registros[TIPO],DADOS!$AB$5,tabela_registros[CATEGORIA],investiroutrosconsolidadofev[[#This Row],[ATUAL]])</f>
        <v>0</v>
      </c>
      <c r="N158" s="91">
        <f>SUMIFS(tabela_registros[VALOR],tabela_registros[MÊS],$AE$1,tabela_registros[DIA],investiroutrosconsolidadofev[[#Headers],[10]],tabela_registros[REGISTRO],DADOS!$N$5,tabela_registros[TIPO],DADOS!$AB$5,tabela_registros[CATEGORIA],investiroutrosconsolidadofev[[#This Row],[ATUAL]])</f>
        <v>0</v>
      </c>
      <c r="O158" s="91">
        <f>SUMIFS(tabela_registros[VALOR],tabela_registros[MÊS],$AE$1,tabela_registros[DIA],investiroutrosconsolidadofev[[#Headers],[11]],tabela_registros[REGISTRO],DADOS!$N$5,tabela_registros[TIPO],DADOS!$AB$5,tabela_registros[CATEGORIA],investiroutrosconsolidadofev[[#This Row],[ATUAL]])</f>
        <v>0</v>
      </c>
      <c r="P158" s="91">
        <f>SUMIFS(tabela_registros[VALOR],tabela_registros[MÊS],$AE$1,tabela_registros[DIA],investiroutrosconsolidadofev[[#Headers],[12]],tabela_registros[REGISTRO],DADOS!$N$5,tabela_registros[TIPO],DADOS!$AB$5,tabela_registros[CATEGORIA],investiroutrosconsolidadofev[[#This Row],[ATUAL]])</f>
        <v>0</v>
      </c>
      <c r="Q158" s="91">
        <f>SUMIFS(tabela_registros[VALOR],tabela_registros[MÊS],$AE$1,tabela_registros[DIA],investiroutrosconsolidadofev[[#Headers],[13]],tabela_registros[REGISTRO],DADOS!$N$5,tabela_registros[TIPO],DADOS!$AB$5,tabela_registros[CATEGORIA],investiroutrosconsolidadofev[[#This Row],[ATUAL]])</f>
        <v>0</v>
      </c>
      <c r="R158" s="91">
        <f>SUMIFS(tabela_registros[VALOR],tabela_registros[MÊS],$AE$1,tabela_registros[DIA],investiroutrosconsolidadofev[[#Headers],[14]],tabela_registros[REGISTRO],DADOS!$N$5,tabela_registros[TIPO],DADOS!$AB$5,tabela_registros[CATEGORIA],investiroutrosconsolidadofev[[#This Row],[ATUAL]])</f>
        <v>0</v>
      </c>
      <c r="S158" s="91">
        <f>SUMIFS(tabela_registros[VALOR],tabela_registros[MÊS],$AE$1,tabela_registros[DIA],investiroutrosconsolidadofev[[#Headers],[15]],tabela_registros[REGISTRO],DADOS!$N$5,tabela_registros[TIPO],DADOS!$AB$5,tabela_registros[CATEGORIA],investiroutrosconsolidadofev[[#This Row],[ATUAL]])</f>
        <v>0</v>
      </c>
      <c r="T158" s="91">
        <f>SUMIFS(tabela_registros[VALOR],tabela_registros[MÊS],$AE$1,tabela_registros[DIA],investiroutrosconsolidadofev[[#Headers],[16]],tabela_registros[REGISTRO],DADOS!$N$5,tabela_registros[TIPO],DADOS!$AB$5,tabela_registros[CATEGORIA],investiroutrosconsolidadofev[[#This Row],[ATUAL]])</f>
        <v>0</v>
      </c>
      <c r="U158" s="91">
        <f>SUMIFS(tabela_registros[VALOR],tabela_registros[MÊS],$AE$1,tabela_registros[DIA],investiroutrosconsolidadofev[[#Headers],[17]],tabela_registros[REGISTRO],DADOS!$N$5,tabela_registros[TIPO],DADOS!$AB$5,tabela_registros[CATEGORIA],investiroutrosconsolidadofev[[#This Row],[ATUAL]])</f>
        <v>0</v>
      </c>
      <c r="V158" s="91">
        <f>SUMIFS(tabela_registros[VALOR],tabela_registros[MÊS],$AE$1,tabela_registros[DIA],investiroutrosconsolidadofev[[#Headers],[18]],tabela_registros[REGISTRO],DADOS!$N$5,tabela_registros[TIPO],DADOS!$AB$5,tabela_registros[CATEGORIA],investiroutrosconsolidadofev[[#This Row],[ATUAL]])</f>
        <v>0</v>
      </c>
      <c r="W158" s="91">
        <f>SUMIFS(tabela_registros[VALOR],tabela_registros[MÊS],$AE$1,tabela_registros[DIA],investiroutrosconsolidadofev[[#Headers],[19]],tabela_registros[REGISTRO],DADOS!$N$5,tabela_registros[TIPO],DADOS!$AB$5,tabela_registros[CATEGORIA],investiroutrosconsolidadofev[[#This Row],[ATUAL]])</f>
        <v>0</v>
      </c>
      <c r="X158" s="91">
        <f>SUMIFS(tabela_registros[VALOR],tabela_registros[MÊS],$AE$1,tabela_registros[DIA],investiroutrosconsolidadofev[[#Headers],[20]],tabela_registros[REGISTRO],DADOS!$N$5,tabela_registros[TIPO],DADOS!$AB$5,tabela_registros[CATEGORIA],investiroutrosconsolidadofev[[#This Row],[ATUAL]])</f>
        <v>0</v>
      </c>
      <c r="Y158" s="91">
        <f>SUMIFS(tabela_registros[VALOR],tabela_registros[MÊS],$AE$1,tabela_registros[DIA],investiroutrosconsolidadofev[[#Headers],[21]],tabela_registros[REGISTRO],DADOS!$N$5,tabela_registros[TIPO],DADOS!$AB$5,tabela_registros[CATEGORIA],investiroutrosconsolidadofev[[#This Row],[ATUAL]])</f>
        <v>0</v>
      </c>
      <c r="Z158" s="91">
        <f>SUMIFS(tabela_registros[VALOR],tabela_registros[MÊS],$AE$1,tabela_registros[DIA],investiroutrosconsolidadofev[[#Headers],[22]],tabela_registros[REGISTRO],DADOS!$N$5,tabela_registros[TIPO],DADOS!$AB$5,tabela_registros[CATEGORIA],investiroutrosconsolidadofev[[#This Row],[ATUAL]])</f>
        <v>0</v>
      </c>
      <c r="AA158" s="91">
        <f>SUMIFS(tabela_registros[VALOR],tabela_registros[MÊS],$AE$1,tabela_registros[DIA],investiroutrosconsolidadofev[[#Headers],[23]],tabela_registros[REGISTRO],DADOS!$N$5,tabela_registros[TIPO],DADOS!$AB$5,tabela_registros[CATEGORIA],investiroutrosconsolidadofev[[#This Row],[ATUAL]])</f>
        <v>0</v>
      </c>
      <c r="AB158" s="91">
        <f>SUMIFS(tabela_registros[VALOR],tabela_registros[MÊS],$AE$1,tabela_registros[DIA],investiroutrosconsolidadofev[[#Headers],[24]],tabela_registros[REGISTRO],DADOS!$N$5,tabela_registros[TIPO],DADOS!$AB$5,tabela_registros[CATEGORIA],investiroutrosconsolidadofev[[#This Row],[ATUAL]])</f>
        <v>0</v>
      </c>
      <c r="AC158" s="91">
        <f>SUMIFS(tabela_registros[VALOR],tabela_registros[MÊS],$AE$1,tabela_registros[DIA],investiroutrosconsolidadofev[[#Headers],[25]],tabela_registros[REGISTRO],DADOS!$N$5,tabela_registros[TIPO],DADOS!$AB$5,tabela_registros[CATEGORIA],investiroutrosconsolidadofev[[#This Row],[ATUAL]])</f>
        <v>0</v>
      </c>
      <c r="AD158" s="91">
        <f>SUMIFS(tabela_registros[VALOR],tabela_registros[MÊS],$AE$1,tabela_registros[DIA],investiroutrosconsolidadofev[[#Headers],[26]],tabela_registros[REGISTRO],DADOS!$N$5,tabela_registros[TIPO],DADOS!$AB$5,tabela_registros[CATEGORIA],investiroutrosconsolidadofev[[#This Row],[ATUAL]])</f>
        <v>0</v>
      </c>
      <c r="AE158" s="91">
        <f>SUMIFS(tabela_registros[VALOR],tabela_registros[MÊS],$AE$1,tabela_registros[DIA],investiroutrosconsolidadofev[[#Headers],[27]],tabela_registros[REGISTRO],DADOS!$N$5,tabela_registros[TIPO],DADOS!$AB$5,tabela_registros[CATEGORIA],investiroutrosconsolidadofev[[#This Row],[ATUAL]])</f>
        <v>0</v>
      </c>
      <c r="AF158" s="91">
        <f>SUMIFS(tabela_registros[VALOR],tabela_registros[MÊS],$AE$1,tabela_registros[DIA],investiroutrosconsolidadofev[[#Headers],[28]],tabela_registros[REGISTRO],DADOS!$N$5,tabela_registros[TIPO],DADOS!$AB$5,tabela_registros[CATEGORIA],investiroutrosconsolidadofev[[#This Row],[ATUAL]])</f>
        <v>0</v>
      </c>
      <c r="AG158" s="91">
        <f>SUMIFS(tabela_registros[VALOR],tabela_registros[MÊS],$AE$1,tabela_registros[DIA],investiroutrosconsolidadofev[[#Headers],[29]],tabela_registros[REGISTRO],DADOS!$N$5,tabela_registros[TIPO],DADOS!$AB$5,tabela_registros[CATEGORIA],investiroutrosconsolidadofev[[#This Row],[ATUAL]])</f>
        <v>0</v>
      </c>
      <c r="AH158" s="91">
        <f>SUMIFS(tabela_registros[VALOR],tabela_registros[MÊS],$AE$1,tabela_registros[DIA],investiroutrosconsolidadofev[[#Headers],[30]],tabela_registros[REGISTRO],DADOS!$N$5,tabela_registros[TIPO],DADOS!$AB$5,tabela_registros[CATEGORIA],investiroutrosconsolidadofev[[#This Row],[ATUAL]])</f>
        <v>0</v>
      </c>
      <c r="AI158" s="101">
        <f>SUMIFS(tabela_registros[VALOR],tabela_registros[MÊS],$AE$1,tabela_registros[DIA],investiroutrosconsolidadofev[[#Headers],[31]],tabela_registros[REGISTRO],DADOS!$N$5,tabela_registros[TIPO],DADOS!$AB$5,tabela_registros[CATEGORIA],investiroutrosconsolidadofev[[#This Row],[ATUAL]])</f>
        <v>0</v>
      </c>
      <c r="AJ158" s="97">
        <f>SUM(investiroutrosconsolidadofev[[#This Row],[1]:[31]])</f>
        <v>0</v>
      </c>
      <c r="AK158" s="25"/>
    </row>
    <row r="159" spans="2:37" s="16" customFormat="1" ht="21" customHeight="1" thickTop="1" thickBot="1" x14ac:dyDescent="0.35">
      <c r="B159" s="24"/>
      <c r="C159" s="23" t="s">
        <v>19</v>
      </c>
      <c r="D159" s="22"/>
      <c r="E159" s="21">
        <f>SUM(E151:E158)</f>
        <v>0</v>
      </c>
      <c r="F159" s="20">
        <f>SUM(F151:F158)+investiroutrosconsolidadofev[[#This Row],[1]]</f>
        <v>358</v>
      </c>
      <c r="G159" s="20">
        <f>SUM(G151:G158)+investiroutrosconsolidadofev[[#This Row],[2]]</f>
        <v>358</v>
      </c>
      <c r="H159" s="20">
        <f>SUM(H151:H158)+investiroutrosconsolidadofev[[#This Row],[3]]</f>
        <v>358</v>
      </c>
      <c r="I159" s="20">
        <f>SUM(I151:I158)+investiroutrosconsolidadofev[[#This Row],[4]]</f>
        <v>358</v>
      </c>
      <c r="J159" s="20">
        <f>SUM(J151:J158)+investiroutrosconsolidadofev[[#This Row],[5]]</f>
        <v>358</v>
      </c>
      <c r="K159" s="20">
        <f>SUM(K151:K158)+investiroutrosconsolidadofev[[#This Row],[6]]</f>
        <v>358</v>
      </c>
      <c r="L159" s="20">
        <f>SUM(L151:L158)+investiroutrosconsolidadofev[[#This Row],[7]]</f>
        <v>358</v>
      </c>
      <c r="M159" s="20">
        <f>SUM(M151:M158)+investiroutrosconsolidadofev[[#This Row],[8]]</f>
        <v>358</v>
      </c>
      <c r="N159" s="20">
        <f>SUM(N151:N158)+investiroutrosconsolidadofev[[#This Row],[9]]</f>
        <v>358</v>
      </c>
      <c r="O159" s="20">
        <f>SUM(O151:O158)+investiroutrosconsolidadofev[[#This Row],[10]]</f>
        <v>358</v>
      </c>
      <c r="P159" s="20">
        <f>SUM(P151:P158)+investiroutrosconsolidadofev[[#This Row],[11]]</f>
        <v>358</v>
      </c>
      <c r="Q159" s="20">
        <f>SUM(Q151:Q158)+investiroutrosconsolidadofev[[#This Row],[12]]</f>
        <v>358</v>
      </c>
      <c r="R159" s="20">
        <f>SUM(R151:R158)+investiroutrosconsolidadofev[[#This Row],[13]]</f>
        <v>358</v>
      </c>
      <c r="S159" s="20">
        <f>SUM(S151:S158)+investiroutrosconsolidadofev[[#This Row],[14]]</f>
        <v>358</v>
      </c>
      <c r="T159" s="20">
        <f>SUM(T151:T158)+investiroutrosconsolidadofev[[#This Row],[15]]</f>
        <v>358</v>
      </c>
      <c r="U159" s="20">
        <f>SUM(U151:U158)+investiroutrosconsolidadofev[[#This Row],[16]]</f>
        <v>358</v>
      </c>
      <c r="V159" s="20">
        <f>SUM(V151:V158)+investiroutrosconsolidadofev[[#This Row],[17]]</f>
        <v>358</v>
      </c>
      <c r="W159" s="20">
        <f>SUM(W151:W158)+investiroutrosconsolidadofev[[#This Row],[18]]</f>
        <v>358</v>
      </c>
      <c r="X159" s="20">
        <f>SUM(X151:X158)+investiroutrosconsolidadofev[[#This Row],[19]]</f>
        <v>358</v>
      </c>
      <c r="Y159" s="20">
        <f>SUM(Y151:Y158)+investiroutrosconsolidadofev[[#This Row],[20]]</f>
        <v>358</v>
      </c>
      <c r="Z159" s="20">
        <f>SUM(Z151:Z158)+investiroutrosconsolidadofev[[#This Row],[21]]</f>
        <v>358</v>
      </c>
      <c r="AA159" s="20">
        <f>SUM(AA151:AA158)+investiroutrosconsolidadofev[[#This Row],[22]]</f>
        <v>358</v>
      </c>
      <c r="AB159" s="20">
        <f>SUM(AB151:AB158)+investiroutrosconsolidadofev[[#This Row],[23]]</f>
        <v>358</v>
      </c>
      <c r="AC159" s="20">
        <f>SUM(AC151:AC158)+investiroutrosconsolidadofev[[#This Row],[24]]</f>
        <v>358</v>
      </c>
      <c r="AD159" s="20">
        <f>SUM(AD151:AD158)+investiroutrosconsolidadofev[[#This Row],[25]]</f>
        <v>358</v>
      </c>
      <c r="AE159" s="20">
        <f>SUM(AE151:AE158)+investiroutrosconsolidadofev[[#This Row],[26]]</f>
        <v>358</v>
      </c>
      <c r="AF159" s="20">
        <f>SUM(AF151:AF158)+investiroutrosconsolidadofev[[#This Row],[27]]</f>
        <v>358</v>
      </c>
      <c r="AG159" s="20">
        <f>SUM(AG151:AG158)+investiroutrosconsolidadofev[[#This Row],[28]]</f>
        <v>358</v>
      </c>
      <c r="AH159" s="20">
        <f>SUM(AH151:AH158)+investiroutrosconsolidadofev[[#This Row],[29]]</f>
        <v>358</v>
      </c>
      <c r="AI159" s="19">
        <f>SUM(AI151:AI158)+investiroutrosconsolidadofev[[#This Row],[30]]</f>
        <v>358</v>
      </c>
      <c r="AJ159" s="18">
        <f>investiroutrosconsolidadofev[[#This Row],[31]]</f>
        <v>358</v>
      </c>
      <c r="AK159" s="17"/>
    </row>
    <row r="160" spans="2:37" ht="6.75" customHeight="1" thickTop="1" thickBot="1" x14ac:dyDescent="0.3">
      <c r="B160" s="15"/>
      <c r="C160" s="14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  <c r="AA160" s="13"/>
      <c r="AB160" s="13"/>
      <c r="AC160" s="13"/>
      <c r="AD160" s="13"/>
      <c r="AE160" s="13"/>
      <c r="AF160" s="13"/>
      <c r="AG160" s="13"/>
      <c r="AH160" s="13"/>
      <c r="AI160" s="12"/>
      <c r="AJ160" s="11"/>
      <c r="AK160" s="10"/>
    </row>
    <row r="161" spans="2:37" ht="12.6" thickTop="1" x14ac:dyDescent="0.25">
      <c r="E161" s="37"/>
      <c r="AI161" s="4"/>
    </row>
    <row r="162" spans="2:37" x14ac:dyDescent="0.25">
      <c r="AI162" s="4"/>
    </row>
    <row r="163" spans="2:37" x14ac:dyDescent="0.25">
      <c r="AI163" s="4"/>
    </row>
    <row r="164" spans="2:37" ht="39.75" customHeight="1" x14ac:dyDescent="0.7">
      <c r="C164" s="36"/>
      <c r="E164" s="240"/>
      <c r="F164" s="240"/>
      <c r="G164" s="240"/>
      <c r="H164" s="240"/>
      <c r="I164" s="240"/>
      <c r="J164" s="240"/>
      <c r="K164" s="240"/>
      <c r="L164" s="240"/>
      <c r="M164" s="240"/>
      <c r="N164" s="240"/>
      <c r="O164" s="240"/>
      <c r="P164" s="240"/>
      <c r="Q164" s="240"/>
      <c r="R164" s="240"/>
      <c r="S164" s="240"/>
      <c r="T164" s="240"/>
      <c r="U164" s="240"/>
      <c r="V164" s="240"/>
      <c r="W164" s="240"/>
      <c r="X164" s="240"/>
      <c r="Y164" s="240"/>
      <c r="Z164" s="240"/>
      <c r="AA164" s="240"/>
      <c r="AB164" s="240"/>
      <c r="AC164" s="240"/>
      <c r="AD164" s="240"/>
      <c r="AE164" s="240"/>
      <c r="AF164" s="240"/>
      <c r="AG164" s="240"/>
      <c r="AH164" s="240"/>
      <c r="AI164" s="240"/>
      <c r="AJ164" s="32" t="s">
        <v>19</v>
      </c>
    </row>
    <row r="165" spans="2:37" ht="12.6" thickBot="1" x14ac:dyDescent="0.3">
      <c r="B165" s="35"/>
      <c r="AI165" s="4"/>
      <c r="AJ165" s="34" t="s">
        <v>202</v>
      </c>
    </row>
    <row r="166" spans="2:37" ht="6.75" customHeight="1" thickTop="1" thickBot="1" x14ac:dyDescent="0.3">
      <c r="B166" s="2"/>
      <c r="C166" s="14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F166" s="13"/>
      <c r="AG166" s="13"/>
      <c r="AH166" s="13"/>
      <c r="AI166" s="13"/>
      <c r="AJ166" s="12"/>
      <c r="AK166" s="33"/>
    </row>
    <row r="167" spans="2:37" ht="13.2" hidden="1" thickTop="1" thickBot="1" x14ac:dyDescent="0.3">
      <c r="B167" s="2"/>
      <c r="C167" s="31" t="s">
        <v>199</v>
      </c>
      <c r="D167" s="30" t="s">
        <v>198</v>
      </c>
      <c r="E167" s="30" t="s">
        <v>197</v>
      </c>
      <c r="F167" s="30" t="s">
        <v>196</v>
      </c>
      <c r="G167" s="30" t="s">
        <v>195</v>
      </c>
      <c r="H167" s="30" t="s">
        <v>194</v>
      </c>
      <c r="I167" s="30" t="s">
        <v>193</v>
      </c>
      <c r="J167" s="30" t="s">
        <v>192</v>
      </c>
      <c r="K167" s="30" t="s">
        <v>191</v>
      </c>
      <c r="L167" s="30" t="s">
        <v>190</v>
      </c>
      <c r="M167" s="30" t="s">
        <v>189</v>
      </c>
      <c r="N167" s="30" t="s">
        <v>188</v>
      </c>
      <c r="O167" s="30" t="s">
        <v>187</v>
      </c>
      <c r="P167" s="30" t="s">
        <v>186</v>
      </c>
      <c r="Q167" s="30" t="s">
        <v>185</v>
      </c>
      <c r="R167" s="30" t="s">
        <v>184</v>
      </c>
      <c r="S167" s="30" t="s">
        <v>183</v>
      </c>
      <c r="T167" s="30" t="s">
        <v>182</v>
      </c>
      <c r="U167" s="30" t="s">
        <v>181</v>
      </c>
      <c r="V167" s="30" t="s">
        <v>180</v>
      </c>
      <c r="W167" s="30" t="s">
        <v>179</v>
      </c>
      <c r="X167" s="30" t="s">
        <v>178</v>
      </c>
      <c r="Y167" s="30" t="s">
        <v>177</v>
      </c>
      <c r="Z167" s="30" t="s">
        <v>176</v>
      </c>
      <c r="AA167" s="30" t="s">
        <v>175</v>
      </c>
      <c r="AB167" s="30" t="s">
        <v>174</v>
      </c>
      <c r="AC167" s="30" t="s">
        <v>173</v>
      </c>
      <c r="AD167" s="30" t="s">
        <v>172</v>
      </c>
      <c r="AE167" s="30" t="s">
        <v>171</v>
      </c>
      <c r="AF167" s="30" t="s">
        <v>170</v>
      </c>
      <c r="AG167" s="30" t="s">
        <v>169</v>
      </c>
      <c r="AH167" s="30" t="s">
        <v>168</v>
      </c>
      <c r="AI167" s="30" t="s">
        <v>167</v>
      </c>
      <c r="AJ167" s="29" t="s">
        <v>166</v>
      </c>
      <c r="AK167" s="2"/>
    </row>
    <row r="168" spans="2:37" ht="19.5" customHeight="1" thickTop="1" thickBot="1" x14ac:dyDescent="0.3">
      <c r="B168" s="28"/>
      <c r="C168" s="27" t="str">
        <f>DADOS!$AL$3</f>
        <v>📝 CDB</v>
      </c>
      <c r="D168" s="26" t="str">
        <f>IF(reservafixaconsolidadofev[[#This Row],[TOTAL (R$)]]=0,"",IF(OR(reservafixaconsolidadofev[[#This Row],[TOTAL (R$)]]=LARGE($AJ$168:$AJ$177,1),reservafixaconsolidadofev[[#This Row],[TOTAL (R$)]]=LARGE($AJ$168:$AJ$177,2)),DADOS!$I$11,""))</f>
        <v/>
      </c>
      <c r="E168" s="96">
        <f>SUMIFS(tabela_registros[VALOR],tabela_registros[MÊS],$AE$1,tabela_registros[DIA],reservafixaconsolidadofev[[#Headers],[1]],tabela_registros[REGISTRO],DADOS!$N$6,tabela_registros[TIPO],DADOS!$AJ$3,tabela_registros[CATEGORIA],reservafixaconsolidadofev[[#This Row],[ATUAL]])</f>
        <v>0</v>
      </c>
      <c r="F168" s="91">
        <f>SUMIFS(tabela_registros[VALOR],tabela_registros[MÊS],$AE$1,tabela_registros[DIA],reservafixaconsolidadofev[[#Headers],[2]],tabela_registros[REGISTRO],DADOS!$N$6,tabela_registros[TIPO],DADOS!$AJ$3,tabela_registros[CATEGORIA],reservafixaconsolidadofev[[#This Row],[ATUAL]])</f>
        <v>0</v>
      </c>
      <c r="G168" s="91">
        <f>SUMIFS(tabela_registros[VALOR],tabela_registros[MÊS],$AE$1,tabela_registros[DIA],reservafixaconsolidadofev[[#Headers],[3]],tabela_registros[REGISTRO],DADOS!$N$6,tabela_registros[TIPO],DADOS!$AJ$3,tabela_registros[CATEGORIA],reservafixaconsolidadofev[[#This Row],[ATUAL]])</f>
        <v>0</v>
      </c>
      <c r="H168" s="91">
        <f>SUMIFS(tabela_registros[VALOR],tabela_registros[MÊS],$AE$1,tabela_registros[DIA],reservafixaconsolidadofev[[#Headers],[4]],tabela_registros[REGISTRO],DADOS!$N$6,tabela_registros[TIPO],DADOS!$AJ$3,tabela_registros[CATEGORIA],reservafixaconsolidadofev[[#This Row],[ATUAL]])</f>
        <v>0</v>
      </c>
      <c r="I168" s="91">
        <f>SUMIFS(tabela_registros[VALOR],tabela_registros[MÊS],$AE$1,tabela_registros[DIA],reservafixaconsolidadofev[[#Headers],[5]],tabela_registros[REGISTRO],DADOS!$N$6,tabela_registros[TIPO],DADOS!$AJ$3,tabela_registros[CATEGORIA],reservafixaconsolidadofev[[#This Row],[ATUAL]])</f>
        <v>0</v>
      </c>
      <c r="J168" s="91">
        <f>SUMIFS(tabela_registros[VALOR],tabela_registros[MÊS],$AE$1,tabela_registros[DIA],reservafixaconsolidadofev[[#Headers],[6]],tabela_registros[REGISTRO],DADOS!$N$6,tabela_registros[TIPO],DADOS!$AJ$3,tabela_registros[CATEGORIA],reservafixaconsolidadofev[[#This Row],[ATUAL]])</f>
        <v>0</v>
      </c>
      <c r="K168" s="91">
        <f>SUMIFS(tabela_registros[VALOR],tabela_registros[MÊS],$AE$1,tabela_registros[DIA],reservafixaconsolidadofev[[#Headers],[7]],tabela_registros[REGISTRO],DADOS!$N$6,tabela_registros[TIPO],DADOS!$AJ$3,tabela_registros[CATEGORIA],reservafixaconsolidadofev[[#This Row],[ATUAL]])</f>
        <v>0</v>
      </c>
      <c r="L168" s="91">
        <f>SUMIFS(tabela_registros[VALOR],tabela_registros[MÊS],$AE$1,tabela_registros[DIA],reservafixaconsolidadofev[[#Headers],[8]],tabela_registros[REGISTRO],DADOS!$N$6,tabela_registros[TIPO],DADOS!$AJ$3,tabela_registros[CATEGORIA],reservafixaconsolidadofev[[#This Row],[ATUAL]])</f>
        <v>0</v>
      </c>
      <c r="M168" s="91">
        <f>SUMIFS(tabela_registros[VALOR],tabela_registros[MÊS],$AE$1,tabela_registros[DIA],reservafixaconsolidadofev[[#Headers],[9]],tabela_registros[REGISTRO],DADOS!$N$6,tabela_registros[TIPO],DADOS!$AJ$3,tabela_registros[CATEGORIA],reservafixaconsolidadofev[[#This Row],[ATUAL]])</f>
        <v>0</v>
      </c>
      <c r="N168" s="91">
        <f>SUMIFS(tabela_registros[VALOR],tabela_registros[MÊS],$AE$1,tabela_registros[DIA],reservafixaconsolidadofev[[#Headers],[10]],tabela_registros[REGISTRO],DADOS!$N$6,tabela_registros[TIPO],DADOS!$AJ$3,tabela_registros[CATEGORIA],reservafixaconsolidadofev[[#This Row],[ATUAL]])</f>
        <v>0</v>
      </c>
      <c r="O168" s="91">
        <f>SUMIFS(tabela_registros[VALOR],tabela_registros[MÊS],$AE$1,tabela_registros[DIA],reservafixaconsolidadofev[[#Headers],[11]],tabela_registros[REGISTRO],DADOS!$N$6,tabela_registros[TIPO],DADOS!$AJ$3,tabela_registros[CATEGORIA],reservafixaconsolidadofev[[#This Row],[ATUAL]])</f>
        <v>0</v>
      </c>
      <c r="P168" s="91">
        <f>SUMIFS(tabela_registros[VALOR],tabela_registros[MÊS],$AE$1,tabela_registros[DIA],reservafixaconsolidadofev[[#Headers],[12]],tabela_registros[REGISTRO],DADOS!$N$6,tabela_registros[TIPO],DADOS!$AJ$3,tabela_registros[CATEGORIA],reservafixaconsolidadofev[[#This Row],[ATUAL]])</f>
        <v>0</v>
      </c>
      <c r="Q168" s="91">
        <f>SUMIFS(tabela_registros[VALOR],tabela_registros[MÊS],$AE$1,tabela_registros[DIA],reservafixaconsolidadofev[[#Headers],[13]],tabela_registros[REGISTRO],DADOS!$N$6,tabela_registros[TIPO],DADOS!$AJ$3,tabela_registros[CATEGORIA],reservafixaconsolidadofev[[#This Row],[ATUAL]])</f>
        <v>0</v>
      </c>
      <c r="R168" s="91">
        <f>SUMIFS(tabela_registros[VALOR],tabela_registros[MÊS],$AE$1,tabela_registros[DIA],reservafixaconsolidadofev[[#Headers],[14]],tabela_registros[REGISTRO],DADOS!$N$6,tabela_registros[TIPO],DADOS!$AJ$3,tabela_registros[CATEGORIA],reservafixaconsolidadofev[[#This Row],[ATUAL]])</f>
        <v>0</v>
      </c>
      <c r="S168" s="91">
        <f>SUMIFS(tabela_registros[VALOR],tabela_registros[MÊS],$AE$1,tabela_registros[DIA],reservafixaconsolidadofev[[#Headers],[15]],tabela_registros[REGISTRO],DADOS!$N$6,tabela_registros[TIPO],DADOS!$AJ$3,tabela_registros[CATEGORIA],reservafixaconsolidadofev[[#This Row],[ATUAL]])</f>
        <v>0</v>
      </c>
      <c r="T168" s="91">
        <f>SUMIFS(tabela_registros[VALOR],tabela_registros[MÊS],$AE$1,tabela_registros[DIA],reservafixaconsolidadofev[[#Headers],[16]],tabela_registros[REGISTRO],DADOS!$N$6,tabela_registros[TIPO],DADOS!$AJ$3,tabela_registros[CATEGORIA],reservafixaconsolidadofev[[#This Row],[ATUAL]])</f>
        <v>0</v>
      </c>
      <c r="U168" s="91">
        <f>SUMIFS(tabela_registros[VALOR],tabela_registros[MÊS],$AE$1,tabela_registros[DIA],reservafixaconsolidadofev[[#Headers],[17]],tabela_registros[REGISTRO],DADOS!$N$6,tabela_registros[TIPO],DADOS!$AJ$3,tabela_registros[CATEGORIA],reservafixaconsolidadofev[[#This Row],[ATUAL]])</f>
        <v>0</v>
      </c>
      <c r="V168" s="91">
        <f>SUMIFS(tabela_registros[VALOR],tabela_registros[MÊS],$AE$1,tabela_registros[DIA],reservafixaconsolidadofev[[#Headers],[18]],tabela_registros[REGISTRO],DADOS!$N$6,tabela_registros[TIPO],DADOS!$AJ$3,tabela_registros[CATEGORIA],reservafixaconsolidadofev[[#This Row],[ATUAL]])</f>
        <v>0</v>
      </c>
      <c r="W168" s="91">
        <f>SUMIFS(tabela_registros[VALOR],tabela_registros[MÊS],$AE$1,tabela_registros[DIA],reservafixaconsolidadofev[[#Headers],[19]],tabela_registros[REGISTRO],DADOS!$N$6,tabela_registros[TIPO],DADOS!$AJ$3,tabela_registros[CATEGORIA],reservafixaconsolidadofev[[#This Row],[ATUAL]])</f>
        <v>0</v>
      </c>
      <c r="X168" s="91">
        <f>SUMIFS(tabela_registros[VALOR],tabela_registros[MÊS],$AE$1,tabela_registros[DIA],reservafixaconsolidadofev[[#Headers],[20]],tabela_registros[REGISTRO],DADOS!$N$6,tabela_registros[TIPO],DADOS!$AJ$3,tabela_registros[CATEGORIA],reservafixaconsolidadofev[[#This Row],[ATUAL]])</f>
        <v>0</v>
      </c>
      <c r="Y168" s="91">
        <f>SUMIFS(tabela_registros[VALOR],tabela_registros[MÊS],$AE$1,tabela_registros[DIA],reservafixaconsolidadofev[[#Headers],[21]],tabela_registros[REGISTRO],DADOS!$N$6,tabela_registros[TIPO],DADOS!$AJ$3,tabela_registros[CATEGORIA],reservafixaconsolidadofev[[#This Row],[ATUAL]])</f>
        <v>0</v>
      </c>
      <c r="Z168" s="91">
        <f>SUMIFS(tabela_registros[VALOR],tabela_registros[MÊS],$AE$1,tabela_registros[DIA],reservafixaconsolidadofev[[#Headers],[22]],tabela_registros[REGISTRO],DADOS!$N$6,tabela_registros[TIPO],DADOS!$AJ$3,tabela_registros[CATEGORIA],reservafixaconsolidadofev[[#This Row],[ATUAL]])</f>
        <v>0</v>
      </c>
      <c r="AA168" s="91">
        <f>SUMIFS(tabela_registros[VALOR],tabela_registros[MÊS],$AE$1,tabela_registros[DIA],reservafixaconsolidadofev[[#Headers],[23]],tabela_registros[REGISTRO],DADOS!$N$6,tabela_registros[TIPO],DADOS!$AJ$3,tabela_registros[CATEGORIA],reservafixaconsolidadofev[[#This Row],[ATUAL]])</f>
        <v>0</v>
      </c>
      <c r="AB168" s="91">
        <f>SUMIFS(tabela_registros[VALOR],tabela_registros[MÊS],$AE$1,tabela_registros[DIA],reservafixaconsolidadofev[[#Headers],[24]],tabela_registros[REGISTRO],DADOS!$N$6,tabela_registros[TIPO],DADOS!$AJ$3,tabela_registros[CATEGORIA],reservafixaconsolidadofev[[#This Row],[ATUAL]])</f>
        <v>0</v>
      </c>
      <c r="AC168" s="91">
        <f>SUMIFS(tabela_registros[VALOR],tabela_registros[MÊS],$AE$1,tabela_registros[DIA],reservafixaconsolidadofev[[#Headers],[25]],tabela_registros[REGISTRO],DADOS!$N$6,tabela_registros[TIPO],DADOS!$AJ$3,tabela_registros[CATEGORIA],reservafixaconsolidadofev[[#This Row],[ATUAL]])</f>
        <v>0</v>
      </c>
      <c r="AD168" s="91">
        <f>SUMIFS(tabela_registros[VALOR],tabela_registros[MÊS],$AE$1,tabela_registros[DIA],reservafixaconsolidadofev[[#Headers],[26]],tabela_registros[REGISTRO],DADOS!$N$6,tabela_registros[TIPO],DADOS!$AJ$3,tabela_registros[CATEGORIA],reservafixaconsolidadofev[[#This Row],[ATUAL]])</f>
        <v>0</v>
      </c>
      <c r="AE168" s="91">
        <f>SUMIFS(tabela_registros[VALOR],tabela_registros[MÊS],$AE$1,tabela_registros[DIA],reservafixaconsolidadofev[[#Headers],[27]],tabela_registros[REGISTRO],DADOS!$N$6,tabela_registros[TIPO],DADOS!$AJ$3,tabela_registros[CATEGORIA],reservafixaconsolidadofev[[#This Row],[ATUAL]])</f>
        <v>0</v>
      </c>
      <c r="AF168" s="91">
        <f>SUMIFS(tabela_registros[VALOR],tabela_registros[MÊS],$AE$1,tabela_registros[DIA],reservafixaconsolidadofev[[#Headers],[28]],tabela_registros[REGISTRO],DADOS!$N$6,tabela_registros[TIPO],DADOS!$AJ$3,tabela_registros[CATEGORIA],reservafixaconsolidadofev[[#This Row],[ATUAL]])</f>
        <v>0</v>
      </c>
      <c r="AG168" s="91">
        <f>SUMIFS(tabela_registros[VALOR],tabela_registros[MÊS],$AE$1,tabela_registros[DIA],reservafixaconsolidadofev[[#Headers],[29]],tabela_registros[REGISTRO],DADOS!$N$6,tabela_registros[TIPO],DADOS!$AJ$3,tabela_registros[CATEGORIA],reservafixaconsolidadofev[[#This Row],[ATUAL]])</f>
        <v>0</v>
      </c>
      <c r="AH168" s="91">
        <f>SUMIFS(tabela_registros[VALOR],tabela_registros[MÊS],$AE$1,tabela_registros[DIA],reservafixaconsolidadofev[[#Headers],[30]],tabela_registros[REGISTRO],DADOS!$N$6,tabela_registros[TIPO],DADOS!$AJ$3,tabela_registros[CATEGORIA],reservafixaconsolidadofev[[#This Row],[ATUAL]])</f>
        <v>0</v>
      </c>
      <c r="AI168" s="101">
        <f>SUMIFS(tabela_registros[VALOR],tabela_registros[MÊS],$AE$1,tabela_registros[DIA],reservafixaconsolidadofev[[#Headers],[31]],tabela_registros[REGISTRO],DADOS!$N$6,tabela_registros[TIPO],DADOS!$AJ$3,tabela_registros[CATEGORIA],reservafixaconsolidadofev[[#This Row],[ATUAL]])</f>
        <v>0</v>
      </c>
      <c r="AJ168" s="97">
        <f>SUM(reservafixaconsolidadofev[[#This Row],[1]:[31]])</f>
        <v>0</v>
      </c>
      <c r="AK168" s="25"/>
    </row>
    <row r="169" spans="2:37" ht="19.5" customHeight="1" thickTop="1" thickBot="1" x14ac:dyDescent="0.3">
      <c r="B169" s="28"/>
      <c r="C169" s="27" t="str">
        <f>DADOS!$AL$4</f>
        <v>📝 CRA</v>
      </c>
      <c r="D169" s="26" t="str">
        <f>IF(reservafixaconsolidadofev[[#This Row],[TOTAL (R$)]]=0,"",IF(OR(reservafixaconsolidadofev[[#This Row],[TOTAL (R$)]]=LARGE($AJ$168:$AJ$177,1),reservafixaconsolidadofev[[#This Row],[TOTAL (R$)]]=LARGE($AJ$168:$AJ$177,2)),DADOS!$I$11,""))</f>
        <v/>
      </c>
      <c r="E169" s="96">
        <f>SUMIFS(tabela_registros[VALOR],tabela_registros[MÊS],$AE$1,tabela_registros[DIA],reservafixaconsolidadofev[[#Headers],[1]],tabela_registros[REGISTRO],DADOS!$N$6,tabela_registros[TIPO],DADOS!$AJ$3,tabela_registros[CATEGORIA],reservafixaconsolidadofev[[#This Row],[ATUAL]])</f>
        <v>0</v>
      </c>
      <c r="F169" s="91">
        <f>SUMIFS(tabela_registros[VALOR],tabela_registros[MÊS],$AE$1,tabela_registros[DIA],reservafixaconsolidadofev[[#Headers],[2]],tabela_registros[REGISTRO],DADOS!$N$6,tabela_registros[TIPO],DADOS!$AJ$3,tabela_registros[CATEGORIA],reservafixaconsolidadofev[[#This Row],[ATUAL]])</f>
        <v>0</v>
      </c>
      <c r="G169" s="91">
        <f>SUMIFS(tabela_registros[VALOR],tabela_registros[MÊS],$AE$1,tabela_registros[DIA],reservafixaconsolidadofev[[#Headers],[3]],tabela_registros[REGISTRO],DADOS!$N$6,tabela_registros[TIPO],DADOS!$AJ$3,tabela_registros[CATEGORIA],reservafixaconsolidadofev[[#This Row],[ATUAL]])</f>
        <v>0</v>
      </c>
      <c r="H169" s="91">
        <f>SUMIFS(tabela_registros[VALOR],tabela_registros[MÊS],$AE$1,tabela_registros[DIA],reservafixaconsolidadofev[[#Headers],[4]],tabela_registros[REGISTRO],DADOS!$N$6,tabela_registros[TIPO],DADOS!$AJ$3,tabela_registros[CATEGORIA],reservafixaconsolidadofev[[#This Row],[ATUAL]])</f>
        <v>0</v>
      </c>
      <c r="I169" s="91">
        <f>SUMIFS(tabela_registros[VALOR],tabela_registros[MÊS],$AE$1,tabela_registros[DIA],reservafixaconsolidadofev[[#Headers],[5]],tabela_registros[REGISTRO],DADOS!$N$6,tabela_registros[TIPO],DADOS!$AJ$3,tabela_registros[CATEGORIA],reservafixaconsolidadofev[[#This Row],[ATUAL]])</f>
        <v>0</v>
      </c>
      <c r="J169" s="91">
        <f>SUMIFS(tabela_registros[VALOR],tabela_registros[MÊS],$AE$1,tabela_registros[DIA],reservafixaconsolidadofev[[#Headers],[6]],tabela_registros[REGISTRO],DADOS!$N$6,tabela_registros[TIPO],DADOS!$AJ$3,tabela_registros[CATEGORIA],reservafixaconsolidadofev[[#This Row],[ATUAL]])</f>
        <v>0</v>
      </c>
      <c r="K169" s="91">
        <f>SUMIFS(tabela_registros[VALOR],tabela_registros[MÊS],$AE$1,tabela_registros[DIA],reservafixaconsolidadofev[[#Headers],[7]],tabela_registros[REGISTRO],DADOS!$N$6,tabela_registros[TIPO],DADOS!$AJ$3,tabela_registros[CATEGORIA],reservafixaconsolidadofev[[#This Row],[ATUAL]])</f>
        <v>0</v>
      </c>
      <c r="L169" s="91">
        <f>SUMIFS(tabela_registros[VALOR],tabela_registros[MÊS],$AE$1,tabela_registros[DIA],reservafixaconsolidadofev[[#Headers],[8]],tabela_registros[REGISTRO],DADOS!$N$6,tabela_registros[TIPO],DADOS!$AJ$3,tabela_registros[CATEGORIA],reservafixaconsolidadofev[[#This Row],[ATUAL]])</f>
        <v>0</v>
      </c>
      <c r="M169" s="91">
        <f>SUMIFS(tabela_registros[VALOR],tabela_registros[MÊS],$AE$1,tabela_registros[DIA],reservafixaconsolidadofev[[#Headers],[9]],tabela_registros[REGISTRO],DADOS!$N$6,tabela_registros[TIPO],DADOS!$AJ$3,tabela_registros[CATEGORIA],reservafixaconsolidadofev[[#This Row],[ATUAL]])</f>
        <v>0</v>
      </c>
      <c r="N169" s="91">
        <f>SUMIFS(tabela_registros[VALOR],tabela_registros[MÊS],$AE$1,tabela_registros[DIA],reservafixaconsolidadofev[[#Headers],[10]],tabela_registros[REGISTRO],DADOS!$N$6,tabela_registros[TIPO],DADOS!$AJ$3,tabela_registros[CATEGORIA],reservafixaconsolidadofev[[#This Row],[ATUAL]])</f>
        <v>0</v>
      </c>
      <c r="O169" s="91">
        <f>SUMIFS(tabela_registros[VALOR],tabela_registros[MÊS],$AE$1,tabela_registros[DIA],reservafixaconsolidadofev[[#Headers],[11]],tabela_registros[REGISTRO],DADOS!$N$6,tabela_registros[TIPO],DADOS!$AJ$3,tabela_registros[CATEGORIA],reservafixaconsolidadofev[[#This Row],[ATUAL]])</f>
        <v>0</v>
      </c>
      <c r="P169" s="91">
        <f>SUMIFS(tabela_registros[VALOR],tabela_registros[MÊS],$AE$1,tabela_registros[DIA],reservafixaconsolidadofev[[#Headers],[12]],tabela_registros[REGISTRO],DADOS!$N$6,tabela_registros[TIPO],DADOS!$AJ$3,tabela_registros[CATEGORIA],reservafixaconsolidadofev[[#This Row],[ATUAL]])</f>
        <v>0</v>
      </c>
      <c r="Q169" s="91">
        <f>SUMIFS(tabela_registros[VALOR],tabela_registros[MÊS],$AE$1,tabela_registros[DIA],reservafixaconsolidadofev[[#Headers],[13]],tabela_registros[REGISTRO],DADOS!$N$6,tabela_registros[TIPO],DADOS!$AJ$3,tabela_registros[CATEGORIA],reservafixaconsolidadofev[[#This Row],[ATUAL]])</f>
        <v>0</v>
      </c>
      <c r="R169" s="91">
        <f>SUMIFS(tabela_registros[VALOR],tabela_registros[MÊS],$AE$1,tabela_registros[DIA],reservafixaconsolidadofev[[#Headers],[14]],tabela_registros[REGISTRO],DADOS!$N$6,tabela_registros[TIPO],DADOS!$AJ$3,tabela_registros[CATEGORIA],reservafixaconsolidadofev[[#This Row],[ATUAL]])</f>
        <v>0</v>
      </c>
      <c r="S169" s="91">
        <f>SUMIFS(tabela_registros[VALOR],tabela_registros[MÊS],$AE$1,tabela_registros[DIA],reservafixaconsolidadofev[[#Headers],[15]],tabela_registros[REGISTRO],DADOS!$N$6,tabela_registros[TIPO],DADOS!$AJ$3,tabela_registros[CATEGORIA],reservafixaconsolidadofev[[#This Row],[ATUAL]])</f>
        <v>0</v>
      </c>
      <c r="T169" s="91">
        <f>SUMIFS(tabela_registros[VALOR],tabela_registros[MÊS],$AE$1,tabela_registros[DIA],reservafixaconsolidadofev[[#Headers],[16]],tabela_registros[REGISTRO],DADOS!$N$6,tabela_registros[TIPO],DADOS!$AJ$3,tabela_registros[CATEGORIA],reservafixaconsolidadofev[[#This Row],[ATUAL]])</f>
        <v>0</v>
      </c>
      <c r="U169" s="91">
        <f>SUMIFS(tabela_registros[VALOR],tabela_registros[MÊS],$AE$1,tabela_registros[DIA],reservafixaconsolidadofev[[#Headers],[17]],tabela_registros[REGISTRO],DADOS!$N$6,tabela_registros[TIPO],DADOS!$AJ$3,tabela_registros[CATEGORIA],reservafixaconsolidadofev[[#This Row],[ATUAL]])</f>
        <v>0</v>
      </c>
      <c r="V169" s="91">
        <f>SUMIFS(tabela_registros[VALOR],tabela_registros[MÊS],$AE$1,tabela_registros[DIA],reservafixaconsolidadofev[[#Headers],[18]],tabela_registros[REGISTRO],DADOS!$N$6,tabela_registros[TIPO],DADOS!$AJ$3,tabela_registros[CATEGORIA],reservafixaconsolidadofev[[#This Row],[ATUAL]])</f>
        <v>0</v>
      </c>
      <c r="W169" s="91">
        <f>SUMIFS(tabela_registros[VALOR],tabela_registros[MÊS],$AE$1,tabela_registros[DIA],reservafixaconsolidadofev[[#Headers],[19]],tabela_registros[REGISTRO],DADOS!$N$6,tabela_registros[TIPO],DADOS!$AJ$3,tabela_registros[CATEGORIA],reservafixaconsolidadofev[[#This Row],[ATUAL]])</f>
        <v>0</v>
      </c>
      <c r="X169" s="91">
        <f>SUMIFS(tabela_registros[VALOR],tabela_registros[MÊS],$AE$1,tabela_registros[DIA],reservafixaconsolidadofev[[#Headers],[20]],tabela_registros[REGISTRO],DADOS!$N$6,tabela_registros[TIPO],DADOS!$AJ$3,tabela_registros[CATEGORIA],reservafixaconsolidadofev[[#This Row],[ATUAL]])</f>
        <v>0</v>
      </c>
      <c r="Y169" s="91">
        <f>SUMIFS(tabela_registros[VALOR],tabela_registros[MÊS],$AE$1,tabela_registros[DIA],reservafixaconsolidadofev[[#Headers],[21]],tabela_registros[REGISTRO],DADOS!$N$6,tabela_registros[TIPO],DADOS!$AJ$3,tabela_registros[CATEGORIA],reservafixaconsolidadofev[[#This Row],[ATUAL]])</f>
        <v>0</v>
      </c>
      <c r="Z169" s="91">
        <f>SUMIFS(tabela_registros[VALOR],tabela_registros[MÊS],$AE$1,tabela_registros[DIA],reservafixaconsolidadofev[[#Headers],[22]],tabela_registros[REGISTRO],DADOS!$N$6,tabela_registros[TIPO],DADOS!$AJ$3,tabela_registros[CATEGORIA],reservafixaconsolidadofev[[#This Row],[ATUAL]])</f>
        <v>0</v>
      </c>
      <c r="AA169" s="91">
        <f>SUMIFS(tabela_registros[VALOR],tabela_registros[MÊS],$AE$1,tabela_registros[DIA],reservafixaconsolidadofev[[#Headers],[23]],tabela_registros[REGISTRO],DADOS!$N$6,tabela_registros[TIPO],DADOS!$AJ$3,tabela_registros[CATEGORIA],reservafixaconsolidadofev[[#This Row],[ATUAL]])</f>
        <v>0</v>
      </c>
      <c r="AB169" s="91">
        <f>SUMIFS(tabela_registros[VALOR],tabela_registros[MÊS],$AE$1,tabela_registros[DIA],reservafixaconsolidadofev[[#Headers],[24]],tabela_registros[REGISTRO],DADOS!$N$6,tabela_registros[TIPO],DADOS!$AJ$3,tabela_registros[CATEGORIA],reservafixaconsolidadofev[[#This Row],[ATUAL]])</f>
        <v>0</v>
      </c>
      <c r="AC169" s="91">
        <f>SUMIFS(tabela_registros[VALOR],tabela_registros[MÊS],$AE$1,tabela_registros[DIA],reservafixaconsolidadofev[[#Headers],[25]],tabela_registros[REGISTRO],DADOS!$N$6,tabela_registros[TIPO],DADOS!$AJ$3,tabela_registros[CATEGORIA],reservafixaconsolidadofev[[#This Row],[ATUAL]])</f>
        <v>0</v>
      </c>
      <c r="AD169" s="91">
        <f>SUMIFS(tabela_registros[VALOR],tabela_registros[MÊS],$AE$1,tabela_registros[DIA],reservafixaconsolidadofev[[#Headers],[26]],tabela_registros[REGISTRO],DADOS!$N$6,tabela_registros[TIPO],DADOS!$AJ$3,tabela_registros[CATEGORIA],reservafixaconsolidadofev[[#This Row],[ATUAL]])</f>
        <v>0</v>
      </c>
      <c r="AE169" s="91">
        <f>SUMIFS(tabela_registros[VALOR],tabela_registros[MÊS],$AE$1,tabela_registros[DIA],reservafixaconsolidadofev[[#Headers],[27]],tabela_registros[REGISTRO],DADOS!$N$6,tabela_registros[TIPO],DADOS!$AJ$3,tabela_registros[CATEGORIA],reservafixaconsolidadofev[[#This Row],[ATUAL]])</f>
        <v>0</v>
      </c>
      <c r="AF169" s="91">
        <f>SUMIFS(tabela_registros[VALOR],tabela_registros[MÊS],$AE$1,tabela_registros[DIA],reservafixaconsolidadofev[[#Headers],[28]],tabela_registros[REGISTRO],DADOS!$N$6,tabela_registros[TIPO],DADOS!$AJ$3,tabela_registros[CATEGORIA],reservafixaconsolidadofev[[#This Row],[ATUAL]])</f>
        <v>0</v>
      </c>
      <c r="AG169" s="91">
        <f>SUMIFS(tabela_registros[VALOR],tabela_registros[MÊS],$AE$1,tabela_registros[DIA],reservafixaconsolidadofev[[#Headers],[29]],tabela_registros[REGISTRO],DADOS!$N$6,tabela_registros[TIPO],DADOS!$AJ$3,tabela_registros[CATEGORIA],reservafixaconsolidadofev[[#This Row],[ATUAL]])</f>
        <v>0</v>
      </c>
      <c r="AH169" s="91">
        <f>SUMIFS(tabela_registros[VALOR],tabela_registros[MÊS],$AE$1,tabela_registros[DIA],reservafixaconsolidadofev[[#Headers],[30]],tabela_registros[REGISTRO],DADOS!$N$6,tabela_registros[TIPO],DADOS!$AJ$3,tabela_registros[CATEGORIA],reservafixaconsolidadofev[[#This Row],[ATUAL]])</f>
        <v>0</v>
      </c>
      <c r="AI169" s="101">
        <f>SUMIFS(tabela_registros[VALOR],tabela_registros[MÊS],$AE$1,tabela_registros[DIA],reservafixaconsolidadofev[[#Headers],[31]],tabela_registros[REGISTRO],DADOS!$N$6,tabela_registros[TIPO],DADOS!$AJ$3,tabela_registros[CATEGORIA],reservafixaconsolidadofev[[#This Row],[ATUAL]])</f>
        <v>0</v>
      </c>
      <c r="AJ169" s="97">
        <f>SUM(reservafixaconsolidadofev[[#This Row],[1]:[31]])</f>
        <v>0</v>
      </c>
      <c r="AK169" s="25"/>
    </row>
    <row r="170" spans="2:37" ht="19.5" customHeight="1" thickTop="1" thickBot="1" x14ac:dyDescent="0.3">
      <c r="B170" s="28"/>
      <c r="C170" s="27" t="str">
        <f>DADOS!$AL$5</f>
        <v>📝 CRI</v>
      </c>
      <c r="D170" s="26" t="str">
        <f>IF(reservafixaconsolidadofev[[#This Row],[TOTAL (R$)]]=0,"",IF(OR(reservafixaconsolidadofev[[#This Row],[TOTAL (R$)]]=LARGE($AJ$168:$AJ$177,1),reservafixaconsolidadofev[[#This Row],[TOTAL (R$)]]=LARGE($AJ$168:$AJ$177,2)),DADOS!$I$11,""))</f>
        <v/>
      </c>
      <c r="E170" s="96">
        <f>SUMIFS(tabela_registros[VALOR],tabela_registros[MÊS],$AE$1,tabela_registros[DIA],reservafixaconsolidadofev[[#Headers],[1]],tabela_registros[REGISTRO],DADOS!$N$6,tabela_registros[TIPO],DADOS!$AJ$3,tabela_registros[CATEGORIA],reservafixaconsolidadofev[[#This Row],[ATUAL]])</f>
        <v>0</v>
      </c>
      <c r="F170" s="91">
        <f>SUMIFS(tabela_registros[VALOR],tabela_registros[MÊS],$AE$1,tabela_registros[DIA],reservafixaconsolidadofev[[#Headers],[2]],tabela_registros[REGISTRO],DADOS!$N$6,tabela_registros[TIPO],DADOS!$AJ$3,tabela_registros[CATEGORIA],reservafixaconsolidadofev[[#This Row],[ATUAL]])</f>
        <v>0</v>
      </c>
      <c r="G170" s="91">
        <f>SUMIFS(tabela_registros[VALOR],tabela_registros[MÊS],$AE$1,tabela_registros[DIA],reservafixaconsolidadofev[[#Headers],[3]],tabela_registros[REGISTRO],DADOS!$N$6,tabela_registros[TIPO],DADOS!$AJ$3,tabela_registros[CATEGORIA],reservafixaconsolidadofev[[#This Row],[ATUAL]])</f>
        <v>0</v>
      </c>
      <c r="H170" s="91">
        <f>SUMIFS(tabela_registros[VALOR],tabela_registros[MÊS],$AE$1,tabela_registros[DIA],reservafixaconsolidadofev[[#Headers],[4]],tabela_registros[REGISTRO],DADOS!$N$6,tabela_registros[TIPO],DADOS!$AJ$3,tabela_registros[CATEGORIA],reservafixaconsolidadofev[[#This Row],[ATUAL]])</f>
        <v>0</v>
      </c>
      <c r="I170" s="91">
        <f>SUMIFS(tabela_registros[VALOR],tabela_registros[MÊS],$AE$1,tabela_registros[DIA],reservafixaconsolidadofev[[#Headers],[5]],tabela_registros[REGISTRO],DADOS!$N$6,tabela_registros[TIPO],DADOS!$AJ$3,tabela_registros[CATEGORIA],reservafixaconsolidadofev[[#This Row],[ATUAL]])</f>
        <v>0</v>
      </c>
      <c r="J170" s="91">
        <f>SUMIFS(tabela_registros[VALOR],tabela_registros[MÊS],$AE$1,tabela_registros[DIA],reservafixaconsolidadofev[[#Headers],[6]],tabela_registros[REGISTRO],DADOS!$N$6,tabela_registros[TIPO],DADOS!$AJ$3,tabela_registros[CATEGORIA],reservafixaconsolidadofev[[#This Row],[ATUAL]])</f>
        <v>0</v>
      </c>
      <c r="K170" s="91">
        <f>SUMIFS(tabela_registros[VALOR],tabela_registros[MÊS],$AE$1,tabela_registros[DIA],reservafixaconsolidadofev[[#Headers],[7]],tabela_registros[REGISTRO],DADOS!$N$6,tabela_registros[TIPO],DADOS!$AJ$3,tabela_registros[CATEGORIA],reservafixaconsolidadofev[[#This Row],[ATUAL]])</f>
        <v>0</v>
      </c>
      <c r="L170" s="91">
        <f>SUMIFS(tabela_registros[VALOR],tabela_registros[MÊS],$AE$1,tabela_registros[DIA],reservafixaconsolidadofev[[#Headers],[8]],tabela_registros[REGISTRO],DADOS!$N$6,tabela_registros[TIPO],DADOS!$AJ$3,tabela_registros[CATEGORIA],reservafixaconsolidadofev[[#This Row],[ATUAL]])</f>
        <v>0</v>
      </c>
      <c r="M170" s="91">
        <f>SUMIFS(tabela_registros[VALOR],tabela_registros[MÊS],$AE$1,tabela_registros[DIA],reservafixaconsolidadofev[[#Headers],[9]],tabela_registros[REGISTRO],DADOS!$N$6,tabela_registros[TIPO],DADOS!$AJ$3,tabela_registros[CATEGORIA],reservafixaconsolidadofev[[#This Row],[ATUAL]])</f>
        <v>0</v>
      </c>
      <c r="N170" s="91">
        <f>SUMIFS(tabela_registros[VALOR],tabela_registros[MÊS],$AE$1,tabela_registros[DIA],reservafixaconsolidadofev[[#Headers],[10]],tabela_registros[REGISTRO],DADOS!$N$6,tabela_registros[TIPO],DADOS!$AJ$3,tabela_registros[CATEGORIA],reservafixaconsolidadofev[[#This Row],[ATUAL]])</f>
        <v>0</v>
      </c>
      <c r="O170" s="91">
        <f>SUMIFS(tabela_registros[VALOR],tabela_registros[MÊS],$AE$1,tabela_registros[DIA],reservafixaconsolidadofev[[#Headers],[11]],tabela_registros[REGISTRO],DADOS!$N$6,tabela_registros[TIPO],DADOS!$AJ$3,tabela_registros[CATEGORIA],reservafixaconsolidadofev[[#This Row],[ATUAL]])</f>
        <v>0</v>
      </c>
      <c r="P170" s="91">
        <f>SUMIFS(tabela_registros[VALOR],tabela_registros[MÊS],$AE$1,tabela_registros[DIA],reservafixaconsolidadofev[[#Headers],[12]],tabela_registros[REGISTRO],DADOS!$N$6,tabela_registros[TIPO],DADOS!$AJ$3,tabela_registros[CATEGORIA],reservafixaconsolidadofev[[#This Row],[ATUAL]])</f>
        <v>0</v>
      </c>
      <c r="Q170" s="91">
        <f>SUMIFS(tabela_registros[VALOR],tabela_registros[MÊS],$AE$1,tabela_registros[DIA],reservafixaconsolidadofev[[#Headers],[13]],tabela_registros[REGISTRO],DADOS!$N$6,tabela_registros[TIPO],DADOS!$AJ$3,tabela_registros[CATEGORIA],reservafixaconsolidadofev[[#This Row],[ATUAL]])</f>
        <v>0</v>
      </c>
      <c r="R170" s="91">
        <f>SUMIFS(tabela_registros[VALOR],tabela_registros[MÊS],$AE$1,tabela_registros[DIA],reservafixaconsolidadofev[[#Headers],[14]],tabela_registros[REGISTRO],DADOS!$N$6,tabela_registros[TIPO],DADOS!$AJ$3,tabela_registros[CATEGORIA],reservafixaconsolidadofev[[#This Row],[ATUAL]])</f>
        <v>0</v>
      </c>
      <c r="S170" s="91">
        <f>SUMIFS(tabela_registros[VALOR],tabela_registros[MÊS],$AE$1,tabela_registros[DIA],reservafixaconsolidadofev[[#Headers],[15]],tabela_registros[REGISTRO],DADOS!$N$6,tabela_registros[TIPO],DADOS!$AJ$3,tabela_registros[CATEGORIA],reservafixaconsolidadofev[[#This Row],[ATUAL]])</f>
        <v>0</v>
      </c>
      <c r="T170" s="91">
        <f>SUMIFS(tabela_registros[VALOR],tabela_registros[MÊS],$AE$1,tabela_registros[DIA],reservafixaconsolidadofev[[#Headers],[16]],tabela_registros[REGISTRO],DADOS!$N$6,tabela_registros[TIPO],DADOS!$AJ$3,tabela_registros[CATEGORIA],reservafixaconsolidadofev[[#This Row],[ATUAL]])</f>
        <v>0</v>
      </c>
      <c r="U170" s="91">
        <f>SUMIFS(tabela_registros[VALOR],tabela_registros[MÊS],$AE$1,tabela_registros[DIA],reservafixaconsolidadofev[[#Headers],[17]],tabela_registros[REGISTRO],DADOS!$N$6,tabela_registros[TIPO],DADOS!$AJ$3,tabela_registros[CATEGORIA],reservafixaconsolidadofev[[#This Row],[ATUAL]])</f>
        <v>0</v>
      </c>
      <c r="V170" s="91">
        <f>SUMIFS(tabela_registros[VALOR],tabela_registros[MÊS],$AE$1,tabela_registros[DIA],reservafixaconsolidadofev[[#Headers],[18]],tabela_registros[REGISTRO],DADOS!$N$6,tabela_registros[TIPO],DADOS!$AJ$3,tabela_registros[CATEGORIA],reservafixaconsolidadofev[[#This Row],[ATUAL]])</f>
        <v>0</v>
      </c>
      <c r="W170" s="91">
        <f>SUMIFS(tabela_registros[VALOR],tabela_registros[MÊS],$AE$1,tabela_registros[DIA],reservafixaconsolidadofev[[#Headers],[19]],tabela_registros[REGISTRO],DADOS!$N$6,tabela_registros[TIPO],DADOS!$AJ$3,tabela_registros[CATEGORIA],reservafixaconsolidadofev[[#This Row],[ATUAL]])</f>
        <v>0</v>
      </c>
      <c r="X170" s="91">
        <f>SUMIFS(tabela_registros[VALOR],tabela_registros[MÊS],$AE$1,tabela_registros[DIA],reservafixaconsolidadofev[[#Headers],[20]],tabela_registros[REGISTRO],DADOS!$N$6,tabela_registros[TIPO],DADOS!$AJ$3,tabela_registros[CATEGORIA],reservafixaconsolidadofev[[#This Row],[ATUAL]])</f>
        <v>0</v>
      </c>
      <c r="Y170" s="91">
        <f>SUMIFS(tabela_registros[VALOR],tabela_registros[MÊS],$AE$1,tabela_registros[DIA],reservafixaconsolidadofev[[#Headers],[21]],tabela_registros[REGISTRO],DADOS!$N$6,tabela_registros[TIPO],DADOS!$AJ$3,tabela_registros[CATEGORIA],reservafixaconsolidadofev[[#This Row],[ATUAL]])</f>
        <v>0</v>
      </c>
      <c r="Z170" s="91">
        <f>SUMIFS(tabela_registros[VALOR],tabela_registros[MÊS],$AE$1,tabela_registros[DIA],reservafixaconsolidadofev[[#Headers],[22]],tabela_registros[REGISTRO],DADOS!$N$6,tabela_registros[TIPO],DADOS!$AJ$3,tabela_registros[CATEGORIA],reservafixaconsolidadofev[[#This Row],[ATUAL]])</f>
        <v>0</v>
      </c>
      <c r="AA170" s="91">
        <f>SUMIFS(tabela_registros[VALOR],tabela_registros[MÊS],$AE$1,tabela_registros[DIA],reservafixaconsolidadofev[[#Headers],[23]],tabela_registros[REGISTRO],DADOS!$N$6,tabela_registros[TIPO],DADOS!$AJ$3,tabela_registros[CATEGORIA],reservafixaconsolidadofev[[#This Row],[ATUAL]])</f>
        <v>0</v>
      </c>
      <c r="AB170" s="91">
        <f>SUMIFS(tabela_registros[VALOR],tabela_registros[MÊS],$AE$1,tabela_registros[DIA],reservafixaconsolidadofev[[#Headers],[24]],tabela_registros[REGISTRO],DADOS!$N$6,tabela_registros[TIPO],DADOS!$AJ$3,tabela_registros[CATEGORIA],reservafixaconsolidadofev[[#This Row],[ATUAL]])</f>
        <v>0</v>
      </c>
      <c r="AC170" s="91">
        <f>SUMIFS(tabela_registros[VALOR],tabela_registros[MÊS],$AE$1,tabela_registros[DIA],reservafixaconsolidadofev[[#Headers],[25]],tabela_registros[REGISTRO],DADOS!$N$6,tabela_registros[TIPO],DADOS!$AJ$3,tabela_registros[CATEGORIA],reservafixaconsolidadofev[[#This Row],[ATUAL]])</f>
        <v>0</v>
      </c>
      <c r="AD170" s="91">
        <f>SUMIFS(tabela_registros[VALOR],tabela_registros[MÊS],$AE$1,tabela_registros[DIA],reservafixaconsolidadofev[[#Headers],[26]],tabela_registros[REGISTRO],DADOS!$N$6,tabela_registros[TIPO],DADOS!$AJ$3,tabela_registros[CATEGORIA],reservafixaconsolidadofev[[#This Row],[ATUAL]])</f>
        <v>0</v>
      </c>
      <c r="AE170" s="91">
        <f>SUMIFS(tabela_registros[VALOR],tabela_registros[MÊS],$AE$1,tabela_registros[DIA],reservafixaconsolidadofev[[#Headers],[27]],tabela_registros[REGISTRO],DADOS!$N$6,tabela_registros[TIPO],DADOS!$AJ$3,tabela_registros[CATEGORIA],reservafixaconsolidadofev[[#This Row],[ATUAL]])</f>
        <v>0</v>
      </c>
      <c r="AF170" s="91">
        <f>SUMIFS(tabela_registros[VALOR],tabela_registros[MÊS],$AE$1,tabela_registros[DIA],reservafixaconsolidadofev[[#Headers],[28]],tabela_registros[REGISTRO],DADOS!$N$6,tabela_registros[TIPO],DADOS!$AJ$3,tabela_registros[CATEGORIA],reservafixaconsolidadofev[[#This Row],[ATUAL]])</f>
        <v>0</v>
      </c>
      <c r="AG170" s="91">
        <f>SUMIFS(tabela_registros[VALOR],tabela_registros[MÊS],$AE$1,tabela_registros[DIA],reservafixaconsolidadofev[[#Headers],[29]],tabela_registros[REGISTRO],DADOS!$N$6,tabela_registros[TIPO],DADOS!$AJ$3,tabela_registros[CATEGORIA],reservafixaconsolidadofev[[#This Row],[ATUAL]])</f>
        <v>0</v>
      </c>
      <c r="AH170" s="91">
        <f>SUMIFS(tabela_registros[VALOR],tabela_registros[MÊS],$AE$1,tabela_registros[DIA],reservafixaconsolidadofev[[#Headers],[30]],tabela_registros[REGISTRO],DADOS!$N$6,tabela_registros[TIPO],DADOS!$AJ$3,tabela_registros[CATEGORIA],reservafixaconsolidadofev[[#This Row],[ATUAL]])</f>
        <v>0</v>
      </c>
      <c r="AI170" s="101">
        <f>SUMIFS(tabela_registros[VALOR],tabela_registros[MÊS],$AE$1,tabela_registros[DIA],reservafixaconsolidadofev[[#Headers],[31]],tabela_registros[REGISTRO],DADOS!$N$6,tabela_registros[TIPO],DADOS!$AJ$3,tabela_registros[CATEGORIA],reservafixaconsolidadofev[[#This Row],[ATUAL]])</f>
        <v>0</v>
      </c>
      <c r="AJ170" s="97">
        <f>SUM(reservafixaconsolidadofev[[#This Row],[1]:[31]])</f>
        <v>0</v>
      </c>
      <c r="AK170" s="25"/>
    </row>
    <row r="171" spans="2:37" ht="19.5" customHeight="1" thickTop="1" thickBot="1" x14ac:dyDescent="0.3">
      <c r="B171" s="28"/>
      <c r="C171" s="27" t="str">
        <f>DADOS!$AL$6</f>
        <v>📝 DEBÊNTURE</v>
      </c>
      <c r="D171" s="26" t="str">
        <f>IF(reservafixaconsolidadofev[[#This Row],[TOTAL (R$)]]=0,"",IF(OR(reservafixaconsolidadofev[[#This Row],[TOTAL (R$)]]=LARGE($AJ$168:$AJ$177,1),reservafixaconsolidadofev[[#This Row],[TOTAL (R$)]]=LARGE($AJ$168:$AJ$177,2)),DADOS!$I$11,""))</f>
        <v/>
      </c>
      <c r="E171" s="96">
        <f>SUMIFS(tabela_registros[VALOR],tabela_registros[MÊS],$AE$1,tabela_registros[DIA],reservafixaconsolidadofev[[#Headers],[1]],tabela_registros[REGISTRO],DADOS!$N$6,tabela_registros[TIPO],DADOS!$AJ$3,tabela_registros[CATEGORIA],reservafixaconsolidadofev[[#This Row],[ATUAL]])</f>
        <v>0</v>
      </c>
      <c r="F171" s="91">
        <f>SUMIFS(tabela_registros[VALOR],tabela_registros[MÊS],$AE$1,tabela_registros[DIA],reservafixaconsolidadofev[[#Headers],[2]],tabela_registros[REGISTRO],DADOS!$N$6,tabela_registros[TIPO],DADOS!$AJ$3,tabela_registros[CATEGORIA],reservafixaconsolidadofev[[#This Row],[ATUAL]])</f>
        <v>0</v>
      </c>
      <c r="G171" s="91">
        <f>SUMIFS(tabela_registros[VALOR],tabela_registros[MÊS],$AE$1,tabela_registros[DIA],reservafixaconsolidadofev[[#Headers],[3]],tabela_registros[REGISTRO],DADOS!$N$6,tabela_registros[TIPO],DADOS!$AJ$3,tabela_registros[CATEGORIA],reservafixaconsolidadofev[[#This Row],[ATUAL]])</f>
        <v>0</v>
      </c>
      <c r="H171" s="91">
        <f>SUMIFS(tabela_registros[VALOR],tabela_registros[MÊS],$AE$1,tabela_registros[DIA],reservafixaconsolidadofev[[#Headers],[4]],tabela_registros[REGISTRO],DADOS!$N$6,tabela_registros[TIPO],DADOS!$AJ$3,tabela_registros[CATEGORIA],reservafixaconsolidadofev[[#This Row],[ATUAL]])</f>
        <v>0</v>
      </c>
      <c r="I171" s="91">
        <f>SUMIFS(tabela_registros[VALOR],tabela_registros[MÊS],$AE$1,tabela_registros[DIA],reservafixaconsolidadofev[[#Headers],[5]],tabela_registros[REGISTRO],DADOS!$N$6,tabela_registros[TIPO],DADOS!$AJ$3,tabela_registros[CATEGORIA],reservafixaconsolidadofev[[#This Row],[ATUAL]])</f>
        <v>0</v>
      </c>
      <c r="J171" s="91">
        <f>SUMIFS(tabela_registros[VALOR],tabela_registros[MÊS],$AE$1,tabela_registros[DIA],reservafixaconsolidadofev[[#Headers],[6]],tabela_registros[REGISTRO],DADOS!$N$6,tabela_registros[TIPO],DADOS!$AJ$3,tabela_registros[CATEGORIA],reservafixaconsolidadofev[[#This Row],[ATUAL]])</f>
        <v>0</v>
      </c>
      <c r="K171" s="91">
        <f>SUMIFS(tabela_registros[VALOR],tabela_registros[MÊS],$AE$1,tabela_registros[DIA],reservafixaconsolidadofev[[#Headers],[7]],tabela_registros[REGISTRO],DADOS!$N$6,tabela_registros[TIPO],DADOS!$AJ$3,tabela_registros[CATEGORIA],reservafixaconsolidadofev[[#This Row],[ATUAL]])</f>
        <v>0</v>
      </c>
      <c r="L171" s="91">
        <f>SUMIFS(tabela_registros[VALOR],tabela_registros[MÊS],$AE$1,tabela_registros[DIA],reservafixaconsolidadofev[[#Headers],[8]],tabela_registros[REGISTRO],DADOS!$N$6,tabela_registros[TIPO],DADOS!$AJ$3,tabela_registros[CATEGORIA],reservafixaconsolidadofev[[#This Row],[ATUAL]])</f>
        <v>0</v>
      </c>
      <c r="M171" s="91">
        <f>SUMIFS(tabela_registros[VALOR],tabela_registros[MÊS],$AE$1,tabela_registros[DIA],reservafixaconsolidadofev[[#Headers],[9]],tabela_registros[REGISTRO],DADOS!$N$6,tabela_registros[TIPO],DADOS!$AJ$3,tabela_registros[CATEGORIA],reservafixaconsolidadofev[[#This Row],[ATUAL]])</f>
        <v>0</v>
      </c>
      <c r="N171" s="91">
        <f>SUMIFS(tabela_registros[VALOR],tabela_registros[MÊS],$AE$1,tabela_registros[DIA],reservafixaconsolidadofev[[#Headers],[10]],tabela_registros[REGISTRO],DADOS!$N$6,tabela_registros[TIPO],DADOS!$AJ$3,tabela_registros[CATEGORIA],reservafixaconsolidadofev[[#This Row],[ATUAL]])</f>
        <v>0</v>
      </c>
      <c r="O171" s="91">
        <f>SUMIFS(tabela_registros[VALOR],tabela_registros[MÊS],$AE$1,tabela_registros[DIA],reservafixaconsolidadofev[[#Headers],[11]],tabela_registros[REGISTRO],DADOS!$N$6,tabela_registros[TIPO],DADOS!$AJ$3,tabela_registros[CATEGORIA],reservafixaconsolidadofev[[#This Row],[ATUAL]])</f>
        <v>0</v>
      </c>
      <c r="P171" s="91">
        <f>SUMIFS(tabela_registros[VALOR],tabela_registros[MÊS],$AE$1,tabela_registros[DIA],reservafixaconsolidadofev[[#Headers],[12]],tabela_registros[REGISTRO],DADOS!$N$6,tabela_registros[TIPO],DADOS!$AJ$3,tabela_registros[CATEGORIA],reservafixaconsolidadofev[[#This Row],[ATUAL]])</f>
        <v>0</v>
      </c>
      <c r="Q171" s="91">
        <f>SUMIFS(tabela_registros[VALOR],tabela_registros[MÊS],$AE$1,tabela_registros[DIA],reservafixaconsolidadofev[[#Headers],[13]],tabela_registros[REGISTRO],DADOS!$N$6,tabela_registros[TIPO],DADOS!$AJ$3,tabela_registros[CATEGORIA],reservafixaconsolidadofev[[#This Row],[ATUAL]])</f>
        <v>0</v>
      </c>
      <c r="R171" s="91">
        <f>SUMIFS(tabela_registros[VALOR],tabela_registros[MÊS],$AE$1,tabela_registros[DIA],reservafixaconsolidadofev[[#Headers],[14]],tabela_registros[REGISTRO],DADOS!$N$6,tabela_registros[TIPO],DADOS!$AJ$3,tabela_registros[CATEGORIA],reservafixaconsolidadofev[[#This Row],[ATUAL]])</f>
        <v>0</v>
      </c>
      <c r="S171" s="91">
        <f>SUMIFS(tabela_registros[VALOR],tabela_registros[MÊS],$AE$1,tabela_registros[DIA],reservafixaconsolidadofev[[#Headers],[15]],tabela_registros[REGISTRO],DADOS!$N$6,tabela_registros[TIPO],DADOS!$AJ$3,tabela_registros[CATEGORIA],reservafixaconsolidadofev[[#This Row],[ATUAL]])</f>
        <v>0</v>
      </c>
      <c r="T171" s="91">
        <f>SUMIFS(tabela_registros[VALOR],tabela_registros[MÊS],$AE$1,tabela_registros[DIA],reservafixaconsolidadofev[[#Headers],[16]],tabela_registros[REGISTRO],DADOS!$N$6,tabela_registros[TIPO],DADOS!$AJ$3,tabela_registros[CATEGORIA],reservafixaconsolidadofev[[#This Row],[ATUAL]])</f>
        <v>0</v>
      </c>
      <c r="U171" s="91">
        <f>SUMIFS(tabela_registros[VALOR],tabela_registros[MÊS],$AE$1,tabela_registros[DIA],reservafixaconsolidadofev[[#Headers],[17]],tabela_registros[REGISTRO],DADOS!$N$6,tabela_registros[TIPO],DADOS!$AJ$3,tabela_registros[CATEGORIA],reservafixaconsolidadofev[[#This Row],[ATUAL]])</f>
        <v>0</v>
      </c>
      <c r="V171" s="91">
        <f>SUMIFS(tabela_registros[VALOR],tabela_registros[MÊS],$AE$1,tabela_registros[DIA],reservafixaconsolidadofev[[#Headers],[18]],tabela_registros[REGISTRO],DADOS!$N$6,tabela_registros[TIPO],DADOS!$AJ$3,tabela_registros[CATEGORIA],reservafixaconsolidadofev[[#This Row],[ATUAL]])</f>
        <v>0</v>
      </c>
      <c r="W171" s="91">
        <f>SUMIFS(tabela_registros[VALOR],tabela_registros[MÊS],$AE$1,tabela_registros[DIA],reservafixaconsolidadofev[[#Headers],[19]],tabela_registros[REGISTRO],DADOS!$N$6,tabela_registros[TIPO],DADOS!$AJ$3,tabela_registros[CATEGORIA],reservafixaconsolidadofev[[#This Row],[ATUAL]])</f>
        <v>0</v>
      </c>
      <c r="X171" s="91">
        <f>SUMIFS(tabela_registros[VALOR],tabela_registros[MÊS],$AE$1,tabela_registros[DIA],reservafixaconsolidadofev[[#Headers],[20]],tabela_registros[REGISTRO],DADOS!$N$6,tabela_registros[TIPO],DADOS!$AJ$3,tabela_registros[CATEGORIA],reservafixaconsolidadofev[[#This Row],[ATUAL]])</f>
        <v>0</v>
      </c>
      <c r="Y171" s="91">
        <f>SUMIFS(tabela_registros[VALOR],tabela_registros[MÊS],$AE$1,tabela_registros[DIA],reservafixaconsolidadofev[[#Headers],[21]],tabela_registros[REGISTRO],DADOS!$N$6,tabela_registros[TIPO],DADOS!$AJ$3,tabela_registros[CATEGORIA],reservafixaconsolidadofev[[#This Row],[ATUAL]])</f>
        <v>0</v>
      </c>
      <c r="Z171" s="91">
        <f>SUMIFS(tabela_registros[VALOR],tabela_registros[MÊS],$AE$1,tabela_registros[DIA],reservafixaconsolidadofev[[#Headers],[22]],tabela_registros[REGISTRO],DADOS!$N$6,tabela_registros[TIPO],DADOS!$AJ$3,tabela_registros[CATEGORIA],reservafixaconsolidadofev[[#This Row],[ATUAL]])</f>
        <v>0</v>
      </c>
      <c r="AA171" s="91">
        <f>SUMIFS(tabela_registros[VALOR],tabela_registros[MÊS],$AE$1,tabela_registros[DIA],reservafixaconsolidadofev[[#Headers],[23]],tabela_registros[REGISTRO],DADOS!$N$6,tabela_registros[TIPO],DADOS!$AJ$3,tabela_registros[CATEGORIA],reservafixaconsolidadofev[[#This Row],[ATUAL]])</f>
        <v>0</v>
      </c>
      <c r="AB171" s="91">
        <f>SUMIFS(tabela_registros[VALOR],tabela_registros[MÊS],$AE$1,tabela_registros[DIA],reservafixaconsolidadofev[[#Headers],[24]],tabela_registros[REGISTRO],DADOS!$N$6,tabela_registros[TIPO],DADOS!$AJ$3,tabela_registros[CATEGORIA],reservafixaconsolidadofev[[#This Row],[ATUAL]])</f>
        <v>0</v>
      </c>
      <c r="AC171" s="91">
        <f>SUMIFS(tabela_registros[VALOR],tabela_registros[MÊS],$AE$1,tabela_registros[DIA],reservafixaconsolidadofev[[#Headers],[25]],tabela_registros[REGISTRO],DADOS!$N$6,tabela_registros[TIPO],DADOS!$AJ$3,tabela_registros[CATEGORIA],reservafixaconsolidadofev[[#This Row],[ATUAL]])</f>
        <v>0</v>
      </c>
      <c r="AD171" s="91">
        <f>SUMIFS(tabela_registros[VALOR],tabela_registros[MÊS],$AE$1,tabela_registros[DIA],reservafixaconsolidadofev[[#Headers],[26]],tabela_registros[REGISTRO],DADOS!$N$6,tabela_registros[TIPO],DADOS!$AJ$3,tabela_registros[CATEGORIA],reservafixaconsolidadofev[[#This Row],[ATUAL]])</f>
        <v>0</v>
      </c>
      <c r="AE171" s="91">
        <f>SUMIFS(tabela_registros[VALOR],tabela_registros[MÊS],$AE$1,tabela_registros[DIA],reservafixaconsolidadofev[[#Headers],[27]],tabela_registros[REGISTRO],DADOS!$N$6,tabela_registros[TIPO],DADOS!$AJ$3,tabela_registros[CATEGORIA],reservafixaconsolidadofev[[#This Row],[ATUAL]])</f>
        <v>0</v>
      </c>
      <c r="AF171" s="91">
        <f>SUMIFS(tabela_registros[VALOR],tabela_registros[MÊS],$AE$1,tabela_registros[DIA],reservafixaconsolidadofev[[#Headers],[28]],tabela_registros[REGISTRO],DADOS!$N$6,tabela_registros[TIPO],DADOS!$AJ$3,tabela_registros[CATEGORIA],reservafixaconsolidadofev[[#This Row],[ATUAL]])</f>
        <v>0</v>
      </c>
      <c r="AG171" s="91">
        <f>SUMIFS(tabela_registros[VALOR],tabela_registros[MÊS],$AE$1,tabela_registros[DIA],reservafixaconsolidadofev[[#Headers],[29]],tabela_registros[REGISTRO],DADOS!$N$6,tabela_registros[TIPO],DADOS!$AJ$3,tabela_registros[CATEGORIA],reservafixaconsolidadofev[[#This Row],[ATUAL]])</f>
        <v>0</v>
      </c>
      <c r="AH171" s="91">
        <f>SUMIFS(tabela_registros[VALOR],tabela_registros[MÊS],$AE$1,tabela_registros[DIA],reservafixaconsolidadofev[[#Headers],[30]],tabela_registros[REGISTRO],DADOS!$N$6,tabela_registros[TIPO],DADOS!$AJ$3,tabela_registros[CATEGORIA],reservafixaconsolidadofev[[#This Row],[ATUAL]])</f>
        <v>0</v>
      </c>
      <c r="AI171" s="101">
        <f>SUMIFS(tabela_registros[VALOR],tabela_registros[MÊS],$AE$1,tabela_registros[DIA],reservafixaconsolidadofev[[#Headers],[31]],tabela_registros[REGISTRO],DADOS!$N$6,tabela_registros[TIPO],DADOS!$AJ$3,tabela_registros[CATEGORIA],reservafixaconsolidadofev[[#This Row],[ATUAL]])</f>
        <v>0</v>
      </c>
      <c r="AJ171" s="97">
        <f>SUM(reservafixaconsolidadofev[[#This Row],[1]:[31]])</f>
        <v>0</v>
      </c>
      <c r="AK171" s="25"/>
    </row>
    <row r="172" spans="2:37" ht="19.5" customHeight="1" thickTop="1" thickBot="1" x14ac:dyDescent="0.3">
      <c r="B172" s="28"/>
      <c r="C172" s="27" t="str">
        <f>DADOS!$AL$7</f>
        <v>📝 EXTERIOR</v>
      </c>
      <c r="D172" s="26" t="str">
        <f>IF(reservafixaconsolidadofev[[#This Row],[TOTAL (R$)]]=0,"",IF(OR(reservafixaconsolidadofev[[#This Row],[TOTAL (R$)]]=LARGE($AJ$168:$AJ$177,1),reservafixaconsolidadofev[[#This Row],[TOTAL (R$)]]=LARGE($AJ$168:$AJ$177,2)),DADOS!$I$11,""))</f>
        <v/>
      </c>
      <c r="E172" s="96">
        <f>SUMIFS(tabela_registros[VALOR],tabela_registros[MÊS],$AE$1,tabela_registros[DIA],reservafixaconsolidadofev[[#Headers],[1]],tabela_registros[REGISTRO],DADOS!$N$6,tabela_registros[TIPO],DADOS!$AJ$3,tabela_registros[CATEGORIA],reservafixaconsolidadofev[[#This Row],[ATUAL]])</f>
        <v>0</v>
      </c>
      <c r="F172" s="91">
        <f>SUMIFS(tabela_registros[VALOR],tabela_registros[MÊS],$AE$1,tabela_registros[DIA],reservafixaconsolidadofev[[#Headers],[2]],tabela_registros[REGISTRO],DADOS!$N$6,tabela_registros[TIPO],DADOS!$AJ$3,tabela_registros[CATEGORIA],reservafixaconsolidadofev[[#This Row],[ATUAL]])</f>
        <v>0</v>
      </c>
      <c r="G172" s="91">
        <f>SUMIFS(tabela_registros[VALOR],tabela_registros[MÊS],$AE$1,tabela_registros[DIA],reservafixaconsolidadofev[[#Headers],[3]],tabela_registros[REGISTRO],DADOS!$N$6,tabela_registros[TIPO],DADOS!$AJ$3,tabela_registros[CATEGORIA],reservafixaconsolidadofev[[#This Row],[ATUAL]])</f>
        <v>0</v>
      </c>
      <c r="H172" s="91">
        <f>SUMIFS(tabela_registros[VALOR],tabela_registros[MÊS],$AE$1,tabela_registros[DIA],reservafixaconsolidadofev[[#Headers],[4]],tabela_registros[REGISTRO],DADOS!$N$6,tabela_registros[TIPO],DADOS!$AJ$3,tabela_registros[CATEGORIA],reservafixaconsolidadofev[[#This Row],[ATUAL]])</f>
        <v>0</v>
      </c>
      <c r="I172" s="91">
        <f>SUMIFS(tabela_registros[VALOR],tabela_registros[MÊS],$AE$1,tabela_registros[DIA],reservafixaconsolidadofev[[#Headers],[5]],tabela_registros[REGISTRO],DADOS!$N$6,tabela_registros[TIPO],DADOS!$AJ$3,tabela_registros[CATEGORIA],reservafixaconsolidadofev[[#This Row],[ATUAL]])</f>
        <v>0</v>
      </c>
      <c r="J172" s="91">
        <f>SUMIFS(tabela_registros[VALOR],tabela_registros[MÊS],$AE$1,tabela_registros[DIA],reservafixaconsolidadofev[[#Headers],[6]],tabela_registros[REGISTRO],DADOS!$N$6,tabela_registros[TIPO],DADOS!$AJ$3,tabela_registros[CATEGORIA],reservafixaconsolidadofev[[#This Row],[ATUAL]])</f>
        <v>0</v>
      </c>
      <c r="K172" s="91">
        <f>SUMIFS(tabela_registros[VALOR],tabela_registros[MÊS],$AE$1,tabela_registros[DIA],reservafixaconsolidadofev[[#Headers],[7]],tabela_registros[REGISTRO],DADOS!$N$6,tabela_registros[TIPO],DADOS!$AJ$3,tabela_registros[CATEGORIA],reservafixaconsolidadofev[[#This Row],[ATUAL]])</f>
        <v>0</v>
      </c>
      <c r="L172" s="91">
        <f>SUMIFS(tabela_registros[VALOR],tabela_registros[MÊS],$AE$1,tabela_registros[DIA],reservafixaconsolidadofev[[#Headers],[8]],tabela_registros[REGISTRO],DADOS!$N$6,tabela_registros[TIPO],DADOS!$AJ$3,tabela_registros[CATEGORIA],reservafixaconsolidadofev[[#This Row],[ATUAL]])</f>
        <v>0</v>
      </c>
      <c r="M172" s="91">
        <f>SUMIFS(tabela_registros[VALOR],tabela_registros[MÊS],$AE$1,tabela_registros[DIA],reservafixaconsolidadofev[[#Headers],[9]],tabela_registros[REGISTRO],DADOS!$N$6,tabela_registros[TIPO],DADOS!$AJ$3,tabela_registros[CATEGORIA],reservafixaconsolidadofev[[#This Row],[ATUAL]])</f>
        <v>0</v>
      </c>
      <c r="N172" s="91">
        <f>SUMIFS(tabela_registros[VALOR],tabela_registros[MÊS],$AE$1,tabela_registros[DIA],reservafixaconsolidadofev[[#Headers],[10]],tabela_registros[REGISTRO],DADOS!$N$6,tabela_registros[TIPO],DADOS!$AJ$3,tabela_registros[CATEGORIA],reservafixaconsolidadofev[[#This Row],[ATUAL]])</f>
        <v>0</v>
      </c>
      <c r="O172" s="91">
        <f>SUMIFS(tabela_registros[VALOR],tabela_registros[MÊS],$AE$1,tabela_registros[DIA],reservafixaconsolidadofev[[#Headers],[11]],tabela_registros[REGISTRO],DADOS!$N$6,tabela_registros[TIPO],DADOS!$AJ$3,tabela_registros[CATEGORIA],reservafixaconsolidadofev[[#This Row],[ATUAL]])</f>
        <v>0</v>
      </c>
      <c r="P172" s="91">
        <f>SUMIFS(tabela_registros[VALOR],tabela_registros[MÊS],$AE$1,tabela_registros[DIA],reservafixaconsolidadofev[[#Headers],[12]],tabela_registros[REGISTRO],DADOS!$N$6,tabela_registros[TIPO],DADOS!$AJ$3,tabela_registros[CATEGORIA],reservafixaconsolidadofev[[#This Row],[ATUAL]])</f>
        <v>0</v>
      </c>
      <c r="Q172" s="91">
        <f>SUMIFS(tabela_registros[VALOR],tabela_registros[MÊS],$AE$1,tabela_registros[DIA],reservafixaconsolidadofev[[#Headers],[13]],tabela_registros[REGISTRO],DADOS!$N$6,tabela_registros[TIPO],DADOS!$AJ$3,tabela_registros[CATEGORIA],reservafixaconsolidadofev[[#This Row],[ATUAL]])</f>
        <v>0</v>
      </c>
      <c r="R172" s="91">
        <f>SUMIFS(tabela_registros[VALOR],tabela_registros[MÊS],$AE$1,tabela_registros[DIA],reservafixaconsolidadofev[[#Headers],[14]],tabela_registros[REGISTRO],DADOS!$N$6,tabela_registros[TIPO],DADOS!$AJ$3,tabela_registros[CATEGORIA],reservafixaconsolidadofev[[#This Row],[ATUAL]])</f>
        <v>0</v>
      </c>
      <c r="S172" s="91">
        <f>SUMIFS(tabela_registros[VALOR],tabela_registros[MÊS],$AE$1,tabela_registros[DIA],reservafixaconsolidadofev[[#Headers],[15]],tabela_registros[REGISTRO],DADOS!$N$6,tabela_registros[TIPO],DADOS!$AJ$3,tabela_registros[CATEGORIA],reservafixaconsolidadofev[[#This Row],[ATUAL]])</f>
        <v>0</v>
      </c>
      <c r="T172" s="91">
        <f>SUMIFS(tabela_registros[VALOR],tabela_registros[MÊS],$AE$1,tabela_registros[DIA],reservafixaconsolidadofev[[#Headers],[16]],tabela_registros[REGISTRO],DADOS!$N$6,tabela_registros[TIPO],DADOS!$AJ$3,tabela_registros[CATEGORIA],reservafixaconsolidadofev[[#This Row],[ATUAL]])</f>
        <v>0</v>
      </c>
      <c r="U172" s="91">
        <f>SUMIFS(tabela_registros[VALOR],tabela_registros[MÊS],$AE$1,tabela_registros[DIA],reservafixaconsolidadofev[[#Headers],[17]],tabela_registros[REGISTRO],DADOS!$N$6,tabela_registros[TIPO],DADOS!$AJ$3,tabela_registros[CATEGORIA],reservafixaconsolidadofev[[#This Row],[ATUAL]])</f>
        <v>0</v>
      </c>
      <c r="V172" s="91">
        <f>SUMIFS(tabela_registros[VALOR],tabela_registros[MÊS],$AE$1,tabela_registros[DIA],reservafixaconsolidadofev[[#Headers],[18]],tabela_registros[REGISTRO],DADOS!$N$6,tabela_registros[TIPO],DADOS!$AJ$3,tabela_registros[CATEGORIA],reservafixaconsolidadofev[[#This Row],[ATUAL]])</f>
        <v>0</v>
      </c>
      <c r="W172" s="91">
        <f>SUMIFS(tabela_registros[VALOR],tabela_registros[MÊS],$AE$1,tabela_registros[DIA],reservafixaconsolidadofev[[#Headers],[19]],tabela_registros[REGISTRO],DADOS!$N$6,tabela_registros[TIPO],DADOS!$AJ$3,tabela_registros[CATEGORIA],reservafixaconsolidadofev[[#This Row],[ATUAL]])</f>
        <v>0</v>
      </c>
      <c r="X172" s="91">
        <f>SUMIFS(tabela_registros[VALOR],tabela_registros[MÊS],$AE$1,tabela_registros[DIA],reservafixaconsolidadofev[[#Headers],[20]],tabela_registros[REGISTRO],DADOS!$N$6,tabela_registros[TIPO],DADOS!$AJ$3,tabela_registros[CATEGORIA],reservafixaconsolidadofev[[#This Row],[ATUAL]])</f>
        <v>0</v>
      </c>
      <c r="Y172" s="91">
        <f>SUMIFS(tabela_registros[VALOR],tabela_registros[MÊS],$AE$1,tabela_registros[DIA],reservafixaconsolidadofev[[#Headers],[21]],tabela_registros[REGISTRO],DADOS!$N$6,tabela_registros[TIPO],DADOS!$AJ$3,tabela_registros[CATEGORIA],reservafixaconsolidadofev[[#This Row],[ATUAL]])</f>
        <v>0</v>
      </c>
      <c r="Z172" s="91">
        <f>SUMIFS(tabela_registros[VALOR],tabela_registros[MÊS],$AE$1,tabela_registros[DIA],reservafixaconsolidadofev[[#Headers],[22]],tabela_registros[REGISTRO],DADOS!$N$6,tabela_registros[TIPO],DADOS!$AJ$3,tabela_registros[CATEGORIA],reservafixaconsolidadofev[[#This Row],[ATUAL]])</f>
        <v>0</v>
      </c>
      <c r="AA172" s="91">
        <f>SUMIFS(tabela_registros[VALOR],tabela_registros[MÊS],$AE$1,tabela_registros[DIA],reservafixaconsolidadofev[[#Headers],[23]],tabela_registros[REGISTRO],DADOS!$N$6,tabela_registros[TIPO],DADOS!$AJ$3,tabela_registros[CATEGORIA],reservafixaconsolidadofev[[#This Row],[ATUAL]])</f>
        <v>0</v>
      </c>
      <c r="AB172" s="91">
        <f>SUMIFS(tabela_registros[VALOR],tabela_registros[MÊS],$AE$1,tabela_registros[DIA],reservafixaconsolidadofev[[#Headers],[24]],tabela_registros[REGISTRO],DADOS!$N$6,tabela_registros[TIPO],DADOS!$AJ$3,tabela_registros[CATEGORIA],reservafixaconsolidadofev[[#This Row],[ATUAL]])</f>
        <v>0</v>
      </c>
      <c r="AC172" s="91">
        <f>SUMIFS(tabela_registros[VALOR],tabela_registros[MÊS],$AE$1,tabela_registros[DIA],reservafixaconsolidadofev[[#Headers],[25]],tabela_registros[REGISTRO],DADOS!$N$6,tabela_registros[TIPO],DADOS!$AJ$3,tabela_registros[CATEGORIA],reservafixaconsolidadofev[[#This Row],[ATUAL]])</f>
        <v>0</v>
      </c>
      <c r="AD172" s="91">
        <f>SUMIFS(tabela_registros[VALOR],tabela_registros[MÊS],$AE$1,tabela_registros[DIA],reservafixaconsolidadofev[[#Headers],[26]],tabela_registros[REGISTRO],DADOS!$N$6,tabela_registros[TIPO],DADOS!$AJ$3,tabela_registros[CATEGORIA],reservafixaconsolidadofev[[#This Row],[ATUAL]])</f>
        <v>0</v>
      </c>
      <c r="AE172" s="91">
        <f>SUMIFS(tabela_registros[VALOR],tabela_registros[MÊS],$AE$1,tabela_registros[DIA],reservafixaconsolidadofev[[#Headers],[27]],tabela_registros[REGISTRO],DADOS!$N$6,tabela_registros[TIPO],DADOS!$AJ$3,tabela_registros[CATEGORIA],reservafixaconsolidadofev[[#This Row],[ATUAL]])</f>
        <v>0</v>
      </c>
      <c r="AF172" s="91">
        <f>SUMIFS(tabela_registros[VALOR],tabela_registros[MÊS],$AE$1,tabela_registros[DIA],reservafixaconsolidadofev[[#Headers],[28]],tabela_registros[REGISTRO],DADOS!$N$6,tabela_registros[TIPO],DADOS!$AJ$3,tabela_registros[CATEGORIA],reservafixaconsolidadofev[[#This Row],[ATUAL]])</f>
        <v>0</v>
      </c>
      <c r="AG172" s="91">
        <f>SUMIFS(tabela_registros[VALOR],tabela_registros[MÊS],$AE$1,tabela_registros[DIA],reservafixaconsolidadofev[[#Headers],[29]],tabela_registros[REGISTRO],DADOS!$N$6,tabela_registros[TIPO],DADOS!$AJ$3,tabela_registros[CATEGORIA],reservafixaconsolidadofev[[#This Row],[ATUAL]])</f>
        <v>0</v>
      </c>
      <c r="AH172" s="91">
        <f>SUMIFS(tabela_registros[VALOR],tabela_registros[MÊS],$AE$1,tabela_registros[DIA],reservafixaconsolidadofev[[#Headers],[30]],tabela_registros[REGISTRO],DADOS!$N$6,tabela_registros[TIPO],DADOS!$AJ$3,tabela_registros[CATEGORIA],reservafixaconsolidadofev[[#This Row],[ATUAL]])</f>
        <v>0</v>
      </c>
      <c r="AI172" s="101">
        <f>SUMIFS(tabela_registros[VALOR],tabela_registros[MÊS],$AE$1,tabela_registros[DIA],reservafixaconsolidadofev[[#Headers],[31]],tabela_registros[REGISTRO],DADOS!$N$6,tabela_registros[TIPO],DADOS!$AJ$3,tabela_registros[CATEGORIA],reservafixaconsolidadofev[[#This Row],[ATUAL]])</f>
        <v>0</v>
      </c>
      <c r="AJ172" s="97">
        <f>SUM(reservafixaconsolidadofev[[#This Row],[1]:[31]])</f>
        <v>0</v>
      </c>
      <c r="AK172" s="25"/>
    </row>
    <row r="173" spans="2:37" ht="19.5" customHeight="1" thickTop="1" thickBot="1" x14ac:dyDescent="0.3">
      <c r="B173" s="28"/>
      <c r="C173" s="27" t="str">
        <f>DADOS!$AL$8</f>
        <v>📝 LC</v>
      </c>
      <c r="D173" s="26" t="str">
        <f>IF(reservafixaconsolidadofev[[#This Row],[TOTAL (R$)]]=0,"",IF(OR(reservafixaconsolidadofev[[#This Row],[TOTAL (R$)]]=LARGE($AJ$168:$AJ$177,1),reservafixaconsolidadofev[[#This Row],[TOTAL (R$)]]=LARGE($AJ$168:$AJ$177,2)),DADOS!$I$11,""))</f>
        <v/>
      </c>
      <c r="E173" s="96">
        <f>SUMIFS(tabela_registros[VALOR],tabela_registros[MÊS],$AE$1,tabela_registros[DIA],reservafixaconsolidadofev[[#Headers],[1]],tabela_registros[REGISTRO],DADOS!$N$6,tabela_registros[TIPO],DADOS!$AJ$3,tabela_registros[CATEGORIA],reservafixaconsolidadofev[[#This Row],[ATUAL]])</f>
        <v>0</v>
      </c>
      <c r="F173" s="91">
        <f>SUMIFS(tabela_registros[VALOR],tabela_registros[MÊS],$AE$1,tabela_registros[DIA],reservafixaconsolidadofev[[#Headers],[2]],tabela_registros[REGISTRO],DADOS!$N$6,tabela_registros[TIPO],DADOS!$AJ$3,tabela_registros[CATEGORIA],reservafixaconsolidadofev[[#This Row],[ATUAL]])</f>
        <v>0</v>
      </c>
      <c r="G173" s="91">
        <f>SUMIFS(tabela_registros[VALOR],tabela_registros[MÊS],$AE$1,tabela_registros[DIA],reservafixaconsolidadofev[[#Headers],[3]],tabela_registros[REGISTRO],DADOS!$N$6,tabela_registros[TIPO],DADOS!$AJ$3,tabela_registros[CATEGORIA],reservafixaconsolidadofev[[#This Row],[ATUAL]])</f>
        <v>0</v>
      </c>
      <c r="H173" s="91">
        <f>SUMIFS(tabela_registros[VALOR],tabela_registros[MÊS],$AE$1,tabela_registros[DIA],reservafixaconsolidadofev[[#Headers],[4]],tabela_registros[REGISTRO],DADOS!$N$6,tabela_registros[TIPO],DADOS!$AJ$3,tabela_registros[CATEGORIA],reservafixaconsolidadofev[[#This Row],[ATUAL]])</f>
        <v>0</v>
      </c>
      <c r="I173" s="91">
        <f>SUMIFS(tabela_registros[VALOR],tabela_registros[MÊS],$AE$1,tabela_registros[DIA],reservafixaconsolidadofev[[#Headers],[5]],tabela_registros[REGISTRO],DADOS!$N$6,tabela_registros[TIPO],DADOS!$AJ$3,tabela_registros[CATEGORIA],reservafixaconsolidadofev[[#This Row],[ATUAL]])</f>
        <v>0</v>
      </c>
      <c r="J173" s="91">
        <f>SUMIFS(tabela_registros[VALOR],tabela_registros[MÊS],$AE$1,tabela_registros[DIA],reservafixaconsolidadofev[[#Headers],[6]],tabela_registros[REGISTRO],DADOS!$N$6,tabela_registros[TIPO],DADOS!$AJ$3,tabela_registros[CATEGORIA],reservafixaconsolidadofev[[#This Row],[ATUAL]])</f>
        <v>0</v>
      </c>
      <c r="K173" s="91">
        <f>SUMIFS(tabela_registros[VALOR],tabela_registros[MÊS],$AE$1,tabela_registros[DIA],reservafixaconsolidadofev[[#Headers],[7]],tabela_registros[REGISTRO],DADOS!$N$6,tabela_registros[TIPO],DADOS!$AJ$3,tabela_registros[CATEGORIA],reservafixaconsolidadofev[[#This Row],[ATUAL]])</f>
        <v>0</v>
      </c>
      <c r="L173" s="91">
        <f>SUMIFS(tabela_registros[VALOR],tabela_registros[MÊS],$AE$1,tabela_registros[DIA],reservafixaconsolidadofev[[#Headers],[8]],tabela_registros[REGISTRO],DADOS!$N$6,tabela_registros[TIPO],DADOS!$AJ$3,tabela_registros[CATEGORIA],reservafixaconsolidadofev[[#This Row],[ATUAL]])</f>
        <v>0</v>
      </c>
      <c r="M173" s="91">
        <f>SUMIFS(tabela_registros[VALOR],tabela_registros[MÊS],$AE$1,tabela_registros[DIA],reservafixaconsolidadofev[[#Headers],[9]],tabela_registros[REGISTRO],DADOS!$N$6,tabela_registros[TIPO],DADOS!$AJ$3,tabela_registros[CATEGORIA],reservafixaconsolidadofev[[#This Row],[ATUAL]])</f>
        <v>0</v>
      </c>
      <c r="N173" s="91">
        <f>SUMIFS(tabela_registros[VALOR],tabela_registros[MÊS],$AE$1,tabela_registros[DIA],reservafixaconsolidadofev[[#Headers],[10]],tabela_registros[REGISTRO],DADOS!$N$6,tabela_registros[TIPO],DADOS!$AJ$3,tabela_registros[CATEGORIA],reservafixaconsolidadofev[[#This Row],[ATUAL]])</f>
        <v>0</v>
      </c>
      <c r="O173" s="91">
        <f>SUMIFS(tabela_registros[VALOR],tabela_registros[MÊS],$AE$1,tabela_registros[DIA],reservafixaconsolidadofev[[#Headers],[11]],tabela_registros[REGISTRO],DADOS!$N$6,tabela_registros[TIPO],DADOS!$AJ$3,tabela_registros[CATEGORIA],reservafixaconsolidadofev[[#This Row],[ATUAL]])</f>
        <v>0</v>
      </c>
      <c r="P173" s="91">
        <f>SUMIFS(tabela_registros[VALOR],tabela_registros[MÊS],$AE$1,tabela_registros[DIA],reservafixaconsolidadofev[[#Headers],[12]],tabela_registros[REGISTRO],DADOS!$N$6,tabela_registros[TIPO],DADOS!$AJ$3,tabela_registros[CATEGORIA],reservafixaconsolidadofev[[#This Row],[ATUAL]])</f>
        <v>0</v>
      </c>
      <c r="Q173" s="91">
        <f>SUMIFS(tabela_registros[VALOR],tabela_registros[MÊS],$AE$1,tabela_registros[DIA],reservafixaconsolidadofev[[#Headers],[13]],tabela_registros[REGISTRO],DADOS!$N$6,tabela_registros[TIPO],DADOS!$AJ$3,tabela_registros[CATEGORIA],reservafixaconsolidadofev[[#This Row],[ATUAL]])</f>
        <v>0</v>
      </c>
      <c r="R173" s="91">
        <f>SUMIFS(tabela_registros[VALOR],tabela_registros[MÊS],$AE$1,tabela_registros[DIA],reservafixaconsolidadofev[[#Headers],[14]],tabela_registros[REGISTRO],DADOS!$N$6,tabela_registros[TIPO],DADOS!$AJ$3,tabela_registros[CATEGORIA],reservafixaconsolidadofev[[#This Row],[ATUAL]])</f>
        <v>0</v>
      </c>
      <c r="S173" s="91">
        <f>SUMIFS(tabela_registros[VALOR],tabela_registros[MÊS],$AE$1,tabela_registros[DIA],reservafixaconsolidadofev[[#Headers],[15]],tabela_registros[REGISTRO],DADOS!$N$6,tabela_registros[TIPO],DADOS!$AJ$3,tabela_registros[CATEGORIA],reservafixaconsolidadofev[[#This Row],[ATUAL]])</f>
        <v>0</v>
      </c>
      <c r="T173" s="91">
        <f>SUMIFS(tabela_registros[VALOR],tabela_registros[MÊS],$AE$1,tabela_registros[DIA],reservafixaconsolidadofev[[#Headers],[16]],tabela_registros[REGISTRO],DADOS!$N$6,tabela_registros[TIPO],DADOS!$AJ$3,tabela_registros[CATEGORIA],reservafixaconsolidadofev[[#This Row],[ATUAL]])</f>
        <v>0</v>
      </c>
      <c r="U173" s="91">
        <f>SUMIFS(tabela_registros[VALOR],tabela_registros[MÊS],$AE$1,tabela_registros[DIA],reservafixaconsolidadofev[[#Headers],[17]],tabela_registros[REGISTRO],DADOS!$N$6,tabela_registros[TIPO],DADOS!$AJ$3,tabela_registros[CATEGORIA],reservafixaconsolidadofev[[#This Row],[ATUAL]])</f>
        <v>0</v>
      </c>
      <c r="V173" s="91">
        <f>SUMIFS(tabela_registros[VALOR],tabela_registros[MÊS],$AE$1,tabela_registros[DIA],reservafixaconsolidadofev[[#Headers],[18]],tabela_registros[REGISTRO],DADOS!$N$6,tabela_registros[TIPO],DADOS!$AJ$3,tabela_registros[CATEGORIA],reservafixaconsolidadofev[[#This Row],[ATUAL]])</f>
        <v>0</v>
      </c>
      <c r="W173" s="91">
        <f>SUMIFS(tabela_registros[VALOR],tabela_registros[MÊS],$AE$1,tabela_registros[DIA],reservafixaconsolidadofev[[#Headers],[19]],tabela_registros[REGISTRO],DADOS!$N$6,tabela_registros[TIPO],DADOS!$AJ$3,tabela_registros[CATEGORIA],reservafixaconsolidadofev[[#This Row],[ATUAL]])</f>
        <v>0</v>
      </c>
      <c r="X173" s="91">
        <f>SUMIFS(tabela_registros[VALOR],tabela_registros[MÊS],$AE$1,tabela_registros[DIA],reservafixaconsolidadofev[[#Headers],[20]],tabela_registros[REGISTRO],DADOS!$N$6,tabela_registros[TIPO],DADOS!$AJ$3,tabela_registros[CATEGORIA],reservafixaconsolidadofev[[#This Row],[ATUAL]])</f>
        <v>0</v>
      </c>
      <c r="Y173" s="91">
        <f>SUMIFS(tabela_registros[VALOR],tabela_registros[MÊS],$AE$1,tabela_registros[DIA],reservafixaconsolidadofev[[#Headers],[21]],tabela_registros[REGISTRO],DADOS!$N$6,tabela_registros[TIPO],DADOS!$AJ$3,tabela_registros[CATEGORIA],reservafixaconsolidadofev[[#This Row],[ATUAL]])</f>
        <v>0</v>
      </c>
      <c r="Z173" s="91">
        <f>SUMIFS(tabela_registros[VALOR],tabela_registros[MÊS],$AE$1,tabela_registros[DIA],reservafixaconsolidadofev[[#Headers],[22]],tabela_registros[REGISTRO],DADOS!$N$6,tabela_registros[TIPO],DADOS!$AJ$3,tabela_registros[CATEGORIA],reservafixaconsolidadofev[[#This Row],[ATUAL]])</f>
        <v>0</v>
      </c>
      <c r="AA173" s="91">
        <f>SUMIFS(tabela_registros[VALOR],tabela_registros[MÊS],$AE$1,tabela_registros[DIA],reservafixaconsolidadofev[[#Headers],[23]],tabela_registros[REGISTRO],DADOS!$N$6,tabela_registros[TIPO],DADOS!$AJ$3,tabela_registros[CATEGORIA],reservafixaconsolidadofev[[#This Row],[ATUAL]])</f>
        <v>0</v>
      </c>
      <c r="AB173" s="91">
        <f>SUMIFS(tabela_registros[VALOR],tabela_registros[MÊS],$AE$1,tabela_registros[DIA],reservafixaconsolidadofev[[#Headers],[24]],tabela_registros[REGISTRO],DADOS!$N$6,tabela_registros[TIPO],DADOS!$AJ$3,tabela_registros[CATEGORIA],reservafixaconsolidadofev[[#This Row],[ATUAL]])</f>
        <v>0</v>
      </c>
      <c r="AC173" s="91">
        <f>SUMIFS(tabela_registros[VALOR],tabela_registros[MÊS],$AE$1,tabela_registros[DIA],reservafixaconsolidadofev[[#Headers],[25]],tabela_registros[REGISTRO],DADOS!$N$6,tabela_registros[TIPO],DADOS!$AJ$3,tabela_registros[CATEGORIA],reservafixaconsolidadofev[[#This Row],[ATUAL]])</f>
        <v>0</v>
      </c>
      <c r="AD173" s="91">
        <f>SUMIFS(tabela_registros[VALOR],tabela_registros[MÊS],$AE$1,tabela_registros[DIA],reservafixaconsolidadofev[[#Headers],[26]],tabela_registros[REGISTRO],DADOS!$N$6,tabela_registros[TIPO],DADOS!$AJ$3,tabela_registros[CATEGORIA],reservafixaconsolidadofev[[#This Row],[ATUAL]])</f>
        <v>0</v>
      </c>
      <c r="AE173" s="91">
        <f>SUMIFS(tabela_registros[VALOR],tabela_registros[MÊS],$AE$1,tabela_registros[DIA],reservafixaconsolidadofev[[#Headers],[27]],tabela_registros[REGISTRO],DADOS!$N$6,tabela_registros[TIPO],DADOS!$AJ$3,tabela_registros[CATEGORIA],reservafixaconsolidadofev[[#This Row],[ATUAL]])</f>
        <v>0</v>
      </c>
      <c r="AF173" s="91">
        <f>SUMIFS(tabela_registros[VALOR],tabela_registros[MÊS],$AE$1,tabela_registros[DIA],reservafixaconsolidadofev[[#Headers],[28]],tabela_registros[REGISTRO],DADOS!$N$6,tabela_registros[TIPO],DADOS!$AJ$3,tabela_registros[CATEGORIA],reservafixaconsolidadofev[[#This Row],[ATUAL]])</f>
        <v>0</v>
      </c>
      <c r="AG173" s="91">
        <f>SUMIFS(tabela_registros[VALOR],tabela_registros[MÊS],$AE$1,tabela_registros[DIA],reservafixaconsolidadofev[[#Headers],[29]],tabela_registros[REGISTRO],DADOS!$N$6,tabela_registros[TIPO],DADOS!$AJ$3,tabela_registros[CATEGORIA],reservafixaconsolidadofev[[#This Row],[ATUAL]])</f>
        <v>0</v>
      </c>
      <c r="AH173" s="91">
        <f>SUMIFS(tabela_registros[VALOR],tabela_registros[MÊS],$AE$1,tabela_registros[DIA],reservafixaconsolidadofev[[#Headers],[30]],tabela_registros[REGISTRO],DADOS!$N$6,tabela_registros[TIPO],DADOS!$AJ$3,tabela_registros[CATEGORIA],reservafixaconsolidadofev[[#This Row],[ATUAL]])</f>
        <v>0</v>
      </c>
      <c r="AI173" s="101">
        <f>SUMIFS(tabela_registros[VALOR],tabela_registros[MÊS],$AE$1,tabela_registros[DIA],reservafixaconsolidadofev[[#Headers],[31]],tabela_registros[REGISTRO],DADOS!$N$6,tabela_registros[TIPO],DADOS!$AJ$3,tabela_registros[CATEGORIA],reservafixaconsolidadofev[[#This Row],[ATUAL]])</f>
        <v>0</v>
      </c>
      <c r="AJ173" s="97">
        <f>SUM(reservafixaconsolidadofev[[#This Row],[1]:[31]])</f>
        <v>0</v>
      </c>
      <c r="AK173" s="25"/>
    </row>
    <row r="174" spans="2:37" ht="19.5" customHeight="1" thickTop="1" thickBot="1" x14ac:dyDescent="0.3">
      <c r="B174" s="28"/>
      <c r="C174" s="27" t="str">
        <f>DADOS!$AL$9</f>
        <v>📝 LCA</v>
      </c>
      <c r="D174" s="26" t="str">
        <f>IF(reservafixaconsolidadofev[[#This Row],[TOTAL (R$)]]=0,"",IF(OR(reservafixaconsolidadofev[[#This Row],[TOTAL (R$)]]=LARGE($AJ$168:$AJ$177,1),reservafixaconsolidadofev[[#This Row],[TOTAL (R$)]]=LARGE($AJ$168:$AJ$177,2)),DADOS!$I$11,""))</f>
        <v/>
      </c>
      <c r="E174" s="96">
        <f>SUMIFS(tabela_registros[VALOR],tabela_registros[MÊS],$AE$1,tabela_registros[DIA],reservafixaconsolidadofev[[#Headers],[1]],tabela_registros[REGISTRO],DADOS!$N$6,tabela_registros[TIPO],DADOS!$AJ$3,tabela_registros[CATEGORIA],reservafixaconsolidadofev[[#This Row],[ATUAL]])</f>
        <v>0</v>
      </c>
      <c r="F174" s="91">
        <f>SUMIFS(tabela_registros[VALOR],tabela_registros[MÊS],$AE$1,tabela_registros[DIA],reservafixaconsolidadofev[[#Headers],[2]],tabela_registros[REGISTRO],DADOS!$N$6,tabela_registros[TIPO],DADOS!$AJ$3,tabela_registros[CATEGORIA],reservafixaconsolidadofev[[#This Row],[ATUAL]])</f>
        <v>0</v>
      </c>
      <c r="G174" s="91">
        <f>SUMIFS(tabela_registros[VALOR],tabela_registros[MÊS],$AE$1,tabela_registros[DIA],reservafixaconsolidadofev[[#Headers],[3]],tabela_registros[REGISTRO],DADOS!$N$6,tabela_registros[TIPO],DADOS!$AJ$3,tabela_registros[CATEGORIA],reservafixaconsolidadofev[[#This Row],[ATUAL]])</f>
        <v>0</v>
      </c>
      <c r="H174" s="91">
        <f>SUMIFS(tabela_registros[VALOR],tabela_registros[MÊS],$AE$1,tabela_registros[DIA],reservafixaconsolidadofev[[#Headers],[4]],tabela_registros[REGISTRO],DADOS!$N$6,tabela_registros[TIPO],DADOS!$AJ$3,tabela_registros[CATEGORIA],reservafixaconsolidadofev[[#This Row],[ATUAL]])</f>
        <v>0</v>
      </c>
      <c r="I174" s="91">
        <f>SUMIFS(tabela_registros[VALOR],tabela_registros[MÊS],$AE$1,tabela_registros[DIA],reservafixaconsolidadofev[[#Headers],[5]],tabela_registros[REGISTRO],DADOS!$N$6,tabela_registros[TIPO],DADOS!$AJ$3,tabela_registros[CATEGORIA],reservafixaconsolidadofev[[#This Row],[ATUAL]])</f>
        <v>0</v>
      </c>
      <c r="J174" s="91">
        <f>SUMIFS(tabela_registros[VALOR],tabela_registros[MÊS],$AE$1,tabela_registros[DIA],reservafixaconsolidadofev[[#Headers],[6]],tabela_registros[REGISTRO],DADOS!$N$6,tabela_registros[TIPO],DADOS!$AJ$3,tabela_registros[CATEGORIA],reservafixaconsolidadofev[[#This Row],[ATUAL]])</f>
        <v>0</v>
      </c>
      <c r="K174" s="91">
        <f>SUMIFS(tabela_registros[VALOR],tabela_registros[MÊS],$AE$1,tabela_registros[DIA],reservafixaconsolidadofev[[#Headers],[7]],tabela_registros[REGISTRO],DADOS!$N$6,tabela_registros[TIPO],DADOS!$AJ$3,tabela_registros[CATEGORIA],reservafixaconsolidadofev[[#This Row],[ATUAL]])</f>
        <v>0</v>
      </c>
      <c r="L174" s="91">
        <f>SUMIFS(tabela_registros[VALOR],tabela_registros[MÊS],$AE$1,tabela_registros[DIA],reservafixaconsolidadofev[[#Headers],[8]],tabela_registros[REGISTRO],DADOS!$N$6,tabela_registros[TIPO],DADOS!$AJ$3,tabela_registros[CATEGORIA],reservafixaconsolidadofev[[#This Row],[ATUAL]])</f>
        <v>0</v>
      </c>
      <c r="M174" s="91">
        <f>SUMIFS(tabela_registros[VALOR],tabela_registros[MÊS],$AE$1,tabela_registros[DIA],reservafixaconsolidadofev[[#Headers],[9]],tabela_registros[REGISTRO],DADOS!$N$6,tabela_registros[TIPO],DADOS!$AJ$3,tabela_registros[CATEGORIA],reservafixaconsolidadofev[[#This Row],[ATUAL]])</f>
        <v>0</v>
      </c>
      <c r="N174" s="91">
        <f>SUMIFS(tabela_registros[VALOR],tabela_registros[MÊS],$AE$1,tabela_registros[DIA],reservafixaconsolidadofev[[#Headers],[10]],tabela_registros[REGISTRO],DADOS!$N$6,tabela_registros[TIPO],DADOS!$AJ$3,tabela_registros[CATEGORIA],reservafixaconsolidadofev[[#This Row],[ATUAL]])</f>
        <v>0</v>
      </c>
      <c r="O174" s="91">
        <f>SUMIFS(tabela_registros[VALOR],tabela_registros[MÊS],$AE$1,tabela_registros[DIA],reservafixaconsolidadofev[[#Headers],[11]],tabela_registros[REGISTRO],DADOS!$N$6,tabela_registros[TIPO],DADOS!$AJ$3,tabela_registros[CATEGORIA],reservafixaconsolidadofev[[#This Row],[ATUAL]])</f>
        <v>0</v>
      </c>
      <c r="P174" s="91">
        <f>SUMIFS(tabela_registros[VALOR],tabela_registros[MÊS],$AE$1,tabela_registros[DIA],reservafixaconsolidadofev[[#Headers],[12]],tabela_registros[REGISTRO],DADOS!$N$6,tabela_registros[TIPO],DADOS!$AJ$3,tabela_registros[CATEGORIA],reservafixaconsolidadofev[[#This Row],[ATUAL]])</f>
        <v>0</v>
      </c>
      <c r="Q174" s="91">
        <f>SUMIFS(tabela_registros[VALOR],tabela_registros[MÊS],$AE$1,tabela_registros[DIA],reservafixaconsolidadofev[[#Headers],[13]],tabela_registros[REGISTRO],DADOS!$N$6,tabela_registros[TIPO],DADOS!$AJ$3,tabela_registros[CATEGORIA],reservafixaconsolidadofev[[#This Row],[ATUAL]])</f>
        <v>0</v>
      </c>
      <c r="R174" s="91">
        <f>SUMIFS(tabela_registros[VALOR],tabela_registros[MÊS],$AE$1,tabela_registros[DIA],reservafixaconsolidadofev[[#Headers],[14]],tabela_registros[REGISTRO],DADOS!$N$6,tabela_registros[TIPO],DADOS!$AJ$3,tabela_registros[CATEGORIA],reservafixaconsolidadofev[[#This Row],[ATUAL]])</f>
        <v>0</v>
      </c>
      <c r="S174" s="91">
        <f>SUMIFS(tabela_registros[VALOR],tabela_registros[MÊS],$AE$1,tabela_registros[DIA],reservafixaconsolidadofev[[#Headers],[15]],tabela_registros[REGISTRO],DADOS!$N$6,tabela_registros[TIPO],DADOS!$AJ$3,tabela_registros[CATEGORIA],reservafixaconsolidadofev[[#This Row],[ATUAL]])</f>
        <v>0</v>
      </c>
      <c r="T174" s="91">
        <f>SUMIFS(tabela_registros[VALOR],tabela_registros[MÊS],$AE$1,tabela_registros[DIA],reservafixaconsolidadofev[[#Headers],[16]],tabela_registros[REGISTRO],DADOS!$N$6,tabela_registros[TIPO],DADOS!$AJ$3,tabela_registros[CATEGORIA],reservafixaconsolidadofev[[#This Row],[ATUAL]])</f>
        <v>0</v>
      </c>
      <c r="U174" s="91">
        <f>SUMIFS(tabela_registros[VALOR],tabela_registros[MÊS],$AE$1,tabela_registros[DIA],reservafixaconsolidadofev[[#Headers],[17]],tabela_registros[REGISTRO],DADOS!$N$6,tabela_registros[TIPO],DADOS!$AJ$3,tabela_registros[CATEGORIA],reservafixaconsolidadofev[[#This Row],[ATUAL]])</f>
        <v>0</v>
      </c>
      <c r="V174" s="91">
        <f>SUMIFS(tabela_registros[VALOR],tabela_registros[MÊS],$AE$1,tabela_registros[DIA],reservafixaconsolidadofev[[#Headers],[18]],tabela_registros[REGISTRO],DADOS!$N$6,tabela_registros[TIPO],DADOS!$AJ$3,tabela_registros[CATEGORIA],reservafixaconsolidadofev[[#This Row],[ATUAL]])</f>
        <v>0</v>
      </c>
      <c r="W174" s="91">
        <f>SUMIFS(tabela_registros[VALOR],tabela_registros[MÊS],$AE$1,tabela_registros[DIA],reservafixaconsolidadofev[[#Headers],[19]],tabela_registros[REGISTRO],DADOS!$N$6,tabela_registros[TIPO],DADOS!$AJ$3,tabela_registros[CATEGORIA],reservafixaconsolidadofev[[#This Row],[ATUAL]])</f>
        <v>0</v>
      </c>
      <c r="X174" s="91">
        <f>SUMIFS(tabela_registros[VALOR],tabela_registros[MÊS],$AE$1,tabela_registros[DIA],reservafixaconsolidadofev[[#Headers],[20]],tabela_registros[REGISTRO],DADOS!$N$6,tabela_registros[TIPO],DADOS!$AJ$3,tabela_registros[CATEGORIA],reservafixaconsolidadofev[[#This Row],[ATUAL]])</f>
        <v>0</v>
      </c>
      <c r="Y174" s="91">
        <f>SUMIFS(tabela_registros[VALOR],tabela_registros[MÊS],$AE$1,tabela_registros[DIA],reservafixaconsolidadofev[[#Headers],[21]],tabela_registros[REGISTRO],DADOS!$N$6,tabela_registros[TIPO],DADOS!$AJ$3,tabela_registros[CATEGORIA],reservafixaconsolidadofev[[#This Row],[ATUAL]])</f>
        <v>0</v>
      </c>
      <c r="Z174" s="91">
        <f>SUMIFS(tabela_registros[VALOR],tabela_registros[MÊS],$AE$1,tabela_registros[DIA],reservafixaconsolidadofev[[#Headers],[22]],tabela_registros[REGISTRO],DADOS!$N$6,tabela_registros[TIPO],DADOS!$AJ$3,tabela_registros[CATEGORIA],reservafixaconsolidadofev[[#This Row],[ATUAL]])</f>
        <v>0</v>
      </c>
      <c r="AA174" s="91">
        <f>SUMIFS(tabela_registros[VALOR],tabela_registros[MÊS],$AE$1,tabela_registros[DIA],reservafixaconsolidadofev[[#Headers],[23]],tabela_registros[REGISTRO],DADOS!$N$6,tabela_registros[TIPO],DADOS!$AJ$3,tabela_registros[CATEGORIA],reservafixaconsolidadofev[[#This Row],[ATUAL]])</f>
        <v>0</v>
      </c>
      <c r="AB174" s="91">
        <f>SUMIFS(tabela_registros[VALOR],tabela_registros[MÊS],$AE$1,tabela_registros[DIA],reservafixaconsolidadofev[[#Headers],[24]],tabela_registros[REGISTRO],DADOS!$N$6,tabela_registros[TIPO],DADOS!$AJ$3,tabela_registros[CATEGORIA],reservafixaconsolidadofev[[#This Row],[ATUAL]])</f>
        <v>0</v>
      </c>
      <c r="AC174" s="91">
        <f>SUMIFS(tabela_registros[VALOR],tabela_registros[MÊS],$AE$1,tabela_registros[DIA],reservafixaconsolidadofev[[#Headers],[25]],tabela_registros[REGISTRO],DADOS!$N$6,tabela_registros[TIPO],DADOS!$AJ$3,tabela_registros[CATEGORIA],reservafixaconsolidadofev[[#This Row],[ATUAL]])</f>
        <v>0</v>
      </c>
      <c r="AD174" s="91">
        <f>SUMIFS(tabela_registros[VALOR],tabela_registros[MÊS],$AE$1,tabela_registros[DIA],reservafixaconsolidadofev[[#Headers],[26]],tabela_registros[REGISTRO],DADOS!$N$6,tabela_registros[TIPO],DADOS!$AJ$3,tabela_registros[CATEGORIA],reservafixaconsolidadofev[[#This Row],[ATUAL]])</f>
        <v>0</v>
      </c>
      <c r="AE174" s="91">
        <f>SUMIFS(tabela_registros[VALOR],tabela_registros[MÊS],$AE$1,tabela_registros[DIA],reservafixaconsolidadofev[[#Headers],[27]],tabela_registros[REGISTRO],DADOS!$N$6,tabela_registros[TIPO],DADOS!$AJ$3,tabela_registros[CATEGORIA],reservafixaconsolidadofev[[#This Row],[ATUAL]])</f>
        <v>0</v>
      </c>
      <c r="AF174" s="91">
        <f>SUMIFS(tabela_registros[VALOR],tabela_registros[MÊS],$AE$1,tabela_registros[DIA],reservafixaconsolidadofev[[#Headers],[28]],tabela_registros[REGISTRO],DADOS!$N$6,tabela_registros[TIPO],DADOS!$AJ$3,tabela_registros[CATEGORIA],reservafixaconsolidadofev[[#This Row],[ATUAL]])</f>
        <v>0</v>
      </c>
      <c r="AG174" s="91">
        <f>SUMIFS(tabela_registros[VALOR],tabela_registros[MÊS],$AE$1,tabela_registros[DIA],reservafixaconsolidadofev[[#Headers],[29]],tabela_registros[REGISTRO],DADOS!$N$6,tabela_registros[TIPO],DADOS!$AJ$3,tabela_registros[CATEGORIA],reservafixaconsolidadofev[[#This Row],[ATUAL]])</f>
        <v>0</v>
      </c>
      <c r="AH174" s="91">
        <f>SUMIFS(tabela_registros[VALOR],tabela_registros[MÊS],$AE$1,tabela_registros[DIA],reservafixaconsolidadofev[[#Headers],[30]],tabela_registros[REGISTRO],DADOS!$N$6,tabela_registros[TIPO],DADOS!$AJ$3,tabela_registros[CATEGORIA],reservafixaconsolidadofev[[#This Row],[ATUAL]])</f>
        <v>0</v>
      </c>
      <c r="AI174" s="101">
        <f>SUMIFS(tabela_registros[VALOR],tabela_registros[MÊS],$AE$1,tabela_registros[DIA],reservafixaconsolidadofev[[#Headers],[31]],tabela_registros[REGISTRO],DADOS!$N$6,tabela_registros[TIPO],DADOS!$AJ$3,tabela_registros[CATEGORIA],reservafixaconsolidadofev[[#This Row],[ATUAL]])</f>
        <v>0</v>
      </c>
      <c r="AJ174" s="97">
        <f>SUM(reservafixaconsolidadofev[[#This Row],[1]:[31]])</f>
        <v>0</v>
      </c>
      <c r="AK174" s="25"/>
    </row>
    <row r="175" spans="2:37" ht="19.5" customHeight="1" thickTop="1" thickBot="1" x14ac:dyDescent="0.3">
      <c r="B175" s="28"/>
      <c r="C175" s="27" t="str">
        <f>DADOS!$AL$10</f>
        <v>📝 LCI</v>
      </c>
      <c r="D175" s="26" t="str">
        <f>IF(reservafixaconsolidadofev[[#This Row],[TOTAL (R$)]]=0,"",IF(OR(reservafixaconsolidadofev[[#This Row],[TOTAL (R$)]]=LARGE($AJ$168:$AJ$177,1),reservafixaconsolidadofev[[#This Row],[TOTAL (R$)]]=LARGE($AJ$168:$AJ$177,2)),DADOS!$I$11,""))</f>
        <v/>
      </c>
      <c r="E175" s="96">
        <f>SUMIFS(tabela_registros[VALOR],tabela_registros[MÊS],$AE$1,tabela_registros[DIA],reservafixaconsolidadofev[[#Headers],[1]],tabela_registros[REGISTRO],DADOS!$N$6,tabela_registros[TIPO],DADOS!$AJ$3,tabela_registros[CATEGORIA],reservafixaconsolidadofev[[#This Row],[ATUAL]])</f>
        <v>0</v>
      </c>
      <c r="F175" s="91">
        <f>SUMIFS(tabela_registros[VALOR],tabela_registros[MÊS],$AE$1,tabela_registros[DIA],reservafixaconsolidadofev[[#Headers],[2]],tabela_registros[REGISTRO],DADOS!$N$6,tabela_registros[TIPO],DADOS!$AJ$3,tabela_registros[CATEGORIA],reservafixaconsolidadofev[[#This Row],[ATUAL]])</f>
        <v>0</v>
      </c>
      <c r="G175" s="91">
        <f>SUMIFS(tabela_registros[VALOR],tabela_registros[MÊS],$AE$1,tabela_registros[DIA],reservafixaconsolidadofev[[#Headers],[3]],tabela_registros[REGISTRO],DADOS!$N$6,tabela_registros[TIPO],DADOS!$AJ$3,tabela_registros[CATEGORIA],reservafixaconsolidadofev[[#This Row],[ATUAL]])</f>
        <v>0</v>
      </c>
      <c r="H175" s="91">
        <f>SUMIFS(tabela_registros[VALOR],tabela_registros[MÊS],$AE$1,tabela_registros[DIA],reservafixaconsolidadofev[[#Headers],[4]],tabela_registros[REGISTRO],DADOS!$N$6,tabela_registros[TIPO],DADOS!$AJ$3,tabela_registros[CATEGORIA],reservafixaconsolidadofev[[#This Row],[ATUAL]])</f>
        <v>0</v>
      </c>
      <c r="I175" s="91">
        <f>SUMIFS(tabela_registros[VALOR],tabela_registros[MÊS],$AE$1,tabela_registros[DIA],reservafixaconsolidadofev[[#Headers],[5]],tabela_registros[REGISTRO],DADOS!$N$6,tabela_registros[TIPO],DADOS!$AJ$3,tabela_registros[CATEGORIA],reservafixaconsolidadofev[[#This Row],[ATUAL]])</f>
        <v>0</v>
      </c>
      <c r="J175" s="91">
        <f>SUMIFS(tabela_registros[VALOR],tabela_registros[MÊS],$AE$1,tabela_registros[DIA],reservafixaconsolidadofev[[#Headers],[6]],tabela_registros[REGISTRO],DADOS!$N$6,tabela_registros[TIPO],DADOS!$AJ$3,tabela_registros[CATEGORIA],reservafixaconsolidadofev[[#This Row],[ATUAL]])</f>
        <v>0</v>
      </c>
      <c r="K175" s="91">
        <f>SUMIFS(tabela_registros[VALOR],tabela_registros[MÊS],$AE$1,tabela_registros[DIA],reservafixaconsolidadofev[[#Headers],[7]],tabela_registros[REGISTRO],DADOS!$N$6,tabela_registros[TIPO],DADOS!$AJ$3,tabela_registros[CATEGORIA],reservafixaconsolidadofev[[#This Row],[ATUAL]])</f>
        <v>0</v>
      </c>
      <c r="L175" s="91">
        <f>SUMIFS(tabela_registros[VALOR],tabela_registros[MÊS],$AE$1,tabela_registros[DIA],reservafixaconsolidadofev[[#Headers],[8]],tabela_registros[REGISTRO],DADOS!$N$6,tabela_registros[TIPO],DADOS!$AJ$3,tabela_registros[CATEGORIA],reservafixaconsolidadofev[[#This Row],[ATUAL]])</f>
        <v>0</v>
      </c>
      <c r="M175" s="91">
        <f>SUMIFS(tabela_registros[VALOR],tabela_registros[MÊS],$AE$1,tabela_registros[DIA],reservafixaconsolidadofev[[#Headers],[9]],tabela_registros[REGISTRO],DADOS!$N$6,tabela_registros[TIPO],DADOS!$AJ$3,tabela_registros[CATEGORIA],reservafixaconsolidadofev[[#This Row],[ATUAL]])</f>
        <v>0</v>
      </c>
      <c r="N175" s="91">
        <f>SUMIFS(tabela_registros[VALOR],tabela_registros[MÊS],$AE$1,tabela_registros[DIA],reservafixaconsolidadofev[[#Headers],[10]],tabela_registros[REGISTRO],DADOS!$N$6,tabela_registros[TIPO],DADOS!$AJ$3,tabela_registros[CATEGORIA],reservafixaconsolidadofev[[#This Row],[ATUAL]])</f>
        <v>0</v>
      </c>
      <c r="O175" s="91">
        <f>SUMIFS(tabela_registros[VALOR],tabela_registros[MÊS],$AE$1,tabela_registros[DIA],reservafixaconsolidadofev[[#Headers],[11]],tabela_registros[REGISTRO],DADOS!$N$6,tabela_registros[TIPO],DADOS!$AJ$3,tabela_registros[CATEGORIA],reservafixaconsolidadofev[[#This Row],[ATUAL]])</f>
        <v>0</v>
      </c>
      <c r="P175" s="91">
        <f>SUMIFS(tabela_registros[VALOR],tabela_registros[MÊS],$AE$1,tabela_registros[DIA],reservafixaconsolidadofev[[#Headers],[12]],tabela_registros[REGISTRO],DADOS!$N$6,tabela_registros[TIPO],DADOS!$AJ$3,tabela_registros[CATEGORIA],reservafixaconsolidadofev[[#This Row],[ATUAL]])</f>
        <v>0</v>
      </c>
      <c r="Q175" s="91">
        <f>SUMIFS(tabela_registros[VALOR],tabela_registros[MÊS],$AE$1,tabela_registros[DIA],reservafixaconsolidadofev[[#Headers],[13]],tabela_registros[REGISTRO],DADOS!$N$6,tabela_registros[TIPO],DADOS!$AJ$3,tabela_registros[CATEGORIA],reservafixaconsolidadofev[[#This Row],[ATUAL]])</f>
        <v>0</v>
      </c>
      <c r="R175" s="91">
        <f>SUMIFS(tabela_registros[VALOR],tabela_registros[MÊS],$AE$1,tabela_registros[DIA],reservafixaconsolidadofev[[#Headers],[14]],tabela_registros[REGISTRO],DADOS!$N$6,tabela_registros[TIPO],DADOS!$AJ$3,tabela_registros[CATEGORIA],reservafixaconsolidadofev[[#This Row],[ATUAL]])</f>
        <v>0</v>
      </c>
      <c r="S175" s="91">
        <f>SUMIFS(tabela_registros[VALOR],tabela_registros[MÊS],$AE$1,tabela_registros[DIA],reservafixaconsolidadofev[[#Headers],[15]],tabela_registros[REGISTRO],DADOS!$N$6,tabela_registros[TIPO],DADOS!$AJ$3,tabela_registros[CATEGORIA],reservafixaconsolidadofev[[#This Row],[ATUAL]])</f>
        <v>0</v>
      </c>
      <c r="T175" s="91">
        <f>SUMIFS(tabela_registros[VALOR],tabela_registros[MÊS],$AE$1,tabela_registros[DIA],reservafixaconsolidadofev[[#Headers],[16]],tabela_registros[REGISTRO],DADOS!$N$6,tabela_registros[TIPO],DADOS!$AJ$3,tabela_registros[CATEGORIA],reservafixaconsolidadofev[[#This Row],[ATUAL]])</f>
        <v>0</v>
      </c>
      <c r="U175" s="91">
        <f>SUMIFS(tabela_registros[VALOR],tabela_registros[MÊS],$AE$1,tabela_registros[DIA],reservafixaconsolidadofev[[#Headers],[17]],tabela_registros[REGISTRO],DADOS!$N$6,tabela_registros[TIPO],DADOS!$AJ$3,tabela_registros[CATEGORIA],reservafixaconsolidadofev[[#This Row],[ATUAL]])</f>
        <v>0</v>
      </c>
      <c r="V175" s="91">
        <f>SUMIFS(tabela_registros[VALOR],tabela_registros[MÊS],$AE$1,tabela_registros[DIA],reservafixaconsolidadofev[[#Headers],[18]],tabela_registros[REGISTRO],DADOS!$N$6,tabela_registros[TIPO],DADOS!$AJ$3,tabela_registros[CATEGORIA],reservafixaconsolidadofev[[#This Row],[ATUAL]])</f>
        <v>0</v>
      </c>
      <c r="W175" s="91">
        <f>SUMIFS(tabela_registros[VALOR],tabela_registros[MÊS],$AE$1,tabela_registros[DIA],reservafixaconsolidadofev[[#Headers],[19]],tabela_registros[REGISTRO],DADOS!$N$6,tabela_registros[TIPO],DADOS!$AJ$3,tabela_registros[CATEGORIA],reservafixaconsolidadofev[[#This Row],[ATUAL]])</f>
        <v>0</v>
      </c>
      <c r="X175" s="91">
        <f>SUMIFS(tabela_registros[VALOR],tabela_registros[MÊS],$AE$1,tabela_registros[DIA],reservafixaconsolidadofev[[#Headers],[20]],tabela_registros[REGISTRO],DADOS!$N$6,tabela_registros[TIPO],DADOS!$AJ$3,tabela_registros[CATEGORIA],reservafixaconsolidadofev[[#This Row],[ATUAL]])</f>
        <v>0</v>
      </c>
      <c r="Y175" s="91">
        <f>SUMIFS(tabela_registros[VALOR],tabela_registros[MÊS],$AE$1,tabela_registros[DIA],reservafixaconsolidadofev[[#Headers],[21]],tabela_registros[REGISTRO],DADOS!$N$6,tabela_registros[TIPO],DADOS!$AJ$3,tabela_registros[CATEGORIA],reservafixaconsolidadofev[[#This Row],[ATUAL]])</f>
        <v>0</v>
      </c>
      <c r="Z175" s="91">
        <f>SUMIFS(tabela_registros[VALOR],tabela_registros[MÊS],$AE$1,tabela_registros[DIA],reservafixaconsolidadofev[[#Headers],[22]],tabela_registros[REGISTRO],DADOS!$N$6,tabela_registros[TIPO],DADOS!$AJ$3,tabela_registros[CATEGORIA],reservafixaconsolidadofev[[#This Row],[ATUAL]])</f>
        <v>0</v>
      </c>
      <c r="AA175" s="91">
        <f>SUMIFS(tabela_registros[VALOR],tabela_registros[MÊS],$AE$1,tabela_registros[DIA],reservafixaconsolidadofev[[#Headers],[23]],tabela_registros[REGISTRO],DADOS!$N$6,tabela_registros[TIPO],DADOS!$AJ$3,tabela_registros[CATEGORIA],reservafixaconsolidadofev[[#This Row],[ATUAL]])</f>
        <v>0</v>
      </c>
      <c r="AB175" s="91">
        <f>SUMIFS(tabela_registros[VALOR],tabela_registros[MÊS],$AE$1,tabela_registros[DIA],reservafixaconsolidadofev[[#Headers],[24]],tabela_registros[REGISTRO],DADOS!$N$6,tabela_registros[TIPO],DADOS!$AJ$3,tabela_registros[CATEGORIA],reservafixaconsolidadofev[[#This Row],[ATUAL]])</f>
        <v>0</v>
      </c>
      <c r="AC175" s="91">
        <f>SUMIFS(tabela_registros[VALOR],tabela_registros[MÊS],$AE$1,tabela_registros[DIA],reservafixaconsolidadofev[[#Headers],[25]],tabela_registros[REGISTRO],DADOS!$N$6,tabela_registros[TIPO],DADOS!$AJ$3,tabela_registros[CATEGORIA],reservafixaconsolidadofev[[#This Row],[ATUAL]])</f>
        <v>0</v>
      </c>
      <c r="AD175" s="91">
        <f>SUMIFS(tabela_registros[VALOR],tabela_registros[MÊS],$AE$1,tabela_registros[DIA],reservafixaconsolidadofev[[#Headers],[26]],tabela_registros[REGISTRO],DADOS!$N$6,tabela_registros[TIPO],DADOS!$AJ$3,tabela_registros[CATEGORIA],reservafixaconsolidadofev[[#This Row],[ATUAL]])</f>
        <v>0</v>
      </c>
      <c r="AE175" s="91">
        <f>SUMIFS(tabela_registros[VALOR],tabela_registros[MÊS],$AE$1,tabela_registros[DIA],reservafixaconsolidadofev[[#Headers],[27]],tabela_registros[REGISTRO],DADOS!$N$6,tabela_registros[TIPO],DADOS!$AJ$3,tabela_registros[CATEGORIA],reservafixaconsolidadofev[[#This Row],[ATUAL]])</f>
        <v>0</v>
      </c>
      <c r="AF175" s="91">
        <f>SUMIFS(tabela_registros[VALOR],tabela_registros[MÊS],$AE$1,tabela_registros[DIA],reservafixaconsolidadofev[[#Headers],[28]],tabela_registros[REGISTRO],DADOS!$N$6,tabela_registros[TIPO],DADOS!$AJ$3,tabela_registros[CATEGORIA],reservafixaconsolidadofev[[#This Row],[ATUAL]])</f>
        <v>0</v>
      </c>
      <c r="AG175" s="91">
        <f>SUMIFS(tabela_registros[VALOR],tabela_registros[MÊS],$AE$1,tabela_registros[DIA],reservafixaconsolidadofev[[#Headers],[29]],tabela_registros[REGISTRO],DADOS!$N$6,tabela_registros[TIPO],DADOS!$AJ$3,tabela_registros[CATEGORIA],reservafixaconsolidadofev[[#This Row],[ATUAL]])</f>
        <v>0</v>
      </c>
      <c r="AH175" s="91">
        <f>SUMIFS(tabela_registros[VALOR],tabela_registros[MÊS],$AE$1,tabela_registros[DIA],reservafixaconsolidadofev[[#Headers],[30]],tabela_registros[REGISTRO],DADOS!$N$6,tabela_registros[TIPO],DADOS!$AJ$3,tabela_registros[CATEGORIA],reservafixaconsolidadofev[[#This Row],[ATUAL]])</f>
        <v>0</v>
      </c>
      <c r="AI175" s="101">
        <f>SUMIFS(tabela_registros[VALOR],tabela_registros[MÊS],$AE$1,tabela_registros[DIA],reservafixaconsolidadofev[[#Headers],[31]],tabela_registros[REGISTRO],DADOS!$N$6,tabela_registros[TIPO],DADOS!$AJ$3,tabela_registros[CATEGORIA],reservafixaconsolidadofev[[#This Row],[ATUAL]])</f>
        <v>0</v>
      </c>
      <c r="AJ175" s="97">
        <f>SUM(reservafixaconsolidadofev[[#This Row],[1]:[31]])</f>
        <v>0</v>
      </c>
      <c r="AK175" s="25"/>
    </row>
    <row r="176" spans="2:37" ht="19.5" customHeight="1" thickTop="1" thickBot="1" x14ac:dyDescent="0.3">
      <c r="B176" s="28"/>
      <c r="C176" s="27" t="str">
        <f>DADOS!$AL$11</f>
        <v>📝 TESOURO DIRETO</v>
      </c>
      <c r="D176" s="26" t="str">
        <f>IF(reservafixaconsolidadofev[[#This Row],[TOTAL (R$)]]=0,"",IF(OR(reservafixaconsolidadofev[[#This Row],[TOTAL (R$)]]=LARGE($AJ$168:$AJ$177,1),reservafixaconsolidadofev[[#This Row],[TOTAL (R$)]]=LARGE($AJ$168:$AJ$177,2)),DADOS!$I$11,""))</f>
        <v/>
      </c>
      <c r="E176" s="96">
        <f>SUMIFS(tabela_registros[VALOR],tabela_registros[MÊS],$AE$1,tabela_registros[DIA],reservafixaconsolidadofev[[#Headers],[1]],tabela_registros[REGISTRO],DADOS!$N$6,tabela_registros[TIPO],DADOS!$AJ$3,tabela_registros[CATEGORIA],reservafixaconsolidadofev[[#This Row],[ATUAL]])</f>
        <v>0</v>
      </c>
      <c r="F176" s="91">
        <f>SUMIFS(tabela_registros[VALOR],tabela_registros[MÊS],$AE$1,tabela_registros[DIA],reservafixaconsolidadofev[[#Headers],[2]],tabela_registros[REGISTRO],DADOS!$N$6,tabela_registros[TIPO],DADOS!$AJ$3,tabela_registros[CATEGORIA],reservafixaconsolidadofev[[#This Row],[ATUAL]])</f>
        <v>0</v>
      </c>
      <c r="G176" s="91">
        <f>SUMIFS(tabela_registros[VALOR],tabela_registros[MÊS],$AE$1,tabela_registros[DIA],reservafixaconsolidadofev[[#Headers],[3]],tabela_registros[REGISTRO],DADOS!$N$6,tabela_registros[TIPO],DADOS!$AJ$3,tabela_registros[CATEGORIA],reservafixaconsolidadofev[[#This Row],[ATUAL]])</f>
        <v>0</v>
      </c>
      <c r="H176" s="91">
        <f>SUMIFS(tabela_registros[VALOR],tabela_registros[MÊS],$AE$1,tabela_registros[DIA],reservafixaconsolidadofev[[#Headers],[4]],tabela_registros[REGISTRO],DADOS!$N$6,tabela_registros[TIPO],DADOS!$AJ$3,tabela_registros[CATEGORIA],reservafixaconsolidadofev[[#This Row],[ATUAL]])</f>
        <v>0</v>
      </c>
      <c r="I176" s="91">
        <f>SUMIFS(tabela_registros[VALOR],tabela_registros[MÊS],$AE$1,tabela_registros[DIA],reservafixaconsolidadofev[[#Headers],[5]],tabela_registros[REGISTRO],DADOS!$N$6,tabela_registros[TIPO],DADOS!$AJ$3,tabela_registros[CATEGORIA],reservafixaconsolidadofev[[#This Row],[ATUAL]])</f>
        <v>0</v>
      </c>
      <c r="J176" s="91">
        <f>SUMIFS(tabela_registros[VALOR],tabela_registros[MÊS],$AE$1,tabela_registros[DIA],reservafixaconsolidadofev[[#Headers],[6]],tabela_registros[REGISTRO],DADOS!$N$6,tabela_registros[TIPO],DADOS!$AJ$3,tabela_registros[CATEGORIA],reservafixaconsolidadofev[[#This Row],[ATUAL]])</f>
        <v>0</v>
      </c>
      <c r="K176" s="91">
        <f>SUMIFS(tabela_registros[VALOR],tabela_registros[MÊS],$AE$1,tabela_registros[DIA],reservafixaconsolidadofev[[#Headers],[7]],tabela_registros[REGISTRO],DADOS!$N$6,tabela_registros[TIPO],DADOS!$AJ$3,tabela_registros[CATEGORIA],reservafixaconsolidadofev[[#This Row],[ATUAL]])</f>
        <v>0</v>
      </c>
      <c r="L176" s="91">
        <f>SUMIFS(tabela_registros[VALOR],tabela_registros[MÊS],$AE$1,tabela_registros[DIA],reservafixaconsolidadofev[[#Headers],[8]],tabela_registros[REGISTRO],DADOS!$N$6,tabela_registros[TIPO],DADOS!$AJ$3,tabela_registros[CATEGORIA],reservafixaconsolidadofev[[#This Row],[ATUAL]])</f>
        <v>0</v>
      </c>
      <c r="M176" s="91">
        <f>SUMIFS(tabela_registros[VALOR],tabela_registros[MÊS],$AE$1,tabela_registros[DIA],reservafixaconsolidadofev[[#Headers],[9]],tabela_registros[REGISTRO],DADOS!$N$6,tabela_registros[TIPO],DADOS!$AJ$3,tabela_registros[CATEGORIA],reservafixaconsolidadofev[[#This Row],[ATUAL]])</f>
        <v>0</v>
      </c>
      <c r="N176" s="91">
        <f>SUMIFS(tabela_registros[VALOR],tabela_registros[MÊS],$AE$1,tabela_registros[DIA],reservafixaconsolidadofev[[#Headers],[10]],tabela_registros[REGISTRO],DADOS!$N$6,tabela_registros[TIPO],DADOS!$AJ$3,tabela_registros[CATEGORIA],reservafixaconsolidadofev[[#This Row],[ATUAL]])</f>
        <v>0</v>
      </c>
      <c r="O176" s="91">
        <f>SUMIFS(tabela_registros[VALOR],tabela_registros[MÊS],$AE$1,tabela_registros[DIA],reservafixaconsolidadofev[[#Headers],[11]],tabela_registros[REGISTRO],DADOS!$N$6,tabela_registros[TIPO],DADOS!$AJ$3,tabela_registros[CATEGORIA],reservafixaconsolidadofev[[#This Row],[ATUAL]])</f>
        <v>0</v>
      </c>
      <c r="P176" s="91">
        <f>SUMIFS(tabela_registros[VALOR],tabela_registros[MÊS],$AE$1,tabela_registros[DIA],reservafixaconsolidadofev[[#Headers],[12]],tabela_registros[REGISTRO],DADOS!$N$6,tabela_registros[TIPO],DADOS!$AJ$3,tabela_registros[CATEGORIA],reservafixaconsolidadofev[[#This Row],[ATUAL]])</f>
        <v>0</v>
      </c>
      <c r="Q176" s="91">
        <f>SUMIFS(tabela_registros[VALOR],tabela_registros[MÊS],$AE$1,tabela_registros[DIA],reservafixaconsolidadofev[[#Headers],[13]],tabela_registros[REGISTRO],DADOS!$N$6,tabela_registros[TIPO],DADOS!$AJ$3,tabela_registros[CATEGORIA],reservafixaconsolidadofev[[#This Row],[ATUAL]])</f>
        <v>0</v>
      </c>
      <c r="R176" s="91">
        <f>SUMIFS(tabela_registros[VALOR],tabela_registros[MÊS],$AE$1,tabela_registros[DIA],reservafixaconsolidadofev[[#Headers],[14]],tabela_registros[REGISTRO],DADOS!$N$6,tabela_registros[TIPO],DADOS!$AJ$3,tabela_registros[CATEGORIA],reservafixaconsolidadofev[[#This Row],[ATUAL]])</f>
        <v>0</v>
      </c>
      <c r="S176" s="91">
        <f>SUMIFS(tabela_registros[VALOR],tabela_registros[MÊS],$AE$1,tabela_registros[DIA],reservafixaconsolidadofev[[#Headers],[15]],tabela_registros[REGISTRO],DADOS!$N$6,tabela_registros[TIPO],DADOS!$AJ$3,tabela_registros[CATEGORIA],reservafixaconsolidadofev[[#This Row],[ATUAL]])</f>
        <v>0</v>
      </c>
      <c r="T176" s="91">
        <f>SUMIFS(tabela_registros[VALOR],tabela_registros[MÊS],$AE$1,tabela_registros[DIA],reservafixaconsolidadofev[[#Headers],[16]],tabela_registros[REGISTRO],DADOS!$N$6,tabela_registros[TIPO],DADOS!$AJ$3,tabela_registros[CATEGORIA],reservafixaconsolidadofev[[#This Row],[ATUAL]])</f>
        <v>0</v>
      </c>
      <c r="U176" s="91">
        <f>SUMIFS(tabela_registros[VALOR],tabela_registros[MÊS],$AE$1,tabela_registros[DIA],reservafixaconsolidadofev[[#Headers],[17]],tabela_registros[REGISTRO],DADOS!$N$6,tabela_registros[TIPO],DADOS!$AJ$3,tabela_registros[CATEGORIA],reservafixaconsolidadofev[[#This Row],[ATUAL]])</f>
        <v>0</v>
      </c>
      <c r="V176" s="91">
        <f>SUMIFS(tabela_registros[VALOR],tabela_registros[MÊS],$AE$1,tabela_registros[DIA],reservafixaconsolidadofev[[#Headers],[18]],tabela_registros[REGISTRO],DADOS!$N$6,tabela_registros[TIPO],DADOS!$AJ$3,tabela_registros[CATEGORIA],reservafixaconsolidadofev[[#This Row],[ATUAL]])</f>
        <v>0</v>
      </c>
      <c r="W176" s="91">
        <f>SUMIFS(tabela_registros[VALOR],tabela_registros[MÊS],$AE$1,tabela_registros[DIA],reservafixaconsolidadofev[[#Headers],[19]],tabela_registros[REGISTRO],DADOS!$N$6,tabela_registros[TIPO],DADOS!$AJ$3,tabela_registros[CATEGORIA],reservafixaconsolidadofev[[#This Row],[ATUAL]])</f>
        <v>0</v>
      </c>
      <c r="X176" s="91">
        <f>SUMIFS(tabela_registros[VALOR],tabela_registros[MÊS],$AE$1,tabela_registros[DIA],reservafixaconsolidadofev[[#Headers],[20]],tabela_registros[REGISTRO],DADOS!$N$6,tabela_registros[TIPO],DADOS!$AJ$3,tabela_registros[CATEGORIA],reservafixaconsolidadofev[[#This Row],[ATUAL]])</f>
        <v>0</v>
      </c>
      <c r="Y176" s="91">
        <f>SUMIFS(tabela_registros[VALOR],tabela_registros[MÊS],$AE$1,tabela_registros[DIA],reservafixaconsolidadofev[[#Headers],[21]],tabela_registros[REGISTRO],DADOS!$N$6,tabela_registros[TIPO],DADOS!$AJ$3,tabela_registros[CATEGORIA],reservafixaconsolidadofev[[#This Row],[ATUAL]])</f>
        <v>0</v>
      </c>
      <c r="Z176" s="91">
        <f>SUMIFS(tabela_registros[VALOR],tabela_registros[MÊS],$AE$1,tabela_registros[DIA],reservafixaconsolidadofev[[#Headers],[22]],tabela_registros[REGISTRO],DADOS!$N$6,tabela_registros[TIPO],DADOS!$AJ$3,tabela_registros[CATEGORIA],reservafixaconsolidadofev[[#This Row],[ATUAL]])</f>
        <v>0</v>
      </c>
      <c r="AA176" s="91">
        <f>SUMIFS(tabela_registros[VALOR],tabela_registros[MÊS],$AE$1,tabela_registros[DIA],reservafixaconsolidadofev[[#Headers],[23]],tabela_registros[REGISTRO],DADOS!$N$6,tabela_registros[TIPO],DADOS!$AJ$3,tabela_registros[CATEGORIA],reservafixaconsolidadofev[[#This Row],[ATUAL]])</f>
        <v>0</v>
      </c>
      <c r="AB176" s="91">
        <f>SUMIFS(tabela_registros[VALOR],tabela_registros[MÊS],$AE$1,tabela_registros[DIA],reservafixaconsolidadofev[[#Headers],[24]],tabela_registros[REGISTRO],DADOS!$N$6,tabela_registros[TIPO],DADOS!$AJ$3,tabela_registros[CATEGORIA],reservafixaconsolidadofev[[#This Row],[ATUAL]])</f>
        <v>0</v>
      </c>
      <c r="AC176" s="91">
        <f>SUMIFS(tabela_registros[VALOR],tabela_registros[MÊS],$AE$1,tabela_registros[DIA],reservafixaconsolidadofev[[#Headers],[25]],tabela_registros[REGISTRO],DADOS!$N$6,tabela_registros[TIPO],DADOS!$AJ$3,tabela_registros[CATEGORIA],reservafixaconsolidadofev[[#This Row],[ATUAL]])</f>
        <v>0</v>
      </c>
      <c r="AD176" s="91">
        <f>SUMIFS(tabela_registros[VALOR],tabela_registros[MÊS],$AE$1,tabela_registros[DIA],reservafixaconsolidadofev[[#Headers],[26]],tabela_registros[REGISTRO],DADOS!$N$6,tabela_registros[TIPO],DADOS!$AJ$3,tabela_registros[CATEGORIA],reservafixaconsolidadofev[[#This Row],[ATUAL]])</f>
        <v>0</v>
      </c>
      <c r="AE176" s="91">
        <f>SUMIFS(tabela_registros[VALOR],tabela_registros[MÊS],$AE$1,tabela_registros[DIA],reservafixaconsolidadofev[[#Headers],[27]],tabela_registros[REGISTRO],DADOS!$N$6,tabela_registros[TIPO],DADOS!$AJ$3,tabela_registros[CATEGORIA],reservafixaconsolidadofev[[#This Row],[ATUAL]])</f>
        <v>0</v>
      </c>
      <c r="AF176" s="91">
        <f>SUMIFS(tabela_registros[VALOR],tabela_registros[MÊS],$AE$1,tabela_registros[DIA],reservafixaconsolidadofev[[#Headers],[28]],tabela_registros[REGISTRO],DADOS!$N$6,tabela_registros[TIPO],DADOS!$AJ$3,tabela_registros[CATEGORIA],reservafixaconsolidadofev[[#This Row],[ATUAL]])</f>
        <v>0</v>
      </c>
      <c r="AG176" s="91">
        <f>SUMIFS(tabela_registros[VALOR],tabela_registros[MÊS],$AE$1,tabela_registros[DIA],reservafixaconsolidadofev[[#Headers],[29]],tabela_registros[REGISTRO],DADOS!$N$6,tabela_registros[TIPO],DADOS!$AJ$3,tabela_registros[CATEGORIA],reservafixaconsolidadofev[[#This Row],[ATUAL]])</f>
        <v>0</v>
      </c>
      <c r="AH176" s="91">
        <f>SUMIFS(tabela_registros[VALOR],tabela_registros[MÊS],$AE$1,tabela_registros[DIA],reservafixaconsolidadofev[[#Headers],[30]],tabela_registros[REGISTRO],DADOS!$N$6,tabela_registros[TIPO],DADOS!$AJ$3,tabela_registros[CATEGORIA],reservafixaconsolidadofev[[#This Row],[ATUAL]])</f>
        <v>0</v>
      </c>
      <c r="AI176" s="101">
        <f>SUMIFS(tabela_registros[VALOR],tabela_registros[MÊS],$AE$1,tabela_registros[DIA],reservafixaconsolidadofev[[#Headers],[31]],tabela_registros[REGISTRO],DADOS!$N$6,tabela_registros[TIPO],DADOS!$AJ$3,tabela_registros[CATEGORIA],reservafixaconsolidadofev[[#This Row],[ATUAL]])</f>
        <v>0</v>
      </c>
      <c r="AJ176" s="97">
        <f>SUM(reservafixaconsolidadofev[[#This Row],[1]:[31]])</f>
        <v>0</v>
      </c>
      <c r="AK176" s="25"/>
    </row>
    <row r="177" spans="2:37" ht="19.5" customHeight="1" thickTop="1" thickBot="1" x14ac:dyDescent="0.3">
      <c r="B177" s="28"/>
      <c r="C177" s="27" t="str">
        <f>DADOS!$AL$12</f>
        <v>📎 OUTROS</v>
      </c>
      <c r="D177" s="26" t="str">
        <f>IF(reservafixaconsolidadofev[[#This Row],[TOTAL (R$)]]=0,"",IF(OR(reservafixaconsolidadofev[[#This Row],[TOTAL (R$)]]=LARGE($AJ$168:$AJ$177,1),reservafixaconsolidadofev[[#This Row],[TOTAL (R$)]]=LARGE($AJ$168:$AJ$177,2)),DADOS!$I$11,""))</f>
        <v/>
      </c>
      <c r="E177" s="96">
        <f>SUMIFS(tabela_registros[VALOR],tabela_registros[MÊS],$AE$1,tabela_registros[DIA],reservafixaconsolidadofev[[#Headers],[1]],tabela_registros[REGISTRO],DADOS!$N$6,tabela_registros[TIPO],DADOS!$AJ$3,tabela_registros[CATEGORIA],reservafixaconsolidadofev[[#This Row],[ATUAL]])</f>
        <v>0</v>
      </c>
      <c r="F177" s="91">
        <f>SUMIFS(tabela_registros[VALOR],tabela_registros[MÊS],$AE$1,tabela_registros[DIA],reservafixaconsolidadofev[[#Headers],[2]],tabela_registros[REGISTRO],DADOS!$N$6,tabela_registros[TIPO],DADOS!$AJ$3,tabela_registros[CATEGORIA],reservafixaconsolidadofev[[#This Row],[ATUAL]])</f>
        <v>0</v>
      </c>
      <c r="G177" s="91">
        <f>SUMIFS(tabela_registros[VALOR],tabela_registros[MÊS],$AE$1,tabela_registros[DIA],reservafixaconsolidadofev[[#Headers],[3]],tabela_registros[REGISTRO],DADOS!$N$6,tabela_registros[TIPO],DADOS!$AJ$3,tabela_registros[CATEGORIA],reservafixaconsolidadofev[[#This Row],[ATUAL]])</f>
        <v>0</v>
      </c>
      <c r="H177" s="91">
        <f>SUMIFS(tabela_registros[VALOR],tabela_registros[MÊS],$AE$1,tabela_registros[DIA],reservafixaconsolidadofev[[#Headers],[4]],tabela_registros[REGISTRO],DADOS!$N$6,tabela_registros[TIPO],DADOS!$AJ$3,tabela_registros[CATEGORIA],reservafixaconsolidadofev[[#This Row],[ATUAL]])</f>
        <v>0</v>
      </c>
      <c r="I177" s="91">
        <f>SUMIFS(tabela_registros[VALOR],tabela_registros[MÊS],$AE$1,tabela_registros[DIA],reservafixaconsolidadofev[[#Headers],[5]],tabela_registros[REGISTRO],DADOS!$N$6,tabela_registros[TIPO],DADOS!$AJ$3,tabela_registros[CATEGORIA],reservafixaconsolidadofev[[#This Row],[ATUAL]])</f>
        <v>0</v>
      </c>
      <c r="J177" s="91">
        <f>SUMIFS(tabela_registros[VALOR],tabela_registros[MÊS],$AE$1,tabela_registros[DIA],reservafixaconsolidadofev[[#Headers],[6]],tabela_registros[REGISTRO],DADOS!$N$6,tabela_registros[TIPO],DADOS!$AJ$3,tabela_registros[CATEGORIA],reservafixaconsolidadofev[[#This Row],[ATUAL]])</f>
        <v>0</v>
      </c>
      <c r="K177" s="91">
        <f>SUMIFS(tabela_registros[VALOR],tabela_registros[MÊS],$AE$1,tabela_registros[DIA],reservafixaconsolidadofev[[#Headers],[7]],tabela_registros[REGISTRO],DADOS!$N$6,tabela_registros[TIPO],DADOS!$AJ$3,tabela_registros[CATEGORIA],reservafixaconsolidadofev[[#This Row],[ATUAL]])</f>
        <v>0</v>
      </c>
      <c r="L177" s="91">
        <f>SUMIFS(tabela_registros[VALOR],tabela_registros[MÊS],$AE$1,tabela_registros[DIA],reservafixaconsolidadofev[[#Headers],[8]],tabela_registros[REGISTRO],DADOS!$N$6,tabela_registros[TIPO],DADOS!$AJ$3,tabela_registros[CATEGORIA],reservafixaconsolidadofev[[#This Row],[ATUAL]])</f>
        <v>0</v>
      </c>
      <c r="M177" s="91">
        <f>SUMIFS(tabela_registros[VALOR],tabela_registros[MÊS],$AE$1,tabela_registros[DIA],reservafixaconsolidadofev[[#Headers],[9]],tabela_registros[REGISTRO],DADOS!$N$6,tabela_registros[TIPO],DADOS!$AJ$3,tabela_registros[CATEGORIA],reservafixaconsolidadofev[[#This Row],[ATUAL]])</f>
        <v>0</v>
      </c>
      <c r="N177" s="91">
        <f>SUMIFS(tabela_registros[VALOR],tabela_registros[MÊS],$AE$1,tabela_registros[DIA],reservafixaconsolidadofev[[#Headers],[10]],tabela_registros[REGISTRO],DADOS!$N$6,tabela_registros[TIPO],DADOS!$AJ$3,tabela_registros[CATEGORIA],reservafixaconsolidadofev[[#This Row],[ATUAL]])</f>
        <v>0</v>
      </c>
      <c r="O177" s="91">
        <f>SUMIFS(tabela_registros[VALOR],tabela_registros[MÊS],$AE$1,tabela_registros[DIA],reservafixaconsolidadofev[[#Headers],[11]],tabela_registros[REGISTRO],DADOS!$N$6,tabela_registros[TIPO],DADOS!$AJ$3,tabela_registros[CATEGORIA],reservafixaconsolidadofev[[#This Row],[ATUAL]])</f>
        <v>0</v>
      </c>
      <c r="P177" s="91">
        <f>SUMIFS(tabela_registros[VALOR],tabela_registros[MÊS],$AE$1,tabela_registros[DIA],reservafixaconsolidadofev[[#Headers],[12]],tabela_registros[REGISTRO],DADOS!$N$6,tabela_registros[TIPO],DADOS!$AJ$3,tabela_registros[CATEGORIA],reservafixaconsolidadofev[[#This Row],[ATUAL]])</f>
        <v>0</v>
      </c>
      <c r="Q177" s="91">
        <f>SUMIFS(tabela_registros[VALOR],tabela_registros[MÊS],$AE$1,tabela_registros[DIA],reservafixaconsolidadofev[[#Headers],[13]],tabela_registros[REGISTRO],DADOS!$N$6,tabela_registros[TIPO],DADOS!$AJ$3,tabela_registros[CATEGORIA],reservafixaconsolidadofev[[#This Row],[ATUAL]])</f>
        <v>0</v>
      </c>
      <c r="R177" s="91">
        <f>SUMIFS(tabela_registros[VALOR],tabela_registros[MÊS],$AE$1,tabela_registros[DIA],reservafixaconsolidadofev[[#Headers],[14]],tabela_registros[REGISTRO],DADOS!$N$6,tabela_registros[TIPO],DADOS!$AJ$3,tabela_registros[CATEGORIA],reservafixaconsolidadofev[[#This Row],[ATUAL]])</f>
        <v>0</v>
      </c>
      <c r="S177" s="91">
        <f>SUMIFS(tabela_registros[VALOR],tabela_registros[MÊS],$AE$1,tabela_registros[DIA],reservafixaconsolidadofev[[#Headers],[15]],tabela_registros[REGISTRO],DADOS!$N$6,tabela_registros[TIPO],DADOS!$AJ$3,tabela_registros[CATEGORIA],reservafixaconsolidadofev[[#This Row],[ATUAL]])</f>
        <v>0</v>
      </c>
      <c r="T177" s="91">
        <f>SUMIFS(tabela_registros[VALOR],tabela_registros[MÊS],$AE$1,tabela_registros[DIA],reservafixaconsolidadofev[[#Headers],[16]],tabela_registros[REGISTRO],DADOS!$N$6,tabela_registros[TIPO],DADOS!$AJ$3,tabela_registros[CATEGORIA],reservafixaconsolidadofev[[#This Row],[ATUAL]])</f>
        <v>0</v>
      </c>
      <c r="U177" s="91">
        <f>SUMIFS(tabela_registros[VALOR],tabela_registros[MÊS],$AE$1,tabela_registros[DIA],reservafixaconsolidadofev[[#Headers],[17]],tabela_registros[REGISTRO],DADOS!$N$6,tabela_registros[TIPO],DADOS!$AJ$3,tabela_registros[CATEGORIA],reservafixaconsolidadofev[[#This Row],[ATUAL]])</f>
        <v>0</v>
      </c>
      <c r="V177" s="91">
        <f>SUMIFS(tabela_registros[VALOR],tabela_registros[MÊS],$AE$1,tabela_registros[DIA],reservafixaconsolidadofev[[#Headers],[18]],tabela_registros[REGISTRO],DADOS!$N$6,tabela_registros[TIPO],DADOS!$AJ$3,tabela_registros[CATEGORIA],reservafixaconsolidadofev[[#This Row],[ATUAL]])</f>
        <v>0</v>
      </c>
      <c r="W177" s="91">
        <f>SUMIFS(tabela_registros[VALOR],tabela_registros[MÊS],$AE$1,tabela_registros[DIA],reservafixaconsolidadofev[[#Headers],[19]],tabela_registros[REGISTRO],DADOS!$N$6,tabela_registros[TIPO],DADOS!$AJ$3,tabela_registros[CATEGORIA],reservafixaconsolidadofev[[#This Row],[ATUAL]])</f>
        <v>0</v>
      </c>
      <c r="X177" s="91">
        <f>SUMIFS(tabela_registros[VALOR],tabela_registros[MÊS],$AE$1,tabela_registros[DIA],reservafixaconsolidadofev[[#Headers],[20]],tabela_registros[REGISTRO],DADOS!$N$6,tabela_registros[TIPO],DADOS!$AJ$3,tabela_registros[CATEGORIA],reservafixaconsolidadofev[[#This Row],[ATUAL]])</f>
        <v>0</v>
      </c>
      <c r="Y177" s="91">
        <f>SUMIFS(tabela_registros[VALOR],tabela_registros[MÊS],$AE$1,tabela_registros[DIA],reservafixaconsolidadofev[[#Headers],[21]],tabela_registros[REGISTRO],DADOS!$N$6,tabela_registros[TIPO],DADOS!$AJ$3,tabela_registros[CATEGORIA],reservafixaconsolidadofev[[#This Row],[ATUAL]])</f>
        <v>0</v>
      </c>
      <c r="Z177" s="91">
        <f>SUMIFS(tabela_registros[VALOR],tabela_registros[MÊS],$AE$1,tabela_registros[DIA],reservafixaconsolidadofev[[#Headers],[22]],tabela_registros[REGISTRO],DADOS!$N$6,tabela_registros[TIPO],DADOS!$AJ$3,tabela_registros[CATEGORIA],reservafixaconsolidadofev[[#This Row],[ATUAL]])</f>
        <v>0</v>
      </c>
      <c r="AA177" s="91">
        <f>SUMIFS(tabela_registros[VALOR],tabela_registros[MÊS],$AE$1,tabela_registros[DIA],reservafixaconsolidadofev[[#Headers],[23]],tabela_registros[REGISTRO],DADOS!$N$6,tabela_registros[TIPO],DADOS!$AJ$3,tabela_registros[CATEGORIA],reservafixaconsolidadofev[[#This Row],[ATUAL]])</f>
        <v>0</v>
      </c>
      <c r="AB177" s="91">
        <f>SUMIFS(tabela_registros[VALOR],tabela_registros[MÊS],$AE$1,tabela_registros[DIA],reservafixaconsolidadofev[[#Headers],[24]],tabela_registros[REGISTRO],DADOS!$N$6,tabela_registros[TIPO],DADOS!$AJ$3,tabela_registros[CATEGORIA],reservafixaconsolidadofev[[#This Row],[ATUAL]])</f>
        <v>0</v>
      </c>
      <c r="AC177" s="91">
        <f>SUMIFS(tabela_registros[VALOR],tabela_registros[MÊS],$AE$1,tabela_registros[DIA],reservafixaconsolidadofev[[#Headers],[25]],tabela_registros[REGISTRO],DADOS!$N$6,tabela_registros[TIPO],DADOS!$AJ$3,tabela_registros[CATEGORIA],reservafixaconsolidadofev[[#This Row],[ATUAL]])</f>
        <v>0</v>
      </c>
      <c r="AD177" s="91">
        <f>SUMIFS(tabela_registros[VALOR],tabela_registros[MÊS],$AE$1,tabela_registros[DIA],reservafixaconsolidadofev[[#Headers],[26]],tabela_registros[REGISTRO],DADOS!$N$6,tabela_registros[TIPO],DADOS!$AJ$3,tabela_registros[CATEGORIA],reservafixaconsolidadofev[[#This Row],[ATUAL]])</f>
        <v>0</v>
      </c>
      <c r="AE177" s="91">
        <f>SUMIFS(tabela_registros[VALOR],tabela_registros[MÊS],$AE$1,tabela_registros[DIA],reservafixaconsolidadofev[[#Headers],[27]],tabela_registros[REGISTRO],DADOS!$N$6,tabela_registros[TIPO],DADOS!$AJ$3,tabela_registros[CATEGORIA],reservafixaconsolidadofev[[#This Row],[ATUAL]])</f>
        <v>0</v>
      </c>
      <c r="AF177" s="91">
        <f>SUMIFS(tabela_registros[VALOR],tabela_registros[MÊS],$AE$1,tabela_registros[DIA],reservafixaconsolidadofev[[#Headers],[28]],tabela_registros[REGISTRO],DADOS!$N$6,tabela_registros[TIPO],DADOS!$AJ$3,tabela_registros[CATEGORIA],reservafixaconsolidadofev[[#This Row],[ATUAL]])</f>
        <v>0</v>
      </c>
      <c r="AG177" s="91">
        <f>SUMIFS(tabela_registros[VALOR],tabela_registros[MÊS],$AE$1,tabela_registros[DIA],reservafixaconsolidadofev[[#Headers],[29]],tabela_registros[REGISTRO],DADOS!$N$6,tabela_registros[TIPO],DADOS!$AJ$3,tabela_registros[CATEGORIA],reservafixaconsolidadofev[[#This Row],[ATUAL]])</f>
        <v>0</v>
      </c>
      <c r="AH177" s="91">
        <f>SUMIFS(tabela_registros[VALOR],tabela_registros[MÊS],$AE$1,tabela_registros[DIA],reservafixaconsolidadofev[[#Headers],[30]],tabela_registros[REGISTRO],DADOS!$N$6,tabela_registros[TIPO],DADOS!$AJ$3,tabela_registros[CATEGORIA],reservafixaconsolidadofev[[#This Row],[ATUAL]])</f>
        <v>0</v>
      </c>
      <c r="AI177" s="101">
        <f>SUMIFS(tabela_registros[VALOR],tabela_registros[MÊS],$AE$1,tabela_registros[DIA],reservafixaconsolidadofev[[#Headers],[31]],tabela_registros[REGISTRO],DADOS!$N$6,tabela_registros[TIPO],DADOS!$AJ$3,tabela_registros[CATEGORIA],reservafixaconsolidadofev[[#This Row],[ATUAL]])</f>
        <v>0</v>
      </c>
      <c r="AJ177" s="97">
        <f>SUM(reservafixaconsolidadofev[[#This Row],[1]:[31]])</f>
        <v>0</v>
      </c>
      <c r="AK177" s="25"/>
    </row>
    <row r="178" spans="2:37" s="16" customFormat="1" ht="21" customHeight="1" thickTop="1" thickBot="1" x14ac:dyDescent="0.35">
      <c r="B178" s="24"/>
      <c r="C178" s="23" t="s">
        <v>19</v>
      </c>
      <c r="D178" s="22"/>
      <c r="E178" s="21">
        <f>SUM(E168:E177)</f>
        <v>0</v>
      </c>
      <c r="F178" s="20">
        <f>SUM(F168:F177)+reservafixaconsolidadofev[[#This Row],[1]]</f>
        <v>0</v>
      </c>
      <c r="G178" s="20">
        <f>SUM(G168:G177)+reservafixaconsolidadofev[[#This Row],[2]]</f>
        <v>0</v>
      </c>
      <c r="H178" s="20">
        <f>SUM(H168:H177)+reservafixaconsolidadofev[[#This Row],[3]]</f>
        <v>0</v>
      </c>
      <c r="I178" s="20">
        <f>SUM(I168:I177)+reservafixaconsolidadofev[[#This Row],[4]]</f>
        <v>0</v>
      </c>
      <c r="J178" s="20">
        <f>SUM(J168:J177)+reservafixaconsolidadofev[[#This Row],[5]]</f>
        <v>0</v>
      </c>
      <c r="K178" s="20">
        <f>SUM(K168:K177)+reservafixaconsolidadofev[[#This Row],[6]]</f>
        <v>0</v>
      </c>
      <c r="L178" s="20">
        <f>SUM(L168:L177)+reservafixaconsolidadofev[[#This Row],[7]]</f>
        <v>0</v>
      </c>
      <c r="M178" s="20">
        <f>SUM(M168:M177)+reservafixaconsolidadofev[[#This Row],[8]]</f>
        <v>0</v>
      </c>
      <c r="N178" s="20">
        <f>SUM(N168:N177)+reservafixaconsolidadofev[[#This Row],[9]]</f>
        <v>0</v>
      </c>
      <c r="O178" s="20">
        <f>SUM(O168:O177)+reservafixaconsolidadofev[[#This Row],[10]]</f>
        <v>0</v>
      </c>
      <c r="P178" s="20">
        <f>SUM(P168:P177)+reservafixaconsolidadofev[[#This Row],[11]]</f>
        <v>0</v>
      </c>
      <c r="Q178" s="20">
        <f>SUM(Q168:Q177)+reservafixaconsolidadofev[[#This Row],[12]]</f>
        <v>0</v>
      </c>
      <c r="R178" s="20">
        <f>SUM(R168:R177)+reservafixaconsolidadofev[[#This Row],[13]]</f>
        <v>0</v>
      </c>
      <c r="S178" s="20">
        <f>SUM(S168:S177)+reservafixaconsolidadofev[[#This Row],[14]]</f>
        <v>0</v>
      </c>
      <c r="T178" s="20">
        <f>SUM(T168:T177)+reservafixaconsolidadofev[[#This Row],[15]]</f>
        <v>0</v>
      </c>
      <c r="U178" s="20">
        <f>SUM(U168:U177)+reservafixaconsolidadofev[[#This Row],[16]]</f>
        <v>0</v>
      </c>
      <c r="V178" s="20">
        <f>SUM(V168:V177)+reservafixaconsolidadofev[[#This Row],[17]]</f>
        <v>0</v>
      </c>
      <c r="W178" s="20">
        <f>SUM(W168:W177)+reservafixaconsolidadofev[[#This Row],[18]]</f>
        <v>0</v>
      </c>
      <c r="X178" s="20">
        <f>SUM(X168:X177)+reservafixaconsolidadofev[[#This Row],[19]]</f>
        <v>0</v>
      </c>
      <c r="Y178" s="20">
        <f>SUM(Y168:Y177)+reservafixaconsolidadofev[[#This Row],[20]]</f>
        <v>0</v>
      </c>
      <c r="Z178" s="20">
        <f>SUM(Z168:Z177)+reservafixaconsolidadofev[[#This Row],[21]]</f>
        <v>0</v>
      </c>
      <c r="AA178" s="20">
        <f>SUM(AA168:AA177)+reservafixaconsolidadofev[[#This Row],[22]]</f>
        <v>0</v>
      </c>
      <c r="AB178" s="20">
        <f>SUM(AB168:AB177)+reservafixaconsolidadofev[[#This Row],[23]]</f>
        <v>0</v>
      </c>
      <c r="AC178" s="20">
        <f>SUM(AC168:AC177)+reservafixaconsolidadofev[[#This Row],[24]]</f>
        <v>0</v>
      </c>
      <c r="AD178" s="20">
        <f>SUM(AD168:AD177)+reservafixaconsolidadofev[[#This Row],[25]]</f>
        <v>0</v>
      </c>
      <c r="AE178" s="20">
        <f>SUM(AE168:AE177)+reservafixaconsolidadofev[[#This Row],[26]]</f>
        <v>0</v>
      </c>
      <c r="AF178" s="20">
        <f>SUM(AF168:AF177)+reservafixaconsolidadofev[[#This Row],[27]]</f>
        <v>0</v>
      </c>
      <c r="AG178" s="20">
        <f>SUM(AG168:AG177)+reservafixaconsolidadofev[[#This Row],[28]]</f>
        <v>0</v>
      </c>
      <c r="AH178" s="20">
        <f>SUM(AH168:AH177)+reservafixaconsolidadofev[[#This Row],[29]]</f>
        <v>0</v>
      </c>
      <c r="AI178" s="19">
        <f>SUM(AI168:AI177)+reservafixaconsolidadofev[[#This Row],[30]]</f>
        <v>0</v>
      </c>
      <c r="AJ178" s="18">
        <f>reservafixaconsolidadofev[[#This Row],[31]]</f>
        <v>0</v>
      </c>
      <c r="AK178" s="17"/>
    </row>
    <row r="179" spans="2:37" ht="6.75" customHeight="1" thickTop="1" thickBot="1" x14ac:dyDescent="0.3">
      <c r="B179" s="15"/>
      <c r="C179" s="14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3"/>
      <c r="AF179" s="13"/>
      <c r="AG179" s="13"/>
      <c r="AH179" s="13"/>
      <c r="AI179" s="12"/>
      <c r="AJ179" s="11"/>
      <c r="AK179" s="10"/>
    </row>
    <row r="180" spans="2:37" ht="12.6" thickTop="1" x14ac:dyDescent="0.25">
      <c r="E180" s="37"/>
      <c r="AI180" s="4"/>
    </row>
    <row r="181" spans="2:37" x14ac:dyDescent="0.25">
      <c r="AI181" s="4"/>
    </row>
    <row r="182" spans="2:37" x14ac:dyDescent="0.25">
      <c r="AI182" s="4"/>
    </row>
    <row r="183" spans="2:37" ht="39.75" customHeight="1" x14ac:dyDescent="0.7">
      <c r="C183" s="36"/>
      <c r="E183" s="240"/>
      <c r="F183" s="240"/>
      <c r="G183" s="240"/>
      <c r="H183" s="240"/>
      <c r="I183" s="240"/>
      <c r="J183" s="240"/>
      <c r="K183" s="240"/>
      <c r="L183" s="240"/>
      <c r="M183" s="240"/>
      <c r="N183" s="240"/>
      <c r="O183" s="240"/>
      <c r="P183" s="240"/>
      <c r="Q183" s="240"/>
      <c r="R183" s="240"/>
      <c r="S183" s="240"/>
      <c r="T183" s="240"/>
      <c r="U183" s="240"/>
      <c r="V183" s="240"/>
      <c r="W183" s="240"/>
      <c r="X183" s="240"/>
      <c r="Y183" s="240"/>
      <c r="Z183" s="240"/>
      <c r="AA183" s="240"/>
      <c r="AB183" s="240"/>
      <c r="AC183" s="240"/>
      <c r="AD183" s="240"/>
      <c r="AE183" s="240"/>
      <c r="AF183" s="240"/>
      <c r="AG183" s="240"/>
      <c r="AH183" s="240"/>
      <c r="AI183" s="240"/>
      <c r="AJ183" s="32" t="s">
        <v>19</v>
      </c>
    </row>
    <row r="184" spans="2:37" ht="12.6" thickBot="1" x14ac:dyDescent="0.3">
      <c r="B184" s="35"/>
      <c r="AI184" s="4"/>
      <c r="AJ184" s="34" t="s">
        <v>202</v>
      </c>
    </row>
    <row r="185" spans="2:37" ht="6.75" customHeight="1" thickTop="1" thickBot="1" x14ac:dyDescent="0.3">
      <c r="B185" s="2"/>
      <c r="C185" s="14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  <c r="AF185" s="13"/>
      <c r="AG185" s="13"/>
      <c r="AH185" s="13"/>
      <c r="AI185" s="13"/>
      <c r="AJ185" s="12"/>
      <c r="AK185" s="33"/>
    </row>
    <row r="186" spans="2:37" ht="13.2" hidden="1" thickTop="1" thickBot="1" x14ac:dyDescent="0.3">
      <c r="B186" s="2"/>
      <c r="C186" s="31" t="s">
        <v>199</v>
      </c>
      <c r="D186" s="30" t="s">
        <v>198</v>
      </c>
      <c r="E186" s="30" t="s">
        <v>197</v>
      </c>
      <c r="F186" s="30" t="s">
        <v>196</v>
      </c>
      <c r="G186" s="30" t="s">
        <v>195</v>
      </c>
      <c r="H186" s="30" t="s">
        <v>194</v>
      </c>
      <c r="I186" s="30" t="s">
        <v>193</v>
      </c>
      <c r="J186" s="30" t="s">
        <v>192</v>
      </c>
      <c r="K186" s="30" t="s">
        <v>191</v>
      </c>
      <c r="L186" s="30" t="s">
        <v>190</v>
      </c>
      <c r="M186" s="30" t="s">
        <v>189</v>
      </c>
      <c r="N186" s="30" t="s">
        <v>188</v>
      </c>
      <c r="O186" s="30" t="s">
        <v>187</v>
      </c>
      <c r="P186" s="30" t="s">
        <v>186</v>
      </c>
      <c r="Q186" s="30" t="s">
        <v>185</v>
      </c>
      <c r="R186" s="30" t="s">
        <v>184</v>
      </c>
      <c r="S186" s="30" t="s">
        <v>183</v>
      </c>
      <c r="T186" s="30" t="s">
        <v>182</v>
      </c>
      <c r="U186" s="30" t="s">
        <v>181</v>
      </c>
      <c r="V186" s="30" t="s">
        <v>180</v>
      </c>
      <c r="W186" s="30" t="s">
        <v>179</v>
      </c>
      <c r="X186" s="30" t="s">
        <v>178</v>
      </c>
      <c r="Y186" s="30" t="s">
        <v>177</v>
      </c>
      <c r="Z186" s="30" t="s">
        <v>176</v>
      </c>
      <c r="AA186" s="30" t="s">
        <v>175</v>
      </c>
      <c r="AB186" s="30" t="s">
        <v>174</v>
      </c>
      <c r="AC186" s="30" t="s">
        <v>173</v>
      </c>
      <c r="AD186" s="30" t="s">
        <v>172</v>
      </c>
      <c r="AE186" s="30" t="s">
        <v>171</v>
      </c>
      <c r="AF186" s="30" t="s">
        <v>170</v>
      </c>
      <c r="AG186" s="30" t="s">
        <v>169</v>
      </c>
      <c r="AH186" s="30" t="s">
        <v>168</v>
      </c>
      <c r="AI186" s="30" t="s">
        <v>167</v>
      </c>
      <c r="AJ186" s="29" t="s">
        <v>166</v>
      </c>
      <c r="AK186" s="2"/>
    </row>
    <row r="187" spans="2:37" ht="19.5" customHeight="1" thickTop="1" thickBot="1" x14ac:dyDescent="0.3">
      <c r="B187" s="28"/>
      <c r="C187" s="27" t="str">
        <f>DADOS!$AN$3</f>
        <v>📝 AÇÃO</v>
      </c>
      <c r="D187" s="26" t="str">
        <f>IF(reservavariáveisconsolidadofev[[#This Row],[TOTAL (R$)]]=0,"",IF(OR(reservavariáveisconsolidadofev[[#This Row],[TOTAL (R$)]]=LARGE($AJ$187:$AJ$196,1),reservavariáveisconsolidadofev[[#This Row],[TOTAL (R$)]]=LARGE($AJ$187:$AJ$196,2)),DADOS!$I$11,""))</f>
        <v/>
      </c>
      <c r="E187" s="96">
        <f>SUMIFS(tabela_registros[VALOR],tabela_registros[MÊS],$AE$1,tabela_registros[DIA],reservavariáveisconsolidadofev[[#Headers],[1]],tabela_registros[REGISTRO],DADOS!$N$6,tabela_registros[TIPO],DADOS!$AJ$4,tabela_registros[CATEGORIA],reservavariáveisconsolidadofev[[#This Row],[ATUAL]])</f>
        <v>0</v>
      </c>
      <c r="F187" s="91">
        <f>SUMIFS(tabela_registros[VALOR],tabela_registros[MÊS],$AE$1,tabela_registros[DIA],reservavariáveisconsolidadofev[[#Headers],[2]],tabela_registros[REGISTRO],DADOS!$N$6,tabela_registros[TIPO],DADOS!$AJ$4,tabela_registros[CATEGORIA],reservavariáveisconsolidadofev[[#This Row],[ATUAL]])</f>
        <v>0</v>
      </c>
      <c r="G187" s="91">
        <f>SUMIFS(tabela_registros[VALOR],tabela_registros[MÊS],$AE$1,tabela_registros[DIA],reservavariáveisconsolidadofev[[#Headers],[3]],tabela_registros[REGISTRO],DADOS!$N$6,tabela_registros[TIPO],DADOS!$AJ$4,tabela_registros[CATEGORIA],reservavariáveisconsolidadofev[[#This Row],[ATUAL]])</f>
        <v>0</v>
      </c>
      <c r="H187" s="91">
        <f>SUMIFS(tabela_registros[VALOR],tabela_registros[MÊS],$AE$1,tabela_registros[DIA],reservavariáveisconsolidadofev[[#Headers],[4]],tabela_registros[REGISTRO],DADOS!$N$6,tabela_registros[TIPO],DADOS!$AJ$4,tabela_registros[CATEGORIA],reservavariáveisconsolidadofev[[#This Row],[ATUAL]])</f>
        <v>0</v>
      </c>
      <c r="I187" s="91">
        <f>SUMIFS(tabela_registros[VALOR],tabela_registros[MÊS],$AE$1,tabela_registros[DIA],reservavariáveisconsolidadofev[[#Headers],[5]],tabela_registros[REGISTRO],DADOS!$N$6,tabela_registros[TIPO],DADOS!$AJ$4,tabela_registros[CATEGORIA],reservavariáveisconsolidadofev[[#This Row],[ATUAL]])</f>
        <v>0</v>
      </c>
      <c r="J187" s="91">
        <f>SUMIFS(tabela_registros[VALOR],tabela_registros[MÊS],$AE$1,tabela_registros[DIA],reservavariáveisconsolidadofev[[#Headers],[6]],tabela_registros[REGISTRO],DADOS!$N$6,tabela_registros[TIPO],DADOS!$AJ$4,tabela_registros[CATEGORIA],reservavariáveisconsolidadofev[[#This Row],[ATUAL]])</f>
        <v>0</v>
      </c>
      <c r="K187" s="91">
        <f>SUMIFS(tabela_registros[VALOR],tabela_registros[MÊS],$AE$1,tabela_registros[DIA],reservavariáveisconsolidadofev[[#Headers],[7]],tabela_registros[REGISTRO],DADOS!$N$6,tabela_registros[TIPO],DADOS!$AJ$4,tabela_registros[CATEGORIA],reservavariáveisconsolidadofev[[#This Row],[ATUAL]])</f>
        <v>0</v>
      </c>
      <c r="L187" s="91">
        <f>SUMIFS(tabela_registros[VALOR],tabela_registros[MÊS],$AE$1,tabela_registros[DIA],reservavariáveisconsolidadofev[[#Headers],[8]],tabela_registros[REGISTRO],DADOS!$N$6,tabela_registros[TIPO],DADOS!$AJ$4,tabela_registros[CATEGORIA],reservavariáveisconsolidadofev[[#This Row],[ATUAL]])</f>
        <v>0</v>
      </c>
      <c r="M187" s="91">
        <f>SUMIFS(tabela_registros[VALOR],tabela_registros[MÊS],$AE$1,tabela_registros[DIA],reservavariáveisconsolidadofev[[#Headers],[9]],tabela_registros[REGISTRO],DADOS!$N$6,tabela_registros[TIPO],DADOS!$AJ$4,tabela_registros[CATEGORIA],reservavariáveisconsolidadofev[[#This Row],[ATUAL]])</f>
        <v>0</v>
      </c>
      <c r="N187" s="91">
        <f>SUMIFS(tabela_registros[VALOR],tabela_registros[MÊS],$AE$1,tabela_registros[DIA],reservavariáveisconsolidadofev[[#Headers],[10]],tabela_registros[REGISTRO],DADOS!$N$6,tabela_registros[TIPO],DADOS!$AJ$4,tabela_registros[CATEGORIA],reservavariáveisconsolidadofev[[#This Row],[ATUAL]])</f>
        <v>0</v>
      </c>
      <c r="O187" s="91">
        <f>SUMIFS(tabela_registros[VALOR],tabela_registros[MÊS],$AE$1,tabela_registros[DIA],reservavariáveisconsolidadofev[[#Headers],[11]],tabela_registros[REGISTRO],DADOS!$N$6,tabela_registros[TIPO],DADOS!$AJ$4,tabela_registros[CATEGORIA],reservavariáveisconsolidadofev[[#This Row],[ATUAL]])</f>
        <v>0</v>
      </c>
      <c r="P187" s="91">
        <f>SUMIFS(tabela_registros[VALOR],tabela_registros[MÊS],$AE$1,tabela_registros[DIA],reservavariáveisconsolidadofev[[#Headers],[12]],tabela_registros[REGISTRO],DADOS!$N$6,tabela_registros[TIPO],DADOS!$AJ$4,tabela_registros[CATEGORIA],reservavariáveisconsolidadofev[[#This Row],[ATUAL]])</f>
        <v>0</v>
      </c>
      <c r="Q187" s="91">
        <f>SUMIFS(tabela_registros[VALOR],tabela_registros[MÊS],$AE$1,tabela_registros[DIA],reservavariáveisconsolidadofev[[#Headers],[13]],tabela_registros[REGISTRO],DADOS!$N$6,tabela_registros[TIPO],DADOS!$AJ$4,tabela_registros[CATEGORIA],reservavariáveisconsolidadofev[[#This Row],[ATUAL]])</f>
        <v>0</v>
      </c>
      <c r="R187" s="91">
        <f>SUMIFS(tabela_registros[VALOR],tabela_registros[MÊS],$AE$1,tabela_registros[DIA],reservavariáveisconsolidadofev[[#Headers],[14]],tabela_registros[REGISTRO],DADOS!$N$6,tabela_registros[TIPO],DADOS!$AJ$4,tabela_registros[CATEGORIA],reservavariáveisconsolidadofev[[#This Row],[ATUAL]])</f>
        <v>0</v>
      </c>
      <c r="S187" s="91">
        <f>SUMIFS(tabela_registros[VALOR],tabela_registros[MÊS],$AE$1,tabela_registros[DIA],reservavariáveisconsolidadofev[[#Headers],[15]],tabela_registros[REGISTRO],DADOS!$N$6,tabela_registros[TIPO],DADOS!$AJ$4,tabela_registros[CATEGORIA],reservavariáveisconsolidadofev[[#This Row],[ATUAL]])</f>
        <v>0</v>
      </c>
      <c r="T187" s="91">
        <f>SUMIFS(tabela_registros[VALOR],tabela_registros[MÊS],$AE$1,tabela_registros[DIA],reservavariáveisconsolidadofev[[#Headers],[16]],tabela_registros[REGISTRO],DADOS!$N$6,tabela_registros[TIPO],DADOS!$AJ$4,tabela_registros[CATEGORIA],reservavariáveisconsolidadofev[[#This Row],[ATUAL]])</f>
        <v>0</v>
      </c>
      <c r="U187" s="91">
        <f>SUMIFS(tabela_registros[VALOR],tabela_registros[MÊS],$AE$1,tabela_registros[DIA],reservavariáveisconsolidadofev[[#Headers],[17]],tabela_registros[REGISTRO],DADOS!$N$6,tabela_registros[TIPO],DADOS!$AJ$4,tabela_registros[CATEGORIA],reservavariáveisconsolidadofev[[#This Row],[ATUAL]])</f>
        <v>0</v>
      </c>
      <c r="V187" s="91">
        <f>SUMIFS(tabela_registros[VALOR],tabela_registros[MÊS],$AE$1,tabela_registros[DIA],reservavariáveisconsolidadofev[[#Headers],[18]],tabela_registros[REGISTRO],DADOS!$N$6,tabela_registros[TIPO],DADOS!$AJ$4,tabela_registros[CATEGORIA],reservavariáveisconsolidadofev[[#This Row],[ATUAL]])</f>
        <v>0</v>
      </c>
      <c r="W187" s="91">
        <f>SUMIFS(tabela_registros[VALOR],tabela_registros[MÊS],$AE$1,tabela_registros[DIA],reservavariáveisconsolidadofev[[#Headers],[19]],tabela_registros[REGISTRO],DADOS!$N$6,tabela_registros[TIPO],DADOS!$AJ$4,tabela_registros[CATEGORIA],reservavariáveisconsolidadofev[[#This Row],[ATUAL]])</f>
        <v>0</v>
      </c>
      <c r="X187" s="91">
        <f>SUMIFS(tabela_registros[VALOR],tabela_registros[MÊS],$AE$1,tabela_registros[DIA],reservavariáveisconsolidadofev[[#Headers],[20]],tabela_registros[REGISTRO],DADOS!$N$6,tabela_registros[TIPO],DADOS!$AJ$4,tabela_registros[CATEGORIA],reservavariáveisconsolidadofev[[#This Row],[ATUAL]])</f>
        <v>0</v>
      </c>
      <c r="Y187" s="91">
        <f>SUMIFS(tabela_registros[VALOR],tabela_registros[MÊS],$AE$1,tabela_registros[DIA],reservavariáveisconsolidadofev[[#Headers],[21]],tabela_registros[REGISTRO],DADOS!$N$6,tabela_registros[TIPO],DADOS!$AJ$4,tabela_registros[CATEGORIA],reservavariáveisconsolidadofev[[#This Row],[ATUAL]])</f>
        <v>0</v>
      </c>
      <c r="Z187" s="91">
        <f>SUMIFS(tabela_registros[VALOR],tabela_registros[MÊS],$AE$1,tabela_registros[DIA],reservavariáveisconsolidadofev[[#Headers],[22]],tabela_registros[REGISTRO],DADOS!$N$6,tabela_registros[TIPO],DADOS!$AJ$4,tabela_registros[CATEGORIA],reservavariáveisconsolidadofev[[#This Row],[ATUAL]])</f>
        <v>0</v>
      </c>
      <c r="AA187" s="91">
        <f>SUMIFS(tabela_registros[VALOR],tabela_registros[MÊS],$AE$1,tabela_registros[DIA],reservavariáveisconsolidadofev[[#Headers],[23]],tabela_registros[REGISTRO],DADOS!$N$6,tabela_registros[TIPO],DADOS!$AJ$4,tabela_registros[CATEGORIA],reservavariáveisconsolidadofev[[#This Row],[ATUAL]])</f>
        <v>0</v>
      </c>
      <c r="AB187" s="91">
        <f>SUMIFS(tabela_registros[VALOR],tabela_registros[MÊS],$AE$1,tabela_registros[DIA],reservavariáveisconsolidadofev[[#Headers],[24]],tabela_registros[REGISTRO],DADOS!$N$6,tabela_registros[TIPO],DADOS!$AJ$4,tabela_registros[CATEGORIA],reservavariáveisconsolidadofev[[#This Row],[ATUAL]])</f>
        <v>0</v>
      </c>
      <c r="AC187" s="91">
        <f>SUMIFS(tabela_registros[VALOR],tabela_registros[MÊS],$AE$1,tabela_registros[DIA],reservavariáveisconsolidadofev[[#Headers],[25]],tabela_registros[REGISTRO],DADOS!$N$6,tabela_registros[TIPO],DADOS!$AJ$4,tabela_registros[CATEGORIA],reservavariáveisconsolidadofev[[#This Row],[ATUAL]])</f>
        <v>0</v>
      </c>
      <c r="AD187" s="91">
        <f>SUMIFS(tabela_registros[VALOR],tabela_registros[MÊS],$AE$1,tabela_registros[DIA],reservavariáveisconsolidadofev[[#Headers],[26]],tabela_registros[REGISTRO],DADOS!$N$6,tabela_registros[TIPO],DADOS!$AJ$4,tabela_registros[CATEGORIA],reservavariáveisconsolidadofev[[#This Row],[ATUAL]])</f>
        <v>0</v>
      </c>
      <c r="AE187" s="91">
        <f>SUMIFS(tabela_registros[VALOR],tabela_registros[MÊS],$AE$1,tabela_registros[DIA],reservavariáveisconsolidadofev[[#Headers],[27]],tabela_registros[REGISTRO],DADOS!$N$6,tabela_registros[TIPO],DADOS!$AJ$4,tabela_registros[CATEGORIA],reservavariáveisconsolidadofev[[#This Row],[ATUAL]])</f>
        <v>0</v>
      </c>
      <c r="AF187" s="91">
        <f>SUMIFS(tabela_registros[VALOR],tabela_registros[MÊS],$AE$1,tabela_registros[DIA],reservavariáveisconsolidadofev[[#Headers],[28]],tabela_registros[REGISTRO],DADOS!$N$6,tabela_registros[TIPO],DADOS!$AJ$4,tabela_registros[CATEGORIA],reservavariáveisconsolidadofev[[#This Row],[ATUAL]])</f>
        <v>0</v>
      </c>
      <c r="AG187" s="91">
        <f>SUMIFS(tabela_registros[VALOR],tabela_registros[MÊS],$AE$1,tabela_registros[DIA],reservavariáveisconsolidadofev[[#Headers],[29]],tabela_registros[REGISTRO],DADOS!$N$6,tabela_registros[TIPO],DADOS!$AJ$4,tabela_registros[CATEGORIA],reservavariáveisconsolidadofev[[#This Row],[ATUAL]])</f>
        <v>0</v>
      </c>
      <c r="AH187" s="91">
        <f>SUMIFS(tabela_registros[VALOR],tabela_registros[MÊS],$AE$1,tabela_registros[DIA],reservavariáveisconsolidadofev[[#Headers],[30]],tabela_registros[REGISTRO],DADOS!$N$6,tabela_registros[TIPO],DADOS!$AJ$4,tabela_registros[CATEGORIA],reservavariáveisconsolidadofev[[#This Row],[ATUAL]])</f>
        <v>0</v>
      </c>
      <c r="AI187" s="101">
        <f>SUMIFS(tabela_registros[VALOR],tabela_registros[MÊS],$AE$1,tabela_registros[DIA],reservavariáveisconsolidadofev[[#Headers],[31]],tabela_registros[REGISTRO],DADOS!$N$6,tabela_registros[TIPO],DADOS!$AJ$4,tabela_registros[CATEGORIA],reservavariáveisconsolidadofev[[#This Row],[ATUAL]])</f>
        <v>0</v>
      </c>
      <c r="AJ187" s="97">
        <f>SUM(reservavariáveisconsolidadofev[[#This Row],[1]:[31]])</f>
        <v>0</v>
      </c>
      <c r="AK187" s="25"/>
    </row>
    <row r="188" spans="2:37" ht="19.5" customHeight="1" thickTop="1" thickBot="1" x14ac:dyDescent="0.3">
      <c r="B188" s="28"/>
      <c r="C188" s="27" t="str">
        <f>DADOS!$AN$4</f>
        <v>📝 COMÓDITE</v>
      </c>
      <c r="D188" s="26" t="str">
        <f>IF(reservavariáveisconsolidadofev[[#This Row],[TOTAL (R$)]]=0,"",IF(OR(reservavariáveisconsolidadofev[[#This Row],[TOTAL (R$)]]=LARGE($AJ$187:$AJ$196,1),reservavariáveisconsolidadofev[[#This Row],[TOTAL (R$)]]=LARGE($AJ$187:$AJ$196,2)),DADOS!$I$11,""))</f>
        <v/>
      </c>
      <c r="E188" s="96">
        <f>SUMIFS(tabela_registros[VALOR],tabela_registros[MÊS],$AE$1,tabela_registros[DIA],reservavariáveisconsolidadofev[[#Headers],[1]],tabela_registros[REGISTRO],DADOS!$N$6,tabela_registros[TIPO],DADOS!$AJ$4,tabela_registros[CATEGORIA],reservavariáveisconsolidadofev[[#This Row],[ATUAL]])</f>
        <v>0</v>
      </c>
      <c r="F188" s="91">
        <f>SUMIFS(tabela_registros[VALOR],tabela_registros[MÊS],$AE$1,tabela_registros[DIA],reservavariáveisconsolidadofev[[#Headers],[2]],tabela_registros[REGISTRO],DADOS!$N$6,tabela_registros[TIPO],DADOS!$AJ$4,tabela_registros[CATEGORIA],reservavariáveisconsolidadofev[[#This Row],[ATUAL]])</f>
        <v>0</v>
      </c>
      <c r="G188" s="91">
        <f>SUMIFS(tabela_registros[VALOR],tabela_registros[MÊS],$AE$1,tabela_registros[DIA],reservavariáveisconsolidadofev[[#Headers],[3]],tabela_registros[REGISTRO],DADOS!$N$6,tabela_registros[TIPO],DADOS!$AJ$4,tabela_registros[CATEGORIA],reservavariáveisconsolidadofev[[#This Row],[ATUAL]])</f>
        <v>0</v>
      </c>
      <c r="H188" s="91">
        <f>SUMIFS(tabela_registros[VALOR],tabela_registros[MÊS],$AE$1,tabela_registros[DIA],reservavariáveisconsolidadofev[[#Headers],[4]],tabela_registros[REGISTRO],DADOS!$N$6,tabela_registros[TIPO],DADOS!$AJ$4,tabela_registros[CATEGORIA],reservavariáveisconsolidadofev[[#This Row],[ATUAL]])</f>
        <v>0</v>
      </c>
      <c r="I188" s="91">
        <f>SUMIFS(tabela_registros[VALOR],tabela_registros[MÊS],$AE$1,tabela_registros[DIA],reservavariáveisconsolidadofev[[#Headers],[5]],tabela_registros[REGISTRO],DADOS!$N$6,tabela_registros[TIPO],DADOS!$AJ$4,tabela_registros[CATEGORIA],reservavariáveisconsolidadofev[[#This Row],[ATUAL]])</f>
        <v>0</v>
      </c>
      <c r="J188" s="91">
        <f>SUMIFS(tabela_registros[VALOR],tabela_registros[MÊS],$AE$1,tabela_registros[DIA],reservavariáveisconsolidadofev[[#Headers],[6]],tabela_registros[REGISTRO],DADOS!$N$6,tabela_registros[TIPO],DADOS!$AJ$4,tabela_registros[CATEGORIA],reservavariáveisconsolidadofev[[#This Row],[ATUAL]])</f>
        <v>0</v>
      </c>
      <c r="K188" s="91">
        <f>SUMIFS(tabela_registros[VALOR],tabela_registros[MÊS],$AE$1,tabela_registros[DIA],reservavariáveisconsolidadofev[[#Headers],[7]],tabela_registros[REGISTRO],DADOS!$N$6,tabela_registros[TIPO],DADOS!$AJ$4,tabela_registros[CATEGORIA],reservavariáveisconsolidadofev[[#This Row],[ATUAL]])</f>
        <v>0</v>
      </c>
      <c r="L188" s="91">
        <f>SUMIFS(tabela_registros[VALOR],tabela_registros[MÊS],$AE$1,tabela_registros[DIA],reservavariáveisconsolidadofev[[#Headers],[8]],tabela_registros[REGISTRO],DADOS!$N$6,tabela_registros[TIPO],DADOS!$AJ$4,tabela_registros[CATEGORIA],reservavariáveisconsolidadofev[[#This Row],[ATUAL]])</f>
        <v>0</v>
      </c>
      <c r="M188" s="91">
        <f>SUMIFS(tabela_registros[VALOR],tabela_registros[MÊS],$AE$1,tabela_registros[DIA],reservavariáveisconsolidadofev[[#Headers],[9]],tabela_registros[REGISTRO],DADOS!$N$6,tabela_registros[TIPO],DADOS!$AJ$4,tabela_registros[CATEGORIA],reservavariáveisconsolidadofev[[#This Row],[ATUAL]])</f>
        <v>0</v>
      </c>
      <c r="N188" s="91">
        <f>SUMIFS(tabela_registros[VALOR],tabela_registros[MÊS],$AE$1,tabela_registros[DIA],reservavariáveisconsolidadofev[[#Headers],[10]],tabela_registros[REGISTRO],DADOS!$N$6,tabela_registros[TIPO],DADOS!$AJ$4,tabela_registros[CATEGORIA],reservavariáveisconsolidadofev[[#This Row],[ATUAL]])</f>
        <v>0</v>
      </c>
      <c r="O188" s="91">
        <f>SUMIFS(tabela_registros[VALOR],tabela_registros[MÊS],$AE$1,tabela_registros[DIA],reservavariáveisconsolidadofev[[#Headers],[11]],tabela_registros[REGISTRO],DADOS!$N$6,tabela_registros[TIPO],DADOS!$AJ$4,tabela_registros[CATEGORIA],reservavariáveisconsolidadofev[[#This Row],[ATUAL]])</f>
        <v>0</v>
      </c>
      <c r="P188" s="91">
        <f>SUMIFS(tabela_registros[VALOR],tabela_registros[MÊS],$AE$1,tabela_registros[DIA],reservavariáveisconsolidadofev[[#Headers],[12]],tabela_registros[REGISTRO],DADOS!$N$6,tabela_registros[TIPO],DADOS!$AJ$4,tabela_registros[CATEGORIA],reservavariáveisconsolidadofev[[#This Row],[ATUAL]])</f>
        <v>0</v>
      </c>
      <c r="Q188" s="91">
        <f>SUMIFS(tabela_registros[VALOR],tabela_registros[MÊS],$AE$1,tabela_registros[DIA],reservavariáveisconsolidadofev[[#Headers],[13]],tabela_registros[REGISTRO],DADOS!$N$6,tabela_registros[TIPO],DADOS!$AJ$4,tabela_registros[CATEGORIA],reservavariáveisconsolidadofev[[#This Row],[ATUAL]])</f>
        <v>0</v>
      </c>
      <c r="R188" s="91">
        <f>SUMIFS(tabela_registros[VALOR],tabela_registros[MÊS],$AE$1,tabela_registros[DIA],reservavariáveisconsolidadofev[[#Headers],[14]],tabela_registros[REGISTRO],DADOS!$N$6,tabela_registros[TIPO],DADOS!$AJ$4,tabela_registros[CATEGORIA],reservavariáveisconsolidadofev[[#This Row],[ATUAL]])</f>
        <v>0</v>
      </c>
      <c r="S188" s="91">
        <f>SUMIFS(tabela_registros[VALOR],tabela_registros[MÊS],$AE$1,tabela_registros[DIA],reservavariáveisconsolidadofev[[#Headers],[15]],tabela_registros[REGISTRO],DADOS!$N$6,tabela_registros[TIPO],DADOS!$AJ$4,tabela_registros[CATEGORIA],reservavariáveisconsolidadofev[[#This Row],[ATUAL]])</f>
        <v>0</v>
      </c>
      <c r="T188" s="91">
        <f>SUMIFS(tabela_registros[VALOR],tabela_registros[MÊS],$AE$1,tabela_registros[DIA],reservavariáveisconsolidadofev[[#Headers],[16]],tabela_registros[REGISTRO],DADOS!$N$6,tabela_registros[TIPO],DADOS!$AJ$4,tabela_registros[CATEGORIA],reservavariáveisconsolidadofev[[#This Row],[ATUAL]])</f>
        <v>0</v>
      </c>
      <c r="U188" s="91">
        <f>SUMIFS(tabela_registros[VALOR],tabela_registros[MÊS],$AE$1,tabela_registros[DIA],reservavariáveisconsolidadofev[[#Headers],[17]],tabela_registros[REGISTRO],DADOS!$N$6,tabela_registros[TIPO],DADOS!$AJ$4,tabela_registros[CATEGORIA],reservavariáveisconsolidadofev[[#This Row],[ATUAL]])</f>
        <v>0</v>
      </c>
      <c r="V188" s="91">
        <f>SUMIFS(tabela_registros[VALOR],tabela_registros[MÊS],$AE$1,tabela_registros[DIA],reservavariáveisconsolidadofev[[#Headers],[18]],tabela_registros[REGISTRO],DADOS!$N$6,tabela_registros[TIPO],DADOS!$AJ$4,tabela_registros[CATEGORIA],reservavariáveisconsolidadofev[[#This Row],[ATUAL]])</f>
        <v>0</v>
      </c>
      <c r="W188" s="91">
        <f>SUMIFS(tabela_registros[VALOR],tabela_registros[MÊS],$AE$1,tabela_registros[DIA],reservavariáveisconsolidadofev[[#Headers],[19]],tabela_registros[REGISTRO],DADOS!$N$6,tabela_registros[TIPO],DADOS!$AJ$4,tabela_registros[CATEGORIA],reservavariáveisconsolidadofev[[#This Row],[ATUAL]])</f>
        <v>0</v>
      </c>
      <c r="X188" s="91">
        <f>SUMIFS(tabela_registros[VALOR],tabela_registros[MÊS],$AE$1,tabela_registros[DIA],reservavariáveisconsolidadofev[[#Headers],[20]],tabela_registros[REGISTRO],DADOS!$N$6,tabela_registros[TIPO],DADOS!$AJ$4,tabela_registros[CATEGORIA],reservavariáveisconsolidadofev[[#This Row],[ATUAL]])</f>
        <v>0</v>
      </c>
      <c r="Y188" s="91">
        <f>SUMIFS(tabela_registros[VALOR],tabela_registros[MÊS],$AE$1,tabela_registros[DIA],reservavariáveisconsolidadofev[[#Headers],[21]],tabela_registros[REGISTRO],DADOS!$N$6,tabela_registros[TIPO],DADOS!$AJ$4,tabela_registros[CATEGORIA],reservavariáveisconsolidadofev[[#This Row],[ATUAL]])</f>
        <v>0</v>
      </c>
      <c r="Z188" s="91">
        <f>SUMIFS(tabela_registros[VALOR],tabela_registros[MÊS],$AE$1,tabela_registros[DIA],reservavariáveisconsolidadofev[[#Headers],[22]],tabela_registros[REGISTRO],DADOS!$N$6,tabela_registros[TIPO],DADOS!$AJ$4,tabela_registros[CATEGORIA],reservavariáveisconsolidadofev[[#This Row],[ATUAL]])</f>
        <v>0</v>
      </c>
      <c r="AA188" s="91">
        <f>SUMIFS(tabela_registros[VALOR],tabela_registros[MÊS],$AE$1,tabela_registros[DIA],reservavariáveisconsolidadofev[[#Headers],[23]],tabela_registros[REGISTRO],DADOS!$N$6,tabela_registros[TIPO],DADOS!$AJ$4,tabela_registros[CATEGORIA],reservavariáveisconsolidadofev[[#This Row],[ATUAL]])</f>
        <v>0</v>
      </c>
      <c r="AB188" s="91">
        <f>SUMIFS(tabela_registros[VALOR],tabela_registros[MÊS],$AE$1,tabela_registros[DIA],reservavariáveisconsolidadofev[[#Headers],[24]],tabela_registros[REGISTRO],DADOS!$N$6,tabela_registros[TIPO],DADOS!$AJ$4,tabela_registros[CATEGORIA],reservavariáveisconsolidadofev[[#This Row],[ATUAL]])</f>
        <v>0</v>
      </c>
      <c r="AC188" s="91">
        <f>SUMIFS(tabela_registros[VALOR],tabela_registros[MÊS],$AE$1,tabela_registros[DIA],reservavariáveisconsolidadofev[[#Headers],[25]],tabela_registros[REGISTRO],DADOS!$N$6,tabela_registros[TIPO],DADOS!$AJ$4,tabela_registros[CATEGORIA],reservavariáveisconsolidadofev[[#This Row],[ATUAL]])</f>
        <v>0</v>
      </c>
      <c r="AD188" s="91">
        <f>SUMIFS(tabela_registros[VALOR],tabela_registros[MÊS],$AE$1,tabela_registros[DIA],reservavariáveisconsolidadofev[[#Headers],[26]],tabela_registros[REGISTRO],DADOS!$N$6,tabela_registros[TIPO],DADOS!$AJ$4,tabela_registros[CATEGORIA],reservavariáveisconsolidadofev[[#This Row],[ATUAL]])</f>
        <v>0</v>
      </c>
      <c r="AE188" s="91">
        <f>SUMIFS(tabela_registros[VALOR],tabela_registros[MÊS],$AE$1,tabela_registros[DIA],reservavariáveisconsolidadofev[[#Headers],[27]],tabela_registros[REGISTRO],DADOS!$N$6,tabela_registros[TIPO],DADOS!$AJ$4,tabela_registros[CATEGORIA],reservavariáveisconsolidadofev[[#This Row],[ATUAL]])</f>
        <v>0</v>
      </c>
      <c r="AF188" s="91">
        <f>SUMIFS(tabela_registros[VALOR],tabela_registros[MÊS],$AE$1,tabela_registros[DIA],reservavariáveisconsolidadofev[[#Headers],[28]],tabela_registros[REGISTRO],DADOS!$N$6,tabela_registros[TIPO],DADOS!$AJ$4,tabela_registros[CATEGORIA],reservavariáveisconsolidadofev[[#This Row],[ATUAL]])</f>
        <v>0</v>
      </c>
      <c r="AG188" s="91">
        <f>SUMIFS(tabela_registros[VALOR],tabela_registros[MÊS],$AE$1,tabela_registros[DIA],reservavariáveisconsolidadofev[[#Headers],[29]],tabela_registros[REGISTRO],DADOS!$N$6,tabela_registros[TIPO],DADOS!$AJ$4,tabela_registros[CATEGORIA],reservavariáveisconsolidadofev[[#This Row],[ATUAL]])</f>
        <v>0</v>
      </c>
      <c r="AH188" s="91">
        <f>SUMIFS(tabela_registros[VALOR],tabela_registros[MÊS],$AE$1,tabela_registros[DIA],reservavariáveisconsolidadofev[[#Headers],[30]],tabela_registros[REGISTRO],DADOS!$N$6,tabela_registros[TIPO],DADOS!$AJ$4,tabela_registros[CATEGORIA],reservavariáveisconsolidadofev[[#This Row],[ATUAL]])</f>
        <v>0</v>
      </c>
      <c r="AI188" s="101">
        <f>SUMIFS(tabela_registros[VALOR],tabela_registros[MÊS],$AE$1,tabela_registros[DIA],reservavariáveisconsolidadofev[[#Headers],[31]],tabela_registros[REGISTRO],DADOS!$N$6,tabela_registros[TIPO],DADOS!$AJ$4,tabela_registros[CATEGORIA],reservavariáveisconsolidadofev[[#This Row],[ATUAL]])</f>
        <v>0</v>
      </c>
      <c r="AJ188" s="97">
        <f>SUM(reservavariáveisconsolidadofev[[#This Row],[1]:[31]])</f>
        <v>0</v>
      </c>
      <c r="AK188" s="25"/>
    </row>
    <row r="189" spans="2:37" ht="19.5" customHeight="1" thickTop="1" thickBot="1" x14ac:dyDescent="0.3">
      <c r="B189" s="28"/>
      <c r="C189" s="27" t="str">
        <f>DADOS!$AN$5</f>
        <v>📝 CONTRATO DE FUTUROS</v>
      </c>
      <c r="D189" s="26" t="str">
        <f>IF(reservavariáveisconsolidadofev[[#This Row],[TOTAL (R$)]]=0,"",IF(OR(reservavariáveisconsolidadofev[[#This Row],[TOTAL (R$)]]=LARGE($AJ$187:$AJ$196,1),reservavariáveisconsolidadofev[[#This Row],[TOTAL (R$)]]=LARGE($AJ$187:$AJ$196,2)),DADOS!$I$11,""))</f>
        <v/>
      </c>
      <c r="E189" s="96">
        <f>SUMIFS(tabela_registros[VALOR],tabela_registros[MÊS],$AE$1,tabela_registros[DIA],reservavariáveisconsolidadofev[[#Headers],[1]],tabela_registros[REGISTRO],DADOS!$N$6,tabela_registros[TIPO],DADOS!$AJ$4,tabela_registros[CATEGORIA],reservavariáveisconsolidadofev[[#This Row],[ATUAL]])</f>
        <v>0</v>
      </c>
      <c r="F189" s="91">
        <f>SUMIFS(tabela_registros[VALOR],tabela_registros[MÊS],$AE$1,tabela_registros[DIA],reservavariáveisconsolidadofev[[#Headers],[2]],tabela_registros[REGISTRO],DADOS!$N$6,tabela_registros[TIPO],DADOS!$AJ$4,tabela_registros[CATEGORIA],reservavariáveisconsolidadofev[[#This Row],[ATUAL]])</f>
        <v>0</v>
      </c>
      <c r="G189" s="91">
        <f>SUMIFS(tabela_registros[VALOR],tabela_registros[MÊS],$AE$1,tabela_registros[DIA],reservavariáveisconsolidadofev[[#Headers],[3]],tabela_registros[REGISTRO],DADOS!$N$6,tabela_registros[TIPO],DADOS!$AJ$4,tabela_registros[CATEGORIA],reservavariáveisconsolidadofev[[#This Row],[ATUAL]])</f>
        <v>0</v>
      </c>
      <c r="H189" s="91">
        <f>SUMIFS(tabela_registros[VALOR],tabela_registros[MÊS],$AE$1,tabela_registros[DIA],reservavariáveisconsolidadofev[[#Headers],[4]],tabela_registros[REGISTRO],DADOS!$N$6,tabela_registros[TIPO],DADOS!$AJ$4,tabela_registros[CATEGORIA],reservavariáveisconsolidadofev[[#This Row],[ATUAL]])</f>
        <v>0</v>
      </c>
      <c r="I189" s="91">
        <f>SUMIFS(tabela_registros[VALOR],tabela_registros[MÊS],$AE$1,tabela_registros[DIA],reservavariáveisconsolidadofev[[#Headers],[5]],tabela_registros[REGISTRO],DADOS!$N$6,tabela_registros[TIPO],DADOS!$AJ$4,tabela_registros[CATEGORIA],reservavariáveisconsolidadofev[[#This Row],[ATUAL]])</f>
        <v>0</v>
      </c>
      <c r="J189" s="91">
        <f>SUMIFS(tabela_registros[VALOR],tabela_registros[MÊS],$AE$1,tabela_registros[DIA],reservavariáveisconsolidadofev[[#Headers],[6]],tabela_registros[REGISTRO],DADOS!$N$6,tabela_registros[TIPO],DADOS!$AJ$4,tabela_registros[CATEGORIA],reservavariáveisconsolidadofev[[#This Row],[ATUAL]])</f>
        <v>0</v>
      </c>
      <c r="K189" s="91">
        <f>SUMIFS(tabela_registros[VALOR],tabela_registros[MÊS],$AE$1,tabela_registros[DIA],reservavariáveisconsolidadofev[[#Headers],[7]],tabela_registros[REGISTRO],DADOS!$N$6,tabela_registros[TIPO],DADOS!$AJ$4,tabela_registros[CATEGORIA],reservavariáveisconsolidadofev[[#This Row],[ATUAL]])</f>
        <v>0</v>
      </c>
      <c r="L189" s="91">
        <f>SUMIFS(tabela_registros[VALOR],tabela_registros[MÊS],$AE$1,tabela_registros[DIA],reservavariáveisconsolidadofev[[#Headers],[8]],tabela_registros[REGISTRO],DADOS!$N$6,tabela_registros[TIPO],DADOS!$AJ$4,tabela_registros[CATEGORIA],reservavariáveisconsolidadofev[[#This Row],[ATUAL]])</f>
        <v>0</v>
      </c>
      <c r="M189" s="91">
        <f>SUMIFS(tabela_registros[VALOR],tabela_registros[MÊS],$AE$1,tabela_registros[DIA],reservavariáveisconsolidadofev[[#Headers],[9]],tabela_registros[REGISTRO],DADOS!$N$6,tabela_registros[TIPO],DADOS!$AJ$4,tabela_registros[CATEGORIA],reservavariáveisconsolidadofev[[#This Row],[ATUAL]])</f>
        <v>0</v>
      </c>
      <c r="N189" s="91">
        <f>SUMIFS(tabela_registros[VALOR],tabela_registros[MÊS],$AE$1,tabela_registros[DIA],reservavariáveisconsolidadofev[[#Headers],[10]],tabela_registros[REGISTRO],DADOS!$N$6,tabela_registros[TIPO],DADOS!$AJ$4,tabela_registros[CATEGORIA],reservavariáveisconsolidadofev[[#This Row],[ATUAL]])</f>
        <v>0</v>
      </c>
      <c r="O189" s="91">
        <f>SUMIFS(tabela_registros[VALOR],tabela_registros[MÊS],$AE$1,tabela_registros[DIA],reservavariáveisconsolidadofev[[#Headers],[11]],tabela_registros[REGISTRO],DADOS!$N$6,tabela_registros[TIPO],DADOS!$AJ$4,tabela_registros[CATEGORIA],reservavariáveisconsolidadofev[[#This Row],[ATUAL]])</f>
        <v>0</v>
      </c>
      <c r="P189" s="91">
        <f>SUMIFS(tabela_registros[VALOR],tabela_registros[MÊS],$AE$1,tabela_registros[DIA],reservavariáveisconsolidadofev[[#Headers],[12]],tabela_registros[REGISTRO],DADOS!$N$6,tabela_registros[TIPO],DADOS!$AJ$4,tabela_registros[CATEGORIA],reservavariáveisconsolidadofev[[#This Row],[ATUAL]])</f>
        <v>0</v>
      </c>
      <c r="Q189" s="91">
        <f>SUMIFS(tabela_registros[VALOR],tabela_registros[MÊS],$AE$1,tabela_registros[DIA],reservavariáveisconsolidadofev[[#Headers],[13]],tabela_registros[REGISTRO],DADOS!$N$6,tabela_registros[TIPO],DADOS!$AJ$4,tabela_registros[CATEGORIA],reservavariáveisconsolidadofev[[#This Row],[ATUAL]])</f>
        <v>0</v>
      </c>
      <c r="R189" s="91">
        <f>SUMIFS(tabela_registros[VALOR],tabela_registros[MÊS],$AE$1,tabela_registros[DIA],reservavariáveisconsolidadofev[[#Headers],[14]],tabela_registros[REGISTRO],DADOS!$N$6,tabela_registros[TIPO],DADOS!$AJ$4,tabela_registros[CATEGORIA],reservavariáveisconsolidadofev[[#This Row],[ATUAL]])</f>
        <v>0</v>
      </c>
      <c r="S189" s="91">
        <f>SUMIFS(tabela_registros[VALOR],tabela_registros[MÊS],$AE$1,tabela_registros[DIA],reservavariáveisconsolidadofev[[#Headers],[15]],tabela_registros[REGISTRO],DADOS!$N$6,tabela_registros[TIPO],DADOS!$AJ$4,tabela_registros[CATEGORIA],reservavariáveisconsolidadofev[[#This Row],[ATUAL]])</f>
        <v>0</v>
      </c>
      <c r="T189" s="91">
        <f>SUMIFS(tabela_registros[VALOR],tabela_registros[MÊS],$AE$1,tabela_registros[DIA],reservavariáveisconsolidadofev[[#Headers],[16]],tabela_registros[REGISTRO],DADOS!$N$6,tabela_registros[TIPO],DADOS!$AJ$4,tabela_registros[CATEGORIA],reservavariáveisconsolidadofev[[#This Row],[ATUAL]])</f>
        <v>0</v>
      </c>
      <c r="U189" s="91">
        <f>SUMIFS(tabela_registros[VALOR],tabela_registros[MÊS],$AE$1,tabela_registros[DIA],reservavariáveisconsolidadofev[[#Headers],[17]],tabela_registros[REGISTRO],DADOS!$N$6,tabela_registros[TIPO],DADOS!$AJ$4,tabela_registros[CATEGORIA],reservavariáveisconsolidadofev[[#This Row],[ATUAL]])</f>
        <v>0</v>
      </c>
      <c r="V189" s="91">
        <f>SUMIFS(tabela_registros[VALOR],tabela_registros[MÊS],$AE$1,tabela_registros[DIA],reservavariáveisconsolidadofev[[#Headers],[18]],tabela_registros[REGISTRO],DADOS!$N$6,tabela_registros[TIPO],DADOS!$AJ$4,tabela_registros[CATEGORIA],reservavariáveisconsolidadofev[[#This Row],[ATUAL]])</f>
        <v>0</v>
      </c>
      <c r="W189" s="91">
        <f>SUMIFS(tabela_registros[VALOR],tabela_registros[MÊS],$AE$1,tabela_registros[DIA],reservavariáveisconsolidadofev[[#Headers],[19]],tabela_registros[REGISTRO],DADOS!$N$6,tabela_registros[TIPO],DADOS!$AJ$4,tabela_registros[CATEGORIA],reservavariáveisconsolidadofev[[#This Row],[ATUAL]])</f>
        <v>0</v>
      </c>
      <c r="X189" s="91">
        <f>SUMIFS(tabela_registros[VALOR],tabela_registros[MÊS],$AE$1,tabela_registros[DIA],reservavariáveisconsolidadofev[[#Headers],[20]],tabela_registros[REGISTRO],DADOS!$N$6,tabela_registros[TIPO],DADOS!$AJ$4,tabela_registros[CATEGORIA],reservavariáveisconsolidadofev[[#This Row],[ATUAL]])</f>
        <v>0</v>
      </c>
      <c r="Y189" s="91">
        <f>SUMIFS(tabela_registros[VALOR],tabela_registros[MÊS],$AE$1,tabela_registros[DIA],reservavariáveisconsolidadofev[[#Headers],[21]],tabela_registros[REGISTRO],DADOS!$N$6,tabela_registros[TIPO],DADOS!$AJ$4,tabela_registros[CATEGORIA],reservavariáveisconsolidadofev[[#This Row],[ATUAL]])</f>
        <v>0</v>
      </c>
      <c r="Z189" s="91">
        <f>SUMIFS(tabela_registros[VALOR],tabela_registros[MÊS],$AE$1,tabela_registros[DIA],reservavariáveisconsolidadofev[[#Headers],[22]],tabela_registros[REGISTRO],DADOS!$N$6,tabela_registros[TIPO],DADOS!$AJ$4,tabela_registros[CATEGORIA],reservavariáveisconsolidadofev[[#This Row],[ATUAL]])</f>
        <v>0</v>
      </c>
      <c r="AA189" s="91">
        <f>SUMIFS(tabela_registros[VALOR],tabela_registros[MÊS],$AE$1,tabela_registros[DIA],reservavariáveisconsolidadofev[[#Headers],[23]],tabela_registros[REGISTRO],DADOS!$N$6,tabela_registros[TIPO],DADOS!$AJ$4,tabela_registros[CATEGORIA],reservavariáveisconsolidadofev[[#This Row],[ATUAL]])</f>
        <v>0</v>
      </c>
      <c r="AB189" s="91">
        <f>SUMIFS(tabela_registros[VALOR],tabela_registros[MÊS],$AE$1,tabela_registros[DIA],reservavariáveisconsolidadofev[[#Headers],[24]],tabela_registros[REGISTRO],DADOS!$N$6,tabela_registros[TIPO],DADOS!$AJ$4,tabela_registros[CATEGORIA],reservavariáveisconsolidadofev[[#This Row],[ATUAL]])</f>
        <v>0</v>
      </c>
      <c r="AC189" s="91">
        <f>SUMIFS(tabela_registros[VALOR],tabela_registros[MÊS],$AE$1,tabela_registros[DIA],reservavariáveisconsolidadofev[[#Headers],[25]],tabela_registros[REGISTRO],DADOS!$N$6,tabela_registros[TIPO],DADOS!$AJ$4,tabela_registros[CATEGORIA],reservavariáveisconsolidadofev[[#This Row],[ATUAL]])</f>
        <v>0</v>
      </c>
      <c r="AD189" s="91">
        <f>SUMIFS(tabela_registros[VALOR],tabela_registros[MÊS],$AE$1,tabela_registros[DIA],reservavariáveisconsolidadofev[[#Headers],[26]],tabela_registros[REGISTRO],DADOS!$N$6,tabela_registros[TIPO],DADOS!$AJ$4,tabela_registros[CATEGORIA],reservavariáveisconsolidadofev[[#This Row],[ATUAL]])</f>
        <v>0</v>
      </c>
      <c r="AE189" s="91">
        <f>SUMIFS(tabela_registros[VALOR],tabela_registros[MÊS],$AE$1,tabela_registros[DIA],reservavariáveisconsolidadofev[[#Headers],[27]],tabela_registros[REGISTRO],DADOS!$N$6,tabela_registros[TIPO],DADOS!$AJ$4,tabela_registros[CATEGORIA],reservavariáveisconsolidadofev[[#This Row],[ATUAL]])</f>
        <v>0</v>
      </c>
      <c r="AF189" s="91">
        <f>SUMIFS(tabela_registros[VALOR],tabela_registros[MÊS],$AE$1,tabela_registros[DIA],reservavariáveisconsolidadofev[[#Headers],[28]],tabela_registros[REGISTRO],DADOS!$N$6,tabela_registros[TIPO],DADOS!$AJ$4,tabela_registros[CATEGORIA],reservavariáveisconsolidadofev[[#This Row],[ATUAL]])</f>
        <v>0</v>
      </c>
      <c r="AG189" s="91">
        <f>SUMIFS(tabela_registros[VALOR],tabela_registros[MÊS],$AE$1,tabela_registros[DIA],reservavariáveisconsolidadofev[[#Headers],[29]],tabela_registros[REGISTRO],DADOS!$N$6,tabela_registros[TIPO],DADOS!$AJ$4,tabela_registros[CATEGORIA],reservavariáveisconsolidadofev[[#This Row],[ATUAL]])</f>
        <v>0</v>
      </c>
      <c r="AH189" s="91">
        <f>SUMIFS(tabela_registros[VALOR],tabela_registros[MÊS],$AE$1,tabela_registros[DIA],reservavariáveisconsolidadofev[[#Headers],[30]],tabela_registros[REGISTRO],DADOS!$N$6,tabela_registros[TIPO],DADOS!$AJ$4,tabela_registros[CATEGORIA],reservavariáveisconsolidadofev[[#This Row],[ATUAL]])</f>
        <v>0</v>
      </c>
      <c r="AI189" s="101">
        <f>SUMIFS(tabela_registros[VALOR],tabela_registros[MÊS],$AE$1,tabela_registros[DIA],reservavariáveisconsolidadofev[[#Headers],[31]],tabela_registros[REGISTRO],DADOS!$N$6,tabela_registros[TIPO],DADOS!$AJ$4,tabela_registros[CATEGORIA],reservavariáveisconsolidadofev[[#This Row],[ATUAL]])</f>
        <v>0</v>
      </c>
      <c r="AJ189" s="97">
        <f>SUM(reservavariáveisconsolidadofev[[#This Row],[1]:[31]])</f>
        <v>0</v>
      </c>
      <c r="AK189" s="25"/>
    </row>
    <row r="190" spans="2:37" ht="19.5" customHeight="1" thickTop="1" thickBot="1" x14ac:dyDescent="0.3">
      <c r="B190" s="28"/>
      <c r="C190" s="27" t="str">
        <f>DADOS!$AN$6</f>
        <v>📝 CONTRATO DE OPÇÕES</v>
      </c>
      <c r="D190" s="26" t="str">
        <f>IF(reservavariáveisconsolidadofev[[#This Row],[TOTAL (R$)]]=0,"",IF(OR(reservavariáveisconsolidadofev[[#This Row],[TOTAL (R$)]]=LARGE($AJ$187:$AJ$196,1),reservavariáveisconsolidadofev[[#This Row],[TOTAL (R$)]]=LARGE($AJ$187:$AJ$196,2)),DADOS!$I$11,""))</f>
        <v/>
      </c>
      <c r="E190" s="96">
        <f>SUMIFS(tabela_registros[VALOR],tabela_registros[MÊS],$AE$1,tabela_registros[DIA],reservavariáveisconsolidadofev[[#Headers],[1]],tabela_registros[REGISTRO],DADOS!$N$6,tabela_registros[TIPO],DADOS!$AJ$4,tabela_registros[CATEGORIA],reservavariáveisconsolidadofev[[#This Row],[ATUAL]])</f>
        <v>0</v>
      </c>
      <c r="F190" s="91">
        <f>SUMIFS(tabela_registros[VALOR],tabela_registros[MÊS],$AE$1,tabela_registros[DIA],reservavariáveisconsolidadofev[[#Headers],[2]],tabela_registros[REGISTRO],DADOS!$N$6,tabela_registros[TIPO],DADOS!$AJ$4,tabela_registros[CATEGORIA],reservavariáveisconsolidadofev[[#This Row],[ATUAL]])</f>
        <v>0</v>
      </c>
      <c r="G190" s="91">
        <f>SUMIFS(tabela_registros[VALOR],tabela_registros[MÊS],$AE$1,tabela_registros[DIA],reservavariáveisconsolidadofev[[#Headers],[3]],tabela_registros[REGISTRO],DADOS!$N$6,tabela_registros[TIPO],DADOS!$AJ$4,tabela_registros[CATEGORIA],reservavariáveisconsolidadofev[[#This Row],[ATUAL]])</f>
        <v>0</v>
      </c>
      <c r="H190" s="91">
        <f>SUMIFS(tabela_registros[VALOR],tabela_registros[MÊS],$AE$1,tabela_registros[DIA],reservavariáveisconsolidadofev[[#Headers],[4]],tabela_registros[REGISTRO],DADOS!$N$6,tabela_registros[TIPO],DADOS!$AJ$4,tabela_registros[CATEGORIA],reservavariáveisconsolidadofev[[#This Row],[ATUAL]])</f>
        <v>0</v>
      </c>
      <c r="I190" s="91">
        <f>SUMIFS(tabela_registros[VALOR],tabela_registros[MÊS],$AE$1,tabela_registros[DIA],reservavariáveisconsolidadofev[[#Headers],[5]],tabela_registros[REGISTRO],DADOS!$N$6,tabela_registros[TIPO],DADOS!$AJ$4,tabela_registros[CATEGORIA],reservavariáveisconsolidadofev[[#This Row],[ATUAL]])</f>
        <v>0</v>
      </c>
      <c r="J190" s="91">
        <f>SUMIFS(tabela_registros[VALOR],tabela_registros[MÊS],$AE$1,tabela_registros[DIA],reservavariáveisconsolidadofev[[#Headers],[6]],tabela_registros[REGISTRO],DADOS!$N$6,tabela_registros[TIPO],DADOS!$AJ$4,tabela_registros[CATEGORIA],reservavariáveisconsolidadofev[[#This Row],[ATUAL]])</f>
        <v>0</v>
      </c>
      <c r="K190" s="91">
        <f>SUMIFS(tabela_registros[VALOR],tabela_registros[MÊS],$AE$1,tabela_registros[DIA],reservavariáveisconsolidadofev[[#Headers],[7]],tabela_registros[REGISTRO],DADOS!$N$6,tabela_registros[TIPO],DADOS!$AJ$4,tabela_registros[CATEGORIA],reservavariáveisconsolidadofev[[#This Row],[ATUAL]])</f>
        <v>0</v>
      </c>
      <c r="L190" s="91">
        <f>SUMIFS(tabela_registros[VALOR],tabela_registros[MÊS],$AE$1,tabela_registros[DIA],reservavariáveisconsolidadofev[[#Headers],[8]],tabela_registros[REGISTRO],DADOS!$N$6,tabela_registros[TIPO],DADOS!$AJ$4,tabela_registros[CATEGORIA],reservavariáveisconsolidadofev[[#This Row],[ATUAL]])</f>
        <v>0</v>
      </c>
      <c r="M190" s="91">
        <f>SUMIFS(tabela_registros[VALOR],tabela_registros[MÊS],$AE$1,tabela_registros[DIA],reservavariáveisconsolidadofev[[#Headers],[9]],tabela_registros[REGISTRO],DADOS!$N$6,tabela_registros[TIPO],DADOS!$AJ$4,tabela_registros[CATEGORIA],reservavariáveisconsolidadofev[[#This Row],[ATUAL]])</f>
        <v>0</v>
      </c>
      <c r="N190" s="91">
        <f>SUMIFS(tabela_registros[VALOR],tabela_registros[MÊS],$AE$1,tabela_registros[DIA],reservavariáveisconsolidadofev[[#Headers],[10]],tabela_registros[REGISTRO],DADOS!$N$6,tabela_registros[TIPO],DADOS!$AJ$4,tabela_registros[CATEGORIA],reservavariáveisconsolidadofev[[#This Row],[ATUAL]])</f>
        <v>0</v>
      </c>
      <c r="O190" s="91">
        <f>SUMIFS(tabela_registros[VALOR],tabela_registros[MÊS],$AE$1,tabela_registros[DIA],reservavariáveisconsolidadofev[[#Headers],[11]],tabela_registros[REGISTRO],DADOS!$N$6,tabela_registros[TIPO],DADOS!$AJ$4,tabela_registros[CATEGORIA],reservavariáveisconsolidadofev[[#This Row],[ATUAL]])</f>
        <v>0</v>
      </c>
      <c r="P190" s="91">
        <f>SUMIFS(tabela_registros[VALOR],tabela_registros[MÊS],$AE$1,tabela_registros[DIA],reservavariáveisconsolidadofev[[#Headers],[12]],tabela_registros[REGISTRO],DADOS!$N$6,tabela_registros[TIPO],DADOS!$AJ$4,tabela_registros[CATEGORIA],reservavariáveisconsolidadofev[[#This Row],[ATUAL]])</f>
        <v>0</v>
      </c>
      <c r="Q190" s="91">
        <f>SUMIFS(tabela_registros[VALOR],tabela_registros[MÊS],$AE$1,tabela_registros[DIA],reservavariáveisconsolidadofev[[#Headers],[13]],tabela_registros[REGISTRO],DADOS!$N$6,tabela_registros[TIPO],DADOS!$AJ$4,tabela_registros[CATEGORIA],reservavariáveisconsolidadofev[[#This Row],[ATUAL]])</f>
        <v>0</v>
      </c>
      <c r="R190" s="91">
        <f>SUMIFS(tabela_registros[VALOR],tabela_registros[MÊS],$AE$1,tabela_registros[DIA],reservavariáveisconsolidadofev[[#Headers],[14]],tabela_registros[REGISTRO],DADOS!$N$6,tabela_registros[TIPO],DADOS!$AJ$4,tabela_registros[CATEGORIA],reservavariáveisconsolidadofev[[#This Row],[ATUAL]])</f>
        <v>0</v>
      </c>
      <c r="S190" s="91">
        <f>SUMIFS(tabela_registros[VALOR],tabela_registros[MÊS],$AE$1,tabela_registros[DIA],reservavariáveisconsolidadofev[[#Headers],[15]],tabela_registros[REGISTRO],DADOS!$N$6,tabela_registros[TIPO],DADOS!$AJ$4,tabela_registros[CATEGORIA],reservavariáveisconsolidadofev[[#This Row],[ATUAL]])</f>
        <v>0</v>
      </c>
      <c r="T190" s="91">
        <f>SUMIFS(tabela_registros[VALOR],tabela_registros[MÊS],$AE$1,tabela_registros[DIA],reservavariáveisconsolidadofev[[#Headers],[16]],tabela_registros[REGISTRO],DADOS!$N$6,tabela_registros[TIPO],DADOS!$AJ$4,tabela_registros[CATEGORIA],reservavariáveisconsolidadofev[[#This Row],[ATUAL]])</f>
        <v>0</v>
      </c>
      <c r="U190" s="91">
        <f>SUMIFS(tabela_registros[VALOR],tabela_registros[MÊS],$AE$1,tabela_registros[DIA],reservavariáveisconsolidadofev[[#Headers],[17]],tabela_registros[REGISTRO],DADOS!$N$6,tabela_registros[TIPO],DADOS!$AJ$4,tabela_registros[CATEGORIA],reservavariáveisconsolidadofev[[#This Row],[ATUAL]])</f>
        <v>0</v>
      </c>
      <c r="V190" s="91">
        <f>SUMIFS(tabela_registros[VALOR],tabela_registros[MÊS],$AE$1,tabela_registros[DIA],reservavariáveisconsolidadofev[[#Headers],[18]],tabela_registros[REGISTRO],DADOS!$N$6,tabela_registros[TIPO],DADOS!$AJ$4,tabela_registros[CATEGORIA],reservavariáveisconsolidadofev[[#This Row],[ATUAL]])</f>
        <v>0</v>
      </c>
      <c r="W190" s="91">
        <f>SUMIFS(tabela_registros[VALOR],tabela_registros[MÊS],$AE$1,tabela_registros[DIA],reservavariáveisconsolidadofev[[#Headers],[19]],tabela_registros[REGISTRO],DADOS!$N$6,tabela_registros[TIPO],DADOS!$AJ$4,tabela_registros[CATEGORIA],reservavariáveisconsolidadofev[[#This Row],[ATUAL]])</f>
        <v>0</v>
      </c>
      <c r="X190" s="91">
        <f>SUMIFS(tabela_registros[VALOR],tabela_registros[MÊS],$AE$1,tabela_registros[DIA],reservavariáveisconsolidadofev[[#Headers],[20]],tabela_registros[REGISTRO],DADOS!$N$6,tabela_registros[TIPO],DADOS!$AJ$4,tabela_registros[CATEGORIA],reservavariáveisconsolidadofev[[#This Row],[ATUAL]])</f>
        <v>0</v>
      </c>
      <c r="Y190" s="91">
        <f>SUMIFS(tabela_registros[VALOR],tabela_registros[MÊS],$AE$1,tabela_registros[DIA],reservavariáveisconsolidadofev[[#Headers],[21]],tabela_registros[REGISTRO],DADOS!$N$6,tabela_registros[TIPO],DADOS!$AJ$4,tabela_registros[CATEGORIA],reservavariáveisconsolidadofev[[#This Row],[ATUAL]])</f>
        <v>0</v>
      </c>
      <c r="Z190" s="91">
        <f>SUMIFS(tabela_registros[VALOR],tabela_registros[MÊS],$AE$1,tabela_registros[DIA],reservavariáveisconsolidadofev[[#Headers],[22]],tabela_registros[REGISTRO],DADOS!$N$6,tabela_registros[TIPO],DADOS!$AJ$4,tabela_registros[CATEGORIA],reservavariáveisconsolidadofev[[#This Row],[ATUAL]])</f>
        <v>0</v>
      </c>
      <c r="AA190" s="91">
        <f>SUMIFS(tabela_registros[VALOR],tabela_registros[MÊS],$AE$1,tabela_registros[DIA],reservavariáveisconsolidadofev[[#Headers],[23]],tabela_registros[REGISTRO],DADOS!$N$6,tabela_registros[TIPO],DADOS!$AJ$4,tabela_registros[CATEGORIA],reservavariáveisconsolidadofev[[#This Row],[ATUAL]])</f>
        <v>0</v>
      </c>
      <c r="AB190" s="91">
        <f>SUMIFS(tabela_registros[VALOR],tabela_registros[MÊS],$AE$1,tabela_registros[DIA],reservavariáveisconsolidadofev[[#Headers],[24]],tabela_registros[REGISTRO],DADOS!$N$6,tabela_registros[TIPO],DADOS!$AJ$4,tabela_registros[CATEGORIA],reservavariáveisconsolidadofev[[#This Row],[ATUAL]])</f>
        <v>0</v>
      </c>
      <c r="AC190" s="91">
        <f>SUMIFS(tabela_registros[VALOR],tabela_registros[MÊS],$AE$1,tabela_registros[DIA],reservavariáveisconsolidadofev[[#Headers],[25]],tabela_registros[REGISTRO],DADOS!$N$6,tabela_registros[TIPO],DADOS!$AJ$4,tabela_registros[CATEGORIA],reservavariáveisconsolidadofev[[#This Row],[ATUAL]])</f>
        <v>0</v>
      </c>
      <c r="AD190" s="91">
        <f>SUMIFS(tabela_registros[VALOR],tabela_registros[MÊS],$AE$1,tabela_registros[DIA],reservavariáveisconsolidadofev[[#Headers],[26]],tabela_registros[REGISTRO],DADOS!$N$6,tabela_registros[TIPO],DADOS!$AJ$4,tabela_registros[CATEGORIA],reservavariáveisconsolidadofev[[#This Row],[ATUAL]])</f>
        <v>0</v>
      </c>
      <c r="AE190" s="91">
        <f>SUMIFS(tabela_registros[VALOR],tabela_registros[MÊS],$AE$1,tabela_registros[DIA],reservavariáveisconsolidadofev[[#Headers],[27]],tabela_registros[REGISTRO],DADOS!$N$6,tabela_registros[TIPO],DADOS!$AJ$4,tabela_registros[CATEGORIA],reservavariáveisconsolidadofev[[#This Row],[ATUAL]])</f>
        <v>0</v>
      </c>
      <c r="AF190" s="91">
        <f>SUMIFS(tabela_registros[VALOR],tabela_registros[MÊS],$AE$1,tabela_registros[DIA],reservavariáveisconsolidadofev[[#Headers],[28]],tabela_registros[REGISTRO],DADOS!$N$6,tabela_registros[TIPO],DADOS!$AJ$4,tabela_registros[CATEGORIA],reservavariáveisconsolidadofev[[#This Row],[ATUAL]])</f>
        <v>0</v>
      </c>
      <c r="AG190" s="91">
        <f>SUMIFS(tabela_registros[VALOR],tabela_registros[MÊS],$AE$1,tabela_registros[DIA],reservavariáveisconsolidadofev[[#Headers],[29]],tabela_registros[REGISTRO],DADOS!$N$6,tabela_registros[TIPO],DADOS!$AJ$4,tabela_registros[CATEGORIA],reservavariáveisconsolidadofev[[#This Row],[ATUAL]])</f>
        <v>0</v>
      </c>
      <c r="AH190" s="91">
        <f>SUMIFS(tabela_registros[VALOR],tabela_registros[MÊS],$AE$1,tabela_registros[DIA],reservavariáveisconsolidadofev[[#Headers],[30]],tabela_registros[REGISTRO],DADOS!$N$6,tabela_registros[TIPO],DADOS!$AJ$4,tabela_registros[CATEGORIA],reservavariáveisconsolidadofev[[#This Row],[ATUAL]])</f>
        <v>0</v>
      </c>
      <c r="AI190" s="101">
        <f>SUMIFS(tabela_registros[VALOR],tabela_registros[MÊS],$AE$1,tabela_registros[DIA],reservavariáveisconsolidadofev[[#Headers],[31]],tabela_registros[REGISTRO],DADOS!$N$6,tabela_registros[TIPO],DADOS!$AJ$4,tabela_registros[CATEGORIA],reservavariáveisconsolidadofev[[#This Row],[ATUAL]])</f>
        <v>0</v>
      </c>
      <c r="AJ190" s="97">
        <f>SUM(reservavariáveisconsolidadofev[[#This Row],[1]:[31]])</f>
        <v>0</v>
      </c>
      <c r="AK190" s="25"/>
    </row>
    <row r="191" spans="2:37" ht="19.5" customHeight="1" thickTop="1" thickBot="1" x14ac:dyDescent="0.3">
      <c r="B191" s="28"/>
      <c r="C191" s="27" t="str">
        <f>DADOS!$AN$7</f>
        <v>📝 CRIPTOMOEDA</v>
      </c>
      <c r="D191" s="26" t="str">
        <f>IF(reservavariáveisconsolidadofev[[#This Row],[TOTAL (R$)]]=0,"",IF(OR(reservavariáveisconsolidadofev[[#This Row],[TOTAL (R$)]]=LARGE($AJ$187:$AJ$196,1),reservavariáveisconsolidadofev[[#This Row],[TOTAL (R$)]]=LARGE($AJ$187:$AJ$196,2)),DADOS!$I$11,""))</f>
        <v/>
      </c>
      <c r="E191" s="96">
        <f>SUMIFS(tabela_registros[VALOR],tabela_registros[MÊS],$AE$1,tabela_registros[DIA],reservavariáveisconsolidadofev[[#Headers],[1]],tabela_registros[REGISTRO],DADOS!$N$6,tabela_registros[TIPO],DADOS!$AJ$4,tabela_registros[CATEGORIA],reservavariáveisconsolidadofev[[#This Row],[ATUAL]])</f>
        <v>0</v>
      </c>
      <c r="F191" s="91">
        <f>SUMIFS(tabela_registros[VALOR],tabela_registros[MÊS],$AE$1,tabela_registros[DIA],reservavariáveisconsolidadofev[[#Headers],[2]],tabela_registros[REGISTRO],DADOS!$N$6,tabela_registros[TIPO],DADOS!$AJ$4,tabela_registros[CATEGORIA],reservavariáveisconsolidadofev[[#This Row],[ATUAL]])</f>
        <v>0</v>
      </c>
      <c r="G191" s="91">
        <f>SUMIFS(tabela_registros[VALOR],tabela_registros[MÊS],$AE$1,tabela_registros[DIA],reservavariáveisconsolidadofev[[#Headers],[3]],tabela_registros[REGISTRO],DADOS!$N$6,tabela_registros[TIPO],DADOS!$AJ$4,tabela_registros[CATEGORIA],reservavariáveisconsolidadofev[[#This Row],[ATUAL]])</f>
        <v>0</v>
      </c>
      <c r="H191" s="91">
        <f>SUMIFS(tabela_registros[VALOR],tabela_registros[MÊS],$AE$1,tabela_registros[DIA],reservavariáveisconsolidadofev[[#Headers],[4]],tabela_registros[REGISTRO],DADOS!$N$6,tabela_registros[TIPO],DADOS!$AJ$4,tabela_registros[CATEGORIA],reservavariáveisconsolidadofev[[#This Row],[ATUAL]])</f>
        <v>0</v>
      </c>
      <c r="I191" s="91">
        <f>SUMIFS(tabela_registros[VALOR],tabela_registros[MÊS],$AE$1,tabela_registros[DIA],reservavariáveisconsolidadofev[[#Headers],[5]],tabela_registros[REGISTRO],DADOS!$N$6,tabela_registros[TIPO],DADOS!$AJ$4,tabela_registros[CATEGORIA],reservavariáveisconsolidadofev[[#This Row],[ATUAL]])</f>
        <v>0</v>
      </c>
      <c r="J191" s="91">
        <f>SUMIFS(tabela_registros[VALOR],tabela_registros[MÊS],$AE$1,tabela_registros[DIA],reservavariáveisconsolidadofev[[#Headers],[6]],tabela_registros[REGISTRO],DADOS!$N$6,tabela_registros[TIPO],DADOS!$AJ$4,tabela_registros[CATEGORIA],reservavariáveisconsolidadofev[[#This Row],[ATUAL]])</f>
        <v>0</v>
      </c>
      <c r="K191" s="91">
        <f>SUMIFS(tabela_registros[VALOR],tabela_registros[MÊS],$AE$1,tabela_registros[DIA],reservavariáveisconsolidadofev[[#Headers],[7]],tabela_registros[REGISTRO],DADOS!$N$6,tabela_registros[TIPO],DADOS!$AJ$4,tabela_registros[CATEGORIA],reservavariáveisconsolidadofev[[#This Row],[ATUAL]])</f>
        <v>0</v>
      </c>
      <c r="L191" s="91">
        <f>SUMIFS(tabela_registros[VALOR],tabela_registros[MÊS],$AE$1,tabela_registros[DIA],reservavariáveisconsolidadofev[[#Headers],[8]],tabela_registros[REGISTRO],DADOS!$N$6,tabela_registros[TIPO],DADOS!$AJ$4,tabela_registros[CATEGORIA],reservavariáveisconsolidadofev[[#This Row],[ATUAL]])</f>
        <v>0</v>
      </c>
      <c r="M191" s="91">
        <f>SUMIFS(tabela_registros[VALOR],tabela_registros[MÊS],$AE$1,tabela_registros[DIA],reservavariáveisconsolidadofev[[#Headers],[9]],tabela_registros[REGISTRO],DADOS!$N$6,tabela_registros[TIPO],DADOS!$AJ$4,tabela_registros[CATEGORIA],reservavariáveisconsolidadofev[[#This Row],[ATUAL]])</f>
        <v>0</v>
      </c>
      <c r="N191" s="91">
        <f>SUMIFS(tabela_registros[VALOR],tabela_registros[MÊS],$AE$1,tabela_registros[DIA],reservavariáveisconsolidadofev[[#Headers],[10]],tabela_registros[REGISTRO],DADOS!$N$6,tabela_registros[TIPO],DADOS!$AJ$4,tabela_registros[CATEGORIA],reservavariáveisconsolidadofev[[#This Row],[ATUAL]])</f>
        <v>0</v>
      </c>
      <c r="O191" s="91">
        <f>SUMIFS(tabela_registros[VALOR],tabela_registros[MÊS],$AE$1,tabela_registros[DIA],reservavariáveisconsolidadofev[[#Headers],[11]],tabela_registros[REGISTRO],DADOS!$N$6,tabela_registros[TIPO],DADOS!$AJ$4,tabela_registros[CATEGORIA],reservavariáveisconsolidadofev[[#This Row],[ATUAL]])</f>
        <v>0</v>
      </c>
      <c r="P191" s="91">
        <f>SUMIFS(tabela_registros[VALOR],tabela_registros[MÊS],$AE$1,tabela_registros[DIA],reservavariáveisconsolidadofev[[#Headers],[12]],tabela_registros[REGISTRO],DADOS!$N$6,tabela_registros[TIPO],DADOS!$AJ$4,tabela_registros[CATEGORIA],reservavariáveisconsolidadofev[[#This Row],[ATUAL]])</f>
        <v>0</v>
      </c>
      <c r="Q191" s="91">
        <f>SUMIFS(tabela_registros[VALOR],tabela_registros[MÊS],$AE$1,tabela_registros[DIA],reservavariáveisconsolidadofev[[#Headers],[13]],tabela_registros[REGISTRO],DADOS!$N$6,tabela_registros[TIPO],DADOS!$AJ$4,tabela_registros[CATEGORIA],reservavariáveisconsolidadofev[[#This Row],[ATUAL]])</f>
        <v>0</v>
      </c>
      <c r="R191" s="91">
        <f>SUMIFS(tabela_registros[VALOR],tabela_registros[MÊS],$AE$1,tabela_registros[DIA],reservavariáveisconsolidadofev[[#Headers],[14]],tabela_registros[REGISTRO],DADOS!$N$6,tabela_registros[TIPO],DADOS!$AJ$4,tabela_registros[CATEGORIA],reservavariáveisconsolidadofev[[#This Row],[ATUAL]])</f>
        <v>0</v>
      </c>
      <c r="S191" s="91">
        <f>SUMIFS(tabela_registros[VALOR],tabela_registros[MÊS],$AE$1,tabela_registros[DIA],reservavariáveisconsolidadofev[[#Headers],[15]],tabela_registros[REGISTRO],DADOS!$N$6,tabela_registros[TIPO],DADOS!$AJ$4,tabela_registros[CATEGORIA],reservavariáveisconsolidadofev[[#This Row],[ATUAL]])</f>
        <v>0</v>
      </c>
      <c r="T191" s="91">
        <f>SUMIFS(tabela_registros[VALOR],tabela_registros[MÊS],$AE$1,tabela_registros[DIA],reservavariáveisconsolidadofev[[#Headers],[16]],tabela_registros[REGISTRO],DADOS!$N$6,tabela_registros[TIPO],DADOS!$AJ$4,tabela_registros[CATEGORIA],reservavariáveisconsolidadofev[[#This Row],[ATUAL]])</f>
        <v>0</v>
      </c>
      <c r="U191" s="91">
        <f>SUMIFS(tabela_registros[VALOR],tabela_registros[MÊS],$AE$1,tabela_registros[DIA],reservavariáveisconsolidadofev[[#Headers],[17]],tabela_registros[REGISTRO],DADOS!$N$6,tabela_registros[TIPO],DADOS!$AJ$4,tabela_registros[CATEGORIA],reservavariáveisconsolidadofev[[#This Row],[ATUAL]])</f>
        <v>0</v>
      </c>
      <c r="V191" s="91">
        <f>SUMIFS(tabela_registros[VALOR],tabela_registros[MÊS],$AE$1,tabela_registros[DIA],reservavariáveisconsolidadofev[[#Headers],[18]],tabela_registros[REGISTRO],DADOS!$N$6,tabela_registros[TIPO],DADOS!$AJ$4,tabela_registros[CATEGORIA],reservavariáveisconsolidadofev[[#This Row],[ATUAL]])</f>
        <v>0</v>
      </c>
      <c r="W191" s="91">
        <f>SUMIFS(tabela_registros[VALOR],tabela_registros[MÊS],$AE$1,tabela_registros[DIA],reservavariáveisconsolidadofev[[#Headers],[19]],tabela_registros[REGISTRO],DADOS!$N$6,tabela_registros[TIPO],DADOS!$AJ$4,tabela_registros[CATEGORIA],reservavariáveisconsolidadofev[[#This Row],[ATUAL]])</f>
        <v>0</v>
      </c>
      <c r="X191" s="91">
        <f>SUMIFS(tabela_registros[VALOR],tabela_registros[MÊS],$AE$1,tabela_registros[DIA],reservavariáveisconsolidadofev[[#Headers],[20]],tabela_registros[REGISTRO],DADOS!$N$6,tabela_registros[TIPO],DADOS!$AJ$4,tabela_registros[CATEGORIA],reservavariáveisconsolidadofev[[#This Row],[ATUAL]])</f>
        <v>0</v>
      </c>
      <c r="Y191" s="91">
        <f>SUMIFS(tabela_registros[VALOR],tabela_registros[MÊS],$AE$1,tabela_registros[DIA],reservavariáveisconsolidadofev[[#Headers],[21]],tabela_registros[REGISTRO],DADOS!$N$6,tabela_registros[TIPO],DADOS!$AJ$4,tabela_registros[CATEGORIA],reservavariáveisconsolidadofev[[#This Row],[ATUAL]])</f>
        <v>0</v>
      </c>
      <c r="Z191" s="91">
        <f>SUMIFS(tabela_registros[VALOR],tabela_registros[MÊS],$AE$1,tabela_registros[DIA],reservavariáveisconsolidadofev[[#Headers],[22]],tabela_registros[REGISTRO],DADOS!$N$6,tabela_registros[TIPO],DADOS!$AJ$4,tabela_registros[CATEGORIA],reservavariáveisconsolidadofev[[#This Row],[ATUAL]])</f>
        <v>0</v>
      </c>
      <c r="AA191" s="91">
        <f>SUMIFS(tabela_registros[VALOR],tabela_registros[MÊS],$AE$1,tabela_registros[DIA],reservavariáveisconsolidadofev[[#Headers],[23]],tabela_registros[REGISTRO],DADOS!$N$6,tabela_registros[TIPO],DADOS!$AJ$4,tabela_registros[CATEGORIA],reservavariáveisconsolidadofev[[#This Row],[ATUAL]])</f>
        <v>0</v>
      </c>
      <c r="AB191" s="91">
        <f>SUMIFS(tabela_registros[VALOR],tabela_registros[MÊS],$AE$1,tabela_registros[DIA],reservavariáveisconsolidadofev[[#Headers],[24]],tabela_registros[REGISTRO],DADOS!$N$6,tabela_registros[TIPO],DADOS!$AJ$4,tabela_registros[CATEGORIA],reservavariáveisconsolidadofev[[#This Row],[ATUAL]])</f>
        <v>0</v>
      </c>
      <c r="AC191" s="91">
        <f>SUMIFS(tabela_registros[VALOR],tabela_registros[MÊS],$AE$1,tabela_registros[DIA],reservavariáveisconsolidadofev[[#Headers],[25]],tabela_registros[REGISTRO],DADOS!$N$6,tabela_registros[TIPO],DADOS!$AJ$4,tabela_registros[CATEGORIA],reservavariáveisconsolidadofev[[#This Row],[ATUAL]])</f>
        <v>0</v>
      </c>
      <c r="AD191" s="91">
        <f>SUMIFS(tabela_registros[VALOR],tabela_registros[MÊS],$AE$1,tabela_registros[DIA],reservavariáveisconsolidadofev[[#Headers],[26]],tabela_registros[REGISTRO],DADOS!$N$6,tabela_registros[TIPO],DADOS!$AJ$4,tabela_registros[CATEGORIA],reservavariáveisconsolidadofev[[#This Row],[ATUAL]])</f>
        <v>0</v>
      </c>
      <c r="AE191" s="91">
        <f>SUMIFS(tabela_registros[VALOR],tabela_registros[MÊS],$AE$1,tabela_registros[DIA],reservavariáveisconsolidadofev[[#Headers],[27]],tabela_registros[REGISTRO],DADOS!$N$6,tabela_registros[TIPO],DADOS!$AJ$4,tabela_registros[CATEGORIA],reservavariáveisconsolidadofev[[#This Row],[ATUAL]])</f>
        <v>0</v>
      </c>
      <c r="AF191" s="91">
        <f>SUMIFS(tabela_registros[VALOR],tabela_registros[MÊS],$AE$1,tabela_registros[DIA],reservavariáveisconsolidadofev[[#Headers],[28]],tabela_registros[REGISTRO],DADOS!$N$6,tabela_registros[TIPO],DADOS!$AJ$4,tabela_registros[CATEGORIA],reservavariáveisconsolidadofev[[#This Row],[ATUAL]])</f>
        <v>0</v>
      </c>
      <c r="AG191" s="91">
        <f>SUMIFS(tabela_registros[VALOR],tabela_registros[MÊS],$AE$1,tabela_registros[DIA],reservavariáveisconsolidadofev[[#Headers],[29]],tabela_registros[REGISTRO],DADOS!$N$6,tabela_registros[TIPO],DADOS!$AJ$4,tabela_registros[CATEGORIA],reservavariáveisconsolidadofev[[#This Row],[ATUAL]])</f>
        <v>0</v>
      </c>
      <c r="AH191" s="91">
        <f>SUMIFS(tabela_registros[VALOR],tabela_registros[MÊS],$AE$1,tabela_registros[DIA],reservavariáveisconsolidadofev[[#Headers],[30]],tabela_registros[REGISTRO],DADOS!$N$6,tabela_registros[TIPO],DADOS!$AJ$4,tabela_registros[CATEGORIA],reservavariáveisconsolidadofev[[#This Row],[ATUAL]])</f>
        <v>0</v>
      </c>
      <c r="AI191" s="101">
        <f>SUMIFS(tabela_registros[VALOR],tabela_registros[MÊS],$AE$1,tabela_registros[DIA],reservavariáveisconsolidadofev[[#Headers],[31]],tabela_registros[REGISTRO],DADOS!$N$6,tabela_registros[TIPO],DADOS!$AJ$4,tabela_registros[CATEGORIA],reservavariáveisconsolidadofev[[#This Row],[ATUAL]])</f>
        <v>0</v>
      </c>
      <c r="AJ191" s="97">
        <f>SUM(reservavariáveisconsolidadofev[[#This Row],[1]:[31]])</f>
        <v>0</v>
      </c>
      <c r="AK191" s="25"/>
    </row>
    <row r="192" spans="2:37" ht="19.5" customHeight="1" thickTop="1" thickBot="1" x14ac:dyDescent="0.3">
      <c r="B192" s="28"/>
      <c r="C192" s="27" t="str">
        <f>DADOS!$AN$8</f>
        <v>📝 ETF</v>
      </c>
      <c r="D192" s="26" t="str">
        <f>IF(reservavariáveisconsolidadofev[[#This Row],[TOTAL (R$)]]=0,"",IF(OR(reservavariáveisconsolidadofev[[#This Row],[TOTAL (R$)]]=LARGE($AJ$187:$AJ$196,1),reservavariáveisconsolidadofev[[#This Row],[TOTAL (R$)]]=LARGE($AJ$187:$AJ$196,2)),DADOS!$I$11,""))</f>
        <v/>
      </c>
      <c r="E192" s="96">
        <f>SUMIFS(tabela_registros[VALOR],tabela_registros[MÊS],$AE$1,tabela_registros[DIA],reservavariáveisconsolidadofev[[#Headers],[1]],tabela_registros[REGISTRO],DADOS!$N$6,tabela_registros[TIPO],DADOS!$AJ$4,tabela_registros[CATEGORIA],reservavariáveisconsolidadofev[[#This Row],[ATUAL]])</f>
        <v>0</v>
      </c>
      <c r="F192" s="91">
        <f>SUMIFS(tabela_registros[VALOR],tabela_registros[MÊS],$AE$1,tabela_registros[DIA],reservavariáveisconsolidadofev[[#Headers],[2]],tabela_registros[REGISTRO],DADOS!$N$6,tabela_registros[TIPO],DADOS!$AJ$4,tabela_registros[CATEGORIA],reservavariáveisconsolidadofev[[#This Row],[ATUAL]])</f>
        <v>0</v>
      </c>
      <c r="G192" s="91">
        <f>SUMIFS(tabela_registros[VALOR],tabela_registros[MÊS],$AE$1,tabela_registros[DIA],reservavariáveisconsolidadofev[[#Headers],[3]],tabela_registros[REGISTRO],DADOS!$N$6,tabela_registros[TIPO],DADOS!$AJ$4,tabela_registros[CATEGORIA],reservavariáveisconsolidadofev[[#This Row],[ATUAL]])</f>
        <v>0</v>
      </c>
      <c r="H192" s="91">
        <f>SUMIFS(tabela_registros[VALOR],tabela_registros[MÊS],$AE$1,tabela_registros[DIA],reservavariáveisconsolidadofev[[#Headers],[4]],tabela_registros[REGISTRO],DADOS!$N$6,tabela_registros[TIPO],DADOS!$AJ$4,tabela_registros[CATEGORIA],reservavariáveisconsolidadofev[[#This Row],[ATUAL]])</f>
        <v>0</v>
      </c>
      <c r="I192" s="91">
        <f>SUMIFS(tabela_registros[VALOR],tabela_registros[MÊS],$AE$1,tabela_registros[DIA],reservavariáveisconsolidadofev[[#Headers],[5]],tabela_registros[REGISTRO],DADOS!$N$6,tabela_registros[TIPO],DADOS!$AJ$4,tabela_registros[CATEGORIA],reservavariáveisconsolidadofev[[#This Row],[ATUAL]])</f>
        <v>0</v>
      </c>
      <c r="J192" s="91">
        <f>SUMIFS(tabela_registros[VALOR],tabela_registros[MÊS],$AE$1,tabela_registros[DIA],reservavariáveisconsolidadofev[[#Headers],[6]],tabela_registros[REGISTRO],DADOS!$N$6,tabela_registros[TIPO],DADOS!$AJ$4,tabela_registros[CATEGORIA],reservavariáveisconsolidadofev[[#This Row],[ATUAL]])</f>
        <v>0</v>
      </c>
      <c r="K192" s="91">
        <f>SUMIFS(tabela_registros[VALOR],tabela_registros[MÊS],$AE$1,tabela_registros[DIA],reservavariáveisconsolidadofev[[#Headers],[7]],tabela_registros[REGISTRO],DADOS!$N$6,tabela_registros[TIPO],DADOS!$AJ$4,tabela_registros[CATEGORIA],reservavariáveisconsolidadofev[[#This Row],[ATUAL]])</f>
        <v>0</v>
      </c>
      <c r="L192" s="91">
        <f>SUMIFS(tabela_registros[VALOR],tabela_registros[MÊS],$AE$1,tabela_registros[DIA],reservavariáveisconsolidadofev[[#Headers],[8]],tabela_registros[REGISTRO],DADOS!$N$6,tabela_registros[TIPO],DADOS!$AJ$4,tabela_registros[CATEGORIA],reservavariáveisconsolidadofev[[#This Row],[ATUAL]])</f>
        <v>0</v>
      </c>
      <c r="M192" s="91">
        <f>SUMIFS(tabela_registros[VALOR],tabela_registros[MÊS],$AE$1,tabela_registros[DIA],reservavariáveisconsolidadofev[[#Headers],[9]],tabela_registros[REGISTRO],DADOS!$N$6,tabela_registros[TIPO],DADOS!$AJ$4,tabela_registros[CATEGORIA],reservavariáveisconsolidadofev[[#This Row],[ATUAL]])</f>
        <v>0</v>
      </c>
      <c r="N192" s="91">
        <f>SUMIFS(tabela_registros[VALOR],tabela_registros[MÊS],$AE$1,tabela_registros[DIA],reservavariáveisconsolidadofev[[#Headers],[10]],tabela_registros[REGISTRO],DADOS!$N$6,tabela_registros[TIPO],DADOS!$AJ$4,tabela_registros[CATEGORIA],reservavariáveisconsolidadofev[[#This Row],[ATUAL]])</f>
        <v>0</v>
      </c>
      <c r="O192" s="91">
        <f>SUMIFS(tabela_registros[VALOR],tabela_registros[MÊS],$AE$1,tabela_registros[DIA],reservavariáveisconsolidadofev[[#Headers],[11]],tabela_registros[REGISTRO],DADOS!$N$6,tabela_registros[TIPO],DADOS!$AJ$4,tabela_registros[CATEGORIA],reservavariáveisconsolidadofev[[#This Row],[ATUAL]])</f>
        <v>0</v>
      </c>
      <c r="P192" s="91">
        <f>SUMIFS(tabela_registros[VALOR],tabela_registros[MÊS],$AE$1,tabela_registros[DIA],reservavariáveisconsolidadofev[[#Headers],[12]],tabela_registros[REGISTRO],DADOS!$N$6,tabela_registros[TIPO],DADOS!$AJ$4,tabela_registros[CATEGORIA],reservavariáveisconsolidadofev[[#This Row],[ATUAL]])</f>
        <v>0</v>
      </c>
      <c r="Q192" s="91">
        <f>SUMIFS(tabela_registros[VALOR],tabela_registros[MÊS],$AE$1,tabela_registros[DIA],reservavariáveisconsolidadofev[[#Headers],[13]],tabela_registros[REGISTRO],DADOS!$N$6,tabela_registros[TIPO],DADOS!$AJ$4,tabela_registros[CATEGORIA],reservavariáveisconsolidadofev[[#This Row],[ATUAL]])</f>
        <v>0</v>
      </c>
      <c r="R192" s="91">
        <f>SUMIFS(tabela_registros[VALOR],tabela_registros[MÊS],$AE$1,tabela_registros[DIA],reservavariáveisconsolidadofev[[#Headers],[14]],tabela_registros[REGISTRO],DADOS!$N$6,tabela_registros[TIPO],DADOS!$AJ$4,tabela_registros[CATEGORIA],reservavariáveisconsolidadofev[[#This Row],[ATUAL]])</f>
        <v>0</v>
      </c>
      <c r="S192" s="91">
        <f>SUMIFS(tabela_registros[VALOR],tabela_registros[MÊS],$AE$1,tabela_registros[DIA],reservavariáveisconsolidadofev[[#Headers],[15]],tabela_registros[REGISTRO],DADOS!$N$6,tabela_registros[TIPO],DADOS!$AJ$4,tabela_registros[CATEGORIA],reservavariáveisconsolidadofev[[#This Row],[ATUAL]])</f>
        <v>0</v>
      </c>
      <c r="T192" s="91">
        <f>SUMIFS(tabela_registros[VALOR],tabela_registros[MÊS],$AE$1,tabela_registros[DIA],reservavariáveisconsolidadofev[[#Headers],[16]],tabela_registros[REGISTRO],DADOS!$N$6,tabela_registros[TIPO],DADOS!$AJ$4,tabela_registros[CATEGORIA],reservavariáveisconsolidadofev[[#This Row],[ATUAL]])</f>
        <v>0</v>
      </c>
      <c r="U192" s="91">
        <f>SUMIFS(tabela_registros[VALOR],tabela_registros[MÊS],$AE$1,tabela_registros[DIA],reservavariáveisconsolidadofev[[#Headers],[17]],tabela_registros[REGISTRO],DADOS!$N$6,tabela_registros[TIPO],DADOS!$AJ$4,tabela_registros[CATEGORIA],reservavariáveisconsolidadofev[[#This Row],[ATUAL]])</f>
        <v>0</v>
      </c>
      <c r="V192" s="91">
        <f>SUMIFS(tabela_registros[VALOR],tabela_registros[MÊS],$AE$1,tabela_registros[DIA],reservavariáveisconsolidadofev[[#Headers],[18]],tabela_registros[REGISTRO],DADOS!$N$6,tabela_registros[TIPO],DADOS!$AJ$4,tabela_registros[CATEGORIA],reservavariáveisconsolidadofev[[#This Row],[ATUAL]])</f>
        <v>0</v>
      </c>
      <c r="W192" s="91">
        <f>SUMIFS(tabela_registros[VALOR],tabela_registros[MÊS],$AE$1,tabela_registros[DIA],reservavariáveisconsolidadofev[[#Headers],[19]],tabela_registros[REGISTRO],DADOS!$N$6,tabela_registros[TIPO],DADOS!$AJ$4,tabela_registros[CATEGORIA],reservavariáveisconsolidadofev[[#This Row],[ATUAL]])</f>
        <v>0</v>
      </c>
      <c r="X192" s="91">
        <f>SUMIFS(tabela_registros[VALOR],tabela_registros[MÊS],$AE$1,tabela_registros[DIA],reservavariáveisconsolidadofev[[#Headers],[20]],tabela_registros[REGISTRO],DADOS!$N$6,tabela_registros[TIPO],DADOS!$AJ$4,tabela_registros[CATEGORIA],reservavariáveisconsolidadofev[[#This Row],[ATUAL]])</f>
        <v>0</v>
      </c>
      <c r="Y192" s="91">
        <f>SUMIFS(tabela_registros[VALOR],tabela_registros[MÊS],$AE$1,tabela_registros[DIA],reservavariáveisconsolidadofev[[#Headers],[21]],tabela_registros[REGISTRO],DADOS!$N$6,tabela_registros[TIPO],DADOS!$AJ$4,tabela_registros[CATEGORIA],reservavariáveisconsolidadofev[[#This Row],[ATUAL]])</f>
        <v>0</v>
      </c>
      <c r="Z192" s="91">
        <f>SUMIFS(tabela_registros[VALOR],tabela_registros[MÊS],$AE$1,tabela_registros[DIA],reservavariáveisconsolidadofev[[#Headers],[22]],tabela_registros[REGISTRO],DADOS!$N$6,tabela_registros[TIPO],DADOS!$AJ$4,tabela_registros[CATEGORIA],reservavariáveisconsolidadofev[[#This Row],[ATUAL]])</f>
        <v>0</v>
      </c>
      <c r="AA192" s="91">
        <f>SUMIFS(tabela_registros[VALOR],tabela_registros[MÊS],$AE$1,tabela_registros[DIA],reservavariáveisconsolidadofev[[#Headers],[23]],tabela_registros[REGISTRO],DADOS!$N$6,tabela_registros[TIPO],DADOS!$AJ$4,tabela_registros[CATEGORIA],reservavariáveisconsolidadofev[[#This Row],[ATUAL]])</f>
        <v>0</v>
      </c>
      <c r="AB192" s="91">
        <f>SUMIFS(tabela_registros[VALOR],tabela_registros[MÊS],$AE$1,tabela_registros[DIA],reservavariáveisconsolidadofev[[#Headers],[24]],tabela_registros[REGISTRO],DADOS!$N$6,tabela_registros[TIPO],DADOS!$AJ$4,tabela_registros[CATEGORIA],reservavariáveisconsolidadofev[[#This Row],[ATUAL]])</f>
        <v>0</v>
      </c>
      <c r="AC192" s="91">
        <f>SUMIFS(tabela_registros[VALOR],tabela_registros[MÊS],$AE$1,tabela_registros[DIA],reservavariáveisconsolidadofev[[#Headers],[25]],tabela_registros[REGISTRO],DADOS!$N$6,tabela_registros[TIPO],DADOS!$AJ$4,tabela_registros[CATEGORIA],reservavariáveisconsolidadofev[[#This Row],[ATUAL]])</f>
        <v>0</v>
      </c>
      <c r="AD192" s="91">
        <f>SUMIFS(tabela_registros[VALOR],tabela_registros[MÊS],$AE$1,tabela_registros[DIA],reservavariáveisconsolidadofev[[#Headers],[26]],tabela_registros[REGISTRO],DADOS!$N$6,tabela_registros[TIPO],DADOS!$AJ$4,tabela_registros[CATEGORIA],reservavariáveisconsolidadofev[[#This Row],[ATUAL]])</f>
        <v>0</v>
      </c>
      <c r="AE192" s="91">
        <f>SUMIFS(tabela_registros[VALOR],tabela_registros[MÊS],$AE$1,tabela_registros[DIA],reservavariáveisconsolidadofev[[#Headers],[27]],tabela_registros[REGISTRO],DADOS!$N$6,tabela_registros[TIPO],DADOS!$AJ$4,tabela_registros[CATEGORIA],reservavariáveisconsolidadofev[[#This Row],[ATUAL]])</f>
        <v>0</v>
      </c>
      <c r="AF192" s="91">
        <f>SUMIFS(tabela_registros[VALOR],tabela_registros[MÊS],$AE$1,tabela_registros[DIA],reservavariáveisconsolidadofev[[#Headers],[28]],tabela_registros[REGISTRO],DADOS!$N$6,tabela_registros[TIPO],DADOS!$AJ$4,tabela_registros[CATEGORIA],reservavariáveisconsolidadofev[[#This Row],[ATUAL]])</f>
        <v>0</v>
      </c>
      <c r="AG192" s="91">
        <f>SUMIFS(tabela_registros[VALOR],tabela_registros[MÊS],$AE$1,tabela_registros[DIA],reservavariáveisconsolidadofev[[#Headers],[29]],tabela_registros[REGISTRO],DADOS!$N$6,tabela_registros[TIPO],DADOS!$AJ$4,tabela_registros[CATEGORIA],reservavariáveisconsolidadofev[[#This Row],[ATUAL]])</f>
        <v>0</v>
      </c>
      <c r="AH192" s="91">
        <f>SUMIFS(tabela_registros[VALOR],tabela_registros[MÊS],$AE$1,tabela_registros[DIA],reservavariáveisconsolidadofev[[#Headers],[30]],tabela_registros[REGISTRO],DADOS!$N$6,tabela_registros[TIPO],DADOS!$AJ$4,tabela_registros[CATEGORIA],reservavariáveisconsolidadofev[[#This Row],[ATUAL]])</f>
        <v>0</v>
      </c>
      <c r="AI192" s="101">
        <f>SUMIFS(tabela_registros[VALOR],tabela_registros[MÊS],$AE$1,tabela_registros[DIA],reservavariáveisconsolidadofev[[#Headers],[31]],tabela_registros[REGISTRO],DADOS!$N$6,tabela_registros[TIPO],DADOS!$AJ$4,tabela_registros[CATEGORIA],reservavariáveisconsolidadofev[[#This Row],[ATUAL]])</f>
        <v>0</v>
      </c>
      <c r="AJ192" s="97">
        <f>SUM(reservavariáveisconsolidadofev[[#This Row],[1]:[31]])</f>
        <v>0</v>
      </c>
      <c r="AK192" s="25"/>
    </row>
    <row r="193" spans="2:37" ht="19.5" customHeight="1" thickTop="1" thickBot="1" x14ac:dyDescent="0.3">
      <c r="B193" s="28"/>
      <c r="C193" s="27" t="str">
        <f>DADOS!$AN$9</f>
        <v>📝 EXTERIOR</v>
      </c>
      <c r="D193" s="26" t="str">
        <f>IF(reservavariáveisconsolidadofev[[#This Row],[TOTAL (R$)]]=0,"",IF(OR(reservavariáveisconsolidadofev[[#This Row],[TOTAL (R$)]]=LARGE($AJ$187:$AJ$196,1),reservavariáveisconsolidadofev[[#This Row],[TOTAL (R$)]]=LARGE($AJ$187:$AJ$196,2)),DADOS!$I$11,""))</f>
        <v/>
      </c>
      <c r="E193" s="96">
        <f>SUMIFS(tabela_registros[VALOR],tabela_registros[MÊS],$AE$1,tabela_registros[DIA],reservavariáveisconsolidadofev[[#Headers],[1]],tabela_registros[REGISTRO],DADOS!$N$6,tabela_registros[TIPO],DADOS!$AJ$4,tabela_registros[CATEGORIA],reservavariáveisconsolidadofev[[#This Row],[ATUAL]])</f>
        <v>0</v>
      </c>
      <c r="F193" s="91">
        <f>SUMIFS(tabela_registros[VALOR],tabela_registros[MÊS],$AE$1,tabela_registros[DIA],reservavariáveisconsolidadofev[[#Headers],[2]],tabela_registros[REGISTRO],DADOS!$N$6,tabela_registros[TIPO],DADOS!$AJ$4,tabela_registros[CATEGORIA],reservavariáveisconsolidadofev[[#This Row],[ATUAL]])</f>
        <v>0</v>
      </c>
      <c r="G193" s="91">
        <f>SUMIFS(tabela_registros[VALOR],tabela_registros[MÊS],$AE$1,tabela_registros[DIA],reservavariáveisconsolidadofev[[#Headers],[3]],tabela_registros[REGISTRO],DADOS!$N$6,tabela_registros[TIPO],DADOS!$AJ$4,tabela_registros[CATEGORIA],reservavariáveisconsolidadofev[[#This Row],[ATUAL]])</f>
        <v>0</v>
      </c>
      <c r="H193" s="91">
        <f>SUMIFS(tabela_registros[VALOR],tabela_registros[MÊS],$AE$1,tabela_registros[DIA],reservavariáveisconsolidadofev[[#Headers],[4]],tabela_registros[REGISTRO],DADOS!$N$6,tabela_registros[TIPO],DADOS!$AJ$4,tabela_registros[CATEGORIA],reservavariáveisconsolidadofev[[#This Row],[ATUAL]])</f>
        <v>0</v>
      </c>
      <c r="I193" s="91">
        <f>SUMIFS(tabela_registros[VALOR],tabela_registros[MÊS],$AE$1,tabela_registros[DIA],reservavariáveisconsolidadofev[[#Headers],[5]],tabela_registros[REGISTRO],DADOS!$N$6,tabela_registros[TIPO],DADOS!$AJ$4,tabela_registros[CATEGORIA],reservavariáveisconsolidadofev[[#This Row],[ATUAL]])</f>
        <v>0</v>
      </c>
      <c r="J193" s="91">
        <f>SUMIFS(tabela_registros[VALOR],tabela_registros[MÊS],$AE$1,tabela_registros[DIA],reservavariáveisconsolidadofev[[#Headers],[6]],tabela_registros[REGISTRO],DADOS!$N$6,tabela_registros[TIPO],DADOS!$AJ$4,tabela_registros[CATEGORIA],reservavariáveisconsolidadofev[[#This Row],[ATUAL]])</f>
        <v>0</v>
      </c>
      <c r="K193" s="91">
        <f>SUMIFS(tabela_registros[VALOR],tabela_registros[MÊS],$AE$1,tabela_registros[DIA],reservavariáveisconsolidadofev[[#Headers],[7]],tabela_registros[REGISTRO],DADOS!$N$6,tabela_registros[TIPO],DADOS!$AJ$4,tabela_registros[CATEGORIA],reservavariáveisconsolidadofev[[#This Row],[ATUAL]])</f>
        <v>0</v>
      </c>
      <c r="L193" s="91">
        <f>SUMIFS(tabela_registros[VALOR],tabela_registros[MÊS],$AE$1,tabela_registros[DIA],reservavariáveisconsolidadofev[[#Headers],[8]],tabela_registros[REGISTRO],DADOS!$N$6,tabela_registros[TIPO],DADOS!$AJ$4,tabela_registros[CATEGORIA],reservavariáveisconsolidadofev[[#This Row],[ATUAL]])</f>
        <v>0</v>
      </c>
      <c r="M193" s="91">
        <f>SUMIFS(tabela_registros[VALOR],tabela_registros[MÊS],$AE$1,tabela_registros[DIA],reservavariáveisconsolidadofev[[#Headers],[9]],tabela_registros[REGISTRO],DADOS!$N$6,tabela_registros[TIPO],DADOS!$AJ$4,tabela_registros[CATEGORIA],reservavariáveisconsolidadofev[[#This Row],[ATUAL]])</f>
        <v>0</v>
      </c>
      <c r="N193" s="91">
        <f>SUMIFS(tabela_registros[VALOR],tabela_registros[MÊS],$AE$1,tabela_registros[DIA],reservavariáveisconsolidadofev[[#Headers],[10]],tabela_registros[REGISTRO],DADOS!$N$6,tabela_registros[TIPO],DADOS!$AJ$4,tabela_registros[CATEGORIA],reservavariáveisconsolidadofev[[#This Row],[ATUAL]])</f>
        <v>0</v>
      </c>
      <c r="O193" s="91">
        <f>SUMIFS(tabela_registros[VALOR],tabela_registros[MÊS],$AE$1,tabela_registros[DIA],reservavariáveisconsolidadofev[[#Headers],[11]],tabela_registros[REGISTRO],DADOS!$N$6,tabela_registros[TIPO],DADOS!$AJ$4,tabela_registros[CATEGORIA],reservavariáveisconsolidadofev[[#This Row],[ATUAL]])</f>
        <v>0</v>
      </c>
      <c r="P193" s="91">
        <f>SUMIFS(tabela_registros[VALOR],tabela_registros[MÊS],$AE$1,tabela_registros[DIA],reservavariáveisconsolidadofev[[#Headers],[12]],tabela_registros[REGISTRO],DADOS!$N$6,tabela_registros[TIPO],DADOS!$AJ$4,tabela_registros[CATEGORIA],reservavariáveisconsolidadofev[[#This Row],[ATUAL]])</f>
        <v>0</v>
      </c>
      <c r="Q193" s="91">
        <f>SUMIFS(tabela_registros[VALOR],tabela_registros[MÊS],$AE$1,tabela_registros[DIA],reservavariáveisconsolidadofev[[#Headers],[13]],tabela_registros[REGISTRO],DADOS!$N$6,tabela_registros[TIPO],DADOS!$AJ$4,tabela_registros[CATEGORIA],reservavariáveisconsolidadofev[[#This Row],[ATUAL]])</f>
        <v>0</v>
      </c>
      <c r="R193" s="91">
        <f>SUMIFS(tabela_registros[VALOR],tabela_registros[MÊS],$AE$1,tabela_registros[DIA],reservavariáveisconsolidadofev[[#Headers],[14]],tabela_registros[REGISTRO],DADOS!$N$6,tabela_registros[TIPO],DADOS!$AJ$4,tabela_registros[CATEGORIA],reservavariáveisconsolidadofev[[#This Row],[ATUAL]])</f>
        <v>0</v>
      </c>
      <c r="S193" s="91">
        <f>SUMIFS(tabela_registros[VALOR],tabela_registros[MÊS],$AE$1,tabela_registros[DIA],reservavariáveisconsolidadofev[[#Headers],[15]],tabela_registros[REGISTRO],DADOS!$N$6,tabela_registros[TIPO],DADOS!$AJ$4,tabela_registros[CATEGORIA],reservavariáveisconsolidadofev[[#This Row],[ATUAL]])</f>
        <v>0</v>
      </c>
      <c r="T193" s="91">
        <f>SUMIFS(tabela_registros[VALOR],tabela_registros[MÊS],$AE$1,tabela_registros[DIA],reservavariáveisconsolidadofev[[#Headers],[16]],tabela_registros[REGISTRO],DADOS!$N$6,tabela_registros[TIPO],DADOS!$AJ$4,tabela_registros[CATEGORIA],reservavariáveisconsolidadofev[[#This Row],[ATUAL]])</f>
        <v>0</v>
      </c>
      <c r="U193" s="91">
        <f>SUMIFS(tabela_registros[VALOR],tabela_registros[MÊS],$AE$1,tabela_registros[DIA],reservavariáveisconsolidadofev[[#Headers],[17]],tabela_registros[REGISTRO],DADOS!$N$6,tabela_registros[TIPO],DADOS!$AJ$4,tabela_registros[CATEGORIA],reservavariáveisconsolidadofev[[#This Row],[ATUAL]])</f>
        <v>0</v>
      </c>
      <c r="V193" s="91">
        <f>SUMIFS(tabela_registros[VALOR],tabela_registros[MÊS],$AE$1,tabela_registros[DIA],reservavariáveisconsolidadofev[[#Headers],[18]],tabela_registros[REGISTRO],DADOS!$N$6,tabela_registros[TIPO],DADOS!$AJ$4,tabela_registros[CATEGORIA],reservavariáveisconsolidadofev[[#This Row],[ATUAL]])</f>
        <v>0</v>
      </c>
      <c r="W193" s="91">
        <f>SUMIFS(tabela_registros[VALOR],tabela_registros[MÊS],$AE$1,tabela_registros[DIA],reservavariáveisconsolidadofev[[#Headers],[19]],tabela_registros[REGISTRO],DADOS!$N$6,tabela_registros[TIPO],DADOS!$AJ$4,tabela_registros[CATEGORIA],reservavariáveisconsolidadofev[[#This Row],[ATUAL]])</f>
        <v>0</v>
      </c>
      <c r="X193" s="91">
        <f>SUMIFS(tabela_registros[VALOR],tabela_registros[MÊS],$AE$1,tabela_registros[DIA],reservavariáveisconsolidadofev[[#Headers],[20]],tabela_registros[REGISTRO],DADOS!$N$6,tabela_registros[TIPO],DADOS!$AJ$4,tabela_registros[CATEGORIA],reservavariáveisconsolidadofev[[#This Row],[ATUAL]])</f>
        <v>0</v>
      </c>
      <c r="Y193" s="91">
        <f>SUMIFS(tabela_registros[VALOR],tabela_registros[MÊS],$AE$1,tabela_registros[DIA],reservavariáveisconsolidadofev[[#Headers],[21]],tabela_registros[REGISTRO],DADOS!$N$6,tabela_registros[TIPO],DADOS!$AJ$4,tabela_registros[CATEGORIA],reservavariáveisconsolidadofev[[#This Row],[ATUAL]])</f>
        <v>0</v>
      </c>
      <c r="Z193" s="91">
        <f>SUMIFS(tabela_registros[VALOR],tabela_registros[MÊS],$AE$1,tabela_registros[DIA],reservavariáveisconsolidadofev[[#Headers],[22]],tabela_registros[REGISTRO],DADOS!$N$6,tabela_registros[TIPO],DADOS!$AJ$4,tabela_registros[CATEGORIA],reservavariáveisconsolidadofev[[#This Row],[ATUAL]])</f>
        <v>0</v>
      </c>
      <c r="AA193" s="91">
        <f>SUMIFS(tabela_registros[VALOR],tabela_registros[MÊS],$AE$1,tabela_registros[DIA],reservavariáveisconsolidadofev[[#Headers],[23]],tabela_registros[REGISTRO],DADOS!$N$6,tabela_registros[TIPO],DADOS!$AJ$4,tabela_registros[CATEGORIA],reservavariáveisconsolidadofev[[#This Row],[ATUAL]])</f>
        <v>0</v>
      </c>
      <c r="AB193" s="91">
        <f>SUMIFS(tabela_registros[VALOR],tabela_registros[MÊS],$AE$1,tabela_registros[DIA],reservavariáveisconsolidadofev[[#Headers],[24]],tabela_registros[REGISTRO],DADOS!$N$6,tabela_registros[TIPO],DADOS!$AJ$4,tabela_registros[CATEGORIA],reservavariáveisconsolidadofev[[#This Row],[ATUAL]])</f>
        <v>0</v>
      </c>
      <c r="AC193" s="91">
        <f>SUMIFS(tabela_registros[VALOR],tabela_registros[MÊS],$AE$1,tabela_registros[DIA],reservavariáveisconsolidadofev[[#Headers],[25]],tabela_registros[REGISTRO],DADOS!$N$6,tabela_registros[TIPO],DADOS!$AJ$4,tabela_registros[CATEGORIA],reservavariáveisconsolidadofev[[#This Row],[ATUAL]])</f>
        <v>0</v>
      </c>
      <c r="AD193" s="91">
        <f>SUMIFS(tabela_registros[VALOR],tabela_registros[MÊS],$AE$1,tabela_registros[DIA],reservavariáveisconsolidadofev[[#Headers],[26]],tabela_registros[REGISTRO],DADOS!$N$6,tabela_registros[TIPO],DADOS!$AJ$4,tabela_registros[CATEGORIA],reservavariáveisconsolidadofev[[#This Row],[ATUAL]])</f>
        <v>0</v>
      </c>
      <c r="AE193" s="91">
        <f>SUMIFS(tabela_registros[VALOR],tabela_registros[MÊS],$AE$1,tabela_registros[DIA],reservavariáveisconsolidadofev[[#Headers],[27]],tabela_registros[REGISTRO],DADOS!$N$6,tabela_registros[TIPO],DADOS!$AJ$4,tabela_registros[CATEGORIA],reservavariáveisconsolidadofev[[#This Row],[ATUAL]])</f>
        <v>0</v>
      </c>
      <c r="AF193" s="91">
        <f>SUMIFS(tabela_registros[VALOR],tabela_registros[MÊS],$AE$1,tabela_registros[DIA],reservavariáveisconsolidadofev[[#Headers],[28]],tabela_registros[REGISTRO],DADOS!$N$6,tabela_registros[TIPO],DADOS!$AJ$4,tabela_registros[CATEGORIA],reservavariáveisconsolidadofev[[#This Row],[ATUAL]])</f>
        <v>0</v>
      </c>
      <c r="AG193" s="91">
        <f>SUMIFS(tabela_registros[VALOR],tabela_registros[MÊS],$AE$1,tabela_registros[DIA],reservavariáveisconsolidadofev[[#Headers],[29]],tabela_registros[REGISTRO],DADOS!$N$6,tabela_registros[TIPO],DADOS!$AJ$4,tabela_registros[CATEGORIA],reservavariáveisconsolidadofev[[#This Row],[ATUAL]])</f>
        <v>0</v>
      </c>
      <c r="AH193" s="91">
        <f>SUMIFS(tabela_registros[VALOR],tabela_registros[MÊS],$AE$1,tabela_registros[DIA],reservavariáveisconsolidadofev[[#Headers],[30]],tabela_registros[REGISTRO],DADOS!$N$6,tabela_registros[TIPO],DADOS!$AJ$4,tabela_registros[CATEGORIA],reservavariáveisconsolidadofev[[#This Row],[ATUAL]])</f>
        <v>0</v>
      </c>
      <c r="AI193" s="101">
        <f>SUMIFS(tabela_registros[VALOR],tabela_registros[MÊS],$AE$1,tabela_registros[DIA],reservavariáveisconsolidadofev[[#Headers],[31]],tabela_registros[REGISTRO],DADOS!$N$6,tabela_registros[TIPO],DADOS!$AJ$4,tabela_registros[CATEGORIA],reservavariáveisconsolidadofev[[#This Row],[ATUAL]])</f>
        <v>0</v>
      </c>
      <c r="AJ193" s="97">
        <f>SUM(reservavariáveisconsolidadofev[[#This Row],[1]:[31]])</f>
        <v>0</v>
      </c>
      <c r="AK193" s="25"/>
    </row>
    <row r="194" spans="2:37" ht="19.5" customHeight="1" thickTop="1" thickBot="1" x14ac:dyDescent="0.3">
      <c r="B194" s="28"/>
      <c r="C194" s="27" t="str">
        <f>DADOS!$AN$10</f>
        <v>📝 FII</v>
      </c>
      <c r="D194" s="26" t="str">
        <f>IF(reservavariáveisconsolidadofev[[#This Row],[TOTAL (R$)]]=0,"",IF(OR(reservavariáveisconsolidadofev[[#This Row],[TOTAL (R$)]]=LARGE($AJ$187:$AJ$196,1),reservavariáveisconsolidadofev[[#This Row],[TOTAL (R$)]]=LARGE($AJ$187:$AJ$196,2)),DADOS!$I$11,""))</f>
        <v/>
      </c>
      <c r="E194" s="96">
        <f>SUMIFS(tabela_registros[VALOR],tabela_registros[MÊS],$AE$1,tabela_registros[DIA],reservavariáveisconsolidadofev[[#Headers],[1]],tabela_registros[REGISTRO],DADOS!$N$6,tabela_registros[TIPO],DADOS!$AJ$4,tabela_registros[CATEGORIA],reservavariáveisconsolidadofev[[#This Row],[ATUAL]])</f>
        <v>0</v>
      </c>
      <c r="F194" s="91">
        <f>SUMIFS(tabela_registros[VALOR],tabela_registros[MÊS],$AE$1,tabela_registros[DIA],reservavariáveisconsolidadofev[[#Headers],[2]],tabela_registros[REGISTRO],DADOS!$N$6,tabela_registros[TIPO],DADOS!$AJ$4,tabela_registros[CATEGORIA],reservavariáveisconsolidadofev[[#This Row],[ATUAL]])</f>
        <v>0</v>
      </c>
      <c r="G194" s="91">
        <f>SUMIFS(tabela_registros[VALOR],tabela_registros[MÊS],$AE$1,tabela_registros[DIA],reservavariáveisconsolidadofev[[#Headers],[3]],tabela_registros[REGISTRO],DADOS!$N$6,tabela_registros[TIPO],DADOS!$AJ$4,tabela_registros[CATEGORIA],reservavariáveisconsolidadofev[[#This Row],[ATUAL]])</f>
        <v>0</v>
      </c>
      <c r="H194" s="91">
        <f>SUMIFS(tabela_registros[VALOR],tabela_registros[MÊS],$AE$1,tabela_registros[DIA],reservavariáveisconsolidadofev[[#Headers],[4]],tabela_registros[REGISTRO],DADOS!$N$6,tabela_registros[TIPO],DADOS!$AJ$4,tabela_registros[CATEGORIA],reservavariáveisconsolidadofev[[#This Row],[ATUAL]])</f>
        <v>0</v>
      </c>
      <c r="I194" s="91">
        <f>SUMIFS(tabela_registros[VALOR],tabela_registros[MÊS],$AE$1,tabela_registros[DIA],reservavariáveisconsolidadofev[[#Headers],[5]],tabela_registros[REGISTRO],DADOS!$N$6,tabela_registros[TIPO],DADOS!$AJ$4,tabela_registros[CATEGORIA],reservavariáveisconsolidadofev[[#This Row],[ATUAL]])</f>
        <v>0</v>
      </c>
      <c r="J194" s="91">
        <f>SUMIFS(tabela_registros[VALOR],tabela_registros[MÊS],$AE$1,tabela_registros[DIA],reservavariáveisconsolidadofev[[#Headers],[6]],tabela_registros[REGISTRO],DADOS!$N$6,tabela_registros[TIPO],DADOS!$AJ$4,tabela_registros[CATEGORIA],reservavariáveisconsolidadofev[[#This Row],[ATUAL]])</f>
        <v>0</v>
      </c>
      <c r="K194" s="91">
        <f>SUMIFS(tabela_registros[VALOR],tabela_registros[MÊS],$AE$1,tabela_registros[DIA],reservavariáveisconsolidadofev[[#Headers],[7]],tabela_registros[REGISTRO],DADOS!$N$6,tabela_registros[TIPO],DADOS!$AJ$4,tabela_registros[CATEGORIA],reservavariáveisconsolidadofev[[#This Row],[ATUAL]])</f>
        <v>0</v>
      </c>
      <c r="L194" s="91">
        <f>SUMIFS(tabela_registros[VALOR],tabela_registros[MÊS],$AE$1,tabela_registros[DIA],reservavariáveisconsolidadofev[[#Headers],[8]],tabela_registros[REGISTRO],DADOS!$N$6,tabela_registros[TIPO],DADOS!$AJ$4,tabela_registros[CATEGORIA],reservavariáveisconsolidadofev[[#This Row],[ATUAL]])</f>
        <v>0</v>
      </c>
      <c r="M194" s="91">
        <f>SUMIFS(tabela_registros[VALOR],tabela_registros[MÊS],$AE$1,tabela_registros[DIA],reservavariáveisconsolidadofev[[#Headers],[9]],tabela_registros[REGISTRO],DADOS!$N$6,tabela_registros[TIPO],DADOS!$AJ$4,tabela_registros[CATEGORIA],reservavariáveisconsolidadofev[[#This Row],[ATUAL]])</f>
        <v>0</v>
      </c>
      <c r="N194" s="91">
        <f>SUMIFS(tabela_registros[VALOR],tabela_registros[MÊS],$AE$1,tabela_registros[DIA],reservavariáveisconsolidadofev[[#Headers],[10]],tabela_registros[REGISTRO],DADOS!$N$6,tabela_registros[TIPO],DADOS!$AJ$4,tabela_registros[CATEGORIA],reservavariáveisconsolidadofev[[#This Row],[ATUAL]])</f>
        <v>0</v>
      </c>
      <c r="O194" s="91">
        <f>SUMIFS(tabela_registros[VALOR],tabela_registros[MÊS],$AE$1,tabela_registros[DIA],reservavariáveisconsolidadofev[[#Headers],[11]],tabela_registros[REGISTRO],DADOS!$N$6,tabela_registros[TIPO],DADOS!$AJ$4,tabela_registros[CATEGORIA],reservavariáveisconsolidadofev[[#This Row],[ATUAL]])</f>
        <v>0</v>
      </c>
      <c r="P194" s="91">
        <f>SUMIFS(tabela_registros[VALOR],tabela_registros[MÊS],$AE$1,tabela_registros[DIA],reservavariáveisconsolidadofev[[#Headers],[12]],tabela_registros[REGISTRO],DADOS!$N$6,tabela_registros[TIPO],DADOS!$AJ$4,tabela_registros[CATEGORIA],reservavariáveisconsolidadofev[[#This Row],[ATUAL]])</f>
        <v>0</v>
      </c>
      <c r="Q194" s="91">
        <f>SUMIFS(tabela_registros[VALOR],tabela_registros[MÊS],$AE$1,tabela_registros[DIA],reservavariáveisconsolidadofev[[#Headers],[13]],tabela_registros[REGISTRO],DADOS!$N$6,tabela_registros[TIPO],DADOS!$AJ$4,tabela_registros[CATEGORIA],reservavariáveisconsolidadofev[[#This Row],[ATUAL]])</f>
        <v>0</v>
      </c>
      <c r="R194" s="91">
        <f>SUMIFS(tabela_registros[VALOR],tabela_registros[MÊS],$AE$1,tabela_registros[DIA],reservavariáveisconsolidadofev[[#Headers],[14]],tabela_registros[REGISTRO],DADOS!$N$6,tabela_registros[TIPO],DADOS!$AJ$4,tabela_registros[CATEGORIA],reservavariáveisconsolidadofev[[#This Row],[ATUAL]])</f>
        <v>0</v>
      </c>
      <c r="S194" s="91">
        <f>SUMIFS(tabela_registros[VALOR],tabela_registros[MÊS],$AE$1,tabela_registros[DIA],reservavariáveisconsolidadofev[[#Headers],[15]],tabela_registros[REGISTRO],DADOS!$N$6,tabela_registros[TIPO],DADOS!$AJ$4,tabela_registros[CATEGORIA],reservavariáveisconsolidadofev[[#This Row],[ATUAL]])</f>
        <v>0</v>
      </c>
      <c r="T194" s="91">
        <f>SUMIFS(tabela_registros[VALOR],tabela_registros[MÊS],$AE$1,tabela_registros[DIA],reservavariáveisconsolidadofev[[#Headers],[16]],tabela_registros[REGISTRO],DADOS!$N$6,tabela_registros[TIPO],DADOS!$AJ$4,tabela_registros[CATEGORIA],reservavariáveisconsolidadofev[[#This Row],[ATUAL]])</f>
        <v>0</v>
      </c>
      <c r="U194" s="91">
        <f>SUMIFS(tabela_registros[VALOR],tabela_registros[MÊS],$AE$1,tabela_registros[DIA],reservavariáveisconsolidadofev[[#Headers],[17]],tabela_registros[REGISTRO],DADOS!$N$6,tabela_registros[TIPO],DADOS!$AJ$4,tabela_registros[CATEGORIA],reservavariáveisconsolidadofev[[#This Row],[ATUAL]])</f>
        <v>0</v>
      </c>
      <c r="V194" s="91">
        <f>SUMIFS(tabela_registros[VALOR],tabela_registros[MÊS],$AE$1,tabela_registros[DIA],reservavariáveisconsolidadofev[[#Headers],[18]],tabela_registros[REGISTRO],DADOS!$N$6,tabela_registros[TIPO],DADOS!$AJ$4,tabela_registros[CATEGORIA],reservavariáveisconsolidadofev[[#This Row],[ATUAL]])</f>
        <v>0</v>
      </c>
      <c r="W194" s="91">
        <f>SUMIFS(tabela_registros[VALOR],tabela_registros[MÊS],$AE$1,tabela_registros[DIA],reservavariáveisconsolidadofev[[#Headers],[19]],tabela_registros[REGISTRO],DADOS!$N$6,tabela_registros[TIPO],DADOS!$AJ$4,tabela_registros[CATEGORIA],reservavariáveisconsolidadofev[[#This Row],[ATUAL]])</f>
        <v>0</v>
      </c>
      <c r="X194" s="91">
        <f>SUMIFS(tabela_registros[VALOR],tabela_registros[MÊS],$AE$1,tabela_registros[DIA],reservavariáveisconsolidadofev[[#Headers],[20]],tabela_registros[REGISTRO],DADOS!$N$6,tabela_registros[TIPO],DADOS!$AJ$4,tabela_registros[CATEGORIA],reservavariáveisconsolidadofev[[#This Row],[ATUAL]])</f>
        <v>0</v>
      </c>
      <c r="Y194" s="91">
        <f>SUMIFS(tabela_registros[VALOR],tabela_registros[MÊS],$AE$1,tabela_registros[DIA],reservavariáveisconsolidadofev[[#Headers],[21]],tabela_registros[REGISTRO],DADOS!$N$6,tabela_registros[TIPO],DADOS!$AJ$4,tabela_registros[CATEGORIA],reservavariáveisconsolidadofev[[#This Row],[ATUAL]])</f>
        <v>0</v>
      </c>
      <c r="Z194" s="91">
        <f>SUMIFS(tabela_registros[VALOR],tabela_registros[MÊS],$AE$1,tabela_registros[DIA],reservavariáveisconsolidadofev[[#Headers],[22]],tabela_registros[REGISTRO],DADOS!$N$6,tabela_registros[TIPO],DADOS!$AJ$4,tabela_registros[CATEGORIA],reservavariáveisconsolidadofev[[#This Row],[ATUAL]])</f>
        <v>0</v>
      </c>
      <c r="AA194" s="91">
        <f>SUMIFS(tabela_registros[VALOR],tabela_registros[MÊS],$AE$1,tabela_registros[DIA],reservavariáveisconsolidadofev[[#Headers],[23]],tabela_registros[REGISTRO],DADOS!$N$6,tabela_registros[TIPO],DADOS!$AJ$4,tabela_registros[CATEGORIA],reservavariáveisconsolidadofev[[#This Row],[ATUAL]])</f>
        <v>0</v>
      </c>
      <c r="AB194" s="91">
        <f>SUMIFS(tabela_registros[VALOR],tabela_registros[MÊS],$AE$1,tabela_registros[DIA],reservavariáveisconsolidadofev[[#Headers],[24]],tabela_registros[REGISTRO],DADOS!$N$6,tabela_registros[TIPO],DADOS!$AJ$4,tabela_registros[CATEGORIA],reservavariáveisconsolidadofev[[#This Row],[ATUAL]])</f>
        <v>0</v>
      </c>
      <c r="AC194" s="91">
        <f>SUMIFS(tabela_registros[VALOR],tabela_registros[MÊS],$AE$1,tabela_registros[DIA],reservavariáveisconsolidadofev[[#Headers],[25]],tabela_registros[REGISTRO],DADOS!$N$6,tabela_registros[TIPO],DADOS!$AJ$4,tabela_registros[CATEGORIA],reservavariáveisconsolidadofev[[#This Row],[ATUAL]])</f>
        <v>0</v>
      </c>
      <c r="AD194" s="91">
        <f>SUMIFS(tabela_registros[VALOR],tabela_registros[MÊS],$AE$1,tabela_registros[DIA],reservavariáveisconsolidadofev[[#Headers],[26]],tabela_registros[REGISTRO],DADOS!$N$6,tabela_registros[TIPO],DADOS!$AJ$4,tabela_registros[CATEGORIA],reservavariáveisconsolidadofev[[#This Row],[ATUAL]])</f>
        <v>0</v>
      </c>
      <c r="AE194" s="91">
        <f>SUMIFS(tabela_registros[VALOR],tabela_registros[MÊS],$AE$1,tabela_registros[DIA],reservavariáveisconsolidadofev[[#Headers],[27]],tabela_registros[REGISTRO],DADOS!$N$6,tabela_registros[TIPO],DADOS!$AJ$4,tabela_registros[CATEGORIA],reservavariáveisconsolidadofev[[#This Row],[ATUAL]])</f>
        <v>0</v>
      </c>
      <c r="AF194" s="91">
        <f>SUMIFS(tabela_registros[VALOR],tabela_registros[MÊS],$AE$1,tabela_registros[DIA],reservavariáveisconsolidadofev[[#Headers],[28]],tabela_registros[REGISTRO],DADOS!$N$6,tabela_registros[TIPO],DADOS!$AJ$4,tabela_registros[CATEGORIA],reservavariáveisconsolidadofev[[#This Row],[ATUAL]])</f>
        <v>0</v>
      </c>
      <c r="AG194" s="91">
        <f>SUMIFS(tabela_registros[VALOR],tabela_registros[MÊS],$AE$1,tabela_registros[DIA],reservavariáveisconsolidadofev[[#Headers],[29]],tabela_registros[REGISTRO],DADOS!$N$6,tabela_registros[TIPO],DADOS!$AJ$4,tabela_registros[CATEGORIA],reservavariáveisconsolidadofev[[#This Row],[ATUAL]])</f>
        <v>0</v>
      </c>
      <c r="AH194" s="91">
        <f>SUMIFS(tabela_registros[VALOR],tabela_registros[MÊS],$AE$1,tabela_registros[DIA],reservavariáveisconsolidadofev[[#Headers],[30]],tabela_registros[REGISTRO],DADOS!$N$6,tabela_registros[TIPO],DADOS!$AJ$4,tabela_registros[CATEGORIA],reservavariáveisconsolidadofev[[#This Row],[ATUAL]])</f>
        <v>0</v>
      </c>
      <c r="AI194" s="101">
        <f>SUMIFS(tabela_registros[VALOR],tabela_registros[MÊS],$AE$1,tabela_registros[DIA],reservavariáveisconsolidadofev[[#Headers],[31]],tabela_registros[REGISTRO],DADOS!$N$6,tabela_registros[TIPO],DADOS!$AJ$4,tabela_registros[CATEGORIA],reservavariáveisconsolidadofev[[#This Row],[ATUAL]])</f>
        <v>0</v>
      </c>
      <c r="AJ194" s="97">
        <f>SUM(reservavariáveisconsolidadofev[[#This Row],[1]:[31]])</f>
        <v>0</v>
      </c>
      <c r="AK194" s="25"/>
    </row>
    <row r="195" spans="2:37" ht="19.5" customHeight="1" thickTop="1" thickBot="1" x14ac:dyDescent="0.3">
      <c r="B195" s="28"/>
      <c r="C195" s="27" t="str">
        <f>DADOS!$AN$11</f>
        <v>📝 MOEDA</v>
      </c>
      <c r="D195" s="26" t="str">
        <f>IF(reservavariáveisconsolidadofev[[#This Row],[TOTAL (R$)]]=0,"",IF(OR(reservavariáveisconsolidadofev[[#This Row],[TOTAL (R$)]]=LARGE($AJ$187:$AJ$196,1),reservavariáveisconsolidadofev[[#This Row],[TOTAL (R$)]]=LARGE($AJ$187:$AJ$196,2)),DADOS!$I$11,""))</f>
        <v/>
      </c>
      <c r="E195" s="96">
        <f>SUMIFS(tabela_registros[VALOR],tabela_registros[MÊS],$AE$1,tabela_registros[DIA],reservavariáveisconsolidadofev[[#Headers],[1]],tabela_registros[REGISTRO],DADOS!$N$6,tabela_registros[TIPO],DADOS!$AJ$4,tabela_registros[CATEGORIA],reservavariáveisconsolidadofev[[#This Row],[ATUAL]])</f>
        <v>0</v>
      </c>
      <c r="F195" s="91">
        <f>SUMIFS(tabela_registros[VALOR],tabela_registros[MÊS],$AE$1,tabela_registros[DIA],reservavariáveisconsolidadofev[[#Headers],[2]],tabela_registros[REGISTRO],DADOS!$N$6,tabela_registros[TIPO],DADOS!$AJ$4,tabela_registros[CATEGORIA],reservavariáveisconsolidadofev[[#This Row],[ATUAL]])</f>
        <v>0</v>
      </c>
      <c r="G195" s="91">
        <f>SUMIFS(tabela_registros[VALOR],tabela_registros[MÊS],$AE$1,tabela_registros[DIA],reservavariáveisconsolidadofev[[#Headers],[3]],tabela_registros[REGISTRO],DADOS!$N$6,tabela_registros[TIPO],DADOS!$AJ$4,tabela_registros[CATEGORIA],reservavariáveisconsolidadofev[[#This Row],[ATUAL]])</f>
        <v>0</v>
      </c>
      <c r="H195" s="91">
        <f>SUMIFS(tabela_registros[VALOR],tabela_registros[MÊS],$AE$1,tabela_registros[DIA],reservavariáveisconsolidadofev[[#Headers],[4]],tabela_registros[REGISTRO],DADOS!$N$6,tabela_registros[TIPO],DADOS!$AJ$4,tabela_registros[CATEGORIA],reservavariáveisconsolidadofev[[#This Row],[ATUAL]])</f>
        <v>0</v>
      </c>
      <c r="I195" s="91">
        <f>SUMIFS(tabela_registros[VALOR],tabela_registros[MÊS],$AE$1,tabela_registros[DIA],reservavariáveisconsolidadofev[[#Headers],[5]],tabela_registros[REGISTRO],DADOS!$N$6,tabela_registros[TIPO],DADOS!$AJ$4,tabela_registros[CATEGORIA],reservavariáveisconsolidadofev[[#This Row],[ATUAL]])</f>
        <v>0</v>
      </c>
      <c r="J195" s="91">
        <f>SUMIFS(tabela_registros[VALOR],tabela_registros[MÊS],$AE$1,tabela_registros[DIA],reservavariáveisconsolidadofev[[#Headers],[6]],tabela_registros[REGISTRO],DADOS!$N$6,tabela_registros[TIPO],DADOS!$AJ$4,tabela_registros[CATEGORIA],reservavariáveisconsolidadofev[[#This Row],[ATUAL]])</f>
        <v>0</v>
      </c>
      <c r="K195" s="91">
        <f>SUMIFS(tabela_registros[VALOR],tabela_registros[MÊS],$AE$1,tabela_registros[DIA],reservavariáveisconsolidadofev[[#Headers],[7]],tabela_registros[REGISTRO],DADOS!$N$6,tabela_registros[TIPO],DADOS!$AJ$4,tabela_registros[CATEGORIA],reservavariáveisconsolidadofev[[#This Row],[ATUAL]])</f>
        <v>0</v>
      </c>
      <c r="L195" s="91">
        <f>SUMIFS(tabela_registros[VALOR],tabela_registros[MÊS],$AE$1,tabela_registros[DIA],reservavariáveisconsolidadofev[[#Headers],[8]],tabela_registros[REGISTRO],DADOS!$N$6,tabela_registros[TIPO],DADOS!$AJ$4,tabela_registros[CATEGORIA],reservavariáveisconsolidadofev[[#This Row],[ATUAL]])</f>
        <v>0</v>
      </c>
      <c r="M195" s="91">
        <f>SUMIFS(tabela_registros[VALOR],tabela_registros[MÊS],$AE$1,tabela_registros[DIA],reservavariáveisconsolidadofev[[#Headers],[9]],tabela_registros[REGISTRO],DADOS!$N$6,tabela_registros[TIPO],DADOS!$AJ$4,tabela_registros[CATEGORIA],reservavariáveisconsolidadofev[[#This Row],[ATUAL]])</f>
        <v>0</v>
      </c>
      <c r="N195" s="91">
        <f>SUMIFS(tabela_registros[VALOR],tabela_registros[MÊS],$AE$1,tabela_registros[DIA],reservavariáveisconsolidadofev[[#Headers],[10]],tabela_registros[REGISTRO],DADOS!$N$6,tabela_registros[TIPO],DADOS!$AJ$4,tabela_registros[CATEGORIA],reservavariáveisconsolidadofev[[#This Row],[ATUAL]])</f>
        <v>0</v>
      </c>
      <c r="O195" s="91">
        <f>SUMIFS(tabela_registros[VALOR],tabela_registros[MÊS],$AE$1,tabela_registros[DIA],reservavariáveisconsolidadofev[[#Headers],[11]],tabela_registros[REGISTRO],DADOS!$N$6,tabela_registros[TIPO],DADOS!$AJ$4,tabela_registros[CATEGORIA],reservavariáveisconsolidadofev[[#This Row],[ATUAL]])</f>
        <v>0</v>
      </c>
      <c r="P195" s="91">
        <f>SUMIFS(tabela_registros[VALOR],tabela_registros[MÊS],$AE$1,tabela_registros[DIA],reservavariáveisconsolidadofev[[#Headers],[12]],tabela_registros[REGISTRO],DADOS!$N$6,tabela_registros[TIPO],DADOS!$AJ$4,tabela_registros[CATEGORIA],reservavariáveisconsolidadofev[[#This Row],[ATUAL]])</f>
        <v>0</v>
      </c>
      <c r="Q195" s="91">
        <f>SUMIFS(tabela_registros[VALOR],tabela_registros[MÊS],$AE$1,tabela_registros[DIA],reservavariáveisconsolidadofev[[#Headers],[13]],tabela_registros[REGISTRO],DADOS!$N$6,tabela_registros[TIPO],DADOS!$AJ$4,tabela_registros[CATEGORIA],reservavariáveisconsolidadofev[[#This Row],[ATUAL]])</f>
        <v>0</v>
      </c>
      <c r="R195" s="91">
        <f>SUMIFS(tabela_registros[VALOR],tabela_registros[MÊS],$AE$1,tabela_registros[DIA],reservavariáveisconsolidadofev[[#Headers],[14]],tabela_registros[REGISTRO],DADOS!$N$6,tabela_registros[TIPO],DADOS!$AJ$4,tabela_registros[CATEGORIA],reservavariáveisconsolidadofev[[#This Row],[ATUAL]])</f>
        <v>0</v>
      </c>
      <c r="S195" s="91">
        <f>SUMIFS(tabela_registros[VALOR],tabela_registros[MÊS],$AE$1,tabela_registros[DIA],reservavariáveisconsolidadofev[[#Headers],[15]],tabela_registros[REGISTRO],DADOS!$N$6,tabela_registros[TIPO],DADOS!$AJ$4,tabela_registros[CATEGORIA],reservavariáveisconsolidadofev[[#This Row],[ATUAL]])</f>
        <v>0</v>
      </c>
      <c r="T195" s="91">
        <f>SUMIFS(tabela_registros[VALOR],tabela_registros[MÊS],$AE$1,tabela_registros[DIA],reservavariáveisconsolidadofev[[#Headers],[16]],tabela_registros[REGISTRO],DADOS!$N$6,tabela_registros[TIPO],DADOS!$AJ$4,tabela_registros[CATEGORIA],reservavariáveisconsolidadofev[[#This Row],[ATUAL]])</f>
        <v>0</v>
      </c>
      <c r="U195" s="91">
        <f>SUMIFS(tabela_registros[VALOR],tabela_registros[MÊS],$AE$1,tabela_registros[DIA],reservavariáveisconsolidadofev[[#Headers],[17]],tabela_registros[REGISTRO],DADOS!$N$6,tabela_registros[TIPO],DADOS!$AJ$4,tabela_registros[CATEGORIA],reservavariáveisconsolidadofev[[#This Row],[ATUAL]])</f>
        <v>0</v>
      </c>
      <c r="V195" s="91">
        <f>SUMIFS(tabela_registros[VALOR],tabela_registros[MÊS],$AE$1,tabela_registros[DIA],reservavariáveisconsolidadofev[[#Headers],[18]],tabela_registros[REGISTRO],DADOS!$N$6,tabela_registros[TIPO],DADOS!$AJ$4,tabela_registros[CATEGORIA],reservavariáveisconsolidadofev[[#This Row],[ATUAL]])</f>
        <v>0</v>
      </c>
      <c r="W195" s="91">
        <f>SUMIFS(tabela_registros[VALOR],tabela_registros[MÊS],$AE$1,tabela_registros[DIA],reservavariáveisconsolidadofev[[#Headers],[19]],tabela_registros[REGISTRO],DADOS!$N$6,tabela_registros[TIPO],DADOS!$AJ$4,tabela_registros[CATEGORIA],reservavariáveisconsolidadofev[[#This Row],[ATUAL]])</f>
        <v>0</v>
      </c>
      <c r="X195" s="91">
        <f>SUMIFS(tabela_registros[VALOR],tabela_registros[MÊS],$AE$1,tabela_registros[DIA],reservavariáveisconsolidadofev[[#Headers],[20]],tabela_registros[REGISTRO],DADOS!$N$6,tabela_registros[TIPO],DADOS!$AJ$4,tabela_registros[CATEGORIA],reservavariáveisconsolidadofev[[#This Row],[ATUAL]])</f>
        <v>0</v>
      </c>
      <c r="Y195" s="91">
        <f>SUMIFS(tabela_registros[VALOR],tabela_registros[MÊS],$AE$1,tabela_registros[DIA],reservavariáveisconsolidadofev[[#Headers],[21]],tabela_registros[REGISTRO],DADOS!$N$6,tabela_registros[TIPO],DADOS!$AJ$4,tabela_registros[CATEGORIA],reservavariáveisconsolidadofev[[#This Row],[ATUAL]])</f>
        <v>0</v>
      </c>
      <c r="Z195" s="91">
        <f>SUMIFS(tabela_registros[VALOR],tabela_registros[MÊS],$AE$1,tabela_registros[DIA],reservavariáveisconsolidadofev[[#Headers],[22]],tabela_registros[REGISTRO],DADOS!$N$6,tabela_registros[TIPO],DADOS!$AJ$4,tabela_registros[CATEGORIA],reservavariáveisconsolidadofev[[#This Row],[ATUAL]])</f>
        <v>0</v>
      </c>
      <c r="AA195" s="91">
        <f>SUMIFS(tabela_registros[VALOR],tabela_registros[MÊS],$AE$1,tabela_registros[DIA],reservavariáveisconsolidadofev[[#Headers],[23]],tabela_registros[REGISTRO],DADOS!$N$6,tabela_registros[TIPO],DADOS!$AJ$4,tabela_registros[CATEGORIA],reservavariáveisconsolidadofev[[#This Row],[ATUAL]])</f>
        <v>0</v>
      </c>
      <c r="AB195" s="91">
        <f>SUMIFS(tabela_registros[VALOR],tabela_registros[MÊS],$AE$1,tabela_registros[DIA],reservavariáveisconsolidadofev[[#Headers],[24]],tabela_registros[REGISTRO],DADOS!$N$6,tabela_registros[TIPO],DADOS!$AJ$4,tabela_registros[CATEGORIA],reservavariáveisconsolidadofev[[#This Row],[ATUAL]])</f>
        <v>0</v>
      </c>
      <c r="AC195" s="91">
        <f>SUMIFS(tabela_registros[VALOR],tabela_registros[MÊS],$AE$1,tabela_registros[DIA],reservavariáveisconsolidadofev[[#Headers],[25]],tabela_registros[REGISTRO],DADOS!$N$6,tabela_registros[TIPO],DADOS!$AJ$4,tabela_registros[CATEGORIA],reservavariáveisconsolidadofev[[#This Row],[ATUAL]])</f>
        <v>0</v>
      </c>
      <c r="AD195" s="91">
        <f>SUMIFS(tabela_registros[VALOR],tabela_registros[MÊS],$AE$1,tabela_registros[DIA],reservavariáveisconsolidadofev[[#Headers],[26]],tabela_registros[REGISTRO],DADOS!$N$6,tabela_registros[TIPO],DADOS!$AJ$4,tabela_registros[CATEGORIA],reservavariáveisconsolidadofev[[#This Row],[ATUAL]])</f>
        <v>0</v>
      </c>
      <c r="AE195" s="91">
        <f>SUMIFS(tabela_registros[VALOR],tabela_registros[MÊS],$AE$1,tabela_registros[DIA],reservavariáveisconsolidadofev[[#Headers],[27]],tabela_registros[REGISTRO],DADOS!$N$6,tabela_registros[TIPO],DADOS!$AJ$4,tabela_registros[CATEGORIA],reservavariáveisconsolidadofev[[#This Row],[ATUAL]])</f>
        <v>0</v>
      </c>
      <c r="AF195" s="91">
        <f>SUMIFS(tabela_registros[VALOR],tabela_registros[MÊS],$AE$1,tabela_registros[DIA],reservavariáveisconsolidadofev[[#Headers],[28]],tabela_registros[REGISTRO],DADOS!$N$6,tabela_registros[TIPO],DADOS!$AJ$4,tabela_registros[CATEGORIA],reservavariáveisconsolidadofev[[#This Row],[ATUAL]])</f>
        <v>0</v>
      </c>
      <c r="AG195" s="91">
        <f>SUMIFS(tabela_registros[VALOR],tabela_registros[MÊS],$AE$1,tabela_registros[DIA],reservavariáveisconsolidadofev[[#Headers],[29]],tabela_registros[REGISTRO],DADOS!$N$6,tabela_registros[TIPO],DADOS!$AJ$4,tabela_registros[CATEGORIA],reservavariáveisconsolidadofev[[#This Row],[ATUAL]])</f>
        <v>0</v>
      </c>
      <c r="AH195" s="91">
        <f>SUMIFS(tabela_registros[VALOR],tabela_registros[MÊS],$AE$1,tabela_registros[DIA],reservavariáveisconsolidadofev[[#Headers],[30]],tabela_registros[REGISTRO],DADOS!$N$6,tabela_registros[TIPO],DADOS!$AJ$4,tabela_registros[CATEGORIA],reservavariáveisconsolidadofev[[#This Row],[ATUAL]])</f>
        <v>0</v>
      </c>
      <c r="AI195" s="101">
        <f>SUMIFS(tabela_registros[VALOR],tabela_registros[MÊS],$AE$1,tabela_registros[DIA],reservavariáveisconsolidadofev[[#Headers],[31]],tabela_registros[REGISTRO],DADOS!$N$6,tabela_registros[TIPO],DADOS!$AJ$4,tabela_registros[CATEGORIA],reservavariáveisconsolidadofev[[#This Row],[ATUAL]])</f>
        <v>0</v>
      </c>
      <c r="AJ195" s="97">
        <f>SUM(reservavariáveisconsolidadofev[[#This Row],[1]:[31]])</f>
        <v>0</v>
      </c>
      <c r="AK195" s="25"/>
    </row>
    <row r="196" spans="2:37" ht="19.5" customHeight="1" thickTop="1" thickBot="1" x14ac:dyDescent="0.3">
      <c r="B196" s="28"/>
      <c r="C196" s="27" t="str">
        <f>DADOS!$AN$12</f>
        <v>📎 OUTROS</v>
      </c>
      <c r="D196" s="26" t="str">
        <f>IF(reservavariáveisconsolidadofev[[#This Row],[TOTAL (R$)]]=0,"",IF(OR(reservavariáveisconsolidadofev[[#This Row],[TOTAL (R$)]]=LARGE($AJ$187:$AJ$196,1),reservavariáveisconsolidadofev[[#This Row],[TOTAL (R$)]]=LARGE($AJ$187:$AJ$196,2)),DADOS!$I$11,""))</f>
        <v/>
      </c>
      <c r="E196" s="96">
        <f>SUMIFS(tabela_registros[VALOR],tabela_registros[MÊS],$AE$1,tabela_registros[DIA],reservavariáveisconsolidadofev[[#Headers],[1]],tabela_registros[REGISTRO],DADOS!$N$6,tabela_registros[TIPO],DADOS!$AJ$4,tabela_registros[CATEGORIA],reservavariáveisconsolidadofev[[#This Row],[ATUAL]])</f>
        <v>0</v>
      </c>
      <c r="F196" s="91">
        <f>SUMIFS(tabela_registros[VALOR],tabela_registros[MÊS],$AE$1,tabela_registros[DIA],reservavariáveisconsolidadofev[[#Headers],[2]],tabela_registros[REGISTRO],DADOS!$N$6,tabela_registros[TIPO],DADOS!$AJ$4,tabela_registros[CATEGORIA],reservavariáveisconsolidadofev[[#This Row],[ATUAL]])</f>
        <v>0</v>
      </c>
      <c r="G196" s="91">
        <f>SUMIFS(tabela_registros[VALOR],tabela_registros[MÊS],$AE$1,tabela_registros[DIA],reservavariáveisconsolidadofev[[#Headers],[3]],tabela_registros[REGISTRO],DADOS!$N$6,tabela_registros[TIPO],DADOS!$AJ$4,tabela_registros[CATEGORIA],reservavariáveisconsolidadofev[[#This Row],[ATUAL]])</f>
        <v>0</v>
      </c>
      <c r="H196" s="91">
        <f>SUMIFS(tabela_registros[VALOR],tabela_registros[MÊS],$AE$1,tabela_registros[DIA],reservavariáveisconsolidadofev[[#Headers],[4]],tabela_registros[REGISTRO],DADOS!$N$6,tabela_registros[TIPO],DADOS!$AJ$4,tabela_registros[CATEGORIA],reservavariáveisconsolidadofev[[#This Row],[ATUAL]])</f>
        <v>0</v>
      </c>
      <c r="I196" s="91">
        <f>SUMIFS(tabela_registros[VALOR],tabela_registros[MÊS],$AE$1,tabela_registros[DIA],reservavariáveisconsolidadofev[[#Headers],[5]],tabela_registros[REGISTRO],DADOS!$N$6,tabela_registros[TIPO],DADOS!$AJ$4,tabela_registros[CATEGORIA],reservavariáveisconsolidadofev[[#This Row],[ATUAL]])</f>
        <v>0</v>
      </c>
      <c r="J196" s="91">
        <f>SUMIFS(tabela_registros[VALOR],tabela_registros[MÊS],$AE$1,tabela_registros[DIA],reservavariáveisconsolidadofev[[#Headers],[6]],tabela_registros[REGISTRO],DADOS!$N$6,tabela_registros[TIPO],DADOS!$AJ$4,tabela_registros[CATEGORIA],reservavariáveisconsolidadofev[[#This Row],[ATUAL]])</f>
        <v>0</v>
      </c>
      <c r="K196" s="91">
        <f>SUMIFS(tabela_registros[VALOR],tabela_registros[MÊS],$AE$1,tabela_registros[DIA],reservavariáveisconsolidadofev[[#Headers],[7]],tabela_registros[REGISTRO],DADOS!$N$6,tabela_registros[TIPO],DADOS!$AJ$4,tabela_registros[CATEGORIA],reservavariáveisconsolidadofev[[#This Row],[ATUAL]])</f>
        <v>0</v>
      </c>
      <c r="L196" s="91">
        <f>SUMIFS(tabela_registros[VALOR],tabela_registros[MÊS],$AE$1,tabela_registros[DIA],reservavariáveisconsolidadofev[[#Headers],[8]],tabela_registros[REGISTRO],DADOS!$N$6,tabela_registros[TIPO],DADOS!$AJ$4,tabela_registros[CATEGORIA],reservavariáveisconsolidadofev[[#This Row],[ATUAL]])</f>
        <v>0</v>
      </c>
      <c r="M196" s="91">
        <f>SUMIFS(tabela_registros[VALOR],tabela_registros[MÊS],$AE$1,tabela_registros[DIA],reservavariáveisconsolidadofev[[#Headers],[9]],tabela_registros[REGISTRO],DADOS!$N$6,tabela_registros[TIPO],DADOS!$AJ$4,tabela_registros[CATEGORIA],reservavariáveisconsolidadofev[[#This Row],[ATUAL]])</f>
        <v>0</v>
      </c>
      <c r="N196" s="91">
        <f>SUMIFS(tabela_registros[VALOR],tabela_registros[MÊS],$AE$1,tabela_registros[DIA],reservavariáveisconsolidadofev[[#Headers],[10]],tabela_registros[REGISTRO],DADOS!$N$6,tabela_registros[TIPO],DADOS!$AJ$4,tabela_registros[CATEGORIA],reservavariáveisconsolidadofev[[#This Row],[ATUAL]])</f>
        <v>0</v>
      </c>
      <c r="O196" s="91">
        <f>SUMIFS(tabela_registros[VALOR],tabela_registros[MÊS],$AE$1,tabela_registros[DIA],reservavariáveisconsolidadofev[[#Headers],[11]],tabela_registros[REGISTRO],DADOS!$N$6,tabela_registros[TIPO],DADOS!$AJ$4,tabela_registros[CATEGORIA],reservavariáveisconsolidadofev[[#This Row],[ATUAL]])</f>
        <v>0</v>
      </c>
      <c r="P196" s="91">
        <f>SUMIFS(tabela_registros[VALOR],tabela_registros[MÊS],$AE$1,tabela_registros[DIA],reservavariáveisconsolidadofev[[#Headers],[12]],tabela_registros[REGISTRO],DADOS!$N$6,tabela_registros[TIPO],DADOS!$AJ$4,tabela_registros[CATEGORIA],reservavariáveisconsolidadofev[[#This Row],[ATUAL]])</f>
        <v>0</v>
      </c>
      <c r="Q196" s="91">
        <f>SUMIFS(tabela_registros[VALOR],tabela_registros[MÊS],$AE$1,tabela_registros[DIA],reservavariáveisconsolidadofev[[#Headers],[13]],tabela_registros[REGISTRO],DADOS!$N$6,tabela_registros[TIPO],DADOS!$AJ$4,tabela_registros[CATEGORIA],reservavariáveisconsolidadofev[[#This Row],[ATUAL]])</f>
        <v>0</v>
      </c>
      <c r="R196" s="91">
        <f>SUMIFS(tabela_registros[VALOR],tabela_registros[MÊS],$AE$1,tabela_registros[DIA],reservavariáveisconsolidadofev[[#Headers],[14]],tabela_registros[REGISTRO],DADOS!$N$6,tabela_registros[TIPO],DADOS!$AJ$4,tabela_registros[CATEGORIA],reservavariáveisconsolidadofev[[#This Row],[ATUAL]])</f>
        <v>0</v>
      </c>
      <c r="S196" s="91">
        <f>SUMIFS(tabela_registros[VALOR],tabela_registros[MÊS],$AE$1,tabela_registros[DIA],reservavariáveisconsolidadofev[[#Headers],[15]],tabela_registros[REGISTRO],DADOS!$N$6,tabela_registros[TIPO],DADOS!$AJ$4,tabela_registros[CATEGORIA],reservavariáveisconsolidadofev[[#This Row],[ATUAL]])</f>
        <v>0</v>
      </c>
      <c r="T196" s="91">
        <f>SUMIFS(tabela_registros[VALOR],tabela_registros[MÊS],$AE$1,tabela_registros[DIA],reservavariáveisconsolidadofev[[#Headers],[16]],tabela_registros[REGISTRO],DADOS!$N$6,tabela_registros[TIPO],DADOS!$AJ$4,tabela_registros[CATEGORIA],reservavariáveisconsolidadofev[[#This Row],[ATUAL]])</f>
        <v>0</v>
      </c>
      <c r="U196" s="91">
        <f>SUMIFS(tabela_registros[VALOR],tabela_registros[MÊS],$AE$1,tabela_registros[DIA],reservavariáveisconsolidadofev[[#Headers],[17]],tabela_registros[REGISTRO],DADOS!$N$6,tabela_registros[TIPO],DADOS!$AJ$4,tabela_registros[CATEGORIA],reservavariáveisconsolidadofev[[#This Row],[ATUAL]])</f>
        <v>0</v>
      </c>
      <c r="V196" s="91">
        <f>SUMIFS(tabela_registros[VALOR],tabela_registros[MÊS],$AE$1,tabela_registros[DIA],reservavariáveisconsolidadofev[[#Headers],[18]],tabela_registros[REGISTRO],DADOS!$N$6,tabela_registros[TIPO],DADOS!$AJ$4,tabela_registros[CATEGORIA],reservavariáveisconsolidadofev[[#This Row],[ATUAL]])</f>
        <v>0</v>
      </c>
      <c r="W196" s="91">
        <f>SUMIFS(tabela_registros[VALOR],tabela_registros[MÊS],$AE$1,tabela_registros[DIA],reservavariáveisconsolidadofev[[#Headers],[19]],tabela_registros[REGISTRO],DADOS!$N$6,tabela_registros[TIPO],DADOS!$AJ$4,tabela_registros[CATEGORIA],reservavariáveisconsolidadofev[[#This Row],[ATUAL]])</f>
        <v>0</v>
      </c>
      <c r="X196" s="91">
        <f>SUMIFS(tabela_registros[VALOR],tabela_registros[MÊS],$AE$1,tabela_registros[DIA],reservavariáveisconsolidadofev[[#Headers],[20]],tabela_registros[REGISTRO],DADOS!$N$6,tabela_registros[TIPO],DADOS!$AJ$4,tabela_registros[CATEGORIA],reservavariáveisconsolidadofev[[#This Row],[ATUAL]])</f>
        <v>0</v>
      </c>
      <c r="Y196" s="91">
        <f>SUMIFS(tabela_registros[VALOR],tabela_registros[MÊS],$AE$1,tabela_registros[DIA],reservavariáveisconsolidadofev[[#Headers],[21]],tabela_registros[REGISTRO],DADOS!$N$6,tabela_registros[TIPO],DADOS!$AJ$4,tabela_registros[CATEGORIA],reservavariáveisconsolidadofev[[#This Row],[ATUAL]])</f>
        <v>0</v>
      </c>
      <c r="Z196" s="91">
        <f>SUMIFS(tabela_registros[VALOR],tabela_registros[MÊS],$AE$1,tabela_registros[DIA],reservavariáveisconsolidadofev[[#Headers],[22]],tabela_registros[REGISTRO],DADOS!$N$6,tabela_registros[TIPO],DADOS!$AJ$4,tabela_registros[CATEGORIA],reservavariáveisconsolidadofev[[#This Row],[ATUAL]])</f>
        <v>0</v>
      </c>
      <c r="AA196" s="91">
        <f>SUMIFS(tabela_registros[VALOR],tabela_registros[MÊS],$AE$1,tabela_registros[DIA],reservavariáveisconsolidadofev[[#Headers],[23]],tabela_registros[REGISTRO],DADOS!$N$6,tabela_registros[TIPO],DADOS!$AJ$4,tabela_registros[CATEGORIA],reservavariáveisconsolidadofev[[#This Row],[ATUAL]])</f>
        <v>0</v>
      </c>
      <c r="AB196" s="91">
        <f>SUMIFS(tabela_registros[VALOR],tabela_registros[MÊS],$AE$1,tabela_registros[DIA],reservavariáveisconsolidadofev[[#Headers],[24]],tabela_registros[REGISTRO],DADOS!$N$6,tabela_registros[TIPO],DADOS!$AJ$4,tabela_registros[CATEGORIA],reservavariáveisconsolidadofev[[#This Row],[ATUAL]])</f>
        <v>0</v>
      </c>
      <c r="AC196" s="91">
        <f>SUMIFS(tabela_registros[VALOR],tabela_registros[MÊS],$AE$1,tabela_registros[DIA],reservavariáveisconsolidadofev[[#Headers],[25]],tabela_registros[REGISTRO],DADOS!$N$6,tabela_registros[TIPO],DADOS!$AJ$4,tabela_registros[CATEGORIA],reservavariáveisconsolidadofev[[#This Row],[ATUAL]])</f>
        <v>0</v>
      </c>
      <c r="AD196" s="91">
        <f>SUMIFS(tabela_registros[VALOR],tabela_registros[MÊS],$AE$1,tabela_registros[DIA],reservavariáveisconsolidadofev[[#Headers],[26]],tabela_registros[REGISTRO],DADOS!$N$6,tabela_registros[TIPO],DADOS!$AJ$4,tabela_registros[CATEGORIA],reservavariáveisconsolidadofev[[#This Row],[ATUAL]])</f>
        <v>0</v>
      </c>
      <c r="AE196" s="91">
        <f>SUMIFS(tabela_registros[VALOR],tabela_registros[MÊS],$AE$1,tabela_registros[DIA],reservavariáveisconsolidadofev[[#Headers],[27]],tabela_registros[REGISTRO],DADOS!$N$6,tabela_registros[TIPO],DADOS!$AJ$4,tabela_registros[CATEGORIA],reservavariáveisconsolidadofev[[#This Row],[ATUAL]])</f>
        <v>0</v>
      </c>
      <c r="AF196" s="91">
        <f>SUMIFS(tabela_registros[VALOR],tabela_registros[MÊS],$AE$1,tabela_registros[DIA],reservavariáveisconsolidadofev[[#Headers],[28]],tabela_registros[REGISTRO],DADOS!$N$6,tabela_registros[TIPO],DADOS!$AJ$4,tabela_registros[CATEGORIA],reservavariáveisconsolidadofev[[#This Row],[ATUAL]])</f>
        <v>0</v>
      </c>
      <c r="AG196" s="91">
        <f>SUMIFS(tabela_registros[VALOR],tabela_registros[MÊS],$AE$1,tabela_registros[DIA],reservavariáveisconsolidadofev[[#Headers],[29]],tabela_registros[REGISTRO],DADOS!$N$6,tabela_registros[TIPO],DADOS!$AJ$4,tabela_registros[CATEGORIA],reservavariáveisconsolidadofev[[#This Row],[ATUAL]])</f>
        <v>0</v>
      </c>
      <c r="AH196" s="91">
        <f>SUMIFS(tabela_registros[VALOR],tabela_registros[MÊS],$AE$1,tabela_registros[DIA],reservavariáveisconsolidadofev[[#Headers],[30]],tabela_registros[REGISTRO],DADOS!$N$6,tabela_registros[TIPO],DADOS!$AJ$4,tabela_registros[CATEGORIA],reservavariáveisconsolidadofev[[#This Row],[ATUAL]])</f>
        <v>0</v>
      </c>
      <c r="AI196" s="101">
        <f>SUMIFS(tabela_registros[VALOR],tabela_registros[MÊS],$AE$1,tabela_registros[DIA],reservavariáveisconsolidadofev[[#Headers],[31]],tabela_registros[REGISTRO],DADOS!$N$6,tabela_registros[TIPO],DADOS!$AJ$4,tabela_registros[CATEGORIA],reservavariáveisconsolidadofev[[#This Row],[ATUAL]])</f>
        <v>0</v>
      </c>
      <c r="AJ196" s="97">
        <f>SUM(reservavariáveisconsolidadofev[[#This Row],[1]:[31]])</f>
        <v>0</v>
      </c>
      <c r="AK196" s="25"/>
    </row>
    <row r="197" spans="2:37" s="16" customFormat="1" ht="21" customHeight="1" thickTop="1" thickBot="1" x14ac:dyDescent="0.35">
      <c r="B197" s="24"/>
      <c r="C197" s="23" t="s">
        <v>19</v>
      </c>
      <c r="D197" s="22"/>
      <c r="E197" s="21">
        <f>SUM(E187:E196)</f>
        <v>0</v>
      </c>
      <c r="F197" s="20">
        <f>SUM(F187:F196)+reservavariáveisconsolidadofev[[#This Row],[1]]</f>
        <v>0</v>
      </c>
      <c r="G197" s="20">
        <f>SUM(G187:G196)+reservavariáveisconsolidadofev[[#This Row],[2]]</f>
        <v>0</v>
      </c>
      <c r="H197" s="20">
        <f>SUM(H187:H196)+reservavariáveisconsolidadofev[[#This Row],[3]]</f>
        <v>0</v>
      </c>
      <c r="I197" s="20">
        <f>SUM(I187:I196)+reservavariáveisconsolidadofev[[#This Row],[4]]</f>
        <v>0</v>
      </c>
      <c r="J197" s="20">
        <f>SUM(J187:J196)+reservavariáveisconsolidadofev[[#This Row],[5]]</f>
        <v>0</v>
      </c>
      <c r="K197" s="20">
        <f>SUM(K187:K196)+reservavariáveisconsolidadofev[[#This Row],[6]]</f>
        <v>0</v>
      </c>
      <c r="L197" s="20">
        <f>SUM(L187:L196)+reservavariáveisconsolidadofev[[#This Row],[7]]</f>
        <v>0</v>
      </c>
      <c r="M197" s="20">
        <f>SUM(M187:M196)+reservavariáveisconsolidadofev[[#This Row],[8]]</f>
        <v>0</v>
      </c>
      <c r="N197" s="20">
        <f>SUM(N187:N196)+reservavariáveisconsolidadofev[[#This Row],[9]]</f>
        <v>0</v>
      </c>
      <c r="O197" s="20">
        <f>SUM(O187:O196)+reservavariáveisconsolidadofev[[#This Row],[10]]</f>
        <v>0</v>
      </c>
      <c r="P197" s="20">
        <f>SUM(P187:P196)+reservavariáveisconsolidadofev[[#This Row],[11]]</f>
        <v>0</v>
      </c>
      <c r="Q197" s="20">
        <f>SUM(Q187:Q196)+reservavariáveisconsolidadofev[[#This Row],[12]]</f>
        <v>0</v>
      </c>
      <c r="R197" s="20">
        <f>SUM(R187:R196)+reservavariáveisconsolidadofev[[#This Row],[13]]</f>
        <v>0</v>
      </c>
      <c r="S197" s="20">
        <f>SUM(S187:S196)+reservavariáveisconsolidadofev[[#This Row],[14]]</f>
        <v>0</v>
      </c>
      <c r="T197" s="20">
        <f>SUM(T187:T196)+reservavariáveisconsolidadofev[[#This Row],[15]]</f>
        <v>0</v>
      </c>
      <c r="U197" s="20">
        <f>SUM(U187:U196)+reservavariáveisconsolidadofev[[#This Row],[16]]</f>
        <v>0</v>
      </c>
      <c r="V197" s="20">
        <f>SUM(V187:V196)+reservavariáveisconsolidadofev[[#This Row],[17]]</f>
        <v>0</v>
      </c>
      <c r="W197" s="20">
        <f>SUM(W187:W196)+reservavariáveisconsolidadofev[[#This Row],[18]]</f>
        <v>0</v>
      </c>
      <c r="X197" s="20">
        <f>SUM(X187:X196)+reservavariáveisconsolidadofev[[#This Row],[19]]</f>
        <v>0</v>
      </c>
      <c r="Y197" s="20">
        <f>SUM(Y187:Y196)+reservavariáveisconsolidadofev[[#This Row],[20]]</f>
        <v>0</v>
      </c>
      <c r="Z197" s="20">
        <f>SUM(Z187:Z196)+reservavariáveisconsolidadofev[[#This Row],[21]]</f>
        <v>0</v>
      </c>
      <c r="AA197" s="20">
        <f>SUM(AA187:AA196)+reservavariáveisconsolidadofev[[#This Row],[22]]</f>
        <v>0</v>
      </c>
      <c r="AB197" s="20">
        <f>SUM(AB187:AB196)+reservavariáveisconsolidadofev[[#This Row],[23]]</f>
        <v>0</v>
      </c>
      <c r="AC197" s="20">
        <f>SUM(AC187:AC196)+reservavariáveisconsolidadofev[[#This Row],[24]]</f>
        <v>0</v>
      </c>
      <c r="AD197" s="20">
        <f>SUM(AD187:AD196)+reservavariáveisconsolidadofev[[#This Row],[25]]</f>
        <v>0</v>
      </c>
      <c r="AE197" s="20">
        <f>SUM(AE187:AE196)+reservavariáveisconsolidadofev[[#This Row],[26]]</f>
        <v>0</v>
      </c>
      <c r="AF197" s="20">
        <f>SUM(AF187:AF196)+reservavariáveisconsolidadofev[[#This Row],[27]]</f>
        <v>0</v>
      </c>
      <c r="AG197" s="20">
        <f>SUM(AG187:AG196)+reservavariáveisconsolidadofev[[#This Row],[28]]</f>
        <v>0</v>
      </c>
      <c r="AH197" s="20">
        <f>SUM(AH187:AH196)+reservavariáveisconsolidadofev[[#This Row],[29]]</f>
        <v>0</v>
      </c>
      <c r="AI197" s="19">
        <f>SUM(AI187:AI196)+reservavariáveisconsolidadofev[[#This Row],[30]]</f>
        <v>0</v>
      </c>
      <c r="AJ197" s="18">
        <f>reservavariáveisconsolidadofev[[#This Row],[31]]</f>
        <v>0</v>
      </c>
      <c r="AK197" s="17"/>
    </row>
    <row r="198" spans="2:37" ht="6.75" customHeight="1" thickTop="1" thickBot="1" x14ac:dyDescent="0.3">
      <c r="B198" s="15"/>
      <c r="C198" s="14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  <c r="AC198" s="13"/>
      <c r="AD198" s="13"/>
      <c r="AE198" s="13"/>
      <c r="AF198" s="13"/>
      <c r="AG198" s="13"/>
      <c r="AH198" s="13"/>
      <c r="AI198" s="12"/>
      <c r="AJ198" s="11"/>
      <c r="AK198" s="10"/>
    </row>
    <row r="199" spans="2:37" ht="12.6" thickTop="1" x14ac:dyDescent="0.25">
      <c r="E199" s="37"/>
      <c r="AI199" s="4"/>
    </row>
    <row r="200" spans="2:37" x14ac:dyDescent="0.25">
      <c r="AI200" s="4"/>
    </row>
    <row r="201" spans="2:37" x14ac:dyDescent="0.25">
      <c r="AI201" s="4"/>
    </row>
    <row r="202" spans="2:37" ht="39.75" customHeight="1" x14ac:dyDescent="0.7">
      <c r="C202" s="36"/>
      <c r="E202" s="240"/>
      <c r="F202" s="240"/>
      <c r="G202" s="240"/>
      <c r="H202" s="240"/>
      <c r="I202" s="240"/>
      <c r="J202" s="240"/>
      <c r="K202" s="240"/>
      <c r="L202" s="240"/>
      <c r="M202" s="240"/>
      <c r="N202" s="240"/>
      <c r="O202" s="240"/>
      <c r="P202" s="240"/>
      <c r="Q202" s="240"/>
      <c r="R202" s="240"/>
      <c r="S202" s="240"/>
      <c r="T202" s="240"/>
      <c r="U202" s="240"/>
      <c r="V202" s="240"/>
      <c r="W202" s="240"/>
      <c r="X202" s="240"/>
      <c r="Y202" s="240"/>
      <c r="Z202" s="240"/>
      <c r="AA202" s="240"/>
      <c r="AB202" s="240"/>
      <c r="AC202" s="240"/>
      <c r="AD202" s="240"/>
      <c r="AE202" s="240"/>
      <c r="AF202" s="240"/>
      <c r="AG202" s="240"/>
      <c r="AH202" s="240"/>
      <c r="AI202" s="240"/>
      <c r="AJ202" s="32" t="s">
        <v>19</v>
      </c>
    </row>
    <row r="203" spans="2:37" ht="12.6" thickBot="1" x14ac:dyDescent="0.3">
      <c r="B203" s="35"/>
      <c r="AI203" s="4"/>
      <c r="AJ203" s="34" t="s">
        <v>202</v>
      </c>
    </row>
    <row r="204" spans="2:37" ht="6.75" customHeight="1" thickTop="1" thickBot="1" x14ac:dyDescent="0.3">
      <c r="B204" s="2"/>
      <c r="C204" s="14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3"/>
      <c r="AD204" s="13"/>
      <c r="AE204" s="13"/>
      <c r="AF204" s="13"/>
      <c r="AG204" s="13"/>
      <c r="AH204" s="13"/>
      <c r="AI204" s="13"/>
      <c r="AJ204" s="12"/>
      <c r="AK204" s="33"/>
    </row>
    <row r="205" spans="2:37" ht="13.2" hidden="1" thickTop="1" thickBot="1" x14ac:dyDescent="0.3">
      <c r="B205" s="2"/>
      <c r="C205" s="31" t="s">
        <v>199</v>
      </c>
      <c r="D205" s="30" t="s">
        <v>198</v>
      </c>
      <c r="E205" s="30" t="s">
        <v>197</v>
      </c>
      <c r="F205" s="30" t="s">
        <v>196</v>
      </c>
      <c r="G205" s="30" t="s">
        <v>195</v>
      </c>
      <c r="H205" s="30" t="s">
        <v>194</v>
      </c>
      <c r="I205" s="30" t="s">
        <v>193</v>
      </c>
      <c r="J205" s="30" t="s">
        <v>192</v>
      </c>
      <c r="K205" s="30" t="s">
        <v>191</v>
      </c>
      <c r="L205" s="30" t="s">
        <v>190</v>
      </c>
      <c r="M205" s="30" t="s">
        <v>189</v>
      </c>
      <c r="N205" s="30" t="s">
        <v>188</v>
      </c>
      <c r="O205" s="30" t="s">
        <v>187</v>
      </c>
      <c r="P205" s="30" t="s">
        <v>186</v>
      </c>
      <c r="Q205" s="30" t="s">
        <v>185</v>
      </c>
      <c r="R205" s="30" t="s">
        <v>184</v>
      </c>
      <c r="S205" s="30" t="s">
        <v>183</v>
      </c>
      <c r="T205" s="30" t="s">
        <v>182</v>
      </c>
      <c r="U205" s="30" t="s">
        <v>181</v>
      </c>
      <c r="V205" s="30" t="s">
        <v>180</v>
      </c>
      <c r="W205" s="30" t="s">
        <v>179</v>
      </c>
      <c r="X205" s="30" t="s">
        <v>178</v>
      </c>
      <c r="Y205" s="30" t="s">
        <v>177</v>
      </c>
      <c r="Z205" s="30" t="s">
        <v>176</v>
      </c>
      <c r="AA205" s="30" t="s">
        <v>175</v>
      </c>
      <c r="AB205" s="30" t="s">
        <v>174</v>
      </c>
      <c r="AC205" s="30" t="s">
        <v>173</v>
      </c>
      <c r="AD205" s="30" t="s">
        <v>172</v>
      </c>
      <c r="AE205" s="30" t="s">
        <v>171</v>
      </c>
      <c r="AF205" s="30" t="s">
        <v>170</v>
      </c>
      <c r="AG205" s="30" t="s">
        <v>169</v>
      </c>
      <c r="AH205" s="30" t="s">
        <v>168</v>
      </c>
      <c r="AI205" s="30" t="s">
        <v>167</v>
      </c>
      <c r="AJ205" s="29" t="s">
        <v>166</v>
      </c>
      <c r="AK205" s="2"/>
    </row>
    <row r="206" spans="2:37" ht="19.5" customHeight="1" thickTop="1" thickBot="1" x14ac:dyDescent="0.3">
      <c r="B206" s="28"/>
      <c r="C206" s="27" t="str">
        <f>DADOS!$AP$3</f>
        <v>📝 COE</v>
      </c>
      <c r="D206" s="26" t="str">
        <f>IF(reservaoutrosconsolidadofev[[#This Row],[TOTAL (R$)]]=0,"",IF(OR(reservaoutrosconsolidadofev[[#This Row],[TOTAL (R$)]]=LARGE($AJ$206:$AJ$213,1),reservaoutrosconsolidadofev[[#This Row],[TOTAL (R$)]]=LARGE($AJ$206:$AJ$213,2)),DADOS!$I$11,""))</f>
        <v/>
      </c>
      <c r="E206" s="96">
        <f>SUMIFS(tabela_registros[VALOR],tabela_registros[MÊS],$AE$1,tabela_registros[DIA],reservaoutrosconsolidadofev[[#Headers],[1]],tabela_registros[REGISTRO],DADOS!$N$6,tabela_registros[TIPO],DADOS!$AJ$5,tabela_registros[CATEGORIA],reservaoutrosconsolidadofev[[#This Row],[ATUAL]])</f>
        <v>0</v>
      </c>
      <c r="F206" s="91">
        <f>SUMIFS(tabela_registros[VALOR],tabela_registros[MÊS],$AE$1,tabela_registros[DIA],reservaoutrosconsolidadofev[[#Headers],[2]],tabela_registros[REGISTRO],DADOS!$N$6,tabela_registros[TIPO],DADOS!$AJ$5,tabela_registros[CATEGORIA],reservaoutrosconsolidadofev[[#This Row],[ATUAL]])</f>
        <v>0</v>
      </c>
      <c r="G206" s="91">
        <f>SUMIFS(tabela_registros[VALOR],tabela_registros[MÊS],$AE$1,tabela_registros[DIA],reservaoutrosconsolidadofev[[#Headers],[3]],tabela_registros[REGISTRO],DADOS!$N$6,tabela_registros[TIPO],DADOS!$AJ$5,tabela_registros[CATEGORIA],reservaoutrosconsolidadofev[[#This Row],[ATUAL]])</f>
        <v>0</v>
      </c>
      <c r="H206" s="91">
        <f>SUMIFS(tabela_registros[VALOR],tabela_registros[MÊS],$AE$1,tabela_registros[DIA],reservaoutrosconsolidadofev[[#Headers],[4]],tabela_registros[REGISTRO],DADOS!$N$6,tabela_registros[TIPO],DADOS!$AJ$5,tabela_registros[CATEGORIA],reservaoutrosconsolidadofev[[#This Row],[ATUAL]])</f>
        <v>0</v>
      </c>
      <c r="I206" s="91">
        <f>SUMIFS(tabela_registros[VALOR],tabela_registros[MÊS],$AE$1,tabela_registros[DIA],reservaoutrosconsolidadofev[[#Headers],[5]],tabela_registros[REGISTRO],DADOS!$N$6,tabela_registros[TIPO],DADOS!$AJ$5,tabela_registros[CATEGORIA],reservaoutrosconsolidadofev[[#This Row],[ATUAL]])</f>
        <v>0</v>
      </c>
      <c r="J206" s="91">
        <f>SUMIFS(tabela_registros[VALOR],tabela_registros[MÊS],$AE$1,tabela_registros[DIA],reservaoutrosconsolidadofev[[#Headers],[6]],tabela_registros[REGISTRO],DADOS!$N$6,tabela_registros[TIPO],DADOS!$AJ$5,tabela_registros[CATEGORIA],reservaoutrosconsolidadofev[[#This Row],[ATUAL]])</f>
        <v>0</v>
      </c>
      <c r="K206" s="91">
        <f>SUMIFS(tabela_registros[VALOR],tabela_registros[MÊS],$AE$1,tabela_registros[DIA],reservaoutrosconsolidadofev[[#Headers],[7]],tabela_registros[REGISTRO],DADOS!$N$6,tabela_registros[TIPO],DADOS!$AJ$5,tabela_registros[CATEGORIA],reservaoutrosconsolidadofev[[#This Row],[ATUAL]])</f>
        <v>0</v>
      </c>
      <c r="L206" s="91">
        <f>SUMIFS(tabela_registros[VALOR],tabela_registros[MÊS],$AE$1,tabela_registros[DIA],reservaoutrosconsolidadofev[[#Headers],[8]],tabela_registros[REGISTRO],DADOS!$N$6,tabela_registros[TIPO],DADOS!$AJ$5,tabela_registros[CATEGORIA],reservaoutrosconsolidadofev[[#This Row],[ATUAL]])</f>
        <v>0</v>
      </c>
      <c r="M206" s="91">
        <f>SUMIFS(tabela_registros[VALOR],tabela_registros[MÊS],$AE$1,tabela_registros[DIA],reservaoutrosconsolidadofev[[#Headers],[9]],tabela_registros[REGISTRO],DADOS!$N$6,tabela_registros[TIPO],DADOS!$AJ$5,tabela_registros[CATEGORIA],reservaoutrosconsolidadofev[[#This Row],[ATUAL]])</f>
        <v>0</v>
      </c>
      <c r="N206" s="91">
        <f>SUMIFS(tabela_registros[VALOR],tabela_registros[MÊS],$AE$1,tabela_registros[DIA],reservaoutrosconsolidadofev[[#Headers],[10]],tabela_registros[REGISTRO],DADOS!$N$6,tabela_registros[TIPO],DADOS!$AJ$5,tabela_registros[CATEGORIA],reservaoutrosconsolidadofev[[#This Row],[ATUAL]])</f>
        <v>0</v>
      </c>
      <c r="O206" s="91">
        <f>SUMIFS(tabela_registros[VALOR],tabela_registros[MÊS],$AE$1,tabela_registros[DIA],reservaoutrosconsolidadofev[[#Headers],[11]],tabela_registros[REGISTRO],DADOS!$N$6,tabela_registros[TIPO],DADOS!$AJ$5,tabela_registros[CATEGORIA],reservaoutrosconsolidadofev[[#This Row],[ATUAL]])</f>
        <v>0</v>
      </c>
      <c r="P206" s="91">
        <f>SUMIFS(tabela_registros[VALOR],tabela_registros[MÊS],$AE$1,tabela_registros[DIA],reservaoutrosconsolidadofev[[#Headers],[12]],tabela_registros[REGISTRO],DADOS!$N$6,tabela_registros[TIPO],DADOS!$AJ$5,tabela_registros[CATEGORIA],reservaoutrosconsolidadofev[[#This Row],[ATUAL]])</f>
        <v>0</v>
      </c>
      <c r="Q206" s="91">
        <f>SUMIFS(tabela_registros[VALOR],tabela_registros[MÊS],$AE$1,tabela_registros[DIA],reservaoutrosconsolidadofev[[#Headers],[13]],tabela_registros[REGISTRO],DADOS!$N$6,tabela_registros[TIPO],DADOS!$AJ$5,tabela_registros[CATEGORIA],reservaoutrosconsolidadofev[[#This Row],[ATUAL]])</f>
        <v>0</v>
      </c>
      <c r="R206" s="91">
        <f>SUMIFS(tabela_registros[VALOR],tabela_registros[MÊS],$AE$1,tabela_registros[DIA],reservaoutrosconsolidadofev[[#Headers],[14]],tabela_registros[REGISTRO],DADOS!$N$6,tabela_registros[TIPO],DADOS!$AJ$5,tabela_registros[CATEGORIA],reservaoutrosconsolidadofev[[#This Row],[ATUAL]])</f>
        <v>0</v>
      </c>
      <c r="S206" s="91">
        <f>SUMIFS(tabela_registros[VALOR],tabela_registros[MÊS],$AE$1,tabela_registros[DIA],reservaoutrosconsolidadofev[[#Headers],[15]],tabela_registros[REGISTRO],DADOS!$N$6,tabela_registros[TIPO],DADOS!$AJ$5,tabela_registros[CATEGORIA],reservaoutrosconsolidadofev[[#This Row],[ATUAL]])</f>
        <v>0</v>
      </c>
      <c r="T206" s="91">
        <f>SUMIFS(tabela_registros[VALOR],tabela_registros[MÊS],$AE$1,tabela_registros[DIA],reservaoutrosconsolidadofev[[#Headers],[16]],tabela_registros[REGISTRO],DADOS!$N$6,tabela_registros[TIPO],DADOS!$AJ$5,tabela_registros[CATEGORIA],reservaoutrosconsolidadofev[[#This Row],[ATUAL]])</f>
        <v>0</v>
      </c>
      <c r="U206" s="91">
        <f>SUMIFS(tabela_registros[VALOR],tabela_registros[MÊS],$AE$1,tabela_registros[DIA],reservaoutrosconsolidadofev[[#Headers],[17]],tabela_registros[REGISTRO],DADOS!$N$6,tabela_registros[TIPO],DADOS!$AJ$5,tabela_registros[CATEGORIA],reservaoutrosconsolidadofev[[#This Row],[ATUAL]])</f>
        <v>0</v>
      </c>
      <c r="V206" s="91">
        <f>SUMIFS(tabela_registros[VALOR],tabela_registros[MÊS],$AE$1,tabela_registros[DIA],reservaoutrosconsolidadofev[[#Headers],[18]],tabela_registros[REGISTRO],DADOS!$N$6,tabela_registros[TIPO],DADOS!$AJ$5,tabela_registros[CATEGORIA],reservaoutrosconsolidadofev[[#This Row],[ATUAL]])</f>
        <v>0</v>
      </c>
      <c r="W206" s="91">
        <f>SUMIFS(tabela_registros[VALOR],tabela_registros[MÊS],$AE$1,tabela_registros[DIA],reservaoutrosconsolidadofev[[#Headers],[19]],tabela_registros[REGISTRO],DADOS!$N$6,tabela_registros[TIPO],DADOS!$AJ$5,tabela_registros[CATEGORIA],reservaoutrosconsolidadofev[[#This Row],[ATUAL]])</f>
        <v>0</v>
      </c>
      <c r="X206" s="91">
        <f>SUMIFS(tabela_registros[VALOR],tabela_registros[MÊS],$AE$1,tabela_registros[DIA],reservaoutrosconsolidadofev[[#Headers],[20]],tabela_registros[REGISTRO],DADOS!$N$6,tabela_registros[TIPO],DADOS!$AJ$5,tabela_registros[CATEGORIA],reservaoutrosconsolidadofev[[#This Row],[ATUAL]])</f>
        <v>0</v>
      </c>
      <c r="Y206" s="91">
        <f>SUMIFS(tabela_registros[VALOR],tabela_registros[MÊS],$AE$1,tabela_registros[DIA],reservaoutrosconsolidadofev[[#Headers],[21]],tabela_registros[REGISTRO],DADOS!$N$6,tabela_registros[TIPO],DADOS!$AJ$5,tabela_registros[CATEGORIA],reservaoutrosconsolidadofev[[#This Row],[ATUAL]])</f>
        <v>0</v>
      </c>
      <c r="Z206" s="91">
        <f>SUMIFS(tabela_registros[VALOR],tabela_registros[MÊS],$AE$1,tabela_registros[DIA],reservaoutrosconsolidadofev[[#Headers],[22]],tabela_registros[REGISTRO],DADOS!$N$6,tabela_registros[TIPO],DADOS!$AJ$5,tabela_registros[CATEGORIA],reservaoutrosconsolidadofev[[#This Row],[ATUAL]])</f>
        <v>0</v>
      </c>
      <c r="AA206" s="91">
        <f>SUMIFS(tabela_registros[VALOR],tabela_registros[MÊS],$AE$1,tabela_registros[DIA],reservaoutrosconsolidadofev[[#Headers],[23]],tabela_registros[REGISTRO],DADOS!$N$6,tabela_registros[TIPO],DADOS!$AJ$5,tabela_registros[CATEGORIA],reservaoutrosconsolidadofev[[#This Row],[ATUAL]])</f>
        <v>0</v>
      </c>
      <c r="AB206" s="91">
        <f>SUMIFS(tabela_registros[VALOR],tabela_registros[MÊS],$AE$1,tabela_registros[DIA],reservaoutrosconsolidadofev[[#Headers],[24]],tabela_registros[REGISTRO],DADOS!$N$6,tabela_registros[TIPO],DADOS!$AJ$5,tabela_registros[CATEGORIA],reservaoutrosconsolidadofev[[#This Row],[ATUAL]])</f>
        <v>0</v>
      </c>
      <c r="AC206" s="91">
        <f>SUMIFS(tabela_registros[VALOR],tabela_registros[MÊS],$AE$1,tabela_registros[DIA],reservaoutrosconsolidadofev[[#Headers],[25]],tabela_registros[REGISTRO],DADOS!$N$6,tabela_registros[TIPO],DADOS!$AJ$5,tabela_registros[CATEGORIA],reservaoutrosconsolidadofev[[#This Row],[ATUAL]])</f>
        <v>0</v>
      </c>
      <c r="AD206" s="91">
        <f>SUMIFS(tabela_registros[VALOR],tabela_registros[MÊS],$AE$1,tabela_registros[DIA],reservaoutrosconsolidadofev[[#Headers],[26]],tabela_registros[REGISTRO],DADOS!$N$6,tabela_registros[TIPO],DADOS!$AJ$5,tabela_registros[CATEGORIA],reservaoutrosconsolidadofev[[#This Row],[ATUAL]])</f>
        <v>0</v>
      </c>
      <c r="AE206" s="91">
        <f>SUMIFS(tabela_registros[VALOR],tabela_registros[MÊS],$AE$1,tabela_registros[DIA],reservaoutrosconsolidadofev[[#Headers],[27]],tabela_registros[REGISTRO],DADOS!$N$6,tabela_registros[TIPO],DADOS!$AJ$5,tabela_registros[CATEGORIA],reservaoutrosconsolidadofev[[#This Row],[ATUAL]])</f>
        <v>0</v>
      </c>
      <c r="AF206" s="91">
        <f>SUMIFS(tabela_registros[VALOR],tabela_registros[MÊS],$AE$1,tabela_registros[DIA],reservaoutrosconsolidadofev[[#Headers],[28]],tabela_registros[REGISTRO],DADOS!$N$6,tabela_registros[TIPO],DADOS!$AJ$5,tabela_registros[CATEGORIA],reservaoutrosconsolidadofev[[#This Row],[ATUAL]])</f>
        <v>0</v>
      </c>
      <c r="AG206" s="91">
        <f>SUMIFS(tabela_registros[VALOR],tabela_registros[MÊS],$AE$1,tabela_registros[DIA],reservaoutrosconsolidadofev[[#Headers],[29]],tabela_registros[REGISTRO],DADOS!$N$6,tabela_registros[TIPO],DADOS!$AJ$5,tabela_registros[CATEGORIA],reservaoutrosconsolidadofev[[#This Row],[ATUAL]])</f>
        <v>0</v>
      </c>
      <c r="AH206" s="91">
        <f>SUMIFS(tabela_registros[VALOR],tabela_registros[MÊS],$AE$1,tabela_registros[DIA],reservaoutrosconsolidadofev[[#Headers],[30]],tabela_registros[REGISTRO],DADOS!$N$6,tabela_registros[TIPO],DADOS!$AJ$5,tabela_registros[CATEGORIA],reservaoutrosconsolidadofev[[#This Row],[ATUAL]])</f>
        <v>0</v>
      </c>
      <c r="AI206" s="101">
        <f>SUMIFS(tabela_registros[VALOR],tabela_registros[MÊS],$AE$1,tabela_registros[DIA],reservaoutrosconsolidadofev[[#Headers],[31]],tabela_registros[REGISTRO],DADOS!$N$6,tabela_registros[TIPO],DADOS!$AJ$5,tabela_registros[CATEGORIA],reservaoutrosconsolidadofev[[#This Row],[ATUAL]])</f>
        <v>0</v>
      </c>
      <c r="AJ206" s="97">
        <f>SUM(reservaoutrosconsolidadofev[[#This Row],[1]:[31]])</f>
        <v>0</v>
      </c>
      <c r="AK206" s="25"/>
    </row>
    <row r="207" spans="2:37" ht="19.5" customHeight="1" thickTop="1" thickBot="1" x14ac:dyDescent="0.3">
      <c r="B207" s="28"/>
      <c r="C207" s="27" t="str">
        <f>DADOS!$AP$4</f>
        <v>📝 FOREX</v>
      </c>
      <c r="D207" s="26" t="str">
        <f>IF(reservaoutrosconsolidadofev[[#This Row],[TOTAL (R$)]]=0,"",IF(OR(reservaoutrosconsolidadofev[[#This Row],[TOTAL (R$)]]=LARGE($AJ$206:$AJ$213,1),reservaoutrosconsolidadofev[[#This Row],[TOTAL (R$)]]=LARGE($AJ$206:$AJ$213,2)),DADOS!$I$11,""))</f>
        <v/>
      </c>
      <c r="E207" s="96">
        <f>SUMIFS(tabela_registros[VALOR],tabela_registros[MÊS],$AE$1,tabela_registros[DIA],reservaoutrosconsolidadofev[[#Headers],[1]],tabela_registros[REGISTRO],DADOS!$N$6,tabela_registros[TIPO],DADOS!$AJ$5,tabela_registros[CATEGORIA],reservaoutrosconsolidadofev[[#This Row],[ATUAL]])</f>
        <v>0</v>
      </c>
      <c r="F207" s="91">
        <f>SUMIFS(tabela_registros[VALOR],tabela_registros[MÊS],$AE$1,tabela_registros[DIA],reservaoutrosconsolidadofev[[#Headers],[2]],tabela_registros[REGISTRO],DADOS!$N$6,tabela_registros[TIPO],DADOS!$AJ$5,tabela_registros[CATEGORIA],reservaoutrosconsolidadofev[[#This Row],[ATUAL]])</f>
        <v>0</v>
      </c>
      <c r="G207" s="91">
        <f>SUMIFS(tabela_registros[VALOR],tabela_registros[MÊS],$AE$1,tabela_registros[DIA],reservaoutrosconsolidadofev[[#Headers],[3]],tabela_registros[REGISTRO],DADOS!$N$6,tabela_registros[TIPO],DADOS!$AJ$5,tabela_registros[CATEGORIA],reservaoutrosconsolidadofev[[#This Row],[ATUAL]])</f>
        <v>0</v>
      </c>
      <c r="H207" s="91">
        <f>SUMIFS(tabela_registros[VALOR],tabela_registros[MÊS],$AE$1,tabela_registros[DIA],reservaoutrosconsolidadofev[[#Headers],[4]],tabela_registros[REGISTRO],DADOS!$N$6,tabela_registros[TIPO],DADOS!$AJ$5,tabela_registros[CATEGORIA],reservaoutrosconsolidadofev[[#This Row],[ATUAL]])</f>
        <v>0</v>
      </c>
      <c r="I207" s="91">
        <f>SUMIFS(tabela_registros[VALOR],tabela_registros[MÊS],$AE$1,tabela_registros[DIA],reservaoutrosconsolidadofev[[#Headers],[5]],tabela_registros[REGISTRO],DADOS!$N$6,tabela_registros[TIPO],DADOS!$AJ$5,tabela_registros[CATEGORIA],reservaoutrosconsolidadofev[[#This Row],[ATUAL]])</f>
        <v>0</v>
      </c>
      <c r="J207" s="91">
        <f>SUMIFS(tabela_registros[VALOR],tabela_registros[MÊS],$AE$1,tabela_registros[DIA],reservaoutrosconsolidadofev[[#Headers],[6]],tabela_registros[REGISTRO],DADOS!$N$6,tabela_registros[TIPO],DADOS!$AJ$5,tabela_registros[CATEGORIA],reservaoutrosconsolidadofev[[#This Row],[ATUAL]])</f>
        <v>0</v>
      </c>
      <c r="K207" s="91">
        <f>SUMIFS(tabela_registros[VALOR],tabela_registros[MÊS],$AE$1,tabela_registros[DIA],reservaoutrosconsolidadofev[[#Headers],[7]],tabela_registros[REGISTRO],DADOS!$N$6,tabela_registros[TIPO],DADOS!$AJ$5,tabela_registros[CATEGORIA],reservaoutrosconsolidadofev[[#This Row],[ATUAL]])</f>
        <v>0</v>
      </c>
      <c r="L207" s="91">
        <f>SUMIFS(tabela_registros[VALOR],tabela_registros[MÊS],$AE$1,tabela_registros[DIA],reservaoutrosconsolidadofev[[#Headers],[8]],tabela_registros[REGISTRO],DADOS!$N$6,tabela_registros[TIPO],DADOS!$AJ$5,tabela_registros[CATEGORIA],reservaoutrosconsolidadofev[[#This Row],[ATUAL]])</f>
        <v>0</v>
      </c>
      <c r="M207" s="91">
        <f>SUMIFS(tabela_registros[VALOR],tabela_registros[MÊS],$AE$1,tabela_registros[DIA],reservaoutrosconsolidadofev[[#Headers],[9]],tabela_registros[REGISTRO],DADOS!$N$6,tabela_registros[TIPO],DADOS!$AJ$5,tabela_registros[CATEGORIA],reservaoutrosconsolidadofev[[#This Row],[ATUAL]])</f>
        <v>0</v>
      </c>
      <c r="N207" s="91">
        <f>SUMIFS(tabela_registros[VALOR],tabela_registros[MÊS],$AE$1,tabela_registros[DIA],reservaoutrosconsolidadofev[[#Headers],[10]],tabela_registros[REGISTRO],DADOS!$N$6,tabela_registros[TIPO],DADOS!$AJ$5,tabela_registros[CATEGORIA],reservaoutrosconsolidadofev[[#This Row],[ATUAL]])</f>
        <v>0</v>
      </c>
      <c r="O207" s="91">
        <f>SUMIFS(tabela_registros[VALOR],tabela_registros[MÊS],$AE$1,tabela_registros[DIA],reservaoutrosconsolidadofev[[#Headers],[11]],tabela_registros[REGISTRO],DADOS!$N$6,tabela_registros[TIPO],DADOS!$AJ$5,tabela_registros[CATEGORIA],reservaoutrosconsolidadofev[[#This Row],[ATUAL]])</f>
        <v>0</v>
      </c>
      <c r="P207" s="91">
        <f>SUMIFS(tabela_registros[VALOR],tabela_registros[MÊS],$AE$1,tabela_registros[DIA],reservaoutrosconsolidadofev[[#Headers],[12]],tabela_registros[REGISTRO],DADOS!$N$6,tabela_registros[TIPO],DADOS!$AJ$5,tabela_registros[CATEGORIA],reservaoutrosconsolidadofev[[#This Row],[ATUAL]])</f>
        <v>0</v>
      </c>
      <c r="Q207" s="91">
        <f>SUMIFS(tabela_registros[VALOR],tabela_registros[MÊS],$AE$1,tabela_registros[DIA],reservaoutrosconsolidadofev[[#Headers],[13]],tabela_registros[REGISTRO],DADOS!$N$6,tabela_registros[TIPO],DADOS!$AJ$5,tabela_registros[CATEGORIA],reservaoutrosconsolidadofev[[#This Row],[ATUAL]])</f>
        <v>0</v>
      </c>
      <c r="R207" s="91">
        <f>SUMIFS(tabela_registros[VALOR],tabela_registros[MÊS],$AE$1,tabela_registros[DIA],reservaoutrosconsolidadofev[[#Headers],[14]],tabela_registros[REGISTRO],DADOS!$N$6,tabela_registros[TIPO],DADOS!$AJ$5,tabela_registros[CATEGORIA],reservaoutrosconsolidadofev[[#This Row],[ATUAL]])</f>
        <v>0</v>
      </c>
      <c r="S207" s="91">
        <f>SUMIFS(tabela_registros[VALOR],tabela_registros[MÊS],$AE$1,tabela_registros[DIA],reservaoutrosconsolidadofev[[#Headers],[15]],tabela_registros[REGISTRO],DADOS!$N$6,tabela_registros[TIPO],DADOS!$AJ$5,tabela_registros[CATEGORIA],reservaoutrosconsolidadofev[[#This Row],[ATUAL]])</f>
        <v>0</v>
      </c>
      <c r="T207" s="91">
        <f>SUMIFS(tabela_registros[VALOR],tabela_registros[MÊS],$AE$1,tabela_registros[DIA],reservaoutrosconsolidadofev[[#Headers],[16]],tabela_registros[REGISTRO],DADOS!$N$6,tabela_registros[TIPO],DADOS!$AJ$5,tabela_registros[CATEGORIA],reservaoutrosconsolidadofev[[#This Row],[ATUAL]])</f>
        <v>0</v>
      </c>
      <c r="U207" s="91">
        <f>SUMIFS(tabela_registros[VALOR],tabela_registros[MÊS],$AE$1,tabela_registros[DIA],reservaoutrosconsolidadofev[[#Headers],[17]],tabela_registros[REGISTRO],DADOS!$N$6,tabela_registros[TIPO],DADOS!$AJ$5,tabela_registros[CATEGORIA],reservaoutrosconsolidadofev[[#This Row],[ATUAL]])</f>
        <v>0</v>
      </c>
      <c r="V207" s="91">
        <f>SUMIFS(tabela_registros[VALOR],tabela_registros[MÊS],$AE$1,tabela_registros[DIA],reservaoutrosconsolidadofev[[#Headers],[18]],tabela_registros[REGISTRO],DADOS!$N$6,tabela_registros[TIPO],DADOS!$AJ$5,tabela_registros[CATEGORIA],reservaoutrosconsolidadofev[[#This Row],[ATUAL]])</f>
        <v>0</v>
      </c>
      <c r="W207" s="91">
        <f>SUMIFS(tabela_registros[VALOR],tabela_registros[MÊS],$AE$1,tabela_registros[DIA],reservaoutrosconsolidadofev[[#Headers],[19]],tabela_registros[REGISTRO],DADOS!$N$6,tabela_registros[TIPO],DADOS!$AJ$5,tabela_registros[CATEGORIA],reservaoutrosconsolidadofev[[#This Row],[ATUAL]])</f>
        <v>0</v>
      </c>
      <c r="X207" s="91">
        <f>SUMIFS(tabela_registros[VALOR],tabela_registros[MÊS],$AE$1,tabela_registros[DIA],reservaoutrosconsolidadofev[[#Headers],[20]],tabela_registros[REGISTRO],DADOS!$N$6,tabela_registros[TIPO],DADOS!$AJ$5,tabela_registros[CATEGORIA],reservaoutrosconsolidadofev[[#This Row],[ATUAL]])</f>
        <v>0</v>
      </c>
      <c r="Y207" s="91">
        <f>SUMIFS(tabela_registros[VALOR],tabela_registros[MÊS],$AE$1,tabela_registros[DIA],reservaoutrosconsolidadofev[[#Headers],[21]],tabela_registros[REGISTRO],DADOS!$N$6,tabela_registros[TIPO],DADOS!$AJ$5,tabela_registros[CATEGORIA],reservaoutrosconsolidadofev[[#This Row],[ATUAL]])</f>
        <v>0</v>
      </c>
      <c r="Z207" s="91">
        <f>SUMIFS(tabela_registros[VALOR],tabela_registros[MÊS],$AE$1,tabela_registros[DIA],reservaoutrosconsolidadofev[[#Headers],[22]],tabela_registros[REGISTRO],DADOS!$N$6,tabela_registros[TIPO],DADOS!$AJ$5,tabela_registros[CATEGORIA],reservaoutrosconsolidadofev[[#This Row],[ATUAL]])</f>
        <v>0</v>
      </c>
      <c r="AA207" s="91">
        <f>SUMIFS(tabela_registros[VALOR],tabela_registros[MÊS],$AE$1,tabela_registros[DIA],reservaoutrosconsolidadofev[[#Headers],[23]],tabela_registros[REGISTRO],DADOS!$N$6,tabela_registros[TIPO],DADOS!$AJ$5,tabela_registros[CATEGORIA],reservaoutrosconsolidadofev[[#This Row],[ATUAL]])</f>
        <v>0</v>
      </c>
      <c r="AB207" s="91">
        <f>SUMIFS(tabela_registros[VALOR],tabela_registros[MÊS],$AE$1,tabela_registros[DIA],reservaoutrosconsolidadofev[[#Headers],[24]],tabela_registros[REGISTRO],DADOS!$N$6,tabela_registros[TIPO],DADOS!$AJ$5,tabela_registros[CATEGORIA],reservaoutrosconsolidadofev[[#This Row],[ATUAL]])</f>
        <v>0</v>
      </c>
      <c r="AC207" s="91">
        <f>SUMIFS(tabela_registros[VALOR],tabela_registros[MÊS],$AE$1,tabela_registros[DIA],reservaoutrosconsolidadofev[[#Headers],[25]],tabela_registros[REGISTRO],DADOS!$N$6,tabela_registros[TIPO],DADOS!$AJ$5,tabela_registros[CATEGORIA],reservaoutrosconsolidadofev[[#This Row],[ATUAL]])</f>
        <v>0</v>
      </c>
      <c r="AD207" s="91">
        <f>SUMIFS(tabela_registros[VALOR],tabela_registros[MÊS],$AE$1,tabela_registros[DIA],reservaoutrosconsolidadofev[[#Headers],[26]],tabela_registros[REGISTRO],DADOS!$N$6,tabela_registros[TIPO],DADOS!$AJ$5,tabela_registros[CATEGORIA],reservaoutrosconsolidadofev[[#This Row],[ATUAL]])</f>
        <v>0</v>
      </c>
      <c r="AE207" s="91">
        <f>SUMIFS(tabela_registros[VALOR],tabela_registros[MÊS],$AE$1,tabela_registros[DIA],reservaoutrosconsolidadofev[[#Headers],[27]],tabela_registros[REGISTRO],DADOS!$N$6,tabela_registros[TIPO],DADOS!$AJ$5,tabela_registros[CATEGORIA],reservaoutrosconsolidadofev[[#This Row],[ATUAL]])</f>
        <v>0</v>
      </c>
      <c r="AF207" s="91">
        <f>SUMIFS(tabela_registros[VALOR],tabela_registros[MÊS],$AE$1,tabela_registros[DIA],reservaoutrosconsolidadofev[[#Headers],[28]],tabela_registros[REGISTRO],DADOS!$N$6,tabela_registros[TIPO],DADOS!$AJ$5,tabela_registros[CATEGORIA],reservaoutrosconsolidadofev[[#This Row],[ATUAL]])</f>
        <v>0</v>
      </c>
      <c r="AG207" s="91">
        <f>SUMIFS(tabela_registros[VALOR],tabela_registros[MÊS],$AE$1,tabela_registros[DIA],reservaoutrosconsolidadofev[[#Headers],[29]],tabela_registros[REGISTRO],DADOS!$N$6,tabela_registros[TIPO],DADOS!$AJ$5,tabela_registros[CATEGORIA],reservaoutrosconsolidadofev[[#This Row],[ATUAL]])</f>
        <v>0</v>
      </c>
      <c r="AH207" s="91">
        <f>SUMIFS(tabela_registros[VALOR],tabela_registros[MÊS],$AE$1,tabela_registros[DIA],reservaoutrosconsolidadofev[[#Headers],[30]],tabela_registros[REGISTRO],DADOS!$N$6,tabela_registros[TIPO],DADOS!$AJ$5,tabela_registros[CATEGORIA],reservaoutrosconsolidadofev[[#This Row],[ATUAL]])</f>
        <v>0</v>
      </c>
      <c r="AI207" s="101">
        <f>SUMIFS(tabela_registros[VALOR],tabela_registros[MÊS],$AE$1,tabela_registros[DIA],reservaoutrosconsolidadofev[[#Headers],[31]],tabela_registros[REGISTRO],DADOS!$N$6,tabela_registros[TIPO],DADOS!$AJ$5,tabela_registros[CATEGORIA],reservaoutrosconsolidadofev[[#This Row],[ATUAL]])</f>
        <v>0</v>
      </c>
      <c r="AJ207" s="97">
        <f>SUM(reservaoutrosconsolidadofev[[#This Row],[1]:[31]])</f>
        <v>0</v>
      </c>
      <c r="AK207" s="25"/>
    </row>
    <row r="208" spans="2:37" ht="19.5" customHeight="1" thickTop="1" thickBot="1" x14ac:dyDescent="0.3">
      <c r="B208" s="28"/>
      <c r="C208" s="27" t="str">
        <f>DADOS!$AP$5</f>
        <v>📝 FUNDO DE INVESTIMENTO</v>
      </c>
      <c r="D208" s="26" t="str">
        <f>IF(reservaoutrosconsolidadofev[[#This Row],[TOTAL (R$)]]=0,"",IF(OR(reservaoutrosconsolidadofev[[#This Row],[TOTAL (R$)]]=LARGE($AJ$206:$AJ$213,1),reservaoutrosconsolidadofev[[#This Row],[TOTAL (R$)]]=LARGE($AJ$206:$AJ$213,2)),DADOS!$I$11,""))</f>
        <v/>
      </c>
      <c r="E208" s="96">
        <f>SUMIFS(tabela_registros[VALOR],tabela_registros[MÊS],$AE$1,tabela_registros[DIA],reservaoutrosconsolidadofev[[#Headers],[1]],tabela_registros[REGISTRO],DADOS!$N$6,tabela_registros[TIPO],DADOS!$AJ$5,tabela_registros[CATEGORIA],reservaoutrosconsolidadofev[[#This Row],[ATUAL]])</f>
        <v>0</v>
      </c>
      <c r="F208" s="91">
        <f>SUMIFS(tabela_registros[VALOR],tabela_registros[MÊS],$AE$1,tabela_registros[DIA],reservaoutrosconsolidadofev[[#Headers],[2]],tabela_registros[REGISTRO],DADOS!$N$6,tabela_registros[TIPO],DADOS!$AJ$5,tabela_registros[CATEGORIA],reservaoutrosconsolidadofev[[#This Row],[ATUAL]])</f>
        <v>0</v>
      </c>
      <c r="G208" s="91">
        <f>SUMIFS(tabela_registros[VALOR],tabela_registros[MÊS],$AE$1,tabela_registros[DIA],reservaoutrosconsolidadofev[[#Headers],[3]],tabela_registros[REGISTRO],DADOS!$N$6,tabela_registros[TIPO],DADOS!$AJ$5,tabela_registros[CATEGORIA],reservaoutrosconsolidadofev[[#This Row],[ATUAL]])</f>
        <v>0</v>
      </c>
      <c r="H208" s="91">
        <f>SUMIFS(tabela_registros[VALOR],tabela_registros[MÊS],$AE$1,tabela_registros[DIA],reservaoutrosconsolidadofev[[#Headers],[4]],tabela_registros[REGISTRO],DADOS!$N$6,tabela_registros[TIPO],DADOS!$AJ$5,tabela_registros[CATEGORIA],reservaoutrosconsolidadofev[[#This Row],[ATUAL]])</f>
        <v>0</v>
      </c>
      <c r="I208" s="91">
        <f>SUMIFS(tabela_registros[VALOR],tabela_registros[MÊS],$AE$1,tabela_registros[DIA],reservaoutrosconsolidadofev[[#Headers],[5]],tabela_registros[REGISTRO],DADOS!$N$6,tabela_registros[TIPO],DADOS!$AJ$5,tabela_registros[CATEGORIA],reservaoutrosconsolidadofev[[#This Row],[ATUAL]])</f>
        <v>0</v>
      </c>
      <c r="J208" s="91">
        <f>SUMIFS(tabela_registros[VALOR],tabela_registros[MÊS],$AE$1,tabela_registros[DIA],reservaoutrosconsolidadofev[[#Headers],[6]],tabela_registros[REGISTRO],DADOS!$N$6,tabela_registros[TIPO],DADOS!$AJ$5,tabela_registros[CATEGORIA],reservaoutrosconsolidadofev[[#This Row],[ATUAL]])</f>
        <v>0</v>
      </c>
      <c r="K208" s="91">
        <f>SUMIFS(tabela_registros[VALOR],tabela_registros[MÊS],$AE$1,tabela_registros[DIA],reservaoutrosconsolidadofev[[#Headers],[7]],tabela_registros[REGISTRO],DADOS!$N$6,tabela_registros[TIPO],DADOS!$AJ$5,tabela_registros[CATEGORIA],reservaoutrosconsolidadofev[[#This Row],[ATUAL]])</f>
        <v>0</v>
      </c>
      <c r="L208" s="91">
        <f>SUMIFS(tabela_registros[VALOR],tabela_registros[MÊS],$AE$1,tabela_registros[DIA],reservaoutrosconsolidadofev[[#Headers],[8]],tabela_registros[REGISTRO],DADOS!$N$6,tabela_registros[TIPO],DADOS!$AJ$5,tabela_registros[CATEGORIA],reservaoutrosconsolidadofev[[#This Row],[ATUAL]])</f>
        <v>0</v>
      </c>
      <c r="M208" s="91">
        <f>SUMIFS(tabela_registros[VALOR],tabela_registros[MÊS],$AE$1,tabela_registros[DIA],reservaoutrosconsolidadofev[[#Headers],[9]],tabela_registros[REGISTRO],DADOS!$N$6,tabela_registros[TIPO],DADOS!$AJ$5,tabela_registros[CATEGORIA],reservaoutrosconsolidadofev[[#This Row],[ATUAL]])</f>
        <v>0</v>
      </c>
      <c r="N208" s="91">
        <f>SUMIFS(tabela_registros[VALOR],tabela_registros[MÊS],$AE$1,tabela_registros[DIA],reservaoutrosconsolidadofev[[#Headers],[10]],tabela_registros[REGISTRO],DADOS!$N$6,tabela_registros[TIPO],DADOS!$AJ$5,tabela_registros[CATEGORIA],reservaoutrosconsolidadofev[[#This Row],[ATUAL]])</f>
        <v>0</v>
      </c>
      <c r="O208" s="91">
        <f>SUMIFS(tabela_registros[VALOR],tabela_registros[MÊS],$AE$1,tabela_registros[DIA],reservaoutrosconsolidadofev[[#Headers],[11]],tabela_registros[REGISTRO],DADOS!$N$6,tabela_registros[TIPO],DADOS!$AJ$5,tabela_registros[CATEGORIA],reservaoutrosconsolidadofev[[#This Row],[ATUAL]])</f>
        <v>0</v>
      </c>
      <c r="P208" s="91">
        <f>SUMIFS(tabela_registros[VALOR],tabela_registros[MÊS],$AE$1,tabela_registros[DIA],reservaoutrosconsolidadofev[[#Headers],[12]],tabela_registros[REGISTRO],DADOS!$N$6,tabela_registros[TIPO],DADOS!$AJ$5,tabela_registros[CATEGORIA],reservaoutrosconsolidadofev[[#This Row],[ATUAL]])</f>
        <v>0</v>
      </c>
      <c r="Q208" s="91">
        <f>SUMIFS(tabela_registros[VALOR],tabela_registros[MÊS],$AE$1,tabela_registros[DIA],reservaoutrosconsolidadofev[[#Headers],[13]],tabela_registros[REGISTRO],DADOS!$N$6,tabela_registros[TIPO],DADOS!$AJ$5,tabela_registros[CATEGORIA],reservaoutrosconsolidadofev[[#This Row],[ATUAL]])</f>
        <v>0</v>
      </c>
      <c r="R208" s="91">
        <f>SUMIFS(tabela_registros[VALOR],tabela_registros[MÊS],$AE$1,tabela_registros[DIA],reservaoutrosconsolidadofev[[#Headers],[14]],tabela_registros[REGISTRO],DADOS!$N$6,tabela_registros[TIPO],DADOS!$AJ$5,tabela_registros[CATEGORIA],reservaoutrosconsolidadofev[[#This Row],[ATUAL]])</f>
        <v>0</v>
      </c>
      <c r="S208" s="91">
        <f>SUMIFS(tabela_registros[VALOR],tabela_registros[MÊS],$AE$1,tabela_registros[DIA],reservaoutrosconsolidadofev[[#Headers],[15]],tabela_registros[REGISTRO],DADOS!$N$6,tabela_registros[TIPO],DADOS!$AJ$5,tabela_registros[CATEGORIA],reservaoutrosconsolidadofev[[#This Row],[ATUAL]])</f>
        <v>0</v>
      </c>
      <c r="T208" s="91">
        <f>SUMIFS(tabela_registros[VALOR],tabela_registros[MÊS],$AE$1,tabela_registros[DIA],reservaoutrosconsolidadofev[[#Headers],[16]],tabela_registros[REGISTRO],DADOS!$N$6,tabela_registros[TIPO],DADOS!$AJ$5,tabela_registros[CATEGORIA],reservaoutrosconsolidadofev[[#This Row],[ATUAL]])</f>
        <v>0</v>
      </c>
      <c r="U208" s="91">
        <f>SUMIFS(tabela_registros[VALOR],tabela_registros[MÊS],$AE$1,tabela_registros[DIA],reservaoutrosconsolidadofev[[#Headers],[17]],tabela_registros[REGISTRO],DADOS!$N$6,tabela_registros[TIPO],DADOS!$AJ$5,tabela_registros[CATEGORIA],reservaoutrosconsolidadofev[[#This Row],[ATUAL]])</f>
        <v>0</v>
      </c>
      <c r="V208" s="91">
        <f>SUMIFS(tabela_registros[VALOR],tabela_registros[MÊS],$AE$1,tabela_registros[DIA],reservaoutrosconsolidadofev[[#Headers],[18]],tabela_registros[REGISTRO],DADOS!$N$6,tabela_registros[TIPO],DADOS!$AJ$5,tabela_registros[CATEGORIA],reservaoutrosconsolidadofev[[#This Row],[ATUAL]])</f>
        <v>0</v>
      </c>
      <c r="W208" s="91">
        <f>SUMIFS(tabela_registros[VALOR],tabela_registros[MÊS],$AE$1,tabela_registros[DIA],reservaoutrosconsolidadofev[[#Headers],[19]],tabela_registros[REGISTRO],DADOS!$N$6,tabela_registros[TIPO],DADOS!$AJ$5,tabela_registros[CATEGORIA],reservaoutrosconsolidadofev[[#This Row],[ATUAL]])</f>
        <v>0</v>
      </c>
      <c r="X208" s="91">
        <f>SUMIFS(tabela_registros[VALOR],tabela_registros[MÊS],$AE$1,tabela_registros[DIA],reservaoutrosconsolidadofev[[#Headers],[20]],tabela_registros[REGISTRO],DADOS!$N$6,tabela_registros[TIPO],DADOS!$AJ$5,tabela_registros[CATEGORIA],reservaoutrosconsolidadofev[[#This Row],[ATUAL]])</f>
        <v>0</v>
      </c>
      <c r="Y208" s="91">
        <f>SUMIFS(tabela_registros[VALOR],tabela_registros[MÊS],$AE$1,tabela_registros[DIA],reservaoutrosconsolidadofev[[#Headers],[21]],tabela_registros[REGISTRO],DADOS!$N$6,tabela_registros[TIPO],DADOS!$AJ$5,tabela_registros[CATEGORIA],reservaoutrosconsolidadofev[[#This Row],[ATUAL]])</f>
        <v>0</v>
      </c>
      <c r="Z208" s="91">
        <f>SUMIFS(tabela_registros[VALOR],tabela_registros[MÊS],$AE$1,tabela_registros[DIA],reservaoutrosconsolidadofev[[#Headers],[22]],tabela_registros[REGISTRO],DADOS!$N$6,tabela_registros[TIPO],DADOS!$AJ$5,tabela_registros[CATEGORIA],reservaoutrosconsolidadofev[[#This Row],[ATUAL]])</f>
        <v>0</v>
      </c>
      <c r="AA208" s="91">
        <f>SUMIFS(tabela_registros[VALOR],tabela_registros[MÊS],$AE$1,tabela_registros[DIA],reservaoutrosconsolidadofev[[#Headers],[23]],tabela_registros[REGISTRO],DADOS!$N$6,tabela_registros[TIPO],DADOS!$AJ$5,tabela_registros[CATEGORIA],reservaoutrosconsolidadofev[[#This Row],[ATUAL]])</f>
        <v>0</v>
      </c>
      <c r="AB208" s="91">
        <f>SUMIFS(tabela_registros[VALOR],tabela_registros[MÊS],$AE$1,tabela_registros[DIA],reservaoutrosconsolidadofev[[#Headers],[24]],tabela_registros[REGISTRO],DADOS!$N$6,tabela_registros[TIPO],DADOS!$AJ$5,tabela_registros[CATEGORIA],reservaoutrosconsolidadofev[[#This Row],[ATUAL]])</f>
        <v>0</v>
      </c>
      <c r="AC208" s="91">
        <f>SUMIFS(tabela_registros[VALOR],tabela_registros[MÊS],$AE$1,tabela_registros[DIA],reservaoutrosconsolidadofev[[#Headers],[25]],tabela_registros[REGISTRO],DADOS!$N$6,tabela_registros[TIPO],DADOS!$AJ$5,tabela_registros[CATEGORIA],reservaoutrosconsolidadofev[[#This Row],[ATUAL]])</f>
        <v>0</v>
      </c>
      <c r="AD208" s="91">
        <f>SUMIFS(tabela_registros[VALOR],tabela_registros[MÊS],$AE$1,tabela_registros[DIA],reservaoutrosconsolidadofev[[#Headers],[26]],tabela_registros[REGISTRO],DADOS!$N$6,tabela_registros[TIPO],DADOS!$AJ$5,tabela_registros[CATEGORIA],reservaoutrosconsolidadofev[[#This Row],[ATUAL]])</f>
        <v>0</v>
      </c>
      <c r="AE208" s="91">
        <f>SUMIFS(tabela_registros[VALOR],tabela_registros[MÊS],$AE$1,tabela_registros[DIA],reservaoutrosconsolidadofev[[#Headers],[27]],tabela_registros[REGISTRO],DADOS!$N$6,tabela_registros[TIPO],DADOS!$AJ$5,tabela_registros[CATEGORIA],reservaoutrosconsolidadofev[[#This Row],[ATUAL]])</f>
        <v>0</v>
      </c>
      <c r="AF208" s="91">
        <f>SUMIFS(tabela_registros[VALOR],tabela_registros[MÊS],$AE$1,tabela_registros[DIA],reservaoutrosconsolidadofev[[#Headers],[28]],tabela_registros[REGISTRO],DADOS!$N$6,tabela_registros[TIPO],DADOS!$AJ$5,tabela_registros[CATEGORIA],reservaoutrosconsolidadofev[[#This Row],[ATUAL]])</f>
        <v>0</v>
      </c>
      <c r="AG208" s="91">
        <f>SUMIFS(tabela_registros[VALOR],tabela_registros[MÊS],$AE$1,tabela_registros[DIA],reservaoutrosconsolidadofev[[#Headers],[29]],tabela_registros[REGISTRO],DADOS!$N$6,tabela_registros[TIPO],DADOS!$AJ$5,tabela_registros[CATEGORIA],reservaoutrosconsolidadofev[[#This Row],[ATUAL]])</f>
        <v>0</v>
      </c>
      <c r="AH208" s="91">
        <f>SUMIFS(tabela_registros[VALOR],tabela_registros[MÊS],$AE$1,tabela_registros[DIA],reservaoutrosconsolidadofev[[#Headers],[30]],tabela_registros[REGISTRO],DADOS!$N$6,tabela_registros[TIPO],DADOS!$AJ$5,tabela_registros[CATEGORIA],reservaoutrosconsolidadofev[[#This Row],[ATUAL]])</f>
        <v>0</v>
      </c>
      <c r="AI208" s="101">
        <f>SUMIFS(tabela_registros[VALOR],tabela_registros[MÊS],$AE$1,tabela_registros[DIA],reservaoutrosconsolidadofev[[#Headers],[31]],tabela_registros[REGISTRO],DADOS!$N$6,tabela_registros[TIPO],DADOS!$AJ$5,tabela_registros[CATEGORIA],reservaoutrosconsolidadofev[[#This Row],[ATUAL]])</f>
        <v>0</v>
      </c>
      <c r="AJ208" s="97">
        <f>SUM(reservaoutrosconsolidadofev[[#This Row],[1]:[31]])</f>
        <v>0</v>
      </c>
      <c r="AK208" s="25"/>
    </row>
    <row r="209" spans="2:37" ht="19.5" customHeight="1" thickTop="1" thickBot="1" x14ac:dyDescent="0.3">
      <c r="B209" s="28"/>
      <c r="C209" s="27" t="str">
        <f>DADOS!$AP$6</f>
        <v>📝 NOVA EMPRESA</v>
      </c>
      <c r="D209" s="26" t="str">
        <f>IF(reservaoutrosconsolidadofev[[#This Row],[TOTAL (R$)]]=0,"",IF(OR(reservaoutrosconsolidadofev[[#This Row],[TOTAL (R$)]]=LARGE($AJ$206:$AJ$213,1),reservaoutrosconsolidadofev[[#This Row],[TOTAL (R$)]]=LARGE($AJ$206:$AJ$213,2)),DADOS!$I$11,""))</f>
        <v>🚑</v>
      </c>
      <c r="E209" s="96">
        <f>SUMIFS(tabela_registros[VALOR],tabela_registros[MÊS],$AE$1,tabela_registros[DIA],reservaoutrosconsolidadofev[[#Headers],[1]],tabela_registros[REGISTRO],DADOS!$N$6,tabela_registros[TIPO],DADOS!$AJ$5,tabela_registros[CATEGORIA],reservaoutrosconsolidadofev[[#This Row],[ATUAL]])</f>
        <v>0</v>
      </c>
      <c r="F209" s="91">
        <f>SUMIFS(tabela_registros[VALOR],tabela_registros[MÊS],$AE$1,tabela_registros[DIA],reservaoutrosconsolidadofev[[#Headers],[2]],tabela_registros[REGISTRO],DADOS!$N$6,tabela_registros[TIPO],DADOS!$AJ$5,tabela_registros[CATEGORIA],reservaoutrosconsolidadofev[[#This Row],[ATUAL]])</f>
        <v>86</v>
      </c>
      <c r="G209" s="91">
        <f>SUMIFS(tabela_registros[VALOR],tabela_registros[MÊS],$AE$1,tabela_registros[DIA],reservaoutrosconsolidadofev[[#Headers],[3]],tabela_registros[REGISTRO],DADOS!$N$6,tabela_registros[TIPO],DADOS!$AJ$5,tabela_registros[CATEGORIA],reservaoutrosconsolidadofev[[#This Row],[ATUAL]])</f>
        <v>0</v>
      </c>
      <c r="H209" s="91">
        <f>SUMIFS(tabela_registros[VALOR],tabela_registros[MÊS],$AE$1,tabela_registros[DIA],reservaoutrosconsolidadofev[[#Headers],[4]],tabela_registros[REGISTRO],DADOS!$N$6,tabela_registros[TIPO],DADOS!$AJ$5,tabela_registros[CATEGORIA],reservaoutrosconsolidadofev[[#This Row],[ATUAL]])</f>
        <v>0</v>
      </c>
      <c r="I209" s="91">
        <f>SUMIFS(tabela_registros[VALOR],tabela_registros[MÊS],$AE$1,tabela_registros[DIA],reservaoutrosconsolidadofev[[#Headers],[5]],tabela_registros[REGISTRO],DADOS!$N$6,tabela_registros[TIPO],DADOS!$AJ$5,tabela_registros[CATEGORIA],reservaoutrosconsolidadofev[[#This Row],[ATUAL]])</f>
        <v>0</v>
      </c>
      <c r="J209" s="91">
        <f>SUMIFS(tabela_registros[VALOR],tabela_registros[MÊS],$AE$1,tabela_registros[DIA],reservaoutrosconsolidadofev[[#Headers],[6]],tabela_registros[REGISTRO],DADOS!$N$6,tabela_registros[TIPO],DADOS!$AJ$5,tabela_registros[CATEGORIA],reservaoutrosconsolidadofev[[#This Row],[ATUAL]])</f>
        <v>0</v>
      </c>
      <c r="K209" s="91">
        <f>SUMIFS(tabela_registros[VALOR],tabela_registros[MÊS],$AE$1,tabela_registros[DIA],reservaoutrosconsolidadofev[[#Headers],[7]],tabela_registros[REGISTRO],DADOS!$N$6,tabela_registros[TIPO],DADOS!$AJ$5,tabela_registros[CATEGORIA],reservaoutrosconsolidadofev[[#This Row],[ATUAL]])</f>
        <v>0</v>
      </c>
      <c r="L209" s="91">
        <f>SUMIFS(tabela_registros[VALOR],tabela_registros[MÊS],$AE$1,tabela_registros[DIA],reservaoutrosconsolidadofev[[#Headers],[8]],tabela_registros[REGISTRO],DADOS!$N$6,tabela_registros[TIPO],DADOS!$AJ$5,tabela_registros[CATEGORIA],reservaoutrosconsolidadofev[[#This Row],[ATUAL]])</f>
        <v>0</v>
      </c>
      <c r="M209" s="91">
        <f>SUMIFS(tabela_registros[VALOR],tabela_registros[MÊS],$AE$1,tabela_registros[DIA],reservaoutrosconsolidadofev[[#Headers],[9]],tabela_registros[REGISTRO],DADOS!$N$6,tabela_registros[TIPO],DADOS!$AJ$5,tabela_registros[CATEGORIA],reservaoutrosconsolidadofev[[#This Row],[ATUAL]])</f>
        <v>0</v>
      </c>
      <c r="N209" s="91">
        <f>SUMIFS(tabela_registros[VALOR],tabela_registros[MÊS],$AE$1,tabela_registros[DIA],reservaoutrosconsolidadofev[[#Headers],[10]],tabela_registros[REGISTRO],DADOS!$N$6,tabela_registros[TIPO],DADOS!$AJ$5,tabela_registros[CATEGORIA],reservaoutrosconsolidadofev[[#This Row],[ATUAL]])</f>
        <v>0</v>
      </c>
      <c r="O209" s="91">
        <f>SUMIFS(tabela_registros[VALOR],tabela_registros[MÊS],$AE$1,tabela_registros[DIA],reservaoutrosconsolidadofev[[#Headers],[11]],tabela_registros[REGISTRO],DADOS!$N$6,tabela_registros[TIPO],DADOS!$AJ$5,tabela_registros[CATEGORIA],reservaoutrosconsolidadofev[[#This Row],[ATUAL]])</f>
        <v>0</v>
      </c>
      <c r="P209" s="91">
        <f>SUMIFS(tabela_registros[VALOR],tabela_registros[MÊS],$AE$1,tabela_registros[DIA],reservaoutrosconsolidadofev[[#Headers],[12]],tabela_registros[REGISTRO],DADOS!$N$6,tabela_registros[TIPO],DADOS!$AJ$5,tabela_registros[CATEGORIA],reservaoutrosconsolidadofev[[#This Row],[ATUAL]])</f>
        <v>0</v>
      </c>
      <c r="Q209" s="91">
        <f>SUMIFS(tabela_registros[VALOR],tabela_registros[MÊS],$AE$1,tabela_registros[DIA],reservaoutrosconsolidadofev[[#Headers],[13]],tabela_registros[REGISTRO],DADOS!$N$6,tabela_registros[TIPO],DADOS!$AJ$5,tabela_registros[CATEGORIA],reservaoutrosconsolidadofev[[#This Row],[ATUAL]])</f>
        <v>0</v>
      </c>
      <c r="R209" s="91">
        <f>SUMIFS(tabela_registros[VALOR],tabela_registros[MÊS],$AE$1,tabela_registros[DIA],reservaoutrosconsolidadofev[[#Headers],[14]],tabela_registros[REGISTRO],DADOS!$N$6,tabela_registros[TIPO],DADOS!$AJ$5,tabela_registros[CATEGORIA],reservaoutrosconsolidadofev[[#This Row],[ATUAL]])</f>
        <v>0</v>
      </c>
      <c r="S209" s="91">
        <f>SUMIFS(tabela_registros[VALOR],tabela_registros[MÊS],$AE$1,tabela_registros[DIA],reservaoutrosconsolidadofev[[#Headers],[15]],tabela_registros[REGISTRO],DADOS!$N$6,tabela_registros[TIPO],DADOS!$AJ$5,tabela_registros[CATEGORIA],reservaoutrosconsolidadofev[[#This Row],[ATUAL]])</f>
        <v>0</v>
      </c>
      <c r="T209" s="91">
        <f>SUMIFS(tabela_registros[VALOR],tabela_registros[MÊS],$AE$1,tabela_registros[DIA],reservaoutrosconsolidadofev[[#Headers],[16]],tabela_registros[REGISTRO],DADOS!$N$6,tabela_registros[TIPO],DADOS!$AJ$5,tabela_registros[CATEGORIA],reservaoutrosconsolidadofev[[#This Row],[ATUAL]])</f>
        <v>0</v>
      </c>
      <c r="U209" s="91">
        <f>SUMIFS(tabela_registros[VALOR],tabela_registros[MÊS],$AE$1,tabela_registros[DIA],reservaoutrosconsolidadofev[[#Headers],[17]],tabela_registros[REGISTRO],DADOS!$N$6,tabela_registros[TIPO],DADOS!$AJ$5,tabela_registros[CATEGORIA],reservaoutrosconsolidadofev[[#This Row],[ATUAL]])</f>
        <v>0</v>
      </c>
      <c r="V209" s="91">
        <f>SUMIFS(tabela_registros[VALOR],tabela_registros[MÊS],$AE$1,tabela_registros[DIA],reservaoutrosconsolidadofev[[#Headers],[18]],tabela_registros[REGISTRO],DADOS!$N$6,tabela_registros[TIPO],DADOS!$AJ$5,tabela_registros[CATEGORIA],reservaoutrosconsolidadofev[[#This Row],[ATUAL]])</f>
        <v>0</v>
      </c>
      <c r="W209" s="91">
        <f>SUMIFS(tabela_registros[VALOR],tabela_registros[MÊS],$AE$1,tabela_registros[DIA],reservaoutrosconsolidadofev[[#Headers],[19]],tabela_registros[REGISTRO],DADOS!$N$6,tabela_registros[TIPO],DADOS!$AJ$5,tabela_registros[CATEGORIA],reservaoutrosconsolidadofev[[#This Row],[ATUAL]])</f>
        <v>0</v>
      </c>
      <c r="X209" s="91">
        <f>SUMIFS(tabela_registros[VALOR],tabela_registros[MÊS],$AE$1,tabela_registros[DIA],reservaoutrosconsolidadofev[[#Headers],[20]],tabela_registros[REGISTRO],DADOS!$N$6,tabela_registros[TIPO],DADOS!$AJ$5,tabela_registros[CATEGORIA],reservaoutrosconsolidadofev[[#This Row],[ATUAL]])</f>
        <v>0</v>
      </c>
      <c r="Y209" s="91">
        <f>SUMIFS(tabela_registros[VALOR],tabela_registros[MÊS],$AE$1,tabela_registros[DIA],reservaoutrosconsolidadofev[[#Headers],[21]],tabela_registros[REGISTRO],DADOS!$N$6,tabela_registros[TIPO],DADOS!$AJ$5,tabela_registros[CATEGORIA],reservaoutrosconsolidadofev[[#This Row],[ATUAL]])</f>
        <v>0</v>
      </c>
      <c r="Z209" s="91">
        <f>SUMIFS(tabela_registros[VALOR],tabela_registros[MÊS],$AE$1,tabela_registros[DIA],reservaoutrosconsolidadofev[[#Headers],[22]],tabela_registros[REGISTRO],DADOS!$N$6,tabela_registros[TIPO],DADOS!$AJ$5,tabela_registros[CATEGORIA],reservaoutrosconsolidadofev[[#This Row],[ATUAL]])</f>
        <v>0</v>
      </c>
      <c r="AA209" s="91">
        <f>SUMIFS(tabela_registros[VALOR],tabela_registros[MÊS],$AE$1,tabela_registros[DIA],reservaoutrosconsolidadofev[[#Headers],[23]],tabela_registros[REGISTRO],DADOS!$N$6,tabela_registros[TIPO],DADOS!$AJ$5,tabela_registros[CATEGORIA],reservaoutrosconsolidadofev[[#This Row],[ATUAL]])</f>
        <v>0</v>
      </c>
      <c r="AB209" s="91">
        <f>SUMIFS(tabela_registros[VALOR],tabela_registros[MÊS],$AE$1,tabela_registros[DIA],reservaoutrosconsolidadofev[[#Headers],[24]],tabela_registros[REGISTRO],DADOS!$N$6,tabela_registros[TIPO],DADOS!$AJ$5,tabela_registros[CATEGORIA],reservaoutrosconsolidadofev[[#This Row],[ATUAL]])</f>
        <v>0</v>
      </c>
      <c r="AC209" s="91">
        <f>SUMIFS(tabela_registros[VALOR],tabela_registros[MÊS],$AE$1,tabela_registros[DIA],reservaoutrosconsolidadofev[[#Headers],[25]],tabela_registros[REGISTRO],DADOS!$N$6,tabela_registros[TIPO],DADOS!$AJ$5,tabela_registros[CATEGORIA],reservaoutrosconsolidadofev[[#This Row],[ATUAL]])</f>
        <v>0</v>
      </c>
      <c r="AD209" s="91">
        <f>SUMIFS(tabela_registros[VALOR],tabela_registros[MÊS],$AE$1,tabela_registros[DIA],reservaoutrosconsolidadofev[[#Headers],[26]],tabela_registros[REGISTRO],DADOS!$N$6,tabela_registros[TIPO],DADOS!$AJ$5,tabela_registros[CATEGORIA],reservaoutrosconsolidadofev[[#This Row],[ATUAL]])</f>
        <v>0</v>
      </c>
      <c r="AE209" s="91">
        <f>SUMIFS(tabela_registros[VALOR],tabela_registros[MÊS],$AE$1,tabela_registros[DIA],reservaoutrosconsolidadofev[[#Headers],[27]],tabela_registros[REGISTRO],DADOS!$N$6,tabela_registros[TIPO],DADOS!$AJ$5,tabela_registros[CATEGORIA],reservaoutrosconsolidadofev[[#This Row],[ATUAL]])</f>
        <v>0</v>
      </c>
      <c r="AF209" s="91">
        <f>SUMIFS(tabela_registros[VALOR],tabela_registros[MÊS],$AE$1,tabela_registros[DIA],reservaoutrosconsolidadofev[[#Headers],[28]],tabela_registros[REGISTRO],DADOS!$N$6,tabela_registros[TIPO],DADOS!$AJ$5,tabela_registros[CATEGORIA],reservaoutrosconsolidadofev[[#This Row],[ATUAL]])</f>
        <v>0</v>
      </c>
      <c r="AG209" s="91">
        <f>SUMIFS(tabela_registros[VALOR],tabela_registros[MÊS],$AE$1,tabela_registros[DIA],reservaoutrosconsolidadofev[[#Headers],[29]],tabela_registros[REGISTRO],DADOS!$N$6,tabela_registros[TIPO],DADOS!$AJ$5,tabela_registros[CATEGORIA],reservaoutrosconsolidadofev[[#This Row],[ATUAL]])</f>
        <v>0</v>
      </c>
      <c r="AH209" s="91">
        <f>SUMIFS(tabela_registros[VALOR],tabela_registros[MÊS],$AE$1,tabela_registros[DIA],reservaoutrosconsolidadofev[[#Headers],[30]],tabela_registros[REGISTRO],DADOS!$N$6,tabela_registros[TIPO],DADOS!$AJ$5,tabela_registros[CATEGORIA],reservaoutrosconsolidadofev[[#This Row],[ATUAL]])</f>
        <v>0</v>
      </c>
      <c r="AI209" s="101">
        <f>SUMIFS(tabela_registros[VALOR],tabela_registros[MÊS],$AE$1,tabela_registros[DIA],reservaoutrosconsolidadofev[[#Headers],[31]],tabela_registros[REGISTRO],DADOS!$N$6,tabela_registros[TIPO],DADOS!$AJ$5,tabela_registros[CATEGORIA],reservaoutrosconsolidadofev[[#This Row],[ATUAL]])</f>
        <v>0</v>
      </c>
      <c r="AJ209" s="97">
        <f>SUM(reservaoutrosconsolidadofev[[#This Row],[1]:[31]])</f>
        <v>86</v>
      </c>
      <c r="AK209" s="25"/>
    </row>
    <row r="210" spans="2:37" ht="19.5" customHeight="1" thickTop="1" thickBot="1" x14ac:dyDescent="0.3">
      <c r="B210" s="28"/>
      <c r="C210" s="27" t="str">
        <f>DADOS!$AP$7</f>
        <v>📝 PEER TO COMPANY</v>
      </c>
      <c r="D210" s="26" t="str">
        <f>IF(reservaoutrosconsolidadofev[[#This Row],[TOTAL (R$)]]=0,"",IF(OR(reservaoutrosconsolidadofev[[#This Row],[TOTAL (R$)]]=LARGE($AJ$206:$AJ$213,1),reservaoutrosconsolidadofev[[#This Row],[TOTAL (R$)]]=LARGE($AJ$206:$AJ$213,2)),DADOS!$I$11,""))</f>
        <v/>
      </c>
      <c r="E210" s="96">
        <f>SUMIFS(tabela_registros[VALOR],tabela_registros[MÊS],$AE$1,tabela_registros[DIA],reservaoutrosconsolidadofev[[#Headers],[1]],tabela_registros[REGISTRO],DADOS!$N$6,tabela_registros[TIPO],DADOS!$AJ$5,tabela_registros[CATEGORIA],reservaoutrosconsolidadofev[[#This Row],[ATUAL]])</f>
        <v>0</v>
      </c>
      <c r="F210" s="91">
        <f>SUMIFS(tabela_registros[VALOR],tabela_registros[MÊS],$AE$1,tabela_registros[DIA],reservaoutrosconsolidadofev[[#Headers],[2]],tabela_registros[REGISTRO],DADOS!$N$6,tabela_registros[TIPO],DADOS!$AJ$5,tabela_registros[CATEGORIA],reservaoutrosconsolidadofev[[#This Row],[ATUAL]])</f>
        <v>0</v>
      </c>
      <c r="G210" s="91">
        <f>SUMIFS(tabela_registros[VALOR],tabela_registros[MÊS],$AE$1,tabela_registros[DIA],reservaoutrosconsolidadofev[[#Headers],[3]],tabela_registros[REGISTRO],DADOS!$N$6,tabela_registros[TIPO],DADOS!$AJ$5,tabela_registros[CATEGORIA],reservaoutrosconsolidadofev[[#This Row],[ATUAL]])</f>
        <v>0</v>
      </c>
      <c r="H210" s="91">
        <f>SUMIFS(tabela_registros[VALOR],tabela_registros[MÊS],$AE$1,tabela_registros[DIA],reservaoutrosconsolidadofev[[#Headers],[4]],tabela_registros[REGISTRO],DADOS!$N$6,tabela_registros[TIPO],DADOS!$AJ$5,tabela_registros[CATEGORIA],reservaoutrosconsolidadofev[[#This Row],[ATUAL]])</f>
        <v>0</v>
      </c>
      <c r="I210" s="91">
        <f>SUMIFS(tabela_registros[VALOR],tabela_registros[MÊS],$AE$1,tabela_registros[DIA],reservaoutrosconsolidadofev[[#Headers],[5]],tabela_registros[REGISTRO],DADOS!$N$6,tabela_registros[TIPO],DADOS!$AJ$5,tabela_registros[CATEGORIA],reservaoutrosconsolidadofev[[#This Row],[ATUAL]])</f>
        <v>0</v>
      </c>
      <c r="J210" s="91">
        <f>SUMIFS(tabela_registros[VALOR],tabela_registros[MÊS],$AE$1,tabela_registros[DIA],reservaoutrosconsolidadofev[[#Headers],[6]],tabela_registros[REGISTRO],DADOS!$N$6,tabela_registros[TIPO],DADOS!$AJ$5,tabela_registros[CATEGORIA],reservaoutrosconsolidadofev[[#This Row],[ATUAL]])</f>
        <v>0</v>
      </c>
      <c r="K210" s="91">
        <f>SUMIFS(tabela_registros[VALOR],tabela_registros[MÊS],$AE$1,tabela_registros[DIA],reservaoutrosconsolidadofev[[#Headers],[7]],tabela_registros[REGISTRO],DADOS!$N$6,tabela_registros[TIPO],DADOS!$AJ$5,tabela_registros[CATEGORIA],reservaoutrosconsolidadofev[[#This Row],[ATUAL]])</f>
        <v>0</v>
      </c>
      <c r="L210" s="91">
        <f>SUMIFS(tabela_registros[VALOR],tabela_registros[MÊS],$AE$1,tabela_registros[DIA],reservaoutrosconsolidadofev[[#Headers],[8]],tabela_registros[REGISTRO],DADOS!$N$6,tabela_registros[TIPO],DADOS!$AJ$5,tabela_registros[CATEGORIA],reservaoutrosconsolidadofev[[#This Row],[ATUAL]])</f>
        <v>0</v>
      </c>
      <c r="M210" s="91">
        <f>SUMIFS(tabela_registros[VALOR],tabela_registros[MÊS],$AE$1,tabela_registros[DIA],reservaoutrosconsolidadofev[[#Headers],[9]],tabela_registros[REGISTRO],DADOS!$N$6,tabela_registros[TIPO],DADOS!$AJ$5,tabela_registros[CATEGORIA],reservaoutrosconsolidadofev[[#This Row],[ATUAL]])</f>
        <v>0</v>
      </c>
      <c r="N210" s="91">
        <f>SUMIFS(tabela_registros[VALOR],tabela_registros[MÊS],$AE$1,tabela_registros[DIA],reservaoutrosconsolidadofev[[#Headers],[10]],tabela_registros[REGISTRO],DADOS!$N$6,tabela_registros[TIPO],DADOS!$AJ$5,tabela_registros[CATEGORIA],reservaoutrosconsolidadofev[[#This Row],[ATUAL]])</f>
        <v>0</v>
      </c>
      <c r="O210" s="91">
        <f>SUMIFS(tabela_registros[VALOR],tabela_registros[MÊS],$AE$1,tabela_registros[DIA],reservaoutrosconsolidadofev[[#Headers],[11]],tabela_registros[REGISTRO],DADOS!$N$6,tabela_registros[TIPO],DADOS!$AJ$5,tabela_registros[CATEGORIA],reservaoutrosconsolidadofev[[#This Row],[ATUAL]])</f>
        <v>0</v>
      </c>
      <c r="P210" s="91">
        <f>SUMIFS(tabela_registros[VALOR],tabela_registros[MÊS],$AE$1,tabela_registros[DIA],reservaoutrosconsolidadofev[[#Headers],[12]],tabela_registros[REGISTRO],DADOS!$N$6,tabela_registros[TIPO],DADOS!$AJ$5,tabela_registros[CATEGORIA],reservaoutrosconsolidadofev[[#This Row],[ATUAL]])</f>
        <v>0</v>
      </c>
      <c r="Q210" s="91">
        <f>SUMIFS(tabela_registros[VALOR],tabela_registros[MÊS],$AE$1,tabela_registros[DIA],reservaoutrosconsolidadofev[[#Headers],[13]],tabela_registros[REGISTRO],DADOS!$N$6,tabela_registros[TIPO],DADOS!$AJ$5,tabela_registros[CATEGORIA],reservaoutrosconsolidadofev[[#This Row],[ATUAL]])</f>
        <v>0</v>
      </c>
      <c r="R210" s="91">
        <f>SUMIFS(tabela_registros[VALOR],tabela_registros[MÊS],$AE$1,tabela_registros[DIA],reservaoutrosconsolidadofev[[#Headers],[14]],tabela_registros[REGISTRO],DADOS!$N$6,tabela_registros[TIPO],DADOS!$AJ$5,tabela_registros[CATEGORIA],reservaoutrosconsolidadofev[[#This Row],[ATUAL]])</f>
        <v>0</v>
      </c>
      <c r="S210" s="91">
        <f>SUMIFS(tabela_registros[VALOR],tabela_registros[MÊS],$AE$1,tabela_registros[DIA],reservaoutrosconsolidadofev[[#Headers],[15]],tabela_registros[REGISTRO],DADOS!$N$6,tabela_registros[TIPO],DADOS!$AJ$5,tabela_registros[CATEGORIA],reservaoutrosconsolidadofev[[#This Row],[ATUAL]])</f>
        <v>0</v>
      </c>
      <c r="T210" s="91">
        <f>SUMIFS(tabela_registros[VALOR],tabela_registros[MÊS],$AE$1,tabela_registros[DIA],reservaoutrosconsolidadofev[[#Headers],[16]],tabela_registros[REGISTRO],DADOS!$N$6,tabela_registros[TIPO],DADOS!$AJ$5,tabela_registros[CATEGORIA],reservaoutrosconsolidadofev[[#This Row],[ATUAL]])</f>
        <v>0</v>
      </c>
      <c r="U210" s="91">
        <f>SUMIFS(tabela_registros[VALOR],tabela_registros[MÊS],$AE$1,tabela_registros[DIA],reservaoutrosconsolidadofev[[#Headers],[17]],tabela_registros[REGISTRO],DADOS!$N$6,tabela_registros[TIPO],DADOS!$AJ$5,tabela_registros[CATEGORIA],reservaoutrosconsolidadofev[[#This Row],[ATUAL]])</f>
        <v>0</v>
      </c>
      <c r="V210" s="91">
        <f>SUMIFS(tabela_registros[VALOR],tabela_registros[MÊS],$AE$1,tabela_registros[DIA],reservaoutrosconsolidadofev[[#Headers],[18]],tabela_registros[REGISTRO],DADOS!$N$6,tabela_registros[TIPO],DADOS!$AJ$5,tabela_registros[CATEGORIA],reservaoutrosconsolidadofev[[#This Row],[ATUAL]])</f>
        <v>0</v>
      </c>
      <c r="W210" s="91">
        <f>SUMIFS(tabela_registros[VALOR],tabela_registros[MÊS],$AE$1,tabela_registros[DIA],reservaoutrosconsolidadofev[[#Headers],[19]],tabela_registros[REGISTRO],DADOS!$N$6,tabela_registros[TIPO],DADOS!$AJ$5,tabela_registros[CATEGORIA],reservaoutrosconsolidadofev[[#This Row],[ATUAL]])</f>
        <v>0</v>
      </c>
      <c r="X210" s="91">
        <f>SUMIFS(tabela_registros[VALOR],tabela_registros[MÊS],$AE$1,tabela_registros[DIA],reservaoutrosconsolidadofev[[#Headers],[20]],tabela_registros[REGISTRO],DADOS!$N$6,tabela_registros[TIPO],DADOS!$AJ$5,tabela_registros[CATEGORIA],reservaoutrosconsolidadofev[[#This Row],[ATUAL]])</f>
        <v>0</v>
      </c>
      <c r="Y210" s="91">
        <f>SUMIFS(tabela_registros[VALOR],tabela_registros[MÊS],$AE$1,tabela_registros[DIA],reservaoutrosconsolidadofev[[#Headers],[21]],tabela_registros[REGISTRO],DADOS!$N$6,tabela_registros[TIPO],DADOS!$AJ$5,tabela_registros[CATEGORIA],reservaoutrosconsolidadofev[[#This Row],[ATUAL]])</f>
        <v>0</v>
      </c>
      <c r="Z210" s="91">
        <f>SUMIFS(tabela_registros[VALOR],tabela_registros[MÊS],$AE$1,tabela_registros[DIA],reservaoutrosconsolidadofev[[#Headers],[22]],tabela_registros[REGISTRO],DADOS!$N$6,tabela_registros[TIPO],DADOS!$AJ$5,tabela_registros[CATEGORIA],reservaoutrosconsolidadofev[[#This Row],[ATUAL]])</f>
        <v>0</v>
      </c>
      <c r="AA210" s="91">
        <f>SUMIFS(tabela_registros[VALOR],tabela_registros[MÊS],$AE$1,tabela_registros[DIA],reservaoutrosconsolidadofev[[#Headers],[23]],tabela_registros[REGISTRO],DADOS!$N$6,tabela_registros[TIPO],DADOS!$AJ$5,tabela_registros[CATEGORIA],reservaoutrosconsolidadofev[[#This Row],[ATUAL]])</f>
        <v>0</v>
      </c>
      <c r="AB210" s="91">
        <f>SUMIFS(tabela_registros[VALOR],tabela_registros[MÊS],$AE$1,tabela_registros[DIA],reservaoutrosconsolidadofev[[#Headers],[24]],tabela_registros[REGISTRO],DADOS!$N$6,tabela_registros[TIPO],DADOS!$AJ$5,tabela_registros[CATEGORIA],reservaoutrosconsolidadofev[[#This Row],[ATUAL]])</f>
        <v>0</v>
      </c>
      <c r="AC210" s="91">
        <f>SUMIFS(tabela_registros[VALOR],tabela_registros[MÊS],$AE$1,tabela_registros[DIA],reservaoutrosconsolidadofev[[#Headers],[25]],tabela_registros[REGISTRO],DADOS!$N$6,tabela_registros[TIPO],DADOS!$AJ$5,tabela_registros[CATEGORIA],reservaoutrosconsolidadofev[[#This Row],[ATUAL]])</f>
        <v>0</v>
      </c>
      <c r="AD210" s="91">
        <f>SUMIFS(tabela_registros[VALOR],tabela_registros[MÊS],$AE$1,tabela_registros[DIA],reservaoutrosconsolidadofev[[#Headers],[26]],tabela_registros[REGISTRO],DADOS!$N$6,tabela_registros[TIPO],DADOS!$AJ$5,tabela_registros[CATEGORIA],reservaoutrosconsolidadofev[[#This Row],[ATUAL]])</f>
        <v>0</v>
      </c>
      <c r="AE210" s="91">
        <f>SUMIFS(tabela_registros[VALOR],tabela_registros[MÊS],$AE$1,tabela_registros[DIA],reservaoutrosconsolidadofev[[#Headers],[27]],tabela_registros[REGISTRO],DADOS!$N$6,tabela_registros[TIPO],DADOS!$AJ$5,tabela_registros[CATEGORIA],reservaoutrosconsolidadofev[[#This Row],[ATUAL]])</f>
        <v>0</v>
      </c>
      <c r="AF210" s="91">
        <f>SUMIFS(tabela_registros[VALOR],tabela_registros[MÊS],$AE$1,tabela_registros[DIA],reservaoutrosconsolidadofev[[#Headers],[28]],tabela_registros[REGISTRO],DADOS!$N$6,tabela_registros[TIPO],DADOS!$AJ$5,tabela_registros[CATEGORIA],reservaoutrosconsolidadofev[[#This Row],[ATUAL]])</f>
        <v>0</v>
      </c>
      <c r="AG210" s="91">
        <f>SUMIFS(tabela_registros[VALOR],tabela_registros[MÊS],$AE$1,tabela_registros[DIA],reservaoutrosconsolidadofev[[#Headers],[29]],tabela_registros[REGISTRO],DADOS!$N$6,tabela_registros[TIPO],DADOS!$AJ$5,tabela_registros[CATEGORIA],reservaoutrosconsolidadofev[[#This Row],[ATUAL]])</f>
        <v>0</v>
      </c>
      <c r="AH210" s="91">
        <f>SUMIFS(tabela_registros[VALOR],tabela_registros[MÊS],$AE$1,tabela_registros[DIA],reservaoutrosconsolidadofev[[#Headers],[30]],tabela_registros[REGISTRO],DADOS!$N$6,tabela_registros[TIPO],DADOS!$AJ$5,tabela_registros[CATEGORIA],reservaoutrosconsolidadofev[[#This Row],[ATUAL]])</f>
        <v>0</v>
      </c>
      <c r="AI210" s="101">
        <f>SUMIFS(tabela_registros[VALOR],tabela_registros[MÊS],$AE$1,tabela_registros[DIA],reservaoutrosconsolidadofev[[#Headers],[31]],tabela_registros[REGISTRO],DADOS!$N$6,tabela_registros[TIPO],DADOS!$AJ$5,tabela_registros[CATEGORIA],reservaoutrosconsolidadofev[[#This Row],[ATUAL]])</f>
        <v>0</v>
      </c>
      <c r="AJ210" s="97">
        <f>SUM(reservaoutrosconsolidadofev[[#This Row],[1]:[31]])</f>
        <v>0</v>
      </c>
      <c r="AK210" s="25"/>
    </row>
    <row r="211" spans="2:37" ht="19.5" customHeight="1" thickTop="1" thickBot="1" x14ac:dyDescent="0.3">
      <c r="B211" s="28"/>
      <c r="C211" s="27" t="str">
        <f>DADOS!$AP$8</f>
        <v>📝 PEER TO PEER</v>
      </c>
      <c r="D211" s="26" t="str">
        <f>IF(reservaoutrosconsolidadofev[[#This Row],[TOTAL (R$)]]=0,"",IF(OR(reservaoutrosconsolidadofev[[#This Row],[TOTAL (R$)]]=LARGE($AJ$206:$AJ$213,1),reservaoutrosconsolidadofev[[#This Row],[TOTAL (R$)]]=LARGE($AJ$206:$AJ$213,2)),DADOS!$I$11,""))</f>
        <v/>
      </c>
      <c r="E211" s="96">
        <f>SUMIFS(tabela_registros[VALOR],tabela_registros[MÊS],$AE$1,tabela_registros[DIA],reservaoutrosconsolidadofev[[#Headers],[1]],tabela_registros[REGISTRO],DADOS!$N$6,tabela_registros[TIPO],DADOS!$AJ$5,tabela_registros[CATEGORIA],reservaoutrosconsolidadofev[[#This Row],[ATUAL]])</f>
        <v>0</v>
      </c>
      <c r="F211" s="91">
        <f>SUMIFS(tabela_registros[VALOR],tabela_registros[MÊS],$AE$1,tabela_registros[DIA],reservaoutrosconsolidadofev[[#Headers],[2]],tabela_registros[REGISTRO],DADOS!$N$6,tabela_registros[TIPO],DADOS!$AJ$5,tabela_registros[CATEGORIA],reservaoutrosconsolidadofev[[#This Row],[ATUAL]])</f>
        <v>0</v>
      </c>
      <c r="G211" s="91">
        <f>SUMIFS(tabela_registros[VALOR],tabela_registros[MÊS],$AE$1,tabela_registros[DIA],reservaoutrosconsolidadofev[[#Headers],[3]],tabela_registros[REGISTRO],DADOS!$N$6,tabela_registros[TIPO],DADOS!$AJ$5,tabela_registros[CATEGORIA],reservaoutrosconsolidadofev[[#This Row],[ATUAL]])</f>
        <v>0</v>
      </c>
      <c r="H211" s="91">
        <f>SUMIFS(tabela_registros[VALOR],tabela_registros[MÊS],$AE$1,tabela_registros[DIA],reservaoutrosconsolidadofev[[#Headers],[4]],tabela_registros[REGISTRO],DADOS!$N$6,tabela_registros[TIPO],DADOS!$AJ$5,tabela_registros[CATEGORIA],reservaoutrosconsolidadofev[[#This Row],[ATUAL]])</f>
        <v>0</v>
      </c>
      <c r="I211" s="91">
        <f>SUMIFS(tabela_registros[VALOR],tabela_registros[MÊS],$AE$1,tabela_registros[DIA],reservaoutrosconsolidadofev[[#Headers],[5]],tabela_registros[REGISTRO],DADOS!$N$6,tabela_registros[TIPO],DADOS!$AJ$5,tabela_registros[CATEGORIA],reservaoutrosconsolidadofev[[#This Row],[ATUAL]])</f>
        <v>0</v>
      </c>
      <c r="J211" s="91">
        <f>SUMIFS(tabela_registros[VALOR],tabela_registros[MÊS],$AE$1,tabela_registros[DIA],reservaoutrosconsolidadofev[[#Headers],[6]],tabela_registros[REGISTRO],DADOS!$N$6,tabela_registros[TIPO],DADOS!$AJ$5,tabela_registros[CATEGORIA],reservaoutrosconsolidadofev[[#This Row],[ATUAL]])</f>
        <v>0</v>
      </c>
      <c r="K211" s="91">
        <f>SUMIFS(tabela_registros[VALOR],tabela_registros[MÊS],$AE$1,tabela_registros[DIA],reservaoutrosconsolidadofev[[#Headers],[7]],tabela_registros[REGISTRO],DADOS!$N$6,tabela_registros[TIPO],DADOS!$AJ$5,tabela_registros[CATEGORIA],reservaoutrosconsolidadofev[[#This Row],[ATUAL]])</f>
        <v>0</v>
      </c>
      <c r="L211" s="91">
        <f>SUMIFS(tabela_registros[VALOR],tabela_registros[MÊS],$AE$1,tabela_registros[DIA],reservaoutrosconsolidadofev[[#Headers],[8]],tabela_registros[REGISTRO],DADOS!$N$6,tabela_registros[TIPO],DADOS!$AJ$5,tabela_registros[CATEGORIA],reservaoutrosconsolidadofev[[#This Row],[ATUAL]])</f>
        <v>0</v>
      </c>
      <c r="M211" s="91">
        <f>SUMIFS(tabela_registros[VALOR],tabela_registros[MÊS],$AE$1,tabela_registros[DIA],reservaoutrosconsolidadofev[[#Headers],[9]],tabela_registros[REGISTRO],DADOS!$N$6,tabela_registros[TIPO],DADOS!$AJ$5,tabela_registros[CATEGORIA],reservaoutrosconsolidadofev[[#This Row],[ATUAL]])</f>
        <v>0</v>
      </c>
      <c r="N211" s="91">
        <f>SUMIFS(tabela_registros[VALOR],tabela_registros[MÊS],$AE$1,tabela_registros[DIA],reservaoutrosconsolidadofev[[#Headers],[10]],tabela_registros[REGISTRO],DADOS!$N$6,tabela_registros[TIPO],DADOS!$AJ$5,tabela_registros[CATEGORIA],reservaoutrosconsolidadofev[[#This Row],[ATUAL]])</f>
        <v>0</v>
      </c>
      <c r="O211" s="91">
        <f>SUMIFS(tabela_registros[VALOR],tabela_registros[MÊS],$AE$1,tabela_registros[DIA],reservaoutrosconsolidadofev[[#Headers],[11]],tabela_registros[REGISTRO],DADOS!$N$6,tabela_registros[TIPO],DADOS!$AJ$5,tabela_registros[CATEGORIA],reservaoutrosconsolidadofev[[#This Row],[ATUAL]])</f>
        <v>0</v>
      </c>
      <c r="P211" s="91">
        <f>SUMIFS(tabela_registros[VALOR],tabela_registros[MÊS],$AE$1,tabela_registros[DIA],reservaoutrosconsolidadofev[[#Headers],[12]],tabela_registros[REGISTRO],DADOS!$N$6,tabela_registros[TIPO],DADOS!$AJ$5,tabela_registros[CATEGORIA],reservaoutrosconsolidadofev[[#This Row],[ATUAL]])</f>
        <v>0</v>
      </c>
      <c r="Q211" s="91">
        <f>SUMIFS(tabela_registros[VALOR],tabela_registros[MÊS],$AE$1,tabela_registros[DIA],reservaoutrosconsolidadofev[[#Headers],[13]],tabela_registros[REGISTRO],DADOS!$N$6,tabela_registros[TIPO],DADOS!$AJ$5,tabela_registros[CATEGORIA],reservaoutrosconsolidadofev[[#This Row],[ATUAL]])</f>
        <v>0</v>
      </c>
      <c r="R211" s="91">
        <f>SUMIFS(tabela_registros[VALOR],tabela_registros[MÊS],$AE$1,tabela_registros[DIA],reservaoutrosconsolidadofev[[#Headers],[14]],tabela_registros[REGISTRO],DADOS!$N$6,tabela_registros[TIPO],DADOS!$AJ$5,tabela_registros[CATEGORIA],reservaoutrosconsolidadofev[[#This Row],[ATUAL]])</f>
        <v>0</v>
      </c>
      <c r="S211" s="91">
        <f>SUMIFS(tabela_registros[VALOR],tabela_registros[MÊS],$AE$1,tabela_registros[DIA],reservaoutrosconsolidadofev[[#Headers],[15]],tabela_registros[REGISTRO],DADOS!$N$6,tabela_registros[TIPO],DADOS!$AJ$5,tabela_registros[CATEGORIA],reservaoutrosconsolidadofev[[#This Row],[ATUAL]])</f>
        <v>0</v>
      </c>
      <c r="T211" s="91">
        <f>SUMIFS(tabela_registros[VALOR],tabela_registros[MÊS],$AE$1,tabela_registros[DIA],reservaoutrosconsolidadofev[[#Headers],[16]],tabela_registros[REGISTRO],DADOS!$N$6,tabela_registros[TIPO],DADOS!$AJ$5,tabela_registros[CATEGORIA],reservaoutrosconsolidadofev[[#This Row],[ATUAL]])</f>
        <v>0</v>
      </c>
      <c r="U211" s="91">
        <f>SUMIFS(tabela_registros[VALOR],tabela_registros[MÊS],$AE$1,tabela_registros[DIA],reservaoutrosconsolidadofev[[#Headers],[17]],tabela_registros[REGISTRO],DADOS!$N$6,tabela_registros[TIPO],DADOS!$AJ$5,tabela_registros[CATEGORIA],reservaoutrosconsolidadofev[[#This Row],[ATUAL]])</f>
        <v>0</v>
      </c>
      <c r="V211" s="91">
        <f>SUMIFS(tabela_registros[VALOR],tabela_registros[MÊS],$AE$1,tabela_registros[DIA],reservaoutrosconsolidadofev[[#Headers],[18]],tabela_registros[REGISTRO],DADOS!$N$6,tabela_registros[TIPO],DADOS!$AJ$5,tabela_registros[CATEGORIA],reservaoutrosconsolidadofev[[#This Row],[ATUAL]])</f>
        <v>0</v>
      </c>
      <c r="W211" s="91">
        <f>SUMIFS(tabela_registros[VALOR],tabela_registros[MÊS],$AE$1,tabela_registros[DIA],reservaoutrosconsolidadofev[[#Headers],[19]],tabela_registros[REGISTRO],DADOS!$N$6,tabela_registros[TIPO],DADOS!$AJ$5,tabela_registros[CATEGORIA],reservaoutrosconsolidadofev[[#This Row],[ATUAL]])</f>
        <v>0</v>
      </c>
      <c r="X211" s="91">
        <f>SUMIFS(tabela_registros[VALOR],tabela_registros[MÊS],$AE$1,tabela_registros[DIA],reservaoutrosconsolidadofev[[#Headers],[20]],tabela_registros[REGISTRO],DADOS!$N$6,tabela_registros[TIPO],DADOS!$AJ$5,tabela_registros[CATEGORIA],reservaoutrosconsolidadofev[[#This Row],[ATUAL]])</f>
        <v>0</v>
      </c>
      <c r="Y211" s="91">
        <f>SUMIFS(tabela_registros[VALOR],tabela_registros[MÊS],$AE$1,tabela_registros[DIA],reservaoutrosconsolidadofev[[#Headers],[21]],tabela_registros[REGISTRO],DADOS!$N$6,tabela_registros[TIPO],DADOS!$AJ$5,tabela_registros[CATEGORIA],reservaoutrosconsolidadofev[[#This Row],[ATUAL]])</f>
        <v>0</v>
      </c>
      <c r="Z211" s="91">
        <f>SUMIFS(tabela_registros[VALOR],tabela_registros[MÊS],$AE$1,tabela_registros[DIA],reservaoutrosconsolidadofev[[#Headers],[22]],tabela_registros[REGISTRO],DADOS!$N$6,tabela_registros[TIPO],DADOS!$AJ$5,tabela_registros[CATEGORIA],reservaoutrosconsolidadofev[[#This Row],[ATUAL]])</f>
        <v>0</v>
      </c>
      <c r="AA211" s="91">
        <f>SUMIFS(tabela_registros[VALOR],tabela_registros[MÊS],$AE$1,tabela_registros[DIA],reservaoutrosconsolidadofev[[#Headers],[23]],tabela_registros[REGISTRO],DADOS!$N$6,tabela_registros[TIPO],DADOS!$AJ$5,tabela_registros[CATEGORIA],reservaoutrosconsolidadofev[[#This Row],[ATUAL]])</f>
        <v>0</v>
      </c>
      <c r="AB211" s="91">
        <f>SUMIFS(tabela_registros[VALOR],tabela_registros[MÊS],$AE$1,tabela_registros[DIA],reservaoutrosconsolidadofev[[#Headers],[24]],tabela_registros[REGISTRO],DADOS!$N$6,tabela_registros[TIPO],DADOS!$AJ$5,tabela_registros[CATEGORIA],reservaoutrosconsolidadofev[[#This Row],[ATUAL]])</f>
        <v>0</v>
      </c>
      <c r="AC211" s="91">
        <f>SUMIFS(tabela_registros[VALOR],tabela_registros[MÊS],$AE$1,tabela_registros[DIA],reservaoutrosconsolidadofev[[#Headers],[25]],tabela_registros[REGISTRO],DADOS!$N$6,tabela_registros[TIPO],DADOS!$AJ$5,tabela_registros[CATEGORIA],reservaoutrosconsolidadofev[[#This Row],[ATUAL]])</f>
        <v>0</v>
      </c>
      <c r="AD211" s="91">
        <f>SUMIFS(tabela_registros[VALOR],tabela_registros[MÊS],$AE$1,tabela_registros[DIA],reservaoutrosconsolidadofev[[#Headers],[26]],tabela_registros[REGISTRO],DADOS!$N$6,tabela_registros[TIPO],DADOS!$AJ$5,tabela_registros[CATEGORIA],reservaoutrosconsolidadofev[[#This Row],[ATUAL]])</f>
        <v>0</v>
      </c>
      <c r="AE211" s="91">
        <f>SUMIFS(tabela_registros[VALOR],tabela_registros[MÊS],$AE$1,tabela_registros[DIA],reservaoutrosconsolidadofev[[#Headers],[27]],tabela_registros[REGISTRO],DADOS!$N$6,tabela_registros[TIPO],DADOS!$AJ$5,tabela_registros[CATEGORIA],reservaoutrosconsolidadofev[[#This Row],[ATUAL]])</f>
        <v>0</v>
      </c>
      <c r="AF211" s="91">
        <f>SUMIFS(tabela_registros[VALOR],tabela_registros[MÊS],$AE$1,tabela_registros[DIA],reservaoutrosconsolidadofev[[#Headers],[28]],tabela_registros[REGISTRO],DADOS!$N$6,tabela_registros[TIPO],DADOS!$AJ$5,tabela_registros[CATEGORIA],reservaoutrosconsolidadofev[[#This Row],[ATUAL]])</f>
        <v>0</v>
      </c>
      <c r="AG211" s="91">
        <f>SUMIFS(tabela_registros[VALOR],tabela_registros[MÊS],$AE$1,tabela_registros[DIA],reservaoutrosconsolidadofev[[#Headers],[29]],tabela_registros[REGISTRO],DADOS!$N$6,tabela_registros[TIPO],DADOS!$AJ$5,tabela_registros[CATEGORIA],reservaoutrosconsolidadofev[[#This Row],[ATUAL]])</f>
        <v>0</v>
      </c>
      <c r="AH211" s="91">
        <f>SUMIFS(tabela_registros[VALOR],tabela_registros[MÊS],$AE$1,tabela_registros[DIA],reservaoutrosconsolidadofev[[#Headers],[30]],tabela_registros[REGISTRO],DADOS!$N$6,tabela_registros[TIPO],DADOS!$AJ$5,tabela_registros[CATEGORIA],reservaoutrosconsolidadofev[[#This Row],[ATUAL]])</f>
        <v>0</v>
      </c>
      <c r="AI211" s="101">
        <f>SUMIFS(tabela_registros[VALOR],tabela_registros[MÊS],$AE$1,tabela_registros[DIA],reservaoutrosconsolidadofev[[#Headers],[31]],tabela_registros[REGISTRO],DADOS!$N$6,tabela_registros[TIPO],DADOS!$AJ$5,tabela_registros[CATEGORIA],reservaoutrosconsolidadofev[[#This Row],[ATUAL]])</f>
        <v>0</v>
      </c>
      <c r="AJ211" s="97">
        <f>SUM(reservaoutrosconsolidadofev[[#This Row],[1]:[31]])</f>
        <v>0</v>
      </c>
      <c r="AK211" s="25"/>
    </row>
    <row r="212" spans="2:37" ht="19.5" customHeight="1" thickTop="1" thickBot="1" x14ac:dyDescent="0.3">
      <c r="B212" s="28"/>
      <c r="C212" s="27" t="str">
        <f>DADOS!$AP$9</f>
        <v>📝 PREVIDÊNCIA PRIVADA</v>
      </c>
      <c r="D212" s="26" t="str">
        <f>IF(reservaoutrosconsolidadofev[[#This Row],[TOTAL (R$)]]=0,"",IF(OR(reservaoutrosconsolidadofev[[#This Row],[TOTAL (R$)]]=LARGE($AJ$206:$AJ$213,1),reservaoutrosconsolidadofev[[#This Row],[TOTAL (R$)]]=LARGE($AJ$206:$AJ$213,2)),DADOS!$I$11,""))</f>
        <v/>
      </c>
      <c r="E212" s="96">
        <f>SUMIFS(tabela_registros[VALOR],tabela_registros[MÊS],$AE$1,tabela_registros[DIA],reservaoutrosconsolidadofev[[#Headers],[1]],tabela_registros[REGISTRO],DADOS!$N$6,tabela_registros[TIPO],DADOS!$AJ$5,tabela_registros[CATEGORIA],reservaoutrosconsolidadofev[[#This Row],[ATUAL]])</f>
        <v>0</v>
      </c>
      <c r="F212" s="91">
        <f>SUMIFS(tabela_registros[VALOR],tabela_registros[MÊS],$AE$1,tabela_registros[DIA],reservaoutrosconsolidadofev[[#Headers],[2]],tabela_registros[REGISTRO],DADOS!$N$6,tabela_registros[TIPO],DADOS!$AJ$5,tabela_registros[CATEGORIA],reservaoutrosconsolidadofev[[#This Row],[ATUAL]])</f>
        <v>0</v>
      </c>
      <c r="G212" s="91">
        <f>SUMIFS(tabela_registros[VALOR],tabela_registros[MÊS],$AE$1,tabela_registros[DIA],reservaoutrosconsolidadofev[[#Headers],[3]],tabela_registros[REGISTRO],DADOS!$N$6,tabela_registros[TIPO],DADOS!$AJ$5,tabela_registros[CATEGORIA],reservaoutrosconsolidadofev[[#This Row],[ATUAL]])</f>
        <v>0</v>
      </c>
      <c r="H212" s="91">
        <f>SUMIFS(tabela_registros[VALOR],tabela_registros[MÊS],$AE$1,tabela_registros[DIA],reservaoutrosconsolidadofev[[#Headers],[4]],tabela_registros[REGISTRO],DADOS!$N$6,tabela_registros[TIPO],DADOS!$AJ$5,tabela_registros[CATEGORIA],reservaoutrosconsolidadofev[[#This Row],[ATUAL]])</f>
        <v>0</v>
      </c>
      <c r="I212" s="91">
        <f>SUMIFS(tabela_registros[VALOR],tabela_registros[MÊS],$AE$1,tabela_registros[DIA],reservaoutrosconsolidadofev[[#Headers],[5]],tabela_registros[REGISTRO],DADOS!$N$6,tabela_registros[TIPO],DADOS!$AJ$5,tabela_registros[CATEGORIA],reservaoutrosconsolidadofev[[#This Row],[ATUAL]])</f>
        <v>0</v>
      </c>
      <c r="J212" s="91">
        <f>SUMIFS(tabela_registros[VALOR],tabela_registros[MÊS],$AE$1,tabela_registros[DIA],reservaoutrosconsolidadofev[[#Headers],[6]],tabela_registros[REGISTRO],DADOS!$N$6,tabela_registros[TIPO],DADOS!$AJ$5,tabela_registros[CATEGORIA],reservaoutrosconsolidadofev[[#This Row],[ATUAL]])</f>
        <v>0</v>
      </c>
      <c r="K212" s="91">
        <f>SUMIFS(tabela_registros[VALOR],tabela_registros[MÊS],$AE$1,tabela_registros[DIA],reservaoutrosconsolidadofev[[#Headers],[7]],tabela_registros[REGISTRO],DADOS!$N$6,tabela_registros[TIPO],DADOS!$AJ$5,tabela_registros[CATEGORIA],reservaoutrosconsolidadofev[[#This Row],[ATUAL]])</f>
        <v>0</v>
      </c>
      <c r="L212" s="91">
        <f>SUMIFS(tabela_registros[VALOR],tabela_registros[MÊS],$AE$1,tabela_registros[DIA],reservaoutrosconsolidadofev[[#Headers],[8]],tabela_registros[REGISTRO],DADOS!$N$6,tabela_registros[TIPO],DADOS!$AJ$5,tabela_registros[CATEGORIA],reservaoutrosconsolidadofev[[#This Row],[ATUAL]])</f>
        <v>0</v>
      </c>
      <c r="M212" s="91">
        <f>SUMIFS(tabela_registros[VALOR],tabela_registros[MÊS],$AE$1,tabela_registros[DIA],reservaoutrosconsolidadofev[[#Headers],[9]],tabela_registros[REGISTRO],DADOS!$N$6,tabela_registros[TIPO],DADOS!$AJ$5,tabela_registros[CATEGORIA],reservaoutrosconsolidadofev[[#This Row],[ATUAL]])</f>
        <v>0</v>
      </c>
      <c r="N212" s="91">
        <f>SUMIFS(tabela_registros[VALOR],tabela_registros[MÊS],$AE$1,tabela_registros[DIA],reservaoutrosconsolidadofev[[#Headers],[10]],tabela_registros[REGISTRO],DADOS!$N$6,tabela_registros[TIPO],DADOS!$AJ$5,tabela_registros[CATEGORIA],reservaoutrosconsolidadofev[[#This Row],[ATUAL]])</f>
        <v>0</v>
      </c>
      <c r="O212" s="91">
        <f>SUMIFS(tabela_registros[VALOR],tabela_registros[MÊS],$AE$1,tabela_registros[DIA],reservaoutrosconsolidadofev[[#Headers],[11]],tabela_registros[REGISTRO],DADOS!$N$6,tabela_registros[TIPO],DADOS!$AJ$5,tabela_registros[CATEGORIA],reservaoutrosconsolidadofev[[#This Row],[ATUAL]])</f>
        <v>0</v>
      </c>
      <c r="P212" s="91">
        <f>SUMIFS(tabela_registros[VALOR],tabela_registros[MÊS],$AE$1,tabela_registros[DIA],reservaoutrosconsolidadofev[[#Headers],[12]],tabela_registros[REGISTRO],DADOS!$N$6,tabela_registros[TIPO],DADOS!$AJ$5,tabela_registros[CATEGORIA],reservaoutrosconsolidadofev[[#This Row],[ATUAL]])</f>
        <v>0</v>
      </c>
      <c r="Q212" s="91">
        <f>SUMIFS(tabela_registros[VALOR],tabela_registros[MÊS],$AE$1,tabela_registros[DIA],reservaoutrosconsolidadofev[[#Headers],[13]],tabela_registros[REGISTRO],DADOS!$N$6,tabela_registros[TIPO],DADOS!$AJ$5,tabela_registros[CATEGORIA],reservaoutrosconsolidadofev[[#This Row],[ATUAL]])</f>
        <v>0</v>
      </c>
      <c r="R212" s="91">
        <f>SUMIFS(tabela_registros[VALOR],tabela_registros[MÊS],$AE$1,tabela_registros[DIA],reservaoutrosconsolidadofev[[#Headers],[14]],tabela_registros[REGISTRO],DADOS!$N$6,tabela_registros[TIPO],DADOS!$AJ$5,tabela_registros[CATEGORIA],reservaoutrosconsolidadofev[[#This Row],[ATUAL]])</f>
        <v>0</v>
      </c>
      <c r="S212" s="91">
        <f>SUMIFS(tabela_registros[VALOR],tabela_registros[MÊS],$AE$1,tabela_registros[DIA],reservaoutrosconsolidadofev[[#Headers],[15]],tabela_registros[REGISTRO],DADOS!$N$6,tabela_registros[TIPO],DADOS!$AJ$5,tabela_registros[CATEGORIA],reservaoutrosconsolidadofev[[#This Row],[ATUAL]])</f>
        <v>0</v>
      </c>
      <c r="T212" s="91">
        <f>SUMIFS(tabela_registros[VALOR],tabela_registros[MÊS],$AE$1,tabela_registros[DIA],reservaoutrosconsolidadofev[[#Headers],[16]],tabela_registros[REGISTRO],DADOS!$N$6,tabela_registros[TIPO],DADOS!$AJ$5,tabela_registros[CATEGORIA],reservaoutrosconsolidadofev[[#This Row],[ATUAL]])</f>
        <v>0</v>
      </c>
      <c r="U212" s="91">
        <f>SUMIFS(tabela_registros[VALOR],tabela_registros[MÊS],$AE$1,tabela_registros[DIA],reservaoutrosconsolidadofev[[#Headers],[17]],tabela_registros[REGISTRO],DADOS!$N$6,tabela_registros[TIPO],DADOS!$AJ$5,tabela_registros[CATEGORIA],reservaoutrosconsolidadofev[[#This Row],[ATUAL]])</f>
        <v>0</v>
      </c>
      <c r="V212" s="91">
        <f>SUMIFS(tabela_registros[VALOR],tabela_registros[MÊS],$AE$1,tabela_registros[DIA],reservaoutrosconsolidadofev[[#Headers],[18]],tabela_registros[REGISTRO],DADOS!$N$6,tabela_registros[TIPO],DADOS!$AJ$5,tabela_registros[CATEGORIA],reservaoutrosconsolidadofev[[#This Row],[ATUAL]])</f>
        <v>0</v>
      </c>
      <c r="W212" s="91">
        <f>SUMIFS(tabela_registros[VALOR],tabela_registros[MÊS],$AE$1,tabela_registros[DIA],reservaoutrosconsolidadofev[[#Headers],[19]],tabela_registros[REGISTRO],DADOS!$N$6,tabela_registros[TIPO],DADOS!$AJ$5,tabela_registros[CATEGORIA],reservaoutrosconsolidadofev[[#This Row],[ATUAL]])</f>
        <v>0</v>
      </c>
      <c r="X212" s="91">
        <f>SUMIFS(tabela_registros[VALOR],tabela_registros[MÊS],$AE$1,tabela_registros[DIA],reservaoutrosconsolidadofev[[#Headers],[20]],tabela_registros[REGISTRO],DADOS!$N$6,tabela_registros[TIPO],DADOS!$AJ$5,tabela_registros[CATEGORIA],reservaoutrosconsolidadofev[[#This Row],[ATUAL]])</f>
        <v>0</v>
      </c>
      <c r="Y212" s="91">
        <f>SUMIFS(tabela_registros[VALOR],tabela_registros[MÊS],$AE$1,tabela_registros[DIA],reservaoutrosconsolidadofev[[#Headers],[21]],tabela_registros[REGISTRO],DADOS!$N$6,tabela_registros[TIPO],DADOS!$AJ$5,tabela_registros[CATEGORIA],reservaoutrosconsolidadofev[[#This Row],[ATUAL]])</f>
        <v>0</v>
      </c>
      <c r="Z212" s="91">
        <f>SUMIFS(tabela_registros[VALOR],tabela_registros[MÊS],$AE$1,tabela_registros[DIA],reservaoutrosconsolidadofev[[#Headers],[22]],tabela_registros[REGISTRO],DADOS!$N$6,tabela_registros[TIPO],DADOS!$AJ$5,tabela_registros[CATEGORIA],reservaoutrosconsolidadofev[[#This Row],[ATUAL]])</f>
        <v>0</v>
      </c>
      <c r="AA212" s="91">
        <f>SUMIFS(tabela_registros[VALOR],tabela_registros[MÊS],$AE$1,tabela_registros[DIA],reservaoutrosconsolidadofev[[#Headers],[23]],tabela_registros[REGISTRO],DADOS!$N$6,tabela_registros[TIPO],DADOS!$AJ$5,tabela_registros[CATEGORIA],reservaoutrosconsolidadofev[[#This Row],[ATUAL]])</f>
        <v>0</v>
      </c>
      <c r="AB212" s="91">
        <f>SUMIFS(tabela_registros[VALOR],tabela_registros[MÊS],$AE$1,tabela_registros[DIA],reservaoutrosconsolidadofev[[#Headers],[24]],tabela_registros[REGISTRO],DADOS!$N$6,tabela_registros[TIPO],DADOS!$AJ$5,tabela_registros[CATEGORIA],reservaoutrosconsolidadofev[[#This Row],[ATUAL]])</f>
        <v>0</v>
      </c>
      <c r="AC212" s="91">
        <f>SUMIFS(tabela_registros[VALOR],tabela_registros[MÊS],$AE$1,tabela_registros[DIA],reservaoutrosconsolidadofev[[#Headers],[25]],tabela_registros[REGISTRO],DADOS!$N$6,tabela_registros[TIPO],DADOS!$AJ$5,tabela_registros[CATEGORIA],reservaoutrosconsolidadofev[[#This Row],[ATUAL]])</f>
        <v>0</v>
      </c>
      <c r="AD212" s="91">
        <f>SUMIFS(tabela_registros[VALOR],tabela_registros[MÊS],$AE$1,tabela_registros[DIA],reservaoutrosconsolidadofev[[#Headers],[26]],tabela_registros[REGISTRO],DADOS!$N$6,tabela_registros[TIPO],DADOS!$AJ$5,tabela_registros[CATEGORIA],reservaoutrosconsolidadofev[[#This Row],[ATUAL]])</f>
        <v>0</v>
      </c>
      <c r="AE212" s="91">
        <f>SUMIFS(tabela_registros[VALOR],tabela_registros[MÊS],$AE$1,tabela_registros[DIA],reservaoutrosconsolidadofev[[#Headers],[27]],tabela_registros[REGISTRO],DADOS!$N$6,tabela_registros[TIPO],DADOS!$AJ$5,tabela_registros[CATEGORIA],reservaoutrosconsolidadofev[[#This Row],[ATUAL]])</f>
        <v>0</v>
      </c>
      <c r="AF212" s="91">
        <f>SUMIFS(tabela_registros[VALOR],tabela_registros[MÊS],$AE$1,tabela_registros[DIA],reservaoutrosconsolidadofev[[#Headers],[28]],tabela_registros[REGISTRO],DADOS!$N$6,tabela_registros[TIPO],DADOS!$AJ$5,tabela_registros[CATEGORIA],reservaoutrosconsolidadofev[[#This Row],[ATUAL]])</f>
        <v>0</v>
      </c>
      <c r="AG212" s="91">
        <f>SUMIFS(tabela_registros[VALOR],tabela_registros[MÊS],$AE$1,tabela_registros[DIA],reservaoutrosconsolidadofev[[#Headers],[29]],tabela_registros[REGISTRO],DADOS!$N$6,tabela_registros[TIPO],DADOS!$AJ$5,tabela_registros[CATEGORIA],reservaoutrosconsolidadofev[[#This Row],[ATUAL]])</f>
        <v>0</v>
      </c>
      <c r="AH212" s="91">
        <f>SUMIFS(tabela_registros[VALOR],tabela_registros[MÊS],$AE$1,tabela_registros[DIA],reservaoutrosconsolidadofev[[#Headers],[30]],tabela_registros[REGISTRO],DADOS!$N$6,tabela_registros[TIPO],DADOS!$AJ$5,tabela_registros[CATEGORIA],reservaoutrosconsolidadofev[[#This Row],[ATUAL]])</f>
        <v>0</v>
      </c>
      <c r="AI212" s="101">
        <f>SUMIFS(tabela_registros[VALOR],tabela_registros[MÊS],$AE$1,tabela_registros[DIA],reservaoutrosconsolidadofev[[#Headers],[31]],tabela_registros[REGISTRO],DADOS!$N$6,tabela_registros[TIPO],DADOS!$AJ$5,tabela_registros[CATEGORIA],reservaoutrosconsolidadofev[[#This Row],[ATUAL]])</f>
        <v>0</v>
      </c>
      <c r="AJ212" s="97">
        <f>SUM(reservaoutrosconsolidadofev[[#This Row],[1]:[31]])</f>
        <v>0</v>
      </c>
      <c r="AK212" s="25"/>
    </row>
    <row r="213" spans="2:37" ht="19.5" customHeight="1" thickTop="1" thickBot="1" x14ac:dyDescent="0.3">
      <c r="B213" s="28"/>
      <c r="C213" s="27" t="str">
        <f>DADOS!$AP$10</f>
        <v>📎 OUTROS</v>
      </c>
      <c r="D213" s="26" t="str">
        <f>IF(reservaoutrosconsolidadofev[[#This Row],[TOTAL (R$)]]=0,"",IF(OR(reservaoutrosconsolidadofev[[#This Row],[TOTAL (R$)]]=LARGE($AJ$206:$AJ$213,1),reservaoutrosconsolidadofev[[#This Row],[TOTAL (R$)]]=LARGE($AJ$206:$AJ$213,2)),DADOS!$I$11,""))</f>
        <v/>
      </c>
      <c r="E213" s="96">
        <f>SUMIFS(tabela_registros[VALOR],tabela_registros[MÊS],$AE$1,tabela_registros[DIA],reservaoutrosconsolidadofev[[#Headers],[1]],tabela_registros[REGISTRO],DADOS!$N$6,tabela_registros[TIPO],DADOS!$AJ$5,tabela_registros[CATEGORIA],reservaoutrosconsolidadofev[[#This Row],[ATUAL]])</f>
        <v>0</v>
      </c>
      <c r="F213" s="91">
        <f>SUMIFS(tabela_registros[VALOR],tabela_registros[MÊS],$AE$1,tabela_registros[DIA],reservaoutrosconsolidadofev[[#Headers],[2]],tabela_registros[REGISTRO],DADOS!$N$6,tabela_registros[TIPO],DADOS!$AJ$5,tabela_registros[CATEGORIA],reservaoutrosconsolidadofev[[#This Row],[ATUAL]])</f>
        <v>0</v>
      </c>
      <c r="G213" s="91">
        <f>SUMIFS(tabela_registros[VALOR],tabela_registros[MÊS],$AE$1,tabela_registros[DIA],reservaoutrosconsolidadofev[[#Headers],[3]],tabela_registros[REGISTRO],DADOS!$N$6,tabela_registros[TIPO],DADOS!$AJ$5,tabela_registros[CATEGORIA],reservaoutrosconsolidadofev[[#This Row],[ATUAL]])</f>
        <v>0</v>
      </c>
      <c r="H213" s="91">
        <f>SUMIFS(tabela_registros[VALOR],tabela_registros[MÊS],$AE$1,tabela_registros[DIA],reservaoutrosconsolidadofev[[#Headers],[4]],tabela_registros[REGISTRO],DADOS!$N$6,tabela_registros[TIPO],DADOS!$AJ$5,tabela_registros[CATEGORIA],reservaoutrosconsolidadofev[[#This Row],[ATUAL]])</f>
        <v>0</v>
      </c>
      <c r="I213" s="91">
        <f>SUMIFS(tabela_registros[VALOR],tabela_registros[MÊS],$AE$1,tabela_registros[DIA],reservaoutrosconsolidadofev[[#Headers],[5]],tabela_registros[REGISTRO],DADOS!$N$6,tabela_registros[TIPO],DADOS!$AJ$5,tabela_registros[CATEGORIA],reservaoutrosconsolidadofev[[#This Row],[ATUAL]])</f>
        <v>0</v>
      </c>
      <c r="J213" s="91">
        <f>SUMIFS(tabela_registros[VALOR],tabela_registros[MÊS],$AE$1,tabela_registros[DIA],reservaoutrosconsolidadofev[[#Headers],[6]],tabela_registros[REGISTRO],DADOS!$N$6,tabela_registros[TIPO],DADOS!$AJ$5,tabela_registros[CATEGORIA],reservaoutrosconsolidadofev[[#This Row],[ATUAL]])</f>
        <v>0</v>
      </c>
      <c r="K213" s="91">
        <f>SUMIFS(tabela_registros[VALOR],tabela_registros[MÊS],$AE$1,tabela_registros[DIA],reservaoutrosconsolidadofev[[#Headers],[7]],tabela_registros[REGISTRO],DADOS!$N$6,tabela_registros[TIPO],DADOS!$AJ$5,tabela_registros[CATEGORIA],reservaoutrosconsolidadofev[[#This Row],[ATUAL]])</f>
        <v>0</v>
      </c>
      <c r="L213" s="91">
        <f>SUMIFS(tabela_registros[VALOR],tabela_registros[MÊS],$AE$1,tabela_registros[DIA],reservaoutrosconsolidadofev[[#Headers],[8]],tabela_registros[REGISTRO],DADOS!$N$6,tabela_registros[TIPO],DADOS!$AJ$5,tabela_registros[CATEGORIA],reservaoutrosconsolidadofev[[#This Row],[ATUAL]])</f>
        <v>0</v>
      </c>
      <c r="M213" s="91">
        <f>SUMIFS(tabela_registros[VALOR],tabela_registros[MÊS],$AE$1,tabela_registros[DIA],reservaoutrosconsolidadofev[[#Headers],[9]],tabela_registros[REGISTRO],DADOS!$N$6,tabela_registros[TIPO],DADOS!$AJ$5,tabela_registros[CATEGORIA],reservaoutrosconsolidadofev[[#This Row],[ATUAL]])</f>
        <v>0</v>
      </c>
      <c r="N213" s="91">
        <f>SUMIFS(tabela_registros[VALOR],tabela_registros[MÊS],$AE$1,tabela_registros[DIA],reservaoutrosconsolidadofev[[#Headers],[10]],tabela_registros[REGISTRO],DADOS!$N$6,tabela_registros[TIPO],DADOS!$AJ$5,tabela_registros[CATEGORIA],reservaoutrosconsolidadofev[[#This Row],[ATUAL]])</f>
        <v>0</v>
      </c>
      <c r="O213" s="91">
        <f>SUMIFS(tabela_registros[VALOR],tabela_registros[MÊS],$AE$1,tabela_registros[DIA],reservaoutrosconsolidadofev[[#Headers],[11]],tabela_registros[REGISTRO],DADOS!$N$6,tabela_registros[TIPO],DADOS!$AJ$5,tabela_registros[CATEGORIA],reservaoutrosconsolidadofev[[#This Row],[ATUAL]])</f>
        <v>0</v>
      </c>
      <c r="P213" s="91">
        <f>SUMIFS(tabela_registros[VALOR],tabela_registros[MÊS],$AE$1,tabela_registros[DIA],reservaoutrosconsolidadofev[[#Headers],[12]],tabela_registros[REGISTRO],DADOS!$N$6,tabela_registros[TIPO],DADOS!$AJ$5,tabela_registros[CATEGORIA],reservaoutrosconsolidadofev[[#This Row],[ATUAL]])</f>
        <v>0</v>
      </c>
      <c r="Q213" s="91">
        <f>SUMIFS(tabela_registros[VALOR],tabela_registros[MÊS],$AE$1,tabela_registros[DIA],reservaoutrosconsolidadofev[[#Headers],[13]],tabela_registros[REGISTRO],DADOS!$N$6,tabela_registros[TIPO],DADOS!$AJ$5,tabela_registros[CATEGORIA],reservaoutrosconsolidadofev[[#This Row],[ATUAL]])</f>
        <v>0</v>
      </c>
      <c r="R213" s="91">
        <f>SUMIFS(tabela_registros[VALOR],tabela_registros[MÊS],$AE$1,tabela_registros[DIA],reservaoutrosconsolidadofev[[#Headers],[14]],tabela_registros[REGISTRO],DADOS!$N$6,tabela_registros[TIPO],DADOS!$AJ$5,tabela_registros[CATEGORIA],reservaoutrosconsolidadofev[[#This Row],[ATUAL]])</f>
        <v>0</v>
      </c>
      <c r="S213" s="91">
        <f>SUMIFS(tabela_registros[VALOR],tabela_registros[MÊS],$AE$1,tabela_registros[DIA],reservaoutrosconsolidadofev[[#Headers],[15]],tabela_registros[REGISTRO],DADOS!$N$6,tabela_registros[TIPO],DADOS!$AJ$5,tabela_registros[CATEGORIA],reservaoutrosconsolidadofev[[#This Row],[ATUAL]])</f>
        <v>0</v>
      </c>
      <c r="T213" s="91">
        <f>SUMIFS(tabela_registros[VALOR],tabela_registros[MÊS],$AE$1,tabela_registros[DIA],reservaoutrosconsolidadofev[[#Headers],[16]],tabela_registros[REGISTRO],DADOS!$N$6,tabela_registros[TIPO],DADOS!$AJ$5,tabela_registros[CATEGORIA],reservaoutrosconsolidadofev[[#This Row],[ATUAL]])</f>
        <v>0</v>
      </c>
      <c r="U213" s="91">
        <f>SUMIFS(tabela_registros[VALOR],tabela_registros[MÊS],$AE$1,tabela_registros[DIA],reservaoutrosconsolidadofev[[#Headers],[17]],tabela_registros[REGISTRO],DADOS!$N$6,tabela_registros[TIPO],DADOS!$AJ$5,tabela_registros[CATEGORIA],reservaoutrosconsolidadofev[[#This Row],[ATUAL]])</f>
        <v>0</v>
      </c>
      <c r="V213" s="91">
        <f>SUMIFS(tabela_registros[VALOR],tabela_registros[MÊS],$AE$1,tabela_registros[DIA],reservaoutrosconsolidadofev[[#Headers],[18]],tabela_registros[REGISTRO],DADOS!$N$6,tabela_registros[TIPO],DADOS!$AJ$5,tabela_registros[CATEGORIA],reservaoutrosconsolidadofev[[#This Row],[ATUAL]])</f>
        <v>0</v>
      </c>
      <c r="W213" s="91">
        <f>SUMIFS(tabela_registros[VALOR],tabela_registros[MÊS],$AE$1,tabela_registros[DIA],reservaoutrosconsolidadofev[[#Headers],[19]],tabela_registros[REGISTRO],DADOS!$N$6,tabela_registros[TIPO],DADOS!$AJ$5,tabela_registros[CATEGORIA],reservaoutrosconsolidadofev[[#This Row],[ATUAL]])</f>
        <v>0</v>
      </c>
      <c r="X213" s="91">
        <f>SUMIFS(tabela_registros[VALOR],tabela_registros[MÊS],$AE$1,tabela_registros[DIA],reservaoutrosconsolidadofev[[#Headers],[20]],tabela_registros[REGISTRO],DADOS!$N$6,tabela_registros[TIPO],DADOS!$AJ$5,tabela_registros[CATEGORIA],reservaoutrosconsolidadofev[[#This Row],[ATUAL]])</f>
        <v>0</v>
      </c>
      <c r="Y213" s="91">
        <f>SUMIFS(tabela_registros[VALOR],tabela_registros[MÊS],$AE$1,tabela_registros[DIA],reservaoutrosconsolidadofev[[#Headers],[21]],tabela_registros[REGISTRO],DADOS!$N$6,tabela_registros[TIPO],DADOS!$AJ$5,tabela_registros[CATEGORIA],reservaoutrosconsolidadofev[[#This Row],[ATUAL]])</f>
        <v>0</v>
      </c>
      <c r="Z213" s="91">
        <f>SUMIFS(tabela_registros[VALOR],tabela_registros[MÊS],$AE$1,tabela_registros[DIA],reservaoutrosconsolidadofev[[#Headers],[22]],tabela_registros[REGISTRO],DADOS!$N$6,tabela_registros[TIPO],DADOS!$AJ$5,tabela_registros[CATEGORIA],reservaoutrosconsolidadofev[[#This Row],[ATUAL]])</f>
        <v>0</v>
      </c>
      <c r="AA213" s="91">
        <f>SUMIFS(tabela_registros[VALOR],tabela_registros[MÊS],$AE$1,tabela_registros[DIA],reservaoutrosconsolidadofev[[#Headers],[23]],tabela_registros[REGISTRO],DADOS!$N$6,tabela_registros[TIPO],DADOS!$AJ$5,tabela_registros[CATEGORIA],reservaoutrosconsolidadofev[[#This Row],[ATUAL]])</f>
        <v>0</v>
      </c>
      <c r="AB213" s="91">
        <f>SUMIFS(tabela_registros[VALOR],tabela_registros[MÊS],$AE$1,tabela_registros[DIA],reservaoutrosconsolidadofev[[#Headers],[24]],tabela_registros[REGISTRO],DADOS!$N$6,tabela_registros[TIPO],DADOS!$AJ$5,tabela_registros[CATEGORIA],reservaoutrosconsolidadofev[[#This Row],[ATUAL]])</f>
        <v>0</v>
      </c>
      <c r="AC213" s="91">
        <f>SUMIFS(tabela_registros[VALOR],tabela_registros[MÊS],$AE$1,tabela_registros[DIA],reservaoutrosconsolidadofev[[#Headers],[25]],tabela_registros[REGISTRO],DADOS!$N$6,tabela_registros[TIPO],DADOS!$AJ$5,tabela_registros[CATEGORIA],reservaoutrosconsolidadofev[[#This Row],[ATUAL]])</f>
        <v>0</v>
      </c>
      <c r="AD213" s="91">
        <f>SUMIFS(tabela_registros[VALOR],tabela_registros[MÊS],$AE$1,tabela_registros[DIA],reservaoutrosconsolidadofev[[#Headers],[26]],tabela_registros[REGISTRO],DADOS!$N$6,tabela_registros[TIPO],DADOS!$AJ$5,tabela_registros[CATEGORIA],reservaoutrosconsolidadofev[[#This Row],[ATUAL]])</f>
        <v>0</v>
      </c>
      <c r="AE213" s="91">
        <f>SUMIFS(tabela_registros[VALOR],tabela_registros[MÊS],$AE$1,tabela_registros[DIA],reservaoutrosconsolidadofev[[#Headers],[27]],tabela_registros[REGISTRO],DADOS!$N$6,tabela_registros[TIPO],DADOS!$AJ$5,tabela_registros[CATEGORIA],reservaoutrosconsolidadofev[[#This Row],[ATUAL]])</f>
        <v>0</v>
      </c>
      <c r="AF213" s="91">
        <f>SUMIFS(tabela_registros[VALOR],tabela_registros[MÊS],$AE$1,tabela_registros[DIA],reservaoutrosconsolidadofev[[#Headers],[28]],tabela_registros[REGISTRO],DADOS!$N$6,tabela_registros[TIPO],DADOS!$AJ$5,tabela_registros[CATEGORIA],reservaoutrosconsolidadofev[[#This Row],[ATUAL]])</f>
        <v>0</v>
      </c>
      <c r="AG213" s="91">
        <f>SUMIFS(tabela_registros[VALOR],tabela_registros[MÊS],$AE$1,tabela_registros[DIA],reservaoutrosconsolidadofev[[#Headers],[29]],tabela_registros[REGISTRO],DADOS!$N$6,tabela_registros[TIPO],DADOS!$AJ$5,tabela_registros[CATEGORIA],reservaoutrosconsolidadofev[[#This Row],[ATUAL]])</f>
        <v>0</v>
      </c>
      <c r="AH213" s="91">
        <f>SUMIFS(tabela_registros[VALOR],tabela_registros[MÊS],$AE$1,tabela_registros[DIA],reservaoutrosconsolidadofev[[#Headers],[30]],tabela_registros[REGISTRO],DADOS!$N$6,tabela_registros[TIPO],DADOS!$AJ$5,tabela_registros[CATEGORIA],reservaoutrosconsolidadofev[[#This Row],[ATUAL]])</f>
        <v>0</v>
      </c>
      <c r="AI213" s="101">
        <f>SUMIFS(tabela_registros[VALOR],tabela_registros[MÊS],$AE$1,tabela_registros[DIA],reservaoutrosconsolidadofev[[#Headers],[31]],tabela_registros[REGISTRO],DADOS!$N$6,tabela_registros[TIPO],DADOS!$AJ$5,tabela_registros[CATEGORIA],reservaoutrosconsolidadofev[[#This Row],[ATUAL]])</f>
        <v>0</v>
      </c>
      <c r="AJ213" s="97">
        <f>SUM(reservaoutrosconsolidadofev[[#This Row],[1]:[31]])</f>
        <v>0</v>
      </c>
      <c r="AK213" s="25"/>
    </row>
    <row r="214" spans="2:37" s="16" customFormat="1" ht="21" customHeight="1" thickTop="1" thickBot="1" x14ac:dyDescent="0.35">
      <c r="B214" s="24"/>
      <c r="C214" s="23" t="s">
        <v>19</v>
      </c>
      <c r="D214" s="22"/>
      <c r="E214" s="21">
        <f>SUM(E206:E213)</f>
        <v>0</v>
      </c>
      <c r="F214" s="20">
        <f>SUM(F206:F213)+reservaoutrosconsolidadofev[[#This Row],[1]]</f>
        <v>86</v>
      </c>
      <c r="G214" s="20">
        <f>SUM(G206:G213)+reservaoutrosconsolidadofev[[#This Row],[2]]</f>
        <v>86</v>
      </c>
      <c r="H214" s="20">
        <f>SUM(H206:H213)+reservaoutrosconsolidadofev[[#This Row],[3]]</f>
        <v>86</v>
      </c>
      <c r="I214" s="20">
        <f>SUM(I206:I213)+reservaoutrosconsolidadofev[[#This Row],[4]]</f>
        <v>86</v>
      </c>
      <c r="J214" s="20">
        <f>SUM(J206:J213)+reservaoutrosconsolidadofev[[#This Row],[5]]</f>
        <v>86</v>
      </c>
      <c r="K214" s="20">
        <f>SUM(K206:K213)+reservaoutrosconsolidadofev[[#This Row],[6]]</f>
        <v>86</v>
      </c>
      <c r="L214" s="20">
        <f>SUM(L206:L213)+reservaoutrosconsolidadofev[[#This Row],[7]]</f>
        <v>86</v>
      </c>
      <c r="M214" s="20">
        <f>SUM(M206:M213)+reservaoutrosconsolidadofev[[#This Row],[8]]</f>
        <v>86</v>
      </c>
      <c r="N214" s="20">
        <f>SUM(N206:N213)+reservaoutrosconsolidadofev[[#This Row],[9]]</f>
        <v>86</v>
      </c>
      <c r="O214" s="20">
        <f>SUM(O206:O213)+reservaoutrosconsolidadofev[[#This Row],[10]]</f>
        <v>86</v>
      </c>
      <c r="P214" s="20">
        <f>SUM(P206:P213)+reservaoutrosconsolidadofev[[#This Row],[11]]</f>
        <v>86</v>
      </c>
      <c r="Q214" s="20">
        <f>SUM(Q206:Q213)+reservaoutrosconsolidadofev[[#This Row],[12]]</f>
        <v>86</v>
      </c>
      <c r="R214" s="20">
        <f>SUM(R206:R213)+reservaoutrosconsolidadofev[[#This Row],[13]]</f>
        <v>86</v>
      </c>
      <c r="S214" s="20">
        <f>SUM(S206:S213)+reservaoutrosconsolidadofev[[#This Row],[14]]</f>
        <v>86</v>
      </c>
      <c r="T214" s="20">
        <f>SUM(T206:T213)+reservaoutrosconsolidadofev[[#This Row],[15]]</f>
        <v>86</v>
      </c>
      <c r="U214" s="20">
        <f>SUM(U206:U213)+reservaoutrosconsolidadofev[[#This Row],[16]]</f>
        <v>86</v>
      </c>
      <c r="V214" s="20">
        <f>SUM(V206:V213)+reservaoutrosconsolidadofev[[#This Row],[17]]</f>
        <v>86</v>
      </c>
      <c r="W214" s="20">
        <f>SUM(W206:W213)+reservaoutrosconsolidadofev[[#This Row],[18]]</f>
        <v>86</v>
      </c>
      <c r="X214" s="20">
        <f>SUM(X206:X213)+reservaoutrosconsolidadofev[[#This Row],[19]]</f>
        <v>86</v>
      </c>
      <c r="Y214" s="20">
        <f>SUM(Y206:Y213)+reservaoutrosconsolidadofev[[#This Row],[20]]</f>
        <v>86</v>
      </c>
      <c r="Z214" s="20">
        <f>SUM(Z206:Z213)+reservaoutrosconsolidadofev[[#This Row],[21]]</f>
        <v>86</v>
      </c>
      <c r="AA214" s="20">
        <f>SUM(AA206:AA213)+reservaoutrosconsolidadofev[[#This Row],[22]]</f>
        <v>86</v>
      </c>
      <c r="AB214" s="20">
        <f>SUM(AB206:AB213)+reservaoutrosconsolidadofev[[#This Row],[23]]</f>
        <v>86</v>
      </c>
      <c r="AC214" s="20">
        <f>SUM(AC206:AC213)+reservaoutrosconsolidadofev[[#This Row],[24]]</f>
        <v>86</v>
      </c>
      <c r="AD214" s="20">
        <f>SUM(AD206:AD213)+reservaoutrosconsolidadofev[[#This Row],[25]]</f>
        <v>86</v>
      </c>
      <c r="AE214" s="20">
        <f>SUM(AE206:AE213)+reservaoutrosconsolidadofev[[#This Row],[26]]</f>
        <v>86</v>
      </c>
      <c r="AF214" s="20">
        <f>SUM(AF206:AF213)+reservaoutrosconsolidadofev[[#This Row],[27]]</f>
        <v>86</v>
      </c>
      <c r="AG214" s="20">
        <f>SUM(AG206:AG213)+reservaoutrosconsolidadofev[[#This Row],[28]]</f>
        <v>86</v>
      </c>
      <c r="AH214" s="20">
        <f>SUM(AH206:AH213)+reservaoutrosconsolidadofev[[#This Row],[29]]</f>
        <v>86</v>
      </c>
      <c r="AI214" s="19">
        <f>SUM(AI206:AI213)+reservaoutrosconsolidadofev[[#This Row],[30]]</f>
        <v>86</v>
      </c>
      <c r="AJ214" s="18">
        <f>reservaoutrosconsolidadofev[[#This Row],[31]]</f>
        <v>86</v>
      </c>
      <c r="AK214" s="17"/>
    </row>
    <row r="215" spans="2:37" ht="6.75" customHeight="1" thickTop="1" thickBot="1" x14ac:dyDescent="0.3">
      <c r="B215" s="15"/>
      <c r="C215" s="14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3"/>
      <c r="AE215" s="13"/>
      <c r="AF215" s="13"/>
      <c r="AG215" s="13"/>
      <c r="AH215" s="13"/>
      <c r="AI215" s="12"/>
      <c r="AJ215" s="11"/>
      <c r="AK215" s="10"/>
    </row>
    <row r="216" spans="2:37" ht="12.6" thickTop="1" x14ac:dyDescent="0.25"/>
    <row r="217" spans="2:37" x14ac:dyDescent="0.25"/>
  </sheetData>
  <sheetProtection algorithmName="SHA-512" hashValue="wbsVvZtaOy4b+c/6w3Aca3kK7dA+U3Sa965AxrTAfcPxC3n1l11FvtO9TMM2gS7cGpzPoyWzH+l3QP2QghIuPA==" saltValue="P9/mLco36X/BkRYfFp2Ppg==" spinCount="100000" sheet="1" objects="1" scenarios="1" selectLockedCells="1" selectUnlockedCells="1"/>
  <mergeCells count="26">
    <mergeCell ref="E164:AI164"/>
    <mergeCell ref="E183:AI183"/>
    <mergeCell ref="E202:AI202"/>
    <mergeCell ref="E10:AI10"/>
    <mergeCell ref="E21:AI21"/>
    <mergeCell ref="E33:AI33"/>
    <mergeCell ref="E56:AI56"/>
    <mergeCell ref="E78:AI78"/>
    <mergeCell ref="E92:AI92"/>
    <mergeCell ref="E109:AI109"/>
    <mergeCell ref="E128:AI128"/>
    <mergeCell ref="E147:AI147"/>
    <mergeCell ref="AC3:AD4"/>
    <mergeCell ref="AF3:AG4"/>
    <mergeCell ref="E4:G4"/>
    <mergeCell ref="I4:K4"/>
    <mergeCell ref="M4:O4"/>
    <mergeCell ref="Q4:S4"/>
    <mergeCell ref="U4:W4"/>
    <mergeCell ref="U3:W3"/>
    <mergeCell ref="Z3:AA4"/>
    <mergeCell ref="C2:C6"/>
    <mergeCell ref="E3:G3"/>
    <mergeCell ref="I3:K3"/>
    <mergeCell ref="M3:O3"/>
    <mergeCell ref="Q3:S3"/>
  </mergeCells>
  <hyperlinks>
    <hyperlink ref="Z3:AA4" location="'🔒'!A1" display="REGISTROS" xr:uid="{161D21FB-610C-412D-A5E0-0A76725AC653}"/>
    <hyperlink ref="AF3:AG4" location="ANUAL!A1" display="ANUAL" xr:uid="{2FC8F0A0-0142-4808-8D46-C3269DFB0417}"/>
    <hyperlink ref="AC3:AD4" location="'📈'!A1" display="RADAR" xr:uid="{6AFD13E7-1CF9-431B-9718-F115604AA2F2}"/>
  </hyperlinks>
  <pageMargins left="0.511811024" right="0.511811024" top="0.78740157499999996" bottom="0.78740157499999996" header="0.31496062000000002" footer="0.31496062000000002"/>
  <ignoredErrors>
    <ignoredError sqref="E6:AJ15 E16:AI27" numberStoredAsText="1"/>
    <ignoredError sqref="AJ16:AJ27" numberStoredAsText="1" calculatedColumn="1"/>
    <ignoredError sqref="D37:AJ214" calculatedColumn="1"/>
  </ignoredErrors>
  <drawing r:id="rId1"/>
  <tableParts count="12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</tableParts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type="column" displayEmptyCellsAs="gap" high="1" low="1" negative="1" minAxisType="custom" maxAxisType="group" xr2:uid="{3BE5D48F-9DDA-4EDD-84C1-E13656C84DA1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'2'!E214:AI214</xm:f>
              <xm:sqref>E202</xm:sqref>
            </x14:sparkline>
          </x14:sparklines>
        </x14:sparklineGroup>
        <x14:sparklineGroup manualMax="0" manualMin="0" type="column" displayEmptyCellsAs="gap" high="1" low="1" negative="1" minAxisType="custom" maxAxisType="group" xr2:uid="{B29692DA-979B-42A1-BD6E-11AF4F4AAF06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'2'!E197:AI197</xm:f>
              <xm:sqref>E183</xm:sqref>
            </x14:sparkline>
          </x14:sparklines>
        </x14:sparklineGroup>
        <x14:sparklineGroup manualMax="0" manualMin="0" type="column" displayEmptyCellsAs="gap" high="1" low="1" negative="1" minAxisType="custom" maxAxisType="group" xr2:uid="{6BE9952E-87FA-4238-BF8E-9B5CFB4789F6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'2'!E178:AI178</xm:f>
              <xm:sqref>E164</xm:sqref>
            </x14:sparkline>
          </x14:sparklines>
        </x14:sparklineGroup>
        <x14:sparklineGroup manualMax="0" manualMin="0" type="column" displayEmptyCellsAs="gap" high="1" low="1" negative="1" minAxisType="custom" maxAxisType="group" xr2:uid="{BCBDE74C-E014-42D3-802F-DFEE1FA263E5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'2'!E159:AI159</xm:f>
              <xm:sqref>E147</xm:sqref>
            </x14:sparkline>
          </x14:sparklines>
        </x14:sparklineGroup>
        <x14:sparklineGroup manualMax="0" manualMin="0" type="column" displayEmptyCellsAs="gap" high="1" low="1" negative="1" minAxisType="custom" maxAxisType="group" xr2:uid="{C27C5E1A-8DF5-44D5-99DC-41258B7B4676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'2'!E142:AI142</xm:f>
              <xm:sqref>E128</xm:sqref>
            </x14:sparkline>
          </x14:sparklines>
        </x14:sparklineGroup>
        <x14:sparklineGroup manualMax="0" manualMin="0" type="column" displayEmptyCellsAs="gap" high="1" low="1" negative="1" minAxisType="custom" maxAxisType="group" xr2:uid="{17284447-97DD-46E7-AA5B-B832CC7D0E67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'2'!E123:AI123</xm:f>
              <xm:sqref>E109</xm:sqref>
            </x14:sparkline>
          </x14:sparklines>
        </x14:sparklineGroup>
        <x14:sparklineGroup manualMax="0" manualMin="0" type="column" displayEmptyCellsAs="gap" high="1" low="1" negative="1" minAxisType="custom" maxAxisType="group" xr2:uid="{B250D259-08B0-405C-A86C-38AF67CB4DAC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'2'!E104:AI104</xm:f>
              <xm:sqref>E92</xm:sqref>
            </x14:sparkline>
          </x14:sparklines>
        </x14:sparklineGroup>
        <x14:sparklineGroup manualMax="0" manualMin="0" type="column" displayEmptyCellsAs="gap" high="1" low="1" negative="1" minAxisType="custom" maxAxisType="group" xr2:uid="{8D2928D3-777C-4F13-96C4-46CB8403C6B0}">
          <x14:colorSeries rgb="FFC00000"/>
          <x14:colorNegative rgb="FFC00000"/>
          <x14:colorAxis rgb="FF000000"/>
          <x14:colorMarkers rgb="FF0070C0"/>
          <x14:colorFirst rgb="FFFFC000"/>
          <x14:colorLast rgb="FFFFC000"/>
          <x14:colorHigh rgb="FFFF0000"/>
          <x14:colorLow rgb="FFFFC000"/>
          <x14:sparklines>
            <x14:sparkline>
              <xm:f>'2'!E51:AI51</xm:f>
              <xm:sqref>E33</xm:sqref>
            </x14:sparkline>
          </x14:sparklines>
        </x14:sparklineGroup>
        <x14:sparklineGroup manualMax="0" manualMin="0" type="column" displayEmptyCellsAs="gap" high="1" low="1" negative="1" minAxisType="custom" maxAxisType="group" xr2:uid="{E6B652FF-4D06-4B5C-B1AF-E9F8674217A1}">
          <x14:colorSeries rgb="FFC00000"/>
          <x14:colorNegative rgb="FFC00000"/>
          <x14:colorAxis rgb="FF000000"/>
          <x14:colorMarkers rgb="FF0070C0"/>
          <x14:colorFirst rgb="FFFFC000"/>
          <x14:colorLast rgb="FFFFC000"/>
          <x14:colorHigh rgb="FFFF0000"/>
          <x14:colorLow rgb="FFFFC000"/>
          <x14:sparklines>
            <x14:sparkline>
              <xm:f>'2'!E73:AI73</xm:f>
              <xm:sqref>E56</xm:sqref>
            </x14:sparkline>
          </x14:sparklines>
        </x14:sparklineGroup>
        <x14:sparklineGroup manualMax="0" manualMin="0" type="column" displayEmptyCellsAs="gap" high="1" low="1" negative="1" minAxisType="custom" maxAxisType="group" xr2:uid="{0B320A8D-DF29-4149-A25B-81A2F90A304D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'2'!E87:AI87</xm:f>
              <xm:sqref>E78</xm:sqref>
            </x14:sparkline>
          </x14:sparklines>
        </x14:sparklineGroup>
        <x14:sparklineGroup manualMax="0" manualMin="0" type="column" displayEmptyCellsAs="gap" high="1" low="1" negative="1" minAxisType="custom" maxAxisType="group" xr2:uid="{7F98E45A-B3FD-44FB-990E-1680BC0120A4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'2'!E27:AI27</xm:f>
              <xm:sqref>E21</xm:sqref>
            </x14:sparkline>
          </x14:sparklines>
        </x14:sparklineGroup>
        <x14:sparklineGroup manualMax="0" type="column" displayEmptyCellsAs="gap" high="1" negative="1" maxAxisType="group" xr2:uid="{A599F90D-DFEE-4DBE-B18E-253BE286751F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'2'!E16:AI16</xm:f>
              <xm:sqref>E10</xm:sqref>
            </x14:sparkline>
          </x14:sparklines>
        </x14:sparklineGroup>
      </x14:sparklineGroup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2B1673-92C5-4565-B61F-B7EE9EC8C8E9}">
  <sheetPr codeName="Planilha7">
    <tabColor rgb="FFFFEBAB"/>
  </sheetPr>
  <dimension ref="A1:AL217"/>
  <sheetViews>
    <sheetView showGridLines="0" showRowColHeaders="0" showZeros="0" zoomScale="85" zoomScaleNormal="85" workbookViewId="0">
      <pane xSplit="3" ySplit="6" topLeftCell="D7" activePane="bottomRight" state="frozen"/>
      <selection activeCell="D24" sqref="D24"/>
      <selection pane="topRight" activeCell="D24" sqref="D24"/>
      <selection pane="bottomLeft" activeCell="D24" sqref="D24"/>
      <selection pane="bottomRight" activeCell="D24" sqref="D24"/>
    </sheetView>
  </sheetViews>
  <sheetFormatPr defaultColWidth="0" defaultRowHeight="12" zeroHeight="1" x14ac:dyDescent="0.25"/>
  <cols>
    <col min="1" max="1" width="2.109375" style="4" customWidth="1"/>
    <col min="2" max="2" width="1.5546875" style="4" customWidth="1"/>
    <col min="3" max="3" width="29.33203125" style="4" bestFit="1" customWidth="1"/>
    <col min="4" max="4" width="4.6640625" style="4" customWidth="1"/>
    <col min="5" max="34" width="5.5546875" style="4" customWidth="1"/>
    <col min="35" max="35" width="5.5546875" style="9" customWidth="1"/>
    <col min="36" max="36" width="9.5546875" style="4" customWidth="1"/>
    <col min="37" max="37" width="1.5546875" style="4" customWidth="1"/>
    <col min="38" max="38" width="2" style="4" customWidth="1"/>
    <col min="39" max="16384" width="2.109375" style="4" hidden="1"/>
  </cols>
  <sheetData>
    <row r="1" spans="1:38" ht="29.25" hidden="1" customHeight="1" thickBot="1" x14ac:dyDescent="0.3">
      <c r="A1" s="80"/>
      <c r="B1" s="80"/>
      <c r="C1" s="80"/>
      <c r="D1" s="79"/>
      <c r="AD1" s="4" t="s">
        <v>215</v>
      </c>
      <c r="AE1" s="78">
        <v>3</v>
      </c>
      <c r="AH1" s="4" t="s">
        <v>214</v>
      </c>
      <c r="AI1" s="75">
        <f>IF('⚙️'!$Q$3=$AE$1,'⚙️'!$F$13,0)</f>
        <v>0</v>
      </c>
      <c r="AK1" s="75"/>
    </row>
    <row r="2" spans="1:38" ht="15.75" customHeight="1" thickTop="1" thickBot="1" x14ac:dyDescent="0.3">
      <c r="A2" s="77"/>
      <c r="B2" s="77"/>
      <c r="C2" s="245" t="s">
        <v>104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71"/>
      <c r="U2" s="71"/>
      <c r="V2" s="71"/>
      <c r="W2" s="71"/>
      <c r="X2" s="71"/>
      <c r="Y2" s="71"/>
      <c r="Z2" s="71"/>
      <c r="AA2" s="71"/>
      <c r="AB2" s="71"/>
      <c r="AC2" s="76"/>
      <c r="AD2" s="64"/>
      <c r="AE2" s="64"/>
      <c r="AF2" s="64"/>
      <c r="AG2" s="64"/>
      <c r="AH2" s="64"/>
      <c r="AI2" s="64"/>
      <c r="AJ2" s="64"/>
      <c r="AK2" s="64"/>
      <c r="AL2" s="64"/>
    </row>
    <row r="3" spans="1:38" s="73" customFormat="1" ht="18" customHeight="1" thickTop="1" thickBot="1" x14ac:dyDescent="0.3">
      <c r="A3" s="72"/>
      <c r="B3" s="72"/>
      <c r="C3" s="246"/>
      <c r="D3" s="2"/>
      <c r="E3" s="243" t="s">
        <v>211</v>
      </c>
      <c r="F3" s="243"/>
      <c r="G3" s="243"/>
      <c r="H3" s="71"/>
      <c r="I3" s="243" t="s">
        <v>210</v>
      </c>
      <c r="J3" s="243"/>
      <c r="K3" s="243"/>
      <c r="L3" s="71"/>
      <c r="M3" s="243" t="s">
        <v>209</v>
      </c>
      <c r="N3" s="243"/>
      <c r="O3" s="243"/>
      <c r="P3" s="71"/>
      <c r="Q3" s="243" t="s">
        <v>208</v>
      </c>
      <c r="R3" s="243"/>
      <c r="S3" s="243"/>
      <c r="T3" s="71"/>
      <c r="U3" s="243" t="s">
        <v>207</v>
      </c>
      <c r="V3" s="243"/>
      <c r="W3" s="243"/>
      <c r="X3" s="71"/>
      <c r="Y3" s="71"/>
      <c r="Z3" s="252" t="s">
        <v>23</v>
      </c>
      <c r="AA3" s="253"/>
      <c r="AB3" s="64"/>
      <c r="AC3" s="252" t="s">
        <v>24</v>
      </c>
      <c r="AD3" s="253"/>
      <c r="AE3" s="64"/>
      <c r="AF3" s="252" t="s">
        <v>22</v>
      </c>
      <c r="AG3" s="253"/>
      <c r="AH3" s="74"/>
      <c r="AI3" s="74"/>
      <c r="AJ3" s="74"/>
      <c r="AK3" s="64"/>
      <c r="AL3" s="64"/>
    </row>
    <row r="4" spans="1:38" s="73" customFormat="1" ht="18" customHeight="1" thickTop="1" thickBot="1" x14ac:dyDescent="0.3">
      <c r="A4" s="72"/>
      <c r="B4" s="72"/>
      <c r="C4" s="246"/>
      <c r="D4" s="2"/>
      <c r="E4" s="242">
        <f>$AJ$16</f>
        <v>72</v>
      </c>
      <c r="F4" s="242"/>
      <c r="G4" s="242"/>
      <c r="H4" s="71"/>
      <c r="I4" s="242">
        <f>$AJ$14</f>
        <v>424</v>
      </c>
      <c r="J4" s="242"/>
      <c r="K4" s="242"/>
      <c r="L4" s="71"/>
      <c r="M4" s="242">
        <f>$AJ$15</f>
        <v>352</v>
      </c>
      <c r="N4" s="242"/>
      <c r="O4" s="242"/>
      <c r="P4" s="71"/>
      <c r="Q4" s="242">
        <f>$AJ$25</f>
        <v>0</v>
      </c>
      <c r="R4" s="242"/>
      <c r="S4" s="242"/>
      <c r="T4" s="71"/>
      <c r="U4" s="242">
        <f>$AJ$26</f>
        <v>0</v>
      </c>
      <c r="V4" s="242"/>
      <c r="W4" s="242"/>
      <c r="X4" s="71"/>
      <c r="Y4" s="71"/>
      <c r="Z4" s="254"/>
      <c r="AA4" s="255"/>
      <c r="AB4" s="64"/>
      <c r="AC4" s="254"/>
      <c r="AD4" s="255"/>
      <c r="AE4" s="64"/>
      <c r="AF4" s="254"/>
      <c r="AG4" s="255"/>
      <c r="AH4" s="74"/>
      <c r="AI4" s="74"/>
      <c r="AJ4" s="74"/>
      <c r="AK4" s="64"/>
      <c r="AL4" s="64"/>
    </row>
    <row r="5" spans="1:38" ht="11.25" customHeight="1" thickTop="1" thickBot="1" x14ac:dyDescent="0.3">
      <c r="A5" s="72"/>
      <c r="B5" s="72"/>
      <c r="C5" s="246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71"/>
      <c r="Y5" s="2"/>
      <c r="Z5" s="2"/>
      <c r="AA5" s="71"/>
      <c r="AB5" s="71"/>
      <c r="AC5" s="70"/>
      <c r="AD5" s="69"/>
      <c r="AE5" s="69"/>
      <c r="AF5" s="69"/>
      <c r="AG5" s="69"/>
      <c r="AH5" s="69"/>
      <c r="AI5" s="69"/>
      <c r="AJ5" s="64"/>
      <c r="AK5" s="64"/>
      <c r="AL5" s="64"/>
    </row>
    <row r="6" spans="1:38" ht="13.5" customHeight="1" thickTop="1" thickBot="1" x14ac:dyDescent="0.3">
      <c r="A6" s="68"/>
      <c r="B6" s="68"/>
      <c r="C6" s="247"/>
      <c r="D6" s="15"/>
      <c r="E6" s="67" t="s">
        <v>197</v>
      </c>
      <c r="F6" s="67" t="s">
        <v>196</v>
      </c>
      <c r="G6" s="66" t="s">
        <v>195</v>
      </c>
      <c r="H6" s="66" t="s">
        <v>194</v>
      </c>
      <c r="I6" s="66" t="s">
        <v>193</v>
      </c>
      <c r="J6" s="66" t="s">
        <v>192</v>
      </c>
      <c r="K6" s="66" t="s">
        <v>191</v>
      </c>
      <c r="L6" s="66" t="s">
        <v>190</v>
      </c>
      <c r="M6" s="66" t="s">
        <v>189</v>
      </c>
      <c r="N6" s="66" t="s">
        <v>188</v>
      </c>
      <c r="O6" s="66" t="s">
        <v>187</v>
      </c>
      <c r="P6" s="66" t="s">
        <v>186</v>
      </c>
      <c r="Q6" s="66" t="s">
        <v>185</v>
      </c>
      <c r="R6" s="66" t="s">
        <v>184</v>
      </c>
      <c r="S6" s="66" t="s">
        <v>183</v>
      </c>
      <c r="T6" s="66" t="s">
        <v>182</v>
      </c>
      <c r="U6" s="66" t="s">
        <v>181</v>
      </c>
      <c r="V6" s="66" t="s">
        <v>180</v>
      </c>
      <c r="W6" s="66" t="s">
        <v>179</v>
      </c>
      <c r="X6" s="66" t="s">
        <v>178</v>
      </c>
      <c r="Y6" s="66" t="s">
        <v>177</v>
      </c>
      <c r="Z6" s="66" t="s">
        <v>176</v>
      </c>
      <c r="AA6" s="66" t="s">
        <v>175</v>
      </c>
      <c r="AB6" s="66" t="s">
        <v>174</v>
      </c>
      <c r="AC6" s="66" t="s">
        <v>173</v>
      </c>
      <c r="AD6" s="66" t="s">
        <v>172</v>
      </c>
      <c r="AE6" s="66" t="s">
        <v>171</v>
      </c>
      <c r="AF6" s="66" t="s">
        <v>170</v>
      </c>
      <c r="AG6" s="66" t="s">
        <v>169</v>
      </c>
      <c r="AH6" s="66" t="s">
        <v>168</v>
      </c>
      <c r="AI6" s="65" t="s">
        <v>167</v>
      </c>
      <c r="AJ6" s="64"/>
      <c r="AK6" s="64"/>
      <c r="AL6" s="64"/>
    </row>
    <row r="7" spans="1:38" ht="12.6" thickTop="1" x14ac:dyDescent="0.25">
      <c r="E7" s="37"/>
      <c r="AI7" s="4"/>
    </row>
    <row r="8" spans="1:38" x14ac:dyDescent="0.25">
      <c r="AI8" s="4"/>
    </row>
    <row r="9" spans="1:38" x14ac:dyDescent="0.25">
      <c r="AI9" s="4"/>
    </row>
    <row r="10" spans="1:38" ht="39.75" customHeight="1" x14ac:dyDescent="0.7">
      <c r="C10" s="36"/>
      <c r="E10" s="240"/>
      <c r="F10" s="240"/>
      <c r="G10" s="240"/>
      <c r="H10" s="240"/>
      <c r="I10" s="240"/>
      <c r="J10" s="240"/>
      <c r="K10" s="240"/>
      <c r="L10" s="240"/>
      <c r="M10" s="240"/>
      <c r="N10" s="240"/>
      <c r="O10" s="240"/>
      <c r="P10" s="240"/>
      <c r="Q10" s="240"/>
      <c r="R10" s="240"/>
      <c r="S10" s="240"/>
      <c r="T10" s="240"/>
      <c r="U10" s="240"/>
      <c r="V10" s="240"/>
      <c r="W10" s="240"/>
      <c r="X10" s="240"/>
      <c r="Y10" s="240"/>
      <c r="Z10" s="240"/>
      <c r="AA10" s="240"/>
      <c r="AB10" s="240"/>
      <c r="AC10" s="240"/>
      <c r="AD10" s="240"/>
      <c r="AE10" s="240"/>
      <c r="AF10" s="240"/>
      <c r="AG10" s="240"/>
      <c r="AH10" s="240"/>
      <c r="AI10" s="240"/>
      <c r="AJ10" s="32" t="s">
        <v>19</v>
      </c>
    </row>
    <row r="11" spans="1:38" ht="12.6" thickBot="1" x14ac:dyDescent="0.3">
      <c r="AI11" s="4"/>
      <c r="AJ11" s="34" t="s">
        <v>202</v>
      </c>
    </row>
    <row r="12" spans="1:38" ht="6.75" customHeight="1" thickTop="1" thickBot="1" x14ac:dyDescent="0.3">
      <c r="B12" s="49"/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49"/>
      <c r="X12" s="49"/>
      <c r="Y12" s="49"/>
      <c r="Z12" s="49"/>
      <c r="AA12" s="49"/>
      <c r="AB12" s="49"/>
      <c r="AC12" s="49"/>
      <c r="AD12" s="49"/>
      <c r="AE12" s="49"/>
      <c r="AF12" s="49"/>
      <c r="AG12" s="49"/>
      <c r="AH12" s="49"/>
      <c r="AI12" s="49"/>
      <c r="AJ12" s="50"/>
      <c r="AK12" s="49"/>
    </row>
    <row r="13" spans="1:38" ht="13.2" hidden="1" thickTop="1" thickBot="1" x14ac:dyDescent="0.3">
      <c r="B13" s="2"/>
      <c r="C13" s="31" t="s">
        <v>199</v>
      </c>
      <c r="D13" s="30" t="s">
        <v>198</v>
      </c>
      <c r="E13" s="30" t="s">
        <v>197</v>
      </c>
      <c r="F13" s="30" t="s">
        <v>196</v>
      </c>
      <c r="G13" s="30" t="s">
        <v>195</v>
      </c>
      <c r="H13" s="30" t="s">
        <v>194</v>
      </c>
      <c r="I13" s="30" t="s">
        <v>193</v>
      </c>
      <c r="J13" s="30" t="s">
        <v>192</v>
      </c>
      <c r="K13" s="30" t="s">
        <v>191</v>
      </c>
      <c r="L13" s="30" t="s">
        <v>190</v>
      </c>
      <c r="M13" s="30" t="s">
        <v>189</v>
      </c>
      <c r="N13" s="30" t="s">
        <v>188</v>
      </c>
      <c r="O13" s="30" t="s">
        <v>187</v>
      </c>
      <c r="P13" s="30" t="s">
        <v>186</v>
      </c>
      <c r="Q13" s="30" t="s">
        <v>185</v>
      </c>
      <c r="R13" s="30" t="s">
        <v>184</v>
      </c>
      <c r="S13" s="30" t="s">
        <v>183</v>
      </c>
      <c r="T13" s="30" t="s">
        <v>182</v>
      </c>
      <c r="U13" s="30" t="s">
        <v>181</v>
      </c>
      <c r="V13" s="30" t="s">
        <v>180</v>
      </c>
      <c r="W13" s="30" t="s">
        <v>179</v>
      </c>
      <c r="X13" s="30" t="s">
        <v>178</v>
      </c>
      <c r="Y13" s="30" t="s">
        <v>177</v>
      </c>
      <c r="Z13" s="30" t="s">
        <v>176</v>
      </c>
      <c r="AA13" s="30" t="s">
        <v>175</v>
      </c>
      <c r="AB13" s="30" t="s">
        <v>174</v>
      </c>
      <c r="AC13" s="30" t="s">
        <v>173</v>
      </c>
      <c r="AD13" s="30" t="s">
        <v>172</v>
      </c>
      <c r="AE13" s="30" t="s">
        <v>171</v>
      </c>
      <c r="AF13" s="30" t="s">
        <v>170</v>
      </c>
      <c r="AG13" s="30" t="s">
        <v>169</v>
      </c>
      <c r="AH13" s="30" t="s">
        <v>168</v>
      </c>
      <c r="AI13" s="30" t="s">
        <v>167</v>
      </c>
      <c r="AJ13" s="29" t="s">
        <v>166</v>
      </c>
      <c r="AK13" s="49"/>
    </row>
    <row r="14" spans="1:38" ht="19.5" customHeight="1" thickTop="1" thickBot="1" x14ac:dyDescent="0.3">
      <c r="B14" s="49"/>
      <c r="C14" s="61" t="s">
        <v>206</v>
      </c>
      <c r="D14" s="60"/>
      <c r="E14" s="88">
        <f>SUMIFS(tabela_registros[VALOR],tabela_registros[MÊS],$AE$1,tabela_registros[DIA],martotal3059[[#Headers],[1]],tabela_registros[REGISTRO],DADOS!$N$3)</f>
        <v>50</v>
      </c>
      <c r="F14" s="88">
        <f>SUMIFS(tabela_registros[VALOR],tabela_registros[MÊS],$AE$1,tabela_registros[DIA],martotal3059[[#Headers],[2]],tabela_registros[REGISTRO],DADOS!$N$3)</f>
        <v>0</v>
      </c>
      <c r="G14" s="88">
        <f>SUMIFS(tabela_registros[VALOR],tabela_registros[MÊS],$AE$1,tabela_registros[DIA],martotal3059[[#Headers],[3]],tabela_registros[REGISTRO],DADOS!$N$3)</f>
        <v>0</v>
      </c>
      <c r="H14" s="88">
        <f>SUMIFS(tabela_registros[VALOR],tabela_registros[MÊS],$AE$1,tabela_registros[DIA],martotal3059[[#Headers],[4]],tabela_registros[REGISTRO],DADOS!$N$3)</f>
        <v>0</v>
      </c>
      <c r="I14" s="88">
        <f>SUMIFS(tabela_registros[VALOR],tabela_registros[MÊS],$AE$1,tabela_registros[DIA],martotal3059[[#Headers],[5]],tabela_registros[REGISTRO],DADOS!$N$3)</f>
        <v>0</v>
      </c>
      <c r="J14" s="88">
        <f>SUMIFS(tabela_registros[VALOR],tabela_registros[MÊS],$AE$1,tabela_registros[DIA],martotal3059[[#Headers],[6]],tabela_registros[REGISTRO],DADOS!$N$3)</f>
        <v>0</v>
      </c>
      <c r="K14" s="88">
        <f>SUMIFS(tabela_registros[VALOR],tabela_registros[MÊS],$AE$1,tabela_registros[DIA],martotal3059[[#Headers],[7]],tabela_registros[REGISTRO],DADOS!$N$3)</f>
        <v>0</v>
      </c>
      <c r="L14" s="88">
        <f>SUMIFS(tabela_registros[VALOR],tabela_registros[MÊS],$AE$1,tabela_registros[DIA],martotal3059[[#Headers],[8]],tabela_registros[REGISTRO],DADOS!$N$3)</f>
        <v>0</v>
      </c>
      <c r="M14" s="88">
        <f>SUMIFS(tabela_registros[VALOR],tabela_registros[MÊS],$AE$1,tabela_registros[DIA],martotal3059[[#Headers],[9]],tabela_registros[REGISTRO],DADOS!$N$3)</f>
        <v>0</v>
      </c>
      <c r="N14" s="88">
        <f>SUMIFS(tabela_registros[VALOR],tabela_registros[MÊS],$AE$1,tabela_registros[DIA],martotal3059[[#Headers],[10]],tabela_registros[REGISTRO],DADOS!$N$3)</f>
        <v>0</v>
      </c>
      <c r="O14" s="88">
        <f>SUMIFS(tabela_registros[VALOR],tabela_registros[MÊS],$AE$1,tabela_registros[DIA],martotal3059[[#Headers],[11]],tabela_registros[REGISTRO],DADOS!$N$3)</f>
        <v>0</v>
      </c>
      <c r="P14" s="88">
        <f>SUMIFS(tabela_registros[VALOR],tabela_registros[MÊS],$AE$1,tabela_registros[DIA],martotal3059[[#Headers],[12]],tabela_registros[REGISTRO],DADOS!$N$3)</f>
        <v>0</v>
      </c>
      <c r="Q14" s="88">
        <f>SUMIFS(tabela_registros[VALOR],tabela_registros[MÊS],$AE$1,tabela_registros[DIA],martotal3059[[#Headers],[13]],tabela_registros[REGISTRO],DADOS!$N$3)</f>
        <v>0</v>
      </c>
      <c r="R14" s="88">
        <f>SUMIFS(tabela_registros[VALOR],tabela_registros[MÊS],$AE$1,tabela_registros[DIA],martotal3059[[#Headers],[14]],tabela_registros[REGISTRO],DADOS!$N$3)</f>
        <v>0</v>
      </c>
      <c r="S14" s="88">
        <f>SUMIFS(tabela_registros[VALOR],tabela_registros[MÊS],$AE$1,tabela_registros[DIA],martotal3059[[#Headers],[15]],tabela_registros[REGISTRO],DADOS!$N$3)</f>
        <v>0</v>
      </c>
      <c r="T14" s="88">
        <f>SUMIFS(tabela_registros[VALOR],tabela_registros[MÊS],$AE$1,tabela_registros[DIA],martotal3059[[#Headers],[16]],tabela_registros[REGISTRO],DADOS!$N$3)</f>
        <v>80</v>
      </c>
      <c r="U14" s="88">
        <f>SUMIFS(tabela_registros[VALOR],tabela_registros[MÊS],$AE$1,tabela_registros[DIA],martotal3059[[#Headers],[17]],tabela_registros[REGISTRO],DADOS!$N$3)</f>
        <v>92</v>
      </c>
      <c r="V14" s="88">
        <f>SUMIFS(tabela_registros[VALOR],tabela_registros[MÊS],$AE$1,tabela_registros[DIA],martotal3059[[#Headers],[18]],tabela_registros[REGISTRO],DADOS!$N$3)</f>
        <v>202</v>
      </c>
      <c r="W14" s="88">
        <f>SUMIFS(tabela_registros[VALOR],tabela_registros[MÊS],$AE$1,tabela_registros[DIA],martotal3059[[#Headers],[19]],tabela_registros[REGISTRO],DADOS!$N$3)</f>
        <v>0</v>
      </c>
      <c r="X14" s="88">
        <f>SUMIFS(tabela_registros[VALOR],tabela_registros[MÊS],$AE$1,tabela_registros[DIA],martotal3059[[#Headers],[20]],tabela_registros[REGISTRO],DADOS!$N$3)</f>
        <v>0</v>
      </c>
      <c r="Y14" s="88">
        <f>SUMIFS(tabela_registros[VALOR],tabela_registros[MÊS],$AE$1,tabela_registros[DIA],martotal3059[[#Headers],[21]],tabela_registros[REGISTRO],DADOS!$N$3)</f>
        <v>0</v>
      </c>
      <c r="Z14" s="88">
        <f>SUMIFS(tabela_registros[VALOR],tabela_registros[MÊS],$AE$1,tabela_registros[DIA],martotal3059[[#Headers],[22]],tabela_registros[REGISTRO],DADOS!$N$3)</f>
        <v>0</v>
      </c>
      <c r="AA14" s="88">
        <f>SUMIFS(tabela_registros[VALOR],tabela_registros[MÊS],$AE$1,tabela_registros[DIA],martotal3059[[#Headers],[23]],tabela_registros[REGISTRO],DADOS!$N$3)</f>
        <v>0</v>
      </c>
      <c r="AB14" s="88">
        <f>SUMIFS(tabela_registros[VALOR],tabela_registros[MÊS],$AE$1,tabela_registros[DIA],martotal3059[[#Headers],[24]],tabela_registros[REGISTRO],DADOS!$N$3)</f>
        <v>0</v>
      </c>
      <c r="AC14" s="88">
        <f>SUMIFS(tabela_registros[VALOR],tabela_registros[MÊS],$AE$1,tabela_registros[DIA],martotal3059[[#Headers],[25]],tabela_registros[REGISTRO],DADOS!$N$3)</f>
        <v>0</v>
      </c>
      <c r="AD14" s="88">
        <f>SUMIFS(tabela_registros[VALOR],tabela_registros[MÊS],$AE$1,tabela_registros[DIA],martotal3059[[#Headers],[26]],tabela_registros[REGISTRO],DADOS!$N$3)</f>
        <v>0</v>
      </c>
      <c r="AE14" s="88">
        <f>SUMIFS(tabela_registros[VALOR],tabela_registros[MÊS],$AE$1,tabela_registros[DIA],martotal3059[[#Headers],[27]],tabela_registros[REGISTRO],DADOS!$N$3)</f>
        <v>0</v>
      </c>
      <c r="AF14" s="88">
        <f>SUMIFS(tabela_registros[VALOR],tabela_registros[MÊS],$AE$1,tabela_registros[DIA],martotal3059[[#Headers],[28]],tabela_registros[REGISTRO],DADOS!$N$3)</f>
        <v>0</v>
      </c>
      <c r="AG14" s="88">
        <f>SUMIFS(tabela_registros[VALOR],tabela_registros[MÊS],$AE$1,tabela_registros[DIA],martotal3059[[#Headers],[29]],tabela_registros[REGISTRO],DADOS!$N$3)</f>
        <v>0</v>
      </c>
      <c r="AH14" s="88">
        <f>SUMIFS(tabela_registros[VALOR],tabela_registros[MÊS],$AE$1,tabela_registros[DIA],martotal3059[[#Headers],[30]],tabela_registros[REGISTRO],DADOS!$N$3)</f>
        <v>0</v>
      </c>
      <c r="AI14" s="89">
        <f>SUMIFS(tabela_registros[VALOR],tabela_registros[MÊS],$AE$1,tabela_registros[DIA],martotal3059[[#Headers],[31]],tabela_registros[REGISTRO],DADOS!$N$3)</f>
        <v>0</v>
      </c>
      <c r="AJ14" s="90">
        <f>SUM(martotal3059[[#This Row],[1]:[31]])</f>
        <v>424</v>
      </c>
      <c r="AK14" s="49"/>
    </row>
    <row r="15" spans="1:38" ht="18" customHeight="1" thickTop="1" thickBot="1" x14ac:dyDescent="0.3">
      <c r="B15" s="49"/>
      <c r="C15" s="61" t="s">
        <v>205</v>
      </c>
      <c r="D15" s="60"/>
      <c r="E15" s="91">
        <f>SUMIFS(tabela_registros[VALOR],tabela_registros[MÊS],$AE$1,tabela_registros[DIA],martotal3059[[#Headers],[1]],tabela_registros[REGISTRO],DADOS!$N$4)</f>
        <v>0</v>
      </c>
      <c r="F15" s="91">
        <f>SUMIFS(tabela_registros[VALOR],tabela_registros[MÊS],$AE$1,tabela_registros[DIA],martotal3059[[#Headers],[2]],tabela_registros[REGISTRO],DADOS!$N$4)</f>
        <v>0</v>
      </c>
      <c r="G15" s="91">
        <f>SUMIFS(tabela_registros[VALOR],tabela_registros[MÊS],$AE$1,tabela_registros[DIA],martotal3059[[#Headers],[3]],tabela_registros[REGISTRO],DADOS!$N$4)</f>
        <v>0</v>
      </c>
      <c r="H15" s="91">
        <f>SUMIFS(tabela_registros[VALOR],tabela_registros[MÊS],$AE$1,tabela_registros[DIA],martotal3059[[#Headers],[4]],tabela_registros[REGISTRO],DADOS!$N$4)</f>
        <v>0</v>
      </c>
      <c r="I15" s="91">
        <f>SUMIFS(tabela_registros[VALOR],tabela_registros[MÊS],$AE$1,tabela_registros[DIA],martotal3059[[#Headers],[5]],tabela_registros[REGISTRO],DADOS!$N$4)</f>
        <v>0</v>
      </c>
      <c r="J15" s="91">
        <f>SUMIFS(tabela_registros[VALOR],tabela_registros[MÊS],$AE$1,tabela_registros[DIA],martotal3059[[#Headers],[6]],tabela_registros[REGISTRO],DADOS!$N$4)</f>
        <v>0</v>
      </c>
      <c r="K15" s="91">
        <f>SUMIFS(tabela_registros[VALOR],tabela_registros[MÊS],$AE$1,tabela_registros[DIA],martotal3059[[#Headers],[7]],tabela_registros[REGISTRO],DADOS!$N$4)</f>
        <v>0</v>
      </c>
      <c r="L15" s="91">
        <f>SUMIFS(tabela_registros[VALOR],tabela_registros[MÊS],$AE$1,tabela_registros[DIA],martotal3059[[#Headers],[8]],tabela_registros[REGISTRO],DADOS!$N$4)</f>
        <v>0</v>
      </c>
      <c r="M15" s="91">
        <f>SUMIFS(tabela_registros[VALOR],tabela_registros[MÊS],$AE$1,tabela_registros[DIA],martotal3059[[#Headers],[9]],tabela_registros[REGISTRO],DADOS!$N$4)</f>
        <v>0</v>
      </c>
      <c r="N15" s="91">
        <f>SUMIFS(tabela_registros[VALOR],tabela_registros[MÊS],$AE$1,tabela_registros[DIA],martotal3059[[#Headers],[10]],tabela_registros[REGISTRO],DADOS!$N$4)</f>
        <v>0</v>
      </c>
      <c r="O15" s="91">
        <f>SUMIFS(tabela_registros[VALOR],tabela_registros[MÊS],$AE$1,tabela_registros[DIA],martotal3059[[#Headers],[11]],tabela_registros[REGISTRO],DADOS!$N$4)</f>
        <v>0</v>
      </c>
      <c r="P15" s="91">
        <f>SUMIFS(tabela_registros[VALOR],tabela_registros[MÊS],$AE$1,tabela_registros[DIA],martotal3059[[#Headers],[12]],tabela_registros[REGISTRO],DADOS!$N$4)</f>
        <v>0</v>
      </c>
      <c r="Q15" s="91">
        <f>SUMIFS(tabela_registros[VALOR],tabela_registros[MÊS],$AE$1,tabela_registros[DIA],martotal3059[[#Headers],[13]],tabela_registros[REGISTRO],DADOS!$N$4)</f>
        <v>0</v>
      </c>
      <c r="R15" s="91">
        <f>SUMIFS(tabela_registros[VALOR],tabela_registros[MÊS],$AE$1,tabela_registros[DIA],martotal3059[[#Headers],[14]],tabela_registros[REGISTRO],DADOS!$N$4)</f>
        <v>0</v>
      </c>
      <c r="S15" s="91">
        <f>SUMIFS(tabela_registros[VALOR],tabela_registros[MÊS],$AE$1,tabela_registros[DIA],martotal3059[[#Headers],[15]],tabela_registros[REGISTRO],DADOS!$N$4)</f>
        <v>0</v>
      </c>
      <c r="T15" s="91">
        <f>SUMIFS(tabela_registros[VALOR],tabela_registros[MÊS],$AE$1,tabela_registros[DIA],martotal3059[[#Headers],[16]],tabela_registros[REGISTRO],DADOS!$N$4)</f>
        <v>0</v>
      </c>
      <c r="U15" s="91">
        <f>SUMIFS(tabela_registros[VALOR],tabela_registros[MÊS],$AE$1,tabela_registros[DIA],martotal3059[[#Headers],[17]],tabela_registros[REGISTRO],DADOS!$N$4)</f>
        <v>0</v>
      </c>
      <c r="V15" s="91">
        <f>SUMIFS(tabela_registros[VALOR],tabela_registros[MÊS],$AE$1,tabela_registros[DIA],martotal3059[[#Headers],[18]],tabela_registros[REGISTRO],DADOS!$N$4)</f>
        <v>0</v>
      </c>
      <c r="W15" s="91">
        <f>SUMIFS(tabela_registros[VALOR],tabela_registros[MÊS],$AE$1,tabela_registros[DIA],martotal3059[[#Headers],[19]],tabela_registros[REGISTRO],DADOS!$N$4)</f>
        <v>0</v>
      </c>
      <c r="X15" s="91">
        <f>SUMIFS(tabela_registros[VALOR],tabela_registros[MÊS],$AE$1,tabela_registros[DIA],martotal3059[[#Headers],[20]],tabela_registros[REGISTRO],DADOS!$N$4)</f>
        <v>352</v>
      </c>
      <c r="Y15" s="91">
        <f>SUMIFS(tabela_registros[VALOR],tabela_registros[MÊS],$AE$1,tabela_registros[DIA],martotal3059[[#Headers],[21]],tabela_registros[REGISTRO],DADOS!$N$4)</f>
        <v>0</v>
      </c>
      <c r="Z15" s="91">
        <f>SUMIFS(tabela_registros[VALOR],tabela_registros[MÊS],$AE$1,tabela_registros[DIA],martotal3059[[#Headers],[22]],tabela_registros[REGISTRO],DADOS!$N$4)</f>
        <v>0</v>
      </c>
      <c r="AA15" s="91">
        <f>SUMIFS(tabela_registros[VALOR],tabela_registros[MÊS],$AE$1,tabela_registros[DIA],martotal3059[[#Headers],[23]],tabela_registros[REGISTRO],DADOS!$N$4)</f>
        <v>0</v>
      </c>
      <c r="AB15" s="91">
        <f>SUMIFS(tabela_registros[VALOR],tabela_registros[MÊS],$AE$1,tabela_registros[DIA],martotal3059[[#Headers],[24]],tabela_registros[REGISTRO],DADOS!$N$4)</f>
        <v>0</v>
      </c>
      <c r="AC15" s="91">
        <f>SUMIFS(tabela_registros[VALOR],tabela_registros[MÊS],$AE$1,tabela_registros[DIA],martotal3059[[#Headers],[25]],tabela_registros[REGISTRO],DADOS!$N$4)</f>
        <v>0</v>
      </c>
      <c r="AD15" s="91">
        <f>SUMIFS(tabela_registros[VALOR],tabela_registros[MÊS],$AE$1,tabela_registros[DIA],martotal3059[[#Headers],[26]],tabela_registros[REGISTRO],DADOS!$N$4)</f>
        <v>0</v>
      </c>
      <c r="AE15" s="91">
        <f>SUMIFS(tabela_registros[VALOR],tabela_registros[MÊS],$AE$1,tabela_registros[DIA],martotal3059[[#Headers],[27]],tabela_registros[REGISTRO],DADOS!$N$4)</f>
        <v>0</v>
      </c>
      <c r="AF15" s="91">
        <f>SUMIFS(tabela_registros[VALOR],tabela_registros[MÊS],$AE$1,tabela_registros[DIA],martotal3059[[#Headers],[28]],tabela_registros[REGISTRO],DADOS!$N$4)</f>
        <v>0</v>
      </c>
      <c r="AG15" s="91">
        <f>SUMIFS(tabela_registros[VALOR],tabela_registros[MÊS],$AE$1,tabela_registros[DIA],martotal3059[[#Headers],[29]],tabela_registros[REGISTRO],DADOS!$N$4)</f>
        <v>0</v>
      </c>
      <c r="AH15" s="91">
        <f>SUMIFS(tabela_registros[VALOR],tabela_registros[MÊS],$AE$1,tabela_registros[DIA],martotal3059[[#Headers],[30]],tabela_registros[REGISTRO],DADOS!$N$4)</f>
        <v>0</v>
      </c>
      <c r="AI15" s="92">
        <f>SUMIFS(tabela_registros[VALOR],tabela_registros[MÊS],$AE$1,tabela_registros[DIA],martotal3059[[#Headers],[31]],tabela_registros[REGISTRO],DADOS!$N$4)</f>
        <v>0</v>
      </c>
      <c r="AJ15" s="93">
        <f>SUM(martotal3059[[#This Row],[1]:[31]])</f>
        <v>352</v>
      </c>
      <c r="AK15" s="49"/>
    </row>
    <row r="16" spans="1:38" s="16" customFormat="1" ht="21" customHeight="1" thickTop="1" thickBot="1" x14ac:dyDescent="0.35">
      <c r="B16" s="52"/>
      <c r="C16" s="57" t="s">
        <v>204</v>
      </c>
      <c r="D16" s="63"/>
      <c r="E16" s="55">
        <f>(E14-E15)+AI1</f>
        <v>50</v>
      </c>
      <c r="F16" s="54">
        <f>martotal3059[[#This Row],[1]]+(F14-F15)</f>
        <v>50</v>
      </c>
      <c r="G16" s="54">
        <f>martotal3059[[#This Row],[2]]+(G14-G15)</f>
        <v>50</v>
      </c>
      <c r="H16" s="54">
        <f>martotal3059[[#This Row],[3]]+(H14-H15)</f>
        <v>50</v>
      </c>
      <c r="I16" s="54">
        <f>martotal3059[[#This Row],[4]]+(I14-I15)</f>
        <v>50</v>
      </c>
      <c r="J16" s="54">
        <f>martotal3059[[#This Row],[5]]+(J14-J15)</f>
        <v>50</v>
      </c>
      <c r="K16" s="54">
        <f>martotal3059[[#This Row],[6]]+(K14-K15)</f>
        <v>50</v>
      </c>
      <c r="L16" s="54">
        <f>martotal3059[[#This Row],[7]]+(L14-L15)</f>
        <v>50</v>
      </c>
      <c r="M16" s="54">
        <f>martotal3059[[#This Row],[8]]+(M14-M15)</f>
        <v>50</v>
      </c>
      <c r="N16" s="54">
        <f>martotal3059[[#This Row],[9]]+(N14-N15)</f>
        <v>50</v>
      </c>
      <c r="O16" s="54">
        <f>martotal3059[[#This Row],[10]]+(O14-O15)</f>
        <v>50</v>
      </c>
      <c r="P16" s="54">
        <f>martotal3059[[#This Row],[11]]+(P14-P15)</f>
        <v>50</v>
      </c>
      <c r="Q16" s="54">
        <f>martotal3059[[#This Row],[12]]+(Q14-Q15)</f>
        <v>50</v>
      </c>
      <c r="R16" s="54">
        <f>martotal3059[[#This Row],[13]]+(R14-R15)</f>
        <v>50</v>
      </c>
      <c r="S16" s="54">
        <f>martotal3059[[#This Row],[14]]+(S14-S15)</f>
        <v>50</v>
      </c>
      <c r="T16" s="54">
        <f>martotal3059[[#This Row],[15]]+(T14-T15)</f>
        <v>130</v>
      </c>
      <c r="U16" s="54">
        <f>martotal3059[[#This Row],[16]]+(U14-U15)</f>
        <v>222</v>
      </c>
      <c r="V16" s="54">
        <f>martotal3059[[#This Row],[17]]+(V14-V15)</f>
        <v>424</v>
      </c>
      <c r="W16" s="54">
        <f>martotal3059[[#This Row],[18]]+(W14-W15)</f>
        <v>424</v>
      </c>
      <c r="X16" s="54">
        <f>martotal3059[[#This Row],[19]]+(X14-X15)</f>
        <v>72</v>
      </c>
      <c r="Y16" s="54">
        <f>martotal3059[[#This Row],[20]]+(Y14-Y15)</f>
        <v>72</v>
      </c>
      <c r="Z16" s="54">
        <f>martotal3059[[#This Row],[21]]+(Z14-Z15)</f>
        <v>72</v>
      </c>
      <c r="AA16" s="54">
        <f>martotal3059[[#This Row],[22]]+(AA14-AA15)</f>
        <v>72</v>
      </c>
      <c r="AB16" s="54">
        <f>martotal3059[[#This Row],[23]]+(AB14-AB15)</f>
        <v>72</v>
      </c>
      <c r="AC16" s="54">
        <f>martotal3059[[#This Row],[24]]+(AC14-AC15)</f>
        <v>72</v>
      </c>
      <c r="AD16" s="54">
        <f>martotal3059[[#This Row],[25]]+(AD14-AD15)</f>
        <v>72</v>
      </c>
      <c r="AE16" s="54">
        <f>martotal3059[[#This Row],[26]]+(AE14-AE15)</f>
        <v>72</v>
      </c>
      <c r="AF16" s="54">
        <f>martotal3059[[#This Row],[27]]+(AF14-AF15)</f>
        <v>72</v>
      </c>
      <c r="AG16" s="54">
        <f>martotal3059[[#This Row],[28]]+(AG14-AG15)</f>
        <v>72</v>
      </c>
      <c r="AH16" s="54">
        <f>martotal3059[[#This Row],[29]]+(AH14-AH15)</f>
        <v>72</v>
      </c>
      <c r="AI16" s="62">
        <f>martotal3059[[#This Row],[30]]+(AI14-AI15)</f>
        <v>72</v>
      </c>
      <c r="AJ16" s="53">
        <f>martotal3059[[#This Row],[31]]</f>
        <v>72</v>
      </c>
      <c r="AK16" s="52"/>
    </row>
    <row r="17" spans="1:37" ht="6.75" customHeight="1" thickTop="1" thickBot="1" x14ac:dyDescent="0.3">
      <c r="B17" s="49"/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49"/>
      <c r="X17" s="49"/>
      <c r="Y17" s="49"/>
      <c r="Z17" s="49"/>
      <c r="AA17" s="49"/>
      <c r="AB17" s="49"/>
      <c r="AC17" s="49"/>
      <c r="AD17" s="49"/>
      <c r="AE17" s="49"/>
      <c r="AF17" s="49"/>
      <c r="AG17" s="49"/>
      <c r="AH17" s="49"/>
      <c r="AI17" s="50"/>
      <c r="AJ17" s="49"/>
      <c r="AK17" s="49"/>
    </row>
    <row r="18" spans="1:37" ht="12.6" thickTop="1" x14ac:dyDescent="0.25">
      <c r="C18" s="46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  <c r="AH18" s="47"/>
      <c r="AI18" s="47"/>
    </row>
    <row r="19" spans="1:37" x14ac:dyDescent="0.25">
      <c r="C19" s="46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  <c r="AA19" s="47"/>
      <c r="AB19" s="47"/>
      <c r="AC19" s="47"/>
      <c r="AD19" s="47"/>
      <c r="AE19" s="47"/>
      <c r="AF19" s="47"/>
      <c r="AG19" s="47"/>
      <c r="AH19" s="47"/>
      <c r="AI19" s="47"/>
    </row>
    <row r="20" spans="1:37" x14ac:dyDescent="0.25">
      <c r="A20" s="46"/>
      <c r="B20" s="46"/>
      <c r="C20" s="46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  <c r="AA20" s="47"/>
      <c r="AB20" s="47"/>
      <c r="AC20" s="47"/>
      <c r="AD20" s="47"/>
      <c r="AE20" s="47"/>
      <c r="AF20" s="47"/>
      <c r="AG20" s="47"/>
      <c r="AH20" s="47"/>
      <c r="AI20" s="47"/>
    </row>
    <row r="21" spans="1:37" ht="39.75" customHeight="1" x14ac:dyDescent="0.25">
      <c r="A21" s="46"/>
      <c r="B21" s="46"/>
      <c r="C21" s="46"/>
      <c r="E21" s="240"/>
      <c r="F21" s="240"/>
      <c r="G21" s="240"/>
      <c r="H21" s="240"/>
      <c r="I21" s="240"/>
      <c r="J21" s="240"/>
      <c r="K21" s="240"/>
      <c r="L21" s="240"/>
      <c r="M21" s="240"/>
      <c r="N21" s="240"/>
      <c r="O21" s="240"/>
      <c r="P21" s="240"/>
      <c r="Q21" s="240"/>
      <c r="R21" s="240"/>
      <c r="S21" s="240"/>
      <c r="T21" s="240"/>
      <c r="U21" s="240"/>
      <c r="V21" s="240"/>
      <c r="W21" s="240"/>
      <c r="X21" s="240"/>
      <c r="Y21" s="240"/>
      <c r="Z21" s="240"/>
      <c r="AA21" s="240"/>
      <c r="AB21" s="240"/>
      <c r="AC21" s="240"/>
      <c r="AD21" s="240"/>
      <c r="AE21" s="240"/>
      <c r="AF21" s="240"/>
      <c r="AG21" s="240"/>
      <c r="AH21" s="240"/>
      <c r="AI21" s="240"/>
      <c r="AJ21" s="32" t="s">
        <v>19</v>
      </c>
    </row>
    <row r="22" spans="1:37" ht="11.25" customHeight="1" thickBot="1" x14ac:dyDescent="0.75">
      <c r="C22" s="36"/>
      <c r="AI22" s="4"/>
      <c r="AJ22" s="34" t="s">
        <v>202</v>
      </c>
    </row>
    <row r="23" spans="1:37" ht="6.75" customHeight="1" thickTop="1" thickBot="1" x14ac:dyDescent="0.3">
      <c r="B23" s="49"/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49"/>
      <c r="X23" s="49"/>
      <c r="Y23" s="49"/>
      <c r="Z23" s="49"/>
      <c r="AA23" s="49"/>
      <c r="AB23" s="49"/>
      <c r="AC23" s="49"/>
      <c r="AD23" s="49"/>
      <c r="AE23" s="49"/>
      <c r="AF23" s="49"/>
      <c r="AG23" s="49"/>
      <c r="AH23" s="49"/>
      <c r="AI23" s="49"/>
      <c r="AJ23" s="50"/>
      <c r="AK23" s="49"/>
    </row>
    <row r="24" spans="1:37" ht="13.2" hidden="1" thickTop="1" thickBot="1" x14ac:dyDescent="0.3">
      <c r="B24" s="2"/>
      <c r="C24" s="30" t="s">
        <v>199</v>
      </c>
      <c r="D24" s="49" t="s">
        <v>198</v>
      </c>
      <c r="E24" s="30" t="s">
        <v>197</v>
      </c>
      <c r="F24" s="30" t="s">
        <v>196</v>
      </c>
      <c r="G24" s="30" t="s">
        <v>195</v>
      </c>
      <c r="H24" s="30" t="s">
        <v>194</v>
      </c>
      <c r="I24" s="30" t="s">
        <v>193</v>
      </c>
      <c r="J24" s="30" t="s">
        <v>192</v>
      </c>
      <c r="K24" s="30" t="s">
        <v>191</v>
      </c>
      <c r="L24" s="30" t="s">
        <v>190</v>
      </c>
      <c r="M24" s="30" t="s">
        <v>189</v>
      </c>
      <c r="N24" s="30" t="s">
        <v>188</v>
      </c>
      <c r="O24" s="30" t="s">
        <v>187</v>
      </c>
      <c r="P24" s="30" t="s">
        <v>186</v>
      </c>
      <c r="Q24" s="30" t="s">
        <v>185</v>
      </c>
      <c r="R24" s="30" t="s">
        <v>184</v>
      </c>
      <c r="S24" s="30" t="s">
        <v>183</v>
      </c>
      <c r="T24" s="30" t="s">
        <v>182</v>
      </c>
      <c r="U24" s="30" t="s">
        <v>181</v>
      </c>
      <c r="V24" s="30" t="s">
        <v>180</v>
      </c>
      <c r="W24" s="30" t="s">
        <v>179</v>
      </c>
      <c r="X24" s="30" t="s">
        <v>178</v>
      </c>
      <c r="Y24" s="30" t="s">
        <v>177</v>
      </c>
      <c r="Z24" s="30" t="s">
        <v>176</v>
      </c>
      <c r="AA24" s="30" t="s">
        <v>175</v>
      </c>
      <c r="AB24" s="30" t="s">
        <v>174</v>
      </c>
      <c r="AC24" s="30" t="s">
        <v>173</v>
      </c>
      <c r="AD24" s="30" t="s">
        <v>172</v>
      </c>
      <c r="AE24" s="30" t="s">
        <v>171</v>
      </c>
      <c r="AF24" s="30" t="s">
        <v>170</v>
      </c>
      <c r="AG24" s="30" t="s">
        <v>169</v>
      </c>
      <c r="AH24" s="30" t="s">
        <v>168</v>
      </c>
      <c r="AI24" s="30" t="s">
        <v>167</v>
      </c>
      <c r="AJ24" s="29" t="s">
        <v>166</v>
      </c>
      <c r="AK24" s="49"/>
    </row>
    <row r="25" spans="1:37" ht="19.5" customHeight="1" thickTop="1" thickBot="1" x14ac:dyDescent="0.3">
      <c r="B25" s="49"/>
      <c r="C25" s="61" t="s">
        <v>7</v>
      </c>
      <c r="D25" s="60"/>
      <c r="E25" s="88">
        <f>SUMIFS(tabela_registros[VALOR],tabela_registros[MÊS],$AE$1,tabela_registros[DIA],martotal3059[[#Headers],[1]],tabela_registros[REGISTRO],DADOS!$N$5)</f>
        <v>0</v>
      </c>
      <c r="F25" s="88">
        <f>SUMIFS(tabela_registros[VALOR],tabela_registros[MÊS],$AE$1,tabela_registros[DIA],martotal3059[[#Headers],[2]],tabela_registros[REGISTRO],DADOS!$N$5)</f>
        <v>0</v>
      </c>
      <c r="G25" s="88">
        <f>SUMIFS(tabela_registros[VALOR],tabela_registros[MÊS],$AE$1,tabela_registros[DIA],martotal3059[[#Headers],[3]],tabela_registros[REGISTRO],DADOS!$N$5)</f>
        <v>0</v>
      </c>
      <c r="H25" s="88">
        <f>SUMIFS(tabela_registros[VALOR],tabela_registros[MÊS],$AE$1,tabela_registros[DIA],martotal3059[[#Headers],[4]],tabela_registros[REGISTRO],DADOS!$N$5)</f>
        <v>0</v>
      </c>
      <c r="I25" s="88">
        <f>SUMIFS(tabela_registros[VALOR],tabela_registros[MÊS],$AE$1,tabela_registros[DIA],martotal3059[[#Headers],[5]],tabela_registros[REGISTRO],DADOS!$N$5)</f>
        <v>0</v>
      </c>
      <c r="J25" s="88">
        <f>SUMIFS(tabela_registros[VALOR],tabela_registros[MÊS],$AE$1,tabela_registros[DIA],martotal3059[[#Headers],[6]],tabela_registros[REGISTRO],DADOS!$N$5)</f>
        <v>0</v>
      </c>
      <c r="K25" s="88">
        <f>SUMIFS(tabela_registros[VALOR],tabela_registros[MÊS],$AE$1,tabela_registros[DIA],martotal3059[[#Headers],[7]],tabela_registros[REGISTRO],DADOS!$N$5)</f>
        <v>0</v>
      </c>
      <c r="L25" s="88">
        <f>SUMIFS(tabela_registros[VALOR],tabela_registros[MÊS],$AE$1,tabela_registros[DIA],martotal3059[[#Headers],[8]],tabela_registros[REGISTRO],DADOS!$N$5)</f>
        <v>0</v>
      </c>
      <c r="M25" s="88">
        <f>SUMIFS(tabela_registros[VALOR],tabela_registros[MÊS],$AE$1,tabela_registros[DIA],martotal3059[[#Headers],[9]],tabela_registros[REGISTRO],DADOS!$N$5)</f>
        <v>0</v>
      </c>
      <c r="N25" s="88">
        <f>SUMIFS(tabela_registros[VALOR],tabela_registros[MÊS],$AE$1,tabela_registros[DIA],martotal3059[[#Headers],[10]],tabela_registros[REGISTRO],DADOS!$N$5)</f>
        <v>0</v>
      </c>
      <c r="O25" s="88">
        <f>SUMIFS(tabela_registros[VALOR],tabela_registros[MÊS],$AE$1,tabela_registros[DIA],martotal3059[[#Headers],[11]],tabela_registros[REGISTRO],DADOS!$N$5)</f>
        <v>0</v>
      </c>
      <c r="P25" s="88">
        <f>SUMIFS(tabela_registros[VALOR],tabela_registros[MÊS],$AE$1,tabela_registros[DIA],martotal3059[[#Headers],[12]],tabela_registros[REGISTRO],DADOS!$N$5)</f>
        <v>0</v>
      </c>
      <c r="Q25" s="88">
        <f>SUMIFS(tabela_registros[VALOR],tabela_registros[MÊS],$AE$1,tabela_registros[DIA],martotal3059[[#Headers],[13]],tabela_registros[REGISTRO],DADOS!$N$5)</f>
        <v>0</v>
      </c>
      <c r="R25" s="88">
        <f>SUMIFS(tabela_registros[VALOR],tabela_registros[MÊS],$AE$1,tabela_registros[DIA],martotal3059[[#Headers],[14]],tabela_registros[REGISTRO],DADOS!$N$5)</f>
        <v>0</v>
      </c>
      <c r="S25" s="88">
        <f>SUMIFS(tabela_registros[VALOR],tabela_registros[MÊS],$AE$1,tabela_registros[DIA],martotal3059[[#Headers],[15]],tabela_registros[REGISTRO],DADOS!$N$5)</f>
        <v>0</v>
      </c>
      <c r="T25" s="88">
        <f>SUMIFS(tabela_registros[VALOR],tabela_registros[MÊS],$AE$1,tabela_registros[DIA],martotal3059[[#Headers],[16]],tabela_registros[REGISTRO],DADOS!$N$5)</f>
        <v>0</v>
      </c>
      <c r="U25" s="88">
        <f>SUMIFS(tabela_registros[VALOR],tabela_registros[MÊS],$AE$1,tabela_registros[DIA],martotal3059[[#Headers],[17]],tabela_registros[REGISTRO],DADOS!$N$5)</f>
        <v>0</v>
      </c>
      <c r="V25" s="88">
        <f>SUMIFS(tabela_registros[VALOR],tabela_registros[MÊS],$AE$1,tabela_registros[DIA],martotal3059[[#Headers],[18]],tabela_registros[REGISTRO],DADOS!$N$5)</f>
        <v>0</v>
      </c>
      <c r="W25" s="88">
        <f>SUMIFS(tabela_registros[VALOR],tabela_registros[MÊS],$AE$1,tabela_registros[DIA],martotal3059[[#Headers],[19]],tabela_registros[REGISTRO],DADOS!$N$5)</f>
        <v>0</v>
      </c>
      <c r="X25" s="88">
        <f>SUMIFS(tabela_registros[VALOR],tabela_registros[MÊS],$AE$1,tabela_registros[DIA],martotal3059[[#Headers],[20]],tabela_registros[REGISTRO],DADOS!$N$5)</f>
        <v>0</v>
      </c>
      <c r="Y25" s="88">
        <f>SUMIFS(tabela_registros[VALOR],tabela_registros[MÊS],$AE$1,tabela_registros[DIA],martotal3059[[#Headers],[21]],tabela_registros[REGISTRO],DADOS!$N$5)</f>
        <v>0</v>
      </c>
      <c r="Z25" s="88">
        <f>SUMIFS(tabela_registros[VALOR],tabela_registros[MÊS],$AE$1,tabela_registros[DIA],martotal3059[[#Headers],[22]],tabela_registros[REGISTRO],DADOS!$N$5)</f>
        <v>0</v>
      </c>
      <c r="AA25" s="88">
        <f>SUMIFS(tabela_registros[VALOR],tabela_registros[MÊS],$AE$1,tabela_registros[DIA],martotal3059[[#Headers],[23]],tabela_registros[REGISTRO],DADOS!$N$5)</f>
        <v>0</v>
      </c>
      <c r="AB25" s="88">
        <f>SUMIFS(tabela_registros[VALOR],tabela_registros[MÊS],$AE$1,tabela_registros[DIA],martotal3059[[#Headers],[24]],tabela_registros[REGISTRO],DADOS!$N$5)</f>
        <v>0</v>
      </c>
      <c r="AC25" s="88">
        <f>SUMIFS(tabela_registros[VALOR],tabela_registros[MÊS],$AE$1,tabela_registros[DIA],martotal3059[[#Headers],[25]],tabela_registros[REGISTRO],DADOS!$N$5)</f>
        <v>0</v>
      </c>
      <c r="AD25" s="88">
        <f>SUMIFS(tabela_registros[VALOR],tabela_registros[MÊS],$AE$1,tabela_registros[DIA],martotal3059[[#Headers],[26]],tabela_registros[REGISTRO],DADOS!$N$5)</f>
        <v>0</v>
      </c>
      <c r="AE25" s="88">
        <f>SUMIFS(tabela_registros[VALOR],tabela_registros[MÊS],$AE$1,tabela_registros[DIA],martotal3059[[#Headers],[27]],tabela_registros[REGISTRO],DADOS!$N$5)</f>
        <v>0</v>
      </c>
      <c r="AF25" s="88">
        <f>SUMIFS(tabela_registros[VALOR],tabela_registros[MÊS],$AE$1,tabela_registros[DIA],martotal3059[[#Headers],[28]],tabela_registros[REGISTRO],DADOS!$N$5)</f>
        <v>0</v>
      </c>
      <c r="AG25" s="88">
        <f>SUMIFS(tabela_registros[VALOR],tabela_registros[MÊS],$AE$1,tabela_registros[DIA],martotal3059[[#Headers],[29]],tabela_registros[REGISTRO],DADOS!$N$5)</f>
        <v>0</v>
      </c>
      <c r="AH25" s="88">
        <f>SUMIFS(tabela_registros[VALOR],tabela_registros[MÊS],$AE$1,tabela_registros[DIA],martotal3059[[#Headers],[30]],tabela_registros[REGISTRO],DADOS!$N$5)</f>
        <v>0</v>
      </c>
      <c r="AI25" s="89">
        <f>SUMIFS(tabela_registros[VALOR],tabela_registros[MÊS],$AE$1,tabela_registros[DIA],martotal3059[[#Headers],[31]],tabela_registros[REGISTRO],DADOS!$N$5)</f>
        <v>0</v>
      </c>
      <c r="AJ25" s="90">
        <f>SUM(E25:AI25)</f>
        <v>0</v>
      </c>
      <c r="AK25" s="49"/>
    </row>
    <row r="26" spans="1:37" ht="18" customHeight="1" thickTop="1" thickBot="1" x14ac:dyDescent="0.3">
      <c r="B26" s="49"/>
      <c r="C26" s="59" t="s">
        <v>8</v>
      </c>
      <c r="D26" s="58"/>
      <c r="E26" s="91">
        <f>SUMIFS(tabela_registros[VALOR],tabela_registros[MÊS],$AE$1,tabela_registros[DIA],martotal3059[[#Headers],[1]],tabela_registros[REGISTRO],DADOS!$N$6)</f>
        <v>0</v>
      </c>
      <c r="F26" s="91">
        <f>SUMIFS(tabela_registros[VALOR],tabela_registros[MÊS],$AE$1,tabela_registros[DIA],martotal3059[[#Headers],[2]],tabela_registros[REGISTRO],DADOS!$N$6)</f>
        <v>0</v>
      </c>
      <c r="G26" s="91">
        <f>SUMIFS(tabela_registros[VALOR],tabela_registros[MÊS],$AE$1,tabela_registros[DIA],martotal3059[[#Headers],[3]],tabela_registros[REGISTRO],DADOS!$N$6)</f>
        <v>0</v>
      </c>
      <c r="H26" s="91">
        <f>SUMIFS(tabela_registros[VALOR],tabela_registros[MÊS],$AE$1,tabela_registros[DIA],martotal3059[[#Headers],[4]],tabela_registros[REGISTRO],DADOS!$N$6)</f>
        <v>0</v>
      </c>
      <c r="I26" s="91">
        <f>SUMIFS(tabela_registros[VALOR],tabela_registros[MÊS],$AE$1,tabela_registros[DIA],martotal3059[[#Headers],[5]],tabela_registros[REGISTRO],DADOS!$N$6)</f>
        <v>0</v>
      </c>
      <c r="J26" s="91">
        <f>SUMIFS(tabela_registros[VALOR],tabela_registros[MÊS],$AE$1,tabela_registros[DIA],martotal3059[[#Headers],[6]],tabela_registros[REGISTRO],DADOS!$N$6)</f>
        <v>0</v>
      </c>
      <c r="K26" s="91">
        <f>SUMIFS(tabela_registros[VALOR],tabela_registros[MÊS],$AE$1,tabela_registros[DIA],martotal3059[[#Headers],[7]],tabela_registros[REGISTRO],DADOS!$N$6)</f>
        <v>0</v>
      </c>
      <c r="L26" s="91">
        <f>SUMIFS(tabela_registros[VALOR],tabela_registros[MÊS],$AE$1,tabela_registros[DIA],martotal3059[[#Headers],[8]],tabela_registros[REGISTRO],DADOS!$N$6)</f>
        <v>0</v>
      </c>
      <c r="M26" s="91">
        <f>SUMIFS(tabela_registros[VALOR],tabela_registros[MÊS],$AE$1,tabela_registros[DIA],martotal3059[[#Headers],[9]],tabela_registros[REGISTRO],DADOS!$N$6)</f>
        <v>0</v>
      </c>
      <c r="N26" s="91">
        <f>SUMIFS(tabela_registros[VALOR],tabela_registros[MÊS],$AE$1,tabela_registros[DIA],martotal3059[[#Headers],[10]],tabela_registros[REGISTRO],DADOS!$N$6)</f>
        <v>0</v>
      </c>
      <c r="O26" s="91">
        <f>SUMIFS(tabela_registros[VALOR],tabela_registros[MÊS],$AE$1,tabela_registros[DIA],martotal3059[[#Headers],[11]],tabela_registros[REGISTRO],DADOS!$N$6)</f>
        <v>0</v>
      </c>
      <c r="P26" s="91">
        <f>SUMIFS(tabela_registros[VALOR],tabela_registros[MÊS],$AE$1,tabela_registros[DIA],martotal3059[[#Headers],[12]],tabela_registros[REGISTRO],DADOS!$N$6)</f>
        <v>0</v>
      </c>
      <c r="Q26" s="91">
        <f>SUMIFS(tabela_registros[VALOR],tabela_registros[MÊS],$AE$1,tabela_registros[DIA],martotal3059[[#Headers],[13]],tabela_registros[REGISTRO],DADOS!$N$6)</f>
        <v>0</v>
      </c>
      <c r="R26" s="91">
        <f>SUMIFS(tabela_registros[VALOR],tabela_registros[MÊS],$AE$1,tabela_registros[DIA],martotal3059[[#Headers],[14]],tabela_registros[REGISTRO],DADOS!$N$6)</f>
        <v>0</v>
      </c>
      <c r="S26" s="91">
        <f>SUMIFS(tabela_registros[VALOR],tabela_registros[MÊS],$AE$1,tabela_registros[DIA],martotal3059[[#Headers],[15]],tabela_registros[REGISTRO],DADOS!$N$6)</f>
        <v>0</v>
      </c>
      <c r="T26" s="91">
        <f>SUMIFS(tabela_registros[VALOR],tabela_registros[MÊS],$AE$1,tabela_registros[DIA],martotal3059[[#Headers],[16]],tabela_registros[REGISTRO],DADOS!$N$6)</f>
        <v>0</v>
      </c>
      <c r="U26" s="91">
        <f>SUMIFS(tabela_registros[VALOR],tabela_registros[MÊS],$AE$1,tabela_registros[DIA],martotal3059[[#Headers],[17]],tabela_registros[REGISTRO],DADOS!$N$6)</f>
        <v>0</v>
      </c>
      <c r="V26" s="91">
        <f>SUMIFS(tabela_registros[VALOR],tabela_registros[MÊS],$AE$1,tabela_registros[DIA],martotal3059[[#Headers],[18]],tabela_registros[REGISTRO],DADOS!$N$6)</f>
        <v>0</v>
      </c>
      <c r="W26" s="91">
        <f>SUMIFS(tabela_registros[VALOR],tabela_registros[MÊS],$AE$1,tabela_registros[DIA],martotal3059[[#Headers],[19]],tabela_registros[REGISTRO],DADOS!$N$6)</f>
        <v>0</v>
      </c>
      <c r="X26" s="91">
        <f>SUMIFS(tabela_registros[VALOR],tabela_registros[MÊS],$AE$1,tabela_registros[DIA],martotal3059[[#Headers],[20]],tabela_registros[REGISTRO],DADOS!$N$6)</f>
        <v>0</v>
      </c>
      <c r="Y26" s="91">
        <f>SUMIFS(tabela_registros[VALOR],tabela_registros[MÊS],$AE$1,tabela_registros[DIA],martotal3059[[#Headers],[21]],tabela_registros[REGISTRO],DADOS!$N$6)</f>
        <v>0</v>
      </c>
      <c r="Z26" s="91">
        <f>SUMIFS(tabela_registros[VALOR],tabela_registros[MÊS],$AE$1,tabela_registros[DIA],martotal3059[[#Headers],[22]],tabela_registros[REGISTRO],DADOS!$N$6)</f>
        <v>0</v>
      </c>
      <c r="AA26" s="91">
        <f>SUMIFS(tabela_registros[VALOR],tabela_registros[MÊS],$AE$1,tabela_registros[DIA],martotal3059[[#Headers],[23]],tabela_registros[REGISTRO],DADOS!$N$6)</f>
        <v>0</v>
      </c>
      <c r="AB26" s="91">
        <f>SUMIFS(tabela_registros[VALOR],tabela_registros[MÊS],$AE$1,tabela_registros[DIA],martotal3059[[#Headers],[24]],tabela_registros[REGISTRO],DADOS!$N$6)</f>
        <v>0</v>
      </c>
      <c r="AC26" s="91">
        <f>SUMIFS(tabela_registros[VALOR],tabela_registros[MÊS],$AE$1,tabela_registros[DIA],martotal3059[[#Headers],[25]],tabela_registros[REGISTRO],DADOS!$N$6)</f>
        <v>0</v>
      </c>
      <c r="AD26" s="91">
        <f>SUMIFS(tabela_registros[VALOR],tabela_registros[MÊS],$AE$1,tabela_registros[DIA],martotal3059[[#Headers],[26]],tabela_registros[REGISTRO],DADOS!$N$6)</f>
        <v>0</v>
      </c>
      <c r="AE26" s="91">
        <f>SUMIFS(tabela_registros[VALOR],tabela_registros[MÊS],$AE$1,tabela_registros[DIA],martotal3059[[#Headers],[27]],tabela_registros[REGISTRO],DADOS!$N$6)</f>
        <v>0</v>
      </c>
      <c r="AF26" s="91">
        <f>SUMIFS(tabela_registros[VALOR],tabela_registros[MÊS],$AE$1,tabela_registros[DIA],martotal3059[[#Headers],[28]],tabela_registros[REGISTRO],DADOS!$N$6)</f>
        <v>0</v>
      </c>
      <c r="AG26" s="91">
        <f>SUMIFS(tabela_registros[VALOR],tabela_registros[MÊS],$AE$1,tabela_registros[DIA],martotal3059[[#Headers],[29]],tabela_registros[REGISTRO],DADOS!$N$6)</f>
        <v>0</v>
      </c>
      <c r="AH26" s="91">
        <f>SUMIFS(tabela_registros[VALOR],tabela_registros[MÊS],$AE$1,tabela_registros[DIA],martotal3059[[#Headers],[30]],tabela_registros[REGISTRO],DADOS!$N$6)</f>
        <v>0</v>
      </c>
      <c r="AI26" s="92">
        <f>SUMIFS(tabela_registros[VALOR],tabela_registros[MÊS],$AE$1,tabela_registros[DIA],martotal3059[[#Headers],[31]],tabela_registros[REGISTRO],DADOS!$N$6)</f>
        <v>0</v>
      </c>
      <c r="AJ26" s="93">
        <f>SUM(E26:AI26)</f>
        <v>0</v>
      </c>
      <c r="AK26" s="49"/>
    </row>
    <row r="27" spans="1:37" s="16" customFormat="1" ht="21" customHeight="1" thickTop="1" thickBot="1" x14ac:dyDescent="0.35">
      <c r="B27" s="52"/>
      <c r="C27" s="57" t="s">
        <v>19</v>
      </c>
      <c r="D27" s="56"/>
      <c r="E27" s="55">
        <f>SUM(E25:E26)</f>
        <v>0</v>
      </c>
      <c r="F27" s="54">
        <f>SUM(F25:F26)+marinvestir2158[[#This Row],[1]]</f>
        <v>0</v>
      </c>
      <c r="G27" s="54">
        <f>SUM(G25:G26)+marinvestir2158[[#This Row],[2]]</f>
        <v>0</v>
      </c>
      <c r="H27" s="54">
        <f>SUM(H25:H26)+marinvestir2158[[#This Row],[3]]</f>
        <v>0</v>
      </c>
      <c r="I27" s="54">
        <f>SUM(I25:I26)+marinvestir2158[[#This Row],[4]]</f>
        <v>0</v>
      </c>
      <c r="J27" s="54">
        <f>SUM(J25:J26)+marinvestir2158[[#This Row],[5]]</f>
        <v>0</v>
      </c>
      <c r="K27" s="54">
        <f>SUM(K25:K26)+marinvestir2158[[#This Row],[6]]</f>
        <v>0</v>
      </c>
      <c r="L27" s="54">
        <f>SUM(L25:L26)+marinvestir2158[[#This Row],[7]]</f>
        <v>0</v>
      </c>
      <c r="M27" s="54">
        <f>SUM(M25:M26)+marinvestir2158[[#This Row],[8]]</f>
        <v>0</v>
      </c>
      <c r="N27" s="54">
        <f>SUM(N25:N26)+marinvestir2158[[#This Row],[9]]</f>
        <v>0</v>
      </c>
      <c r="O27" s="54">
        <f>SUM(O25:O26)+marinvestir2158[[#This Row],[10]]</f>
        <v>0</v>
      </c>
      <c r="P27" s="54">
        <f>SUM(P25:P26)+marinvestir2158[[#This Row],[11]]</f>
        <v>0</v>
      </c>
      <c r="Q27" s="54">
        <f>SUM(Q25:Q26)+marinvestir2158[[#This Row],[12]]</f>
        <v>0</v>
      </c>
      <c r="R27" s="54">
        <f>SUM(R25:R26)+marinvestir2158[[#This Row],[13]]</f>
        <v>0</v>
      </c>
      <c r="S27" s="54">
        <f>SUM(S25:S26)+marinvestir2158[[#This Row],[14]]</f>
        <v>0</v>
      </c>
      <c r="T27" s="54">
        <f>SUM(T25:T26)+marinvestir2158[[#This Row],[15]]</f>
        <v>0</v>
      </c>
      <c r="U27" s="54">
        <f>SUM(U25:U26)+marinvestir2158[[#This Row],[16]]</f>
        <v>0</v>
      </c>
      <c r="V27" s="54">
        <f>SUM(V25:V26)+marinvestir2158[[#This Row],[17]]</f>
        <v>0</v>
      </c>
      <c r="W27" s="54">
        <f>SUM(W25:W26)+marinvestir2158[[#This Row],[18]]</f>
        <v>0</v>
      </c>
      <c r="X27" s="54">
        <f>SUM(X25:X26)+marinvestir2158[[#This Row],[19]]</f>
        <v>0</v>
      </c>
      <c r="Y27" s="54">
        <f>SUM(Y25:Y26)+marinvestir2158[[#This Row],[20]]</f>
        <v>0</v>
      </c>
      <c r="Z27" s="54">
        <f>SUM(Z25:Z26)+marinvestir2158[[#This Row],[21]]</f>
        <v>0</v>
      </c>
      <c r="AA27" s="54">
        <f>SUM(AA25:AA26)+marinvestir2158[[#This Row],[22]]</f>
        <v>0</v>
      </c>
      <c r="AB27" s="54">
        <f>SUM(AB25:AB26)+marinvestir2158[[#This Row],[23]]</f>
        <v>0</v>
      </c>
      <c r="AC27" s="54">
        <f>SUM(AC25:AC26)+marinvestir2158[[#This Row],[24]]</f>
        <v>0</v>
      </c>
      <c r="AD27" s="54">
        <f>SUM(AD25:AD26)+marinvestir2158[[#This Row],[25]]</f>
        <v>0</v>
      </c>
      <c r="AE27" s="54">
        <f>SUM(AE25:AE26)+marinvestir2158[[#This Row],[26]]</f>
        <v>0</v>
      </c>
      <c r="AF27" s="54">
        <f>SUM(AF25:AF26)+marinvestir2158[[#This Row],[27]]</f>
        <v>0</v>
      </c>
      <c r="AG27" s="54">
        <f>SUM(AG25:AG26)+marinvestir2158[[#This Row],[28]]</f>
        <v>0</v>
      </c>
      <c r="AH27" s="54">
        <f>SUM(AH25:AH26)+marinvestir2158[[#This Row],[29]]</f>
        <v>0</v>
      </c>
      <c r="AI27" s="62">
        <f>SUM(AI25:AI26)+marinvestir2158[[#This Row],[30]]</f>
        <v>0</v>
      </c>
      <c r="AJ27" s="53">
        <f>marinvestir2158[[#This Row],[31]]</f>
        <v>0</v>
      </c>
      <c r="AK27" s="52"/>
    </row>
    <row r="28" spans="1:37" ht="6.75" hidden="1" customHeight="1" thickTop="1" thickBot="1" x14ac:dyDescent="0.35">
      <c r="B28" s="49"/>
      <c r="C28" t="s">
        <v>204</v>
      </c>
      <c r="D28"/>
      <c r="E28" s="51">
        <f>SUBTOTAL(109,marinvestir2158[1])</f>
        <v>0</v>
      </c>
      <c r="F28" s="51">
        <f>SUBTOTAL(109,marinvestir2158[2])</f>
        <v>0</v>
      </c>
      <c r="G28" s="51">
        <f>SUBTOTAL(109,marinvestir2158[3])</f>
        <v>0</v>
      </c>
      <c r="H28" s="51">
        <f>SUBTOTAL(109,marinvestir2158[4])</f>
        <v>0</v>
      </c>
      <c r="I28" s="51">
        <f>SUBTOTAL(109,marinvestir2158[5])</f>
        <v>0</v>
      </c>
      <c r="J28" s="51">
        <f>SUBTOTAL(109,marinvestir2158[6])</f>
        <v>0</v>
      </c>
      <c r="K28" s="51">
        <f>SUBTOTAL(109,marinvestir2158[7])</f>
        <v>0</v>
      </c>
      <c r="L28" s="51">
        <f>SUBTOTAL(109,marinvestir2158[8])</f>
        <v>0</v>
      </c>
      <c r="M28" s="51">
        <f>SUBTOTAL(109,marinvestir2158[9])</f>
        <v>0</v>
      </c>
      <c r="N28" s="51">
        <f>SUBTOTAL(109,marinvestir2158[10])</f>
        <v>0</v>
      </c>
      <c r="O28" s="51">
        <f>SUBTOTAL(109,marinvestir2158[11])</f>
        <v>0</v>
      </c>
      <c r="P28" s="51">
        <f>SUBTOTAL(109,marinvestir2158[12])</f>
        <v>0</v>
      </c>
      <c r="Q28" s="51">
        <f>SUBTOTAL(109,marinvestir2158[13])</f>
        <v>0</v>
      </c>
      <c r="R28" s="51">
        <f>SUBTOTAL(109,marinvestir2158[14])</f>
        <v>0</v>
      </c>
      <c r="S28" s="51">
        <f>SUBTOTAL(109,marinvestir2158[15])</f>
        <v>0</v>
      </c>
      <c r="T28" s="51">
        <f>SUBTOTAL(109,marinvestir2158[16])</f>
        <v>0</v>
      </c>
      <c r="U28" s="51">
        <f>SUBTOTAL(109,marinvestir2158[17])</f>
        <v>0</v>
      </c>
      <c r="V28" s="51">
        <f>SUBTOTAL(109,marinvestir2158[18])</f>
        <v>0</v>
      </c>
      <c r="W28" s="51">
        <f>SUBTOTAL(109,marinvestir2158[19])</f>
        <v>0</v>
      </c>
      <c r="X28" s="51">
        <f>SUBTOTAL(109,marinvestir2158[20])</f>
        <v>0</v>
      </c>
      <c r="Y28" s="51">
        <f>SUBTOTAL(109,marinvestir2158[21])</f>
        <v>0</v>
      </c>
      <c r="Z28" s="51">
        <f>SUBTOTAL(109,marinvestir2158[22])</f>
        <v>0</v>
      </c>
      <c r="AA28" s="51">
        <f>SUBTOTAL(109,marinvestir2158[23])</f>
        <v>0</v>
      </c>
      <c r="AB28" s="51">
        <f>SUBTOTAL(109,marinvestir2158[24])</f>
        <v>0</v>
      </c>
      <c r="AC28" s="51">
        <f>SUBTOTAL(109,marinvestir2158[25])</f>
        <v>0</v>
      </c>
      <c r="AD28" s="51">
        <f>SUBTOTAL(109,marinvestir2158[26])</f>
        <v>0</v>
      </c>
      <c r="AE28" s="51">
        <f>SUBTOTAL(109,marinvestir2158[27])</f>
        <v>0</v>
      </c>
      <c r="AF28" s="51">
        <f>SUBTOTAL(109,marinvestir2158[28])</f>
        <v>0</v>
      </c>
      <c r="AG28" s="51">
        <f>SUBTOTAL(109,marinvestir2158[29])</f>
        <v>0</v>
      </c>
      <c r="AH28" s="51">
        <f>SUBTOTAL(109,marinvestir2158[30])</f>
        <v>0</v>
      </c>
      <c r="AI28" s="51">
        <f>SUBTOTAL(109,marinvestir2158[31])</f>
        <v>0</v>
      </c>
      <c r="AJ28" s="51">
        <f>SUBTOTAL(109,marinvestir2158[TOTAL (R$)])</f>
        <v>0</v>
      </c>
      <c r="AK28" s="49"/>
    </row>
    <row r="29" spans="1:37" ht="6.75" customHeight="1" thickTop="1" thickBot="1" x14ac:dyDescent="0.3">
      <c r="B29" s="49"/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49"/>
      <c r="X29" s="49"/>
      <c r="Y29" s="49"/>
      <c r="Z29" s="49"/>
      <c r="AA29" s="49"/>
      <c r="AB29" s="49"/>
      <c r="AC29" s="49"/>
      <c r="AD29" s="49"/>
      <c r="AE29" s="49"/>
      <c r="AF29" s="49"/>
      <c r="AG29" s="49"/>
      <c r="AH29" s="49"/>
      <c r="AI29" s="50"/>
      <c r="AJ29" s="49"/>
      <c r="AK29" s="49"/>
    </row>
    <row r="30" spans="1:37" ht="12.6" thickTop="1" x14ac:dyDescent="0.25">
      <c r="C30" s="46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 s="47"/>
      <c r="Z30" s="47"/>
      <c r="AA30" s="47"/>
      <c r="AB30" s="47"/>
      <c r="AC30" s="47"/>
      <c r="AD30" s="47"/>
      <c r="AE30" s="47"/>
      <c r="AF30" s="47"/>
      <c r="AG30" s="47"/>
      <c r="AH30" s="47"/>
      <c r="AI30" s="47"/>
    </row>
    <row r="31" spans="1:37" x14ac:dyDescent="0.25">
      <c r="C31" s="46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47"/>
      <c r="X31" s="47"/>
      <c r="Y31" s="47"/>
      <c r="Z31" s="47"/>
      <c r="AA31" s="47"/>
      <c r="AB31" s="47"/>
      <c r="AC31" s="47"/>
      <c r="AD31" s="47"/>
      <c r="AE31" s="47"/>
      <c r="AF31" s="47"/>
      <c r="AG31" s="47"/>
      <c r="AH31" s="47"/>
      <c r="AI31" s="47"/>
    </row>
    <row r="32" spans="1:37" x14ac:dyDescent="0.25">
      <c r="C32" s="46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47"/>
      <c r="AB32" s="47"/>
      <c r="AC32" s="47"/>
      <c r="AD32" s="47"/>
      <c r="AE32" s="47"/>
      <c r="AF32" s="47"/>
      <c r="AG32" s="47"/>
      <c r="AH32" s="47"/>
      <c r="AI32" s="47"/>
    </row>
    <row r="33" spans="2:37" ht="39.75" customHeight="1" x14ac:dyDescent="0.25">
      <c r="C33" s="46"/>
      <c r="E33" s="240"/>
      <c r="F33" s="240"/>
      <c r="G33" s="240"/>
      <c r="H33" s="240"/>
      <c r="I33" s="240"/>
      <c r="J33" s="240"/>
      <c r="K33" s="240"/>
      <c r="L33" s="240"/>
      <c r="M33" s="240"/>
      <c r="N33" s="240"/>
      <c r="O33" s="240"/>
      <c r="P33" s="240"/>
      <c r="Q33" s="240"/>
      <c r="R33" s="240"/>
      <c r="S33" s="240"/>
      <c r="T33" s="240"/>
      <c r="U33" s="240"/>
      <c r="V33" s="240"/>
      <c r="W33" s="240"/>
      <c r="X33" s="240"/>
      <c r="Y33" s="240"/>
      <c r="Z33" s="240"/>
      <c r="AA33" s="240"/>
      <c r="AB33" s="240"/>
      <c r="AC33" s="240"/>
      <c r="AD33" s="240"/>
      <c r="AE33" s="240"/>
      <c r="AF33" s="240"/>
      <c r="AG33" s="240"/>
      <c r="AH33" s="240"/>
      <c r="AI33" s="240"/>
      <c r="AJ33" s="32" t="s">
        <v>19</v>
      </c>
    </row>
    <row r="34" spans="2:37" ht="11.25" customHeight="1" thickBot="1" x14ac:dyDescent="0.75">
      <c r="C34" s="36"/>
      <c r="AI34" s="4"/>
      <c r="AJ34" s="34" t="s">
        <v>202</v>
      </c>
    </row>
    <row r="35" spans="2:37" ht="6.75" customHeight="1" thickTop="1" thickBot="1" x14ac:dyDescent="0.3">
      <c r="B35" s="33"/>
      <c r="C35" s="45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F35" s="44"/>
      <c r="AG35" s="44"/>
      <c r="AH35" s="44"/>
      <c r="AI35" s="44"/>
      <c r="AJ35" s="43"/>
      <c r="AK35" s="33"/>
    </row>
    <row r="36" spans="2:37" ht="12.6" hidden="1" thickBot="1" x14ac:dyDescent="0.3">
      <c r="B36" s="2"/>
      <c r="C36" s="31" t="s">
        <v>132</v>
      </c>
      <c r="D36" s="30" t="s">
        <v>198</v>
      </c>
      <c r="E36" s="30" t="s">
        <v>197</v>
      </c>
      <c r="F36" s="30" t="s">
        <v>196</v>
      </c>
      <c r="G36" s="30" t="s">
        <v>195</v>
      </c>
      <c r="H36" s="30" t="s">
        <v>194</v>
      </c>
      <c r="I36" s="30" t="s">
        <v>193</v>
      </c>
      <c r="J36" s="30" t="s">
        <v>192</v>
      </c>
      <c r="K36" s="30" t="s">
        <v>191</v>
      </c>
      <c r="L36" s="30" t="s">
        <v>190</v>
      </c>
      <c r="M36" s="30" t="s">
        <v>189</v>
      </c>
      <c r="N36" s="30" t="s">
        <v>188</v>
      </c>
      <c r="O36" s="30" t="s">
        <v>187</v>
      </c>
      <c r="P36" s="30" t="s">
        <v>186</v>
      </c>
      <c r="Q36" s="30" t="s">
        <v>185</v>
      </c>
      <c r="R36" s="30" t="s">
        <v>184</v>
      </c>
      <c r="S36" s="30" t="s">
        <v>183</v>
      </c>
      <c r="T36" s="30" t="s">
        <v>182</v>
      </c>
      <c r="U36" s="30" t="s">
        <v>181</v>
      </c>
      <c r="V36" s="30" t="s">
        <v>180</v>
      </c>
      <c r="W36" s="30" t="s">
        <v>179</v>
      </c>
      <c r="X36" s="30" t="s">
        <v>178</v>
      </c>
      <c r="Y36" s="30" t="s">
        <v>177</v>
      </c>
      <c r="Z36" s="30" t="s">
        <v>176</v>
      </c>
      <c r="AA36" s="30" t="s">
        <v>175</v>
      </c>
      <c r="AB36" s="30" t="s">
        <v>174</v>
      </c>
      <c r="AC36" s="30" t="s">
        <v>173</v>
      </c>
      <c r="AD36" s="30" t="s">
        <v>172</v>
      </c>
      <c r="AE36" s="30" t="s">
        <v>171</v>
      </c>
      <c r="AF36" s="30" t="s">
        <v>170</v>
      </c>
      <c r="AG36" s="30" t="s">
        <v>169</v>
      </c>
      <c r="AH36" s="30" t="s">
        <v>168</v>
      </c>
      <c r="AI36" s="30" t="s">
        <v>167</v>
      </c>
      <c r="AJ36" s="42" t="s">
        <v>19</v>
      </c>
      <c r="AK36" s="2" t="s">
        <v>203</v>
      </c>
    </row>
    <row r="37" spans="2:37" ht="19.5" customHeight="1" thickTop="1" thickBot="1" x14ac:dyDescent="0.3">
      <c r="B37" s="28"/>
      <c r="C37" s="27" t="str">
        <f>DADOS!$R$3</f>
        <v>💧 ÁGUA</v>
      </c>
      <c r="D37" s="26" t="str">
        <f>IF(despesafixaconsolidadomar[[#This Row],[TOTAL]]=0,"",IF(OR(despesafixaconsolidadomar[[#This Row],[TOTAL]]=LARGE($AJ$37:$AJ$50,1),despesafixaconsolidadomar[[#This Row],[TOTAL]]=LARGE($AJ$37:$AJ$50,2),despesafixaconsolidadomar[[#This Row],[TOTAL]]=LARGE($AJ$37:$AJ$50,3),despesafixaconsolidadomar[[#This Row],[TOTAL]]=LARGE($AJ$37:$AJ$50,4),despesafixaconsolidadomar[[#This Row],[TOTAL]]=LARGE($AJ$37:$AJ$50,5)),DADOS!$I$8,""))</f>
        <v/>
      </c>
      <c r="E37" s="94">
        <f>SUMIFS(tabela_registros[VALOR],tabela_registros[MÊS],$AE$1,tabela_registros[DIA],martotal3059[[#Headers],[1]],tabela_registros[REGISTRO],DADOS!$N$4,tabela_registros[TIPO],DADOS!$P$3,tabela_registros[CATEGORIA],despesafixaconsolidadomar[[#This Row],[DESPESA FIXA]])</f>
        <v>0</v>
      </c>
      <c r="F37" s="88">
        <f>SUMIFS(tabela_registros[VALOR],tabela_registros[MÊS],$AE$1,tabela_registros[DIA],martotal3059[[#Headers],[2]],tabela_registros[REGISTRO],DADOS!$N$4,tabela_registros[TIPO],DADOS!$P$3,tabela_registros[CATEGORIA],despesafixaconsolidadomar[[#This Row],[DESPESA FIXA]])</f>
        <v>0</v>
      </c>
      <c r="G37" s="88">
        <f>SUMIFS(tabela_registros[VALOR],tabela_registros[MÊS],$AE$1,tabela_registros[DIA],martotal3059[[#Headers],[3]],tabela_registros[REGISTRO],DADOS!$N$4,tabela_registros[TIPO],DADOS!$P$3,tabela_registros[CATEGORIA],despesafixaconsolidadomar[[#This Row],[DESPESA FIXA]])</f>
        <v>0</v>
      </c>
      <c r="H37" s="88">
        <f>SUMIFS(tabela_registros[VALOR],tabela_registros[MÊS],$AE$1,tabela_registros[DIA],martotal3059[[#Headers],[4]],tabela_registros[REGISTRO],DADOS!$N$4,tabela_registros[TIPO],DADOS!$P$3,tabela_registros[CATEGORIA],despesafixaconsolidadomar[[#This Row],[DESPESA FIXA]])</f>
        <v>0</v>
      </c>
      <c r="I37" s="88">
        <f>SUMIFS(tabela_registros[VALOR],tabela_registros[MÊS],$AE$1,tabela_registros[DIA],martotal3059[[#Headers],[5]],tabela_registros[REGISTRO],DADOS!$N$4,tabela_registros[TIPO],DADOS!$P$3,tabela_registros[CATEGORIA],despesafixaconsolidadomar[[#This Row],[DESPESA FIXA]])</f>
        <v>0</v>
      </c>
      <c r="J37" s="88">
        <f>SUMIFS(tabela_registros[VALOR],tabela_registros[MÊS],$AE$1,tabela_registros[DIA],martotal3059[[#Headers],[6]],tabela_registros[REGISTRO],DADOS!$N$4,tabela_registros[TIPO],DADOS!$P$3,tabela_registros[CATEGORIA],despesafixaconsolidadomar[[#This Row],[DESPESA FIXA]])</f>
        <v>0</v>
      </c>
      <c r="K37" s="88">
        <f>SUMIFS(tabela_registros[VALOR],tabela_registros[MÊS],$AE$1,tabela_registros[DIA],martotal3059[[#Headers],[7]],tabela_registros[REGISTRO],DADOS!$N$4,tabela_registros[TIPO],DADOS!$P$3,tabela_registros[CATEGORIA],despesafixaconsolidadomar[[#This Row],[DESPESA FIXA]])</f>
        <v>0</v>
      </c>
      <c r="L37" s="88">
        <f>SUMIFS(tabela_registros[VALOR],tabela_registros[MÊS],$AE$1,tabela_registros[DIA],martotal3059[[#Headers],[8]],tabela_registros[REGISTRO],DADOS!$N$4,tabela_registros[TIPO],DADOS!$P$3,tabela_registros[CATEGORIA],despesafixaconsolidadomar[[#This Row],[DESPESA FIXA]])</f>
        <v>0</v>
      </c>
      <c r="M37" s="88">
        <f>SUMIFS(tabela_registros[VALOR],tabela_registros[MÊS],$AE$1,tabela_registros[DIA],martotal3059[[#Headers],[9]],tabela_registros[REGISTRO],DADOS!$N$4,tabela_registros[TIPO],DADOS!$P$3,tabela_registros[CATEGORIA],despesafixaconsolidadomar[[#This Row],[DESPESA FIXA]])</f>
        <v>0</v>
      </c>
      <c r="N37" s="88">
        <f>SUMIFS(tabela_registros[VALOR],tabela_registros[MÊS],$AE$1,tabela_registros[DIA],martotal3059[[#Headers],[10]],tabela_registros[REGISTRO],DADOS!$N$4,tabela_registros[TIPO],DADOS!$P$3,tabela_registros[CATEGORIA],despesafixaconsolidadomar[[#This Row],[DESPESA FIXA]])</f>
        <v>0</v>
      </c>
      <c r="O37" s="88">
        <f>SUMIFS(tabela_registros[VALOR],tabela_registros[MÊS],$AE$1,tabela_registros[DIA],martotal3059[[#Headers],[11]],tabela_registros[REGISTRO],DADOS!$N$4,tabela_registros[TIPO],DADOS!$P$3,tabela_registros[CATEGORIA],despesafixaconsolidadomar[[#This Row],[DESPESA FIXA]])</f>
        <v>0</v>
      </c>
      <c r="P37" s="88">
        <f>SUMIFS(tabela_registros[VALOR],tabela_registros[MÊS],$AE$1,tabela_registros[DIA],martotal3059[[#Headers],[12]],tabela_registros[REGISTRO],DADOS!$N$4,tabela_registros[TIPO],DADOS!$P$3,tabela_registros[CATEGORIA],despesafixaconsolidadomar[[#This Row],[DESPESA FIXA]])</f>
        <v>0</v>
      </c>
      <c r="Q37" s="88">
        <f>SUMIFS(tabela_registros[VALOR],tabela_registros[MÊS],$AE$1,tabela_registros[DIA],martotal3059[[#Headers],[13]],tabela_registros[REGISTRO],DADOS!$N$4,tabela_registros[TIPO],DADOS!$P$3,tabela_registros[CATEGORIA],despesafixaconsolidadomar[[#This Row],[DESPESA FIXA]])</f>
        <v>0</v>
      </c>
      <c r="R37" s="88">
        <f>SUMIFS(tabela_registros[VALOR],tabela_registros[MÊS],$AE$1,tabela_registros[DIA],martotal3059[[#Headers],[14]],tabela_registros[REGISTRO],DADOS!$N$4,tabela_registros[TIPO],DADOS!$P$3,tabela_registros[CATEGORIA],despesafixaconsolidadomar[[#This Row],[DESPESA FIXA]])</f>
        <v>0</v>
      </c>
      <c r="S37" s="88">
        <f>SUMIFS(tabela_registros[VALOR],tabela_registros[MÊS],$AE$1,tabela_registros[DIA],martotal3059[[#Headers],[15]],tabela_registros[REGISTRO],DADOS!$N$4,tabela_registros[TIPO],DADOS!$P$3,tabela_registros[CATEGORIA],despesafixaconsolidadomar[[#This Row],[DESPESA FIXA]])</f>
        <v>0</v>
      </c>
      <c r="T37" s="88">
        <f>SUMIFS(tabela_registros[VALOR],tabela_registros[MÊS],$AE$1,tabela_registros[DIA],martotal3059[[#Headers],[16]],tabela_registros[REGISTRO],DADOS!$N$4,tabela_registros[TIPO],DADOS!$P$3,tabela_registros[CATEGORIA],despesafixaconsolidadomar[[#This Row],[DESPESA FIXA]])</f>
        <v>0</v>
      </c>
      <c r="U37" s="88">
        <f>SUMIFS(tabela_registros[VALOR],tabela_registros[MÊS],$AE$1,tabela_registros[DIA],martotal3059[[#Headers],[17]],tabela_registros[REGISTRO],DADOS!$N$4,tabela_registros[TIPO],DADOS!$P$3,tabela_registros[CATEGORIA],despesafixaconsolidadomar[[#This Row],[DESPESA FIXA]])</f>
        <v>0</v>
      </c>
      <c r="V37" s="88">
        <f>SUMIFS(tabela_registros[VALOR],tabela_registros[MÊS],$AE$1,tabela_registros[DIA],martotal3059[[#Headers],[18]],tabela_registros[REGISTRO],DADOS!$N$4,tabela_registros[TIPO],DADOS!$P$3,tabela_registros[CATEGORIA],despesafixaconsolidadomar[[#This Row],[DESPESA FIXA]])</f>
        <v>0</v>
      </c>
      <c r="W37" s="88">
        <f>SUMIFS(tabela_registros[VALOR],tabela_registros[MÊS],$AE$1,tabela_registros[DIA],martotal3059[[#Headers],[19]],tabela_registros[REGISTRO],DADOS!$N$4,tabela_registros[TIPO],DADOS!$P$3,tabela_registros[CATEGORIA],despesafixaconsolidadomar[[#This Row],[DESPESA FIXA]])</f>
        <v>0</v>
      </c>
      <c r="X37" s="88">
        <f>SUMIFS(tabela_registros[VALOR],tabela_registros[MÊS],$AE$1,tabela_registros[DIA],martotal3059[[#Headers],[20]],tabela_registros[REGISTRO],DADOS!$N$4,tabela_registros[TIPO],DADOS!$P$3,tabela_registros[CATEGORIA],despesafixaconsolidadomar[[#This Row],[DESPESA FIXA]])</f>
        <v>0</v>
      </c>
      <c r="Y37" s="88">
        <f>SUMIFS(tabela_registros[VALOR],tabela_registros[MÊS],$AE$1,tabela_registros[DIA],martotal3059[[#Headers],[21]],tabela_registros[REGISTRO],DADOS!$N$4,tabela_registros[TIPO],DADOS!$P$3,tabela_registros[CATEGORIA],despesafixaconsolidadomar[[#This Row],[DESPESA FIXA]])</f>
        <v>0</v>
      </c>
      <c r="Z37" s="88">
        <f>SUMIFS(tabela_registros[VALOR],tabela_registros[MÊS],$AE$1,tabela_registros[DIA],martotal3059[[#Headers],[22]],tabela_registros[REGISTRO],DADOS!$N$4,tabela_registros[TIPO],DADOS!$P$3,tabela_registros[CATEGORIA],despesafixaconsolidadomar[[#This Row],[DESPESA FIXA]])</f>
        <v>0</v>
      </c>
      <c r="AA37" s="88">
        <f>SUMIFS(tabela_registros[VALOR],tabela_registros[MÊS],$AE$1,tabela_registros[DIA],martotal3059[[#Headers],[23]],tabela_registros[REGISTRO],DADOS!$N$4,tabela_registros[TIPO],DADOS!$P$3,tabela_registros[CATEGORIA],despesafixaconsolidadomar[[#This Row],[DESPESA FIXA]])</f>
        <v>0</v>
      </c>
      <c r="AB37" s="88">
        <f>SUMIFS(tabela_registros[VALOR],tabela_registros[MÊS],$AE$1,tabela_registros[DIA],martotal3059[[#Headers],[24]],tabela_registros[REGISTRO],DADOS!$N$4,tabela_registros[TIPO],DADOS!$P$3,tabela_registros[CATEGORIA],despesafixaconsolidadomar[[#This Row],[DESPESA FIXA]])</f>
        <v>0</v>
      </c>
      <c r="AC37" s="88">
        <f>SUMIFS(tabela_registros[VALOR],tabela_registros[MÊS],$AE$1,tabela_registros[DIA],martotal3059[[#Headers],[25]],tabela_registros[REGISTRO],DADOS!$N$4,tabela_registros[TIPO],DADOS!$P$3,tabela_registros[CATEGORIA],despesafixaconsolidadomar[[#This Row],[DESPESA FIXA]])</f>
        <v>0</v>
      </c>
      <c r="AD37" s="88">
        <f>SUMIFS(tabela_registros[VALOR],tabela_registros[MÊS],$AE$1,tabela_registros[DIA],martotal3059[[#Headers],[26]],tabela_registros[REGISTRO],DADOS!$N$4,tabela_registros[TIPO],DADOS!$P$3,tabela_registros[CATEGORIA],despesafixaconsolidadomar[[#This Row],[DESPESA FIXA]])</f>
        <v>0</v>
      </c>
      <c r="AE37" s="88">
        <f>SUMIFS(tabela_registros[VALOR],tabela_registros[MÊS],$AE$1,tabela_registros[DIA],martotal3059[[#Headers],[27]],tabela_registros[REGISTRO],DADOS!$N$4,tabela_registros[TIPO],DADOS!$P$3,tabela_registros[CATEGORIA],despesafixaconsolidadomar[[#This Row],[DESPESA FIXA]])</f>
        <v>0</v>
      </c>
      <c r="AF37" s="88">
        <f>SUMIFS(tabela_registros[VALOR],tabela_registros[MÊS],$AE$1,tabela_registros[DIA],martotal3059[[#Headers],[28]],tabela_registros[REGISTRO],DADOS!$N$4,tabela_registros[TIPO],DADOS!$P$3,tabela_registros[CATEGORIA],despesafixaconsolidadomar[[#This Row],[DESPESA FIXA]])</f>
        <v>0</v>
      </c>
      <c r="AG37" s="88">
        <f>SUMIFS(tabela_registros[VALOR],tabela_registros[MÊS],$AE$1,tabela_registros[DIA],martotal3059[[#Headers],[29]],tabela_registros[REGISTRO],DADOS!$N$4,tabela_registros[TIPO],DADOS!$P$3,tabela_registros[CATEGORIA],despesafixaconsolidadomar[[#This Row],[DESPESA FIXA]])</f>
        <v>0</v>
      </c>
      <c r="AH37" s="88">
        <f>SUMIFS(tabela_registros[VALOR],tabela_registros[MÊS],$AE$1,tabela_registros[DIA],martotal3059[[#Headers],[30]],tabela_registros[REGISTRO],DADOS!$N$4,tabela_registros[TIPO],DADOS!$P$3,tabela_registros[CATEGORIA],despesafixaconsolidadomar[[#This Row],[DESPESA FIXA]])</f>
        <v>0</v>
      </c>
      <c r="AI37" s="100">
        <f>SUMIFS(tabela_registros[VALOR],tabela_registros[MÊS],$AE$1,tabela_registros[DIA],martotal3059[[#Headers],[31]],tabela_registros[REGISTRO],DADOS!$N$4,tabela_registros[TIPO],DADOS!$P$3,tabela_registros[CATEGORIA],despesafixaconsolidadomar[[#This Row],[DESPESA FIXA]])</f>
        <v>0</v>
      </c>
      <c r="AJ37" s="95">
        <f>SUM(despesafixaconsolidadomar[[#This Row],[1]:[31]])</f>
        <v>0</v>
      </c>
      <c r="AK37" s="28"/>
    </row>
    <row r="38" spans="2:37" ht="18" customHeight="1" thickTop="1" thickBot="1" x14ac:dyDescent="0.3">
      <c r="B38" s="28"/>
      <c r="C38" s="27" t="str">
        <f>DADOS!$R$4</f>
        <v>🐶 ANIMAIS DE ESTIMAÇÃO</v>
      </c>
      <c r="D38" s="26" t="str">
        <f>IF(despesafixaconsolidadomar[[#This Row],[TOTAL]]=0,"",IF(OR(despesafixaconsolidadomar[[#This Row],[TOTAL]]=LARGE($AJ$37:$AJ$50,1),despesafixaconsolidadomar[[#This Row],[TOTAL]]=LARGE($AJ$37:$AJ$50,2),despesafixaconsolidadomar[[#This Row],[TOTAL]]=LARGE($AJ$37:$AJ$50,3),despesafixaconsolidadomar[[#This Row],[TOTAL]]=LARGE($AJ$37:$AJ$50,4),despesafixaconsolidadomar[[#This Row],[TOTAL]]=LARGE($AJ$37:$AJ$50,5)),DADOS!$I$8,""))</f>
        <v>💣</v>
      </c>
      <c r="E38" s="96">
        <f>SUMIFS(tabela_registros[VALOR],tabela_registros[MÊS],$AE$1,tabela_registros[DIA],martotal3059[[#Headers],[1]],tabela_registros[REGISTRO],DADOS!$N$4,tabela_registros[TIPO],DADOS!$P$3,tabela_registros[CATEGORIA],despesafixaconsolidadomar[[#This Row],[DESPESA FIXA]])</f>
        <v>0</v>
      </c>
      <c r="F38" s="91">
        <f>SUMIFS(tabela_registros[VALOR],tabela_registros[MÊS],$AE$1,tabela_registros[DIA],martotal3059[[#Headers],[2]],tabela_registros[REGISTRO],DADOS!$N$4,tabela_registros[TIPO],DADOS!$P$3,tabela_registros[CATEGORIA],despesafixaconsolidadomar[[#This Row],[DESPESA FIXA]])</f>
        <v>0</v>
      </c>
      <c r="G38" s="91">
        <f>SUMIFS(tabela_registros[VALOR],tabela_registros[MÊS],$AE$1,tabela_registros[DIA],martotal3059[[#Headers],[3]],tabela_registros[REGISTRO],DADOS!$N$4,tabela_registros[TIPO],DADOS!$P$3,tabela_registros[CATEGORIA],despesafixaconsolidadomar[[#This Row],[DESPESA FIXA]])</f>
        <v>0</v>
      </c>
      <c r="H38" s="91">
        <f>SUMIFS(tabela_registros[VALOR],tabela_registros[MÊS],$AE$1,tabela_registros[DIA],martotal3059[[#Headers],[4]],tabela_registros[REGISTRO],DADOS!$N$4,tabela_registros[TIPO],DADOS!$P$3,tabela_registros[CATEGORIA],despesafixaconsolidadomar[[#This Row],[DESPESA FIXA]])</f>
        <v>0</v>
      </c>
      <c r="I38" s="91">
        <f>SUMIFS(tabela_registros[VALOR],tabela_registros[MÊS],$AE$1,tabela_registros[DIA],martotal3059[[#Headers],[5]],tabela_registros[REGISTRO],DADOS!$N$4,tabela_registros[TIPO],DADOS!$P$3,tabela_registros[CATEGORIA],despesafixaconsolidadomar[[#This Row],[DESPESA FIXA]])</f>
        <v>0</v>
      </c>
      <c r="J38" s="91">
        <f>SUMIFS(tabela_registros[VALOR],tabela_registros[MÊS],$AE$1,tabela_registros[DIA],martotal3059[[#Headers],[6]],tabela_registros[REGISTRO],DADOS!$N$4,tabela_registros[TIPO],DADOS!$P$3,tabela_registros[CATEGORIA],despesafixaconsolidadomar[[#This Row],[DESPESA FIXA]])</f>
        <v>0</v>
      </c>
      <c r="K38" s="91">
        <f>SUMIFS(tabela_registros[VALOR],tabela_registros[MÊS],$AE$1,tabela_registros[DIA],martotal3059[[#Headers],[7]],tabela_registros[REGISTRO],DADOS!$N$4,tabela_registros[TIPO],DADOS!$P$3,tabela_registros[CATEGORIA],despesafixaconsolidadomar[[#This Row],[DESPESA FIXA]])</f>
        <v>0</v>
      </c>
      <c r="L38" s="91">
        <f>SUMIFS(tabela_registros[VALOR],tabela_registros[MÊS],$AE$1,tabela_registros[DIA],martotal3059[[#Headers],[8]],tabela_registros[REGISTRO],DADOS!$N$4,tabela_registros[TIPO],DADOS!$P$3,tabela_registros[CATEGORIA],despesafixaconsolidadomar[[#This Row],[DESPESA FIXA]])</f>
        <v>0</v>
      </c>
      <c r="M38" s="91">
        <f>SUMIFS(tabela_registros[VALOR],tabela_registros[MÊS],$AE$1,tabela_registros[DIA],martotal3059[[#Headers],[9]],tabela_registros[REGISTRO],DADOS!$N$4,tabela_registros[TIPO],DADOS!$P$3,tabela_registros[CATEGORIA],despesafixaconsolidadomar[[#This Row],[DESPESA FIXA]])</f>
        <v>0</v>
      </c>
      <c r="N38" s="91">
        <f>SUMIFS(tabela_registros[VALOR],tabela_registros[MÊS],$AE$1,tabela_registros[DIA],martotal3059[[#Headers],[10]],tabela_registros[REGISTRO],DADOS!$N$4,tabela_registros[TIPO],DADOS!$P$3,tabela_registros[CATEGORIA],despesafixaconsolidadomar[[#This Row],[DESPESA FIXA]])</f>
        <v>0</v>
      </c>
      <c r="O38" s="91">
        <f>SUMIFS(tabela_registros[VALOR],tabela_registros[MÊS],$AE$1,tabela_registros[DIA],martotal3059[[#Headers],[11]],tabela_registros[REGISTRO],DADOS!$N$4,tabela_registros[TIPO],DADOS!$P$3,tabela_registros[CATEGORIA],despesafixaconsolidadomar[[#This Row],[DESPESA FIXA]])</f>
        <v>0</v>
      </c>
      <c r="P38" s="91">
        <f>SUMIFS(tabela_registros[VALOR],tabela_registros[MÊS],$AE$1,tabela_registros[DIA],martotal3059[[#Headers],[12]],tabela_registros[REGISTRO],DADOS!$N$4,tabela_registros[TIPO],DADOS!$P$3,tabela_registros[CATEGORIA],despesafixaconsolidadomar[[#This Row],[DESPESA FIXA]])</f>
        <v>0</v>
      </c>
      <c r="Q38" s="91">
        <f>SUMIFS(tabela_registros[VALOR],tabela_registros[MÊS],$AE$1,tabela_registros[DIA],martotal3059[[#Headers],[13]],tabela_registros[REGISTRO],DADOS!$N$4,tabela_registros[TIPO],DADOS!$P$3,tabela_registros[CATEGORIA],despesafixaconsolidadomar[[#This Row],[DESPESA FIXA]])</f>
        <v>0</v>
      </c>
      <c r="R38" s="91">
        <f>SUMIFS(tabela_registros[VALOR],tabela_registros[MÊS],$AE$1,tabela_registros[DIA],martotal3059[[#Headers],[14]],tabela_registros[REGISTRO],DADOS!$N$4,tabela_registros[TIPO],DADOS!$P$3,tabela_registros[CATEGORIA],despesafixaconsolidadomar[[#This Row],[DESPESA FIXA]])</f>
        <v>0</v>
      </c>
      <c r="S38" s="91">
        <f>SUMIFS(tabela_registros[VALOR],tabela_registros[MÊS],$AE$1,tabela_registros[DIA],martotal3059[[#Headers],[15]],tabela_registros[REGISTRO],DADOS!$N$4,tabela_registros[TIPO],DADOS!$P$3,tabela_registros[CATEGORIA],despesafixaconsolidadomar[[#This Row],[DESPESA FIXA]])</f>
        <v>0</v>
      </c>
      <c r="T38" s="91">
        <f>SUMIFS(tabela_registros[VALOR],tabela_registros[MÊS],$AE$1,tabela_registros[DIA],martotal3059[[#Headers],[16]],tabela_registros[REGISTRO],DADOS!$N$4,tabela_registros[TIPO],DADOS!$P$3,tabela_registros[CATEGORIA],despesafixaconsolidadomar[[#This Row],[DESPESA FIXA]])</f>
        <v>0</v>
      </c>
      <c r="U38" s="91">
        <f>SUMIFS(tabela_registros[VALOR],tabela_registros[MÊS],$AE$1,tabela_registros[DIA],martotal3059[[#Headers],[17]],tabela_registros[REGISTRO],DADOS!$N$4,tabela_registros[TIPO],DADOS!$P$3,tabela_registros[CATEGORIA],despesafixaconsolidadomar[[#This Row],[DESPESA FIXA]])</f>
        <v>0</v>
      </c>
      <c r="V38" s="91">
        <f>SUMIFS(tabela_registros[VALOR],tabela_registros[MÊS],$AE$1,tabela_registros[DIA],martotal3059[[#Headers],[18]],tabela_registros[REGISTRO],DADOS!$N$4,tabela_registros[TIPO],DADOS!$P$3,tabela_registros[CATEGORIA],despesafixaconsolidadomar[[#This Row],[DESPESA FIXA]])</f>
        <v>0</v>
      </c>
      <c r="W38" s="91">
        <f>SUMIFS(tabela_registros[VALOR],tabela_registros[MÊS],$AE$1,tabela_registros[DIA],martotal3059[[#Headers],[19]],tabela_registros[REGISTRO],DADOS!$N$4,tabela_registros[TIPO],DADOS!$P$3,tabela_registros[CATEGORIA],despesafixaconsolidadomar[[#This Row],[DESPESA FIXA]])</f>
        <v>0</v>
      </c>
      <c r="X38" s="91">
        <f>SUMIFS(tabela_registros[VALOR],tabela_registros[MÊS],$AE$1,tabela_registros[DIA],martotal3059[[#Headers],[20]],tabela_registros[REGISTRO],DADOS!$N$4,tabela_registros[TIPO],DADOS!$P$3,tabela_registros[CATEGORIA],despesafixaconsolidadomar[[#This Row],[DESPESA FIXA]])</f>
        <v>352</v>
      </c>
      <c r="Y38" s="91">
        <f>SUMIFS(tabela_registros[VALOR],tabela_registros[MÊS],$AE$1,tabela_registros[DIA],martotal3059[[#Headers],[21]],tabela_registros[REGISTRO],DADOS!$N$4,tabela_registros[TIPO],DADOS!$P$3,tabela_registros[CATEGORIA],despesafixaconsolidadomar[[#This Row],[DESPESA FIXA]])</f>
        <v>0</v>
      </c>
      <c r="Z38" s="91">
        <f>SUMIFS(tabela_registros[VALOR],tabela_registros[MÊS],$AE$1,tabela_registros[DIA],martotal3059[[#Headers],[22]],tabela_registros[REGISTRO],DADOS!$N$4,tabela_registros[TIPO],DADOS!$P$3,tabela_registros[CATEGORIA],despesafixaconsolidadomar[[#This Row],[DESPESA FIXA]])</f>
        <v>0</v>
      </c>
      <c r="AA38" s="91">
        <f>SUMIFS(tabela_registros[VALOR],tabela_registros[MÊS],$AE$1,tabela_registros[DIA],martotal3059[[#Headers],[23]],tabela_registros[REGISTRO],DADOS!$N$4,tabela_registros[TIPO],DADOS!$P$3,tabela_registros[CATEGORIA],despesafixaconsolidadomar[[#This Row],[DESPESA FIXA]])</f>
        <v>0</v>
      </c>
      <c r="AB38" s="91">
        <f>SUMIFS(tabela_registros[VALOR],tabela_registros[MÊS],$AE$1,tabela_registros[DIA],martotal3059[[#Headers],[24]],tabela_registros[REGISTRO],DADOS!$N$4,tabela_registros[TIPO],DADOS!$P$3,tabela_registros[CATEGORIA],despesafixaconsolidadomar[[#This Row],[DESPESA FIXA]])</f>
        <v>0</v>
      </c>
      <c r="AC38" s="91">
        <f>SUMIFS(tabela_registros[VALOR],tabela_registros[MÊS],$AE$1,tabela_registros[DIA],martotal3059[[#Headers],[25]],tabela_registros[REGISTRO],DADOS!$N$4,tabela_registros[TIPO],DADOS!$P$3,tabela_registros[CATEGORIA],despesafixaconsolidadomar[[#This Row],[DESPESA FIXA]])</f>
        <v>0</v>
      </c>
      <c r="AD38" s="91">
        <f>SUMIFS(tabela_registros[VALOR],tabela_registros[MÊS],$AE$1,tabela_registros[DIA],martotal3059[[#Headers],[26]],tabela_registros[REGISTRO],DADOS!$N$4,tabela_registros[TIPO],DADOS!$P$3,tabela_registros[CATEGORIA],despesafixaconsolidadomar[[#This Row],[DESPESA FIXA]])</f>
        <v>0</v>
      </c>
      <c r="AE38" s="91">
        <f>SUMIFS(tabela_registros[VALOR],tabela_registros[MÊS],$AE$1,tabela_registros[DIA],martotal3059[[#Headers],[27]],tabela_registros[REGISTRO],DADOS!$N$4,tabela_registros[TIPO],DADOS!$P$3,tabela_registros[CATEGORIA],despesafixaconsolidadomar[[#This Row],[DESPESA FIXA]])</f>
        <v>0</v>
      </c>
      <c r="AF38" s="91">
        <f>SUMIFS(tabela_registros[VALOR],tabela_registros[MÊS],$AE$1,tabela_registros[DIA],martotal3059[[#Headers],[28]],tabela_registros[REGISTRO],DADOS!$N$4,tabela_registros[TIPO],DADOS!$P$3,tabela_registros[CATEGORIA],despesafixaconsolidadomar[[#This Row],[DESPESA FIXA]])</f>
        <v>0</v>
      </c>
      <c r="AG38" s="91">
        <f>SUMIFS(tabela_registros[VALOR],tabela_registros[MÊS],$AE$1,tabela_registros[DIA],martotal3059[[#Headers],[29]],tabela_registros[REGISTRO],DADOS!$N$4,tabela_registros[TIPO],DADOS!$P$3,tabela_registros[CATEGORIA],despesafixaconsolidadomar[[#This Row],[DESPESA FIXA]])</f>
        <v>0</v>
      </c>
      <c r="AH38" s="91">
        <f>SUMIFS(tabela_registros[VALOR],tabela_registros[MÊS],$AE$1,tabela_registros[DIA],martotal3059[[#Headers],[30]],tabela_registros[REGISTRO],DADOS!$N$4,tabela_registros[TIPO],DADOS!$P$3,tabela_registros[CATEGORIA],despesafixaconsolidadomar[[#This Row],[DESPESA FIXA]])</f>
        <v>0</v>
      </c>
      <c r="AI38" s="101">
        <f>SUMIFS(tabela_registros[VALOR],tabela_registros[MÊS],$AE$1,tabela_registros[DIA],martotal3059[[#Headers],[31]],tabela_registros[REGISTRO],DADOS!$N$4,tabela_registros[TIPO],DADOS!$P$3,tabela_registros[CATEGORIA],despesafixaconsolidadomar[[#This Row],[DESPESA FIXA]])</f>
        <v>0</v>
      </c>
      <c r="AJ38" s="97">
        <f>SUM(despesafixaconsolidadomar[[#This Row],[1]:[31]])</f>
        <v>352</v>
      </c>
      <c r="AK38" s="28"/>
    </row>
    <row r="39" spans="2:37" ht="18" customHeight="1" thickTop="1" thickBot="1" x14ac:dyDescent="0.3">
      <c r="B39" s="28"/>
      <c r="C39" s="27" t="str">
        <f>DADOS!$R$5</f>
        <v>🔖 ASSINATURAS E SERVIÇOS</v>
      </c>
      <c r="D39" s="26" t="str">
        <f>IF(despesafixaconsolidadomar[[#This Row],[TOTAL]]=0,"",IF(OR(despesafixaconsolidadomar[[#This Row],[TOTAL]]=LARGE($AJ$37:$AJ$50,1),despesafixaconsolidadomar[[#This Row],[TOTAL]]=LARGE($AJ$37:$AJ$50,2),despesafixaconsolidadomar[[#This Row],[TOTAL]]=LARGE($AJ$37:$AJ$50,3),despesafixaconsolidadomar[[#This Row],[TOTAL]]=LARGE($AJ$37:$AJ$50,4),despesafixaconsolidadomar[[#This Row],[TOTAL]]=LARGE($AJ$37:$AJ$50,5)),DADOS!$I$8,""))</f>
        <v/>
      </c>
      <c r="E39" s="96">
        <f>SUMIFS(tabela_registros[VALOR],tabela_registros[MÊS],$AE$1,tabela_registros[DIA],martotal3059[[#Headers],[1]],tabela_registros[REGISTRO],DADOS!$N$4,tabela_registros[TIPO],DADOS!$P$3,tabela_registros[CATEGORIA],despesafixaconsolidadomar[[#This Row],[DESPESA FIXA]])</f>
        <v>0</v>
      </c>
      <c r="F39" s="91">
        <f>SUMIFS(tabela_registros[VALOR],tabela_registros[MÊS],$AE$1,tabela_registros[DIA],martotal3059[[#Headers],[2]],tabela_registros[REGISTRO],DADOS!$N$4,tabela_registros[TIPO],DADOS!$P$3,tabela_registros[CATEGORIA],despesafixaconsolidadomar[[#This Row],[DESPESA FIXA]])</f>
        <v>0</v>
      </c>
      <c r="G39" s="91">
        <f>SUMIFS(tabela_registros[VALOR],tabela_registros[MÊS],$AE$1,tabela_registros[DIA],martotal3059[[#Headers],[3]],tabela_registros[REGISTRO],DADOS!$N$4,tabela_registros[TIPO],DADOS!$P$3,tabela_registros[CATEGORIA],despesafixaconsolidadomar[[#This Row],[DESPESA FIXA]])</f>
        <v>0</v>
      </c>
      <c r="H39" s="91">
        <f>SUMIFS(tabela_registros[VALOR],tabela_registros[MÊS],$AE$1,tabela_registros[DIA],martotal3059[[#Headers],[4]],tabela_registros[REGISTRO],DADOS!$N$4,tabela_registros[TIPO],DADOS!$P$3,tabela_registros[CATEGORIA],despesafixaconsolidadomar[[#This Row],[DESPESA FIXA]])</f>
        <v>0</v>
      </c>
      <c r="I39" s="91">
        <f>SUMIFS(tabela_registros[VALOR],tabela_registros[MÊS],$AE$1,tabela_registros[DIA],martotal3059[[#Headers],[5]],tabela_registros[REGISTRO],DADOS!$N$4,tabela_registros[TIPO],DADOS!$P$3,tabela_registros[CATEGORIA],despesafixaconsolidadomar[[#This Row],[DESPESA FIXA]])</f>
        <v>0</v>
      </c>
      <c r="J39" s="91">
        <f>SUMIFS(tabela_registros[VALOR],tabela_registros[MÊS],$AE$1,tabela_registros[DIA],martotal3059[[#Headers],[6]],tabela_registros[REGISTRO],DADOS!$N$4,tabela_registros[TIPO],DADOS!$P$3,tabela_registros[CATEGORIA],despesafixaconsolidadomar[[#This Row],[DESPESA FIXA]])</f>
        <v>0</v>
      </c>
      <c r="K39" s="91">
        <f>SUMIFS(tabela_registros[VALOR],tabela_registros[MÊS],$AE$1,tabela_registros[DIA],martotal3059[[#Headers],[7]],tabela_registros[REGISTRO],DADOS!$N$4,tabela_registros[TIPO],DADOS!$P$3,tabela_registros[CATEGORIA],despesafixaconsolidadomar[[#This Row],[DESPESA FIXA]])</f>
        <v>0</v>
      </c>
      <c r="L39" s="91">
        <f>SUMIFS(tabela_registros[VALOR],tabela_registros[MÊS],$AE$1,tabela_registros[DIA],martotal3059[[#Headers],[8]],tabela_registros[REGISTRO],DADOS!$N$4,tabela_registros[TIPO],DADOS!$P$3,tabela_registros[CATEGORIA],despesafixaconsolidadomar[[#This Row],[DESPESA FIXA]])</f>
        <v>0</v>
      </c>
      <c r="M39" s="91">
        <f>SUMIFS(tabela_registros[VALOR],tabela_registros[MÊS],$AE$1,tabela_registros[DIA],martotal3059[[#Headers],[9]],tabela_registros[REGISTRO],DADOS!$N$4,tabela_registros[TIPO],DADOS!$P$3,tabela_registros[CATEGORIA],despesafixaconsolidadomar[[#This Row],[DESPESA FIXA]])</f>
        <v>0</v>
      </c>
      <c r="N39" s="91">
        <f>SUMIFS(tabela_registros[VALOR],tabela_registros[MÊS],$AE$1,tabela_registros[DIA],martotal3059[[#Headers],[10]],tabela_registros[REGISTRO],DADOS!$N$4,tabela_registros[TIPO],DADOS!$P$3,tabela_registros[CATEGORIA],despesafixaconsolidadomar[[#This Row],[DESPESA FIXA]])</f>
        <v>0</v>
      </c>
      <c r="O39" s="91">
        <f>SUMIFS(tabela_registros[VALOR],tabela_registros[MÊS],$AE$1,tabela_registros[DIA],martotal3059[[#Headers],[11]],tabela_registros[REGISTRO],DADOS!$N$4,tabela_registros[TIPO],DADOS!$P$3,tabela_registros[CATEGORIA],despesafixaconsolidadomar[[#This Row],[DESPESA FIXA]])</f>
        <v>0</v>
      </c>
      <c r="P39" s="91">
        <f>SUMIFS(tabela_registros[VALOR],tabela_registros[MÊS],$AE$1,tabela_registros[DIA],martotal3059[[#Headers],[12]],tabela_registros[REGISTRO],DADOS!$N$4,tabela_registros[TIPO],DADOS!$P$3,tabela_registros[CATEGORIA],despesafixaconsolidadomar[[#This Row],[DESPESA FIXA]])</f>
        <v>0</v>
      </c>
      <c r="Q39" s="91">
        <f>SUMIFS(tabela_registros[VALOR],tabela_registros[MÊS],$AE$1,tabela_registros[DIA],martotal3059[[#Headers],[13]],tabela_registros[REGISTRO],DADOS!$N$4,tabela_registros[TIPO],DADOS!$P$3,tabela_registros[CATEGORIA],despesafixaconsolidadomar[[#This Row],[DESPESA FIXA]])</f>
        <v>0</v>
      </c>
      <c r="R39" s="91">
        <f>SUMIFS(tabela_registros[VALOR],tabela_registros[MÊS],$AE$1,tabela_registros[DIA],martotal3059[[#Headers],[14]],tabela_registros[REGISTRO],DADOS!$N$4,tabela_registros[TIPO],DADOS!$P$3,tabela_registros[CATEGORIA],despesafixaconsolidadomar[[#This Row],[DESPESA FIXA]])</f>
        <v>0</v>
      </c>
      <c r="S39" s="91">
        <f>SUMIFS(tabela_registros[VALOR],tabela_registros[MÊS],$AE$1,tabela_registros[DIA],martotal3059[[#Headers],[15]],tabela_registros[REGISTRO],DADOS!$N$4,tabela_registros[TIPO],DADOS!$P$3,tabela_registros[CATEGORIA],despesafixaconsolidadomar[[#This Row],[DESPESA FIXA]])</f>
        <v>0</v>
      </c>
      <c r="T39" s="91">
        <f>SUMIFS(tabela_registros[VALOR],tabela_registros[MÊS],$AE$1,tabela_registros[DIA],martotal3059[[#Headers],[16]],tabela_registros[REGISTRO],DADOS!$N$4,tabela_registros[TIPO],DADOS!$P$3,tabela_registros[CATEGORIA],despesafixaconsolidadomar[[#This Row],[DESPESA FIXA]])</f>
        <v>0</v>
      </c>
      <c r="U39" s="91">
        <f>SUMIFS(tabela_registros[VALOR],tabela_registros[MÊS],$AE$1,tabela_registros[DIA],martotal3059[[#Headers],[17]],tabela_registros[REGISTRO],DADOS!$N$4,tabela_registros[TIPO],DADOS!$P$3,tabela_registros[CATEGORIA],despesafixaconsolidadomar[[#This Row],[DESPESA FIXA]])</f>
        <v>0</v>
      </c>
      <c r="V39" s="91">
        <f>SUMIFS(tabela_registros[VALOR],tabela_registros[MÊS],$AE$1,tabela_registros[DIA],martotal3059[[#Headers],[18]],tabela_registros[REGISTRO],DADOS!$N$4,tabela_registros[TIPO],DADOS!$P$3,tabela_registros[CATEGORIA],despesafixaconsolidadomar[[#This Row],[DESPESA FIXA]])</f>
        <v>0</v>
      </c>
      <c r="W39" s="91">
        <f>SUMIFS(tabela_registros[VALOR],tabela_registros[MÊS],$AE$1,tabela_registros[DIA],martotal3059[[#Headers],[19]],tabela_registros[REGISTRO],DADOS!$N$4,tabela_registros[TIPO],DADOS!$P$3,tabela_registros[CATEGORIA],despesafixaconsolidadomar[[#This Row],[DESPESA FIXA]])</f>
        <v>0</v>
      </c>
      <c r="X39" s="91">
        <f>SUMIFS(tabela_registros[VALOR],tabela_registros[MÊS],$AE$1,tabela_registros[DIA],martotal3059[[#Headers],[20]],tabela_registros[REGISTRO],DADOS!$N$4,tabela_registros[TIPO],DADOS!$P$3,tabela_registros[CATEGORIA],despesafixaconsolidadomar[[#This Row],[DESPESA FIXA]])</f>
        <v>0</v>
      </c>
      <c r="Y39" s="91">
        <f>SUMIFS(tabela_registros[VALOR],tabela_registros[MÊS],$AE$1,tabela_registros[DIA],martotal3059[[#Headers],[21]],tabela_registros[REGISTRO],DADOS!$N$4,tabela_registros[TIPO],DADOS!$P$3,tabela_registros[CATEGORIA],despesafixaconsolidadomar[[#This Row],[DESPESA FIXA]])</f>
        <v>0</v>
      </c>
      <c r="Z39" s="91">
        <f>SUMIFS(tabela_registros[VALOR],tabela_registros[MÊS],$AE$1,tabela_registros[DIA],martotal3059[[#Headers],[22]],tabela_registros[REGISTRO],DADOS!$N$4,tabela_registros[TIPO],DADOS!$P$3,tabela_registros[CATEGORIA],despesafixaconsolidadomar[[#This Row],[DESPESA FIXA]])</f>
        <v>0</v>
      </c>
      <c r="AA39" s="91">
        <f>SUMIFS(tabela_registros[VALOR],tabela_registros[MÊS],$AE$1,tabela_registros[DIA],martotal3059[[#Headers],[23]],tabela_registros[REGISTRO],DADOS!$N$4,tabela_registros[TIPO],DADOS!$P$3,tabela_registros[CATEGORIA],despesafixaconsolidadomar[[#This Row],[DESPESA FIXA]])</f>
        <v>0</v>
      </c>
      <c r="AB39" s="91">
        <f>SUMIFS(tabela_registros[VALOR],tabela_registros[MÊS],$AE$1,tabela_registros[DIA],martotal3059[[#Headers],[24]],tabela_registros[REGISTRO],DADOS!$N$4,tabela_registros[TIPO],DADOS!$P$3,tabela_registros[CATEGORIA],despesafixaconsolidadomar[[#This Row],[DESPESA FIXA]])</f>
        <v>0</v>
      </c>
      <c r="AC39" s="91">
        <f>SUMIFS(tabela_registros[VALOR],tabela_registros[MÊS],$AE$1,tabela_registros[DIA],martotal3059[[#Headers],[25]],tabela_registros[REGISTRO],DADOS!$N$4,tabela_registros[TIPO],DADOS!$P$3,tabela_registros[CATEGORIA],despesafixaconsolidadomar[[#This Row],[DESPESA FIXA]])</f>
        <v>0</v>
      </c>
      <c r="AD39" s="91">
        <f>SUMIFS(tabela_registros[VALOR],tabela_registros[MÊS],$AE$1,tabela_registros[DIA],martotal3059[[#Headers],[26]],tabela_registros[REGISTRO],DADOS!$N$4,tabela_registros[TIPO],DADOS!$P$3,tabela_registros[CATEGORIA],despesafixaconsolidadomar[[#This Row],[DESPESA FIXA]])</f>
        <v>0</v>
      </c>
      <c r="AE39" s="91">
        <f>SUMIFS(tabela_registros[VALOR],tabela_registros[MÊS],$AE$1,tabela_registros[DIA],martotal3059[[#Headers],[27]],tabela_registros[REGISTRO],DADOS!$N$4,tabela_registros[TIPO],DADOS!$P$3,tabela_registros[CATEGORIA],despesafixaconsolidadomar[[#This Row],[DESPESA FIXA]])</f>
        <v>0</v>
      </c>
      <c r="AF39" s="91">
        <f>SUMIFS(tabela_registros[VALOR],tabela_registros[MÊS],$AE$1,tabela_registros[DIA],martotal3059[[#Headers],[28]],tabela_registros[REGISTRO],DADOS!$N$4,tabela_registros[TIPO],DADOS!$P$3,tabela_registros[CATEGORIA],despesafixaconsolidadomar[[#This Row],[DESPESA FIXA]])</f>
        <v>0</v>
      </c>
      <c r="AG39" s="91">
        <f>SUMIFS(tabela_registros[VALOR],tabela_registros[MÊS],$AE$1,tabela_registros[DIA],martotal3059[[#Headers],[29]],tabela_registros[REGISTRO],DADOS!$N$4,tabela_registros[TIPO],DADOS!$P$3,tabela_registros[CATEGORIA],despesafixaconsolidadomar[[#This Row],[DESPESA FIXA]])</f>
        <v>0</v>
      </c>
      <c r="AH39" s="91">
        <f>SUMIFS(tabela_registros[VALOR],tabela_registros[MÊS],$AE$1,tabela_registros[DIA],martotal3059[[#Headers],[30]],tabela_registros[REGISTRO],DADOS!$N$4,tabela_registros[TIPO],DADOS!$P$3,tabela_registros[CATEGORIA],despesafixaconsolidadomar[[#This Row],[DESPESA FIXA]])</f>
        <v>0</v>
      </c>
      <c r="AI39" s="101">
        <f>SUMIFS(tabela_registros[VALOR],tabela_registros[MÊS],$AE$1,tabela_registros[DIA],martotal3059[[#Headers],[31]],tabela_registros[REGISTRO],DADOS!$N$4,tabela_registros[TIPO],DADOS!$P$3,tabela_registros[CATEGORIA],despesafixaconsolidadomar[[#This Row],[DESPESA FIXA]])</f>
        <v>0</v>
      </c>
      <c r="AJ39" s="97">
        <f>SUM(despesafixaconsolidadomar[[#This Row],[1]:[31]])</f>
        <v>0</v>
      </c>
      <c r="AK39" s="28"/>
    </row>
    <row r="40" spans="2:37" ht="18" customHeight="1" thickTop="1" thickBot="1" x14ac:dyDescent="0.3">
      <c r="B40" s="28"/>
      <c r="C40" s="27" t="str">
        <f>DADOS!$R$6</f>
        <v>📱 CELULAR</v>
      </c>
      <c r="D40" s="26" t="str">
        <f>IF(despesafixaconsolidadomar[[#This Row],[TOTAL]]=0,"",IF(OR(despesafixaconsolidadomar[[#This Row],[TOTAL]]=LARGE($AJ$37:$AJ$50,1),despesafixaconsolidadomar[[#This Row],[TOTAL]]=LARGE($AJ$37:$AJ$50,2),despesafixaconsolidadomar[[#This Row],[TOTAL]]=LARGE($AJ$37:$AJ$50,3),despesafixaconsolidadomar[[#This Row],[TOTAL]]=LARGE($AJ$37:$AJ$50,4),despesafixaconsolidadomar[[#This Row],[TOTAL]]=LARGE($AJ$37:$AJ$50,5)),DADOS!$I$8,""))</f>
        <v/>
      </c>
      <c r="E40" s="96">
        <f>SUMIFS(tabela_registros[VALOR],tabela_registros[MÊS],$AE$1,tabela_registros[DIA],martotal3059[[#Headers],[1]],tabela_registros[REGISTRO],DADOS!$N$4,tabela_registros[TIPO],DADOS!$P$3,tabela_registros[CATEGORIA],despesafixaconsolidadomar[[#This Row],[DESPESA FIXA]])</f>
        <v>0</v>
      </c>
      <c r="F40" s="91">
        <f>SUMIFS(tabela_registros[VALOR],tabela_registros[MÊS],$AE$1,tabela_registros[DIA],martotal3059[[#Headers],[2]],tabela_registros[REGISTRO],DADOS!$N$4,tabela_registros[TIPO],DADOS!$P$3,tabela_registros[CATEGORIA],despesafixaconsolidadomar[[#This Row],[DESPESA FIXA]])</f>
        <v>0</v>
      </c>
      <c r="G40" s="91">
        <f>SUMIFS(tabela_registros[VALOR],tabela_registros[MÊS],$AE$1,tabela_registros[DIA],martotal3059[[#Headers],[3]],tabela_registros[REGISTRO],DADOS!$N$4,tabela_registros[TIPO],DADOS!$P$3,tabela_registros[CATEGORIA],despesafixaconsolidadomar[[#This Row],[DESPESA FIXA]])</f>
        <v>0</v>
      </c>
      <c r="H40" s="91">
        <f>SUMIFS(tabela_registros[VALOR],tabela_registros[MÊS],$AE$1,tabela_registros[DIA],martotal3059[[#Headers],[4]],tabela_registros[REGISTRO],DADOS!$N$4,tabela_registros[TIPO],DADOS!$P$3,tabela_registros[CATEGORIA],despesafixaconsolidadomar[[#This Row],[DESPESA FIXA]])</f>
        <v>0</v>
      </c>
      <c r="I40" s="91">
        <f>SUMIFS(tabela_registros[VALOR],tabela_registros[MÊS],$AE$1,tabela_registros[DIA],martotal3059[[#Headers],[5]],tabela_registros[REGISTRO],DADOS!$N$4,tabela_registros[TIPO],DADOS!$P$3,tabela_registros[CATEGORIA],despesafixaconsolidadomar[[#This Row],[DESPESA FIXA]])</f>
        <v>0</v>
      </c>
      <c r="J40" s="91">
        <f>SUMIFS(tabela_registros[VALOR],tabela_registros[MÊS],$AE$1,tabela_registros[DIA],martotal3059[[#Headers],[6]],tabela_registros[REGISTRO],DADOS!$N$4,tabela_registros[TIPO],DADOS!$P$3,tabela_registros[CATEGORIA],despesafixaconsolidadomar[[#This Row],[DESPESA FIXA]])</f>
        <v>0</v>
      </c>
      <c r="K40" s="91">
        <f>SUMIFS(tabela_registros[VALOR],tabela_registros[MÊS],$AE$1,tabela_registros[DIA],martotal3059[[#Headers],[7]],tabela_registros[REGISTRO],DADOS!$N$4,tabela_registros[TIPO],DADOS!$P$3,tabela_registros[CATEGORIA],despesafixaconsolidadomar[[#This Row],[DESPESA FIXA]])</f>
        <v>0</v>
      </c>
      <c r="L40" s="91">
        <f>SUMIFS(tabela_registros[VALOR],tabela_registros[MÊS],$AE$1,tabela_registros[DIA],martotal3059[[#Headers],[8]],tabela_registros[REGISTRO],DADOS!$N$4,tabela_registros[TIPO],DADOS!$P$3,tabela_registros[CATEGORIA],despesafixaconsolidadomar[[#This Row],[DESPESA FIXA]])</f>
        <v>0</v>
      </c>
      <c r="M40" s="91">
        <f>SUMIFS(tabela_registros[VALOR],tabela_registros[MÊS],$AE$1,tabela_registros[DIA],martotal3059[[#Headers],[9]],tabela_registros[REGISTRO],DADOS!$N$4,tabela_registros[TIPO],DADOS!$P$3,tabela_registros[CATEGORIA],despesafixaconsolidadomar[[#This Row],[DESPESA FIXA]])</f>
        <v>0</v>
      </c>
      <c r="N40" s="91">
        <f>SUMIFS(tabela_registros[VALOR],tabela_registros[MÊS],$AE$1,tabela_registros[DIA],martotal3059[[#Headers],[10]],tabela_registros[REGISTRO],DADOS!$N$4,tabela_registros[TIPO],DADOS!$P$3,tabela_registros[CATEGORIA],despesafixaconsolidadomar[[#This Row],[DESPESA FIXA]])</f>
        <v>0</v>
      </c>
      <c r="O40" s="91">
        <f>SUMIFS(tabela_registros[VALOR],tabela_registros[MÊS],$AE$1,tabela_registros[DIA],martotal3059[[#Headers],[11]],tabela_registros[REGISTRO],DADOS!$N$4,tabela_registros[TIPO],DADOS!$P$3,tabela_registros[CATEGORIA],despesafixaconsolidadomar[[#This Row],[DESPESA FIXA]])</f>
        <v>0</v>
      </c>
      <c r="P40" s="91">
        <f>SUMIFS(tabela_registros[VALOR],tabela_registros[MÊS],$AE$1,tabela_registros[DIA],martotal3059[[#Headers],[12]],tabela_registros[REGISTRO],DADOS!$N$4,tabela_registros[TIPO],DADOS!$P$3,tabela_registros[CATEGORIA],despesafixaconsolidadomar[[#This Row],[DESPESA FIXA]])</f>
        <v>0</v>
      </c>
      <c r="Q40" s="91">
        <f>SUMIFS(tabela_registros[VALOR],tabela_registros[MÊS],$AE$1,tabela_registros[DIA],martotal3059[[#Headers],[13]],tabela_registros[REGISTRO],DADOS!$N$4,tabela_registros[TIPO],DADOS!$P$3,tabela_registros[CATEGORIA],despesafixaconsolidadomar[[#This Row],[DESPESA FIXA]])</f>
        <v>0</v>
      </c>
      <c r="R40" s="91">
        <f>SUMIFS(tabela_registros[VALOR],tabela_registros[MÊS],$AE$1,tabela_registros[DIA],martotal3059[[#Headers],[14]],tabela_registros[REGISTRO],DADOS!$N$4,tabela_registros[TIPO],DADOS!$P$3,tabela_registros[CATEGORIA],despesafixaconsolidadomar[[#This Row],[DESPESA FIXA]])</f>
        <v>0</v>
      </c>
      <c r="S40" s="91">
        <f>SUMIFS(tabela_registros[VALOR],tabela_registros[MÊS],$AE$1,tabela_registros[DIA],martotal3059[[#Headers],[15]],tabela_registros[REGISTRO],DADOS!$N$4,tabela_registros[TIPO],DADOS!$P$3,tabela_registros[CATEGORIA],despesafixaconsolidadomar[[#This Row],[DESPESA FIXA]])</f>
        <v>0</v>
      </c>
      <c r="T40" s="91">
        <f>SUMIFS(tabela_registros[VALOR],tabela_registros[MÊS],$AE$1,tabela_registros[DIA],martotal3059[[#Headers],[16]],tabela_registros[REGISTRO],DADOS!$N$4,tabela_registros[TIPO],DADOS!$P$3,tabela_registros[CATEGORIA],despesafixaconsolidadomar[[#This Row],[DESPESA FIXA]])</f>
        <v>0</v>
      </c>
      <c r="U40" s="91">
        <f>SUMIFS(tabela_registros[VALOR],tabela_registros[MÊS],$AE$1,tabela_registros[DIA],martotal3059[[#Headers],[17]],tabela_registros[REGISTRO],DADOS!$N$4,tabela_registros[TIPO],DADOS!$P$3,tabela_registros[CATEGORIA],despesafixaconsolidadomar[[#This Row],[DESPESA FIXA]])</f>
        <v>0</v>
      </c>
      <c r="V40" s="91">
        <f>SUMIFS(tabela_registros[VALOR],tabela_registros[MÊS],$AE$1,tabela_registros[DIA],martotal3059[[#Headers],[18]],tabela_registros[REGISTRO],DADOS!$N$4,tabela_registros[TIPO],DADOS!$P$3,tabela_registros[CATEGORIA],despesafixaconsolidadomar[[#This Row],[DESPESA FIXA]])</f>
        <v>0</v>
      </c>
      <c r="W40" s="91">
        <f>SUMIFS(tabela_registros[VALOR],tabela_registros[MÊS],$AE$1,tabela_registros[DIA],martotal3059[[#Headers],[19]],tabela_registros[REGISTRO],DADOS!$N$4,tabela_registros[TIPO],DADOS!$P$3,tabela_registros[CATEGORIA],despesafixaconsolidadomar[[#This Row],[DESPESA FIXA]])</f>
        <v>0</v>
      </c>
      <c r="X40" s="91">
        <f>SUMIFS(tabela_registros[VALOR],tabela_registros[MÊS],$AE$1,tabela_registros[DIA],martotal3059[[#Headers],[20]],tabela_registros[REGISTRO],DADOS!$N$4,tabela_registros[TIPO],DADOS!$P$3,tabela_registros[CATEGORIA],despesafixaconsolidadomar[[#This Row],[DESPESA FIXA]])</f>
        <v>0</v>
      </c>
      <c r="Y40" s="91">
        <f>SUMIFS(tabela_registros[VALOR],tabela_registros[MÊS],$AE$1,tabela_registros[DIA],martotal3059[[#Headers],[21]],tabela_registros[REGISTRO],DADOS!$N$4,tabela_registros[TIPO],DADOS!$P$3,tabela_registros[CATEGORIA],despesafixaconsolidadomar[[#This Row],[DESPESA FIXA]])</f>
        <v>0</v>
      </c>
      <c r="Z40" s="91">
        <f>SUMIFS(tabela_registros[VALOR],tabela_registros[MÊS],$AE$1,tabela_registros[DIA],martotal3059[[#Headers],[22]],tabela_registros[REGISTRO],DADOS!$N$4,tabela_registros[TIPO],DADOS!$P$3,tabela_registros[CATEGORIA],despesafixaconsolidadomar[[#This Row],[DESPESA FIXA]])</f>
        <v>0</v>
      </c>
      <c r="AA40" s="91">
        <f>SUMIFS(tabela_registros[VALOR],tabela_registros[MÊS],$AE$1,tabela_registros[DIA],martotal3059[[#Headers],[23]],tabela_registros[REGISTRO],DADOS!$N$4,tabela_registros[TIPO],DADOS!$P$3,tabela_registros[CATEGORIA],despesafixaconsolidadomar[[#This Row],[DESPESA FIXA]])</f>
        <v>0</v>
      </c>
      <c r="AB40" s="91">
        <f>SUMIFS(tabela_registros[VALOR],tabela_registros[MÊS],$AE$1,tabela_registros[DIA],martotal3059[[#Headers],[24]],tabela_registros[REGISTRO],DADOS!$N$4,tabela_registros[TIPO],DADOS!$P$3,tabela_registros[CATEGORIA],despesafixaconsolidadomar[[#This Row],[DESPESA FIXA]])</f>
        <v>0</v>
      </c>
      <c r="AC40" s="91">
        <f>SUMIFS(tabela_registros[VALOR],tabela_registros[MÊS],$AE$1,tabela_registros[DIA],martotal3059[[#Headers],[25]],tabela_registros[REGISTRO],DADOS!$N$4,tabela_registros[TIPO],DADOS!$P$3,tabela_registros[CATEGORIA],despesafixaconsolidadomar[[#This Row],[DESPESA FIXA]])</f>
        <v>0</v>
      </c>
      <c r="AD40" s="91">
        <f>SUMIFS(tabela_registros[VALOR],tabela_registros[MÊS],$AE$1,tabela_registros[DIA],martotal3059[[#Headers],[26]],tabela_registros[REGISTRO],DADOS!$N$4,tabela_registros[TIPO],DADOS!$P$3,tabela_registros[CATEGORIA],despesafixaconsolidadomar[[#This Row],[DESPESA FIXA]])</f>
        <v>0</v>
      </c>
      <c r="AE40" s="91">
        <f>SUMIFS(tabela_registros[VALOR],tabela_registros[MÊS],$AE$1,tabela_registros[DIA],martotal3059[[#Headers],[27]],tabela_registros[REGISTRO],DADOS!$N$4,tabela_registros[TIPO],DADOS!$P$3,tabela_registros[CATEGORIA],despesafixaconsolidadomar[[#This Row],[DESPESA FIXA]])</f>
        <v>0</v>
      </c>
      <c r="AF40" s="91">
        <f>SUMIFS(tabela_registros[VALOR],tabela_registros[MÊS],$AE$1,tabela_registros[DIA],martotal3059[[#Headers],[28]],tabela_registros[REGISTRO],DADOS!$N$4,tabela_registros[TIPO],DADOS!$P$3,tabela_registros[CATEGORIA],despesafixaconsolidadomar[[#This Row],[DESPESA FIXA]])</f>
        <v>0</v>
      </c>
      <c r="AG40" s="91">
        <f>SUMIFS(tabela_registros[VALOR],tabela_registros[MÊS],$AE$1,tabela_registros[DIA],martotal3059[[#Headers],[29]],tabela_registros[REGISTRO],DADOS!$N$4,tabela_registros[TIPO],DADOS!$P$3,tabela_registros[CATEGORIA],despesafixaconsolidadomar[[#This Row],[DESPESA FIXA]])</f>
        <v>0</v>
      </c>
      <c r="AH40" s="91">
        <f>SUMIFS(tabela_registros[VALOR],tabela_registros[MÊS],$AE$1,tabela_registros[DIA],martotal3059[[#Headers],[30]],tabela_registros[REGISTRO],DADOS!$N$4,tabela_registros[TIPO],DADOS!$P$3,tabela_registros[CATEGORIA],despesafixaconsolidadomar[[#This Row],[DESPESA FIXA]])</f>
        <v>0</v>
      </c>
      <c r="AI40" s="101">
        <f>SUMIFS(tabela_registros[VALOR],tabela_registros[MÊS],$AE$1,tabela_registros[DIA],martotal3059[[#Headers],[31]],tabela_registros[REGISTRO],DADOS!$N$4,tabela_registros[TIPO],DADOS!$P$3,tabela_registros[CATEGORIA],despesafixaconsolidadomar[[#This Row],[DESPESA FIXA]])</f>
        <v>0</v>
      </c>
      <c r="AJ40" s="97">
        <f>SUM(despesafixaconsolidadomar[[#This Row],[1]:[31]])</f>
        <v>0</v>
      </c>
      <c r="AK40" s="28"/>
    </row>
    <row r="41" spans="2:37" ht="18" customHeight="1" thickTop="1" thickBot="1" x14ac:dyDescent="0.3">
      <c r="B41" s="28"/>
      <c r="C41" s="27" t="str">
        <f>DADOS!$R$7</f>
        <v>📖 EDUCAÇÃO</v>
      </c>
      <c r="D41" s="26" t="str">
        <f>IF(despesafixaconsolidadomar[[#This Row],[TOTAL]]=0,"",IF(OR(despesafixaconsolidadomar[[#This Row],[TOTAL]]=LARGE($AJ$37:$AJ$50,1),despesafixaconsolidadomar[[#This Row],[TOTAL]]=LARGE($AJ$37:$AJ$50,2),despesafixaconsolidadomar[[#This Row],[TOTAL]]=LARGE($AJ$37:$AJ$50,3),despesafixaconsolidadomar[[#This Row],[TOTAL]]=LARGE($AJ$37:$AJ$50,4),despesafixaconsolidadomar[[#This Row],[TOTAL]]=LARGE($AJ$37:$AJ$50,5)),DADOS!$I$8,""))</f>
        <v/>
      </c>
      <c r="E41" s="96">
        <f>SUMIFS(tabela_registros[VALOR],tabela_registros[MÊS],$AE$1,tabela_registros[DIA],martotal3059[[#Headers],[1]],tabela_registros[REGISTRO],DADOS!$N$4,tabela_registros[TIPO],DADOS!$P$3,tabela_registros[CATEGORIA],despesafixaconsolidadomar[[#This Row],[DESPESA FIXA]])</f>
        <v>0</v>
      </c>
      <c r="F41" s="91">
        <f>SUMIFS(tabela_registros[VALOR],tabela_registros[MÊS],$AE$1,tabela_registros[DIA],martotal3059[[#Headers],[2]],tabela_registros[REGISTRO],DADOS!$N$4,tabela_registros[TIPO],DADOS!$P$3,tabela_registros[CATEGORIA],despesafixaconsolidadomar[[#This Row],[DESPESA FIXA]])</f>
        <v>0</v>
      </c>
      <c r="G41" s="91">
        <f>SUMIFS(tabela_registros[VALOR],tabela_registros[MÊS],$AE$1,tabela_registros[DIA],martotal3059[[#Headers],[3]],tabela_registros[REGISTRO],DADOS!$N$4,tabela_registros[TIPO],DADOS!$P$3,tabela_registros[CATEGORIA],despesafixaconsolidadomar[[#This Row],[DESPESA FIXA]])</f>
        <v>0</v>
      </c>
      <c r="H41" s="91">
        <f>SUMIFS(tabela_registros[VALOR],tabela_registros[MÊS],$AE$1,tabela_registros[DIA],martotal3059[[#Headers],[4]],tabela_registros[REGISTRO],DADOS!$N$4,tabela_registros[TIPO],DADOS!$P$3,tabela_registros[CATEGORIA],despesafixaconsolidadomar[[#This Row],[DESPESA FIXA]])</f>
        <v>0</v>
      </c>
      <c r="I41" s="91">
        <f>SUMIFS(tabela_registros[VALOR],tabela_registros[MÊS],$AE$1,tabela_registros[DIA],martotal3059[[#Headers],[5]],tabela_registros[REGISTRO],DADOS!$N$4,tabela_registros[TIPO],DADOS!$P$3,tabela_registros[CATEGORIA],despesafixaconsolidadomar[[#This Row],[DESPESA FIXA]])</f>
        <v>0</v>
      </c>
      <c r="J41" s="91">
        <f>SUMIFS(tabela_registros[VALOR],tabela_registros[MÊS],$AE$1,tabela_registros[DIA],martotal3059[[#Headers],[6]],tabela_registros[REGISTRO],DADOS!$N$4,tabela_registros[TIPO],DADOS!$P$3,tabela_registros[CATEGORIA],despesafixaconsolidadomar[[#This Row],[DESPESA FIXA]])</f>
        <v>0</v>
      </c>
      <c r="K41" s="91">
        <f>SUMIFS(tabela_registros[VALOR],tabela_registros[MÊS],$AE$1,tabela_registros[DIA],martotal3059[[#Headers],[7]],tabela_registros[REGISTRO],DADOS!$N$4,tabela_registros[TIPO],DADOS!$P$3,tabela_registros[CATEGORIA],despesafixaconsolidadomar[[#This Row],[DESPESA FIXA]])</f>
        <v>0</v>
      </c>
      <c r="L41" s="91">
        <f>SUMIFS(tabela_registros[VALOR],tabela_registros[MÊS],$AE$1,tabela_registros[DIA],martotal3059[[#Headers],[8]],tabela_registros[REGISTRO],DADOS!$N$4,tabela_registros[TIPO],DADOS!$P$3,tabela_registros[CATEGORIA],despesafixaconsolidadomar[[#This Row],[DESPESA FIXA]])</f>
        <v>0</v>
      </c>
      <c r="M41" s="91">
        <f>SUMIFS(tabela_registros[VALOR],tabela_registros[MÊS],$AE$1,tabela_registros[DIA],martotal3059[[#Headers],[9]],tabela_registros[REGISTRO],DADOS!$N$4,tabela_registros[TIPO],DADOS!$P$3,tabela_registros[CATEGORIA],despesafixaconsolidadomar[[#This Row],[DESPESA FIXA]])</f>
        <v>0</v>
      </c>
      <c r="N41" s="91">
        <f>SUMIFS(tabela_registros[VALOR],tabela_registros[MÊS],$AE$1,tabela_registros[DIA],martotal3059[[#Headers],[10]],tabela_registros[REGISTRO],DADOS!$N$4,tabela_registros[TIPO],DADOS!$P$3,tabela_registros[CATEGORIA],despesafixaconsolidadomar[[#This Row],[DESPESA FIXA]])</f>
        <v>0</v>
      </c>
      <c r="O41" s="91">
        <f>SUMIFS(tabela_registros[VALOR],tabela_registros[MÊS],$AE$1,tabela_registros[DIA],martotal3059[[#Headers],[11]],tabela_registros[REGISTRO],DADOS!$N$4,tabela_registros[TIPO],DADOS!$P$3,tabela_registros[CATEGORIA],despesafixaconsolidadomar[[#This Row],[DESPESA FIXA]])</f>
        <v>0</v>
      </c>
      <c r="P41" s="91">
        <f>SUMIFS(tabela_registros[VALOR],tabela_registros[MÊS],$AE$1,tabela_registros[DIA],martotal3059[[#Headers],[12]],tabela_registros[REGISTRO],DADOS!$N$4,tabela_registros[TIPO],DADOS!$P$3,tabela_registros[CATEGORIA],despesafixaconsolidadomar[[#This Row],[DESPESA FIXA]])</f>
        <v>0</v>
      </c>
      <c r="Q41" s="91">
        <f>SUMIFS(tabela_registros[VALOR],tabela_registros[MÊS],$AE$1,tabela_registros[DIA],martotal3059[[#Headers],[13]],tabela_registros[REGISTRO],DADOS!$N$4,tabela_registros[TIPO],DADOS!$P$3,tabela_registros[CATEGORIA],despesafixaconsolidadomar[[#This Row],[DESPESA FIXA]])</f>
        <v>0</v>
      </c>
      <c r="R41" s="91">
        <f>SUMIFS(tabela_registros[VALOR],tabela_registros[MÊS],$AE$1,tabela_registros[DIA],martotal3059[[#Headers],[14]],tabela_registros[REGISTRO],DADOS!$N$4,tabela_registros[TIPO],DADOS!$P$3,tabela_registros[CATEGORIA],despesafixaconsolidadomar[[#This Row],[DESPESA FIXA]])</f>
        <v>0</v>
      </c>
      <c r="S41" s="91">
        <f>SUMIFS(tabela_registros[VALOR],tabela_registros[MÊS],$AE$1,tabela_registros[DIA],martotal3059[[#Headers],[15]],tabela_registros[REGISTRO],DADOS!$N$4,tabela_registros[TIPO],DADOS!$P$3,tabela_registros[CATEGORIA],despesafixaconsolidadomar[[#This Row],[DESPESA FIXA]])</f>
        <v>0</v>
      </c>
      <c r="T41" s="91">
        <f>SUMIFS(tabela_registros[VALOR],tabela_registros[MÊS],$AE$1,tabela_registros[DIA],martotal3059[[#Headers],[16]],tabela_registros[REGISTRO],DADOS!$N$4,tabela_registros[TIPO],DADOS!$P$3,tabela_registros[CATEGORIA],despesafixaconsolidadomar[[#This Row],[DESPESA FIXA]])</f>
        <v>0</v>
      </c>
      <c r="U41" s="91">
        <f>SUMIFS(tabela_registros[VALOR],tabela_registros[MÊS],$AE$1,tabela_registros[DIA],martotal3059[[#Headers],[17]],tabela_registros[REGISTRO],DADOS!$N$4,tabela_registros[TIPO],DADOS!$P$3,tabela_registros[CATEGORIA],despesafixaconsolidadomar[[#This Row],[DESPESA FIXA]])</f>
        <v>0</v>
      </c>
      <c r="V41" s="91">
        <f>SUMIFS(tabela_registros[VALOR],tabela_registros[MÊS],$AE$1,tabela_registros[DIA],martotal3059[[#Headers],[18]],tabela_registros[REGISTRO],DADOS!$N$4,tabela_registros[TIPO],DADOS!$P$3,tabela_registros[CATEGORIA],despesafixaconsolidadomar[[#This Row],[DESPESA FIXA]])</f>
        <v>0</v>
      </c>
      <c r="W41" s="91">
        <f>SUMIFS(tabela_registros[VALOR],tabela_registros[MÊS],$AE$1,tabela_registros[DIA],martotal3059[[#Headers],[19]],tabela_registros[REGISTRO],DADOS!$N$4,tabela_registros[TIPO],DADOS!$P$3,tabela_registros[CATEGORIA],despesafixaconsolidadomar[[#This Row],[DESPESA FIXA]])</f>
        <v>0</v>
      </c>
      <c r="X41" s="91">
        <f>SUMIFS(tabela_registros[VALOR],tabela_registros[MÊS],$AE$1,tabela_registros[DIA],martotal3059[[#Headers],[20]],tabela_registros[REGISTRO],DADOS!$N$4,tabela_registros[TIPO],DADOS!$P$3,tabela_registros[CATEGORIA],despesafixaconsolidadomar[[#This Row],[DESPESA FIXA]])</f>
        <v>0</v>
      </c>
      <c r="Y41" s="91">
        <f>SUMIFS(tabela_registros[VALOR],tabela_registros[MÊS],$AE$1,tabela_registros[DIA],martotal3059[[#Headers],[21]],tabela_registros[REGISTRO],DADOS!$N$4,tabela_registros[TIPO],DADOS!$P$3,tabela_registros[CATEGORIA],despesafixaconsolidadomar[[#This Row],[DESPESA FIXA]])</f>
        <v>0</v>
      </c>
      <c r="Z41" s="91">
        <f>SUMIFS(tabela_registros[VALOR],tabela_registros[MÊS],$AE$1,tabela_registros[DIA],martotal3059[[#Headers],[22]],tabela_registros[REGISTRO],DADOS!$N$4,tabela_registros[TIPO],DADOS!$P$3,tabela_registros[CATEGORIA],despesafixaconsolidadomar[[#This Row],[DESPESA FIXA]])</f>
        <v>0</v>
      </c>
      <c r="AA41" s="91">
        <f>SUMIFS(tabela_registros[VALOR],tabela_registros[MÊS],$AE$1,tabela_registros[DIA],martotal3059[[#Headers],[23]],tabela_registros[REGISTRO],DADOS!$N$4,tabela_registros[TIPO],DADOS!$P$3,tabela_registros[CATEGORIA],despesafixaconsolidadomar[[#This Row],[DESPESA FIXA]])</f>
        <v>0</v>
      </c>
      <c r="AB41" s="91">
        <f>SUMIFS(tabela_registros[VALOR],tabela_registros[MÊS],$AE$1,tabela_registros[DIA],martotal3059[[#Headers],[24]],tabela_registros[REGISTRO],DADOS!$N$4,tabela_registros[TIPO],DADOS!$P$3,tabela_registros[CATEGORIA],despesafixaconsolidadomar[[#This Row],[DESPESA FIXA]])</f>
        <v>0</v>
      </c>
      <c r="AC41" s="91">
        <f>SUMIFS(tabela_registros[VALOR],tabela_registros[MÊS],$AE$1,tabela_registros[DIA],martotal3059[[#Headers],[25]],tabela_registros[REGISTRO],DADOS!$N$4,tabela_registros[TIPO],DADOS!$P$3,tabela_registros[CATEGORIA],despesafixaconsolidadomar[[#This Row],[DESPESA FIXA]])</f>
        <v>0</v>
      </c>
      <c r="AD41" s="91">
        <f>SUMIFS(tabela_registros[VALOR],tabela_registros[MÊS],$AE$1,tabela_registros[DIA],martotal3059[[#Headers],[26]],tabela_registros[REGISTRO],DADOS!$N$4,tabela_registros[TIPO],DADOS!$P$3,tabela_registros[CATEGORIA],despesafixaconsolidadomar[[#This Row],[DESPESA FIXA]])</f>
        <v>0</v>
      </c>
      <c r="AE41" s="91">
        <f>SUMIFS(tabela_registros[VALOR],tabela_registros[MÊS],$AE$1,tabela_registros[DIA],martotal3059[[#Headers],[27]],tabela_registros[REGISTRO],DADOS!$N$4,tabela_registros[TIPO],DADOS!$P$3,tabela_registros[CATEGORIA],despesafixaconsolidadomar[[#This Row],[DESPESA FIXA]])</f>
        <v>0</v>
      </c>
      <c r="AF41" s="91">
        <f>SUMIFS(tabela_registros[VALOR],tabela_registros[MÊS],$AE$1,tabela_registros[DIA],martotal3059[[#Headers],[28]],tabela_registros[REGISTRO],DADOS!$N$4,tabela_registros[TIPO],DADOS!$P$3,tabela_registros[CATEGORIA],despesafixaconsolidadomar[[#This Row],[DESPESA FIXA]])</f>
        <v>0</v>
      </c>
      <c r="AG41" s="91">
        <f>SUMIFS(tabela_registros[VALOR],tabela_registros[MÊS],$AE$1,tabela_registros[DIA],martotal3059[[#Headers],[29]],tabela_registros[REGISTRO],DADOS!$N$4,tabela_registros[TIPO],DADOS!$P$3,tabela_registros[CATEGORIA],despesafixaconsolidadomar[[#This Row],[DESPESA FIXA]])</f>
        <v>0</v>
      </c>
      <c r="AH41" s="91">
        <f>SUMIFS(tabela_registros[VALOR],tabela_registros[MÊS],$AE$1,tabela_registros[DIA],martotal3059[[#Headers],[30]],tabela_registros[REGISTRO],DADOS!$N$4,tabela_registros[TIPO],DADOS!$P$3,tabela_registros[CATEGORIA],despesafixaconsolidadomar[[#This Row],[DESPESA FIXA]])</f>
        <v>0</v>
      </c>
      <c r="AI41" s="101">
        <f>SUMIFS(tabela_registros[VALOR],tabela_registros[MÊS],$AE$1,tabela_registros[DIA],martotal3059[[#Headers],[31]],tabela_registros[REGISTRO],DADOS!$N$4,tabela_registros[TIPO],DADOS!$P$3,tabela_registros[CATEGORIA],despesafixaconsolidadomar[[#This Row],[DESPESA FIXA]])</f>
        <v>0</v>
      </c>
      <c r="AJ41" s="97">
        <f>SUM(despesafixaconsolidadomar[[#This Row],[1]:[31]])</f>
        <v>0</v>
      </c>
      <c r="AK41" s="28"/>
    </row>
    <row r="42" spans="2:37" ht="18" customHeight="1" thickTop="1" thickBot="1" x14ac:dyDescent="0.3">
      <c r="B42" s="28"/>
      <c r="C42" s="27" t="str">
        <f>DADOS!$R$8</f>
        <v>🏦 EMPRÉSTIMO</v>
      </c>
      <c r="D42" s="26" t="str">
        <f>IF(despesafixaconsolidadomar[[#This Row],[TOTAL]]=0,"",IF(OR(despesafixaconsolidadomar[[#This Row],[TOTAL]]=LARGE($AJ$37:$AJ$50,1),despesafixaconsolidadomar[[#This Row],[TOTAL]]=LARGE($AJ$37:$AJ$50,2),despesafixaconsolidadomar[[#This Row],[TOTAL]]=LARGE($AJ$37:$AJ$50,3),despesafixaconsolidadomar[[#This Row],[TOTAL]]=LARGE($AJ$37:$AJ$50,4),despesafixaconsolidadomar[[#This Row],[TOTAL]]=LARGE($AJ$37:$AJ$50,5)),DADOS!$I$8,""))</f>
        <v/>
      </c>
      <c r="E42" s="96">
        <f>SUMIFS(tabela_registros[VALOR],tabela_registros[MÊS],$AE$1,tabela_registros[DIA],martotal3059[[#Headers],[1]],tabela_registros[REGISTRO],DADOS!$N$4,tabela_registros[TIPO],DADOS!$P$3,tabela_registros[CATEGORIA],despesafixaconsolidadomar[[#This Row],[DESPESA FIXA]])</f>
        <v>0</v>
      </c>
      <c r="F42" s="91">
        <f>SUMIFS(tabela_registros[VALOR],tabela_registros[MÊS],$AE$1,tabela_registros[DIA],martotal3059[[#Headers],[2]],tabela_registros[REGISTRO],DADOS!$N$4,tabela_registros[TIPO],DADOS!$P$3,tabela_registros[CATEGORIA],despesafixaconsolidadomar[[#This Row],[DESPESA FIXA]])</f>
        <v>0</v>
      </c>
      <c r="G42" s="91">
        <f>SUMIFS(tabela_registros[VALOR],tabela_registros[MÊS],$AE$1,tabela_registros[DIA],martotal3059[[#Headers],[3]],tabela_registros[REGISTRO],DADOS!$N$4,tabela_registros[TIPO],DADOS!$P$3,tabela_registros[CATEGORIA],despesafixaconsolidadomar[[#This Row],[DESPESA FIXA]])</f>
        <v>0</v>
      </c>
      <c r="H42" s="91">
        <f>SUMIFS(tabela_registros[VALOR],tabela_registros[MÊS],$AE$1,tabela_registros[DIA],martotal3059[[#Headers],[4]],tabela_registros[REGISTRO],DADOS!$N$4,tabela_registros[TIPO],DADOS!$P$3,tabela_registros[CATEGORIA],despesafixaconsolidadomar[[#This Row],[DESPESA FIXA]])</f>
        <v>0</v>
      </c>
      <c r="I42" s="91">
        <f>SUMIFS(tabela_registros[VALOR],tabela_registros[MÊS],$AE$1,tabela_registros[DIA],martotal3059[[#Headers],[5]],tabela_registros[REGISTRO],DADOS!$N$4,tabela_registros[TIPO],DADOS!$P$3,tabela_registros[CATEGORIA],despesafixaconsolidadomar[[#This Row],[DESPESA FIXA]])</f>
        <v>0</v>
      </c>
      <c r="J42" s="91">
        <f>SUMIFS(tabela_registros[VALOR],tabela_registros[MÊS],$AE$1,tabela_registros[DIA],martotal3059[[#Headers],[6]],tabela_registros[REGISTRO],DADOS!$N$4,tabela_registros[TIPO],DADOS!$P$3,tabela_registros[CATEGORIA],despesafixaconsolidadomar[[#This Row],[DESPESA FIXA]])</f>
        <v>0</v>
      </c>
      <c r="K42" s="91">
        <f>SUMIFS(tabela_registros[VALOR],tabela_registros[MÊS],$AE$1,tabela_registros[DIA],martotal3059[[#Headers],[7]],tabela_registros[REGISTRO],DADOS!$N$4,tabela_registros[TIPO],DADOS!$P$3,tabela_registros[CATEGORIA],despesafixaconsolidadomar[[#This Row],[DESPESA FIXA]])</f>
        <v>0</v>
      </c>
      <c r="L42" s="91">
        <f>SUMIFS(tabela_registros[VALOR],tabela_registros[MÊS],$AE$1,tabela_registros[DIA],martotal3059[[#Headers],[8]],tabela_registros[REGISTRO],DADOS!$N$4,tabela_registros[TIPO],DADOS!$P$3,tabela_registros[CATEGORIA],despesafixaconsolidadomar[[#This Row],[DESPESA FIXA]])</f>
        <v>0</v>
      </c>
      <c r="M42" s="91">
        <f>SUMIFS(tabela_registros[VALOR],tabela_registros[MÊS],$AE$1,tabela_registros[DIA],martotal3059[[#Headers],[9]],tabela_registros[REGISTRO],DADOS!$N$4,tabela_registros[TIPO],DADOS!$P$3,tabela_registros[CATEGORIA],despesafixaconsolidadomar[[#This Row],[DESPESA FIXA]])</f>
        <v>0</v>
      </c>
      <c r="N42" s="91">
        <f>SUMIFS(tabela_registros[VALOR],tabela_registros[MÊS],$AE$1,tabela_registros[DIA],martotal3059[[#Headers],[10]],tabela_registros[REGISTRO],DADOS!$N$4,tabela_registros[TIPO],DADOS!$P$3,tabela_registros[CATEGORIA],despesafixaconsolidadomar[[#This Row],[DESPESA FIXA]])</f>
        <v>0</v>
      </c>
      <c r="O42" s="91">
        <f>SUMIFS(tabela_registros[VALOR],tabela_registros[MÊS],$AE$1,tabela_registros[DIA],martotal3059[[#Headers],[11]],tabela_registros[REGISTRO],DADOS!$N$4,tabela_registros[TIPO],DADOS!$P$3,tabela_registros[CATEGORIA],despesafixaconsolidadomar[[#This Row],[DESPESA FIXA]])</f>
        <v>0</v>
      </c>
      <c r="P42" s="91">
        <f>SUMIFS(tabela_registros[VALOR],tabela_registros[MÊS],$AE$1,tabela_registros[DIA],martotal3059[[#Headers],[12]],tabela_registros[REGISTRO],DADOS!$N$4,tabela_registros[TIPO],DADOS!$P$3,tabela_registros[CATEGORIA],despesafixaconsolidadomar[[#This Row],[DESPESA FIXA]])</f>
        <v>0</v>
      </c>
      <c r="Q42" s="91">
        <f>SUMIFS(tabela_registros[VALOR],tabela_registros[MÊS],$AE$1,tabela_registros[DIA],martotal3059[[#Headers],[13]],tabela_registros[REGISTRO],DADOS!$N$4,tabela_registros[TIPO],DADOS!$P$3,tabela_registros[CATEGORIA],despesafixaconsolidadomar[[#This Row],[DESPESA FIXA]])</f>
        <v>0</v>
      </c>
      <c r="R42" s="91">
        <f>SUMIFS(tabela_registros[VALOR],tabela_registros[MÊS],$AE$1,tabela_registros[DIA],martotal3059[[#Headers],[14]],tabela_registros[REGISTRO],DADOS!$N$4,tabela_registros[TIPO],DADOS!$P$3,tabela_registros[CATEGORIA],despesafixaconsolidadomar[[#This Row],[DESPESA FIXA]])</f>
        <v>0</v>
      </c>
      <c r="S42" s="91">
        <f>SUMIFS(tabela_registros[VALOR],tabela_registros[MÊS],$AE$1,tabela_registros[DIA],martotal3059[[#Headers],[15]],tabela_registros[REGISTRO],DADOS!$N$4,tabela_registros[TIPO],DADOS!$P$3,tabela_registros[CATEGORIA],despesafixaconsolidadomar[[#This Row],[DESPESA FIXA]])</f>
        <v>0</v>
      </c>
      <c r="T42" s="91">
        <f>SUMIFS(tabela_registros[VALOR],tabela_registros[MÊS],$AE$1,tabela_registros[DIA],martotal3059[[#Headers],[16]],tabela_registros[REGISTRO],DADOS!$N$4,tabela_registros[TIPO],DADOS!$P$3,tabela_registros[CATEGORIA],despesafixaconsolidadomar[[#This Row],[DESPESA FIXA]])</f>
        <v>0</v>
      </c>
      <c r="U42" s="91">
        <f>SUMIFS(tabela_registros[VALOR],tabela_registros[MÊS],$AE$1,tabela_registros[DIA],martotal3059[[#Headers],[17]],tabela_registros[REGISTRO],DADOS!$N$4,tabela_registros[TIPO],DADOS!$P$3,tabela_registros[CATEGORIA],despesafixaconsolidadomar[[#This Row],[DESPESA FIXA]])</f>
        <v>0</v>
      </c>
      <c r="V42" s="91">
        <f>SUMIFS(tabela_registros[VALOR],tabela_registros[MÊS],$AE$1,tabela_registros[DIA],martotal3059[[#Headers],[18]],tabela_registros[REGISTRO],DADOS!$N$4,tabela_registros[TIPO],DADOS!$P$3,tabela_registros[CATEGORIA],despesafixaconsolidadomar[[#This Row],[DESPESA FIXA]])</f>
        <v>0</v>
      </c>
      <c r="W42" s="91">
        <f>SUMIFS(tabela_registros[VALOR],tabela_registros[MÊS],$AE$1,tabela_registros[DIA],martotal3059[[#Headers],[19]],tabela_registros[REGISTRO],DADOS!$N$4,tabela_registros[TIPO],DADOS!$P$3,tabela_registros[CATEGORIA],despesafixaconsolidadomar[[#This Row],[DESPESA FIXA]])</f>
        <v>0</v>
      </c>
      <c r="X42" s="91">
        <f>SUMIFS(tabela_registros[VALOR],tabela_registros[MÊS],$AE$1,tabela_registros[DIA],martotal3059[[#Headers],[20]],tabela_registros[REGISTRO],DADOS!$N$4,tabela_registros[TIPO],DADOS!$P$3,tabela_registros[CATEGORIA],despesafixaconsolidadomar[[#This Row],[DESPESA FIXA]])</f>
        <v>0</v>
      </c>
      <c r="Y42" s="91">
        <f>SUMIFS(tabela_registros[VALOR],tabela_registros[MÊS],$AE$1,tabela_registros[DIA],martotal3059[[#Headers],[21]],tabela_registros[REGISTRO],DADOS!$N$4,tabela_registros[TIPO],DADOS!$P$3,tabela_registros[CATEGORIA],despesafixaconsolidadomar[[#This Row],[DESPESA FIXA]])</f>
        <v>0</v>
      </c>
      <c r="Z42" s="91">
        <f>SUMIFS(tabela_registros[VALOR],tabela_registros[MÊS],$AE$1,tabela_registros[DIA],martotal3059[[#Headers],[22]],tabela_registros[REGISTRO],DADOS!$N$4,tabela_registros[TIPO],DADOS!$P$3,tabela_registros[CATEGORIA],despesafixaconsolidadomar[[#This Row],[DESPESA FIXA]])</f>
        <v>0</v>
      </c>
      <c r="AA42" s="91">
        <f>SUMIFS(tabela_registros[VALOR],tabela_registros[MÊS],$AE$1,tabela_registros[DIA],martotal3059[[#Headers],[23]],tabela_registros[REGISTRO],DADOS!$N$4,tabela_registros[TIPO],DADOS!$P$3,tabela_registros[CATEGORIA],despesafixaconsolidadomar[[#This Row],[DESPESA FIXA]])</f>
        <v>0</v>
      </c>
      <c r="AB42" s="91">
        <f>SUMIFS(tabela_registros[VALOR],tabela_registros[MÊS],$AE$1,tabela_registros[DIA],martotal3059[[#Headers],[24]],tabela_registros[REGISTRO],DADOS!$N$4,tabela_registros[TIPO],DADOS!$P$3,tabela_registros[CATEGORIA],despesafixaconsolidadomar[[#This Row],[DESPESA FIXA]])</f>
        <v>0</v>
      </c>
      <c r="AC42" s="91">
        <f>SUMIFS(tabela_registros[VALOR],tabela_registros[MÊS],$AE$1,tabela_registros[DIA],martotal3059[[#Headers],[25]],tabela_registros[REGISTRO],DADOS!$N$4,tabela_registros[TIPO],DADOS!$P$3,tabela_registros[CATEGORIA],despesafixaconsolidadomar[[#This Row],[DESPESA FIXA]])</f>
        <v>0</v>
      </c>
      <c r="AD42" s="91">
        <f>SUMIFS(tabela_registros[VALOR],tabela_registros[MÊS],$AE$1,tabela_registros[DIA],martotal3059[[#Headers],[26]],tabela_registros[REGISTRO],DADOS!$N$4,tabela_registros[TIPO],DADOS!$P$3,tabela_registros[CATEGORIA],despesafixaconsolidadomar[[#This Row],[DESPESA FIXA]])</f>
        <v>0</v>
      </c>
      <c r="AE42" s="91">
        <f>SUMIFS(tabela_registros[VALOR],tabela_registros[MÊS],$AE$1,tabela_registros[DIA],martotal3059[[#Headers],[27]],tabela_registros[REGISTRO],DADOS!$N$4,tabela_registros[TIPO],DADOS!$P$3,tabela_registros[CATEGORIA],despesafixaconsolidadomar[[#This Row],[DESPESA FIXA]])</f>
        <v>0</v>
      </c>
      <c r="AF42" s="91">
        <f>SUMIFS(tabela_registros[VALOR],tabela_registros[MÊS],$AE$1,tabela_registros[DIA],martotal3059[[#Headers],[28]],tabela_registros[REGISTRO],DADOS!$N$4,tabela_registros[TIPO],DADOS!$P$3,tabela_registros[CATEGORIA],despesafixaconsolidadomar[[#This Row],[DESPESA FIXA]])</f>
        <v>0</v>
      </c>
      <c r="AG42" s="91">
        <f>SUMIFS(tabela_registros[VALOR],tabela_registros[MÊS],$AE$1,tabela_registros[DIA],martotal3059[[#Headers],[29]],tabela_registros[REGISTRO],DADOS!$N$4,tabela_registros[TIPO],DADOS!$P$3,tabela_registros[CATEGORIA],despesafixaconsolidadomar[[#This Row],[DESPESA FIXA]])</f>
        <v>0</v>
      </c>
      <c r="AH42" s="91">
        <f>SUMIFS(tabela_registros[VALOR],tabela_registros[MÊS],$AE$1,tabela_registros[DIA],martotal3059[[#Headers],[30]],tabela_registros[REGISTRO],DADOS!$N$4,tabela_registros[TIPO],DADOS!$P$3,tabela_registros[CATEGORIA],despesafixaconsolidadomar[[#This Row],[DESPESA FIXA]])</f>
        <v>0</v>
      </c>
      <c r="AI42" s="101">
        <f>SUMIFS(tabela_registros[VALOR],tabela_registros[MÊS],$AE$1,tabela_registros[DIA],martotal3059[[#Headers],[31]],tabela_registros[REGISTRO],DADOS!$N$4,tabela_registros[TIPO],DADOS!$P$3,tabela_registros[CATEGORIA],despesafixaconsolidadomar[[#This Row],[DESPESA FIXA]])</f>
        <v>0</v>
      </c>
      <c r="AJ42" s="97">
        <f>SUM(despesafixaconsolidadomar[[#This Row],[1]:[31]])</f>
        <v>0</v>
      </c>
      <c r="AK42" s="28"/>
    </row>
    <row r="43" spans="2:37" ht="18" customHeight="1" thickTop="1" thickBot="1" x14ac:dyDescent="0.3">
      <c r="B43" s="28"/>
      <c r="C43" s="27" t="str">
        <f>DADOS!$R$9</f>
        <v>💡 ENERGIA</v>
      </c>
      <c r="D43" s="26" t="str">
        <f>IF(despesafixaconsolidadomar[[#This Row],[TOTAL]]=0,"",IF(OR(despesafixaconsolidadomar[[#This Row],[TOTAL]]=LARGE($AJ$37:$AJ$50,1),despesafixaconsolidadomar[[#This Row],[TOTAL]]=LARGE($AJ$37:$AJ$50,2),despesafixaconsolidadomar[[#This Row],[TOTAL]]=LARGE($AJ$37:$AJ$50,3),despesafixaconsolidadomar[[#This Row],[TOTAL]]=LARGE($AJ$37:$AJ$50,4),despesafixaconsolidadomar[[#This Row],[TOTAL]]=LARGE($AJ$37:$AJ$50,5)),DADOS!$I$8,""))</f>
        <v/>
      </c>
      <c r="E43" s="96">
        <f>SUMIFS(tabela_registros[VALOR],tabela_registros[MÊS],$AE$1,tabela_registros[DIA],martotal3059[[#Headers],[1]],tabela_registros[REGISTRO],DADOS!$N$4,tabela_registros[TIPO],DADOS!$P$3,tabela_registros[CATEGORIA],despesafixaconsolidadomar[[#This Row],[DESPESA FIXA]])</f>
        <v>0</v>
      </c>
      <c r="F43" s="91">
        <f>SUMIFS(tabela_registros[VALOR],tabela_registros[MÊS],$AE$1,tabela_registros[DIA],martotal3059[[#Headers],[2]],tabela_registros[REGISTRO],DADOS!$N$4,tabela_registros[TIPO],DADOS!$P$3,tabela_registros[CATEGORIA],despesafixaconsolidadomar[[#This Row],[DESPESA FIXA]])</f>
        <v>0</v>
      </c>
      <c r="G43" s="91">
        <f>SUMIFS(tabela_registros[VALOR],tabela_registros[MÊS],$AE$1,tabela_registros[DIA],martotal3059[[#Headers],[3]],tabela_registros[REGISTRO],DADOS!$N$4,tabela_registros[TIPO],DADOS!$P$3,tabela_registros[CATEGORIA],despesafixaconsolidadomar[[#This Row],[DESPESA FIXA]])</f>
        <v>0</v>
      </c>
      <c r="H43" s="91">
        <f>SUMIFS(tabela_registros[VALOR],tabela_registros[MÊS],$AE$1,tabela_registros[DIA],martotal3059[[#Headers],[4]],tabela_registros[REGISTRO],DADOS!$N$4,tabela_registros[TIPO],DADOS!$P$3,tabela_registros[CATEGORIA],despesafixaconsolidadomar[[#This Row],[DESPESA FIXA]])</f>
        <v>0</v>
      </c>
      <c r="I43" s="91">
        <f>SUMIFS(tabela_registros[VALOR],tabela_registros[MÊS],$AE$1,tabela_registros[DIA],martotal3059[[#Headers],[5]],tabela_registros[REGISTRO],DADOS!$N$4,tabela_registros[TIPO],DADOS!$P$3,tabela_registros[CATEGORIA],despesafixaconsolidadomar[[#This Row],[DESPESA FIXA]])</f>
        <v>0</v>
      </c>
      <c r="J43" s="91">
        <f>SUMIFS(tabela_registros[VALOR],tabela_registros[MÊS],$AE$1,tabela_registros[DIA],martotal3059[[#Headers],[6]],tabela_registros[REGISTRO],DADOS!$N$4,tabela_registros[TIPO],DADOS!$P$3,tabela_registros[CATEGORIA],despesafixaconsolidadomar[[#This Row],[DESPESA FIXA]])</f>
        <v>0</v>
      </c>
      <c r="K43" s="91">
        <f>SUMIFS(tabela_registros[VALOR],tabela_registros[MÊS],$AE$1,tabela_registros[DIA],martotal3059[[#Headers],[7]],tabela_registros[REGISTRO],DADOS!$N$4,tabela_registros[TIPO],DADOS!$P$3,tabela_registros[CATEGORIA],despesafixaconsolidadomar[[#This Row],[DESPESA FIXA]])</f>
        <v>0</v>
      </c>
      <c r="L43" s="91">
        <f>SUMIFS(tabela_registros[VALOR],tabela_registros[MÊS],$AE$1,tabela_registros[DIA],martotal3059[[#Headers],[8]],tabela_registros[REGISTRO],DADOS!$N$4,tabela_registros[TIPO],DADOS!$P$3,tabela_registros[CATEGORIA],despesafixaconsolidadomar[[#This Row],[DESPESA FIXA]])</f>
        <v>0</v>
      </c>
      <c r="M43" s="91">
        <f>SUMIFS(tabela_registros[VALOR],tabela_registros[MÊS],$AE$1,tabela_registros[DIA],martotal3059[[#Headers],[9]],tabela_registros[REGISTRO],DADOS!$N$4,tabela_registros[TIPO],DADOS!$P$3,tabela_registros[CATEGORIA],despesafixaconsolidadomar[[#This Row],[DESPESA FIXA]])</f>
        <v>0</v>
      </c>
      <c r="N43" s="91">
        <f>SUMIFS(tabela_registros[VALOR],tabela_registros[MÊS],$AE$1,tabela_registros[DIA],martotal3059[[#Headers],[10]],tabela_registros[REGISTRO],DADOS!$N$4,tabela_registros[TIPO],DADOS!$P$3,tabela_registros[CATEGORIA],despesafixaconsolidadomar[[#This Row],[DESPESA FIXA]])</f>
        <v>0</v>
      </c>
      <c r="O43" s="91">
        <f>SUMIFS(tabela_registros[VALOR],tabela_registros[MÊS],$AE$1,tabela_registros[DIA],martotal3059[[#Headers],[11]],tabela_registros[REGISTRO],DADOS!$N$4,tabela_registros[TIPO],DADOS!$P$3,tabela_registros[CATEGORIA],despesafixaconsolidadomar[[#This Row],[DESPESA FIXA]])</f>
        <v>0</v>
      </c>
      <c r="P43" s="91">
        <f>SUMIFS(tabela_registros[VALOR],tabela_registros[MÊS],$AE$1,tabela_registros[DIA],martotal3059[[#Headers],[12]],tabela_registros[REGISTRO],DADOS!$N$4,tabela_registros[TIPO],DADOS!$P$3,tabela_registros[CATEGORIA],despesafixaconsolidadomar[[#This Row],[DESPESA FIXA]])</f>
        <v>0</v>
      </c>
      <c r="Q43" s="91">
        <f>SUMIFS(tabela_registros[VALOR],tabela_registros[MÊS],$AE$1,tabela_registros[DIA],martotal3059[[#Headers],[13]],tabela_registros[REGISTRO],DADOS!$N$4,tabela_registros[TIPO],DADOS!$P$3,tabela_registros[CATEGORIA],despesafixaconsolidadomar[[#This Row],[DESPESA FIXA]])</f>
        <v>0</v>
      </c>
      <c r="R43" s="91">
        <f>SUMIFS(tabela_registros[VALOR],tabela_registros[MÊS],$AE$1,tabela_registros[DIA],martotal3059[[#Headers],[14]],tabela_registros[REGISTRO],DADOS!$N$4,tabela_registros[TIPO],DADOS!$P$3,tabela_registros[CATEGORIA],despesafixaconsolidadomar[[#This Row],[DESPESA FIXA]])</f>
        <v>0</v>
      </c>
      <c r="S43" s="91">
        <f>SUMIFS(tabela_registros[VALOR],tabela_registros[MÊS],$AE$1,tabela_registros[DIA],martotal3059[[#Headers],[15]],tabela_registros[REGISTRO],DADOS!$N$4,tabela_registros[TIPO],DADOS!$P$3,tabela_registros[CATEGORIA],despesafixaconsolidadomar[[#This Row],[DESPESA FIXA]])</f>
        <v>0</v>
      </c>
      <c r="T43" s="91">
        <f>SUMIFS(tabela_registros[VALOR],tabela_registros[MÊS],$AE$1,tabela_registros[DIA],martotal3059[[#Headers],[16]],tabela_registros[REGISTRO],DADOS!$N$4,tabela_registros[TIPO],DADOS!$P$3,tabela_registros[CATEGORIA],despesafixaconsolidadomar[[#This Row],[DESPESA FIXA]])</f>
        <v>0</v>
      </c>
      <c r="U43" s="91">
        <f>SUMIFS(tabela_registros[VALOR],tabela_registros[MÊS],$AE$1,tabela_registros[DIA],martotal3059[[#Headers],[17]],tabela_registros[REGISTRO],DADOS!$N$4,tabela_registros[TIPO],DADOS!$P$3,tabela_registros[CATEGORIA],despesafixaconsolidadomar[[#This Row],[DESPESA FIXA]])</f>
        <v>0</v>
      </c>
      <c r="V43" s="91">
        <f>SUMIFS(tabela_registros[VALOR],tabela_registros[MÊS],$AE$1,tabela_registros[DIA],martotal3059[[#Headers],[18]],tabela_registros[REGISTRO],DADOS!$N$4,tabela_registros[TIPO],DADOS!$P$3,tabela_registros[CATEGORIA],despesafixaconsolidadomar[[#This Row],[DESPESA FIXA]])</f>
        <v>0</v>
      </c>
      <c r="W43" s="91">
        <f>SUMIFS(tabela_registros[VALOR],tabela_registros[MÊS],$AE$1,tabela_registros[DIA],martotal3059[[#Headers],[19]],tabela_registros[REGISTRO],DADOS!$N$4,tabela_registros[TIPO],DADOS!$P$3,tabela_registros[CATEGORIA],despesafixaconsolidadomar[[#This Row],[DESPESA FIXA]])</f>
        <v>0</v>
      </c>
      <c r="X43" s="91">
        <f>SUMIFS(tabela_registros[VALOR],tabela_registros[MÊS],$AE$1,tabela_registros[DIA],martotal3059[[#Headers],[20]],tabela_registros[REGISTRO],DADOS!$N$4,tabela_registros[TIPO],DADOS!$P$3,tabela_registros[CATEGORIA],despesafixaconsolidadomar[[#This Row],[DESPESA FIXA]])</f>
        <v>0</v>
      </c>
      <c r="Y43" s="91">
        <f>SUMIFS(tabela_registros[VALOR],tabela_registros[MÊS],$AE$1,tabela_registros[DIA],martotal3059[[#Headers],[21]],tabela_registros[REGISTRO],DADOS!$N$4,tabela_registros[TIPO],DADOS!$P$3,tabela_registros[CATEGORIA],despesafixaconsolidadomar[[#This Row],[DESPESA FIXA]])</f>
        <v>0</v>
      </c>
      <c r="Z43" s="91">
        <f>SUMIFS(tabela_registros[VALOR],tabela_registros[MÊS],$AE$1,tabela_registros[DIA],martotal3059[[#Headers],[22]],tabela_registros[REGISTRO],DADOS!$N$4,tabela_registros[TIPO],DADOS!$P$3,tabela_registros[CATEGORIA],despesafixaconsolidadomar[[#This Row],[DESPESA FIXA]])</f>
        <v>0</v>
      </c>
      <c r="AA43" s="91">
        <f>SUMIFS(tabela_registros[VALOR],tabela_registros[MÊS],$AE$1,tabela_registros[DIA],martotal3059[[#Headers],[23]],tabela_registros[REGISTRO],DADOS!$N$4,tabela_registros[TIPO],DADOS!$P$3,tabela_registros[CATEGORIA],despesafixaconsolidadomar[[#This Row],[DESPESA FIXA]])</f>
        <v>0</v>
      </c>
      <c r="AB43" s="91">
        <f>SUMIFS(tabela_registros[VALOR],tabela_registros[MÊS],$AE$1,tabela_registros[DIA],martotal3059[[#Headers],[24]],tabela_registros[REGISTRO],DADOS!$N$4,tabela_registros[TIPO],DADOS!$P$3,tabela_registros[CATEGORIA],despesafixaconsolidadomar[[#This Row],[DESPESA FIXA]])</f>
        <v>0</v>
      </c>
      <c r="AC43" s="91">
        <f>SUMIFS(tabela_registros[VALOR],tabela_registros[MÊS],$AE$1,tabela_registros[DIA],martotal3059[[#Headers],[25]],tabela_registros[REGISTRO],DADOS!$N$4,tabela_registros[TIPO],DADOS!$P$3,tabela_registros[CATEGORIA],despesafixaconsolidadomar[[#This Row],[DESPESA FIXA]])</f>
        <v>0</v>
      </c>
      <c r="AD43" s="91">
        <f>SUMIFS(tabela_registros[VALOR],tabela_registros[MÊS],$AE$1,tabela_registros[DIA],martotal3059[[#Headers],[26]],tabela_registros[REGISTRO],DADOS!$N$4,tabela_registros[TIPO],DADOS!$P$3,tabela_registros[CATEGORIA],despesafixaconsolidadomar[[#This Row],[DESPESA FIXA]])</f>
        <v>0</v>
      </c>
      <c r="AE43" s="91">
        <f>SUMIFS(tabela_registros[VALOR],tabela_registros[MÊS],$AE$1,tabela_registros[DIA],martotal3059[[#Headers],[27]],tabela_registros[REGISTRO],DADOS!$N$4,tabela_registros[TIPO],DADOS!$P$3,tabela_registros[CATEGORIA],despesafixaconsolidadomar[[#This Row],[DESPESA FIXA]])</f>
        <v>0</v>
      </c>
      <c r="AF43" s="91">
        <f>SUMIFS(tabela_registros[VALOR],tabela_registros[MÊS],$AE$1,tabela_registros[DIA],martotal3059[[#Headers],[28]],tabela_registros[REGISTRO],DADOS!$N$4,tabela_registros[TIPO],DADOS!$P$3,tabela_registros[CATEGORIA],despesafixaconsolidadomar[[#This Row],[DESPESA FIXA]])</f>
        <v>0</v>
      </c>
      <c r="AG43" s="91">
        <f>SUMIFS(tabela_registros[VALOR],tabela_registros[MÊS],$AE$1,tabela_registros[DIA],martotal3059[[#Headers],[29]],tabela_registros[REGISTRO],DADOS!$N$4,tabela_registros[TIPO],DADOS!$P$3,tabela_registros[CATEGORIA],despesafixaconsolidadomar[[#This Row],[DESPESA FIXA]])</f>
        <v>0</v>
      </c>
      <c r="AH43" s="91">
        <f>SUMIFS(tabela_registros[VALOR],tabela_registros[MÊS],$AE$1,tabela_registros[DIA],martotal3059[[#Headers],[30]],tabela_registros[REGISTRO],DADOS!$N$4,tabela_registros[TIPO],DADOS!$P$3,tabela_registros[CATEGORIA],despesafixaconsolidadomar[[#This Row],[DESPESA FIXA]])</f>
        <v>0</v>
      </c>
      <c r="AI43" s="101">
        <f>SUMIFS(tabela_registros[VALOR],tabela_registros[MÊS],$AE$1,tabela_registros[DIA],martotal3059[[#Headers],[31]],tabela_registros[REGISTRO],DADOS!$N$4,tabela_registros[TIPO],DADOS!$P$3,tabela_registros[CATEGORIA],despesafixaconsolidadomar[[#This Row],[DESPESA FIXA]])</f>
        <v>0</v>
      </c>
      <c r="AJ43" s="97">
        <f>SUM(despesafixaconsolidadomar[[#This Row],[1]:[31]])</f>
        <v>0</v>
      </c>
      <c r="AK43" s="28"/>
    </row>
    <row r="44" spans="2:37" ht="18" customHeight="1" thickTop="1" thickBot="1" x14ac:dyDescent="0.3">
      <c r="B44" s="28"/>
      <c r="C44" s="27" t="str">
        <f>DADOS!$R$10</f>
        <v>👨‍👩‍👧 FAMÍLIA</v>
      </c>
      <c r="D44" s="26" t="str">
        <f>IF(despesafixaconsolidadomar[[#This Row],[TOTAL]]=0,"",IF(OR(despesafixaconsolidadomar[[#This Row],[TOTAL]]=LARGE($AJ$37:$AJ$50,1),despesafixaconsolidadomar[[#This Row],[TOTAL]]=LARGE($AJ$37:$AJ$50,2),despesafixaconsolidadomar[[#This Row],[TOTAL]]=LARGE($AJ$37:$AJ$50,3),despesafixaconsolidadomar[[#This Row],[TOTAL]]=LARGE($AJ$37:$AJ$50,4),despesafixaconsolidadomar[[#This Row],[TOTAL]]=LARGE($AJ$37:$AJ$50,5)),DADOS!$I$8,""))</f>
        <v/>
      </c>
      <c r="E44" s="96">
        <f>SUMIFS(tabela_registros[VALOR],tabela_registros[MÊS],$AE$1,tabela_registros[DIA],martotal3059[[#Headers],[1]],tabela_registros[REGISTRO],DADOS!$N$4,tabela_registros[TIPO],DADOS!$P$3,tabela_registros[CATEGORIA],despesafixaconsolidadomar[[#This Row],[DESPESA FIXA]])</f>
        <v>0</v>
      </c>
      <c r="F44" s="91">
        <f>SUMIFS(tabela_registros[VALOR],tabela_registros[MÊS],$AE$1,tabela_registros[DIA],martotal3059[[#Headers],[2]],tabela_registros[REGISTRO],DADOS!$N$4,tabela_registros[TIPO],DADOS!$P$3,tabela_registros[CATEGORIA],despesafixaconsolidadomar[[#This Row],[DESPESA FIXA]])</f>
        <v>0</v>
      </c>
      <c r="G44" s="91">
        <f>SUMIFS(tabela_registros[VALOR],tabela_registros[MÊS],$AE$1,tabela_registros[DIA],martotal3059[[#Headers],[3]],tabela_registros[REGISTRO],DADOS!$N$4,tabela_registros[TIPO],DADOS!$P$3,tabela_registros[CATEGORIA],despesafixaconsolidadomar[[#This Row],[DESPESA FIXA]])</f>
        <v>0</v>
      </c>
      <c r="H44" s="91">
        <f>SUMIFS(tabela_registros[VALOR],tabela_registros[MÊS],$AE$1,tabela_registros[DIA],martotal3059[[#Headers],[4]],tabela_registros[REGISTRO],DADOS!$N$4,tabela_registros[TIPO],DADOS!$P$3,tabela_registros[CATEGORIA],despesafixaconsolidadomar[[#This Row],[DESPESA FIXA]])</f>
        <v>0</v>
      </c>
      <c r="I44" s="91">
        <f>SUMIFS(tabela_registros[VALOR],tabela_registros[MÊS],$AE$1,tabela_registros[DIA],martotal3059[[#Headers],[5]],tabela_registros[REGISTRO],DADOS!$N$4,tabela_registros[TIPO],DADOS!$P$3,tabela_registros[CATEGORIA],despesafixaconsolidadomar[[#This Row],[DESPESA FIXA]])</f>
        <v>0</v>
      </c>
      <c r="J44" s="91">
        <f>SUMIFS(tabela_registros[VALOR],tabela_registros[MÊS],$AE$1,tabela_registros[DIA],martotal3059[[#Headers],[6]],tabela_registros[REGISTRO],DADOS!$N$4,tabela_registros[TIPO],DADOS!$P$3,tabela_registros[CATEGORIA],despesafixaconsolidadomar[[#This Row],[DESPESA FIXA]])</f>
        <v>0</v>
      </c>
      <c r="K44" s="91">
        <f>SUMIFS(tabela_registros[VALOR],tabela_registros[MÊS],$AE$1,tabela_registros[DIA],martotal3059[[#Headers],[7]],tabela_registros[REGISTRO],DADOS!$N$4,tabela_registros[TIPO],DADOS!$P$3,tabela_registros[CATEGORIA],despesafixaconsolidadomar[[#This Row],[DESPESA FIXA]])</f>
        <v>0</v>
      </c>
      <c r="L44" s="91">
        <f>SUMIFS(tabela_registros[VALOR],tabela_registros[MÊS],$AE$1,tabela_registros[DIA],martotal3059[[#Headers],[8]],tabela_registros[REGISTRO],DADOS!$N$4,tabela_registros[TIPO],DADOS!$P$3,tabela_registros[CATEGORIA],despesafixaconsolidadomar[[#This Row],[DESPESA FIXA]])</f>
        <v>0</v>
      </c>
      <c r="M44" s="91">
        <f>SUMIFS(tabela_registros[VALOR],tabela_registros[MÊS],$AE$1,tabela_registros[DIA],martotal3059[[#Headers],[9]],tabela_registros[REGISTRO],DADOS!$N$4,tabela_registros[TIPO],DADOS!$P$3,tabela_registros[CATEGORIA],despesafixaconsolidadomar[[#This Row],[DESPESA FIXA]])</f>
        <v>0</v>
      </c>
      <c r="N44" s="91">
        <f>SUMIFS(tabela_registros[VALOR],tabela_registros[MÊS],$AE$1,tabela_registros[DIA],martotal3059[[#Headers],[10]],tabela_registros[REGISTRO],DADOS!$N$4,tabela_registros[TIPO],DADOS!$P$3,tabela_registros[CATEGORIA],despesafixaconsolidadomar[[#This Row],[DESPESA FIXA]])</f>
        <v>0</v>
      </c>
      <c r="O44" s="91">
        <f>SUMIFS(tabela_registros[VALOR],tabela_registros[MÊS],$AE$1,tabela_registros[DIA],martotal3059[[#Headers],[11]],tabela_registros[REGISTRO],DADOS!$N$4,tabela_registros[TIPO],DADOS!$P$3,tabela_registros[CATEGORIA],despesafixaconsolidadomar[[#This Row],[DESPESA FIXA]])</f>
        <v>0</v>
      </c>
      <c r="P44" s="91">
        <f>SUMIFS(tabela_registros[VALOR],tabela_registros[MÊS],$AE$1,tabela_registros[DIA],martotal3059[[#Headers],[12]],tabela_registros[REGISTRO],DADOS!$N$4,tabela_registros[TIPO],DADOS!$P$3,tabela_registros[CATEGORIA],despesafixaconsolidadomar[[#This Row],[DESPESA FIXA]])</f>
        <v>0</v>
      </c>
      <c r="Q44" s="91">
        <f>SUMIFS(tabela_registros[VALOR],tabela_registros[MÊS],$AE$1,tabela_registros[DIA],martotal3059[[#Headers],[13]],tabela_registros[REGISTRO],DADOS!$N$4,tabela_registros[TIPO],DADOS!$P$3,tabela_registros[CATEGORIA],despesafixaconsolidadomar[[#This Row],[DESPESA FIXA]])</f>
        <v>0</v>
      </c>
      <c r="R44" s="91">
        <f>SUMIFS(tabela_registros[VALOR],tabela_registros[MÊS],$AE$1,tabela_registros[DIA],martotal3059[[#Headers],[14]],tabela_registros[REGISTRO],DADOS!$N$4,tabela_registros[TIPO],DADOS!$P$3,tabela_registros[CATEGORIA],despesafixaconsolidadomar[[#This Row],[DESPESA FIXA]])</f>
        <v>0</v>
      </c>
      <c r="S44" s="91">
        <f>SUMIFS(tabela_registros[VALOR],tabela_registros[MÊS],$AE$1,tabela_registros[DIA],martotal3059[[#Headers],[15]],tabela_registros[REGISTRO],DADOS!$N$4,tabela_registros[TIPO],DADOS!$P$3,tabela_registros[CATEGORIA],despesafixaconsolidadomar[[#This Row],[DESPESA FIXA]])</f>
        <v>0</v>
      </c>
      <c r="T44" s="91">
        <f>SUMIFS(tabela_registros[VALOR],tabela_registros[MÊS],$AE$1,tabela_registros[DIA],martotal3059[[#Headers],[16]],tabela_registros[REGISTRO],DADOS!$N$4,tabela_registros[TIPO],DADOS!$P$3,tabela_registros[CATEGORIA],despesafixaconsolidadomar[[#This Row],[DESPESA FIXA]])</f>
        <v>0</v>
      </c>
      <c r="U44" s="91">
        <f>SUMIFS(tabela_registros[VALOR],tabela_registros[MÊS],$AE$1,tabela_registros[DIA],martotal3059[[#Headers],[17]],tabela_registros[REGISTRO],DADOS!$N$4,tabela_registros[TIPO],DADOS!$P$3,tabela_registros[CATEGORIA],despesafixaconsolidadomar[[#This Row],[DESPESA FIXA]])</f>
        <v>0</v>
      </c>
      <c r="V44" s="91">
        <f>SUMIFS(tabela_registros[VALOR],tabela_registros[MÊS],$AE$1,tabela_registros[DIA],martotal3059[[#Headers],[18]],tabela_registros[REGISTRO],DADOS!$N$4,tabela_registros[TIPO],DADOS!$P$3,tabela_registros[CATEGORIA],despesafixaconsolidadomar[[#This Row],[DESPESA FIXA]])</f>
        <v>0</v>
      </c>
      <c r="W44" s="91">
        <f>SUMIFS(tabela_registros[VALOR],tabela_registros[MÊS],$AE$1,tabela_registros[DIA],martotal3059[[#Headers],[19]],tabela_registros[REGISTRO],DADOS!$N$4,tabela_registros[TIPO],DADOS!$P$3,tabela_registros[CATEGORIA],despesafixaconsolidadomar[[#This Row],[DESPESA FIXA]])</f>
        <v>0</v>
      </c>
      <c r="X44" s="91">
        <f>SUMIFS(tabela_registros[VALOR],tabela_registros[MÊS],$AE$1,tabela_registros[DIA],martotal3059[[#Headers],[20]],tabela_registros[REGISTRO],DADOS!$N$4,tabela_registros[TIPO],DADOS!$P$3,tabela_registros[CATEGORIA],despesafixaconsolidadomar[[#This Row],[DESPESA FIXA]])</f>
        <v>0</v>
      </c>
      <c r="Y44" s="91">
        <f>SUMIFS(tabela_registros[VALOR],tabela_registros[MÊS],$AE$1,tabela_registros[DIA],martotal3059[[#Headers],[21]],tabela_registros[REGISTRO],DADOS!$N$4,tabela_registros[TIPO],DADOS!$P$3,tabela_registros[CATEGORIA],despesafixaconsolidadomar[[#This Row],[DESPESA FIXA]])</f>
        <v>0</v>
      </c>
      <c r="Z44" s="91">
        <f>SUMIFS(tabela_registros[VALOR],tabela_registros[MÊS],$AE$1,tabela_registros[DIA],martotal3059[[#Headers],[22]],tabela_registros[REGISTRO],DADOS!$N$4,tabela_registros[TIPO],DADOS!$P$3,tabela_registros[CATEGORIA],despesafixaconsolidadomar[[#This Row],[DESPESA FIXA]])</f>
        <v>0</v>
      </c>
      <c r="AA44" s="91">
        <f>SUMIFS(tabela_registros[VALOR],tabela_registros[MÊS],$AE$1,tabela_registros[DIA],martotal3059[[#Headers],[23]],tabela_registros[REGISTRO],DADOS!$N$4,tabela_registros[TIPO],DADOS!$P$3,tabela_registros[CATEGORIA],despesafixaconsolidadomar[[#This Row],[DESPESA FIXA]])</f>
        <v>0</v>
      </c>
      <c r="AB44" s="91">
        <f>SUMIFS(tabela_registros[VALOR],tabela_registros[MÊS],$AE$1,tabela_registros[DIA],martotal3059[[#Headers],[24]],tabela_registros[REGISTRO],DADOS!$N$4,tabela_registros[TIPO],DADOS!$P$3,tabela_registros[CATEGORIA],despesafixaconsolidadomar[[#This Row],[DESPESA FIXA]])</f>
        <v>0</v>
      </c>
      <c r="AC44" s="91">
        <f>SUMIFS(tabela_registros[VALOR],tabela_registros[MÊS],$AE$1,tabela_registros[DIA],martotal3059[[#Headers],[25]],tabela_registros[REGISTRO],DADOS!$N$4,tabela_registros[TIPO],DADOS!$P$3,tabela_registros[CATEGORIA],despesafixaconsolidadomar[[#This Row],[DESPESA FIXA]])</f>
        <v>0</v>
      </c>
      <c r="AD44" s="91">
        <f>SUMIFS(tabela_registros[VALOR],tabela_registros[MÊS],$AE$1,tabela_registros[DIA],martotal3059[[#Headers],[26]],tabela_registros[REGISTRO],DADOS!$N$4,tabela_registros[TIPO],DADOS!$P$3,tabela_registros[CATEGORIA],despesafixaconsolidadomar[[#This Row],[DESPESA FIXA]])</f>
        <v>0</v>
      </c>
      <c r="AE44" s="91">
        <f>SUMIFS(tabela_registros[VALOR],tabela_registros[MÊS],$AE$1,tabela_registros[DIA],martotal3059[[#Headers],[27]],tabela_registros[REGISTRO],DADOS!$N$4,tabela_registros[TIPO],DADOS!$P$3,tabela_registros[CATEGORIA],despesafixaconsolidadomar[[#This Row],[DESPESA FIXA]])</f>
        <v>0</v>
      </c>
      <c r="AF44" s="91">
        <f>SUMIFS(tabela_registros[VALOR],tabela_registros[MÊS],$AE$1,tabela_registros[DIA],martotal3059[[#Headers],[28]],tabela_registros[REGISTRO],DADOS!$N$4,tabela_registros[TIPO],DADOS!$P$3,tabela_registros[CATEGORIA],despesafixaconsolidadomar[[#This Row],[DESPESA FIXA]])</f>
        <v>0</v>
      </c>
      <c r="AG44" s="91">
        <f>SUMIFS(tabela_registros[VALOR],tabela_registros[MÊS],$AE$1,tabela_registros[DIA],martotal3059[[#Headers],[29]],tabela_registros[REGISTRO],DADOS!$N$4,tabela_registros[TIPO],DADOS!$P$3,tabela_registros[CATEGORIA],despesafixaconsolidadomar[[#This Row],[DESPESA FIXA]])</f>
        <v>0</v>
      </c>
      <c r="AH44" s="91">
        <f>SUMIFS(tabela_registros[VALOR],tabela_registros[MÊS],$AE$1,tabela_registros[DIA],martotal3059[[#Headers],[30]],tabela_registros[REGISTRO],DADOS!$N$4,tabela_registros[TIPO],DADOS!$P$3,tabela_registros[CATEGORIA],despesafixaconsolidadomar[[#This Row],[DESPESA FIXA]])</f>
        <v>0</v>
      </c>
      <c r="AI44" s="101">
        <f>SUMIFS(tabela_registros[VALOR],tabela_registros[MÊS],$AE$1,tabela_registros[DIA],martotal3059[[#Headers],[31]],tabela_registros[REGISTRO],DADOS!$N$4,tabela_registros[TIPO],DADOS!$P$3,tabela_registros[CATEGORIA],despesafixaconsolidadomar[[#This Row],[DESPESA FIXA]])</f>
        <v>0</v>
      </c>
      <c r="AJ44" s="97">
        <f>SUM(despesafixaconsolidadomar[[#This Row],[1]:[31]])</f>
        <v>0</v>
      </c>
      <c r="AK44" s="28"/>
    </row>
    <row r="45" spans="2:37" ht="18" customHeight="1" thickTop="1" thickBot="1" x14ac:dyDescent="0.3">
      <c r="B45" s="28"/>
      <c r="C45" s="27" t="str">
        <f>DADOS!$R$11</f>
        <v>🔢 IMPOSTOS</v>
      </c>
      <c r="D45" s="26" t="str">
        <f>IF(despesafixaconsolidadomar[[#This Row],[TOTAL]]=0,"",IF(OR(despesafixaconsolidadomar[[#This Row],[TOTAL]]=LARGE($AJ$37:$AJ$50,1),despesafixaconsolidadomar[[#This Row],[TOTAL]]=LARGE($AJ$37:$AJ$50,2),despesafixaconsolidadomar[[#This Row],[TOTAL]]=LARGE($AJ$37:$AJ$50,3),despesafixaconsolidadomar[[#This Row],[TOTAL]]=LARGE($AJ$37:$AJ$50,4),despesafixaconsolidadomar[[#This Row],[TOTAL]]=LARGE($AJ$37:$AJ$50,5)),DADOS!$I$8,""))</f>
        <v/>
      </c>
      <c r="E45" s="96">
        <f>SUMIFS(tabela_registros[VALOR],tabela_registros[MÊS],$AE$1,tabela_registros[DIA],martotal3059[[#Headers],[1]],tabela_registros[REGISTRO],DADOS!$N$4,tabela_registros[TIPO],DADOS!$P$3,tabela_registros[CATEGORIA],despesafixaconsolidadomar[[#This Row],[DESPESA FIXA]])</f>
        <v>0</v>
      </c>
      <c r="F45" s="91">
        <f>SUMIFS(tabela_registros[VALOR],tabela_registros[MÊS],$AE$1,tabela_registros[DIA],martotal3059[[#Headers],[2]],tabela_registros[REGISTRO],DADOS!$N$4,tabela_registros[TIPO],DADOS!$P$3,tabela_registros[CATEGORIA],despesafixaconsolidadomar[[#This Row],[DESPESA FIXA]])</f>
        <v>0</v>
      </c>
      <c r="G45" s="91">
        <f>SUMIFS(tabela_registros[VALOR],tabela_registros[MÊS],$AE$1,tabela_registros[DIA],martotal3059[[#Headers],[3]],tabela_registros[REGISTRO],DADOS!$N$4,tabela_registros[TIPO],DADOS!$P$3,tabela_registros[CATEGORIA],despesafixaconsolidadomar[[#This Row],[DESPESA FIXA]])</f>
        <v>0</v>
      </c>
      <c r="H45" s="91">
        <f>SUMIFS(tabela_registros[VALOR],tabela_registros[MÊS],$AE$1,tabela_registros[DIA],martotal3059[[#Headers],[4]],tabela_registros[REGISTRO],DADOS!$N$4,tabela_registros[TIPO],DADOS!$P$3,tabela_registros[CATEGORIA],despesafixaconsolidadomar[[#This Row],[DESPESA FIXA]])</f>
        <v>0</v>
      </c>
      <c r="I45" s="91">
        <f>SUMIFS(tabela_registros[VALOR],tabela_registros[MÊS],$AE$1,tabela_registros[DIA],martotal3059[[#Headers],[5]],tabela_registros[REGISTRO],DADOS!$N$4,tabela_registros[TIPO],DADOS!$P$3,tabela_registros[CATEGORIA],despesafixaconsolidadomar[[#This Row],[DESPESA FIXA]])</f>
        <v>0</v>
      </c>
      <c r="J45" s="91">
        <f>SUMIFS(tabela_registros[VALOR],tabela_registros[MÊS],$AE$1,tabela_registros[DIA],martotal3059[[#Headers],[6]],tabela_registros[REGISTRO],DADOS!$N$4,tabela_registros[TIPO],DADOS!$P$3,tabela_registros[CATEGORIA],despesafixaconsolidadomar[[#This Row],[DESPESA FIXA]])</f>
        <v>0</v>
      </c>
      <c r="K45" s="91">
        <f>SUMIFS(tabela_registros[VALOR],tabela_registros[MÊS],$AE$1,tabela_registros[DIA],martotal3059[[#Headers],[7]],tabela_registros[REGISTRO],DADOS!$N$4,tabela_registros[TIPO],DADOS!$P$3,tabela_registros[CATEGORIA],despesafixaconsolidadomar[[#This Row],[DESPESA FIXA]])</f>
        <v>0</v>
      </c>
      <c r="L45" s="91">
        <f>SUMIFS(tabela_registros[VALOR],tabela_registros[MÊS],$AE$1,tabela_registros[DIA],martotal3059[[#Headers],[8]],tabela_registros[REGISTRO],DADOS!$N$4,tabela_registros[TIPO],DADOS!$P$3,tabela_registros[CATEGORIA],despesafixaconsolidadomar[[#This Row],[DESPESA FIXA]])</f>
        <v>0</v>
      </c>
      <c r="M45" s="91">
        <f>SUMIFS(tabela_registros[VALOR],tabela_registros[MÊS],$AE$1,tabela_registros[DIA],martotal3059[[#Headers],[9]],tabela_registros[REGISTRO],DADOS!$N$4,tabela_registros[TIPO],DADOS!$P$3,tabela_registros[CATEGORIA],despesafixaconsolidadomar[[#This Row],[DESPESA FIXA]])</f>
        <v>0</v>
      </c>
      <c r="N45" s="91">
        <f>SUMIFS(tabela_registros[VALOR],tabela_registros[MÊS],$AE$1,tabela_registros[DIA],martotal3059[[#Headers],[10]],tabela_registros[REGISTRO],DADOS!$N$4,tabela_registros[TIPO],DADOS!$P$3,tabela_registros[CATEGORIA],despesafixaconsolidadomar[[#This Row],[DESPESA FIXA]])</f>
        <v>0</v>
      </c>
      <c r="O45" s="91">
        <f>SUMIFS(tabela_registros[VALOR],tabela_registros[MÊS],$AE$1,tabela_registros[DIA],martotal3059[[#Headers],[11]],tabela_registros[REGISTRO],DADOS!$N$4,tabela_registros[TIPO],DADOS!$P$3,tabela_registros[CATEGORIA],despesafixaconsolidadomar[[#This Row],[DESPESA FIXA]])</f>
        <v>0</v>
      </c>
      <c r="P45" s="91">
        <f>SUMIFS(tabela_registros[VALOR],tabela_registros[MÊS],$AE$1,tabela_registros[DIA],martotal3059[[#Headers],[12]],tabela_registros[REGISTRO],DADOS!$N$4,tabela_registros[TIPO],DADOS!$P$3,tabela_registros[CATEGORIA],despesafixaconsolidadomar[[#This Row],[DESPESA FIXA]])</f>
        <v>0</v>
      </c>
      <c r="Q45" s="91">
        <f>SUMIFS(tabela_registros[VALOR],tabela_registros[MÊS],$AE$1,tabela_registros[DIA],martotal3059[[#Headers],[13]],tabela_registros[REGISTRO],DADOS!$N$4,tabela_registros[TIPO],DADOS!$P$3,tabela_registros[CATEGORIA],despesafixaconsolidadomar[[#This Row],[DESPESA FIXA]])</f>
        <v>0</v>
      </c>
      <c r="R45" s="91">
        <f>SUMIFS(tabela_registros[VALOR],tabela_registros[MÊS],$AE$1,tabela_registros[DIA],martotal3059[[#Headers],[14]],tabela_registros[REGISTRO],DADOS!$N$4,tabela_registros[TIPO],DADOS!$P$3,tabela_registros[CATEGORIA],despesafixaconsolidadomar[[#This Row],[DESPESA FIXA]])</f>
        <v>0</v>
      </c>
      <c r="S45" s="91">
        <f>SUMIFS(tabela_registros[VALOR],tabela_registros[MÊS],$AE$1,tabela_registros[DIA],martotal3059[[#Headers],[15]],tabela_registros[REGISTRO],DADOS!$N$4,tabela_registros[TIPO],DADOS!$P$3,tabela_registros[CATEGORIA],despesafixaconsolidadomar[[#This Row],[DESPESA FIXA]])</f>
        <v>0</v>
      </c>
      <c r="T45" s="91">
        <f>SUMIFS(tabela_registros[VALOR],tabela_registros[MÊS],$AE$1,tabela_registros[DIA],martotal3059[[#Headers],[16]],tabela_registros[REGISTRO],DADOS!$N$4,tabela_registros[TIPO],DADOS!$P$3,tabela_registros[CATEGORIA],despesafixaconsolidadomar[[#This Row],[DESPESA FIXA]])</f>
        <v>0</v>
      </c>
      <c r="U45" s="91">
        <f>SUMIFS(tabela_registros[VALOR],tabela_registros[MÊS],$AE$1,tabela_registros[DIA],martotal3059[[#Headers],[17]],tabela_registros[REGISTRO],DADOS!$N$4,tabela_registros[TIPO],DADOS!$P$3,tabela_registros[CATEGORIA],despesafixaconsolidadomar[[#This Row],[DESPESA FIXA]])</f>
        <v>0</v>
      </c>
      <c r="V45" s="91">
        <f>SUMIFS(tabela_registros[VALOR],tabela_registros[MÊS],$AE$1,tabela_registros[DIA],martotal3059[[#Headers],[18]],tabela_registros[REGISTRO],DADOS!$N$4,tabela_registros[TIPO],DADOS!$P$3,tabela_registros[CATEGORIA],despesafixaconsolidadomar[[#This Row],[DESPESA FIXA]])</f>
        <v>0</v>
      </c>
      <c r="W45" s="91">
        <f>SUMIFS(tabela_registros[VALOR],tabela_registros[MÊS],$AE$1,tabela_registros[DIA],martotal3059[[#Headers],[19]],tabela_registros[REGISTRO],DADOS!$N$4,tabela_registros[TIPO],DADOS!$P$3,tabela_registros[CATEGORIA],despesafixaconsolidadomar[[#This Row],[DESPESA FIXA]])</f>
        <v>0</v>
      </c>
      <c r="X45" s="91">
        <f>SUMIFS(tabela_registros[VALOR],tabela_registros[MÊS],$AE$1,tabela_registros[DIA],martotal3059[[#Headers],[20]],tabela_registros[REGISTRO],DADOS!$N$4,tabela_registros[TIPO],DADOS!$P$3,tabela_registros[CATEGORIA],despesafixaconsolidadomar[[#This Row],[DESPESA FIXA]])</f>
        <v>0</v>
      </c>
      <c r="Y45" s="91">
        <f>SUMIFS(tabela_registros[VALOR],tabela_registros[MÊS],$AE$1,tabela_registros[DIA],martotal3059[[#Headers],[21]],tabela_registros[REGISTRO],DADOS!$N$4,tabela_registros[TIPO],DADOS!$P$3,tabela_registros[CATEGORIA],despesafixaconsolidadomar[[#This Row],[DESPESA FIXA]])</f>
        <v>0</v>
      </c>
      <c r="Z45" s="91">
        <f>SUMIFS(tabela_registros[VALOR],tabela_registros[MÊS],$AE$1,tabela_registros[DIA],martotal3059[[#Headers],[22]],tabela_registros[REGISTRO],DADOS!$N$4,tabela_registros[TIPO],DADOS!$P$3,tabela_registros[CATEGORIA],despesafixaconsolidadomar[[#This Row],[DESPESA FIXA]])</f>
        <v>0</v>
      </c>
      <c r="AA45" s="91">
        <f>SUMIFS(tabela_registros[VALOR],tabela_registros[MÊS],$AE$1,tabela_registros[DIA],martotal3059[[#Headers],[23]],tabela_registros[REGISTRO],DADOS!$N$4,tabela_registros[TIPO],DADOS!$P$3,tabela_registros[CATEGORIA],despesafixaconsolidadomar[[#This Row],[DESPESA FIXA]])</f>
        <v>0</v>
      </c>
      <c r="AB45" s="91">
        <f>SUMIFS(tabela_registros[VALOR],tabela_registros[MÊS],$AE$1,tabela_registros[DIA],martotal3059[[#Headers],[24]],tabela_registros[REGISTRO],DADOS!$N$4,tabela_registros[TIPO],DADOS!$P$3,tabela_registros[CATEGORIA],despesafixaconsolidadomar[[#This Row],[DESPESA FIXA]])</f>
        <v>0</v>
      </c>
      <c r="AC45" s="91">
        <f>SUMIFS(tabela_registros[VALOR],tabela_registros[MÊS],$AE$1,tabela_registros[DIA],martotal3059[[#Headers],[25]],tabela_registros[REGISTRO],DADOS!$N$4,tabela_registros[TIPO],DADOS!$P$3,tabela_registros[CATEGORIA],despesafixaconsolidadomar[[#This Row],[DESPESA FIXA]])</f>
        <v>0</v>
      </c>
      <c r="AD45" s="91">
        <f>SUMIFS(tabela_registros[VALOR],tabela_registros[MÊS],$AE$1,tabela_registros[DIA],martotal3059[[#Headers],[26]],tabela_registros[REGISTRO],DADOS!$N$4,tabela_registros[TIPO],DADOS!$P$3,tabela_registros[CATEGORIA],despesafixaconsolidadomar[[#This Row],[DESPESA FIXA]])</f>
        <v>0</v>
      </c>
      <c r="AE45" s="91">
        <f>SUMIFS(tabela_registros[VALOR],tabela_registros[MÊS],$AE$1,tabela_registros[DIA],martotal3059[[#Headers],[27]],tabela_registros[REGISTRO],DADOS!$N$4,tabela_registros[TIPO],DADOS!$P$3,tabela_registros[CATEGORIA],despesafixaconsolidadomar[[#This Row],[DESPESA FIXA]])</f>
        <v>0</v>
      </c>
      <c r="AF45" s="91">
        <f>SUMIFS(tabela_registros[VALOR],tabela_registros[MÊS],$AE$1,tabela_registros[DIA],martotal3059[[#Headers],[28]],tabela_registros[REGISTRO],DADOS!$N$4,tabela_registros[TIPO],DADOS!$P$3,tabela_registros[CATEGORIA],despesafixaconsolidadomar[[#This Row],[DESPESA FIXA]])</f>
        <v>0</v>
      </c>
      <c r="AG45" s="91">
        <f>SUMIFS(tabela_registros[VALOR],tabela_registros[MÊS],$AE$1,tabela_registros[DIA],martotal3059[[#Headers],[29]],tabela_registros[REGISTRO],DADOS!$N$4,tabela_registros[TIPO],DADOS!$P$3,tabela_registros[CATEGORIA],despesafixaconsolidadomar[[#This Row],[DESPESA FIXA]])</f>
        <v>0</v>
      </c>
      <c r="AH45" s="91">
        <f>SUMIFS(tabela_registros[VALOR],tabela_registros[MÊS],$AE$1,tabela_registros[DIA],martotal3059[[#Headers],[30]],tabela_registros[REGISTRO],DADOS!$N$4,tabela_registros[TIPO],DADOS!$P$3,tabela_registros[CATEGORIA],despesafixaconsolidadomar[[#This Row],[DESPESA FIXA]])</f>
        <v>0</v>
      </c>
      <c r="AI45" s="101">
        <f>SUMIFS(tabela_registros[VALOR],tabela_registros[MÊS],$AE$1,tabela_registros[DIA],martotal3059[[#Headers],[31]],tabela_registros[REGISTRO],DADOS!$N$4,tabela_registros[TIPO],DADOS!$P$3,tabela_registros[CATEGORIA],despesafixaconsolidadomar[[#This Row],[DESPESA FIXA]])</f>
        <v>0</v>
      </c>
      <c r="AJ45" s="97">
        <f>SUM(despesafixaconsolidadomar[[#This Row],[1]:[31]])</f>
        <v>0</v>
      </c>
      <c r="AK45" s="28"/>
    </row>
    <row r="46" spans="2:37" ht="18" customHeight="1" thickTop="1" thickBot="1" x14ac:dyDescent="0.3">
      <c r="B46" s="28"/>
      <c r="C46" s="27" t="str">
        <f>DADOS!$R$12</f>
        <v>🖱️ INTERNET</v>
      </c>
      <c r="D46" s="26" t="str">
        <f>IF(despesafixaconsolidadomar[[#This Row],[TOTAL]]=0,"",IF(OR(despesafixaconsolidadomar[[#This Row],[TOTAL]]=LARGE($AJ$37:$AJ$50,1),despesafixaconsolidadomar[[#This Row],[TOTAL]]=LARGE($AJ$37:$AJ$50,2),despesafixaconsolidadomar[[#This Row],[TOTAL]]=LARGE($AJ$37:$AJ$50,3),despesafixaconsolidadomar[[#This Row],[TOTAL]]=LARGE($AJ$37:$AJ$50,4),despesafixaconsolidadomar[[#This Row],[TOTAL]]=LARGE($AJ$37:$AJ$50,5)),DADOS!$I$8,""))</f>
        <v/>
      </c>
      <c r="E46" s="96">
        <f>SUMIFS(tabela_registros[VALOR],tabela_registros[MÊS],$AE$1,tabela_registros[DIA],martotal3059[[#Headers],[1]],tabela_registros[REGISTRO],DADOS!$N$4,tabela_registros[TIPO],DADOS!$P$3,tabela_registros[CATEGORIA],despesafixaconsolidadomar[[#This Row],[DESPESA FIXA]])</f>
        <v>0</v>
      </c>
      <c r="F46" s="91">
        <f>SUMIFS(tabela_registros[VALOR],tabela_registros[MÊS],$AE$1,tabela_registros[DIA],martotal3059[[#Headers],[2]],tabela_registros[REGISTRO],DADOS!$N$4,tabela_registros[TIPO],DADOS!$P$3,tabela_registros[CATEGORIA],despesafixaconsolidadomar[[#This Row],[DESPESA FIXA]])</f>
        <v>0</v>
      </c>
      <c r="G46" s="91">
        <f>SUMIFS(tabela_registros[VALOR],tabela_registros[MÊS],$AE$1,tabela_registros[DIA],martotal3059[[#Headers],[3]],tabela_registros[REGISTRO],DADOS!$N$4,tabela_registros[TIPO],DADOS!$P$3,tabela_registros[CATEGORIA],despesafixaconsolidadomar[[#This Row],[DESPESA FIXA]])</f>
        <v>0</v>
      </c>
      <c r="H46" s="91">
        <f>SUMIFS(tabela_registros[VALOR],tabela_registros[MÊS],$AE$1,tabela_registros[DIA],martotal3059[[#Headers],[4]],tabela_registros[REGISTRO],DADOS!$N$4,tabela_registros[TIPO],DADOS!$P$3,tabela_registros[CATEGORIA],despesafixaconsolidadomar[[#This Row],[DESPESA FIXA]])</f>
        <v>0</v>
      </c>
      <c r="I46" s="91">
        <f>SUMIFS(tabela_registros[VALOR],tabela_registros[MÊS],$AE$1,tabela_registros[DIA],martotal3059[[#Headers],[5]],tabela_registros[REGISTRO],DADOS!$N$4,tabela_registros[TIPO],DADOS!$P$3,tabela_registros[CATEGORIA],despesafixaconsolidadomar[[#This Row],[DESPESA FIXA]])</f>
        <v>0</v>
      </c>
      <c r="J46" s="91">
        <f>SUMIFS(tabela_registros[VALOR],tabela_registros[MÊS],$AE$1,tabela_registros[DIA],martotal3059[[#Headers],[6]],tabela_registros[REGISTRO],DADOS!$N$4,tabela_registros[TIPO],DADOS!$P$3,tabela_registros[CATEGORIA],despesafixaconsolidadomar[[#This Row],[DESPESA FIXA]])</f>
        <v>0</v>
      </c>
      <c r="K46" s="91">
        <f>SUMIFS(tabela_registros[VALOR],tabela_registros[MÊS],$AE$1,tabela_registros[DIA],martotal3059[[#Headers],[7]],tabela_registros[REGISTRO],DADOS!$N$4,tabela_registros[TIPO],DADOS!$P$3,tabela_registros[CATEGORIA],despesafixaconsolidadomar[[#This Row],[DESPESA FIXA]])</f>
        <v>0</v>
      </c>
      <c r="L46" s="91">
        <f>SUMIFS(tabela_registros[VALOR],tabela_registros[MÊS],$AE$1,tabela_registros[DIA],martotal3059[[#Headers],[8]],tabela_registros[REGISTRO],DADOS!$N$4,tabela_registros[TIPO],DADOS!$P$3,tabela_registros[CATEGORIA],despesafixaconsolidadomar[[#This Row],[DESPESA FIXA]])</f>
        <v>0</v>
      </c>
      <c r="M46" s="91">
        <f>SUMIFS(tabela_registros[VALOR],tabela_registros[MÊS],$AE$1,tabela_registros[DIA],martotal3059[[#Headers],[9]],tabela_registros[REGISTRO],DADOS!$N$4,tabela_registros[TIPO],DADOS!$P$3,tabela_registros[CATEGORIA],despesafixaconsolidadomar[[#This Row],[DESPESA FIXA]])</f>
        <v>0</v>
      </c>
      <c r="N46" s="91">
        <f>SUMIFS(tabela_registros[VALOR],tabela_registros[MÊS],$AE$1,tabela_registros[DIA],martotal3059[[#Headers],[10]],tabela_registros[REGISTRO],DADOS!$N$4,tabela_registros[TIPO],DADOS!$P$3,tabela_registros[CATEGORIA],despesafixaconsolidadomar[[#This Row],[DESPESA FIXA]])</f>
        <v>0</v>
      </c>
      <c r="O46" s="91">
        <f>SUMIFS(tabela_registros[VALOR],tabela_registros[MÊS],$AE$1,tabela_registros[DIA],martotal3059[[#Headers],[11]],tabela_registros[REGISTRO],DADOS!$N$4,tabela_registros[TIPO],DADOS!$P$3,tabela_registros[CATEGORIA],despesafixaconsolidadomar[[#This Row],[DESPESA FIXA]])</f>
        <v>0</v>
      </c>
      <c r="P46" s="91">
        <f>SUMIFS(tabela_registros[VALOR],tabela_registros[MÊS],$AE$1,tabela_registros[DIA],martotal3059[[#Headers],[12]],tabela_registros[REGISTRO],DADOS!$N$4,tabela_registros[TIPO],DADOS!$P$3,tabela_registros[CATEGORIA],despesafixaconsolidadomar[[#This Row],[DESPESA FIXA]])</f>
        <v>0</v>
      </c>
      <c r="Q46" s="91">
        <f>SUMIFS(tabela_registros[VALOR],tabela_registros[MÊS],$AE$1,tabela_registros[DIA],martotal3059[[#Headers],[13]],tabela_registros[REGISTRO],DADOS!$N$4,tabela_registros[TIPO],DADOS!$P$3,tabela_registros[CATEGORIA],despesafixaconsolidadomar[[#This Row],[DESPESA FIXA]])</f>
        <v>0</v>
      </c>
      <c r="R46" s="91">
        <f>SUMIFS(tabela_registros[VALOR],tabela_registros[MÊS],$AE$1,tabela_registros[DIA],martotal3059[[#Headers],[14]],tabela_registros[REGISTRO],DADOS!$N$4,tabela_registros[TIPO],DADOS!$P$3,tabela_registros[CATEGORIA],despesafixaconsolidadomar[[#This Row],[DESPESA FIXA]])</f>
        <v>0</v>
      </c>
      <c r="S46" s="91">
        <f>SUMIFS(tabela_registros[VALOR],tabela_registros[MÊS],$AE$1,tabela_registros[DIA],martotal3059[[#Headers],[15]],tabela_registros[REGISTRO],DADOS!$N$4,tabela_registros[TIPO],DADOS!$P$3,tabela_registros[CATEGORIA],despesafixaconsolidadomar[[#This Row],[DESPESA FIXA]])</f>
        <v>0</v>
      </c>
      <c r="T46" s="91">
        <f>SUMIFS(tabela_registros[VALOR],tabela_registros[MÊS],$AE$1,tabela_registros[DIA],martotal3059[[#Headers],[16]],tabela_registros[REGISTRO],DADOS!$N$4,tabela_registros[TIPO],DADOS!$P$3,tabela_registros[CATEGORIA],despesafixaconsolidadomar[[#This Row],[DESPESA FIXA]])</f>
        <v>0</v>
      </c>
      <c r="U46" s="91">
        <f>SUMIFS(tabela_registros[VALOR],tabela_registros[MÊS],$AE$1,tabela_registros[DIA],martotal3059[[#Headers],[17]],tabela_registros[REGISTRO],DADOS!$N$4,tabela_registros[TIPO],DADOS!$P$3,tabela_registros[CATEGORIA],despesafixaconsolidadomar[[#This Row],[DESPESA FIXA]])</f>
        <v>0</v>
      </c>
      <c r="V46" s="91">
        <f>SUMIFS(tabela_registros[VALOR],tabela_registros[MÊS],$AE$1,tabela_registros[DIA],martotal3059[[#Headers],[18]],tabela_registros[REGISTRO],DADOS!$N$4,tabela_registros[TIPO],DADOS!$P$3,tabela_registros[CATEGORIA],despesafixaconsolidadomar[[#This Row],[DESPESA FIXA]])</f>
        <v>0</v>
      </c>
      <c r="W46" s="91">
        <f>SUMIFS(tabela_registros[VALOR],tabela_registros[MÊS],$AE$1,tabela_registros[DIA],martotal3059[[#Headers],[19]],tabela_registros[REGISTRO],DADOS!$N$4,tabela_registros[TIPO],DADOS!$P$3,tabela_registros[CATEGORIA],despesafixaconsolidadomar[[#This Row],[DESPESA FIXA]])</f>
        <v>0</v>
      </c>
      <c r="X46" s="91">
        <f>SUMIFS(tabela_registros[VALOR],tabela_registros[MÊS],$AE$1,tabela_registros[DIA],martotal3059[[#Headers],[20]],tabela_registros[REGISTRO],DADOS!$N$4,tabela_registros[TIPO],DADOS!$P$3,tabela_registros[CATEGORIA],despesafixaconsolidadomar[[#This Row],[DESPESA FIXA]])</f>
        <v>0</v>
      </c>
      <c r="Y46" s="91">
        <f>SUMIFS(tabela_registros[VALOR],tabela_registros[MÊS],$AE$1,tabela_registros[DIA],martotal3059[[#Headers],[21]],tabela_registros[REGISTRO],DADOS!$N$4,tabela_registros[TIPO],DADOS!$P$3,tabela_registros[CATEGORIA],despesafixaconsolidadomar[[#This Row],[DESPESA FIXA]])</f>
        <v>0</v>
      </c>
      <c r="Z46" s="91">
        <f>SUMIFS(tabela_registros[VALOR],tabela_registros[MÊS],$AE$1,tabela_registros[DIA],martotal3059[[#Headers],[22]],tabela_registros[REGISTRO],DADOS!$N$4,tabela_registros[TIPO],DADOS!$P$3,tabela_registros[CATEGORIA],despesafixaconsolidadomar[[#This Row],[DESPESA FIXA]])</f>
        <v>0</v>
      </c>
      <c r="AA46" s="91">
        <f>SUMIFS(tabela_registros[VALOR],tabela_registros[MÊS],$AE$1,tabela_registros[DIA],martotal3059[[#Headers],[23]],tabela_registros[REGISTRO],DADOS!$N$4,tabela_registros[TIPO],DADOS!$P$3,tabela_registros[CATEGORIA],despesafixaconsolidadomar[[#This Row],[DESPESA FIXA]])</f>
        <v>0</v>
      </c>
      <c r="AB46" s="91">
        <f>SUMIFS(tabela_registros[VALOR],tabela_registros[MÊS],$AE$1,tabela_registros[DIA],martotal3059[[#Headers],[24]],tabela_registros[REGISTRO],DADOS!$N$4,tabela_registros[TIPO],DADOS!$P$3,tabela_registros[CATEGORIA],despesafixaconsolidadomar[[#This Row],[DESPESA FIXA]])</f>
        <v>0</v>
      </c>
      <c r="AC46" s="91">
        <f>SUMIFS(tabela_registros[VALOR],tabela_registros[MÊS],$AE$1,tabela_registros[DIA],martotal3059[[#Headers],[25]],tabela_registros[REGISTRO],DADOS!$N$4,tabela_registros[TIPO],DADOS!$P$3,tabela_registros[CATEGORIA],despesafixaconsolidadomar[[#This Row],[DESPESA FIXA]])</f>
        <v>0</v>
      </c>
      <c r="AD46" s="91">
        <f>SUMIFS(tabela_registros[VALOR],tabela_registros[MÊS],$AE$1,tabela_registros[DIA],martotal3059[[#Headers],[26]],tabela_registros[REGISTRO],DADOS!$N$4,tabela_registros[TIPO],DADOS!$P$3,tabela_registros[CATEGORIA],despesafixaconsolidadomar[[#This Row],[DESPESA FIXA]])</f>
        <v>0</v>
      </c>
      <c r="AE46" s="91">
        <f>SUMIFS(tabela_registros[VALOR],tabela_registros[MÊS],$AE$1,tabela_registros[DIA],martotal3059[[#Headers],[27]],tabela_registros[REGISTRO],DADOS!$N$4,tabela_registros[TIPO],DADOS!$P$3,tabela_registros[CATEGORIA],despesafixaconsolidadomar[[#This Row],[DESPESA FIXA]])</f>
        <v>0</v>
      </c>
      <c r="AF46" s="91">
        <f>SUMIFS(tabela_registros[VALOR],tabela_registros[MÊS],$AE$1,tabela_registros[DIA],martotal3059[[#Headers],[28]],tabela_registros[REGISTRO],DADOS!$N$4,tabela_registros[TIPO],DADOS!$P$3,tabela_registros[CATEGORIA],despesafixaconsolidadomar[[#This Row],[DESPESA FIXA]])</f>
        <v>0</v>
      </c>
      <c r="AG46" s="91">
        <f>SUMIFS(tabela_registros[VALOR],tabela_registros[MÊS],$AE$1,tabela_registros[DIA],martotal3059[[#Headers],[29]],tabela_registros[REGISTRO],DADOS!$N$4,tabela_registros[TIPO],DADOS!$P$3,tabela_registros[CATEGORIA],despesafixaconsolidadomar[[#This Row],[DESPESA FIXA]])</f>
        <v>0</v>
      </c>
      <c r="AH46" s="91">
        <f>SUMIFS(tabela_registros[VALOR],tabela_registros[MÊS],$AE$1,tabela_registros[DIA],martotal3059[[#Headers],[30]],tabela_registros[REGISTRO],DADOS!$N$4,tabela_registros[TIPO],DADOS!$P$3,tabela_registros[CATEGORIA],despesafixaconsolidadomar[[#This Row],[DESPESA FIXA]])</f>
        <v>0</v>
      </c>
      <c r="AI46" s="101">
        <f>SUMIFS(tabela_registros[VALOR],tabela_registros[MÊS],$AE$1,tabela_registros[DIA],martotal3059[[#Headers],[31]],tabela_registros[REGISTRO],DADOS!$N$4,tabela_registros[TIPO],DADOS!$P$3,tabela_registros[CATEGORIA],despesafixaconsolidadomar[[#This Row],[DESPESA FIXA]])</f>
        <v>0</v>
      </c>
      <c r="AJ46" s="97">
        <f>SUM(despesafixaconsolidadomar[[#This Row],[1]:[31]])</f>
        <v>0</v>
      </c>
      <c r="AK46" s="28"/>
    </row>
    <row r="47" spans="2:37" ht="18" customHeight="1" thickTop="1" thickBot="1" x14ac:dyDescent="0.3">
      <c r="B47" s="28"/>
      <c r="C47" s="27" t="str">
        <f>DADOS!$R$13</f>
        <v>🏠 MORADIA</v>
      </c>
      <c r="D47" s="26" t="str">
        <f>IF(despesafixaconsolidadomar[[#This Row],[TOTAL]]=0,"",IF(OR(despesafixaconsolidadomar[[#This Row],[TOTAL]]=LARGE($AJ$37:$AJ$50,1),despesafixaconsolidadomar[[#This Row],[TOTAL]]=LARGE($AJ$37:$AJ$50,2),despesafixaconsolidadomar[[#This Row],[TOTAL]]=LARGE($AJ$37:$AJ$50,3),despesafixaconsolidadomar[[#This Row],[TOTAL]]=LARGE($AJ$37:$AJ$50,4),despesafixaconsolidadomar[[#This Row],[TOTAL]]=LARGE($AJ$37:$AJ$50,5)),DADOS!$I$8,""))</f>
        <v/>
      </c>
      <c r="E47" s="96">
        <f>SUMIFS(tabela_registros[VALOR],tabela_registros[MÊS],$AE$1,tabela_registros[DIA],martotal3059[[#Headers],[1]],tabela_registros[REGISTRO],DADOS!$N$4,tabela_registros[TIPO],DADOS!$P$3,tabela_registros[CATEGORIA],despesafixaconsolidadomar[[#This Row],[DESPESA FIXA]])</f>
        <v>0</v>
      </c>
      <c r="F47" s="91">
        <f>SUMIFS(tabela_registros[VALOR],tabela_registros[MÊS],$AE$1,tabela_registros[DIA],martotal3059[[#Headers],[2]],tabela_registros[REGISTRO],DADOS!$N$4,tabela_registros[TIPO],DADOS!$P$3,tabela_registros[CATEGORIA],despesafixaconsolidadomar[[#This Row],[DESPESA FIXA]])</f>
        <v>0</v>
      </c>
      <c r="G47" s="91">
        <f>SUMIFS(tabela_registros[VALOR],tabela_registros[MÊS],$AE$1,tabela_registros[DIA],martotal3059[[#Headers],[3]],tabela_registros[REGISTRO],DADOS!$N$4,tabela_registros[TIPO],DADOS!$P$3,tabela_registros[CATEGORIA],despesafixaconsolidadomar[[#This Row],[DESPESA FIXA]])</f>
        <v>0</v>
      </c>
      <c r="H47" s="91">
        <f>SUMIFS(tabela_registros[VALOR],tabela_registros[MÊS],$AE$1,tabela_registros[DIA],martotal3059[[#Headers],[4]],tabela_registros[REGISTRO],DADOS!$N$4,tabela_registros[TIPO],DADOS!$P$3,tabela_registros[CATEGORIA],despesafixaconsolidadomar[[#This Row],[DESPESA FIXA]])</f>
        <v>0</v>
      </c>
      <c r="I47" s="91">
        <f>SUMIFS(tabela_registros[VALOR],tabela_registros[MÊS],$AE$1,tabela_registros[DIA],martotal3059[[#Headers],[5]],tabela_registros[REGISTRO],DADOS!$N$4,tabela_registros[TIPO],DADOS!$P$3,tabela_registros[CATEGORIA],despesafixaconsolidadomar[[#This Row],[DESPESA FIXA]])</f>
        <v>0</v>
      </c>
      <c r="J47" s="91">
        <f>SUMIFS(tabela_registros[VALOR],tabela_registros[MÊS],$AE$1,tabela_registros[DIA],martotal3059[[#Headers],[6]],tabela_registros[REGISTRO],DADOS!$N$4,tabela_registros[TIPO],DADOS!$P$3,tabela_registros[CATEGORIA],despesafixaconsolidadomar[[#This Row],[DESPESA FIXA]])</f>
        <v>0</v>
      </c>
      <c r="K47" s="91">
        <f>SUMIFS(tabela_registros[VALOR],tabela_registros[MÊS],$AE$1,tabela_registros[DIA],martotal3059[[#Headers],[7]],tabela_registros[REGISTRO],DADOS!$N$4,tabela_registros[TIPO],DADOS!$P$3,tabela_registros[CATEGORIA],despesafixaconsolidadomar[[#This Row],[DESPESA FIXA]])</f>
        <v>0</v>
      </c>
      <c r="L47" s="91">
        <f>SUMIFS(tabela_registros[VALOR],tabela_registros[MÊS],$AE$1,tabela_registros[DIA],martotal3059[[#Headers],[8]],tabela_registros[REGISTRO],DADOS!$N$4,tabela_registros[TIPO],DADOS!$P$3,tabela_registros[CATEGORIA],despesafixaconsolidadomar[[#This Row],[DESPESA FIXA]])</f>
        <v>0</v>
      </c>
      <c r="M47" s="91">
        <f>SUMIFS(tabela_registros[VALOR],tabela_registros[MÊS],$AE$1,tabela_registros[DIA],martotal3059[[#Headers],[9]],tabela_registros[REGISTRO],DADOS!$N$4,tabela_registros[TIPO],DADOS!$P$3,tabela_registros[CATEGORIA],despesafixaconsolidadomar[[#This Row],[DESPESA FIXA]])</f>
        <v>0</v>
      </c>
      <c r="N47" s="91">
        <f>SUMIFS(tabela_registros[VALOR],tabela_registros[MÊS],$AE$1,tabela_registros[DIA],martotal3059[[#Headers],[10]],tabela_registros[REGISTRO],DADOS!$N$4,tabela_registros[TIPO],DADOS!$P$3,tabela_registros[CATEGORIA],despesafixaconsolidadomar[[#This Row],[DESPESA FIXA]])</f>
        <v>0</v>
      </c>
      <c r="O47" s="91">
        <f>SUMIFS(tabela_registros[VALOR],tabela_registros[MÊS],$AE$1,tabela_registros[DIA],martotal3059[[#Headers],[11]],tabela_registros[REGISTRO],DADOS!$N$4,tabela_registros[TIPO],DADOS!$P$3,tabela_registros[CATEGORIA],despesafixaconsolidadomar[[#This Row],[DESPESA FIXA]])</f>
        <v>0</v>
      </c>
      <c r="P47" s="91">
        <f>SUMIFS(tabela_registros[VALOR],tabela_registros[MÊS],$AE$1,tabela_registros[DIA],martotal3059[[#Headers],[12]],tabela_registros[REGISTRO],DADOS!$N$4,tabela_registros[TIPO],DADOS!$P$3,tabela_registros[CATEGORIA],despesafixaconsolidadomar[[#This Row],[DESPESA FIXA]])</f>
        <v>0</v>
      </c>
      <c r="Q47" s="91">
        <f>SUMIFS(tabela_registros[VALOR],tabela_registros[MÊS],$AE$1,tabela_registros[DIA],martotal3059[[#Headers],[13]],tabela_registros[REGISTRO],DADOS!$N$4,tabela_registros[TIPO],DADOS!$P$3,tabela_registros[CATEGORIA],despesafixaconsolidadomar[[#This Row],[DESPESA FIXA]])</f>
        <v>0</v>
      </c>
      <c r="R47" s="91">
        <f>SUMIFS(tabela_registros[VALOR],tabela_registros[MÊS],$AE$1,tabela_registros[DIA],martotal3059[[#Headers],[14]],tabela_registros[REGISTRO],DADOS!$N$4,tabela_registros[TIPO],DADOS!$P$3,tabela_registros[CATEGORIA],despesafixaconsolidadomar[[#This Row],[DESPESA FIXA]])</f>
        <v>0</v>
      </c>
      <c r="S47" s="91">
        <f>SUMIFS(tabela_registros[VALOR],tabela_registros[MÊS],$AE$1,tabela_registros[DIA],martotal3059[[#Headers],[15]],tabela_registros[REGISTRO],DADOS!$N$4,tabela_registros[TIPO],DADOS!$P$3,tabela_registros[CATEGORIA],despesafixaconsolidadomar[[#This Row],[DESPESA FIXA]])</f>
        <v>0</v>
      </c>
      <c r="T47" s="91">
        <f>SUMIFS(tabela_registros[VALOR],tabela_registros[MÊS],$AE$1,tabela_registros[DIA],martotal3059[[#Headers],[16]],tabela_registros[REGISTRO],DADOS!$N$4,tabela_registros[TIPO],DADOS!$P$3,tabela_registros[CATEGORIA],despesafixaconsolidadomar[[#This Row],[DESPESA FIXA]])</f>
        <v>0</v>
      </c>
      <c r="U47" s="91">
        <f>SUMIFS(tabela_registros[VALOR],tabela_registros[MÊS],$AE$1,tabela_registros[DIA],martotal3059[[#Headers],[17]],tabela_registros[REGISTRO],DADOS!$N$4,tabela_registros[TIPO],DADOS!$P$3,tabela_registros[CATEGORIA],despesafixaconsolidadomar[[#This Row],[DESPESA FIXA]])</f>
        <v>0</v>
      </c>
      <c r="V47" s="91">
        <f>SUMIFS(tabela_registros[VALOR],tabela_registros[MÊS],$AE$1,tabela_registros[DIA],martotal3059[[#Headers],[18]],tabela_registros[REGISTRO],DADOS!$N$4,tabela_registros[TIPO],DADOS!$P$3,tabela_registros[CATEGORIA],despesafixaconsolidadomar[[#This Row],[DESPESA FIXA]])</f>
        <v>0</v>
      </c>
      <c r="W47" s="91">
        <f>SUMIFS(tabela_registros[VALOR],tabela_registros[MÊS],$AE$1,tabela_registros[DIA],martotal3059[[#Headers],[19]],tabela_registros[REGISTRO],DADOS!$N$4,tabela_registros[TIPO],DADOS!$P$3,tabela_registros[CATEGORIA],despesafixaconsolidadomar[[#This Row],[DESPESA FIXA]])</f>
        <v>0</v>
      </c>
      <c r="X47" s="91">
        <f>SUMIFS(tabela_registros[VALOR],tabela_registros[MÊS],$AE$1,tabela_registros[DIA],martotal3059[[#Headers],[20]],tabela_registros[REGISTRO],DADOS!$N$4,tabela_registros[TIPO],DADOS!$P$3,tabela_registros[CATEGORIA],despesafixaconsolidadomar[[#This Row],[DESPESA FIXA]])</f>
        <v>0</v>
      </c>
      <c r="Y47" s="91">
        <f>SUMIFS(tabela_registros[VALOR],tabela_registros[MÊS],$AE$1,tabela_registros[DIA],martotal3059[[#Headers],[21]],tabela_registros[REGISTRO],DADOS!$N$4,tabela_registros[TIPO],DADOS!$P$3,tabela_registros[CATEGORIA],despesafixaconsolidadomar[[#This Row],[DESPESA FIXA]])</f>
        <v>0</v>
      </c>
      <c r="Z47" s="91">
        <f>SUMIFS(tabela_registros[VALOR],tabela_registros[MÊS],$AE$1,tabela_registros[DIA],martotal3059[[#Headers],[22]],tabela_registros[REGISTRO],DADOS!$N$4,tabela_registros[TIPO],DADOS!$P$3,tabela_registros[CATEGORIA],despesafixaconsolidadomar[[#This Row],[DESPESA FIXA]])</f>
        <v>0</v>
      </c>
      <c r="AA47" s="91">
        <f>SUMIFS(tabela_registros[VALOR],tabela_registros[MÊS],$AE$1,tabela_registros[DIA],martotal3059[[#Headers],[23]],tabela_registros[REGISTRO],DADOS!$N$4,tabela_registros[TIPO],DADOS!$P$3,tabela_registros[CATEGORIA],despesafixaconsolidadomar[[#This Row],[DESPESA FIXA]])</f>
        <v>0</v>
      </c>
      <c r="AB47" s="91">
        <f>SUMIFS(tabela_registros[VALOR],tabela_registros[MÊS],$AE$1,tabela_registros[DIA],martotal3059[[#Headers],[24]],tabela_registros[REGISTRO],DADOS!$N$4,tabela_registros[TIPO],DADOS!$P$3,tabela_registros[CATEGORIA],despesafixaconsolidadomar[[#This Row],[DESPESA FIXA]])</f>
        <v>0</v>
      </c>
      <c r="AC47" s="91">
        <f>SUMIFS(tabela_registros[VALOR],tabela_registros[MÊS],$AE$1,tabela_registros[DIA],martotal3059[[#Headers],[25]],tabela_registros[REGISTRO],DADOS!$N$4,tabela_registros[TIPO],DADOS!$P$3,tabela_registros[CATEGORIA],despesafixaconsolidadomar[[#This Row],[DESPESA FIXA]])</f>
        <v>0</v>
      </c>
      <c r="AD47" s="91">
        <f>SUMIFS(tabela_registros[VALOR],tabela_registros[MÊS],$AE$1,tabela_registros[DIA],martotal3059[[#Headers],[26]],tabela_registros[REGISTRO],DADOS!$N$4,tabela_registros[TIPO],DADOS!$P$3,tabela_registros[CATEGORIA],despesafixaconsolidadomar[[#This Row],[DESPESA FIXA]])</f>
        <v>0</v>
      </c>
      <c r="AE47" s="91">
        <f>SUMIFS(tabela_registros[VALOR],tabela_registros[MÊS],$AE$1,tabela_registros[DIA],martotal3059[[#Headers],[27]],tabela_registros[REGISTRO],DADOS!$N$4,tabela_registros[TIPO],DADOS!$P$3,tabela_registros[CATEGORIA],despesafixaconsolidadomar[[#This Row],[DESPESA FIXA]])</f>
        <v>0</v>
      </c>
      <c r="AF47" s="91">
        <f>SUMIFS(tabela_registros[VALOR],tabela_registros[MÊS],$AE$1,tabela_registros[DIA],martotal3059[[#Headers],[28]],tabela_registros[REGISTRO],DADOS!$N$4,tabela_registros[TIPO],DADOS!$P$3,tabela_registros[CATEGORIA],despesafixaconsolidadomar[[#This Row],[DESPESA FIXA]])</f>
        <v>0</v>
      </c>
      <c r="AG47" s="91">
        <f>SUMIFS(tabela_registros[VALOR],tabela_registros[MÊS],$AE$1,tabela_registros[DIA],martotal3059[[#Headers],[29]],tabela_registros[REGISTRO],DADOS!$N$4,tabela_registros[TIPO],DADOS!$P$3,tabela_registros[CATEGORIA],despesafixaconsolidadomar[[#This Row],[DESPESA FIXA]])</f>
        <v>0</v>
      </c>
      <c r="AH47" s="91">
        <f>SUMIFS(tabela_registros[VALOR],tabela_registros[MÊS],$AE$1,tabela_registros[DIA],martotal3059[[#Headers],[30]],tabela_registros[REGISTRO],DADOS!$N$4,tabela_registros[TIPO],DADOS!$P$3,tabela_registros[CATEGORIA],despesafixaconsolidadomar[[#This Row],[DESPESA FIXA]])</f>
        <v>0</v>
      </c>
      <c r="AI47" s="101">
        <f>SUMIFS(tabela_registros[VALOR],tabela_registros[MÊS],$AE$1,tabela_registros[DIA],martotal3059[[#Headers],[31]],tabela_registros[REGISTRO],DADOS!$N$4,tabela_registros[TIPO],DADOS!$P$3,tabela_registros[CATEGORIA],despesafixaconsolidadomar[[#This Row],[DESPESA FIXA]])</f>
        <v>0</v>
      </c>
      <c r="AJ47" s="97">
        <f>SUM(despesafixaconsolidadomar[[#This Row],[1]:[31]])</f>
        <v>0</v>
      </c>
      <c r="AK47" s="28"/>
    </row>
    <row r="48" spans="2:37" ht="18" customHeight="1" thickTop="1" thickBot="1" x14ac:dyDescent="0.3">
      <c r="B48" s="28"/>
      <c r="C48" s="27" t="str">
        <f>DADOS!$R$14</f>
        <v>💊 SAÚDE</v>
      </c>
      <c r="D48" s="26" t="str">
        <f>IF(despesafixaconsolidadomar[[#This Row],[TOTAL]]=0,"",IF(OR(despesafixaconsolidadomar[[#This Row],[TOTAL]]=LARGE($AJ$37:$AJ$50,1),despesafixaconsolidadomar[[#This Row],[TOTAL]]=LARGE($AJ$37:$AJ$50,2),despesafixaconsolidadomar[[#This Row],[TOTAL]]=LARGE($AJ$37:$AJ$50,3),despesafixaconsolidadomar[[#This Row],[TOTAL]]=LARGE($AJ$37:$AJ$50,4),despesafixaconsolidadomar[[#This Row],[TOTAL]]=LARGE($AJ$37:$AJ$50,5)),DADOS!$I$8,""))</f>
        <v/>
      </c>
      <c r="E48" s="96">
        <f>SUMIFS(tabela_registros[VALOR],tabela_registros[MÊS],$AE$1,tabela_registros[DIA],martotal3059[[#Headers],[1]],tabela_registros[REGISTRO],DADOS!$N$4,tabela_registros[TIPO],DADOS!$P$3,tabela_registros[CATEGORIA],despesafixaconsolidadomar[[#This Row],[DESPESA FIXA]])</f>
        <v>0</v>
      </c>
      <c r="F48" s="91">
        <f>SUMIFS(tabela_registros[VALOR],tabela_registros[MÊS],$AE$1,tabela_registros[DIA],martotal3059[[#Headers],[2]],tabela_registros[REGISTRO],DADOS!$N$4,tabela_registros[TIPO],DADOS!$P$3,tabela_registros[CATEGORIA],despesafixaconsolidadomar[[#This Row],[DESPESA FIXA]])</f>
        <v>0</v>
      </c>
      <c r="G48" s="91">
        <f>SUMIFS(tabela_registros[VALOR],tabela_registros[MÊS],$AE$1,tabela_registros[DIA],martotal3059[[#Headers],[3]],tabela_registros[REGISTRO],DADOS!$N$4,tabela_registros[TIPO],DADOS!$P$3,tabela_registros[CATEGORIA],despesafixaconsolidadomar[[#This Row],[DESPESA FIXA]])</f>
        <v>0</v>
      </c>
      <c r="H48" s="91">
        <f>SUMIFS(tabela_registros[VALOR],tabela_registros[MÊS],$AE$1,tabela_registros[DIA],martotal3059[[#Headers],[4]],tabela_registros[REGISTRO],DADOS!$N$4,tabela_registros[TIPO],DADOS!$P$3,tabela_registros[CATEGORIA],despesafixaconsolidadomar[[#This Row],[DESPESA FIXA]])</f>
        <v>0</v>
      </c>
      <c r="I48" s="91">
        <f>SUMIFS(tabela_registros[VALOR],tabela_registros[MÊS],$AE$1,tabela_registros[DIA],martotal3059[[#Headers],[5]],tabela_registros[REGISTRO],DADOS!$N$4,tabela_registros[TIPO],DADOS!$P$3,tabela_registros[CATEGORIA],despesafixaconsolidadomar[[#This Row],[DESPESA FIXA]])</f>
        <v>0</v>
      </c>
      <c r="J48" s="91">
        <f>SUMIFS(tabela_registros[VALOR],tabela_registros[MÊS],$AE$1,tabela_registros[DIA],martotal3059[[#Headers],[6]],tabela_registros[REGISTRO],DADOS!$N$4,tabela_registros[TIPO],DADOS!$P$3,tabela_registros[CATEGORIA],despesafixaconsolidadomar[[#This Row],[DESPESA FIXA]])</f>
        <v>0</v>
      </c>
      <c r="K48" s="91">
        <f>SUMIFS(tabela_registros[VALOR],tabela_registros[MÊS],$AE$1,tabela_registros[DIA],martotal3059[[#Headers],[7]],tabela_registros[REGISTRO],DADOS!$N$4,tabela_registros[TIPO],DADOS!$P$3,tabela_registros[CATEGORIA],despesafixaconsolidadomar[[#This Row],[DESPESA FIXA]])</f>
        <v>0</v>
      </c>
      <c r="L48" s="91">
        <f>SUMIFS(tabela_registros[VALOR],tabela_registros[MÊS],$AE$1,tabela_registros[DIA],martotal3059[[#Headers],[8]],tabela_registros[REGISTRO],DADOS!$N$4,tabela_registros[TIPO],DADOS!$P$3,tabela_registros[CATEGORIA],despesafixaconsolidadomar[[#This Row],[DESPESA FIXA]])</f>
        <v>0</v>
      </c>
      <c r="M48" s="91">
        <f>SUMIFS(tabela_registros[VALOR],tabela_registros[MÊS],$AE$1,tabela_registros[DIA],martotal3059[[#Headers],[9]],tabela_registros[REGISTRO],DADOS!$N$4,tabela_registros[TIPO],DADOS!$P$3,tabela_registros[CATEGORIA],despesafixaconsolidadomar[[#This Row],[DESPESA FIXA]])</f>
        <v>0</v>
      </c>
      <c r="N48" s="91">
        <f>SUMIFS(tabela_registros[VALOR],tabela_registros[MÊS],$AE$1,tabela_registros[DIA],martotal3059[[#Headers],[10]],tabela_registros[REGISTRO],DADOS!$N$4,tabela_registros[TIPO],DADOS!$P$3,tabela_registros[CATEGORIA],despesafixaconsolidadomar[[#This Row],[DESPESA FIXA]])</f>
        <v>0</v>
      </c>
      <c r="O48" s="91">
        <f>SUMIFS(tabela_registros[VALOR],tabela_registros[MÊS],$AE$1,tabela_registros[DIA],martotal3059[[#Headers],[11]],tabela_registros[REGISTRO],DADOS!$N$4,tabela_registros[TIPO],DADOS!$P$3,tabela_registros[CATEGORIA],despesafixaconsolidadomar[[#This Row],[DESPESA FIXA]])</f>
        <v>0</v>
      </c>
      <c r="P48" s="91">
        <f>SUMIFS(tabela_registros[VALOR],tabela_registros[MÊS],$AE$1,tabela_registros[DIA],martotal3059[[#Headers],[12]],tabela_registros[REGISTRO],DADOS!$N$4,tabela_registros[TIPO],DADOS!$P$3,tabela_registros[CATEGORIA],despesafixaconsolidadomar[[#This Row],[DESPESA FIXA]])</f>
        <v>0</v>
      </c>
      <c r="Q48" s="91">
        <f>SUMIFS(tabela_registros[VALOR],tabela_registros[MÊS],$AE$1,tabela_registros[DIA],martotal3059[[#Headers],[13]],tabela_registros[REGISTRO],DADOS!$N$4,tabela_registros[TIPO],DADOS!$P$3,tabela_registros[CATEGORIA],despesafixaconsolidadomar[[#This Row],[DESPESA FIXA]])</f>
        <v>0</v>
      </c>
      <c r="R48" s="91">
        <f>SUMIFS(tabela_registros[VALOR],tabela_registros[MÊS],$AE$1,tabela_registros[DIA],martotal3059[[#Headers],[14]],tabela_registros[REGISTRO],DADOS!$N$4,tabela_registros[TIPO],DADOS!$P$3,tabela_registros[CATEGORIA],despesafixaconsolidadomar[[#This Row],[DESPESA FIXA]])</f>
        <v>0</v>
      </c>
      <c r="S48" s="91">
        <f>SUMIFS(tabela_registros[VALOR],tabela_registros[MÊS],$AE$1,tabela_registros[DIA],martotal3059[[#Headers],[15]],tabela_registros[REGISTRO],DADOS!$N$4,tabela_registros[TIPO],DADOS!$P$3,tabela_registros[CATEGORIA],despesafixaconsolidadomar[[#This Row],[DESPESA FIXA]])</f>
        <v>0</v>
      </c>
      <c r="T48" s="91">
        <f>SUMIFS(tabela_registros[VALOR],tabela_registros[MÊS],$AE$1,tabela_registros[DIA],martotal3059[[#Headers],[16]],tabela_registros[REGISTRO],DADOS!$N$4,tabela_registros[TIPO],DADOS!$P$3,tabela_registros[CATEGORIA],despesafixaconsolidadomar[[#This Row],[DESPESA FIXA]])</f>
        <v>0</v>
      </c>
      <c r="U48" s="91">
        <f>SUMIFS(tabela_registros[VALOR],tabela_registros[MÊS],$AE$1,tabela_registros[DIA],martotal3059[[#Headers],[17]],tabela_registros[REGISTRO],DADOS!$N$4,tabela_registros[TIPO],DADOS!$P$3,tabela_registros[CATEGORIA],despesafixaconsolidadomar[[#This Row],[DESPESA FIXA]])</f>
        <v>0</v>
      </c>
      <c r="V48" s="91">
        <f>SUMIFS(tabela_registros[VALOR],tabela_registros[MÊS],$AE$1,tabela_registros[DIA],martotal3059[[#Headers],[18]],tabela_registros[REGISTRO],DADOS!$N$4,tabela_registros[TIPO],DADOS!$P$3,tabela_registros[CATEGORIA],despesafixaconsolidadomar[[#This Row],[DESPESA FIXA]])</f>
        <v>0</v>
      </c>
      <c r="W48" s="91">
        <f>SUMIFS(tabela_registros[VALOR],tabela_registros[MÊS],$AE$1,tabela_registros[DIA],martotal3059[[#Headers],[19]],tabela_registros[REGISTRO],DADOS!$N$4,tabela_registros[TIPO],DADOS!$P$3,tabela_registros[CATEGORIA],despesafixaconsolidadomar[[#This Row],[DESPESA FIXA]])</f>
        <v>0</v>
      </c>
      <c r="X48" s="91">
        <f>SUMIFS(tabela_registros[VALOR],tabela_registros[MÊS],$AE$1,tabela_registros[DIA],martotal3059[[#Headers],[20]],tabela_registros[REGISTRO],DADOS!$N$4,tabela_registros[TIPO],DADOS!$P$3,tabela_registros[CATEGORIA],despesafixaconsolidadomar[[#This Row],[DESPESA FIXA]])</f>
        <v>0</v>
      </c>
      <c r="Y48" s="91">
        <f>SUMIFS(tabela_registros[VALOR],tabela_registros[MÊS],$AE$1,tabela_registros[DIA],martotal3059[[#Headers],[21]],tabela_registros[REGISTRO],DADOS!$N$4,tabela_registros[TIPO],DADOS!$P$3,tabela_registros[CATEGORIA],despesafixaconsolidadomar[[#This Row],[DESPESA FIXA]])</f>
        <v>0</v>
      </c>
      <c r="Z48" s="91">
        <f>SUMIFS(tabela_registros[VALOR],tabela_registros[MÊS],$AE$1,tabela_registros[DIA],martotal3059[[#Headers],[22]],tabela_registros[REGISTRO],DADOS!$N$4,tabela_registros[TIPO],DADOS!$P$3,tabela_registros[CATEGORIA],despesafixaconsolidadomar[[#This Row],[DESPESA FIXA]])</f>
        <v>0</v>
      </c>
      <c r="AA48" s="91">
        <f>SUMIFS(tabela_registros[VALOR],tabela_registros[MÊS],$AE$1,tabela_registros[DIA],martotal3059[[#Headers],[23]],tabela_registros[REGISTRO],DADOS!$N$4,tabela_registros[TIPO],DADOS!$P$3,tabela_registros[CATEGORIA],despesafixaconsolidadomar[[#This Row],[DESPESA FIXA]])</f>
        <v>0</v>
      </c>
      <c r="AB48" s="91">
        <f>SUMIFS(tabela_registros[VALOR],tabela_registros[MÊS],$AE$1,tabela_registros[DIA],martotal3059[[#Headers],[24]],tabela_registros[REGISTRO],DADOS!$N$4,tabela_registros[TIPO],DADOS!$P$3,tabela_registros[CATEGORIA],despesafixaconsolidadomar[[#This Row],[DESPESA FIXA]])</f>
        <v>0</v>
      </c>
      <c r="AC48" s="91">
        <f>SUMIFS(tabela_registros[VALOR],tabela_registros[MÊS],$AE$1,tabela_registros[DIA],martotal3059[[#Headers],[25]],tabela_registros[REGISTRO],DADOS!$N$4,tabela_registros[TIPO],DADOS!$P$3,tabela_registros[CATEGORIA],despesafixaconsolidadomar[[#This Row],[DESPESA FIXA]])</f>
        <v>0</v>
      </c>
      <c r="AD48" s="91">
        <f>SUMIFS(tabela_registros[VALOR],tabela_registros[MÊS],$AE$1,tabela_registros[DIA],martotal3059[[#Headers],[26]],tabela_registros[REGISTRO],DADOS!$N$4,tabela_registros[TIPO],DADOS!$P$3,tabela_registros[CATEGORIA],despesafixaconsolidadomar[[#This Row],[DESPESA FIXA]])</f>
        <v>0</v>
      </c>
      <c r="AE48" s="91">
        <f>SUMIFS(tabela_registros[VALOR],tabela_registros[MÊS],$AE$1,tabela_registros[DIA],martotal3059[[#Headers],[27]],tabela_registros[REGISTRO],DADOS!$N$4,tabela_registros[TIPO],DADOS!$P$3,tabela_registros[CATEGORIA],despesafixaconsolidadomar[[#This Row],[DESPESA FIXA]])</f>
        <v>0</v>
      </c>
      <c r="AF48" s="91">
        <f>SUMIFS(tabela_registros[VALOR],tabela_registros[MÊS],$AE$1,tabela_registros[DIA],martotal3059[[#Headers],[28]],tabela_registros[REGISTRO],DADOS!$N$4,tabela_registros[TIPO],DADOS!$P$3,tabela_registros[CATEGORIA],despesafixaconsolidadomar[[#This Row],[DESPESA FIXA]])</f>
        <v>0</v>
      </c>
      <c r="AG48" s="91">
        <f>SUMIFS(tabela_registros[VALOR],tabela_registros[MÊS],$AE$1,tabela_registros[DIA],martotal3059[[#Headers],[29]],tabela_registros[REGISTRO],DADOS!$N$4,tabela_registros[TIPO],DADOS!$P$3,tabela_registros[CATEGORIA],despesafixaconsolidadomar[[#This Row],[DESPESA FIXA]])</f>
        <v>0</v>
      </c>
      <c r="AH48" s="91">
        <f>SUMIFS(tabela_registros[VALOR],tabela_registros[MÊS],$AE$1,tabela_registros[DIA],martotal3059[[#Headers],[30]],tabela_registros[REGISTRO],DADOS!$N$4,tabela_registros[TIPO],DADOS!$P$3,tabela_registros[CATEGORIA],despesafixaconsolidadomar[[#This Row],[DESPESA FIXA]])</f>
        <v>0</v>
      </c>
      <c r="AI48" s="101">
        <f>SUMIFS(tabela_registros[VALOR],tabela_registros[MÊS],$AE$1,tabela_registros[DIA],martotal3059[[#Headers],[31]],tabela_registros[REGISTRO],DADOS!$N$4,tabela_registros[TIPO],DADOS!$P$3,tabela_registros[CATEGORIA],despesafixaconsolidadomar[[#This Row],[DESPESA FIXA]])</f>
        <v>0</v>
      </c>
      <c r="AJ48" s="97">
        <f>SUM(despesafixaconsolidadomar[[#This Row],[1]:[31]])</f>
        <v>0</v>
      </c>
      <c r="AK48" s="28"/>
    </row>
    <row r="49" spans="2:37" ht="18" customHeight="1" thickTop="1" thickBot="1" x14ac:dyDescent="0.3">
      <c r="B49" s="28"/>
      <c r="C49" s="27" t="str">
        <f>DADOS!$R$15</f>
        <v>📞 TELEFONE</v>
      </c>
      <c r="D49" s="26" t="str">
        <f>IF(despesafixaconsolidadomar[[#This Row],[TOTAL]]=0,"",IF(OR(despesafixaconsolidadomar[[#This Row],[TOTAL]]=LARGE($AJ$37:$AJ$50,1),despesafixaconsolidadomar[[#This Row],[TOTAL]]=LARGE($AJ$37:$AJ$50,2),despesafixaconsolidadomar[[#This Row],[TOTAL]]=LARGE($AJ$37:$AJ$50,3),despesafixaconsolidadomar[[#This Row],[TOTAL]]=LARGE($AJ$37:$AJ$50,4),despesafixaconsolidadomar[[#This Row],[TOTAL]]=LARGE($AJ$37:$AJ$50,5)),DADOS!$I$8,""))</f>
        <v/>
      </c>
      <c r="E49" s="96">
        <f>SUMIFS(tabela_registros[VALOR],tabela_registros[MÊS],$AE$1,tabela_registros[DIA],martotal3059[[#Headers],[1]],tabela_registros[REGISTRO],DADOS!$N$4,tabela_registros[TIPO],DADOS!$P$3,tabela_registros[CATEGORIA],despesafixaconsolidadomar[[#This Row],[DESPESA FIXA]])</f>
        <v>0</v>
      </c>
      <c r="F49" s="91">
        <f>SUMIFS(tabela_registros[VALOR],tabela_registros[MÊS],$AE$1,tabela_registros[DIA],martotal3059[[#Headers],[2]],tabela_registros[REGISTRO],DADOS!$N$4,tabela_registros[TIPO],DADOS!$P$3,tabela_registros[CATEGORIA],despesafixaconsolidadomar[[#This Row],[DESPESA FIXA]])</f>
        <v>0</v>
      </c>
      <c r="G49" s="91">
        <f>SUMIFS(tabela_registros[VALOR],tabela_registros[MÊS],$AE$1,tabela_registros[DIA],martotal3059[[#Headers],[3]],tabela_registros[REGISTRO],DADOS!$N$4,tabela_registros[TIPO],DADOS!$P$3,tabela_registros[CATEGORIA],despesafixaconsolidadomar[[#This Row],[DESPESA FIXA]])</f>
        <v>0</v>
      </c>
      <c r="H49" s="91">
        <f>SUMIFS(tabela_registros[VALOR],tabela_registros[MÊS],$AE$1,tabela_registros[DIA],martotal3059[[#Headers],[4]],tabela_registros[REGISTRO],DADOS!$N$4,tabela_registros[TIPO],DADOS!$P$3,tabela_registros[CATEGORIA],despesafixaconsolidadomar[[#This Row],[DESPESA FIXA]])</f>
        <v>0</v>
      </c>
      <c r="I49" s="91">
        <f>SUMIFS(tabela_registros[VALOR],tabela_registros[MÊS],$AE$1,tabela_registros[DIA],martotal3059[[#Headers],[5]],tabela_registros[REGISTRO],DADOS!$N$4,tabela_registros[TIPO],DADOS!$P$3,tabela_registros[CATEGORIA],despesafixaconsolidadomar[[#This Row],[DESPESA FIXA]])</f>
        <v>0</v>
      </c>
      <c r="J49" s="91">
        <f>SUMIFS(tabela_registros[VALOR],tabela_registros[MÊS],$AE$1,tabela_registros[DIA],martotal3059[[#Headers],[6]],tabela_registros[REGISTRO],DADOS!$N$4,tabela_registros[TIPO],DADOS!$P$3,tabela_registros[CATEGORIA],despesafixaconsolidadomar[[#This Row],[DESPESA FIXA]])</f>
        <v>0</v>
      </c>
      <c r="K49" s="91">
        <f>SUMIFS(tabela_registros[VALOR],tabela_registros[MÊS],$AE$1,tabela_registros[DIA],martotal3059[[#Headers],[7]],tabela_registros[REGISTRO],DADOS!$N$4,tabela_registros[TIPO],DADOS!$P$3,tabela_registros[CATEGORIA],despesafixaconsolidadomar[[#This Row],[DESPESA FIXA]])</f>
        <v>0</v>
      </c>
      <c r="L49" s="91">
        <f>SUMIFS(tabela_registros[VALOR],tabela_registros[MÊS],$AE$1,tabela_registros[DIA],martotal3059[[#Headers],[8]],tabela_registros[REGISTRO],DADOS!$N$4,tabela_registros[TIPO],DADOS!$P$3,tabela_registros[CATEGORIA],despesafixaconsolidadomar[[#This Row],[DESPESA FIXA]])</f>
        <v>0</v>
      </c>
      <c r="M49" s="91">
        <f>SUMIFS(tabela_registros[VALOR],tabela_registros[MÊS],$AE$1,tabela_registros[DIA],martotal3059[[#Headers],[9]],tabela_registros[REGISTRO],DADOS!$N$4,tabela_registros[TIPO],DADOS!$P$3,tabela_registros[CATEGORIA],despesafixaconsolidadomar[[#This Row],[DESPESA FIXA]])</f>
        <v>0</v>
      </c>
      <c r="N49" s="91">
        <f>SUMIFS(tabela_registros[VALOR],tabela_registros[MÊS],$AE$1,tabela_registros[DIA],martotal3059[[#Headers],[10]],tabela_registros[REGISTRO],DADOS!$N$4,tabela_registros[TIPO],DADOS!$P$3,tabela_registros[CATEGORIA],despesafixaconsolidadomar[[#This Row],[DESPESA FIXA]])</f>
        <v>0</v>
      </c>
      <c r="O49" s="91">
        <f>SUMIFS(tabela_registros[VALOR],tabela_registros[MÊS],$AE$1,tabela_registros[DIA],martotal3059[[#Headers],[11]],tabela_registros[REGISTRO],DADOS!$N$4,tabela_registros[TIPO],DADOS!$P$3,tabela_registros[CATEGORIA],despesafixaconsolidadomar[[#This Row],[DESPESA FIXA]])</f>
        <v>0</v>
      </c>
      <c r="P49" s="91">
        <f>SUMIFS(tabela_registros[VALOR],tabela_registros[MÊS],$AE$1,tabela_registros[DIA],martotal3059[[#Headers],[12]],tabela_registros[REGISTRO],DADOS!$N$4,tabela_registros[TIPO],DADOS!$P$3,tabela_registros[CATEGORIA],despesafixaconsolidadomar[[#This Row],[DESPESA FIXA]])</f>
        <v>0</v>
      </c>
      <c r="Q49" s="91">
        <f>SUMIFS(tabela_registros[VALOR],tabela_registros[MÊS],$AE$1,tabela_registros[DIA],martotal3059[[#Headers],[13]],tabela_registros[REGISTRO],DADOS!$N$4,tabela_registros[TIPO],DADOS!$P$3,tabela_registros[CATEGORIA],despesafixaconsolidadomar[[#This Row],[DESPESA FIXA]])</f>
        <v>0</v>
      </c>
      <c r="R49" s="91">
        <f>SUMIFS(tabela_registros[VALOR],tabela_registros[MÊS],$AE$1,tabela_registros[DIA],martotal3059[[#Headers],[14]],tabela_registros[REGISTRO],DADOS!$N$4,tabela_registros[TIPO],DADOS!$P$3,tabela_registros[CATEGORIA],despesafixaconsolidadomar[[#This Row],[DESPESA FIXA]])</f>
        <v>0</v>
      </c>
      <c r="S49" s="91">
        <f>SUMIFS(tabela_registros[VALOR],tabela_registros[MÊS],$AE$1,tabela_registros[DIA],martotal3059[[#Headers],[15]],tabela_registros[REGISTRO],DADOS!$N$4,tabela_registros[TIPO],DADOS!$P$3,tabela_registros[CATEGORIA],despesafixaconsolidadomar[[#This Row],[DESPESA FIXA]])</f>
        <v>0</v>
      </c>
      <c r="T49" s="91">
        <f>SUMIFS(tabela_registros[VALOR],tabela_registros[MÊS],$AE$1,tabela_registros[DIA],martotal3059[[#Headers],[16]],tabela_registros[REGISTRO],DADOS!$N$4,tabela_registros[TIPO],DADOS!$P$3,tabela_registros[CATEGORIA],despesafixaconsolidadomar[[#This Row],[DESPESA FIXA]])</f>
        <v>0</v>
      </c>
      <c r="U49" s="91">
        <f>SUMIFS(tabela_registros[VALOR],tabela_registros[MÊS],$AE$1,tabela_registros[DIA],martotal3059[[#Headers],[17]],tabela_registros[REGISTRO],DADOS!$N$4,tabela_registros[TIPO],DADOS!$P$3,tabela_registros[CATEGORIA],despesafixaconsolidadomar[[#This Row],[DESPESA FIXA]])</f>
        <v>0</v>
      </c>
      <c r="V49" s="91">
        <f>SUMIFS(tabela_registros[VALOR],tabela_registros[MÊS],$AE$1,tabela_registros[DIA],martotal3059[[#Headers],[18]],tabela_registros[REGISTRO],DADOS!$N$4,tabela_registros[TIPO],DADOS!$P$3,tabela_registros[CATEGORIA],despesafixaconsolidadomar[[#This Row],[DESPESA FIXA]])</f>
        <v>0</v>
      </c>
      <c r="W49" s="91">
        <f>SUMIFS(tabela_registros[VALOR],tabela_registros[MÊS],$AE$1,tabela_registros[DIA],martotal3059[[#Headers],[19]],tabela_registros[REGISTRO],DADOS!$N$4,tabela_registros[TIPO],DADOS!$P$3,tabela_registros[CATEGORIA],despesafixaconsolidadomar[[#This Row],[DESPESA FIXA]])</f>
        <v>0</v>
      </c>
      <c r="X49" s="91">
        <f>SUMIFS(tabela_registros[VALOR],tabela_registros[MÊS],$AE$1,tabela_registros[DIA],martotal3059[[#Headers],[20]],tabela_registros[REGISTRO],DADOS!$N$4,tabela_registros[TIPO],DADOS!$P$3,tabela_registros[CATEGORIA],despesafixaconsolidadomar[[#This Row],[DESPESA FIXA]])</f>
        <v>0</v>
      </c>
      <c r="Y49" s="91">
        <f>SUMIFS(tabela_registros[VALOR],tabela_registros[MÊS],$AE$1,tabela_registros[DIA],martotal3059[[#Headers],[21]],tabela_registros[REGISTRO],DADOS!$N$4,tabela_registros[TIPO],DADOS!$P$3,tabela_registros[CATEGORIA],despesafixaconsolidadomar[[#This Row],[DESPESA FIXA]])</f>
        <v>0</v>
      </c>
      <c r="Z49" s="91">
        <f>SUMIFS(tabela_registros[VALOR],tabela_registros[MÊS],$AE$1,tabela_registros[DIA],martotal3059[[#Headers],[22]],tabela_registros[REGISTRO],DADOS!$N$4,tabela_registros[TIPO],DADOS!$P$3,tabela_registros[CATEGORIA],despesafixaconsolidadomar[[#This Row],[DESPESA FIXA]])</f>
        <v>0</v>
      </c>
      <c r="AA49" s="91">
        <f>SUMIFS(tabela_registros[VALOR],tabela_registros[MÊS],$AE$1,tabela_registros[DIA],martotal3059[[#Headers],[23]],tabela_registros[REGISTRO],DADOS!$N$4,tabela_registros[TIPO],DADOS!$P$3,tabela_registros[CATEGORIA],despesafixaconsolidadomar[[#This Row],[DESPESA FIXA]])</f>
        <v>0</v>
      </c>
      <c r="AB49" s="91">
        <f>SUMIFS(tabela_registros[VALOR],tabela_registros[MÊS],$AE$1,tabela_registros[DIA],martotal3059[[#Headers],[24]],tabela_registros[REGISTRO],DADOS!$N$4,tabela_registros[TIPO],DADOS!$P$3,tabela_registros[CATEGORIA],despesafixaconsolidadomar[[#This Row],[DESPESA FIXA]])</f>
        <v>0</v>
      </c>
      <c r="AC49" s="91">
        <f>SUMIFS(tabela_registros[VALOR],tabela_registros[MÊS],$AE$1,tabela_registros[DIA],martotal3059[[#Headers],[25]],tabela_registros[REGISTRO],DADOS!$N$4,tabela_registros[TIPO],DADOS!$P$3,tabela_registros[CATEGORIA],despesafixaconsolidadomar[[#This Row],[DESPESA FIXA]])</f>
        <v>0</v>
      </c>
      <c r="AD49" s="91">
        <f>SUMIFS(tabela_registros[VALOR],tabela_registros[MÊS],$AE$1,tabela_registros[DIA],martotal3059[[#Headers],[26]],tabela_registros[REGISTRO],DADOS!$N$4,tabela_registros[TIPO],DADOS!$P$3,tabela_registros[CATEGORIA],despesafixaconsolidadomar[[#This Row],[DESPESA FIXA]])</f>
        <v>0</v>
      </c>
      <c r="AE49" s="91">
        <f>SUMIFS(tabela_registros[VALOR],tabela_registros[MÊS],$AE$1,tabela_registros[DIA],martotal3059[[#Headers],[27]],tabela_registros[REGISTRO],DADOS!$N$4,tabela_registros[TIPO],DADOS!$P$3,tabela_registros[CATEGORIA],despesafixaconsolidadomar[[#This Row],[DESPESA FIXA]])</f>
        <v>0</v>
      </c>
      <c r="AF49" s="91">
        <f>SUMIFS(tabela_registros[VALOR],tabela_registros[MÊS],$AE$1,tabela_registros[DIA],martotal3059[[#Headers],[28]],tabela_registros[REGISTRO],DADOS!$N$4,tabela_registros[TIPO],DADOS!$P$3,tabela_registros[CATEGORIA],despesafixaconsolidadomar[[#This Row],[DESPESA FIXA]])</f>
        <v>0</v>
      </c>
      <c r="AG49" s="91">
        <f>SUMIFS(tabela_registros[VALOR],tabela_registros[MÊS],$AE$1,tabela_registros[DIA],martotal3059[[#Headers],[29]],tabela_registros[REGISTRO],DADOS!$N$4,tabela_registros[TIPO],DADOS!$P$3,tabela_registros[CATEGORIA],despesafixaconsolidadomar[[#This Row],[DESPESA FIXA]])</f>
        <v>0</v>
      </c>
      <c r="AH49" s="91">
        <f>SUMIFS(tabela_registros[VALOR],tabela_registros[MÊS],$AE$1,tabela_registros[DIA],martotal3059[[#Headers],[30]],tabela_registros[REGISTRO],DADOS!$N$4,tabela_registros[TIPO],DADOS!$P$3,tabela_registros[CATEGORIA],despesafixaconsolidadomar[[#This Row],[DESPESA FIXA]])</f>
        <v>0</v>
      </c>
      <c r="AI49" s="101">
        <f>SUMIFS(tabela_registros[VALOR],tabela_registros[MÊS],$AE$1,tabela_registros[DIA],martotal3059[[#Headers],[31]],tabela_registros[REGISTRO],DADOS!$N$4,tabela_registros[TIPO],DADOS!$P$3,tabela_registros[CATEGORIA],despesafixaconsolidadomar[[#This Row],[DESPESA FIXA]])</f>
        <v>0</v>
      </c>
      <c r="AJ49" s="97">
        <f>SUM(despesafixaconsolidadomar[[#This Row],[1]:[31]])</f>
        <v>0</v>
      </c>
      <c r="AK49" s="28"/>
    </row>
    <row r="50" spans="2:37" ht="18" customHeight="1" thickTop="1" thickBot="1" x14ac:dyDescent="0.3">
      <c r="B50" s="28"/>
      <c r="C50" s="27" t="str">
        <f>DADOS!$R$16</f>
        <v>📎 OUTROS</v>
      </c>
      <c r="D50" s="26" t="str">
        <f>IF(despesafixaconsolidadomar[[#This Row],[TOTAL]]=0,"",IF(OR(despesafixaconsolidadomar[[#This Row],[TOTAL]]=LARGE($AJ$37:$AJ$50,1),despesafixaconsolidadomar[[#This Row],[TOTAL]]=LARGE($AJ$37:$AJ$50,2),despesafixaconsolidadomar[[#This Row],[TOTAL]]=LARGE($AJ$37:$AJ$50,3),despesafixaconsolidadomar[[#This Row],[TOTAL]]=LARGE($AJ$37:$AJ$50,4),despesafixaconsolidadomar[[#This Row],[TOTAL]]=LARGE($AJ$37:$AJ$50,5)),DADOS!$I$8,""))</f>
        <v/>
      </c>
      <c r="E50" s="98">
        <f>SUMIFS(tabela_registros[VALOR],tabela_registros[MÊS],$AE$1,tabela_registros[DIA],martotal3059[[#Headers],[1]],tabela_registros[REGISTRO],DADOS!$N$4,tabela_registros[TIPO],DADOS!$P$3,tabela_registros[CATEGORIA],despesafixaconsolidadomar[[#This Row],[DESPESA FIXA]])</f>
        <v>0</v>
      </c>
      <c r="F50" s="99">
        <f>SUMIFS(tabela_registros[VALOR],tabela_registros[MÊS],$AE$1,tabela_registros[DIA],martotal3059[[#Headers],[2]],tabela_registros[REGISTRO],DADOS!$N$4,tabela_registros[TIPO],DADOS!$P$3,tabela_registros[CATEGORIA],despesafixaconsolidadomar[[#This Row],[DESPESA FIXA]])</f>
        <v>0</v>
      </c>
      <c r="G50" s="99">
        <f>SUMIFS(tabela_registros[VALOR],tabela_registros[MÊS],$AE$1,tabela_registros[DIA],martotal3059[[#Headers],[3]],tabela_registros[REGISTRO],DADOS!$N$4,tabela_registros[TIPO],DADOS!$P$3,tabela_registros[CATEGORIA],despesafixaconsolidadomar[[#This Row],[DESPESA FIXA]])</f>
        <v>0</v>
      </c>
      <c r="H50" s="99">
        <f>SUMIFS(tabela_registros[VALOR],tabela_registros[MÊS],$AE$1,tabela_registros[DIA],martotal3059[[#Headers],[4]],tabela_registros[REGISTRO],DADOS!$N$4,tabela_registros[TIPO],DADOS!$P$3,tabela_registros[CATEGORIA],despesafixaconsolidadomar[[#This Row],[DESPESA FIXA]])</f>
        <v>0</v>
      </c>
      <c r="I50" s="99">
        <f>SUMIFS(tabela_registros[VALOR],tabela_registros[MÊS],$AE$1,tabela_registros[DIA],martotal3059[[#Headers],[5]],tabela_registros[REGISTRO],DADOS!$N$4,tabela_registros[TIPO],DADOS!$P$3,tabela_registros[CATEGORIA],despesafixaconsolidadomar[[#This Row],[DESPESA FIXA]])</f>
        <v>0</v>
      </c>
      <c r="J50" s="99">
        <f>SUMIFS(tabela_registros[VALOR],tabela_registros[MÊS],$AE$1,tabela_registros[DIA],martotal3059[[#Headers],[6]],tabela_registros[REGISTRO],DADOS!$N$4,tabela_registros[TIPO],DADOS!$P$3,tabela_registros[CATEGORIA],despesafixaconsolidadomar[[#This Row],[DESPESA FIXA]])</f>
        <v>0</v>
      </c>
      <c r="K50" s="99">
        <f>SUMIFS(tabela_registros[VALOR],tabela_registros[MÊS],$AE$1,tabela_registros[DIA],martotal3059[[#Headers],[7]],tabela_registros[REGISTRO],DADOS!$N$4,tabela_registros[TIPO],DADOS!$P$3,tabela_registros[CATEGORIA],despesafixaconsolidadomar[[#This Row],[DESPESA FIXA]])</f>
        <v>0</v>
      </c>
      <c r="L50" s="99">
        <f>SUMIFS(tabela_registros[VALOR],tabela_registros[MÊS],$AE$1,tabela_registros[DIA],martotal3059[[#Headers],[8]],tabela_registros[REGISTRO],DADOS!$N$4,tabela_registros[TIPO],DADOS!$P$3,tabela_registros[CATEGORIA],despesafixaconsolidadomar[[#This Row],[DESPESA FIXA]])</f>
        <v>0</v>
      </c>
      <c r="M50" s="99">
        <f>SUMIFS(tabela_registros[VALOR],tabela_registros[MÊS],$AE$1,tabela_registros[DIA],martotal3059[[#Headers],[9]],tabela_registros[REGISTRO],DADOS!$N$4,tabela_registros[TIPO],DADOS!$P$3,tabela_registros[CATEGORIA],despesafixaconsolidadomar[[#This Row],[DESPESA FIXA]])</f>
        <v>0</v>
      </c>
      <c r="N50" s="99">
        <f>SUMIFS(tabela_registros[VALOR],tabela_registros[MÊS],$AE$1,tabela_registros[DIA],martotal3059[[#Headers],[10]],tabela_registros[REGISTRO],DADOS!$N$4,tabela_registros[TIPO],DADOS!$P$3,tabela_registros[CATEGORIA],despesafixaconsolidadomar[[#This Row],[DESPESA FIXA]])</f>
        <v>0</v>
      </c>
      <c r="O50" s="99">
        <f>SUMIFS(tabela_registros[VALOR],tabela_registros[MÊS],$AE$1,tabela_registros[DIA],martotal3059[[#Headers],[11]],tabela_registros[REGISTRO],DADOS!$N$4,tabela_registros[TIPO],DADOS!$P$3,tabela_registros[CATEGORIA],despesafixaconsolidadomar[[#This Row],[DESPESA FIXA]])</f>
        <v>0</v>
      </c>
      <c r="P50" s="99">
        <f>SUMIFS(tabela_registros[VALOR],tabela_registros[MÊS],$AE$1,tabela_registros[DIA],martotal3059[[#Headers],[12]],tabela_registros[REGISTRO],DADOS!$N$4,tabela_registros[TIPO],DADOS!$P$3,tabela_registros[CATEGORIA],despesafixaconsolidadomar[[#This Row],[DESPESA FIXA]])</f>
        <v>0</v>
      </c>
      <c r="Q50" s="99">
        <f>SUMIFS(tabela_registros[VALOR],tabela_registros[MÊS],$AE$1,tabela_registros[DIA],martotal3059[[#Headers],[13]],tabela_registros[REGISTRO],DADOS!$N$4,tabela_registros[TIPO],DADOS!$P$3,tabela_registros[CATEGORIA],despesafixaconsolidadomar[[#This Row],[DESPESA FIXA]])</f>
        <v>0</v>
      </c>
      <c r="R50" s="99">
        <f>SUMIFS(tabela_registros[VALOR],tabela_registros[MÊS],$AE$1,tabela_registros[DIA],martotal3059[[#Headers],[14]],tabela_registros[REGISTRO],DADOS!$N$4,tabela_registros[TIPO],DADOS!$P$3,tabela_registros[CATEGORIA],despesafixaconsolidadomar[[#This Row],[DESPESA FIXA]])</f>
        <v>0</v>
      </c>
      <c r="S50" s="99">
        <f>SUMIFS(tabela_registros[VALOR],tabela_registros[MÊS],$AE$1,tabela_registros[DIA],martotal3059[[#Headers],[15]],tabela_registros[REGISTRO],DADOS!$N$4,tabela_registros[TIPO],DADOS!$P$3,tabela_registros[CATEGORIA],despesafixaconsolidadomar[[#This Row],[DESPESA FIXA]])</f>
        <v>0</v>
      </c>
      <c r="T50" s="99">
        <f>SUMIFS(tabela_registros[VALOR],tabela_registros[MÊS],$AE$1,tabela_registros[DIA],martotal3059[[#Headers],[16]],tabela_registros[REGISTRO],DADOS!$N$4,tabela_registros[TIPO],DADOS!$P$3,tabela_registros[CATEGORIA],despesafixaconsolidadomar[[#This Row],[DESPESA FIXA]])</f>
        <v>0</v>
      </c>
      <c r="U50" s="99">
        <f>SUMIFS(tabela_registros[VALOR],tabela_registros[MÊS],$AE$1,tabela_registros[DIA],martotal3059[[#Headers],[17]],tabela_registros[REGISTRO],DADOS!$N$4,tabela_registros[TIPO],DADOS!$P$3,tabela_registros[CATEGORIA],despesafixaconsolidadomar[[#This Row],[DESPESA FIXA]])</f>
        <v>0</v>
      </c>
      <c r="V50" s="99">
        <f>SUMIFS(tabela_registros[VALOR],tabela_registros[MÊS],$AE$1,tabela_registros[DIA],martotal3059[[#Headers],[18]],tabela_registros[REGISTRO],DADOS!$N$4,tabela_registros[TIPO],DADOS!$P$3,tabela_registros[CATEGORIA],despesafixaconsolidadomar[[#This Row],[DESPESA FIXA]])</f>
        <v>0</v>
      </c>
      <c r="W50" s="99">
        <f>SUMIFS(tabela_registros[VALOR],tabela_registros[MÊS],$AE$1,tabela_registros[DIA],martotal3059[[#Headers],[19]],tabela_registros[REGISTRO],DADOS!$N$4,tabela_registros[TIPO],DADOS!$P$3,tabela_registros[CATEGORIA],despesafixaconsolidadomar[[#This Row],[DESPESA FIXA]])</f>
        <v>0</v>
      </c>
      <c r="X50" s="99">
        <f>SUMIFS(tabela_registros[VALOR],tabela_registros[MÊS],$AE$1,tabela_registros[DIA],martotal3059[[#Headers],[20]],tabela_registros[REGISTRO],DADOS!$N$4,tabela_registros[TIPO],DADOS!$P$3,tabela_registros[CATEGORIA],despesafixaconsolidadomar[[#This Row],[DESPESA FIXA]])</f>
        <v>0</v>
      </c>
      <c r="Y50" s="99">
        <f>SUMIFS(tabela_registros[VALOR],tabela_registros[MÊS],$AE$1,tabela_registros[DIA],martotal3059[[#Headers],[21]],tabela_registros[REGISTRO],DADOS!$N$4,tabela_registros[TIPO],DADOS!$P$3,tabela_registros[CATEGORIA],despesafixaconsolidadomar[[#This Row],[DESPESA FIXA]])</f>
        <v>0</v>
      </c>
      <c r="Z50" s="99">
        <f>SUMIFS(tabela_registros[VALOR],tabela_registros[MÊS],$AE$1,tabela_registros[DIA],martotal3059[[#Headers],[22]],tabela_registros[REGISTRO],DADOS!$N$4,tabela_registros[TIPO],DADOS!$P$3,tabela_registros[CATEGORIA],despesafixaconsolidadomar[[#This Row],[DESPESA FIXA]])</f>
        <v>0</v>
      </c>
      <c r="AA50" s="99">
        <f>SUMIFS(tabela_registros[VALOR],tabela_registros[MÊS],$AE$1,tabela_registros[DIA],martotal3059[[#Headers],[23]],tabela_registros[REGISTRO],DADOS!$N$4,tabela_registros[TIPO],DADOS!$P$3,tabela_registros[CATEGORIA],despesafixaconsolidadomar[[#This Row],[DESPESA FIXA]])</f>
        <v>0</v>
      </c>
      <c r="AB50" s="99">
        <f>SUMIFS(tabela_registros[VALOR],tabela_registros[MÊS],$AE$1,tabela_registros[DIA],martotal3059[[#Headers],[24]],tabela_registros[REGISTRO],DADOS!$N$4,tabela_registros[TIPO],DADOS!$P$3,tabela_registros[CATEGORIA],despesafixaconsolidadomar[[#This Row],[DESPESA FIXA]])</f>
        <v>0</v>
      </c>
      <c r="AC50" s="99">
        <f>SUMIFS(tabela_registros[VALOR],tabela_registros[MÊS],$AE$1,tabela_registros[DIA],martotal3059[[#Headers],[25]],tabela_registros[REGISTRO],DADOS!$N$4,tabela_registros[TIPO],DADOS!$P$3,tabela_registros[CATEGORIA],despesafixaconsolidadomar[[#This Row],[DESPESA FIXA]])</f>
        <v>0</v>
      </c>
      <c r="AD50" s="99">
        <f>SUMIFS(tabela_registros[VALOR],tabela_registros[MÊS],$AE$1,tabela_registros[DIA],martotal3059[[#Headers],[26]],tabela_registros[REGISTRO],DADOS!$N$4,tabela_registros[TIPO],DADOS!$P$3,tabela_registros[CATEGORIA],despesafixaconsolidadomar[[#This Row],[DESPESA FIXA]])</f>
        <v>0</v>
      </c>
      <c r="AE50" s="99">
        <f>SUMIFS(tabela_registros[VALOR],tabela_registros[MÊS],$AE$1,tabela_registros[DIA],martotal3059[[#Headers],[27]],tabela_registros[REGISTRO],DADOS!$N$4,tabela_registros[TIPO],DADOS!$P$3,tabela_registros[CATEGORIA],despesafixaconsolidadomar[[#This Row],[DESPESA FIXA]])</f>
        <v>0</v>
      </c>
      <c r="AF50" s="99">
        <f>SUMIFS(tabela_registros[VALOR],tabela_registros[MÊS],$AE$1,tabela_registros[DIA],martotal3059[[#Headers],[28]],tabela_registros[REGISTRO],DADOS!$N$4,tabela_registros[TIPO],DADOS!$P$3,tabela_registros[CATEGORIA],despesafixaconsolidadomar[[#This Row],[DESPESA FIXA]])</f>
        <v>0</v>
      </c>
      <c r="AG50" s="99">
        <f>SUMIFS(tabela_registros[VALOR],tabela_registros[MÊS],$AE$1,tabela_registros[DIA],martotal3059[[#Headers],[29]],tabela_registros[REGISTRO],DADOS!$N$4,tabela_registros[TIPO],DADOS!$P$3,tabela_registros[CATEGORIA],despesafixaconsolidadomar[[#This Row],[DESPESA FIXA]])</f>
        <v>0</v>
      </c>
      <c r="AH50" s="99">
        <f>SUMIFS(tabela_registros[VALOR],tabela_registros[MÊS],$AE$1,tabela_registros[DIA],martotal3059[[#Headers],[30]],tabela_registros[REGISTRO],DADOS!$N$4,tabela_registros[TIPO],DADOS!$P$3,tabela_registros[CATEGORIA],despesafixaconsolidadomar[[#This Row],[DESPESA FIXA]])</f>
        <v>0</v>
      </c>
      <c r="AI50" s="102">
        <f>SUMIFS(tabela_registros[VALOR],tabela_registros[MÊS],$AE$1,tabela_registros[DIA],martotal3059[[#Headers],[31]],tabela_registros[REGISTRO],DADOS!$N$4,tabela_registros[TIPO],DADOS!$P$3,tabela_registros[CATEGORIA],despesafixaconsolidadomar[[#This Row],[DESPESA FIXA]])</f>
        <v>0</v>
      </c>
      <c r="AJ50" s="103">
        <f>SUM(despesafixaconsolidadomar[[#This Row],[1]:[31]])</f>
        <v>0</v>
      </c>
      <c r="AK50" s="28"/>
    </row>
    <row r="51" spans="2:37" s="16" customFormat="1" ht="21" customHeight="1" thickTop="1" thickBot="1" x14ac:dyDescent="0.35">
      <c r="B51" s="24"/>
      <c r="C51" s="23" t="s">
        <v>19</v>
      </c>
      <c r="D51" s="41" t="str">
        <f>IF(despesafixaconsolidadomar[[#This Row],[TOTAL]]=0,"",IF(OR(despesafixaconsolidadomar[[#This Row],[TOTAL]]=SMALL($AJ$37:$AJ$50,1),despesafixaconsolidadomar[[#This Row],[TOTAL]]=SMALL($AJ$37:$AJ$50,2),despesafixaconsolidadomar[[#This Row],[TOTAL]]=SMALL($AJ$37:$AJ$50,3),despesafixaconsolidadomar[[#This Row],[TOTAL]]=SMALL($AJ$37:$AJ$50,4),despesafixaconsolidadomar[[#This Row],[TOTAL]]=SMALL($AJ$37:$AJ$50,5)),DADOS!$I$8,""))</f>
        <v/>
      </c>
      <c r="E51" s="21">
        <f>SUM(E37:E50)</f>
        <v>0</v>
      </c>
      <c r="F51" s="20">
        <f>SUM(F37:F50)+despesafixaconsolidadomar[[#This Row],[1]]</f>
        <v>0</v>
      </c>
      <c r="G51" s="20">
        <f>SUM(G37:G50)+despesafixaconsolidadomar[[#This Row],[2]]</f>
        <v>0</v>
      </c>
      <c r="H51" s="20">
        <f>SUM(H37:H50)+despesafixaconsolidadomar[[#This Row],[3]]</f>
        <v>0</v>
      </c>
      <c r="I51" s="20">
        <f>SUM(I37:I50)+despesafixaconsolidadomar[[#This Row],[4]]</f>
        <v>0</v>
      </c>
      <c r="J51" s="20">
        <f>SUM(J37:J50)+despesafixaconsolidadomar[[#This Row],[5]]</f>
        <v>0</v>
      </c>
      <c r="K51" s="20">
        <f>SUM(K37:K50)+despesafixaconsolidadomar[[#This Row],[6]]</f>
        <v>0</v>
      </c>
      <c r="L51" s="20">
        <f>SUM(L37:L50)+despesafixaconsolidadomar[[#This Row],[7]]</f>
        <v>0</v>
      </c>
      <c r="M51" s="20">
        <f>SUM(M37:M50)+despesafixaconsolidadomar[[#This Row],[8]]</f>
        <v>0</v>
      </c>
      <c r="N51" s="20">
        <f>SUM(N37:N50)+despesafixaconsolidadomar[[#This Row],[9]]</f>
        <v>0</v>
      </c>
      <c r="O51" s="20">
        <f>SUM(O37:O50)+despesafixaconsolidadomar[[#This Row],[10]]</f>
        <v>0</v>
      </c>
      <c r="P51" s="20">
        <f>SUM(P37:P50)+despesafixaconsolidadomar[[#This Row],[11]]</f>
        <v>0</v>
      </c>
      <c r="Q51" s="20">
        <f>SUM(Q37:Q50)+despesafixaconsolidadomar[[#This Row],[12]]</f>
        <v>0</v>
      </c>
      <c r="R51" s="20">
        <f>SUM(R37:R50)+despesafixaconsolidadomar[[#This Row],[13]]</f>
        <v>0</v>
      </c>
      <c r="S51" s="20">
        <f>SUM(S37:S50)+despesafixaconsolidadomar[[#This Row],[14]]</f>
        <v>0</v>
      </c>
      <c r="T51" s="20">
        <f>SUM(T37:T50)+despesafixaconsolidadomar[[#This Row],[15]]</f>
        <v>0</v>
      </c>
      <c r="U51" s="20">
        <f>SUM(U37:U50)+despesafixaconsolidadomar[[#This Row],[16]]</f>
        <v>0</v>
      </c>
      <c r="V51" s="20">
        <f>SUM(V37:V50)+despesafixaconsolidadomar[[#This Row],[17]]</f>
        <v>0</v>
      </c>
      <c r="W51" s="20">
        <f>SUM(W37:W50)+despesafixaconsolidadomar[[#This Row],[18]]</f>
        <v>0</v>
      </c>
      <c r="X51" s="20">
        <f>SUM(X37:X50)+despesafixaconsolidadomar[[#This Row],[19]]</f>
        <v>352</v>
      </c>
      <c r="Y51" s="20">
        <f>SUM(Y37:Y50)+despesafixaconsolidadomar[[#This Row],[20]]</f>
        <v>352</v>
      </c>
      <c r="Z51" s="20">
        <f>SUM(Z37:Z50)+despesafixaconsolidadomar[[#This Row],[21]]</f>
        <v>352</v>
      </c>
      <c r="AA51" s="20">
        <f>SUM(AA37:AA50)+despesafixaconsolidadomar[[#This Row],[22]]</f>
        <v>352</v>
      </c>
      <c r="AB51" s="20">
        <f>SUM(AB37:AB50)+despesafixaconsolidadomar[[#This Row],[23]]</f>
        <v>352</v>
      </c>
      <c r="AC51" s="20">
        <f>SUM(AC37:AC50)+despesafixaconsolidadomar[[#This Row],[24]]</f>
        <v>352</v>
      </c>
      <c r="AD51" s="20">
        <f>SUM(AD37:AD50)+despesafixaconsolidadomar[[#This Row],[25]]</f>
        <v>352</v>
      </c>
      <c r="AE51" s="20">
        <f>SUM(AE37:AE50)+despesafixaconsolidadomar[[#This Row],[26]]</f>
        <v>352</v>
      </c>
      <c r="AF51" s="20">
        <f>SUM(AF37:AF50)+despesafixaconsolidadomar[[#This Row],[27]]</f>
        <v>352</v>
      </c>
      <c r="AG51" s="20">
        <f>SUM(AG37:AG50)+despesafixaconsolidadomar[[#This Row],[28]]</f>
        <v>352</v>
      </c>
      <c r="AH51" s="20">
        <f>SUM(AH37:AH50)+despesafixaconsolidadomar[[#This Row],[29]]</f>
        <v>352</v>
      </c>
      <c r="AI51" s="19">
        <f>SUM(AI37:AI50)+despesafixaconsolidadomar[[#This Row],[30]]</f>
        <v>352</v>
      </c>
      <c r="AJ51" s="18">
        <f>despesafixaconsolidadomar[[#This Row],[31]]</f>
        <v>352</v>
      </c>
      <c r="AK51" s="17"/>
    </row>
    <row r="52" spans="2:37" ht="6.75" customHeight="1" thickTop="1" thickBot="1" x14ac:dyDescent="0.3">
      <c r="B52" s="15"/>
      <c r="C52" s="40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39"/>
      <c r="AG52" s="39"/>
      <c r="AH52" s="39"/>
      <c r="AI52" s="48"/>
      <c r="AJ52" s="15"/>
      <c r="AK52" s="10"/>
    </row>
    <row r="53" spans="2:37" ht="12.6" thickTop="1" x14ac:dyDescent="0.25">
      <c r="C53" s="46"/>
      <c r="D53" s="47"/>
      <c r="E53" s="47"/>
      <c r="F53" s="47"/>
      <c r="G53" s="47"/>
      <c r="H53" s="47"/>
      <c r="I53" s="47"/>
      <c r="J53" s="47"/>
      <c r="K53" s="47"/>
      <c r="L53" s="47"/>
      <c r="M53" s="47"/>
      <c r="N53" s="47"/>
      <c r="O53" s="47"/>
      <c r="P53" s="47"/>
      <c r="Q53" s="47"/>
      <c r="R53" s="47"/>
      <c r="S53" s="47"/>
      <c r="T53" s="47"/>
      <c r="U53" s="47"/>
      <c r="V53" s="47"/>
      <c r="W53" s="47"/>
      <c r="X53" s="47"/>
      <c r="Y53" s="47"/>
      <c r="Z53" s="47"/>
      <c r="AA53" s="47"/>
      <c r="AB53" s="47"/>
      <c r="AC53" s="47"/>
      <c r="AD53" s="47"/>
      <c r="AE53" s="47"/>
      <c r="AF53" s="47"/>
      <c r="AG53" s="47"/>
      <c r="AH53" s="47"/>
      <c r="AI53" s="47"/>
      <c r="AK53" s="37"/>
    </row>
    <row r="54" spans="2:37" x14ac:dyDescent="0.25">
      <c r="C54" s="46"/>
      <c r="D54" s="47"/>
      <c r="E54" s="47"/>
      <c r="F54" s="47"/>
      <c r="G54" s="47"/>
      <c r="H54" s="47"/>
      <c r="I54" s="47"/>
      <c r="J54" s="47"/>
      <c r="K54" s="47"/>
      <c r="L54" s="47"/>
      <c r="M54" s="47"/>
      <c r="N54" s="47"/>
      <c r="O54" s="47"/>
      <c r="P54" s="47"/>
      <c r="Q54" s="47"/>
      <c r="R54" s="47"/>
      <c r="S54" s="47"/>
      <c r="T54" s="47"/>
      <c r="U54" s="47"/>
      <c r="V54" s="47"/>
      <c r="W54" s="47"/>
      <c r="X54" s="47"/>
      <c r="Y54" s="47"/>
      <c r="Z54" s="47"/>
      <c r="AA54" s="47"/>
      <c r="AB54" s="47"/>
      <c r="AC54" s="47"/>
      <c r="AD54" s="47"/>
      <c r="AE54" s="47"/>
      <c r="AF54" s="47"/>
      <c r="AG54" s="47"/>
      <c r="AH54" s="47"/>
      <c r="AI54" s="47"/>
    </row>
    <row r="55" spans="2:37" x14ac:dyDescent="0.25">
      <c r="C55" s="46"/>
      <c r="D55" s="47"/>
      <c r="E55" s="47"/>
      <c r="F55" s="47"/>
      <c r="G55" s="47"/>
      <c r="H55" s="47"/>
      <c r="I55" s="47"/>
      <c r="J55" s="47"/>
      <c r="K55" s="47"/>
      <c r="L55" s="47"/>
      <c r="M55" s="47"/>
      <c r="N55" s="47"/>
      <c r="O55" s="47"/>
      <c r="P55" s="47"/>
      <c r="Q55" s="47"/>
      <c r="R55" s="47"/>
      <c r="S55" s="47"/>
      <c r="T55" s="47"/>
      <c r="U55" s="47"/>
      <c r="V55" s="47"/>
      <c r="W55" s="47"/>
      <c r="X55" s="47"/>
      <c r="Y55" s="47"/>
      <c r="Z55" s="47"/>
      <c r="AA55" s="47"/>
      <c r="AB55" s="47"/>
      <c r="AC55" s="47"/>
      <c r="AD55" s="47"/>
      <c r="AE55" s="47"/>
      <c r="AF55" s="47"/>
      <c r="AG55" s="47"/>
      <c r="AH55" s="47"/>
      <c r="AI55" s="47"/>
    </row>
    <row r="56" spans="2:37" ht="39.75" customHeight="1" x14ac:dyDescent="0.25">
      <c r="C56" s="46"/>
      <c r="E56" s="240"/>
      <c r="F56" s="240"/>
      <c r="G56" s="240"/>
      <c r="H56" s="240"/>
      <c r="I56" s="240"/>
      <c r="J56" s="240"/>
      <c r="K56" s="240"/>
      <c r="L56" s="240"/>
      <c r="M56" s="240"/>
      <c r="N56" s="240"/>
      <c r="O56" s="240"/>
      <c r="P56" s="240"/>
      <c r="Q56" s="240"/>
      <c r="R56" s="240"/>
      <c r="S56" s="240"/>
      <c r="T56" s="240"/>
      <c r="U56" s="240"/>
      <c r="V56" s="240"/>
      <c r="W56" s="240"/>
      <c r="X56" s="240"/>
      <c r="Y56" s="240"/>
      <c r="Z56" s="240"/>
      <c r="AA56" s="240"/>
      <c r="AB56" s="240"/>
      <c r="AC56" s="240"/>
      <c r="AD56" s="240"/>
      <c r="AE56" s="240"/>
      <c r="AF56" s="240"/>
      <c r="AG56" s="240"/>
      <c r="AH56" s="240"/>
      <c r="AI56" s="240"/>
      <c r="AJ56" s="32" t="s">
        <v>19</v>
      </c>
    </row>
    <row r="57" spans="2:37" ht="11.25" customHeight="1" thickBot="1" x14ac:dyDescent="0.75">
      <c r="C57" s="36"/>
      <c r="AI57" s="4"/>
      <c r="AJ57" s="34" t="s">
        <v>202</v>
      </c>
    </row>
    <row r="58" spans="2:37" ht="6.75" customHeight="1" thickTop="1" thickBot="1" x14ac:dyDescent="0.3">
      <c r="B58" s="33"/>
      <c r="C58" s="45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44"/>
      <c r="AH58" s="44"/>
      <c r="AI58" s="44"/>
      <c r="AJ58" s="43"/>
      <c r="AK58" s="33"/>
    </row>
    <row r="59" spans="2:37" ht="12.6" hidden="1" thickBot="1" x14ac:dyDescent="0.3">
      <c r="B59" s="2"/>
      <c r="C59" s="31" t="s">
        <v>116</v>
      </c>
      <c r="D59" s="30" t="s">
        <v>198</v>
      </c>
      <c r="E59" s="30" t="s">
        <v>197</v>
      </c>
      <c r="F59" s="30" t="s">
        <v>196</v>
      </c>
      <c r="G59" s="30" t="s">
        <v>195</v>
      </c>
      <c r="H59" s="30" t="s">
        <v>194</v>
      </c>
      <c r="I59" s="30" t="s">
        <v>193</v>
      </c>
      <c r="J59" s="30" t="s">
        <v>192</v>
      </c>
      <c r="K59" s="30" t="s">
        <v>191</v>
      </c>
      <c r="L59" s="30" t="s">
        <v>190</v>
      </c>
      <c r="M59" s="30" t="s">
        <v>189</v>
      </c>
      <c r="N59" s="30" t="s">
        <v>188</v>
      </c>
      <c r="O59" s="30" t="s">
        <v>187</v>
      </c>
      <c r="P59" s="30" t="s">
        <v>186</v>
      </c>
      <c r="Q59" s="30" t="s">
        <v>185</v>
      </c>
      <c r="R59" s="30" t="s">
        <v>184</v>
      </c>
      <c r="S59" s="30" t="s">
        <v>183</v>
      </c>
      <c r="T59" s="30" t="s">
        <v>182</v>
      </c>
      <c r="U59" s="30" t="s">
        <v>181</v>
      </c>
      <c r="V59" s="30" t="s">
        <v>180</v>
      </c>
      <c r="W59" s="30" t="s">
        <v>179</v>
      </c>
      <c r="X59" s="30" t="s">
        <v>178</v>
      </c>
      <c r="Y59" s="30" t="s">
        <v>177</v>
      </c>
      <c r="Z59" s="30" t="s">
        <v>176</v>
      </c>
      <c r="AA59" s="30" t="s">
        <v>175</v>
      </c>
      <c r="AB59" s="30" t="s">
        <v>174</v>
      </c>
      <c r="AC59" s="30" t="s">
        <v>173</v>
      </c>
      <c r="AD59" s="30" t="s">
        <v>172</v>
      </c>
      <c r="AE59" s="30" t="s">
        <v>171</v>
      </c>
      <c r="AF59" s="30" t="s">
        <v>170</v>
      </c>
      <c r="AG59" s="30" t="s">
        <v>169</v>
      </c>
      <c r="AH59" s="30" t="s">
        <v>168</v>
      </c>
      <c r="AI59" s="30" t="s">
        <v>167</v>
      </c>
      <c r="AJ59" s="42" t="s">
        <v>19</v>
      </c>
      <c r="AK59" s="2" t="s">
        <v>203</v>
      </c>
    </row>
    <row r="60" spans="2:37" ht="19.5" customHeight="1" thickTop="1" thickBot="1" x14ac:dyDescent="0.3">
      <c r="B60" s="28"/>
      <c r="C60" s="27" t="str">
        <f>DADOS!$T$3</f>
        <v>🍕 ALIMENTAÇÃO</v>
      </c>
      <c r="D60" s="26" t="str">
        <f>IF(despesavariávelconsolidadomar[[#This Row],[TOTAL]]=0,"",IF(OR(despesavariávelconsolidadomar[[#This Row],[TOTAL]]=LARGE($AJ$60:$AJ$72,1),despesavariávelconsolidadomar[[#This Row],[TOTAL]]=LARGE($AJ$60:$AJ$72,2),despesavariávelconsolidadomar[[#This Row],[TOTAL]]=LARGE($AJ$60:$AJ$72,3),despesavariávelconsolidadomar[[#This Row],[TOTAL]]=LARGE($AJ$60:$AJ$72,4),despesavariávelconsolidadomar[[#This Row],[TOTAL]]=LARGE($AJ$60:$AJ$72,5)),DADOS!$I$8,""))</f>
        <v/>
      </c>
      <c r="E60" s="94">
        <f>SUMIFS(tabela_registros[VALOR],tabela_registros[MÊS],$AE$1,tabela_registros[DIA],martotal3059[[#Headers],[1]],tabela_registros[REGISTRO],DADOS!$N$4,tabela_registros[TIPO],DADOS!$P$4,tabela_registros[CATEGORIA],despesavariávelconsolidadomar[[#This Row],[DESPESA VARIÁVEL]])</f>
        <v>0</v>
      </c>
      <c r="F60" s="88">
        <f>SUMIFS(tabela_registros[VALOR],tabela_registros[MÊS],$AE$1,tabela_registros[DIA],martotal3059[[#Headers],[2]],tabela_registros[REGISTRO],DADOS!$N$4,tabela_registros[TIPO],DADOS!$P$4,tabela_registros[CATEGORIA],despesavariávelconsolidadomar[[#This Row],[DESPESA VARIÁVEL]])</f>
        <v>0</v>
      </c>
      <c r="G60" s="88">
        <f>SUMIFS(tabela_registros[VALOR],tabela_registros[MÊS],$AE$1,tabela_registros[DIA],martotal3059[[#Headers],[3]],tabela_registros[REGISTRO],DADOS!$N$4,tabela_registros[TIPO],DADOS!$P$4,tabela_registros[CATEGORIA],despesavariávelconsolidadomar[[#This Row],[DESPESA VARIÁVEL]])</f>
        <v>0</v>
      </c>
      <c r="H60" s="88">
        <f>SUMIFS(tabela_registros[VALOR],tabela_registros[MÊS],$AE$1,tabela_registros[DIA],martotal3059[[#Headers],[4]],tabela_registros[REGISTRO],DADOS!$N$4,tabela_registros[TIPO],DADOS!$P$4,tabela_registros[CATEGORIA],despesavariávelconsolidadomar[[#This Row],[DESPESA VARIÁVEL]])</f>
        <v>0</v>
      </c>
      <c r="I60" s="88">
        <f>SUMIFS(tabela_registros[VALOR],tabela_registros[MÊS],$AE$1,tabela_registros[DIA],martotal3059[[#Headers],[5]],tabela_registros[REGISTRO],DADOS!$N$4,tabela_registros[TIPO],DADOS!$P$4,tabela_registros[CATEGORIA],despesavariávelconsolidadomar[[#This Row],[DESPESA VARIÁVEL]])</f>
        <v>0</v>
      </c>
      <c r="J60" s="88">
        <f>SUMIFS(tabela_registros[VALOR],tabela_registros[MÊS],$AE$1,tabela_registros[DIA],martotal3059[[#Headers],[6]],tabela_registros[REGISTRO],DADOS!$N$4,tabela_registros[TIPO],DADOS!$P$4,tabela_registros[CATEGORIA],despesavariávelconsolidadomar[[#This Row],[DESPESA VARIÁVEL]])</f>
        <v>0</v>
      </c>
      <c r="K60" s="88">
        <f>SUMIFS(tabela_registros[VALOR],tabela_registros[MÊS],$AE$1,tabela_registros[DIA],martotal3059[[#Headers],[7]],tabela_registros[REGISTRO],DADOS!$N$4,tabela_registros[TIPO],DADOS!$P$4,tabela_registros[CATEGORIA],despesavariávelconsolidadomar[[#This Row],[DESPESA VARIÁVEL]])</f>
        <v>0</v>
      </c>
      <c r="L60" s="88">
        <f>SUMIFS(tabela_registros[VALOR],tabela_registros[MÊS],$AE$1,tabela_registros[DIA],martotal3059[[#Headers],[8]],tabela_registros[REGISTRO],DADOS!$N$4,tabela_registros[TIPO],DADOS!$P$4,tabela_registros[CATEGORIA],despesavariávelconsolidadomar[[#This Row],[DESPESA VARIÁVEL]])</f>
        <v>0</v>
      </c>
      <c r="M60" s="88">
        <f>SUMIFS(tabela_registros[VALOR],tabela_registros[MÊS],$AE$1,tabela_registros[DIA],martotal3059[[#Headers],[9]],tabela_registros[REGISTRO],DADOS!$N$4,tabela_registros[TIPO],DADOS!$P$4,tabela_registros[CATEGORIA],despesavariávelconsolidadomar[[#This Row],[DESPESA VARIÁVEL]])</f>
        <v>0</v>
      </c>
      <c r="N60" s="88">
        <f>SUMIFS(tabela_registros[VALOR],tabela_registros[MÊS],$AE$1,tabela_registros[DIA],martotal3059[[#Headers],[10]],tabela_registros[REGISTRO],DADOS!$N$4,tabela_registros[TIPO],DADOS!$P$4,tabela_registros[CATEGORIA],despesavariávelconsolidadomar[[#This Row],[DESPESA VARIÁVEL]])</f>
        <v>0</v>
      </c>
      <c r="O60" s="88">
        <f>SUMIFS(tabela_registros[VALOR],tabela_registros[MÊS],$AE$1,tabela_registros[DIA],martotal3059[[#Headers],[11]],tabela_registros[REGISTRO],DADOS!$N$4,tabela_registros[TIPO],DADOS!$P$4,tabela_registros[CATEGORIA],despesavariávelconsolidadomar[[#This Row],[DESPESA VARIÁVEL]])</f>
        <v>0</v>
      </c>
      <c r="P60" s="88">
        <f>SUMIFS(tabela_registros[VALOR],tabela_registros[MÊS],$AE$1,tabela_registros[DIA],martotal3059[[#Headers],[12]],tabela_registros[REGISTRO],DADOS!$N$4,tabela_registros[TIPO],DADOS!$P$4,tabela_registros[CATEGORIA],despesavariávelconsolidadomar[[#This Row],[DESPESA VARIÁVEL]])</f>
        <v>0</v>
      </c>
      <c r="Q60" s="88">
        <f>SUMIFS(tabela_registros[VALOR],tabela_registros[MÊS],$AE$1,tabela_registros[DIA],martotal3059[[#Headers],[13]],tabela_registros[REGISTRO],DADOS!$N$4,tabela_registros[TIPO],DADOS!$P$4,tabela_registros[CATEGORIA],despesavariávelconsolidadomar[[#This Row],[DESPESA VARIÁVEL]])</f>
        <v>0</v>
      </c>
      <c r="R60" s="88">
        <f>SUMIFS(tabela_registros[VALOR],tabela_registros[MÊS],$AE$1,tabela_registros[DIA],martotal3059[[#Headers],[14]],tabela_registros[REGISTRO],DADOS!$N$4,tabela_registros[TIPO],DADOS!$P$4,tabela_registros[CATEGORIA],despesavariávelconsolidadomar[[#This Row],[DESPESA VARIÁVEL]])</f>
        <v>0</v>
      </c>
      <c r="S60" s="88">
        <f>SUMIFS(tabela_registros[VALOR],tabela_registros[MÊS],$AE$1,tabela_registros[DIA],martotal3059[[#Headers],[15]],tabela_registros[REGISTRO],DADOS!$N$4,tabela_registros[TIPO],DADOS!$P$4,tabela_registros[CATEGORIA],despesavariávelconsolidadomar[[#This Row],[DESPESA VARIÁVEL]])</f>
        <v>0</v>
      </c>
      <c r="T60" s="88">
        <f>SUMIFS(tabela_registros[VALOR],tabela_registros[MÊS],$AE$1,tabela_registros[DIA],martotal3059[[#Headers],[16]],tabela_registros[REGISTRO],DADOS!$N$4,tabela_registros[TIPO],DADOS!$P$4,tabela_registros[CATEGORIA],despesavariávelconsolidadomar[[#This Row],[DESPESA VARIÁVEL]])</f>
        <v>0</v>
      </c>
      <c r="U60" s="88">
        <f>SUMIFS(tabela_registros[VALOR],tabela_registros[MÊS],$AE$1,tabela_registros[DIA],martotal3059[[#Headers],[17]],tabela_registros[REGISTRO],DADOS!$N$4,tabela_registros[TIPO],DADOS!$P$4,tabela_registros[CATEGORIA],despesavariávelconsolidadomar[[#This Row],[DESPESA VARIÁVEL]])</f>
        <v>0</v>
      </c>
      <c r="V60" s="88">
        <f>SUMIFS(tabela_registros[VALOR],tabela_registros[MÊS],$AE$1,tabela_registros[DIA],martotal3059[[#Headers],[18]],tabela_registros[REGISTRO],DADOS!$N$4,tabela_registros[TIPO],DADOS!$P$4,tabela_registros[CATEGORIA],despesavariávelconsolidadomar[[#This Row],[DESPESA VARIÁVEL]])</f>
        <v>0</v>
      </c>
      <c r="W60" s="88">
        <f>SUMIFS(tabela_registros[VALOR],tabela_registros[MÊS],$AE$1,tabela_registros[DIA],martotal3059[[#Headers],[19]],tabela_registros[REGISTRO],DADOS!$N$4,tabela_registros[TIPO],DADOS!$P$4,tabela_registros[CATEGORIA],despesavariávelconsolidadomar[[#This Row],[DESPESA VARIÁVEL]])</f>
        <v>0</v>
      </c>
      <c r="X60" s="88">
        <f>SUMIFS(tabela_registros[VALOR],tabela_registros[MÊS],$AE$1,tabela_registros[DIA],martotal3059[[#Headers],[20]],tabela_registros[REGISTRO],DADOS!$N$4,tabela_registros[TIPO],DADOS!$P$4,tabela_registros[CATEGORIA],despesavariávelconsolidadomar[[#This Row],[DESPESA VARIÁVEL]])</f>
        <v>0</v>
      </c>
      <c r="Y60" s="88">
        <f>SUMIFS(tabela_registros[VALOR],tabela_registros[MÊS],$AE$1,tabela_registros[DIA],martotal3059[[#Headers],[21]],tabela_registros[REGISTRO],DADOS!$N$4,tabela_registros[TIPO],DADOS!$P$4,tabela_registros[CATEGORIA],despesavariávelconsolidadomar[[#This Row],[DESPESA VARIÁVEL]])</f>
        <v>0</v>
      </c>
      <c r="Z60" s="88">
        <f>SUMIFS(tabela_registros[VALOR],tabela_registros[MÊS],$AE$1,tabela_registros[DIA],martotal3059[[#Headers],[22]],tabela_registros[REGISTRO],DADOS!$N$4,tabela_registros[TIPO],DADOS!$P$4,tabela_registros[CATEGORIA],despesavariávelconsolidadomar[[#This Row],[DESPESA VARIÁVEL]])</f>
        <v>0</v>
      </c>
      <c r="AA60" s="88">
        <f>SUMIFS(tabela_registros[VALOR],tabela_registros[MÊS],$AE$1,tabela_registros[DIA],martotal3059[[#Headers],[23]],tabela_registros[REGISTRO],DADOS!$N$4,tabela_registros[TIPO],DADOS!$P$4,tabela_registros[CATEGORIA],despesavariávelconsolidadomar[[#This Row],[DESPESA VARIÁVEL]])</f>
        <v>0</v>
      </c>
      <c r="AB60" s="88">
        <f>SUMIFS(tabela_registros[VALOR],tabela_registros[MÊS],$AE$1,tabela_registros[DIA],martotal3059[[#Headers],[24]],tabela_registros[REGISTRO],DADOS!$N$4,tabela_registros[TIPO],DADOS!$P$4,tabela_registros[CATEGORIA],despesavariávelconsolidadomar[[#This Row],[DESPESA VARIÁVEL]])</f>
        <v>0</v>
      </c>
      <c r="AC60" s="88">
        <f>SUMIFS(tabela_registros[VALOR],tabela_registros[MÊS],$AE$1,tabela_registros[DIA],martotal3059[[#Headers],[25]],tabela_registros[REGISTRO],DADOS!$N$4,tabela_registros[TIPO],DADOS!$P$4,tabela_registros[CATEGORIA],despesavariávelconsolidadomar[[#This Row],[DESPESA VARIÁVEL]])</f>
        <v>0</v>
      </c>
      <c r="AD60" s="88">
        <f>SUMIFS(tabela_registros[VALOR],tabela_registros[MÊS],$AE$1,tabela_registros[DIA],martotal3059[[#Headers],[26]],tabela_registros[REGISTRO],DADOS!$N$4,tabela_registros[TIPO],DADOS!$P$4,tabela_registros[CATEGORIA],despesavariávelconsolidadomar[[#This Row],[DESPESA VARIÁVEL]])</f>
        <v>0</v>
      </c>
      <c r="AE60" s="88">
        <f>SUMIFS(tabela_registros[VALOR],tabela_registros[MÊS],$AE$1,tabela_registros[DIA],martotal3059[[#Headers],[27]],tabela_registros[REGISTRO],DADOS!$N$4,tabela_registros[TIPO],DADOS!$P$4,tabela_registros[CATEGORIA],despesavariávelconsolidadomar[[#This Row],[DESPESA VARIÁVEL]])</f>
        <v>0</v>
      </c>
      <c r="AF60" s="88">
        <f>SUMIFS(tabela_registros[VALOR],tabela_registros[MÊS],$AE$1,tabela_registros[DIA],martotal3059[[#Headers],[28]],tabela_registros[REGISTRO],DADOS!$N$4,tabela_registros[TIPO],DADOS!$P$4,tabela_registros[CATEGORIA],despesavariávelconsolidadomar[[#This Row],[DESPESA VARIÁVEL]])</f>
        <v>0</v>
      </c>
      <c r="AG60" s="88">
        <f>SUMIFS(tabela_registros[VALOR],tabela_registros[MÊS],$AE$1,tabela_registros[DIA],martotal3059[[#Headers],[29]],tabela_registros[REGISTRO],DADOS!$N$4,tabela_registros[TIPO],DADOS!$P$4,tabela_registros[CATEGORIA],despesavariávelconsolidadomar[[#This Row],[DESPESA VARIÁVEL]])</f>
        <v>0</v>
      </c>
      <c r="AH60" s="88">
        <f>SUMIFS(tabela_registros[VALOR],tabela_registros[MÊS],$AE$1,tabela_registros[DIA],martotal3059[[#Headers],[30]],tabela_registros[REGISTRO],DADOS!$N$4,tabela_registros[TIPO],DADOS!$P$4,tabela_registros[CATEGORIA],despesavariávelconsolidadomar[[#This Row],[DESPESA VARIÁVEL]])</f>
        <v>0</v>
      </c>
      <c r="AI60" s="100">
        <f>SUMIFS(tabela_registros[VALOR],tabela_registros[MÊS],$AE$1,tabela_registros[DIA],martotal3059[[#Headers],[31]],tabela_registros[REGISTRO],DADOS!$N$4,tabela_registros[TIPO],DADOS!$P$4,tabela_registros[CATEGORIA],despesavariávelconsolidadomar[[#This Row],[DESPESA VARIÁVEL]])</f>
        <v>0</v>
      </c>
      <c r="AJ60" s="95">
        <f>SUM(despesavariávelconsolidadomar[[#This Row],[1]:[31]])</f>
        <v>0</v>
      </c>
      <c r="AK60" s="28"/>
    </row>
    <row r="61" spans="2:37" ht="18" customHeight="1" thickTop="1" thickBot="1" x14ac:dyDescent="0.3">
      <c r="B61" s="28"/>
      <c r="C61" s="27" t="str">
        <f>DADOS!$T$4</f>
        <v>💳 CARTÃO DE CRÉDITO</v>
      </c>
      <c r="D61" s="26" t="str">
        <f>IF(despesavariávelconsolidadomar[[#This Row],[TOTAL]]=0,"",IF(OR(despesavariávelconsolidadomar[[#This Row],[TOTAL]]=LARGE($AJ$60:$AJ$72,1),despesavariávelconsolidadomar[[#This Row],[TOTAL]]=LARGE($AJ$60:$AJ$72,2),despesavariávelconsolidadomar[[#This Row],[TOTAL]]=LARGE($AJ$60:$AJ$72,3),despesavariávelconsolidadomar[[#This Row],[TOTAL]]=LARGE($AJ$60:$AJ$72,4),despesavariávelconsolidadomar[[#This Row],[TOTAL]]=LARGE($AJ$60:$AJ$72,5)),DADOS!$I$8,""))</f>
        <v/>
      </c>
      <c r="E61" s="96">
        <f>SUMIFS(tabela_registros[VALOR],tabela_registros[MÊS],$AE$1,tabela_registros[DIA],martotal3059[[#Headers],[1]],tabela_registros[REGISTRO],DADOS!$N$4,tabela_registros[TIPO],DADOS!$P$4,tabela_registros[CATEGORIA],despesavariávelconsolidadomar[[#This Row],[DESPESA VARIÁVEL]])</f>
        <v>0</v>
      </c>
      <c r="F61" s="91">
        <f>SUMIFS(tabela_registros[VALOR],tabela_registros[MÊS],$AE$1,tabela_registros[DIA],martotal3059[[#Headers],[2]],tabela_registros[REGISTRO],DADOS!$N$4,tabela_registros[TIPO],DADOS!$P$4,tabela_registros[CATEGORIA],despesavariávelconsolidadomar[[#This Row],[DESPESA VARIÁVEL]])</f>
        <v>0</v>
      </c>
      <c r="G61" s="91">
        <f>SUMIFS(tabela_registros[VALOR],tabela_registros[MÊS],$AE$1,tabela_registros[DIA],martotal3059[[#Headers],[3]],tabela_registros[REGISTRO],DADOS!$N$4,tabela_registros[TIPO],DADOS!$P$4,tabela_registros[CATEGORIA],despesavariávelconsolidadomar[[#This Row],[DESPESA VARIÁVEL]])</f>
        <v>0</v>
      </c>
      <c r="H61" s="91">
        <f>SUMIFS(tabela_registros[VALOR],tabela_registros[MÊS],$AE$1,tabela_registros[DIA],martotal3059[[#Headers],[4]],tabela_registros[REGISTRO],DADOS!$N$4,tabela_registros[TIPO],DADOS!$P$4,tabela_registros[CATEGORIA],despesavariávelconsolidadomar[[#This Row],[DESPESA VARIÁVEL]])</f>
        <v>0</v>
      </c>
      <c r="I61" s="91">
        <f>SUMIFS(tabela_registros[VALOR],tabela_registros[MÊS],$AE$1,tabela_registros[DIA],martotal3059[[#Headers],[5]],tabela_registros[REGISTRO],DADOS!$N$4,tabela_registros[TIPO],DADOS!$P$4,tabela_registros[CATEGORIA],despesavariávelconsolidadomar[[#This Row],[DESPESA VARIÁVEL]])</f>
        <v>0</v>
      </c>
      <c r="J61" s="91">
        <f>SUMIFS(tabela_registros[VALOR],tabela_registros[MÊS],$AE$1,tabela_registros[DIA],martotal3059[[#Headers],[6]],tabela_registros[REGISTRO],DADOS!$N$4,tabela_registros[TIPO],DADOS!$P$4,tabela_registros[CATEGORIA],despesavariávelconsolidadomar[[#This Row],[DESPESA VARIÁVEL]])</f>
        <v>0</v>
      </c>
      <c r="K61" s="91">
        <f>SUMIFS(tabela_registros[VALOR],tabela_registros[MÊS],$AE$1,tabela_registros[DIA],martotal3059[[#Headers],[7]],tabela_registros[REGISTRO],DADOS!$N$4,tabela_registros[TIPO],DADOS!$P$4,tabela_registros[CATEGORIA],despesavariávelconsolidadomar[[#This Row],[DESPESA VARIÁVEL]])</f>
        <v>0</v>
      </c>
      <c r="L61" s="91">
        <f>SUMIFS(tabela_registros[VALOR],tabela_registros[MÊS],$AE$1,tabela_registros[DIA],martotal3059[[#Headers],[8]],tabela_registros[REGISTRO],DADOS!$N$4,tabela_registros[TIPO],DADOS!$P$4,tabela_registros[CATEGORIA],despesavariávelconsolidadomar[[#This Row],[DESPESA VARIÁVEL]])</f>
        <v>0</v>
      </c>
      <c r="M61" s="91">
        <f>SUMIFS(tabela_registros[VALOR],tabela_registros[MÊS],$AE$1,tabela_registros[DIA],martotal3059[[#Headers],[9]],tabela_registros[REGISTRO],DADOS!$N$4,tabela_registros[TIPO],DADOS!$P$4,tabela_registros[CATEGORIA],despesavariávelconsolidadomar[[#This Row],[DESPESA VARIÁVEL]])</f>
        <v>0</v>
      </c>
      <c r="N61" s="91">
        <f>SUMIFS(tabela_registros[VALOR],tabela_registros[MÊS],$AE$1,tabela_registros[DIA],martotal3059[[#Headers],[10]],tabela_registros[REGISTRO],DADOS!$N$4,tabela_registros[TIPO],DADOS!$P$4,tabela_registros[CATEGORIA],despesavariávelconsolidadomar[[#This Row],[DESPESA VARIÁVEL]])</f>
        <v>0</v>
      </c>
      <c r="O61" s="91">
        <f>SUMIFS(tabela_registros[VALOR],tabela_registros[MÊS],$AE$1,tabela_registros[DIA],martotal3059[[#Headers],[11]],tabela_registros[REGISTRO],DADOS!$N$4,tabela_registros[TIPO],DADOS!$P$4,tabela_registros[CATEGORIA],despesavariávelconsolidadomar[[#This Row],[DESPESA VARIÁVEL]])</f>
        <v>0</v>
      </c>
      <c r="P61" s="91">
        <f>SUMIFS(tabela_registros[VALOR],tabela_registros[MÊS],$AE$1,tabela_registros[DIA],martotal3059[[#Headers],[12]],tabela_registros[REGISTRO],DADOS!$N$4,tabela_registros[TIPO],DADOS!$P$4,tabela_registros[CATEGORIA],despesavariávelconsolidadomar[[#This Row],[DESPESA VARIÁVEL]])</f>
        <v>0</v>
      </c>
      <c r="Q61" s="91">
        <f>SUMIFS(tabela_registros[VALOR],tabela_registros[MÊS],$AE$1,tabela_registros[DIA],martotal3059[[#Headers],[13]],tabela_registros[REGISTRO],DADOS!$N$4,tabela_registros[TIPO],DADOS!$P$4,tabela_registros[CATEGORIA],despesavariávelconsolidadomar[[#This Row],[DESPESA VARIÁVEL]])</f>
        <v>0</v>
      </c>
      <c r="R61" s="91">
        <f>SUMIFS(tabela_registros[VALOR],tabela_registros[MÊS],$AE$1,tabela_registros[DIA],martotal3059[[#Headers],[14]],tabela_registros[REGISTRO],DADOS!$N$4,tabela_registros[TIPO],DADOS!$P$4,tabela_registros[CATEGORIA],despesavariávelconsolidadomar[[#This Row],[DESPESA VARIÁVEL]])</f>
        <v>0</v>
      </c>
      <c r="S61" s="91">
        <f>SUMIFS(tabela_registros[VALOR],tabela_registros[MÊS],$AE$1,tabela_registros[DIA],martotal3059[[#Headers],[15]],tabela_registros[REGISTRO],DADOS!$N$4,tabela_registros[TIPO],DADOS!$P$4,tabela_registros[CATEGORIA],despesavariávelconsolidadomar[[#This Row],[DESPESA VARIÁVEL]])</f>
        <v>0</v>
      </c>
      <c r="T61" s="91">
        <f>SUMIFS(tabela_registros[VALOR],tabela_registros[MÊS],$AE$1,tabela_registros[DIA],martotal3059[[#Headers],[16]],tabela_registros[REGISTRO],DADOS!$N$4,tabela_registros[TIPO],DADOS!$P$4,tabela_registros[CATEGORIA],despesavariávelconsolidadomar[[#This Row],[DESPESA VARIÁVEL]])</f>
        <v>0</v>
      </c>
      <c r="U61" s="91">
        <f>SUMIFS(tabela_registros[VALOR],tabela_registros[MÊS],$AE$1,tabela_registros[DIA],martotal3059[[#Headers],[17]],tabela_registros[REGISTRO],DADOS!$N$4,tabela_registros[TIPO],DADOS!$P$4,tabela_registros[CATEGORIA],despesavariávelconsolidadomar[[#This Row],[DESPESA VARIÁVEL]])</f>
        <v>0</v>
      </c>
      <c r="V61" s="91">
        <f>SUMIFS(tabela_registros[VALOR],tabela_registros[MÊS],$AE$1,tabela_registros[DIA],martotal3059[[#Headers],[18]],tabela_registros[REGISTRO],DADOS!$N$4,tabela_registros[TIPO],DADOS!$P$4,tabela_registros[CATEGORIA],despesavariávelconsolidadomar[[#This Row],[DESPESA VARIÁVEL]])</f>
        <v>0</v>
      </c>
      <c r="W61" s="91">
        <f>SUMIFS(tabela_registros[VALOR],tabela_registros[MÊS],$AE$1,tabela_registros[DIA],martotal3059[[#Headers],[19]],tabela_registros[REGISTRO],DADOS!$N$4,tabela_registros[TIPO],DADOS!$P$4,tabela_registros[CATEGORIA],despesavariávelconsolidadomar[[#This Row],[DESPESA VARIÁVEL]])</f>
        <v>0</v>
      </c>
      <c r="X61" s="91">
        <f>SUMIFS(tabela_registros[VALOR],tabela_registros[MÊS],$AE$1,tabela_registros[DIA],martotal3059[[#Headers],[20]],tabela_registros[REGISTRO],DADOS!$N$4,tabela_registros[TIPO],DADOS!$P$4,tabela_registros[CATEGORIA],despesavariávelconsolidadomar[[#This Row],[DESPESA VARIÁVEL]])</f>
        <v>0</v>
      </c>
      <c r="Y61" s="91">
        <f>SUMIFS(tabela_registros[VALOR],tabela_registros[MÊS],$AE$1,tabela_registros[DIA],martotal3059[[#Headers],[21]],tabela_registros[REGISTRO],DADOS!$N$4,tabela_registros[TIPO],DADOS!$P$4,tabela_registros[CATEGORIA],despesavariávelconsolidadomar[[#This Row],[DESPESA VARIÁVEL]])</f>
        <v>0</v>
      </c>
      <c r="Z61" s="91">
        <f>SUMIFS(tabela_registros[VALOR],tabela_registros[MÊS],$AE$1,tabela_registros[DIA],martotal3059[[#Headers],[22]],tabela_registros[REGISTRO],DADOS!$N$4,tabela_registros[TIPO],DADOS!$P$4,tabela_registros[CATEGORIA],despesavariávelconsolidadomar[[#This Row],[DESPESA VARIÁVEL]])</f>
        <v>0</v>
      </c>
      <c r="AA61" s="91">
        <f>SUMIFS(tabela_registros[VALOR],tabela_registros[MÊS],$AE$1,tabela_registros[DIA],martotal3059[[#Headers],[23]],tabela_registros[REGISTRO],DADOS!$N$4,tabela_registros[TIPO],DADOS!$P$4,tabela_registros[CATEGORIA],despesavariávelconsolidadomar[[#This Row],[DESPESA VARIÁVEL]])</f>
        <v>0</v>
      </c>
      <c r="AB61" s="91">
        <f>SUMIFS(tabela_registros[VALOR],tabela_registros[MÊS],$AE$1,tabela_registros[DIA],martotal3059[[#Headers],[24]],tabela_registros[REGISTRO],DADOS!$N$4,tabela_registros[TIPO],DADOS!$P$4,tabela_registros[CATEGORIA],despesavariávelconsolidadomar[[#This Row],[DESPESA VARIÁVEL]])</f>
        <v>0</v>
      </c>
      <c r="AC61" s="91">
        <f>SUMIFS(tabela_registros[VALOR],tabela_registros[MÊS],$AE$1,tabela_registros[DIA],martotal3059[[#Headers],[25]],tabela_registros[REGISTRO],DADOS!$N$4,tabela_registros[TIPO],DADOS!$P$4,tabela_registros[CATEGORIA],despesavariávelconsolidadomar[[#This Row],[DESPESA VARIÁVEL]])</f>
        <v>0</v>
      </c>
      <c r="AD61" s="91">
        <f>SUMIFS(tabela_registros[VALOR],tabela_registros[MÊS],$AE$1,tabela_registros[DIA],martotal3059[[#Headers],[26]],tabela_registros[REGISTRO],DADOS!$N$4,tabela_registros[TIPO],DADOS!$P$4,tabela_registros[CATEGORIA],despesavariávelconsolidadomar[[#This Row],[DESPESA VARIÁVEL]])</f>
        <v>0</v>
      </c>
      <c r="AE61" s="91">
        <f>SUMIFS(tabela_registros[VALOR],tabela_registros[MÊS],$AE$1,tabela_registros[DIA],martotal3059[[#Headers],[27]],tabela_registros[REGISTRO],DADOS!$N$4,tabela_registros[TIPO],DADOS!$P$4,tabela_registros[CATEGORIA],despesavariávelconsolidadomar[[#This Row],[DESPESA VARIÁVEL]])</f>
        <v>0</v>
      </c>
      <c r="AF61" s="91">
        <f>SUMIFS(tabela_registros[VALOR],tabela_registros[MÊS],$AE$1,tabela_registros[DIA],martotal3059[[#Headers],[28]],tabela_registros[REGISTRO],DADOS!$N$4,tabela_registros[TIPO],DADOS!$P$4,tabela_registros[CATEGORIA],despesavariávelconsolidadomar[[#This Row],[DESPESA VARIÁVEL]])</f>
        <v>0</v>
      </c>
      <c r="AG61" s="91">
        <f>SUMIFS(tabela_registros[VALOR],tabela_registros[MÊS],$AE$1,tabela_registros[DIA],martotal3059[[#Headers],[29]],tabela_registros[REGISTRO],DADOS!$N$4,tabela_registros[TIPO],DADOS!$P$4,tabela_registros[CATEGORIA],despesavariávelconsolidadomar[[#This Row],[DESPESA VARIÁVEL]])</f>
        <v>0</v>
      </c>
      <c r="AH61" s="91">
        <f>SUMIFS(tabela_registros[VALOR],tabela_registros[MÊS],$AE$1,tabela_registros[DIA],martotal3059[[#Headers],[30]],tabela_registros[REGISTRO],DADOS!$N$4,tabela_registros[TIPO],DADOS!$P$4,tabela_registros[CATEGORIA],despesavariávelconsolidadomar[[#This Row],[DESPESA VARIÁVEL]])</f>
        <v>0</v>
      </c>
      <c r="AI61" s="101">
        <f>SUMIFS(tabela_registros[VALOR],tabela_registros[MÊS],$AE$1,tabela_registros[DIA],martotal3059[[#Headers],[31]],tabela_registros[REGISTRO],DADOS!$N$4,tabela_registros[TIPO],DADOS!$P$4,tabela_registros[CATEGORIA],despesavariávelconsolidadomar[[#This Row],[DESPESA VARIÁVEL]])</f>
        <v>0</v>
      </c>
      <c r="AJ61" s="97">
        <f>SUM(despesavariávelconsolidadomar[[#This Row],[1]:[31]])</f>
        <v>0</v>
      </c>
      <c r="AK61" s="28"/>
    </row>
    <row r="62" spans="2:37" ht="18" customHeight="1" thickTop="1" thickBot="1" x14ac:dyDescent="0.3">
      <c r="B62" s="28"/>
      <c r="C62" s="27" t="str">
        <f>DADOS!$T$5</f>
        <v>✍️ CHEQUE ESPECIAL</v>
      </c>
      <c r="D62" s="26" t="str">
        <f>IF(despesavariávelconsolidadomar[[#This Row],[TOTAL]]=0,"",IF(OR(despesavariávelconsolidadomar[[#This Row],[TOTAL]]=LARGE($AJ$60:$AJ$72,1),despesavariávelconsolidadomar[[#This Row],[TOTAL]]=LARGE($AJ$60:$AJ$72,2),despesavariávelconsolidadomar[[#This Row],[TOTAL]]=LARGE($AJ$60:$AJ$72,3),despesavariávelconsolidadomar[[#This Row],[TOTAL]]=LARGE($AJ$60:$AJ$72,4),despesavariávelconsolidadomar[[#This Row],[TOTAL]]=LARGE($AJ$60:$AJ$72,5)),DADOS!$I$8,""))</f>
        <v/>
      </c>
      <c r="E62" s="96">
        <f>SUMIFS(tabela_registros[VALOR],tabela_registros[MÊS],$AE$1,tabela_registros[DIA],martotal3059[[#Headers],[1]],tabela_registros[REGISTRO],DADOS!$N$4,tabela_registros[TIPO],DADOS!$P$4,tabela_registros[CATEGORIA],despesavariávelconsolidadomar[[#This Row],[DESPESA VARIÁVEL]])</f>
        <v>0</v>
      </c>
      <c r="F62" s="91">
        <f>SUMIFS(tabela_registros[VALOR],tabela_registros[MÊS],$AE$1,tabela_registros[DIA],martotal3059[[#Headers],[2]],tabela_registros[REGISTRO],DADOS!$N$4,tabela_registros[TIPO],DADOS!$P$4,tabela_registros[CATEGORIA],despesavariávelconsolidadomar[[#This Row],[DESPESA VARIÁVEL]])</f>
        <v>0</v>
      </c>
      <c r="G62" s="91">
        <f>SUMIFS(tabela_registros[VALOR],tabela_registros[MÊS],$AE$1,tabela_registros[DIA],martotal3059[[#Headers],[3]],tabela_registros[REGISTRO],DADOS!$N$4,tabela_registros[TIPO],DADOS!$P$4,tabela_registros[CATEGORIA],despesavariávelconsolidadomar[[#This Row],[DESPESA VARIÁVEL]])</f>
        <v>0</v>
      </c>
      <c r="H62" s="91">
        <f>SUMIFS(tabela_registros[VALOR],tabela_registros[MÊS],$AE$1,tabela_registros[DIA],martotal3059[[#Headers],[4]],tabela_registros[REGISTRO],DADOS!$N$4,tabela_registros[TIPO],DADOS!$P$4,tabela_registros[CATEGORIA],despesavariávelconsolidadomar[[#This Row],[DESPESA VARIÁVEL]])</f>
        <v>0</v>
      </c>
      <c r="I62" s="91">
        <f>SUMIFS(tabela_registros[VALOR],tabela_registros[MÊS],$AE$1,tabela_registros[DIA],martotal3059[[#Headers],[5]],tabela_registros[REGISTRO],DADOS!$N$4,tabela_registros[TIPO],DADOS!$P$4,tabela_registros[CATEGORIA],despesavariávelconsolidadomar[[#This Row],[DESPESA VARIÁVEL]])</f>
        <v>0</v>
      </c>
      <c r="J62" s="91">
        <f>SUMIFS(tabela_registros[VALOR],tabela_registros[MÊS],$AE$1,tabela_registros[DIA],martotal3059[[#Headers],[6]],tabela_registros[REGISTRO],DADOS!$N$4,tabela_registros[TIPO],DADOS!$P$4,tabela_registros[CATEGORIA],despesavariávelconsolidadomar[[#This Row],[DESPESA VARIÁVEL]])</f>
        <v>0</v>
      </c>
      <c r="K62" s="91">
        <f>SUMIFS(tabela_registros[VALOR],tabela_registros[MÊS],$AE$1,tabela_registros[DIA],martotal3059[[#Headers],[7]],tabela_registros[REGISTRO],DADOS!$N$4,tabela_registros[TIPO],DADOS!$P$4,tabela_registros[CATEGORIA],despesavariávelconsolidadomar[[#This Row],[DESPESA VARIÁVEL]])</f>
        <v>0</v>
      </c>
      <c r="L62" s="91">
        <f>SUMIFS(tabela_registros[VALOR],tabela_registros[MÊS],$AE$1,tabela_registros[DIA],martotal3059[[#Headers],[8]],tabela_registros[REGISTRO],DADOS!$N$4,tabela_registros[TIPO],DADOS!$P$4,tabela_registros[CATEGORIA],despesavariávelconsolidadomar[[#This Row],[DESPESA VARIÁVEL]])</f>
        <v>0</v>
      </c>
      <c r="M62" s="91">
        <f>SUMIFS(tabela_registros[VALOR],tabela_registros[MÊS],$AE$1,tabela_registros[DIA],martotal3059[[#Headers],[9]],tabela_registros[REGISTRO],DADOS!$N$4,tabela_registros[TIPO],DADOS!$P$4,tabela_registros[CATEGORIA],despesavariávelconsolidadomar[[#This Row],[DESPESA VARIÁVEL]])</f>
        <v>0</v>
      </c>
      <c r="N62" s="91">
        <f>SUMIFS(tabela_registros[VALOR],tabela_registros[MÊS],$AE$1,tabela_registros[DIA],martotal3059[[#Headers],[10]],tabela_registros[REGISTRO],DADOS!$N$4,tabela_registros[TIPO],DADOS!$P$4,tabela_registros[CATEGORIA],despesavariávelconsolidadomar[[#This Row],[DESPESA VARIÁVEL]])</f>
        <v>0</v>
      </c>
      <c r="O62" s="91">
        <f>SUMIFS(tabela_registros[VALOR],tabela_registros[MÊS],$AE$1,tabela_registros[DIA],martotal3059[[#Headers],[11]],tabela_registros[REGISTRO],DADOS!$N$4,tabela_registros[TIPO],DADOS!$P$4,tabela_registros[CATEGORIA],despesavariávelconsolidadomar[[#This Row],[DESPESA VARIÁVEL]])</f>
        <v>0</v>
      </c>
      <c r="P62" s="91">
        <f>SUMIFS(tabela_registros[VALOR],tabela_registros[MÊS],$AE$1,tabela_registros[DIA],martotal3059[[#Headers],[12]],tabela_registros[REGISTRO],DADOS!$N$4,tabela_registros[TIPO],DADOS!$P$4,tabela_registros[CATEGORIA],despesavariávelconsolidadomar[[#This Row],[DESPESA VARIÁVEL]])</f>
        <v>0</v>
      </c>
      <c r="Q62" s="91">
        <f>SUMIFS(tabela_registros[VALOR],tabela_registros[MÊS],$AE$1,tabela_registros[DIA],martotal3059[[#Headers],[13]],tabela_registros[REGISTRO],DADOS!$N$4,tabela_registros[TIPO],DADOS!$P$4,tabela_registros[CATEGORIA],despesavariávelconsolidadomar[[#This Row],[DESPESA VARIÁVEL]])</f>
        <v>0</v>
      </c>
      <c r="R62" s="91">
        <f>SUMIFS(tabela_registros[VALOR],tabela_registros[MÊS],$AE$1,tabela_registros[DIA],martotal3059[[#Headers],[14]],tabela_registros[REGISTRO],DADOS!$N$4,tabela_registros[TIPO],DADOS!$P$4,tabela_registros[CATEGORIA],despesavariávelconsolidadomar[[#This Row],[DESPESA VARIÁVEL]])</f>
        <v>0</v>
      </c>
      <c r="S62" s="91">
        <f>SUMIFS(tabela_registros[VALOR],tabela_registros[MÊS],$AE$1,tabela_registros[DIA],martotal3059[[#Headers],[15]],tabela_registros[REGISTRO],DADOS!$N$4,tabela_registros[TIPO],DADOS!$P$4,tabela_registros[CATEGORIA],despesavariávelconsolidadomar[[#This Row],[DESPESA VARIÁVEL]])</f>
        <v>0</v>
      </c>
      <c r="T62" s="91">
        <f>SUMIFS(tabela_registros[VALOR],tabela_registros[MÊS],$AE$1,tabela_registros[DIA],martotal3059[[#Headers],[16]],tabela_registros[REGISTRO],DADOS!$N$4,tabela_registros[TIPO],DADOS!$P$4,tabela_registros[CATEGORIA],despesavariávelconsolidadomar[[#This Row],[DESPESA VARIÁVEL]])</f>
        <v>0</v>
      </c>
      <c r="U62" s="91">
        <f>SUMIFS(tabela_registros[VALOR],tabela_registros[MÊS],$AE$1,tabela_registros[DIA],martotal3059[[#Headers],[17]],tabela_registros[REGISTRO],DADOS!$N$4,tabela_registros[TIPO],DADOS!$P$4,tabela_registros[CATEGORIA],despesavariávelconsolidadomar[[#This Row],[DESPESA VARIÁVEL]])</f>
        <v>0</v>
      </c>
      <c r="V62" s="91">
        <f>SUMIFS(tabela_registros[VALOR],tabela_registros[MÊS],$AE$1,tabela_registros[DIA],martotal3059[[#Headers],[18]],tabela_registros[REGISTRO],DADOS!$N$4,tabela_registros[TIPO],DADOS!$P$4,tabela_registros[CATEGORIA],despesavariávelconsolidadomar[[#This Row],[DESPESA VARIÁVEL]])</f>
        <v>0</v>
      </c>
      <c r="W62" s="91">
        <f>SUMIFS(tabela_registros[VALOR],tabela_registros[MÊS],$AE$1,tabela_registros[DIA],martotal3059[[#Headers],[19]],tabela_registros[REGISTRO],DADOS!$N$4,tabela_registros[TIPO],DADOS!$P$4,tabela_registros[CATEGORIA],despesavariávelconsolidadomar[[#This Row],[DESPESA VARIÁVEL]])</f>
        <v>0</v>
      </c>
      <c r="X62" s="91">
        <f>SUMIFS(tabela_registros[VALOR],tabela_registros[MÊS],$AE$1,tabela_registros[DIA],martotal3059[[#Headers],[20]],tabela_registros[REGISTRO],DADOS!$N$4,tabela_registros[TIPO],DADOS!$P$4,tabela_registros[CATEGORIA],despesavariávelconsolidadomar[[#This Row],[DESPESA VARIÁVEL]])</f>
        <v>0</v>
      </c>
      <c r="Y62" s="91">
        <f>SUMIFS(tabela_registros[VALOR],tabela_registros[MÊS],$AE$1,tabela_registros[DIA],martotal3059[[#Headers],[21]],tabela_registros[REGISTRO],DADOS!$N$4,tabela_registros[TIPO],DADOS!$P$4,tabela_registros[CATEGORIA],despesavariávelconsolidadomar[[#This Row],[DESPESA VARIÁVEL]])</f>
        <v>0</v>
      </c>
      <c r="Z62" s="91">
        <f>SUMIFS(tabela_registros[VALOR],tabela_registros[MÊS],$AE$1,tabela_registros[DIA],martotal3059[[#Headers],[22]],tabela_registros[REGISTRO],DADOS!$N$4,tabela_registros[TIPO],DADOS!$P$4,tabela_registros[CATEGORIA],despesavariávelconsolidadomar[[#This Row],[DESPESA VARIÁVEL]])</f>
        <v>0</v>
      </c>
      <c r="AA62" s="91">
        <f>SUMIFS(tabela_registros[VALOR],tabela_registros[MÊS],$AE$1,tabela_registros[DIA],martotal3059[[#Headers],[23]],tabela_registros[REGISTRO],DADOS!$N$4,tabela_registros[TIPO],DADOS!$P$4,tabela_registros[CATEGORIA],despesavariávelconsolidadomar[[#This Row],[DESPESA VARIÁVEL]])</f>
        <v>0</v>
      </c>
      <c r="AB62" s="91">
        <f>SUMIFS(tabela_registros[VALOR],tabela_registros[MÊS],$AE$1,tabela_registros[DIA],martotal3059[[#Headers],[24]],tabela_registros[REGISTRO],DADOS!$N$4,tabela_registros[TIPO],DADOS!$P$4,tabela_registros[CATEGORIA],despesavariávelconsolidadomar[[#This Row],[DESPESA VARIÁVEL]])</f>
        <v>0</v>
      </c>
      <c r="AC62" s="91">
        <f>SUMIFS(tabela_registros[VALOR],tabela_registros[MÊS],$AE$1,tabela_registros[DIA],martotal3059[[#Headers],[25]],tabela_registros[REGISTRO],DADOS!$N$4,tabela_registros[TIPO],DADOS!$P$4,tabela_registros[CATEGORIA],despesavariávelconsolidadomar[[#This Row],[DESPESA VARIÁVEL]])</f>
        <v>0</v>
      </c>
      <c r="AD62" s="91">
        <f>SUMIFS(tabela_registros[VALOR],tabela_registros[MÊS],$AE$1,tabela_registros[DIA],martotal3059[[#Headers],[26]],tabela_registros[REGISTRO],DADOS!$N$4,tabela_registros[TIPO],DADOS!$P$4,tabela_registros[CATEGORIA],despesavariávelconsolidadomar[[#This Row],[DESPESA VARIÁVEL]])</f>
        <v>0</v>
      </c>
      <c r="AE62" s="91">
        <f>SUMIFS(tabela_registros[VALOR],tabela_registros[MÊS],$AE$1,tabela_registros[DIA],martotal3059[[#Headers],[27]],tabela_registros[REGISTRO],DADOS!$N$4,tabela_registros[TIPO],DADOS!$P$4,tabela_registros[CATEGORIA],despesavariávelconsolidadomar[[#This Row],[DESPESA VARIÁVEL]])</f>
        <v>0</v>
      </c>
      <c r="AF62" s="91">
        <f>SUMIFS(tabela_registros[VALOR],tabela_registros[MÊS],$AE$1,tabela_registros[DIA],martotal3059[[#Headers],[28]],tabela_registros[REGISTRO],DADOS!$N$4,tabela_registros[TIPO],DADOS!$P$4,tabela_registros[CATEGORIA],despesavariávelconsolidadomar[[#This Row],[DESPESA VARIÁVEL]])</f>
        <v>0</v>
      </c>
      <c r="AG62" s="91">
        <f>SUMIFS(tabela_registros[VALOR],tabela_registros[MÊS],$AE$1,tabela_registros[DIA],martotal3059[[#Headers],[29]],tabela_registros[REGISTRO],DADOS!$N$4,tabela_registros[TIPO],DADOS!$P$4,tabela_registros[CATEGORIA],despesavariávelconsolidadomar[[#This Row],[DESPESA VARIÁVEL]])</f>
        <v>0</v>
      </c>
      <c r="AH62" s="91">
        <f>SUMIFS(tabela_registros[VALOR],tabela_registros[MÊS],$AE$1,tabela_registros[DIA],martotal3059[[#Headers],[30]],tabela_registros[REGISTRO],DADOS!$N$4,tabela_registros[TIPO],DADOS!$P$4,tabela_registros[CATEGORIA],despesavariávelconsolidadomar[[#This Row],[DESPESA VARIÁVEL]])</f>
        <v>0</v>
      </c>
      <c r="AI62" s="101">
        <f>SUMIFS(tabela_registros[VALOR],tabela_registros[MÊS],$AE$1,tabela_registros[DIA],martotal3059[[#Headers],[31]],tabela_registros[REGISTRO],DADOS!$N$4,tabela_registros[TIPO],DADOS!$P$4,tabela_registros[CATEGORIA],despesavariávelconsolidadomar[[#This Row],[DESPESA VARIÁVEL]])</f>
        <v>0</v>
      </c>
      <c r="AJ62" s="97">
        <f>SUM(despesavariávelconsolidadomar[[#This Row],[1]:[31]])</f>
        <v>0</v>
      </c>
      <c r="AK62" s="28"/>
    </row>
    <row r="63" spans="2:37" ht="18" customHeight="1" thickTop="1" thickBot="1" x14ac:dyDescent="0.3">
      <c r="B63" s="28"/>
      <c r="C63" s="27" t="str">
        <f>DADOS!$T$6</f>
        <v>💄 CUIDADOS PESSOAIS</v>
      </c>
      <c r="D63" s="26" t="str">
        <f>IF(despesavariávelconsolidadomar[[#This Row],[TOTAL]]=0,"",IF(OR(despesavariávelconsolidadomar[[#This Row],[TOTAL]]=LARGE($AJ$60:$AJ$72,1),despesavariávelconsolidadomar[[#This Row],[TOTAL]]=LARGE($AJ$60:$AJ$72,2),despesavariávelconsolidadomar[[#This Row],[TOTAL]]=LARGE($AJ$60:$AJ$72,3),despesavariávelconsolidadomar[[#This Row],[TOTAL]]=LARGE($AJ$60:$AJ$72,4),despesavariávelconsolidadomar[[#This Row],[TOTAL]]=LARGE($AJ$60:$AJ$72,5)),DADOS!$I$8,""))</f>
        <v/>
      </c>
      <c r="E63" s="96">
        <f>SUMIFS(tabela_registros[VALOR],tabela_registros[MÊS],$AE$1,tabela_registros[DIA],martotal3059[[#Headers],[1]],tabela_registros[REGISTRO],DADOS!$N$4,tabela_registros[TIPO],DADOS!$P$4,tabela_registros[CATEGORIA],despesavariávelconsolidadomar[[#This Row],[DESPESA VARIÁVEL]])</f>
        <v>0</v>
      </c>
      <c r="F63" s="91">
        <f>SUMIFS(tabela_registros[VALOR],tabela_registros[MÊS],$AE$1,tabela_registros[DIA],martotal3059[[#Headers],[2]],tabela_registros[REGISTRO],DADOS!$N$4,tabela_registros[TIPO],DADOS!$P$4,tabela_registros[CATEGORIA],despesavariávelconsolidadomar[[#This Row],[DESPESA VARIÁVEL]])</f>
        <v>0</v>
      </c>
      <c r="G63" s="91">
        <f>SUMIFS(tabela_registros[VALOR],tabela_registros[MÊS],$AE$1,tabela_registros[DIA],martotal3059[[#Headers],[3]],tabela_registros[REGISTRO],DADOS!$N$4,tabela_registros[TIPO],DADOS!$P$4,tabela_registros[CATEGORIA],despesavariávelconsolidadomar[[#This Row],[DESPESA VARIÁVEL]])</f>
        <v>0</v>
      </c>
      <c r="H63" s="91">
        <f>SUMIFS(tabela_registros[VALOR],tabela_registros[MÊS],$AE$1,tabela_registros[DIA],martotal3059[[#Headers],[4]],tabela_registros[REGISTRO],DADOS!$N$4,tabela_registros[TIPO],DADOS!$P$4,tabela_registros[CATEGORIA],despesavariávelconsolidadomar[[#This Row],[DESPESA VARIÁVEL]])</f>
        <v>0</v>
      </c>
      <c r="I63" s="91">
        <f>SUMIFS(tabela_registros[VALOR],tabela_registros[MÊS],$AE$1,tabela_registros[DIA],martotal3059[[#Headers],[5]],tabela_registros[REGISTRO],DADOS!$N$4,tabela_registros[TIPO],DADOS!$P$4,tabela_registros[CATEGORIA],despesavariávelconsolidadomar[[#This Row],[DESPESA VARIÁVEL]])</f>
        <v>0</v>
      </c>
      <c r="J63" s="91">
        <f>SUMIFS(tabela_registros[VALOR],tabela_registros[MÊS],$AE$1,tabela_registros[DIA],martotal3059[[#Headers],[6]],tabela_registros[REGISTRO],DADOS!$N$4,tabela_registros[TIPO],DADOS!$P$4,tabela_registros[CATEGORIA],despesavariávelconsolidadomar[[#This Row],[DESPESA VARIÁVEL]])</f>
        <v>0</v>
      </c>
      <c r="K63" s="91">
        <f>SUMIFS(tabela_registros[VALOR],tabela_registros[MÊS],$AE$1,tabela_registros[DIA],martotal3059[[#Headers],[7]],tabela_registros[REGISTRO],DADOS!$N$4,tabela_registros[TIPO],DADOS!$P$4,tabela_registros[CATEGORIA],despesavariávelconsolidadomar[[#This Row],[DESPESA VARIÁVEL]])</f>
        <v>0</v>
      </c>
      <c r="L63" s="91">
        <f>SUMIFS(tabela_registros[VALOR],tabela_registros[MÊS],$AE$1,tabela_registros[DIA],martotal3059[[#Headers],[8]],tabela_registros[REGISTRO],DADOS!$N$4,tabela_registros[TIPO],DADOS!$P$4,tabela_registros[CATEGORIA],despesavariávelconsolidadomar[[#This Row],[DESPESA VARIÁVEL]])</f>
        <v>0</v>
      </c>
      <c r="M63" s="91">
        <f>SUMIFS(tabela_registros[VALOR],tabela_registros[MÊS],$AE$1,tabela_registros[DIA],martotal3059[[#Headers],[9]],tabela_registros[REGISTRO],DADOS!$N$4,tabela_registros[TIPO],DADOS!$P$4,tabela_registros[CATEGORIA],despesavariávelconsolidadomar[[#This Row],[DESPESA VARIÁVEL]])</f>
        <v>0</v>
      </c>
      <c r="N63" s="91">
        <f>SUMIFS(tabela_registros[VALOR],tabela_registros[MÊS],$AE$1,tabela_registros[DIA],martotal3059[[#Headers],[10]],tabela_registros[REGISTRO],DADOS!$N$4,tabela_registros[TIPO],DADOS!$P$4,tabela_registros[CATEGORIA],despesavariávelconsolidadomar[[#This Row],[DESPESA VARIÁVEL]])</f>
        <v>0</v>
      </c>
      <c r="O63" s="91">
        <f>SUMIFS(tabela_registros[VALOR],tabela_registros[MÊS],$AE$1,tabela_registros[DIA],martotal3059[[#Headers],[11]],tabela_registros[REGISTRO],DADOS!$N$4,tabela_registros[TIPO],DADOS!$P$4,tabela_registros[CATEGORIA],despesavariávelconsolidadomar[[#This Row],[DESPESA VARIÁVEL]])</f>
        <v>0</v>
      </c>
      <c r="P63" s="91">
        <f>SUMIFS(tabela_registros[VALOR],tabela_registros[MÊS],$AE$1,tabela_registros[DIA],martotal3059[[#Headers],[12]],tabela_registros[REGISTRO],DADOS!$N$4,tabela_registros[TIPO],DADOS!$P$4,tabela_registros[CATEGORIA],despesavariávelconsolidadomar[[#This Row],[DESPESA VARIÁVEL]])</f>
        <v>0</v>
      </c>
      <c r="Q63" s="91">
        <f>SUMIFS(tabela_registros[VALOR],tabela_registros[MÊS],$AE$1,tabela_registros[DIA],martotal3059[[#Headers],[13]],tabela_registros[REGISTRO],DADOS!$N$4,tabela_registros[TIPO],DADOS!$P$4,tabela_registros[CATEGORIA],despesavariávelconsolidadomar[[#This Row],[DESPESA VARIÁVEL]])</f>
        <v>0</v>
      </c>
      <c r="R63" s="91">
        <f>SUMIFS(tabela_registros[VALOR],tabela_registros[MÊS],$AE$1,tabela_registros[DIA],martotal3059[[#Headers],[14]],tabela_registros[REGISTRO],DADOS!$N$4,tabela_registros[TIPO],DADOS!$P$4,tabela_registros[CATEGORIA],despesavariávelconsolidadomar[[#This Row],[DESPESA VARIÁVEL]])</f>
        <v>0</v>
      </c>
      <c r="S63" s="91">
        <f>SUMIFS(tabela_registros[VALOR],tabela_registros[MÊS],$AE$1,tabela_registros[DIA],martotal3059[[#Headers],[15]],tabela_registros[REGISTRO],DADOS!$N$4,tabela_registros[TIPO],DADOS!$P$4,tabela_registros[CATEGORIA],despesavariávelconsolidadomar[[#This Row],[DESPESA VARIÁVEL]])</f>
        <v>0</v>
      </c>
      <c r="T63" s="91">
        <f>SUMIFS(tabela_registros[VALOR],tabela_registros[MÊS],$AE$1,tabela_registros[DIA],martotal3059[[#Headers],[16]],tabela_registros[REGISTRO],DADOS!$N$4,tabela_registros[TIPO],DADOS!$P$4,tabela_registros[CATEGORIA],despesavariávelconsolidadomar[[#This Row],[DESPESA VARIÁVEL]])</f>
        <v>0</v>
      </c>
      <c r="U63" s="91">
        <f>SUMIFS(tabela_registros[VALOR],tabela_registros[MÊS],$AE$1,tabela_registros[DIA],martotal3059[[#Headers],[17]],tabela_registros[REGISTRO],DADOS!$N$4,tabela_registros[TIPO],DADOS!$P$4,tabela_registros[CATEGORIA],despesavariávelconsolidadomar[[#This Row],[DESPESA VARIÁVEL]])</f>
        <v>0</v>
      </c>
      <c r="V63" s="91">
        <f>SUMIFS(tabela_registros[VALOR],tabela_registros[MÊS],$AE$1,tabela_registros[DIA],martotal3059[[#Headers],[18]],tabela_registros[REGISTRO],DADOS!$N$4,tabela_registros[TIPO],DADOS!$P$4,tabela_registros[CATEGORIA],despesavariávelconsolidadomar[[#This Row],[DESPESA VARIÁVEL]])</f>
        <v>0</v>
      </c>
      <c r="W63" s="91">
        <f>SUMIFS(tabela_registros[VALOR],tabela_registros[MÊS],$AE$1,tabela_registros[DIA],martotal3059[[#Headers],[19]],tabela_registros[REGISTRO],DADOS!$N$4,tabela_registros[TIPO],DADOS!$P$4,tabela_registros[CATEGORIA],despesavariávelconsolidadomar[[#This Row],[DESPESA VARIÁVEL]])</f>
        <v>0</v>
      </c>
      <c r="X63" s="91">
        <f>SUMIFS(tabela_registros[VALOR],tabela_registros[MÊS],$AE$1,tabela_registros[DIA],martotal3059[[#Headers],[20]],tabela_registros[REGISTRO],DADOS!$N$4,tabela_registros[TIPO],DADOS!$P$4,tabela_registros[CATEGORIA],despesavariávelconsolidadomar[[#This Row],[DESPESA VARIÁVEL]])</f>
        <v>0</v>
      </c>
      <c r="Y63" s="91">
        <f>SUMIFS(tabela_registros[VALOR],tabela_registros[MÊS],$AE$1,tabela_registros[DIA],martotal3059[[#Headers],[21]],tabela_registros[REGISTRO],DADOS!$N$4,tabela_registros[TIPO],DADOS!$P$4,tabela_registros[CATEGORIA],despesavariávelconsolidadomar[[#This Row],[DESPESA VARIÁVEL]])</f>
        <v>0</v>
      </c>
      <c r="Z63" s="91">
        <f>SUMIFS(tabela_registros[VALOR],tabela_registros[MÊS],$AE$1,tabela_registros[DIA],martotal3059[[#Headers],[22]],tabela_registros[REGISTRO],DADOS!$N$4,tabela_registros[TIPO],DADOS!$P$4,tabela_registros[CATEGORIA],despesavariávelconsolidadomar[[#This Row],[DESPESA VARIÁVEL]])</f>
        <v>0</v>
      </c>
      <c r="AA63" s="91">
        <f>SUMIFS(tabela_registros[VALOR],tabela_registros[MÊS],$AE$1,tabela_registros[DIA],martotal3059[[#Headers],[23]],tabela_registros[REGISTRO],DADOS!$N$4,tabela_registros[TIPO],DADOS!$P$4,tabela_registros[CATEGORIA],despesavariávelconsolidadomar[[#This Row],[DESPESA VARIÁVEL]])</f>
        <v>0</v>
      </c>
      <c r="AB63" s="91">
        <f>SUMIFS(tabela_registros[VALOR],tabela_registros[MÊS],$AE$1,tabela_registros[DIA],martotal3059[[#Headers],[24]],tabela_registros[REGISTRO],DADOS!$N$4,tabela_registros[TIPO],DADOS!$P$4,tabela_registros[CATEGORIA],despesavariávelconsolidadomar[[#This Row],[DESPESA VARIÁVEL]])</f>
        <v>0</v>
      </c>
      <c r="AC63" s="91">
        <f>SUMIFS(tabela_registros[VALOR],tabela_registros[MÊS],$AE$1,tabela_registros[DIA],martotal3059[[#Headers],[25]],tabela_registros[REGISTRO],DADOS!$N$4,tabela_registros[TIPO],DADOS!$P$4,tabela_registros[CATEGORIA],despesavariávelconsolidadomar[[#This Row],[DESPESA VARIÁVEL]])</f>
        <v>0</v>
      </c>
      <c r="AD63" s="91">
        <f>SUMIFS(tabela_registros[VALOR],tabela_registros[MÊS],$AE$1,tabela_registros[DIA],martotal3059[[#Headers],[26]],tabela_registros[REGISTRO],DADOS!$N$4,tabela_registros[TIPO],DADOS!$P$4,tabela_registros[CATEGORIA],despesavariávelconsolidadomar[[#This Row],[DESPESA VARIÁVEL]])</f>
        <v>0</v>
      </c>
      <c r="AE63" s="91">
        <f>SUMIFS(tabela_registros[VALOR],tabela_registros[MÊS],$AE$1,tabela_registros[DIA],martotal3059[[#Headers],[27]],tabela_registros[REGISTRO],DADOS!$N$4,tabela_registros[TIPO],DADOS!$P$4,tabela_registros[CATEGORIA],despesavariávelconsolidadomar[[#This Row],[DESPESA VARIÁVEL]])</f>
        <v>0</v>
      </c>
      <c r="AF63" s="91">
        <f>SUMIFS(tabela_registros[VALOR],tabela_registros[MÊS],$AE$1,tabela_registros[DIA],martotal3059[[#Headers],[28]],tabela_registros[REGISTRO],DADOS!$N$4,tabela_registros[TIPO],DADOS!$P$4,tabela_registros[CATEGORIA],despesavariávelconsolidadomar[[#This Row],[DESPESA VARIÁVEL]])</f>
        <v>0</v>
      </c>
      <c r="AG63" s="91">
        <f>SUMIFS(tabela_registros[VALOR],tabela_registros[MÊS],$AE$1,tabela_registros[DIA],martotal3059[[#Headers],[29]],tabela_registros[REGISTRO],DADOS!$N$4,tabela_registros[TIPO],DADOS!$P$4,tabela_registros[CATEGORIA],despesavariávelconsolidadomar[[#This Row],[DESPESA VARIÁVEL]])</f>
        <v>0</v>
      </c>
      <c r="AH63" s="91">
        <f>SUMIFS(tabela_registros[VALOR],tabela_registros[MÊS],$AE$1,tabela_registros[DIA],martotal3059[[#Headers],[30]],tabela_registros[REGISTRO],DADOS!$N$4,tabela_registros[TIPO],DADOS!$P$4,tabela_registros[CATEGORIA],despesavariávelconsolidadomar[[#This Row],[DESPESA VARIÁVEL]])</f>
        <v>0</v>
      </c>
      <c r="AI63" s="101">
        <f>SUMIFS(tabela_registros[VALOR],tabela_registros[MÊS],$AE$1,tabela_registros[DIA],martotal3059[[#Headers],[31]],tabela_registros[REGISTRO],DADOS!$N$4,tabela_registros[TIPO],DADOS!$P$4,tabela_registros[CATEGORIA],despesavariávelconsolidadomar[[#This Row],[DESPESA VARIÁVEL]])</f>
        <v>0</v>
      </c>
      <c r="AJ63" s="97">
        <f>SUM(despesavariávelconsolidadomar[[#This Row],[1]:[31]])</f>
        <v>0</v>
      </c>
      <c r="AK63" s="28"/>
    </row>
    <row r="64" spans="2:37" ht="18" customHeight="1" thickTop="1" thickBot="1" x14ac:dyDescent="0.3">
      <c r="B64" s="28"/>
      <c r="C64" s="27" t="str">
        <f>DADOS!$T$7</f>
        <v>🤝 DOAÇÃO</v>
      </c>
      <c r="D64" s="26" t="str">
        <f>IF(despesavariávelconsolidadomar[[#This Row],[TOTAL]]=0,"",IF(OR(despesavariávelconsolidadomar[[#This Row],[TOTAL]]=LARGE($AJ$60:$AJ$72,1),despesavariávelconsolidadomar[[#This Row],[TOTAL]]=LARGE($AJ$60:$AJ$72,2),despesavariávelconsolidadomar[[#This Row],[TOTAL]]=LARGE($AJ$60:$AJ$72,3),despesavariávelconsolidadomar[[#This Row],[TOTAL]]=LARGE($AJ$60:$AJ$72,4),despesavariávelconsolidadomar[[#This Row],[TOTAL]]=LARGE($AJ$60:$AJ$72,5)),DADOS!$I$8,""))</f>
        <v/>
      </c>
      <c r="E64" s="96">
        <f>SUMIFS(tabela_registros[VALOR],tabela_registros[MÊS],$AE$1,tabela_registros[DIA],martotal3059[[#Headers],[1]],tabela_registros[REGISTRO],DADOS!$N$4,tabela_registros[TIPO],DADOS!$P$4,tabela_registros[CATEGORIA],despesavariávelconsolidadomar[[#This Row],[DESPESA VARIÁVEL]])</f>
        <v>0</v>
      </c>
      <c r="F64" s="91">
        <f>SUMIFS(tabela_registros[VALOR],tabela_registros[MÊS],$AE$1,tabela_registros[DIA],martotal3059[[#Headers],[2]],tabela_registros[REGISTRO],DADOS!$N$4,tabela_registros[TIPO],DADOS!$P$4,tabela_registros[CATEGORIA],despesavariávelconsolidadomar[[#This Row],[DESPESA VARIÁVEL]])</f>
        <v>0</v>
      </c>
      <c r="G64" s="91">
        <f>SUMIFS(tabela_registros[VALOR],tabela_registros[MÊS],$AE$1,tabela_registros[DIA],martotal3059[[#Headers],[3]],tabela_registros[REGISTRO],DADOS!$N$4,tabela_registros[TIPO],DADOS!$P$4,tabela_registros[CATEGORIA],despesavariávelconsolidadomar[[#This Row],[DESPESA VARIÁVEL]])</f>
        <v>0</v>
      </c>
      <c r="H64" s="91">
        <f>SUMIFS(tabela_registros[VALOR],tabela_registros[MÊS],$AE$1,tabela_registros[DIA],martotal3059[[#Headers],[4]],tabela_registros[REGISTRO],DADOS!$N$4,tabela_registros[TIPO],DADOS!$P$4,tabela_registros[CATEGORIA],despesavariávelconsolidadomar[[#This Row],[DESPESA VARIÁVEL]])</f>
        <v>0</v>
      </c>
      <c r="I64" s="91">
        <f>SUMIFS(tabela_registros[VALOR],tabela_registros[MÊS],$AE$1,tabela_registros[DIA],martotal3059[[#Headers],[5]],tabela_registros[REGISTRO],DADOS!$N$4,tabela_registros[TIPO],DADOS!$P$4,tabela_registros[CATEGORIA],despesavariávelconsolidadomar[[#This Row],[DESPESA VARIÁVEL]])</f>
        <v>0</v>
      </c>
      <c r="J64" s="91">
        <f>SUMIFS(tabela_registros[VALOR],tabela_registros[MÊS],$AE$1,tabela_registros[DIA],martotal3059[[#Headers],[6]],tabela_registros[REGISTRO],DADOS!$N$4,tabela_registros[TIPO],DADOS!$P$4,tabela_registros[CATEGORIA],despesavariávelconsolidadomar[[#This Row],[DESPESA VARIÁVEL]])</f>
        <v>0</v>
      </c>
      <c r="K64" s="91">
        <f>SUMIFS(tabela_registros[VALOR],tabela_registros[MÊS],$AE$1,tabela_registros[DIA],martotal3059[[#Headers],[7]],tabela_registros[REGISTRO],DADOS!$N$4,tabela_registros[TIPO],DADOS!$P$4,tabela_registros[CATEGORIA],despesavariávelconsolidadomar[[#This Row],[DESPESA VARIÁVEL]])</f>
        <v>0</v>
      </c>
      <c r="L64" s="91">
        <f>SUMIFS(tabela_registros[VALOR],tabela_registros[MÊS],$AE$1,tabela_registros[DIA],martotal3059[[#Headers],[8]],tabela_registros[REGISTRO],DADOS!$N$4,tabela_registros[TIPO],DADOS!$P$4,tabela_registros[CATEGORIA],despesavariávelconsolidadomar[[#This Row],[DESPESA VARIÁVEL]])</f>
        <v>0</v>
      </c>
      <c r="M64" s="91">
        <f>SUMIFS(tabela_registros[VALOR],tabela_registros[MÊS],$AE$1,tabela_registros[DIA],martotal3059[[#Headers],[9]],tabela_registros[REGISTRO],DADOS!$N$4,tabela_registros[TIPO],DADOS!$P$4,tabela_registros[CATEGORIA],despesavariávelconsolidadomar[[#This Row],[DESPESA VARIÁVEL]])</f>
        <v>0</v>
      </c>
      <c r="N64" s="91">
        <f>SUMIFS(tabela_registros[VALOR],tabela_registros[MÊS],$AE$1,tabela_registros[DIA],martotal3059[[#Headers],[10]],tabela_registros[REGISTRO],DADOS!$N$4,tabela_registros[TIPO],DADOS!$P$4,tabela_registros[CATEGORIA],despesavariávelconsolidadomar[[#This Row],[DESPESA VARIÁVEL]])</f>
        <v>0</v>
      </c>
      <c r="O64" s="91">
        <f>SUMIFS(tabela_registros[VALOR],tabela_registros[MÊS],$AE$1,tabela_registros[DIA],martotal3059[[#Headers],[11]],tabela_registros[REGISTRO],DADOS!$N$4,tabela_registros[TIPO],DADOS!$P$4,tabela_registros[CATEGORIA],despesavariávelconsolidadomar[[#This Row],[DESPESA VARIÁVEL]])</f>
        <v>0</v>
      </c>
      <c r="P64" s="91">
        <f>SUMIFS(tabela_registros[VALOR],tabela_registros[MÊS],$AE$1,tabela_registros[DIA],martotal3059[[#Headers],[12]],tabela_registros[REGISTRO],DADOS!$N$4,tabela_registros[TIPO],DADOS!$P$4,tabela_registros[CATEGORIA],despesavariávelconsolidadomar[[#This Row],[DESPESA VARIÁVEL]])</f>
        <v>0</v>
      </c>
      <c r="Q64" s="91">
        <f>SUMIFS(tabela_registros[VALOR],tabela_registros[MÊS],$AE$1,tabela_registros[DIA],martotal3059[[#Headers],[13]],tabela_registros[REGISTRO],DADOS!$N$4,tabela_registros[TIPO],DADOS!$P$4,tabela_registros[CATEGORIA],despesavariávelconsolidadomar[[#This Row],[DESPESA VARIÁVEL]])</f>
        <v>0</v>
      </c>
      <c r="R64" s="91">
        <f>SUMIFS(tabela_registros[VALOR],tabela_registros[MÊS],$AE$1,tabela_registros[DIA],martotal3059[[#Headers],[14]],tabela_registros[REGISTRO],DADOS!$N$4,tabela_registros[TIPO],DADOS!$P$4,tabela_registros[CATEGORIA],despesavariávelconsolidadomar[[#This Row],[DESPESA VARIÁVEL]])</f>
        <v>0</v>
      </c>
      <c r="S64" s="91">
        <f>SUMIFS(tabela_registros[VALOR],tabela_registros[MÊS],$AE$1,tabela_registros[DIA],martotal3059[[#Headers],[15]],tabela_registros[REGISTRO],DADOS!$N$4,tabela_registros[TIPO],DADOS!$P$4,tabela_registros[CATEGORIA],despesavariávelconsolidadomar[[#This Row],[DESPESA VARIÁVEL]])</f>
        <v>0</v>
      </c>
      <c r="T64" s="91">
        <f>SUMIFS(tabela_registros[VALOR],tabela_registros[MÊS],$AE$1,tabela_registros[DIA],martotal3059[[#Headers],[16]],tabela_registros[REGISTRO],DADOS!$N$4,tabela_registros[TIPO],DADOS!$P$4,tabela_registros[CATEGORIA],despesavariávelconsolidadomar[[#This Row],[DESPESA VARIÁVEL]])</f>
        <v>0</v>
      </c>
      <c r="U64" s="91">
        <f>SUMIFS(tabela_registros[VALOR],tabela_registros[MÊS],$AE$1,tabela_registros[DIA],martotal3059[[#Headers],[17]],tabela_registros[REGISTRO],DADOS!$N$4,tabela_registros[TIPO],DADOS!$P$4,tabela_registros[CATEGORIA],despesavariávelconsolidadomar[[#This Row],[DESPESA VARIÁVEL]])</f>
        <v>0</v>
      </c>
      <c r="V64" s="91">
        <f>SUMIFS(tabela_registros[VALOR],tabela_registros[MÊS],$AE$1,tabela_registros[DIA],martotal3059[[#Headers],[18]],tabela_registros[REGISTRO],DADOS!$N$4,tabela_registros[TIPO],DADOS!$P$4,tabela_registros[CATEGORIA],despesavariávelconsolidadomar[[#This Row],[DESPESA VARIÁVEL]])</f>
        <v>0</v>
      </c>
      <c r="W64" s="91">
        <f>SUMIFS(tabela_registros[VALOR],tabela_registros[MÊS],$AE$1,tabela_registros[DIA],martotal3059[[#Headers],[19]],tabela_registros[REGISTRO],DADOS!$N$4,tabela_registros[TIPO],DADOS!$P$4,tabela_registros[CATEGORIA],despesavariávelconsolidadomar[[#This Row],[DESPESA VARIÁVEL]])</f>
        <v>0</v>
      </c>
      <c r="X64" s="91">
        <f>SUMIFS(tabela_registros[VALOR],tabela_registros[MÊS],$AE$1,tabela_registros[DIA],martotal3059[[#Headers],[20]],tabela_registros[REGISTRO],DADOS!$N$4,tabela_registros[TIPO],DADOS!$P$4,tabela_registros[CATEGORIA],despesavariávelconsolidadomar[[#This Row],[DESPESA VARIÁVEL]])</f>
        <v>0</v>
      </c>
      <c r="Y64" s="91">
        <f>SUMIFS(tabela_registros[VALOR],tabela_registros[MÊS],$AE$1,tabela_registros[DIA],martotal3059[[#Headers],[21]],tabela_registros[REGISTRO],DADOS!$N$4,tabela_registros[TIPO],DADOS!$P$4,tabela_registros[CATEGORIA],despesavariávelconsolidadomar[[#This Row],[DESPESA VARIÁVEL]])</f>
        <v>0</v>
      </c>
      <c r="Z64" s="91">
        <f>SUMIFS(tabela_registros[VALOR],tabela_registros[MÊS],$AE$1,tabela_registros[DIA],martotal3059[[#Headers],[22]],tabela_registros[REGISTRO],DADOS!$N$4,tabela_registros[TIPO],DADOS!$P$4,tabela_registros[CATEGORIA],despesavariávelconsolidadomar[[#This Row],[DESPESA VARIÁVEL]])</f>
        <v>0</v>
      </c>
      <c r="AA64" s="91">
        <f>SUMIFS(tabela_registros[VALOR],tabela_registros[MÊS],$AE$1,tabela_registros[DIA],martotal3059[[#Headers],[23]],tabela_registros[REGISTRO],DADOS!$N$4,tabela_registros[TIPO],DADOS!$P$4,tabela_registros[CATEGORIA],despesavariávelconsolidadomar[[#This Row],[DESPESA VARIÁVEL]])</f>
        <v>0</v>
      </c>
      <c r="AB64" s="91">
        <f>SUMIFS(tabela_registros[VALOR],tabela_registros[MÊS],$AE$1,tabela_registros[DIA],martotal3059[[#Headers],[24]],tabela_registros[REGISTRO],DADOS!$N$4,tabela_registros[TIPO],DADOS!$P$4,tabela_registros[CATEGORIA],despesavariávelconsolidadomar[[#This Row],[DESPESA VARIÁVEL]])</f>
        <v>0</v>
      </c>
      <c r="AC64" s="91">
        <f>SUMIFS(tabela_registros[VALOR],tabela_registros[MÊS],$AE$1,tabela_registros[DIA],martotal3059[[#Headers],[25]],tabela_registros[REGISTRO],DADOS!$N$4,tabela_registros[TIPO],DADOS!$P$4,tabela_registros[CATEGORIA],despesavariávelconsolidadomar[[#This Row],[DESPESA VARIÁVEL]])</f>
        <v>0</v>
      </c>
      <c r="AD64" s="91">
        <f>SUMIFS(tabela_registros[VALOR],tabela_registros[MÊS],$AE$1,tabela_registros[DIA],martotal3059[[#Headers],[26]],tabela_registros[REGISTRO],DADOS!$N$4,tabela_registros[TIPO],DADOS!$P$4,tabela_registros[CATEGORIA],despesavariávelconsolidadomar[[#This Row],[DESPESA VARIÁVEL]])</f>
        <v>0</v>
      </c>
      <c r="AE64" s="91">
        <f>SUMIFS(tabela_registros[VALOR],tabela_registros[MÊS],$AE$1,tabela_registros[DIA],martotal3059[[#Headers],[27]],tabela_registros[REGISTRO],DADOS!$N$4,tabela_registros[TIPO],DADOS!$P$4,tabela_registros[CATEGORIA],despesavariávelconsolidadomar[[#This Row],[DESPESA VARIÁVEL]])</f>
        <v>0</v>
      </c>
      <c r="AF64" s="91">
        <f>SUMIFS(tabela_registros[VALOR],tabela_registros[MÊS],$AE$1,tabela_registros[DIA],martotal3059[[#Headers],[28]],tabela_registros[REGISTRO],DADOS!$N$4,tabela_registros[TIPO],DADOS!$P$4,tabela_registros[CATEGORIA],despesavariávelconsolidadomar[[#This Row],[DESPESA VARIÁVEL]])</f>
        <v>0</v>
      </c>
      <c r="AG64" s="91">
        <f>SUMIFS(tabela_registros[VALOR],tabela_registros[MÊS],$AE$1,tabela_registros[DIA],martotal3059[[#Headers],[29]],tabela_registros[REGISTRO],DADOS!$N$4,tabela_registros[TIPO],DADOS!$P$4,tabela_registros[CATEGORIA],despesavariávelconsolidadomar[[#This Row],[DESPESA VARIÁVEL]])</f>
        <v>0</v>
      </c>
      <c r="AH64" s="91">
        <f>SUMIFS(tabela_registros[VALOR],tabela_registros[MÊS],$AE$1,tabela_registros[DIA],martotal3059[[#Headers],[30]],tabela_registros[REGISTRO],DADOS!$N$4,tabela_registros[TIPO],DADOS!$P$4,tabela_registros[CATEGORIA],despesavariávelconsolidadomar[[#This Row],[DESPESA VARIÁVEL]])</f>
        <v>0</v>
      </c>
      <c r="AI64" s="101">
        <f>SUMIFS(tabela_registros[VALOR],tabela_registros[MÊS],$AE$1,tabela_registros[DIA],martotal3059[[#Headers],[31]],tabela_registros[REGISTRO],DADOS!$N$4,tabela_registros[TIPO],DADOS!$P$4,tabela_registros[CATEGORIA],despesavariávelconsolidadomar[[#This Row],[DESPESA VARIÁVEL]])</f>
        <v>0</v>
      </c>
      <c r="AJ64" s="97">
        <f>SUM(despesavariávelconsolidadomar[[#This Row],[1]:[31]])</f>
        <v>0</v>
      </c>
      <c r="AK64" s="28"/>
    </row>
    <row r="65" spans="2:37" ht="18" customHeight="1" thickTop="1" thickBot="1" x14ac:dyDescent="0.3">
      <c r="B65" s="28"/>
      <c r="C65" s="27" t="str">
        <f>DADOS!$T$8</f>
        <v>📖 EDUCAÇÃO</v>
      </c>
      <c r="D65" s="26" t="str">
        <f>IF(despesavariávelconsolidadomar[[#This Row],[TOTAL]]=0,"",IF(OR(despesavariávelconsolidadomar[[#This Row],[TOTAL]]=LARGE($AJ$60:$AJ$72,1),despesavariávelconsolidadomar[[#This Row],[TOTAL]]=LARGE($AJ$60:$AJ$72,2),despesavariávelconsolidadomar[[#This Row],[TOTAL]]=LARGE($AJ$60:$AJ$72,3),despesavariávelconsolidadomar[[#This Row],[TOTAL]]=LARGE($AJ$60:$AJ$72,4),despesavariávelconsolidadomar[[#This Row],[TOTAL]]=LARGE($AJ$60:$AJ$72,5)),DADOS!$I$8,""))</f>
        <v/>
      </c>
      <c r="E65" s="96">
        <f>SUMIFS(tabela_registros[VALOR],tabela_registros[MÊS],$AE$1,tabela_registros[DIA],martotal3059[[#Headers],[1]],tabela_registros[REGISTRO],DADOS!$N$4,tabela_registros[TIPO],DADOS!$P$4,tabela_registros[CATEGORIA],despesavariávelconsolidadomar[[#This Row],[DESPESA VARIÁVEL]])</f>
        <v>0</v>
      </c>
      <c r="F65" s="91">
        <f>SUMIFS(tabela_registros[VALOR],tabela_registros[MÊS],$AE$1,tabela_registros[DIA],martotal3059[[#Headers],[2]],tabela_registros[REGISTRO],DADOS!$N$4,tabela_registros[TIPO],DADOS!$P$4,tabela_registros[CATEGORIA],despesavariávelconsolidadomar[[#This Row],[DESPESA VARIÁVEL]])</f>
        <v>0</v>
      </c>
      <c r="G65" s="91">
        <f>SUMIFS(tabela_registros[VALOR],tabela_registros[MÊS],$AE$1,tabela_registros[DIA],martotal3059[[#Headers],[3]],tabela_registros[REGISTRO],DADOS!$N$4,tabela_registros[TIPO],DADOS!$P$4,tabela_registros[CATEGORIA],despesavariávelconsolidadomar[[#This Row],[DESPESA VARIÁVEL]])</f>
        <v>0</v>
      </c>
      <c r="H65" s="91">
        <f>SUMIFS(tabela_registros[VALOR],tabela_registros[MÊS],$AE$1,tabela_registros[DIA],martotal3059[[#Headers],[4]],tabela_registros[REGISTRO],DADOS!$N$4,tabela_registros[TIPO],DADOS!$P$4,tabela_registros[CATEGORIA],despesavariávelconsolidadomar[[#This Row],[DESPESA VARIÁVEL]])</f>
        <v>0</v>
      </c>
      <c r="I65" s="91">
        <f>SUMIFS(tabela_registros[VALOR],tabela_registros[MÊS],$AE$1,tabela_registros[DIA],martotal3059[[#Headers],[5]],tabela_registros[REGISTRO],DADOS!$N$4,tabela_registros[TIPO],DADOS!$P$4,tabela_registros[CATEGORIA],despesavariávelconsolidadomar[[#This Row],[DESPESA VARIÁVEL]])</f>
        <v>0</v>
      </c>
      <c r="J65" s="91">
        <f>SUMIFS(tabela_registros[VALOR],tabela_registros[MÊS],$AE$1,tabela_registros[DIA],martotal3059[[#Headers],[6]],tabela_registros[REGISTRO],DADOS!$N$4,tabela_registros[TIPO],DADOS!$P$4,tabela_registros[CATEGORIA],despesavariávelconsolidadomar[[#This Row],[DESPESA VARIÁVEL]])</f>
        <v>0</v>
      </c>
      <c r="K65" s="91">
        <f>SUMIFS(tabela_registros[VALOR],tabela_registros[MÊS],$AE$1,tabela_registros[DIA],martotal3059[[#Headers],[7]],tabela_registros[REGISTRO],DADOS!$N$4,tabela_registros[TIPO],DADOS!$P$4,tabela_registros[CATEGORIA],despesavariávelconsolidadomar[[#This Row],[DESPESA VARIÁVEL]])</f>
        <v>0</v>
      </c>
      <c r="L65" s="91">
        <f>SUMIFS(tabela_registros[VALOR],tabela_registros[MÊS],$AE$1,tabela_registros[DIA],martotal3059[[#Headers],[8]],tabela_registros[REGISTRO],DADOS!$N$4,tabela_registros[TIPO],DADOS!$P$4,tabela_registros[CATEGORIA],despesavariávelconsolidadomar[[#This Row],[DESPESA VARIÁVEL]])</f>
        <v>0</v>
      </c>
      <c r="M65" s="91">
        <f>SUMIFS(tabela_registros[VALOR],tabela_registros[MÊS],$AE$1,tabela_registros[DIA],martotal3059[[#Headers],[9]],tabela_registros[REGISTRO],DADOS!$N$4,tabela_registros[TIPO],DADOS!$P$4,tabela_registros[CATEGORIA],despesavariávelconsolidadomar[[#This Row],[DESPESA VARIÁVEL]])</f>
        <v>0</v>
      </c>
      <c r="N65" s="91">
        <f>SUMIFS(tabela_registros[VALOR],tabela_registros[MÊS],$AE$1,tabela_registros[DIA],martotal3059[[#Headers],[10]],tabela_registros[REGISTRO],DADOS!$N$4,tabela_registros[TIPO],DADOS!$P$4,tabela_registros[CATEGORIA],despesavariávelconsolidadomar[[#This Row],[DESPESA VARIÁVEL]])</f>
        <v>0</v>
      </c>
      <c r="O65" s="91">
        <f>SUMIFS(tabela_registros[VALOR],tabela_registros[MÊS],$AE$1,tabela_registros[DIA],martotal3059[[#Headers],[11]],tabela_registros[REGISTRO],DADOS!$N$4,tabela_registros[TIPO],DADOS!$P$4,tabela_registros[CATEGORIA],despesavariávelconsolidadomar[[#This Row],[DESPESA VARIÁVEL]])</f>
        <v>0</v>
      </c>
      <c r="P65" s="91">
        <f>SUMIFS(tabela_registros[VALOR],tabela_registros[MÊS],$AE$1,tabela_registros[DIA],martotal3059[[#Headers],[12]],tabela_registros[REGISTRO],DADOS!$N$4,tabela_registros[TIPO],DADOS!$P$4,tabela_registros[CATEGORIA],despesavariávelconsolidadomar[[#This Row],[DESPESA VARIÁVEL]])</f>
        <v>0</v>
      </c>
      <c r="Q65" s="91">
        <f>SUMIFS(tabela_registros[VALOR],tabela_registros[MÊS],$AE$1,tabela_registros[DIA],martotal3059[[#Headers],[13]],tabela_registros[REGISTRO],DADOS!$N$4,tabela_registros[TIPO],DADOS!$P$4,tabela_registros[CATEGORIA],despesavariávelconsolidadomar[[#This Row],[DESPESA VARIÁVEL]])</f>
        <v>0</v>
      </c>
      <c r="R65" s="91">
        <f>SUMIFS(tabela_registros[VALOR],tabela_registros[MÊS],$AE$1,tabela_registros[DIA],martotal3059[[#Headers],[14]],tabela_registros[REGISTRO],DADOS!$N$4,tabela_registros[TIPO],DADOS!$P$4,tabela_registros[CATEGORIA],despesavariávelconsolidadomar[[#This Row],[DESPESA VARIÁVEL]])</f>
        <v>0</v>
      </c>
      <c r="S65" s="91">
        <f>SUMIFS(tabela_registros[VALOR],tabela_registros[MÊS],$AE$1,tabela_registros[DIA],martotal3059[[#Headers],[15]],tabela_registros[REGISTRO],DADOS!$N$4,tabela_registros[TIPO],DADOS!$P$4,tabela_registros[CATEGORIA],despesavariávelconsolidadomar[[#This Row],[DESPESA VARIÁVEL]])</f>
        <v>0</v>
      </c>
      <c r="T65" s="91">
        <f>SUMIFS(tabela_registros[VALOR],tabela_registros[MÊS],$AE$1,tabela_registros[DIA],martotal3059[[#Headers],[16]],tabela_registros[REGISTRO],DADOS!$N$4,tabela_registros[TIPO],DADOS!$P$4,tabela_registros[CATEGORIA],despesavariávelconsolidadomar[[#This Row],[DESPESA VARIÁVEL]])</f>
        <v>0</v>
      </c>
      <c r="U65" s="91">
        <f>SUMIFS(tabela_registros[VALOR],tabela_registros[MÊS],$AE$1,tabela_registros[DIA],martotal3059[[#Headers],[17]],tabela_registros[REGISTRO],DADOS!$N$4,tabela_registros[TIPO],DADOS!$P$4,tabela_registros[CATEGORIA],despesavariávelconsolidadomar[[#This Row],[DESPESA VARIÁVEL]])</f>
        <v>0</v>
      </c>
      <c r="V65" s="91">
        <f>SUMIFS(tabela_registros[VALOR],tabela_registros[MÊS],$AE$1,tabela_registros[DIA],martotal3059[[#Headers],[18]],tabela_registros[REGISTRO],DADOS!$N$4,tabela_registros[TIPO],DADOS!$P$4,tabela_registros[CATEGORIA],despesavariávelconsolidadomar[[#This Row],[DESPESA VARIÁVEL]])</f>
        <v>0</v>
      </c>
      <c r="W65" s="91">
        <f>SUMIFS(tabela_registros[VALOR],tabela_registros[MÊS],$AE$1,tabela_registros[DIA],martotal3059[[#Headers],[19]],tabela_registros[REGISTRO],DADOS!$N$4,tabela_registros[TIPO],DADOS!$P$4,tabela_registros[CATEGORIA],despesavariávelconsolidadomar[[#This Row],[DESPESA VARIÁVEL]])</f>
        <v>0</v>
      </c>
      <c r="X65" s="91">
        <f>SUMIFS(tabela_registros[VALOR],tabela_registros[MÊS],$AE$1,tabela_registros[DIA],martotal3059[[#Headers],[20]],tabela_registros[REGISTRO],DADOS!$N$4,tabela_registros[TIPO],DADOS!$P$4,tabela_registros[CATEGORIA],despesavariávelconsolidadomar[[#This Row],[DESPESA VARIÁVEL]])</f>
        <v>0</v>
      </c>
      <c r="Y65" s="91">
        <f>SUMIFS(tabela_registros[VALOR],tabela_registros[MÊS],$AE$1,tabela_registros[DIA],martotal3059[[#Headers],[21]],tabela_registros[REGISTRO],DADOS!$N$4,tabela_registros[TIPO],DADOS!$P$4,tabela_registros[CATEGORIA],despesavariávelconsolidadomar[[#This Row],[DESPESA VARIÁVEL]])</f>
        <v>0</v>
      </c>
      <c r="Z65" s="91">
        <f>SUMIFS(tabela_registros[VALOR],tabela_registros[MÊS],$AE$1,tabela_registros[DIA],martotal3059[[#Headers],[22]],tabela_registros[REGISTRO],DADOS!$N$4,tabela_registros[TIPO],DADOS!$P$4,tabela_registros[CATEGORIA],despesavariávelconsolidadomar[[#This Row],[DESPESA VARIÁVEL]])</f>
        <v>0</v>
      </c>
      <c r="AA65" s="91">
        <f>SUMIFS(tabela_registros[VALOR],tabela_registros[MÊS],$AE$1,tabela_registros[DIA],martotal3059[[#Headers],[23]],tabela_registros[REGISTRO],DADOS!$N$4,tabela_registros[TIPO],DADOS!$P$4,tabela_registros[CATEGORIA],despesavariávelconsolidadomar[[#This Row],[DESPESA VARIÁVEL]])</f>
        <v>0</v>
      </c>
      <c r="AB65" s="91">
        <f>SUMIFS(tabela_registros[VALOR],tabela_registros[MÊS],$AE$1,tabela_registros[DIA],martotal3059[[#Headers],[24]],tabela_registros[REGISTRO],DADOS!$N$4,tabela_registros[TIPO],DADOS!$P$4,tabela_registros[CATEGORIA],despesavariávelconsolidadomar[[#This Row],[DESPESA VARIÁVEL]])</f>
        <v>0</v>
      </c>
      <c r="AC65" s="91">
        <f>SUMIFS(tabela_registros[VALOR],tabela_registros[MÊS],$AE$1,tabela_registros[DIA],martotal3059[[#Headers],[25]],tabela_registros[REGISTRO],DADOS!$N$4,tabela_registros[TIPO],DADOS!$P$4,tabela_registros[CATEGORIA],despesavariávelconsolidadomar[[#This Row],[DESPESA VARIÁVEL]])</f>
        <v>0</v>
      </c>
      <c r="AD65" s="91">
        <f>SUMIFS(tabela_registros[VALOR],tabela_registros[MÊS],$AE$1,tabela_registros[DIA],martotal3059[[#Headers],[26]],tabela_registros[REGISTRO],DADOS!$N$4,tabela_registros[TIPO],DADOS!$P$4,tabela_registros[CATEGORIA],despesavariávelconsolidadomar[[#This Row],[DESPESA VARIÁVEL]])</f>
        <v>0</v>
      </c>
      <c r="AE65" s="91">
        <f>SUMIFS(tabela_registros[VALOR],tabela_registros[MÊS],$AE$1,tabela_registros[DIA],martotal3059[[#Headers],[27]],tabela_registros[REGISTRO],DADOS!$N$4,tabela_registros[TIPO],DADOS!$P$4,tabela_registros[CATEGORIA],despesavariávelconsolidadomar[[#This Row],[DESPESA VARIÁVEL]])</f>
        <v>0</v>
      </c>
      <c r="AF65" s="91">
        <f>SUMIFS(tabela_registros[VALOR],tabela_registros[MÊS],$AE$1,tabela_registros[DIA],martotal3059[[#Headers],[28]],tabela_registros[REGISTRO],DADOS!$N$4,tabela_registros[TIPO],DADOS!$P$4,tabela_registros[CATEGORIA],despesavariávelconsolidadomar[[#This Row],[DESPESA VARIÁVEL]])</f>
        <v>0</v>
      </c>
      <c r="AG65" s="91">
        <f>SUMIFS(tabela_registros[VALOR],tabela_registros[MÊS],$AE$1,tabela_registros[DIA],martotal3059[[#Headers],[29]],tabela_registros[REGISTRO],DADOS!$N$4,tabela_registros[TIPO],DADOS!$P$4,tabela_registros[CATEGORIA],despesavariávelconsolidadomar[[#This Row],[DESPESA VARIÁVEL]])</f>
        <v>0</v>
      </c>
      <c r="AH65" s="91">
        <f>SUMIFS(tabela_registros[VALOR],tabela_registros[MÊS],$AE$1,tabela_registros[DIA],martotal3059[[#Headers],[30]],tabela_registros[REGISTRO],DADOS!$N$4,tabela_registros[TIPO],DADOS!$P$4,tabela_registros[CATEGORIA],despesavariávelconsolidadomar[[#This Row],[DESPESA VARIÁVEL]])</f>
        <v>0</v>
      </c>
      <c r="AI65" s="101">
        <f>SUMIFS(tabela_registros[VALOR],tabela_registros[MÊS],$AE$1,tabela_registros[DIA],martotal3059[[#Headers],[31]],tabela_registros[REGISTRO],DADOS!$N$4,tabela_registros[TIPO],DADOS!$P$4,tabela_registros[CATEGORIA],despesavariávelconsolidadomar[[#This Row],[DESPESA VARIÁVEL]])</f>
        <v>0</v>
      </c>
      <c r="AJ65" s="97">
        <f>SUM(despesavariávelconsolidadomar[[#This Row],[1]:[31]])</f>
        <v>0</v>
      </c>
      <c r="AK65" s="28"/>
    </row>
    <row r="66" spans="2:37" ht="18" customHeight="1" thickTop="1" thickBot="1" x14ac:dyDescent="0.3">
      <c r="B66" s="28"/>
      <c r="C66" s="27" t="str">
        <f>DADOS!$T$9</f>
        <v>🎭 LAZER</v>
      </c>
      <c r="D66" s="26" t="str">
        <f>IF(despesavariávelconsolidadomar[[#This Row],[TOTAL]]=0,"",IF(OR(despesavariávelconsolidadomar[[#This Row],[TOTAL]]=LARGE($AJ$60:$AJ$72,1),despesavariávelconsolidadomar[[#This Row],[TOTAL]]=LARGE($AJ$60:$AJ$72,2),despesavariávelconsolidadomar[[#This Row],[TOTAL]]=LARGE($AJ$60:$AJ$72,3),despesavariávelconsolidadomar[[#This Row],[TOTAL]]=LARGE($AJ$60:$AJ$72,4),despesavariávelconsolidadomar[[#This Row],[TOTAL]]=LARGE($AJ$60:$AJ$72,5)),DADOS!$I$8,""))</f>
        <v/>
      </c>
      <c r="E66" s="96">
        <f>SUMIFS(tabela_registros[VALOR],tabela_registros[MÊS],$AE$1,tabela_registros[DIA],martotal3059[[#Headers],[1]],tabela_registros[REGISTRO],DADOS!$N$4,tabela_registros[TIPO],DADOS!$P$4,tabela_registros[CATEGORIA],despesavariávelconsolidadomar[[#This Row],[DESPESA VARIÁVEL]])</f>
        <v>0</v>
      </c>
      <c r="F66" s="91">
        <f>SUMIFS(tabela_registros[VALOR],tabela_registros[MÊS],$AE$1,tabela_registros[DIA],martotal3059[[#Headers],[2]],tabela_registros[REGISTRO],DADOS!$N$4,tabela_registros[TIPO],DADOS!$P$4,tabela_registros[CATEGORIA],despesavariávelconsolidadomar[[#This Row],[DESPESA VARIÁVEL]])</f>
        <v>0</v>
      </c>
      <c r="G66" s="91">
        <f>SUMIFS(tabela_registros[VALOR],tabela_registros[MÊS],$AE$1,tabela_registros[DIA],martotal3059[[#Headers],[3]],tabela_registros[REGISTRO],DADOS!$N$4,tabela_registros[TIPO],DADOS!$P$4,tabela_registros[CATEGORIA],despesavariávelconsolidadomar[[#This Row],[DESPESA VARIÁVEL]])</f>
        <v>0</v>
      </c>
      <c r="H66" s="91">
        <f>SUMIFS(tabela_registros[VALOR],tabela_registros[MÊS],$AE$1,tabela_registros[DIA],martotal3059[[#Headers],[4]],tabela_registros[REGISTRO],DADOS!$N$4,tabela_registros[TIPO],DADOS!$P$4,tabela_registros[CATEGORIA],despesavariávelconsolidadomar[[#This Row],[DESPESA VARIÁVEL]])</f>
        <v>0</v>
      </c>
      <c r="I66" s="91">
        <f>SUMIFS(tabela_registros[VALOR],tabela_registros[MÊS],$AE$1,tabela_registros[DIA],martotal3059[[#Headers],[5]],tabela_registros[REGISTRO],DADOS!$N$4,tabela_registros[TIPO],DADOS!$P$4,tabela_registros[CATEGORIA],despesavariávelconsolidadomar[[#This Row],[DESPESA VARIÁVEL]])</f>
        <v>0</v>
      </c>
      <c r="J66" s="91">
        <f>SUMIFS(tabela_registros[VALOR],tabela_registros[MÊS],$AE$1,tabela_registros[DIA],martotal3059[[#Headers],[6]],tabela_registros[REGISTRO],DADOS!$N$4,tabela_registros[TIPO],DADOS!$P$4,tabela_registros[CATEGORIA],despesavariávelconsolidadomar[[#This Row],[DESPESA VARIÁVEL]])</f>
        <v>0</v>
      </c>
      <c r="K66" s="91">
        <f>SUMIFS(tabela_registros[VALOR],tabela_registros[MÊS],$AE$1,tabela_registros[DIA],martotal3059[[#Headers],[7]],tabela_registros[REGISTRO],DADOS!$N$4,tabela_registros[TIPO],DADOS!$P$4,tabela_registros[CATEGORIA],despesavariávelconsolidadomar[[#This Row],[DESPESA VARIÁVEL]])</f>
        <v>0</v>
      </c>
      <c r="L66" s="91">
        <f>SUMIFS(tabela_registros[VALOR],tabela_registros[MÊS],$AE$1,tabela_registros[DIA],martotal3059[[#Headers],[8]],tabela_registros[REGISTRO],DADOS!$N$4,tabela_registros[TIPO],DADOS!$P$4,tabela_registros[CATEGORIA],despesavariávelconsolidadomar[[#This Row],[DESPESA VARIÁVEL]])</f>
        <v>0</v>
      </c>
      <c r="M66" s="91">
        <f>SUMIFS(tabela_registros[VALOR],tabela_registros[MÊS],$AE$1,tabela_registros[DIA],martotal3059[[#Headers],[9]],tabela_registros[REGISTRO],DADOS!$N$4,tabela_registros[TIPO],DADOS!$P$4,tabela_registros[CATEGORIA],despesavariávelconsolidadomar[[#This Row],[DESPESA VARIÁVEL]])</f>
        <v>0</v>
      </c>
      <c r="N66" s="91">
        <f>SUMIFS(tabela_registros[VALOR],tabela_registros[MÊS],$AE$1,tabela_registros[DIA],martotal3059[[#Headers],[10]],tabela_registros[REGISTRO],DADOS!$N$4,tabela_registros[TIPO],DADOS!$P$4,tabela_registros[CATEGORIA],despesavariávelconsolidadomar[[#This Row],[DESPESA VARIÁVEL]])</f>
        <v>0</v>
      </c>
      <c r="O66" s="91">
        <f>SUMIFS(tabela_registros[VALOR],tabela_registros[MÊS],$AE$1,tabela_registros[DIA],martotal3059[[#Headers],[11]],tabela_registros[REGISTRO],DADOS!$N$4,tabela_registros[TIPO],DADOS!$P$4,tabela_registros[CATEGORIA],despesavariávelconsolidadomar[[#This Row],[DESPESA VARIÁVEL]])</f>
        <v>0</v>
      </c>
      <c r="P66" s="91">
        <f>SUMIFS(tabela_registros[VALOR],tabela_registros[MÊS],$AE$1,tabela_registros[DIA],martotal3059[[#Headers],[12]],tabela_registros[REGISTRO],DADOS!$N$4,tabela_registros[TIPO],DADOS!$P$4,tabela_registros[CATEGORIA],despesavariávelconsolidadomar[[#This Row],[DESPESA VARIÁVEL]])</f>
        <v>0</v>
      </c>
      <c r="Q66" s="91">
        <f>SUMIFS(tabela_registros[VALOR],tabela_registros[MÊS],$AE$1,tabela_registros[DIA],martotal3059[[#Headers],[13]],tabela_registros[REGISTRO],DADOS!$N$4,tabela_registros[TIPO],DADOS!$P$4,tabela_registros[CATEGORIA],despesavariávelconsolidadomar[[#This Row],[DESPESA VARIÁVEL]])</f>
        <v>0</v>
      </c>
      <c r="R66" s="91">
        <f>SUMIFS(tabela_registros[VALOR],tabela_registros[MÊS],$AE$1,tabela_registros[DIA],martotal3059[[#Headers],[14]],tabela_registros[REGISTRO],DADOS!$N$4,tabela_registros[TIPO],DADOS!$P$4,tabela_registros[CATEGORIA],despesavariávelconsolidadomar[[#This Row],[DESPESA VARIÁVEL]])</f>
        <v>0</v>
      </c>
      <c r="S66" s="91">
        <f>SUMIFS(tabela_registros[VALOR],tabela_registros[MÊS],$AE$1,tabela_registros[DIA],martotal3059[[#Headers],[15]],tabela_registros[REGISTRO],DADOS!$N$4,tabela_registros[TIPO],DADOS!$P$4,tabela_registros[CATEGORIA],despesavariávelconsolidadomar[[#This Row],[DESPESA VARIÁVEL]])</f>
        <v>0</v>
      </c>
      <c r="T66" s="91">
        <f>SUMIFS(tabela_registros[VALOR],tabela_registros[MÊS],$AE$1,tabela_registros[DIA],martotal3059[[#Headers],[16]],tabela_registros[REGISTRO],DADOS!$N$4,tabela_registros[TIPO],DADOS!$P$4,tabela_registros[CATEGORIA],despesavariávelconsolidadomar[[#This Row],[DESPESA VARIÁVEL]])</f>
        <v>0</v>
      </c>
      <c r="U66" s="91">
        <f>SUMIFS(tabela_registros[VALOR],tabela_registros[MÊS],$AE$1,tabela_registros[DIA],martotal3059[[#Headers],[17]],tabela_registros[REGISTRO],DADOS!$N$4,tabela_registros[TIPO],DADOS!$P$4,tabela_registros[CATEGORIA],despesavariávelconsolidadomar[[#This Row],[DESPESA VARIÁVEL]])</f>
        <v>0</v>
      </c>
      <c r="V66" s="91">
        <f>SUMIFS(tabela_registros[VALOR],tabela_registros[MÊS],$AE$1,tabela_registros[DIA],martotal3059[[#Headers],[18]],tabela_registros[REGISTRO],DADOS!$N$4,tabela_registros[TIPO],DADOS!$P$4,tabela_registros[CATEGORIA],despesavariávelconsolidadomar[[#This Row],[DESPESA VARIÁVEL]])</f>
        <v>0</v>
      </c>
      <c r="W66" s="91">
        <f>SUMIFS(tabela_registros[VALOR],tabela_registros[MÊS],$AE$1,tabela_registros[DIA],martotal3059[[#Headers],[19]],tabela_registros[REGISTRO],DADOS!$N$4,tabela_registros[TIPO],DADOS!$P$4,tabela_registros[CATEGORIA],despesavariávelconsolidadomar[[#This Row],[DESPESA VARIÁVEL]])</f>
        <v>0</v>
      </c>
      <c r="X66" s="91">
        <f>SUMIFS(tabela_registros[VALOR],tabela_registros[MÊS],$AE$1,tabela_registros[DIA],martotal3059[[#Headers],[20]],tabela_registros[REGISTRO],DADOS!$N$4,tabela_registros[TIPO],DADOS!$P$4,tabela_registros[CATEGORIA],despesavariávelconsolidadomar[[#This Row],[DESPESA VARIÁVEL]])</f>
        <v>0</v>
      </c>
      <c r="Y66" s="91">
        <f>SUMIFS(tabela_registros[VALOR],tabela_registros[MÊS],$AE$1,tabela_registros[DIA],martotal3059[[#Headers],[21]],tabela_registros[REGISTRO],DADOS!$N$4,tabela_registros[TIPO],DADOS!$P$4,tabela_registros[CATEGORIA],despesavariávelconsolidadomar[[#This Row],[DESPESA VARIÁVEL]])</f>
        <v>0</v>
      </c>
      <c r="Z66" s="91">
        <f>SUMIFS(tabela_registros[VALOR],tabela_registros[MÊS],$AE$1,tabela_registros[DIA],martotal3059[[#Headers],[22]],tabela_registros[REGISTRO],DADOS!$N$4,tabela_registros[TIPO],DADOS!$P$4,tabela_registros[CATEGORIA],despesavariávelconsolidadomar[[#This Row],[DESPESA VARIÁVEL]])</f>
        <v>0</v>
      </c>
      <c r="AA66" s="91">
        <f>SUMIFS(tabela_registros[VALOR],tabela_registros[MÊS],$AE$1,tabela_registros[DIA],martotal3059[[#Headers],[23]],tabela_registros[REGISTRO],DADOS!$N$4,tabela_registros[TIPO],DADOS!$P$4,tabela_registros[CATEGORIA],despesavariávelconsolidadomar[[#This Row],[DESPESA VARIÁVEL]])</f>
        <v>0</v>
      </c>
      <c r="AB66" s="91">
        <f>SUMIFS(tabela_registros[VALOR],tabela_registros[MÊS],$AE$1,tabela_registros[DIA],martotal3059[[#Headers],[24]],tabela_registros[REGISTRO],DADOS!$N$4,tabela_registros[TIPO],DADOS!$P$4,tabela_registros[CATEGORIA],despesavariávelconsolidadomar[[#This Row],[DESPESA VARIÁVEL]])</f>
        <v>0</v>
      </c>
      <c r="AC66" s="91">
        <f>SUMIFS(tabela_registros[VALOR],tabela_registros[MÊS],$AE$1,tabela_registros[DIA],martotal3059[[#Headers],[25]],tabela_registros[REGISTRO],DADOS!$N$4,tabela_registros[TIPO],DADOS!$P$4,tabela_registros[CATEGORIA],despesavariávelconsolidadomar[[#This Row],[DESPESA VARIÁVEL]])</f>
        <v>0</v>
      </c>
      <c r="AD66" s="91">
        <f>SUMIFS(tabela_registros[VALOR],tabela_registros[MÊS],$AE$1,tabela_registros[DIA],martotal3059[[#Headers],[26]],tabela_registros[REGISTRO],DADOS!$N$4,tabela_registros[TIPO],DADOS!$P$4,tabela_registros[CATEGORIA],despesavariávelconsolidadomar[[#This Row],[DESPESA VARIÁVEL]])</f>
        <v>0</v>
      </c>
      <c r="AE66" s="91">
        <f>SUMIFS(tabela_registros[VALOR],tabela_registros[MÊS],$AE$1,tabela_registros[DIA],martotal3059[[#Headers],[27]],tabela_registros[REGISTRO],DADOS!$N$4,tabela_registros[TIPO],DADOS!$P$4,tabela_registros[CATEGORIA],despesavariávelconsolidadomar[[#This Row],[DESPESA VARIÁVEL]])</f>
        <v>0</v>
      </c>
      <c r="AF66" s="91">
        <f>SUMIFS(tabela_registros[VALOR],tabela_registros[MÊS],$AE$1,tabela_registros[DIA],martotal3059[[#Headers],[28]],tabela_registros[REGISTRO],DADOS!$N$4,tabela_registros[TIPO],DADOS!$P$4,tabela_registros[CATEGORIA],despesavariávelconsolidadomar[[#This Row],[DESPESA VARIÁVEL]])</f>
        <v>0</v>
      </c>
      <c r="AG66" s="91">
        <f>SUMIFS(tabela_registros[VALOR],tabela_registros[MÊS],$AE$1,tabela_registros[DIA],martotal3059[[#Headers],[29]],tabela_registros[REGISTRO],DADOS!$N$4,tabela_registros[TIPO],DADOS!$P$4,tabela_registros[CATEGORIA],despesavariávelconsolidadomar[[#This Row],[DESPESA VARIÁVEL]])</f>
        <v>0</v>
      </c>
      <c r="AH66" s="91">
        <f>SUMIFS(tabela_registros[VALOR],tabela_registros[MÊS],$AE$1,tabela_registros[DIA],martotal3059[[#Headers],[30]],tabela_registros[REGISTRO],DADOS!$N$4,tabela_registros[TIPO],DADOS!$P$4,tabela_registros[CATEGORIA],despesavariávelconsolidadomar[[#This Row],[DESPESA VARIÁVEL]])</f>
        <v>0</v>
      </c>
      <c r="AI66" s="101">
        <f>SUMIFS(tabela_registros[VALOR],tabela_registros[MÊS],$AE$1,tabela_registros[DIA],martotal3059[[#Headers],[31]],tabela_registros[REGISTRO],DADOS!$N$4,tabela_registros[TIPO],DADOS!$P$4,tabela_registros[CATEGORIA],despesavariávelconsolidadomar[[#This Row],[DESPESA VARIÁVEL]])</f>
        <v>0</v>
      </c>
      <c r="AJ66" s="97">
        <f>SUM(despesavariávelconsolidadomar[[#This Row],[1]:[31]])</f>
        <v>0</v>
      </c>
      <c r="AK66" s="28"/>
    </row>
    <row r="67" spans="2:37" ht="18" customHeight="1" thickTop="1" thickBot="1" x14ac:dyDescent="0.3">
      <c r="B67" s="28"/>
      <c r="C67" s="27" t="str">
        <f>DADOS!$T$10</f>
        <v>🛒 MERCADO</v>
      </c>
      <c r="D67" s="26" t="str">
        <f>IF(despesavariávelconsolidadomar[[#This Row],[TOTAL]]=0,"",IF(OR(despesavariávelconsolidadomar[[#This Row],[TOTAL]]=LARGE($AJ$60:$AJ$72,1),despesavariávelconsolidadomar[[#This Row],[TOTAL]]=LARGE($AJ$60:$AJ$72,2),despesavariávelconsolidadomar[[#This Row],[TOTAL]]=LARGE($AJ$60:$AJ$72,3),despesavariávelconsolidadomar[[#This Row],[TOTAL]]=LARGE($AJ$60:$AJ$72,4),despesavariávelconsolidadomar[[#This Row],[TOTAL]]=LARGE($AJ$60:$AJ$72,5)),DADOS!$I$8,""))</f>
        <v/>
      </c>
      <c r="E67" s="96">
        <f>SUMIFS(tabela_registros[VALOR],tabela_registros[MÊS],$AE$1,tabela_registros[DIA],martotal3059[[#Headers],[1]],tabela_registros[REGISTRO],DADOS!$N$4,tabela_registros[TIPO],DADOS!$P$4,tabela_registros[CATEGORIA],despesavariávelconsolidadomar[[#This Row],[DESPESA VARIÁVEL]])</f>
        <v>0</v>
      </c>
      <c r="F67" s="91">
        <f>SUMIFS(tabela_registros[VALOR],tabela_registros[MÊS],$AE$1,tabela_registros[DIA],martotal3059[[#Headers],[2]],tabela_registros[REGISTRO],DADOS!$N$4,tabela_registros[TIPO],DADOS!$P$4,tabela_registros[CATEGORIA],despesavariávelconsolidadomar[[#This Row],[DESPESA VARIÁVEL]])</f>
        <v>0</v>
      </c>
      <c r="G67" s="91">
        <f>SUMIFS(tabela_registros[VALOR],tabela_registros[MÊS],$AE$1,tabela_registros[DIA],martotal3059[[#Headers],[3]],tabela_registros[REGISTRO],DADOS!$N$4,tabela_registros[TIPO],DADOS!$P$4,tabela_registros[CATEGORIA],despesavariávelconsolidadomar[[#This Row],[DESPESA VARIÁVEL]])</f>
        <v>0</v>
      </c>
      <c r="H67" s="91">
        <f>SUMIFS(tabela_registros[VALOR],tabela_registros[MÊS],$AE$1,tabela_registros[DIA],martotal3059[[#Headers],[4]],tabela_registros[REGISTRO],DADOS!$N$4,tabela_registros[TIPO],DADOS!$P$4,tabela_registros[CATEGORIA],despesavariávelconsolidadomar[[#This Row],[DESPESA VARIÁVEL]])</f>
        <v>0</v>
      </c>
      <c r="I67" s="91">
        <f>SUMIFS(tabela_registros[VALOR],tabela_registros[MÊS],$AE$1,tabela_registros[DIA],martotal3059[[#Headers],[5]],tabela_registros[REGISTRO],DADOS!$N$4,tabela_registros[TIPO],DADOS!$P$4,tabela_registros[CATEGORIA],despesavariávelconsolidadomar[[#This Row],[DESPESA VARIÁVEL]])</f>
        <v>0</v>
      </c>
      <c r="J67" s="91">
        <f>SUMIFS(tabela_registros[VALOR],tabela_registros[MÊS],$AE$1,tabela_registros[DIA],martotal3059[[#Headers],[6]],tabela_registros[REGISTRO],DADOS!$N$4,tabela_registros[TIPO],DADOS!$P$4,tabela_registros[CATEGORIA],despesavariávelconsolidadomar[[#This Row],[DESPESA VARIÁVEL]])</f>
        <v>0</v>
      </c>
      <c r="K67" s="91">
        <f>SUMIFS(tabela_registros[VALOR],tabela_registros[MÊS],$AE$1,tabela_registros[DIA],martotal3059[[#Headers],[7]],tabela_registros[REGISTRO],DADOS!$N$4,tabela_registros[TIPO],DADOS!$P$4,tabela_registros[CATEGORIA],despesavariávelconsolidadomar[[#This Row],[DESPESA VARIÁVEL]])</f>
        <v>0</v>
      </c>
      <c r="L67" s="91">
        <f>SUMIFS(tabela_registros[VALOR],tabela_registros[MÊS],$AE$1,tabela_registros[DIA],martotal3059[[#Headers],[8]],tabela_registros[REGISTRO],DADOS!$N$4,tabela_registros[TIPO],DADOS!$P$4,tabela_registros[CATEGORIA],despesavariávelconsolidadomar[[#This Row],[DESPESA VARIÁVEL]])</f>
        <v>0</v>
      </c>
      <c r="M67" s="91">
        <f>SUMIFS(tabela_registros[VALOR],tabela_registros[MÊS],$AE$1,tabela_registros[DIA],martotal3059[[#Headers],[9]],tabela_registros[REGISTRO],DADOS!$N$4,tabela_registros[TIPO],DADOS!$P$4,tabela_registros[CATEGORIA],despesavariávelconsolidadomar[[#This Row],[DESPESA VARIÁVEL]])</f>
        <v>0</v>
      </c>
      <c r="N67" s="91">
        <f>SUMIFS(tabela_registros[VALOR],tabela_registros[MÊS],$AE$1,tabela_registros[DIA],martotal3059[[#Headers],[10]],tabela_registros[REGISTRO],DADOS!$N$4,tabela_registros[TIPO],DADOS!$P$4,tabela_registros[CATEGORIA],despesavariávelconsolidadomar[[#This Row],[DESPESA VARIÁVEL]])</f>
        <v>0</v>
      </c>
      <c r="O67" s="91">
        <f>SUMIFS(tabela_registros[VALOR],tabela_registros[MÊS],$AE$1,tabela_registros[DIA],martotal3059[[#Headers],[11]],tabela_registros[REGISTRO],DADOS!$N$4,tabela_registros[TIPO],DADOS!$P$4,tabela_registros[CATEGORIA],despesavariávelconsolidadomar[[#This Row],[DESPESA VARIÁVEL]])</f>
        <v>0</v>
      </c>
      <c r="P67" s="91">
        <f>SUMIFS(tabela_registros[VALOR],tabela_registros[MÊS],$AE$1,tabela_registros[DIA],martotal3059[[#Headers],[12]],tabela_registros[REGISTRO],DADOS!$N$4,tabela_registros[TIPO],DADOS!$P$4,tabela_registros[CATEGORIA],despesavariávelconsolidadomar[[#This Row],[DESPESA VARIÁVEL]])</f>
        <v>0</v>
      </c>
      <c r="Q67" s="91">
        <f>SUMIFS(tabela_registros[VALOR],tabela_registros[MÊS],$AE$1,tabela_registros[DIA],martotal3059[[#Headers],[13]],tabela_registros[REGISTRO],DADOS!$N$4,tabela_registros[TIPO],DADOS!$P$4,tabela_registros[CATEGORIA],despesavariávelconsolidadomar[[#This Row],[DESPESA VARIÁVEL]])</f>
        <v>0</v>
      </c>
      <c r="R67" s="91">
        <f>SUMIFS(tabela_registros[VALOR],tabela_registros[MÊS],$AE$1,tabela_registros[DIA],martotal3059[[#Headers],[14]],tabela_registros[REGISTRO],DADOS!$N$4,tabela_registros[TIPO],DADOS!$P$4,tabela_registros[CATEGORIA],despesavariávelconsolidadomar[[#This Row],[DESPESA VARIÁVEL]])</f>
        <v>0</v>
      </c>
      <c r="S67" s="91">
        <f>SUMIFS(tabela_registros[VALOR],tabela_registros[MÊS],$AE$1,tabela_registros[DIA],martotal3059[[#Headers],[15]],tabela_registros[REGISTRO],DADOS!$N$4,tabela_registros[TIPO],DADOS!$P$4,tabela_registros[CATEGORIA],despesavariávelconsolidadomar[[#This Row],[DESPESA VARIÁVEL]])</f>
        <v>0</v>
      </c>
      <c r="T67" s="91">
        <f>SUMIFS(tabela_registros[VALOR],tabela_registros[MÊS],$AE$1,tabela_registros[DIA],martotal3059[[#Headers],[16]],tabela_registros[REGISTRO],DADOS!$N$4,tabela_registros[TIPO],DADOS!$P$4,tabela_registros[CATEGORIA],despesavariávelconsolidadomar[[#This Row],[DESPESA VARIÁVEL]])</f>
        <v>0</v>
      </c>
      <c r="U67" s="91">
        <f>SUMIFS(tabela_registros[VALOR],tabela_registros[MÊS],$AE$1,tabela_registros[DIA],martotal3059[[#Headers],[17]],tabela_registros[REGISTRO],DADOS!$N$4,tabela_registros[TIPO],DADOS!$P$4,tabela_registros[CATEGORIA],despesavariávelconsolidadomar[[#This Row],[DESPESA VARIÁVEL]])</f>
        <v>0</v>
      </c>
      <c r="V67" s="91">
        <f>SUMIFS(tabela_registros[VALOR],tabela_registros[MÊS],$AE$1,tabela_registros[DIA],martotal3059[[#Headers],[18]],tabela_registros[REGISTRO],DADOS!$N$4,tabela_registros[TIPO],DADOS!$P$4,tabela_registros[CATEGORIA],despesavariávelconsolidadomar[[#This Row],[DESPESA VARIÁVEL]])</f>
        <v>0</v>
      </c>
      <c r="W67" s="91">
        <f>SUMIFS(tabela_registros[VALOR],tabela_registros[MÊS],$AE$1,tabela_registros[DIA],martotal3059[[#Headers],[19]],tabela_registros[REGISTRO],DADOS!$N$4,tabela_registros[TIPO],DADOS!$P$4,tabela_registros[CATEGORIA],despesavariávelconsolidadomar[[#This Row],[DESPESA VARIÁVEL]])</f>
        <v>0</v>
      </c>
      <c r="X67" s="91">
        <f>SUMIFS(tabela_registros[VALOR],tabela_registros[MÊS],$AE$1,tabela_registros[DIA],martotal3059[[#Headers],[20]],tabela_registros[REGISTRO],DADOS!$N$4,tabela_registros[TIPO],DADOS!$P$4,tabela_registros[CATEGORIA],despesavariávelconsolidadomar[[#This Row],[DESPESA VARIÁVEL]])</f>
        <v>0</v>
      </c>
      <c r="Y67" s="91">
        <f>SUMIFS(tabela_registros[VALOR],tabela_registros[MÊS],$AE$1,tabela_registros[DIA],martotal3059[[#Headers],[21]],tabela_registros[REGISTRO],DADOS!$N$4,tabela_registros[TIPO],DADOS!$P$4,tabela_registros[CATEGORIA],despesavariávelconsolidadomar[[#This Row],[DESPESA VARIÁVEL]])</f>
        <v>0</v>
      </c>
      <c r="Z67" s="91">
        <f>SUMIFS(tabela_registros[VALOR],tabela_registros[MÊS],$AE$1,tabela_registros[DIA],martotal3059[[#Headers],[22]],tabela_registros[REGISTRO],DADOS!$N$4,tabela_registros[TIPO],DADOS!$P$4,tabela_registros[CATEGORIA],despesavariávelconsolidadomar[[#This Row],[DESPESA VARIÁVEL]])</f>
        <v>0</v>
      </c>
      <c r="AA67" s="91">
        <f>SUMIFS(tabela_registros[VALOR],tabela_registros[MÊS],$AE$1,tabela_registros[DIA],martotal3059[[#Headers],[23]],tabela_registros[REGISTRO],DADOS!$N$4,tabela_registros[TIPO],DADOS!$P$4,tabela_registros[CATEGORIA],despesavariávelconsolidadomar[[#This Row],[DESPESA VARIÁVEL]])</f>
        <v>0</v>
      </c>
      <c r="AB67" s="91">
        <f>SUMIFS(tabela_registros[VALOR],tabela_registros[MÊS],$AE$1,tabela_registros[DIA],martotal3059[[#Headers],[24]],tabela_registros[REGISTRO],DADOS!$N$4,tabela_registros[TIPO],DADOS!$P$4,tabela_registros[CATEGORIA],despesavariávelconsolidadomar[[#This Row],[DESPESA VARIÁVEL]])</f>
        <v>0</v>
      </c>
      <c r="AC67" s="91">
        <f>SUMIFS(tabela_registros[VALOR],tabela_registros[MÊS],$AE$1,tabela_registros[DIA],martotal3059[[#Headers],[25]],tabela_registros[REGISTRO],DADOS!$N$4,tabela_registros[TIPO],DADOS!$P$4,tabela_registros[CATEGORIA],despesavariávelconsolidadomar[[#This Row],[DESPESA VARIÁVEL]])</f>
        <v>0</v>
      </c>
      <c r="AD67" s="91">
        <f>SUMIFS(tabela_registros[VALOR],tabela_registros[MÊS],$AE$1,tabela_registros[DIA],martotal3059[[#Headers],[26]],tabela_registros[REGISTRO],DADOS!$N$4,tabela_registros[TIPO],DADOS!$P$4,tabela_registros[CATEGORIA],despesavariávelconsolidadomar[[#This Row],[DESPESA VARIÁVEL]])</f>
        <v>0</v>
      </c>
      <c r="AE67" s="91">
        <f>SUMIFS(tabela_registros[VALOR],tabela_registros[MÊS],$AE$1,tabela_registros[DIA],martotal3059[[#Headers],[27]],tabela_registros[REGISTRO],DADOS!$N$4,tabela_registros[TIPO],DADOS!$P$4,tabela_registros[CATEGORIA],despesavariávelconsolidadomar[[#This Row],[DESPESA VARIÁVEL]])</f>
        <v>0</v>
      </c>
      <c r="AF67" s="91">
        <f>SUMIFS(tabela_registros[VALOR],tabela_registros[MÊS],$AE$1,tabela_registros[DIA],martotal3059[[#Headers],[28]],tabela_registros[REGISTRO],DADOS!$N$4,tabela_registros[TIPO],DADOS!$P$4,tabela_registros[CATEGORIA],despesavariávelconsolidadomar[[#This Row],[DESPESA VARIÁVEL]])</f>
        <v>0</v>
      </c>
      <c r="AG67" s="91">
        <f>SUMIFS(tabela_registros[VALOR],tabela_registros[MÊS],$AE$1,tabela_registros[DIA],martotal3059[[#Headers],[29]],tabela_registros[REGISTRO],DADOS!$N$4,tabela_registros[TIPO],DADOS!$P$4,tabela_registros[CATEGORIA],despesavariávelconsolidadomar[[#This Row],[DESPESA VARIÁVEL]])</f>
        <v>0</v>
      </c>
      <c r="AH67" s="91">
        <f>SUMIFS(tabela_registros[VALOR],tabela_registros[MÊS],$AE$1,tabela_registros[DIA],martotal3059[[#Headers],[30]],tabela_registros[REGISTRO],DADOS!$N$4,tabela_registros[TIPO],DADOS!$P$4,tabela_registros[CATEGORIA],despesavariávelconsolidadomar[[#This Row],[DESPESA VARIÁVEL]])</f>
        <v>0</v>
      </c>
      <c r="AI67" s="101">
        <f>SUMIFS(tabela_registros[VALOR],tabela_registros[MÊS],$AE$1,tabela_registros[DIA],martotal3059[[#Headers],[31]],tabela_registros[REGISTRO],DADOS!$N$4,tabela_registros[TIPO],DADOS!$P$4,tabela_registros[CATEGORIA],despesavariávelconsolidadomar[[#This Row],[DESPESA VARIÁVEL]])</f>
        <v>0</v>
      </c>
      <c r="AJ67" s="97">
        <f>SUM(despesavariávelconsolidadomar[[#This Row],[1]:[31]])</f>
        <v>0</v>
      </c>
      <c r="AK67" s="28"/>
    </row>
    <row r="68" spans="2:37" ht="18" customHeight="1" thickTop="1" thickBot="1" x14ac:dyDescent="0.3">
      <c r="B68" s="28"/>
      <c r="C68" s="27" t="str">
        <f>DADOS!$T$11</f>
        <v>🎁 PRESENTES</v>
      </c>
      <c r="D68" s="26" t="str">
        <f>IF(despesavariávelconsolidadomar[[#This Row],[TOTAL]]=0,"",IF(OR(despesavariávelconsolidadomar[[#This Row],[TOTAL]]=LARGE($AJ$60:$AJ$72,1),despesavariávelconsolidadomar[[#This Row],[TOTAL]]=LARGE($AJ$60:$AJ$72,2),despesavariávelconsolidadomar[[#This Row],[TOTAL]]=LARGE($AJ$60:$AJ$72,3),despesavariávelconsolidadomar[[#This Row],[TOTAL]]=LARGE($AJ$60:$AJ$72,4),despesavariávelconsolidadomar[[#This Row],[TOTAL]]=LARGE($AJ$60:$AJ$72,5)),DADOS!$I$8,""))</f>
        <v/>
      </c>
      <c r="E68" s="96">
        <f>SUMIFS(tabela_registros[VALOR],tabela_registros[MÊS],$AE$1,tabela_registros[DIA],martotal3059[[#Headers],[1]],tabela_registros[REGISTRO],DADOS!$N$4,tabela_registros[TIPO],DADOS!$P$4,tabela_registros[CATEGORIA],despesavariávelconsolidadomar[[#This Row],[DESPESA VARIÁVEL]])</f>
        <v>0</v>
      </c>
      <c r="F68" s="91">
        <f>SUMIFS(tabela_registros[VALOR],tabela_registros[MÊS],$AE$1,tabela_registros[DIA],martotal3059[[#Headers],[2]],tabela_registros[REGISTRO],DADOS!$N$4,tabela_registros[TIPO],DADOS!$P$4,tabela_registros[CATEGORIA],despesavariávelconsolidadomar[[#This Row],[DESPESA VARIÁVEL]])</f>
        <v>0</v>
      </c>
      <c r="G68" s="91">
        <f>SUMIFS(tabela_registros[VALOR],tabela_registros[MÊS],$AE$1,tabela_registros[DIA],martotal3059[[#Headers],[3]],tabela_registros[REGISTRO],DADOS!$N$4,tabela_registros[TIPO],DADOS!$P$4,tabela_registros[CATEGORIA],despesavariávelconsolidadomar[[#This Row],[DESPESA VARIÁVEL]])</f>
        <v>0</v>
      </c>
      <c r="H68" s="91">
        <f>SUMIFS(tabela_registros[VALOR],tabela_registros[MÊS],$AE$1,tabela_registros[DIA],martotal3059[[#Headers],[4]],tabela_registros[REGISTRO],DADOS!$N$4,tabela_registros[TIPO],DADOS!$P$4,tabela_registros[CATEGORIA],despesavariávelconsolidadomar[[#This Row],[DESPESA VARIÁVEL]])</f>
        <v>0</v>
      </c>
      <c r="I68" s="91">
        <f>SUMIFS(tabela_registros[VALOR],tabela_registros[MÊS],$AE$1,tabela_registros[DIA],martotal3059[[#Headers],[5]],tabela_registros[REGISTRO],DADOS!$N$4,tabela_registros[TIPO],DADOS!$P$4,tabela_registros[CATEGORIA],despesavariávelconsolidadomar[[#This Row],[DESPESA VARIÁVEL]])</f>
        <v>0</v>
      </c>
      <c r="J68" s="91">
        <f>SUMIFS(tabela_registros[VALOR],tabela_registros[MÊS],$AE$1,tabela_registros[DIA],martotal3059[[#Headers],[6]],tabela_registros[REGISTRO],DADOS!$N$4,tabela_registros[TIPO],DADOS!$P$4,tabela_registros[CATEGORIA],despesavariávelconsolidadomar[[#This Row],[DESPESA VARIÁVEL]])</f>
        <v>0</v>
      </c>
      <c r="K68" s="91">
        <f>SUMIFS(tabela_registros[VALOR],tabela_registros[MÊS],$AE$1,tabela_registros[DIA],martotal3059[[#Headers],[7]],tabela_registros[REGISTRO],DADOS!$N$4,tabela_registros[TIPO],DADOS!$P$4,tabela_registros[CATEGORIA],despesavariávelconsolidadomar[[#This Row],[DESPESA VARIÁVEL]])</f>
        <v>0</v>
      </c>
      <c r="L68" s="91">
        <f>SUMIFS(tabela_registros[VALOR],tabela_registros[MÊS],$AE$1,tabela_registros[DIA],martotal3059[[#Headers],[8]],tabela_registros[REGISTRO],DADOS!$N$4,tabela_registros[TIPO],DADOS!$P$4,tabela_registros[CATEGORIA],despesavariávelconsolidadomar[[#This Row],[DESPESA VARIÁVEL]])</f>
        <v>0</v>
      </c>
      <c r="M68" s="91">
        <f>SUMIFS(tabela_registros[VALOR],tabela_registros[MÊS],$AE$1,tabela_registros[DIA],martotal3059[[#Headers],[9]],tabela_registros[REGISTRO],DADOS!$N$4,tabela_registros[TIPO],DADOS!$P$4,tabela_registros[CATEGORIA],despesavariávelconsolidadomar[[#This Row],[DESPESA VARIÁVEL]])</f>
        <v>0</v>
      </c>
      <c r="N68" s="91">
        <f>SUMIFS(tabela_registros[VALOR],tabela_registros[MÊS],$AE$1,tabela_registros[DIA],martotal3059[[#Headers],[10]],tabela_registros[REGISTRO],DADOS!$N$4,tabela_registros[TIPO],DADOS!$P$4,tabela_registros[CATEGORIA],despesavariávelconsolidadomar[[#This Row],[DESPESA VARIÁVEL]])</f>
        <v>0</v>
      </c>
      <c r="O68" s="91">
        <f>SUMIFS(tabela_registros[VALOR],tabela_registros[MÊS],$AE$1,tabela_registros[DIA],martotal3059[[#Headers],[11]],tabela_registros[REGISTRO],DADOS!$N$4,tabela_registros[TIPO],DADOS!$P$4,tabela_registros[CATEGORIA],despesavariávelconsolidadomar[[#This Row],[DESPESA VARIÁVEL]])</f>
        <v>0</v>
      </c>
      <c r="P68" s="91">
        <f>SUMIFS(tabela_registros[VALOR],tabela_registros[MÊS],$AE$1,tabela_registros[DIA],martotal3059[[#Headers],[12]],tabela_registros[REGISTRO],DADOS!$N$4,tabela_registros[TIPO],DADOS!$P$4,tabela_registros[CATEGORIA],despesavariávelconsolidadomar[[#This Row],[DESPESA VARIÁVEL]])</f>
        <v>0</v>
      </c>
      <c r="Q68" s="91">
        <f>SUMIFS(tabela_registros[VALOR],tabela_registros[MÊS],$AE$1,tabela_registros[DIA],martotal3059[[#Headers],[13]],tabela_registros[REGISTRO],DADOS!$N$4,tabela_registros[TIPO],DADOS!$P$4,tabela_registros[CATEGORIA],despesavariávelconsolidadomar[[#This Row],[DESPESA VARIÁVEL]])</f>
        <v>0</v>
      </c>
      <c r="R68" s="91">
        <f>SUMIFS(tabela_registros[VALOR],tabela_registros[MÊS],$AE$1,tabela_registros[DIA],martotal3059[[#Headers],[14]],tabela_registros[REGISTRO],DADOS!$N$4,tabela_registros[TIPO],DADOS!$P$4,tabela_registros[CATEGORIA],despesavariávelconsolidadomar[[#This Row],[DESPESA VARIÁVEL]])</f>
        <v>0</v>
      </c>
      <c r="S68" s="91">
        <f>SUMIFS(tabela_registros[VALOR],tabela_registros[MÊS],$AE$1,tabela_registros[DIA],martotal3059[[#Headers],[15]],tabela_registros[REGISTRO],DADOS!$N$4,tabela_registros[TIPO],DADOS!$P$4,tabela_registros[CATEGORIA],despesavariávelconsolidadomar[[#This Row],[DESPESA VARIÁVEL]])</f>
        <v>0</v>
      </c>
      <c r="T68" s="91">
        <f>SUMIFS(tabela_registros[VALOR],tabela_registros[MÊS],$AE$1,tabela_registros[DIA],martotal3059[[#Headers],[16]],tabela_registros[REGISTRO],DADOS!$N$4,tabela_registros[TIPO],DADOS!$P$4,tabela_registros[CATEGORIA],despesavariávelconsolidadomar[[#This Row],[DESPESA VARIÁVEL]])</f>
        <v>0</v>
      </c>
      <c r="U68" s="91">
        <f>SUMIFS(tabela_registros[VALOR],tabela_registros[MÊS],$AE$1,tabela_registros[DIA],martotal3059[[#Headers],[17]],tabela_registros[REGISTRO],DADOS!$N$4,tabela_registros[TIPO],DADOS!$P$4,tabela_registros[CATEGORIA],despesavariávelconsolidadomar[[#This Row],[DESPESA VARIÁVEL]])</f>
        <v>0</v>
      </c>
      <c r="V68" s="91">
        <f>SUMIFS(tabela_registros[VALOR],tabela_registros[MÊS],$AE$1,tabela_registros[DIA],martotal3059[[#Headers],[18]],tabela_registros[REGISTRO],DADOS!$N$4,tabela_registros[TIPO],DADOS!$P$4,tabela_registros[CATEGORIA],despesavariávelconsolidadomar[[#This Row],[DESPESA VARIÁVEL]])</f>
        <v>0</v>
      </c>
      <c r="W68" s="91">
        <f>SUMIFS(tabela_registros[VALOR],tabela_registros[MÊS],$AE$1,tabela_registros[DIA],martotal3059[[#Headers],[19]],tabela_registros[REGISTRO],DADOS!$N$4,tabela_registros[TIPO],DADOS!$P$4,tabela_registros[CATEGORIA],despesavariávelconsolidadomar[[#This Row],[DESPESA VARIÁVEL]])</f>
        <v>0</v>
      </c>
      <c r="X68" s="91">
        <f>SUMIFS(tabela_registros[VALOR],tabela_registros[MÊS],$AE$1,tabela_registros[DIA],martotal3059[[#Headers],[20]],tabela_registros[REGISTRO],DADOS!$N$4,tabela_registros[TIPO],DADOS!$P$4,tabela_registros[CATEGORIA],despesavariávelconsolidadomar[[#This Row],[DESPESA VARIÁVEL]])</f>
        <v>0</v>
      </c>
      <c r="Y68" s="91">
        <f>SUMIFS(tabela_registros[VALOR],tabela_registros[MÊS],$AE$1,tabela_registros[DIA],martotal3059[[#Headers],[21]],tabela_registros[REGISTRO],DADOS!$N$4,tabela_registros[TIPO],DADOS!$P$4,tabela_registros[CATEGORIA],despesavariávelconsolidadomar[[#This Row],[DESPESA VARIÁVEL]])</f>
        <v>0</v>
      </c>
      <c r="Z68" s="91">
        <f>SUMIFS(tabela_registros[VALOR],tabela_registros[MÊS],$AE$1,tabela_registros[DIA],martotal3059[[#Headers],[22]],tabela_registros[REGISTRO],DADOS!$N$4,tabela_registros[TIPO],DADOS!$P$4,tabela_registros[CATEGORIA],despesavariávelconsolidadomar[[#This Row],[DESPESA VARIÁVEL]])</f>
        <v>0</v>
      </c>
      <c r="AA68" s="91">
        <f>SUMIFS(tabela_registros[VALOR],tabela_registros[MÊS],$AE$1,tabela_registros[DIA],martotal3059[[#Headers],[23]],tabela_registros[REGISTRO],DADOS!$N$4,tabela_registros[TIPO],DADOS!$P$4,tabela_registros[CATEGORIA],despesavariávelconsolidadomar[[#This Row],[DESPESA VARIÁVEL]])</f>
        <v>0</v>
      </c>
      <c r="AB68" s="91">
        <f>SUMIFS(tabela_registros[VALOR],tabela_registros[MÊS],$AE$1,tabela_registros[DIA],martotal3059[[#Headers],[24]],tabela_registros[REGISTRO],DADOS!$N$4,tabela_registros[TIPO],DADOS!$P$4,tabela_registros[CATEGORIA],despesavariávelconsolidadomar[[#This Row],[DESPESA VARIÁVEL]])</f>
        <v>0</v>
      </c>
      <c r="AC68" s="91">
        <f>SUMIFS(tabela_registros[VALOR],tabela_registros[MÊS],$AE$1,tabela_registros[DIA],martotal3059[[#Headers],[25]],tabela_registros[REGISTRO],DADOS!$N$4,tabela_registros[TIPO],DADOS!$P$4,tabela_registros[CATEGORIA],despesavariávelconsolidadomar[[#This Row],[DESPESA VARIÁVEL]])</f>
        <v>0</v>
      </c>
      <c r="AD68" s="91">
        <f>SUMIFS(tabela_registros[VALOR],tabela_registros[MÊS],$AE$1,tabela_registros[DIA],martotal3059[[#Headers],[26]],tabela_registros[REGISTRO],DADOS!$N$4,tabela_registros[TIPO],DADOS!$P$4,tabela_registros[CATEGORIA],despesavariávelconsolidadomar[[#This Row],[DESPESA VARIÁVEL]])</f>
        <v>0</v>
      </c>
      <c r="AE68" s="91">
        <f>SUMIFS(tabela_registros[VALOR],tabela_registros[MÊS],$AE$1,tabela_registros[DIA],martotal3059[[#Headers],[27]],tabela_registros[REGISTRO],DADOS!$N$4,tabela_registros[TIPO],DADOS!$P$4,tabela_registros[CATEGORIA],despesavariávelconsolidadomar[[#This Row],[DESPESA VARIÁVEL]])</f>
        <v>0</v>
      </c>
      <c r="AF68" s="91">
        <f>SUMIFS(tabela_registros[VALOR],tabela_registros[MÊS],$AE$1,tabela_registros[DIA],martotal3059[[#Headers],[28]],tabela_registros[REGISTRO],DADOS!$N$4,tabela_registros[TIPO],DADOS!$P$4,tabela_registros[CATEGORIA],despesavariávelconsolidadomar[[#This Row],[DESPESA VARIÁVEL]])</f>
        <v>0</v>
      </c>
      <c r="AG68" s="91">
        <f>SUMIFS(tabela_registros[VALOR],tabela_registros[MÊS],$AE$1,tabela_registros[DIA],martotal3059[[#Headers],[29]],tabela_registros[REGISTRO],DADOS!$N$4,tabela_registros[TIPO],DADOS!$P$4,tabela_registros[CATEGORIA],despesavariávelconsolidadomar[[#This Row],[DESPESA VARIÁVEL]])</f>
        <v>0</v>
      </c>
      <c r="AH68" s="91">
        <f>SUMIFS(tabela_registros[VALOR],tabela_registros[MÊS],$AE$1,tabela_registros[DIA],martotal3059[[#Headers],[30]],tabela_registros[REGISTRO],DADOS!$N$4,tabela_registros[TIPO],DADOS!$P$4,tabela_registros[CATEGORIA],despesavariávelconsolidadomar[[#This Row],[DESPESA VARIÁVEL]])</f>
        <v>0</v>
      </c>
      <c r="AI68" s="101">
        <f>SUMIFS(tabela_registros[VALOR],tabela_registros[MÊS],$AE$1,tabela_registros[DIA],martotal3059[[#Headers],[31]],tabela_registros[REGISTRO],DADOS!$N$4,tabela_registros[TIPO],DADOS!$P$4,tabela_registros[CATEGORIA],despesavariávelconsolidadomar[[#This Row],[DESPESA VARIÁVEL]])</f>
        <v>0</v>
      </c>
      <c r="AJ68" s="97">
        <f>SUM(despesavariávelconsolidadomar[[#This Row],[1]:[31]])</f>
        <v>0</v>
      </c>
      <c r="AK68" s="28"/>
    </row>
    <row r="69" spans="2:37" ht="18" customHeight="1" thickTop="1" thickBot="1" x14ac:dyDescent="0.3">
      <c r="B69" s="28"/>
      <c r="C69" s="27" t="str">
        <f>DADOS!$T$12</f>
        <v>💊 SAÚDE</v>
      </c>
      <c r="D69" s="26" t="str">
        <f>IF(despesavariávelconsolidadomar[[#This Row],[TOTAL]]=0,"",IF(OR(despesavariávelconsolidadomar[[#This Row],[TOTAL]]=LARGE($AJ$60:$AJ$72,1),despesavariávelconsolidadomar[[#This Row],[TOTAL]]=LARGE($AJ$60:$AJ$72,2),despesavariávelconsolidadomar[[#This Row],[TOTAL]]=LARGE($AJ$60:$AJ$72,3),despesavariávelconsolidadomar[[#This Row],[TOTAL]]=LARGE($AJ$60:$AJ$72,4),despesavariávelconsolidadomar[[#This Row],[TOTAL]]=LARGE($AJ$60:$AJ$72,5)),DADOS!$I$8,""))</f>
        <v/>
      </c>
      <c r="E69" s="96">
        <f>SUMIFS(tabela_registros[VALOR],tabela_registros[MÊS],$AE$1,tabela_registros[DIA],martotal3059[[#Headers],[1]],tabela_registros[REGISTRO],DADOS!$N$4,tabela_registros[TIPO],DADOS!$P$4,tabela_registros[CATEGORIA],despesavariávelconsolidadomar[[#This Row],[DESPESA VARIÁVEL]])</f>
        <v>0</v>
      </c>
      <c r="F69" s="91">
        <f>SUMIFS(tabela_registros[VALOR],tabela_registros[MÊS],$AE$1,tabela_registros[DIA],martotal3059[[#Headers],[2]],tabela_registros[REGISTRO],DADOS!$N$4,tabela_registros[TIPO],DADOS!$P$4,tabela_registros[CATEGORIA],despesavariávelconsolidadomar[[#This Row],[DESPESA VARIÁVEL]])</f>
        <v>0</v>
      </c>
      <c r="G69" s="91">
        <f>SUMIFS(tabela_registros[VALOR],tabela_registros[MÊS],$AE$1,tabela_registros[DIA],martotal3059[[#Headers],[3]],tabela_registros[REGISTRO],DADOS!$N$4,tabela_registros[TIPO],DADOS!$P$4,tabela_registros[CATEGORIA],despesavariávelconsolidadomar[[#This Row],[DESPESA VARIÁVEL]])</f>
        <v>0</v>
      </c>
      <c r="H69" s="91">
        <f>SUMIFS(tabela_registros[VALOR],tabela_registros[MÊS],$AE$1,tabela_registros[DIA],martotal3059[[#Headers],[4]],tabela_registros[REGISTRO],DADOS!$N$4,tabela_registros[TIPO],DADOS!$P$4,tabela_registros[CATEGORIA],despesavariávelconsolidadomar[[#This Row],[DESPESA VARIÁVEL]])</f>
        <v>0</v>
      </c>
      <c r="I69" s="91">
        <f>SUMIFS(tabela_registros[VALOR],tabela_registros[MÊS],$AE$1,tabela_registros[DIA],martotal3059[[#Headers],[5]],tabela_registros[REGISTRO],DADOS!$N$4,tabela_registros[TIPO],DADOS!$P$4,tabela_registros[CATEGORIA],despesavariávelconsolidadomar[[#This Row],[DESPESA VARIÁVEL]])</f>
        <v>0</v>
      </c>
      <c r="J69" s="91">
        <f>SUMIFS(tabela_registros[VALOR],tabela_registros[MÊS],$AE$1,tabela_registros[DIA],martotal3059[[#Headers],[6]],tabela_registros[REGISTRO],DADOS!$N$4,tabela_registros[TIPO],DADOS!$P$4,tabela_registros[CATEGORIA],despesavariávelconsolidadomar[[#This Row],[DESPESA VARIÁVEL]])</f>
        <v>0</v>
      </c>
      <c r="K69" s="91">
        <f>SUMIFS(tabela_registros[VALOR],tabela_registros[MÊS],$AE$1,tabela_registros[DIA],martotal3059[[#Headers],[7]],tabela_registros[REGISTRO],DADOS!$N$4,tabela_registros[TIPO],DADOS!$P$4,tabela_registros[CATEGORIA],despesavariávelconsolidadomar[[#This Row],[DESPESA VARIÁVEL]])</f>
        <v>0</v>
      </c>
      <c r="L69" s="91">
        <f>SUMIFS(tabela_registros[VALOR],tabela_registros[MÊS],$AE$1,tabela_registros[DIA],martotal3059[[#Headers],[8]],tabela_registros[REGISTRO],DADOS!$N$4,tabela_registros[TIPO],DADOS!$P$4,tabela_registros[CATEGORIA],despesavariávelconsolidadomar[[#This Row],[DESPESA VARIÁVEL]])</f>
        <v>0</v>
      </c>
      <c r="M69" s="91">
        <f>SUMIFS(tabela_registros[VALOR],tabela_registros[MÊS],$AE$1,tabela_registros[DIA],martotal3059[[#Headers],[9]],tabela_registros[REGISTRO],DADOS!$N$4,tabela_registros[TIPO],DADOS!$P$4,tabela_registros[CATEGORIA],despesavariávelconsolidadomar[[#This Row],[DESPESA VARIÁVEL]])</f>
        <v>0</v>
      </c>
      <c r="N69" s="91">
        <f>SUMIFS(tabela_registros[VALOR],tabela_registros[MÊS],$AE$1,tabela_registros[DIA],martotal3059[[#Headers],[10]],tabela_registros[REGISTRO],DADOS!$N$4,tabela_registros[TIPO],DADOS!$P$4,tabela_registros[CATEGORIA],despesavariávelconsolidadomar[[#This Row],[DESPESA VARIÁVEL]])</f>
        <v>0</v>
      </c>
      <c r="O69" s="91">
        <f>SUMIFS(tabela_registros[VALOR],tabela_registros[MÊS],$AE$1,tabela_registros[DIA],martotal3059[[#Headers],[11]],tabela_registros[REGISTRO],DADOS!$N$4,tabela_registros[TIPO],DADOS!$P$4,tabela_registros[CATEGORIA],despesavariávelconsolidadomar[[#This Row],[DESPESA VARIÁVEL]])</f>
        <v>0</v>
      </c>
      <c r="P69" s="91">
        <f>SUMIFS(tabela_registros[VALOR],tabela_registros[MÊS],$AE$1,tabela_registros[DIA],martotal3059[[#Headers],[12]],tabela_registros[REGISTRO],DADOS!$N$4,tabela_registros[TIPO],DADOS!$P$4,tabela_registros[CATEGORIA],despesavariávelconsolidadomar[[#This Row],[DESPESA VARIÁVEL]])</f>
        <v>0</v>
      </c>
      <c r="Q69" s="91">
        <f>SUMIFS(tabela_registros[VALOR],tabela_registros[MÊS],$AE$1,tabela_registros[DIA],martotal3059[[#Headers],[13]],tabela_registros[REGISTRO],DADOS!$N$4,tabela_registros[TIPO],DADOS!$P$4,tabela_registros[CATEGORIA],despesavariávelconsolidadomar[[#This Row],[DESPESA VARIÁVEL]])</f>
        <v>0</v>
      </c>
      <c r="R69" s="91">
        <f>SUMIFS(tabela_registros[VALOR],tabela_registros[MÊS],$AE$1,tabela_registros[DIA],martotal3059[[#Headers],[14]],tabela_registros[REGISTRO],DADOS!$N$4,tabela_registros[TIPO],DADOS!$P$4,tabela_registros[CATEGORIA],despesavariávelconsolidadomar[[#This Row],[DESPESA VARIÁVEL]])</f>
        <v>0</v>
      </c>
      <c r="S69" s="91">
        <f>SUMIFS(tabela_registros[VALOR],tabela_registros[MÊS],$AE$1,tabela_registros[DIA],martotal3059[[#Headers],[15]],tabela_registros[REGISTRO],DADOS!$N$4,tabela_registros[TIPO],DADOS!$P$4,tabela_registros[CATEGORIA],despesavariávelconsolidadomar[[#This Row],[DESPESA VARIÁVEL]])</f>
        <v>0</v>
      </c>
      <c r="T69" s="91">
        <f>SUMIFS(tabela_registros[VALOR],tabela_registros[MÊS],$AE$1,tabela_registros[DIA],martotal3059[[#Headers],[16]],tabela_registros[REGISTRO],DADOS!$N$4,tabela_registros[TIPO],DADOS!$P$4,tabela_registros[CATEGORIA],despesavariávelconsolidadomar[[#This Row],[DESPESA VARIÁVEL]])</f>
        <v>0</v>
      </c>
      <c r="U69" s="91">
        <f>SUMIFS(tabela_registros[VALOR],tabela_registros[MÊS],$AE$1,tabela_registros[DIA],martotal3059[[#Headers],[17]],tabela_registros[REGISTRO],DADOS!$N$4,tabela_registros[TIPO],DADOS!$P$4,tabela_registros[CATEGORIA],despesavariávelconsolidadomar[[#This Row],[DESPESA VARIÁVEL]])</f>
        <v>0</v>
      </c>
      <c r="V69" s="91">
        <f>SUMIFS(tabela_registros[VALOR],tabela_registros[MÊS],$AE$1,tabela_registros[DIA],martotal3059[[#Headers],[18]],tabela_registros[REGISTRO],DADOS!$N$4,tabela_registros[TIPO],DADOS!$P$4,tabela_registros[CATEGORIA],despesavariávelconsolidadomar[[#This Row],[DESPESA VARIÁVEL]])</f>
        <v>0</v>
      </c>
      <c r="W69" s="91">
        <f>SUMIFS(tabela_registros[VALOR],tabela_registros[MÊS],$AE$1,tabela_registros[DIA],martotal3059[[#Headers],[19]],tabela_registros[REGISTRO],DADOS!$N$4,tabela_registros[TIPO],DADOS!$P$4,tabela_registros[CATEGORIA],despesavariávelconsolidadomar[[#This Row],[DESPESA VARIÁVEL]])</f>
        <v>0</v>
      </c>
      <c r="X69" s="91">
        <f>SUMIFS(tabela_registros[VALOR],tabela_registros[MÊS],$AE$1,tabela_registros[DIA],martotal3059[[#Headers],[20]],tabela_registros[REGISTRO],DADOS!$N$4,tabela_registros[TIPO],DADOS!$P$4,tabela_registros[CATEGORIA],despesavariávelconsolidadomar[[#This Row],[DESPESA VARIÁVEL]])</f>
        <v>0</v>
      </c>
      <c r="Y69" s="91">
        <f>SUMIFS(tabela_registros[VALOR],tabela_registros[MÊS],$AE$1,tabela_registros[DIA],martotal3059[[#Headers],[21]],tabela_registros[REGISTRO],DADOS!$N$4,tabela_registros[TIPO],DADOS!$P$4,tabela_registros[CATEGORIA],despesavariávelconsolidadomar[[#This Row],[DESPESA VARIÁVEL]])</f>
        <v>0</v>
      </c>
      <c r="Z69" s="91">
        <f>SUMIFS(tabela_registros[VALOR],tabela_registros[MÊS],$AE$1,tabela_registros[DIA],martotal3059[[#Headers],[22]],tabela_registros[REGISTRO],DADOS!$N$4,tabela_registros[TIPO],DADOS!$P$4,tabela_registros[CATEGORIA],despesavariávelconsolidadomar[[#This Row],[DESPESA VARIÁVEL]])</f>
        <v>0</v>
      </c>
      <c r="AA69" s="91">
        <f>SUMIFS(tabela_registros[VALOR],tabela_registros[MÊS],$AE$1,tabela_registros[DIA],martotal3059[[#Headers],[23]],tabela_registros[REGISTRO],DADOS!$N$4,tabela_registros[TIPO],DADOS!$P$4,tabela_registros[CATEGORIA],despesavariávelconsolidadomar[[#This Row],[DESPESA VARIÁVEL]])</f>
        <v>0</v>
      </c>
      <c r="AB69" s="91">
        <f>SUMIFS(tabela_registros[VALOR],tabela_registros[MÊS],$AE$1,tabela_registros[DIA],martotal3059[[#Headers],[24]],tabela_registros[REGISTRO],DADOS!$N$4,tabela_registros[TIPO],DADOS!$P$4,tabela_registros[CATEGORIA],despesavariávelconsolidadomar[[#This Row],[DESPESA VARIÁVEL]])</f>
        <v>0</v>
      </c>
      <c r="AC69" s="91">
        <f>SUMIFS(tabela_registros[VALOR],tabela_registros[MÊS],$AE$1,tabela_registros[DIA],martotal3059[[#Headers],[25]],tabela_registros[REGISTRO],DADOS!$N$4,tabela_registros[TIPO],DADOS!$P$4,tabela_registros[CATEGORIA],despesavariávelconsolidadomar[[#This Row],[DESPESA VARIÁVEL]])</f>
        <v>0</v>
      </c>
      <c r="AD69" s="91">
        <f>SUMIFS(tabela_registros[VALOR],tabela_registros[MÊS],$AE$1,tabela_registros[DIA],martotal3059[[#Headers],[26]],tabela_registros[REGISTRO],DADOS!$N$4,tabela_registros[TIPO],DADOS!$P$4,tabela_registros[CATEGORIA],despesavariávelconsolidadomar[[#This Row],[DESPESA VARIÁVEL]])</f>
        <v>0</v>
      </c>
      <c r="AE69" s="91">
        <f>SUMIFS(tabela_registros[VALOR],tabela_registros[MÊS],$AE$1,tabela_registros[DIA],martotal3059[[#Headers],[27]],tabela_registros[REGISTRO],DADOS!$N$4,tabela_registros[TIPO],DADOS!$P$4,tabela_registros[CATEGORIA],despesavariávelconsolidadomar[[#This Row],[DESPESA VARIÁVEL]])</f>
        <v>0</v>
      </c>
      <c r="AF69" s="91">
        <f>SUMIFS(tabela_registros[VALOR],tabela_registros[MÊS],$AE$1,tabela_registros[DIA],martotal3059[[#Headers],[28]],tabela_registros[REGISTRO],DADOS!$N$4,tabela_registros[TIPO],DADOS!$P$4,tabela_registros[CATEGORIA],despesavariávelconsolidadomar[[#This Row],[DESPESA VARIÁVEL]])</f>
        <v>0</v>
      </c>
      <c r="AG69" s="91">
        <f>SUMIFS(tabela_registros[VALOR],tabela_registros[MÊS],$AE$1,tabela_registros[DIA],martotal3059[[#Headers],[29]],tabela_registros[REGISTRO],DADOS!$N$4,tabela_registros[TIPO],DADOS!$P$4,tabela_registros[CATEGORIA],despesavariávelconsolidadomar[[#This Row],[DESPESA VARIÁVEL]])</f>
        <v>0</v>
      </c>
      <c r="AH69" s="91">
        <f>SUMIFS(tabela_registros[VALOR],tabela_registros[MÊS],$AE$1,tabela_registros[DIA],martotal3059[[#Headers],[30]],tabela_registros[REGISTRO],DADOS!$N$4,tabela_registros[TIPO],DADOS!$P$4,tabela_registros[CATEGORIA],despesavariávelconsolidadomar[[#This Row],[DESPESA VARIÁVEL]])</f>
        <v>0</v>
      </c>
      <c r="AI69" s="101">
        <f>SUMIFS(tabela_registros[VALOR],tabela_registros[MÊS],$AE$1,tabela_registros[DIA],martotal3059[[#Headers],[31]],tabela_registros[REGISTRO],DADOS!$N$4,tabela_registros[TIPO],DADOS!$P$4,tabela_registros[CATEGORIA],despesavariávelconsolidadomar[[#This Row],[DESPESA VARIÁVEL]])</f>
        <v>0</v>
      </c>
      <c r="AJ69" s="97">
        <f>SUM(despesavariávelconsolidadomar[[#This Row],[1]:[31]])</f>
        <v>0</v>
      </c>
      <c r="AK69" s="28"/>
    </row>
    <row r="70" spans="2:37" ht="18" customHeight="1" thickTop="1" thickBot="1" x14ac:dyDescent="0.3">
      <c r="B70" s="28"/>
      <c r="C70" s="27" t="str">
        <f>DADOS!$T$13</f>
        <v>🚍 TRANSPORTE</v>
      </c>
      <c r="D70" s="26" t="str">
        <f>IF(despesavariávelconsolidadomar[[#This Row],[TOTAL]]=0,"",IF(OR(despesavariávelconsolidadomar[[#This Row],[TOTAL]]=LARGE($AJ$60:$AJ$72,1),despesavariávelconsolidadomar[[#This Row],[TOTAL]]=LARGE($AJ$60:$AJ$72,2),despesavariávelconsolidadomar[[#This Row],[TOTAL]]=LARGE($AJ$60:$AJ$72,3),despesavariávelconsolidadomar[[#This Row],[TOTAL]]=LARGE($AJ$60:$AJ$72,4),despesavariávelconsolidadomar[[#This Row],[TOTAL]]=LARGE($AJ$60:$AJ$72,5)),DADOS!$I$8,""))</f>
        <v/>
      </c>
      <c r="E70" s="96">
        <f>SUMIFS(tabela_registros[VALOR],tabela_registros[MÊS],$AE$1,tabela_registros[DIA],martotal3059[[#Headers],[1]],tabela_registros[REGISTRO],DADOS!$N$4,tabela_registros[TIPO],DADOS!$P$4,tabela_registros[CATEGORIA],despesavariávelconsolidadomar[[#This Row],[DESPESA VARIÁVEL]])</f>
        <v>0</v>
      </c>
      <c r="F70" s="91">
        <f>SUMIFS(tabela_registros[VALOR],tabela_registros[MÊS],$AE$1,tabela_registros[DIA],martotal3059[[#Headers],[2]],tabela_registros[REGISTRO],DADOS!$N$4,tabela_registros[TIPO],DADOS!$P$4,tabela_registros[CATEGORIA],despesavariávelconsolidadomar[[#This Row],[DESPESA VARIÁVEL]])</f>
        <v>0</v>
      </c>
      <c r="G70" s="91">
        <f>SUMIFS(tabela_registros[VALOR],tabela_registros[MÊS],$AE$1,tabela_registros[DIA],martotal3059[[#Headers],[3]],tabela_registros[REGISTRO],DADOS!$N$4,tabela_registros[TIPO],DADOS!$P$4,tabela_registros[CATEGORIA],despesavariávelconsolidadomar[[#This Row],[DESPESA VARIÁVEL]])</f>
        <v>0</v>
      </c>
      <c r="H70" s="91">
        <f>SUMIFS(tabela_registros[VALOR],tabela_registros[MÊS],$AE$1,tabela_registros[DIA],martotal3059[[#Headers],[4]],tabela_registros[REGISTRO],DADOS!$N$4,tabela_registros[TIPO],DADOS!$P$4,tabela_registros[CATEGORIA],despesavariávelconsolidadomar[[#This Row],[DESPESA VARIÁVEL]])</f>
        <v>0</v>
      </c>
      <c r="I70" s="91">
        <f>SUMIFS(tabela_registros[VALOR],tabela_registros[MÊS],$AE$1,tabela_registros[DIA],martotal3059[[#Headers],[5]],tabela_registros[REGISTRO],DADOS!$N$4,tabela_registros[TIPO],DADOS!$P$4,tabela_registros[CATEGORIA],despesavariávelconsolidadomar[[#This Row],[DESPESA VARIÁVEL]])</f>
        <v>0</v>
      </c>
      <c r="J70" s="91">
        <f>SUMIFS(tabela_registros[VALOR],tabela_registros[MÊS],$AE$1,tabela_registros[DIA],martotal3059[[#Headers],[6]],tabela_registros[REGISTRO],DADOS!$N$4,tabela_registros[TIPO],DADOS!$P$4,tabela_registros[CATEGORIA],despesavariávelconsolidadomar[[#This Row],[DESPESA VARIÁVEL]])</f>
        <v>0</v>
      </c>
      <c r="K70" s="91">
        <f>SUMIFS(tabela_registros[VALOR],tabela_registros[MÊS],$AE$1,tabela_registros[DIA],martotal3059[[#Headers],[7]],tabela_registros[REGISTRO],DADOS!$N$4,tabela_registros[TIPO],DADOS!$P$4,tabela_registros[CATEGORIA],despesavariávelconsolidadomar[[#This Row],[DESPESA VARIÁVEL]])</f>
        <v>0</v>
      </c>
      <c r="L70" s="91">
        <f>SUMIFS(tabela_registros[VALOR],tabela_registros[MÊS],$AE$1,tabela_registros[DIA],martotal3059[[#Headers],[8]],tabela_registros[REGISTRO],DADOS!$N$4,tabela_registros[TIPO],DADOS!$P$4,tabela_registros[CATEGORIA],despesavariávelconsolidadomar[[#This Row],[DESPESA VARIÁVEL]])</f>
        <v>0</v>
      </c>
      <c r="M70" s="91">
        <f>SUMIFS(tabela_registros[VALOR],tabela_registros[MÊS],$AE$1,tabela_registros[DIA],martotal3059[[#Headers],[9]],tabela_registros[REGISTRO],DADOS!$N$4,tabela_registros[TIPO],DADOS!$P$4,tabela_registros[CATEGORIA],despesavariávelconsolidadomar[[#This Row],[DESPESA VARIÁVEL]])</f>
        <v>0</v>
      </c>
      <c r="N70" s="91">
        <f>SUMIFS(tabela_registros[VALOR],tabela_registros[MÊS],$AE$1,tabela_registros[DIA],martotal3059[[#Headers],[10]],tabela_registros[REGISTRO],DADOS!$N$4,tabela_registros[TIPO],DADOS!$P$4,tabela_registros[CATEGORIA],despesavariávelconsolidadomar[[#This Row],[DESPESA VARIÁVEL]])</f>
        <v>0</v>
      </c>
      <c r="O70" s="91">
        <f>SUMIFS(tabela_registros[VALOR],tabela_registros[MÊS],$AE$1,tabela_registros[DIA],martotal3059[[#Headers],[11]],tabela_registros[REGISTRO],DADOS!$N$4,tabela_registros[TIPO],DADOS!$P$4,tabela_registros[CATEGORIA],despesavariávelconsolidadomar[[#This Row],[DESPESA VARIÁVEL]])</f>
        <v>0</v>
      </c>
      <c r="P70" s="91">
        <f>SUMIFS(tabela_registros[VALOR],tabela_registros[MÊS],$AE$1,tabela_registros[DIA],martotal3059[[#Headers],[12]],tabela_registros[REGISTRO],DADOS!$N$4,tabela_registros[TIPO],DADOS!$P$4,tabela_registros[CATEGORIA],despesavariávelconsolidadomar[[#This Row],[DESPESA VARIÁVEL]])</f>
        <v>0</v>
      </c>
      <c r="Q70" s="91">
        <f>SUMIFS(tabela_registros[VALOR],tabela_registros[MÊS],$AE$1,tabela_registros[DIA],martotal3059[[#Headers],[13]],tabela_registros[REGISTRO],DADOS!$N$4,tabela_registros[TIPO],DADOS!$P$4,tabela_registros[CATEGORIA],despesavariávelconsolidadomar[[#This Row],[DESPESA VARIÁVEL]])</f>
        <v>0</v>
      </c>
      <c r="R70" s="91">
        <f>SUMIFS(tabela_registros[VALOR],tabela_registros[MÊS],$AE$1,tabela_registros[DIA],martotal3059[[#Headers],[14]],tabela_registros[REGISTRO],DADOS!$N$4,tabela_registros[TIPO],DADOS!$P$4,tabela_registros[CATEGORIA],despesavariávelconsolidadomar[[#This Row],[DESPESA VARIÁVEL]])</f>
        <v>0</v>
      </c>
      <c r="S70" s="91">
        <f>SUMIFS(tabela_registros[VALOR],tabela_registros[MÊS],$AE$1,tabela_registros[DIA],martotal3059[[#Headers],[15]],tabela_registros[REGISTRO],DADOS!$N$4,tabela_registros[TIPO],DADOS!$P$4,tabela_registros[CATEGORIA],despesavariávelconsolidadomar[[#This Row],[DESPESA VARIÁVEL]])</f>
        <v>0</v>
      </c>
      <c r="T70" s="91">
        <f>SUMIFS(tabela_registros[VALOR],tabela_registros[MÊS],$AE$1,tabela_registros[DIA],martotal3059[[#Headers],[16]],tabela_registros[REGISTRO],DADOS!$N$4,tabela_registros[TIPO],DADOS!$P$4,tabela_registros[CATEGORIA],despesavariávelconsolidadomar[[#This Row],[DESPESA VARIÁVEL]])</f>
        <v>0</v>
      </c>
      <c r="U70" s="91">
        <f>SUMIFS(tabela_registros[VALOR],tabela_registros[MÊS],$AE$1,tabela_registros[DIA],martotal3059[[#Headers],[17]],tabela_registros[REGISTRO],DADOS!$N$4,tabela_registros[TIPO],DADOS!$P$4,tabela_registros[CATEGORIA],despesavariávelconsolidadomar[[#This Row],[DESPESA VARIÁVEL]])</f>
        <v>0</v>
      </c>
      <c r="V70" s="91">
        <f>SUMIFS(tabela_registros[VALOR],tabela_registros[MÊS],$AE$1,tabela_registros[DIA],martotal3059[[#Headers],[18]],tabela_registros[REGISTRO],DADOS!$N$4,tabela_registros[TIPO],DADOS!$P$4,tabela_registros[CATEGORIA],despesavariávelconsolidadomar[[#This Row],[DESPESA VARIÁVEL]])</f>
        <v>0</v>
      </c>
      <c r="W70" s="91">
        <f>SUMIFS(tabela_registros[VALOR],tabela_registros[MÊS],$AE$1,tabela_registros[DIA],martotal3059[[#Headers],[19]],tabela_registros[REGISTRO],DADOS!$N$4,tabela_registros[TIPO],DADOS!$P$4,tabela_registros[CATEGORIA],despesavariávelconsolidadomar[[#This Row],[DESPESA VARIÁVEL]])</f>
        <v>0</v>
      </c>
      <c r="X70" s="91">
        <f>SUMIFS(tabela_registros[VALOR],tabela_registros[MÊS],$AE$1,tabela_registros[DIA],martotal3059[[#Headers],[20]],tabela_registros[REGISTRO],DADOS!$N$4,tabela_registros[TIPO],DADOS!$P$4,tabela_registros[CATEGORIA],despesavariávelconsolidadomar[[#This Row],[DESPESA VARIÁVEL]])</f>
        <v>0</v>
      </c>
      <c r="Y70" s="91">
        <f>SUMIFS(tabela_registros[VALOR],tabela_registros[MÊS],$AE$1,tabela_registros[DIA],martotal3059[[#Headers],[21]],tabela_registros[REGISTRO],DADOS!$N$4,tabela_registros[TIPO],DADOS!$P$4,tabela_registros[CATEGORIA],despesavariávelconsolidadomar[[#This Row],[DESPESA VARIÁVEL]])</f>
        <v>0</v>
      </c>
      <c r="Z70" s="91">
        <f>SUMIFS(tabela_registros[VALOR],tabela_registros[MÊS],$AE$1,tabela_registros[DIA],martotal3059[[#Headers],[22]],tabela_registros[REGISTRO],DADOS!$N$4,tabela_registros[TIPO],DADOS!$P$4,tabela_registros[CATEGORIA],despesavariávelconsolidadomar[[#This Row],[DESPESA VARIÁVEL]])</f>
        <v>0</v>
      </c>
      <c r="AA70" s="91">
        <f>SUMIFS(tabela_registros[VALOR],tabela_registros[MÊS],$AE$1,tabela_registros[DIA],martotal3059[[#Headers],[23]],tabela_registros[REGISTRO],DADOS!$N$4,tabela_registros[TIPO],DADOS!$P$4,tabela_registros[CATEGORIA],despesavariávelconsolidadomar[[#This Row],[DESPESA VARIÁVEL]])</f>
        <v>0</v>
      </c>
      <c r="AB70" s="91">
        <f>SUMIFS(tabela_registros[VALOR],tabela_registros[MÊS],$AE$1,tabela_registros[DIA],martotal3059[[#Headers],[24]],tabela_registros[REGISTRO],DADOS!$N$4,tabela_registros[TIPO],DADOS!$P$4,tabela_registros[CATEGORIA],despesavariávelconsolidadomar[[#This Row],[DESPESA VARIÁVEL]])</f>
        <v>0</v>
      </c>
      <c r="AC70" s="91">
        <f>SUMIFS(tabela_registros[VALOR],tabela_registros[MÊS],$AE$1,tabela_registros[DIA],martotal3059[[#Headers],[25]],tabela_registros[REGISTRO],DADOS!$N$4,tabela_registros[TIPO],DADOS!$P$4,tabela_registros[CATEGORIA],despesavariávelconsolidadomar[[#This Row],[DESPESA VARIÁVEL]])</f>
        <v>0</v>
      </c>
      <c r="AD70" s="91">
        <f>SUMIFS(tabela_registros[VALOR],tabela_registros[MÊS],$AE$1,tabela_registros[DIA],martotal3059[[#Headers],[26]],tabela_registros[REGISTRO],DADOS!$N$4,tabela_registros[TIPO],DADOS!$P$4,tabela_registros[CATEGORIA],despesavariávelconsolidadomar[[#This Row],[DESPESA VARIÁVEL]])</f>
        <v>0</v>
      </c>
      <c r="AE70" s="91">
        <f>SUMIFS(tabela_registros[VALOR],tabela_registros[MÊS],$AE$1,tabela_registros[DIA],martotal3059[[#Headers],[27]],tabela_registros[REGISTRO],DADOS!$N$4,tabela_registros[TIPO],DADOS!$P$4,tabela_registros[CATEGORIA],despesavariávelconsolidadomar[[#This Row],[DESPESA VARIÁVEL]])</f>
        <v>0</v>
      </c>
      <c r="AF70" s="91">
        <f>SUMIFS(tabela_registros[VALOR],tabela_registros[MÊS],$AE$1,tabela_registros[DIA],martotal3059[[#Headers],[28]],tabela_registros[REGISTRO],DADOS!$N$4,tabela_registros[TIPO],DADOS!$P$4,tabela_registros[CATEGORIA],despesavariávelconsolidadomar[[#This Row],[DESPESA VARIÁVEL]])</f>
        <v>0</v>
      </c>
      <c r="AG70" s="91">
        <f>SUMIFS(tabela_registros[VALOR],tabela_registros[MÊS],$AE$1,tabela_registros[DIA],martotal3059[[#Headers],[29]],tabela_registros[REGISTRO],DADOS!$N$4,tabela_registros[TIPO],DADOS!$P$4,tabela_registros[CATEGORIA],despesavariávelconsolidadomar[[#This Row],[DESPESA VARIÁVEL]])</f>
        <v>0</v>
      </c>
      <c r="AH70" s="91">
        <f>SUMIFS(tabela_registros[VALOR],tabela_registros[MÊS],$AE$1,tabela_registros[DIA],martotal3059[[#Headers],[30]],tabela_registros[REGISTRO],DADOS!$N$4,tabela_registros[TIPO],DADOS!$P$4,tabela_registros[CATEGORIA],despesavariávelconsolidadomar[[#This Row],[DESPESA VARIÁVEL]])</f>
        <v>0</v>
      </c>
      <c r="AI70" s="101">
        <f>SUMIFS(tabela_registros[VALOR],tabela_registros[MÊS],$AE$1,tabela_registros[DIA],martotal3059[[#Headers],[31]],tabela_registros[REGISTRO],DADOS!$N$4,tabela_registros[TIPO],DADOS!$P$4,tabela_registros[CATEGORIA],despesavariávelconsolidadomar[[#This Row],[DESPESA VARIÁVEL]])</f>
        <v>0</v>
      </c>
      <c r="AJ70" s="97">
        <f>SUM(despesavariávelconsolidadomar[[#This Row],[1]:[31]])</f>
        <v>0</v>
      </c>
      <c r="AK70" s="28"/>
    </row>
    <row r="71" spans="2:37" ht="18" customHeight="1" thickTop="1" thickBot="1" x14ac:dyDescent="0.3">
      <c r="B71" s="28"/>
      <c r="C71" s="27" t="str">
        <f>DADOS!$T$14</f>
        <v>🛍️ VESTUÁRIO</v>
      </c>
      <c r="D71" s="26" t="str">
        <f>IF(despesavariávelconsolidadomar[[#This Row],[TOTAL]]=0,"",IF(OR(despesavariávelconsolidadomar[[#This Row],[TOTAL]]=LARGE($AJ$60:$AJ$72,1),despesavariávelconsolidadomar[[#This Row],[TOTAL]]=LARGE($AJ$60:$AJ$72,2),despesavariávelconsolidadomar[[#This Row],[TOTAL]]=LARGE($AJ$60:$AJ$72,3),despesavariávelconsolidadomar[[#This Row],[TOTAL]]=LARGE($AJ$60:$AJ$72,4),despesavariávelconsolidadomar[[#This Row],[TOTAL]]=LARGE($AJ$60:$AJ$72,5)),DADOS!$I$8,""))</f>
        <v/>
      </c>
      <c r="E71" s="96">
        <f>SUMIFS(tabela_registros[VALOR],tabela_registros[MÊS],$AE$1,tabela_registros[DIA],martotal3059[[#Headers],[1]],tabela_registros[REGISTRO],DADOS!$N$4,tabela_registros[TIPO],DADOS!$P$4,tabela_registros[CATEGORIA],despesavariávelconsolidadomar[[#This Row],[DESPESA VARIÁVEL]])</f>
        <v>0</v>
      </c>
      <c r="F71" s="91">
        <f>SUMIFS(tabela_registros[VALOR],tabela_registros[MÊS],$AE$1,tabela_registros[DIA],martotal3059[[#Headers],[2]],tabela_registros[REGISTRO],DADOS!$N$4,tabela_registros[TIPO],DADOS!$P$4,tabela_registros[CATEGORIA],despesavariávelconsolidadomar[[#This Row],[DESPESA VARIÁVEL]])</f>
        <v>0</v>
      </c>
      <c r="G71" s="91">
        <f>SUMIFS(tabela_registros[VALOR],tabela_registros[MÊS],$AE$1,tabela_registros[DIA],martotal3059[[#Headers],[3]],tabela_registros[REGISTRO],DADOS!$N$4,tabela_registros[TIPO],DADOS!$P$4,tabela_registros[CATEGORIA],despesavariávelconsolidadomar[[#This Row],[DESPESA VARIÁVEL]])</f>
        <v>0</v>
      </c>
      <c r="H71" s="91">
        <f>SUMIFS(tabela_registros[VALOR],tabela_registros[MÊS],$AE$1,tabela_registros[DIA],martotal3059[[#Headers],[4]],tabela_registros[REGISTRO],DADOS!$N$4,tabela_registros[TIPO],DADOS!$P$4,tabela_registros[CATEGORIA],despesavariávelconsolidadomar[[#This Row],[DESPESA VARIÁVEL]])</f>
        <v>0</v>
      </c>
      <c r="I71" s="91">
        <f>SUMIFS(tabela_registros[VALOR],tabela_registros[MÊS],$AE$1,tabela_registros[DIA],martotal3059[[#Headers],[5]],tabela_registros[REGISTRO],DADOS!$N$4,tabela_registros[TIPO],DADOS!$P$4,tabela_registros[CATEGORIA],despesavariávelconsolidadomar[[#This Row],[DESPESA VARIÁVEL]])</f>
        <v>0</v>
      </c>
      <c r="J71" s="91">
        <f>SUMIFS(tabela_registros[VALOR],tabela_registros[MÊS],$AE$1,tabela_registros[DIA],martotal3059[[#Headers],[6]],tabela_registros[REGISTRO],DADOS!$N$4,tabela_registros[TIPO],DADOS!$P$4,tabela_registros[CATEGORIA],despesavariávelconsolidadomar[[#This Row],[DESPESA VARIÁVEL]])</f>
        <v>0</v>
      </c>
      <c r="K71" s="91">
        <f>SUMIFS(tabela_registros[VALOR],tabela_registros[MÊS],$AE$1,tabela_registros[DIA],martotal3059[[#Headers],[7]],tabela_registros[REGISTRO],DADOS!$N$4,tabela_registros[TIPO],DADOS!$P$4,tabela_registros[CATEGORIA],despesavariávelconsolidadomar[[#This Row],[DESPESA VARIÁVEL]])</f>
        <v>0</v>
      </c>
      <c r="L71" s="91">
        <f>SUMIFS(tabela_registros[VALOR],tabela_registros[MÊS],$AE$1,tabela_registros[DIA],martotal3059[[#Headers],[8]],tabela_registros[REGISTRO],DADOS!$N$4,tabela_registros[TIPO],DADOS!$P$4,tabela_registros[CATEGORIA],despesavariávelconsolidadomar[[#This Row],[DESPESA VARIÁVEL]])</f>
        <v>0</v>
      </c>
      <c r="M71" s="91">
        <f>SUMIFS(tabela_registros[VALOR],tabela_registros[MÊS],$AE$1,tabela_registros[DIA],martotal3059[[#Headers],[9]],tabela_registros[REGISTRO],DADOS!$N$4,tabela_registros[TIPO],DADOS!$P$4,tabela_registros[CATEGORIA],despesavariávelconsolidadomar[[#This Row],[DESPESA VARIÁVEL]])</f>
        <v>0</v>
      </c>
      <c r="N71" s="91">
        <f>SUMIFS(tabela_registros[VALOR],tabela_registros[MÊS],$AE$1,tabela_registros[DIA],martotal3059[[#Headers],[10]],tabela_registros[REGISTRO],DADOS!$N$4,tabela_registros[TIPO],DADOS!$P$4,tabela_registros[CATEGORIA],despesavariávelconsolidadomar[[#This Row],[DESPESA VARIÁVEL]])</f>
        <v>0</v>
      </c>
      <c r="O71" s="91">
        <f>SUMIFS(tabela_registros[VALOR],tabela_registros[MÊS],$AE$1,tabela_registros[DIA],martotal3059[[#Headers],[11]],tabela_registros[REGISTRO],DADOS!$N$4,tabela_registros[TIPO],DADOS!$P$4,tabela_registros[CATEGORIA],despesavariávelconsolidadomar[[#This Row],[DESPESA VARIÁVEL]])</f>
        <v>0</v>
      </c>
      <c r="P71" s="91">
        <f>SUMIFS(tabela_registros[VALOR],tabela_registros[MÊS],$AE$1,tabela_registros[DIA],martotal3059[[#Headers],[12]],tabela_registros[REGISTRO],DADOS!$N$4,tabela_registros[TIPO],DADOS!$P$4,tabela_registros[CATEGORIA],despesavariávelconsolidadomar[[#This Row],[DESPESA VARIÁVEL]])</f>
        <v>0</v>
      </c>
      <c r="Q71" s="91">
        <f>SUMIFS(tabela_registros[VALOR],tabela_registros[MÊS],$AE$1,tabela_registros[DIA],martotal3059[[#Headers],[13]],tabela_registros[REGISTRO],DADOS!$N$4,tabela_registros[TIPO],DADOS!$P$4,tabela_registros[CATEGORIA],despesavariávelconsolidadomar[[#This Row],[DESPESA VARIÁVEL]])</f>
        <v>0</v>
      </c>
      <c r="R71" s="91">
        <f>SUMIFS(tabela_registros[VALOR],tabela_registros[MÊS],$AE$1,tabela_registros[DIA],martotal3059[[#Headers],[14]],tabela_registros[REGISTRO],DADOS!$N$4,tabela_registros[TIPO],DADOS!$P$4,tabela_registros[CATEGORIA],despesavariávelconsolidadomar[[#This Row],[DESPESA VARIÁVEL]])</f>
        <v>0</v>
      </c>
      <c r="S71" s="91">
        <f>SUMIFS(tabela_registros[VALOR],tabela_registros[MÊS],$AE$1,tabela_registros[DIA],martotal3059[[#Headers],[15]],tabela_registros[REGISTRO],DADOS!$N$4,tabela_registros[TIPO],DADOS!$P$4,tabela_registros[CATEGORIA],despesavariávelconsolidadomar[[#This Row],[DESPESA VARIÁVEL]])</f>
        <v>0</v>
      </c>
      <c r="T71" s="91">
        <f>SUMIFS(tabela_registros[VALOR],tabela_registros[MÊS],$AE$1,tabela_registros[DIA],martotal3059[[#Headers],[16]],tabela_registros[REGISTRO],DADOS!$N$4,tabela_registros[TIPO],DADOS!$P$4,tabela_registros[CATEGORIA],despesavariávelconsolidadomar[[#This Row],[DESPESA VARIÁVEL]])</f>
        <v>0</v>
      </c>
      <c r="U71" s="91">
        <f>SUMIFS(tabela_registros[VALOR],tabela_registros[MÊS],$AE$1,tabela_registros[DIA],martotal3059[[#Headers],[17]],tabela_registros[REGISTRO],DADOS!$N$4,tabela_registros[TIPO],DADOS!$P$4,tabela_registros[CATEGORIA],despesavariávelconsolidadomar[[#This Row],[DESPESA VARIÁVEL]])</f>
        <v>0</v>
      </c>
      <c r="V71" s="91">
        <f>SUMIFS(tabela_registros[VALOR],tabela_registros[MÊS],$AE$1,tabela_registros[DIA],martotal3059[[#Headers],[18]],tabela_registros[REGISTRO],DADOS!$N$4,tabela_registros[TIPO],DADOS!$P$4,tabela_registros[CATEGORIA],despesavariávelconsolidadomar[[#This Row],[DESPESA VARIÁVEL]])</f>
        <v>0</v>
      </c>
      <c r="W71" s="91">
        <f>SUMIFS(tabela_registros[VALOR],tabela_registros[MÊS],$AE$1,tabela_registros[DIA],martotal3059[[#Headers],[19]],tabela_registros[REGISTRO],DADOS!$N$4,tabela_registros[TIPO],DADOS!$P$4,tabela_registros[CATEGORIA],despesavariávelconsolidadomar[[#This Row],[DESPESA VARIÁVEL]])</f>
        <v>0</v>
      </c>
      <c r="X71" s="91">
        <f>SUMIFS(tabela_registros[VALOR],tabela_registros[MÊS],$AE$1,tabela_registros[DIA],martotal3059[[#Headers],[20]],tabela_registros[REGISTRO],DADOS!$N$4,tabela_registros[TIPO],DADOS!$P$4,tabela_registros[CATEGORIA],despesavariávelconsolidadomar[[#This Row],[DESPESA VARIÁVEL]])</f>
        <v>0</v>
      </c>
      <c r="Y71" s="91">
        <f>SUMIFS(tabela_registros[VALOR],tabela_registros[MÊS],$AE$1,tabela_registros[DIA],martotal3059[[#Headers],[21]],tabela_registros[REGISTRO],DADOS!$N$4,tabela_registros[TIPO],DADOS!$P$4,tabela_registros[CATEGORIA],despesavariávelconsolidadomar[[#This Row],[DESPESA VARIÁVEL]])</f>
        <v>0</v>
      </c>
      <c r="Z71" s="91">
        <f>SUMIFS(tabela_registros[VALOR],tabela_registros[MÊS],$AE$1,tabela_registros[DIA],martotal3059[[#Headers],[22]],tabela_registros[REGISTRO],DADOS!$N$4,tabela_registros[TIPO],DADOS!$P$4,tabela_registros[CATEGORIA],despesavariávelconsolidadomar[[#This Row],[DESPESA VARIÁVEL]])</f>
        <v>0</v>
      </c>
      <c r="AA71" s="91">
        <f>SUMIFS(tabela_registros[VALOR],tabela_registros[MÊS],$AE$1,tabela_registros[DIA],martotal3059[[#Headers],[23]],tabela_registros[REGISTRO],DADOS!$N$4,tabela_registros[TIPO],DADOS!$P$4,tabela_registros[CATEGORIA],despesavariávelconsolidadomar[[#This Row],[DESPESA VARIÁVEL]])</f>
        <v>0</v>
      </c>
      <c r="AB71" s="91">
        <f>SUMIFS(tabela_registros[VALOR],tabela_registros[MÊS],$AE$1,tabela_registros[DIA],martotal3059[[#Headers],[24]],tabela_registros[REGISTRO],DADOS!$N$4,tabela_registros[TIPO],DADOS!$P$4,tabela_registros[CATEGORIA],despesavariávelconsolidadomar[[#This Row],[DESPESA VARIÁVEL]])</f>
        <v>0</v>
      </c>
      <c r="AC71" s="91">
        <f>SUMIFS(tabela_registros[VALOR],tabela_registros[MÊS],$AE$1,tabela_registros[DIA],martotal3059[[#Headers],[25]],tabela_registros[REGISTRO],DADOS!$N$4,tabela_registros[TIPO],DADOS!$P$4,tabela_registros[CATEGORIA],despesavariávelconsolidadomar[[#This Row],[DESPESA VARIÁVEL]])</f>
        <v>0</v>
      </c>
      <c r="AD71" s="91">
        <f>SUMIFS(tabela_registros[VALOR],tabela_registros[MÊS],$AE$1,tabela_registros[DIA],martotal3059[[#Headers],[26]],tabela_registros[REGISTRO],DADOS!$N$4,tabela_registros[TIPO],DADOS!$P$4,tabela_registros[CATEGORIA],despesavariávelconsolidadomar[[#This Row],[DESPESA VARIÁVEL]])</f>
        <v>0</v>
      </c>
      <c r="AE71" s="91">
        <f>SUMIFS(tabela_registros[VALOR],tabela_registros[MÊS],$AE$1,tabela_registros[DIA],martotal3059[[#Headers],[27]],tabela_registros[REGISTRO],DADOS!$N$4,tabela_registros[TIPO],DADOS!$P$4,tabela_registros[CATEGORIA],despesavariávelconsolidadomar[[#This Row],[DESPESA VARIÁVEL]])</f>
        <v>0</v>
      </c>
      <c r="AF71" s="91">
        <f>SUMIFS(tabela_registros[VALOR],tabela_registros[MÊS],$AE$1,tabela_registros[DIA],martotal3059[[#Headers],[28]],tabela_registros[REGISTRO],DADOS!$N$4,tabela_registros[TIPO],DADOS!$P$4,tabela_registros[CATEGORIA],despesavariávelconsolidadomar[[#This Row],[DESPESA VARIÁVEL]])</f>
        <v>0</v>
      </c>
      <c r="AG71" s="91">
        <f>SUMIFS(tabela_registros[VALOR],tabela_registros[MÊS],$AE$1,tabela_registros[DIA],martotal3059[[#Headers],[29]],tabela_registros[REGISTRO],DADOS!$N$4,tabela_registros[TIPO],DADOS!$P$4,tabela_registros[CATEGORIA],despesavariávelconsolidadomar[[#This Row],[DESPESA VARIÁVEL]])</f>
        <v>0</v>
      </c>
      <c r="AH71" s="91">
        <f>SUMIFS(tabela_registros[VALOR],tabela_registros[MÊS],$AE$1,tabela_registros[DIA],martotal3059[[#Headers],[30]],tabela_registros[REGISTRO],DADOS!$N$4,tabela_registros[TIPO],DADOS!$P$4,tabela_registros[CATEGORIA],despesavariávelconsolidadomar[[#This Row],[DESPESA VARIÁVEL]])</f>
        <v>0</v>
      </c>
      <c r="AI71" s="101">
        <f>SUMIFS(tabela_registros[VALOR],tabela_registros[MÊS],$AE$1,tabela_registros[DIA],martotal3059[[#Headers],[31]],tabela_registros[REGISTRO],DADOS!$N$4,tabela_registros[TIPO],DADOS!$P$4,tabela_registros[CATEGORIA],despesavariávelconsolidadomar[[#This Row],[DESPESA VARIÁVEL]])</f>
        <v>0</v>
      </c>
      <c r="AJ71" s="97">
        <f>SUM(despesavariávelconsolidadomar[[#This Row],[1]:[31]])</f>
        <v>0</v>
      </c>
      <c r="AK71" s="28"/>
    </row>
    <row r="72" spans="2:37" ht="18" customHeight="1" thickTop="1" thickBot="1" x14ac:dyDescent="0.3">
      <c r="B72" s="28"/>
      <c r="C72" s="27" t="str">
        <f>DADOS!$T$15</f>
        <v>📎 OUTROS</v>
      </c>
      <c r="D72" s="26" t="str">
        <f>IF(despesavariávelconsolidadomar[[#This Row],[TOTAL]]=0,"",IF(OR(despesavariávelconsolidadomar[[#This Row],[TOTAL]]=LARGE($AJ$60:$AJ$72,1),despesavariávelconsolidadomar[[#This Row],[TOTAL]]=LARGE($AJ$60:$AJ$72,2),despesavariávelconsolidadomar[[#This Row],[TOTAL]]=LARGE($AJ$60:$AJ$72,3),despesavariávelconsolidadomar[[#This Row],[TOTAL]]=LARGE($AJ$60:$AJ$72,4),despesavariávelconsolidadomar[[#This Row],[TOTAL]]=LARGE($AJ$60:$AJ$72,5)),DADOS!$I$8,""))</f>
        <v/>
      </c>
      <c r="E72" s="96">
        <f>SUMIFS(tabela_registros[VALOR],tabela_registros[MÊS],$AE$1,tabela_registros[DIA],martotal3059[[#Headers],[1]],tabela_registros[REGISTRO],DADOS!$N$4,tabela_registros[TIPO],DADOS!$P$4,tabela_registros[CATEGORIA],despesavariávelconsolidadomar[[#This Row],[DESPESA VARIÁVEL]])</f>
        <v>0</v>
      </c>
      <c r="F72" s="91">
        <f>SUMIFS(tabela_registros[VALOR],tabela_registros[MÊS],$AE$1,tabela_registros[DIA],martotal3059[[#Headers],[2]],tabela_registros[REGISTRO],DADOS!$N$4,tabela_registros[TIPO],DADOS!$P$4,tabela_registros[CATEGORIA],despesavariávelconsolidadomar[[#This Row],[DESPESA VARIÁVEL]])</f>
        <v>0</v>
      </c>
      <c r="G72" s="91">
        <f>SUMIFS(tabela_registros[VALOR],tabela_registros[MÊS],$AE$1,tabela_registros[DIA],martotal3059[[#Headers],[3]],tabela_registros[REGISTRO],DADOS!$N$4,tabela_registros[TIPO],DADOS!$P$4,tabela_registros[CATEGORIA],despesavariávelconsolidadomar[[#This Row],[DESPESA VARIÁVEL]])</f>
        <v>0</v>
      </c>
      <c r="H72" s="91">
        <f>SUMIFS(tabela_registros[VALOR],tabela_registros[MÊS],$AE$1,tabela_registros[DIA],martotal3059[[#Headers],[4]],tabela_registros[REGISTRO],DADOS!$N$4,tabela_registros[TIPO],DADOS!$P$4,tabela_registros[CATEGORIA],despesavariávelconsolidadomar[[#This Row],[DESPESA VARIÁVEL]])</f>
        <v>0</v>
      </c>
      <c r="I72" s="91">
        <f>SUMIFS(tabela_registros[VALOR],tabela_registros[MÊS],$AE$1,tabela_registros[DIA],martotal3059[[#Headers],[5]],tabela_registros[REGISTRO],DADOS!$N$4,tabela_registros[TIPO],DADOS!$P$4,tabela_registros[CATEGORIA],despesavariávelconsolidadomar[[#This Row],[DESPESA VARIÁVEL]])</f>
        <v>0</v>
      </c>
      <c r="J72" s="91">
        <f>SUMIFS(tabela_registros[VALOR],tabela_registros[MÊS],$AE$1,tabela_registros[DIA],martotal3059[[#Headers],[6]],tabela_registros[REGISTRO],DADOS!$N$4,tabela_registros[TIPO],DADOS!$P$4,tabela_registros[CATEGORIA],despesavariávelconsolidadomar[[#This Row],[DESPESA VARIÁVEL]])</f>
        <v>0</v>
      </c>
      <c r="K72" s="91">
        <f>SUMIFS(tabela_registros[VALOR],tabela_registros[MÊS],$AE$1,tabela_registros[DIA],martotal3059[[#Headers],[7]],tabela_registros[REGISTRO],DADOS!$N$4,tabela_registros[TIPO],DADOS!$P$4,tabela_registros[CATEGORIA],despesavariávelconsolidadomar[[#This Row],[DESPESA VARIÁVEL]])</f>
        <v>0</v>
      </c>
      <c r="L72" s="91">
        <f>SUMIFS(tabela_registros[VALOR],tabela_registros[MÊS],$AE$1,tabela_registros[DIA],martotal3059[[#Headers],[8]],tabela_registros[REGISTRO],DADOS!$N$4,tabela_registros[TIPO],DADOS!$P$4,tabela_registros[CATEGORIA],despesavariávelconsolidadomar[[#This Row],[DESPESA VARIÁVEL]])</f>
        <v>0</v>
      </c>
      <c r="M72" s="91">
        <f>SUMIFS(tabela_registros[VALOR],tabela_registros[MÊS],$AE$1,tabela_registros[DIA],martotal3059[[#Headers],[9]],tabela_registros[REGISTRO],DADOS!$N$4,tabela_registros[TIPO],DADOS!$P$4,tabela_registros[CATEGORIA],despesavariávelconsolidadomar[[#This Row],[DESPESA VARIÁVEL]])</f>
        <v>0</v>
      </c>
      <c r="N72" s="91">
        <f>SUMIFS(tabela_registros[VALOR],tabela_registros[MÊS],$AE$1,tabela_registros[DIA],martotal3059[[#Headers],[10]],tabela_registros[REGISTRO],DADOS!$N$4,tabela_registros[TIPO],DADOS!$P$4,tabela_registros[CATEGORIA],despesavariávelconsolidadomar[[#This Row],[DESPESA VARIÁVEL]])</f>
        <v>0</v>
      </c>
      <c r="O72" s="91">
        <f>SUMIFS(tabela_registros[VALOR],tabela_registros[MÊS],$AE$1,tabela_registros[DIA],martotal3059[[#Headers],[11]],tabela_registros[REGISTRO],DADOS!$N$4,tabela_registros[TIPO],DADOS!$P$4,tabela_registros[CATEGORIA],despesavariávelconsolidadomar[[#This Row],[DESPESA VARIÁVEL]])</f>
        <v>0</v>
      </c>
      <c r="P72" s="91">
        <f>SUMIFS(tabela_registros[VALOR],tabela_registros[MÊS],$AE$1,tabela_registros[DIA],martotal3059[[#Headers],[12]],tabela_registros[REGISTRO],DADOS!$N$4,tabela_registros[TIPO],DADOS!$P$4,tabela_registros[CATEGORIA],despesavariávelconsolidadomar[[#This Row],[DESPESA VARIÁVEL]])</f>
        <v>0</v>
      </c>
      <c r="Q72" s="91">
        <f>SUMIFS(tabela_registros[VALOR],tabela_registros[MÊS],$AE$1,tabela_registros[DIA],martotal3059[[#Headers],[13]],tabela_registros[REGISTRO],DADOS!$N$4,tabela_registros[TIPO],DADOS!$P$4,tabela_registros[CATEGORIA],despesavariávelconsolidadomar[[#This Row],[DESPESA VARIÁVEL]])</f>
        <v>0</v>
      </c>
      <c r="R72" s="91">
        <f>SUMIFS(tabela_registros[VALOR],tabela_registros[MÊS],$AE$1,tabela_registros[DIA],martotal3059[[#Headers],[14]],tabela_registros[REGISTRO],DADOS!$N$4,tabela_registros[TIPO],DADOS!$P$4,tabela_registros[CATEGORIA],despesavariávelconsolidadomar[[#This Row],[DESPESA VARIÁVEL]])</f>
        <v>0</v>
      </c>
      <c r="S72" s="91">
        <f>SUMIFS(tabela_registros[VALOR],tabela_registros[MÊS],$AE$1,tabela_registros[DIA],martotal3059[[#Headers],[15]],tabela_registros[REGISTRO],DADOS!$N$4,tabela_registros[TIPO],DADOS!$P$4,tabela_registros[CATEGORIA],despesavariávelconsolidadomar[[#This Row],[DESPESA VARIÁVEL]])</f>
        <v>0</v>
      </c>
      <c r="T72" s="91">
        <f>SUMIFS(tabela_registros[VALOR],tabela_registros[MÊS],$AE$1,tabela_registros[DIA],martotal3059[[#Headers],[16]],tabela_registros[REGISTRO],DADOS!$N$4,tabela_registros[TIPO],DADOS!$P$4,tabela_registros[CATEGORIA],despesavariávelconsolidadomar[[#This Row],[DESPESA VARIÁVEL]])</f>
        <v>0</v>
      </c>
      <c r="U72" s="91">
        <f>SUMIFS(tabela_registros[VALOR],tabela_registros[MÊS],$AE$1,tabela_registros[DIA],martotal3059[[#Headers],[17]],tabela_registros[REGISTRO],DADOS!$N$4,tabela_registros[TIPO],DADOS!$P$4,tabela_registros[CATEGORIA],despesavariávelconsolidadomar[[#This Row],[DESPESA VARIÁVEL]])</f>
        <v>0</v>
      </c>
      <c r="V72" s="91">
        <f>SUMIFS(tabela_registros[VALOR],tabela_registros[MÊS],$AE$1,tabela_registros[DIA],martotal3059[[#Headers],[18]],tabela_registros[REGISTRO],DADOS!$N$4,tabela_registros[TIPO],DADOS!$P$4,tabela_registros[CATEGORIA],despesavariávelconsolidadomar[[#This Row],[DESPESA VARIÁVEL]])</f>
        <v>0</v>
      </c>
      <c r="W72" s="91">
        <f>SUMIFS(tabela_registros[VALOR],tabela_registros[MÊS],$AE$1,tabela_registros[DIA],martotal3059[[#Headers],[19]],tabela_registros[REGISTRO],DADOS!$N$4,tabela_registros[TIPO],DADOS!$P$4,tabela_registros[CATEGORIA],despesavariávelconsolidadomar[[#This Row],[DESPESA VARIÁVEL]])</f>
        <v>0</v>
      </c>
      <c r="X72" s="91">
        <f>SUMIFS(tabela_registros[VALOR],tabela_registros[MÊS],$AE$1,tabela_registros[DIA],martotal3059[[#Headers],[20]],tabela_registros[REGISTRO],DADOS!$N$4,tabela_registros[TIPO],DADOS!$P$4,tabela_registros[CATEGORIA],despesavariávelconsolidadomar[[#This Row],[DESPESA VARIÁVEL]])</f>
        <v>0</v>
      </c>
      <c r="Y72" s="91">
        <f>SUMIFS(tabela_registros[VALOR],tabela_registros[MÊS],$AE$1,tabela_registros[DIA],martotal3059[[#Headers],[21]],tabela_registros[REGISTRO],DADOS!$N$4,tabela_registros[TIPO],DADOS!$P$4,tabela_registros[CATEGORIA],despesavariávelconsolidadomar[[#This Row],[DESPESA VARIÁVEL]])</f>
        <v>0</v>
      </c>
      <c r="Z72" s="91">
        <f>SUMIFS(tabela_registros[VALOR],tabela_registros[MÊS],$AE$1,tabela_registros[DIA],martotal3059[[#Headers],[22]],tabela_registros[REGISTRO],DADOS!$N$4,tabela_registros[TIPO],DADOS!$P$4,tabela_registros[CATEGORIA],despesavariávelconsolidadomar[[#This Row],[DESPESA VARIÁVEL]])</f>
        <v>0</v>
      </c>
      <c r="AA72" s="91">
        <f>SUMIFS(tabela_registros[VALOR],tabela_registros[MÊS],$AE$1,tabela_registros[DIA],martotal3059[[#Headers],[23]],tabela_registros[REGISTRO],DADOS!$N$4,tabela_registros[TIPO],DADOS!$P$4,tabela_registros[CATEGORIA],despesavariávelconsolidadomar[[#This Row],[DESPESA VARIÁVEL]])</f>
        <v>0</v>
      </c>
      <c r="AB72" s="91">
        <f>SUMIFS(tabela_registros[VALOR],tabela_registros[MÊS],$AE$1,tabela_registros[DIA],martotal3059[[#Headers],[24]],tabela_registros[REGISTRO],DADOS!$N$4,tabela_registros[TIPO],DADOS!$P$4,tabela_registros[CATEGORIA],despesavariávelconsolidadomar[[#This Row],[DESPESA VARIÁVEL]])</f>
        <v>0</v>
      </c>
      <c r="AC72" s="91">
        <f>SUMIFS(tabela_registros[VALOR],tabela_registros[MÊS],$AE$1,tabela_registros[DIA],martotal3059[[#Headers],[25]],tabela_registros[REGISTRO],DADOS!$N$4,tabela_registros[TIPO],DADOS!$P$4,tabela_registros[CATEGORIA],despesavariávelconsolidadomar[[#This Row],[DESPESA VARIÁVEL]])</f>
        <v>0</v>
      </c>
      <c r="AD72" s="91">
        <f>SUMIFS(tabela_registros[VALOR],tabela_registros[MÊS],$AE$1,tabela_registros[DIA],martotal3059[[#Headers],[26]],tabela_registros[REGISTRO],DADOS!$N$4,tabela_registros[TIPO],DADOS!$P$4,tabela_registros[CATEGORIA],despesavariávelconsolidadomar[[#This Row],[DESPESA VARIÁVEL]])</f>
        <v>0</v>
      </c>
      <c r="AE72" s="91">
        <f>SUMIFS(tabela_registros[VALOR],tabela_registros[MÊS],$AE$1,tabela_registros[DIA],martotal3059[[#Headers],[27]],tabela_registros[REGISTRO],DADOS!$N$4,tabela_registros[TIPO],DADOS!$P$4,tabela_registros[CATEGORIA],despesavariávelconsolidadomar[[#This Row],[DESPESA VARIÁVEL]])</f>
        <v>0</v>
      </c>
      <c r="AF72" s="91">
        <f>SUMIFS(tabela_registros[VALOR],tabela_registros[MÊS],$AE$1,tabela_registros[DIA],martotal3059[[#Headers],[28]],tabela_registros[REGISTRO],DADOS!$N$4,tabela_registros[TIPO],DADOS!$P$4,tabela_registros[CATEGORIA],despesavariávelconsolidadomar[[#This Row],[DESPESA VARIÁVEL]])</f>
        <v>0</v>
      </c>
      <c r="AG72" s="91">
        <f>SUMIFS(tabela_registros[VALOR],tabela_registros[MÊS],$AE$1,tabela_registros[DIA],martotal3059[[#Headers],[29]],tabela_registros[REGISTRO],DADOS!$N$4,tabela_registros[TIPO],DADOS!$P$4,tabela_registros[CATEGORIA],despesavariávelconsolidadomar[[#This Row],[DESPESA VARIÁVEL]])</f>
        <v>0</v>
      </c>
      <c r="AH72" s="91">
        <f>SUMIFS(tabela_registros[VALOR],tabela_registros[MÊS],$AE$1,tabela_registros[DIA],martotal3059[[#Headers],[30]],tabela_registros[REGISTRO],DADOS!$N$4,tabela_registros[TIPO],DADOS!$P$4,tabela_registros[CATEGORIA],despesavariávelconsolidadomar[[#This Row],[DESPESA VARIÁVEL]])</f>
        <v>0</v>
      </c>
      <c r="AI72" s="102">
        <f>SUMIFS(tabela_registros[VALOR],tabela_registros[MÊS],$AE$1,tabela_registros[DIA],martotal3059[[#Headers],[31]],tabela_registros[REGISTRO],DADOS!$N$4,tabela_registros[TIPO],DADOS!$P$4,tabela_registros[CATEGORIA],despesavariávelconsolidadomar[[#This Row],[DESPESA VARIÁVEL]])</f>
        <v>0</v>
      </c>
      <c r="AJ72" s="97">
        <f>SUM(despesavariávelconsolidadomar[[#This Row],[1]:[31]])</f>
        <v>0</v>
      </c>
      <c r="AK72" s="28"/>
    </row>
    <row r="73" spans="2:37" s="16" customFormat="1" ht="21" customHeight="1" thickTop="1" thickBot="1" x14ac:dyDescent="0.35">
      <c r="B73" s="24"/>
      <c r="C73" s="23" t="s">
        <v>19</v>
      </c>
      <c r="D73" s="41" t="str">
        <f>IF(despesavariávelconsolidadomar[[#This Row],[TOTAL]]=0,"",IF(OR(despesavariávelconsolidadomar[[#This Row],[TOTAL]]=SMALL(despesavariávelconsolidadomar[TOTAL],1),despesavariávelconsolidadomar[[#This Row],[TOTAL]]=SMALL(despesavariávelconsolidadomar[TOTAL],2),despesavariávelconsolidadomar[[#This Row],[TOTAL]]=SMALL(despesavariávelconsolidadomar[TOTAL],3),despesavariávelconsolidadomar[[#This Row],[TOTAL]]=SMALL(despesavariávelconsolidadomar[TOTAL],4),despesavariávelconsolidadomar[[#This Row],[TOTAL]]=SMALL(despesavariávelconsolidadomar[TOTAL],5)),DADOS!$I$8,""))</f>
        <v/>
      </c>
      <c r="E73" s="21">
        <f>SUM(E60:E72)</f>
        <v>0</v>
      </c>
      <c r="F73" s="20">
        <f>SUM(F60:F72)+despesavariávelconsolidadomar[[#This Row],[1]]</f>
        <v>0</v>
      </c>
      <c r="G73" s="20">
        <f>SUM(G60:G72)+despesavariávelconsolidadomar[[#This Row],[2]]</f>
        <v>0</v>
      </c>
      <c r="H73" s="20">
        <f>SUM(H60:H72)+despesavariávelconsolidadomar[[#This Row],[3]]</f>
        <v>0</v>
      </c>
      <c r="I73" s="20">
        <f>SUM(I60:I72)+despesavariávelconsolidadomar[[#This Row],[4]]</f>
        <v>0</v>
      </c>
      <c r="J73" s="20">
        <f>SUM(J60:J72)+despesavariávelconsolidadomar[[#This Row],[5]]</f>
        <v>0</v>
      </c>
      <c r="K73" s="20">
        <f>SUM(K60:K72)+despesavariávelconsolidadomar[[#This Row],[6]]</f>
        <v>0</v>
      </c>
      <c r="L73" s="20">
        <f>SUM(L60:L72)+despesavariávelconsolidadomar[[#This Row],[7]]</f>
        <v>0</v>
      </c>
      <c r="M73" s="20">
        <f>SUM(M60:M72)+despesavariávelconsolidadomar[[#This Row],[8]]</f>
        <v>0</v>
      </c>
      <c r="N73" s="20">
        <f>SUM(N60:N72)+despesavariávelconsolidadomar[[#This Row],[9]]</f>
        <v>0</v>
      </c>
      <c r="O73" s="20">
        <f>SUM(O60:O72)+despesavariávelconsolidadomar[[#This Row],[10]]</f>
        <v>0</v>
      </c>
      <c r="P73" s="20">
        <f>SUM(P60:P72)+despesavariávelconsolidadomar[[#This Row],[11]]</f>
        <v>0</v>
      </c>
      <c r="Q73" s="20">
        <f>SUM(Q60:Q72)+despesavariávelconsolidadomar[[#This Row],[12]]</f>
        <v>0</v>
      </c>
      <c r="R73" s="20">
        <f>SUM(R60:R72)+despesavariávelconsolidadomar[[#This Row],[13]]</f>
        <v>0</v>
      </c>
      <c r="S73" s="20">
        <f>SUM(S60:S72)+despesavariávelconsolidadomar[[#This Row],[14]]</f>
        <v>0</v>
      </c>
      <c r="T73" s="20">
        <f>SUM(T60:T72)+despesavariávelconsolidadomar[[#This Row],[15]]</f>
        <v>0</v>
      </c>
      <c r="U73" s="20">
        <f>SUM(U60:U72)+despesavariávelconsolidadomar[[#This Row],[16]]</f>
        <v>0</v>
      </c>
      <c r="V73" s="20">
        <f>SUM(V60:V72)+despesavariávelconsolidadomar[[#This Row],[17]]</f>
        <v>0</v>
      </c>
      <c r="W73" s="20">
        <f>SUM(W60:W72)+despesavariávelconsolidadomar[[#This Row],[18]]</f>
        <v>0</v>
      </c>
      <c r="X73" s="20">
        <f>SUM(X60:X72)+despesavariávelconsolidadomar[[#This Row],[19]]</f>
        <v>0</v>
      </c>
      <c r="Y73" s="20">
        <f>SUM(Y60:Y72)+despesavariávelconsolidadomar[[#This Row],[20]]</f>
        <v>0</v>
      </c>
      <c r="Z73" s="20">
        <f>SUM(Z60:Z72)+despesavariávelconsolidadomar[[#This Row],[21]]</f>
        <v>0</v>
      </c>
      <c r="AA73" s="20">
        <f>SUM(AA60:AA72)+despesavariávelconsolidadomar[[#This Row],[22]]</f>
        <v>0</v>
      </c>
      <c r="AB73" s="20">
        <f>SUM(AB60:AB72)+despesavariávelconsolidadomar[[#This Row],[23]]</f>
        <v>0</v>
      </c>
      <c r="AC73" s="20">
        <f>SUM(AC60:AC72)+despesavariávelconsolidadomar[[#This Row],[24]]</f>
        <v>0</v>
      </c>
      <c r="AD73" s="20">
        <f>SUM(AD60:AD72)+despesavariávelconsolidadomar[[#This Row],[25]]</f>
        <v>0</v>
      </c>
      <c r="AE73" s="20">
        <f>SUM(AE60:AE72)+despesavariávelconsolidadomar[[#This Row],[26]]</f>
        <v>0</v>
      </c>
      <c r="AF73" s="20">
        <f>SUM(AF60:AF72)+despesavariávelconsolidadomar[[#This Row],[27]]</f>
        <v>0</v>
      </c>
      <c r="AG73" s="20">
        <f>SUM(AG60:AG72)+despesavariávelconsolidadomar[[#This Row],[28]]</f>
        <v>0</v>
      </c>
      <c r="AH73" s="20">
        <f>SUM(AH60:AH72)+despesavariávelconsolidadomar[[#This Row],[29]]</f>
        <v>0</v>
      </c>
      <c r="AI73" s="19">
        <f>SUM(AI60:AI72)+despesavariávelconsolidadomar[[#This Row],[30]]</f>
        <v>0</v>
      </c>
      <c r="AJ73" s="18">
        <f>despesavariávelconsolidadomar[[#This Row],[31]]</f>
        <v>0</v>
      </c>
      <c r="AK73" s="17"/>
    </row>
    <row r="74" spans="2:37" ht="6.75" customHeight="1" thickTop="1" thickBot="1" x14ac:dyDescent="0.3">
      <c r="B74" s="15"/>
      <c r="C74" s="40"/>
      <c r="D74" s="39"/>
      <c r="E74" s="39"/>
      <c r="F74" s="39"/>
      <c r="G74" s="39"/>
      <c r="H74" s="39"/>
      <c r="I74" s="39"/>
      <c r="J74" s="39"/>
      <c r="K74" s="39"/>
      <c r="L74" s="39"/>
      <c r="M74" s="39"/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  <c r="AG74" s="39"/>
      <c r="AH74" s="39"/>
      <c r="AI74" s="38"/>
      <c r="AJ74" s="15"/>
      <c r="AK74" s="10"/>
    </row>
    <row r="75" spans="2:37" ht="12.6" thickTop="1" x14ac:dyDescent="0.25">
      <c r="E75" s="37"/>
      <c r="AI75" s="4"/>
    </row>
    <row r="76" spans="2:37" x14ac:dyDescent="0.25">
      <c r="AI76" s="4"/>
    </row>
    <row r="77" spans="2:37" x14ac:dyDescent="0.25">
      <c r="AI77" s="4"/>
    </row>
    <row r="78" spans="2:37" ht="39.75" customHeight="1" x14ac:dyDescent="0.7">
      <c r="C78" s="36"/>
      <c r="E78" s="240"/>
      <c r="F78" s="240"/>
      <c r="G78" s="240"/>
      <c r="H78" s="240"/>
      <c r="I78" s="240"/>
      <c r="J78" s="240"/>
      <c r="K78" s="240"/>
      <c r="L78" s="240"/>
      <c r="M78" s="240"/>
      <c r="N78" s="240"/>
      <c r="O78" s="240"/>
      <c r="P78" s="240"/>
      <c r="Q78" s="240"/>
      <c r="R78" s="240"/>
      <c r="S78" s="240"/>
      <c r="T78" s="240"/>
      <c r="U78" s="240"/>
      <c r="V78" s="240"/>
      <c r="W78" s="240"/>
      <c r="X78" s="240"/>
      <c r="Y78" s="240"/>
      <c r="Z78" s="240"/>
      <c r="AA78" s="240"/>
      <c r="AB78" s="240"/>
      <c r="AC78" s="240"/>
      <c r="AD78" s="240"/>
      <c r="AE78" s="240"/>
      <c r="AF78" s="240"/>
      <c r="AG78" s="240"/>
      <c r="AH78" s="240"/>
      <c r="AI78" s="240"/>
      <c r="AJ78" s="32" t="s">
        <v>19</v>
      </c>
    </row>
    <row r="79" spans="2:37" ht="12.6" thickBot="1" x14ac:dyDescent="0.3">
      <c r="B79" s="35"/>
      <c r="AI79" s="4"/>
      <c r="AJ79" s="34" t="s">
        <v>202</v>
      </c>
    </row>
    <row r="80" spans="2:37" ht="6.75" customHeight="1" thickTop="1" thickBot="1" x14ac:dyDescent="0.3">
      <c r="B80" s="2"/>
      <c r="C80" s="14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I80" s="13"/>
      <c r="AJ80" s="12"/>
      <c r="AK80" s="33"/>
    </row>
    <row r="81" spans="2:37" ht="13.2" hidden="1" thickTop="1" thickBot="1" x14ac:dyDescent="0.3">
      <c r="B81" s="2"/>
      <c r="C81" s="31" t="s">
        <v>199</v>
      </c>
      <c r="D81" s="30" t="s">
        <v>198</v>
      </c>
      <c r="E81" s="30" t="s">
        <v>197</v>
      </c>
      <c r="F81" s="30" t="s">
        <v>196</v>
      </c>
      <c r="G81" s="30" t="s">
        <v>195</v>
      </c>
      <c r="H81" s="30" t="s">
        <v>194</v>
      </c>
      <c r="I81" s="30" t="s">
        <v>193</v>
      </c>
      <c r="J81" s="30" t="s">
        <v>192</v>
      </c>
      <c r="K81" s="30" t="s">
        <v>191</v>
      </c>
      <c r="L81" s="30" t="s">
        <v>190</v>
      </c>
      <c r="M81" s="30" t="s">
        <v>189</v>
      </c>
      <c r="N81" s="30" t="s">
        <v>188</v>
      </c>
      <c r="O81" s="30" t="s">
        <v>187</v>
      </c>
      <c r="P81" s="30" t="s">
        <v>186</v>
      </c>
      <c r="Q81" s="30" t="s">
        <v>185</v>
      </c>
      <c r="R81" s="30" t="s">
        <v>184</v>
      </c>
      <c r="S81" s="30" t="s">
        <v>183</v>
      </c>
      <c r="T81" s="30" t="s">
        <v>182</v>
      </c>
      <c r="U81" s="30" t="s">
        <v>181</v>
      </c>
      <c r="V81" s="30" t="s">
        <v>180</v>
      </c>
      <c r="W81" s="30" t="s">
        <v>179</v>
      </c>
      <c r="X81" s="30" t="s">
        <v>178</v>
      </c>
      <c r="Y81" s="30" t="s">
        <v>177</v>
      </c>
      <c r="Z81" s="30" t="s">
        <v>176</v>
      </c>
      <c r="AA81" s="30" t="s">
        <v>175</v>
      </c>
      <c r="AB81" s="30" t="s">
        <v>174</v>
      </c>
      <c r="AC81" s="30" t="s">
        <v>173</v>
      </c>
      <c r="AD81" s="30" t="s">
        <v>172</v>
      </c>
      <c r="AE81" s="30" t="s">
        <v>171</v>
      </c>
      <c r="AF81" s="30" t="s">
        <v>170</v>
      </c>
      <c r="AG81" s="30" t="s">
        <v>169</v>
      </c>
      <c r="AH81" s="30" t="s">
        <v>168</v>
      </c>
      <c r="AI81" s="30" t="s">
        <v>167</v>
      </c>
      <c r="AJ81" s="29" t="s">
        <v>166</v>
      </c>
      <c r="AK81" s="2"/>
    </row>
    <row r="82" spans="2:37" ht="19.5" customHeight="1" thickTop="1" thickBot="1" x14ac:dyDescent="0.3">
      <c r="B82" s="28"/>
      <c r="C82" s="27" t="str">
        <f>DADOS!$X$3</f>
        <v>💵 ALUGUEL</v>
      </c>
      <c r="D82" s="26" t="str">
        <f>IF(receitasfixasconsolidadomar[[#This Row],[TOTAL (R$)]]=0,"",IF(OR(receitasfixasconsolidadomar[[#This Row],[TOTAL (R$)]]=LARGE($AJ$82:$AJ$86,1),receitasfixasconsolidadomar[[#This Row],[TOTAL (R$)]]=LARGE($AJ$82:$AJ$86,2)),DADOS!$I$9,""))</f>
        <v/>
      </c>
      <c r="E82" s="94">
        <f>SUMIFS(tabela_registros[VALOR],tabela_registros[MÊS],$AE$1,tabela_registros[DIA],receitasfixasconsolidadomar[[#Headers],[1]],tabela_registros[REGISTRO],DADOS!$N$3,tabela_registros[TIPO],DADOS!$V$3,tabela_registros[CATEGORIA],receitasfixasconsolidadomar[[#This Row],[ATUAL]])</f>
        <v>0</v>
      </c>
      <c r="F82" s="88">
        <f>SUMIFS(tabela_registros[VALOR],tabela_registros[MÊS],$AE$1,tabela_registros[DIA],receitasfixasconsolidadomar[[#Headers],[2]],tabela_registros[REGISTRO],DADOS!$N$3,tabela_registros[TIPO],DADOS!$V$3,tabela_registros[CATEGORIA],receitasfixasconsolidadomar[[#This Row],[ATUAL]])</f>
        <v>0</v>
      </c>
      <c r="G82" s="88">
        <f>SUMIFS(tabela_registros[VALOR],tabela_registros[MÊS],$AE$1,tabela_registros[DIA],receitasfixasconsolidadomar[[#Headers],[3]],tabela_registros[REGISTRO],DADOS!$N$3,tabela_registros[TIPO],DADOS!$V$3,tabela_registros[CATEGORIA],receitasfixasconsolidadomar[[#This Row],[ATUAL]])</f>
        <v>0</v>
      </c>
      <c r="H82" s="88">
        <f>SUMIFS(tabela_registros[VALOR],tabela_registros[MÊS],$AE$1,tabela_registros[DIA],receitasfixasconsolidadomar[[#Headers],[4]],tabela_registros[REGISTRO],DADOS!$N$3,tabela_registros[TIPO],DADOS!$V$3,tabela_registros[CATEGORIA],receitasfixasconsolidadomar[[#This Row],[ATUAL]])</f>
        <v>0</v>
      </c>
      <c r="I82" s="88">
        <f>SUMIFS(tabela_registros[VALOR],tabela_registros[MÊS],$AE$1,tabela_registros[DIA],receitasfixasconsolidadomar[[#Headers],[5]],tabela_registros[REGISTRO],DADOS!$N$3,tabela_registros[TIPO],DADOS!$V$3,tabela_registros[CATEGORIA],receitasfixasconsolidadomar[[#This Row],[ATUAL]])</f>
        <v>0</v>
      </c>
      <c r="J82" s="88">
        <f>SUMIFS(tabela_registros[VALOR],tabela_registros[MÊS],$AE$1,tabela_registros[DIA],receitasfixasconsolidadomar[[#Headers],[6]],tabela_registros[REGISTRO],DADOS!$N$3,tabela_registros[TIPO],DADOS!$V$3,tabela_registros[CATEGORIA],receitasfixasconsolidadomar[[#This Row],[ATUAL]])</f>
        <v>0</v>
      </c>
      <c r="K82" s="88">
        <f>SUMIFS(tabela_registros[VALOR],tabela_registros[MÊS],$AE$1,tabela_registros[DIA],receitasfixasconsolidadomar[[#Headers],[7]],tabela_registros[REGISTRO],DADOS!$N$3,tabela_registros[TIPO],DADOS!$V$3,tabela_registros[CATEGORIA],receitasfixasconsolidadomar[[#This Row],[ATUAL]])</f>
        <v>0</v>
      </c>
      <c r="L82" s="88">
        <f>SUMIFS(tabela_registros[VALOR],tabela_registros[MÊS],$AE$1,tabela_registros[DIA],receitasfixasconsolidadomar[[#Headers],[8]],tabela_registros[REGISTRO],DADOS!$N$3,tabela_registros[TIPO],DADOS!$V$3,tabela_registros[CATEGORIA],receitasfixasconsolidadomar[[#This Row],[ATUAL]])</f>
        <v>0</v>
      </c>
      <c r="M82" s="88">
        <f>SUMIFS(tabela_registros[VALOR],tabela_registros[MÊS],$AE$1,tabela_registros[DIA],receitasfixasconsolidadomar[[#Headers],[9]],tabela_registros[REGISTRO],DADOS!$N$3,tabela_registros[TIPO],DADOS!$V$3,tabela_registros[CATEGORIA],receitasfixasconsolidadomar[[#This Row],[ATUAL]])</f>
        <v>0</v>
      </c>
      <c r="N82" s="88">
        <f>SUMIFS(tabela_registros[VALOR],tabela_registros[MÊS],$AE$1,tabela_registros[DIA],receitasfixasconsolidadomar[[#Headers],[10]],tabela_registros[REGISTRO],DADOS!$N$3,tabela_registros[TIPO],DADOS!$V$3,tabela_registros[CATEGORIA],receitasfixasconsolidadomar[[#This Row],[ATUAL]])</f>
        <v>0</v>
      </c>
      <c r="O82" s="88">
        <f>SUMIFS(tabela_registros[VALOR],tabela_registros[MÊS],$AE$1,tabela_registros[DIA],receitasfixasconsolidadomar[[#Headers],[11]],tabela_registros[REGISTRO],DADOS!$N$3,tabela_registros[TIPO],DADOS!$V$3,tabela_registros[CATEGORIA],receitasfixasconsolidadomar[[#This Row],[ATUAL]])</f>
        <v>0</v>
      </c>
      <c r="P82" s="88">
        <f>SUMIFS(tabela_registros[VALOR],tabela_registros[MÊS],$AE$1,tabela_registros[DIA],receitasfixasconsolidadomar[[#Headers],[12]],tabela_registros[REGISTRO],DADOS!$N$3,tabela_registros[TIPO],DADOS!$V$3,tabela_registros[CATEGORIA],receitasfixasconsolidadomar[[#This Row],[ATUAL]])</f>
        <v>0</v>
      </c>
      <c r="Q82" s="88">
        <f>SUMIFS(tabela_registros[VALOR],tabela_registros[MÊS],$AE$1,tabela_registros[DIA],receitasfixasconsolidadomar[[#Headers],[13]],tabela_registros[REGISTRO],DADOS!$N$3,tabela_registros[TIPO],DADOS!$V$3,tabela_registros[CATEGORIA],receitasfixasconsolidadomar[[#This Row],[ATUAL]])</f>
        <v>0</v>
      </c>
      <c r="R82" s="88">
        <f>SUMIFS(tabela_registros[VALOR],tabela_registros[MÊS],$AE$1,tabela_registros[DIA],receitasfixasconsolidadomar[[#Headers],[14]],tabela_registros[REGISTRO],DADOS!$N$3,tabela_registros[TIPO],DADOS!$V$3,tabela_registros[CATEGORIA],receitasfixasconsolidadomar[[#This Row],[ATUAL]])</f>
        <v>0</v>
      </c>
      <c r="S82" s="88">
        <f>SUMIFS(tabela_registros[VALOR],tabela_registros[MÊS],$AE$1,tabela_registros[DIA],receitasfixasconsolidadomar[[#Headers],[15]],tabela_registros[REGISTRO],DADOS!$N$3,tabela_registros[TIPO],DADOS!$V$3,tabela_registros[CATEGORIA],receitasfixasconsolidadomar[[#This Row],[ATUAL]])</f>
        <v>0</v>
      </c>
      <c r="T82" s="88">
        <f>SUMIFS(tabela_registros[VALOR],tabela_registros[MÊS],$AE$1,tabela_registros[DIA],receitasfixasconsolidadomar[[#Headers],[16]],tabela_registros[REGISTRO],DADOS!$N$3,tabela_registros[TIPO],DADOS!$V$3,tabela_registros[CATEGORIA],receitasfixasconsolidadomar[[#This Row],[ATUAL]])</f>
        <v>0</v>
      </c>
      <c r="U82" s="88">
        <f>SUMIFS(tabela_registros[VALOR],tabela_registros[MÊS],$AE$1,tabela_registros[DIA],receitasfixasconsolidadomar[[#Headers],[17]],tabela_registros[REGISTRO],DADOS!$N$3,tabela_registros[TIPO],DADOS!$V$3,tabela_registros[CATEGORIA],receitasfixasconsolidadomar[[#This Row],[ATUAL]])</f>
        <v>92</v>
      </c>
      <c r="V82" s="88">
        <f>SUMIFS(tabela_registros[VALOR],tabela_registros[MÊS],$AE$1,tabela_registros[DIA],receitasfixasconsolidadomar[[#Headers],[18]],tabela_registros[REGISTRO],DADOS!$N$3,tabela_registros[TIPO],DADOS!$V$3,tabela_registros[CATEGORIA],receitasfixasconsolidadomar[[#This Row],[ATUAL]])</f>
        <v>0</v>
      </c>
      <c r="W82" s="88">
        <f>SUMIFS(tabela_registros[VALOR],tabela_registros[MÊS],$AE$1,tabela_registros[DIA],receitasfixasconsolidadomar[[#Headers],[19]],tabela_registros[REGISTRO],DADOS!$N$3,tabela_registros[TIPO],DADOS!$V$3,tabela_registros[CATEGORIA],receitasfixasconsolidadomar[[#This Row],[ATUAL]])</f>
        <v>0</v>
      </c>
      <c r="X82" s="88">
        <f>SUMIFS(tabela_registros[VALOR],tabela_registros[MÊS],$AE$1,tabela_registros[DIA],receitasfixasconsolidadomar[[#Headers],[20]],tabela_registros[REGISTRO],DADOS!$N$3,tabela_registros[TIPO],DADOS!$V$3,tabela_registros[CATEGORIA],receitasfixasconsolidadomar[[#This Row],[ATUAL]])</f>
        <v>0</v>
      </c>
      <c r="Y82" s="88">
        <f>SUMIFS(tabela_registros[VALOR],tabela_registros[MÊS],$AE$1,tabela_registros[DIA],receitasfixasconsolidadomar[[#Headers],[21]],tabela_registros[REGISTRO],DADOS!$N$3,tabela_registros[TIPO],DADOS!$V$3,tabela_registros[CATEGORIA],receitasfixasconsolidadomar[[#This Row],[ATUAL]])</f>
        <v>0</v>
      </c>
      <c r="Z82" s="88">
        <f>SUMIFS(tabela_registros[VALOR],tabela_registros[MÊS],$AE$1,tabela_registros[DIA],receitasfixasconsolidadomar[[#Headers],[22]],tabela_registros[REGISTRO],DADOS!$N$3,tabela_registros[TIPO],DADOS!$V$3,tabela_registros[CATEGORIA],receitasfixasconsolidadomar[[#This Row],[ATUAL]])</f>
        <v>0</v>
      </c>
      <c r="AA82" s="88">
        <f>SUMIFS(tabela_registros[VALOR],tabela_registros[MÊS],$AE$1,tabela_registros[DIA],receitasfixasconsolidadomar[[#Headers],[23]],tabela_registros[REGISTRO],DADOS!$N$3,tabela_registros[TIPO],DADOS!$V$3,tabela_registros[CATEGORIA],receitasfixasconsolidadomar[[#This Row],[ATUAL]])</f>
        <v>0</v>
      </c>
      <c r="AB82" s="88">
        <f>SUMIFS(tabela_registros[VALOR],tabela_registros[MÊS],$AE$1,tabela_registros[DIA],receitasfixasconsolidadomar[[#Headers],[24]],tabela_registros[REGISTRO],DADOS!$N$3,tabela_registros[TIPO],DADOS!$V$3,tabela_registros[CATEGORIA],receitasfixasconsolidadomar[[#This Row],[ATUAL]])</f>
        <v>0</v>
      </c>
      <c r="AC82" s="88">
        <f>SUMIFS(tabela_registros[VALOR],tabela_registros[MÊS],$AE$1,tabela_registros[DIA],receitasfixasconsolidadomar[[#Headers],[25]],tabela_registros[REGISTRO],DADOS!$N$3,tabela_registros[TIPO],DADOS!$V$3,tabela_registros[CATEGORIA],receitasfixasconsolidadomar[[#This Row],[ATUAL]])</f>
        <v>0</v>
      </c>
      <c r="AD82" s="88">
        <f>SUMIFS(tabela_registros[VALOR],tabela_registros[MÊS],$AE$1,tabela_registros[DIA],receitasfixasconsolidadomar[[#Headers],[26]],tabela_registros[REGISTRO],DADOS!$N$3,tabela_registros[TIPO],DADOS!$V$3,tabela_registros[CATEGORIA],receitasfixasconsolidadomar[[#This Row],[ATUAL]])</f>
        <v>0</v>
      </c>
      <c r="AE82" s="88">
        <f>SUMIFS(tabela_registros[VALOR],tabela_registros[MÊS],$AE$1,tabela_registros[DIA],receitasfixasconsolidadomar[[#Headers],[27]],tabela_registros[REGISTRO],DADOS!$N$3,tabela_registros[TIPO],DADOS!$V$3,tabela_registros[CATEGORIA],receitasfixasconsolidadomar[[#This Row],[ATUAL]])</f>
        <v>0</v>
      </c>
      <c r="AF82" s="88">
        <f>SUMIFS(tabela_registros[VALOR],tabela_registros[MÊS],$AE$1,tabela_registros[DIA],receitasfixasconsolidadomar[[#Headers],[28]],tabela_registros[REGISTRO],DADOS!$N$3,tabela_registros[TIPO],DADOS!$V$3,tabela_registros[CATEGORIA],receitasfixasconsolidadomar[[#This Row],[ATUAL]])</f>
        <v>0</v>
      </c>
      <c r="AG82" s="88">
        <f>SUMIFS(tabela_registros[VALOR],tabela_registros[MÊS],$AE$1,tabela_registros[DIA],receitasfixasconsolidadomar[[#Headers],[29]],tabela_registros[REGISTRO],DADOS!$N$3,tabela_registros[TIPO],DADOS!$V$3,tabela_registros[CATEGORIA],receitasfixasconsolidadomar[[#This Row],[ATUAL]])</f>
        <v>0</v>
      </c>
      <c r="AH82" s="88">
        <f>SUMIFS(tabela_registros[VALOR],tabela_registros[MÊS],$AE$1,tabela_registros[DIA],receitasfixasconsolidadomar[[#Headers],[30]],tabela_registros[REGISTRO],DADOS!$N$3,tabela_registros[TIPO],DADOS!$V$3,tabela_registros[CATEGORIA],receitasfixasconsolidadomar[[#This Row],[ATUAL]])</f>
        <v>0</v>
      </c>
      <c r="AI82" s="100">
        <f>SUMIFS(tabela_registros[VALOR],tabela_registros[MÊS],$AE$1,tabela_registros[DIA],receitasfixasconsolidadomar[[#Headers],[31]],tabela_registros[REGISTRO],DADOS!$N$3,tabela_registros[TIPO],DADOS!$V$3,tabela_registros[CATEGORIA],receitasfixasconsolidadomar[[#This Row],[ATUAL]])</f>
        <v>0</v>
      </c>
      <c r="AJ82" s="97">
        <f>SUM(receitasfixasconsolidadomar[[#This Row],[1]:[31]])</f>
        <v>92</v>
      </c>
      <c r="AK82" s="25"/>
    </row>
    <row r="83" spans="2:37" ht="19.5" customHeight="1" thickTop="1" thickBot="1" x14ac:dyDescent="0.3">
      <c r="B83" s="28"/>
      <c r="C83" s="27" t="str">
        <f>DADOS!$X$4</f>
        <v>💸APOSENTADORIA</v>
      </c>
      <c r="D83" s="26" t="str">
        <f>IF(receitasfixasconsolidadomar[[#This Row],[TOTAL (R$)]]=0,"",IF(OR(receitasfixasconsolidadomar[[#This Row],[TOTAL (R$)]]=LARGE($AJ$82:$AJ$86,1),receitasfixasconsolidadomar[[#This Row],[TOTAL (R$)]]=LARGE($AJ$82:$AJ$86,2)),DADOS!$I$9,""))</f>
        <v/>
      </c>
      <c r="E83" s="96">
        <f>SUMIFS(tabela_registros[VALOR],tabela_registros[MÊS],$AE$1,tabela_registros[DIA],receitasfixasconsolidadomar[[#Headers],[1]],tabela_registros[REGISTRO],DADOS!$N$3,tabela_registros[TIPO],DADOS!$V$3,tabela_registros[CATEGORIA],receitasfixasconsolidadomar[[#This Row],[ATUAL]])</f>
        <v>0</v>
      </c>
      <c r="F83" s="91">
        <f>SUMIFS(tabela_registros[VALOR],tabela_registros[MÊS],$AE$1,tabela_registros[DIA],receitasfixasconsolidadomar[[#Headers],[2]],tabela_registros[REGISTRO],DADOS!$N$3,tabela_registros[TIPO],DADOS!$V$3,tabela_registros[CATEGORIA],receitasfixasconsolidadomar[[#This Row],[ATUAL]])</f>
        <v>0</v>
      </c>
      <c r="G83" s="91">
        <f>SUMIFS(tabela_registros[VALOR],tabela_registros[MÊS],$AE$1,tabela_registros[DIA],receitasfixasconsolidadomar[[#Headers],[3]],tabela_registros[REGISTRO],DADOS!$N$3,tabela_registros[TIPO],DADOS!$V$3,tabela_registros[CATEGORIA],receitasfixasconsolidadomar[[#This Row],[ATUAL]])</f>
        <v>0</v>
      </c>
      <c r="H83" s="91">
        <f>SUMIFS(tabela_registros[VALOR],tabela_registros[MÊS],$AE$1,tabela_registros[DIA],receitasfixasconsolidadomar[[#Headers],[4]],tabela_registros[REGISTRO],DADOS!$N$3,tabela_registros[TIPO],DADOS!$V$3,tabela_registros[CATEGORIA],receitasfixasconsolidadomar[[#This Row],[ATUAL]])</f>
        <v>0</v>
      </c>
      <c r="I83" s="91">
        <f>SUMIFS(tabela_registros[VALOR],tabela_registros[MÊS],$AE$1,tabela_registros[DIA],receitasfixasconsolidadomar[[#Headers],[5]],tabela_registros[REGISTRO],DADOS!$N$3,tabela_registros[TIPO],DADOS!$V$3,tabela_registros[CATEGORIA],receitasfixasconsolidadomar[[#This Row],[ATUAL]])</f>
        <v>0</v>
      </c>
      <c r="J83" s="91">
        <f>SUMIFS(tabela_registros[VALOR],tabela_registros[MÊS],$AE$1,tabela_registros[DIA],receitasfixasconsolidadomar[[#Headers],[6]],tabela_registros[REGISTRO],DADOS!$N$3,tabela_registros[TIPO],DADOS!$V$3,tabela_registros[CATEGORIA],receitasfixasconsolidadomar[[#This Row],[ATUAL]])</f>
        <v>0</v>
      </c>
      <c r="K83" s="91">
        <f>SUMIFS(tabela_registros[VALOR],tabela_registros[MÊS],$AE$1,tabela_registros[DIA],receitasfixasconsolidadomar[[#Headers],[7]],tabela_registros[REGISTRO],DADOS!$N$3,tabela_registros[TIPO],DADOS!$V$3,tabela_registros[CATEGORIA],receitasfixasconsolidadomar[[#This Row],[ATUAL]])</f>
        <v>0</v>
      </c>
      <c r="L83" s="91">
        <f>SUMIFS(tabela_registros[VALOR],tabela_registros[MÊS],$AE$1,tabela_registros[DIA],receitasfixasconsolidadomar[[#Headers],[8]],tabela_registros[REGISTRO],DADOS!$N$3,tabela_registros[TIPO],DADOS!$V$3,tabela_registros[CATEGORIA],receitasfixasconsolidadomar[[#This Row],[ATUAL]])</f>
        <v>0</v>
      </c>
      <c r="M83" s="91">
        <f>SUMIFS(tabela_registros[VALOR],tabela_registros[MÊS],$AE$1,tabela_registros[DIA],receitasfixasconsolidadomar[[#Headers],[9]],tabela_registros[REGISTRO],DADOS!$N$3,tabela_registros[TIPO],DADOS!$V$3,tabela_registros[CATEGORIA],receitasfixasconsolidadomar[[#This Row],[ATUAL]])</f>
        <v>0</v>
      </c>
      <c r="N83" s="91">
        <f>SUMIFS(tabela_registros[VALOR],tabela_registros[MÊS],$AE$1,tabela_registros[DIA],receitasfixasconsolidadomar[[#Headers],[10]],tabela_registros[REGISTRO],DADOS!$N$3,tabela_registros[TIPO],DADOS!$V$3,tabela_registros[CATEGORIA],receitasfixasconsolidadomar[[#This Row],[ATUAL]])</f>
        <v>0</v>
      </c>
      <c r="O83" s="91">
        <f>SUMIFS(tabela_registros[VALOR],tabela_registros[MÊS],$AE$1,tabela_registros[DIA],receitasfixasconsolidadomar[[#Headers],[11]],tabela_registros[REGISTRO],DADOS!$N$3,tabela_registros[TIPO],DADOS!$V$3,tabela_registros[CATEGORIA],receitasfixasconsolidadomar[[#This Row],[ATUAL]])</f>
        <v>0</v>
      </c>
      <c r="P83" s="91">
        <f>SUMIFS(tabela_registros[VALOR],tabela_registros[MÊS],$AE$1,tabela_registros[DIA],receitasfixasconsolidadomar[[#Headers],[12]],tabela_registros[REGISTRO],DADOS!$N$3,tabela_registros[TIPO],DADOS!$V$3,tabela_registros[CATEGORIA],receitasfixasconsolidadomar[[#This Row],[ATUAL]])</f>
        <v>0</v>
      </c>
      <c r="Q83" s="91">
        <f>SUMIFS(tabela_registros[VALOR],tabela_registros[MÊS],$AE$1,tabela_registros[DIA],receitasfixasconsolidadomar[[#Headers],[13]],tabela_registros[REGISTRO],DADOS!$N$3,tabela_registros[TIPO],DADOS!$V$3,tabela_registros[CATEGORIA],receitasfixasconsolidadomar[[#This Row],[ATUAL]])</f>
        <v>0</v>
      </c>
      <c r="R83" s="91">
        <f>SUMIFS(tabela_registros[VALOR],tabela_registros[MÊS],$AE$1,tabela_registros[DIA],receitasfixasconsolidadomar[[#Headers],[14]],tabela_registros[REGISTRO],DADOS!$N$3,tabela_registros[TIPO],DADOS!$V$3,tabela_registros[CATEGORIA],receitasfixasconsolidadomar[[#This Row],[ATUAL]])</f>
        <v>0</v>
      </c>
      <c r="S83" s="91">
        <f>SUMIFS(tabela_registros[VALOR],tabela_registros[MÊS],$AE$1,tabela_registros[DIA],receitasfixasconsolidadomar[[#Headers],[15]],tabela_registros[REGISTRO],DADOS!$N$3,tabela_registros[TIPO],DADOS!$V$3,tabela_registros[CATEGORIA],receitasfixasconsolidadomar[[#This Row],[ATUAL]])</f>
        <v>0</v>
      </c>
      <c r="T83" s="91">
        <f>SUMIFS(tabela_registros[VALOR],tabela_registros[MÊS],$AE$1,tabela_registros[DIA],receitasfixasconsolidadomar[[#Headers],[16]],tabela_registros[REGISTRO],DADOS!$N$3,tabela_registros[TIPO],DADOS!$V$3,tabela_registros[CATEGORIA],receitasfixasconsolidadomar[[#This Row],[ATUAL]])</f>
        <v>0</v>
      </c>
      <c r="U83" s="91">
        <f>SUMIFS(tabela_registros[VALOR],tabela_registros[MÊS],$AE$1,tabela_registros[DIA],receitasfixasconsolidadomar[[#Headers],[17]],tabela_registros[REGISTRO],DADOS!$N$3,tabela_registros[TIPO],DADOS!$V$3,tabela_registros[CATEGORIA],receitasfixasconsolidadomar[[#This Row],[ATUAL]])</f>
        <v>0</v>
      </c>
      <c r="V83" s="91">
        <f>SUMIFS(tabela_registros[VALOR],tabela_registros[MÊS],$AE$1,tabela_registros[DIA],receitasfixasconsolidadomar[[#Headers],[18]],tabela_registros[REGISTRO],DADOS!$N$3,tabela_registros[TIPO],DADOS!$V$3,tabela_registros[CATEGORIA],receitasfixasconsolidadomar[[#This Row],[ATUAL]])</f>
        <v>0</v>
      </c>
      <c r="W83" s="91">
        <f>SUMIFS(tabela_registros[VALOR],tabela_registros[MÊS],$AE$1,tabela_registros[DIA],receitasfixasconsolidadomar[[#Headers],[19]],tabela_registros[REGISTRO],DADOS!$N$3,tabela_registros[TIPO],DADOS!$V$3,tabela_registros[CATEGORIA],receitasfixasconsolidadomar[[#This Row],[ATUAL]])</f>
        <v>0</v>
      </c>
      <c r="X83" s="91">
        <f>SUMIFS(tabela_registros[VALOR],tabela_registros[MÊS],$AE$1,tabela_registros[DIA],receitasfixasconsolidadomar[[#Headers],[20]],tabela_registros[REGISTRO],DADOS!$N$3,tabela_registros[TIPO],DADOS!$V$3,tabela_registros[CATEGORIA],receitasfixasconsolidadomar[[#This Row],[ATUAL]])</f>
        <v>0</v>
      </c>
      <c r="Y83" s="91">
        <f>SUMIFS(tabela_registros[VALOR],tabela_registros[MÊS],$AE$1,tabela_registros[DIA],receitasfixasconsolidadomar[[#Headers],[21]],tabela_registros[REGISTRO],DADOS!$N$3,tabela_registros[TIPO],DADOS!$V$3,tabela_registros[CATEGORIA],receitasfixasconsolidadomar[[#This Row],[ATUAL]])</f>
        <v>0</v>
      </c>
      <c r="Z83" s="91">
        <f>SUMIFS(tabela_registros[VALOR],tabela_registros[MÊS],$AE$1,tabela_registros[DIA],receitasfixasconsolidadomar[[#Headers],[22]],tabela_registros[REGISTRO],DADOS!$N$3,tabela_registros[TIPO],DADOS!$V$3,tabela_registros[CATEGORIA],receitasfixasconsolidadomar[[#This Row],[ATUAL]])</f>
        <v>0</v>
      </c>
      <c r="AA83" s="91">
        <f>SUMIFS(tabela_registros[VALOR],tabela_registros[MÊS],$AE$1,tabela_registros[DIA],receitasfixasconsolidadomar[[#Headers],[23]],tabela_registros[REGISTRO],DADOS!$N$3,tabela_registros[TIPO],DADOS!$V$3,tabela_registros[CATEGORIA],receitasfixasconsolidadomar[[#This Row],[ATUAL]])</f>
        <v>0</v>
      </c>
      <c r="AB83" s="91">
        <f>SUMIFS(tabela_registros[VALOR],tabela_registros[MÊS],$AE$1,tabela_registros[DIA],receitasfixasconsolidadomar[[#Headers],[24]],tabela_registros[REGISTRO],DADOS!$N$3,tabela_registros[TIPO],DADOS!$V$3,tabela_registros[CATEGORIA],receitasfixasconsolidadomar[[#This Row],[ATUAL]])</f>
        <v>0</v>
      </c>
      <c r="AC83" s="91">
        <f>SUMIFS(tabela_registros[VALOR],tabela_registros[MÊS],$AE$1,tabela_registros[DIA],receitasfixasconsolidadomar[[#Headers],[25]],tabela_registros[REGISTRO],DADOS!$N$3,tabela_registros[TIPO],DADOS!$V$3,tabela_registros[CATEGORIA],receitasfixasconsolidadomar[[#This Row],[ATUAL]])</f>
        <v>0</v>
      </c>
      <c r="AD83" s="91">
        <f>SUMIFS(tabela_registros[VALOR],tabela_registros[MÊS],$AE$1,tabela_registros[DIA],receitasfixasconsolidadomar[[#Headers],[26]],tabela_registros[REGISTRO],DADOS!$N$3,tabela_registros[TIPO],DADOS!$V$3,tabela_registros[CATEGORIA],receitasfixasconsolidadomar[[#This Row],[ATUAL]])</f>
        <v>0</v>
      </c>
      <c r="AE83" s="91">
        <f>SUMIFS(tabela_registros[VALOR],tabela_registros[MÊS],$AE$1,tabela_registros[DIA],receitasfixasconsolidadomar[[#Headers],[27]],tabela_registros[REGISTRO],DADOS!$N$3,tabela_registros[TIPO],DADOS!$V$3,tabela_registros[CATEGORIA],receitasfixasconsolidadomar[[#This Row],[ATUAL]])</f>
        <v>0</v>
      </c>
      <c r="AF83" s="91">
        <f>SUMIFS(tabela_registros[VALOR],tabela_registros[MÊS],$AE$1,tabela_registros[DIA],receitasfixasconsolidadomar[[#Headers],[28]],tabela_registros[REGISTRO],DADOS!$N$3,tabela_registros[TIPO],DADOS!$V$3,tabela_registros[CATEGORIA],receitasfixasconsolidadomar[[#This Row],[ATUAL]])</f>
        <v>0</v>
      </c>
      <c r="AG83" s="91">
        <f>SUMIFS(tabela_registros[VALOR],tabela_registros[MÊS],$AE$1,tabela_registros[DIA],receitasfixasconsolidadomar[[#Headers],[29]],tabela_registros[REGISTRO],DADOS!$N$3,tabela_registros[TIPO],DADOS!$V$3,tabela_registros[CATEGORIA],receitasfixasconsolidadomar[[#This Row],[ATUAL]])</f>
        <v>0</v>
      </c>
      <c r="AH83" s="91">
        <f>SUMIFS(tabela_registros[VALOR],tabela_registros[MÊS],$AE$1,tabela_registros[DIA],receitasfixasconsolidadomar[[#Headers],[30]],tabela_registros[REGISTRO],DADOS!$N$3,tabela_registros[TIPO],DADOS!$V$3,tabela_registros[CATEGORIA],receitasfixasconsolidadomar[[#This Row],[ATUAL]])</f>
        <v>0</v>
      </c>
      <c r="AI83" s="101">
        <f>SUMIFS(tabela_registros[VALOR],tabela_registros[MÊS],$AE$1,tabela_registros[DIA],receitasfixasconsolidadomar[[#Headers],[31]],tabela_registros[REGISTRO],DADOS!$N$3,tabela_registros[TIPO],DADOS!$V$3,tabela_registros[CATEGORIA],receitasfixasconsolidadomar[[#This Row],[ATUAL]])</f>
        <v>0</v>
      </c>
      <c r="AJ83" s="97">
        <f>SUM(receitasfixasconsolidadomar[[#This Row],[1]:[31]])</f>
        <v>0</v>
      </c>
      <c r="AK83" s="25"/>
    </row>
    <row r="84" spans="2:37" ht="19.5" customHeight="1" thickTop="1" thickBot="1" x14ac:dyDescent="0.3">
      <c r="B84" s="28"/>
      <c r="C84" s="27" t="str">
        <f>DADOS!$X$5</f>
        <v>🎀 MESADA</v>
      </c>
      <c r="D84" s="26" t="str">
        <f>IF(receitasfixasconsolidadomar[[#This Row],[TOTAL (R$)]]=0,"",IF(OR(receitasfixasconsolidadomar[[#This Row],[TOTAL (R$)]]=LARGE($AJ$82:$AJ$86,1),receitasfixasconsolidadomar[[#This Row],[TOTAL (R$)]]=LARGE($AJ$82:$AJ$86,2)),DADOS!$I$9,""))</f>
        <v>🐄</v>
      </c>
      <c r="E84" s="96">
        <f>SUMIFS(tabela_registros[VALOR],tabela_registros[MÊS],$AE$1,tabela_registros[DIA],receitasfixasconsolidadomar[[#Headers],[1]],tabela_registros[REGISTRO],DADOS!$N$3,tabela_registros[TIPO],DADOS!$V$3,tabela_registros[CATEGORIA],receitasfixasconsolidadomar[[#This Row],[ATUAL]])</f>
        <v>50</v>
      </c>
      <c r="F84" s="91">
        <f>SUMIFS(tabela_registros[VALOR],tabela_registros[MÊS],$AE$1,tabela_registros[DIA],receitasfixasconsolidadomar[[#Headers],[2]],tabela_registros[REGISTRO],DADOS!$N$3,tabela_registros[TIPO],DADOS!$V$3,tabela_registros[CATEGORIA],receitasfixasconsolidadomar[[#This Row],[ATUAL]])</f>
        <v>0</v>
      </c>
      <c r="G84" s="91">
        <f>SUMIFS(tabela_registros[VALOR],tabela_registros[MÊS],$AE$1,tabela_registros[DIA],receitasfixasconsolidadomar[[#Headers],[3]],tabela_registros[REGISTRO],DADOS!$N$3,tabela_registros[TIPO],DADOS!$V$3,tabela_registros[CATEGORIA],receitasfixasconsolidadomar[[#This Row],[ATUAL]])</f>
        <v>0</v>
      </c>
      <c r="H84" s="91">
        <f>SUMIFS(tabela_registros[VALOR],tabela_registros[MÊS],$AE$1,tabela_registros[DIA],receitasfixasconsolidadomar[[#Headers],[4]],tabela_registros[REGISTRO],DADOS!$N$3,tabela_registros[TIPO],DADOS!$V$3,tabela_registros[CATEGORIA],receitasfixasconsolidadomar[[#This Row],[ATUAL]])</f>
        <v>0</v>
      </c>
      <c r="I84" s="91">
        <f>SUMIFS(tabela_registros[VALOR],tabela_registros[MÊS],$AE$1,tabela_registros[DIA],receitasfixasconsolidadomar[[#Headers],[5]],tabela_registros[REGISTRO],DADOS!$N$3,tabela_registros[TIPO],DADOS!$V$3,tabela_registros[CATEGORIA],receitasfixasconsolidadomar[[#This Row],[ATUAL]])</f>
        <v>0</v>
      </c>
      <c r="J84" s="91">
        <f>SUMIFS(tabela_registros[VALOR],tabela_registros[MÊS],$AE$1,tabela_registros[DIA],receitasfixasconsolidadomar[[#Headers],[6]],tabela_registros[REGISTRO],DADOS!$N$3,tabela_registros[TIPO],DADOS!$V$3,tabela_registros[CATEGORIA],receitasfixasconsolidadomar[[#This Row],[ATUAL]])</f>
        <v>0</v>
      </c>
      <c r="K84" s="91">
        <f>SUMIFS(tabela_registros[VALOR],tabela_registros[MÊS],$AE$1,tabela_registros[DIA],receitasfixasconsolidadomar[[#Headers],[7]],tabela_registros[REGISTRO],DADOS!$N$3,tabela_registros[TIPO],DADOS!$V$3,tabela_registros[CATEGORIA],receitasfixasconsolidadomar[[#This Row],[ATUAL]])</f>
        <v>0</v>
      </c>
      <c r="L84" s="91">
        <f>SUMIFS(tabela_registros[VALOR],tabela_registros[MÊS],$AE$1,tabela_registros[DIA],receitasfixasconsolidadomar[[#Headers],[8]],tabela_registros[REGISTRO],DADOS!$N$3,tabela_registros[TIPO],DADOS!$V$3,tabela_registros[CATEGORIA],receitasfixasconsolidadomar[[#This Row],[ATUAL]])</f>
        <v>0</v>
      </c>
      <c r="M84" s="91">
        <f>SUMIFS(tabela_registros[VALOR],tabela_registros[MÊS],$AE$1,tabela_registros[DIA],receitasfixasconsolidadomar[[#Headers],[9]],tabela_registros[REGISTRO],DADOS!$N$3,tabela_registros[TIPO],DADOS!$V$3,tabela_registros[CATEGORIA],receitasfixasconsolidadomar[[#This Row],[ATUAL]])</f>
        <v>0</v>
      </c>
      <c r="N84" s="91">
        <f>SUMIFS(tabela_registros[VALOR],tabela_registros[MÊS],$AE$1,tabela_registros[DIA],receitasfixasconsolidadomar[[#Headers],[10]],tabela_registros[REGISTRO],DADOS!$N$3,tabela_registros[TIPO],DADOS!$V$3,tabela_registros[CATEGORIA],receitasfixasconsolidadomar[[#This Row],[ATUAL]])</f>
        <v>0</v>
      </c>
      <c r="O84" s="91">
        <f>SUMIFS(tabela_registros[VALOR],tabela_registros[MÊS],$AE$1,tabela_registros[DIA],receitasfixasconsolidadomar[[#Headers],[11]],tabela_registros[REGISTRO],DADOS!$N$3,tabela_registros[TIPO],DADOS!$V$3,tabela_registros[CATEGORIA],receitasfixasconsolidadomar[[#This Row],[ATUAL]])</f>
        <v>0</v>
      </c>
      <c r="P84" s="91">
        <f>SUMIFS(tabela_registros[VALOR],tabela_registros[MÊS],$AE$1,tabela_registros[DIA],receitasfixasconsolidadomar[[#Headers],[12]],tabela_registros[REGISTRO],DADOS!$N$3,tabela_registros[TIPO],DADOS!$V$3,tabela_registros[CATEGORIA],receitasfixasconsolidadomar[[#This Row],[ATUAL]])</f>
        <v>0</v>
      </c>
      <c r="Q84" s="91">
        <f>SUMIFS(tabela_registros[VALOR],tabela_registros[MÊS],$AE$1,tabela_registros[DIA],receitasfixasconsolidadomar[[#Headers],[13]],tabela_registros[REGISTRO],DADOS!$N$3,tabela_registros[TIPO],DADOS!$V$3,tabela_registros[CATEGORIA],receitasfixasconsolidadomar[[#This Row],[ATUAL]])</f>
        <v>0</v>
      </c>
      <c r="R84" s="91">
        <f>SUMIFS(tabela_registros[VALOR],tabela_registros[MÊS],$AE$1,tabela_registros[DIA],receitasfixasconsolidadomar[[#Headers],[14]],tabela_registros[REGISTRO],DADOS!$N$3,tabela_registros[TIPO],DADOS!$V$3,tabela_registros[CATEGORIA],receitasfixasconsolidadomar[[#This Row],[ATUAL]])</f>
        <v>0</v>
      </c>
      <c r="S84" s="91">
        <f>SUMIFS(tabela_registros[VALOR],tabela_registros[MÊS],$AE$1,tabela_registros[DIA],receitasfixasconsolidadomar[[#Headers],[15]],tabela_registros[REGISTRO],DADOS!$N$3,tabela_registros[TIPO],DADOS!$V$3,tabela_registros[CATEGORIA],receitasfixasconsolidadomar[[#This Row],[ATUAL]])</f>
        <v>0</v>
      </c>
      <c r="T84" s="91">
        <f>SUMIFS(tabela_registros[VALOR],tabela_registros[MÊS],$AE$1,tabela_registros[DIA],receitasfixasconsolidadomar[[#Headers],[16]],tabela_registros[REGISTRO],DADOS!$N$3,tabela_registros[TIPO],DADOS!$V$3,tabela_registros[CATEGORIA],receitasfixasconsolidadomar[[#This Row],[ATUAL]])</f>
        <v>80</v>
      </c>
      <c r="U84" s="91">
        <f>SUMIFS(tabela_registros[VALOR],tabela_registros[MÊS],$AE$1,tabela_registros[DIA],receitasfixasconsolidadomar[[#Headers],[17]],tabela_registros[REGISTRO],DADOS!$N$3,tabela_registros[TIPO],DADOS!$V$3,tabela_registros[CATEGORIA],receitasfixasconsolidadomar[[#This Row],[ATUAL]])</f>
        <v>0</v>
      </c>
      <c r="V84" s="91">
        <f>SUMIFS(tabela_registros[VALOR],tabela_registros[MÊS],$AE$1,tabela_registros[DIA],receitasfixasconsolidadomar[[#Headers],[18]],tabela_registros[REGISTRO],DADOS!$N$3,tabela_registros[TIPO],DADOS!$V$3,tabela_registros[CATEGORIA],receitasfixasconsolidadomar[[#This Row],[ATUAL]])</f>
        <v>0</v>
      </c>
      <c r="W84" s="91">
        <f>SUMIFS(tabela_registros[VALOR],tabela_registros[MÊS],$AE$1,tabela_registros[DIA],receitasfixasconsolidadomar[[#Headers],[19]],tabela_registros[REGISTRO],DADOS!$N$3,tabela_registros[TIPO],DADOS!$V$3,tabela_registros[CATEGORIA],receitasfixasconsolidadomar[[#This Row],[ATUAL]])</f>
        <v>0</v>
      </c>
      <c r="X84" s="91">
        <f>SUMIFS(tabela_registros[VALOR],tabela_registros[MÊS],$AE$1,tabela_registros[DIA],receitasfixasconsolidadomar[[#Headers],[20]],tabela_registros[REGISTRO],DADOS!$N$3,tabela_registros[TIPO],DADOS!$V$3,tabela_registros[CATEGORIA],receitasfixasconsolidadomar[[#This Row],[ATUAL]])</f>
        <v>0</v>
      </c>
      <c r="Y84" s="91">
        <f>SUMIFS(tabela_registros[VALOR],tabela_registros[MÊS],$AE$1,tabela_registros[DIA],receitasfixasconsolidadomar[[#Headers],[21]],tabela_registros[REGISTRO],DADOS!$N$3,tabela_registros[TIPO],DADOS!$V$3,tabela_registros[CATEGORIA],receitasfixasconsolidadomar[[#This Row],[ATUAL]])</f>
        <v>0</v>
      </c>
      <c r="Z84" s="91">
        <f>SUMIFS(tabela_registros[VALOR],tabela_registros[MÊS],$AE$1,tabela_registros[DIA],receitasfixasconsolidadomar[[#Headers],[22]],tabela_registros[REGISTRO],DADOS!$N$3,tabela_registros[TIPO],DADOS!$V$3,tabela_registros[CATEGORIA],receitasfixasconsolidadomar[[#This Row],[ATUAL]])</f>
        <v>0</v>
      </c>
      <c r="AA84" s="91">
        <f>SUMIFS(tabela_registros[VALOR],tabela_registros[MÊS],$AE$1,tabela_registros[DIA],receitasfixasconsolidadomar[[#Headers],[23]],tabela_registros[REGISTRO],DADOS!$N$3,tabela_registros[TIPO],DADOS!$V$3,tabela_registros[CATEGORIA],receitasfixasconsolidadomar[[#This Row],[ATUAL]])</f>
        <v>0</v>
      </c>
      <c r="AB84" s="91">
        <f>SUMIFS(tabela_registros[VALOR],tabela_registros[MÊS],$AE$1,tabela_registros[DIA],receitasfixasconsolidadomar[[#Headers],[24]],tabela_registros[REGISTRO],DADOS!$N$3,tabela_registros[TIPO],DADOS!$V$3,tabela_registros[CATEGORIA],receitasfixasconsolidadomar[[#This Row],[ATUAL]])</f>
        <v>0</v>
      </c>
      <c r="AC84" s="91">
        <f>SUMIFS(tabela_registros[VALOR],tabela_registros[MÊS],$AE$1,tabela_registros[DIA],receitasfixasconsolidadomar[[#Headers],[25]],tabela_registros[REGISTRO],DADOS!$N$3,tabela_registros[TIPO],DADOS!$V$3,tabela_registros[CATEGORIA],receitasfixasconsolidadomar[[#This Row],[ATUAL]])</f>
        <v>0</v>
      </c>
      <c r="AD84" s="91">
        <f>SUMIFS(tabela_registros[VALOR],tabela_registros[MÊS],$AE$1,tabela_registros[DIA],receitasfixasconsolidadomar[[#Headers],[26]],tabela_registros[REGISTRO],DADOS!$N$3,tabela_registros[TIPO],DADOS!$V$3,tabela_registros[CATEGORIA],receitasfixasconsolidadomar[[#This Row],[ATUAL]])</f>
        <v>0</v>
      </c>
      <c r="AE84" s="91">
        <f>SUMIFS(tabela_registros[VALOR],tabela_registros[MÊS],$AE$1,tabela_registros[DIA],receitasfixasconsolidadomar[[#Headers],[27]],tabela_registros[REGISTRO],DADOS!$N$3,tabela_registros[TIPO],DADOS!$V$3,tabela_registros[CATEGORIA],receitasfixasconsolidadomar[[#This Row],[ATUAL]])</f>
        <v>0</v>
      </c>
      <c r="AF84" s="91">
        <f>SUMIFS(tabela_registros[VALOR],tabela_registros[MÊS],$AE$1,tabela_registros[DIA],receitasfixasconsolidadomar[[#Headers],[28]],tabela_registros[REGISTRO],DADOS!$N$3,tabela_registros[TIPO],DADOS!$V$3,tabela_registros[CATEGORIA],receitasfixasconsolidadomar[[#This Row],[ATUAL]])</f>
        <v>0</v>
      </c>
      <c r="AG84" s="91">
        <f>SUMIFS(tabela_registros[VALOR],tabela_registros[MÊS],$AE$1,tabela_registros[DIA],receitasfixasconsolidadomar[[#Headers],[29]],tabela_registros[REGISTRO],DADOS!$N$3,tabela_registros[TIPO],DADOS!$V$3,tabela_registros[CATEGORIA],receitasfixasconsolidadomar[[#This Row],[ATUAL]])</f>
        <v>0</v>
      </c>
      <c r="AH84" s="91">
        <f>SUMIFS(tabela_registros[VALOR],tabela_registros[MÊS],$AE$1,tabela_registros[DIA],receitasfixasconsolidadomar[[#Headers],[30]],tabela_registros[REGISTRO],DADOS!$N$3,tabela_registros[TIPO],DADOS!$V$3,tabela_registros[CATEGORIA],receitasfixasconsolidadomar[[#This Row],[ATUAL]])</f>
        <v>0</v>
      </c>
      <c r="AI84" s="101">
        <f>SUMIFS(tabela_registros[VALOR],tabela_registros[MÊS],$AE$1,tabela_registros[DIA],receitasfixasconsolidadomar[[#Headers],[31]],tabela_registros[REGISTRO],DADOS!$N$3,tabela_registros[TIPO],DADOS!$V$3,tabela_registros[CATEGORIA],receitasfixasconsolidadomar[[#This Row],[ATUAL]])</f>
        <v>0</v>
      </c>
      <c r="AJ84" s="97">
        <f>SUM(receitasfixasconsolidadomar[[#This Row],[1]:[31]])</f>
        <v>130</v>
      </c>
      <c r="AK84" s="25"/>
    </row>
    <row r="85" spans="2:37" ht="19.5" customHeight="1" thickTop="1" thickBot="1" x14ac:dyDescent="0.3">
      <c r="B85" s="28"/>
      <c r="C85" s="27" t="str">
        <f>DADOS!$X$6</f>
        <v>💰 SALÁRIO</v>
      </c>
      <c r="D85" s="26" t="str">
        <f>IF(receitasfixasconsolidadomar[[#This Row],[TOTAL (R$)]]=0,"",IF(OR(receitasfixasconsolidadomar[[#This Row],[TOTAL (R$)]]=LARGE($AJ$82:$AJ$86,1),receitasfixasconsolidadomar[[#This Row],[TOTAL (R$)]]=LARGE($AJ$82:$AJ$86,2)),DADOS!$I$9,""))</f>
        <v/>
      </c>
      <c r="E85" s="96">
        <f>SUMIFS(tabela_registros[VALOR],tabela_registros[MÊS],$AE$1,tabela_registros[DIA],receitasfixasconsolidadomar[[#Headers],[1]],tabela_registros[REGISTRO],DADOS!$N$3,tabela_registros[TIPO],DADOS!$V$3,tabela_registros[CATEGORIA],receitasfixasconsolidadomar[[#This Row],[ATUAL]])</f>
        <v>0</v>
      </c>
      <c r="F85" s="91">
        <f>SUMIFS(tabela_registros[VALOR],tabela_registros[MÊS],$AE$1,tabela_registros[DIA],receitasfixasconsolidadomar[[#Headers],[2]],tabela_registros[REGISTRO],DADOS!$N$3,tabela_registros[TIPO],DADOS!$V$3,tabela_registros[CATEGORIA],receitasfixasconsolidadomar[[#This Row],[ATUAL]])</f>
        <v>0</v>
      </c>
      <c r="G85" s="91">
        <f>SUMIFS(tabela_registros[VALOR],tabela_registros[MÊS],$AE$1,tabela_registros[DIA],receitasfixasconsolidadomar[[#Headers],[3]],tabela_registros[REGISTRO],DADOS!$N$3,tabela_registros[TIPO],DADOS!$V$3,tabela_registros[CATEGORIA],receitasfixasconsolidadomar[[#This Row],[ATUAL]])</f>
        <v>0</v>
      </c>
      <c r="H85" s="91">
        <f>SUMIFS(tabela_registros[VALOR],tabela_registros[MÊS],$AE$1,tabela_registros[DIA],receitasfixasconsolidadomar[[#Headers],[4]],tabela_registros[REGISTRO],DADOS!$N$3,tabela_registros[TIPO],DADOS!$V$3,tabela_registros[CATEGORIA],receitasfixasconsolidadomar[[#This Row],[ATUAL]])</f>
        <v>0</v>
      </c>
      <c r="I85" s="91">
        <f>SUMIFS(tabela_registros[VALOR],tabela_registros[MÊS],$AE$1,tabela_registros[DIA],receitasfixasconsolidadomar[[#Headers],[5]],tabela_registros[REGISTRO],DADOS!$N$3,tabela_registros[TIPO],DADOS!$V$3,tabela_registros[CATEGORIA],receitasfixasconsolidadomar[[#This Row],[ATUAL]])</f>
        <v>0</v>
      </c>
      <c r="J85" s="91">
        <f>SUMIFS(tabela_registros[VALOR],tabela_registros[MÊS],$AE$1,tabela_registros[DIA],receitasfixasconsolidadomar[[#Headers],[6]],tabela_registros[REGISTRO],DADOS!$N$3,tabela_registros[TIPO],DADOS!$V$3,tabela_registros[CATEGORIA],receitasfixasconsolidadomar[[#This Row],[ATUAL]])</f>
        <v>0</v>
      </c>
      <c r="K85" s="91">
        <f>SUMIFS(tabela_registros[VALOR],tabela_registros[MÊS],$AE$1,tabela_registros[DIA],receitasfixasconsolidadomar[[#Headers],[7]],tabela_registros[REGISTRO],DADOS!$N$3,tabela_registros[TIPO],DADOS!$V$3,tabela_registros[CATEGORIA],receitasfixasconsolidadomar[[#This Row],[ATUAL]])</f>
        <v>0</v>
      </c>
      <c r="L85" s="91">
        <f>SUMIFS(tabela_registros[VALOR],tabela_registros[MÊS],$AE$1,tabela_registros[DIA],receitasfixasconsolidadomar[[#Headers],[8]],tabela_registros[REGISTRO],DADOS!$N$3,tabela_registros[TIPO],DADOS!$V$3,tabela_registros[CATEGORIA],receitasfixasconsolidadomar[[#This Row],[ATUAL]])</f>
        <v>0</v>
      </c>
      <c r="M85" s="91">
        <f>SUMIFS(tabela_registros[VALOR],tabela_registros[MÊS],$AE$1,tabela_registros[DIA],receitasfixasconsolidadomar[[#Headers],[9]],tabela_registros[REGISTRO],DADOS!$N$3,tabela_registros[TIPO],DADOS!$V$3,tabela_registros[CATEGORIA],receitasfixasconsolidadomar[[#This Row],[ATUAL]])</f>
        <v>0</v>
      </c>
      <c r="N85" s="91">
        <f>SUMIFS(tabela_registros[VALOR],tabela_registros[MÊS],$AE$1,tabela_registros[DIA],receitasfixasconsolidadomar[[#Headers],[10]],tabela_registros[REGISTRO],DADOS!$N$3,tabela_registros[TIPO],DADOS!$V$3,tabela_registros[CATEGORIA],receitasfixasconsolidadomar[[#This Row],[ATUAL]])</f>
        <v>0</v>
      </c>
      <c r="O85" s="91">
        <f>SUMIFS(tabela_registros[VALOR],tabela_registros[MÊS],$AE$1,tabela_registros[DIA],receitasfixasconsolidadomar[[#Headers],[11]],tabela_registros[REGISTRO],DADOS!$N$3,tabela_registros[TIPO],DADOS!$V$3,tabela_registros[CATEGORIA],receitasfixasconsolidadomar[[#This Row],[ATUAL]])</f>
        <v>0</v>
      </c>
      <c r="P85" s="91">
        <f>SUMIFS(tabela_registros[VALOR],tabela_registros[MÊS],$AE$1,tabela_registros[DIA],receitasfixasconsolidadomar[[#Headers],[12]],tabela_registros[REGISTRO],DADOS!$N$3,tabela_registros[TIPO],DADOS!$V$3,tabela_registros[CATEGORIA],receitasfixasconsolidadomar[[#This Row],[ATUAL]])</f>
        <v>0</v>
      </c>
      <c r="Q85" s="91">
        <f>SUMIFS(tabela_registros[VALOR],tabela_registros[MÊS],$AE$1,tabela_registros[DIA],receitasfixasconsolidadomar[[#Headers],[13]],tabela_registros[REGISTRO],DADOS!$N$3,tabela_registros[TIPO],DADOS!$V$3,tabela_registros[CATEGORIA],receitasfixasconsolidadomar[[#This Row],[ATUAL]])</f>
        <v>0</v>
      </c>
      <c r="R85" s="91">
        <f>SUMIFS(tabela_registros[VALOR],tabela_registros[MÊS],$AE$1,tabela_registros[DIA],receitasfixasconsolidadomar[[#Headers],[14]],tabela_registros[REGISTRO],DADOS!$N$3,tabela_registros[TIPO],DADOS!$V$3,tabela_registros[CATEGORIA],receitasfixasconsolidadomar[[#This Row],[ATUAL]])</f>
        <v>0</v>
      </c>
      <c r="S85" s="91">
        <f>SUMIFS(tabela_registros[VALOR],tabela_registros[MÊS],$AE$1,tabela_registros[DIA],receitasfixasconsolidadomar[[#Headers],[15]],tabela_registros[REGISTRO],DADOS!$N$3,tabela_registros[TIPO],DADOS!$V$3,tabela_registros[CATEGORIA],receitasfixasconsolidadomar[[#This Row],[ATUAL]])</f>
        <v>0</v>
      </c>
      <c r="T85" s="91">
        <f>SUMIFS(tabela_registros[VALOR],tabela_registros[MÊS],$AE$1,tabela_registros[DIA],receitasfixasconsolidadomar[[#Headers],[16]],tabela_registros[REGISTRO],DADOS!$N$3,tabela_registros[TIPO],DADOS!$V$3,tabela_registros[CATEGORIA],receitasfixasconsolidadomar[[#This Row],[ATUAL]])</f>
        <v>0</v>
      </c>
      <c r="U85" s="91">
        <f>SUMIFS(tabela_registros[VALOR],tabela_registros[MÊS],$AE$1,tabela_registros[DIA],receitasfixasconsolidadomar[[#Headers],[17]],tabela_registros[REGISTRO],DADOS!$N$3,tabela_registros[TIPO],DADOS!$V$3,tabela_registros[CATEGORIA],receitasfixasconsolidadomar[[#This Row],[ATUAL]])</f>
        <v>0</v>
      </c>
      <c r="V85" s="91">
        <f>SUMIFS(tabela_registros[VALOR],tabela_registros[MÊS],$AE$1,tabela_registros[DIA],receitasfixasconsolidadomar[[#Headers],[18]],tabela_registros[REGISTRO],DADOS!$N$3,tabela_registros[TIPO],DADOS!$V$3,tabela_registros[CATEGORIA],receitasfixasconsolidadomar[[#This Row],[ATUAL]])</f>
        <v>0</v>
      </c>
      <c r="W85" s="91">
        <f>SUMIFS(tabela_registros[VALOR],tabela_registros[MÊS],$AE$1,tabela_registros[DIA],receitasfixasconsolidadomar[[#Headers],[19]],tabela_registros[REGISTRO],DADOS!$N$3,tabela_registros[TIPO],DADOS!$V$3,tabela_registros[CATEGORIA],receitasfixasconsolidadomar[[#This Row],[ATUAL]])</f>
        <v>0</v>
      </c>
      <c r="X85" s="91">
        <f>SUMIFS(tabela_registros[VALOR],tabela_registros[MÊS],$AE$1,tabela_registros[DIA],receitasfixasconsolidadomar[[#Headers],[20]],tabela_registros[REGISTRO],DADOS!$N$3,tabela_registros[TIPO],DADOS!$V$3,tabela_registros[CATEGORIA],receitasfixasconsolidadomar[[#This Row],[ATUAL]])</f>
        <v>0</v>
      </c>
      <c r="Y85" s="91">
        <f>SUMIFS(tabela_registros[VALOR],tabela_registros[MÊS],$AE$1,tabela_registros[DIA],receitasfixasconsolidadomar[[#Headers],[21]],tabela_registros[REGISTRO],DADOS!$N$3,tabela_registros[TIPO],DADOS!$V$3,tabela_registros[CATEGORIA],receitasfixasconsolidadomar[[#This Row],[ATUAL]])</f>
        <v>0</v>
      </c>
      <c r="Z85" s="91">
        <f>SUMIFS(tabela_registros[VALOR],tabela_registros[MÊS],$AE$1,tabela_registros[DIA],receitasfixasconsolidadomar[[#Headers],[22]],tabela_registros[REGISTRO],DADOS!$N$3,tabela_registros[TIPO],DADOS!$V$3,tabela_registros[CATEGORIA],receitasfixasconsolidadomar[[#This Row],[ATUAL]])</f>
        <v>0</v>
      </c>
      <c r="AA85" s="91">
        <f>SUMIFS(tabela_registros[VALOR],tabela_registros[MÊS],$AE$1,tabela_registros[DIA],receitasfixasconsolidadomar[[#Headers],[23]],tabela_registros[REGISTRO],DADOS!$N$3,tabela_registros[TIPO],DADOS!$V$3,tabela_registros[CATEGORIA],receitasfixasconsolidadomar[[#This Row],[ATUAL]])</f>
        <v>0</v>
      </c>
      <c r="AB85" s="91">
        <f>SUMIFS(tabela_registros[VALOR],tabela_registros[MÊS],$AE$1,tabela_registros[DIA],receitasfixasconsolidadomar[[#Headers],[24]],tabela_registros[REGISTRO],DADOS!$N$3,tabela_registros[TIPO],DADOS!$V$3,tabela_registros[CATEGORIA],receitasfixasconsolidadomar[[#This Row],[ATUAL]])</f>
        <v>0</v>
      </c>
      <c r="AC85" s="91">
        <f>SUMIFS(tabela_registros[VALOR],tabela_registros[MÊS],$AE$1,tabela_registros[DIA],receitasfixasconsolidadomar[[#Headers],[25]],tabela_registros[REGISTRO],DADOS!$N$3,tabela_registros[TIPO],DADOS!$V$3,tabela_registros[CATEGORIA],receitasfixasconsolidadomar[[#This Row],[ATUAL]])</f>
        <v>0</v>
      </c>
      <c r="AD85" s="91">
        <f>SUMIFS(tabela_registros[VALOR],tabela_registros[MÊS],$AE$1,tabela_registros[DIA],receitasfixasconsolidadomar[[#Headers],[26]],tabela_registros[REGISTRO],DADOS!$N$3,tabela_registros[TIPO],DADOS!$V$3,tabela_registros[CATEGORIA],receitasfixasconsolidadomar[[#This Row],[ATUAL]])</f>
        <v>0</v>
      </c>
      <c r="AE85" s="91">
        <f>SUMIFS(tabela_registros[VALOR],tabela_registros[MÊS],$AE$1,tabela_registros[DIA],receitasfixasconsolidadomar[[#Headers],[27]],tabela_registros[REGISTRO],DADOS!$N$3,tabela_registros[TIPO],DADOS!$V$3,tabela_registros[CATEGORIA],receitasfixasconsolidadomar[[#This Row],[ATUAL]])</f>
        <v>0</v>
      </c>
      <c r="AF85" s="91">
        <f>SUMIFS(tabela_registros[VALOR],tabela_registros[MÊS],$AE$1,tabela_registros[DIA],receitasfixasconsolidadomar[[#Headers],[28]],tabela_registros[REGISTRO],DADOS!$N$3,tabela_registros[TIPO],DADOS!$V$3,tabela_registros[CATEGORIA],receitasfixasconsolidadomar[[#This Row],[ATUAL]])</f>
        <v>0</v>
      </c>
      <c r="AG85" s="91">
        <f>SUMIFS(tabela_registros[VALOR],tabela_registros[MÊS],$AE$1,tabela_registros[DIA],receitasfixasconsolidadomar[[#Headers],[29]],tabela_registros[REGISTRO],DADOS!$N$3,tabela_registros[TIPO],DADOS!$V$3,tabela_registros[CATEGORIA],receitasfixasconsolidadomar[[#This Row],[ATUAL]])</f>
        <v>0</v>
      </c>
      <c r="AH85" s="91">
        <f>SUMIFS(tabela_registros[VALOR],tabela_registros[MÊS],$AE$1,tabela_registros[DIA],receitasfixasconsolidadomar[[#Headers],[30]],tabela_registros[REGISTRO],DADOS!$N$3,tabela_registros[TIPO],DADOS!$V$3,tabela_registros[CATEGORIA],receitasfixasconsolidadomar[[#This Row],[ATUAL]])</f>
        <v>0</v>
      </c>
      <c r="AI85" s="101">
        <f>SUMIFS(tabela_registros[VALOR],tabela_registros[MÊS],$AE$1,tabela_registros[DIA],receitasfixasconsolidadomar[[#Headers],[31]],tabela_registros[REGISTRO],DADOS!$N$3,tabela_registros[TIPO],DADOS!$V$3,tabela_registros[CATEGORIA],receitasfixasconsolidadomar[[#This Row],[ATUAL]])</f>
        <v>0</v>
      </c>
      <c r="AJ85" s="97">
        <f>SUM(receitasfixasconsolidadomar[[#This Row],[1]:[31]])</f>
        <v>0</v>
      </c>
      <c r="AK85" s="25"/>
    </row>
    <row r="86" spans="2:37" ht="18" customHeight="1" thickTop="1" thickBot="1" x14ac:dyDescent="0.3">
      <c r="B86" s="28"/>
      <c r="C86" s="27" t="str">
        <f>DADOS!$X$7</f>
        <v>📎 OUTROS</v>
      </c>
      <c r="D86" s="26" t="str">
        <f>IF(receitasfixasconsolidadomar[[#This Row],[TOTAL (R$)]]=0,"",IF(OR(receitasfixasconsolidadomar[[#This Row],[TOTAL (R$)]]=LARGE($AJ$82:$AJ$86,1),receitasfixasconsolidadomar[[#This Row],[TOTAL (R$)]]=LARGE($AJ$82:$AJ$86,2)),DADOS!$I$9,""))</f>
        <v>🐄</v>
      </c>
      <c r="E86" s="96">
        <f>SUMIFS(tabela_registros[VALOR],tabela_registros[MÊS],$AE$1,tabela_registros[DIA],receitasfixasconsolidadomar[[#Headers],[1]],tabela_registros[REGISTRO],DADOS!$N$3,tabela_registros[TIPO],DADOS!$V$3,tabela_registros[CATEGORIA],receitasfixasconsolidadomar[[#This Row],[ATUAL]])</f>
        <v>0</v>
      </c>
      <c r="F86" s="91">
        <f>SUMIFS(tabela_registros[VALOR],tabela_registros[MÊS],$AE$1,tabela_registros[DIA],receitasfixasconsolidadomar[[#Headers],[2]],tabela_registros[REGISTRO],DADOS!$N$3,tabela_registros[TIPO],DADOS!$V$3,tabela_registros[CATEGORIA],receitasfixasconsolidadomar[[#This Row],[ATUAL]])</f>
        <v>0</v>
      </c>
      <c r="G86" s="91">
        <f>SUMIFS(tabela_registros[VALOR],tabela_registros[MÊS],$AE$1,tabela_registros[DIA],receitasfixasconsolidadomar[[#Headers],[3]],tabela_registros[REGISTRO],DADOS!$N$3,tabela_registros[TIPO],DADOS!$V$3,tabela_registros[CATEGORIA],receitasfixasconsolidadomar[[#This Row],[ATUAL]])</f>
        <v>0</v>
      </c>
      <c r="H86" s="91">
        <f>SUMIFS(tabela_registros[VALOR],tabela_registros[MÊS],$AE$1,tabela_registros[DIA],receitasfixasconsolidadomar[[#Headers],[4]],tabela_registros[REGISTRO],DADOS!$N$3,tabela_registros[TIPO],DADOS!$V$3,tabela_registros[CATEGORIA],receitasfixasconsolidadomar[[#This Row],[ATUAL]])</f>
        <v>0</v>
      </c>
      <c r="I86" s="91">
        <f>SUMIFS(tabela_registros[VALOR],tabela_registros[MÊS],$AE$1,tabela_registros[DIA],receitasfixasconsolidadomar[[#Headers],[5]],tabela_registros[REGISTRO],DADOS!$N$3,tabela_registros[TIPO],DADOS!$V$3,tabela_registros[CATEGORIA],receitasfixasconsolidadomar[[#This Row],[ATUAL]])</f>
        <v>0</v>
      </c>
      <c r="J86" s="91">
        <f>SUMIFS(tabela_registros[VALOR],tabela_registros[MÊS],$AE$1,tabela_registros[DIA],receitasfixasconsolidadomar[[#Headers],[6]],tabela_registros[REGISTRO],DADOS!$N$3,tabela_registros[TIPO],DADOS!$V$3,tabela_registros[CATEGORIA],receitasfixasconsolidadomar[[#This Row],[ATUAL]])</f>
        <v>0</v>
      </c>
      <c r="K86" s="91">
        <f>SUMIFS(tabela_registros[VALOR],tabela_registros[MÊS],$AE$1,tabela_registros[DIA],receitasfixasconsolidadomar[[#Headers],[7]],tabela_registros[REGISTRO],DADOS!$N$3,tabela_registros[TIPO],DADOS!$V$3,tabela_registros[CATEGORIA],receitasfixasconsolidadomar[[#This Row],[ATUAL]])</f>
        <v>0</v>
      </c>
      <c r="L86" s="91">
        <f>SUMIFS(tabela_registros[VALOR],tabela_registros[MÊS],$AE$1,tabela_registros[DIA],receitasfixasconsolidadomar[[#Headers],[8]],tabela_registros[REGISTRO],DADOS!$N$3,tabela_registros[TIPO],DADOS!$V$3,tabela_registros[CATEGORIA],receitasfixasconsolidadomar[[#This Row],[ATUAL]])</f>
        <v>0</v>
      </c>
      <c r="M86" s="91">
        <f>SUMIFS(tabela_registros[VALOR],tabela_registros[MÊS],$AE$1,tabela_registros[DIA],receitasfixasconsolidadomar[[#Headers],[9]],tabela_registros[REGISTRO],DADOS!$N$3,tabela_registros[TIPO],DADOS!$V$3,tabela_registros[CATEGORIA],receitasfixasconsolidadomar[[#This Row],[ATUAL]])</f>
        <v>0</v>
      </c>
      <c r="N86" s="91">
        <f>SUMIFS(tabela_registros[VALOR],tabela_registros[MÊS],$AE$1,tabela_registros[DIA],receitasfixasconsolidadomar[[#Headers],[10]],tabela_registros[REGISTRO],DADOS!$N$3,tabela_registros[TIPO],DADOS!$V$3,tabela_registros[CATEGORIA],receitasfixasconsolidadomar[[#This Row],[ATUAL]])</f>
        <v>0</v>
      </c>
      <c r="O86" s="91">
        <f>SUMIFS(tabela_registros[VALOR],tabela_registros[MÊS],$AE$1,tabela_registros[DIA],receitasfixasconsolidadomar[[#Headers],[11]],tabela_registros[REGISTRO],DADOS!$N$3,tabela_registros[TIPO],DADOS!$V$3,tabela_registros[CATEGORIA],receitasfixasconsolidadomar[[#This Row],[ATUAL]])</f>
        <v>0</v>
      </c>
      <c r="P86" s="91">
        <f>SUMIFS(tabela_registros[VALOR],tabela_registros[MÊS],$AE$1,tabela_registros[DIA],receitasfixasconsolidadomar[[#Headers],[12]],tabela_registros[REGISTRO],DADOS!$N$3,tabela_registros[TIPO],DADOS!$V$3,tabela_registros[CATEGORIA],receitasfixasconsolidadomar[[#This Row],[ATUAL]])</f>
        <v>0</v>
      </c>
      <c r="Q86" s="91">
        <f>SUMIFS(tabela_registros[VALOR],tabela_registros[MÊS],$AE$1,tabela_registros[DIA],receitasfixasconsolidadomar[[#Headers],[13]],tabela_registros[REGISTRO],DADOS!$N$3,tabela_registros[TIPO],DADOS!$V$3,tabela_registros[CATEGORIA],receitasfixasconsolidadomar[[#This Row],[ATUAL]])</f>
        <v>0</v>
      </c>
      <c r="R86" s="91">
        <f>SUMIFS(tabela_registros[VALOR],tabela_registros[MÊS],$AE$1,tabela_registros[DIA],receitasfixasconsolidadomar[[#Headers],[14]],tabela_registros[REGISTRO],DADOS!$N$3,tabela_registros[TIPO],DADOS!$V$3,tabela_registros[CATEGORIA],receitasfixasconsolidadomar[[#This Row],[ATUAL]])</f>
        <v>0</v>
      </c>
      <c r="S86" s="91">
        <f>SUMIFS(tabela_registros[VALOR],tabela_registros[MÊS],$AE$1,tabela_registros[DIA],receitasfixasconsolidadomar[[#Headers],[15]],tabela_registros[REGISTRO],DADOS!$N$3,tabela_registros[TIPO],DADOS!$V$3,tabela_registros[CATEGORIA],receitasfixasconsolidadomar[[#This Row],[ATUAL]])</f>
        <v>0</v>
      </c>
      <c r="T86" s="91">
        <f>SUMIFS(tabela_registros[VALOR],tabela_registros[MÊS],$AE$1,tabela_registros[DIA],receitasfixasconsolidadomar[[#Headers],[16]],tabela_registros[REGISTRO],DADOS!$N$3,tabela_registros[TIPO],DADOS!$V$3,tabela_registros[CATEGORIA],receitasfixasconsolidadomar[[#This Row],[ATUAL]])</f>
        <v>0</v>
      </c>
      <c r="U86" s="91">
        <f>SUMIFS(tabela_registros[VALOR],tabela_registros[MÊS],$AE$1,tabela_registros[DIA],receitasfixasconsolidadomar[[#Headers],[17]],tabela_registros[REGISTRO],DADOS!$N$3,tabela_registros[TIPO],DADOS!$V$3,tabela_registros[CATEGORIA],receitasfixasconsolidadomar[[#This Row],[ATUAL]])</f>
        <v>0</v>
      </c>
      <c r="V86" s="91">
        <f>SUMIFS(tabela_registros[VALOR],tabela_registros[MÊS],$AE$1,tabela_registros[DIA],receitasfixasconsolidadomar[[#Headers],[18]],tabela_registros[REGISTRO],DADOS!$N$3,tabela_registros[TIPO],DADOS!$V$3,tabela_registros[CATEGORIA],receitasfixasconsolidadomar[[#This Row],[ATUAL]])</f>
        <v>202</v>
      </c>
      <c r="W86" s="91">
        <f>SUMIFS(tabela_registros[VALOR],tabela_registros[MÊS],$AE$1,tabela_registros[DIA],receitasfixasconsolidadomar[[#Headers],[19]],tabela_registros[REGISTRO],DADOS!$N$3,tabela_registros[TIPO],DADOS!$V$3,tabela_registros[CATEGORIA],receitasfixasconsolidadomar[[#This Row],[ATUAL]])</f>
        <v>0</v>
      </c>
      <c r="X86" s="91">
        <f>SUMIFS(tabela_registros[VALOR],tabela_registros[MÊS],$AE$1,tabela_registros[DIA],receitasfixasconsolidadomar[[#Headers],[20]],tabela_registros[REGISTRO],DADOS!$N$3,tabela_registros[TIPO],DADOS!$V$3,tabela_registros[CATEGORIA],receitasfixasconsolidadomar[[#This Row],[ATUAL]])</f>
        <v>0</v>
      </c>
      <c r="Y86" s="91">
        <f>SUMIFS(tabela_registros[VALOR],tabela_registros[MÊS],$AE$1,tabela_registros[DIA],receitasfixasconsolidadomar[[#Headers],[21]],tabela_registros[REGISTRO],DADOS!$N$3,tabela_registros[TIPO],DADOS!$V$3,tabela_registros[CATEGORIA],receitasfixasconsolidadomar[[#This Row],[ATUAL]])</f>
        <v>0</v>
      </c>
      <c r="Z86" s="91">
        <f>SUMIFS(tabela_registros[VALOR],tabela_registros[MÊS],$AE$1,tabela_registros[DIA],receitasfixasconsolidadomar[[#Headers],[22]],tabela_registros[REGISTRO],DADOS!$N$3,tabela_registros[TIPO],DADOS!$V$3,tabela_registros[CATEGORIA],receitasfixasconsolidadomar[[#This Row],[ATUAL]])</f>
        <v>0</v>
      </c>
      <c r="AA86" s="91">
        <f>SUMIFS(tabela_registros[VALOR],tabela_registros[MÊS],$AE$1,tabela_registros[DIA],receitasfixasconsolidadomar[[#Headers],[23]],tabela_registros[REGISTRO],DADOS!$N$3,tabela_registros[TIPO],DADOS!$V$3,tabela_registros[CATEGORIA],receitasfixasconsolidadomar[[#This Row],[ATUAL]])</f>
        <v>0</v>
      </c>
      <c r="AB86" s="91">
        <f>SUMIFS(tabela_registros[VALOR],tabela_registros[MÊS],$AE$1,tabela_registros[DIA],receitasfixasconsolidadomar[[#Headers],[24]],tabela_registros[REGISTRO],DADOS!$N$3,tabela_registros[TIPO],DADOS!$V$3,tabela_registros[CATEGORIA],receitasfixasconsolidadomar[[#This Row],[ATUAL]])</f>
        <v>0</v>
      </c>
      <c r="AC86" s="91">
        <f>SUMIFS(tabela_registros[VALOR],tabela_registros[MÊS],$AE$1,tabela_registros[DIA],receitasfixasconsolidadomar[[#Headers],[25]],tabela_registros[REGISTRO],DADOS!$N$3,tabela_registros[TIPO],DADOS!$V$3,tabela_registros[CATEGORIA],receitasfixasconsolidadomar[[#This Row],[ATUAL]])</f>
        <v>0</v>
      </c>
      <c r="AD86" s="91">
        <f>SUMIFS(tabela_registros[VALOR],tabela_registros[MÊS],$AE$1,tabela_registros[DIA],receitasfixasconsolidadomar[[#Headers],[26]],tabela_registros[REGISTRO],DADOS!$N$3,tabela_registros[TIPO],DADOS!$V$3,tabela_registros[CATEGORIA],receitasfixasconsolidadomar[[#This Row],[ATUAL]])</f>
        <v>0</v>
      </c>
      <c r="AE86" s="91">
        <f>SUMIFS(tabela_registros[VALOR],tabela_registros[MÊS],$AE$1,tabela_registros[DIA],receitasfixasconsolidadomar[[#Headers],[27]],tabela_registros[REGISTRO],DADOS!$N$3,tabela_registros[TIPO],DADOS!$V$3,tabela_registros[CATEGORIA],receitasfixasconsolidadomar[[#This Row],[ATUAL]])</f>
        <v>0</v>
      </c>
      <c r="AF86" s="91">
        <f>SUMIFS(tabela_registros[VALOR],tabela_registros[MÊS],$AE$1,tabela_registros[DIA],receitasfixasconsolidadomar[[#Headers],[28]],tabela_registros[REGISTRO],DADOS!$N$3,tabela_registros[TIPO],DADOS!$V$3,tabela_registros[CATEGORIA],receitasfixasconsolidadomar[[#This Row],[ATUAL]])</f>
        <v>0</v>
      </c>
      <c r="AG86" s="91">
        <f>SUMIFS(tabela_registros[VALOR],tabela_registros[MÊS],$AE$1,tabela_registros[DIA],receitasfixasconsolidadomar[[#Headers],[29]],tabela_registros[REGISTRO],DADOS!$N$3,tabela_registros[TIPO],DADOS!$V$3,tabela_registros[CATEGORIA],receitasfixasconsolidadomar[[#This Row],[ATUAL]])</f>
        <v>0</v>
      </c>
      <c r="AH86" s="91">
        <f>SUMIFS(tabela_registros[VALOR],tabela_registros[MÊS],$AE$1,tabela_registros[DIA],receitasfixasconsolidadomar[[#Headers],[30]],tabela_registros[REGISTRO],DADOS!$N$3,tabela_registros[TIPO],DADOS!$V$3,tabela_registros[CATEGORIA],receitasfixasconsolidadomar[[#This Row],[ATUAL]])</f>
        <v>0</v>
      </c>
      <c r="AI86" s="102">
        <f>SUMIFS(tabela_registros[VALOR],tabela_registros[MÊS],$AE$1,tabela_registros[DIA],receitasfixasconsolidadomar[[#Headers],[31]],tabela_registros[REGISTRO],DADOS!$N$3,tabela_registros[TIPO],DADOS!$V$3,tabela_registros[CATEGORIA],receitasfixasconsolidadomar[[#This Row],[ATUAL]])</f>
        <v>0</v>
      </c>
      <c r="AJ86" s="97">
        <f>SUM(receitasfixasconsolidadomar[[#This Row],[1]:[31]])</f>
        <v>202</v>
      </c>
      <c r="AK86" s="25"/>
    </row>
    <row r="87" spans="2:37" s="16" customFormat="1" ht="21" customHeight="1" thickTop="1" thickBot="1" x14ac:dyDescent="0.35">
      <c r="B87" s="24"/>
      <c r="C87" s="23" t="s">
        <v>19</v>
      </c>
      <c r="D87" s="22"/>
      <c r="E87" s="21">
        <f>SUM(E82:E86)</f>
        <v>50</v>
      </c>
      <c r="F87" s="20">
        <f>SUM(F82:F86)+receitasfixasconsolidadomar[[#This Row],[1]]</f>
        <v>50</v>
      </c>
      <c r="G87" s="20">
        <f>SUM(G82:G86)+receitasfixasconsolidadomar[[#This Row],[2]]</f>
        <v>50</v>
      </c>
      <c r="H87" s="20">
        <f>SUM(H82:H86)+receitasfixasconsolidadomar[[#This Row],[3]]</f>
        <v>50</v>
      </c>
      <c r="I87" s="20">
        <f>SUM(I82:I86)+receitasfixasconsolidadomar[[#This Row],[4]]</f>
        <v>50</v>
      </c>
      <c r="J87" s="20">
        <f>SUM(J82:J86)+receitasfixasconsolidadomar[[#This Row],[5]]</f>
        <v>50</v>
      </c>
      <c r="K87" s="20">
        <f>SUM(K82:K86)+receitasfixasconsolidadomar[[#This Row],[6]]</f>
        <v>50</v>
      </c>
      <c r="L87" s="20">
        <f>SUM(L82:L86)+receitasfixasconsolidadomar[[#This Row],[7]]</f>
        <v>50</v>
      </c>
      <c r="M87" s="20">
        <f>SUM(M82:M86)+receitasfixasconsolidadomar[[#This Row],[8]]</f>
        <v>50</v>
      </c>
      <c r="N87" s="20">
        <f>SUM(N82:N86)+receitasfixasconsolidadomar[[#This Row],[9]]</f>
        <v>50</v>
      </c>
      <c r="O87" s="20">
        <f>SUM(O82:O86)+receitasfixasconsolidadomar[[#This Row],[10]]</f>
        <v>50</v>
      </c>
      <c r="P87" s="20">
        <f>SUM(P82:P86)+receitasfixasconsolidadomar[[#This Row],[11]]</f>
        <v>50</v>
      </c>
      <c r="Q87" s="20">
        <f>SUM(Q82:Q86)+receitasfixasconsolidadomar[[#This Row],[12]]</f>
        <v>50</v>
      </c>
      <c r="R87" s="20">
        <f>SUM(R82:R86)+receitasfixasconsolidadomar[[#This Row],[13]]</f>
        <v>50</v>
      </c>
      <c r="S87" s="20">
        <f>SUM(S82:S86)+receitasfixasconsolidadomar[[#This Row],[14]]</f>
        <v>50</v>
      </c>
      <c r="T87" s="20">
        <f>SUM(T82:T86)+receitasfixasconsolidadomar[[#This Row],[15]]</f>
        <v>130</v>
      </c>
      <c r="U87" s="20">
        <f>SUM(U82:U86)+receitasfixasconsolidadomar[[#This Row],[16]]</f>
        <v>222</v>
      </c>
      <c r="V87" s="20">
        <f>SUM(V82:V86)+receitasfixasconsolidadomar[[#This Row],[17]]</f>
        <v>424</v>
      </c>
      <c r="W87" s="20">
        <f>SUM(W82:W86)+receitasfixasconsolidadomar[[#This Row],[18]]</f>
        <v>424</v>
      </c>
      <c r="X87" s="20">
        <f>SUM(X82:X86)+receitasfixasconsolidadomar[[#This Row],[19]]</f>
        <v>424</v>
      </c>
      <c r="Y87" s="20">
        <f>SUM(Y82:Y86)+receitasfixasconsolidadomar[[#This Row],[20]]</f>
        <v>424</v>
      </c>
      <c r="Z87" s="20">
        <f>SUM(Z82:Z86)+receitasfixasconsolidadomar[[#This Row],[21]]</f>
        <v>424</v>
      </c>
      <c r="AA87" s="20">
        <f>SUM(AA82:AA86)+receitasfixasconsolidadomar[[#This Row],[22]]</f>
        <v>424</v>
      </c>
      <c r="AB87" s="20">
        <f>SUM(AB82:AB86)+receitasfixasconsolidadomar[[#This Row],[23]]</f>
        <v>424</v>
      </c>
      <c r="AC87" s="20">
        <f>SUM(AC82:AC86)+receitasfixasconsolidadomar[[#This Row],[24]]</f>
        <v>424</v>
      </c>
      <c r="AD87" s="20">
        <f>SUM(AD82:AD86)+receitasfixasconsolidadomar[[#This Row],[25]]</f>
        <v>424</v>
      </c>
      <c r="AE87" s="20">
        <f>SUM(AE82:AE86)+receitasfixasconsolidadomar[[#This Row],[26]]</f>
        <v>424</v>
      </c>
      <c r="AF87" s="20">
        <f>SUM(AF82:AF86)+receitasfixasconsolidadomar[[#This Row],[27]]</f>
        <v>424</v>
      </c>
      <c r="AG87" s="20">
        <f>SUM(AG82:AG86)+receitasfixasconsolidadomar[[#This Row],[28]]</f>
        <v>424</v>
      </c>
      <c r="AH87" s="20">
        <f>SUM(AH82:AH86)+receitasfixasconsolidadomar[[#This Row],[29]]</f>
        <v>424</v>
      </c>
      <c r="AI87" s="19">
        <f>SUM(AI82:AI86)+receitasfixasconsolidadomar[[#This Row],[30]]</f>
        <v>424</v>
      </c>
      <c r="AJ87" s="18">
        <f>receitasfixasconsolidadomar[[#This Row],[31]]</f>
        <v>424</v>
      </c>
      <c r="AK87" s="17"/>
    </row>
    <row r="88" spans="2:37" ht="6.75" customHeight="1" thickTop="1" thickBot="1" x14ac:dyDescent="0.3">
      <c r="B88" s="15"/>
      <c r="C88" s="14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2"/>
      <c r="AJ88" s="11"/>
      <c r="AK88" s="10"/>
    </row>
    <row r="89" spans="2:37" ht="12.6" thickTop="1" x14ac:dyDescent="0.25">
      <c r="E89" s="37"/>
      <c r="AI89" s="4"/>
    </row>
    <row r="90" spans="2:37" x14ac:dyDescent="0.25">
      <c r="AI90" s="4"/>
    </row>
    <row r="91" spans="2:37" x14ac:dyDescent="0.25">
      <c r="AI91" s="4"/>
    </row>
    <row r="92" spans="2:37" ht="39.75" customHeight="1" x14ac:dyDescent="0.7">
      <c r="C92" s="36"/>
      <c r="E92" s="240"/>
      <c r="F92" s="240"/>
      <c r="G92" s="240"/>
      <c r="H92" s="240"/>
      <c r="I92" s="240"/>
      <c r="J92" s="240"/>
      <c r="K92" s="240"/>
      <c r="L92" s="240"/>
      <c r="M92" s="240"/>
      <c r="N92" s="240"/>
      <c r="O92" s="240"/>
      <c r="P92" s="240"/>
      <c r="Q92" s="240"/>
      <c r="R92" s="240"/>
      <c r="S92" s="240"/>
      <c r="T92" s="240"/>
      <c r="U92" s="240"/>
      <c r="V92" s="240"/>
      <c r="W92" s="240"/>
      <c r="X92" s="240"/>
      <c r="Y92" s="240"/>
      <c r="Z92" s="240"/>
      <c r="AA92" s="240"/>
      <c r="AB92" s="240"/>
      <c r="AC92" s="240"/>
      <c r="AD92" s="240"/>
      <c r="AE92" s="240"/>
      <c r="AF92" s="240"/>
      <c r="AG92" s="240"/>
      <c r="AH92" s="240"/>
      <c r="AI92" s="240"/>
      <c r="AJ92" s="32" t="s">
        <v>19</v>
      </c>
    </row>
    <row r="93" spans="2:37" ht="12.6" thickBot="1" x14ac:dyDescent="0.3">
      <c r="B93" s="35"/>
      <c r="AI93" s="4"/>
      <c r="AJ93" s="34" t="s">
        <v>202</v>
      </c>
    </row>
    <row r="94" spans="2:37" ht="6.75" customHeight="1" thickTop="1" thickBot="1" x14ac:dyDescent="0.3">
      <c r="B94" s="2"/>
      <c r="C94" s="14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2"/>
      <c r="AK94" s="33"/>
    </row>
    <row r="95" spans="2:37" ht="13.2" hidden="1" thickTop="1" thickBot="1" x14ac:dyDescent="0.3">
      <c r="B95" s="2"/>
      <c r="C95" s="31" t="s">
        <v>199</v>
      </c>
      <c r="D95" s="30" t="s">
        <v>198</v>
      </c>
      <c r="E95" s="30" t="s">
        <v>197</v>
      </c>
      <c r="F95" s="30" t="s">
        <v>196</v>
      </c>
      <c r="G95" s="30" t="s">
        <v>195</v>
      </c>
      <c r="H95" s="30" t="s">
        <v>194</v>
      </c>
      <c r="I95" s="30" t="s">
        <v>193</v>
      </c>
      <c r="J95" s="30" t="s">
        <v>192</v>
      </c>
      <c r="K95" s="30" t="s">
        <v>191</v>
      </c>
      <c r="L95" s="30" t="s">
        <v>190</v>
      </c>
      <c r="M95" s="30" t="s">
        <v>189</v>
      </c>
      <c r="N95" s="30" t="s">
        <v>188</v>
      </c>
      <c r="O95" s="30" t="s">
        <v>187</v>
      </c>
      <c r="P95" s="30" t="s">
        <v>186</v>
      </c>
      <c r="Q95" s="30" t="s">
        <v>185</v>
      </c>
      <c r="R95" s="30" t="s">
        <v>184</v>
      </c>
      <c r="S95" s="30" t="s">
        <v>183</v>
      </c>
      <c r="T95" s="30" t="s">
        <v>182</v>
      </c>
      <c r="U95" s="30" t="s">
        <v>181</v>
      </c>
      <c r="V95" s="30" t="s">
        <v>180</v>
      </c>
      <c r="W95" s="30" t="s">
        <v>179</v>
      </c>
      <c r="X95" s="30" t="s">
        <v>178</v>
      </c>
      <c r="Y95" s="30" t="s">
        <v>177</v>
      </c>
      <c r="Z95" s="30" t="s">
        <v>176</v>
      </c>
      <c r="AA95" s="30" t="s">
        <v>175</v>
      </c>
      <c r="AB95" s="30" t="s">
        <v>174</v>
      </c>
      <c r="AC95" s="30" t="s">
        <v>173</v>
      </c>
      <c r="AD95" s="30" t="s">
        <v>172</v>
      </c>
      <c r="AE95" s="30" t="s">
        <v>171</v>
      </c>
      <c r="AF95" s="30" t="s">
        <v>170</v>
      </c>
      <c r="AG95" s="30" t="s">
        <v>169</v>
      </c>
      <c r="AH95" s="30" t="s">
        <v>168</v>
      </c>
      <c r="AI95" s="30" t="s">
        <v>167</v>
      </c>
      <c r="AJ95" s="29" t="s">
        <v>166</v>
      </c>
      <c r="AK95" s="2"/>
    </row>
    <row r="96" spans="2:37" ht="19.5" customHeight="1" thickTop="1" thickBot="1" x14ac:dyDescent="0.3">
      <c r="B96" s="28"/>
      <c r="C96" s="27" t="str">
        <f>DADOS!$Z$3</f>
        <v>🏅 BÔNUS</v>
      </c>
      <c r="D96" s="26" t="str">
        <f>IF(receitasvariáveisconsolidadomar[[#This Row],[TOTAL (R$)]]=0,"",IF(OR(receitasvariáveisconsolidadomar[[#This Row],[TOTAL (R$)]]=LARGE($AJ$96:$AJ$103,1),receitasvariáveisconsolidadomar[[#This Row],[TOTAL (R$)]]=LARGE($AJ$96:$AJ$103,2)),DADOS!$I$9,""))</f>
        <v/>
      </c>
      <c r="E96" s="96">
        <f>SUMIFS(tabela_registros[VALOR],tabela_registros[MÊS],$AE$1,tabela_registros[DIA],receitasvariáveisconsolidadomar[[#Headers],[1]],tabela_registros[REGISTRO],DADOS!$N$3,tabela_registros[TIPO],DADOS!$V$4,tabela_registros[CATEGORIA],receitasvariáveisconsolidadomar[[#This Row],[ATUAL]])</f>
        <v>0</v>
      </c>
      <c r="F96" s="91">
        <f>SUMIFS(tabela_registros[VALOR],tabela_registros[MÊS],$AE$1,tabela_registros[DIA],receitasvariáveisconsolidadomar[[#Headers],[2]],tabela_registros[REGISTRO],DADOS!$N$3,tabela_registros[TIPO],DADOS!$V$4,tabela_registros[CATEGORIA],receitasvariáveisconsolidadomar[[#This Row],[ATUAL]])</f>
        <v>0</v>
      </c>
      <c r="G96" s="91">
        <f>SUMIFS(tabela_registros[VALOR],tabela_registros[MÊS],$AE$1,tabela_registros[DIA],receitasvariáveisconsolidadomar[[#Headers],[3]],tabela_registros[REGISTRO],DADOS!$N$3,tabela_registros[TIPO],DADOS!$V$4,tabela_registros[CATEGORIA],receitasvariáveisconsolidadomar[[#This Row],[ATUAL]])</f>
        <v>0</v>
      </c>
      <c r="H96" s="91">
        <f>SUMIFS(tabela_registros[VALOR],tabela_registros[MÊS],$AE$1,tabela_registros[DIA],receitasvariáveisconsolidadomar[[#Headers],[4]],tabela_registros[REGISTRO],DADOS!$N$3,tabela_registros[TIPO],DADOS!$V$4,tabela_registros[CATEGORIA],receitasvariáveisconsolidadomar[[#This Row],[ATUAL]])</f>
        <v>0</v>
      </c>
      <c r="I96" s="91">
        <f>SUMIFS(tabela_registros[VALOR],tabela_registros[MÊS],$AE$1,tabela_registros[DIA],receitasvariáveisconsolidadomar[[#Headers],[5]],tabela_registros[REGISTRO],DADOS!$N$3,tabela_registros[TIPO],DADOS!$V$4,tabela_registros[CATEGORIA],receitasvariáveisconsolidadomar[[#This Row],[ATUAL]])</f>
        <v>0</v>
      </c>
      <c r="J96" s="91">
        <f>SUMIFS(tabela_registros[VALOR],tabela_registros[MÊS],$AE$1,tabela_registros[DIA],receitasvariáveisconsolidadomar[[#Headers],[6]],tabela_registros[REGISTRO],DADOS!$N$3,tabela_registros[TIPO],DADOS!$V$4,tabela_registros[CATEGORIA],receitasvariáveisconsolidadomar[[#This Row],[ATUAL]])</f>
        <v>0</v>
      </c>
      <c r="K96" s="91">
        <f>SUMIFS(tabela_registros[VALOR],tabela_registros[MÊS],$AE$1,tabela_registros[DIA],receitasvariáveisconsolidadomar[[#Headers],[7]],tabela_registros[REGISTRO],DADOS!$N$3,tabela_registros[TIPO],DADOS!$V$4,tabela_registros[CATEGORIA],receitasvariáveisconsolidadomar[[#This Row],[ATUAL]])</f>
        <v>0</v>
      </c>
      <c r="L96" s="91">
        <f>SUMIFS(tabela_registros[VALOR],tabela_registros[MÊS],$AE$1,tabela_registros[DIA],receitasvariáveisconsolidadomar[[#Headers],[8]],tabela_registros[REGISTRO],DADOS!$N$3,tabela_registros[TIPO],DADOS!$V$4,tabela_registros[CATEGORIA],receitasvariáveisconsolidadomar[[#This Row],[ATUAL]])</f>
        <v>0</v>
      </c>
      <c r="M96" s="91">
        <f>SUMIFS(tabela_registros[VALOR],tabela_registros[MÊS],$AE$1,tabela_registros[DIA],receitasvariáveisconsolidadomar[[#Headers],[9]],tabela_registros[REGISTRO],DADOS!$N$3,tabela_registros[TIPO],DADOS!$V$4,tabela_registros[CATEGORIA],receitasvariáveisconsolidadomar[[#This Row],[ATUAL]])</f>
        <v>0</v>
      </c>
      <c r="N96" s="91">
        <f>SUMIFS(tabela_registros[VALOR],tabela_registros[MÊS],$AE$1,tabela_registros[DIA],receitasvariáveisconsolidadomar[[#Headers],[10]],tabela_registros[REGISTRO],DADOS!$N$3,tabela_registros[TIPO],DADOS!$V$4,tabela_registros[CATEGORIA],receitasvariáveisconsolidadomar[[#This Row],[ATUAL]])</f>
        <v>0</v>
      </c>
      <c r="O96" s="91">
        <f>SUMIFS(tabela_registros[VALOR],tabela_registros[MÊS],$AE$1,tabela_registros[DIA],receitasvariáveisconsolidadomar[[#Headers],[11]],tabela_registros[REGISTRO],DADOS!$N$3,tabela_registros[TIPO],DADOS!$V$4,tabela_registros[CATEGORIA],receitasvariáveisconsolidadomar[[#This Row],[ATUAL]])</f>
        <v>0</v>
      </c>
      <c r="P96" s="91">
        <f>SUMIFS(tabela_registros[VALOR],tabela_registros[MÊS],$AE$1,tabela_registros[DIA],receitasvariáveisconsolidadomar[[#Headers],[12]],tabela_registros[REGISTRO],DADOS!$N$3,tabela_registros[TIPO],DADOS!$V$4,tabela_registros[CATEGORIA],receitasvariáveisconsolidadomar[[#This Row],[ATUAL]])</f>
        <v>0</v>
      </c>
      <c r="Q96" s="91">
        <f>SUMIFS(tabela_registros[VALOR],tabela_registros[MÊS],$AE$1,tabela_registros[DIA],receitasvariáveisconsolidadomar[[#Headers],[13]],tabela_registros[REGISTRO],DADOS!$N$3,tabela_registros[TIPO],DADOS!$V$4,tabela_registros[CATEGORIA],receitasvariáveisconsolidadomar[[#This Row],[ATUAL]])</f>
        <v>0</v>
      </c>
      <c r="R96" s="91">
        <f>SUMIFS(tabela_registros[VALOR],tabela_registros[MÊS],$AE$1,tabela_registros[DIA],receitasvariáveisconsolidadomar[[#Headers],[14]],tabela_registros[REGISTRO],DADOS!$N$3,tabela_registros[TIPO],DADOS!$V$4,tabela_registros[CATEGORIA],receitasvariáveisconsolidadomar[[#This Row],[ATUAL]])</f>
        <v>0</v>
      </c>
      <c r="S96" s="91">
        <f>SUMIFS(tabela_registros[VALOR],tabela_registros[MÊS],$AE$1,tabela_registros[DIA],receitasvariáveisconsolidadomar[[#Headers],[15]],tabela_registros[REGISTRO],DADOS!$N$3,tabela_registros[TIPO],DADOS!$V$4,tabela_registros[CATEGORIA],receitasvariáveisconsolidadomar[[#This Row],[ATUAL]])</f>
        <v>0</v>
      </c>
      <c r="T96" s="91">
        <f>SUMIFS(tabela_registros[VALOR],tabela_registros[MÊS],$AE$1,tabela_registros[DIA],receitasvariáveisconsolidadomar[[#Headers],[16]],tabela_registros[REGISTRO],DADOS!$N$3,tabela_registros[TIPO],DADOS!$V$4,tabela_registros[CATEGORIA],receitasvariáveisconsolidadomar[[#This Row],[ATUAL]])</f>
        <v>0</v>
      </c>
      <c r="U96" s="91">
        <f>SUMIFS(tabela_registros[VALOR],tabela_registros[MÊS],$AE$1,tabela_registros[DIA],receitasvariáveisconsolidadomar[[#Headers],[17]],tabela_registros[REGISTRO],DADOS!$N$3,tabela_registros[TIPO],DADOS!$V$4,tabela_registros[CATEGORIA],receitasvariáveisconsolidadomar[[#This Row],[ATUAL]])</f>
        <v>0</v>
      </c>
      <c r="V96" s="91">
        <f>SUMIFS(tabela_registros[VALOR],tabela_registros[MÊS],$AE$1,tabela_registros[DIA],receitasvariáveisconsolidadomar[[#Headers],[18]],tabela_registros[REGISTRO],DADOS!$N$3,tabela_registros[TIPO],DADOS!$V$4,tabela_registros[CATEGORIA],receitasvariáveisconsolidadomar[[#This Row],[ATUAL]])</f>
        <v>0</v>
      </c>
      <c r="W96" s="91">
        <f>SUMIFS(tabela_registros[VALOR],tabela_registros[MÊS],$AE$1,tabela_registros[DIA],receitasvariáveisconsolidadomar[[#Headers],[19]],tabela_registros[REGISTRO],DADOS!$N$3,tabela_registros[TIPO],DADOS!$V$4,tabela_registros[CATEGORIA],receitasvariáveisconsolidadomar[[#This Row],[ATUAL]])</f>
        <v>0</v>
      </c>
      <c r="X96" s="91">
        <f>SUMIFS(tabela_registros[VALOR],tabela_registros[MÊS],$AE$1,tabela_registros[DIA],receitasvariáveisconsolidadomar[[#Headers],[20]],tabela_registros[REGISTRO],DADOS!$N$3,tabela_registros[TIPO],DADOS!$V$4,tabela_registros[CATEGORIA],receitasvariáveisconsolidadomar[[#This Row],[ATUAL]])</f>
        <v>0</v>
      </c>
      <c r="Y96" s="91">
        <f>SUMIFS(tabela_registros[VALOR],tabela_registros[MÊS],$AE$1,tabela_registros[DIA],receitasvariáveisconsolidadomar[[#Headers],[21]],tabela_registros[REGISTRO],DADOS!$N$3,tabela_registros[TIPO],DADOS!$V$4,tabela_registros[CATEGORIA],receitasvariáveisconsolidadomar[[#This Row],[ATUAL]])</f>
        <v>0</v>
      </c>
      <c r="Z96" s="91">
        <f>SUMIFS(tabela_registros[VALOR],tabela_registros[MÊS],$AE$1,tabela_registros[DIA],receitasvariáveisconsolidadomar[[#Headers],[22]],tabela_registros[REGISTRO],DADOS!$N$3,tabela_registros[TIPO],DADOS!$V$4,tabela_registros[CATEGORIA],receitasvariáveisconsolidadomar[[#This Row],[ATUAL]])</f>
        <v>0</v>
      </c>
      <c r="AA96" s="91">
        <f>SUMIFS(tabela_registros[VALOR],tabela_registros[MÊS],$AE$1,tabela_registros[DIA],receitasvariáveisconsolidadomar[[#Headers],[23]],tabela_registros[REGISTRO],DADOS!$N$3,tabela_registros[TIPO],DADOS!$V$4,tabela_registros[CATEGORIA],receitasvariáveisconsolidadomar[[#This Row],[ATUAL]])</f>
        <v>0</v>
      </c>
      <c r="AB96" s="91">
        <f>SUMIFS(tabela_registros[VALOR],tabela_registros[MÊS],$AE$1,tabela_registros[DIA],receitasvariáveisconsolidadomar[[#Headers],[24]],tabela_registros[REGISTRO],DADOS!$N$3,tabela_registros[TIPO],DADOS!$V$4,tabela_registros[CATEGORIA],receitasvariáveisconsolidadomar[[#This Row],[ATUAL]])</f>
        <v>0</v>
      </c>
      <c r="AC96" s="91">
        <f>SUMIFS(tabela_registros[VALOR],tabela_registros[MÊS],$AE$1,tabela_registros[DIA],receitasvariáveisconsolidadomar[[#Headers],[25]],tabela_registros[REGISTRO],DADOS!$N$3,tabela_registros[TIPO],DADOS!$V$4,tabela_registros[CATEGORIA],receitasvariáveisconsolidadomar[[#This Row],[ATUAL]])</f>
        <v>0</v>
      </c>
      <c r="AD96" s="91">
        <f>SUMIFS(tabela_registros[VALOR],tabela_registros[MÊS],$AE$1,tabela_registros[DIA],receitasvariáveisconsolidadomar[[#Headers],[26]],tabela_registros[REGISTRO],DADOS!$N$3,tabela_registros[TIPO],DADOS!$V$4,tabela_registros[CATEGORIA],receitasvariáveisconsolidadomar[[#This Row],[ATUAL]])</f>
        <v>0</v>
      </c>
      <c r="AE96" s="91">
        <f>SUMIFS(tabela_registros[VALOR],tabela_registros[MÊS],$AE$1,tabela_registros[DIA],receitasvariáveisconsolidadomar[[#Headers],[27]],tabela_registros[REGISTRO],DADOS!$N$3,tabela_registros[TIPO],DADOS!$V$4,tabela_registros[CATEGORIA],receitasvariáveisconsolidadomar[[#This Row],[ATUAL]])</f>
        <v>0</v>
      </c>
      <c r="AF96" s="91">
        <f>SUMIFS(tabela_registros[VALOR],tabela_registros[MÊS],$AE$1,tabela_registros[DIA],receitasvariáveisconsolidadomar[[#Headers],[28]],tabela_registros[REGISTRO],DADOS!$N$3,tabela_registros[TIPO],DADOS!$V$4,tabela_registros[CATEGORIA],receitasvariáveisconsolidadomar[[#This Row],[ATUAL]])</f>
        <v>0</v>
      </c>
      <c r="AG96" s="91">
        <f>SUMIFS(tabela_registros[VALOR],tabela_registros[MÊS],$AE$1,tabela_registros[DIA],receitasvariáveisconsolidadomar[[#Headers],[29]],tabela_registros[REGISTRO],DADOS!$N$3,tabela_registros[TIPO],DADOS!$V$4,tabela_registros[CATEGORIA],receitasvariáveisconsolidadomar[[#This Row],[ATUAL]])</f>
        <v>0</v>
      </c>
      <c r="AH96" s="91">
        <f>SUMIFS(tabela_registros[VALOR],tabela_registros[MÊS],$AE$1,tabela_registros[DIA],receitasvariáveisconsolidadomar[[#Headers],[30]],tabela_registros[REGISTRO],DADOS!$N$3,tabela_registros[TIPO],DADOS!$V$4,tabela_registros[CATEGORIA],receitasvariáveisconsolidadomar[[#This Row],[ATUAL]])</f>
        <v>0</v>
      </c>
      <c r="AI96" s="101">
        <f>SUMIFS(tabela_registros[VALOR],tabela_registros[MÊS],$AE$1,tabela_registros[DIA],receitasvariáveisconsolidadomar[[#Headers],[31]],tabela_registros[REGISTRO],DADOS!$N$3,tabela_registros[TIPO],DADOS!$V$4,tabela_registros[CATEGORIA],receitasvariáveisconsolidadomar[[#This Row],[ATUAL]])</f>
        <v>0</v>
      </c>
      <c r="AJ96" s="97">
        <f>SUM(receitasvariáveisconsolidadomar[[#This Row],[1]:[31]])</f>
        <v>0</v>
      </c>
      <c r="AK96" s="25"/>
    </row>
    <row r="97" spans="2:37" ht="19.5" customHeight="1" thickTop="1" thickBot="1" x14ac:dyDescent="0.3">
      <c r="B97" s="28"/>
      <c r="C97" s="27" t="str">
        <f>DADOS!$Z$4</f>
        <v>🤑 COMISSÃO</v>
      </c>
      <c r="D97" s="26" t="str">
        <f>IF(receitasvariáveisconsolidadomar[[#This Row],[TOTAL (R$)]]=0,"",IF(OR(receitasvariáveisconsolidadomar[[#This Row],[TOTAL (R$)]]=LARGE($AJ$96:$AJ$103,1),receitasvariáveisconsolidadomar[[#This Row],[TOTAL (R$)]]=LARGE($AJ$96:$AJ$103,2)),DADOS!$I$9,""))</f>
        <v/>
      </c>
      <c r="E97" s="96">
        <f>SUMIFS(tabela_registros[VALOR],tabela_registros[MÊS],$AE$1,tabela_registros[DIA],receitasvariáveisconsolidadomar[[#Headers],[1]],tabela_registros[REGISTRO],DADOS!$N$3,tabela_registros[TIPO],DADOS!$V$4,tabela_registros[CATEGORIA],receitasvariáveisconsolidadomar[[#This Row],[ATUAL]])</f>
        <v>0</v>
      </c>
      <c r="F97" s="91">
        <f>SUMIFS(tabela_registros[VALOR],tabela_registros[MÊS],$AE$1,tabela_registros[DIA],receitasvariáveisconsolidadomar[[#Headers],[2]],tabela_registros[REGISTRO],DADOS!$N$3,tabela_registros[TIPO],DADOS!$V$4,tabela_registros[CATEGORIA],receitasvariáveisconsolidadomar[[#This Row],[ATUAL]])</f>
        <v>0</v>
      </c>
      <c r="G97" s="91">
        <f>SUMIFS(tabela_registros[VALOR],tabela_registros[MÊS],$AE$1,tabela_registros[DIA],receitasvariáveisconsolidadomar[[#Headers],[3]],tabela_registros[REGISTRO],DADOS!$N$3,tabela_registros[TIPO],DADOS!$V$4,tabela_registros[CATEGORIA],receitasvariáveisconsolidadomar[[#This Row],[ATUAL]])</f>
        <v>0</v>
      </c>
      <c r="H97" s="91">
        <f>SUMIFS(tabela_registros[VALOR],tabela_registros[MÊS],$AE$1,tabela_registros[DIA],receitasvariáveisconsolidadomar[[#Headers],[4]],tabela_registros[REGISTRO],DADOS!$N$3,tabela_registros[TIPO],DADOS!$V$4,tabela_registros[CATEGORIA],receitasvariáveisconsolidadomar[[#This Row],[ATUAL]])</f>
        <v>0</v>
      </c>
      <c r="I97" s="91">
        <f>SUMIFS(tabela_registros[VALOR],tabela_registros[MÊS],$AE$1,tabela_registros[DIA],receitasvariáveisconsolidadomar[[#Headers],[5]],tabela_registros[REGISTRO],DADOS!$N$3,tabela_registros[TIPO],DADOS!$V$4,tabela_registros[CATEGORIA],receitasvariáveisconsolidadomar[[#This Row],[ATUAL]])</f>
        <v>0</v>
      </c>
      <c r="J97" s="91">
        <f>SUMIFS(tabela_registros[VALOR],tabela_registros[MÊS],$AE$1,tabela_registros[DIA],receitasvariáveisconsolidadomar[[#Headers],[6]],tabela_registros[REGISTRO],DADOS!$N$3,tabela_registros[TIPO],DADOS!$V$4,tabela_registros[CATEGORIA],receitasvariáveisconsolidadomar[[#This Row],[ATUAL]])</f>
        <v>0</v>
      </c>
      <c r="K97" s="91">
        <f>SUMIFS(tabela_registros[VALOR],tabela_registros[MÊS],$AE$1,tabela_registros[DIA],receitasvariáveisconsolidadomar[[#Headers],[7]],tabela_registros[REGISTRO],DADOS!$N$3,tabela_registros[TIPO],DADOS!$V$4,tabela_registros[CATEGORIA],receitasvariáveisconsolidadomar[[#This Row],[ATUAL]])</f>
        <v>0</v>
      </c>
      <c r="L97" s="91">
        <f>SUMIFS(tabela_registros[VALOR],tabela_registros[MÊS],$AE$1,tabela_registros[DIA],receitasvariáveisconsolidadomar[[#Headers],[8]],tabela_registros[REGISTRO],DADOS!$N$3,tabela_registros[TIPO],DADOS!$V$4,tabela_registros[CATEGORIA],receitasvariáveisconsolidadomar[[#This Row],[ATUAL]])</f>
        <v>0</v>
      </c>
      <c r="M97" s="91">
        <f>SUMIFS(tabela_registros[VALOR],tabela_registros[MÊS],$AE$1,tabela_registros[DIA],receitasvariáveisconsolidadomar[[#Headers],[9]],tabela_registros[REGISTRO],DADOS!$N$3,tabela_registros[TIPO],DADOS!$V$4,tabela_registros[CATEGORIA],receitasvariáveisconsolidadomar[[#This Row],[ATUAL]])</f>
        <v>0</v>
      </c>
      <c r="N97" s="91">
        <f>SUMIFS(tabela_registros[VALOR],tabela_registros[MÊS],$AE$1,tabela_registros[DIA],receitasvariáveisconsolidadomar[[#Headers],[10]],tabela_registros[REGISTRO],DADOS!$N$3,tabela_registros[TIPO],DADOS!$V$4,tabela_registros[CATEGORIA],receitasvariáveisconsolidadomar[[#This Row],[ATUAL]])</f>
        <v>0</v>
      </c>
      <c r="O97" s="91">
        <f>SUMIFS(tabela_registros[VALOR],tabela_registros[MÊS],$AE$1,tabela_registros[DIA],receitasvariáveisconsolidadomar[[#Headers],[11]],tabela_registros[REGISTRO],DADOS!$N$3,tabela_registros[TIPO],DADOS!$V$4,tabela_registros[CATEGORIA],receitasvariáveisconsolidadomar[[#This Row],[ATUAL]])</f>
        <v>0</v>
      </c>
      <c r="P97" s="91">
        <f>SUMIFS(tabela_registros[VALOR],tabela_registros[MÊS],$AE$1,tabela_registros[DIA],receitasvariáveisconsolidadomar[[#Headers],[12]],tabela_registros[REGISTRO],DADOS!$N$3,tabela_registros[TIPO],DADOS!$V$4,tabela_registros[CATEGORIA],receitasvariáveisconsolidadomar[[#This Row],[ATUAL]])</f>
        <v>0</v>
      </c>
      <c r="Q97" s="91">
        <f>SUMIFS(tabela_registros[VALOR],tabela_registros[MÊS],$AE$1,tabela_registros[DIA],receitasvariáveisconsolidadomar[[#Headers],[13]],tabela_registros[REGISTRO],DADOS!$N$3,tabela_registros[TIPO],DADOS!$V$4,tabela_registros[CATEGORIA],receitasvariáveisconsolidadomar[[#This Row],[ATUAL]])</f>
        <v>0</v>
      </c>
      <c r="R97" s="91">
        <f>SUMIFS(tabela_registros[VALOR],tabela_registros[MÊS],$AE$1,tabela_registros[DIA],receitasvariáveisconsolidadomar[[#Headers],[14]],tabela_registros[REGISTRO],DADOS!$N$3,tabela_registros[TIPO],DADOS!$V$4,tabela_registros[CATEGORIA],receitasvariáveisconsolidadomar[[#This Row],[ATUAL]])</f>
        <v>0</v>
      </c>
      <c r="S97" s="91">
        <f>SUMIFS(tabela_registros[VALOR],tabela_registros[MÊS],$AE$1,tabela_registros[DIA],receitasvariáveisconsolidadomar[[#Headers],[15]],tabela_registros[REGISTRO],DADOS!$N$3,tabela_registros[TIPO],DADOS!$V$4,tabela_registros[CATEGORIA],receitasvariáveisconsolidadomar[[#This Row],[ATUAL]])</f>
        <v>0</v>
      </c>
      <c r="T97" s="91">
        <f>SUMIFS(tabela_registros[VALOR],tabela_registros[MÊS],$AE$1,tabela_registros[DIA],receitasvariáveisconsolidadomar[[#Headers],[16]],tabela_registros[REGISTRO],DADOS!$N$3,tabela_registros[TIPO],DADOS!$V$4,tabela_registros[CATEGORIA],receitasvariáveisconsolidadomar[[#This Row],[ATUAL]])</f>
        <v>0</v>
      </c>
      <c r="U97" s="91">
        <f>SUMIFS(tabela_registros[VALOR],tabela_registros[MÊS],$AE$1,tabela_registros[DIA],receitasvariáveisconsolidadomar[[#Headers],[17]],tabela_registros[REGISTRO],DADOS!$N$3,tabela_registros[TIPO],DADOS!$V$4,tabela_registros[CATEGORIA],receitasvariáveisconsolidadomar[[#This Row],[ATUAL]])</f>
        <v>0</v>
      </c>
      <c r="V97" s="91">
        <f>SUMIFS(tabela_registros[VALOR],tabela_registros[MÊS],$AE$1,tabela_registros[DIA],receitasvariáveisconsolidadomar[[#Headers],[18]],tabela_registros[REGISTRO],DADOS!$N$3,tabela_registros[TIPO],DADOS!$V$4,tabela_registros[CATEGORIA],receitasvariáveisconsolidadomar[[#This Row],[ATUAL]])</f>
        <v>0</v>
      </c>
      <c r="W97" s="91">
        <f>SUMIFS(tabela_registros[VALOR],tabela_registros[MÊS],$AE$1,tabela_registros[DIA],receitasvariáveisconsolidadomar[[#Headers],[19]],tabela_registros[REGISTRO],DADOS!$N$3,tabela_registros[TIPO],DADOS!$V$4,tabela_registros[CATEGORIA],receitasvariáveisconsolidadomar[[#This Row],[ATUAL]])</f>
        <v>0</v>
      </c>
      <c r="X97" s="91">
        <f>SUMIFS(tabela_registros[VALOR],tabela_registros[MÊS],$AE$1,tabela_registros[DIA],receitasvariáveisconsolidadomar[[#Headers],[20]],tabela_registros[REGISTRO],DADOS!$N$3,tabela_registros[TIPO],DADOS!$V$4,tabela_registros[CATEGORIA],receitasvariáveisconsolidadomar[[#This Row],[ATUAL]])</f>
        <v>0</v>
      </c>
      <c r="Y97" s="91">
        <f>SUMIFS(tabela_registros[VALOR],tabela_registros[MÊS],$AE$1,tabela_registros[DIA],receitasvariáveisconsolidadomar[[#Headers],[21]],tabela_registros[REGISTRO],DADOS!$N$3,tabela_registros[TIPO],DADOS!$V$4,tabela_registros[CATEGORIA],receitasvariáveisconsolidadomar[[#This Row],[ATUAL]])</f>
        <v>0</v>
      </c>
      <c r="Z97" s="91">
        <f>SUMIFS(tabela_registros[VALOR],tabela_registros[MÊS],$AE$1,tabela_registros[DIA],receitasvariáveisconsolidadomar[[#Headers],[22]],tabela_registros[REGISTRO],DADOS!$N$3,tabela_registros[TIPO],DADOS!$V$4,tabela_registros[CATEGORIA],receitasvariáveisconsolidadomar[[#This Row],[ATUAL]])</f>
        <v>0</v>
      </c>
      <c r="AA97" s="91">
        <f>SUMIFS(tabela_registros[VALOR],tabela_registros[MÊS],$AE$1,tabela_registros[DIA],receitasvariáveisconsolidadomar[[#Headers],[23]],tabela_registros[REGISTRO],DADOS!$N$3,tabela_registros[TIPO],DADOS!$V$4,tabela_registros[CATEGORIA],receitasvariáveisconsolidadomar[[#This Row],[ATUAL]])</f>
        <v>0</v>
      </c>
      <c r="AB97" s="91">
        <f>SUMIFS(tabela_registros[VALOR],tabela_registros[MÊS],$AE$1,tabela_registros[DIA],receitasvariáveisconsolidadomar[[#Headers],[24]],tabela_registros[REGISTRO],DADOS!$N$3,tabela_registros[TIPO],DADOS!$V$4,tabela_registros[CATEGORIA],receitasvariáveisconsolidadomar[[#This Row],[ATUAL]])</f>
        <v>0</v>
      </c>
      <c r="AC97" s="91">
        <f>SUMIFS(tabela_registros[VALOR],tabela_registros[MÊS],$AE$1,tabela_registros[DIA],receitasvariáveisconsolidadomar[[#Headers],[25]],tabela_registros[REGISTRO],DADOS!$N$3,tabela_registros[TIPO],DADOS!$V$4,tabela_registros[CATEGORIA],receitasvariáveisconsolidadomar[[#This Row],[ATUAL]])</f>
        <v>0</v>
      </c>
      <c r="AD97" s="91">
        <f>SUMIFS(tabela_registros[VALOR],tabela_registros[MÊS],$AE$1,tabela_registros[DIA],receitasvariáveisconsolidadomar[[#Headers],[26]],tabela_registros[REGISTRO],DADOS!$N$3,tabela_registros[TIPO],DADOS!$V$4,tabela_registros[CATEGORIA],receitasvariáveisconsolidadomar[[#This Row],[ATUAL]])</f>
        <v>0</v>
      </c>
      <c r="AE97" s="91">
        <f>SUMIFS(tabela_registros[VALOR],tabela_registros[MÊS],$AE$1,tabela_registros[DIA],receitasvariáveisconsolidadomar[[#Headers],[27]],tabela_registros[REGISTRO],DADOS!$N$3,tabela_registros[TIPO],DADOS!$V$4,tabela_registros[CATEGORIA],receitasvariáveisconsolidadomar[[#This Row],[ATUAL]])</f>
        <v>0</v>
      </c>
      <c r="AF97" s="91">
        <f>SUMIFS(tabela_registros[VALOR],tabela_registros[MÊS],$AE$1,tabela_registros[DIA],receitasvariáveisconsolidadomar[[#Headers],[28]],tabela_registros[REGISTRO],DADOS!$N$3,tabela_registros[TIPO],DADOS!$V$4,tabela_registros[CATEGORIA],receitasvariáveisconsolidadomar[[#This Row],[ATUAL]])</f>
        <v>0</v>
      </c>
      <c r="AG97" s="91">
        <f>SUMIFS(tabela_registros[VALOR],tabela_registros[MÊS],$AE$1,tabela_registros[DIA],receitasvariáveisconsolidadomar[[#Headers],[29]],tabela_registros[REGISTRO],DADOS!$N$3,tabela_registros[TIPO],DADOS!$V$4,tabela_registros[CATEGORIA],receitasvariáveisconsolidadomar[[#This Row],[ATUAL]])</f>
        <v>0</v>
      </c>
      <c r="AH97" s="91">
        <f>SUMIFS(tabela_registros[VALOR],tabela_registros[MÊS],$AE$1,tabela_registros[DIA],receitasvariáveisconsolidadomar[[#Headers],[30]],tabela_registros[REGISTRO],DADOS!$N$3,tabela_registros[TIPO],DADOS!$V$4,tabela_registros[CATEGORIA],receitasvariáveisconsolidadomar[[#This Row],[ATUAL]])</f>
        <v>0</v>
      </c>
      <c r="AI97" s="101">
        <f>SUMIFS(tabela_registros[VALOR],tabela_registros[MÊS],$AE$1,tabela_registros[DIA],receitasvariáveisconsolidadomar[[#Headers],[31]],tabela_registros[REGISTRO],DADOS!$N$3,tabela_registros[TIPO],DADOS!$V$4,tabela_registros[CATEGORIA],receitasvariáveisconsolidadomar[[#This Row],[ATUAL]])</f>
        <v>0</v>
      </c>
      <c r="AJ97" s="97">
        <f>SUM(receitasvariáveisconsolidadomar[[#This Row],[1]:[31]])</f>
        <v>0</v>
      </c>
      <c r="AK97" s="25"/>
    </row>
    <row r="98" spans="2:37" ht="19.5" customHeight="1" thickTop="1" thickBot="1" x14ac:dyDescent="0.3">
      <c r="B98" s="28"/>
      <c r="C98" s="27" t="str">
        <f>DADOS!$Z$5</f>
        <v>🎗️ HERANÇA</v>
      </c>
      <c r="D98" s="26" t="str">
        <f>IF(receitasvariáveisconsolidadomar[[#This Row],[TOTAL (R$)]]=0,"",IF(OR(receitasvariáveisconsolidadomar[[#This Row],[TOTAL (R$)]]=LARGE($AJ$96:$AJ$103,1),receitasvariáveisconsolidadomar[[#This Row],[TOTAL (R$)]]=LARGE($AJ$96:$AJ$103,2)),DADOS!$I$9,""))</f>
        <v/>
      </c>
      <c r="E98" s="96">
        <f>SUMIFS(tabela_registros[VALOR],tabela_registros[MÊS],$AE$1,tabela_registros[DIA],receitasvariáveisconsolidadomar[[#Headers],[1]],tabela_registros[REGISTRO],DADOS!$N$3,tabela_registros[TIPO],DADOS!$V$4,tabela_registros[CATEGORIA],receitasvariáveisconsolidadomar[[#This Row],[ATUAL]])</f>
        <v>0</v>
      </c>
      <c r="F98" s="91">
        <f>SUMIFS(tabela_registros[VALOR],tabela_registros[MÊS],$AE$1,tabela_registros[DIA],receitasvariáveisconsolidadomar[[#Headers],[2]],tabela_registros[REGISTRO],DADOS!$N$3,tabela_registros[TIPO],DADOS!$V$4,tabela_registros[CATEGORIA],receitasvariáveisconsolidadomar[[#This Row],[ATUAL]])</f>
        <v>0</v>
      </c>
      <c r="G98" s="91">
        <f>SUMIFS(tabela_registros[VALOR],tabela_registros[MÊS],$AE$1,tabela_registros[DIA],receitasvariáveisconsolidadomar[[#Headers],[3]],tabela_registros[REGISTRO],DADOS!$N$3,tabela_registros[TIPO],DADOS!$V$4,tabela_registros[CATEGORIA],receitasvariáveisconsolidadomar[[#This Row],[ATUAL]])</f>
        <v>0</v>
      </c>
      <c r="H98" s="91">
        <f>SUMIFS(tabela_registros[VALOR],tabela_registros[MÊS],$AE$1,tabela_registros[DIA],receitasvariáveisconsolidadomar[[#Headers],[4]],tabela_registros[REGISTRO],DADOS!$N$3,tabela_registros[TIPO],DADOS!$V$4,tabela_registros[CATEGORIA],receitasvariáveisconsolidadomar[[#This Row],[ATUAL]])</f>
        <v>0</v>
      </c>
      <c r="I98" s="91">
        <f>SUMIFS(tabela_registros[VALOR],tabela_registros[MÊS],$AE$1,tabela_registros[DIA],receitasvariáveisconsolidadomar[[#Headers],[5]],tabela_registros[REGISTRO],DADOS!$N$3,tabela_registros[TIPO],DADOS!$V$4,tabela_registros[CATEGORIA],receitasvariáveisconsolidadomar[[#This Row],[ATUAL]])</f>
        <v>0</v>
      </c>
      <c r="J98" s="91">
        <f>SUMIFS(tabela_registros[VALOR],tabela_registros[MÊS],$AE$1,tabela_registros[DIA],receitasvariáveisconsolidadomar[[#Headers],[6]],tabela_registros[REGISTRO],DADOS!$N$3,tabela_registros[TIPO],DADOS!$V$4,tabela_registros[CATEGORIA],receitasvariáveisconsolidadomar[[#This Row],[ATUAL]])</f>
        <v>0</v>
      </c>
      <c r="K98" s="91">
        <f>SUMIFS(tabela_registros[VALOR],tabela_registros[MÊS],$AE$1,tabela_registros[DIA],receitasvariáveisconsolidadomar[[#Headers],[7]],tabela_registros[REGISTRO],DADOS!$N$3,tabela_registros[TIPO],DADOS!$V$4,tabela_registros[CATEGORIA],receitasvariáveisconsolidadomar[[#This Row],[ATUAL]])</f>
        <v>0</v>
      </c>
      <c r="L98" s="91">
        <f>SUMIFS(tabela_registros[VALOR],tabela_registros[MÊS],$AE$1,tabela_registros[DIA],receitasvariáveisconsolidadomar[[#Headers],[8]],tabela_registros[REGISTRO],DADOS!$N$3,tabela_registros[TIPO],DADOS!$V$4,tabela_registros[CATEGORIA],receitasvariáveisconsolidadomar[[#This Row],[ATUAL]])</f>
        <v>0</v>
      </c>
      <c r="M98" s="91">
        <f>SUMIFS(tabela_registros[VALOR],tabela_registros[MÊS],$AE$1,tabela_registros[DIA],receitasvariáveisconsolidadomar[[#Headers],[9]],tabela_registros[REGISTRO],DADOS!$N$3,tabela_registros[TIPO],DADOS!$V$4,tabela_registros[CATEGORIA],receitasvariáveisconsolidadomar[[#This Row],[ATUAL]])</f>
        <v>0</v>
      </c>
      <c r="N98" s="91">
        <f>SUMIFS(tabela_registros[VALOR],tabela_registros[MÊS],$AE$1,tabela_registros[DIA],receitasvariáveisconsolidadomar[[#Headers],[10]],tabela_registros[REGISTRO],DADOS!$N$3,tabela_registros[TIPO],DADOS!$V$4,tabela_registros[CATEGORIA],receitasvariáveisconsolidadomar[[#This Row],[ATUAL]])</f>
        <v>0</v>
      </c>
      <c r="O98" s="91">
        <f>SUMIFS(tabela_registros[VALOR],tabela_registros[MÊS],$AE$1,tabela_registros[DIA],receitasvariáveisconsolidadomar[[#Headers],[11]],tabela_registros[REGISTRO],DADOS!$N$3,tabela_registros[TIPO],DADOS!$V$4,tabela_registros[CATEGORIA],receitasvariáveisconsolidadomar[[#This Row],[ATUAL]])</f>
        <v>0</v>
      </c>
      <c r="P98" s="91">
        <f>SUMIFS(tabela_registros[VALOR],tabela_registros[MÊS],$AE$1,tabela_registros[DIA],receitasvariáveisconsolidadomar[[#Headers],[12]],tabela_registros[REGISTRO],DADOS!$N$3,tabela_registros[TIPO],DADOS!$V$4,tabela_registros[CATEGORIA],receitasvariáveisconsolidadomar[[#This Row],[ATUAL]])</f>
        <v>0</v>
      </c>
      <c r="Q98" s="91">
        <f>SUMIFS(tabela_registros[VALOR],tabela_registros[MÊS],$AE$1,tabela_registros[DIA],receitasvariáveisconsolidadomar[[#Headers],[13]],tabela_registros[REGISTRO],DADOS!$N$3,tabela_registros[TIPO],DADOS!$V$4,tabela_registros[CATEGORIA],receitasvariáveisconsolidadomar[[#This Row],[ATUAL]])</f>
        <v>0</v>
      </c>
      <c r="R98" s="91">
        <f>SUMIFS(tabela_registros[VALOR],tabela_registros[MÊS],$AE$1,tabela_registros[DIA],receitasvariáveisconsolidadomar[[#Headers],[14]],tabela_registros[REGISTRO],DADOS!$N$3,tabela_registros[TIPO],DADOS!$V$4,tabela_registros[CATEGORIA],receitasvariáveisconsolidadomar[[#This Row],[ATUAL]])</f>
        <v>0</v>
      </c>
      <c r="S98" s="91">
        <f>SUMIFS(tabela_registros[VALOR],tabela_registros[MÊS],$AE$1,tabela_registros[DIA],receitasvariáveisconsolidadomar[[#Headers],[15]],tabela_registros[REGISTRO],DADOS!$N$3,tabela_registros[TIPO],DADOS!$V$4,tabela_registros[CATEGORIA],receitasvariáveisconsolidadomar[[#This Row],[ATUAL]])</f>
        <v>0</v>
      </c>
      <c r="T98" s="91">
        <f>SUMIFS(tabela_registros[VALOR],tabela_registros[MÊS],$AE$1,tabela_registros[DIA],receitasvariáveisconsolidadomar[[#Headers],[16]],tabela_registros[REGISTRO],DADOS!$N$3,tabela_registros[TIPO],DADOS!$V$4,tabela_registros[CATEGORIA],receitasvariáveisconsolidadomar[[#This Row],[ATUAL]])</f>
        <v>0</v>
      </c>
      <c r="U98" s="91">
        <f>SUMIFS(tabela_registros[VALOR],tabela_registros[MÊS],$AE$1,tabela_registros[DIA],receitasvariáveisconsolidadomar[[#Headers],[17]],tabela_registros[REGISTRO],DADOS!$N$3,tabela_registros[TIPO],DADOS!$V$4,tabela_registros[CATEGORIA],receitasvariáveisconsolidadomar[[#This Row],[ATUAL]])</f>
        <v>0</v>
      </c>
      <c r="V98" s="91">
        <f>SUMIFS(tabela_registros[VALOR],tabela_registros[MÊS],$AE$1,tabela_registros[DIA],receitasvariáveisconsolidadomar[[#Headers],[18]],tabela_registros[REGISTRO],DADOS!$N$3,tabela_registros[TIPO],DADOS!$V$4,tabela_registros[CATEGORIA],receitasvariáveisconsolidadomar[[#This Row],[ATUAL]])</f>
        <v>0</v>
      </c>
      <c r="W98" s="91">
        <f>SUMIFS(tabela_registros[VALOR],tabela_registros[MÊS],$AE$1,tabela_registros[DIA],receitasvariáveisconsolidadomar[[#Headers],[19]],tabela_registros[REGISTRO],DADOS!$N$3,tabela_registros[TIPO],DADOS!$V$4,tabela_registros[CATEGORIA],receitasvariáveisconsolidadomar[[#This Row],[ATUAL]])</f>
        <v>0</v>
      </c>
      <c r="X98" s="91">
        <f>SUMIFS(tabela_registros[VALOR],tabela_registros[MÊS],$AE$1,tabela_registros[DIA],receitasvariáveisconsolidadomar[[#Headers],[20]],tabela_registros[REGISTRO],DADOS!$N$3,tabela_registros[TIPO],DADOS!$V$4,tabela_registros[CATEGORIA],receitasvariáveisconsolidadomar[[#This Row],[ATUAL]])</f>
        <v>0</v>
      </c>
      <c r="Y98" s="91">
        <f>SUMIFS(tabela_registros[VALOR],tabela_registros[MÊS],$AE$1,tabela_registros[DIA],receitasvariáveisconsolidadomar[[#Headers],[21]],tabela_registros[REGISTRO],DADOS!$N$3,tabela_registros[TIPO],DADOS!$V$4,tabela_registros[CATEGORIA],receitasvariáveisconsolidadomar[[#This Row],[ATUAL]])</f>
        <v>0</v>
      </c>
      <c r="Z98" s="91">
        <f>SUMIFS(tabela_registros[VALOR],tabela_registros[MÊS],$AE$1,tabela_registros[DIA],receitasvariáveisconsolidadomar[[#Headers],[22]],tabela_registros[REGISTRO],DADOS!$N$3,tabela_registros[TIPO],DADOS!$V$4,tabela_registros[CATEGORIA],receitasvariáveisconsolidadomar[[#This Row],[ATUAL]])</f>
        <v>0</v>
      </c>
      <c r="AA98" s="91">
        <f>SUMIFS(tabela_registros[VALOR],tabela_registros[MÊS],$AE$1,tabela_registros[DIA],receitasvariáveisconsolidadomar[[#Headers],[23]],tabela_registros[REGISTRO],DADOS!$N$3,tabela_registros[TIPO],DADOS!$V$4,tabela_registros[CATEGORIA],receitasvariáveisconsolidadomar[[#This Row],[ATUAL]])</f>
        <v>0</v>
      </c>
      <c r="AB98" s="91">
        <f>SUMIFS(tabela_registros[VALOR],tabela_registros[MÊS],$AE$1,tabela_registros[DIA],receitasvariáveisconsolidadomar[[#Headers],[24]],tabela_registros[REGISTRO],DADOS!$N$3,tabela_registros[TIPO],DADOS!$V$4,tabela_registros[CATEGORIA],receitasvariáveisconsolidadomar[[#This Row],[ATUAL]])</f>
        <v>0</v>
      </c>
      <c r="AC98" s="91">
        <f>SUMIFS(tabela_registros[VALOR],tabela_registros[MÊS],$AE$1,tabela_registros[DIA],receitasvariáveisconsolidadomar[[#Headers],[25]],tabela_registros[REGISTRO],DADOS!$N$3,tabela_registros[TIPO],DADOS!$V$4,tabela_registros[CATEGORIA],receitasvariáveisconsolidadomar[[#This Row],[ATUAL]])</f>
        <v>0</v>
      </c>
      <c r="AD98" s="91">
        <f>SUMIFS(tabela_registros[VALOR],tabela_registros[MÊS],$AE$1,tabela_registros[DIA],receitasvariáveisconsolidadomar[[#Headers],[26]],tabela_registros[REGISTRO],DADOS!$N$3,tabela_registros[TIPO],DADOS!$V$4,tabela_registros[CATEGORIA],receitasvariáveisconsolidadomar[[#This Row],[ATUAL]])</f>
        <v>0</v>
      </c>
      <c r="AE98" s="91">
        <f>SUMIFS(tabela_registros[VALOR],tabela_registros[MÊS],$AE$1,tabela_registros[DIA],receitasvariáveisconsolidadomar[[#Headers],[27]],tabela_registros[REGISTRO],DADOS!$N$3,tabela_registros[TIPO],DADOS!$V$4,tabela_registros[CATEGORIA],receitasvariáveisconsolidadomar[[#This Row],[ATUAL]])</f>
        <v>0</v>
      </c>
      <c r="AF98" s="91">
        <f>SUMIFS(tabela_registros[VALOR],tabela_registros[MÊS],$AE$1,tabela_registros[DIA],receitasvariáveisconsolidadomar[[#Headers],[28]],tabela_registros[REGISTRO],DADOS!$N$3,tabela_registros[TIPO],DADOS!$V$4,tabela_registros[CATEGORIA],receitasvariáveisconsolidadomar[[#This Row],[ATUAL]])</f>
        <v>0</v>
      </c>
      <c r="AG98" s="91">
        <f>SUMIFS(tabela_registros[VALOR],tabela_registros[MÊS],$AE$1,tabela_registros[DIA],receitasvariáveisconsolidadomar[[#Headers],[29]],tabela_registros[REGISTRO],DADOS!$N$3,tabela_registros[TIPO],DADOS!$V$4,tabela_registros[CATEGORIA],receitasvariáveisconsolidadomar[[#This Row],[ATUAL]])</f>
        <v>0</v>
      </c>
      <c r="AH98" s="91">
        <f>SUMIFS(tabela_registros[VALOR],tabela_registros[MÊS],$AE$1,tabela_registros[DIA],receitasvariáveisconsolidadomar[[#Headers],[30]],tabela_registros[REGISTRO],DADOS!$N$3,tabela_registros[TIPO],DADOS!$V$4,tabela_registros[CATEGORIA],receitasvariáveisconsolidadomar[[#This Row],[ATUAL]])</f>
        <v>0</v>
      </c>
      <c r="AI98" s="101">
        <f>SUMIFS(tabela_registros[VALOR],tabela_registros[MÊS],$AE$1,tabela_registros[DIA],receitasvariáveisconsolidadomar[[#Headers],[31]],tabela_registros[REGISTRO],DADOS!$N$3,tabela_registros[TIPO],DADOS!$V$4,tabela_registros[CATEGORIA],receitasvariáveisconsolidadomar[[#This Row],[ATUAL]])</f>
        <v>0</v>
      </c>
      <c r="AJ98" s="97">
        <f>SUM(receitasvariáveisconsolidadomar[[#This Row],[1]:[31]])</f>
        <v>0</v>
      </c>
      <c r="AK98" s="25"/>
    </row>
    <row r="99" spans="2:37" ht="19.5" customHeight="1" thickTop="1" thickBot="1" x14ac:dyDescent="0.3">
      <c r="B99" s="28"/>
      <c r="C99" s="27" t="str">
        <f>DADOS!$Z$6</f>
        <v>💲 INVESTIMENTOS</v>
      </c>
      <c r="D99" s="26" t="str">
        <f>IF(receitasvariáveisconsolidadomar[[#This Row],[TOTAL (R$)]]=0,"",IF(OR(receitasvariáveisconsolidadomar[[#This Row],[TOTAL (R$)]]=LARGE($AJ$96:$AJ$103,1),receitasvariáveisconsolidadomar[[#This Row],[TOTAL (R$)]]=LARGE($AJ$96:$AJ$103,2)),DADOS!$I$9,""))</f>
        <v/>
      </c>
      <c r="E99" s="96">
        <f>SUMIFS(tabela_registros[VALOR],tabela_registros[MÊS],$AE$1,tabela_registros[DIA],receitasvariáveisconsolidadomar[[#Headers],[1]],tabela_registros[REGISTRO],DADOS!$N$3,tabela_registros[TIPO],DADOS!$V$4,tabela_registros[CATEGORIA],receitasvariáveisconsolidadomar[[#This Row],[ATUAL]])</f>
        <v>0</v>
      </c>
      <c r="F99" s="91">
        <f>SUMIFS(tabela_registros[VALOR],tabela_registros[MÊS],$AE$1,tabela_registros[DIA],receitasvariáveisconsolidadomar[[#Headers],[2]],tabela_registros[REGISTRO],DADOS!$N$3,tabela_registros[TIPO],DADOS!$V$4,tabela_registros[CATEGORIA],receitasvariáveisconsolidadomar[[#This Row],[ATUAL]])</f>
        <v>0</v>
      </c>
      <c r="G99" s="91">
        <f>SUMIFS(tabela_registros[VALOR],tabela_registros[MÊS],$AE$1,tabela_registros[DIA],receitasvariáveisconsolidadomar[[#Headers],[3]],tabela_registros[REGISTRO],DADOS!$N$3,tabela_registros[TIPO],DADOS!$V$4,tabela_registros[CATEGORIA],receitasvariáveisconsolidadomar[[#This Row],[ATUAL]])</f>
        <v>0</v>
      </c>
      <c r="H99" s="91">
        <f>SUMIFS(tabela_registros[VALOR],tabela_registros[MÊS],$AE$1,tabela_registros[DIA],receitasvariáveisconsolidadomar[[#Headers],[4]],tabela_registros[REGISTRO],DADOS!$N$3,tabela_registros[TIPO],DADOS!$V$4,tabela_registros[CATEGORIA],receitasvariáveisconsolidadomar[[#This Row],[ATUAL]])</f>
        <v>0</v>
      </c>
      <c r="I99" s="91">
        <f>SUMIFS(tabela_registros[VALOR],tabela_registros[MÊS],$AE$1,tabela_registros[DIA],receitasvariáveisconsolidadomar[[#Headers],[5]],tabela_registros[REGISTRO],DADOS!$N$3,tabela_registros[TIPO],DADOS!$V$4,tabela_registros[CATEGORIA],receitasvariáveisconsolidadomar[[#This Row],[ATUAL]])</f>
        <v>0</v>
      </c>
      <c r="J99" s="91">
        <f>SUMIFS(tabela_registros[VALOR],tabela_registros[MÊS],$AE$1,tabela_registros[DIA],receitasvariáveisconsolidadomar[[#Headers],[6]],tabela_registros[REGISTRO],DADOS!$N$3,tabela_registros[TIPO],DADOS!$V$4,tabela_registros[CATEGORIA],receitasvariáveisconsolidadomar[[#This Row],[ATUAL]])</f>
        <v>0</v>
      </c>
      <c r="K99" s="91">
        <f>SUMIFS(tabela_registros[VALOR],tabela_registros[MÊS],$AE$1,tabela_registros[DIA],receitasvariáveisconsolidadomar[[#Headers],[7]],tabela_registros[REGISTRO],DADOS!$N$3,tabela_registros[TIPO],DADOS!$V$4,tabela_registros[CATEGORIA],receitasvariáveisconsolidadomar[[#This Row],[ATUAL]])</f>
        <v>0</v>
      </c>
      <c r="L99" s="91">
        <f>SUMIFS(tabela_registros[VALOR],tabela_registros[MÊS],$AE$1,tabela_registros[DIA],receitasvariáveisconsolidadomar[[#Headers],[8]],tabela_registros[REGISTRO],DADOS!$N$3,tabela_registros[TIPO],DADOS!$V$4,tabela_registros[CATEGORIA],receitasvariáveisconsolidadomar[[#This Row],[ATUAL]])</f>
        <v>0</v>
      </c>
      <c r="M99" s="91">
        <f>SUMIFS(tabela_registros[VALOR],tabela_registros[MÊS],$AE$1,tabela_registros[DIA],receitasvariáveisconsolidadomar[[#Headers],[9]],tabela_registros[REGISTRO],DADOS!$N$3,tabela_registros[TIPO],DADOS!$V$4,tabela_registros[CATEGORIA],receitasvariáveisconsolidadomar[[#This Row],[ATUAL]])</f>
        <v>0</v>
      </c>
      <c r="N99" s="91">
        <f>SUMIFS(tabela_registros[VALOR],tabela_registros[MÊS],$AE$1,tabela_registros[DIA],receitasvariáveisconsolidadomar[[#Headers],[10]],tabela_registros[REGISTRO],DADOS!$N$3,tabela_registros[TIPO],DADOS!$V$4,tabela_registros[CATEGORIA],receitasvariáveisconsolidadomar[[#This Row],[ATUAL]])</f>
        <v>0</v>
      </c>
      <c r="O99" s="91">
        <f>SUMIFS(tabela_registros[VALOR],tabela_registros[MÊS],$AE$1,tabela_registros[DIA],receitasvariáveisconsolidadomar[[#Headers],[11]],tabela_registros[REGISTRO],DADOS!$N$3,tabela_registros[TIPO],DADOS!$V$4,tabela_registros[CATEGORIA],receitasvariáveisconsolidadomar[[#This Row],[ATUAL]])</f>
        <v>0</v>
      </c>
      <c r="P99" s="91">
        <f>SUMIFS(tabela_registros[VALOR],tabela_registros[MÊS],$AE$1,tabela_registros[DIA],receitasvariáveisconsolidadomar[[#Headers],[12]],tabela_registros[REGISTRO],DADOS!$N$3,tabela_registros[TIPO],DADOS!$V$4,tabela_registros[CATEGORIA],receitasvariáveisconsolidadomar[[#This Row],[ATUAL]])</f>
        <v>0</v>
      </c>
      <c r="Q99" s="91">
        <f>SUMIFS(tabela_registros[VALOR],tabela_registros[MÊS],$AE$1,tabela_registros[DIA],receitasvariáveisconsolidadomar[[#Headers],[13]],tabela_registros[REGISTRO],DADOS!$N$3,tabela_registros[TIPO],DADOS!$V$4,tabela_registros[CATEGORIA],receitasvariáveisconsolidadomar[[#This Row],[ATUAL]])</f>
        <v>0</v>
      </c>
      <c r="R99" s="91">
        <f>SUMIFS(tabela_registros[VALOR],tabela_registros[MÊS],$AE$1,tabela_registros[DIA],receitasvariáveisconsolidadomar[[#Headers],[14]],tabela_registros[REGISTRO],DADOS!$N$3,tabela_registros[TIPO],DADOS!$V$4,tabela_registros[CATEGORIA],receitasvariáveisconsolidadomar[[#This Row],[ATUAL]])</f>
        <v>0</v>
      </c>
      <c r="S99" s="91">
        <f>SUMIFS(tabela_registros[VALOR],tabela_registros[MÊS],$AE$1,tabela_registros[DIA],receitasvariáveisconsolidadomar[[#Headers],[15]],tabela_registros[REGISTRO],DADOS!$N$3,tabela_registros[TIPO],DADOS!$V$4,tabela_registros[CATEGORIA],receitasvariáveisconsolidadomar[[#This Row],[ATUAL]])</f>
        <v>0</v>
      </c>
      <c r="T99" s="91">
        <f>SUMIFS(tabela_registros[VALOR],tabela_registros[MÊS],$AE$1,tabela_registros[DIA],receitasvariáveisconsolidadomar[[#Headers],[16]],tabela_registros[REGISTRO],DADOS!$N$3,tabela_registros[TIPO],DADOS!$V$4,tabela_registros[CATEGORIA],receitasvariáveisconsolidadomar[[#This Row],[ATUAL]])</f>
        <v>0</v>
      </c>
      <c r="U99" s="91">
        <f>SUMIFS(tabela_registros[VALOR],tabela_registros[MÊS],$AE$1,tabela_registros[DIA],receitasvariáveisconsolidadomar[[#Headers],[17]],tabela_registros[REGISTRO],DADOS!$N$3,tabela_registros[TIPO],DADOS!$V$4,tabela_registros[CATEGORIA],receitasvariáveisconsolidadomar[[#This Row],[ATUAL]])</f>
        <v>0</v>
      </c>
      <c r="V99" s="91">
        <f>SUMIFS(tabela_registros[VALOR],tabela_registros[MÊS],$AE$1,tabela_registros[DIA],receitasvariáveisconsolidadomar[[#Headers],[18]],tabela_registros[REGISTRO],DADOS!$N$3,tabela_registros[TIPO],DADOS!$V$4,tabela_registros[CATEGORIA],receitasvariáveisconsolidadomar[[#This Row],[ATUAL]])</f>
        <v>0</v>
      </c>
      <c r="W99" s="91">
        <f>SUMIFS(tabela_registros[VALOR],tabela_registros[MÊS],$AE$1,tabela_registros[DIA],receitasvariáveisconsolidadomar[[#Headers],[19]],tabela_registros[REGISTRO],DADOS!$N$3,tabela_registros[TIPO],DADOS!$V$4,tabela_registros[CATEGORIA],receitasvariáveisconsolidadomar[[#This Row],[ATUAL]])</f>
        <v>0</v>
      </c>
      <c r="X99" s="91">
        <f>SUMIFS(tabela_registros[VALOR],tabela_registros[MÊS],$AE$1,tabela_registros[DIA],receitasvariáveisconsolidadomar[[#Headers],[20]],tabela_registros[REGISTRO],DADOS!$N$3,tabela_registros[TIPO],DADOS!$V$4,tabela_registros[CATEGORIA],receitasvariáveisconsolidadomar[[#This Row],[ATUAL]])</f>
        <v>0</v>
      </c>
      <c r="Y99" s="91">
        <f>SUMIFS(tabela_registros[VALOR],tabela_registros[MÊS],$AE$1,tabela_registros[DIA],receitasvariáveisconsolidadomar[[#Headers],[21]],tabela_registros[REGISTRO],DADOS!$N$3,tabela_registros[TIPO],DADOS!$V$4,tabela_registros[CATEGORIA],receitasvariáveisconsolidadomar[[#This Row],[ATUAL]])</f>
        <v>0</v>
      </c>
      <c r="Z99" s="91">
        <f>SUMIFS(tabela_registros[VALOR],tabela_registros[MÊS],$AE$1,tabela_registros[DIA],receitasvariáveisconsolidadomar[[#Headers],[22]],tabela_registros[REGISTRO],DADOS!$N$3,tabela_registros[TIPO],DADOS!$V$4,tabela_registros[CATEGORIA],receitasvariáveisconsolidadomar[[#This Row],[ATUAL]])</f>
        <v>0</v>
      </c>
      <c r="AA99" s="91">
        <f>SUMIFS(tabela_registros[VALOR],tabela_registros[MÊS],$AE$1,tabela_registros[DIA],receitasvariáveisconsolidadomar[[#Headers],[23]],tabela_registros[REGISTRO],DADOS!$N$3,tabela_registros[TIPO],DADOS!$V$4,tabela_registros[CATEGORIA],receitasvariáveisconsolidadomar[[#This Row],[ATUAL]])</f>
        <v>0</v>
      </c>
      <c r="AB99" s="91">
        <f>SUMIFS(tabela_registros[VALOR],tabela_registros[MÊS],$AE$1,tabela_registros[DIA],receitasvariáveisconsolidadomar[[#Headers],[24]],tabela_registros[REGISTRO],DADOS!$N$3,tabela_registros[TIPO],DADOS!$V$4,tabela_registros[CATEGORIA],receitasvariáveisconsolidadomar[[#This Row],[ATUAL]])</f>
        <v>0</v>
      </c>
      <c r="AC99" s="91">
        <f>SUMIFS(tabela_registros[VALOR],tabela_registros[MÊS],$AE$1,tabela_registros[DIA],receitasvariáveisconsolidadomar[[#Headers],[25]],tabela_registros[REGISTRO],DADOS!$N$3,tabela_registros[TIPO],DADOS!$V$4,tabela_registros[CATEGORIA],receitasvariáveisconsolidadomar[[#This Row],[ATUAL]])</f>
        <v>0</v>
      </c>
      <c r="AD99" s="91">
        <f>SUMIFS(tabela_registros[VALOR],tabela_registros[MÊS],$AE$1,tabela_registros[DIA],receitasvariáveisconsolidadomar[[#Headers],[26]],tabela_registros[REGISTRO],DADOS!$N$3,tabela_registros[TIPO],DADOS!$V$4,tabela_registros[CATEGORIA],receitasvariáveisconsolidadomar[[#This Row],[ATUAL]])</f>
        <v>0</v>
      </c>
      <c r="AE99" s="91">
        <f>SUMIFS(tabela_registros[VALOR],tabela_registros[MÊS],$AE$1,tabela_registros[DIA],receitasvariáveisconsolidadomar[[#Headers],[27]],tabela_registros[REGISTRO],DADOS!$N$3,tabela_registros[TIPO],DADOS!$V$4,tabela_registros[CATEGORIA],receitasvariáveisconsolidadomar[[#This Row],[ATUAL]])</f>
        <v>0</v>
      </c>
      <c r="AF99" s="91">
        <f>SUMIFS(tabela_registros[VALOR],tabela_registros[MÊS],$AE$1,tabela_registros[DIA],receitasvariáveisconsolidadomar[[#Headers],[28]],tabela_registros[REGISTRO],DADOS!$N$3,tabela_registros[TIPO],DADOS!$V$4,tabela_registros[CATEGORIA],receitasvariáveisconsolidadomar[[#This Row],[ATUAL]])</f>
        <v>0</v>
      </c>
      <c r="AG99" s="91">
        <f>SUMIFS(tabela_registros[VALOR],tabela_registros[MÊS],$AE$1,tabela_registros[DIA],receitasvariáveisconsolidadomar[[#Headers],[29]],tabela_registros[REGISTRO],DADOS!$N$3,tabela_registros[TIPO],DADOS!$V$4,tabela_registros[CATEGORIA],receitasvariáveisconsolidadomar[[#This Row],[ATUAL]])</f>
        <v>0</v>
      </c>
      <c r="AH99" s="91">
        <f>SUMIFS(tabela_registros[VALOR],tabela_registros[MÊS],$AE$1,tabela_registros[DIA],receitasvariáveisconsolidadomar[[#Headers],[30]],tabela_registros[REGISTRO],DADOS!$N$3,tabela_registros[TIPO],DADOS!$V$4,tabela_registros[CATEGORIA],receitasvariáveisconsolidadomar[[#This Row],[ATUAL]])</f>
        <v>0</v>
      </c>
      <c r="AI99" s="101">
        <f>SUMIFS(tabela_registros[VALOR],tabela_registros[MÊS],$AE$1,tabela_registros[DIA],receitasvariáveisconsolidadomar[[#Headers],[31]],tabela_registros[REGISTRO],DADOS!$N$3,tabela_registros[TIPO],DADOS!$V$4,tabela_registros[CATEGORIA],receitasvariáveisconsolidadomar[[#This Row],[ATUAL]])</f>
        <v>0</v>
      </c>
      <c r="AJ99" s="97">
        <f>SUM(receitasvariáveisconsolidadomar[[#This Row],[1]:[31]])</f>
        <v>0</v>
      </c>
      <c r="AK99" s="25"/>
    </row>
    <row r="100" spans="2:37" ht="19.5" customHeight="1" thickTop="1" thickBot="1" x14ac:dyDescent="0.3">
      <c r="B100" s="28"/>
      <c r="C100" s="27" t="str">
        <f>DADOS!$Z$7</f>
        <v>🧾 NOTA DE SERVIÇO</v>
      </c>
      <c r="D100" s="26" t="str">
        <f>IF(receitasvariáveisconsolidadomar[[#This Row],[TOTAL (R$)]]=0,"",IF(OR(receitasvariáveisconsolidadomar[[#This Row],[TOTAL (R$)]]=LARGE($AJ$96:$AJ$103,1),receitasvariáveisconsolidadomar[[#This Row],[TOTAL (R$)]]=LARGE($AJ$96:$AJ$103,2)),DADOS!$I$9,""))</f>
        <v/>
      </c>
      <c r="E100" s="96">
        <f>SUMIFS(tabela_registros[VALOR],tabela_registros[MÊS],$AE$1,tabela_registros[DIA],receitasvariáveisconsolidadomar[[#Headers],[1]],tabela_registros[REGISTRO],DADOS!$N$3,tabela_registros[TIPO],DADOS!$V$4,tabela_registros[CATEGORIA],receitasvariáveisconsolidadomar[[#This Row],[ATUAL]])</f>
        <v>0</v>
      </c>
      <c r="F100" s="91">
        <f>SUMIFS(tabela_registros[VALOR],tabela_registros[MÊS],$AE$1,tabela_registros[DIA],receitasvariáveisconsolidadomar[[#Headers],[2]],tabela_registros[REGISTRO],DADOS!$N$3,tabela_registros[TIPO],DADOS!$V$4,tabela_registros[CATEGORIA],receitasvariáveisconsolidadomar[[#This Row],[ATUAL]])</f>
        <v>0</v>
      </c>
      <c r="G100" s="91">
        <f>SUMIFS(tabela_registros[VALOR],tabela_registros[MÊS],$AE$1,tabela_registros[DIA],receitasvariáveisconsolidadomar[[#Headers],[3]],tabela_registros[REGISTRO],DADOS!$N$3,tabela_registros[TIPO],DADOS!$V$4,tabela_registros[CATEGORIA],receitasvariáveisconsolidadomar[[#This Row],[ATUAL]])</f>
        <v>0</v>
      </c>
      <c r="H100" s="91">
        <f>SUMIFS(tabela_registros[VALOR],tabela_registros[MÊS],$AE$1,tabela_registros[DIA],receitasvariáveisconsolidadomar[[#Headers],[4]],tabela_registros[REGISTRO],DADOS!$N$3,tabela_registros[TIPO],DADOS!$V$4,tabela_registros[CATEGORIA],receitasvariáveisconsolidadomar[[#This Row],[ATUAL]])</f>
        <v>0</v>
      </c>
      <c r="I100" s="91">
        <f>SUMIFS(tabela_registros[VALOR],tabela_registros[MÊS],$AE$1,tabela_registros[DIA],receitasvariáveisconsolidadomar[[#Headers],[5]],tabela_registros[REGISTRO],DADOS!$N$3,tabela_registros[TIPO],DADOS!$V$4,tabela_registros[CATEGORIA],receitasvariáveisconsolidadomar[[#This Row],[ATUAL]])</f>
        <v>0</v>
      </c>
      <c r="J100" s="91">
        <f>SUMIFS(tabela_registros[VALOR],tabela_registros[MÊS],$AE$1,tabela_registros[DIA],receitasvariáveisconsolidadomar[[#Headers],[6]],tabela_registros[REGISTRO],DADOS!$N$3,tabela_registros[TIPO],DADOS!$V$4,tabela_registros[CATEGORIA],receitasvariáveisconsolidadomar[[#This Row],[ATUAL]])</f>
        <v>0</v>
      </c>
      <c r="K100" s="91">
        <f>SUMIFS(tabela_registros[VALOR],tabela_registros[MÊS],$AE$1,tabela_registros[DIA],receitasvariáveisconsolidadomar[[#Headers],[7]],tabela_registros[REGISTRO],DADOS!$N$3,tabela_registros[TIPO],DADOS!$V$4,tabela_registros[CATEGORIA],receitasvariáveisconsolidadomar[[#This Row],[ATUAL]])</f>
        <v>0</v>
      </c>
      <c r="L100" s="91">
        <f>SUMIFS(tabela_registros[VALOR],tabela_registros[MÊS],$AE$1,tabela_registros[DIA],receitasvariáveisconsolidadomar[[#Headers],[8]],tabela_registros[REGISTRO],DADOS!$N$3,tabela_registros[TIPO],DADOS!$V$4,tabela_registros[CATEGORIA],receitasvariáveisconsolidadomar[[#This Row],[ATUAL]])</f>
        <v>0</v>
      </c>
      <c r="M100" s="91">
        <f>SUMIFS(tabela_registros[VALOR],tabela_registros[MÊS],$AE$1,tabela_registros[DIA],receitasvariáveisconsolidadomar[[#Headers],[9]],tabela_registros[REGISTRO],DADOS!$N$3,tabela_registros[TIPO],DADOS!$V$4,tabela_registros[CATEGORIA],receitasvariáveisconsolidadomar[[#This Row],[ATUAL]])</f>
        <v>0</v>
      </c>
      <c r="N100" s="91">
        <f>SUMIFS(tabela_registros[VALOR],tabela_registros[MÊS],$AE$1,tabela_registros[DIA],receitasvariáveisconsolidadomar[[#Headers],[10]],tabela_registros[REGISTRO],DADOS!$N$3,tabela_registros[TIPO],DADOS!$V$4,tabela_registros[CATEGORIA],receitasvariáveisconsolidadomar[[#This Row],[ATUAL]])</f>
        <v>0</v>
      </c>
      <c r="O100" s="91">
        <f>SUMIFS(tabela_registros[VALOR],tabela_registros[MÊS],$AE$1,tabela_registros[DIA],receitasvariáveisconsolidadomar[[#Headers],[11]],tabela_registros[REGISTRO],DADOS!$N$3,tabela_registros[TIPO],DADOS!$V$4,tabela_registros[CATEGORIA],receitasvariáveisconsolidadomar[[#This Row],[ATUAL]])</f>
        <v>0</v>
      </c>
      <c r="P100" s="91">
        <f>SUMIFS(tabela_registros[VALOR],tabela_registros[MÊS],$AE$1,tabela_registros[DIA],receitasvariáveisconsolidadomar[[#Headers],[12]],tabela_registros[REGISTRO],DADOS!$N$3,tabela_registros[TIPO],DADOS!$V$4,tabela_registros[CATEGORIA],receitasvariáveisconsolidadomar[[#This Row],[ATUAL]])</f>
        <v>0</v>
      </c>
      <c r="Q100" s="91">
        <f>SUMIFS(tabela_registros[VALOR],tabela_registros[MÊS],$AE$1,tabela_registros[DIA],receitasvariáveisconsolidadomar[[#Headers],[13]],tabela_registros[REGISTRO],DADOS!$N$3,tabela_registros[TIPO],DADOS!$V$4,tabela_registros[CATEGORIA],receitasvariáveisconsolidadomar[[#This Row],[ATUAL]])</f>
        <v>0</v>
      </c>
      <c r="R100" s="91">
        <f>SUMIFS(tabela_registros[VALOR],tabela_registros[MÊS],$AE$1,tabela_registros[DIA],receitasvariáveisconsolidadomar[[#Headers],[14]],tabela_registros[REGISTRO],DADOS!$N$3,tabela_registros[TIPO],DADOS!$V$4,tabela_registros[CATEGORIA],receitasvariáveisconsolidadomar[[#This Row],[ATUAL]])</f>
        <v>0</v>
      </c>
      <c r="S100" s="91">
        <f>SUMIFS(tabela_registros[VALOR],tabela_registros[MÊS],$AE$1,tabela_registros[DIA],receitasvariáveisconsolidadomar[[#Headers],[15]],tabela_registros[REGISTRO],DADOS!$N$3,tabela_registros[TIPO],DADOS!$V$4,tabela_registros[CATEGORIA],receitasvariáveisconsolidadomar[[#This Row],[ATUAL]])</f>
        <v>0</v>
      </c>
      <c r="T100" s="91">
        <f>SUMIFS(tabela_registros[VALOR],tabela_registros[MÊS],$AE$1,tabela_registros[DIA],receitasvariáveisconsolidadomar[[#Headers],[16]],tabela_registros[REGISTRO],DADOS!$N$3,tabela_registros[TIPO],DADOS!$V$4,tabela_registros[CATEGORIA],receitasvariáveisconsolidadomar[[#This Row],[ATUAL]])</f>
        <v>0</v>
      </c>
      <c r="U100" s="91">
        <f>SUMIFS(tabela_registros[VALOR],tabela_registros[MÊS],$AE$1,tabela_registros[DIA],receitasvariáveisconsolidadomar[[#Headers],[17]],tabela_registros[REGISTRO],DADOS!$N$3,tabela_registros[TIPO],DADOS!$V$4,tabela_registros[CATEGORIA],receitasvariáveisconsolidadomar[[#This Row],[ATUAL]])</f>
        <v>0</v>
      </c>
      <c r="V100" s="91">
        <f>SUMIFS(tabela_registros[VALOR],tabela_registros[MÊS],$AE$1,tabela_registros[DIA],receitasvariáveisconsolidadomar[[#Headers],[18]],tabela_registros[REGISTRO],DADOS!$N$3,tabela_registros[TIPO],DADOS!$V$4,tabela_registros[CATEGORIA],receitasvariáveisconsolidadomar[[#This Row],[ATUAL]])</f>
        <v>0</v>
      </c>
      <c r="W100" s="91">
        <f>SUMIFS(tabela_registros[VALOR],tabela_registros[MÊS],$AE$1,tabela_registros[DIA],receitasvariáveisconsolidadomar[[#Headers],[19]],tabela_registros[REGISTRO],DADOS!$N$3,tabela_registros[TIPO],DADOS!$V$4,tabela_registros[CATEGORIA],receitasvariáveisconsolidadomar[[#This Row],[ATUAL]])</f>
        <v>0</v>
      </c>
      <c r="X100" s="91">
        <f>SUMIFS(tabela_registros[VALOR],tabela_registros[MÊS],$AE$1,tabela_registros[DIA],receitasvariáveisconsolidadomar[[#Headers],[20]],tabela_registros[REGISTRO],DADOS!$N$3,tabela_registros[TIPO],DADOS!$V$4,tabela_registros[CATEGORIA],receitasvariáveisconsolidadomar[[#This Row],[ATUAL]])</f>
        <v>0</v>
      </c>
      <c r="Y100" s="91">
        <f>SUMIFS(tabela_registros[VALOR],tabela_registros[MÊS],$AE$1,tabela_registros[DIA],receitasvariáveisconsolidadomar[[#Headers],[21]],tabela_registros[REGISTRO],DADOS!$N$3,tabela_registros[TIPO],DADOS!$V$4,tabela_registros[CATEGORIA],receitasvariáveisconsolidadomar[[#This Row],[ATUAL]])</f>
        <v>0</v>
      </c>
      <c r="Z100" s="91">
        <f>SUMIFS(tabela_registros[VALOR],tabela_registros[MÊS],$AE$1,tabela_registros[DIA],receitasvariáveisconsolidadomar[[#Headers],[22]],tabela_registros[REGISTRO],DADOS!$N$3,tabela_registros[TIPO],DADOS!$V$4,tabela_registros[CATEGORIA],receitasvariáveisconsolidadomar[[#This Row],[ATUAL]])</f>
        <v>0</v>
      </c>
      <c r="AA100" s="91">
        <f>SUMIFS(tabela_registros[VALOR],tabela_registros[MÊS],$AE$1,tabela_registros[DIA],receitasvariáveisconsolidadomar[[#Headers],[23]],tabela_registros[REGISTRO],DADOS!$N$3,tabela_registros[TIPO],DADOS!$V$4,tabela_registros[CATEGORIA],receitasvariáveisconsolidadomar[[#This Row],[ATUAL]])</f>
        <v>0</v>
      </c>
      <c r="AB100" s="91">
        <f>SUMIFS(tabela_registros[VALOR],tabela_registros[MÊS],$AE$1,tabela_registros[DIA],receitasvariáveisconsolidadomar[[#Headers],[24]],tabela_registros[REGISTRO],DADOS!$N$3,tabela_registros[TIPO],DADOS!$V$4,tabela_registros[CATEGORIA],receitasvariáveisconsolidadomar[[#This Row],[ATUAL]])</f>
        <v>0</v>
      </c>
      <c r="AC100" s="91">
        <f>SUMIFS(tabela_registros[VALOR],tabela_registros[MÊS],$AE$1,tabela_registros[DIA],receitasvariáveisconsolidadomar[[#Headers],[25]],tabela_registros[REGISTRO],DADOS!$N$3,tabela_registros[TIPO],DADOS!$V$4,tabela_registros[CATEGORIA],receitasvariáveisconsolidadomar[[#This Row],[ATUAL]])</f>
        <v>0</v>
      </c>
      <c r="AD100" s="91">
        <f>SUMIFS(tabela_registros[VALOR],tabela_registros[MÊS],$AE$1,tabela_registros[DIA],receitasvariáveisconsolidadomar[[#Headers],[26]],tabela_registros[REGISTRO],DADOS!$N$3,tabela_registros[TIPO],DADOS!$V$4,tabela_registros[CATEGORIA],receitasvariáveisconsolidadomar[[#This Row],[ATUAL]])</f>
        <v>0</v>
      </c>
      <c r="AE100" s="91">
        <f>SUMIFS(tabela_registros[VALOR],tabela_registros[MÊS],$AE$1,tabela_registros[DIA],receitasvariáveisconsolidadomar[[#Headers],[27]],tabela_registros[REGISTRO],DADOS!$N$3,tabela_registros[TIPO],DADOS!$V$4,tabela_registros[CATEGORIA],receitasvariáveisconsolidadomar[[#This Row],[ATUAL]])</f>
        <v>0</v>
      </c>
      <c r="AF100" s="91">
        <f>SUMIFS(tabela_registros[VALOR],tabela_registros[MÊS],$AE$1,tabela_registros[DIA],receitasvariáveisconsolidadomar[[#Headers],[28]],tabela_registros[REGISTRO],DADOS!$N$3,tabela_registros[TIPO],DADOS!$V$4,tabela_registros[CATEGORIA],receitasvariáveisconsolidadomar[[#This Row],[ATUAL]])</f>
        <v>0</v>
      </c>
      <c r="AG100" s="91">
        <f>SUMIFS(tabela_registros[VALOR],tabela_registros[MÊS],$AE$1,tabela_registros[DIA],receitasvariáveisconsolidadomar[[#Headers],[29]],tabela_registros[REGISTRO],DADOS!$N$3,tabela_registros[TIPO],DADOS!$V$4,tabela_registros[CATEGORIA],receitasvariáveisconsolidadomar[[#This Row],[ATUAL]])</f>
        <v>0</v>
      </c>
      <c r="AH100" s="91">
        <f>SUMIFS(tabela_registros[VALOR],tabela_registros[MÊS],$AE$1,tabela_registros[DIA],receitasvariáveisconsolidadomar[[#Headers],[30]],tabela_registros[REGISTRO],DADOS!$N$3,tabela_registros[TIPO],DADOS!$V$4,tabela_registros[CATEGORIA],receitasvariáveisconsolidadomar[[#This Row],[ATUAL]])</f>
        <v>0</v>
      </c>
      <c r="AI100" s="101">
        <f>SUMIFS(tabela_registros[VALOR],tabela_registros[MÊS],$AE$1,tabela_registros[DIA],receitasvariáveisconsolidadomar[[#Headers],[31]],tabela_registros[REGISTRO],DADOS!$N$3,tabela_registros[TIPO],DADOS!$V$4,tabela_registros[CATEGORIA],receitasvariáveisconsolidadomar[[#This Row],[ATUAL]])</f>
        <v>0</v>
      </c>
      <c r="AJ100" s="104">
        <f>SUM(receitasvariáveisconsolidadomar[[#This Row],[1]:[31]])</f>
        <v>0</v>
      </c>
      <c r="AK100" s="25"/>
    </row>
    <row r="101" spans="2:37" ht="19.5" customHeight="1" thickTop="1" thickBot="1" x14ac:dyDescent="0.3">
      <c r="B101" s="28"/>
      <c r="C101" s="27" t="str">
        <f>DADOS!$Z$8</f>
        <v>🎁 PRESENTE</v>
      </c>
      <c r="D101" s="26" t="str">
        <f>IF(receitasvariáveisconsolidadomar[[#This Row],[TOTAL (R$)]]=0,"",IF(OR(receitasvariáveisconsolidadomar[[#This Row],[TOTAL (R$)]]=LARGE($AJ$96:$AJ$103,1),receitasvariáveisconsolidadomar[[#This Row],[TOTAL (R$)]]=LARGE($AJ$96:$AJ$103,2)),DADOS!$I$9,""))</f>
        <v/>
      </c>
      <c r="E101" s="96">
        <f>SUMIFS(tabela_registros[VALOR],tabela_registros[MÊS],$AE$1,tabela_registros[DIA],receitasvariáveisconsolidadomar[[#Headers],[1]],tabela_registros[REGISTRO],DADOS!$N$3,tabela_registros[TIPO],DADOS!$V$4,tabela_registros[CATEGORIA],receitasvariáveisconsolidadomar[[#This Row],[ATUAL]])</f>
        <v>0</v>
      </c>
      <c r="F101" s="91">
        <f>SUMIFS(tabela_registros[VALOR],tabela_registros[MÊS],$AE$1,tabela_registros[DIA],receitasvariáveisconsolidadomar[[#Headers],[2]],tabela_registros[REGISTRO],DADOS!$N$3,tabela_registros[TIPO],DADOS!$V$4,tabela_registros[CATEGORIA],receitasvariáveisconsolidadomar[[#This Row],[ATUAL]])</f>
        <v>0</v>
      </c>
      <c r="G101" s="91">
        <f>SUMIFS(tabela_registros[VALOR],tabela_registros[MÊS],$AE$1,tabela_registros[DIA],receitasvariáveisconsolidadomar[[#Headers],[3]],tabela_registros[REGISTRO],DADOS!$N$3,tabela_registros[TIPO],DADOS!$V$4,tabela_registros[CATEGORIA],receitasvariáveisconsolidadomar[[#This Row],[ATUAL]])</f>
        <v>0</v>
      </c>
      <c r="H101" s="91">
        <f>SUMIFS(tabela_registros[VALOR],tabela_registros[MÊS],$AE$1,tabela_registros[DIA],receitasvariáveisconsolidadomar[[#Headers],[4]],tabela_registros[REGISTRO],DADOS!$N$3,tabela_registros[TIPO],DADOS!$V$4,tabela_registros[CATEGORIA],receitasvariáveisconsolidadomar[[#This Row],[ATUAL]])</f>
        <v>0</v>
      </c>
      <c r="I101" s="91">
        <f>SUMIFS(tabela_registros[VALOR],tabela_registros[MÊS],$AE$1,tabela_registros[DIA],receitasvariáveisconsolidadomar[[#Headers],[5]],tabela_registros[REGISTRO],DADOS!$N$3,tabela_registros[TIPO],DADOS!$V$4,tabela_registros[CATEGORIA],receitasvariáveisconsolidadomar[[#This Row],[ATUAL]])</f>
        <v>0</v>
      </c>
      <c r="J101" s="91">
        <f>SUMIFS(tabela_registros[VALOR],tabela_registros[MÊS],$AE$1,tabela_registros[DIA],receitasvariáveisconsolidadomar[[#Headers],[6]],tabela_registros[REGISTRO],DADOS!$N$3,tabela_registros[TIPO],DADOS!$V$4,tabela_registros[CATEGORIA],receitasvariáveisconsolidadomar[[#This Row],[ATUAL]])</f>
        <v>0</v>
      </c>
      <c r="K101" s="91">
        <f>SUMIFS(tabela_registros[VALOR],tabela_registros[MÊS],$AE$1,tabela_registros[DIA],receitasvariáveisconsolidadomar[[#Headers],[7]],tabela_registros[REGISTRO],DADOS!$N$3,tabela_registros[TIPO],DADOS!$V$4,tabela_registros[CATEGORIA],receitasvariáveisconsolidadomar[[#This Row],[ATUAL]])</f>
        <v>0</v>
      </c>
      <c r="L101" s="91">
        <f>SUMIFS(tabela_registros[VALOR],tabela_registros[MÊS],$AE$1,tabela_registros[DIA],receitasvariáveisconsolidadomar[[#Headers],[8]],tabela_registros[REGISTRO],DADOS!$N$3,tabela_registros[TIPO],DADOS!$V$4,tabela_registros[CATEGORIA],receitasvariáveisconsolidadomar[[#This Row],[ATUAL]])</f>
        <v>0</v>
      </c>
      <c r="M101" s="91">
        <f>SUMIFS(tabela_registros[VALOR],tabela_registros[MÊS],$AE$1,tabela_registros[DIA],receitasvariáveisconsolidadomar[[#Headers],[9]],tabela_registros[REGISTRO],DADOS!$N$3,tabela_registros[TIPO],DADOS!$V$4,tabela_registros[CATEGORIA],receitasvariáveisconsolidadomar[[#This Row],[ATUAL]])</f>
        <v>0</v>
      </c>
      <c r="N101" s="91">
        <f>SUMIFS(tabela_registros[VALOR],tabela_registros[MÊS],$AE$1,tabela_registros[DIA],receitasvariáveisconsolidadomar[[#Headers],[10]],tabela_registros[REGISTRO],DADOS!$N$3,tabela_registros[TIPO],DADOS!$V$4,tabela_registros[CATEGORIA],receitasvariáveisconsolidadomar[[#This Row],[ATUAL]])</f>
        <v>0</v>
      </c>
      <c r="O101" s="91">
        <f>SUMIFS(tabela_registros[VALOR],tabela_registros[MÊS],$AE$1,tabela_registros[DIA],receitasvariáveisconsolidadomar[[#Headers],[11]],tabela_registros[REGISTRO],DADOS!$N$3,tabela_registros[TIPO],DADOS!$V$4,tabela_registros[CATEGORIA],receitasvariáveisconsolidadomar[[#This Row],[ATUAL]])</f>
        <v>0</v>
      </c>
      <c r="P101" s="91">
        <f>SUMIFS(tabela_registros[VALOR],tabela_registros[MÊS],$AE$1,tabela_registros[DIA],receitasvariáveisconsolidadomar[[#Headers],[12]],tabela_registros[REGISTRO],DADOS!$N$3,tabela_registros[TIPO],DADOS!$V$4,tabela_registros[CATEGORIA],receitasvariáveisconsolidadomar[[#This Row],[ATUAL]])</f>
        <v>0</v>
      </c>
      <c r="Q101" s="91">
        <f>SUMIFS(tabela_registros[VALOR],tabela_registros[MÊS],$AE$1,tabela_registros[DIA],receitasvariáveisconsolidadomar[[#Headers],[13]],tabela_registros[REGISTRO],DADOS!$N$3,tabela_registros[TIPO],DADOS!$V$4,tabela_registros[CATEGORIA],receitasvariáveisconsolidadomar[[#This Row],[ATUAL]])</f>
        <v>0</v>
      </c>
      <c r="R101" s="91">
        <f>SUMIFS(tabela_registros[VALOR],tabela_registros[MÊS],$AE$1,tabela_registros[DIA],receitasvariáveisconsolidadomar[[#Headers],[14]],tabela_registros[REGISTRO],DADOS!$N$3,tabela_registros[TIPO],DADOS!$V$4,tabela_registros[CATEGORIA],receitasvariáveisconsolidadomar[[#This Row],[ATUAL]])</f>
        <v>0</v>
      </c>
      <c r="S101" s="91">
        <f>SUMIFS(tabela_registros[VALOR],tabela_registros[MÊS],$AE$1,tabela_registros[DIA],receitasvariáveisconsolidadomar[[#Headers],[15]],tabela_registros[REGISTRO],DADOS!$N$3,tabela_registros[TIPO],DADOS!$V$4,tabela_registros[CATEGORIA],receitasvariáveisconsolidadomar[[#This Row],[ATUAL]])</f>
        <v>0</v>
      </c>
      <c r="T101" s="91">
        <f>SUMIFS(tabela_registros[VALOR],tabela_registros[MÊS],$AE$1,tabela_registros[DIA],receitasvariáveisconsolidadomar[[#Headers],[16]],tabela_registros[REGISTRO],DADOS!$N$3,tabela_registros[TIPO],DADOS!$V$4,tabela_registros[CATEGORIA],receitasvariáveisconsolidadomar[[#This Row],[ATUAL]])</f>
        <v>0</v>
      </c>
      <c r="U101" s="91">
        <f>SUMIFS(tabela_registros[VALOR],tabela_registros[MÊS],$AE$1,tabela_registros[DIA],receitasvariáveisconsolidadomar[[#Headers],[17]],tabela_registros[REGISTRO],DADOS!$N$3,tabela_registros[TIPO],DADOS!$V$4,tabela_registros[CATEGORIA],receitasvariáveisconsolidadomar[[#This Row],[ATUAL]])</f>
        <v>0</v>
      </c>
      <c r="V101" s="91">
        <f>SUMIFS(tabela_registros[VALOR],tabela_registros[MÊS],$AE$1,tabela_registros[DIA],receitasvariáveisconsolidadomar[[#Headers],[18]],tabela_registros[REGISTRO],DADOS!$N$3,tabela_registros[TIPO],DADOS!$V$4,tabela_registros[CATEGORIA],receitasvariáveisconsolidadomar[[#This Row],[ATUAL]])</f>
        <v>0</v>
      </c>
      <c r="W101" s="91">
        <f>SUMIFS(tabela_registros[VALOR],tabela_registros[MÊS],$AE$1,tabela_registros[DIA],receitasvariáveisconsolidadomar[[#Headers],[19]],tabela_registros[REGISTRO],DADOS!$N$3,tabela_registros[TIPO],DADOS!$V$4,tabela_registros[CATEGORIA],receitasvariáveisconsolidadomar[[#This Row],[ATUAL]])</f>
        <v>0</v>
      </c>
      <c r="X101" s="91">
        <f>SUMIFS(tabela_registros[VALOR],tabela_registros[MÊS],$AE$1,tabela_registros[DIA],receitasvariáveisconsolidadomar[[#Headers],[20]],tabela_registros[REGISTRO],DADOS!$N$3,tabela_registros[TIPO],DADOS!$V$4,tabela_registros[CATEGORIA],receitasvariáveisconsolidadomar[[#This Row],[ATUAL]])</f>
        <v>0</v>
      </c>
      <c r="Y101" s="91">
        <f>SUMIFS(tabela_registros[VALOR],tabela_registros[MÊS],$AE$1,tabela_registros[DIA],receitasvariáveisconsolidadomar[[#Headers],[21]],tabela_registros[REGISTRO],DADOS!$N$3,tabela_registros[TIPO],DADOS!$V$4,tabela_registros[CATEGORIA],receitasvariáveisconsolidadomar[[#This Row],[ATUAL]])</f>
        <v>0</v>
      </c>
      <c r="Z101" s="91">
        <f>SUMIFS(tabela_registros[VALOR],tabela_registros[MÊS],$AE$1,tabela_registros[DIA],receitasvariáveisconsolidadomar[[#Headers],[22]],tabela_registros[REGISTRO],DADOS!$N$3,tabela_registros[TIPO],DADOS!$V$4,tabela_registros[CATEGORIA],receitasvariáveisconsolidadomar[[#This Row],[ATUAL]])</f>
        <v>0</v>
      </c>
      <c r="AA101" s="91">
        <f>SUMIFS(tabela_registros[VALOR],tabela_registros[MÊS],$AE$1,tabela_registros[DIA],receitasvariáveisconsolidadomar[[#Headers],[23]],tabela_registros[REGISTRO],DADOS!$N$3,tabela_registros[TIPO],DADOS!$V$4,tabela_registros[CATEGORIA],receitasvariáveisconsolidadomar[[#This Row],[ATUAL]])</f>
        <v>0</v>
      </c>
      <c r="AB101" s="91">
        <f>SUMIFS(tabela_registros[VALOR],tabela_registros[MÊS],$AE$1,tabela_registros[DIA],receitasvariáveisconsolidadomar[[#Headers],[24]],tabela_registros[REGISTRO],DADOS!$N$3,tabela_registros[TIPO],DADOS!$V$4,tabela_registros[CATEGORIA],receitasvariáveisconsolidadomar[[#This Row],[ATUAL]])</f>
        <v>0</v>
      </c>
      <c r="AC101" s="91">
        <f>SUMIFS(tabela_registros[VALOR],tabela_registros[MÊS],$AE$1,tabela_registros[DIA],receitasvariáveisconsolidadomar[[#Headers],[25]],tabela_registros[REGISTRO],DADOS!$N$3,tabela_registros[TIPO],DADOS!$V$4,tabela_registros[CATEGORIA],receitasvariáveisconsolidadomar[[#This Row],[ATUAL]])</f>
        <v>0</v>
      </c>
      <c r="AD101" s="91">
        <f>SUMIFS(tabela_registros[VALOR],tabela_registros[MÊS],$AE$1,tabela_registros[DIA],receitasvariáveisconsolidadomar[[#Headers],[26]],tabela_registros[REGISTRO],DADOS!$N$3,tabela_registros[TIPO],DADOS!$V$4,tabela_registros[CATEGORIA],receitasvariáveisconsolidadomar[[#This Row],[ATUAL]])</f>
        <v>0</v>
      </c>
      <c r="AE101" s="91">
        <f>SUMIFS(tabela_registros[VALOR],tabela_registros[MÊS],$AE$1,tabela_registros[DIA],receitasvariáveisconsolidadomar[[#Headers],[27]],tabela_registros[REGISTRO],DADOS!$N$3,tabela_registros[TIPO],DADOS!$V$4,tabela_registros[CATEGORIA],receitasvariáveisconsolidadomar[[#This Row],[ATUAL]])</f>
        <v>0</v>
      </c>
      <c r="AF101" s="91">
        <f>SUMIFS(tabela_registros[VALOR],tabela_registros[MÊS],$AE$1,tabela_registros[DIA],receitasvariáveisconsolidadomar[[#Headers],[28]],tabela_registros[REGISTRO],DADOS!$N$3,tabela_registros[TIPO],DADOS!$V$4,tabela_registros[CATEGORIA],receitasvariáveisconsolidadomar[[#This Row],[ATUAL]])</f>
        <v>0</v>
      </c>
      <c r="AG101" s="91">
        <f>SUMIFS(tabela_registros[VALOR],tabela_registros[MÊS],$AE$1,tabela_registros[DIA],receitasvariáveisconsolidadomar[[#Headers],[29]],tabela_registros[REGISTRO],DADOS!$N$3,tabela_registros[TIPO],DADOS!$V$4,tabela_registros[CATEGORIA],receitasvariáveisconsolidadomar[[#This Row],[ATUAL]])</f>
        <v>0</v>
      </c>
      <c r="AH101" s="91">
        <f>SUMIFS(tabela_registros[VALOR],tabela_registros[MÊS],$AE$1,tabela_registros[DIA],receitasvariáveisconsolidadomar[[#Headers],[30]],tabela_registros[REGISTRO],DADOS!$N$3,tabela_registros[TIPO],DADOS!$V$4,tabela_registros[CATEGORIA],receitasvariáveisconsolidadomar[[#This Row],[ATUAL]])</f>
        <v>0</v>
      </c>
      <c r="AI101" s="101">
        <f>SUMIFS(tabela_registros[VALOR],tabela_registros[MÊS],$AE$1,tabela_registros[DIA],receitasvariáveisconsolidadomar[[#Headers],[31]],tabela_registros[REGISTRO],DADOS!$N$3,tabela_registros[TIPO],DADOS!$V$4,tabela_registros[CATEGORIA],receitasvariáveisconsolidadomar[[#This Row],[ATUAL]])</f>
        <v>0</v>
      </c>
      <c r="AJ101" s="104">
        <f>SUM(receitasvariáveisconsolidadomar[[#This Row],[1]:[31]])</f>
        <v>0</v>
      </c>
      <c r="AK101" s="25"/>
    </row>
    <row r="102" spans="2:37" ht="19.5" customHeight="1" thickTop="1" thickBot="1" x14ac:dyDescent="0.3">
      <c r="B102" s="28"/>
      <c r="C102" s="27" t="str">
        <f>DADOS!$Z$9</f>
        <v>👷‍♀️ TRABALHO TEMPORÁRIO</v>
      </c>
      <c r="D102" s="26" t="str">
        <f>IF(receitasvariáveisconsolidadomar[[#This Row],[TOTAL (R$)]]=0,"",IF(OR(receitasvariáveisconsolidadomar[[#This Row],[TOTAL (R$)]]=LARGE($AJ$96:$AJ$103,1),receitasvariáveisconsolidadomar[[#This Row],[TOTAL (R$)]]=LARGE($AJ$96:$AJ$103,2)),DADOS!$I$9,""))</f>
        <v/>
      </c>
      <c r="E102" s="96">
        <f>SUMIFS(tabela_registros[VALOR],tabela_registros[MÊS],$AE$1,tabela_registros[DIA],receitasvariáveisconsolidadomar[[#Headers],[1]],tabela_registros[REGISTRO],DADOS!$N$3,tabela_registros[TIPO],DADOS!$V$4,tabela_registros[CATEGORIA],receitasvariáveisconsolidadomar[[#This Row],[ATUAL]])</f>
        <v>0</v>
      </c>
      <c r="F102" s="91">
        <f>SUMIFS(tabela_registros[VALOR],tabela_registros[MÊS],$AE$1,tabela_registros[DIA],receitasvariáveisconsolidadomar[[#Headers],[2]],tabela_registros[REGISTRO],DADOS!$N$3,tabela_registros[TIPO],DADOS!$V$4,tabela_registros[CATEGORIA],receitasvariáveisconsolidadomar[[#This Row],[ATUAL]])</f>
        <v>0</v>
      </c>
      <c r="G102" s="91">
        <f>SUMIFS(tabela_registros[VALOR],tabela_registros[MÊS],$AE$1,tabela_registros[DIA],receitasvariáveisconsolidadomar[[#Headers],[3]],tabela_registros[REGISTRO],DADOS!$N$3,tabela_registros[TIPO],DADOS!$V$4,tabela_registros[CATEGORIA],receitasvariáveisconsolidadomar[[#This Row],[ATUAL]])</f>
        <v>0</v>
      </c>
      <c r="H102" s="91">
        <f>SUMIFS(tabela_registros[VALOR],tabela_registros[MÊS],$AE$1,tabela_registros[DIA],receitasvariáveisconsolidadomar[[#Headers],[4]],tabela_registros[REGISTRO],DADOS!$N$3,tabela_registros[TIPO],DADOS!$V$4,tabela_registros[CATEGORIA],receitasvariáveisconsolidadomar[[#This Row],[ATUAL]])</f>
        <v>0</v>
      </c>
      <c r="I102" s="91">
        <f>SUMIFS(tabela_registros[VALOR],tabela_registros[MÊS],$AE$1,tabela_registros[DIA],receitasvariáveisconsolidadomar[[#Headers],[5]],tabela_registros[REGISTRO],DADOS!$N$3,tabela_registros[TIPO],DADOS!$V$4,tabela_registros[CATEGORIA],receitasvariáveisconsolidadomar[[#This Row],[ATUAL]])</f>
        <v>0</v>
      </c>
      <c r="J102" s="91">
        <f>SUMIFS(tabela_registros[VALOR],tabela_registros[MÊS],$AE$1,tabela_registros[DIA],receitasvariáveisconsolidadomar[[#Headers],[6]],tabela_registros[REGISTRO],DADOS!$N$3,tabela_registros[TIPO],DADOS!$V$4,tabela_registros[CATEGORIA],receitasvariáveisconsolidadomar[[#This Row],[ATUAL]])</f>
        <v>0</v>
      </c>
      <c r="K102" s="91">
        <f>SUMIFS(tabela_registros[VALOR],tabela_registros[MÊS],$AE$1,tabela_registros[DIA],receitasvariáveisconsolidadomar[[#Headers],[7]],tabela_registros[REGISTRO],DADOS!$N$3,tabela_registros[TIPO],DADOS!$V$4,tabela_registros[CATEGORIA],receitasvariáveisconsolidadomar[[#This Row],[ATUAL]])</f>
        <v>0</v>
      </c>
      <c r="L102" s="91">
        <f>SUMIFS(tabela_registros[VALOR],tabela_registros[MÊS],$AE$1,tabela_registros[DIA],receitasvariáveisconsolidadomar[[#Headers],[8]],tabela_registros[REGISTRO],DADOS!$N$3,tabela_registros[TIPO],DADOS!$V$4,tabela_registros[CATEGORIA],receitasvariáveisconsolidadomar[[#This Row],[ATUAL]])</f>
        <v>0</v>
      </c>
      <c r="M102" s="91">
        <f>SUMIFS(tabela_registros[VALOR],tabela_registros[MÊS],$AE$1,tabela_registros[DIA],receitasvariáveisconsolidadomar[[#Headers],[9]],tabela_registros[REGISTRO],DADOS!$N$3,tabela_registros[TIPO],DADOS!$V$4,tabela_registros[CATEGORIA],receitasvariáveisconsolidadomar[[#This Row],[ATUAL]])</f>
        <v>0</v>
      </c>
      <c r="N102" s="91">
        <f>SUMIFS(tabela_registros[VALOR],tabela_registros[MÊS],$AE$1,tabela_registros[DIA],receitasvariáveisconsolidadomar[[#Headers],[10]],tabela_registros[REGISTRO],DADOS!$N$3,tabela_registros[TIPO],DADOS!$V$4,tabela_registros[CATEGORIA],receitasvariáveisconsolidadomar[[#This Row],[ATUAL]])</f>
        <v>0</v>
      </c>
      <c r="O102" s="91">
        <f>SUMIFS(tabela_registros[VALOR],tabela_registros[MÊS],$AE$1,tabela_registros[DIA],receitasvariáveisconsolidadomar[[#Headers],[11]],tabela_registros[REGISTRO],DADOS!$N$3,tabela_registros[TIPO],DADOS!$V$4,tabela_registros[CATEGORIA],receitasvariáveisconsolidadomar[[#This Row],[ATUAL]])</f>
        <v>0</v>
      </c>
      <c r="P102" s="91">
        <f>SUMIFS(tabela_registros[VALOR],tabela_registros[MÊS],$AE$1,tabela_registros[DIA],receitasvariáveisconsolidadomar[[#Headers],[12]],tabela_registros[REGISTRO],DADOS!$N$3,tabela_registros[TIPO],DADOS!$V$4,tabela_registros[CATEGORIA],receitasvariáveisconsolidadomar[[#This Row],[ATUAL]])</f>
        <v>0</v>
      </c>
      <c r="Q102" s="91">
        <f>SUMIFS(tabela_registros[VALOR],tabela_registros[MÊS],$AE$1,tabela_registros[DIA],receitasvariáveisconsolidadomar[[#Headers],[13]],tabela_registros[REGISTRO],DADOS!$N$3,tabela_registros[TIPO],DADOS!$V$4,tabela_registros[CATEGORIA],receitasvariáveisconsolidadomar[[#This Row],[ATUAL]])</f>
        <v>0</v>
      </c>
      <c r="R102" s="91">
        <f>SUMIFS(tabela_registros[VALOR],tabela_registros[MÊS],$AE$1,tabela_registros[DIA],receitasvariáveisconsolidadomar[[#Headers],[14]],tabela_registros[REGISTRO],DADOS!$N$3,tabela_registros[TIPO],DADOS!$V$4,tabela_registros[CATEGORIA],receitasvariáveisconsolidadomar[[#This Row],[ATUAL]])</f>
        <v>0</v>
      </c>
      <c r="S102" s="91">
        <f>SUMIFS(tabela_registros[VALOR],tabela_registros[MÊS],$AE$1,tabela_registros[DIA],receitasvariáveisconsolidadomar[[#Headers],[15]],tabela_registros[REGISTRO],DADOS!$N$3,tabela_registros[TIPO],DADOS!$V$4,tabela_registros[CATEGORIA],receitasvariáveisconsolidadomar[[#This Row],[ATUAL]])</f>
        <v>0</v>
      </c>
      <c r="T102" s="91">
        <f>SUMIFS(tabela_registros[VALOR],tabela_registros[MÊS],$AE$1,tabela_registros[DIA],receitasvariáveisconsolidadomar[[#Headers],[16]],tabela_registros[REGISTRO],DADOS!$N$3,tabela_registros[TIPO],DADOS!$V$4,tabela_registros[CATEGORIA],receitasvariáveisconsolidadomar[[#This Row],[ATUAL]])</f>
        <v>0</v>
      </c>
      <c r="U102" s="91">
        <f>SUMIFS(tabela_registros[VALOR],tabela_registros[MÊS],$AE$1,tabela_registros[DIA],receitasvariáveisconsolidadomar[[#Headers],[17]],tabela_registros[REGISTRO],DADOS!$N$3,tabela_registros[TIPO],DADOS!$V$4,tabela_registros[CATEGORIA],receitasvariáveisconsolidadomar[[#This Row],[ATUAL]])</f>
        <v>0</v>
      </c>
      <c r="V102" s="91">
        <f>SUMIFS(tabela_registros[VALOR],tabela_registros[MÊS],$AE$1,tabela_registros[DIA],receitasvariáveisconsolidadomar[[#Headers],[18]],tabela_registros[REGISTRO],DADOS!$N$3,tabela_registros[TIPO],DADOS!$V$4,tabela_registros[CATEGORIA],receitasvariáveisconsolidadomar[[#This Row],[ATUAL]])</f>
        <v>0</v>
      </c>
      <c r="W102" s="91">
        <f>SUMIFS(tabela_registros[VALOR],tabela_registros[MÊS],$AE$1,tabela_registros[DIA],receitasvariáveisconsolidadomar[[#Headers],[19]],tabela_registros[REGISTRO],DADOS!$N$3,tabela_registros[TIPO],DADOS!$V$4,tabela_registros[CATEGORIA],receitasvariáveisconsolidadomar[[#This Row],[ATUAL]])</f>
        <v>0</v>
      </c>
      <c r="X102" s="91">
        <f>SUMIFS(tabela_registros[VALOR],tabela_registros[MÊS],$AE$1,tabela_registros[DIA],receitasvariáveisconsolidadomar[[#Headers],[20]],tabela_registros[REGISTRO],DADOS!$N$3,tabela_registros[TIPO],DADOS!$V$4,tabela_registros[CATEGORIA],receitasvariáveisconsolidadomar[[#This Row],[ATUAL]])</f>
        <v>0</v>
      </c>
      <c r="Y102" s="91">
        <f>SUMIFS(tabela_registros[VALOR],tabela_registros[MÊS],$AE$1,tabela_registros[DIA],receitasvariáveisconsolidadomar[[#Headers],[21]],tabela_registros[REGISTRO],DADOS!$N$3,tabela_registros[TIPO],DADOS!$V$4,tabela_registros[CATEGORIA],receitasvariáveisconsolidadomar[[#This Row],[ATUAL]])</f>
        <v>0</v>
      </c>
      <c r="Z102" s="91">
        <f>SUMIFS(tabela_registros[VALOR],tabela_registros[MÊS],$AE$1,tabela_registros[DIA],receitasvariáveisconsolidadomar[[#Headers],[22]],tabela_registros[REGISTRO],DADOS!$N$3,tabela_registros[TIPO],DADOS!$V$4,tabela_registros[CATEGORIA],receitasvariáveisconsolidadomar[[#This Row],[ATUAL]])</f>
        <v>0</v>
      </c>
      <c r="AA102" s="91">
        <f>SUMIFS(tabela_registros[VALOR],tabela_registros[MÊS],$AE$1,tabela_registros[DIA],receitasvariáveisconsolidadomar[[#Headers],[23]],tabela_registros[REGISTRO],DADOS!$N$3,tabela_registros[TIPO],DADOS!$V$4,tabela_registros[CATEGORIA],receitasvariáveisconsolidadomar[[#This Row],[ATUAL]])</f>
        <v>0</v>
      </c>
      <c r="AB102" s="91">
        <f>SUMIFS(tabela_registros[VALOR],tabela_registros[MÊS],$AE$1,tabela_registros[DIA],receitasvariáveisconsolidadomar[[#Headers],[24]],tabela_registros[REGISTRO],DADOS!$N$3,tabela_registros[TIPO],DADOS!$V$4,tabela_registros[CATEGORIA],receitasvariáveisconsolidadomar[[#This Row],[ATUAL]])</f>
        <v>0</v>
      </c>
      <c r="AC102" s="91">
        <f>SUMIFS(tabela_registros[VALOR],tabela_registros[MÊS],$AE$1,tabela_registros[DIA],receitasvariáveisconsolidadomar[[#Headers],[25]],tabela_registros[REGISTRO],DADOS!$N$3,tabela_registros[TIPO],DADOS!$V$4,tabela_registros[CATEGORIA],receitasvariáveisconsolidadomar[[#This Row],[ATUAL]])</f>
        <v>0</v>
      </c>
      <c r="AD102" s="91">
        <f>SUMIFS(tabela_registros[VALOR],tabela_registros[MÊS],$AE$1,tabela_registros[DIA],receitasvariáveisconsolidadomar[[#Headers],[26]],tabela_registros[REGISTRO],DADOS!$N$3,tabela_registros[TIPO],DADOS!$V$4,tabela_registros[CATEGORIA],receitasvariáveisconsolidadomar[[#This Row],[ATUAL]])</f>
        <v>0</v>
      </c>
      <c r="AE102" s="91">
        <f>SUMIFS(tabela_registros[VALOR],tabela_registros[MÊS],$AE$1,tabela_registros[DIA],receitasvariáveisconsolidadomar[[#Headers],[27]],tabela_registros[REGISTRO],DADOS!$N$3,tabela_registros[TIPO],DADOS!$V$4,tabela_registros[CATEGORIA],receitasvariáveisconsolidadomar[[#This Row],[ATUAL]])</f>
        <v>0</v>
      </c>
      <c r="AF102" s="91">
        <f>SUMIFS(tabela_registros[VALOR],tabela_registros[MÊS],$AE$1,tabela_registros[DIA],receitasvariáveisconsolidadomar[[#Headers],[28]],tabela_registros[REGISTRO],DADOS!$N$3,tabela_registros[TIPO],DADOS!$V$4,tabela_registros[CATEGORIA],receitasvariáveisconsolidadomar[[#This Row],[ATUAL]])</f>
        <v>0</v>
      </c>
      <c r="AG102" s="91">
        <f>SUMIFS(tabela_registros[VALOR],tabela_registros[MÊS],$AE$1,tabela_registros[DIA],receitasvariáveisconsolidadomar[[#Headers],[29]],tabela_registros[REGISTRO],DADOS!$N$3,tabela_registros[TIPO],DADOS!$V$4,tabela_registros[CATEGORIA],receitasvariáveisconsolidadomar[[#This Row],[ATUAL]])</f>
        <v>0</v>
      </c>
      <c r="AH102" s="91">
        <f>SUMIFS(tabela_registros[VALOR],tabela_registros[MÊS],$AE$1,tabela_registros[DIA],receitasvariáveisconsolidadomar[[#Headers],[30]],tabela_registros[REGISTRO],DADOS!$N$3,tabela_registros[TIPO],DADOS!$V$4,tabela_registros[CATEGORIA],receitasvariáveisconsolidadomar[[#This Row],[ATUAL]])</f>
        <v>0</v>
      </c>
      <c r="AI102" s="101">
        <f>SUMIFS(tabela_registros[VALOR],tabela_registros[MÊS],$AE$1,tabela_registros[DIA],receitasvariáveisconsolidadomar[[#Headers],[31]],tabela_registros[REGISTRO],DADOS!$N$3,tabela_registros[TIPO],DADOS!$V$4,tabela_registros[CATEGORIA],receitasvariáveisconsolidadomar[[#This Row],[ATUAL]])</f>
        <v>0</v>
      </c>
      <c r="AJ102" s="104">
        <f>SUM(receitasvariáveisconsolidadomar[[#This Row],[1]:[31]])</f>
        <v>0</v>
      </c>
      <c r="AK102" s="25"/>
    </row>
    <row r="103" spans="2:37" ht="18" customHeight="1" thickTop="1" thickBot="1" x14ac:dyDescent="0.3">
      <c r="B103" s="28"/>
      <c r="C103" s="27" t="str">
        <f>DADOS!$Z$10</f>
        <v>📎 OUTROS</v>
      </c>
      <c r="D103" s="26" t="str">
        <f>IF(receitasvariáveisconsolidadomar[[#This Row],[TOTAL (R$)]]=0,"",IF(OR(receitasvariáveisconsolidadomar[[#This Row],[TOTAL (R$)]]=LARGE($AJ$96:$AJ$103,1),receitasvariáveisconsolidadomar[[#This Row],[TOTAL (R$)]]=LARGE($AJ$96:$AJ$103,2)),DADOS!$I$9,""))</f>
        <v/>
      </c>
      <c r="E103" s="96">
        <f>SUMIFS(tabela_registros[VALOR],tabela_registros[MÊS],$AE$1,tabela_registros[DIA],receitasvariáveisconsolidadomar[[#Headers],[1]],tabela_registros[REGISTRO],DADOS!$N$3,tabela_registros[TIPO],DADOS!$V$4,tabela_registros[CATEGORIA],receitasvariáveisconsolidadomar[[#This Row],[ATUAL]])</f>
        <v>0</v>
      </c>
      <c r="F103" s="91">
        <f>SUMIFS(tabela_registros[VALOR],tabela_registros[MÊS],$AE$1,tabela_registros[DIA],receitasvariáveisconsolidadomar[[#Headers],[2]],tabela_registros[REGISTRO],DADOS!$N$3,tabela_registros[TIPO],DADOS!$V$4,tabela_registros[CATEGORIA],receitasvariáveisconsolidadomar[[#This Row],[ATUAL]])</f>
        <v>0</v>
      </c>
      <c r="G103" s="91">
        <f>SUMIFS(tabela_registros[VALOR],tabela_registros[MÊS],$AE$1,tabela_registros[DIA],receitasvariáveisconsolidadomar[[#Headers],[3]],tabela_registros[REGISTRO],DADOS!$N$3,tabela_registros[TIPO],DADOS!$V$4,tabela_registros[CATEGORIA],receitasvariáveisconsolidadomar[[#This Row],[ATUAL]])</f>
        <v>0</v>
      </c>
      <c r="H103" s="91">
        <f>SUMIFS(tabela_registros[VALOR],tabela_registros[MÊS],$AE$1,tabela_registros[DIA],receitasvariáveisconsolidadomar[[#Headers],[4]],tabela_registros[REGISTRO],DADOS!$N$3,tabela_registros[TIPO],DADOS!$V$4,tabela_registros[CATEGORIA],receitasvariáveisconsolidadomar[[#This Row],[ATUAL]])</f>
        <v>0</v>
      </c>
      <c r="I103" s="91">
        <f>SUMIFS(tabela_registros[VALOR],tabela_registros[MÊS],$AE$1,tabela_registros[DIA],receitasvariáveisconsolidadomar[[#Headers],[5]],tabela_registros[REGISTRO],DADOS!$N$3,tabela_registros[TIPO],DADOS!$V$4,tabela_registros[CATEGORIA],receitasvariáveisconsolidadomar[[#This Row],[ATUAL]])</f>
        <v>0</v>
      </c>
      <c r="J103" s="91">
        <f>SUMIFS(tabela_registros[VALOR],tabela_registros[MÊS],$AE$1,tabela_registros[DIA],receitasvariáveisconsolidadomar[[#Headers],[6]],tabela_registros[REGISTRO],DADOS!$N$3,tabela_registros[TIPO],DADOS!$V$4,tabela_registros[CATEGORIA],receitasvariáveisconsolidadomar[[#This Row],[ATUAL]])</f>
        <v>0</v>
      </c>
      <c r="K103" s="91">
        <f>SUMIFS(tabela_registros[VALOR],tabela_registros[MÊS],$AE$1,tabela_registros[DIA],receitasvariáveisconsolidadomar[[#Headers],[7]],tabela_registros[REGISTRO],DADOS!$N$3,tabela_registros[TIPO],DADOS!$V$4,tabela_registros[CATEGORIA],receitasvariáveisconsolidadomar[[#This Row],[ATUAL]])</f>
        <v>0</v>
      </c>
      <c r="L103" s="91">
        <f>SUMIFS(tabela_registros[VALOR],tabela_registros[MÊS],$AE$1,tabela_registros[DIA],receitasvariáveisconsolidadomar[[#Headers],[8]],tabela_registros[REGISTRO],DADOS!$N$3,tabela_registros[TIPO],DADOS!$V$4,tabela_registros[CATEGORIA],receitasvariáveisconsolidadomar[[#This Row],[ATUAL]])</f>
        <v>0</v>
      </c>
      <c r="M103" s="91">
        <f>SUMIFS(tabela_registros[VALOR],tabela_registros[MÊS],$AE$1,tabela_registros[DIA],receitasvariáveisconsolidadomar[[#Headers],[9]],tabela_registros[REGISTRO],DADOS!$N$3,tabela_registros[TIPO],DADOS!$V$4,tabela_registros[CATEGORIA],receitasvariáveisconsolidadomar[[#This Row],[ATUAL]])</f>
        <v>0</v>
      </c>
      <c r="N103" s="91">
        <f>SUMIFS(tabela_registros[VALOR],tabela_registros[MÊS],$AE$1,tabela_registros[DIA],receitasvariáveisconsolidadomar[[#Headers],[10]],tabela_registros[REGISTRO],DADOS!$N$3,tabela_registros[TIPO],DADOS!$V$4,tabela_registros[CATEGORIA],receitasvariáveisconsolidadomar[[#This Row],[ATUAL]])</f>
        <v>0</v>
      </c>
      <c r="O103" s="91">
        <f>SUMIFS(tabela_registros[VALOR],tabela_registros[MÊS],$AE$1,tabela_registros[DIA],receitasvariáveisconsolidadomar[[#Headers],[11]],tabela_registros[REGISTRO],DADOS!$N$3,tabela_registros[TIPO],DADOS!$V$4,tabela_registros[CATEGORIA],receitasvariáveisconsolidadomar[[#This Row],[ATUAL]])</f>
        <v>0</v>
      </c>
      <c r="P103" s="91">
        <f>SUMIFS(tabela_registros[VALOR],tabela_registros[MÊS],$AE$1,tabela_registros[DIA],receitasvariáveisconsolidadomar[[#Headers],[12]],tabela_registros[REGISTRO],DADOS!$N$3,tabela_registros[TIPO],DADOS!$V$4,tabela_registros[CATEGORIA],receitasvariáveisconsolidadomar[[#This Row],[ATUAL]])</f>
        <v>0</v>
      </c>
      <c r="Q103" s="91">
        <f>SUMIFS(tabela_registros[VALOR],tabela_registros[MÊS],$AE$1,tabela_registros[DIA],receitasvariáveisconsolidadomar[[#Headers],[13]],tabela_registros[REGISTRO],DADOS!$N$3,tabela_registros[TIPO],DADOS!$V$4,tabela_registros[CATEGORIA],receitasvariáveisconsolidadomar[[#This Row],[ATUAL]])</f>
        <v>0</v>
      </c>
      <c r="R103" s="91">
        <f>SUMIFS(tabela_registros[VALOR],tabela_registros[MÊS],$AE$1,tabela_registros[DIA],receitasvariáveisconsolidadomar[[#Headers],[14]],tabela_registros[REGISTRO],DADOS!$N$3,tabela_registros[TIPO],DADOS!$V$4,tabela_registros[CATEGORIA],receitasvariáveisconsolidadomar[[#This Row],[ATUAL]])</f>
        <v>0</v>
      </c>
      <c r="S103" s="91">
        <f>SUMIFS(tabela_registros[VALOR],tabela_registros[MÊS],$AE$1,tabela_registros[DIA],receitasvariáveisconsolidadomar[[#Headers],[15]],tabela_registros[REGISTRO],DADOS!$N$3,tabela_registros[TIPO],DADOS!$V$4,tabela_registros[CATEGORIA],receitasvariáveisconsolidadomar[[#This Row],[ATUAL]])</f>
        <v>0</v>
      </c>
      <c r="T103" s="91">
        <f>SUMIFS(tabela_registros[VALOR],tabela_registros[MÊS],$AE$1,tabela_registros[DIA],receitasvariáveisconsolidadomar[[#Headers],[16]],tabela_registros[REGISTRO],DADOS!$N$3,tabela_registros[TIPO],DADOS!$V$4,tabela_registros[CATEGORIA],receitasvariáveisconsolidadomar[[#This Row],[ATUAL]])</f>
        <v>0</v>
      </c>
      <c r="U103" s="91">
        <f>SUMIFS(tabela_registros[VALOR],tabela_registros[MÊS],$AE$1,tabela_registros[DIA],receitasvariáveisconsolidadomar[[#Headers],[17]],tabela_registros[REGISTRO],DADOS!$N$3,tabela_registros[TIPO],DADOS!$V$4,tabela_registros[CATEGORIA],receitasvariáveisconsolidadomar[[#This Row],[ATUAL]])</f>
        <v>0</v>
      </c>
      <c r="V103" s="91">
        <f>SUMIFS(tabela_registros[VALOR],tabela_registros[MÊS],$AE$1,tabela_registros[DIA],receitasvariáveisconsolidadomar[[#Headers],[18]],tabela_registros[REGISTRO],DADOS!$N$3,tabela_registros[TIPO],DADOS!$V$4,tabela_registros[CATEGORIA],receitasvariáveisconsolidadomar[[#This Row],[ATUAL]])</f>
        <v>0</v>
      </c>
      <c r="W103" s="91">
        <f>SUMIFS(tabela_registros[VALOR],tabela_registros[MÊS],$AE$1,tabela_registros[DIA],receitasvariáveisconsolidadomar[[#Headers],[19]],tabela_registros[REGISTRO],DADOS!$N$3,tabela_registros[TIPO],DADOS!$V$4,tabela_registros[CATEGORIA],receitasvariáveisconsolidadomar[[#This Row],[ATUAL]])</f>
        <v>0</v>
      </c>
      <c r="X103" s="91">
        <f>SUMIFS(tabela_registros[VALOR],tabela_registros[MÊS],$AE$1,tabela_registros[DIA],receitasvariáveisconsolidadomar[[#Headers],[20]],tabela_registros[REGISTRO],DADOS!$N$3,tabela_registros[TIPO],DADOS!$V$4,tabela_registros[CATEGORIA],receitasvariáveisconsolidadomar[[#This Row],[ATUAL]])</f>
        <v>0</v>
      </c>
      <c r="Y103" s="91">
        <f>SUMIFS(tabela_registros[VALOR],tabela_registros[MÊS],$AE$1,tabela_registros[DIA],receitasvariáveisconsolidadomar[[#Headers],[21]],tabela_registros[REGISTRO],DADOS!$N$3,tabela_registros[TIPO],DADOS!$V$4,tabela_registros[CATEGORIA],receitasvariáveisconsolidadomar[[#This Row],[ATUAL]])</f>
        <v>0</v>
      </c>
      <c r="Z103" s="91">
        <f>SUMIFS(tabela_registros[VALOR],tabela_registros[MÊS],$AE$1,tabela_registros[DIA],receitasvariáveisconsolidadomar[[#Headers],[22]],tabela_registros[REGISTRO],DADOS!$N$3,tabela_registros[TIPO],DADOS!$V$4,tabela_registros[CATEGORIA],receitasvariáveisconsolidadomar[[#This Row],[ATUAL]])</f>
        <v>0</v>
      </c>
      <c r="AA103" s="91">
        <f>SUMIFS(tabela_registros[VALOR],tabela_registros[MÊS],$AE$1,tabela_registros[DIA],receitasvariáveisconsolidadomar[[#Headers],[23]],tabela_registros[REGISTRO],DADOS!$N$3,tabela_registros[TIPO],DADOS!$V$4,tabela_registros[CATEGORIA],receitasvariáveisconsolidadomar[[#This Row],[ATUAL]])</f>
        <v>0</v>
      </c>
      <c r="AB103" s="91">
        <f>SUMIFS(tabela_registros[VALOR],tabela_registros[MÊS],$AE$1,tabela_registros[DIA],receitasvariáveisconsolidadomar[[#Headers],[24]],tabela_registros[REGISTRO],DADOS!$N$3,tabela_registros[TIPO],DADOS!$V$4,tabela_registros[CATEGORIA],receitasvariáveisconsolidadomar[[#This Row],[ATUAL]])</f>
        <v>0</v>
      </c>
      <c r="AC103" s="91">
        <f>SUMIFS(tabela_registros[VALOR],tabela_registros[MÊS],$AE$1,tabela_registros[DIA],receitasvariáveisconsolidadomar[[#Headers],[25]],tabela_registros[REGISTRO],DADOS!$N$3,tabela_registros[TIPO],DADOS!$V$4,tabela_registros[CATEGORIA],receitasvariáveisconsolidadomar[[#This Row],[ATUAL]])</f>
        <v>0</v>
      </c>
      <c r="AD103" s="91">
        <f>SUMIFS(tabela_registros[VALOR],tabela_registros[MÊS],$AE$1,tabela_registros[DIA],receitasvariáveisconsolidadomar[[#Headers],[26]],tabela_registros[REGISTRO],DADOS!$N$3,tabela_registros[TIPO],DADOS!$V$4,tabela_registros[CATEGORIA],receitasvariáveisconsolidadomar[[#This Row],[ATUAL]])</f>
        <v>0</v>
      </c>
      <c r="AE103" s="91">
        <f>SUMIFS(tabela_registros[VALOR],tabela_registros[MÊS],$AE$1,tabela_registros[DIA],receitasvariáveisconsolidadomar[[#Headers],[27]],tabela_registros[REGISTRO],DADOS!$N$3,tabela_registros[TIPO],DADOS!$V$4,tabela_registros[CATEGORIA],receitasvariáveisconsolidadomar[[#This Row],[ATUAL]])</f>
        <v>0</v>
      </c>
      <c r="AF103" s="91">
        <f>SUMIFS(tabela_registros[VALOR],tabela_registros[MÊS],$AE$1,tabela_registros[DIA],receitasvariáveisconsolidadomar[[#Headers],[28]],tabela_registros[REGISTRO],DADOS!$N$3,tabela_registros[TIPO],DADOS!$V$4,tabela_registros[CATEGORIA],receitasvariáveisconsolidadomar[[#This Row],[ATUAL]])</f>
        <v>0</v>
      </c>
      <c r="AG103" s="91">
        <f>SUMIFS(tabela_registros[VALOR],tabela_registros[MÊS],$AE$1,tabela_registros[DIA],receitasvariáveisconsolidadomar[[#Headers],[29]],tabela_registros[REGISTRO],DADOS!$N$3,tabela_registros[TIPO],DADOS!$V$4,tabela_registros[CATEGORIA],receitasvariáveisconsolidadomar[[#This Row],[ATUAL]])</f>
        <v>0</v>
      </c>
      <c r="AH103" s="91">
        <f>SUMIFS(tabela_registros[VALOR],tabela_registros[MÊS],$AE$1,tabela_registros[DIA],receitasvariáveisconsolidadomar[[#Headers],[30]],tabela_registros[REGISTRO],DADOS!$N$3,tabela_registros[TIPO],DADOS!$V$4,tabela_registros[CATEGORIA],receitasvariáveisconsolidadomar[[#This Row],[ATUAL]])</f>
        <v>0</v>
      </c>
      <c r="AI103" s="102">
        <f>SUMIFS(tabela_registros[VALOR],tabela_registros[MÊS],$AE$1,tabela_registros[DIA],receitasvariáveisconsolidadomar[[#Headers],[31]],tabela_registros[REGISTRO],DADOS!$N$3,tabela_registros[TIPO],DADOS!$V$4,tabela_registros[CATEGORIA],receitasvariáveisconsolidadomar[[#This Row],[ATUAL]])</f>
        <v>0</v>
      </c>
      <c r="AJ103" s="97">
        <f>SUM(receitasvariáveisconsolidadomar[[#This Row],[1]:[31]])</f>
        <v>0</v>
      </c>
      <c r="AK103" s="25"/>
    </row>
    <row r="104" spans="2:37" s="16" customFormat="1" ht="21" customHeight="1" thickTop="1" thickBot="1" x14ac:dyDescent="0.35">
      <c r="B104" s="24"/>
      <c r="C104" s="23" t="s">
        <v>19</v>
      </c>
      <c r="D104" s="22"/>
      <c r="E104" s="21">
        <f>SUM(E96:E103)</f>
        <v>0</v>
      </c>
      <c r="F104" s="20">
        <f>SUM(F96:F103)+receitasvariáveisconsolidadomar[[#This Row],[1]]</f>
        <v>0</v>
      </c>
      <c r="G104" s="20">
        <f>SUM(G96:G103)+receitasvariáveisconsolidadomar[[#This Row],[2]]</f>
        <v>0</v>
      </c>
      <c r="H104" s="20">
        <f>SUM(H96:H103)+receitasvariáveisconsolidadomar[[#This Row],[3]]</f>
        <v>0</v>
      </c>
      <c r="I104" s="20">
        <f>SUM(I96:I103)+receitasvariáveisconsolidadomar[[#This Row],[4]]</f>
        <v>0</v>
      </c>
      <c r="J104" s="20">
        <f>SUM(J96:J103)+receitasvariáveisconsolidadomar[[#This Row],[5]]</f>
        <v>0</v>
      </c>
      <c r="K104" s="20">
        <f>SUM(K96:K103)+receitasvariáveisconsolidadomar[[#This Row],[6]]</f>
        <v>0</v>
      </c>
      <c r="L104" s="20">
        <f>SUM(L96:L103)+receitasvariáveisconsolidadomar[[#This Row],[7]]</f>
        <v>0</v>
      </c>
      <c r="M104" s="20">
        <f>SUM(M96:M103)+receitasvariáveisconsolidadomar[[#This Row],[8]]</f>
        <v>0</v>
      </c>
      <c r="N104" s="20">
        <f>SUM(N96:N103)+receitasvariáveisconsolidadomar[[#This Row],[9]]</f>
        <v>0</v>
      </c>
      <c r="O104" s="20">
        <f>SUM(O96:O103)+receitasvariáveisconsolidadomar[[#This Row],[10]]</f>
        <v>0</v>
      </c>
      <c r="P104" s="20">
        <f>SUM(P96:P103)+receitasvariáveisconsolidadomar[[#This Row],[11]]</f>
        <v>0</v>
      </c>
      <c r="Q104" s="20">
        <f>SUM(Q96:Q103)+receitasvariáveisconsolidadomar[[#This Row],[12]]</f>
        <v>0</v>
      </c>
      <c r="R104" s="20">
        <f>SUM(R96:R103)+receitasvariáveisconsolidadomar[[#This Row],[13]]</f>
        <v>0</v>
      </c>
      <c r="S104" s="20">
        <f>SUM(S96:S103)+receitasvariáveisconsolidadomar[[#This Row],[14]]</f>
        <v>0</v>
      </c>
      <c r="T104" s="20">
        <f>SUM(T96:T103)+receitasvariáveisconsolidadomar[[#This Row],[15]]</f>
        <v>0</v>
      </c>
      <c r="U104" s="20">
        <f>SUM(U96:U103)+receitasvariáveisconsolidadomar[[#This Row],[16]]</f>
        <v>0</v>
      </c>
      <c r="V104" s="20">
        <f>SUM(V96:V103)+receitasvariáveisconsolidadomar[[#This Row],[17]]</f>
        <v>0</v>
      </c>
      <c r="W104" s="20">
        <f>SUM(W96:W103)+receitasvariáveisconsolidadomar[[#This Row],[18]]</f>
        <v>0</v>
      </c>
      <c r="X104" s="20">
        <f>SUM(X96:X103)+receitasvariáveisconsolidadomar[[#This Row],[19]]</f>
        <v>0</v>
      </c>
      <c r="Y104" s="20">
        <f>SUM(Y96:Y103)+receitasvariáveisconsolidadomar[[#This Row],[20]]</f>
        <v>0</v>
      </c>
      <c r="Z104" s="20">
        <f>SUM(Z96:Z103)+receitasvariáveisconsolidadomar[[#This Row],[21]]</f>
        <v>0</v>
      </c>
      <c r="AA104" s="20">
        <f>SUM(AA96:AA103)+receitasvariáveisconsolidadomar[[#This Row],[22]]</f>
        <v>0</v>
      </c>
      <c r="AB104" s="20">
        <f>SUM(AB96:AB103)+receitasvariáveisconsolidadomar[[#This Row],[23]]</f>
        <v>0</v>
      </c>
      <c r="AC104" s="20">
        <f>SUM(AC96:AC103)+receitasvariáveisconsolidadomar[[#This Row],[24]]</f>
        <v>0</v>
      </c>
      <c r="AD104" s="20">
        <f>SUM(AD96:AD103)+receitasvariáveisconsolidadomar[[#This Row],[25]]</f>
        <v>0</v>
      </c>
      <c r="AE104" s="20">
        <f>SUM(AE96:AE103)+receitasvariáveisconsolidadomar[[#This Row],[26]]</f>
        <v>0</v>
      </c>
      <c r="AF104" s="20">
        <f>SUM(AF96:AF103)+receitasvariáveisconsolidadomar[[#This Row],[27]]</f>
        <v>0</v>
      </c>
      <c r="AG104" s="20">
        <f>SUM(AG96:AG103)+receitasvariáveisconsolidadomar[[#This Row],[28]]</f>
        <v>0</v>
      </c>
      <c r="AH104" s="20">
        <f>SUM(AH96:AH103)+receitasvariáveisconsolidadomar[[#This Row],[29]]</f>
        <v>0</v>
      </c>
      <c r="AI104" s="19">
        <f>SUM(AI96:AI103)+receitasvariáveisconsolidadomar[[#This Row],[30]]</f>
        <v>0</v>
      </c>
      <c r="AJ104" s="18">
        <f>receitasvariáveisconsolidadomar[[#This Row],[31]]</f>
        <v>0</v>
      </c>
      <c r="AK104" s="17"/>
    </row>
    <row r="105" spans="2:37" ht="6.75" customHeight="1" thickTop="1" thickBot="1" x14ac:dyDescent="0.3">
      <c r="B105" s="15"/>
      <c r="C105" s="14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2"/>
      <c r="AJ105" s="11"/>
      <c r="AK105" s="10"/>
    </row>
    <row r="106" spans="2:37" ht="12.6" thickTop="1" x14ac:dyDescent="0.25">
      <c r="E106" s="37"/>
      <c r="AI106" s="4"/>
    </row>
    <row r="107" spans="2:37" x14ac:dyDescent="0.25">
      <c r="AI107" s="4"/>
    </row>
    <row r="108" spans="2:37" x14ac:dyDescent="0.25">
      <c r="AI108" s="4"/>
    </row>
    <row r="109" spans="2:37" ht="39.75" customHeight="1" x14ac:dyDescent="0.7">
      <c r="C109" s="36"/>
      <c r="E109" s="240"/>
      <c r="F109" s="240"/>
      <c r="G109" s="240"/>
      <c r="H109" s="240"/>
      <c r="I109" s="240"/>
      <c r="J109" s="240"/>
      <c r="K109" s="240"/>
      <c r="L109" s="240"/>
      <c r="M109" s="240"/>
      <c r="N109" s="240"/>
      <c r="O109" s="240"/>
      <c r="P109" s="240"/>
      <c r="Q109" s="240"/>
      <c r="R109" s="240"/>
      <c r="S109" s="240"/>
      <c r="T109" s="240"/>
      <c r="U109" s="240"/>
      <c r="V109" s="240"/>
      <c r="W109" s="240"/>
      <c r="X109" s="240"/>
      <c r="Y109" s="240"/>
      <c r="Z109" s="240"/>
      <c r="AA109" s="240"/>
      <c r="AB109" s="240"/>
      <c r="AC109" s="240"/>
      <c r="AD109" s="240"/>
      <c r="AE109" s="240"/>
      <c r="AF109" s="240"/>
      <c r="AG109" s="240"/>
      <c r="AH109" s="240"/>
      <c r="AI109" s="240"/>
      <c r="AJ109" s="32" t="s">
        <v>19</v>
      </c>
    </row>
    <row r="110" spans="2:37" ht="12.6" thickBot="1" x14ac:dyDescent="0.3">
      <c r="B110" s="35"/>
      <c r="AI110" s="4"/>
      <c r="AJ110" s="34" t="s">
        <v>202</v>
      </c>
    </row>
    <row r="111" spans="2:37" ht="6.75" customHeight="1" thickTop="1" thickBot="1" x14ac:dyDescent="0.3">
      <c r="B111" s="2"/>
      <c r="C111" s="14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2"/>
      <c r="AK111" s="33"/>
    </row>
    <row r="112" spans="2:37" ht="13.2" hidden="1" thickTop="1" thickBot="1" x14ac:dyDescent="0.3">
      <c r="B112" s="2"/>
      <c r="C112" s="31" t="s">
        <v>199</v>
      </c>
      <c r="D112" s="30" t="s">
        <v>198</v>
      </c>
      <c r="E112" s="30" t="s">
        <v>197</v>
      </c>
      <c r="F112" s="30" t="s">
        <v>196</v>
      </c>
      <c r="G112" s="30" t="s">
        <v>195</v>
      </c>
      <c r="H112" s="30" t="s">
        <v>194</v>
      </c>
      <c r="I112" s="30" t="s">
        <v>193</v>
      </c>
      <c r="J112" s="30" t="s">
        <v>192</v>
      </c>
      <c r="K112" s="30" t="s">
        <v>191</v>
      </c>
      <c r="L112" s="30" t="s">
        <v>190</v>
      </c>
      <c r="M112" s="30" t="s">
        <v>189</v>
      </c>
      <c r="N112" s="30" t="s">
        <v>188</v>
      </c>
      <c r="O112" s="30" t="s">
        <v>187</v>
      </c>
      <c r="P112" s="30" t="s">
        <v>186</v>
      </c>
      <c r="Q112" s="30" t="s">
        <v>185</v>
      </c>
      <c r="R112" s="30" t="s">
        <v>184</v>
      </c>
      <c r="S112" s="30" t="s">
        <v>183</v>
      </c>
      <c r="T112" s="30" t="s">
        <v>182</v>
      </c>
      <c r="U112" s="30" t="s">
        <v>181</v>
      </c>
      <c r="V112" s="30" t="s">
        <v>180</v>
      </c>
      <c r="W112" s="30" t="s">
        <v>179</v>
      </c>
      <c r="X112" s="30" t="s">
        <v>178</v>
      </c>
      <c r="Y112" s="30" t="s">
        <v>177</v>
      </c>
      <c r="Z112" s="30" t="s">
        <v>176</v>
      </c>
      <c r="AA112" s="30" t="s">
        <v>175</v>
      </c>
      <c r="AB112" s="30" t="s">
        <v>174</v>
      </c>
      <c r="AC112" s="30" t="s">
        <v>173</v>
      </c>
      <c r="AD112" s="30" t="s">
        <v>172</v>
      </c>
      <c r="AE112" s="30" t="s">
        <v>171</v>
      </c>
      <c r="AF112" s="30" t="s">
        <v>170</v>
      </c>
      <c r="AG112" s="30" t="s">
        <v>169</v>
      </c>
      <c r="AH112" s="30" t="s">
        <v>168</v>
      </c>
      <c r="AI112" s="30" t="s">
        <v>167</v>
      </c>
      <c r="AJ112" s="29" t="s">
        <v>166</v>
      </c>
      <c r="AK112" s="2"/>
    </row>
    <row r="113" spans="2:37" ht="19.5" customHeight="1" thickTop="1" thickBot="1" x14ac:dyDescent="0.3">
      <c r="B113" s="28"/>
      <c r="C113" s="27" t="str">
        <f>DADOS!$AD$3</f>
        <v>📝 CDB</v>
      </c>
      <c r="D113" s="26" t="str">
        <f>IF(investirrendafixaconsolidadomar[[#This Row],[TOTAL (R$)]]=0,"",IF(OR(investirrendafixaconsolidadomar[[#This Row],[TOTAL (R$)]]=LARGE($AJ$113:$AJ$122,1),investirrendafixaconsolidadomar[[#This Row],[TOTAL (R$)]]=LARGE($AJ$113:$AJ$122,2)),DADOS!$I$10,""))</f>
        <v/>
      </c>
      <c r="E113" s="96">
        <f>SUMIFS(tabela_registros[VALOR],tabela_registros[MÊS],$AE$1,tabela_registros[DIA],investirrendafixaconsolidadomar[[#Headers],[1]],tabela_registros[REGISTRO],DADOS!$N$5,tabela_registros[TIPO],DADOS!$AB$3,tabela_registros[CATEGORIA],investirrendafixaconsolidadomar[[#This Row],[ATUAL]])</f>
        <v>0</v>
      </c>
      <c r="F113" s="91">
        <f>SUMIFS(tabela_registros[VALOR],tabela_registros[MÊS],$AE$1,tabela_registros[DIA],investirrendafixaconsolidadomar[[#Headers],[2]],tabela_registros[REGISTRO],DADOS!$N$5,tabela_registros[TIPO],DADOS!$AB$3,tabela_registros[CATEGORIA],investirrendafixaconsolidadomar[[#This Row],[ATUAL]])</f>
        <v>0</v>
      </c>
      <c r="G113" s="91">
        <f>SUMIFS(tabela_registros[VALOR],tabela_registros[MÊS],$AE$1,tabela_registros[DIA],investirrendafixaconsolidadomar[[#Headers],[3]],tabela_registros[REGISTRO],DADOS!$N$5,tabela_registros[TIPO],DADOS!$AB$3,tabela_registros[CATEGORIA],investirrendafixaconsolidadomar[[#This Row],[ATUAL]])</f>
        <v>0</v>
      </c>
      <c r="H113" s="91">
        <f>SUMIFS(tabela_registros[VALOR],tabela_registros[MÊS],$AE$1,tabela_registros[DIA],investirrendafixaconsolidadomar[[#Headers],[4]],tabela_registros[REGISTRO],DADOS!$N$5,tabela_registros[TIPO],DADOS!$AB$3,tabela_registros[CATEGORIA],investirrendafixaconsolidadomar[[#This Row],[ATUAL]])</f>
        <v>0</v>
      </c>
      <c r="I113" s="91">
        <f>SUMIFS(tabela_registros[VALOR],tabela_registros[MÊS],$AE$1,tabela_registros[DIA],investirrendafixaconsolidadomar[[#Headers],[5]],tabela_registros[REGISTRO],DADOS!$N$5,tabela_registros[TIPO],DADOS!$AB$3,tabela_registros[CATEGORIA],investirrendafixaconsolidadomar[[#This Row],[ATUAL]])</f>
        <v>0</v>
      </c>
      <c r="J113" s="91">
        <f>SUMIFS(tabela_registros[VALOR],tabela_registros[MÊS],$AE$1,tabela_registros[DIA],investirrendafixaconsolidadomar[[#Headers],[6]],tabela_registros[REGISTRO],DADOS!$N$5,tabela_registros[TIPO],DADOS!$AB$3,tabela_registros[CATEGORIA],investirrendafixaconsolidadomar[[#This Row],[ATUAL]])</f>
        <v>0</v>
      </c>
      <c r="K113" s="91">
        <f>SUMIFS(tabela_registros[VALOR],tabela_registros[MÊS],$AE$1,tabela_registros[DIA],investirrendafixaconsolidadomar[[#Headers],[7]],tabela_registros[REGISTRO],DADOS!$N$5,tabela_registros[TIPO],DADOS!$AB$3,tabela_registros[CATEGORIA],investirrendafixaconsolidadomar[[#This Row],[ATUAL]])</f>
        <v>0</v>
      </c>
      <c r="L113" s="91">
        <f>SUMIFS(tabela_registros[VALOR],tabela_registros[MÊS],$AE$1,tabela_registros[DIA],investirrendafixaconsolidadomar[[#Headers],[8]],tabela_registros[REGISTRO],DADOS!$N$5,tabela_registros[TIPO],DADOS!$AB$3,tabela_registros[CATEGORIA],investirrendafixaconsolidadomar[[#This Row],[ATUAL]])</f>
        <v>0</v>
      </c>
      <c r="M113" s="91">
        <f>SUMIFS(tabela_registros[VALOR],tabela_registros[MÊS],$AE$1,tabela_registros[DIA],investirrendafixaconsolidadomar[[#Headers],[9]],tabela_registros[REGISTRO],DADOS!$N$5,tabela_registros[TIPO],DADOS!$AB$3,tabela_registros[CATEGORIA],investirrendafixaconsolidadomar[[#This Row],[ATUAL]])</f>
        <v>0</v>
      </c>
      <c r="N113" s="91">
        <f>SUMIFS(tabela_registros[VALOR],tabela_registros[MÊS],$AE$1,tabela_registros[DIA],investirrendafixaconsolidadomar[[#Headers],[10]],tabela_registros[REGISTRO],DADOS!$N$5,tabela_registros[TIPO],DADOS!$AB$3,tabela_registros[CATEGORIA],investirrendafixaconsolidadomar[[#This Row],[ATUAL]])</f>
        <v>0</v>
      </c>
      <c r="O113" s="91">
        <f>SUMIFS(tabela_registros[VALOR],tabela_registros[MÊS],$AE$1,tabela_registros[DIA],investirrendafixaconsolidadomar[[#Headers],[11]],tabela_registros[REGISTRO],DADOS!$N$5,tabela_registros[TIPO],DADOS!$AB$3,tabela_registros[CATEGORIA],investirrendafixaconsolidadomar[[#This Row],[ATUAL]])</f>
        <v>0</v>
      </c>
      <c r="P113" s="91">
        <f>SUMIFS(tabela_registros[VALOR],tabela_registros[MÊS],$AE$1,tabela_registros[DIA],investirrendafixaconsolidadomar[[#Headers],[12]],tabela_registros[REGISTRO],DADOS!$N$5,tabela_registros[TIPO],DADOS!$AB$3,tabela_registros[CATEGORIA],investirrendafixaconsolidadomar[[#This Row],[ATUAL]])</f>
        <v>0</v>
      </c>
      <c r="Q113" s="91">
        <f>SUMIFS(tabela_registros[VALOR],tabela_registros[MÊS],$AE$1,tabela_registros[DIA],investirrendafixaconsolidadomar[[#Headers],[13]],tabela_registros[REGISTRO],DADOS!$N$5,tabela_registros[TIPO],DADOS!$AB$3,tabela_registros[CATEGORIA],investirrendafixaconsolidadomar[[#This Row],[ATUAL]])</f>
        <v>0</v>
      </c>
      <c r="R113" s="91">
        <f>SUMIFS(tabela_registros[VALOR],tabela_registros[MÊS],$AE$1,tabela_registros[DIA],investirrendafixaconsolidadomar[[#Headers],[14]],tabela_registros[REGISTRO],DADOS!$N$5,tabela_registros[TIPO],DADOS!$AB$3,tabela_registros[CATEGORIA],investirrendafixaconsolidadomar[[#This Row],[ATUAL]])</f>
        <v>0</v>
      </c>
      <c r="S113" s="91">
        <f>SUMIFS(tabela_registros[VALOR],tabela_registros[MÊS],$AE$1,tabela_registros[DIA],investirrendafixaconsolidadomar[[#Headers],[15]],tabela_registros[REGISTRO],DADOS!$N$5,tabela_registros[TIPO],DADOS!$AB$3,tabela_registros[CATEGORIA],investirrendafixaconsolidadomar[[#This Row],[ATUAL]])</f>
        <v>0</v>
      </c>
      <c r="T113" s="91">
        <f>SUMIFS(tabela_registros[VALOR],tabela_registros[MÊS],$AE$1,tabela_registros[DIA],investirrendafixaconsolidadomar[[#Headers],[16]],tabela_registros[REGISTRO],DADOS!$N$5,tabela_registros[TIPO],DADOS!$AB$3,tabela_registros[CATEGORIA],investirrendafixaconsolidadomar[[#This Row],[ATUAL]])</f>
        <v>0</v>
      </c>
      <c r="U113" s="91">
        <f>SUMIFS(tabela_registros[VALOR],tabela_registros[MÊS],$AE$1,tabela_registros[DIA],investirrendafixaconsolidadomar[[#Headers],[17]],tabela_registros[REGISTRO],DADOS!$N$5,tabela_registros[TIPO],DADOS!$AB$3,tabela_registros[CATEGORIA],investirrendafixaconsolidadomar[[#This Row],[ATUAL]])</f>
        <v>0</v>
      </c>
      <c r="V113" s="91">
        <f>SUMIFS(tabela_registros[VALOR],tabela_registros[MÊS],$AE$1,tabela_registros[DIA],investirrendafixaconsolidadomar[[#Headers],[18]],tabela_registros[REGISTRO],DADOS!$N$5,tabela_registros[TIPO],DADOS!$AB$3,tabela_registros[CATEGORIA],investirrendafixaconsolidadomar[[#This Row],[ATUAL]])</f>
        <v>0</v>
      </c>
      <c r="W113" s="91">
        <f>SUMIFS(tabela_registros[VALOR],tabela_registros[MÊS],$AE$1,tabela_registros[DIA],investirrendafixaconsolidadomar[[#Headers],[19]],tabela_registros[REGISTRO],DADOS!$N$5,tabela_registros[TIPO],DADOS!$AB$3,tabela_registros[CATEGORIA],investirrendafixaconsolidadomar[[#This Row],[ATUAL]])</f>
        <v>0</v>
      </c>
      <c r="X113" s="91">
        <f>SUMIFS(tabela_registros[VALOR],tabela_registros[MÊS],$AE$1,tabela_registros[DIA],investirrendafixaconsolidadomar[[#Headers],[20]],tabela_registros[REGISTRO],DADOS!$N$5,tabela_registros[TIPO],DADOS!$AB$3,tabela_registros[CATEGORIA],investirrendafixaconsolidadomar[[#This Row],[ATUAL]])</f>
        <v>0</v>
      </c>
      <c r="Y113" s="91">
        <f>SUMIFS(tabela_registros[VALOR],tabela_registros[MÊS],$AE$1,tabela_registros[DIA],investirrendafixaconsolidadomar[[#Headers],[21]],tabela_registros[REGISTRO],DADOS!$N$5,tabela_registros[TIPO],DADOS!$AB$3,tabela_registros[CATEGORIA],investirrendafixaconsolidadomar[[#This Row],[ATUAL]])</f>
        <v>0</v>
      </c>
      <c r="Z113" s="91">
        <f>SUMIFS(tabela_registros[VALOR],tabela_registros[MÊS],$AE$1,tabela_registros[DIA],investirrendafixaconsolidadomar[[#Headers],[22]],tabela_registros[REGISTRO],DADOS!$N$5,tabela_registros[TIPO],DADOS!$AB$3,tabela_registros[CATEGORIA],investirrendafixaconsolidadomar[[#This Row],[ATUAL]])</f>
        <v>0</v>
      </c>
      <c r="AA113" s="91">
        <f>SUMIFS(tabela_registros[VALOR],tabela_registros[MÊS],$AE$1,tabela_registros[DIA],investirrendafixaconsolidadomar[[#Headers],[23]],tabela_registros[REGISTRO],DADOS!$N$5,tabela_registros[TIPO],DADOS!$AB$3,tabela_registros[CATEGORIA],investirrendafixaconsolidadomar[[#This Row],[ATUAL]])</f>
        <v>0</v>
      </c>
      <c r="AB113" s="91">
        <f>SUMIFS(tabela_registros[VALOR],tabela_registros[MÊS],$AE$1,tabela_registros[DIA],investirrendafixaconsolidadomar[[#Headers],[24]],tabela_registros[REGISTRO],DADOS!$N$5,tabela_registros[TIPO],DADOS!$AB$3,tabela_registros[CATEGORIA],investirrendafixaconsolidadomar[[#This Row],[ATUAL]])</f>
        <v>0</v>
      </c>
      <c r="AC113" s="91">
        <f>SUMIFS(tabela_registros[VALOR],tabela_registros[MÊS],$AE$1,tabela_registros[DIA],investirrendafixaconsolidadomar[[#Headers],[25]],tabela_registros[REGISTRO],DADOS!$N$5,tabela_registros[TIPO],DADOS!$AB$3,tabela_registros[CATEGORIA],investirrendafixaconsolidadomar[[#This Row],[ATUAL]])</f>
        <v>0</v>
      </c>
      <c r="AD113" s="91">
        <f>SUMIFS(tabela_registros[VALOR],tabela_registros[MÊS],$AE$1,tabela_registros[DIA],investirrendafixaconsolidadomar[[#Headers],[26]],tabela_registros[REGISTRO],DADOS!$N$5,tabela_registros[TIPO],DADOS!$AB$3,tabela_registros[CATEGORIA],investirrendafixaconsolidadomar[[#This Row],[ATUAL]])</f>
        <v>0</v>
      </c>
      <c r="AE113" s="91">
        <f>SUMIFS(tabela_registros[VALOR],tabela_registros[MÊS],$AE$1,tabela_registros[DIA],investirrendafixaconsolidadomar[[#Headers],[27]],tabela_registros[REGISTRO],DADOS!$N$5,tabela_registros[TIPO],DADOS!$AB$3,tabela_registros[CATEGORIA],investirrendafixaconsolidadomar[[#This Row],[ATUAL]])</f>
        <v>0</v>
      </c>
      <c r="AF113" s="91">
        <f>SUMIFS(tabela_registros[VALOR],tabela_registros[MÊS],$AE$1,tabela_registros[DIA],investirrendafixaconsolidadomar[[#Headers],[28]],tabela_registros[REGISTRO],DADOS!$N$5,tabela_registros[TIPO],DADOS!$AB$3,tabela_registros[CATEGORIA],investirrendafixaconsolidadomar[[#This Row],[ATUAL]])</f>
        <v>0</v>
      </c>
      <c r="AG113" s="91">
        <f>SUMIFS(tabela_registros[VALOR],tabela_registros[MÊS],$AE$1,tabela_registros[DIA],investirrendafixaconsolidadomar[[#Headers],[29]],tabela_registros[REGISTRO],DADOS!$N$5,tabela_registros[TIPO],DADOS!$AB$3,tabela_registros[CATEGORIA],investirrendafixaconsolidadomar[[#This Row],[ATUAL]])</f>
        <v>0</v>
      </c>
      <c r="AH113" s="91">
        <f>SUMIFS(tabela_registros[VALOR],tabela_registros[MÊS],$AE$1,tabela_registros[DIA],investirrendafixaconsolidadomar[[#Headers],[30]],tabela_registros[REGISTRO],DADOS!$N$5,tabela_registros[TIPO],DADOS!$AB$3,tabela_registros[CATEGORIA],investirrendafixaconsolidadomar[[#This Row],[ATUAL]])</f>
        <v>0</v>
      </c>
      <c r="AI113" s="101">
        <f>SUMIFS(tabela_registros[VALOR],tabela_registros[MÊS],$AE$1,tabela_registros[DIA],investirrendafixaconsolidadomar[[#Headers],[31]],tabela_registros[REGISTRO],DADOS!$N$5,tabela_registros[TIPO],DADOS!$AB$3,tabela_registros[CATEGORIA],investirrendafixaconsolidadomar[[#This Row],[ATUAL]])</f>
        <v>0</v>
      </c>
      <c r="AJ113" s="97">
        <f>SUM(investirrendafixaconsolidadomar[[#This Row],[1]:[31]])</f>
        <v>0</v>
      </c>
      <c r="AK113" s="25"/>
    </row>
    <row r="114" spans="2:37" ht="19.5" customHeight="1" thickTop="1" thickBot="1" x14ac:dyDescent="0.3">
      <c r="B114" s="28"/>
      <c r="C114" s="27" t="str">
        <f>DADOS!$AD$4</f>
        <v>📝 CRA</v>
      </c>
      <c r="D114" s="26" t="str">
        <f>IF(investirrendafixaconsolidadomar[[#This Row],[TOTAL (R$)]]=0,"",IF(OR(investirrendafixaconsolidadomar[[#This Row],[TOTAL (R$)]]=LARGE($AJ$113:$AJ$122,1),investirrendafixaconsolidadomar[[#This Row],[TOTAL (R$)]]=LARGE($AJ$113:$AJ$122,2)),DADOS!$I$10,""))</f>
        <v/>
      </c>
      <c r="E114" s="96">
        <f>SUMIFS(tabela_registros[VALOR],tabela_registros[MÊS],$AE$1,tabela_registros[DIA],investirrendafixaconsolidadomar[[#Headers],[1]],tabela_registros[REGISTRO],DADOS!$N$5,tabela_registros[TIPO],DADOS!$AB$3,tabela_registros[CATEGORIA],investirrendafixaconsolidadomar[[#This Row],[ATUAL]])</f>
        <v>0</v>
      </c>
      <c r="F114" s="91">
        <f>SUMIFS(tabela_registros[VALOR],tabela_registros[MÊS],$AE$1,tabela_registros[DIA],investirrendafixaconsolidadomar[[#Headers],[2]],tabela_registros[REGISTRO],DADOS!$N$5,tabela_registros[TIPO],DADOS!$AB$3,tabela_registros[CATEGORIA],investirrendafixaconsolidadomar[[#This Row],[ATUAL]])</f>
        <v>0</v>
      </c>
      <c r="G114" s="91">
        <f>SUMIFS(tabela_registros[VALOR],tabela_registros[MÊS],$AE$1,tabela_registros[DIA],investirrendafixaconsolidadomar[[#Headers],[3]],tabela_registros[REGISTRO],DADOS!$N$5,tabela_registros[TIPO],DADOS!$AB$3,tabela_registros[CATEGORIA],investirrendafixaconsolidadomar[[#This Row],[ATUAL]])</f>
        <v>0</v>
      </c>
      <c r="H114" s="91">
        <f>SUMIFS(tabela_registros[VALOR],tabela_registros[MÊS],$AE$1,tabela_registros[DIA],investirrendafixaconsolidadomar[[#Headers],[4]],tabela_registros[REGISTRO],DADOS!$N$5,tabela_registros[TIPO],DADOS!$AB$3,tabela_registros[CATEGORIA],investirrendafixaconsolidadomar[[#This Row],[ATUAL]])</f>
        <v>0</v>
      </c>
      <c r="I114" s="91">
        <f>SUMIFS(tabela_registros[VALOR],tabela_registros[MÊS],$AE$1,tabela_registros[DIA],investirrendafixaconsolidadomar[[#Headers],[5]],tabela_registros[REGISTRO],DADOS!$N$5,tabela_registros[TIPO],DADOS!$AB$3,tabela_registros[CATEGORIA],investirrendafixaconsolidadomar[[#This Row],[ATUAL]])</f>
        <v>0</v>
      </c>
      <c r="J114" s="91">
        <f>SUMIFS(tabela_registros[VALOR],tabela_registros[MÊS],$AE$1,tabela_registros[DIA],investirrendafixaconsolidadomar[[#Headers],[6]],tabela_registros[REGISTRO],DADOS!$N$5,tabela_registros[TIPO],DADOS!$AB$3,tabela_registros[CATEGORIA],investirrendafixaconsolidadomar[[#This Row],[ATUAL]])</f>
        <v>0</v>
      </c>
      <c r="K114" s="91">
        <f>SUMIFS(tabela_registros[VALOR],tabela_registros[MÊS],$AE$1,tabela_registros[DIA],investirrendafixaconsolidadomar[[#Headers],[7]],tabela_registros[REGISTRO],DADOS!$N$5,tabela_registros[TIPO],DADOS!$AB$3,tabela_registros[CATEGORIA],investirrendafixaconsolidadomar[[#This Row],[ATUAL]])</f>
        <v>0</v>
      </c>
      <c r="L114" s="91">
        <f>SUMIFS(tabela_registros[VALOR],tabela_registros[MÊS],$AE$1,tabela_registros[DIA],investirrendafixaconsolidadomar[[#Headers],[8]],tabela_registros[REGISTRO],DADOS!$N$5,tabela_registros[TIPO],DADOS!$AB$3,tabela_registros[CATEGORIA],investirrendafixaconsolidadomar[[#This Row],[ATUAL]])</f>
        <v>0</v>
      </c>
      <c r="M114" s="91">
        <f>SUMIFS(tabela_registros[VALOR],tabela_registros[MÊS],$AE$1,tabela_registros[DIA],investirrendafixaconsolidadomar[[#Headers],[9]],tabela_registros[REGISTRO],DADOS!$N$5,tabela_registros[TIPO],DADOS!$AB$3,tabela_registros[CATEGORIA],investirrendafixaconsolidadomar[[#This Row],[ATUAL]])</f>
        <v>0</v>
      </c>
      <c r="N114" s="91">
        <f>SUMIFS(tabela_registros[VALOR],tabela_registros[MÊS],$AE$1,tabela_registros[DIA],investirrendafixaconsolidadomar[[#Headers],[10]],tabela_registros[REGISTRO],DADOS!$N$5,tabela_registros[TIPO],DADOS!$AB$3,tabela_registros[CATEGORIA],investirrendafixaconsolidadomar[[#This Row],[ATUAL]])</f>
        <v>0</v>
      </c>
      <c r="O114" s="91">
        <f>SUMIFS(tabela_registros[VALOR],tabela_registros[MÊS],$AE$1,tabela_registros[DIA],investirrendafixaconsolidadomar[[#Headers],[11]],tabela_registros[REGISTRO],DADOS!$N$5,tabela_registros[TIPO],DADOS!$AB$3,tabela_registros[CATEGORIA],investirrendafixaconsolidadomar[[#This Row],[ATUAL]])</f>
        <v>0</v>
      </c>
      <c r="P114" s="91">
        <f>SUMIFS(tabela_registros[VALOR],tabela_registros[MÊS],$AE$1,tabela_registros[DIA],investirrendafixaconsolidadomar[[#Headers],[12]],tabela_registros[REGISTRO],DADOS!$N$5,tabela_registros[TIPO],DADOS!$AB$3,tabela_registros[CATEGORIA],investirrendafixaconsolidadomar[[#This Row],[ATUAL]])</f>
        <v>0</v>
      </c>
      <c r="Q114" s="91">
        <f>SUMIFS(tabela_registros[VALOR],tabela_registros[MÊS],$AE$1,tabela_registros[DIA],investirrendafixaconsolidadomar[[#Headers],[13]],tabela_registros[REGISTRO],DADOS!$N$5,tabela_registros[TIPO],DADOS!$AB$3,tabela_registros[CATEGORIA],investirrendafixaconsolidadomar[[#This Row],[ATUAL]])</f>
        <v>0</v>
      </c>
      <c r="R114" s="91">
        <f>SUMIFS(tabela_registros[VALOR],tabela_registros[MÊS],$AE$1,tabela_registros[DIA],investirrendafixaconsolidadomar[[#Headers],[14]],tabela_registros[REGISTRO],DADOS!$N$5,tabela_registros[TIPO],DADOS!$AB$3,tabela_registros[CATEGORIA],investirrendafixaconsolidadomar[[#This Row],[ATUAL]])</f>
        <v>0</v>
      </c>
      <c r="S114" s="91">
        <f>SUMIFS(tabela_registros[VALOR],tabela_registros[MÊS],$AE$1,tabela_registros[DIA],investirrendafixaconsolidadomar[[#Headers],[15]],tabela_registros[REGISTRO],DADOS!$N$5,tabela_registros[TIPO],DADOS!$AB$3,tabela_registros[CATEGORIA],investirrendafixaconsolidadomar[[#This Row],[ATUAL]])</f>
        <v>0</v>
      </c>
      <c r="T114" s="91">
        <f>SUMIFS(tabela_registros[VALOR],tabela_registros[MÊS],$AE$1,tabela_registros[DIA],investirrendafixaconsolidadomar[[#Headers],[16]],tabela_registros[REGISTRO],DADOS!$N$5,tabela_registros[TIPO],DADOS!$AB$3,tabela_registros[CATEGORIA],investirrendafixaconsolidadomar[[#This Row],[ATUAL]])</f>
        <v>0</v>
      </c>
      <c r="U114" s="91">
        <f>SUMIFS(tabela_registros[VALOR],tabela_registros[MÊS],$AE$1,tabela_registros[DIA],investirrendafixaconsolidadomar[[#Headers],[17]],tabela_registros[REGISTRO],DADOS!$N$5,tabela_registros[TIPO],DADOS!$AB$3,tabela_registros[CATEGORIA],investirrendafixaconsolidadomar[[#This Row],[ATUAL]])</f>
        <v>0</v>
      </c>
      <c r="V114" s="91">
        <f>SUMIFS(tabela_registros[VALOR],tabela_registros[MÊS],$AE$1,tabela_registros[DIA],investirrendafixaconsolidadomar[[#Headers],[18]],tabela_registros[REGISTRO],DADOS!$N$5,tabela_registros[TIPO],DADOS!$AB$3,tabela_registros[CATEGORIA],investirrendafixaconsolidadomar[[#This Row],[ATUAL]])</f>
        <v>0</v>
      </c>
      <c r="W114" s="91">
        <f>SUMIFS(tabela_registros[VALOR],tabela_registros[MÊS],$AE$1,tabela_registros[DIA],investirrendafixaconsolidadomar[[#Headers],[19]],tabela_registros[REGISTRO],DADOS!$N$5,tabela_registros[TIPO],DADOS!$AB$3,tabela_registros[CATEGORIA],investirrendafixaconsolidadomar[[#This Row],[ATUAL]])</f>
        <v>0</v>
      </c>
      <c r="X114" s="91">
        <f>SUMIFS(tabela_registros[VALOR],tabela_registros[MÊS],$AE$1,tabela_registros[DIA],investirrendafixaconsolidadomar[[#Headers],[20]],tabela_registros[REGISTRO],DADOS!$N$5,tabela_registros[TIPO],DADOS!$AB$3,tabela_registros[CATEGORIA],investirrendafixaconsolidadomar[[#This Row],[ATUAL]])</f>
        <v>0</v>
      </c>
      <c r="Y114" s="91">
        <f>SUMIFS(tabela_registros[VALOR],tabela_registros[MÊS],$AE$1,tabela_registros[DIA],investirrendafixaconsolidadomar[[#Headers],[21]],tabela_registros[REGISTRO],DADOS!$N$5,tabela_registros[TIPO],DADOS!$AB$3,tabela_registros[CATEGORIA],investirrendafixaconsolidadomar[[#This Row],[ATUAL]])</f>
        <v>0</v>
      </c>
      <c r="Z114" s="91">
        <f>SUMIFS(tabela_registros[VALOR],tabela_registros[MÊS],$AE$1,tabela_registros[DIA],investirrendafixaconsolidadomar[[#Headers],[22]],tabela_registros[REGISTRO],DADOS!$N$5,tabela_registros[TIPO],DADOS!$AB$3,tabela_registros[CATEGORIA],investirrendafixaconsolidadomar[[#This Row],[ATUAL]])</f>
        <v>0</v>
      </c>
      <c r="AA114" s="91">
        <f>SUMIFS(tabela_registros[VALOR],tabela_registros[MÊS],$AE$1,tabela_registros[DIA],investirrendafixaconsolidadomar[[#Headers],[23]],tabela_registros[REGISTRO],DADOS!$N$5,tabela_registros[TIPO],DADOS!$AB$3,tabela_registros[CATEGORIA],investirrendafixaconsolidadomar[[#This Row],[ATUAL]])</f>
        <v>0</v>
      </c>
      <c r="AB114" s="91">
        <f>SUMIFS(tabela_registros[VALOR],tabela_registros[MÊS],$AE$1,tabela_registros[DIA],investirrendafixaconsolidadomar[[#Headers],[24]],tabela_registros[REGISTRO],DADOS!$N$5,tabela_registros[TIPO],DADOS!$AB$3,tabela_registros[CATEGORIA],investirrendafixaconsolidadomar[[#This Row],[ATUAL]])</f>
        <v>0</v>
      </c>
      <c r="AC114" s="91">
        <f>SUMIFS(tabela_registros[VALOR],tabela_registros[MÊS],$AE$1,tabela_registros[DIA],investirrendafixaconsolidadomar[[#Headers],[25]],tabela_registros[REGISTRO],DADOS!$N$5,tabela_registros[TIPO],DADOS!$AB$3,tabela_registros[CATEGORIA],investirrendafixaconsolidadomar[[#This Row],[ATUAL]])</f>
        <v>0</v>
      </c>
      <c r="AD114" s="91">
        <f>SUMIFS(tabela_registros[VALOR],tabela_registros[MÊS],$AE$1,tabela_registros[DIA],investirrendafixaconsolidadomar[[#Headers],[26]],tabela_registros[REGISTRO],DADOS!$N$5,tabela_registros[TIPO],DADOS!$AB$3,tabela_registros[CATEGORIA],investirrendafixaconsolidadomar[[#This Row],[ATUAL]])</f>
        <v>0</v>
      </c>
      <c r="AE114" s="91">
        <f>SUMIFS(tabela_registros[VALOR],tabela_registros[MÊS],$AE$1,tabela_registros[DIA],investirrendafixaconsolidadomar[[#Headers],[27]],tabela_registros[REGISTRO],DADOS!$N$5,tabela_registros[TIPO],DADOS!$AB$3,tabela_registros[CATEGORIA],investirrendafixaconsolidadomar[[#This Row],[ATUAL]])</f>
        <v>0</v>
      </c>
      <c r="AF114" s="91">
        <f>SUMIFS(tabela_registros[VALOR],tabela_registros[MÊS],$AE$1,tabela_registros[DIA],investirrendafixaconsolidadomar[[#Headers],[28]],tabela_registros[REGISTRO],DADOS!$N$5,tabela_registros[TIPO],DADOS!$AB$3,tabela_registros[CATEGORIA],investirrendafixaconsolidadomar[[#This Row],[ATUAL]])</f>
        <v>0</v>
      </c>
      <c r="AG114" s="91">
        <f>SUMIFS(tabela_registros[VALOR],tabela_registros[MÊS],$AE$1,tabela_registros[DIA],investirrendafixaconsolidadomar[[#Headers],[29]],tabela_registros[REGISTRO],DADOS!$N$5,tabela_registros[TIPO],DADOS!$AB$3,tabela_registros[CATEGORIA],investirrendafixaconsolidadomar[[#This Row],[ATUAL]])</f>
        <v>0</v>
      </c>
      <c r="AH114" s="91">
        <f>SUMIFS(tabela_registros[VALOR],tabela_registros[MÊS],$AE$1,tabela_registros[DIA],investirrendafixaconsolidadomar[[#Headers],[30]],tabela_registros[REGISTRO],DADOS!$N$5,tabela_registros[TIPO],DADOS!$AB$3,tabela_registros[CATEGORIA],investirrendafixaconsolidadomar[[#This Row],[ATUAL]])</f>
        <v>0</v>
      </c>
      <c r="AI114" s="101">
        <f>SUMIFS(tabela_registros[VALOR],tabela_registros[MÊS],$AE$1,tabela_registros[DIA],investirrendafixaconsolidadomar[[#Headers],[31]],tabela_registros[REGISTRO],DADOS!$N$5,tabela_registros[TIPO],DADOS!$AB$3,tabela_registros[CATEGORIA],investirrendafixaconsolidadomar[[#This Row],[ATUAL]])</f>
        <v>0</v>
      </c>
      <c r="AJ114" s="97">
        <f>SUM(investirrendafixaconsolidadomar[[#This Row],[1]:[31]])</f>
        <v>0</v>
      </c>
      <c r="AK114" s="25"/>
    </row>
    <row r="115" spans="2:37" ht="19.5" customHeight="1" thickTop="1" thickBot="1" x14ac:dyDescent="0.3">
      <c r="B115" s="28"/>
      <c r="C115" s="27" t="str">
        <f>DADOS!$AD$5</f>
        <v>📝 CRI</v>
      </c>
      <c r="D115" s="26" t="str">
        <f>IF(investirrendafixaconsolidadomar[[#This Row],[TOTAL (R$)]]=0,"",IF(OR(investirrendafixaconsolidadomar[[#This Row],[TOTAL (R$)]]=LARGE($AJ$113:$AJ$122,1),investirrendafixaconsolidadomar[[#This Row],[TOTAL (R$)]]=LARGE($AJ$113:$AJ$122,2)),DADOS!$I$10,""))</f>
        <v/>
      </c>
      <c r="E115" s="96">
        <f>SUMIFS(tabela_registros[VALOR],tabela_registros[MÊS],$AE$1,tabela_registros[DIA],investirrendafixaconsolidadomar[[#Headers],[1]],tabela_registros[REGISTRO],DADOS!$N$5,tabela_registros[TIPO],DADOS!$AB$3,tabela_registros[CATEGORIA],investirrendafixaconsolidadomar[[#This Row],[ATUAL]])</f>
        <v>0</v>
      </c>
      <c r="F115" s="91">
        <f>SUMIFS(tabela_registros[VALOR],tabela_registros[MÊS],$AE$1,tabela_registros[DIA],investirrendafixaconsolidadomar[[#Headers],[2]],tabela_registros[REGISTRO],DADOS!$N$5,tabela_registros[TIPO],DADOS!$AB$3,tabela_registros[CATEGORIA],investirrendafixaconsolidadomar[[#This Row],[ATUAL]])</f>
        <v>0</v>
      </c>
      <c r="G115" s="91">
        <f>SUMIFS(tabela_registros[VALOR],tabela_registros[MÊS],$AE$1,tabela_registros[DIA],investirrendafixaconsolidadomar[[#Headers],[3]],tabela_registros[REGISTRO],DADOS!$N$5,tabela_registros[TIPO],DADOS!$AB$3,tabela_registros[CATEGORIA],investirrendafixaconsolidadomar[[#This Row],[ATUAL]])</f>
        <v>0</v>
      </c>
      <c r="H115" s="91">
        <f>SUMIFS(tabela_registros[VALOR],tabela_registros[MÊS],$AE$1,tabela_registros[DIA],investirrendafixaconsolidadomar[[#Headers],[4]],tabela_registros[REGISTRO],DADOS!$N$5,tabela_registros[TIPO],DADOS!$AB$3,tabela_registros[CATEGORIA],investirrendafixaconsolidadomar[[#This Row],[ATUAL]])</f>
        <v>0</v>
      </c>
      <c r="I115" s="91">
        <f>SUMIFS(tabela_registros[VALOR],tabela_registros[MÊS],$AE$1,tabela_registros[DIA],investirrendafixaconsolidadomar[[#Headers],[5]],tabela_registros[REGISTRO],DADOS!$N$5,tabela_registros[TIPO],DADOS!$AB$3,tabela_registros[CATEGORIA],investirrendafixaconsolidadomar[[#This Row],[ATUAL]])</f>
        <v>0</v>
      </c>
      <c r="J115" s="91">
        <f>SUMIFS(tabela_registros[VALOR],tabela_registros[MÊS],$AE$1,tabela_registros[DIA],investirrendafixaconsolidadomar[[#Headers],[6]],tabela_registros[REGISTRO],DADOS!$N$5,tabela_registros[TIPO],DADOS!$AB$3,tabela_registros[CATEGORIA],investirrendafixaconsolidadomar[[#This Row],[ATUAL]])</f>
        <v>0</v>
      </c>
      <c r="K115" s="91">
        <f>SUMIFS(tabela_registros[VALOR],tabela_registros[MÊS],$AE$1,tabela_registros[DIA],investirrendafixaconsolidadomar[[#Headers],[7]],tabela_registros[REGISTRO],DADOS!$N$5,tabela_registros[TIPO],DADOS!$AB$3,tabela_registros[CATEGORIA],investirrendafixaconsolidadomar[[#This Row],[ATUAL]])</f>
        <v>0</v>
      </c>
      <c r="L115" s="91">
        <f>SUMIFS(tabela_registros[VALOR],tabela_registros[MÊS],$AE$1,tabela_registros[DIA],investirrendafixaconsolidadomar[[#Headers],[8]],tabela_registros[REGISTRO],DADOS!$N$5,tabela_registros[TIPO],DADOS!$AB$3,tabela_registros[CATEGORIA],investirrendafixaconsolidadomar[[#This Row],[ATUAL]])</f>
        <v>0</v>
      </c>
      <c r="M115" s="91">
        <f>SUMIFS(tabela_registros[VALOR],tabela_registros[MÊS],$AE$1,tabela_registros[DIA],investirrendafixaconsolidadomar[[#Headers],[9]],tabela_registros[REGISTRO],DADOS!$N$5,tabela_registros[TIPO],DADOS!$AB$3,tabela_registros[CATEGORIA],investirrendafixaconsolidadomar[[#This Row],[ATUAL]])</f>
        <v>0</v>
      </c>
      <c r="N115" s="91">
        <f>SUMIFS(tabela_registros[VALOR],tabela_registros[MÊS],$AE$1,tabela_registros[DIA],investirrendafixaconsolidadomar[[#Headers],[10]],tabela_registros[REGISTRO],DADOS!$N$5,tabela_registros[TIPO],DADOS!$AB$3,tabela_registros[CATEGORIA],investirrendafixaconsolidadomar[[#This Row],[ATUAL]])</f>
        <v>0</v>
      </c>
      <c r="O115" s="91">
        <f>SUMIFS(tabela_registros[VALOR],tabela_registros[MÊS],$AE$1,tabela_registros[DIA],investirrendafixaconsolidadomar[[#Headers],[11]],tabela_registros[REGISTRO],DADOS!$N$5,tabela_registros[TIPO],DADOS!$AB$3,tabela_registros[CATEGORIA],investirrendafixaconsolidadomar[[#This Row],[ATUAL]])</f>
        <v>0</v>
      </c>
      <c r="P115" s="91">
        <f>SUMIFS(tabela_registros[VALOR],tabela_registros[MÊS],$AE$1,tabela_registros[DIA],investirrendafixaconsolidadomar[[#Headers],[12]],tabela_registros[REGISTRO],DADOS!$N$5,tabela_registros[TIPO],DADOS!$AB$3,tabela_registros[CATEGORIA],investirrendafixaconsolidadomar[[#This Row],[ATUAL]])</f>
        <v>0</v>
      </c>
      <c r="Q115" s="91">
        <f>SUMIFS(tabela_registros[VALOR],tabela_registros[MÊS],$AE$1,tabela_registros[DIA],investirrendafixaconsolidadomar[[#Headers],[13]],tabela_registros[REGISTRO],DADOS!$N$5,tabela_registros[TIPO],DADOS!$AB$3,tabela_registros[CATEGORIA],investirrendafixaconsolidadomar[[#This Row],[ATUAL]])</f>
        <v>0</v>
      </c>
      <c r="R115" s="91">
        <f>SUMIFS(tabela_registros[VALOR],tabela_registros[MÊS],$AE$1,tabela_registros[DIA],investirrendafixaconsolidadomar[[#Headers],[14]],tabela_registros[REGISTRO],DADOS!$N$5,tabela_registros[TIPO],DADOS!$AB$3,tabela_registros[CATEGORIA],investirrendafixaconsolidadomar[[#This Row],[ATUAL]])</f>
        <v>0</v>
      </c>
      <c r="S115" s="91">
        <f>SUMIFS(tabela_registros[VALOR],tabela_registros[MÊS],$AE$1,tabela_registros[DIA],investirrendafixaconsolidadomar[[#Headers],[15]],tabela_registros[REGISTRO],DADOS!$N$5,tabela_registros[TIPO],DADOS!$AB$3,tabela_registros[CATEGORIA],investirrendafixaconsolidadomar[[#This Row],[ATUAL]])</f>
        <v>0</v>
      </c>
      <c r="T115" s="91">
        <f>SUMIFS(tabela_registros[VALOR],tabela_registros[MÊS],$AE$1,tabela_registros[DIA],investirrendafixaconsolidadomar[[#Headers],[16]],tabela_registros[REGISTRO],DADOS!$N$5,tabela_registros[TIPO],DADOS!$AB$3,tabela_registros[CATEGORIA],investirrendafixaconsolidadomar[[#This Row],[ATUAL]])</f>
        <v>0</v>
      </c>
      <c r="U115" s="91">
        <f>SUMIFS(tabela_registros[VALOR],tabela_registros[MÊS],$AE$1,tabela_registros[DIA],investirrendafixaconsolidadomar[[#Headers],[17]],tabela_registros[REGISTRO],DADOS!$N$5,tabela_registros[TIPO],DADOS!$AB$3,tabela_registros[CATEGORIA],investirrendafixaconsolidadomar[[#This Row],[ATUAL]])</f>
        <v>0</v>
      </c>
      <c r="V115" s="91">
        <f>SUMIFS(tabela_registros[VALOR],tabela_registros[MÊS],$AE$1,tabela_registros[DIA],investirrendafixaconsolidadomar[[#Headers],[18]],tabela_registros[REGISTRO],DADOS!$N$5,tabela_registros[TIPO],DADOS!$AB$3,tabela_registros[CATEGORIA],investirrendafixaconsolidadomar[[#This Row],[ATUAL]])</f>
        <v>0</v>
      </c>
      <c r="W115" s="91">
        <f>SUMIFS(tabela_registros[VALOR],tabela_registros[MÊS],$AE$1,tabela_registros[DIA],investirrendafixaconsolidadomar[[#Headers],[19]],tabela_registros[REGISTRO],DADOS!$N$5,tabela_registros[TIPO],DADOS!$AB$3,tabela_registros[CATEGORIA],investirrendafixaconsolidadomar[[#This Row],[ATUAL]])</f>
        <v>0</v>
      </c>
      <c r="X115" s="91">
        <f>SUMIFS(tabela_registros[VALOR],tabela_registros[MÊS],$AE$1,tabela_registros[DIA],investirrendafixaconsolidadomar[[#Headers],[20]],tabela_registros[REGISTRO],DADOS!$N$5,tabela_registros[TIPO],DADOS!$AB$3,tabela_registros[CATEGORIA],investirrendafixaconsolidadomar[[#This Row],[ATUAL]])</f>
        <v>0</v>
      </c>
      <c r="Y115" s="91">
        <f>SUMIFS(tabela_registros[VALOR],tabela_registros[MÊS],$AE$1,tabela_registros[DIA],investirrendafixaconsolidadomar[[#Headers],[21]],tabela_registros[REGISTRO],DADOS!$N$5,tabela_registros[TIPO],DADOS!$AB$3,tabela_registros[CATEGORIA],investirrendafixaconsolidadomar[[#This Row],[ATUAL]])</f>
        <v>0</v>
      </c>
      <c r="Z115" s="91">
        <f>SUMIFS(tabela_registros[VALOR],tabela_registros[MÊS],$AE$1,tabela_registros[DIA],investirrendafixaconsolidadomar[[#Headers],[22]],tabela_registros[REGISTRO],DADOS!$N$5,tabela_registros[TIPO],DADOS!$AB$3,tabela_registros[CATEGORIA],investirrendafixaconsolidadomar[[#This Row],[ATUAL]])</f>
        <v>0</v>
      </c>
      <c r="AA115" s="91">
        <f>SUMIFS(tabela_registros[VALOR],tabela_registros[MÊS],$AE$1,tabela_registros[DIA],investirrendafixaconsolidadomar[[#Headers],[23]],tabela_registros[REGISTRO],DADOS!$N$5,tabela_registros[TIPO],DADOS!$AB$3,tabela_registros[CATEGORIA],investirrendafixaconsolidadomar[[#This Row],[ATUAL]])</f>
        <v>0</v>
      </c>
      <c r="AB115" s="91">
        <f>SUMIFS(tabela_registros[VALOR],tabela_registros[MÊS],$AE$1,tabela_registros[DIA],investirrendafixaconsolidadomar[[#Headers],[24]],tabela_registros[REGISTRO],DADOS!$N$5,tabela_registros[TIPO],DADOS!$AB$3,tabela_registros[CATEGORIA],investirrendafixaconsolidadomar[[#This Row],[ATUAL]])</f>
        <v>0</v>
      </c>
      <c r="AC115" s="91">
        <f>SUMIFS(tabela_registros[VALOR],tabela_registros[MÊS],$AE$1,tabela_registros[DIA],investirrendafixaconsolidadomar[[#Headers],[25]],tabela_registros[REGISTRO],DADOS!$N$5,tabela_registros[TIPO],DADOS!$AB$3,tabela_registros[CATEGORIA],investirrendafixaconsolidadomar[[#This Row],[ATUAL]])</f>
        <v>0</v>
      </c>
      <c r="AD115" s="91">
        <f>SUMIFS(tabela_registros[VALOR],tabela_registros[MÊS],$AE$1,tabela_registros[DIA],investirrendafixaconsolidadomar[[#Headers],[26]],tabela_registros[REGISTRO],DADOS!$N$5,tabela_registros[TIPO],DADOS!$AB$3,tabela_registros[CATEGORIA],investirrendafixaconsolidadomar[[#This Row],[ATUAL]])</f>
        <v>0</v>
      </c>
      <c r="AE115" s="91">
        <f>SUMIFS(tabela_registros[VALOR],tabela_registros[MÊS],$AE$1,tabela_registros[DIA],investirrendafixaconsolidadomar[[#Headers],[27]],tabela_registros[REGISTRO],DADOS!$N$5,tabela_registros[TIPO],DADOS!$AB$3,tabela_registros[CATEGORIA],investirrendafixaconsolidadomar[[#This Row],[ATUAL]])</f>
        <v>0</v>
      </c>
      <c r="AF115" s="91">
        <f>SUMIFS(tabela_registros[VALOR],tabela_registros[MÊS],$AE$1,tabela_registros[DIA],investirrendafixaconsolidadomar[[#Headers],[28]],tabela_registros[REGISTRO],DADOS!$N$5,tabela_registros[TIPO],DADOS!$AB$3,tabela_registros[CATEGORIA],investirrendafixaconsolidadomar[[#This Row],[ATUAL]])</f>
        <v>0</v>
      </c>
      <c r="AG115" s="91">
        <f>SUMIFS(tabela_registros[VALOR],tabela_registros[MÊS],$AE$1,tabela_registros[DIA],investirrendafixaconsolidadomar[[#Headers],[29]],tabela_registros[REGISTRO],DADOS!$N$5,tabela_registros[TIPO],DADOS!$AB$3,tabela_registros[CATEGORIA],investirrendafixaconsolidadomar[[#This Row],[ATUAL]])</f>
        <v>0</v>
      </c>
      <c r="AH115" s="91">
        <f>SUMIFS(tabela_registros[VALOR],tabela_registros[MÊS],$AE$1,tabela_registros[DIA],investirrendafixaconsolidadomar[[#Headers],[30]],tabela_registros[REGISTRO],DADOS!$N$5,tabela_registros[TIPO],DADOS!$AB$3,tabela_registros[CATEGORIA],investirrendafixaconsolidadomar[[#This Row],[ATUAL]])</f>
        <v>0</v>
      </c>
      <c r="AI115" s="101">
        <f>SUMIFS(tabela_registros[VALOR],tabela_registros[MÊS],$AE$1,tabela_registros[DIA],investirrendafixaconsolidadomar[[#Headers],[31]],tabela_registros[REGISTRO],DADOS!$N$5,tabela_registros[TIPO],DADOS!$AB$3,tabela_registros[CATEGORIA],investirrendafixaconsolidadomar[[#This Row],[ATUAL]])</f>
        <v>0</v>
      </c>
      <c r="AJ115" s="97">
        <f>SUM(investirrendafixaconsolidadomar[[#This Row],[1]:[31]])</f>
        <v>0</v>
      </c>
      <c r="AK115" s="25"/>
    </row>
    <row r="116" spans="2:37" ht="19.5" customHeight="1" thickTop="1" thickBot="1" x14ac:dyDescent="0.3">
      <c r="B116" s="28"/>
      <c r="C116" s="27" t="str">
        <f>DADOS!$AD$6</f>
        <v>📝 DEBÊNTURE</v>
      </c>
      <c r="D116" s="26" t="str">
        <f>IF(investirrendafixaconsolidadomar[[#This Row],[TOTAL (R$)]]=0,"",IF(OR(investirrendafixaconsolidadomar[[#This Row],[TOTAL (R$)]]=LARGE($AJ$113:$AJ$122,1),investirrendafixaconsolidadomar[[#This Row],[TOTAL (R$)]]=LARGE($AJ$113:$AJ$122,2)),DADOS!$I$10,""))</f>
        <v/>
      </c>
      <c r="E116" s="96">
        <f>SUMIFS(tabela_registros[VALOR],tabela_registros[MÊS],$AE$1,tabela_registros[DIA],investirrendafixaconsolidadomar[[#Headers],[1]],tabela_registros[REGISTRO],DADOS!$N$5,tabela_registros[TIPO],DADOS!$AB$3,tabela_registros[CATEGORIA],investirrendafixaconsolidadomar[[#This Row],[ATUAL]])</f>
        <v>0</v>
      </c>
      <c r="F116" s="91">
        <f>SUMIFS(tabela_registros[VALOR],tabela_registros[MÊS],$AE$1,tabela_registros[DIA],investirrendafixaconsolidadomar[[#Headers],[2]],tabela_registros[REGISTRO],DADOS!$N$5,tabela_registros[TIPO],DADOS!$AB$3,tabela_registros[CATEGORIA],investirrendafixaconsolidadomar[[#This Row],[ATUAL]])</f>
        <v>0</v>
      </c>
      <c r="G116" s="91">
        <f>SUMIFS(tabela_registros[VALOR],tabela_registros[MÊS],$AE$1,tabela_registros[DIA],investirrendafixaconsolidadomar[[#Headers],[3]],tabela_registros[REGISTRO],DADOS!$N$5,tabela_registros[TIPO],DADOS!$AB$3,tabela_registros[CATEGORIA],investirrendafixaconsolidadomar[[#This Row],[ATUAL]])</f>
        <v>0</v>
      </c>
      <c r="H116" s="91">
        <f>SUMIFS(tabela_registros[VALOR],tabela_registros[MÊS],$AE$1,tabela_registros[DIA],investirrendafixaconsolidadomar[[#Headers],[4]],tabela_registros[REGISTRO],DADOS!$N$5,tabela_registros[TIPO],DADOS!$AB$3,tabela_registros[CATEGORIA],investirrendafixaconsolidadomar[[#This Row],[ATUAL]])</f>
        <v>0</v>
      </c>
      <c r="I116" s="91">
        <f>SUMIFS(tabela_registros[VALOR],tabela_registros[MÊS],$AE$1,tabela_registros[DIA],investirrendafixaconsolidadomar[[#Headers],[5]],tabela_registros[REGISTRO],DADOS!$N$5,tabela_registros[TIPO],DADOS!$AB$3,tabela_registros[CATEGORIA],investirrendafixaconsolidadomar[[#This Row],[ATUAL]])</f>
        <v>0</v>
      </c>
      <c r="J116" s="91">
        <f>SUMIFS(tabela_registros[VALOR],tabela_registros[MÊS],$AE$1,tabela_registros[DIA],investirrendafixaconsolidadomar[[#Headers],[6]],tabela_registros[REGISTRO],DADOS!$N$5,tabela_registros[TIPO],DADOS!$AB$3,tabela_registros[CATEGORIA],investirrendafixaconsolidadomar[[#This Row],[ATUAL]])</f>
        <v>0</v>
      </c>
      <c r="K116" s="91">
        <f>SUMIFS(tabela_registros[VALOR],tabela_registros[MÊS],$AE$1,tabela_registros[DIA],investirrendafixaconsolidadomar[[#Headers],[7]],tabela_registros[REGISTRO],DADOS!$N$5,tabela_registros[TIPO],DADOS!$AB$3,tabela_registros[CATEGORIA],investirrendafixaconsolidadomar[[#This Row],[ATUAL]])</f>
        <v>0</v>
      </c>
      <c r="L116" s="91">
        <f>SUMIFS(tabela_registros[VALOR],tabela_registros[MÊS],$AE$1,tabela_registros[DIA],investirrendafixaconsolidadomar[[#Headers],[8]],tabela_registros[REGISTRO],DADOS!$N$5,tabela_registros[TIPO],DADOS!$AB$3,tabela_registros[CATEGORIA],investirrendafixaconsolidadomar[[#This Row],[ATUAL]])</f>
        <v>0</v>
      </c>
      <c r="M116" s="91">
        <f>SUMIFS(tabela_registros[VALOR],tabela_registros[MÊS],$AE$1,tabela_registros[DIA],investirrendafixaconsolidadomar[[#Headers],[9]],tabela_registros[REGISTRO],DADOS!$N$5,tabela_registros[TIPO],DADOS!$AB$3,tabela_registros[CATEGORIA],investirrendafixaconsolidadomar[[#This Row],[ATUAL]])</f>
        <v>0</v>
      </c>
      <c r="N116" s="91">
        <f>SUMIFS(tabela_registros[VALOR],tabela_registros[MÊS],$AE$1,tabela_registros[DIA],investirrendafixaconsolidadomar[[#Headers],[10]],tabela_registros[REGISTRO],DADOS!$N$5,tabela_registros[TIPO],DADOS!$AB$3,tabela_registros[CATEGORIA],investirrendafixaconsolidadomar[[#This Row],[ATUAL]])</f>
        <v>0</v>
      </c>
      <c r="O116" s="91">
        <f>SUMIFS(tabela_registros[VALOR],tabela_registros[MÊS],$AE$1,tabela_registros[DIA],investirrendafixaconsolidadomar[[#Headers],[11]],tabela_registros[REGISTRO],DADOS!$N$5,tabela_registros[TIPO],DADOS!$AB$3,tabela_registros[CATEGORIA],investirrendafixaconsolidadomar[[#This Row],[ATUAL]])</f>
        <v>0</v>
      </c>
      <c r="P116" s="91">
        <f>SUMIFS(tabela_registros[VALOR],tabela_registros[MÊS],$AE$1,tabela_registros[DIA],investirrendafixaconsolidadomar[[#Headers],[12]],tabela_registros[REGISTRO],DADOS!$N$5,tabela_registros[TIPO],DADOS!$AB$3,tabela_registros[CATEGORIA],investirrendafixaconsolidadomar[[#This Row],[ATUAL]])</f>
        <v>0</v>
      </c>
      <c r="Q116" s="91">
        <f>SUMIFS(tabela_registros[VALOR],tabela_registros[MÊS],$AE$1,tabela_registros[DIA],investirrendafixaconsolidadomar[[#Headers],[13]],tabela_registros[REGISTRO],DADOS!$N$5,tabela_registros[TIPO],DADOS!$AB$3,tabela_registros[CATEGORIA],investirrendafixaconsolidadomar[[#This Row],[ATUAL]])</f>
        <v>0</v>
      </c>
      <c r="R116" s="91">
        <f>SUMIFS(tabela_registros[VALOR],tabela_registros[MÊS],$AE$1,tabela_registros[DIA],investirrendafixaconsolidadomar[[#Headers],[14]],tabela_registros[REGISTRO],DADOS!$N$5,tabela_registros[TIPO],DADOS!$AB$3,tabela_registros[CATEGORIA],investirrendafixaconsolidadomar[[#This Row],[ATUAL]])</f>
        <v>0</v>
      </c>
      <c r="S116" s="91">
        <f>SUMIFS(tabela_registros[VALOR],tabela_registros[MÊS],$AE$1,tabela_registros[DIA],investirrendafixaconsolidadomar[[#Headers],[15]],tabela_registros[REGISTRO],DADOS!$N$5,tabela_registros[TIPO],DADOS!$AB$3,tabela_registros[CATEGORIA],investirrendafixaconsolidadomar[[#This Row],[ATUAL]])</f>
        <v>0</v>
      </c>
      <c r="T116" s="91">
        <f>SUMIFS(tabela_registros[VALOR],tabela_registros[MÊS],$AE$1,tabela_registros[DIA],investirrendafixaconsolidadomar[[#Headers],[16]],tabela_registros[REGISTRO],DADOS!$N$5,tabela_registros[TIPO],DADOS!$AB$3,tabela_registros[CATEGORIA],investirrendafixaconsolidadomar[[#This Row],[ATUAL]])</f>
        <v>0</v>
      </c>
      <c r="U116" s="91">
        <f>SUMIFS(tabela_registros[VALOR],tabela_registros[MÊS],$AE$1,tabela_registros[DIA],investirrendafixaconsolidadomar[[#Headers],[17]],tabela_registros[REGISTRO],DADOS!$N$5,tabela_registros[TIPO],DADOS!$AB$3,tabela_registros[CATEGORIA],investirrendafixaconsolidadomar[[#This Row],[ATUAL]])</f>
        <v>0</v>
      </c>
      <c r="V116" s="91">
        <f>SUMIFS(tabela_registros[VALOR],tabela_registros[MÊS],$AE$1,tabela_registros[DIA],investirrendafixaconsolidadomar[[#Headers],[18]],tabela_registros[REGISTRO],DADOS!$N$5,tabela_registros[TIPO],DADOS!$AB$3,tabela_registros[CATEGORIA],investirrendafixaconsolidadomar[[#This Row],[ATUAL]])</f>
        <v>0</v>
      </c>
      <c r="W116" s="91">
        <f>SUMIFS(tabela_registros[VALOR],tabela_registros[MÊS],$AE$1,tabela_registros[DIA],investirrendafixaconsolidadomar[[#Headers],[19]],tabela_registros[REGISTRO],DADOS!$N$5,tabela_registros[TIPO],DADOS!$AB$3,tabela_registros[CATEGORIA],investirrendafixaconsolidadomar[[#This Row],[ATUAL]])</f>
        <v>0</v>
      </c>
      <c r="X116" s="91">
        <f>SUMIFS(tabela_registros[VALOR],tabela_registros[MÊS],$AE$1,tabela_registros[DIA],investirrendafixaconsolidadomar[[#Headers],[20]],tabela_registros[REGISTRO],DADOS!$N$5,tabela_registros[TIPO],DADOS!$AB$3,tabela_registros[CATEGORIA],investirrendafixaconsolidadomar[[#This Row],[ATUAL]])</f>
        <v>0</v>
      </c>
      <c r="Y116" s="91">
        <f>SUMIFS(tabela_registros[VALOR],tabela_registros[MÊS],$AE$1,tabela_registros[DIA],investirrendafixaconsolidadomar[[#Headers],[21]],tabela_registros[REGISTRO],DADOS!$N$5,tabela_registros[TIPO],DADOS!$AB$3,tabela_registros[CATEGORIA],investirrendafixaconsolidadomar[[#This Row],[ATUAL]])</f>
        <v>0</v>
      </c>
      <c r="Z116" s="91">
        <f>SUMIFS(tabela_registros[VALOR],tabela_registros[MÊS],$AE$1,tabela_registros[DIA],investirrendafixaconsolidadomar[[#Headers],[22]],tabela_registros[REGISTRO],DADOS!$N$5,tabela_registros[TIPO],DADOS!$AB$3,tabela_registros[CATEGORIA],investirrendafixaconsolidadomar[[#This Row],[ATUAL]])</f>
        <v>0</v>
      </c>
      <c r="AA116" s="91">
        <f>SUMIFS(tabela_registros[VALOR],tabela_registros[MÊS],$AE$1,tabela_registros[DIA],investirrendafixaconsolidadomar[[#Headers],[23]],tabela_registros[REGISTRO],DADOS!$N$5,tabela_registros[TIPO],DADOS!$AB$3,tabela_registros[CATEGORIA],investirrendafixaconsolidadomar[[#This Row],[ATUAL]])</f>
        <v>0</v>
      </c>
      <c r="AB116" s="91">
        <f>SUMIFS(tabela_registros[VALOR],tabela_registros[MÊS],$AE$1,tabela_registros[DIA],investirrendafixaconsolidadomar[[#Headers],[24]],tabela_registros[REGISTRO],DADOS!$N$5,tabela_registros[TIPO],DADOS!$AB$3,tabela_registros[CATEGORIA],investirrendafixaconsolidadomar[[#This Row],[ATUAL]])</f>
        <v>0</v>
      </c>
      <c r="AC116" s="91">
        <f>SUMIFS(tabela_registros[VALOR],tabela_registros[MÊS],$AE$1,tabela_registros[DIA],investirrendafixaconsolidadomar[[#Headers],[25]],tabela_registros[REGISTRO],DADOS!$N$5,tabela_registros[TIPO],DADOS!$AB$3,tabela_registros[CATEGORIA],investirrendafixaconsolidadomar[[#This Row],[ATUAL]])</f>
        <v>0</v>
      </c>
      <c r="AD116" s="91">
        <f>SUMIFS(tabela_registros[VALOR],tabela_registros[MÊS],$AE$1,tabela_registros[DIA],investirrendafixaconsolidadomar[[#Headers],[26]],tabela_registros[REGISTRO],DADOS!$N$5,tabela_registros[TIPO],DADOS!$AB$3,tabela_registros[CATEGORIA],investirrendafixaconsolidadomar[[#This Row],[ATUAL]])</f>
        <v>0</v>
      </c>
      <c r="AE116" s="91">
        <f>SUMIFS(tabela_registros[VALOR],tabela_registros[MÊS],$AE$1,tabela_registros[DIA],investirrendafixaconsolidadomar[[#Headers],[27]],tabela_registros[REGISTRO],DADOS!$N$5,tabela_registros[TIPO],DADOS!$AB$3,tabela_registros[CATEGORIA],investirrendafixaconsolidadomar[[#This Row],[ATUAL]])</f>
        <v>0</v>
      </c>
      <c r="AF116" s="91">
        <f>SUMIFS(tabela_registros[VALOR],tabela_registros[MÊS],$AE$1,tabela_registros[DIA],investirrendafixaconsolidadomar[[#Headers],[28]],tabela_registros[REGISTRO],DADOS!$N$5,tabela_registros[TIPO],DADOS!$AB$3,tabela_registros[CATEGORIA],investirrendafixaconsolidadomar[[#This Row],[ATUAL]])</f>
        <v>0</v>
      </c>
      <c r="AG116" s="91">
        <f>SUMIFS(tabela_registros[VALOR],tabela_registros[MÊS],$AE$1,tabela_registros[DIA],investirrendafixaconsolidadomar[[#Headers],[29]],tabela_registros[REGISTRO],DADOS!$N$5,tabela_registros[TIPO],DADOS!$AB$3,tabela_registros[CATEGORIA],investirrendafixaconsolidadomar[[#This Row],[ATUAL]])</f>
        <v>0</v>
      </c>
      <c r="AH116" s="91">
        <f>SUMIFS(tabela_registros[VALOR],tabela_registros[MÊS],$AE$1,tabela_registros[DIA],investirrendafixaconsolidadomar[[#Headers],[30]],tabela_registros[REGISTRO],DADOS!$N$5,tabela_registros[TIPO],DADOS!$AB$3,tabela_registros[CATEGORIA],investirrendafixaconsolidadomar[[#This Row],[ATUAL]])</f>
        <v>0</v>
      </c>
      <c r="AI116" s="101">
        <f>SUMIFS(tabela_registros[VALOR],tabela_registros[MÊS],$AE$1,tabela_registros[DIA],investirrendafixaconsolidadomar[[#Headers],[31]],tabela_registros[REGISTRO],DADOS!$N$5,tabela_registros[TIPO],DADOS!$AB$3,tabela_registros[CATEGORIA],investirrendafixaconsolidadomar[[#This Row],[ATUAL]])</f>
        <v>0</v>
      </c>
      <c r="AJ116" s="97">
        <f>SUM(investirrendafixaconsolidadomar[[#This Row],[1]:[31]])</f>
        <v>0</v>
      </c>
      <c r="AK116" s="25"/>
    </row>
    <row r="117" spans="2:37" ht="19.5" customHeight="1" thickTop="1" thickBot="1" x14ac:dyDescent="0.3">
      <c r="B117" s="28"/>
      <c r="C117" s="27" t="str">
        <f>DADOS!$AD$7</f>
        <v>📝 EXTERIOR</v>
      </c>
      <c r="D117" s="26" t="str">
        <f>IF(investirrendafixaconsolidadomar[[#This Row],[TOTAL (R$)]]=0,"",IF(OR(investirrendafixaconsolidadomar[[#This Row],[TOTAL (R$)]]=LARGE($AJ$113:$AJ$122,1),investirrendafixaconsolidadomar[[#This Row],[TOTAL (R$)]]=LARGE($AJ$113:$AJ$122,2)),DADOS!$I$10,""))</f>
        <v/>
      </c>
      <c r="E117" s="96">
        <f>SUMIFS(tabela_registros[VALOR],tabela_registros[MÊS],$AE$1,tabela_registros[DIA],investirrendafixaconsolidadomar[[#Headers],[1]],tabela_registros[REGISTRO],DADOS!$N$5,tabela_registros[TIPO],DADOS!$AB$3,tabela_registros[CATEGORIA],investirrendafixaconsolidadomar[[#This Row],[ATUAL]])</f>
        <v>0</v>
      </c>
      <c r="F117" s="91">
        <f>SUMIFS(tabela_registros[VALOR],tabela_registros[MÊS],$AE$1,tabela_registros[DIA],investirrendafixaconsolidadomar[[#Headers],[2]],tabela_registros[REGISTRO],DADOS!$N$5,tabela_registros[TIPO],DADOS!$AB$3,tabela_registros[CATEGORIA],investirrendafixaconsolidadomar[[#This Row],[ATUAL]])</f>
        <v>0</v>
      </c>
      <c r="G117" s="91">
        <f>SUMIFS(tabela_registros[VALOR],tabela_registros[MÊS],$AE$1,tabela_registros[DIA],investirrendafixaconsolidadomar[[#Headers],[3]],tabela_registros[REGISTRO],DADOS!$N$5,tabela_registros[TIPO],DADOS!$AB$3,tabela_registros[CATEGORIA],investirrendafixaconsolidadomar[[#This Row],[ATUAL]])</f>
        <v>0</v>
      </c>
      <c r="H117" s="91">
        <f>SUMIFS(tabela_registros[VALOR],tabela_registros[MÊS],$AE$1,tabela_registros[DIA],investirrendafixaconsolidadomar[[#Headers],[4]],tabela_registros[REGISTRO],DADOS!$N$5,tabela_registros[TIPO],DADOS!$AB$3,tabela_registros[CATEGORIA],investirrendafixaconsolidadomar[[#This Row],[ATUAL]])</f>
        <v>0</v>
      </c>
      <c r="I117" s="91">
        <f>SUMIFS(tabela_registros[VALOR],tabela_registros[MÊS],$AE$1,tabela_registros[DIA],investirrendafixaconsolidadomar[[#Headers],[5]],tabela_registros[REGISTRO],DADOS!$N$5,tabela_registros[TIPO],DADOS!$AB$3,tabela_registros[CATEGORIA],investirrendafixaconsolidadomar[[#This Row],[ATUAL]])</f>
        <v>0</v>
      </c>
      <c r="J117" s="91">
        <f>SUMIFS(tabela_registros[VALOR],tabela_registros[MÊS],$AE$1,tabela_registros[DIA],investirrendafixaconsolidadomar[[#Headers],[6]],tabela_registros[REGISTRO],DADOS!$N$5,tabela_registros[TIPO],DADOS!$AB$3,tabela_registros[CATEGORIA],investirrendafixaconsolidadomar[[#This Row],[ATUAL]])</f>
        <v>0</v>
      </c>
      <c r="K117" s="91">
        <f>SUMIFS(tabela_registros[VALOR],tabela_registros[MÊS],$AE$1,tabela_registros[DIA],investirrendafixaconsolidadomar[[#Headers],[7]],tabela_registros[REGISTRO],DADOS!$N$5,tabela_registros[TIPO],DADOS!$AB$3,tabela_registros[CATEGORIA],investirrendafixaconsolidadomar[[#This Row],[ATUAL]])</f>
        <v>0</v>
      </c>
      <c r="L117" s="91">
        <f>SUMIFS(tabela_registros[VALOR],tabela_registros[MÊS],$AE$1,tabela_registros[DIA],investirrendafixaconsolidadomar[[#Headers],[8]],tabela_registros[REGISTRO],DADOS!$N$5,tabela_registros[TIPO],DADOS!$AB$3,tabela_registros[CATEGORIA],investirrendafixaconsolidadomar[[#This Row],[ATUAL]])</f>
        <v>0</v>
      </c>
      <c r="M117" s="91">
        <f>SUMIFS(tabela_registros[VALOR],tabela_registros[MÊS],$AE$1,tabela_registros[DIA],investirrendafixaconsolidadomar[[#Headers],[9]],tabela_registros[REGISTRO],DADOS!$N$5,tabela_registros[TIPO],DADOS!$AB$3,tabela_registros[CATEGORIA],investirrendafixaconsolidadomar[[#This Row],[ATUAL]])</f>
        <v>0</v>
      </c>
      <c r="N117" s="91">
        <f>SUMIFS(tabela_registros[VALOR],tabela_registros[MÊS],$AE$1,tabela_registros[DIA],investirrendafixaconsolidadomar[[#Headers],[10]],tabela_registros[REGISTRO],DADOS!$N$5,tabela_registros[TIPO],DADOS!$AB$3,tabela_registros[CATEGORIA],investirrendafixaconsolidadomar[[#This Row],[ATUAL]])</f>
        <v>0</v>
      </c>
      <c r="O117" s="91">
        <f>SUMIFS(tabela_registros[VALOR],tabela_registros[MÊS],$AE$1,tabela_registros[DIA],investirrendafixaconsolidadomar[[#Headers],[11]],tabela_registros[REGISTRO],DADOS!$N$5,tabela_registros[TIPO],DADOS!$AB$3,tabela_registros[CATEGORIA],investirrendafixaconsolidadomar[[#This Row],[ATUAL]])</f>
        <v>0</v>
      </c>
      <c r="P117" s="91">
        <f>SUMIFS(tabela_registros[VALOR],tabela_registros[MÊS],$AE$1,tabela_registros[DIA],investirrendafixaconsolidadomar[[#Headers],[12]],tabela_registros[REGISTRO],DADOS!$N$5,tabela_registros[TIPO],DADOS!$AB$3,tabela_registros[CATEGORIA],investirrendafixaconsolidadomar[[#This Row],[ATUAL]])</f>
        <v>0</v>
      </c>
      <c r="Q117" s="91">
        <f>SUMIFS(tabela_registros[VALOR],tabela_registros[MÊS],$AE$1,tabela_registros[DIA],investirrendafixaconsolidadomar[[#Headers],[13]],tabela_registros[REGISTRO],DADOS!$N$5,tabela_registros[TIPO],DADOS!$AB$3,tabela_registros[CATEGORIA],investirrendafixaconsolidadomar[[#This Row],[ATUAL]])</f>
        <v>0</v>
      </c>
      <c r="R117" s="91">
        <f>SUMIFS(tabela_registros[VALOR],tabela_registros[MÊS],$AE$1,tabela_registros[DIA],investirrendafixaconsolidadomar[[#Headers],[14]],tabela_registros[REGISTRO],DADOS!$N$5,tabela_registros[TIPO],DADOS!$AB$3,tabela_registros[CATEGORIA],investirrendafixaconsolidadomar[[#This Row],[ATUAL]])</f>
        <v>0</v>
      </c>
      <c r="S117" s="91">
        <f>SUMIFS(tabela_registros[VALOR],tabela_registros[MÊS],$AE$1,tabela_registros[DIA],investirrendafixaconsolidadomar[[#Headers],[15]],tabela_registros[REGISTRO],DADOS!$N$5,tabela_registros[TIPO],DADOS!$AB$3,tabela_registros[CATEGORIA],investirrendafixaconsolidadomar[[#This Row],[ATUAL]])</f>
        <v>0</v>
      </c>
      <c r="T117" s="91">
        <f>SUMIFS(tabela_registros[VALOR],tabela_registros[MÊS],$AE$1,tabela_registros[DIA],investirrendafixaconsolidadomar[[#Headers],[16]],tabela_registros[REGISTRO],DADOS!$N$5,tabela_registros[TIPO],DADOS!$AB$3,tabela_registros[CATEGORIA],investirrendafixaconsolidadomar[[#This Row],[ATUAL]])</f>
        <v>0</v>
      </c>
      <c r="U117" s="91">
        <f>SUMIFS(tabela_registros[VALOR],tabela_registros[MÊS],$AE$1,tabela_registros[DIA],investirrendafixaconsolidadomar[[#Headers],[17]],tabela_registros[REGISTRO],DADOS!$N$5,tabela_registros[TIPO],DADOS!$AB$3,tabela_registros[CATEGORIA],investirrendafixaconsolidadomar[[#This Row],[ATUAL]])</f>
        <v>0</v>
      </c>
      <c r="V117" s="91">
        <f>SUMIFS(tabela_registros[VALOR],tabela_registros[MÊS],$AE$1,tabela_registros[DIA],investirrendafixaconsolidadomar[[#Headers],[18]],tabela_registros[REGISTRO],DADOS!$N$5,tabela_registros[TIPO],DADOS!$AB$3,tabela_registros[CATEGORIA],investirrendafixaconsolidadomar[[#This Row],[ATUAL]])</f>
        <v>0</v>
      </c>
      <c r="W117" s="91">
        <f>SUMIFS(tabela_registros[VALOR],tabela_registros[MÊS],$AE$1,tabela_registros[DIA],investirrendafixaconsolidadomar[[#Headers],[19]],tabela_registros[REGISTRO],DADOS!$N$5,tabela_registros[TIPO],DADOS!$AB$3,tabela_registros[CATEGORIA],investirrendafixaconsolidadomar[[#This Row],[ATUAL]])</f>
        <v>0</v>
      </c>
      <c r="X117" s="91">
        <f>SUMIFS(tabela_registros[VALOR],tabela_registros[MÊS],$AE$1,tabela_registros[DIA],investirrendafixaconsolidadomar[[#Headers],[20]],tabela_registros[REGISTRO],DADOS!$N$5,tabela_registros[TIPO],DADOS!$AB$3,tabela_registros[CATEGORIA],investirrendafixaconsolidadomar[[#This Row],[ATUAL]])</f>
        <v>0</v>
      </c>
      <c r="Y117" s="91">
        <f>SUMIFS(tabela_registros[VALOR],tabela_registros[MÊS],$AE$1,tabela_registros[DIA],investirrendafixaconsolidadomar[[#Headers],[21]],tabela_registros[REGISTRO],DADOS!$N$5,tabela_registros[TIPO],DADOS!$AB$3,tabela_registros[CATEGORIA],investirrendafixaconsolidadomar[[#This Row],[ATUAL]])</f>
        <v>0</v>
      </c>
      <c r="Z117" s="91">
        <f>SUMIFS(tabela_registros[VALOR],tabela_registros[MÊS],$AE$1,tabela_registros[DIA],investirrendafixaconsolidadomar[[#Headers],[22]],tabela_registros[REGISTRO],DADOS!$N$5,tabela_registros[TIPO],DADOS!$AB$3,tabela_registros[CATEGORIA],investirrendafixaconsolidadomar[[#This Row],[ATUAL]])</f>
        <v>0</v>
      </c>
      <c r="AA117" s="91">
        <f>SUMIFS(tabela_registros[VALOR],tabela_registros[MÊS],$AE$1,tabela_registros[DIA],investirrendafixaconsolidadomar[[#Headers],[23]],tabela_registros[REGISTRO],DADOS!$N$5,tabela_registros[TIPO],DADOS!$AB$3,tabela_registros[CATEGORIA],investirrendafixaconsolidadomar[[#This Row],[ATUAL]])</f>
        <v>0</v>
      </c>
      <c r="AB117" s="91">
        <f>SUMIFS(tabela_registros[VALOR],tabela_registros[MÊS],$AE$1,tabela_registros[DIA],investirrendafixaconsolidadomar[[#Headers],[24]],tabela_registros[REGISTRO],DADOS!$N$5,tabela_registros[TIPO],DADOS!$AB$3,tabela_registros[CATEGORIA],investirrendafixaconsolidadomar[[#This Row],[ATUAL]])</f>
        <v>0</v>
      </c>
      <c r="AC117" s="91">
        <f>SUMIFS(tabela_registros[VALOR],tabela_registros[MÊS],$AE$1,tabela_registros[DIA],investirrendafixaconsolidadomar[[#Headers],[25]],tabela_registros[REGISTRO],DADOS!$N$5,tabela_registros[TIPO],DADOS!$AB$3,tabela_registros[CATEGORIA],investirrendafixaconsolidadomar[[#This Row],[ATUAL]])</f>
        <v>0</v>
      </c>
      <c r="AD117" s="91">
        <f>SUMIFS(tabela_registros[VALOR],tabela_registros[MÊS],$AE$1,tabela_registros[DIA],investirrendafixaconsolidadomar[[#Headers],[26]],tabela_registros[REGISTRO],DADOS!$N$5,tabela_registros[TIPO],DADOS!$AB$3,tabela_registros[CATEGORIA],investirrendafixaconsolidadomar[[#This Row],[ATUAL]])</f>
        <v>0</v>
      </c>
      <c r="AE117" s="91">
        <f>SUMIFS(tabela_registros[VALOR],tabela_registros[MÊS],$AE$1,tabela_registros[DIA],investirrendafixaconsolidadomar[[#Headers],[27]],tabela_registros[REGISTRO],DADOS!$N$5,tabela_registros[TIPO],DADOS!$AB$3,tabela_registros[CATEGORIA],investirrendafixaconsolidadomar[[#This Row],[ATUAL]])</f>
        <v>0</v>
      </c>
      <c r="AF117" s="91">
        <f>SUMIFS(tabela_registros[VALOR],tabela_registros[MÊS],$AE$1,tabela_registros[DIA],investirrendafixaconsolidadomar[[#Headers],[28]],tabela_registros[REGISTRO],DADOS!$N$5,tabela_registros[TIPO],DADOS!$AB$3,tabela_registros[CATEGORIA],investirrendafixaconsolidadomar[[#This Row],[ATUAL]])</f>
        <v>0</v>
      </c>
      <c r="AG117" s="91">
        <f>SUMIFS(tabela_registros[VALOR],tabela_registros[MÊS],$AE$1,tabela_registros[DIA],investirrendafixaconsolidadomar[[#Headers],[29]],tabela_registros[REGISTRO],DADOS!$N$5,tabela_registros[TIPO],DADOS!$AB$3,tabela_registros[CATEGORIA],investirrendafixaconsolidadomar[[#This Row],[ATUAL]])</f>
        <v>0</v>
      </c>
      <c r="AH117" s="91">
        <f>SUMIFS(tabela_registros[VALOR],tabela_registros[MÊS],$AE$1,tabela_registros[DIA],investirrendafixaconsolidadomar[[#Headers],[30]],tabela_registros[REGISTRO],DADOS!$N$5,tabela_registros[TIPO],DADOS!$AB$3,tabela_registros[CATEGORIA],investirrendafixaconsolidadomar[[#This Row],[ATUAL]])</f>
        <v>0</v>
      </c>
      <c r="AI117" s="101">
        <f>SUMIFS(tabela_registros[VALOR],tabela_registros[MÊS],$AE$1,tabela_registros[DIA],investirrendafixaconsolidadomar[[#Headers],[31]],tabela_registros[REGISTRO],DADOS!$N$5,tabela_registros[TIPO],DADOS!$AB$3,tabela_registros[CATEGORIA],investirrendafixaconsolidadomar[[#This Row],[ATUAL]])</f>
        <v>0</v>
      </c>
      <c r="AJ117" s="97">
        <f>SUM(investirrendafixaconsolidadomar[[#This Row],[1]:[31]])</f>
        <v>0</v>
      </c>
      <c r="AK117" s="25"/>
    </row>
    <row r="118" spans="2:37" ht="19.5" customHeight="1" thickTop="1" thickBot="1" x14ac:dyDescent="0.3">
      <c r="B118" s="28"/>
      <c r="C118" s="27" t="str">
        <f>DADOS!$AD$8</f>
        <v>📝 LC</v>
      </c>
      <c r="D118" s="26" t="str">
        <f>IF(investirrendafixaconsolidadomar[[#This Row],[TOTAL (R$)]]=0,"",IF(OR(investirrendafixaconsolidadomar[[#This Row],[TOTAL (R$)]]=LARGE($AJ$113:$AJ$122,1),investirrendafixaconsolidadomar[[#This Row],[TOTAL (R$)]]=LARGE($AJ$113:$AJ$122,2)),DADOS!$I$10,""))</f>
        <v/>
      </c>
      <c r="E118" s="96">
        <f>SUMIFS(tabela_registros[VALOR],tabela_registros[MÊS],$AE$1,tabela_registros[DIA],investirrendafixaconsolidadomar[[#Headers],[1]],tabela_registros[REGISTRO],DADOS!$N$5,tabela_registros[TIPO],DADOS!$AB$3,tabela_registros[CATEGORIA],investirrendafixaconsolidadomar[[#This Row],[ATUAL]])</f>
        <v>0</v>
      </c>
      <c r="F118" s="91">
        <f>SUMIFS(tabela_registros[VALOR],tabela_registros[MÊS],$AE$1,tabela_registros[DIA],investirrendafixaconsolidadomar[[#Headers],[2]],tabela_registros[REGISTRO],DADOS!$N$5,tabela_registros[TIPO],DADOS!$AB$3,tabela_registros[CATEGORIA],investirrendafixaconsolidadomar[[#This Row],[ATUAL]])</f>
        <v>0</v>
      </c>
      <c r="G118" s="91">
        <f>SUMIFS(tabela_registros[VALOR],tabela_registros[MÊS],$AE$1,tabela_registros[DIA],investirrendafixaconsolidadomar[[#Headers],[3]],tabela_registros[REGISTRO],DADOS!$N$5,tabela_registros[TIPO],DADOS!$AB$3,tabela_registros[CATEGORIA],investirrendafixaconsolidadomar[[#This Row],[ATUAL]])</f>
        <v>0</v>
      </c>
      <c r="H118" s="91">
        <f>SUMIFS(tabela_registros[VALOR],tabela_registros[MÊS],$AE$1,tabela_registros[DIA],investirrendafixaconsolidadomar[[#Headers],[4]],tabela_registros[REGISTRO],DADOS!$N$5,tabela_registros[TIPO],DADOS!$AB$3,tabela_registros[CATEGORIA],investirrendafixaconsolidadomar[[#This Row],[ATUAL]])</f>
        <v>0</v>
      </c>
      <c r="I118" s="91">
        <f>SUMIFS(tabela_registros[VALOR],tabela_registros[MÊS],$AE$1,tabela_registros[DIA],investirrendafixaconsolidadomar[[#Headers],[5]],tabela_registros[REGISTRO],DADOS!$N$5,tabela_registros[TIPO],DADOS!$AB$3,tabela_registros[CATEGORIA],investirrendafixaconsolidadomar[[#This Row],[ATUAL]])</f>
        <v>0</v>
      </c>
      <c r="J118" s="91">
        <f>SUMIFS(tabela_registros[VALOR],tabela_registros[MÊS],$AE$1,tabela_registros[DIA],investirrendafixaconsolidadomar[[#Headers],[6]],tabela_registros[REGISTRO],DADOS!$N$5,tabela_registros[TIPO],DADOS!$AB$3,tabela_registros[CATEGORIA],investirrendafixaconsolidadomar[[#This Row],[ATUAL]])</f>
        <v>0</v>
      </c>
      <c r="K118" s="91">
        <f>SUMIFS(tabela_registros[VALOR],tabela_registros[MÊS],$AE$1,tabela_registros[DIA],investirrendafixaconsolidadomar[[#Headers],[7]],tabela_registros[REGISTRO],DADOS!$N$5,tabela_registros[TIPO],DADOS!$AB$3,tabela_registros[CATEGORIA],investirrendafixaconsolidadomar[[#This Row],[ATUAL]])</f>
        <v>0</v>
      </c>
      <c r="L118" s="91">
        <f>SUMIFS(tabela_registros[VALOR],tabela_registros[MÊS],$AE$1,tabela_registros[DIA],investirrendafixaconsolidadomar[[#Headers],[8]],tabela_registros[REGISTRO],DADOS!$N$5,tabela_registros[TIPO],DADOS!$AB$3,tabela_registros[CATEGORIA],investirrendafixaconsolidadomar[[#This Row],[ATUAL]])</f>
        <v>0</v>
      </c>
      <c r="M118" s="91">
        <f>SUMIFS(tabela_registros[VALOR],tabela_registros[MÊS],$AE$1,tabela_registros[DIA],investirrendafixaconsolidadomar[[#Headers],[9]],tabela_registros[REGISTRO],DADOS!$N$5,tabela_registros[TIPO],DADOS!$AB$3,tabela_registros[CATEGORIA],investirrendafixaconsolidadomar[[#This Row],[ATUAL]])</f>
        <v>0</v>
      </c>
      <c r="N118" s="91">
        <f>SUMIFS(tabela_registros[VALOR],tabela_registros[MÊS],$AE$1,tabela_registros[DIA],investirrendafixaconsolidadomar[[#Headers],[10]],tabela_registros[REGISTRO],DADOS!$N$5,tabela_registros[TIPO],DADOS!$AB$3,tabela_registros[CATEGORIA],investirrendafixaconsolidadomar[[#This Row],[ATUAL]])</f>
        <v>0</v>
      </c>
      <c r="O118" s="91">
        <f>SUMIFS(tabela_registros[VALOR],tabela_registros[MÊS],$AE$1,tabela_registros[DIA],investirrendafixaconsolidadomar[[#Headers],[11]],tabela_registros[REGISTRO],DADOS!$N$5,tabela_registros[TIPO],DADOS!$AB$3,tabela_registros[CATEGORIA],investirrendafixaconsolidadomar[[#This Row],[ATUAL]])</f>
        <v>0</v>
      </c>
      <c r="P118" s="91">
        <f>SUMIFS(tabela_registros[VALOR],tabela_registros[MÊS],$AE$1,tabela_registros[DIA],investirrendafixaconsolidadomar[[#Headers],[12]],tabela_registros[REGISTRO],DADOS!$N$5,tabela_registros[TIPO],DADOS!$AB$3,tabela_registros[CATEGORIA],investirrendafixaconsolidadomar[[#This Row],[ATUAL]])</f>
        <v>0</v>
      </c>
      <c r="Q118" s="91">
        <f>SUMIFS(tabela_registros[VALOR],tabela_registros[MÊS],$AE$1,tabela_registros[DIA],investirrendafixaconsolidadomar[[#Headers],[13]],tabela_registros[REGISTRO],DADOS!$N$5,tabela_registros[TIPO],DADOS!$AB$3,tabela_registros[CATEGORIA],investirrendafixaconsolidadomar[[#This Row],[ATUAL]])</f>
        <v>0</v>
      </c>
      <c r="R118" s="91">
        <f>SUMIFS(tabela_registros[VALOR],tabela_registros[MÊS],$AE$1,tabela_registros[DIA],investirrendafixaconsolidadomar[[#Headers],[14]],tabela_registros[REGISTRO],DADOS!$N$5,tabela_registros[TIPO],DADOS!$AB$3,tabela_registros[CATEGORIA],investirrendafixaconsolidadomar[[#This Row],[ATUAL]])</f>
        <v>0</v>
      </c>
      <c r="S118" s="91">
        <f>SUMIFS(tabela_registros[VALOR],tabela_registros[MÊS],$AE$1,tabela_registros[DIA],investirrendafixaconsolidadomar[[#Headers],[15]],tabela_registros[REGISTRO],DADOS!$N$5,tabela_registros[TIPO],DADOS!$AB$3,tabela_registros[CATEGORIA],investirrendafixaconsolidadomar[[#This Row],[ATUAL]])</f>
        <v>0</v>
      </c>
      <c r="T118" s="91">
        <f>SUMIFS(tabela_registros[VALOR],tabela_registros[MÊS],$AE$1,tabela_registros[DIA],investirrendafixaconsolidadomar[[#Headers],[16]],tabela_registros[REGISTRO],DADOS!$N$5,tabela_registros[TIPO],DADOS!$AB$3,tabela_registros[CATEGORIA],investirrendafixaconsolidadomar[[#This Row],[ATUAL]])</f>
        <v>0</v>
      </c>
      <c r="U118" s="91">
        <f>SUMIFS(tabela_registros[VALOR],tabela_registros[MÊS],$AE$1,tabela_registros[DIA],investirrendafixaconsolidadomar[[#Headers],[17]],tabela_registros[REGISTRO],DADOS!$N$5,tabela_registros[TIPO],DADOS!$AB$3,tabela_registros[CATEGORIA],investirrendafixaconsolidadomar[[#This Row],[ATUAL]])</f>
        <v>0</v>
      </c>
      <c r="V118" s="91">
        <f>SUMIFS(tabela_registros[VALOR],tabela_registros[MÊS],$AE$1,tabela_registros[DIA],investirrendafixaconsolidadomar[[#Headers],[18]],tabela_registros[REGISTRO],DADOS!$N$5,tabela_registros[TIPO],DADOS!$AB$3,tabela_registros[CATEGORIA],investirrendafixaconsolidadomar[[#This Row],[ATUAL]])</f>
        <v>0</v>
      </c>
      <c r="W118" s="91">
        <f>SUMIFS(tabela_registros[VALOR],tabela_registros[MÊS],$AE$1,tabela_registros[DIA],investirrendafixaconsolidadomar[[#Headers],[19]],tabela_registros[REGISTRO],DADOS!$N$5,tabela_registros[TIPO],DADOS!$AB$3,tabela_registros[CATEGORIA],investirrendafixaconsolidadomar[[#This Row],[ATUAL]])</f>
        <v>0</v>
      </c>
      <c r="X118" s="91">
        <f>SUMIFS(tabela_registros[VALOR],tabela_registros[MÊS],$AE$1,tabela_registros[DIA],investirrendafixaconsolidadomar[[#Headers],[20]],tabela_registros[REGISTRO],DADOS!$N$5,tabela_registros[TIPO],DADOS!$AB$3,tabela_registros[CATEGORIA],investirrendafixaconsolidadomar[[#This Row],[ATUAL]])</f>
        <v>0</v>
      </c>
      <c r="Y118" s="91">
        <f>SUMIFS(tabela_registros[VALOR],tabela_registros[MÊS],$AE$1,tabela_registros[DIA],investirrendafixaconsolidadomar[[#Headers],[21]],tabela_registros[REGISTRO],DADOS!$N$5,tabela_registros[TIPO],DADOS!$AB$3,tabela_registros[CATEGORIA],investirrendafixaconsolidadomar[[#This Row],[ATUAL]])</f>
        <v>0</v>
      </c>
      <c r="Z118" s="91">
        <f>SUMIFS(tabela_registros[VALOR],tabela_registros[MÊS],$AE$1,tabela_registros[DIA],investirrendafixaconsolidadomar[[#Headers],[22]],tabela_registros[REGISTRO],DADOS!$N$5,tabela_registros[TIPO],DADOS!$AB$3,tabela_registros[CATEGORIA],investirrendafixaconsolidadomar[[#This Row],[ATUAL]])</f>
        <v>0</v>
      </c>
      <c r="AA118" s="91">
        <f>SUMIFS(tabela_registros[VALOR],tabela_registros[MÊS],$AE$1,tabela_registros[DIA],investirrendafixaconsolidadomar[[#Headers],[23]],tabela_registros[REGISTRO],DADOS!$N$5,tabela_registros[TIPO],DADOS!$AB$3,tabela_registros[CATEGORIA],investirrendafixaconsolidadomar[[#This Row],[ATUAL]])</f>
        <v>0</v>
      </c>
      <c r="AB118" s="91">
        <f>SUMIFS(tabela_registros[VALOR],tabela_registros[MÊS],$AE$1,tabela_registros[DIA],investirrendafixaconsolidadomar[[#Headers],[24]],tabela_registros[REGISTRO],DADOS!$N$5,tabela_registros[TIPO],DADOS!$AB$3,tabela_registros[CATEGORIA],investirrendafixaconsolidadomar[[#This Row],[ATUAL]])</f>
        <v>0</v>
      </c>
      <c r="AC118" s="91">
        <f>SUMIFS(tabela_registros[VALOR],tabela_registros[MÊS],$AE$1,tabela_registros[DIA],investirrendafixaconsolidadomar[[#Headers],[25]],tabela_registros[REGISTRO],DADOS!$N$5,tabela_registros[TIPO],DADOS!$AB$3,tabela_registros[CATEGORIA],investirrendafixaconsolidadomar[[#This Row],[ATUAL]])</f>
        <v>0</v>
      </c>
      <c r="AD118" s="91">
        <f>SUMIFS(tabela_registros[VALOR],tabela_registros[MÊS],$AE$1,tabela_registros[DIA],investirrendafixaconsolidadomar[[#Headers],[26]],tabela_registros[REGISTRO],DADOS!$N$5,tabela_registros[TIPO],DADOS!$AB$3,tabela_registros[CATEGORIA],investirrendafixaconsolidadomar[[#This Row],[ATUAL]])</f>
        <v>0</v>
      </c>
      <c r="AE118" s="91">
        <f>SUMIFS(tabela_registros[VALOR],tabela_registros[MÊS],$AE$1,tabela_registros[DIA],investirrendafixaconsolidadomar[[#Headers],[27]],tabela_registros[REGISTRO],DADOS!$N$5,tabela_registros[TIPO],DADOS!$AB$3,tabela_registros[CATEGORIA],investirrendafixaconsolidadomar[[#This Row],[ATUAL]])</f>
        <v>0</v>
      </c>
      <c r="AF118" s="91">
        <f>SUMIFS(tabela_registros[VALOR],tabela_registros[MÊS],$AE$1,tabela_registros[DIA],investirrendafixaconsolidadomar[[#Headers],[28]],tabela_registros[REGISTRO],DADOS!$N$5,tabela_registros[TIPO],DADOS!$AB$3,tabela_registros[CATEGORIA],investirrendafixaconsolidadomar[[#This Row],[ATUAL]])</f>
        <v>0</v>
      </c>
      <c r="AG118" s="91">
        <f>SUMIFS(tabela_registros[VALOR],tabela_registros[MÊS],$AE$1,tabela_registros[DIA],investirrendafixaconsolidadomar[[#Headers],[29]],tabela_registros[REGISTRO],DADOS!$N$5,tabela_registros[TIPO],DADOS!$AB$3,tabela_registros[CATEGORIA],investirrendafixaconsolidadomar[[#This Row],[ATUAL]])</f>
        <v>0</v>
      </c>
      <c r="AH118" s="91">
        <f>SUMIFS(tabela_registros[VALOR],tabela_registros[MÊS],$AE$1,tabela_registros[DIA],investirrendafixaconsolidadomar[[#Headers],[30]],tabela_registros[REGISTRO],DADOS!$N$5,tabela_registros[TIPO],DADOS!$AB$3,tabela_registros[CATEGORIA],investirrendafixaconsolidadomar[[#This Row],[ATUAL]])</f>
        <v>0</v>
      </c>
      <c r="AI118" s="101">
        <f>SUMIFS(tabela_registros[VALOR],tabela_registros[MÊS],$AE$1,tabela_registros[DIA],investirrendafixaconsolidadomar[[#Headers],[31]],tabela_registros[REGISTRO],DADOS!$N$5,tabela_registros[TIPO],DADOS!$AB$3,tabela_registros[CATEGORIA],investirrendafixaconsolidadomar[[#This Row],[ATUAL]])</f>
        <v>0</v>
      </c>
      <c r="AJ118" s="97">
        <f>SUM(investirrendafixaconsolidadomar[[#This Row],[1]:[31]])</f>
        <v>0</v>
      </c>
      <c r="AK118" s="25"/>
    </row>
    <row r="119" spans="2:37" ht="19.5" customHeight="1" thickTop="1" thickBot="1" x14ac:dyDescent="0.3">
      <c r="B119" s="28"/>
      <c r="C119" s="27" t="str">
        <f>DADOS!$AD$9</f>
        <v>📝 LCA</v>
      </c>
      <c r="D119" s="26" t="str">
        <f>IF(investirrendafixaconsolidadomar[[#This Row],[TOTAL (R$)]]=0,"",IF(OR(investirrendafixaconsolidadomar[[#This Row],[TOTAL (R$)]]=LARGE($AJ$113:$AJ$122,1),investirrendafixaconsolidadomar[[#This Row],[TOTAL (R$)]]=LARGE($AJ$113:$AJ$122,2)),DADOS!$I$10,""))</f>
        <v/>
      </c>
      <c r="E119" s="96">
        <f>SUMIFS(tabela_registros[VALOR],tabela_registros[MÊS],$AE$1,tabela_registros[DIA],investirrendafixaconsolidadomar[[#Headers],[1]],tabela_registros[REGISTRO],DADOS!$N$5,tabela_registros[TIPO],DADOS!$AB$3,tabela_registros[CATEGORIA],investirrendafixaconsolidadomar[[#This Row],[ATUAL]])</f>
        <v>0</v>
      </c>
      <c r="F119" s="91">
        <f>SUMIFS(tabela_registros[VALOR],tabela_registros[MÊS],$AE$1,tabela_registros[DIA],investirrendafixaconsolidadomar[[#Headers],[2]],tabela_registros[REGISTRO],DADOS!$N$5,tabela_registros[TIPO],DADOS!$AB$3,tabela_registros[CATEGORIA],investirrendafixaconsolidadomar[[#This Row],[ATUAL]])</f>
        <v>0</v>
      </c>
      <c r="G119" s="91">
        <f>SUMIFS(tabela_registros[VALOR],tabela_registros[MÊS],$AE$1,tabela_registros[DIA],investirrendafixaconsolidadomar[[#Headers],[3]],tabela_registros[REGISTRO],DADOS!$N$5,tabela_registros[TIPO],DADOS!$AB$3,tabela_registros[CATEGORIA],investirrendafixaconsolidadomar[[#This Row],[ATUAL]])</f>
        <v>0</v>
      </c>
      <c r="H119" s="91">
        <f>SUMIFS(tabela_registros[VALOR],tabela_registros[MÊS],$AE$1,tabela_registros[DIA],investirrendafixaconsolidadomar[[#Headers],[4]],tabela_registros[REGISTRO],DADOS!$N$5,tabela_registros[TIPO],DADOS!$AB$3,tabela_registros[CATEGORIA],investirrendafixaconsolidadomar[[#This Row],[ATUAL]])</f>
        <v>0</v>
      </c>
      <c r="I119" s="91">
        <f>SUMIFS(tabela_registros[VALOR],tabela_registros[MÊS],$AE$1,tabela_registros[DIA],investirrendafixaconsolidadomar[[#Headers],[5]],tabela_registros[REGISTRO],DADOS!$N$5,tabela_registros[TIPO],DADOS!$AB$3,tabela_registros[CATEGORIA],investirrendafixaconsolidadomar[[#This Row],[ATUAL]])</f>
        <v>0</v>
      </c>
      <c r="J119" s="91">
        <f>SUMIFS(tabela_registros[VALOR],tabela_registros[MÊS],$AE$1,tabela_registros[DIA],investirrendafixaconsolidadomar[[#Headers],[6]],tabela_registros[REGISTRO],DADOS!$N$5,tabela_registros[TIPO],DADOS!$AB$3,tabela_registros[CATEGORIA],investirrendafixaconsolidadomar[[#This Row],[ATUAL]])</f>
        <v>0</v>
      </c>
      <c r="K119" s="91">
        <f>SUMIFS(tabela_registros[VALOR],tabela_registros[MÊS],$AE$1,tabela_registros[DIA],investirrendafixaconsolidadomar[[#Headers],[7]],tabela_registros[REGISTRO],DADOS!$N$5,tabela_registros[TIPO],DADOS!$AB$3,tabela_registros[CATEGORIA],investirrendafixaconsolidadomar[[#This Row],[ATUAL]])</f>
        <v>0</v>
      </c>
      <c r="L119" s="91">
        <f>SUMIFS(tabela_registros[VALOR],tabela_registros[MÊS],$AE$1,tabela_registros[DIA],investirrendafixaconsolidadomar[[#Headers],[8]],tabela_registros[REGISTRO],DADOS!$N$5,tabela_registros[TIPO],DADOS!$AB$3,tabela_registros[CATEGORIA],investirrendafixaconsolidadomar[[#This Row],[ATUAL]])</f>
        <v>0</v>
      </c>
      <c r="M119" s="91">
        <f>SUMIFS(tabela_registros[VALOR],tabela_registros[MÊS],$AE$1,tabela_registros[DIA],investirrendafixaconsolidadomar[[#Headers],[9]],tabela_registros[REGISTRO],DADOS!$N$5,tabela_registros[TIPO],DADOS!$AB$3,tabela_registros[CATEGORIA],investirrendafixaconsolidadomar[[#This Row],[ATUAL]])</f>
        <v>0</v>
      </c>
      <c r="N119" s="91">
        <f>SUMIFS(tabela_registros[VALOR],tabela_registros[MÊS],$AE$1,tabela_registros[DIA],investirrendafixaconsolidadomar[[#Headers],[10]],tabela_registros[REGISTRO],DADOS!$N$5,tabela_registros[TIPO],DADOS!$AB$3,tabela_registros[CATEGORIA],investirrendafixaconsolidadomar[[#This Row],[ATUAL]])</f>
        <v>0</v>
      </c>
      <c r="O119" s="91">
        <f>SUMIFS(tabela_registros[VALOR],tabela_registros[MÊS],$AE$1,tabela_registros[DIA],investirrendafixaconsolidadomar[[#Headers],[11]],tabela_registros[REGISTRO],DADOS!$N$5,tabela_registros[TIPO],DADOS!$AB$3,tabela_registros[CATEGORIA],investirrendafixaconsolidadomar[[#This Row],[ATUAL]])</f>
        <v>0</v>
      </c>
      <c r="P119" s="91">
        <f>SUMIFS(tabela_registros[VALOR],tabela_registros[MÊS],$AE$1,tabela_registros[DIA],investirrendafixaconsolidadomar[[#Headers],[12]],tabela_registros[REGISTRO],DADOS!$N$5,tabela_registros[TIPO],DADOS!$AB$3,tabela_registros[CATEGORIA],investirrendafixaconsolidadomar[[#This Row],[ATUAL]])</f>
        <v>0</v>
      </c>
      <c r="Q119" s="91">
        <f>SUMIFS(tabela_registros[VALOR],tabela_registros[MÊS],$AE$1,tabela_registros[DIA],investirrendafixaconsolidadomar[[#Headers],[13]],tabela_registros[REGISTRO],DADOS!$N$5,tabela_registros[TIPO],DADOS!$AB$3,tabela_registros[CATEGORIA],investirrendafixaconsolidadomar[[#This Row],[ATUAL]])</f>
        <v>0</v>
      </c>
      <c r="R119" s="91">
        <f>SUMIFS(tabela_registros[VALOR],tabela_registros[MÊS],$AE$1,tabela_registros[DIA],investirrendafixaconsolidadomar[[#Headers],[14]],tabela_registros[REGISTRO],DADOS!$N$5,tabela_registros[TIPO],DADOS!$AB$3,tabela_registros[CATEGORIA],investirrendafixaconsolidadomar[[#This Row],[ATUAL]])</f>
        <v>0</v>
      </c>
      <c r="S119" s="91">
        <f>SUMIFS(tabela_registros[VALOR],tabela_registros[MÊS],$AE$1,tabela_registros[DIA],investirrendafixaconsolidadomar[[#Headers],[15]],tabela_registros[REGISTRO],DADOS!$N$5,tabela_registros[TIPO],DADOS!$AB$3,tabela_registros[CATEGORIA],investirrendafixaconsolidadomar[[#This Row],[ATUAL]])</f>
        <v>0</v>
      </c>
      <c r="T119" s="91">
        <f>SUMIFS(tabela_registros[VALOR],tabela_registros[MÊS],$AE$1,tabela_registros[DIA],investirrendafixaconsolidadomar[[#Headers],[16]],tabela_registros[REGISTRO],DADOS!$N$5,tabela_registros[TIPO],DADOS!$AB$3,tabela_registros[CATEGORIA],investirrendafixaconsolidadomar[[#This Row],[ATUAL]])</f>
        <v>0</v>
      </c>
      <c r="U119" s="91">
        <f>SUMIFS(tabela_registros[VALOR],tabela_registros[MÊS],$AE$1,tabela_registros[DIA],investirrendafixaconsolidadomar[[#Headers],[17]],tabela_registros[REGISTRO],DADOS!$N$5,tabela_registros[TIPO],DADOS!$AB$3,tabela_registros[CATEGORIA],investirrendafixaconsolidadomar[[#This Row],[ATUAL]])</f>
        <v>0</v>
      </c>
      <c r="V119" s="91">
        <f>SUMIFS(tabela_registros[VALOR],tabela_registros[MÊS],$AE$1,tabela_registros[DIA],investirrendafixaconsolidadomar[[#Headers],[18]],tabela_registros[REGISTRO],DADOS!$N$5,tabela_registros[TIPO],DADOS!$AB$3,tabela_registros[CATEGORIA],investirrendafixaconsolidadomar[[#This Row],[ATUAL]])</f>
        <v>0</v>
      </c>
      <c r="W119" s="91">
        <f>SUMIFS(tabela_registros[VALOR],tabela_registros[MÊS],$AE$1,tabela_registros[DIA],investirrendafixaconsolidadomar[[#Headers],[19]],tabela_registros[REGISTRO],DADOS!$N$5,tabela_registros[TIPO],DADOS!$AB$3,tabela_registros[CATEGORIA],investirrendafixaconsolidadomar[[#This Row],[ATUAL]])</f>
        <v>0</v>
      </c>
      <c r="X119" s="91">
        <f>SUMIFS(tabela_registros[VALOR],tabela_registros[MÊS],$AE$1,tabela_registros[DIA],investirrendafixaconsolidadomar[[#Headers],[20]],tabela_registros[REGISTRO],DADOS!$N$5,tabela_registros[TIPO],DADOS!$AB$3,tabela_registros[CATEGORIA],investirrendafixaconsolidadomar[[#This Row],[ATUAL]])</f>
        <v>0</v>
      </c>
      <c r="Y119" s="91">
        <f>SUMIFS(tabela_registros[VALOR],tabela_registros[MÊS],$AE$1,tabela_registros[DIA],investirrendafixaconsolidadomar[[#Headers],[21]],tabela_registros[REGISTRO],DADOS!$N$5,tabela_registros[TIPO],DADOS!$AB$3,tabela_registros[CATEGORIA],investirrendafixaconsolidadomar[[#This Row],[ATUAL]])</f>
        <v>0</v>
      </c>
      <c r="Z119" s="91">
        <f>SUMIFS(tabela_registros[VALOR],tabela_registros[MÊS],$AE$1,tabela_registros[DIA],investirrendafixaconsolidadomar[[#Headers],[22]],tabela_registros[REGISTRO],DADOS!$N$5,tabela_registros[TIPO],DADOS!$AB$3,tabela_registros[CATEGORIA],investirrendafixaconsolidadomar[[#This Row],[ATUAL]])</f>
        <v>0</v>
      </c>
      <c r="AA119" s="91">
        <f>SUMIFS(tabela_registros[VALOR],tabela_registros[MÊS],$AE$1,tabela_registros[DIA],investirrendafixaconsolidadomar[[#Headers],[23]],tabela_registros[REGISTRO],DADOS!$N$5,tabela_registros[TIPO],DADOS!$AB$3,tabela_registros[CATEGORIA],investirrendafixaconsolidadomar[[#This Row],[ATUAL]])</f>
        <v>0</v>
      </c>
      <c r="AB119" s="91">
        <f>SUMIFS(tabela_registros[VALOR],tabela_registros[MÊS],$AE$1,tabela_registros[DIA],investirrendafixaconsolidadomar[[#Headers],[24]],tabela_registros[REGISTRO],DADOS!$N$5,tabela_registros[TIPO],DADOS!$AB$3,tabela_registros[CATEGORIA],investirrendafixaconsolidadomar[[#This Row],[ATUAL]])</f>
        <v>0</v>
      </c>
      <c r="AC119" s="91">
        <f>SUMIFS(tabela_registros[VALOR],tabela_registros[MÊS],$AE$1,tabela_registros[DIA],investirrendafixaconsolidadomar[[#Headers],[25]],tabela_registros[REGISTRO],DADOS!$N$5,tabela_registros[TIPO],DADOS!$AB$3,tabela_registros[CATEGORIA],investirrendafixaconsolidadomar[[#This Row],[ATUAL]])</f>
        <v>0</v>
      </c>
      <c r="AD119" s="91">
        <f>SUMIFS(tabela_registros[VALOR],tabela_registros[MÊS],$AE$1,tabela_registros[DIA],investirrendafixaconsolidadomar[[#Headers],[26]],tabela_registros[REGISTRO],DADOS!$N$5,tabela_registros[TIPO],DADOS!$AB$3,tabela_registros[CATEGORIA],investirrendafixaconsolidadomar[[#This Row],[ATUAL]])</f>
        <v>0</v>
      </c>
      <c r="AE119" s="91">
        <f>SUMIFS(tabela_registros[VALOR],tabela_registros[MÊS],$AE$1,tabela_registros[DIA],investirrendafixaconsolidadomar[[#Headers],[27]],tabela_registros[REGISTRO],DADOS!$N$5,tabela_registros[TIPO],DADOS!$AB$3,tabela_registros[CATEGORIA],investirrendafixaconsolidadomar[[#This Row],[ATUAL]])</f>
        <v>0</v>
      </c>
      <c r="AF119" s="91">
        <f>SUMIFS(tabela_registros[VALOR],tabela_registros[MÊS],$AE$1,tabela_registros[DIA],investirrendafixaconsolidadomar[[#Headers],[28]],tabela_registros[REGISTRO],DADOS!$N$5,tabela_registros[TIPO],DADOS!$AB$3,tabela_registros[CATEGORIA],investirrendafixaconsolidadomar[[#This Row],[ATUAL]])</f>
        <v>0</v>
      </c>
      <c r="AG119" s="91">
        <f>SUMIFS(tabela_registros[VALOR],tabela_registros[MÊS],$AE$1,tabela_registros[DIA],investirrendafixaconsolidadomar[[#Headers],[29]],tabela_registros[REGISTRO],DADOS!$N$5,tabela_registros[TIPO],DADOS!$AB$3,tabela_registros[CATEGORIA],investirrendafixaconsolidadomar[[#This Row],[ATUAL]])</f>
        <v>0</v>
      </c>
      <c r="AH119" s="91">
        <f>SUMIFS(tabela_registros[VALOR],tabela_registros[MÊS],$AE$1,tabela_registros[DIA],investirrendafixaconsolidadomar[[#Headers],[30]],tabela_registros[REGISTRO],DADOS!$N$5,tabela_registros[TIPO],DADOS!$AB$3,tabela_registros[CATEGORIA],investirrendafixaconsolidadomar[[#This Row],[ATUAL]])</f>
        <v>0</v>
      </c>
      <c r="AI119" s="101">
        <f>SUMIFS(tabela_registros[VALOR],tabela_registros[MÊS],$AE$1,tabela_registros[DIA],investirrendafixaconsolidadomar[[#Headers],[31]],tabela_registros[REGISTRO],DADOS!$N$5,tabela_registros[TIPO],DADOS!$AB$3,tabela_registros[CATEGORIA],investirrendafixaconsolidadomar[[#This Row],[ATUAL]])</f>
        <v>0</v>
      </c>
      <c r="AJ119" s="97">
        <f>SUM(investirrendafixaconsolidadomar[[#This Row],[1]:[31]])</f>
        <v>0</v>
      </c>
      <c r="AK119" s="25"/>
    </row>
    <row r="120" spans="2:37" ht="19.5" customHeight="1" thickTop="1" thickBot="1" x14ac:dyDescent="0.3">
      <c r="B120" s="28"/>
      <c r="C120" s="27" t="str">
        <f>DADOS!$AD$10</f>
        <v>📝 LCI</v>
      </c>
      <c r="D120" s="26" t="str">
        <f>IF(investirrendafixaconsolidadomar[[#This Row],[TOTAL (R$)]]=0,"",IF(OR(investirrendafixaconsolidadomar[[#This Row],[TOTAL (R$)]]=LARGE($AJ$113:$AJ$122,1),investirrendafixaconsolidadomar[[#This Row],[TOTAL (R$)]]=LARGE($AJ$113:$AJ$122,2)),DADOS!$I$10,""))</f>
        <v/>
      </c>
      <c r="E120" s="96">
        <f>SUMIFS(tabela_registros[VALOR],tabela_registros[MÊS],$AE$1,tabela_registros[DIA],investirrendafixaconsolidadomar[[#Headers],[1]],tabela_registros[REGISTRO],DADOS!$N$5,tabela_registros[TIPO],DADOS!$AB$3,tabela_registros[CATEGORIA],investirrendafixaconsolidadomar[[#This Row],[ATUAL]])</f>
        <v>0</v>
      </c>
      <c r="F120" s="91">
        <f>SUMIFS(tabela_registros[VALOR],tabela_registros[MÊS],$AE$1,tabela_registros[DIA],investirrendafixaconsolidadomar[[#Headers],[2]],tabela_registros[REGISTRO],DADOS!$N$5,tabela_registros[TIPO],DADOS!$AB$3,tabela_registros[CATEGORIA],investirrendafixaconsolidadomar[[#This Row],[ATUAL]])</f>
        <v>0</v>
      </c>
      <c r="G120" s="91">
        <f>SUMIFS(tabela_registros[VALOR],tabela_registros[MÊS],$AE$1,tabela_registros[DIA],investirrendafixaconsolidadomar[[#Headers],[3]],tabela_registros[REGISTRO],DADOS!$N$5,tabela_registros[TIPO],DADOS!$AB$3,tabela_registros[CATEGORIA],investirrendafixaconsolidadomar[[#This Row],[ATUAL]])</f>
        <v>0</v>
      </c>
      <c r="H120" s="91">
        <f>SUMIFS(tabela_registros[VALOR],tabela_registros[MÊS],$AE$1,tabela_registros[DIA],investirrendafixaconsolidadomar[[#Headers],[4]],tabela_registros[REGISTRO],DADOS!$N$5,tabela_registros[TIPO],DADOS!$AB$3,tabela_registros[CATEGORIA],investirrendafixaconsolidadomar[[#This Row],[ATUAL]])</f>
        <v>0</v>
      </c>
      <c r="I120" s="91">
        <f>SUMIFS(tabela_registros[VALOR],tabela_registros[MÊS],$AE$1,tabela_registros[DIA],investirrendafixaconsolidadomar[[#Headers],[5]],tabela_registros[REGISTRO],DADOS!$N$5,tabela_registros[TIPO],DADOS!$AB$3,tabela_registros[CATEGORIA],investirrendafixaconsolidadomar[[#This Row],[ATUAL]])</f>
        <v>0</v>
      </c>
      <c r="J120" s="91">
        <f>SUMIFS(tabela_registros[VALOR],tabela_registros[MÊS],$AE$1,tabela_registros[DIA],investirrendafixaconsolidadomar[[#Headers],[6]],tabela_registros[REGISTRO],DADOS!$N$5,tabela_registros[TIPO],DADOS!$AB$3,tabela_registros[CATEGORIA],investirrendafixaconsolidadomar[[#This Row],[ATUAL]])</f>
        <v>0</v>
      </c>
      <c r="K120" s="91">
        <f>SUMIFS(tabela_registros[VALOR],tabela_registros[MÊS],$AE$1,tabela_registros[DIA],investirrendafixaconsolidadomar[[#Headers],[7]],tabela_registros[REGISTRO],DADOS!$N$5,tabela_registros[TIPO],DADOS!$AB$3,tabela_registros[CATEGORIA],investirrendafixaconsolidadomar[[#This Row],[ATUAL]])</f>
        <v>0</v>
      </c>
      <c r="L120" s="91">
        <f>SUMIFS(tabela_registros[VALOR],tabela_registros[MÊS],$AE$1,tabela_registros[DIA],investirrendafixaconsolidadomar[[#Headers],[8]],tabela_registros[REGISTRO],DADOS!$N$5,tabela_registros[TIPO],DADOS!$AB$3,tabela_registros[CATEGORIA],investirrendafixaconsolidadomar[[#This Row],[ATUAL]])</f>
        <v>0</v>
      </c>
      <c r="M120" s="91">
        <f>SUMIFS(tabela_registros[VALOR],tabela_registros[MÊS],$AE$1,tabela_registros[DIA],investirrendafixaconsolidadomar[[#Headers],[9]],tabela_registros[REGISTRO],DADOS!$N$5,tabela_registros[TIPO],DADOS!$AB$3,tabela_registros[CATEGORIA],investirrendafixaconsolidadomar[[#This Row],[ATUAL]])</f>
        <v>0</v>
      </c>
      <c r="N120" s="91">
        <f>SUMIFS(tabela_registros[VALOR],tabela_registros[MÊS],$AE$1,tabela_registros[DIA],investirrendafixaconsolidadomar[[#Headers],[10]],tabela_registros[REGISTRO],DADOS!$N$5,tabela_registros[TIPO],DADOS!$AB$3,tabela_registros[CATEGORIA],investirrendafixaconsolidadomar[[#This Row],[ATUAL]])</f>
        <v>0</v>
      </c>
      <c r="O120" s="91">
        <f>SUMIFS(tabela_registros[VALOR],tabela_registros[MÊS],$AE$1,tabela_registros[DIA],investirrendafixaconsolidadomar[[#Headers],[11]],tabela_registros[REGISTRO],DADOS!$N$5,tabela_registros[TIPO],DADOS!$AB$3,tabela_registros[CATEGORIA],investirrendafixaconsolidadomar[[#This Row],[ATUAL]])</f>
        <v>0</v>
      </c>
      <c r="P120" s="91">
        <f>SUMIFS(tabela_registros[VALOR],tabela_registros[MÊS],$AE$1,tabela_registros[DIA],investirrendafixaconsolidadomar[[#Headers],[12]],tabela_registros[REGISTRO],DADOS!$N$5,tabela_registros[TIPO],DADOS!$AB$3,tabela_registros[CATEGORIA],investirrendafixaconsolidadomar[[#This Row],[ATUAL]])</f>
        <v>0</v>
      </c>
      <c r="Q120" s="91">
        <f>SUMIFS(tabela_registros[VALOR],tabela_registros[MÊS],$AE$1,tabela_registros[DIA],investirrendafixaconsolidadomar[[#Headers],[13]],tabela_registros[REGISTRO],DADOS!$N$5,tabela_registros[TIPO],DADOS!$AB$3,tabela_registros[CATEGORIA],investirrendafixaconsolidadomar[[#This Row],[ATUAL]])</f>
        <v>0</v>
      </c>
      <c r="R120" s="91">
        <f>SUMIFS(tabela_registros[VALOR],tabela_registros[MÊS],$AE$1,tabela_registros[DIA],investirrendafixaconsolidadomar[[#Headers],[14]],tabela_registros[REGISTRO],DADOS!$N$5,tabela_registros[TIPO],DADOS!$AB$3,tabela_registros[CATEGORIA],investirrendafixaconsolidadomar[[#This Row],[ATUAL]])</f>
        <v>0</v>
      </c>
      <c r="S120" s="91">
        <f>SUMIFS(tabela_registros[VALOR],tabela_registros[MÊS],$AE$1,tabela_registros[DIA],investirrendafixaconsolidadomar[[#Headers],[15]],tabela_registros[REGISTRO],DADOS!$N$5,tabela_registros[TIPO],DADOS!$AB$3,tabela_registros[CATEGORIA],investirrendafixaconsolidadomar[[#This Row],[ATUAL]])</f>
        <v>0</v>
      </c>
      <c r="T120" s="91">
        <f>SUMIFS(tabela_registros[VALOR],tabela_registros[MÊS],$AE$1,tabela_registros[DIA],investirrendafixaconsolidadomar[[#Headers],[16]],tabela_registros[REGISTRO],DADOS!$N$5,tabela_registros[TIPO],DADOS!$AB$3,tabela_registros[CATEGORIA],investirrendafixaconsolidadomar[[#This Row],[ATUAL]])</f>
        <v>0</v>
      </c>
      <c r="U120" s="91">
        <f>SUMIFS(tabela_registros[VALOR],tabela_registros[MÊS],$AE$1,tabela_registros[DIA],investirrendafixaconsolidadomar[[#Headers],[17]],tabela_registros[REGISTRO],DADOS!$N$5,tabela_registros[TIPO],DADOS!$AB$3,tabela_registros[CATEGORIA],investirrendafixaconsolidadomar[[#This Row],[ATUAL]])</f>
        <v>0</v>
      </c>
      <c r="V120" s="91">
        <f>SUMIFS(tabela_registros[VALOR],tabela_registros[MÊS],$AE$1,tabela_registros[DIA],investirrendafixaconsolidadomar[[#Headers],[18]],tabela_registros[REGISTRO],DADOS!$N$5,tabela_registros[TIPO],DADOS!$AB$3,tabela_registros[CATEGORIA],investirrendafixaconsolidadomar[[#This Row],[ATUAL]])</f>
        <v>0</v>
      </c>
      <c r="W120" s="91">
        <f>SUMIFS(tabela_registros[VALOR],tabela_registros[MÊS],$AE$1,tabela_registros[DIA],investirrendafixaconsolidadomar[[#Headers],[19]],tabela_registros[REGISTRO],DADOS!$N$5,tabela_registros[TIPO],DADOS!$AB$3,tabela_registros[CATEGORIA],investirrendafixaconsolidadomar[[#This Row],[ATUAL]])</f>
        <v>0</v>
      </c>
      <c r="X120" s="91">
        <f>SUMIFS(tabela_registros[VALOR],tabela_registros[MÊS],$AE$1,tabela_registros[DIA],investirrendafixaconsolidadomar[[#Headers],[20]],tabela_registros[REGISTRO],DADOS!$N$5,tabela_registros[TIPO],DADOS!$AB$3,tabela_registros[CATEGORIA],investirrendafixaconsolidadomar[[#This Row],[ATUAL]])</f>
        <v>0</v>
      </c>
      <c r="Y120" s="91">
        <f>SUMIFS(tabela_registros[VALOR],tabela_registros[MÊS],$AE$1,tabela_registros[DIA],investirrendafixaconsolidadomar[[#Headers],[21]],tabela_registros[REGISTRO],DADOS!$N$5,tabela_registros[TIPO],DADOS!$AB$3,tabela_registros[CATEGORIA],investirrendafixaconsolidadomar[[#This Row],[ATUAL]])</f>
        <v>0</v>
      </c>
      <c r="Z120" s="91">
        <f>SUMIFS(tabela_registros[VALOR],tabela_registros[MÊS],$AE$1,tabela_registros[DIA],investirrendafixaconsolidadomar[[#Headers],[22]],tabela_registros[REGISTRO],DADOS!$N$5,tabela_registros[TIPO],DADOS!$AB$3,tabela_registros[CATEGORIA],investirrendafixaconsolidadomar[[#This Row],[ATUAL]])</f>
        <v>0</v>
      </c>
      <c r="AA120" s="91">
        <f>SUMIFS(tabela_registros[VALOR],tabela_registros[MÊS],$AE$1,tabela_registros[DIA],investirrendafixaconsolidadomar[[#Headers],[23]],tabela_registros[REGISTRO],DADOS!$N$5,tabela_registros[TIPO],DADOS!$AB$3,tabela_registros[CATEGORIA],investirrendafixaconsolidadomar[[#This Row],[ATUAL]])</f>
        <v>0</v>
      </c>
      <c r="AB120" s="91">
        <f>SUMIFS(tabela_registros[VALOR],tabela_registros[MÊS],$AE$1,tabela_registros[DIA],investirrendafixaconsolidadomar[[#Headers],[24]],tabela_registros[REGISTRO],DADOS!$N$5,tabela_registros[TIPO],DADOS!$AB$3,tabela_registros[CATEGORIA],investirrendafixaconsolidadomar[[#This Row],[ATUAL]])</f>
        <v>0</v>
      </c>
      <c r="AC120" s="91">
        <f>SUMIFS(tabela_registros[VALOR],tabela_registros[MÊS],$AE$1,tabela_registros[DIA],investirrendafixaconsolidadomar[[#Headers],[25]],tabela_registros[REGISTRO],DADOS!$N$5,tabela_registros[TIPO],DADOS!$AB$3,tabela_registros[CATEGORIA],investirrendafixaconsolidadomar[[#This Row],[ATUAL]])</f>
        <v>0</v>
      </c>
      <c r="AD120" s="91">
        <f>SUMIFS(tabela_registros[VALOR],tabela_registros[MÊS],$AE$1,tabela_registros[DIA],investirrendafixaconsolidadomar[[#Headers],[26]],tabela_registros[REGISTRO],DADOS!$N$5,tabela_registros[TIPO],DADOS!$AB$3,tabela_registros[CATEGORIA],investirrendafixaconsolidadomar[[#This Row],[ATUAL]])</f>
        <v>0</v>
      </c>
      <c r="AE120" s="91">
        <f>SUMIFS(tabela_registros[VALOR],tabela_registros[MÊS],$AE$1,tabela_registros[DIA],investirrendafixaconsolidadomar[[#Headers],[27]],tabela_registros[REGISTRO],DADOS!$N$5,tabela_registros[TIPO],DADOS!$AB$3,tabela_registros[CATEGORIA],investirrendafixaconsolidadomar[[#This Row],[ATUAL]])</f>
        <v>0</v>
      </c>
      <c r="AF120" s="91">
        <f>SUMIFS(tabela_registros[VALOR],tabela_registros[MÊS],$AE$1,tabela_registros[DIA],investirrendafixaconsolidadomar[[#Headers],[28]],tabela_registros[REGISTRO],DADOS!$N$5,tabela_registros[TIPO],DADOS!$AB$3,tabela_registros[CATEGORIA],investirrendafixaconsolidadomar[[#This Row],[ATUAL]])</f>
        <v>0</v>
      </c>
      <c r="AG120" s="91">
        <f>SUMIFS(tabela_registros[VALOR],tabela_registros[MÊS],$AE$1,tabela_registros[DIA],investirrendafixaconsolidadomar[[#Headers],[29]],tabela_registros[REGISTRO],DADOS!$N$5,tabela_registros[TIPO],DADOS!$AB$3,tabela_registros[CATEGORIA],investirrendafixaconsolidadomar[[#This Row],[ATUAL]])</f>
        <v>0</v>
      </c>
      <c r="AH120" s="91">
        <f>SUMIFS(tabela_registros[VALOR],tabela_registros[MÊS],$AE$1,tabela_registros[DIA],investirrendafixaconsolidadomar[[#Headers],[30]],tabela_registros[REGISTRO],DADOS!$N$5,tabela_registros[TIPO],DADOS!$AB$3,tabela_registros[CATEGORIA],investirrendafixaconsolidadomar[[#This Row],[ATUAL]])</f>
        <v>0</v>
      </c>
      <c r="AI120" s="101">
        <f>SUMIFS(tabela_registros[VALOR],tabela_registros[MÊS],$AE$1,tabela_registros[DIA],investirrendafixaconsolidadomar[[#Headers],[31]],tabela_registros[REGISTRO],DADOS!$N$5,tabela_registros[TIPO],DADOS!$AB$3,tabela_registros[CATEGORIA],investirrendafixaconsolidadomar[[#This Row],[ATUAL]])</f>
        <v>0</v>
      </c>
      <c r="AJ120" s="97">
        <f>SUM(investirrendafixaconsolidadomar[[#This Row],[1]:[31]])</f>
        <v>0</v>
      </c>
      <c r="AK120" s="25"/>
    </row>
    <row r="121" spans="2:37" ht="19.5" customHeight="1" thickTop="1" thickBot="1" x14ac:dyDescent="0.3">
      <c r="B121" s="28"/>
      <c r="C121" s="27" t="str">
        <f>DADOS!$AD$11</f>
        <v>📝 TESOURO DIRETO</v>
      </c>
      <c r="D121" s="26" t="str">
        <f>IF(investirrendafixaconsolidadomar[[#This Row],[TOTAL (R$)]]=0,"",IF(OR(investirrendafixaconsolidadomar[[#This Row],[TOTAL (R$)]]=LARGE($AJ$113:$AJ$122,1),investirrendafixaconsolidadomar[[#This Row],[TOTAL (R$)]]=LARGE($AJ$113:$AJ$122,2)),DADOS!$I$10,""))</f>
        <v/>
      </c>
      <c r="E121" s="96">
        <f>SUMIFS(tabela_registros[VALOR],tabela_registros[MÊS],$AE$1,tabela_registros[DIA],investirrendafixaconsolidadomar[[#Headers],[1]],tabela_registros[REGISTRO],DADOS!$N$5,tabela_registros[TIPO],DADOS!$AB$3,tabela_registros[CATEGORIA],investirrendafixaconsolidadomar[[#This Row],[ATUAL]])</f>
        <v>0</v>
      </c>
      <c r="F121" s="91">
        <f>SUMIFS(tabela_registros[VALOR],tabela_registros[MÊS],$AE$1,tabela_registros[DIA],investirrendafixaconsolidadomar[[#Headers],[2]],tabela_registros[REGISTRO],DADOS!$N$5,tabela_registros[TIPO],DADOS!$AB$3,tabela_registros[CATEGORIA],investirrendafixaconsolidadomar[[#This Row],[ATUAL]])</f>
        <v>0</v>
      </c>
      <c r="G121" s="91">
        <f>SUMIFS(tabela_registros[VALOR],tabela_registros[MÊS],$AE$1,tabela_registros[DIA],investirrendafixaconsolidadomar[[#Headers],[3]],tabela_registros[REGISTRO],DADOS!$N$5,tabela_registros[TIPO],DADOS!$AB$3,tabela_registros[CATEGORIA],investirrendafixaconsolidadomar[[#This Row],[ATUAL]])</f>
        <v>0</v>
      </c>
      <c r="H121" s="91">
        <f>SUMIFS(tabela_registros[VALOR],tabela_registros[MÊS],$AE$1,tabela_registros[DIA],investirrendafixaconsolidadomar[[#Headers],[4]],tabela_registros[REGISTRO],DADOS!$N$5,tabela_registros[TIPO],DADOS!$AB$3,tabela_registros[CATEGORIA],investirrendafixaconsolidadomar[[#This Row],[ATUAL]])</f>
        <v>0</v>
      </c>
      <c r="I121" s="91">
        <f>SUMIFS(tabela_registros[VALOR],tabela_registros[MÊS],$AE$1,tabela_registros[DIA],investirrendafixaconsolidadomar[[#Headers],[5]],tabela_registros[REGISTRO],DADOS!$N$5,tabela_registros[TIPO],DADOS!$AB$3,tabela_registros[CATEGORIA],investirrendafixaconsolidadomar[[#This Row],[ATUAL]])</f>
        <v>0</v>
      </c>
      <c r="J121" s="91">
        <f>SUMIFS(tabela_registros[VALOR],tabela_registros[MÊS],$AE$1,tabela_registros[DIA],investirrendafixaconsolidadomar[[#Headers],[6]],tabela_registros[REGISTRO],DADOS!$N$5,tabela_registros[TIPO],DADOS!$AB$3,tabela_registros[CATEGORIA],investirrendafixaconsolidadomar[[#This Row],[ATUAL]])</f>
        <v>0</v>
      </c>
      <c r="K121" s="91">
        <f>SUMIFS(tabela_registros[VALOR],tabela_registros[MÊS],$AE$1,tabela_registros[DIA],investirrendafixaconsolidadomar[[#Headers],[7]],tabela_registros[REGISTRO],DADOS!$N$5,tabela_registros[TIPO],DADOS!$AB$3,tabela_registros[CATEGORIA],investirrendafixaconsolidadomar[[#This Row],[ATUAL]])</f>
        <v>0</v>
      </c>
      <c r="L121" s="91">
        <f>SUMIFS(tabela_registros[VALOR],tabela_registros[MÊS],$AE$1,tabela_registros[DIA],investirrendafixaconsolidadomar[[#Headers],[8]],tabela_registros[REGISTRO],DADOS!$N$5,tabela_registros[TIPO],DADOS!$AB$3,tabela_registros[CATEGORIA],investirrendafixaconsolidadomar[[#This Row],[ATUAL]])</f>
        <v>0</v>
      </c>
      <c r="M121" s="91">
        <f>SUMIFS(tabela_registros[VALOR],tabela_registros[MÊS],$AE$1,tabela_registros[DIA],investirrendafixaconsolidadomar[[#Headers],[9]],tabela_registros[REGISTRO],DADOS!$N$5,tabela_registros[TIPO],DADOS!$AB$3,tabela_registros[CATEGORIA],investirrendafixaconsolidadomar[[#This Row],[ATUAL]])</f>
        <v>0</v>
      </c>
      <c r="N121" s="91">
        <f>SUMIFS(tabela_registros[VALOR],tabela_registros[MÊS],$AE$1,tabela_registros[DIA],investirrendafixaconsolidadomar[[#Headers],[10]],tabela_registros[REGISTRO],DADOS!$N$5,tabela_registros[TIPO],DADOS!$AB$3,tabela_registros[CATEGORIA],investirrendafixaconsolidadomar[[#This Row],[ATUAL]])</f>
        <v>0</v>
      </c>
      <c r="O121" s="91">
        <f>SUMIFS(tabela_registros[VALOR],tabela_registros[MÊS],$AE$1,tabela_registros[DIA],investirrendafixaconsolidadomar[[#Headers],[11]],tabela_registros[REGISTRO],DADOS!$N$5,tabela_registros[TIPO],DADOS!$AB$3,tabela_registros[CATEGORIA],investirrendafixaconsolidadomar[[#This Row],[ATUAL]])</f>
        <v>0</v>
      </c>
      <c r="P121" s="91">
        <f>SUMIFS(tabela_registros[VALOR],tabela_registros[MÊS],$AE$1,tabela_registros[DIA],investirrendafixaconsolidadomar[[#Headers],[12]],tabela_registros[REGISTRO],DADOS!$N$5,tabela_registros[TIPO],DADOS!$AB$3,tabela_registros[CATEGORIA],investirrendafixaconsolidadomar[[#This Row],[ATUAL]])</f>
        <v>0</v>
      </c>
      <c r="Q121" s="91">
        <f>SUMIFS(tabela_registros[VALOR],tabela_registros[MÊS],$AE$1,tabela_registros[DIA],investirrendafixaconsolidadomar[[#Headers],[13]],tabela_registros[REGISTRO],DADOS!$N$5,tabela_registros[TIPO],DADOS!$AB$3,tabela_registros[CATEGORIA],investirrendafixaconsolidadomar[[#This Row],[ATUAL]])</f>
        <v>0</v>
      </c>
      <c r="R121" s="91">
        <f>SUMIFS(tabela_registros[VALOR],tabela_registros[MÊS],$AE$1,tabela_registros[DIA],investirrendafixaconsolidadomar[[#Headers],[14]],tabela_registros[REGISTRO],DADOS!$N$5,tabela_registros[TIPO],DADOS!$AB$3,tabela_registros[CATEGORIA],investirrendafixaconsolidadomar[[#This Row],[ATUAL]])</f>
        <v>0</v>
      </c>
      <c r="S121" s="91">
        <f>SUMIFS(tabela_registros[VALOR],tabela_registros[MÊS],$AE$1,tabela_registros[DIA],investirrendafixaconsolidadomar[[#Headers],[15]],tabela_registros[REGISTRO],DADOS!$N$5,tabela_registros[TIPO],DADOS!$AB$3,tabela_registros[CATEGORIA],investirrendafixaconsolidadomar[[#This Row],[ATUAL]])</f>
        <v>0</v>
      </c>
      <c r="T121" s="91">
        <f>SUMIFS(tabela_registros[VALOR],tabela_registros[MÊS],$AE$1,tabela_registros[DIA],investirrendafixaconsolidadomar[[#Headers],[16]],tabela_registros[REGISTRO],DADOS!$N$5,tabela_registros[TIPO],DADOS!$AB$3,tabela_registros[CATEGORIA],investirrendafixaconsolidadomar[[#This Row],[ATUAL]])</f>
        <v>0</v>
      </c>
      <c r="U121" s="91">
        <f>SUMIFS(tabela_registros[VALOR],tabela_registros[MÊS],$AE$1,tabela_registros[DIA],investirrendafixaconsolidadomar[[#Headers],[17]],tabela_registros[REGISTRO],DADOS!$N$5,tabela_registros[TIPO],DADOS!$AB$3,tabela_registros[CATEGORIA],investirrendafixaconsolidadomar[[#This Row],[ATUAL]])</f>
        <v>0</v>
      </c>
      <c r="V121" s="91">
        <f>SUMIFS(tabela_registros[VALOR],tabela_registros[MÊS],$AE$1,tabela_registros[DIA],investirrendafixaconsolidadomar[[#Headers],[18]],tabela_registros[REGISTRO],DADOS!$N$5,tabela_registros[TIPO],DADOS!$AB$3,tabela_registros[CATEGORIA],investirrendafixaconsolidadomar[[#This Row],[ATUAL]])</f>
        <v>0</v>
      </c>
      <c r="W121" s="91">
        <f>SUMIFS(tabela_registros[VALOR],tabela_registros[MÊS],$AE$1,tabela_registros[DIA],investirrendafixaconsolidadomar[[#Headers],[19]],tabela_registros[REGISTRO],DADOS!$N$5,tabela_registros[TIPO],DADOS!$AB$3,tabela_registros[CATEGORIA],investirrendafixaconsolidadomar[[#This Row],[ATUAL]])</f>
        <v>0</v>
      </c>
      <c r="X121" s="91">
        <f>SUMIFS(tabela_registros[VALOR],tabela_registros[MÊS],$AE$1,tabela_registros[DIA],investirrendafixaconsolidadomar[[#Headers],[20]],tabela_registros[REGISTRO],DADOS!$N$5,tabela_registros[TIPO],DADOS!$AB$3,tabela_registros[CATEGORIA],investirrendafixaconsolidadomar[[#This Row],[ATUAL]])</f>
        <v>0</v>
      </c>
      <c r="Y121" s="91">
        <f>SUMIFS(tabela_registros[VALOR],tabela_registros[MÊS],$AE$1,tabela_registros[DIA],investirrendafixaconsolidadomar[[#Headers],[21]],tabela_registros[REGISTRO],DADOS!$N$5,tabela_registros[TIPO],DADOS!$AB$3,tabela_registros[CATEGORIA],investirrendafixaconsolidadomar[[#This Row],[ATUAL]])</f>
        <v>0</v>
      </c>
      <c r="Z121" s="91">
        <f>SUMIFS(tabela_registros[VALOR],tabela_registros[MÊS],$AE$1,tabela_registros[DIA],investirrendafixaconsolidadomar[[#Headers],[22]],tabela_registros[REGISTRO],DADOS!$N$5,tabela_registros[TIPO],DADOS!$AB$3,tabela_registros[CATEGORIA],investirrendafixaconsolidadomar[[#This Row],[ATUAL]])</f>
        <v>0</v>
      </c>
      <c r="AA121" s="91">
        <f>SUMIFS(tabela_registros[VALOR],tabela_registros[MÊS],$AE$1,tabela_registros[DIA],investirrendafixaconsolidadomar[[#Headers],[23]],tabela_registros[REGISTRO],DADOS!$N$5,tabela_registros[TIPO],DADOS!$AB$3,tabela_registros[CATEGORIA],investirrendafixaconsolidadomar[[#This Row],[ATUAL]])</f>
        <v>0</v>
      </c>
      <c r="AB121" s="91">
        <f>SUMIFS(tabela_registros[VALOR],tabela_registros[MÊS],$AE$1,tabela_registros[DIA],investirrendafixaconsolidadomar[[#Headers],[24]],tabela_registros[REGISTRO],DADOS!$N$5,tabela_registros[TIPO],DADOS!$AB$3,tabela_registros[CATEGORIA],investirrendafixaconsolidadomar[[#This Row],[ATUAL]])</f>
        <v>0</v>
      </c>
      <c r="AC121" s="91">
        <f>SUMIFS(tabela_registros[VALOR],tabela_registros[MÊS],$AE$1,tabela_registros[DIA],investirrendafixaconsolidadomar[[#Headers],[25]],tabela_registros[REGISTRO],DADOS!$N$5,tabela_registros[TIPO],DADOS!$AB$3,tabela_registros[CATEGORIA],investirrendafixaconsolidadomar[[#This Row],[ATUAL]])</f>
        <v>0</v>
      </c>
      <c r="AD121" s="91">
        <f>SUMIFS(tabela_registros[VALOR],tabela_registros[MÊS],$AE$1,tabela_registros[DIA],investirrendafixaconsolidadomar[[#Headers],[26]],tabela_registros[REGISTRO],DADOS!$N$5,tabela_registros[TIPO],DADOS!$AB$3,tabela_registros[CATEGORIA],investirrendafixaconsolidadomar[[#This Row],[ATUAL]])</f>
        <v>0</v>
      </c>
      <c r="AE121" s="91">
        <f>SUMIFS(tabela_registros[VALOR],tabela_registros[MÊS],$AE$1,tabela_registros[DIA],investirrendafixaconsolidadomar[[#Headers],[27]],tabela_registros[REGISTRO],DADOS!$N$5,tabela_registros[TIPO],DADOS!$AB$3,tabela_registros[CATEGORIA],investirrendafixaconsolidadomar[[#This Row],[ATUAL]])</f>
        <v>0</v>
      </c>
      <c r="AF121" s="91">
        <f>SUMIFS(tabela_registros[VALOR],tabela_registros[MÊS],$AE$1,tabela_registros[DIA],investirrendafixaconsolidadomar[[#Headers],[28]],tabela_registros[REGISTRO],DADOS!$N$5,tabela_registros[TIPO],DADOS!$AB$3,tabela_registros[CATEGORIA],investirrendafixaconsolidadomar[[#This Row],[ATUAL]])</f>
        <v>0</v>
      </c>
      <c r="AG121" s="91">
        <f>SUMIFS(tabela_registros[VALOR],tabela_registros[MÊS],$AE$1,tabela_registros[DIA],investirrendafixaconsolidadomar[[#Headers],[29]],tabela_registros[REGISTRO],DADOS!$N$5,tabela_registros[TIPO],DADOS!$AB$3,tabela_registros[CATEGORIA],investirrendafixaconsolidadomar[[#This Row],[ATUAL]])</f>
        <v>0</v>
      </c>
      <c r="AH121" s="91">
        <f>SUMIFS(tabela_registros[VALOR],tabela_registros[MÊS],$AE$1,tabela_registros[DIA],investirrendafixaconsolidadomar[[#Headers],[30]],tabela_registros[REGISTRO],DADOS!$N$5,tabela_registros[TIPO],DADOS!$AB$3,tabela_registros[CATEGORIA],investirrendafixaconsolidadomar[[#This Row],[ATUAL]])</f>
        <v>0</v>
      </c>
      <c r="AI121" s="101">
        <f>SUMIFS(tabela_registros[VALOR],tabela_registros[MÊS],$AE$1,tabela_registros[DIA],investirrendafixaconsolidadomar[[#Headers],[31]],tabela_registros[REGISTRO],DADOS!$N$5,tabela_registros[TIPO],DADOS!$AB$3,tabela_registros[CATEGORIA],investirrendafixaconsolidadomar[[#This Row],[ATUAL]])</f>
        <v>0</v>
      </c>
      <c r="AJ121" s="97">
        <f>SUM(investirrendafixaconsolidadomar[[#This Row],[1]:[31]])</f>
        <v>0</v>
      </c>
      <c r="AK121" s="25"/>
    </row>
    <row r="122" spans="2:37" ht="19.5" customHeight="1" thickTop="1" thickBot="1" x14ac:dyDescent="0.3">
      <c r="B122" s="28"/>
      <c r="C122" s="27" t="str">
        <f>DADOS!$AD$12</f>
        <v>📎 OUTROS</v>
      </c>
      <c r="D122" s="26" t="str">
        <f>IF(investirrendafixaconsolidadomar[[#This Row],[TOTAL (R$)]]=0,"",IF(OR(investirrendafixaconsolidadomar[[#This Row],[TOTAL (R$)]]=LARGE($AJ$113:$AJ$122,1),investirrendafixaconsolidadomar[[#This Row],[TOTAL (R$)]]=LARGE($AJ$113:$AJ$122,2)),DADOS!$I$10,""))</f>
        <v/>
      </c>
      <c r="E122" s="96">
        <f>SUMIFS(tabela_registros[VALOR],tabela_registros[MÊS],$AE$1,tabela_registros[DIA],investirrendafixaconsolidadomar[[#Headers],[1]],tabela_registros[REGISTRO],DADOS!$N$5,tabela_registros[TIPO],DADOS!$AB$3,tabela_registros[CATEGORIA],investirrendafixaconsolidadomar[[#This Row],[ATUAL]])</f>
        <v>0</v>
      </c>
      <c r="F122" s="91">
        <f>SUMIFS(tabela_registros[VALOR],tabela_registros[MÊS],$AE$1,tabela_registros[DIA],investirrendafixaconsolidadomar[[#Headers],[2]],tabela_registros[REGISTRO],DADOS!$N$5,tabela_registros[TIPO],DADOS!$AB$3,tabela_registros[CATEGORIA],investirrendafixaconsolidadomar[[#This Row],[ATUAL]])</f>
        <v>0</v>
      </c>
      <c r="G122" s="91">
        <f>SUMIFS(tabela_registros[VALOR],tabela_registros[MÊS],$AE$1,tabela_registros[DIA],investirrendafixaconsolidadomar[[#Headers],[3]],tabela_registros[REGISTRO],DADOS!$N$5,tabela_registros[TIPO],DADOS!$AB$3,tabela_registros[CATEGORIA],investirrendafixaconsolidadomar[[#This Row],[ATUAL]])</f>
        <v>0</v>
      </c>
      <c r="H122" s="91">
        <f>SUMIFS(tabela_registros[VALOR],tabela_registros[MÊS],$AE$1,tabela_registros[DIA],investirrendafixaconsolidadomar[[#Headers],[4]],tabela_registros[REGISTRO],DADOS!$N$5,tabela_registros[TIPO],DADOS!$AB$3,tabela_registros[CATEGORIA],investirrendafixaconsolidadomar[[#This Row],[ATUAL]])</f>
        <v>0</v>
      </c>
      <c r="I122" s="91">
        <f>SUMIFS(tabela_registros[VALOR],tabela_registros[MÊS],$AE$1,tabela_registros[DIA],investirrendafixaconsolidadomar[[#Headers],[5]],tabela_registros[REGISTRO],DADOS!$N$5,tabela_registros[TIPO],DADOS!$AB$3,tabela_registros[CATEGORIA],investirrendafixaconsolidadomar[[#This Row],[ATUAL]])</f>
        <v>0</v>
      </c>
      <c r="J122" s="91">
        <f>SUMIFS(tabela_registros[VALOR],tabela_registros[MÊS],$AE$1,tabela_registros[DIA],investirrendafixaconsolidadomar[[#Headers],[6]],tabela_registros[REGISTRO],DADOS!$N$5,tabela_registros[TIPO],DADOS!$AB$3,tabela_registros[CATEGORIA],investirrendafixaconsolidadomar[[#This Row],[ATUAL]])</f>
        <v>0</v>
      </c>
      <c r="K122" s="91">
        <f>SUMIFS(tabela_registros[VALOR],tabela_registros[MÊS],$AE$1,tabela_registros[DIA],investirrendafixaconsolidadomar[[#Headers],[7]],tabela_registros[REGISTRO],DADOS!$N$5,tabela_registros[TIPO],DADOS!$AB$3,tabela_registros[CATEGORIA],investirrendafixaconsolidadomar[[#This Row],[ATUAL]])</f>
        <v>0</v>
      </c>
      <c r="L122" s="91">
        <f>SUMIFS(tabela_registros[VALOR],tabela_registros[MÊS],$AE$1,tabela_registros[DIA],investirrendafixaconsolidadomar[[#Headers],[8]],tabela_registros[REGISTRO],DADOS!$N$5,tabela_registros[TIPO],DADOS!$AB$3,tabela_registros[CATEGORIA],investirrendafixaconsolidadomar[[#This Row],[ATUAL]])</f>
        <v>0</v>
      </c>
      <c r="M122" s="91">
        <f>SUMIFS(tabela_registros[VALOR],tabela_registros[MÊS],$AE$1,tabela_registros[DIA],investirrendafixaconsolidadomar[[#Headers],[9]],tabela_registros[REGISTRO],DADOS!$N$5,tabela_registros[TIPO],DADOS!$AB$3,tabela_registros[CATEGORIA],investirrendafixaconsolidadomar[[#This Row],[ATUAL]])</f>
        <v>0</v>
      </c>
      <c r="N122" s="91">
        <f>SUMIFS(tabela_registros[VALOR],tabela_registros[MÊS],$AE$1,tabela_registros[DIA],investirrendafixaconsolidadomar[[#Headers],[10]],tabela_registros[REGISTRO],DADOS!$N$5,tabela_registros[TIPO],DADOS!$AB$3,tabela_registros[CATEGORIA],investirrendafixaconsolidadomar[[#This Row],[ATUAL]])</f>
        <v>0</v>
      </c>
      <c r="O122" s="91">
        <f>SUMIFS(tabela_registros[VALOR],tabela_registros[MÊS],$AE$1,tabela_registros[DIA],investirrendafixaconsolidadomar[[#Headers],[11]],tabela_registros[REGISTRO],DADOS!$N$5,tabela_registros[TIPO],DADOS!$AB$3,tabela_registros[CATEGORIA],investirrendafixaconsolidadomar[[#This Row],[ATUAL]])</f>
        <v>0</v>
      </c>
      <c r="P122" s="91">
        <f>SUMIFS(tabela_registros[VALOR],tabela_registros[MÊS],$AE$1,tabela_registros[DIA],investirrendafixaconsolidadomar[[#Headers],[12]],tabela_registros[REGISTRO],DADOS!$N$5,tabela_registros[TIPO],DADOS!$AB$3,tabela_registros[CATEGORIA],investirrendafixaconsolidadomar[[#This Row],[ATUAL]])</f>
        <v>0</v>
      </c>
      <c r="Q122" s="91">
        <f>SUMIFS(tabela_registros[VALOR],tabela_registros[MÊS],$AE$1,tabela_registros[DIA],investirrendafixaconsolidadomar[[#Headers],[13]],tabela_registros[REGISTRO],DADOS!$N$5,tabela_registros[TIPO],DADOS!$AB$3,tabela_registros[CATEGORIA],investirrendafixaconsolidadomar[[#This Row],[ATUAL]])</f>
        <v>0</v>
      </c>
      <c r="R122" s="91">
        <f>SUMIFS(tabela_registros[VALOR],tabela_registros[MÊS],$AE$1,tabela_registros[DIA],investirrendafixaconsolidadomar[[#Headers],[14]],tabela_registros[REGISTRO],DADOS!$N$5,tabela_registros[TIPO],DADOS!$AB$3,tabela_registros[CATEGORIA],investirrendafixaconsolidadomar[[#This Row],[ATUAL]])</f>
        <v>0</v>
      </c>
      <c r="S122" s="91">
        <f>SUMIFS(tabela_registros[VALOR],tabela_registros[MÊS],$AE$1,tabela_registros[DIA],investirrendafixaconsolidadomar[[#Headers],[15]],tabela_registros[REGISTRO],DADOS!$N$5,tabela_registros[TIPO],DADOS!$AB$3,tabela_registros[CATEGORIA],investirrendafixaconsolidadomar[[#This Row],[ATUAL]])</f>
        <v>0</v>
      </c>
      <c r="T122" s="91">
        <f>SUMIFS(tabela_registros[VALOR],tabela_registros[MÊS],$AE$1,tabela_registros[DIA],investirrendafixaconsolidadomar[[#Headers],[16]],tabela_registros[REGISTRO],DADOS!$N$5,tabela_registros[TIPO],DADOS!$AB$3,tabela_registros[CATEGORIA],investirrendafixaconsolidadomar[[#This Row],[ATUAL]])</f>
        <v>0</v>
      </c>
      <c r="U122" s="91">
        <f>SUMIFS(tabela_registros[VALOR],tabela_registros[MÊS],$AE$1,tabela_registros[DIA],investirrendafixaconsolidadomar[[#Headers],[17]],tabela_registros[REGISTRO],DADOS!$N$5,tabela_registros[TIPO],DADOS!$AB$3,tabela_registros[CATEGORIA],investirrendafixaconsolidadomar[[#This Row],[ATUAL]])</f>
        <v>0</v>
      </c>
      <c r="V122" s="91">
        <f>SUMIFS(tabela_registros[VALOR],tabela_registros[MÊS],$AE$1,tabela_registros[DIA],investirrendafixaconsolidadomar[[#Headers],[18]],tabela_registros[REGISTRO],DADOS!$N$5,tabela_registros[TIPO],DADOS!$AB$3,tabela_registros[CATEGORIA],investirrendafixaconsolidadomar[[#This Row],[ATUAL]])</f>
        <v>0</v>
      </c>
      <c r="W122" s="91">
        <f>SUMIFS(tabela_registros[VALOR],tabela_registros[MÊS],$AE$1,tabela_registros[DIA],investirrendafixaconsolidadomar[[#Headers],[19]],tabela_registros[REGISTRO],DADOS!$N$5,tabela_registros[TIPO],DADOS!$AB$3,tabela_registros[CATEGORIA],investirrendafixaconsolidadomar[[#This Row],[ATUAL]])</f>
        <v>0</v>
      </c>
      <c r="X122" s="91">
        <f>SUMIFS(tabela_registros[VALOR],tabela_registros[MÊS],$AE$1,tabela_registros[DIA],investirrendafixaconsolidadomar[[#Headers],[20]],tabela_registros[REGISTRO],DADOS!$N$5,tabela_registros[TIPO],DADOS!$AB$3,tabela_registros[CATEGORIA],investirrendafixaconsolidadomar[[#This Row],[ATUAL]])</f>
        <v>0</v>
      </c>
      <c r="Y122" s="91">
        <f>SUMIFS(tabela_registros[VALOR],tabela_registros[MÊS],$AE$1,tabela_registros[DIA],investirrendafixaconsolidadomar[[#Headers],[21]],tabela_registros[REGISTRO],DADOS!$N$5,tabela_registros[TIPO],DADOS!$AB$3,tabela_registros[CATEGORIA],investirrendafixaconsolidadomar[[#This Row],[ATUAL]])</f>
        <v>0</v>
      </c>
      <c r="Z122" s="91">
        <f>SUMIFS(tabela_registros[VALOR],tabela_registros[MÊS],$AE$1,tabela_registros[DIA],investirrendafixaconsolidadomar[[#Headers],[22]],tabela_registros[REGISTRO],DADOS!$N$5,tabela_registros[TIPO],DADOS!$AB$3,tabela_registros[CATEGORIA],investirrendafixaconsolidadomar[[#This Row],[ATUAL]])</f>
        <v>0</v>
      </c>
      <c r="AA122" s="91">
        <f>SUMIFS(tabela_registros[VALOR],tabela_registros[MÊS],$AE$1,tabela_registros[DIA],investirrendafixaconsolidadomar[[#Headers],[23]],tabela_registros[REGISTRO],DADOS!$N$5,tabela_registros[TIPO],DADOS!$AB$3,tabela_registros[CATEGORIA],investirrendafixaconsolidadomar[[#This Row],[ATUAL]])</f>
        <v>0</v>
      </c>
      <c r="AB122" s="91">
        <f>SUMIFS(tabela_registros[VALOR],tabela_registros[MÊS],$AE$1,tabela_registros[DIA],investirrendafixaconsolidadomar[[#Headers],[24]],tabela_registros[REGISTRO],DADOS!$N$5,tabela_registros[TIPO],DADOS!$AB$3,tabela_registros[CATEGORIA],investirrendafixaconsolidadomar[[#This Row],[ATUAL]])</f>
        <v>0</v>
      </c>
      <c r="AC122" s="91">
        <f>SUMIFS(tabela_registros[VALOR],tabela_registros[MÊS],$AE$1,tabela_registros[DIA],investirrendafixaconsolidadomar[[#Headers],[25]],tabela_registros[REGISTRO],DADOS!$N$5,tabela_registros[TIPO],DADOS!$AB$3,tabela_registros[CATEGORIA],investirrendafixaconsolidadomar[[#This Row],[ATUAL]])</f>
        <v>0</v>
      </c>
      <c r="AD122" s="91">
        <f>SUMIFS(tabela_registros[VALOR],tabela_registros[MÊS],$AE$1,tabela_registros[DIA],investirrendafixaconsolidadomar[[#Headers],[26]],tabela_registros[REGISTRO],DADOS!$N$5,tabela_registros[TIPO],DADOS!$AB$3,tabela_registros[CATEGORIA],investirrendafixaconsolidadomar[[#This Row],[ATUAL]])</f>
        <v>0</v>
      </c>
      <c r="AE122" s="91">
        <f>SUMIFS(tabela_registros[VALOR],tabela_registros[MÊS],$AE$1,tabela_registros[DIA],investirrendafixaconsolidadomar[[#Headers],[27]],tabela_registros[REGISTRO],DADOS!$N$5,tabela_registros[TIPO],DADOS!$AB$3,tabela_registros[CATEGORIA],investirrendafixaconsolidadomar[[#This Row],[ATUAL]])</f>
        <v>0</v>
      </c>
      <c r="AF122" s="91">
        <f>SUMIFS(tabela_registros[VALOR],tabela_registros[MÊS],$AE$1,tabela_registros[DIA],investirrendafixaconsolidadomar[[#Headers],[28]],tabela_registros[REGISTRO],DADOS!$N$5,tabela_registros[TIPO],DADOS!$AB$3,tabela_registros[CATEGORIA],investirrendafixaconsolidadomar[[#This Row],[ATUAL]])</f>
        <v>0</v>
      </c>
      <c r="AG122" s="91">
        <f>SUMIFS(tabela_registros[VALOR],tabela_registros[MÊS],$AE$1,tabela_registros[DIA],investirrendafixaconsolidadomar[[#Headers],[29]],tabela_registros[REGISTRO],DADOS!$N$5,tabela_registros[TIPO],DADOS!$AB$3,tabela_registros[CATEGORIA],investirrendafixaconsolidadomar[[#This Row],[ATUAL]])</f>
        <v>0</v>
      </c>
      <c r="AH122" s="91">
        <f>SUMIFS(tabela_registros[VALOR],tabela_registros[MÊS],$AE$1,tabela_registros[DIA],investirrendafixaconsolidadomar[[#Headers],[30]],tabela_registros[REGISTRO],DADOS!$N$5,tabela_registros[TIPO],DADOS!$AB$3,tabela_registros[CATEGORIA],investirrendafixaconsolidadomar[[#This Row],[ATUAL]])</f>
        <v>0</v>
      </c>
      <c r="AI122" s="102">
        <f>SUMIFS(tabela_registros[VALOR],tabela_registros[MÊS],$AE$1,tabela_registros[DIA],investirrendafixaconsolidadomar[[#Headers],[31]],tabela_registros[REGISTRO],DADOS!$N$5,tabela_registros[TIPO],DADOS!$AB$3,tabela_registros[CATEGORIA],investirrendafixaconsolidadomar[[#This Row],[ATUAL]])</f>
        <v>0</v>
      </c>
      <c r="AJ122" s="97">
        <f>SUM(investirrendafixaconsolidadomar[[#This Row],[1]:[31]])</f>
        <v>0</v>
      </c>
      <c r="AK122" s="25"/>
    </row>
    <row r="123" spans="2:37" s="16" customFormat="1" ht="21" customHeight="1" thickTop="1" thickBot="1" x14ac:dyDescent="0.35">
      <c r="B123" s="24"/>
      <c r="C123" s="23" t="s">
        <v>19</v>
      </c>
      <c r="D123" s="22"/>
      <c r="E123" s="21">
        <f>SUM(E113:E122)</f>
        <v>0</v>
      </c>
      <c r="F123" s="20">
        <f>SUM(F113:F122)+investirrendafixaconsolidadomar[[#This Row],[1]]</f>
        <v>0</v>
      </c>
      <c r="G123" s="20">
        <f>SUM(G113:G122)+investirrendafixaconsolidadomar[[#This Row],[2]]</f>
        <v>0</v>
      </c>
      <c r="H123" s="20">
        <f>SUM(H113:H122)+investirrendafixaconsolidadomar[[#This Row],[3]]</f>
        <v>0</v>
      </c>
      <c r="I123" s="20">
        <f>SUM(I113:I122)+investirrendafixaconsolidadomar[[#This Row],[4]]</f>
        <v>0</v>
      </c>
      <c r="J123" s="20">
        <f>SUM(J113:J122)+investirrendafixaconsolidadomar[[#This Row],[5]]</f>
        <v>0</v>
      </c>
      <c r="K123" s="20">
        <f>SUM(K113:K122)+investirrendafixaconsolidadomar[[#This Row],[6]]</f>
        <v>0</v>
      </c>
      <c r="L123" s="20">
        <f>SUM(L113:L122)+investirrendafixaconsolidadomar[[#This Row],[7]]</f>
        <v>0</v>
      </c>
      <c r="M123" s="20">
        <f>SUM(M113:M122)+investirrendafixaconsolidadomar[[#This Row],[8]]</f>
        <v>0</v>
      </c>
      <c r="N123" s="20">
        <f>SUM(N113:N122)+investirrendafixaconsolidadomar[[#This Row],[9]]</f>
        <v>0</v>
      </c>
      <c r="O123" s="20">
        <f>SUM(O113:O122)+investirrendafixaconsolidadomar[[#This Row],[10]]</f>
        <v>0</v>
      </c>
      <c r="P123" s="20">
        <f>SUM(P113:P122)+investirrendafixaconsolidadomar[[#This Row],[11]]</f>
        <v>0</v>
      </c>
      <c r="Q123" s="20">
        <f>SUM(Q113:Q122)+investirrendafixaconsolidadomar[[#This Row],[12]]</f>
        <v>0</v>
      </c>
      <c r="R123" s="20">
        <f>SUM(R113:R122)+investirrendafixaconsolidadomar[[#This Row],[13]]</f>
        <v>0</v>
      </c>
      <c r="S123" s="20">
        <f>SUM(S113:S122)+investirrendafixaconsolidadomar[[#This Row],[14]]</f>
        <v>0</v>
      </c>
      <c r="T123" s="20">
        <f>SUM(T113:T122)+investirrendafixaconsolidadomar[[#This Row],[15]]</f>
        <v>0</v>
      </c>
      <c r="U123" s="20">
        <f>SUM(U113:U122)+investirrendafixaconsolidadomar[[#This Row],[16]]</f>
        <v>0</v>
      </c>
      <c r="V123" s="20">
        <f>SUM(V113:V122)+investirrendafixaconsolidadomar[[#This Row],[17]]</f>
        <v>0</v>
      </c>
      <c r="W123" s="20">
        <f>SUM(W113:W122)+investirrendafixaconsolidadomar[[#This Row],[18]]</f>
        <v>0</v>
      </c>
      <c r="X123" s="20">
        <f>SUM(X113:X122)+investirrendafixaconsolidadomar[[#This Row],[19]]</f>
        <v>0</v>
      </c>
      <c r="Y123" s="20">
        <f>SUM(Y113:Y122)+investirrendafixaconsolidadomar[[#This Row],[20]]</f>
        <v>0</v>
      </c>
      <c r="Z123" s="20">
        <f>SUM(Z113:Z122)+investirrendafixaconsolidadomar[[#This Row],[21]]</f>
        <v>0</v>
      </c>
      <c r="AA123" s="20">
        <f>SUM(AA113:AA122)+investirrendafixaconsolidadomar[[#This Row],[22]]</f>
        <v>0</v>
      </c>
      <c r="AB123" s="20">
        <f>SUM(AB113:AB122)+investirrendafixaconsolidadomar[[#This Row],[23]]</f>
        <v>0</v>
      </c>
      <c r="AC123" s="20">
        <f>SUM(AC113:AC122)+investirrendafixaconsolidadomar[[#This Row],[24]]</f>
        <v>0</v>
      </c>
      <c r="AD123" s="20">
        <f>SUM(AD113:AD122)+investirrendafixaconsolidadomar[[#This Row],[25]]</f>
        <v>0</v>
      </c>
      <c r="AE123" s="20">
        <f>SUM(AE113:AE122)+investirrendafixaconsolidadomar[[#This Row],[26]]</f>
        <v>0</v>
      </c>
      <c r="AF123" s="20">
        <f>SUM(AF113:AF122)+investirrendafixaconsolidadomar[[#This Row],[27]]</f>
        <v>0</v>
      </c>
      <c r="AG123" s="20">
        <f>SUM(AG113:AG122)+investirrendafixaconsolidadomar[[#This Row],[28]]</f>
        <v>0</v>
      </c>
      <c r="AH123" s="20">
        <f>SUM(AH113:AH122)+investirrendafixaconsolidadomar[[#This Row],[29]]</f>
        <v>0</v>
      </c>
      <c r="AI123" s="19">
        <f>SUM(AI113:AI122)+investirrendafixaconsolidadomar[[#This Row],[30]]</f>
        <v>0</v>
      </c>
      <c r="AJ123" s="18">
        <f>investirrendafixaconsolidadomar[[#This Row],[31]]</f>
        <v>0</v>
      </c>
      <c r="AK123" s="17"/>
    </row>
    <row r="124" spans="2:37" ht="6.75" customHeight="1" thickTop="1" thickBot="1" x14ac:dyDescent="0.3">
      <c r="B124" s="15"/>
      <c r="C124" s="14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  <c r="AI124" s="12"/>
      <c r="AJ124" s="11"/>
      <c r="AK124" s="10"/>
    </row>
    <row r="125" spans="2:37" ht="12.6" thickTop="1" x14ac:dyDescent="0.25">
      <c r="E125" s="37"/>
      <c r="AI125" s="4"/>
    </row>
    <row r="126" spans="2:37" x14ac:dyDescent="0.25">
      <c r="AI126" s="4"/>
    </row>
    <row r="127" spans="2:37" x14ac:dyDescent="0.25">
      <c r="AI127" s="4"/>
    </row>
    <row r="128" spans="2:37" ht="39.75" customHeight="1" x14ac:dyDescent="0.7">
      <c r="C128" s="36"/>
      <c r="E128" s="240"/>
      <c r="F128" s="240"/>
      <c r="G128" s="240"/>
      <c r="H128" s="240"/>
      <c r="I128" s="240"/>
      <c r="J128" s="240"/>
      <c r="K128" s="240"/>
      <c r="L128" s="240"/>
      <c r="M128" s="240"/>
      <c r="N128" s="240"/>
      <c r="O128" s="240"/>
      <c r="P128" s="240"/>
      <c r="Q128" s="240"/>
      <c r="R128" s="240"/>
      <c r="S128" s="240"/>
      <c r="T128" s="240"/>
      <c r="U128" s="240"/>
      <c r="V128" s="240"/>
      <c r="W128" s="240"/>
      <c r="X128" s="240"/>
      <c r="Y128" s="240"/>
      <c r="Z128" s="240"/>
      <c r="AA128" s="240"/>
      <c r="AB128" s="240"/>
      <c r="AC128" s="240"/>
      <c r="AD128" s="240"/>
      <c r="AE128" s="240"/>
      <c r="AF128" s="240"/>
      <c r="AG128" s="240"/>
      <c r="AH128" s="240"/>
      <c r="AI128" s="240"/>
      <c r="AJ128" s="32" t="s">
        <v>19</v>
      </c>
    </row>
    <row r="129" spans="2:37" ht="12.6" thickBot="1" x14ac:dyDescent="0.3">
      <c r="B129" s="35"/>
      <c r="AI129" s="4"/>
      <c r="AJ129" s="34" t="s">
        <v>202</v>
      </c>
    </row>
    <row r="130" spans="2:37" ht="6.75" customHeight="1" thickTop="1" thickBot="1" x14ac:dyDescent="0.3">
      <c r="B130" s="2"/>
      <c r="C130" s="14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  <c r="AA130" s="13"/>
      <c r="AB130" s="13"/>
      <c r="AC130" s="13"/>
      <c r="AD130" s="13"/>
      <c r="AE130" s="13"/>
      <c r="AF130" s="13"/>
      <c r="AG130" s="13"/>
      <c r="AH130" s="13"/>
      <c r="AI130" s="13"/>
      <c r="AJ130" s="12"/>
      <c r="AK130" s="33"/>
    </row>
    <row r="131" spans="2:37" ht="13.2" hidden="1" thickTop="1" thickBot="1" x14ac:dyDescent="0.3">
      <c r="B131" s="2"/>
      <c r="C131" s="31" t="s">
        <v>199</v>
      </c>
      <c r="D131" s="30" t="s">
        <v>198</v>
      </c>
      <c r="E131" s="30" t="s">
        <v>197</v>
      </c>
      <c r="F131" s="30" t="s">
        <v>196</v>
      </c>
      <c r="G131" s="30" t="s">
        <v>195</v>
      </c>
      <c r="H131" s="30" t="s">
        <v>194</v>
      </c>
      <c r="I131" s="30" t="s">
        <v>193</v>
      </c>
      <c r="J131" s="30" t="s">
        <v>192</v>
      </c>
      <c r="K131" s="30" t="s">
        <v>191</v>
      </c>
      <c r="L131" s="30" t="s">
        <v>190</v>
      </c>
      <c r="M131" s="30" t="s">
        <v>189</v>
      </c>
      <c r="N131" s="30" t="s">
        <v>188</v>
      </c>
      <c r="O131" s="30" t="s">
        <v>187</v>
      </c>
      <c r="P131" s="30" t="s">
        <v>186</v>
      </c>
      <c r="Q131" s="30" t="s">
        <v>185</v>
      </c>
      <c r="R131" s="30" t="s">
        <v>184</v>
      </c>
      <c r="S131" s="30" t="s">
        <v>183</v>
      </c>
      <c r="T131" s="30" t="s">
        <v>182</v>
      </c>
      <c r="U131" s="30" t="s">
        <v>181</v>
      </c>
      <c r="V131" s="30" t="s">
        <v>180</v>
      </c>
      <c r="W131" s="30" t="s">
        <v>179</v>
      </c>
      <c r="X131" s="30" t="s">
        <v>178</v>
      </c>
      <c r="Y131" s="30" t="s">
        <v>177</v>
      </c>
      <c r="Z131" s="30" t="s">
        <v>176</v>
      </c>
      <c r="AA131" s="30" t="s">
        <v>175</v>
      </c>
      <c r="AB131" s="30" t="s">
        <v>174</v>
      </c>
      <c r="AC131" s="30" t="s">
        <v>173</v>
      </c>
      <c r="AD131" s="30" t="s">
        <v>172</v>
      </c>
      <c r="AE131" s="30" t="s">
        <v>171</v>
      </c>
      <c r="AF131" s="30" t="s">
        <v>170</v>
      </c>
      <c r="AG131" s="30" t="s">
        <v>169</v>
      </c>
      <c r="AH131" s="30" t="s">
        <v>168</v>
      </c>
      <c r="AI131" s="30" t="s">
        <v>167</v>
      </c>
      <c r="AJ131" s="29" t="s">
        <v>166</v>
      </c>
      <c r="AK131" s="2"/>
    </row>
    <row r="132" spans="2:37" ht="19.5" customHeight="1" thickTop="1" thickBot="1" x14ac:dyDescent="0.3">
      <c r="B132" s="28"/>
      <c r="C132" s="27" t="str">
        <f>DADOS!$AF$3</f>
        <v>📝 AÇÃO</v>
      </c>
      <c r="D132" s="26" t="str">
        <f>IF(investirrendavariávelconsolidadomar[[#This Row],[TOTAL (R$)]]=0,"",IF(OR(investirrendavariávelconsolidadomar[[#This Row],[TOTAL (R$)]]=LARGE($AJ$132:$AJ$141,1),investirrendavariávelconsolidadomar[[#This Row],[TOTAL (R$)]]=LARGE($AJ$132:$AJ$141,2)),DADOS!$I$10,""))</f>
        <v/>
      </c>
      <c r="E132" s="96">
        <f>SUMIFS(tabela_registros[VALOR],tabela_registros[MÊS],$AE$1,tabela_registros[DIA],investirrendavariávelconsolidadomar[[#Headers],[1]],tabela_registros[REGISTRO],DADOS!$N$5,tabela_registros[TIPO],DADOS!$AB$4,tabela_registros[CATEGORIA],investirrendavariávelconsolidadomar[[#This Row],[ATUAL]])</f>
        <v>0</v>
      </c>
      <c r="F132" s="91">
        <f>SUMIFS(tabela_registros[VALOR],tabela_registros[MÊS],$AE$1,tabela_registros[DIA],investirrendavariávelconsolidadomar[[#Headers],[2]],tabela_registros[REGISTRO],DADOS!$N$5,tabela_registros[TIPO],DADOS!$AB$4,tabela_registros[CATEGORIA],investirrendavariávelconsolidadomar[[#This Row],[ATUAL]])</f>
        <v>0</v>
      </c>
      <c r="G132" s="91">
        <f>SUMIFS(tabela_registros[VALOR],tabela_registros[MÊS],$AE$1,tabela_registros[DIA],investirrendavariávelconsolidadomar[[#Headers],[3]],tabela_registros[REGISTRO],DADOS!$N$5,tabela_registros[TIPO],DADOS!$AB$4,tabela_registros[CATEGORIA],investirrendavariávelconsolidadomar[[#This Row],[ATUAL]])</f>
        <v>0</v>
      </c>
      <c r="H132" s="91">
        <f>SUMIFS(tabela_registros[VALOR],tabela_registros[MÊS],$AE$1,tabela_registros[DIA],investirrendavariávelconsolidadomar[[#Headers],[4]],tabela_registros[REGISTRO],DADOS!$N$5,tabela_registros[TIPO],DADOS!$AB$4,tabela_registros[CATEGORIA],investirrendavariávelconsolidadomar[[#This Row],[ATUAL]])</f>
        <v>0</v>
      </c>
      <c r="I132" s="91">
        <f>SUMIFS(tabela_registros[VALOR],tabela_registros[MÊS],$AE$1,tabela_registros[DIA],investirrendavariávelconsolidadomar[[#Headers],[5]],tabela_registros[REGISTRO],DADOS!$N$5,tabela_registros[TIPO],DADOS!$AB$4,tabela_registros[CATEGORIA],investirrendavariávelconsolidadomar[[#This Row],[ATUAL]])</f>
        <v>0</v>
      </c>
      <c r="J132" s="91">
        <f>SUMIFS(tabela_registros[VALOR],tabela_registros[MÊS],$AE$1,tabela_registros[DIA],investirrendavariávelconsolidadomar[[#Headers],[6]],tabela_registros[REGISTRO],DADOS!$N$5,tabela_registros[TIPO],DADOS!$AB$4,tabela_registros[CATEGORIA],investirrendavariávelconsolidadomar[[#This Row],[ATUAL]])</f>
        <v>0</v>
      </c>
      <c r="K132" s="91">
        <f>SUMIFS(tabela_registros[VALOR],tabela_registros[MÊS],$AE$1,tabela_registros[DIA],investirrendavariávelconsolidadomar[[#Headers],[7]],tabela_registros[REGISTRO],DADOS!$N$5,tabela_registros[TIPO],DADOS!$AB$4,tabela_registros[CATEGORIA],investirrendavariávelconsolidadomar[[#This Row],[ATUAL]])</f>
        <v>0</v>
      </c>
      <c r="L132" s="91">
        <f>SUMIFS(tabela_registros[VALOR],tabela_registros[MÊS],$AE$1,tabela_registros[DIA],investirrendavariávelconsolidadomar[[#Headers],[8]],tabela_registros[REGISTRO],DADOS!$N$5,tabela_registros[TIPO],DADOS!$AB$4,tabela_registros[CATEGORIA],investirrendavariávelconsolidadomar[[#This Row],[ATUAL]])</f>
        <v>0</v>
      </c>
      <c r="M132" s="91">
        <f>SUMIFS(tabela_registros[VALOR],tabela_registros[MÊS],$AE$1,tabela_registros[DIA],investirrendavariávelconsolidadomar[[#Headers],[9]],tabela_registros[REGISTRO],DADOS!$N$5,tabela_registros[TIPO],DADOS!$AB$4,tabela_registros[CATEGORIA],investirrendavariávelconsolidadomar[[#This Row],[ATUAL]])</f>
        <v>0</v>
      </c>
      <c r="N132" s="91">
        <f>SUMIFS(tabela_registros[VALOR],tabela_registros[MÊS],$AE$1,tabela_registros[DIA],investirrendavariávelconsolidadomar[[#Headers],[10]],tabela_registros[REGISTRO],DADOS!$N$5,tabela_registros[TIPO],DADOS!$AB$4,tabela_registros[CATEGORIA],investirrendavariávelconsolidadomar[[#This Row],[ATUAL]])</f>
        <v>0</v>
      </c>
      <c r="O132" s="91">
        <f>SUMIFS(tabela_registros[VALOR],tabela_registros[MÊS],$AE$1,tabela_registros[DIA],investirrendavariávelconsolidadomar[[#Headers],[11]],tabela_registros[REGISTRO],DADOS!$N$5,tabela_registros[TIPO],DADOS!$AB$4,tabela_registros[CATEGORIA],investirrendavariávelconsolidadomar[[#This Row],[ATUAL]])</f>
        <v>0</v>
      </c>
      <c r="P132" s="91">
        <f>SUMIFS(tabela_registros[VALOR],tabela_registros[MÊS],$AE$1,tabela_registros[DIA],investirrendavariávelconsolidadomar[[#Headers],[12]],tabela_registros[REGISTRO],DADOS!$N$5,tabela_registros[TIPO],DADOS!$AB$4,tabela_registros[CATEGORIA],investirrendavariávelconsolidadomar[[#This Row],[ATUAL]])</f>
        <v>0</v>
      </c>
      <c r="Q132" s="91">
        <f>SUMIFS(tabela_registros[VALOR],tabela_registros[MÊS],$AE$1,tabela_registros[DIA],investirrendavariávelconsolidadomar[[#Headers],[13]],tabela_registros[REGISTRO],DADOS!$N$5,tabela_registros[TIPO],DADOS!$AB$4,tabela_registros[CATEGORIA],investirrendavariávelconsolidadomar[[#This Row],[ATUAL]])</f>
        <v>0</v>
      </c>
      <c r="R132" s="91">
        <f>SUMIFS(tabela_registros[VALOR],tabela_registros[MÊS],$AE$1,tabela_registros[DIA],investirrendavariávelconsolidadomar[[#Headers],[14]],tabela_registros[REGISTRO],DADOS!$N$5,tabela_registros[TIPO],DADOS!$AB$4,tabela_registros[CATEGORIA],investirrendavariávelconsolidadomar[[#This Row],[ATUAL]])</f>
        <v>0</v>
      </c>
      <c r="S132" s="91">
        <f>SUMIFS(tabela_registros[VALOR],tabela_registros[MÊS],$AE$1,tabela_registros[DIA],investirrendavariávelconsolidadomar[[#Headers],[15]],tabela_registros[REGISTRO],DADOS!$N$5,tabela_registros[TIPO],DADOS!$AB$4,tabela_registros[CATEGORIA],investirrendavariávelconsolidadomar[[#This Row],[ATUAL]])</f>
        <v>0</v>
      </c>
      <c r="T132" s="91">
        <f>SUMIFS(tabela_registros[VALOR],tabela_registros[MÊS],$AE$1,tabela_registros[DIA],investirrendavariávelconsolidadomar[[#Headers],[16]],tabela_registros[REGISTRO],DADOS!$N$5,tabela_registros[TIPO],DADOS!$AB$4,tabela_registros[CATEGORIA],investirrendavariávelconsolidadomar[[#This Row],[ATUAL]])</f>
        <v>0</v>
      </c>
      <c r="U132" s="91">
        <f>SUMIFS(tabela_registros[VALOR],tabela_registros[MÊS],$AE$1,tabela_registros[DIA],investirrendavariávelconsolidadomar[[#Headers],[17]],tabela_registros[REGISTRO],DADOS!$N$5,tabela_registros[TIPO],DADOS!$AB$4,tabela_registros[CATEGORIA],investirrendavariávelconsolidadomar[[#This Row],[ATUAL]])</f>
        <v>0</v>
      </c>
      <c r="V132" s="91">
        <f>SUMIFS(tabela_registros[VALOR],tabela_registros[MÊS],$AE$1,tabela_registros[DIA],investirrendavariávelconsolidadomar[[#Headers],[18]],tabela_registros[REGISTRO],DADOS!$N$5,tabela_registros[TIPO],DADOS!$AB$4,tabela_registros[CATEGORIA],investirrendavariávelconsolidadomar[[#This Row],[ATUAL]])</f>
        <v>0</v>
      </c>
      <c r="W132" s="91">
        <f>SUMIFS(tabela_registros[VALOR],tabela_registros[MÊS],$AE$1,tabela_registros[DIA],investirrendavariávelconsolidadomar[[#Headers],[19]],tabela_registros[REGISTRO],DADOS!$N$5,tabela_registros[TIPO],DADOS!$AB$4,tabela_registros[CATEGORIA],investirrendavariávelconsolidadomar[[#This Row],[ATUAL]])</f>
        <v>0</v>
      </c>
      <c r="X132" s="91">
        <f>SUMIFS(tabela_registros[VALOR],tabela_registros[MÊS],$AE$1,tabela_registros[DIA],investirrendavariávelconsolidadomar[[#Headers],[20]],tabela_registros[REGISTRO],DADOS!$N$5,tabela_registros[TIPO],DADOS!$AB$4,tabela_registros[CATEGORIA],investirrendavariávelconsolidadomar[[#This Row],[ATUAL]])</f>
        <v>0</v>
      </c>
      <c r="Y132" s="91">
        <f>SUMIFS(tabela_registros[VALOR],tabela_registros[MÊS],$AE$1,tabela_registros[DIA],investirrendavariávelconsolidadomar[[#Headers],[21]],tabela_registros[REGISTRO],DADOS!$N$5,tabela_registros[TIPO],DADOS!$AB$4,tabela_registros[CATEGORIA],investirrendavariávelconsolidadomar[[#This Row],[ATUAL]])</f>
        <v>0</v>
      </c>
      <c r="Z132" s="91">
        <f>SUMIFS(tabela_registros[VALOR],tabela_registros[MÊS],$AE$1,tabela_registros[DIA],investirrendavariávelconsolidadomar[[#Headers],[22]],tabela_registros[REGISTRO],DADOS!$N$5,tabela_registros[TIPO],DADOS!$AB$4,tabela_registros[CATEGORIA],investirrendavariávelconsolidadomar[[#This Row],[ATUAL]])</f>
        <v>0</v>
      </c>
      <c r="AA132" s="91">
        <f>SUMIFS(tabela_registros[VALOR],tabela_registros[MÊS],$AE$1,tabela_registros[DIA],investirrendavariávelconsolidadomar[[#Headers],[23]],tabela_registros[REGISTRO],DADOS!$N$5,tabela_registros[TIPO],DADOS!$AB$4,tabela_registros[CATEGORIA],investirrendavariávelconsolidadomar[[#This Row],[ATUAL]])</f>
        <v>0</v>
      </c>
      <c r="AB132" s="91">
        <f>SUMIFS(tabela_registros[VALOR],tabela_registros[MÊS],$AE$1,tabela_registros[DIA],investirrendavariávelconsolidadomar[[#Headers],[24]],tabela_registros[REGISTRO],DADOS!$N$5,tabela_registros[TIPO],DADOS!$AB$4,tabela_registros[CATEGORIA],investirrendavariávelconsolidadomar[[#This Row],[ATUAL]])</f>
        <v>0</v>
      </c>
      <c r="AC132" s="91">
        <f>SUMIFS(tabela_registros[VALOR],tabela_registros[MÊS],$AE$1,tabela_registros[DIA],investirrendavariávelconsolidadomar[[#Headers],[25]],tabela_registros[REGISTRO],DADOS!$N$5,tabela_registros[TIPO],DADOS!$AB$4,tabela_registros[CATEGORIA],investirrendavariávelconsolidadomar[[#This Row],[ATUAL]])</f>
        <v>0</v>
      </c>
      <c r="AD132" s="91">
        <f>SUMIFS(tabela_registros[VALOR],tabela_registros[MÊS],$AE$1,tabela_registros[DIA],investirrendavariávelconsolidadomar[[#Headers],[26]],tabela_registros[REGISTRO],DADOS!$N$5,tabela_registros[TIPO],DADOS!$AB$4,tabela_registros[CATEGORIA],investirrendavariávelconsolidadomar[[#This Row],[ATUAL]])</f>
        <v>0</v>
      </c>
      <c r="AE132" s="91">
        <f>SUMIFS(tabela_registros[VALOR],tabela_registros[MÊS],$AE$1,tabela_registros[DIA],investirrendavariávelconsolidadomar[[#Headers],[27]],tabela_registros[REGISTRO],DADOS!$N$5,tabela_registros[TIPO],DADOS!$AB$4,tabela_registros[CATEGORIA],investirrendavariávelconsolidadomar[[#This Row],[ATUAL]])</f>
        <v>0</v>
      </c>
      <c r="AF132" s="91">
        <f>SUMIFS(tabela_registros[VALOR],tabela_registros[MÊS],$AE$1,tabela_registros[DIA],investirrendavariávelconsolidadomar[[#Headers],[28]],tabela_registros[REGISTRO],DADOS!$N$5,tabela_registros[TIPO],DADOS!$AB$4,tabela_registros[CATEGORIA],investirrendavariávelconsolidadomar[[#This Row],[ATUAL]])</f>
        <v>0</v>
      </c>
      <c r="AG132" s="91">
        <f>SUMIFS(tabela_registros[VALOR],tabela_registros[MÊS],$AE$1,tabela_registros[DIA],investirrendavariávelconsolidadomar[[#Headers],[29]],tabela_registros[REGISTRO],DADOS!$N$5,tabela_registros[TIPO],DADOS!$AB$4,tabela_registros[CATEGORIA],investirrendavariávelconsolidadomar[[#This Row],[ATUAL]])</f>
        <v>0</v>
      </c>
      <c r="AH132" s="91">
        <f>SUMIFS(tabela_registros[VALOR],tabela_registros[MÊS],$AE$1,tabela_registros[DIA],investirrendavariávelconsolidadomar[[#Headers],[30]],tabela_registros[REGISTRO],DADOS!$N$5,tabela_registros[TIPO],DADOS!$AB$4,tabela_registros[CATEGORIA],investirrendavariávelconsolidadomar[[#This Row],[ATUAL]])</f>
        <v>0</v>
      </c>
      <c r="AI132" s="101">
        <f>SUMIFS(tabela_registros[VALOR],tabela_registros[MÊS],$AE$1,tabela_registros[DIA],investirrendavariávelconsolidadomar[[#Headers],[31]],tabela_registros[REGISTRO],DADOS!$N$5,tabela_registros[TIPO],DADOS!$AB$4,tabela_registros[CATEGORIA],investirrendavariávelconsolidadomar[[#This Row],[ATUAL]])</f>
        <v>0</v>
      </c>
      <c r="AJ132" s="97">
        <f>SUM(investirrendavariávelconsolidadomar[[#This Row],[1]:[31]])</f>
        <v>0</v>
      </c>
      <c r="AK132" s="25"/>
    </row>
    <row r="133" spans="2:37" ht="19.5" customHeight="1" thickTop="1" thickBot="1" x14ac:dyDescent="0.3">
      <c r="B133" s="28"/>
      <c r="C133" s="27" t="str">
        <f>DADOS!$AF$4</f>
        <v>📝 COMÓDITE</v>
      </c>
      <c r="D133" s="26" t="str">
        <f>IF(investirrendavariávelconsolidadomar[[#This Row],[TOTAL (R$)]]=0,"",IF(OR(investirrendavariávelconsolidadomar[[#This Row],[TOTAL (R$)]]=LARGE($AJ$132:$AJ$141,1),investirrendavariávelconsolidadomar[[#This Row],[TOTAL (R$)]]=LARGE($AJ$132:$AJ$141,2)),DADOS!$I$10,""))</f>
        <v/>
      </c>
      <c r="E133" s="96">
        <f>SUMIFS(tabela_registros[VALOR],tabela_registros[MÊS],$AE$1,tabela_registros[DIA],investirrendavariávelconsolidadomar[[#Headers],[1]],tabela_registros[REGISTRO],DADOS!$N$5,tabela_registros[TIPO],DADOS!$AB$4,tabela_registros[CATEGORIA],investirrendavariávelconsolidadomar[[#This Row],[ATUAL]])</f>
        <v>0</v>
      </c>
      <c r="F133" s="91">
        <f>SUMIFS(tabela_registros[VALOR],tabela_registros[MÊS],$AE$1,tabela_registros[DIA],investirrendavariávelconsolidadomar[[#Headers],[2]],tabela_registros[REGISTRO],DADOS!$N$5,tabela_registros[TIPO],DADOS!$AB$4,tabela_registros[CATEGORIA],investirrendavariávelconsolidadomar[[#This Row],[ATUAL]])</f>
        <v>0</v>
      </c>
      <c r="G133" s="91">
        <f>SUMIFS(tabela_registros[VALOR],tabela_registros[MÊS],$AE$1,tabela_registros[DIA],investirrendavariávelconsolidadomar[[#Headers],[3]],tabela_registros[REGISTRO],DADOS!$N$5,tabela_registros[TIPO],DADOS!$AB$4,tabela_registros[CATEGORIA],investirrendavariávelconsolidadomar[[#This Row],[ATUAL]])</f>
        <v>0</v>
      </c>
      <c r="H133" s="91">
        <f>SUMIFS(tabela_registros[VALOR],tabela_registros[MÊS],$AE$1,tabela_registros[DIA],investirrendavariávelconsolidadomar[[#Headers],[4]],tabela_registros[REGISTRO],DADOS!$N$5,tabela_registros[TIPO],DADOS!$AB$4,tabela_registros[CATEGORIA],investirrendavariávelconsolidadomar[[#This Row],[ATUAL]])</f>
        <v>0</v>
      </c>
      <c r="I133" s="91">
        <f>SUMIFS(tabela_registros[VALOR],tabela_registros[MÊS],$AE$1,tabela_registros[DIA],investirrendavariávelconsolidadomar[[#Headers],[5]],tabela_registros[REGISTRO],DADOS!$N$5,tabela_registros[TIPO],DADOS!$AB$4,tabela_registros[CATEGORIA],investirrendavariávelconsolidadomar[[#This Row],[ATUAL]])</f>
        <v>0</v>
      </c>
      <c r="J133" s="91">
        <f>SUMIFS(tabela_registros[VALOR],tabela_registros[MÊS],$AE$1,tabela_registros[DIA],investirrendavariávelconsolidadomar[[#Headers],[6]],tabela_registros[REGISTRO],DADOS!$N$5,tabela_registros[TIPO],DADOS!$AB$4,tabela_registros[CATEGORIA],investirrendavariávelconsolidadomar[[#This Row],[ATUAL]])</f>
        <v>0</v>
      </c>
      <c r="K133" s="91">
        <f>SUMIFS(tabela_registros[VALOR],tabela_registros[MÊS],$AE$1,tabela_registros[DIA],investirrendavariávelconsolidadomar[[#Headers],[7]],tabela_registros[REGISTRO],DADOS!$N$5,tabela_registros[TIPO],DADOS!$AB$4,tabela_registros[CATEGORIA],investirrendavariávelconsolidadomar[[#This Row],[ATUAL]])</f>
        <v>0</v>
      </c>
      <c r="L133" s="91">
        <f>SUMIFS(tabela_registros[VALOR],tabela_registros[MÊS],$AE$1,tabela_registros[DIA],investirrendavariávelconsolidadomar[[#Headers],[8]],tabela_registros[REGISTRO],DADOS!$N$5,tabela_registros[TIPO],DADOS!$AB$4,tabela_registros[CATEGORIA],investirrendavariávelconsolidadomar[[#This Row],[ATUAL]])</f>
        <v>0</v>
      </c>
      <c r="M133" s="91">
        <f>SUMIFS(tabela_registros[VALOR],tabela_registros[MÊS],$AE$1,tabela_registros[DIA],investirrendavariávelconsolidadomar[[#Headers],[9]],tabela_registros[REGISTRO],DADOS!$N$5,tabela_registros[TIPO],DADOS!$AB$4,tabela_registros[CATEGORIA],investirrendavariávelconsolidadomar[[#This Row],[ATUAL]])</f>
        <v>0</v>
      </c>
      <c r="N133" s="91">
        <f>SUMIFS(tabela_registros[VALOR],tabela_registros[MÊS],$AE$1,tabela_registros[DIA],investirrendavariávelconsolidadomar[[#Headers],[10]],tabela_registros[REGISTRO],DADOS!$N$5,tabela_registros[TIPO],DADOS!$AB$4,tabela_registros[CATEGORIA],investirrendavariávelconsolidadomar[[#This Row],[ATUAL]])</f>
        <v>0</v>
      </c>
      <c r="O133" s="91">
        <f>SUMIFS(tabela_registros[VALOR],tabela_registros[MÊS],$AE$1,tabela_registros[DIA],investirrendavariávelconsolidadomar[[#Headers],[11]],tabela_registros[REGISTRO],DADOS!$N$5,tabela_registros[TIPO],DADOS!$AB$4,tabela_registros[CATEGORIA],investirrendavariávelconsolidadomar[[#This Row],[ATUAL]])</f>
        <v>0</v>
      </c>
      <c r="P133" s="91">
        <f>SUMIFS(tabela_registros[VALOR],tabela_registros[MÊS],$AE$1,tabela_registros[DIA],investirrendavariávelconsolidadomar[[#Headers],[12]],tabela_registros[REGISTRO],DADOS!$N$5,tabela_registros[TIPO],DADOS!$AB$4,tabela_registros[CATEGORIA],investirrendavariávelconsolidadomar[[#This Row],[ATUAL]])</f>
        <v>0</v>
      </c>
      <c r="Q133" s="91">
        <f>SUMIFS(tabela_registros[VALOR],tabela_registros[MÊS],$AE$1,tabela_registros[DIA],investirrendavariávelconsolidadomar[[#Headers],[13]],tabela_registros[REGISTRO],DADOS!$N$5,tabela_registros[TIPO],DADOS!$AB$4,tabela_registros[CATEGORIA],investirrendavariávelconsolidadomar[[#This Row],[ATUAL]])</f>
        <v>0</v>
      </c>
      <c r="R133" s="91">
        <f>SUMIFS(tabela_registros[VALOR],tabela_registros[MÊS],$AE$1,tabela_registros[DIA],investirrendavariávelconsolidadomar[[#Headers],[14]],tabela_registros[REGISTRO],DADOS!$N$5,tabela_registros[TIPO],DADOS!$AB$4,tabela_registros[CATEGORIA],investirrendavariávelconsolidadomar[[#This Row],[ATUAL]])</f>
        <v>0</v>
      </c>
      <c r="S133" s="91">
        <f>SUMIFS(tabela_registros[VALOR],tabela_registros[MÊS],$AE$1,tabela_registros[DIA],investirrendavariávelconsolidadomar[[#Headers],[15]],tabela_registros[REGISTRO],DADOS!$N$5,tabela_registros[TIPO],DADOS!$AB$4,tabela_registros[CATEGORIA],investirrendavariávelconsolidadomar[[#This Row],[ATUAL]])</f>
        <v>0</v>
      </c>
      <c r="T133" s="91">
        <f>SUMIFS(tabela_registros[VALOR],tabela_registros[MÊS],$AE$1,tabela_registros[DIA],investirrendavariávelconsolidadomar[[#Headers],[16]],tabela_registros[REGISTRO],DADOS!$N$5,tabela_registros[TIPO],DADOS!$AB$4,tabela_registros[CATEGORIA],investirrendavariávelconsolidadomar[[#This Row],[ATUAL]])</f>
        <v>0</v>
      </c>
      <c r="U133" s="91">
        <f>SUMIFS(tabela_registros[VALOR],tabela_registros[MÊS],$AE$1,tabela_registros[DIA],investirrendavariávelconsolidadomar[[#Headers],[17]],tabela_registros[REGISTRO],DADOS!$N$5,tabela_registros[TIPO],DADOS!$AB$4,tabela_registros[CATEGORIA],investirrendavariávelconsolidadomar[[#This Row],[ATUAL]])</f>
        <v>0</v>
      </c>
      <c r="V133" s="91">
        <f>SUMIFS(tabela_registros[VALOR],tabela_registros[MÊS],$AE$1,tabela_registros[DIA],investirrendavariávelconsolidadomar[[#Headers],[18]],tabela_registros[REGISTRO],DADOS!$N$5,tabela_registros[TIPO],DADOS!$AB$4,tabela_registros[CATEGORIA],investirrendavariávelconsolidadomar[[#This Row],[ATUAL]])</f>
        <v>0</v>
      </c>
      <c r="W133" s="91">
        <f>SUMIFS(tabela_registros[VALOR],tabela_registros[MÊS],$AE$1,tabela_registros[DIA],investirrendavariávelconsolidadomar[[#Headers],[19]],tabela_registros[REGISTRO],DADOS!$N$5,tabela_registros[TIPO],DADOS!$AB$4,tabela_registros[CATEGORIA],investirrendavariávelconsolidadomar[[#This Row],[ATUAL]])</f>
        <v>0</v>
      </c>
      <c r="X133" s="91">
        <f>SUMIFS(tabela_registros[VALOR],tabela_registros[MÊS],$AE$1,tabela_registros[DIA],investirrendavariávelconsolidadomar[[#Headers],[20]],tabela_registros[REGISTRO],DADOS!$N$5,tabela_registros[TIPO],DADOS!$AB$4,tabela_registros[CATEGORIA],investirrendavariávelconsolidadomar[[#This Row],[ATUAL]])</f>
        <v>0</v>
      </c>
      <c r="Y133" s="91">
        <f>SUMIFS(tabela_registros[VALOR],tabela_registros[MÊS],$AE$1,tabela_registros[DIA],investirrendavariávelconsolidadomar[[#Headers],[21]],tabela_registros[REGISTRO],DADOS!$N$5,tabela_registros[TIPO],DADOS!$AB$4,tabela_registros[CATEGORIA],investirrendavariávelconsolidadomar[[#This Row],[ATUAL]])</f>
        <v>0</v>
      </c>
      <c r="Z133" s="91">
        <f>SUMIFS(tabela_registros[VALOR],tabela_registros[MÊS],$AE$1,tabela_registros[DIA],investirrendavariávelconsolidadomar[[#Headers],[22]],tabela_registros[REGISTRO],DADOS!$N$5,tabela_registros[TIPO],DADOS!$AB$4,tabela_registros[CATEGORIA],investirrendavariávelconsolidadomar[[#This Row],[ATUAL]])</f>
        <v>0</v>
      </c>
      <c r="AA133" s="91">
        <f>SUMIFS(tabela_registros[VALOR],tabela_registros[MÊS],$AE$1,tabela_registros[DIA],investirrendavariávelconsolidadomar[[#Headers],[23]],tabela_registros[REGISTRO],DADOS!$N$5,tabela_registros[TIPO],DADOS!$AB$4,tabela_registros[CATEGORIA],investirrendavariávelconsolidadomar[[#This Row],[ATUAL]])</f>
        <v>0</v>
      </c>
      <c r="AB133" s="91">
        <f>SUMIFS(tabela_registros[VALOR],tabela_registros[MÊS],$AE$1,tabela_registros[DIA],investirrendavariávelconsolidadomar[[#Headers],[24]],tabela_registros[REGISTRO],DADOS!$N$5,tabela_registros[TIPO],DADOS!$AB$4,tabela_registros[CATEGORIA],investirrendavariávelconsolidadomar[[#This Row],[ATUAL]])</f>
        <v>0</v>
      </c>
      <c r="AC133" s="91">
        <f>SUMIFS(tabela_registros[VALOR],tabela_registros[MÊS],$AE$1,tabela_registros[DIA],investirrendavariávelconsolidadomar[[#Headers],[25]],tabela_registros[REGISTRO],DADOS!$N$5,tabela_registros[TIPO],DADOS!$AB$4,tabela_registros[CATEGORIA],investirrendavariávelconsolidadomar[[#This Row],[ATUAL]])</f>
        <v>0</v>
      </c>
      <c r="AD133" s="91">
        <f>SUMIFS(tabela_registros[VALOR],tabela_registros[MÊS],$AE$1,tabela_registros[DIA],investirrendavariávelconsolidadomar[[#Headers],[26]],tabela_registros[REGISTRO],DADOS!$N$5,tabela_registros[TIPO],DADOS!$AB$4,tabela_registros[CATEGORIA],investirrendavariávelconsolidadomar[[#This Row],[ATUAL]])</f>
        <v>0</v>
      </c>
      <c r="AE133" s="91">
        <f>SUMIFS(tabela_registros[VALOR],tabela_registros[MÊS],$AE$1,tabela_registros[DIA],investirrendavariávelconsolidadomar[[#Headers],[27]],tabela_registros[REGISTRO],DADOS!$N$5,tabela_registros[TIPO],DADOS!$AB$4,tabela_registros[CATEGORIA],investirrendavariávelconsolidadomar[[#This Row],[ATUAL]])</f>
        <v>0</v>
      </c>
      <c r="AF133" s="91">
        <f>SUMIFS(tabela_registros[VALOR],tabela_registros[MÊS],$AE$1,tabela_registros[DIA],investirrendavariávelconsolidadomar[[#Headers],[28]],tabela_registros[REGISTRO],DADOS!$N$5,tabela_registros[TIPO],DADOS!$AB$4,tabela_registros[CATEGORIA],investirrendavariávelconsolidadomar[[#This Row],[ATUAL]])</f>
        <v>0</v>
      </c>
      <c r="AG133" s="91">
        <f>SUMIFS(tabela_registros[VALOR],tabela_registros[MÊS],$AE$1,tabela_registros[DIA],investirrendavariávelconsolidadomar[[#Headers],[29]],tabela_registros[REGISTRO],DADOS!$N$5,tabela_registros[TIPO],DADOS!$AB$4,tabela_registros[CATEGORIA],investirrendavariávelconsolidadomar[[#This Row],[ATUAL]])</f>
        <v>0</v>
      </c>
      <c r="AH133" s="91">
        <f>SUMIFS(tabela_registros[VALOR],tabela_registros[MÊS],$AE$1,tabela_registros[DIA],investirrendavariávelconsolidadomar[[#Headers],[30]],tabela_registros[REGISTRO],DADOS!$N$5,tabela_registros[TIPO],DADOS!$AB$4,tabela_registros[CATEGORIA],investirrendavariávelconsolidadomar[[#This Row],[ATUAL]])</f>
        <v>0</v>
      </c>
      <c r="AI133" s="101">
        <f>SUMIFS(tabela_registros[VALOR],tabela_registros[MÊS],$AE$1,tabela_registros[DIA],investirrendavariávelconsolidadomar[[#Headers],[31]],tabela_registros[REGISTRO],DADOS!$N$5,tabela_registros[TIPO],DADOS!$AB$4,tabela_registros[CATEGORIA],investirrendavariávelconsolidadomar[[#This Row],[ATUAL]])</f>
        <v>0</v>
      </c>
      <c r="AJ133" s="97">
        <f>SUM(investirrendavariávelconsolidadomar[[#This Row],[1]:[31]])</f>
        <v>0</v>
      </c>
      <c r="AK133" s="25"/>
    </row>
    <row r="134" spans="2:37" ht="19.5" customHeight="1" thickTop="1" thickBot="1" x14ac:dyDescent="0.3">
      <c r="B134" s="28"/>
      <c r="C134" s="27" t="str">
        <f>DADOS!$AF$5</f>
        <v>📝 CONTRATO DE FUTUROS</v>
      </c>
      <c r="D134" s="26" t="str">
        <f>IF(investirrendavariávelconsolidadomar[[#This Row],[TOTAL (R$)]]=0,"",IF(OR(investirrendavariávelconsolidadomar[[#This Row],[TOTAL (R$)]]=LARGE($AJ$132:$AJ$141,1),investirrendavariávelconsolidadomar[[#This Row],[TOTAL (R$)]]=LARGE($AJ$132:$AJ$141,2)),DADOS!$I$10,""))</f>
        <v/>
      </c>
      <c r="E134" s="96">
        <f>SUMIFS(tabela_registros[VALOR],tabela_registros[MÊS],$AE$1,tabela_registros[DIA],investirrendavariávelconsolidadomar[[#Headers],[1]],tabela_registros[REGISTRO],DADOS!$N$5,tabela_registros[TIPO],DADOS!$AB$4,tabela_registros[CATEGORIA],investirrendavariávelconsolidadomar[[#This Row],[ATUAL]])</f>
        <v>0</v>
      </c>
      <c r="F134" s="91">
        <f>SUMIFS(tabela_registros[VALOR],tabela_registros[MÊS],$AE$1,tabela_registros[DIA],investirrendavariávelconsolidadomar[[#Headers],[2]],tabela_registros[REGISTRO],DADOS!$N$5,tabela_registros[TIPO],DADOS!$AB$4,tabela_registros[CATEGORIA],investirrendavariávelconsolidadomar[[#This Row],[ATUAL]])</f>
        <v>0</v>
      </c>
      <c r="G134" s="91">
        <f>SUMIFS(tabela_registros[VALOR],tabela_registros[MÊS],$AE$1,tabela_registros[DIA],investirrendavariávelconsolidadomar[[#Headers],[3]],tabela_registros[REGISTRO],DADOS!$N$5,tabela_registros[TIPO],DADOS!$AB$4,tabela_registros[CATEGORIA],investirrendavariávelconsolidadomar[[#This Row],[ATUAL]])</f>
        <v>0</v>
      </c>
      <c r="H134" s="91">
        <f>SUMIFS(tabela_registros[VALOR],tabela_registros[MÊS],$AE$1,tabela_registros[DIA],investirrendavariávelconsolidadomar[[#Headers],[4]],tabela_registros[REGISTRO],DADOS!$N$5,tabela_registros[TIPO],DADOS!$AB$4,tabela_registros[CATEGORIA],investirrendavariávelconsolidadomar[[#This Row],[ATUAL]])</f>
        <v>0</v>
      </c>
      <c r="I134" s="91">
        <f>SUMIFS(tabela_registros[VALOR],tabela_registros[MÊS],$AE$1,tabela_registros[DIA],investirrendavariávelconsolidadomar[[#Headers],[5]],tabela_registros[REGISTRO],DADOS!$N$5,tabela_registros[TIPO],DADOS!$AB$4,tabela_registros[CATEGORIA],investirrendavariávelconsolidadomar[[#This Row],[ATUAL]])</f>
        <v>0</v>
      </c>
      <c r="J134" s="91">
        <f>SUMIFS(tabela_registros[VALOR],tabela_registros[MÊS],$AE$1,tabela_registros[DIA],investirrendavariávelconsolidadomar[[#Headers],[6]],tabela_registros[REGISTRO],DADOS!$N$5,tabela_registros[TIPO],DADOS!$AB$4,tabela_registros[CATEGORIA],investirrendavariávelconsolidadomar[[#This Row],[ATUAL]])</f>
        <v>0</v>
      </c>
      <c r="K134" s="91">
        <f>SUMIFS(tabela_registros[VALOR],tabela_registros[MÊS],$AE$1,tabela_registros[DIA],investirrendavariávelconsolidadomar[[#Headers],[7]],tabela_registros[REGISTRO],DADOS!$N$5,tabela_registros[TIPO],DADOS!$AB$4,tabela_registros[CATEGORIA],investirrendavariávelconsolidadomar[[#This Row],[ATUAL]])</f>
        <v>0</v>
      </c>
      <c r="L134" s="91">
        <f>SUMIFS(tabela_registros[VALOR],tabela_registros[MÊS],$AE$1,tabela_registros[DIA],investirrendavariávelconsolidadomar[[#Headers],[8]],tabela_registros[REGISTRO],DADOS!$N$5,tabela_registros[TIPO],DADOS!$AB$4,tabela_registros[CATEGORIA],investirrendavariávelconsolidadomar[[#This Row],[ATUAL]])</f>
        <v>0</v>
      </c>
      <c r="M134" s="91">
        <f>SUMIFS(tabela_registros[VALOR],tabela_registros[MÊS],$AE$1,tabela_registros[DIA],investirrendavariávelconsolidadomar[[#Headers],[9]],tabela_registros[REGISTRO],DADOS!$N$5,tabela_registros[TIPO],DADOS!$AB$4,tabela_registros[CATEGORIA],investirrendavariávelconsolidadomar[[#This Row],[ATUAL]])</f>
        <v>0</v>
      </c>
      <c r="N134" s="91">
        <f>SUMIFS(tabela_registros[VALOR],tabela_registros[MÊS],$AE$1,tabela_registros[DIA],investirrendavariávelconsolidadomar[[#Headers],[10]],tabela_registros[REGISTRO],DADOS!$N$5,tabela_registros[TIPO],DADOS!$AB$4,tabela_registros[CATEGORIA],investirrendavariávelconsolidadomar[[#This Row],[ATUAL]])</f>
        <v>0</v>
      </c>
      <c r="O134" s="91">
        <f>SUMIFS(tabela_registros[VALOR],tabela_registros[MÊS],$AE$1,tabela_registros[DIA],investirrendavariávelconsolidadomar[[#Headers],[11]],tabela_registros[REGISTRO],DADOS!$N$5,tabela_registros[TIPO],DADOS!$AB$4,tabela_registros[CATEGORIA],investirrendavariávelconsolidadomar[[#This Row],[ATUAL]])</f>
        <v>0</v>
      </c>
      <c r="P134" s="91">
        <f>SUMIFS(tabela_registros[VALOR],tabela_registros[MÊS],$AE$1,tabela_registros[DIA],investirrendavariávelconsolidadomar[[#Headers],[12]],tabela_registros[REGISTRO],DADOS!$N$5,tabela_registros[TIPO],DADOS!$AB$4,tabela_registros[CATEGORIA],investirrendavariávelconsolidadomar[[#This Row],[ATUAL]])</f>
        <v>0</v>
      </c>
      <c r="Q134" s="91">
        <f>SUMIFS(tabela_registros[VALOR],tabela_registros[MÊS],$AE$1,tabela_registros[DIA],investirrendavariávelconsolidadomar[[#Headers],[13]],tabela_registros[REGISTRO],DADOS!$N$5,tabela_registros[TIPO],DADOS!$AB$4,tabela_registros[CATEGORIA],investirrendavariávelconsolidadomar[[#This Row],[ATUAL]])</f>
        <v>0</v>
      </c>
      <c r="R134" s="91">
        <f>SUMIFS(tabela_registros[VALOR],tabela_registros[MÊS],$AE$1,tabela_registros[DIA],investirrendavariávelconsolidadomar[[#Headers],[14]],tabela_registros[REGISTRO],DADOS!$N$5,tabela_registros[TIPO],DADOS!$AB$4,tabela_registros[CATEGORIA],investirrendavariávelconsolidadomar[[#This Row],[ATUAL]])</f>
        <v>0</v>
      </c>
      <c r="S134" s="91">
        <f>SUMIFS(tabela_registros[VALOR],tabela_registros[MÊS],$AE$1,tabela_registros[DIA],investirrendavariávelconsolidadomar[[#Headers],[15]],tabela_registros[REGISTRO],DADOS!$N$5,tabela_registros[TIPO],DADOS!$AB$4,tabela_registros[CATEGORIA],investirrendavariávelconsolidadomar[[#This Row],[ATUAL]])</f>
        <v>0</v>
      </c>
      <c r="T134" s="91">
        <f>SUMIFS(tabela_registros[VALOR],tabela_registros[MÊS],$AE$1,tabela_registros[DIA],investirrendavariávelconsolidadomar[[#Headers],[16]],tabela_registros[REGISTRO],DADOS!$N$5,tabela_registros[TIPO],DADOS!$AB$4,tabela_registros[CATEGORIA],investirrendavariávelconsolidadomar[[#This Row],[ATUAL]])</f>
        <v>0</v>
      </c>
      <c r="U134" s="91">
        <f>SUMIFS(tabela_registros[VALOR],tabela_registros[MÊS],$AE$1,tabela_registros[DIA],investirrendavariávelconsolidadomar[[#Headers],[17]],tabela_registros[REGISTRO],DADOS!$N$5,tabela_registros[TIPO],DADOS!$AB$4,tabela_registros[CATEGORIA],investirrendavariávelconsolidadomar[[#This Row],[ATUAL]])</f>
        <v>0</v>
      </c>
      <c r="V134" s="91">
        <f>SUMIFS(tabela_registros[VALOR],tabela_registros[MÊS],$AE$1,tabela_registros[DIA],investirrendavariávelconsolidadomar[[#Headers],[18]],tabela_registros[REGISTRO],DADOS!$N$5,tabela_registros[TIPO],DADOS!$AB$4,tabela_registros[CATEGORIA],investirrendavariávelconsolidadomar[[#This Row],[ATUAL]])</f>
        <v>0</v>
      </c>
      <c r="W134" s="91">
        <f>SUMIFS(tabela_registros[VALOR],tabela_registros[MÊS],$AE$1,tabela_registros[DIA],investirrendavariávelconsolidadomar[[#Headers],[19]],tabela_registros[REGISTRO],DADOS!$N$5,tabela_registros[TIPO],DADOS!$AB$4,tabela_registros[CATEGORIA],investirrendavariávelconsolidadomar[[#This Row],[ATUAL]])</f>
        <v>0</v>
      </c>
      <c r="X134" s="91">
        <f>SUMIFS(tabela_registros[VALOR],tabela_registros[MÊS],$AE$1,tabela_registros[DIA],investirrendavariávelconsolidadomar[[#Headers],[20]],tabela_registros[REGISTRO],DADOS!$N$5,tabela_registros[TIPO],DADOS!$AB$4,tabela_registros[CATEGORIA],investirrendavariávelconsolidadomar[[#This Row],[ATUAL]])</f>
        <v>0</v>
      </c>
      <c r="Y134" s="91">
        <f>SUMIFS(tabela_registros[VALOR],tabela_registros[MÊS],$AE$1,tabela_registros[DIA],investirrendavariávelconsolidadomar[[#Headers],[21]],tabela_registros[REGISTRO],DADOS!$N$5,tabela_registros[TIPO],DADOS!$AB$4,tabela_registros[CATEGORIA],investirrendavariávelconsolidadomar[[#This Row],[ATUAL]])</f>
        <v>0</v>
      </c>
      <c r="Z134" s="91">
        <f>SUMIFS(tabela_registros[VALOR],tabela_registros[MÊS],$AE$1,tabela_registros[DIA],investirrendavariávelconsolidadomar[[#Headers],[22]],tabela_registros[REGISTRO],DADOS!$N$5,tabela_registros[TIPO],DADOS!$AB$4,tabela_registros[CATEGORIA],investirrendavariávelconsolidadomar[[#This Row],[ATUAL]])</f>
        <v>0</v>
      </c>
      <c r="AA134" s="91">
        <f>SUMIFS(tabela_registros[VALOR],tabela_registros[MÊS],$AE$1,tabela_registros[DIA],investirrendavariávelconsolidadomar[[#Headers],[23]],tabela_registros[REGISTRO],DADOS!$N$5,tabela_registros[TIPO],DADOS!$AB$4,tabela_registros[CATEGORIA],investirrendavariávelconsolidadomar[[#This Row],[ATUAL]])</f>
        <v>0</v>
      </c>
      <c r="AB134" s="91">
        <f>SUMIFS(tabela_registros[VALOR],tabela_registros[MÊS],$AE$1,tabela_registros[DIA],investirrendavariávelconsolidadomar[[#Headers],[24]],tabela_registros[REGISTRO],DADOS!$N$5,tabela_registros[TIPO],DADOS!$AB$4,tabela_registros[CATEGORIA],investirrendavariávelconsolidadomar[[#This Row],[ATUAL]])</f>
        <v>0</v>
      </c>
      <c r="AC134" s="91">
        <f>SUMIFS(tabela_registros[VALOR],tabela_registros[MÊS],$AE$1,tabela_registros[DIA],investirrendavariávelconsolidadomar[[#Headers],[25]],tabela_registros[REGISTRO],DADOS!$N$5,tabela_registros[TIPO],DADOS!$AB$4,tabela_registros[CATEGORIA],investirrendavariávelconsolidadomar[[#This Row],[ATUAL]])</f>
        <v>0</v>
      </c>
      <c r="AD134" s="91">
        <f>SUMIFS(tabela_registros[VALOR],tabela_registros[MÊS],$AE$1,tabela_registros[DIA],investirrendavariávelconsolidadomar[[#Headers],[26]],tabela_registros[REGISTRO],DADOS!$N$5,tabela_registros[TIPO],DADOS!$AB$4,tabela_registros[CATEGORIA],investirrendavariávelconsolidadomar[[#This Row],[ATUAL]])</f>
        <v>0</v>
      </c>
      <c r="AE134" s="91">
        <f>SUMIFS(tabela_registros[VALOR],tabela_registros[MÊS],$AE$1,tabela_registros[DIA],investirrendavariávelconsolidadomar[[#Headers],[27]],tabela_registros[REGISTRO],DADOS!$N$5,tabela_registros[TIPO],DADOS!$AB$4,tabela_registros[CATEGORIA],investirrendavariávelconsolidadomar[[#This Row],[ATUAL]])</f>
        <v>0</v>
      </c>
      <c r="AF134" s="91">
        <f>SUMIFS(tabela_registros[VALOR],tabela_registros[MÊS],$AE$1,tabela_registros[DIA],investirrendavariávelconsolidadomar[[#Headers],[28]],tabela_registros[REGISTRO],DADOS!$N$5,tabela_registros[TIPO],DADOS!$AB$4,tabela_registros[CATEGORIA],investirrendavariávelconsolidadomar[[#This Row],[ATUAL]])</f>
        <v>0</v>
      </c>
      <c r="AG134" s="91">
        <f>SUMIFS(tabela_registros[VALOR],tabela_registros[MÊS],$AE$1,tabela_registros[DIA],investirrendavariávelconsolidadomar[[#Headers],[29]],tabela_registros[REGISTRO],DADOS!$N$5,tabela_registros[TIPO],DADOS!$AB$4,tabela_registros[CATEGORIA],investirrendavariávelconsolidadomar[[#This Row],[ATUAL]])</f>
        <v>0</v>
      </c>
      <c r="AH134" s="91">
        <f>SUMIFS(tabela_registros[VALOR],tabela_registros[MÊS],$AE$1,tabela_registros[DIA],investirrendavariávelconsolidadomar[[#Headers],[30]],tabela_registros[REGISTRO],DADOS!$N$5,tabela_registros[TIPO],DADOS!$AB$4,tabela_registros[CATEGORIA],investirrendavariávelconsolidadomar[[#This Row],[ATUAL]])</f>
        <v>0</v>
      </c>
      <c r="AI134" s="101">
        <f>SUMIFS(tabela_registros[VALOR],tabela_registros[MÊS],$AE$1,tabela_registros[DIA],investirrendavariávelconsolidadomar[[#Headers],[31]],tabela_registros[REGISTRO],DADOS!$N$5,tabela_registros[TIPO],DADOS!$AB$4,tabela_registros[CATEGORIA],investirrendavariávelconsolidadomar[[#This Row],[ATUAL]])</f>
        <v>0</v>
      </c>
      <c r="AJ134" s="97">
        <f>SUM(investirrendavariávelconsolidadomar[[#This Row],[1]:[31]])</f>
        <v>0</v>
      </c>
      <c r="AK134" s="25"/>
    </row>
    <row r="135" spans="2:37" ht="19.5" customHeight="1" thickTop="1" thickBot="1" x14ac:dyDescent="0.3">
      <c r="B135" s="28"/>
      <c r="C135" s="27" t="str">
        <f>DADOS!$AF$6</f>
        <v>📝 CONTRATO DE OPÇÕES</v>
      </c>
      <c r="D135" s="26" t="str">
        <f>IF(investirrendavariávelconsolidadomar[[#This Row],[TOTAL (R$)]]=0,"",IF(OR(investirrendavariávelconsolidadomar[[#This Row],[TOTAL (R$)]]=LARGE($AJ$132:$AJ$141,1),investirrendavariávelconsolidadomar[[#This Row],[TOTAL (R$)]]=LARGE($AJ$132:$AJ$141,2)),DADOS!$I$10,""))</f>
        <v/>
      </c>
      <c r="E135" s="96">
        <f>SUMIFS(tabela_registros[VALOR],tabela_registros[MÊS],$AE$1,tabela_registros[DIA],investirrendavariávelconsolidadomar[[#Headers],[1]],tabela_registros[REGISTRO],DADOS!$N$5,tabela_registros[TIPO],DADOS!$AB$4,tabela_registros[CATEGORIA],investirrendavariávelconsolidadomar[[#This Row],[ATUAL]])</f>
        <v>0</v>
      </c>
      <c r="F135" s="91">
        <f>SUMIFS(tabela_registros[VALOR],tabela_registros[MÊS],$AE$1,tabela_registros[DIA],investirrendavariávelconsolidadomar[[#Headers],[2]],tabela_registros[REGISTRO],DADOS!$N$5,tabela_registros[TIPO],DADOS!$AB$4,tabela_registros[CATEGORIA],investirrendavariávelconsolidadomar[[#This Row],[ATUAL]])</f>
        <v>0</v>
      </c>
      <c r="G135" s="91">
        <f>SUMIFS(tabela_registros[VALOR],tabela_registros[MÊS],$AE$1,tabela_registros[DIA],investirrendavariávelconsolidadomar[[#Headers],[3]],tabela_registros[REGISTRO],DADOS!$N$5,tabela_registros[TIPO],DADOS!$AB$4,tabela_registros[CATEGORIA],investirrendavariávelconsolidadomar[[#This Row],[ATUAL]])</f>
        <v>0</v>
      </c>
      <c r="H135" s="91">
        <f>SUMIFS(tabela_registros[VALOR],tabela_registros[MÊS],$AE$1,tabela_registros[DIA],investirrendavariávelconsolidadomar[[#Headers],[4]],tabela_registros[REGISTRO],DADOS!$N$5,tabela_registros[TIPO],DADOS!$AB$4,tabela_registros[CATEGORIA],investirrendavariávelconsolidadomar[[#This Row],[ATUAL]])</f>
        <v>0</v>
      </c>
      <c r="I135" s="91">
        <f>SUMIFS(tabela_registros[VALOR],tabela_registros[MÊS],$AE$1,tabela_registros[DIA],investirrendavariávelconsolidadomar[[#Headers],[5]],tabela_registros[REGISTRO],DADOS!$N$5,tabela_registros[TIPO],DADOS!$AB$4,tabela_registros[CATEGORIA],investirrendavariávelconsolidadomar[[#This Row],[ATUAL]])</f>
        <v>0</v>
      </c>
      <c r="J135" s="91">
        <f>SUMIFS(tabela_registros[VALOR],tabela_registros[MÊS],$AE$1,tabela_registros[DIA],investirrendavariávelconsolidadomar[[#Headers],[6]],tabela_registros[REGISTRO],DADOS!$N$5,tabela_registros[TIPO],DADOS!$AB$4,tabela_registros[CATEGORIA],investirrendavariávelconsolidadomar[[#This Row],[ATUAL]])</f>
        <v>0</v>
      </c>
      <c r="K135" s="91">
        <f>SUMIFS(tabela_registros[VALOR],tabela_registros[MÊS],$AE$1,tabela_registros[DIA],investirrendavariávelconsolidadomar[[#Headers],[7]],tabela_registros[REGISTRO],DADOS!$N$5,tabela_registros[TIPO],DADOS!$AB$4,tabela_registros[CATEGORIA],investirrendavariávelconsolidadomar[[#This Row],[ATUAL]])</f>
        <v>0</v>
      </c>
      <c r="L135" s="91">
        <f>SUMIFS(tabela_registros[VALOR],tabela_registros[MÊS],$AE$1,tabela_registros[DIA],investirrendavariávelconsolidadomar[[#Headers],[8]],tabela_registros[REGISTRO],DADOS!$N$5,tabela_registros[TIPO],DADOS!$AB$4,tabela_registros[CATEGORIA],investirrendavariávelconsolidadomar[[#This Row],[ATUAL]])</f>
        <v>0</v>
      </c>
      <c r="M135" s="91">
        <f>SUMIFS(tabela_registros[VALOR],tabela_registros[MÊS],$AE$1,tabela_registros[DIA],investirrendavariávelconsolidadomar[[#Headers],[9]],tabela_registros[REGISTRO],DADOS!$N$5,tabela_registros[TIPO],DADOS!$AB$4,tabela_registros[CATEGORIA],investirrendavariávelconsolidadomar[[#This Row],[ATUAL]])</f>
        <v>0</v>
      </c>
      <c r="N135" s="91">
        <f>SUMIFS(tabela_registros[VALOR],tabela_registros[MÊS],$AE$1,tabela_registros[DIA],investirrendavariávelconsolidadomar[[#Headers],[10]],tabela_registros[REGISTRO],DADOS!$N$5,tabela_registros[TIPO],DADOS!$AB$4,tabela_registros[CATEGORIA],investirrendavariávelconsolidadomar[[#This Row],[ATUAL]])</f>
        <v>0</v>
      </c>
      <c r="O135" s="91">
        <f>SUMIFS(tabela_registros[VALOR],tabela_registros[MÊS],$AE$1,tabela_registros[DIA],investirrendavariávelconsolidadomar[[#Headers],[11]],tabela_registros[REGISTRO],DADOS!$N$5,tabela_registros[TIPO],DADOS!$AB$4,tabela_registros[CATEGORIA],investirrendavariávelconsolidadomar[[#This Row],[ATUAL]])</f>
        <v>0</v>
      </c>
      <c r="P135" s="91">
        <f>SUMIFS(tabela_registros[VALOR],tabela_registros[MÊS],$AE$1,tabela_registros[DIA],investirrendavariávelconsolidadomar[[#Headers],[12]],tabela_registros[REGISTRO],DADOS!$N$5,tabela_registros[TIPO],DADOS!$AB$4,tabela_registros[CATEGORIA],investirrendavariávelconsolidadomar[[#This Row],[ATUAL]])</f>
        <v>0</v>
      </c>
      <c r="Q135" s="91">
        <f>SUMIFS(tabela_registros[VALOR],tabela_registros[MÊS],$AE$1,tabela_registros[DIA],investirrendavariávelconsolidadomar[[#Headers],[13]],tabela_registros[REGISTRO],DADOS!$N$5,tabela_registros[TIPO],DADOS!$AB$4,tabela_registros[CATEGORIA],investirrendavariávelconsolidadomar[[#This Row],[ATUAL]])</f>
        <v>0</v>
      </c>
      <c r="R135" s="91">
        <f>SUMIFS(tabela_registros[VALOR],tabela_registros[MÊS],$AE$1,tabela_registros[DIA],investirrendavariávelconsolidadomar[[#Headers],[14]],tabela_registros[REGISTRO],DADOS!$N$5,tabela_registros[TIPO],DADOS!$AB$4,tabela_registros[CATEGORIA],investirrendavariávelconsolidadomar[[#This Row],[ATUAL]])</f>
        <v>0</v>
      </c>
      <c r="S135" s="91">
        <f>SUMIFS(tabela_registros[VALOR],tabela_registros[MÊS],$AE$1,tabela_registros[DIA],investirrendavariávelconsolidadomar[[#Headers],[15]],tabela_registros[REGISTRO],DADOS!$N$5,tabela_registros[TIPO],DADOS!$AB$4,tabela_registros[CATEGORIA],investirrendavariávelconsolidadomar[[#This Row],[ATUAL]])</f>
        <v>0</v>
      </c>
      <c r="T135" s="91">
        <f>SUMIFS(tabela_registros[VALOR],tabela_registros[MÊS],$AE$1,tabela_registros[DIA],investirrendavariávelconsolidadomar[[#Headers],[16]],tabela_registros[REGISTRO],DADOS!$N$5,tabela_registros[TIPO],DADOS!$AB$4,tabela_registros[CATEGORIA],investirrendavariávelconsolidadomar[[#This Row],[ATUAL]])</f>
        <v>0</v>
      </c>
      <c r="U135" s="91">
        <f>SUMIFS(tabela_registros[VALOR],tabela_registros[MÊS],$AE$1,tabela_registros[DIA],investirrendavariávelconsolidadomar[[#Headers],[17]],tabela_registros[REGISTRO],DADOS!$N$5,tabela_registros[TIPO],DADOS!$AB$4,tabela_registros[CATEGORIA],investirrendavariávelconsolidadomar[[#This Row],[ATUAL]])</f>
        <v>0</v>
      </c>
      <c r="V135" s="91">
        <f>SUMIFS(tabela_registros[VALOR],tabela_registros[MÊS],$AE$1,tabela_registros[DIA],investirrendavariávelconsolidadomar[[#Headers],[18]],tabela_registros[REGISTRO],DADOS!$N$5,tabela_registros[TIPO],DADOS!$AB$4,tabela_registros[CATEGORIA],investirrendavariávelconsolidadomar[[#This Row],[ATUAL]])</f>
        <v>0</v>
      </c>
      <c r="W135" s="91">
        <f>SUMIFS(tabela_registros[VALOR],tabela_registros[MÊS],$AE$1,tabela_registros[DIA],investirrendavariávelconsolidadomar[[#Headers],[19]],tabela_registros[REGISTRO],DADOS!$N$5,tabela_registros[TIPO],DADOS!$AB$4,tabela_registros[CATEGORIA],investirrendavariávelconsolidadomar[[#This Row],[ATUAL]])</f>
        <v>0</v>
      </c>
      <c r="X135" s="91">
        <f>SUMIFS(tabela_registros[VALOR],tabela_registros[MÊS],$AE$1,tabela_registros[DIA],investirrendavariávelconsolidadomar[[#Headers],[20]],tabela_registros[REGISTRO],DADOS!$N$5,tabela_registros[TIPO],DADOS!$AB$4,tabela_registros[CATEGORIA],investirrendavariávelconsolidadomar[[#This Row],[ATUAL]])</f>
        <v>0</v>
      </c>
      <c r="Y135" s="91">
        <f>SUMIFS(tabela_registros[VALOR],tabela_registros[MÊS],$AE$1,tabela_registros[DIA],investirrendavariávelconsolidadomar[[#Headers],[21]],tabela_registros[REGISTRO],DADOS!$N$5,tabela_registros[TIPO],DADOS!$AB$4,tabela_registros[CATEGORIA],investirrendavariávelconsolidadomar[[#This Row],[ATUAL]])</f>
        <v>0</v>
      </c>
      <c r="Z135" s="91">
        <f>SUMIFS(tabela_registros[VALOR],tabela_registros[MÊS],$AE$1,tabela_registros[DIA],investirrendavariávelconsolidadomar[[#Headers],[22]],tabela_registros[REGISTRO],DADOS!$N$5,tabela_registros[TIPO],DADOS!$AB$4,tabela_registros[CATEGORIA],investirrendavariávelconsolidadomar[[#This Row],[ATUAL]])</f>
        <v>0</v>
      </c>
      <c r="AA135" s="91">
        <f>SUMIFS(tabela_registros[VALOR],tabela_registros[MÊS],$AE$1,tabela_registros[DIA],investirrendavariávelconsolidadomar[[#Headers],[23]],tabela_registros[REGISTRO],DADOS!$N$5,tabela_registros[TIPO],DADOS!$AB$4,tabela_registros[CATEGORIA],investirrendavariávelconsolidadomar[[#This Row],[ATUAL]])</f>
        <v>0</v>
      </c>
      <c r="AB135" s="91">
        <f>SUMIFS(tabela_registros[VALOR],tabela_registros[MÊS],$AE$1,tabela_registros[DIA],investirrendavariávelconsolidadomar[[#Headers],[24]],tabela_registros[REGISTRO],DADOS!$N$5,tabela_registros[TIPO],DADOS!$AB$4,tabela_registros[CATEGORIA],investirrendavariávelconsolidadomar[[#This Row],[ATUAL]])</f>
        <v>0</v>
      </c>
      <c r="AC135" s="91">
        <f>SUMIFS(tabela_registros[VALOR],tabela_registros[MÊS],$AE$1,tabela_registros[DIA],investirrendavariávelconsolidadomar[[#Headers],[25]],tabela_registros[REGISTRO],DADOS!$N$5,tabela_registros[TIPO],DADOS!$AB$4,tabela_registros[CATEGORIA],investirrendavariávelconsolidadomar[[#This Row],[ATUAL]])</f>
        <v>0</v>
      </c>
      <c r="AD135" s="91">
        <f>SUMIFS(tabela_registros[VALOR],tabela_registros[MÊS],$AE$1,tabela_registros[DIA],investirrendavariávelconsolidadomar[[#Headers],[26]],tabela_registros[REGISTRO],DADOS!$N$5,tabela_registros[TIPO],DADOS!$AB$4,tabela_registros[CATEGORIA],investirrendavariávelconsolidadomar[[#This Row],[ATUAL]])</f>
        <v>0</v>
      </c>
      <c r="AE135" s="91">
        <f>SUMIFS(tabela_registros[VALOR],tabela_registros[MÊS],$AE$1,tabela_registros[DIA],investirrendavariávelconsolidadomar[[#Headers],[27]],tabela_registros[REGISTRO],DADOS!$N$5,tabela_registros[TIPO],DADOS!$AB$4,tabela_registros[CATEGORIA],investirrendavariávelconsolidadomar[[#This Row],[ATUAL]])</f>
        <v>0</v>
      </c>
      <c r="AF135" s="91">
        <f>SUMIFS(tabela_registros[VALOR],tabela_registros[MÊS],$AE$1,tabela_registros[DIA],investirrendavariávelconsolidadomar[[#Headers],[28]],tabela_registros[REGISTRO],DADOS!$N$5,tabela_registros[TIPO],DADOS!$AB$4,tabela_registros[CATEGORIA],investirrendavariávelconsolidadomar[[#This Row],[ATUAL]])</f>
        <v>0</v>
      </c>
      <c r="AG135" s="91">
        <f>SUMIFS(tabela_registros[VALOR],tabela_registros[MÊS],$AE$1,tabela_registros[DIA],investirrendavariávelconsolidadomar[[#Headers],[29]],tabela_registros[REGISTRO],DADOS!$N$5,tabela_registros[TIPO],DADOS!$AB$4,tabela_registros[CATEGORIA],investirrendavariávelconsolidadomar[[#This Row],[ATUAL]])</f>
        <v>0</v>
      </c>
      <c r="AH135" s="91">
        <f>SUMIFS(tabela_registros[VALOR],tabela_registros[MÊS],$AE$1,tabela_registros[DIA],investirrendavariávelconsolidadomar[[#Headers],[30]],tabela_registros[REGISTRO],DADOS!$N$5,tabela_registros[TIPO],DADOS!$AB$4,tabela_registros[CATEGORIA],investirrendavariávelconsolidadomar[[#This Row],[ATUAL]])</f>
        <v>0</v>
      </c>
      <c r="AI135" s="101">
        <f>SUMIFS(tabela_registros[VALOR],tabela_registros[MÊS],$AE$1,tabela_registros[DIA],investirrendavariávelconsolidadomar[[#Headers],[31]],tabela_registros[REGISTRO],DADOS!$N$5,tabela_registros[TIPO],DADOS!$AB$4,tabela_registros[CATEGORIA],investirrendavariávelconsolidadomar[[#This Row],[ATUAL]])</f>
        <v>0</v>
      </c>
      <c r="AJ135" s="97">
        <f>SUM(investirrendavariávelconsolidadomar[[#This Row],[1]:[31]])</f>
        <v>0</v>
      </c>
      <c r="AK135" s="25"/>
    </row>
    <row r="136" spans="2:37" ht="19.5" customHeight="1" thickTop="1" thickBot="1" x14ac:dyDescent="0.3">
      <c r="B136" s="28"/>
      <c r="C136" s="27" t="str">
        <f>DADOS!$AF$7</f>
        <v>📝 CRIPTOMOEDA</v>
      </c>
      <c r="D136" s="26" t="str">
        <f>IF(investirrendavariávelconsolidadomar[[#This Row],[TOTAL (R$)]]=0,"",IF(OR(investirrendavariávelconsolidadomar[[#This Row],[TOTAL (R$)]]=LARGE($AJ$132:$AJ$141,1),investirrendavariávelconsolidadomar[[#This Row],[TOTAL (R$)]]=LARGE($AJ$132:$AJ$141,2)),DADOS!$I$10,""))</f>
        <v/>
      </c>
      <c r="E136" s="96">
        <f>SUMIFS(tabela_registros[VALOR],tabela_registros[MÊS],$AE$1,tabela_registros[DIA],investirrendavariávelconsolidadomar[[#Headers],[1]],tabela_registros[REGISTRO],DADOS!$N$5,tabela_registros[TIPO],DADOS!$AB$4,tabela_registros[CATEGORIA],investirrendavariávelconsolidadomar[[#This Row],[ATUAL]])</f>
        <v>0</v>
      </c>
      <c r="F136" s="91">
        <f>SUMIFS(tabela_registros[VALOR],tabela_registros[MÊS],$AE$1,tabela_registros[DIA],investirrendavariávelconsolidadomar[[#Headers],[2]],tabela_registros[REGISTRO],DADOS!$N$5,tabela_registros[TIPO],DADOS!$AB$4,tabela_registros[CATEGORIA],investirrendavariávelconsolidadomar[[#This Row],[ATUAL]])</f>
        <v>0</v>
      </c>
      <c r="G136" s="91">
        <f>SUMIFS(tabela_registros[VALOR],tabela_registros[MÊS],$AE$1,tabela_registros[DIA],investirrendavariávelconsolidadomar[[#Headers],[3]],tabela_registros[REGISTRO],DADOS!$N$5,tabela_registros[TIPO],DADOS!$AB$4,tabela_registros[CATEGORIA],investirrendavariávelconsolidadomar[[#This Row],[ATUAL]])</f>
        <v>0</v>
      </c>
      <c r="H136" s="91">
        <f>SUMIFS(tabela_registros[VALOR],tabela_registros[MÊS],$AE$1,tabela_registros[DIA],investirrendavariávelconsolidadomar[[#Headers],[4]],tabela_registros[REGISTRO],DADOS!$N$5,tabela_registros[TIPO],DADOS!$AB$4,tabela_registros[CATEGORIA],investirrendavariávelconsolidadomar[[#This Row],[ATUAL]])</f>
        <v>0</v>
      </c>
      <c r="I136" s="91">
        <f>SUMIFS(tabela_registros[VALOR],tabela_registros[MÊS],$AE$1,tabela_registros[DIA],investirrendavariávelconsolidadomar[[#Headers],[5]],tabela_registros[REGISTRO],DADOS!$N$5,tabela_registros[TIPO],DADOS!$AB$4,tabela_registros[CATEGORIA],investirrendavariávelconsolidadomar[[#This Row],[ATUAL]])</f>
        <v>0</v>
      </c>
      <c r="J136" s="91">
        <f>SUMIFS(tabela_registros[VALOR],tabela_registros[MÊS],$AE$1,tabela_registros[DIA],investirrendavariávelconsolidadomar[[#Headers],[6]],tabela_registros[REGISTRO],DADOS!$N$5,tabela_registros[TIPO],DADOS!$AB$4,tabela_registros[CATEGORIA],investirrendavariávelconsolidadomar[[#This Row],[ATUAL]])</f>
        <v>0</v>
      </c>
      <c r="K136" s="91">
        <f>SUMIFS(tabela_registros[VALOR],tabela_registros[MÊS],$AE$1,tabela_registros[DIA],investirrendavariávelconsolidadomar[[#Headers],[7]],tabela_registros[REGISTRO],DADOS!$N$5,tabela_registros[TIPO],DADOS!$AB$4,tabela_registros[CATEGORIA],investirrendavariávelconsolidadomar[[#This Row],[ATUAL]])</f>
        <v>0</v>
      </c>
      <c r="L136" s="91">
        <f>SUMIFS(tabela_registros[VALOR],tabela_registros[MÊS],$AE$1,tabela_registros[DIA],investirrendavariávelconsolidadomar[[#Headers],[8]],tabela_registros[REGISTRO],DADOS!$N$5,tabela_registros[TIPO],DADOS!$AB$4,tabela_registros[CATEGORIA],investirrendavariávelconsolidadomar[[#This Row],[ATUAL]])</f>
        <v>0</v>
      </c>
      <c r="M136" s="91">
        <f>SUMIFS(tabela_registros[VALOR],tabela_registros[MÊS],$AE$1,tabela_registros[DIA],investirrendavariávelconsolidadomar[[#Headers],[9]],tabela_registros[REGISTRO],DADOS!$N$5,tabela_registros[TIPO],DADOS!$AB$4,tabela_registros[CATEGORIA],investirrendavariávelconsolidadomar[[#This Row],[ATUAL]])</f>
        <v>0</v>
      </c>
      <c r="N136" s="91">
        <f>SUMIFS(tabela_registros[VALOR],tabela_registros[MÊS],$AE$1,tabela_registros[DIA],investirrendavariávelconsolidadomar[[#Headers],[10]],tabela_registros[REGISTRO],DADOS!$N$5,tabela_registros[TIPO],DADOS!$AB$4,tabela_registros[CATEGORIA],investirrendavariávelconsolidadomar[[#This Row],[ATUAL]])</f>
        <v>0</v>
      </c>
      <c r="O136" s="91">
        <f>SUMIFS(tabela_registros[VALOR],tabela_registros[MÊS],$AE$1,tabela_registros[DIA],investirrendavariávelconsolidadomar[[#Headers],[11]],tabela_registros[REGISTRO],DADOS!$N$5,tabela_registros[TIPO],DADOS!$AB$4,tabela_registros[CATEGORIA],investirrendavariávelconsolidadomar[[#This Row],[ATUAL]])</f>
        <v>0</v>
      </c>
      <c r="P136" s="91">
        <f>SUMIFS(tabela_registros[VALOR],tabela_registros[MÊS],$AE$1,tabela_registros[DIA],investirrendavariávelconsolidadomar[[#Headers],[12]],tabela_registros[REGISTRO],DADOS!$N$5,tabela_registros[TIPO],DADOS!$AB$4,tabela_registros[CATEGORIA],investirrendavariávelconsolidadomar[[#This Row],[ATUAL]])</f>
        <v>0</v>
      </c>
      <c r="Q136" s="91">
        <f>SUMIFS(tabela_registros[VALOR],tabela_registros[MÊS],$AE$1,tabela_registros[DIA],investirrendavariávelconsolidadomar[[#Headers],[13]],tabela_registros[REGISTRO],DADOS!$N$5,tabela_registros[TIPO],DADOS!$AB$4,tabela_registros[CATEGORIA],investirrendavariávelconsolidadomar[[#This Row],[ATUAL]])</f>
        <v>0</v>
      </c>
      <c r="R136" s="91">
        <f>SUMIFS(tabela_registros[VALOR],tabela_registros[MÊS],$AE$1,tabela_registros[DIA],investirrendavariávelconsolidadomar[[#Headers],[14]],tabela_registros[REGISTRO],DADOS!$N$5,tabela_registros[TIPO],DADOS!$AB$4,tabela_registros[CATEGORIA],investirrendavariávelconsolidadomar[[#This Row],[ATUAL]])</f>
        <v>0</v>
      </c>
      <c r="S136" s="91">
        <f>SUMIFS(tabela_registros[VALOR],tabela_registros[MÊS],$AE$1,tabela_registros[DIA],investirrendavariávelconsolidadomar[[#Headers],[15]],tabela_registros[REGISTRO],DADOS!$N$5,tabela_registros[TIPO],DADOS!$AB$4,tabela_registros[CATEGORIA],investirrendavariávelconsolidadomar[[#This Row],[ATUAL]])</f>
        <v>0</v>
      </c>
      <c r="T136" s="91">
        <f>SUMIFS(tabela_registros[VALOR],tabela_registros[MÊS],$AE$1,tabela_registros[DIA],investirrendavariávelconsolidadomar[[#Headers],[16]],tabela_registros[REGISTRO],DADOS!$N$5,tabela_registros[TIPO],DADOS!$AB$4,tabela_registros[CATEGORIA],investirrendavariávelconsolidadomar[[#This Row],[ATUAL]])</f>
        <v>0</v>
      </c>
      <c r="U136" s="91">
        <f>SUMIFS(tabela_registros[VALOR],tabela_registros[MÊS],$AE$1,tabela_registros[DIA],investirrendavariávelconsolidadomar[[#Headers],[17]],tabela_registros[REGISTRO],DADOS!$N$5,tabela_registros[TIPO],DADOS!$AB$4,tabela_registros[CATEGORIA],investirrendavariávelconsolidadomar[[#This Row],[ATUAL]])</f>
        <v>0</v>
      </c>
      <c r="V136" s="91">
        <f>SUMIFS(tabela_registros[VALOR],tabela_registros[MÊS],$AE$1,tabela_registros[DIA],investirrendavariávelconsolidadomar[[#Headers],[18]],tabela_registros[REGISTRO],DADOS!$N$5,tabela_registros[TIPO],DADOS!$AB$4,tabela_registros[CATEGORIA],investirrendavariávelconsolidadomar[[#This Row],[ATUAL]])</f>
        <v>0</v>
      </c>
      <c r="W136" s="91">
        <f>SUMIFS(tabela_registros[VALOR],tabela_registros[MÊS],$AE$1,tabela_registros[DIA],investirrendavariávelconsolidadomar[[#Headers],[19]],tabela_registros[REGISTRO],DADOS!$N$5,tabela_registros[TIPO],DADOS!$AB$4,tabela_registros[CATEGORIA],investirrendavariávelconsolidadomar[[#This Row],[ATUAL]])</f>
        <v>0</v>
      </c>
      <c r="X136" s="91">
        <f>SUMIFS(tabela_registros[VALOR],tabela_registros[MÊS],$AE$1,tabela_registros[DIA],investirrendavariávelconsolidadomar[[#Headers],[20]],tabela_registros[REGISTRO],DADOS!$N$5,tabela_registros[TIPO],DADOS!$AB$4,tabela_registros[CATEGORIA],investirrendavariávelconsolidadomar[[#This Row],[ATUAL]])</f>
        <v>0</v>
      </c>
      <c r="Y136" s="91">
        <f>SUMIFS(tabela_registros[VALOR],tabela_registros[MÊS],$AE$1,tabela_registros[DIA],investirrendavariávelconsolidadomar[[#Headers],[21]],tabela_registros[REGISTRO],DADOS!$N$5,tabela_registros[TIPO],DADOS!$AB$4,tabela_registros[CATEGORIA],investirrendavariávelconsolidadomar[[#This Row],[ATUAL]])</f>
        <v>0</v>
      </c>
      <c r="Z136" s="91">
        <f>SUMIFS(tabela_registros[VALOR],tabela_registros[MÊS],$AE$1,tabela_registros[DIA],investirrendavariávelconsolidadomar[[#Headers],[22]],tabela_registros[REGISTRO],DADOS!$N$5,tabela_registros[TIPO],DADOS!$AB$4,tabela_registros[CATEGORIA],investirrendavariávelconsolidadomar[[#This Row],[ATUAL]])</f>
        <v>0</v>
      </c>
      <c r="AA136" s="91">
        <f>SUMIFS(tabela_registros[VALOR],tabela_registros[MÊS],$AE$1,tabela_registros[DIA],investirrendavariávelconsolidadomar[[#Headers],[23]],tabela_registros[REGISTRO],DADOS!$N$5,tabela_registros[TIPO],DADOS!$AB$4,tabela_registros[CATEGORIA],investirrendavariávelconsolidadomar[[#This Row],[ATUAL]])</f>
        <v>0</v>
      </c>
      <c r="AB136" s="91">
        <f>SUMIFS(tabela_registros[VALOR],tabela_registros[MÊS],$AE$1,tabela_registros[DIA],investirrendavariávelconsolidadomar[[#Headers],[24]],tabela_registros[REGISTRO],DADOS!$N$5,tabela_registros[TIPO],DADOS!$AB$4,tabela_registros[CATEGORIA],investirrendavariávelconsolidadomar[[#This Row],[ATUAL]])</f>
        <v>0</v>
      </c>
      <c r="AC136" s="91">
        <f>SUMIFS(tabela_registros[VALOR],tabela_registros[MÊS],$AE$1,tabela_registros[DIA],investirrendavariávelconsolidadomar[[#Headers],[25]],tabela_registros[REGISTRO],DADOS!$N$5,tabela_registros[TIPO],DADOS!$AB$4,tabela_registros[CATEGORIA],investirrendavariávelconsolidadomar[[#This Row],[ATUAL]])</f>
        <v>0</v>
      </c>
      <c r="AD136" s="91">
        <f>SUMIFS(tabela_registros[VALOR],tabela_registros[MÊS],$AE$1,tabela_registros[DIA],investirrendavariávelconsolidadomar[[#Headers],[26]],tabela_registros[REGISTRO],DADOS!$N$5,tabela_registros[TIPO],DADOS!$AB$4,tabela_registros[CATEGORIA],investirrendavariávelconsolidadomar[[#This Row],[ATUAL]])</f>
        <v>0</v>
      </c>
      <c r="AE136" s="91">
        <f>SUMIFS(tabela_registros[VALOR],tabela_registros[MÊS],$AE$1,tabela_registros[DIA],investirrendavariávelconsolidadomar[[#Headers],[27]],tabela_registros[REGISTRO],DADOS!$N$5,tabela_registros[TIPO],DADOS!$AB$4,tabela_registros[CATEGORIA],investirrendavariávelconsolidadomar[[#This Row],[ATUAL]])</f>
        <v>0</v>
      </c>
      <c r="AF136" s="91">
        <f>SUMIFS(tabela_registros[VALOR],tabela_registros[MÊS],$AE$1,tabela_registros[DIA],investirrendavariávelconsolidadomar[[#Headers],[28]],tabela_registros[REGISTRO],DADOS!$N$5,tabela_registros[TIPO],DADOS!$AB$4,tabela_registros[CATEGORIA],investirrendavariávelconsolidadomar[[#This Row],[ATUAL]])</f>
        <v>0</v>
      </c>
      <c r="AG136" s="91">
        <f>SUMIFS(tabela_registros[VALOR],tabela_registros[MÊS],$AE$1,tabela_registros[DIA],investirrendavariávelconsolidadomar[[#Headers],[29]],tabela_registros[REGISTRO],DADOS!$N$5,tabela_registros[TIPO],DADOS!$AB$4,tabela_registros[CATEGORIA],investirrendavariávelconsolidadomar[[#This Row],[ATUAL]])</f>
        <v>0</v>
      </c>
      <c r="AH136" s="91">
        <f>SUMIFS(tabela_registros[VALOR],tabela_registros[MÊS],$AE$1,tabela_registros[DIA],investirrendavariávelconsolidadomar[[#Headers],[30]],tabela_registros[REGISTRO],DADOS!$N$5,tabela_registros[TIPO],DADOS!$AB$4,tabela_registros[CATEGORIA],investirrendavariávelconsolidadomar[[#This Row],[ATUAL]])</f>
        <v>0</v>
      </c>
      <c r="AI136" s="101">
        <f>SUMIFS(tabela_registros[VALOR],tabela_registros[MÊS],$AE$1,tabela_registros[DIA],investirrendavariávelconsolidadomar[[#Headers],[31]],tabela_registros[REGISTRO],DADOS!$N$5,tabela_registros[TIPO],DADOS!$AB$4,tabela_registros[CATEGORIA],investirrendavariávelconsolidadomar[[#This Row],[ATUAL]])</f>
        <v>0</v>
      </c>
      <c r="AJ136" s="104">
        <f>SUM(investirrendavariávelconsolidadomar[[#This Row],[1]:[31]])</f>
        <v>0</v>
      </c>
      <c r="AK136" s="25"/>
    </row>
    <row r="137" spans="2:37" ht="19.5" customHeight="1" thickTop="1" thickBot="1" x14ac:dyDescent="0.3">
      <c r="B137" s="28"/>
      <c r="C137" s="27" t="str">
        <f>DADOS!$AF$8</f>
        <v>📝 ETF</v>
      </c>
      <c r="D137" s="26" t="str">
        <f>IF(investirrendavariávelconsolidadomar[[#This Row],[TOTAL (R$)]]=0,"",IF(OR(investirrendavariávelconsolidadomar[[#This Row],[TOTAL (R$)]]=LARGE($AJ$132:$AJ$141,1),investirrendavariávelconsolidadomar[[#This Row],[TOTAL (R$)]]=LARGE($AJ$132:$AJ$141,2)),DADOS!$I$10,""))</f>
        <v/>
      </c>
      <c r="E137" s="96">
        <f>SUMIFS(tabela_registros[VALOR],tabela_registros[MÊS],$AE$1,tabela_registros[DIA],investirrendavariávelconsolidadomar[[#Headers],[1]],tabela_registros[REGISTRO],DADOS!$N$5,tabela_registros[TIPO],DADOS!$AB$4,tabela_registros[CATEGORIA],investirrendavariávelconsolidadomar[[#This Row],[ATUAL]])</f>
        <v>0</v>
      </c>
      <c r="F137" s="91">
        <f>SUMIFS(tabela_registros[VALOR],tabela_registros[MÊS],$AE$1,tabela_registros[DIA],investirrendavariávelconsolidadomar[[#Headers],[2]],tabela_registros[REGISTRO],DADOS!$N$5,tabela_registros[TIPO],DADOS!$AB$4,tabela_registros[CATEGORIA],investirrendavariávelconsolidadomar[[#This Row],[ATUAL]])</f>
        <v>0</v>
      </c>
      <c r="G137" s="91">
        <f>SUMIFS(tabela_registros[VALOR],tabela_registros[MÊS],$AE$1,tabela_registros[DIA],investirrendavariávelconsolidadomar[[#Headers],[3]],tabela_registros[REGISTRO],DADOS!$N$5,tabela_registros[TIPO],DADOS!$AB$4,tabela_registros[CATEGORIA],investirrendavariávelconsolidadomar[[#This Row],[ATUAL]])</f>
        <v>0</v>
      </c>
      <c r="H137" s="91">
        <f>SUMIFS(tabela_registros[VALOR],tabela_registros[MÊS],$AE$1,tabela_registros[DIA],investirrendavariávelconsolidadomar[[#Headers],[4]],tabela_registros[REGISTRO],DADOS!$N$5,tabela_registros[TIPO],DADOS!$AB$4,tabela_registros[CATEGORIA],investirrendavariávelconsolidadomar[[#This Row],[ATUAL]])</f>
        <v>0</v>
      </c>
      <c r="I137" s="91">
        <f>SUMIFS(tabela_registros[VALOR],tabela_registros[MÊS],$AE$1,tabela_registros[DIA],investirrendavariávelconsolidadomar[[#Headers],[5]],tabela_registros[REGISTRO],DADOS!$N$5,tabela_registros[TIPO],DADOS!$AB$4,tabela_registros[CATEGORIA],investirrendavariávelconsolidadomar[[#This Row],[ATUAL]])</f>
        <v>0</v>
      </c>
      <c r="J137" s="91">
        <f>SUMIFS(tabela_registros[VALOR],tabela_registros[MÊS],$AE$1,tabela_registros[DIA],investirrendavariávelconsolidadomar[[#Headers],[6]],tabela_registros[REGISTRO],DADOS!$N$5,tabela_registros[TIPO],DADOS!$AB$4,tabela_registros[CATEGORIA],investirrendavariávelconsolidadomar[[#This Row],[ATUAL]])</f>
        <v>0</v>
      </c>
      <c r="K137" s="91">
        <f>SUMIFS(tabela_registros[VALOR],tabela_registros[MÊS],$AE$1,tabela_registros[DIA],investirrendavariávelconsolidadomar[[#Headers],[7]],tabela_registros[REGISTRO],DADOS!$N$5,tabela_registros[TIPO],DADOS!$AB$4,tabela_registros[CATEGORIA],investirrendavariávelconsolidadomar[[#This Row],[ATUAL]])</f>
        <v>0</v>
      </c>
      <c r="L137" s="91">
        <f>SUMIFS(tabela_registros[VALOR],tabela_registros[MÊS],$AE$1,tabela_registros[DIA],investirrendavariávelconsolidadomar[[#Headers],[8]],tabela_registros[REGISTRO],DADOS!$N$5,tabela_registros[TIPO],DADOS!$AB$4,tabela_registros[CATEGORIA],investirrendavariávelconsolidadomar[[#This Row],[ATUAL]])</f>
        <v>0</v>
      </c>
      <c r="M137" s="91">
        <f>SUMIFS(tabela_registros[VALOR],tabela_registros[MÊS],$AE$1,tabela_registros[DIA],investirrendavariávelconsolidadomar[[#Headers],[9]],tabela_registros[REGISTRO],DADOS!$N$5,tabela_registros[TIPO],DADOS!$AB$4,tabela_registros[CATEGORIA],investirrendavariávelconsolidadomar[[#This Row],[ATUAL]])</f>
        <v>0</v>
      </c>
      <c r="N137" s="91">
        <f>SUMIFS(tabela_registros[VALOR],tabela_registros[MÊS],$AE$1,tabela_registros[DIA],investirrendavariávelconsolidadomar[[#Headers],[10]],tabela_registros[REGISTRO],DADOS!$N$5,tabela_registros[TIPO],DADOS!$AB$4,tabela_registros[CATEGORIA],investirrendavariávelconsolidadomar[[#This Row],[ATUAL]])</f>
        <v>0</v>
      </c>
      <c r="O137" s="91">
        <f>SUMIFS(tabela_registros[VALOR],tabela_registros[MÊS],$AE$1,tabela_registros[DIA],investirrendavariávelconsolidadomar[[#Headers],[11]],tabela_registros[REGISTRO],DADOS!$N$5,tabela_registros[TIPO],DADOS!$AB$4,tabela_registros[CATEGORIA],investirrendavariávelconsolidadomar[[#This Row],[ATUAL]])</f>
        <v>0</v>
      </c>
      <c r="P137" s="91">
        <f>SUMIFS(tabela_registros[VALOR],tabela_registros[MÊS],$AE$1,tabela_registros[DIA],investirrendavariávelconsolidadomar[[#Headers],[12]],tabela_registros[REGISTRO],DADOS!$N$5,tabela_registros[TIPO],DADOS!$AB$4,tabela_registros[CATEGORIA],investirrendavariávelconsolidadomar[[#This Row],[ATUAL]])</f>
        <v>0</v>
      </c>
      <c r="Q137" s="91">
        <f>SUMIFS(tabela_registros[VALOR],tabela_registros[MÊS],$AE$1,tabela_registros[DIA],investirrendavariávelconsolidadomar[[#Headers],[13]],tabela_registros[REGISTRO],DADOS!$N$5,tabela_registros[TIPO],DADOS!$AB$4,tabela_registros[CATEGORIA],investirrendavariávelconsolidadomar[[#This Row],[ATUAL]])</f>
        <v>0</v>
      </c>
      <c r="R137" s="91">
        <f>SUMIFS(tabela_registros[VALOR],tabela_registros[MÊS],$AE$1,tabela_registros[DIA],investirrendavariávelconsolidadomar[[#Headers],[14]],tabela_registros[REGISTRO],DADOS!$N$5,tabela_registros[TIPO],DADOS!$AB$4,tabela_registros[CATEGORIA],investirrendavariávelconsolidadomar[[#This Row],[ATUAL]])</f>
        <v>0</v>
      </c>
      <c r="S137" s="91">
        <f>SUMIFS(tabela_registros[VALOR],tabela_registros[MÊS],$AE$1,tabela_registros[DIA],investirrendavariávelconsolidadomar[[#Headers],[15]],tabela_registros[REGISTRO],DADOS!$N$5,tabela_registros[TIPO],DADOS!$AB$4,tabela_registros[CATEGORIA],investirrendavariávelconsolidadomar[[#This Row],[ATUAL]])</f>
        <v>0</v>
      </c>
      <c r="T137" s="91">
        <f>SUMIFS(tabela_registros[VALOR],tabela_registros[MÊS],$AE$1,tabela_registros[DIA],investirrendavariávelconsolidadomar[[#Headers],[16]],tabela_registros[REGISTRO],DADOS!$N$5,tabela_registros[TIPO],DADOS!$AB$4,tabela_registros[CATEGORIA],investirrendavariávelconsolidadomar[[#This Row],[ATUAL]])</f>
        <v>0</v>
      </c>
      <c r="U137" s="91">
        <f>SUMIFS(tabela_registros[VALOR],tabela_registros[MÊS],$AE$1,tabela_registros[DIA],investirrendavariávelconsolidadomar[[#Headers],[17]],tabela_registros[REGISTRO],DADOS!$N$5,tabela_registros[TIPO],DADOS!$AB$4,tabela_registros[CATEGORIA],investirrendavariávelconsolidadomar[[#This Row],[ATUAL]])</f>
        <v>0</v>
      </c>
      <c r="V137" s="91">
        <f>SUMIFS(tabela_registros[VALOR],tabela_registros[MÊS],$AE$1,tabela_registros[DIA],investirrendavariávelconsolidadomar[[#Headers],[18]],tabela_registros[REGISTRO],DADOS!$N$5,tabela_registros[TIPO],DADOS!$AB$4,tabela_registros[CATEGORIA],investirrendavariávelconsolidadomar[[#This Row],[ATUAL]])</f>
        <v>0</v>
      </c>
      <c r="W137" s="91">
        <f>SUMIFS(tabela_registros[VALOR],tabela_registros[MÊS],$AE$1,tabela_registros[DIA],investirrendavariávelconsolidadomar[[#Headers],[19]],tabela_registros[REGISTRO],DADOS!$N$5,tabela_registros[TIPO],DADOS!$AB$4,tabela_registros[CATEGORIA],investirrendavariávelconsolidadomar[[#This Row],[ATUAL]])</f>
        <v>0</v>
      </c>
      <c r="X137" s="91">
        <f>SUMIFS(tabela_registros[VALOR],tabela_registros[MÊS],$AE$1,tabela_registros[DIA],investirrendavariávelconsolidadomar[[#Headers],[20]],tabela_registros[REGISTRO],DADOS!$N$5,tabela_registros[TIPO],DADOS!$AB$4,tabela_registros[CATEGORIA],investirrendavariávelconsolidadomar[[#This Row],[ATUAL]])</f>
        <v>0</v>
      </c>
      <c r="Y137" s="91">
        <f>SUMIFS(tabela_registros[VALOR],tabela_registros[MÊS],$AE$1,tabela_registros[DIA],investirrendavariávelconsolidadomar[[#Headers],[21]],tabela_registros[REGISTRO],DADOS!$N$5,tabela_registros[TIPO],DADOS!$AB$4,tabela_registros[CATEGORIA],investirrendavariávelconsolidadomar[[#This Row],[ATUAL]])</f>
        <v>0</v>
      </c>
      <c r="Z137" s="91">
        <f>SUMIFS(tabela_registros[VALOR],tabela_registros[MÊS],$AE$1,tabela_registros[DIA],investirrendavariávelconsolidadomar[[#Headers],[22]],tabela_registros[REGISTRO],DADOS!$N$5,tabela_registros[TIPO],DADOS!$AB$4,tabela_registros[CATEGORIA],investirrendavariávelconsolidadomar[[#This Row],[ATUAL]])</f>
        <v>0</v>
      </c>
      <c r="AA137" s="91">
        <f>SUMIFS(tabela_registros[VALOR],tabela_registros[MÊS],$AE$1,tabela_registros[DIA],investirrendavariávelconsolidadomar[[#Headers],[23]],tabela_registros[REGISTRO],DADOS!$N$5,tabela_registros[TIPO],DADOS!$AB$4,tabela_registros[CATEGORIA],investirrendavariávelconsolidadomar[[#This Row],[ATUAL]])</f>
        <v>0</v>
      </c>
      <c r="AB137" s="91">
        <f>SUMIFS(tabela_registros[VALOR],tabela_registros[MÊS],$AE$1,tabela_registros[DIA],investirrendavariávelconsolidadomar[[#Headers],[24]],tabela_registros[REGISTRO],DADOS!$N$5,tabela_registros[TIPO],DADOS!$AB$4,tabela_registros[CATEGORIA],investirrendavariávelconsolidadomar[[#This Row],[ATUAL]])</f>
        <v>0</v>
      </c>
      <c r="AC137" s="91">
        <f>SUMIFS(tabela_registros[VALOR],tabela_registros[MÊS],$AE$1,tabela_registros[DIA],investirrendavariávelconsolidadomar[[#Headers],[25]],tabela_registros[REGISTRO],DADOS!$N$5,tabela_registros[TIPO],DADOS!$AB$4,tabela_registros[CATEGORIA],investirrendavariávelconsolidadomar[[#This Row],[ATUAL]])</f>
        <v>0</v>
      </c>
      <c r="AD137" s="91">
        <f>SUMIFS(tabela_registros[VALOR],tabela_registros[MÊS],$AE$1,tabela_registros[DIA],investirrendavariávelconsolidadomar[[#Headers],[26]],tabela_registros[REGISTRO],DADOS!$N$5,tabela_registros[TIPO],DADOS!$AB$4,tabela_registros[CATEGORIA],investirrendavariávelconsolidadomar[[#This Row],[ATUAL]])</f>
        <v>0</v>
      </c>
      <c r="AE137" s="91">
        <f>SUMIFS(tabela_registros[VALOR],tabela_registros[MÊS],$AE$1,tabela_registros[DIA],investirrendavariávelconsolidadomar[[#Headers],[27]],tabela_registros[REGISTRO],DADOS!$N$5,tabela_registros[TIPO],DADOS!$AB$4,tabela_registros[CATEGORIA],investirrendavariávelconsolidadomar[[#This Row],[ATUAL]])</f>
        <v>0</v>
      </c>
      <c r="AF137" s="91">
        <f>SUMIFS(tabela_registros[VALOR],tabela_registros[MÊS],$AE$1,tabela_registros[DIA],investirrendavariávelconsolidadomar[[#Headers],[28]],tabela_registros[REGISTRO],DADOS!$N$5,tabela_registros[TIPO],DADOS!$AB$4,tabela_registros[CATEGORIA],investirrendavariávelconsolidadomar[[#This Row],[ATUAL]])</f>
        <v>0</v>
      </c>
      <c r="AG137" s="91">
        <f>SUMIFS(tabela_registros[VALOR],tabela_registros[MÊS],$AE$1,tabela_registros[DIA],investirrendavariávelconsolidadomar[[#Headers],[29]],tabela_registros[REGISTRO],DADOS!$N$5,tabela_registros[TIPO],DADOS!$AB$4,tabela_registros[CATEGORIA],investirrendavariávelconsolidadomar[[#This Row],[ATUAL]])</f>
        <v>0</v>
      </c>
      <c r="AH137" s="91">
        <f>SUMIFS(tabela_registros[VALOR],tabela_registros[MÊS],$AE$1,tabela_registros[DIA],investirrendavariávelconsolidadomar[[#Headers],[30]],tabela_registros[REGISTRO],DADOS!$N$5,tabela_registros[TIPO],DADOS!$AB$4,tabela_registros[CATEGORIA],investirrendavariávelconsolidadomar[[#This Row],[ATUAL]])</f>
        <v>0</v>
      </c>
      <c r="AI137" s="101">
        <f>SUMIFS(tabela_registros[VALOR],tabela_registros[MÊS],$AE$1,tabela_registros[DIA],investirrendavariávelconsolidadomar[[#Headers],[31]],tabela_registros[REGISTRO],DADOS!$N$5,tabela_registros[TIPO],DADOS!$AB$4,tabela_registros[CATEGORIA],investirrendavariávelconsolidadomar[[#This Row],[ATUAL]])</f>
        <v>0</v>
      </c>
      <c r="AJ137" s="104">
        <f>SUM(investirrendavariávelconsolidadomar[[#This Row],[1]:[31]])</f>
        <v>0</v>
      </c>
      <c r="AK137" s="25"/>
    </row>
    <row r="138" spans="2:37" ht="19.5" customHeight="1" thickTop="1" thickBot="1" x14ac:dyDescent="0.3">
      <c r="B138" s="28"/>
      <c r="C138" s="27" t="str">
        <f>DADOS!$AF$9</f>
        <v>📝 EXTERIOR</v>
      </c>
      <c r="D138" s="26" t="str">
        <f>IF(investirrendavariávelconsolidadomar[[#This Row],[TOTAL (R$)]]=0,"",IF(OR(investirrendavariávelconsolidadomar[[#This Row],[TOTAL (R$)]]=LARGE($AJ$132:$AJ$141,1),investirrendavariávelconsolidadomar[[#This Row],[TOTAL (R$)]]=LARGE($AJ$132:$AJ$141,2)),DADOS!$I$10,""))</f>
        <v/>
      </c>
      <c r="E138" s="96">
        <f>SUMIFS(tabela_registros[VALOR],tabela_registros[MÊS],$AE$1,tabela_registros[DIA],investirrendavariávelconsolidadomar[[#Headers],[1]],tabela_registros[REGISTRO],DADOS!$N$5,tabela_registros[TIPO],DADOS!$AB$4,tabela_registros[CATEGORIA],investirrendavariávelconsolidadomar[[#This Row],[ATUAL]])</f>
        <v>0</v>
      </c>
      <c r="F138" s="91">
        <f>SUMIFS(tabela_registros[VALOR],tabela_registros[MÊS],$AE$1,tabela_registros[DIA],investirrendavariávelconsolidadomar[[#Headers],[2]],tabela_registros[REGISTRO],DADOS!$N$5,tabela_registros[TIPO],DADOS!$AB$4,tabela_registros[CATEGORIA],investirrendavariávelconsolidadomar[[#This Row],[ATUAL]])</f>
        <v>0</v>
      </c>
      <c r="G138" s="91">
        <f>SUMIFS(tabela_registros[VALOR],tabela_registros[MÊS],$AE$1,tabela_registros[DIA],investirrendavariávelconsolidadomar[[#Headers],[3]],tabela_registros[REGISTRO],DADOS!$N$5,tabela_registros[TIPO],DADOS!$AB$4,tabela_registros[CATEGORIA],investirrendavariávelconsolidadomar[[#This Row],[ATUAL]])</f>
        <v>0</v>
      </c>
      <c r="H138" s="91">
        <f>SUMIFS(tabela_registros[VALOR],tabela_registros[MÊS],$AE$1,tabela_registros[DIA],investirrendavariávelconsolidadomar[[#Headers],[4]],tabela_registros[REGISTRO],DADOS!$N$5,tabela_registros[TIPO],DADOS!$AB$4,tabela_registros[CATEGORIA],investirrendavariávelconsolidadomar[[#This Row],[ATUAL]])</f>
        <v>0</v>
      </c>
      <c r="I138" s="91">
        <f>SUMIFS(tabela_registros[VALOR],tabela_registros[MÊS],$AE$1,tabela_registros[DIA],investirrendavariávelconsolidadomar[[#Headers],[5]],tabela_registros[REGISTRO],DADOS!$N$5,tabela_registros[TIPO],DADOS!$AB$4,tabela_registros[CATEGORIA],investirrendavariávelconsolidadomar[[#This Row],[ATUAL]])</f>
        <v>0</v>
      </c>
      <c r="J138" s="91">
        <f>SUMIFS(tabela_registros[VALOR],tabela_registros[MÊS],$AE$1,tabela_registros[DIA],investirrendavariávelconsolidadomar[[#Headers],[6]],tabela_registros[REGISTRO],DADOS!$N$5,tabela_registros[TIPO],DADOS!$AB$4,tabela_registros[CATEGORIA],investirrendavariávelconsolidadomar[[#This Row],[ATUAL]])</f>
        <v>0</v>
      </c>
      <c r="K138" s="91">
        <f>SUMIFS(tabela_registros[VALOR],tabela_registros[MÊS],$AE$1,tabela_registros[DIA],investirrendavariávelconsolidadomar[[#Headers],[7]],tabela_registros[REGISTRO],DADOS!$N$5,tabela_registros[TIPO],DADOS!$AB$4,tabela_registros[CATEGORIA],investirrendavariávelconsolidadomar[[#This Row],[ATUAL]])</f>
        <v>0</v>
      </c>
      <c r="L138" s="91">
        <f>SUMIFS(tabela_registros[VALOR],tabela_registros[MÊS],$AE$1,tabela_registros[DIA],investirrendavariávelconsolidadomar[[#Headers],[8]],tabela_registros[REGISTRO],DADOS!$N$5,tabela_registros[TIPO],DADOS!$AB$4,tabela_registros[CATEGORIA],investirrendavariávelconsolidadomar[[#This Row],[ATUAL]])</f>
        <v>0</v>
      </c>
      <c r="M138" s="91">
        <f>SUMIFS(tabela_registros[VALOR],tabela_registros[MÊS],$AE$1,tabela_registros[DIA],investirrendavariávelconsolidadomar[[#Headers],[9]],tabela_registros[REGISTRO],DADOS!$N$5,tabela_registros[TIPO],DADOS!$AB$4,tabela_registros[CATEGORIA],investirrendavariávelconsolidadomar[[#This Row],[ATUAL]])</f>
        <v>0</v>
      </c>
      <c r="N138" s="91">
        <f>SUMIFS(tabela_registros[VALOR],tabela_registros[MÊS],$AE$1,tabela_registros[DIA],investirrendavariávelconsolidadomar[[#Headers],[10]],tabela_registros[REGISTRO],DADOS!$N$5,tabela_registros[TIPO],DADOS!$AB$4,tabela_registros[CATEGORIA],investirrendavariávelconsolidadomar[[#This Row],[ATUAL]])</f>
        <v>0</v>
      </c>
      <c r="O138" s="91">
        <f>SUMIFS(tabela_registros[VALOR],tabela_registros[MÊS],$AE$1,tabela_registros[DIA],investirrendavariávelconsolidadomar[[#Headers],[11]],tabela_registros[REGISTRO],DADOS!$N$5,tabela_registros[TIPO],DADOS!$AB$4,tabela_registros[CATEGORIA],investirrendavariávelconsolidadomar[[#This Row],[ATUAL]])</f>
        <v>0</v>
      </c>
      <c r="P138" s="91">
        <f>SUMIFS(tabela_registros[VALOR],tabela_registros[MÊS],$AE$1,tabela_registros[DIA],investirrendavariávelconsolidadomar[[#Headers],[12]],tabela_registros[REGISTRO],DADOS!$N$5,tabela_registros[TIPO],DADOS!$AB$4,tabela_registros[CATEGORIA],investirrendavariávelconsolidadomar[[#This Row],[ATUAL]])</f>
        <v>0</v>
      </c>
      <c r="Q138" s="91">
        <f>SUMIFS(tabela_registros[VALOR],tabela_registros[MÊS],$AE$1,tabela_registros[DIA],investirrendavariávelconsolidadomar[[#Headers],[13]],tabela_registros[REGISTRO],DADOS!$N$5,tabela_registros[TIPO],DADOS!$AB$4,tabela_registros[CATEGORIA],investirrendavariávelconsolidadomar[[#This Row],[ATUAL]])</f>
        <v>0</v>
      </c>
      <c r="R138" s="91">
        <f>SUMIFS(tabela_registros[VALOR],tabela_registros[MÊS],$AE$1,tabela_registros[DIA],investirrendavariávelconsolidadomar[[#Headers],[14]],tabela_registros[REGISTRO],DADOS!$N$5,tabela_registros[TIPO],DADOS!$AB$4,tabela_registros[CATEGORIA],investirrendavariávelconsolidadomar[[#This Row],[ATUAL]])</f>
        <v>0</v>
      </c>
      <c r="S138" s="91">
        <f>SUMIFS(tabela_registros[VALOR],tabela_registros[MÊS],$AE$1,tabela_registros[DIA],investirrendavariávelconsolidadomar[[#Headers],[15]],tabela_registros[REGISTRO],DADOS!$N$5,tabela_registros[TIPO],DADOS!$AB$4,tabela_registros[CATEGORIA],investirrendavariávelconsolidadomar[[#This Row],[ATUAL]])</f>
        <v>0</v>
      </c>
      <c r="T138" s="91">
        <f>SUMIFS(tabela_registros[VALOR],tabela_registros[MÊS],$AE$1,tabela_registros[DIA],investirrendavariávelconsolidadomar[[#Headers],[16]],tabela_registros[REGISTRO],DADOS!$N$5,tabela_registros[TIPO],DADOS!$AB$4,tabela_registros[CATEGORIA],investirrendavariávelconsolidadomar[[#This Row],[ATUAL]])</f>
        <v>0</v>
      </c>
      <c r="U138" s="91">
        <f>SUMIFS(tabela_registros[VALOR],tabela_registros[MÊS],$AE$1,tabela_registros[DIA],investirrendavariávelconsolidadomar[[#Headers],[17]],tabela_registros[REGISTRO],DADOS!$N$5,tabela_registros[TIPO],DADOS!$AB$4,tabela_registros[CATEGORIA],investirrendavariávelconsolidadomar[[#This Row],[ATUAL]])</f>
        <v>0</v>
      </c>
      <c r="V138" s="91">
        <f>SUMIFS(tabela_registros[VALOR],tabela_registros[MÊS],$AE$1,tabela_registros[DIA],investirrendavariávelconsolidadomar[[#Headers],[18]],tabela_registros[REGISTRO],DADOS!$N$5,tabela_registros[TIPO],DADOS!$AB$4,tabela_registros[CATEGORIA],investirrendavariávelconsolidadomar[[#This Row],[ATUAL]])</f>
        <v>0</v>
      </c>
      <c r="W138" s="91">
        <f>SUMIFS(tabela_registros[VALOR],tabela_registros[MÊS],$AE$1,tabela_registros[DIA],investirrendavariávelconsolidadomar[[#Headers],[19]],tabela_registros[REGISTRO],DADOS!$N$5,tabela_registros[TIPO],DADOS!$AB$4,tabela_registros[CATEGORIA],investirrendavariávelconsolidadomar[[#This Row],[ATUAL]])</f>
        <v>0</v>
      </c>
      <c r="X138" s="91">
        <f>SUMIFS(tabela_registros[VALOR],tabela_registros[MÊS],$AE$1,tabela_registros[DIA],investirrendavariávelconsolidadomar[[#Headers],[20]],tabela_registros[REGISTRO],DADOS!$N$5,tabela_registros[TIPO],DADOS!$AB$4,tabela_registros[CATEGORIA],investirrendavariávelconsolidadomar[[#This Row],[ATUAL]])</f>
        <v>0</v>
      </c>
      <c r="Y138" s="91">
        <f>SUMIFS(tabela_registros[VALOR],tabela_registros[MÊS],$AE$1,tabela_registros[DIA],investirrendavariávelconsolidadomar[[#Headers],[21]],tabela_registros[REGISTRO],DADOS!$N$5,tabela_registros[TIPO],DADOS!$AB$4,tabela_registros[CATEGORIA],investirrendavariávelconsolidadomar[[#This Row],[ATUAL]])</f>
        <v>0</v>
      </c>
      <c r="Z138" s="91">
        <f>SUMIFS(tabela_registros[VALOR],tabela_registros[MÊS],$AE$1,tabela_registros[DIA],investirrendavariávelconsolidadomar[[#Headers],[22]],tabela_registros[REGISTRO],DADOS!$N$5,tabela_registros[TIPO],DADOS!$AB$4,tabela_registros[CATEGORIA],investirrendavariávelconsolidadomar[[#This Row],[ATUAL]])</f>
        <v>0</v>
      </c>
      <c r="AA138" s="91">
        <f>SUMIFS(tabela_registros[VALOR],tabela_registros[MÊS],$AE$1,tabela_registros[DIA],investirrendavariávelconsolidadomar[[#Headers],[23]],tabela_registros[REGISTRO],DADOS!$N$5,tabela_registros[TIPO],DADOS!$AB$4,tabela_registros[CATEGORIA],investirrendavariávelconsolidadomar[[#This Row],[ATUAL]])</f>
        <v>0</v>
      </c>
      <c r="AB138" s="91">
        <f>SUMIFS(tabela_registros[VALOR],tabela_registros[MÊS],$AE$1,tabela_registros[DIA],investirrendavariávelconsolidadomar[[#Headers],[24]],tabela_registros[REGISTRO],DADOS!$N$5,tabela_registros[TIPO],DADOS!$AB$4,tabela_registros[CATEGORIA],investirrendavariávelconsolidadomar[[#This Row],[ATUAL]])</f>
        <v>0</v>
      </c>
      <c r="AC138" s="91">
        <f>SUMIFS(tabela_registros[VALOR],tabela_registros[MÊS],$AE$1,tabela_registros[DIA],investirrendavariávelconsolidadomar[[#Headers],[25]],tabela_registros[REGISTRO],DADOS!$N$5,tabela_registros[TIPO],DADOS!$AB$4,tabela_registros[CATEGORIA],investirrendavariávelconsolidadomar[[#This Row],[ATUAL]])</f>
        <v>0</v>
      </c>
      <c r="AD138" s="91">
        <f>SUMIFS(tabela_registros[VALOR],tabela_registros[MÊS],$AE$1,tabela_registros[DIA],investirrendavariávelconsolidadomar[[#Headers],[26]],tabela_registros[REGISTRO],DADOS!$N$5,tabela_registros[TIPO],DADOS!$AB$4,tabela_registros[CATEGORIA],investirrendavariávelconsolidadomar[[#This Row],[ATUAL]])</f>
        <v>0</v>
      </c>
      <c r="AE138" s="91">
        <f>SUMIFS(tabela_registros[VALOR],tabela_registros[MÊS],$AE$1,tabela_registros[DIA],investirrendavariávelconsolidadomar[[#Headers],[27]],tabela_registros[REGISTRO],DADOS!$N$5,tabela_registros[TIPO],DADOS!$AB$4,tabela_registros[CATEGORIA],investirrendavariávelconsolidadomar[[#This Row],[ATUAL]])</f>
        <v>0</v>
      </c>
      <c r="AF138" s="91">
        <f>SUMIFS(tabela_registros[VALOR],tabela_registros[MÊS],$AE$1,tabela_registros[DIA],investirrendavariávelconsolidadomar[[#Headers],[28]],tabela_registros[REGISTRO],DADOS!$N$5,tabela_registros[TIPO],DADOS!$AB$4,tabela_registros[CATEGORIA],investirrendavariávelconsolidadomar[[#This Row],[ATUAL]])</f>
        <v>0</v>
      </c>
      <c r="AG138" s="91">
        <f>SUMIFS(tabela_registros[VALOR],tabela_registros[MÊS],$AE$1,tabela_registros[DIA],investirrendavariávelconsolidadomar[[#Headers],[29]],tabela_registros[REGISTRO],DADOS!$N$5,tabela_registros[TIPO],DADOS!$AB$4,tabela_registros[CATEGORIA],investirrendavariávelconsolidadomar[[#This Row],[ATUAL]])</f>
        <v>0</v>
      </c>
      <c r="AH138" s="91">
        <f>SUMIFS(tabela_registros[VALOR],tabela_registros[MÊS],$AE$1,tabela_registros[DIA],investirrendavariávelconsolidadomar[[#Headers],[30]],tabela_registros[REGISTRO],DADOS!$N$5,tabela_registros[TIPO],DADOS!$AB$4,tabela_registros[CATEGORIA],investirrendavariávelconsolidadomar[[#This Row],[ATUAL]])</f>
        <v>0</v>
      </c>
      <c r="AI138" s="101">
        <f>SUMIFS(tabela_registros[VALOR],tabela_registros[MÊS],$AE$1,tabela_registros[DIA],investirrendavariávelconsolidadomar[[#Headers],[31]],tabela_registros[REGISTRO],DADOS!$N$5,tabela_registros[TIPO],DADOS!$AB$4,tabela_registros[CATEGORIA],investirrendavariávelconsolidadomar[[#This Row],[ATUAL]])</f>
        <v>0</v>
      </c>
      <c r="AJ138" s="104">
        <f>SUM(investirrendavariávelconsolidadomar[[#This Row],[1]:[31]])</f>
        <v>0</v>
      </c>
      <c r="AK138" s="25"/>
    </row>
    <row r="139" spans="2:37" ht="19.5" customHeight="1" thickTop="1" thickBot="1" x14ac:dyDescent="0.3">
      <c r="B139" s="28"/>
      <c r="C139" s="27" t="str">
        <f>DADOS!$AF$10</f>
        <v>📝 FII</v>
      </c>
      <c r="D139" s="26" t="str">
        <f>IF(investirrendavariávelconsolidadomar[[#This Row],[TOTAL (R$)]]=0,"",IF(OR(investirrendavariávelconsolidadomar[[#This Row],[TOTAL (R$)]]=LARGE($AJ$132:$AJ$141,1),investirrendavariávelconsolidadomar[[#This Row],[TOTAL (R$)]]=LARGE($AJ$132:$AJ$141,2)),DADOS!$I$10,""))</f>
        <v/>
      </c>
      <c r="E139" s="96">
        <f>SUMIFS(tabela_registros[VALOR],tabela_registros[MÊS],$AE$1,tabela_registros[DIA],investirrendavariávelconsolidadomar[[#Headers],[1]],tabela_registros[REGISTRO],DADOS!$N$5,tabela_registros[TIPO],DADOS!$AB$4,tabela_registros[CATEGORIA],investirrendavariávelconsolidadomar[[#This Row],[ATUAL]])</f>
        <v>0</v>
      </c>
      <c r="F139" s="91">
        <f>SUMIFS(tabela_registros[VALOR],tabela_registros[MÊS],$AE$1,tabela_registros[DIA],investirrendavariávelconsolidadomar[[#Headers],[2]],tabela_registros[REGISTRO],DADOS!$N$5,tabela_registros[TIPO],DADOS!$AB$4,tabela_registros[CATEGORIA],investirrendavariávelconsolidadomar[[#This Row],[ATUAL]])</f>
        <v>0</v>
      </c>
      <c r="G139" s="91">
        <f>SUMIFS(tabela_registros[VALOR],tabela_registros[MÊS],$AE$1,tabela_registros[DIA],investirrendavariávelconsolidadomar[[#Headers],[3]],tabela_registros[REGISTRO],DADOS!$N$5,tabela_registros[TIPO],DADOS!$AB$4,tabela_registros[CATEGORIA],investirrendavariávelconsolidadomar[[#This Row],[ATUAL]])</f>
        <v>0</v>
      </c>
      <c r="H139" s="91">
        <f>SUMIFS(tabela_registros[VALOR],tabela_registros[MÊS],$AE$1,tabela_registros[DIA],investirrendavariávelconsolidadomar[[#Headers],[4]],tabela_registros[REGISTRO],DADOS!$N$5,tabela_registros[TIPO],DADOS!$AB$4,tabela_registros[CATEGORIA],investirrendavariávelconsolidadomar[[#This Row],[ATUAL]])</f>
        <v>0</v>
      </c>
      <c r="I139" s="91">
        <f>SUMIFS(tabela_registros[VALOR],tabela_registros[MÊS],$AE$1,tabela_registros[DIA],investirrendavariávelconsolidadomar[[#Headers],[5]],tabela_registros[REGISTRO],DADOS!$N$5,tabela_registros[TIPO],DADOS!$AB$4,tabela_registros[CATEGORIA],investirrendavariávelconsolidadomar[[#This Row],[ATUAL]])</f>
        <v>0</v>
      </c>
      <c r="J139" s="91">
        <f>SUMIFS(tabela_registros[VALOR],tabela_registros[MÊS],$AE$1,tabela_registros[DIA],investirrendavariávelconsolidadomar[[#Headers],[6]],tabela_registros[REGISTRO],DADOS!$N$5,tabela_registros[TIPO],DADOS!$AB$4,tabela_registros[CATEGORIA],investirrendavariávelconsolidadomar[[#This Row],[ATUAL]])</f>
        <v>0</v>
      </c>
      <c r="K139" s="91">
        <f>SUMIFS(tabela_registros[VALOR],tabela_registros[MÊS],$AE$1,tabela_registros[DIA],investirrendavariávelconsolidadomar[[#Headers],[7]],tabela_registros[REGISTRO],DADOS!$N$5,tabela_registros[TIPO],DADOS!$AB$4,tabela_registros[CATEGORIA],investirrendavariávelconsolidadomar[[#This Row],[ATUAL]])</f>
        <v>0</v>
      </c>
      <c r="L139" s="91">
        <f>SUMIFS(tabela_registros[VALOR],tabela_registros[MÊS],$AE$1,tabela_registros[DIA],investirrendavariávelconsolidadomar[[#Headers],[8]],tabela_registros[REGISTRO],DADOS!$N$5,tabela_registros[TIPO],DADOS!$AB$4,tabela_registros[CATEGORIA],investirrendavariávelconsolidadomar[[#This Row],[ATUAL]])</f>
        <v>0</v>
      </c>
      <c r="M139" s="91">
        <f>SUMIFS(tabela_registros[VALOR],tabela_registros[MÊS],$AE$1,tabela_registros[DIA],investirrendavariávelconsolidadomar[[#Headers],[9]],tabela_registros[REGISTRO],DADOS!$N$5,tabela_registros[TIPO],DADOS!$AB$4,tabela_registros[CATEGORIA],investirrendavariávelconsolidadomar[[#This Row],[ATUAL]])</f>
        <v>0</v>
      </c>
      <c r="N139" s="91">
        <f>SUMIFS(tabela_registros[VALOR],tabela_registros[MÊS],$AE$1,tabela_registros[DIA],investirrendavariávelconsolidadomar[[#Headers],[10]],tabela_registros[REGISTRO],DADOS!$N$5,tabela_registros[TIPO],DADOS!$AB$4,tabela_registros[CATEGORIA],investirrendavariávelconsolidadomar[[#This Row],[ATUAL]])</f>
        <v>0</v>
      </c>
      <c r="O139" s="91">
        <f>SUMIFS(tabela_registros[VALOR],tabela_registros[MÊS],$AE$1,tabela_registros[DIA],investirrendavariávelconsolidadomar[[#Headers],[11]],tabela_registros[REGISTRO],DADOS!$N$5,tabela_registros[TIPO],DADOS!$AB$4,tabela_registros[CATEGORIA],investirrendavariávelconsolidadomar[[#This Row],[ATUAL]])</f>
        <v>0</v>
      </c>
      <c r="P139" s="91">
        <f>SUMIFS(tabela_registros[VALOR],tabela_registros[MÊS],$AE$1,tabela_registros[DIA],investirrendavariávelconsolidadomar[[#Headers],[12]],tabela_registros[REGISTRO],DADOS!$N$5,tabela_registros[TIPO],DADOS!$AB$4,tabela_registros[CATEGORIA],investirrendavariávelconsolidadomar[[#This Row],[ATUAL]])</f>
        <v>0</v>
      </c>
      <c r="Q139" s="91">
        <f>SUMIFS(tabela_registros[VALOR],tabela_registros[MÊS],$AE$1,tabela_registros[DIA],investirrendavariávelconsolidadomar[[#Headers],[13]],tabela_registros[REGISTRO],DADOS!$N$5,tabela_registros[TIPO],DADOS!$AB$4,tabela_registros[CATEGORIA],investirrendavariávelconsolidadomar[[#This Row],[ATUAL]])</f>
        <v>0</v>
      </c>
      <c r="R139" s="91">
        <f>SUMIFS(tabela_registros[VALOR],tabela_registros[MÊS],$AE$1,tabela_registros[DIA],investirrendavariávelconsolidadomar[[#Headers],[14]],tabela_registros[REGISTRO],DADOS!$N$5,tabela_registros[TIPO],DADOS!$AB$4,tabela_registros[CATEGORIA],investirrendavariávelconsolidadomar[[#This Row],[ATUAL]])</f>
        <v>0</v>
      </c>
      <c r="S139" s="91">
        <f>SUMIFS(tabela_registros[VALOR],tabela_registros[MÊS],$AE$1,tabela_registros[DIA],investirrendavariávelconsolidadomar[[#Headers],[15]],tabela_registros[REGISTRO],DADOS!$N$5,tabela_registros[TIPO],DADOS!$AB$4,tabela_registros[CATEGORIA],investirrendavariávelconsolidadomar[[#This Row],[ATUAL]])</f>
        <v>0</v>
      </c>
      <c r="T139" s="91">
        <f>SUMIFS(tabela_registros[VALOR],tabela_registros[MÊS],$AE$1,tabela_registros[DIA],investirrendavariávelconsolidadomar[[#Headers],[16]],tabela_registros[REGISTRO],DADOS!$N$5,tabela_registros[TIPO],DADOS!$AB$4,tabela_registros[CATEGORIA],investirrendavariávelconsolidadomar[[#This Row],[ATUAL]])</f>
        <v>0</v>
      </c>
      <c r="U139" s="91">
        <f>SUMIFS(tabela_registros[VALOR],tabela_registros[MÊS],$AE$1,tabela_registros[DIA],investirrendavariávelconsolidadomar[[#Headers],[17]],tabela_registros[REGISTRO],DADOS!$N$5,tabela_registros[TIPO],DADOS!$AB$4,tabela_registros[CATEGORIA],investirrendavariávelconsolidadomar[[#This Row],[ATUAL]])</f>
        <v>0</v>
      </c>
      <c r="V139" s="91">
        <f>SUMIFS(tabela_registros[VALOR],tabela_registros[MÊS],$AE$1,tabela_registros[DIA],investirrendavariávelconsolidadomar[[#Headers],[18]],tabela_registros[REGISTRO],DADOS!$N$5,tabela_registros[TIPO],DADOS!$AB$4,tabela_registros[CATEGORIA],investirrendavariávelconsolidadomar[[#This Row],[ATUAL]])</f>
        <v>0</v>
      </c>
      <c r="W139" s="91">
        <f>SUMIFS(tabela_registros[VALOR],tabela_registros[MÊS],$AE$1,tabela_registros[DIA],investirrendavariávelconsolidadomar[[#Headers],[19]],tabela_registros[REGISTRO],DADOS!$N$5,tabela_registros[TIPO],DADOS!$AB$4,tabela_registros[CATEGORIA],investirrendavariávelconsolidadomar[[#This Row],[ATUAL]])</f>
        <v>0</v>
      </c>
      <c r="X139" s="91">
        <f>SUMIFS(tabela_registros[VALOR],tabela_registros[MÊS],$AE$1,tabela_registros[DIA],investirrendavariávelconsolidadomar[[#Headers],[20]],tabela_registros[REGISTRO],DADOS!$N$5,tabela_registros[TIPO],DADOS!$AB$4,tabela_registros[CATEGORIA],investirrendavariávelconsolidadomar[[#This Row],[ATUAL]])</f>
        <v>0</v>
      </c>
      <c r="Y139" s="91">
        <f>SUMIFS(tabela_registros[VALOR],tabela_registros[MÊS],$AE$1,tabela_registros[DIA],investirrendavariávelconsolidadomar[[#Headers],[21]],tabela_registros[REGISTRO],DADOS!$N$5,tabela_registros[TIPO],DADOS!$AB$4,tabela_registros[CATEGORIA],investirrendavariávelconsolidadomar[[#This Row],[ATUAL]])</f>
        <v>0</v>
      </c>
      <c r="Z139" s="91">
        <f>SUMIFS(tabela_registros[VALOR],tabela_registros[MÊS],$AE$1,tabela_registros[DIA],investirrendavariávelconsolidadomar[[#Headers],[22]],tabela_registros[REGISTRO],DADOS!$N$5,tabela_registros[TIPO],DADOS!$AB$4,tabela_registros[CATEGORIA],investirrendavariávelconsolidadomar[[#This Row],[ATUAL]])</f>
        <v>0</v>
      </c>
      <c r="AA139" s="91">
        <f>SUMIFS(tabela_registros[VALOR],tabela_registros[MÊS],$AE$1,tabela_registros[DIA],investirrendavariávelconsolidadomar[[#Headers],[23]],tabela_registros[REGISTRO],DADOS!$N$5,tabela_registros[TIPO],DADOS!$AB$4,tabela_registros[CATEGORIA],investirrendavariávelconsolidadomar[[#This Row],[ATUAL]])</f>
        <v>0</v>
      </c>
      <c r="AB139" s="91">
        <f>SUMIFS(tabela_registros[VALOR],tabela_registros[MÊS],$AE$1,tabela_registros[DIA],investirrendavariávelconsolidadomar[[#Headers],[24]],tabela_registros[REGISTRO],DADOS!$N$5,tabela_registros[TIPO],DADOS!$AB$4,tabela_registros[CATEGORIA],investirrendavariávelconsolidadomar[[#This Row],[ATUAL]])</f>
        <v>0</v>
      </c>
      <c r="AC139" s="91">
        <f>SUMIFS(tabela_registros[VALOR],tabela_registros[MÊS],$AE$1,tabela_registros[DIA],investirrendavariávelconsolidadomar[[#Headers],[25]],tabela_registros[REGISTRO],DADOS!$N$5,tabela_registros[TIPO],DADOS!$AB$4,tabela_registros[CATEGORIA],investirrendavariávelconsolidadomar[[#This Row],[ATUAL]])</f>
        <v>0</v>
      </c>
      <c r="AD139" s="91">
        <f>SUMIFS(tabela_registros[VALOR],tabela_registros[MÊS],$AE$1,tabela_registros[DIA],investirrendavariávelconsolidadomar[[#Headers],[26]],tabela_registros[REGISTRO],DADOS!$N$5,tabela_registros[TIPO],DADOS!$AB$4,tabela_registros[CATEGORIA],investirrendavariávelconsolidadomar[[#This Row],[ATUAL]])</f>
        <v>0</v>
      </c>
      <c r="AE139" s="91">
        <f>SUMIFS(tabela_registros[VALOR],tabela_registros[MÊS],$AE$1,tabela_registros[DIA],investirrendavariávelconsolidadomar[[#Headers],[27]],tabela_registros[REGISTRO],DADOS!$N$5,tabela_registros[TIPO],DADOS!$AB$4,tabela_registros[CATEGORIA],investirrendavariávelconsolidadomar[[#This Row],[ATUAL]])</f>
        <v>0</v>
      </c>
      <c r="AF139" s="91">
        <f>SUMIFS(tabela_registros[VALOR],tabela_registros[MÊS],$AE$1,tabela_registros[DIA],investirrendavariávelconsolidadomar[[#Headers],[28]],tabela_registros[REGISTRO],DADOS!$N$5,tabela_registros[TIPO],DADOS!$AB$4,tabela_registros[CATEGORIA],investirrendavariávelconsolidadomar[[#This Row],[ATUAL]])</f>
        <v>0</v>
      </c>
      <c r="AG139" s="91">
        <f>SUMIFS(tabela_registros[VALOR],tabela_registros[MÊS],$AE$1,tabela_registros[DIA],investirrendavariávelconsolidadomar[[#Headers],[29]],tabela_registros[REGISTRO],DADOS!$N$5,tabela_registros[TIPO],DADOS!$AB$4,tabela_registros[CATEGORIA],investirrendavariávelconsolidadomar[[#This Row],[ATUAL]])</f>
        <v>0</v>
      </c>
      <c r="AH139" s="91">
        <f>SUMIFS(tabela_registros[VALOR],tabela_registros[MÊS],$AE$1,tabela_registros[DIA],investirrendavariávelconsolidadomar[[#Headers],[30]],tabela_registros[REGISTRO],DADOS!$N$5,tabela_registros[TIPO],DADOS!$AB$4,tabela_registros[CATEGORIA],investirrendavariávelconsolidadomar[[#This Row],[ATUAL]])</f>
        <v>0</v>
      </c>
      <c r="AI139" s="101">
        <f>SUMIFS(tabela_registros[VALOR],tabela_registros[MÊS],$AE$1,tabela_registros[DIA],investirrendavariávelconsolidadomar[[#Headers],[31]],tabela_registros[REGISTRO],DADOS!$N$5,tabela_registros[TIPO],DADOS!$AB$4,tabela_registros[CATEGORIA],investirrendavariávelconsolidadomar[[#This Row],[ATUAL]])</f>
        <v>0</v>
      </c>
      <c r="AJ139" s="104">
        <f>SUM(investirrendavariávelconsolidadomar[[#This Row],[1]:[31]])</f>
        <v>0</v>
      </c>
      <c r="AK139" s="25"/>
    </row>
    <row r="140" spans="2:37" ht="19.5" customHeight="1" thickTop="1" thickBot="1" x14ac:dyDescent="0.3">
      <c r="B140" s="28"/>
      <c r="C140" s="27" t="str">
        <f>DADOS!$AF$11</f>
        <v>📝 MOEDA</v>
      </c>
      <c r="D140" s="26" t="str">
        <f>IF(investirrendavariávelconsolidadomar[[#This Row],[TOTAL (R$)]]=0,"",IF(OR(investirrendavariávelconsolidadomar[[#This Row],[TOTAL (R$)]]=LARGE($AJ$132:$AJ$141,1),investirrendavariávelconsolidadomar[[#This Row],[TOTAL (R$)]]=LARGE($AJ$132:$AJ$141,2)),DADOS!$I$10,""))</f>
        <v/>
      </c>
      <c r="E140" s="96">
        <f>SUMIFS(tabela_registros[VALOR],tabela_registros[MÊS],$AE$1,tabela_registros[DIA],investirrendavariávelconsolidadomar[[#Headers],[1]],tabela_registros[REGISTRO],DADOS!$N$5,tabela_registros[TIPO],DADOS!$AB$4,tabela_registros[CATEGORIA],investirrendavariávelconsolidadomar[[#This Row],[ATUAL]])</f>
        <v>0</v>
      </c>
      <c r="F140" s="91">
        <f>SUMIFS(tabela_registros[VALOR],tabela_registros[MÊS],$AE$1,tabela_registros[DIA],investirrendavariávelconsolidadomar[[#Headers],[2]],tabela_registros[REGISTRO],DADOS!$N$5,tabela_registros[TIPO],DADOS!$AB$4,tabela_registros[CATEGORIA],investirrendavariávelconsolidadomar[[#This Row],[ATUAL]])</f>
        <v>0</v>
      </c>
      <c r="G140" s="91">
        <f>SUMIFS(tabela_registros[VALOR],tabela_registros[MÊS],$AE$1,tabela_registros[DIA],investirrendavariávelconsolidadomar[[#Headers],[3]],tabela_registros[REGISTRO],DADOS!$N$5,tabela_registros[TIPO],DADOS!$AB$4,tabela_registros[CATEGORIA],investirrendavariávelconsolidadomar[[#This Row],[ATUAL]])</f>
        <v>0</v>
      </c>
      <c r="H140" s="91">
        <f>SUMIFS(tabela_registros[VALOR],tabela_registros[MÊS],$AE$1,tabela_registros[DIA],investirrendavariávelconsolidadomar[[#Headers],[4]],tabela_registros[REGISTRO],DADOS!$N$5,tabela_registros[TIPO],DADOS!$AB$4,tabela_registros[CATEGORIA],investirrendavariávelconsolidadomar[[#This Row],[ATUAL]])</f>
        <v>0</v>
      </c>
      <c r="I140" s="91">
        <f>SUMIFS(tabela_registros[VALOR],tabela_registros[MÊS],$AE$1,tabela_registros[DIA],investirrendavariávelconsolidadomar[[#Headers],[5]],tabela_registros[REGISTRO],DADOS!$N$5,tabela_registros[TIPO],DADOS!$AB$4,tabela_registros[CATEGORIA],investirrendavariávelconsolidadomar[[#This Row],[ATUAL]])</f>
        <v>0</v>
      </c>
      <c r="J140" s="91">
        <f>SUMIFS(tabela_registros[VALOR],tabela_registros[MÊS],$AE$1,tabela_registros[DIA],investirrendavariávelconsolidadomar[[#Headers],[6]],tabela_registros[REGISTRO],DADOS!$N$5,tabela_registros[TIPO],DADOS!$AB$4,tabela_registros[CATEGORIA],investirrendavariávelconsolidadomar[[#This Row],[ATUAL]])</f>
        <v>0</v>
      </c>
      <c r="K140" s="91">
        <f>SUMIFS(tabela_registros[VALOR],tabela_registros[MÊS],$AE$1,tabela_registros[DIA],investirrendavariávelconsolidadomar[[#Headers],[7]],tabela_registros[REGISTRO],DADOS!$N$5,tabela_registros[TIPO],DADOS!$AB$4,tabela_registros[CATEGORIA],investirrendavariávelconsolidadomar[[#This Row],[ATUAL]])</f>
        <v>0</v>
      </c>
      <c r="L140" s="91">
        <f>SUMIFS(tabela_registros[VALOR],tabela_registros[MÊS],$AE$1,tabela_registros[DIA],investirrendavariávelconsolidadomar[[#Headers],[8]],tabela_registros[REGISTRO],DADOS!$N$5,tabela_registros[TIPO],DADOS!$AB$4,tabela_registros[CATEGORIA],investirrendavariávelconsolidadomar[[#This Row],[ATUAL]])</f>
        <v>0</v>
      </c>
      <c r="M140" s="91">
        <f>SUMIFS(tabela_registros[VALOR],tabela_registros[MÊS],$AE$1,tabela_registros[DIA],investirrendavariávelconsolidadomar[[#Headers],[9]],tabela_registros[REGISTRO],DADOS!$N$5,tabela_registros[TIPO],DADOS!$AB$4,tabela_registros[CATEGORIA],investirrendavariávelconsolidadomar[[#This Row],[ATUAL]])</f>
        <v>0</v>
      </c>
      <c r="N140" s="91">
        <f>SUMIFS(tabela_registros[VALOR],tabela_registros[MÊS],$AE$1,tabela_registros[DIA],investirrendavariávelconsolidadomar[[#Headers],[10]],tabela_registros[REGISTRO],DADOS!$N$5,tabela_registros[TIPO],DADOS!$AB$4,tabela_registros[CATEGORIA],investirrendavariávelconsolidadomar[[#This Row],[ATUAL]])</f>
        <v>0</v>
      </c>
      <c r="O140" s="91">
        <f>SUMIFS(tabela_registros[VALOR],tabela_registros[MÊS],$AE$1,tabela_registros[DIA],investirrendavariávelconsolidadomar[[#Headers],[11]],tabela_registros[REGISTRO],DADOS!$N$5,tabela_registros[TIPO],DADOS!$AB$4,tabela_registros[CATEGORIA],investirrendavariávelconsolidadomar[[#This Row],[ATUAL]])</f>
        <v>0</v>
      </c>
      <c r="P140" s="91">
        <f>SUMIFS(tabela_registros[VALOR],tabela_registros[MÊS],$AE$1,tabela_registros[DIA],investirrendavariávelconsolidadomar[[#Headers],[12]],tabela_registros[REGISTRO],DADOS!$N$5,tabela_registros[TIPO],DADOS!$AB$4,tabela_registros[CATEGORIA],investirrendavariávelconsolidadomar[[#This Row],[ATUAL]])</f>
        <v>0</v>
      </c>
      <c r="Q140" s="91">
        <f>SUMIFS(tabela_registros[VALOR],tabela_registros[MÊS],$AE$1,tabela_registros[DIA],investirrendavariávelconsolidadomar[[#Headers],[13]],tabela_registros[REGISTRO],DADOS!$N$5,tabela_registros[TIPO],DADOS!$AB$4,tabela_registros[CATEGORIA],investirrendavariávelconsolidadomar[[#This Row],[ATUAL]])</f>
        <v>0</v>
      </c>
      <c r="R140" s="91">
        <f>SUMIFS(tabela_registros[VALOR],tabela_registros[MÊS],$AE$1,tabela_registros[DIA],investirrendavariávelconsolidadomar[[#Headers],[14]],tabela_registros[REGISTRO],DADOS!$N$5,tabela_registros[TIPO],DADOS!$AB$4,tabela_registros[CATEGORIA],investirrendavariávelconsolidadomar[[#This Row],[ATUAL]])</f>
        <v>0</v>
      </c>
      <c r="S140" s="91">
        <f>SUMIFS(tabela_registros[VALOR],tabela_registros[MÊS],$AE$1,tabela_registros[DIA],investirrendavariávelconsolidadomar[[#Headers],[15]],tabela_registros[REGISTRO],DADOS!$N$5,tabela_registros[TIPO],DADOS!$AB$4,tabela_registros[CATEGORIA],investirrendavariávelconsolidadomar[[#This Row],[ATUAL]])</f>
        <v>0</v>
      </c>
      <c r="T140" s="91">
        <f>SUMIFS(tabela_registros[VALOR],tabela_registros[MÊS],$AE$1,tabela_registros[DIA],investirrendavariávelconsolidadomar[[#Headers],[16]],tabela_registros[REGISTRO],DADOS!$N$5,tabela_registros[TIPO],DADOS!$AB$4,tabela_registros[CATEGORIA],investirrendavariávelconsolidadomar[[#This Row],[ATUAL]])</f>
        <v>0</v>
      </c>
      <c r="U140" s="91">
        <f>SUMIFS(tabela_registros[VALOR],tabela_registros[MÊS],$AE$1,tabela_registros[DIA],investirrendavariávelconsolidadomar[[#Headers],[17]],tabela_registros[REGISTRO],DADOS!$N$5,tabela_registros[TIPO],DADOS!$AB$4,tabela_registros[CATEGORIA],investirrendavariávelconsolidadomar[[#This Row],[ATUAL]])</f>
        <v>0</v>
      </c>
      <c r="V140" s="91">
        <f>SUMIFS(tabela_registros[VALOR],tabela_registros[MÊS],$AE$1,tabela_registros[DIA],investirrendavariávelconsolidadomar[[#Headers],[18]],tabela_registros[REGISTRO],DADOS!$N$5,tabela_registros[TIPO],DADOS!$AB$4,tabela_registros[CATEGORIA],investirrendavariávelconsolidadomar[[#This Row],[ATUAL]])</f>
        <v>0</v>
      </c>
      <c r="W140" s="91">
        <f>SUMIFS(tabela_registros[VALOR],tabela_registros[MÊS],$AE$1,tabela_registros[DIA],investirrendavariávelconsolidadomar[[#Headers],[19]],tabela_registros[REGISTRO],DADOS!$N$5,tabela_registros[TIPO],DADOS!$AB$4,tabela_registros[CATEGORIA],investirrendavariávelconsolidadomar[[#This Row],[ATUAL]])</f>
        <v>0</v>
      </c>
      <c r="X140" s="91">
        <f>SUMIFS(tabela_registros[VALOR],tabela_registros[MÊS],$AE$1,tabela_registros[DIA],investirrendavariávelconsolidadomar[[#Headers],[20]],tabela_registros[REGISTRO],DADOS!$N$5,tabela_registros[TIPO],DADOS!$AB$4,tabela_registros[CATEGORIA],investirrendavariávelconsolidadomar[[#This Row],[ATUAL]])</f>
        <v>0</v>
      </c>
      <c r="Y140" s="91">
        <f>SUMIFS(tabela_registros[VALOR],tabela_registros[MÊS],$AE$1,tabela_registros[DIA],investirrendavariávelconsolidadomar[[#Headers],[21]],tabela_registros[REGISTRO],DADOS!$N$5,tabela_registros[TIPO],DADOS!$AB$4,tabela_registros[CATEGORIA],investirrendavariávelconsolidadomar[[#This Row],[ATUAL]])</f>
        <v>0</v>
      </c>
      <c r="Z140" s="91">
        <f>SUMIFS(tabela_registros[VALOR],tabela_registros[MÊS],$AE$1,tabela_registros[DIA],investirrendavariávelconsolidadomar[[#Headers],[22]],tabela_registros[REGISTRO],DADOS!$N$5,tabela_registros[TIPO],DADOS!$AB$4,tabela_registros[CATEGORIA],investirrendavariávelconsolidadomar[[#This Row],[ATUAL]])</f>
        <v>0</v>
      </c>
      <c r="AA140" s="91">
        <f>SUMIFS(tabela_registros[VALOR],tabela_registros[MÊS],$AE$1,tabela_registros[DIA],investirrendavariávelconsolidadomar[[#Headers],[23]],tabela_registros[REGISTRO],DADOS!$N$5,tabela_registros[TIPO],DADOS!$AB$4,tabela_registros[CATEGORIA],investirrendavariávelconsolidadomar[[#This Row],[ATUAL]])</f>
        <v>0</v>
      </c>
      <c r="AB140" s="91">
        <f>SUMIFS(tabela_registros[VALOR],tabela_registros[MÊS],$AE$1,tabela_registros[DIA],investirrendavariávelconsolidadomar[[#Headers],[24]],tabela_registros[REGISTRO],DADOS!$N$5,tabela_registros[TIPO],DADOS!$AB$4,tabela_registros[CATEGORIA],investirrendavariávelconsolidadomar[[#This Row],[ATUAL]])</f>
        <v>0</v>
      </c>
      <c r="AC140" s="91">
        <f>SUMIFS(tabela_registros[VALOR],tabela_registros[MÊS],$AE$1,tabela_registros[DIA],investirrendavariávelconsolidadomar[[#Headers],[25]],tabela_registros[REGISTRO],DADOS!$N$5,tabela_registros[TIPO],DADOS!$AB$4,tabela_registros[CATEGORIA],investirrendavariávelconsolidadomar[[#This Row],[ATUAL]])</f>
        <v>0</v>
      </c>
      <c r="AD140" s="91">
        <f>SUMIFS(tabela_registros[VALOR],tabela_registros[MÊS],$AE$1,tabela_registros[DIA],investirrendavariávelconsolidadomar[[#Headers],[26]],tabela_registros[REGISTRO],DADOS!$N$5,tabela_registros[TIPO],DADOS!$AB$4,tabela_registros[CATEGORIA],investirrendavariávelconsolidadomar[[#This Row],[ATUAL]])</f>
        <v>0</v>
      </c>
      <c r="AE140" s="91">
        <f>SUMIFS(tabela_registros[VALOR],tabela_registros[MÊS],$AE$1,tabela_registros[DIA],investirrendavariávelconsolidadomar[[#Headers],[27]],tabela_registros[REGISTRO],DADOS!$N$5,tabela_registros[TIPO],DADOS!$AB$4,tabela_registros[CATEGORIA],investirrendavariávelconsolidadomar[[#This Row],[ATUAL]])</f>
        <v>0</v>
      </c>
      <c r="AF140" s="91">
        <f>SUMIFS(tabela_registros[VALOR],tabela_registros[MÊS],$AE$1,tabela_registros[DIA],investirrendavariávelconsolidadomar[[#Headers],[28]],tabela_registros[REGISTRO],DADOS!$N$5,tabela_registros[TIPO],DADOS!$AB$4,tabela_registros[CATEGORIA],investirrendavariávelconsolidadomar[[#This Row],[ATUAL]])</f>
        <v>0</v>
      </c>
      <c r="AG140" s="91">
        <f>SUMIFS(tabela_registros[VALOR],tabela_registros[MÊS],$AE$1,tabela_registros[DIA],investirrendavariávelconsolidadomar[[#Headers],[29]],tabela_registros[REGISTRO],DADOS!$N$5,tabela_registros[TIPO],DADOS!$AB$4,tabela_registros[CATEGORIA],investirrendavariávelconsolidadomar[[#This Row],[ATUAL]])</f>
        <v>0</v>
      </c>
      <c r="AH140" s="91">
        <f>SUMIFS(tabela_registros[VALOR],tabela_registros[MÊS],$AE$1,tabela_registros[DIA],investirrendavariávelconsolidadomar[[#Headers],[30]],tabela_registros[REGISTRO],DADOS!$N$5,tabela_registros[TIPO],DADOS!$AB$4,tabela_registros[CATEGORIA],investirrendavariávelconsolidadomar[[#This Row],[ATUAL]])</f>
        <v>0</v>
      </c>
      <c r="AI140" s="101">
        <f>SUMIFS(tabela_registros[VALOR],tabela_registros[MÊS],$AE$1,tabela_registros[DIA],investirrendavariávelconsolidadomar[[#Headers],[31]],tabela_registros[REGISTRO],DADOS!$N$5,tabela_registros[TIPO],DADOS!$AB$4,tabela_registros[CATEGORIA],investirrendavariávelconsolidadomar[[#This Row],[ATUAL]])</f>
        <v>0</v>
      </c>
      <c r="AJ140" s="104">
        <f>SUM(investirrendavariávelconsolidadomar[[#This Row],[1]:[31]])</f>
        <v>0</v>
      </c>
      <c r="AK140" s="25"/>
    </row>
    <row r="141" spans="2:37" ht="19.5" customHeight="1" thickTop="1" thickBot="1" x14ac:dyDescent="0.3">
      <c r="B141" s="28"/>
      <c r="C141" s="27" t="str">
        <f>DADOS!$AF$12</f>
        <v>📎 OUTROS</v>
      </c>
      <c r="D141" s="26" t="str">
        <f>IF(investirrendavariávelconsolidadomar[[#This Row],[TOTAL (R$)]]=0,"",IF(OR(investirrendavariávelconsolidadomar[[#This Row],[TOTAL (R$)]]=LARGE($AJ$132:$AJ$141,1),investirrendavariávelconsolidadomar[[#This Row],[TOTAL (R$)]]=LARGE($AJ$132:$AJ$141,2)),DADOS!$I$10,""))</f>
        <v/>
      </c>
      <c r="E141" s="96">
        <f>SUMIFS(tabela_registros[VALOR],tabela_registros[MÊS],$AE$1,tabela_registros[DIA],investirrendavariávelconsolidadomar[[#Headers],[1]],tabela_registros[REGISTRO],DADOS!$N$5,tabela_registros[TIPO],DADOS!$AB$4,tabela_registros[CATEGORIA],investirrendavariávelconsolidadomar[[#This Row],[ATUAL]])</f>
        <v>0</v>
      </c>
      <c r="F141" s="91">
        <f>SUMIFS(tabela_registros[VALOR],tabela_registros[MÊS],$AE$1,tabela_registros[DIA],investirrendavariávelconsolidadomar[[#Headers],[2]],tabela_registros[REGISTRO],DADOS!$N$5,tabela_registros[TIPO],DADOS!$AB$4,tabela_registros[CATEGORIA],investirrendavariávelconsolidadomar[[#This Row],[ATUAL]])</f>
        <v>0</v>
      </c>
      <c r="G141" s="91">
        <f>SUMIFS(tabela_registros[VALOR],tabela_registros[MÊS],$AE$1,tabela_registros[DIA],investirrendavariávelconsolidadomar[[#Headers],[3]],tabela_registros[REGISTRO],DADOS!$N$5,tabela_registros[TIPO],DADOS!$AB$4,tabela_registros[CATEGORIA],investirrendavariávelconsolidadomar[[#This Row],[ATUAL]])</f>
        <v>0</v>
      </c>
      <c r="H141" s="91">
        <f>SUMIFS(tabela_registros[VALOR],tabela_registros[MÊS],$AE$1,tabela_registros[DIA],investirrendavariávelconsolidadomar[[#Headers],[4]],tabela_registros[REGISTRO],DADOS!$N$5,tabela_registros[TIPO],DADOS!$AB$4,tabela_registros[CATEGORIA],investirrendavariávelconsolidadomar[[#This Row],[ATUAL]])</f>
        <v>0</v>
      </c>
      <c r="I141" s="91">
        <f>SUMIFS(tabela_registros[VALOR],tabela_registros[MÊS],$AE$1,tabela_registros[DIA],investirrendavariávelconsolidadomar[[#Headers],[5]],tabela_registros[REGISTRO],DADOS!$N$5,tabela_registros[TIPO],DADOS!$AB$4,tabela_registros[CATEGORIA],investirrendavariávelconsolidadomar[[#This Row],[ATUAL]])</f>
        <v>0</v>
      </c>
      <c r="J141" s="91">
        <f>SUMIFS(tabela_registros[VALOR],tabela_registros[MÊS],$AE$1,tabela_registros[DIA],investirrendavariávelconsolidadomar[[#Headers],[6]],tabela_registros[REGISTRO],DADOS!$N$5,tabela_registros[TIPO],DADOS!$AB$4,tabela_registros[CATEGORIA],investirrendavariávelconsolidadomar[[#This Row],[ATUAL]])</f>
        <v>0</v>
      </c>
      <c r="K141" s="91">
        <f>SUMIFS(tabela_registros[VALOR],tabela_registros[MÊS],$AE$1,tabela_registros[DIA],investirrendavariávelconsolidadomar[[#Headers],[7]],tabela_registros[REGISTRO],DADOS!$N$5,tabela_registros[TIPO],DADOS!$AB$4,tabela_registros[CATEGORIA],investirrendavariávelconsolidadomar[[#This Row],[ATUAL]])</f>
        <v>0</v>
      </c>
      <c r="L141" s="91">
        <f>SUMIFS(tabela_registros[VALOR],tabela_registros[MÊS],$AE$1,tabela_registros[DIA],investirrendavariávelconsolidadomar[[#Headers],[8]],tabela_registros[REGISTRO],DADOS!$N$5,tabela_registros[TIPO],DADOS!$AB$4,tabela_registros[CATEGORIA],investirrendavariávelconsolidadomar[[#This Row],[ATUAL]])</f>
        <v>0</v>
      </c>
      <c r="M141" s="91">
        <f>SUMIFS(tabela_registros[VALOR],tabela_registros[MÊS],$AE$1,tabela_registros[DIA],investirrendavariávelconsolidadomar[[#Headers],[9]],tabela_registros[REGISTRO],DADOS!$N$5,tabela_registros[TIPO],DADOS!$AB$4,tabela_registros[CATEGORIA],investirrendavariávelconsolidadomar[[#This Row],[ATUAL]])</f>
        <v>0</v>
      </c>
      <c r="N141" s="91">
        <f>SUMIFS(tabela_registros[VALOR],tabela_registros[MÊS],$AE$1,tabela_registros[DIA],investirrendavariávelconsolidadomar[[#Headers],[10]],tabela_registros[REGISTRO],DADOS!$N$5,tabela_registros[TIPO],DADOS!$AB$4,tabela_registros[CATEGORIA],investirrendavariávelconsolidadomar[[#This Row],[ATUAL]])</f>
        <v>0</v>
      </c>
      <c r="O141" s="91">
        <f>SUMIFS(tabela_registros[VALOR],tabela_registros[MÊS],$AE$1,tabela_registros[DIA],investirrendavariávelconsolidadomar[[#Headers],[11]],tabela_registros[REGISTRO],DADOS!$N$5,tabela_registros[TIPO],DADOS!$AB$4,tabela_registros[CATEGORIA],investirrendavariávelconsolidadomar[[#This Row],[ATUAL]])</f>
        <v>0</v>
      </c>
      <c r="P141" s="91">
        <f>SUMIFS(tabela_registros[VALOR],tabela_registros[MÊS],$AE$1,tabela_registros[DIA],investirrendavariávelconsolidadomar[[#Headers],[12]],tabela_registros[REGISTRO],DADOS!$N$5,tabela_registros[TIPO],DADOS!$AB$4,tabela_registros[CATEGORIA],investirrendavariávelconsolidadomar[[#This Row],[ATUAL]])</f>
        <v>0</v>
      </c>
      <c r="Q141" s="91">
        <f>SUMIFS(tabela_registros[VALOR],tabela_registros[MÊS],$AE$1,tabela_registros[DIA],investirrendavariávelconsolidadomar[[#Headers],[13]],tabela_registros[REGISTRO],DADOS!$N$5,tabela_registros[TIPO],DADOS!$AB$4,tabela_registros[CATEGORIA],investirrendavariávelconsolidadomar[[#This Row],[ATUAL]])</f>
        <v>0</v>
      </c>
      <c r="R141" s="91">
        <f>SUMIFS(tabela_registros[VALOR],tabela_registros[MÊS],$AE$1,tabela_registros[DIA],investirrendavariávelconsolidadomar[[#Headers],[14]],tabela_registros[REGISTRO],DADOS!$N$5,tabela_registros[TIPO],DADOS!$AB$4,tabela_registros[CATEGORIA],investirrendavariávelconsolidadomar[[#This Row],[ATUAL]])</f>
        <v>0</v>
      </c>
      <c r="S141" s="91">
        <f>SUMIFS(tabela_registros[VALOR],tabela_registros[MÊS],$AE$1,tabela_registros[DIA],investirrendavariávelconsolidadomar[[#Headers],[15]],tabela_registros[REGISTRO],DADOS!$N$5,tabela_registros[TIPO],DADOS!$AB$4,tabela_registros[CATEGORIA],investirrendavariávelconsolidadomar[[#This Row],[ATUAL]])</f>
        <v>0</v>
      </c>
      <c r="T141" s="91">
        <f>SUMIFS(tabela_registros[VALOR],tabela_registros[MÊS],$AE$1,tabela_registros[DIA],investirrendavariávelconsolidadomar[[#Headers],[16]],tabela_registros[REGISTRO],DADOS!$N$5,tabela_registros[TIPO],DADOS!$AB$4,tabela_registros[CATEGORIA],investirrendavariávelconsolidadomar[[#This Row],[ATUAL]])</f>
        <v>0</v>
      </c>
      <c r="U141" s="91">
        <f>SUMIFS(tabela_registros[VALOR],tabela_registros[MÊS],$AE$1,tabela_registros[DIA],investirrendavariávelconsolidadomar[[#Headers],[17]],tabela_registros[REGISTRO],DADOS!$N$5,tabela_registros[TIPO],DADOS!$AB$4,tabela_registros[CATEGORIA],investirrendavariávelconsolidadomar[[#This Row],[ATUAL]])</f>
        <v>0</v>
      </c>
      <c r="V141" s="91">
        <f>SUMIFS(tabela_registros[VALOR],tabela_registros[MÊS],$AE$1,tabela_registros[DIA],investirrendavariávelconsolidadomar[[#Headers],[18]],tabela_registros[REGISTRO],DADOS!$N$5,tabela_registros[TIPO],DADOS!$AB$4,tabela_registros[CATEGORIA],investirrendavariávelconsolidadomar[[#This Row],[ATUAL]])</f>
        <v>0</v>
      </c>
      <c r="W141" s="91">
        <f>SUMIFS(tabela_registros[VALOR],tabela_registros[MÊS],$AE$1,tabela_registros[DIA],investirrendavariávelconsolidadomar[[#Headers],[19]],tabela_registros[REGISTRO],DADOS!$N$5,tabela_registros[TIPO],DADOS!$AB$4,tabela_registros[CATEGORIA],investirrendavariávelconsolidadomar[[#This Row],[ATUAL]])</f>
        <v>0</v>
      </c>
      <c r="X141" s="91">
        <f>SUMIFS(tabela_registros[VALOR],tabela_registros[MÊS],$AE$1,tabela_registros[DIA],investirrendavariávelconsolidadomar[[#Headers],[20]],tabela_registros[REGISTRO],DADOS!$N$5,tabela_registros[TIPO],DADOS!$AB$4,tabela_registros[CATEGORIA],investirrendavariávelconsolidadomar[[#This Row],[ATUAL]])</f>
        <v>0</v>
      </c>
      <c r="Y141" s="91">
        <f>SUMIFS(tabela_registros[VALOR],tabela_registros[MÊS],$AE$1,tabela_registros[DIA],investirrendavariávelconsolidadomar[[#Headers],[21]],tabela_registros[REGISTRO],DADOS!$N$5,tabela_registros[TIPO],DADOS!$AB$4,tabela_registros[CATEGORIA],investirrendavariávelconsolidadomar[[#This Row],[ATUAL]])</f>
        <v>0</v>
      </c>
      <c r="Z141" s="91">
        <f>SUMIFS(tabela_registros[VALOR],tabela_registros[MÊS],$AE$1,tabela_registros[DIA],investirrendavariávelconsolidadomar[[#Headers],[22]],tabela_registros[REGISTRO],DADOS!$N$5,tabela_registros[TIPO],DADOS!$AB$4,tabela_registros[CATEGORIA],investirrendavariávelconsolidadomar[[#This Row],[ATUAL]])</f>
        <v>0</v>
      </c>
      <c r="AA141" s="91">
        <f>SUMIFS(tabela_registros[VALOR],tabela_registros[MÊS],$AE$1,tabela_registros[DIA],investirrendavariávelconsolidadomar[[#Headers],[23]],tabela_registros[REGISTRO],DADOS!$N$5,tabela_registros[TIPO],DADOS!$AB$4,tabela_registros[CATEGORIA],investirrendavariávelconsolidadomar[[#This Row],[ATUAL]])</f>
        <v>0</v>
      </c>
      <c r="AB141" s="91">
        <f>SUMIFS(tabela_registros[VALOR],tabela_registros[MÊS],$AE$1,tabela_registros[DIA],investirrendavariávelconsolidadomar[[#Headers],[24]],tabela_registros[REGISTRO],DADOS!$N$5,tabela_registros[TIPO],DADOS!$AB$4,tabela_registros[CATEGORIA],investirrendavariávelconsolidadomar[[#This Row],[ATUAL]])</f>
        <v>0</v>
      </c>
      <c r="AC141" s="91">
        <f>SUMIFS(tabela_registros[VALOR],tabela_registros[MÊS],$AE$1,tabela_registros[DIA],investirrendavariávelconsolidadomar[[#Headers],[25]],tabela_registros[REGISTRO],DADOS!$N$5,tabela_registros[TIPO],DADOS!$AB$4,tabela_registros[CATEGORIA],investirrendavariávelconsolidadomar[[#This Row],[ATUAL]])</f>
        <v>0</v>
      </c>
      <c r="AD141" s="91">
        <f>SUMIFS(tabela_registros[VALOR],tabela_registros[MÊS],$AE$1,tabela_registros[DIA],investirrendavariávelconsolidadomar[[#Headers],[26]],tabela_registros[REGISTRO],DADOS!$N$5,tabela_registros[TIPO],DADOS!$AB$4,tabela_registros[CATEGORIA],investirrendavariávelconsolidadomar[[#This Row],[ATUAL]])</f>
        <v>0</v>
      </c>
      <c r="AE141" s="91">
        <f>SUMIFS(tabela_registros[VALOR],tabela_registros[MÊS],$AE$1,tabela_registros[DIA],investirrendavariávelconsolidadomar[[#Headers],[27]],tabela_registros[REGISTRO],DADOS!$N$5,tabela_registros[TIPO],DADOS!$AB$4,tabela_registros[CATEGORIA],investirrendavariávelconsolidadomar[[#This Row],[ATUAL]])</f>
        <v>0</v>
      </c>
      <c r="AF141" s="91">
        <f>SUMIFS(tabela_registros[VALOR],tabela_registros[MÊS],$AE$1,tabela_registros[DIA],investirrendavariávelconsolidadomar[[#Headers],[28]],tabela_registros[REGISTRO],DADOS!$N$5,tabela_registros[TIPO],DADOS!$AB$4,tabela_registros[CATEGORIA],investirrendavariávelconsolidadomar[[#This Row],[ATUAL]])</f>
        <v>0</v>
      </c>
      <c r="AG141" s="91">
        <f>SUMIFS(tabela_registros[VALOR],tabela_registros[MÊS],$AE$1,tabela_registros[DIA],investirrendavariávelconsolidadomar[[#Headers],[29]],tabela_registros[REGISTRO],DADOS!$N$5,tabela_registros[TIPO],DADOS!$AB$4,tabela_registros[CATEGORIA],investirrendavariávelconsolidadomar[[#This Row],[ATUAL]])</f>
        <v>0</v>
      </c>
      <c r="AH141" s="91">
        <f>SUMIFS(tabela_registros[VALOR],tabela_registros[MÊS],$AE$1,tabela_registros[DIA],investirrendavariávelconsolidadomar[[#Headers],[30]],tabela_registros[REGISTRO],DADOS!$N$5,tabela_registros[TIPO],DADOS!$AB$4,tabela_registros[CATEGORIA],investirrendavariávelconsolidadomar[[#This Row],[ATUAL]])</f>
        <v>0</v>
      </c>
      <c r="AI141" s="102">
        <f>SUMIFS(tabela_registros[VALOR],tabela_registros[MÊS],$AE$1,tabela_registros[DIA],investirrendavariávelconsolidadomar[[#Headers],[31]],tabela_registros[REGISTRO],DADOS!$N$5,tabela_registros[TIPO],DADOS!$AB$4,tabela_registros[CATEGORIA],investirrendavariávelconsolidadomar[[#This Row],[ATUAL]])</f>
        <v>0</v>
      </c>
      <c r="AJ141" s="97">
        <f>SUM(investirrendavariávelconsolidadomar[[#This Row],[1]:[31]])</f>
        <v>0</v>
      </c>
      <c r="AK141" s="25"/>
    </row>
    <row r="142" spans="2:37" s="16" customFormat="1" ht="21" customHeight="1" thickTop="1" thickBot="1" x14ac:dyDescent="0.35">
      <c r="B142" s="24"/>
      <c r="C142" s="23" t="s">
        <v>19</v>
      </c>
      <c r="D142" s="22"/>
      <c r="E142" s="21">
        <f>SUM(E132:E141)</f>
        <v>0</v>
      </c>
      <c r="F142" s="20">
        <f>SUM(F132:F141)+investirrendavariávelconsolidadomar[[#This Row],[1]]</f>
        <v>0</v>
      </c>
      <c r="G142" s="20">
        <f>SUM(G132:G141)+investirrendavariávelconsolidadomar[[#This Row],[2]]</f>
        <v>0</v>
      </c>
      <c r="H142" s="20">
        <f>SUM(H132:H141)+investirrendavariávelconsolidadomar[[#This Row],[3]]</f>
        <v>0</v>
      </c>
      <c r="I142" s="20">
        <f>SUM(I132:I141)+investirrendavariávelconsolidadomar[[#This Row],[4]]</f>
        <v>0</v>
      </c>
      <c r="J142" s="20">
        <f>SUM(J132:J141)+investirrendavariávelconsolidadomar[[#This Row],[5]]</f>
        <v>0</v>
      </c>
      <c r="K142" s="20">
        <f>SUM(K132:K141)+investirrendavariávelconsolidadomar[[#This Row],[6]]</f>
        <v>0</v>
      </c>
      <c r="L142" s="20">
        <f>SUM(L132:L141)+investirrendavariávelconsolidadomar[[#This Row],[7]]</f>
        <v>0</v>
      </c>
      <c r="M142" s="20">
        <f>SUM(M132:M141)+investirrendavariávelconsolidadomar[[#This Row],[8]]</f>
        <v>0</v>
      </c>
      <c r="N142" s="20">
        <f>SUM(N132:N141)+investirrendavariávelconsolidadomar[[#This Row],[9]]</f>
        <v>0</v>
      </c>
      <c r="O142" s="20">
        <f>SUM(O132:O141)+investirrendavariávelconsolidadomar[[#This Row],[10]]</f>
        <v>0</v>
      </c>
      <c r="P142" s="20">
        <f>SUM(P132:P141)+investirrendavariávelconsolidadomar[[#This Row],[11]]</f>
        <v>0</v>
      </c>
      <c r="Q142" s="20">
        <f>SUM(Q132:Q141)+investirrendavariávelconsolidadomar[[#This Row],[12]]</f>
        <v>0</v>
      </c>
      <c r="R142" s="20">
        <f>SUM(R132:R141)+investirrendavariávelconsolidadomar[[#This Row],[13]]</f>
        <v>0</v>
      </c>
      <c r="S142" s="20">
        <f>SUM(S132:S141)+investirrendavariávelconsolidadomar[[#This Row],[14]]</f>
        <v>0</v>
      </c>
      <c r="T142" s="20">
        <f>SUM(T132:T141)+investirrendavariávelconsolidadomar[[#This Row],[15]]</f>
        <v>0</v>
      </c>
      <c r="U142" s="20">
        <f>SUM(U132:U141)+investirrendavariávelconsolidadomar[[#This Row],[16]]</f>
        <v>0</v>
      </c>
      <c r="V142" s="20">
        <f>SUM(V132:V141)+investirrendavariávelconsolidadomar[[#This Row],[17]]</f>
        <v>0</v>
      </c>
      <c r="W142" s="20">
        <f>SUM(W132:W141)+investirrendavariávelconsolidadomar[[#This Row],[18]]</f>
        <v>0</v>
      </c>
      <c r="X142" s="20">
        <f>SUM(X132:X141)+investirrendavariávelconsolidadomar[[#This Row],[19]]</f>
        <v>0</v>
      </c>
      <c r="Y142" s="20">
        <f>SUM(Y132:Y141)+investirrendavariávelconsolidadomar[[#This Row],[20]]</f>
        <v>0</v>
      </c>
      <c r="Z142" s="20">
        <f>SUM(Z132:Z141)+investirrendavariávelconsolidadomar[[#This Row],[21]]</f>
        <v>0</v>
      </c>
      <c r="AA142" s="20">
        <f>SUM(AA132:AA141)+investirrendavariávelconsolidadomar[[#This Row],[22]]</f>
        <v>0</v>
      </c>
      <c r="AB142" s="20">
        <f>SUM(AB132:AB141)+investirrendavariávelconsolidadomar[[#This Row],[23]]</f>
        <v>0</v>
      </c>
      <c r="AC142" s="20">
        <f>SUM(AC132:AC141)+investirrendavariávelconsolidadomar[[#This Row],[24]]</f>
        <v>0</v>
      </c>
      <c r="AD142" s="20">
        <f>SUM(AD132:AD141)+investirrendavariávelconsolidadomar[[#This Row],[25]]</f>
        <v>0</v>
      </c>
      <c r="AE142" s="20">
        <f>SUM(AE132:AE141)+investirrendavariávelconsolidadomar[[#This Row],[26]]</f>
        <v>0</v>
      </c>
      <c r="AF142" s="20">
        <f>SUM(AF132:AF141)+investirrendavariávelconsolidadomar[[#This Row],[27]]</f>
        <v>0</v>
      </c>
      <c r="AG142" s="20">
        <f>SUM(AG132:AG141)+investirrendavariávelconsolidadomar[[#This Row],[28]]</f>
        <v>0</v>
      </c>
      <c r="AH142" s="20">
        <f>SUM(AH132:AH141)+investirrendavariávelconsolidadomar[[#This Row],[29]]</f>
        <v>0</v>
      </c>
      <c r="AI142" s="19">
        <f>SUM(AI132:AI141)+investirrendavariávelconsolidadomar[[#This Row],[30]]</f>
        <v>0</v>
      </c>
      <c r="AJ142" s="18">
        <f>investirrendavariávelconsolidadomar[[#This Row],[31]]</f>
        <v>0</v>
      </c>
      <c r="AK142" s="17"/>
    </row>
    <row r="143" spans="2:37" ht="6.75" customHeight="1" thickTop="1" thickBot="1" x14ac:dyDescent="0.3">
      <c r="B143" s="15"/>
      <c r="C143" s="14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  <c r="AE143" s="13"/>
      <c r="AF143" s="13"/>
      <c r="AG143" s="13"/>
      <c r="AH143" s="13"/>
      <c r="AI143" s="12"/>
      <c r="AJ143" s="11"/>
      <c r="AK143" s="10"/>
    </row>
    <row r="144" spans="2:37" ht="12.6" thickTop="1" x14ac:dyDescent="0.25">
      <c r="E144" s="37"/>
      <c r="AI144" s="4"/>
    </row>
    <row r="145" spans="2:37" x14ac:dyDescent="0.25">
      <c r="AI145" s="4"/>
    </row>
    <row r="146" spans="2:37" x14ac:dyDescent="0.25">
      <c r="AI146" s="4"/>
    </row>
    <row r="147" spans="2:37" ht="39.75" customHeight="1" x14ac:dyDescent="0.7">
      <c r="C147" s="36"/>
      <c r="E147" s="240"/>
      <c r="F147" s="240"/>
      <c r="G147" s="240"/>
      <c r="H147" s="240"/>
      <c r="I147" s="240"/>
      <c r="J147" s="240"/>
      <c r="K147" s="240"/>
      <c r="L147" s="240"/>
      <c r="M147" s="240"/>
      <c r="N147" s="240"/>
      <c r="O147" s="240"/>
      <c r="P147" s="240"/>
      <c r="Q147" s="240"/>
      <c r="R147" s="240"/>
      <c r="S147" s="240"/>
      <c r="T147" s="240"/>
      <c r="U147" s="240"/>
      <c r="V147" s="240"/>
      <c r="W147" s="240"/>
      <c r="X147" s="240"/>
      <c r="Y147" s="240"/>
      <c r="Z147" s="240"/>
      <c r="AA147" s="240"/>
      <c r="AB147" s="240"/>
      <c r="AC147" s="240"/>
      <c r="AD147" s="240"/>
      <c r="AE147" s="240"/>
      <c r="AF147" s="240"/>
      <c r="AG147" s="240"/>
      <c r="AH147" s="240"/>
      <c r="AI147" s="240"/>
      <c r="AJ147" s="32" t="s">
        <v>19</v>
      </c>
    </row>
    <row r="148" spans="2:37" ht="12.6" thickBot="1" x14ac:dyDescent="0.3">
      <c r="B148" s="35"/>
      <c r="AI148" s="4"/>
      <c r="AJ148" s="34" t="s">
        <v>202</v>
      </c>
    </row>
    <row r="149" spans="2:37" ht="6.75" customHeight="1" thickTop="1" thickBot="1" x14ac:dyDescent="0.3">
      <c r="B149" s="2"/>
      <c r="C149" s="14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F149" s="13"/>
      <c r="AG149" s="13"/>
      <c r="AH149" s="13"/>
      <c r="AI149" s="13"/>
      <c r="AJ149" s="12"/>
      <c r="AK149" s="33"/>
    </row>
    <row r="150" spans="2:37" ht="13.2" hidden="1" thickTop="1" thickBot="1" x14ac:dyDescent="0.3">
      <c r="B150" s="2"/>
      <c r="C150" s="31" t="s">
        <v>199</v>
      </c>
      <c r="D150" s="30" t="s">
        <v>198</v>
      </c>
      <c r="E150" s="30" t="s">
        <v>197</v>
      </c>
      <c r="F150" s="30" t="s">
        <v>196</v>
      </c>
      <c r="G150" s="30" t="s">
        <v>195</v>
      </c>
      <c r="H150" s="30" t="s">
        <v>194</v>
      </c>
      <c r="I150" s="30" t="s">
        <v>193</v>
      </c>
      <c r="J150" s="30" t="s">
        <v>192</v>
      </c>
      <c r="K150" s="30" t="s">
        <v>191</v>
      </c>
      <c r="L150" s="30" t="s">
        <v>190</v>
      </c>
      <c r="M150" s="30" t="s">
        <v>189</v>
      </c>
      <c r="N150" s="30" t="s">
        <v>188</v>
      </c>
      <c r="O150" s="30" t="s">
        <v>187</v>
      </c>
      <c r="P150" s="30" t="s">
        <v>186</v>
      </c>
      <c r="Q150" s="30" t="s">
        <v>185</v>
      </c>
      <c r="R150" s="30" t="s">
        <v>184</v>
      </c>
      <c r="S150" s="30" t="s">
        <v>183</v>
      </c>
      <c r="T150" s="30" t="s">
        <v>182</v>
      </c>
      <c r="U150" s="30" t="s">
        <v>181</v>
      </c>
      <c r="V150" s="30" t="s">
        <v>180</v>
      </c>
      <c r="W150" s="30" t="s">
        <v>179</v>
      </c>
      <c r="X150" s="30" t="s">
        <v>178</v>
      </c>
      <c r="Y150" s="30" t="s">
        <v>177</v>
      </c>
      <c r="Z150" s="30" t="s">
        <v>176</v>
      </c>
      <c r="AA150" s="30" t="s">
        <v>175</v>
      </c>
      <c r="AB150" s="30" t="s">
        <v>174</v>
      </c>
      <c r="AC150" s="30" t="s">
        <v>173</v>
      </c>
      <c r="AD150" s="30" t="s">
        <v>172</v>
      </c>
      <c r="AE150" s="30" t="s">
        <v>171</v>
      </c>
      <c r="AF150" s="30" t="s">
        <v>170</v>
      </c>
      <c r="AG150" s="30" t="s">
        <v>169</v>
      </c>
      <c r="AH150" s="30" t="s">
        <v>168</v>
      </c>
      <c r="AI150" s="30" t="s">
        <v>167</v>
      </c>
      <c r="AJ150" s="29" t="s">
        <v>166</v>
      </c>
      <c r="AK150" s="2"/>
    </row>
    <row r="151" spans="2:37" ht="19.5" customHeight="1" thickTop="1" thickBot="1" x14ac:dyDescent="0.3">
      <c r="B151" s="28"/>
      <c r="C151" s="27" t="str">
        <f>DADOS!$AH$3</f>
        <v>📝 COE</v>
      </c>
      <c r="D151" s="26" t="str">
        <f>IF(investiroutrosconsolidadomar[[#This Row],[TOTAL (R$)]]=0,"",IF(OR(investiroutrosconsolidadomar[[#This Row],[TOTAL (R$)]]=LARGE($AJ$151:$AJ$158,1),investiroutrosconsolidadomar[[#This Row],[TOTAL (R$)]]=LARGE($AJ$151:$AJ$158,2)),DADOS!$I$10,""))</f>
        <v/>
      </c>
      <c r="E151" s="96">
        <f>SUMIFS(tabela_registros[VALOR],tabela_registros[MÊS],$AE$1,tabela_registros[DIA],investiroutrosconsolidadomar[[#Headers],[1]],tabela_registros[REGISTRO],DADOS!$N$5,tabela_registros[TIPO],DADOS!$AB$5,tabela_registros[CATEGORIA],investiroutrosconsolidadomar[[#This Row],[ATUAL]])</f>
        <v>0</v>
      </c>
      <c r="F151" s="91">
        <f>SUMIFS(tabela_registros[VALOR],tabela_registros[MÊS],$AE$1,tabela_registros[DIA],investiroutrosconsolidadomar[[#Headers],[2]],tabela_registros[REGISTRO],DADOS!$N$5,tabela_registros[TIPO],DADOS!$AB$5,tabela_registros[CATEGORIA],investiroutrosconsolidadomar[[#This Row],[ATUAL]])</f>
        <v>0</v>
      </c>
      <c r="G151" s="91">
        <f>SUMIFS(tabela_registros[VALOR],tabela_registros[MÊS],$AE$1,tabela_registros[DIA],investiroutrosconsolidadomar[[#Headers],[3]],tabela_registros[REGISTRO],DADOS!$N$5,tabela_registros[TIPO],DADOS!$AB$5,tabela_registros[CATEGORIA],investiroutrosconsolidadomar[[#This Row],[ATUAL]])</f>
        <v>0</v>
      </c>
      <c r="H151" s="91">
        <f>SUMIFS(tabela_registros[VALOR],tabela_registros[MÊS],$AE$1,tabela_registros[DIA],investiroutrosconsolidadomar[[#Headers],[4]],tabela_registros[REGISTRO],DADOS!$N$5,tabela_registros[TIPO],DADOS!$AB$5,tabela_registros[CATEGORIA],investiroutrosconsolidadomar[[#This Row],[ATUAL]])</f>
        <v>0</v>
      </c>
      <c r="I151" s="91">
        <f>SUMIFS(tabela_registros[VALOR],tabela_registros[MÊS],$AE$1,tabela_registros[DIA],investiroutrosconsolidadomar[[#Headers],[5]],tabela_registros[REGISTRO],DADOS!$N$5,tabela_registros[TIPO],DADOS!$AB$5,tabela_registros[CATEGORIA],investiroutrosconsolidadomar[[#This Row],[ATUAL]])</f>
        <v>0</v>
      </c>
      <c r="J151" s="91">
        <f>SUMIFS(tabela_registros[VALOR],tabela_registros[MÊS],$AE$1,tabela_registros[DIA],investiroutrosconsolidadomar[[#Headers],[6]],tabela_registros[REGISTRO],DADOS!$N$5,tabela_registros[TIPO],DADOS!$AB$5,tabela_registros[CATEGORIA],investiroutrosconsolidadomar[[#This Row],[ATUAL]])</f>
        <v>0</v>
      </c>
      <c r="K151" s="91">
        <f>SUMIFS(tabela_registros[VALOR],tabela_registros[MÊS],$AE$1,tabela_registros[DIA],investiroutrosconsolidadomar[[#Headers],[7]],tabela_registros[REGISTRO],DADOS!$N$5,tabela_registros[TIPO],DADOS!$AB$5,tabela_registros[CATEGORIA],investiroutrosconsolidadomar[[#This Row],[ATUAL]])</f>
        <v>0</v>
      </c>
      <c r="L151" s="91">
        <f>SUMIFS(tabela_registros[VALOR],tabela_registros[MÊS],$AE$1,tabela_registros[DIA],investiroutrosconsolidadomar[[#Headers],[8]],tabela_registros[REGISTRO],DADOS!$N$5,tabela_registros[TIPO],DADOS!$AB$5,tabela_registros[CATEGORIA],investiroutrosconsolidadomar[[#This Row],[ATUAL]])</f>
        <v>0</v>
      </c>
      <c r="M151" s="91">
        <f>SUMIFS(tabela_registros[VALOR],tabela_registros[MÊS],$AE$1,tabela_registros[DIA],investiroutrosconsolidadomar[[#Headers],[9]],tabela_registros[REGISTRO],DADOS!$N$5,tabela_registros[TIPO],DADOS!$AB$5,tabela_registros[CATEGORIA],investiroutrosconsolidadomar[[#This Row],[ATUAL]])</f>
        <v>0</v>
      </c>
      <c r="N151" s="91">
        <f>SUMIFS(tabela_registros[VALOR],tabela_registros[MÊS],$AE$1,tabela_registros[DIA],investiroutrosconsolidadomar[[#Headers],[10]],tabela_registros[REGISTRO],DADOS!$N$5,tabela_registros[TIPO],DADOS!$AB$5,tabela_registros[CATEGORIA],investiroutrosconsolidadomar[[#This Row],[ATUAL]])</f>
        <v>0</v>
      </c>
      <c r="O151" s="91">
        <f>SUMIFS(tabela_registros[VALOR],tabela_registros[MÊS],$AE$1,tabela_registros[DIA],investiroutrosconsolidadomar[[#Headers],[11]],tabela_registros[REGISTRO],DADOS!$N$5,tabela_registros[TIPO],DADOS!$AB$5,tabela_registros[CATEGORIA],investiroutrosconsolidadomar[[#This Row],[ATUAL]])</f>
        <v>0</v>
      </c>
      <c r="P151" s="91">
        <f>SUMIFS(tabela_registros[VALOR],tabela_registros[MÊS],$AE$1,tabela_registros[DIA],investiroutrosconsolidadomar[[#Headers],[12]],tabela_registros[REGISTRO],DADOS!$N$5,tabela_registros[TIPO],DADOS!$AB$5,tabela_registros[CATEGORIA],investiroutrosconsolidadomar[[#This Row],[ATUAL]])</f>
        <v>0</v>
      </c>
      <c r="Q151" s="91">
        <f>SUMIFS(tabela_registros[VALOR],tabela_registros[MÊS],$AE$1,tabela_registros[DIA],investiroutrosconsolidadomar[[#Headers],[13]],tabela_registros[REGISTRO],DADOS!$N$5,tabela_registros[TIPO],DADOS!$AB$5,tabela_registros[CATEGORIA],investiroutrosconsolidadomar[[#This Row],[ATUAL]])</f>
        <v>0</v>
      </c>
      <c r="R151" s="91">
        <f>SUMIFS(tabela_registros[VALOR],tabela_registros[MÊS],$AE$1,tabela_registros[DIA],investiroutrosconsolidadomar[[#Headers],[14]],tabela_registros[REGISTRO],DADOS!$N$5,tabela_registros[TIPO],DADOS!$AB$5,tabela_registros[CATEGORIA],investiroutrosconsolidadomar[[#This Row],[ATUAL]])</f>
        <v>0</v>
      </c>
      <c r="S151" s="91">
        <f>SUMIFS(tabela_registros[VALOR],tabela_registros[MÊS],$AE$1,tabela_registros[DIA],investiroutrosconsolidadomar[[#Headers],[15]],tabela_registros[REGISTRO],DADOS!$N$5,tabela_registros[TIPO],DADOS!$AB$5,tabela_registros[CATEGORIA],investiroutrosconsolidadomar[[#This Row],[ATUAL]])</f>
        <v>0</v>
      </c>
      <c r="T151" s="91">
        <f>SUMIFS(tabela_registros[VALOR],tabela_registros[MÊS],$AE$1,tabela_registros[DIA],investiroutrosconsolidadomar[[#Headers],[16]],tabela_registros[REGISTRO],DADOS!$N$5,tabela_registros[TIPO],DADOS!$AB$5,tabela_registros[CATEGORIA],investiroutrosconsolidadomar[[#This Row],[ATUAL]])</f>
        <v>0</v>
      </c>
      <c r="U151" s="91">
        <f>SUMIFS(tabela_registros[VALOR],tabela_registros[MÊS],$AE$1,tabela_registros[DIA],investiroutrosconsolidadomar[[#Headers],[17]],tabela_registros[REGISTRO],DADOS!$N$5,tabela_registros[TIPO],DADOS!$AB$5,tabela_registros[CATEGORIA],investiroutrosconsolidadomar[[#This Row],[ATUAL]])</f>
        <v>0</v>
      </c>
      <c r="V151" s="91">
        <f>SUMIFS(tabela_registros[VALOR],tabela_registros[MÊS],$AE$1,tabela_registros[DIA],investiroutrosconsolidadomar[[#Headers],[18]],tabela_registros[REGISTRO],DADOS!$N$5,tabela_registros[TIPO],DADOS!$AB$5,tabela_registros[CATEGORIA],investiroutrosconsolidadomar[[#This Row],[ATUAL]])</f>
        <v>0</v>
      </c>
      <c r="W151" s="91">
        <f>SUMIFS(tabela_registros[VALOR],tabela_registros[MÊS],$AE$1,tabela_registros[DIA],investiroutrosconsolidadomar[[#Headers],[19]],tabela_registros[REGISTRO],DADOS!$N$5,tabela_registros[TIPO],DADOS!$AB$5,tabela_registros[CATEGORIA],investiroutrosconsolidadomar[[#This Row],[ATUAL]])</f>
        <v>0</v>
      </c>
      <c r="X151" s="91">
        <f>SUMIFS(tabela_registros[VALOR],tabela_registros[MÊS],$AE$1,tabela_registros[DIA],investiroutrosconsolidadomar[[#Headers],[20]],tabela_registros[REGISTRO],DADOS!$N$5,tabela_registros[TIPO],DADOS!$AB$5,tabela_registros[CATEGORIA],investiroutrosconsolidadomar[[#This Row],[ATUAL]])</f>
        <v>0</v>
      </c>
      <c r="Y151" s="91">
        <f>SUMIFS(tabela_registros[VALOR],tabela_registros[MÊS],$AE$1,tabela_registros[DIA],investiroutrosconsolidadomar[[#Headers],[21]],tabela_registros[REGISTRO],DADOS!$N$5,tabela_registros[TIPO],DADOS!$AB$5,tabela_registros[CATEGORIA],investiroutrosconsolidadomar[[#This Row],[ATUAL]])</f>
        <v>0</v>
      </c>
      <c r="Z151" s="91">
        <f>SUMIFS(tabela_registros[VALOR],tabela_registros[MÊS],$AE$1,tabela_registros[DIA],investiroutrosconsolidadomar[[#Headers],[22]],tabela_registros[REGISTRO],DADOS!$N$5,tabela_registros[TIPO],DADOS!$AB$5,tabela_registros[CATEGORIA],investiroutrosconsolidadomar[[#This Row],[ATUAL]])</f>
        <v>0</v>
      </c>
      <c r="AA151" s="91">
        <f>SUMIFS(tabela_registros[VALOR],tabela_registros[MÊS],$AE$1,tabela_registros[DIA],investiroutrosconsolidadomar[[#Headers],[23]],tabela_registros[REGISTRO],DADOS!$N$5,tabela_registros[TIPO],DADOS!$AB$5,tabela_registros[CATEGORIA],investiroutrosconsolidadomar[[#This Row],[ATUAL]])</f>
        <v>0</v>
      </c>
      <c r="AB151" s="91">
        <f>SUMIFS(tabela_registros[VALOR],tabela_registros[MÊS],$AE$1,tabela_registros[DIA],investiroutrosconsolidadomar[[#Headers],[24]],tabela_registros[REGISTRO],DADOS!$N$5,tabela_registros[TIPO],DADOS!$AB$5,tabela_registros[CATEGORIA],investiroutrosconsolidadomar[[#This Row],[ATUAL]])</f>
        <v>0</v>
      </c>
      <c r="AC151" s="91">
        <f>SUMIFS(tabela_registros[VALOR],tabela_registros[MÊS],$AE$1,tabela_registros[DIA],investiroutrosconsolidadomar[[#Headers],[25]],tabela_registros[REGISTRO],DADOS!$N$5,tabela_registros[TIPO],DADOS!$AB$5,tabela_registros[CATEGORIA],investiroutrosconsolidadomar[[#This Row],[ATUAL]])</f>
        <v>0</v>
      </c>
      <c r="AD151" s="91">
        <f>SUMIFS(tabela_registros[VALOR],tabela_registros[MÊS],$AE$1,tabela_registros[DIA],investiroutrosconsolidadomar[[#Headers],[26]],tabela_registros[REGISTRO],DADOS!$N$5,tabela_registros[TIPO],DADOS!$AB$5,tabela_registros[CATEGORIA],investiroutrosconsolidadomar[[#This Row],[ATUAL]])</f>
        <v>0</v>
      </c>
      <c r="AE151" s="91">
        <f>SUMIFS(tabela_registros[VALOR],tabela_registros[MÊS],$AE$1,tabela_registros[DIA],investiroutrosconsolidadomar[[#Headers],[27]],tabela_registros[REGISTRO],DADOS!$N$5,tabela_registros[TIPO],DADOS!$AB$5,tabela_registros[CATEGORIA],investiroutrosconsolidadomar[[#This Row],[ATUAL]])</f>
        <v>0</v>
      </c>
      <c r="AF151" s="91">
        <f>SUMIFS(tabela_registros[VALOR],tabela_registros[MÊS],$AE$1,tabela_registros[DIA],investiroutrosconsolidadomar[[#Headers],[28]],tabela_registros[REGISTRO],DADOS!$N$5,tabela_registros[TIPO],DADOS!$AB$5,tabela_registros[CATEGORIA],investiroutrosconsolidadomar[[#This Row],[ATUAL]])</f>
        <v>0</v>
      </c>
      <c r="AG151" s="91">
        <f>SUMIFS(tabela_registros[VALOR],tabela_registros[MÊS],$AE$1,tabela_registros[DIA],investiroutrosconsolidadomar[[#Headers],[29]],tabela_registros[REGISTRO],DADOS!$N$5,tabela_registros[TIPO],DADOS!$AB$5,tabela_registros[CATEGORIA],investiroutrosconsolidadomar[[#This Row],[ATUAL]])</f>
        <v>0</v>
      </c>
      <c r="AH151" s="91">
        <f>SUMIFS(tabela_registros[VALOR],tabela_registros[MÊS],$AE$1,tabela_registros[DIA],investiroutrosconsolidadomar[[#Headers],[30]],tabela_registros[REGISTRO],DADOS!$N$5,tabela_registros[TIPO],DADOS!$AB$5,tabela_registros[CATEGORIA],investiroutrosconsolidadomar[[#This Row],[ATUAL]])</f>
        <v>0</v>
      </c>
      <c r="AI151" s="101">
        <f>SUMIFS(tabela_registros[VALOR],tabela_registros[MÊS],$AE$1,tabela_registros[DIA],investiroutrosconsolidadomar[[#Headers],[31]],tabela_registros[REGISTRO],DADOS!$N$5,tabela_registros[TIPO],DADOS!$AB$5,tabela_registros[CATEGORIA],investiroutrosconsolidadomar[[#This Row],[ATUAL]])</f>
        <v>0</v>
      </c>
      <c r="AJ151" s="97">
        <f>SUM(investiroutrosconsolidadomar[[#This Row],[1]:[31]])</f>
        <v>0</v>
      </c>
      <c r="AK151" s="25"/>
    </row>
    <row r="152" spans="2:37" ht="19.5" customHeight="1" thickTop="1" thickBot="1" x14ac:dyDescent="0.3">
      <c r="B152" s="28"/>
      <c r="C152" s="27" t="str">
        <f>DADOS!$AH$4</f>
        <v>📝 FOREX</v>
      </c>
      <c r="D152" s="26" t="str">
        <f>IF(investiroutrosconsolidadomar[[#This Row],[TOTAL (R$)]]=0,"",IF(OR(investiroutrosconsolidadomar[[#This Row],[TOTAL (R$)]]=LARGE($AJ$151:$AJ$158,1),investiroutrosconsolidadomar[[#This Row],[TOTAL (R$)]]=LARGE($AJ$151:$AJ$158,2)),DADOS!$I$10,""))</f>
        <v/>
      </c>
      <c r="E152" s="96">
        <f>SUMIFS(tabela_registros[VALOR],tabela_registros[MÊS],$AE$1,tabela_registros[DIA],investiroutrosconsolidadomar[[#Headers],[1]],tabela_registros[REGISTRO],DADOS!$N$5,tabela_registros[TIPO],DADOS!$AB$5,tabela_registros[CATEGORIA],investiroutrosconsolidadomar[[#This Row],[ATUAL]])</f>
        <v>0</v>
      </c>
      <c r="F152" s="91">
        <f>SUMIFS(tabela_registros[VALOR],tabela_registros[MÊS],$AE$1,tabela_registros[DIA],investiroutrosconsolidadomar[[#Headers],[2]],tabela_registros[REGISTRO],DADOS!$N$5,tabela_registros[TIPO],DADOS!$AB$5,tabela_registros[CATEGORIA],investiroutrosconsolidadomar[[#This Row],[ATUAL]])</f>
        <v>0</v>
      </c>
      <c r="G152" s="91">
        <f>SUMIFS(tabela_registros[VALOR],tabela_registros[MÊS],$AE$1,tabela_registros[DIA],investiroutrosconsolidadomar[[#Headers],[3]],tabela_registros[REGISTRO],DADOS!$N$5,tabela_registros[TIPO],DADOS!$AB$5,tabela_registros[CATEGORIA],investiroutrosconsolidadomar[[#This Row],[ATUAL]])</f>
        <v>0</v>
      </c>
      <c r="H152" s="91">
        <f>SUMIFS(tabela_registros[VALOR],tabela_registros[MÊS],$AE$1,tabela_registros[DIA],investiroutrosconsolidadomar[[#Headers],[4]],tabela_registros[REGISTRO],DADOS!$N$5,tabela_registros[TIPO],DADOS!$AB$5,tabela_registros[CATEGORIA],investiroutrosconsolidadomar[[#This Row],[ATUAL]])</f>
        <v>0</v>
      </c>
      <c r="I152" s="91">
        <f>SUMIFS(tabela_registros[VALOR],tabela_registros[MÊS],$AE$1,tabela_registros[DIA],investiroutrosconsolidadomar[[#Headers],[5]],tabela_registros[REGISTRO],DADOS!$N$5,tabela_registros[TIPO],DADOS!$AB$5,tabela_registros[CATEGORIA],investiroutrosconsolidadomar[[#This Row],[ATUAL]])</f>
        <v>0</v>
      </c>
      <c r="J152" s="91">
        <f>SUMIFS(tabela_registros[VALOR],tabela_registros[MÊS],$AE$1,tabela_registros[DIA],investiroutrosconsolidadomar[[#Headers],[6]],tabela_registros[REGISTRO],DADOS!$N$5,tabela_registros[TIPO],DADOS!$AB$5,tabela_registros[CATEGORIA],investiroutrosconsolidadomar[[#This Row],[ATUAL]])</f>
        <v>0</v>
      </c>
      <c r="K152" s="91">
        <f>SUMIFS(tabela_registros[VALOR],tabela_registros[MÊS],$AE$1,tabela_registros[DIA],investiroutrosconsolidadomar[[#Headers],[7]],tabela_registros[REGISTRO],DADOS!$N$5,tabela_registros[TIPO],DADOS!$AB$5,tabela_registros[CATEGORIA],investiroutrosconsolidadomar[[#This Row],[ATUAL]])</f>
        <v>0</v>
      </c>
      <c r="L152" s="91">
        <f>SUMIFS(tabela_registros[VALOR],tabela_registros[MÊS],$AE$1,tabela_registros[DIA],investiroutrosconsolidadomar[[#Headers],[8]],tabela_registros[REGISTRO],DADOS!$N$5,tabela_registros[TIPO],DADOS!$AB$5,tabela_registros[CATEGORIA],investiroutrosconsolidadomar[[#This Row],[ATUAL]])</f>
        <v>0</v>
      </c>
      <c r="M152" s="91">
        <f>SUMIFS(tabela_registros[VALOR],tabela_registros[MÊS],$AE$1,tabela_registros[DIA],investiroutrosconsolidadomar[[#Headers],[9]],tabela_registros[REGISTRO],DADOS!$N$5,tabela_registros[TIPO],DADOS!$AB$5,tabela_registros[CATEGORIA],investiroutrosconsolidadomar[[#This Row],[ATUAL]])</f>
        <v>0</v>
      </c>
      <c r="N152" s="91">
        <f>SUMIFS(tabela_registros[VALOR],tabela_registros[MÊS],$AE$1,tabela_registros[DIA],investiroutrosconsolidadomar[[#Headers],[10]],tabela_registros[REGISTRO],DADOS!$N$5,tabela_registros[TIPO],DADOS!$AB$5,tabela_registros[CATEGORIA],investiroutrosconsolidadomar[[#This Row],[ATUAL]])</f>
        <v>0</v>
      </c>
      <c r="O152" s="91">
        <f>SUMIFS(tabela_registros[VALOR],tabela_registros[MÊS],$AE$1,tabela_registros[DIA],investiroutrosconsolidadomar[[#Headers],[11]],tabela_registros[REGISTRO],DADOS!$N$5,tabela_registros[TIPO],DADOS!$AB$5,tabela_registros[CATEGORIA],investiroutrosconsolidadomar[[#This Row],[ATUAL]])</f>
        <v>0</v>
      </c>
      <c r="P152" s="91">
        <f>SUMIFS(tabela_registros[VALOR],tabela_registros[MÊS],$AE$1,tabela_registros[DIA],investiroutrosconsolidadomar[[#Headers],[12]],tabela_registros[REGISTRO],DADOS!$N$5,tabela_registros[TIPO],DADOS!$AB$5,tabela_registros[CATEGORIA],investiroutrosconsolidadomar[[#This Row],[ATUAL]])</f>
        <v>0</v>
      </c>
      <c r="Q152" s="91">
        <f>SUMIFS(tabela_registros[VALOR],tabela_registros[MÊS],$AE$1,tabela_registros[DIA],investiroutrosconsolidadomar[[#Headers],[13]],tabela_registros[REGISTRO],DADOS!$N$5,tabela_registros[TIPO],DADOS!$AB$5,tabela_registros[CATEGORIA],investiroutrosconsolidadomar[[#This Row],[ATUAL]])</f>
        <v>0</v>
      </c>
      <c r="R152" s="91">
        <f>SUMIFS(tabela_registros[VALOR],tabela_registros[MÊS],$AE$1,tabela_registros[DIA],investiroutrosconsolidadomar[[#Headers],[14]],tabela_registros[REGISTRO],DADOS!$N$5,tabela_registros[TIPO],DADOS!$AB$5,tabela_registros[CATEGORIA],investiroutrosconsolidadomar[[#This Row],[ATUAL]])</f>
        <v>0</v>
      </c>
      <c r="S152" s="91">
        <f>SUMIFS(tabela_registros[VALOR],tabela_registros[MÊS],$AE$1,tabela_registros[DIA],investiroutrosconsolidadomar[[#Headers],[15]],tabela_registros[REGISTRO],DADOS!$N$5,tabela_registros[TIPO],DADOS!$AB$5,tabela_registros[CATEGORIA],investiroutrosconsolidadomar[[#This Row],[ATUAL]])</f>
        <v>0</v>
      </c>
      <c r="T152" s="91">
        <f>SUMIFS(tabela_registros[VALOR],tabela_registros[MÊS],$AE$1,tabela_registros[DIA],investiroutrosconsolidadomar[[#Headers],[16]],tabela_registros[REGISTRO],DADOS!$N$5,tabela_registros[TIPO],DADOS!$AB$5,tabela_registros[CATEGORIA],investiroutrosconsolidadomar[[#This Row],[ATUAL]])</f>
        <v>0</v>
      </c>
      <c r="U152" s="91">
        <f>SUMIFS(tabela_registros[VALOR],tabela_registros[MÊS],$AE$1,tabela_registros[DIA],investiroutrosconsolidadomar[[#Headers],[17]],tabela_registros[REGISTRO],DADOS!$N$5,tabela_registros[TIPO],DADOS!$AB$5,tabela_registros[CATEGORIA],investiroutrosconsolidadomar[[#This Row],[ATUAL]])</f>
        <v>0</v>
      </c>
      <c r="V152" s="91">
        <f>SUMIFS(tabela_registros[VALOR],tabela_registros[MÊS],$AE$1,tabela_registros[DIA],investiroutrosconsolidadomar[[#Headers],[18]],tabela_registros[REGISTRO],DADOS!$N$5,tabela_registros[TIPO],DADOS!$AB$5,tabela_registros[CATEGORIA],investiroutrosconsolidadomar[[#This Row],[ATUAL]])</f>
        <v>0</v>
      </c>
      <c r="W152" s="91">
        <f>SUMIFS(tabela_registros[VALOR],tabela_registros[MÊS],$AE$1,tabela_registros[DIA],investiroutrosconsolidadomar[[#Headers],[19]],tabela_registros[REGISTRO],DADOS!$N$5,tabela_registros[TIPO],DADOS!$AB$5,tabela_registros[CATEGORIA],investiroutrosconsolidadomar[[#This Row],[ATUAL]])</f>
        <v>0</v>
      </c>
      <c r="X152" s="91">
        <f>SUMIFS(tabela_registros[VALOR],tabela_registros[MÊS],$AE$1,tabela_registros[DIA],investiroutrosconsolidadomar[[#Headers],[20]],tabela_registros[REGISTRO],DADOS!$N$5,tabela_registros[TIPO],DADOS!$AB$5,tabela_registros[CATEGORIA],investiroutrosconsolidadomar[[#This Row],[ATUAL]])</f>
        <v>0</v>
      </c>
      <c r="Y152" s="91">
        <f>SUMIFS(tabela_registros[VALOR],tabela_registros[MÊS],$AE$1,tabela_registros[DIA],investiroutrosconsolidadomar[[#Headers],[21]],tabela_registros[REGISTRO],DADOS!$N$5,tabela_registros[TIPO],DADOS!$AB$5,tabela_registros[CATEGORIA],investiroutrosconsolidadomar[[#This Row],[ATUAL]])</f>
        <v>0</v>
      </c>
      <c r="Z152" s="91">
        <f>SUMIFS(tabela_registros[VALOR],tabela_registros[MÊS],$AE$1,tabela_registros[DIA],investiroutrosconsolidadomar[[#Headers],[22]],tabela_registros[REGISTRO],DADOS!$N$5,tabela_registros[TIPO],DADOS!$AB$5,tabela_registros[CATEGORIA],investiroutrosconsolidadomar[[#This Row],[ATUAL]])</f>
        <v>0</v>
      </c>
      <c r="AA152" s="91">
        <f>SUMIFS(tabela_registros[VALOR],tabela_registros[MÊS],$AE$1,tabela_registros[DIA],investiroutrosconsolidadomar[[#Headers],[23]],tabela_registros[REGISTRO],DADOS!$N$5,tabela_registros[TIPO],DADOS!$AB$5,tabela_registros[CATEGORIA],investiroutrosconsolidadomar[[#This Row],[ATUAL]])</f>
        <v>0</v>
      </c>
      <c r="AB152" s="91">
        <f>SUMIFS(tabela_registros[VALOR],tabela_registros[MÊS],$AE$1,tabela_registros[DIA],investiroutrosconsolidadomar[[#Headers],[24]],tabela_registros[REGISTRO],DADOS!$N$5,tabela_registros[TIPO],DADOS!$AB$5,tabela_registros[CATEGORIA],investiroutrosconsolidadomar[[#This Row],[ATUAL]])</f>
        <v>0</v>
      </c>
      <c r="AC152" s="91">
        <f>SUMIFS(tabela_registros[VALOR],tabela_registros[MÊS],$AE$1,tabela_registros[DIA],investiroutrosconsolidadomar[[#Headers],[25]],tabela_registros[REGISTRO],DADOS!$N$5,tabela_registros[TIPO],DADOS!$AB$5,tabela_registros[CATEGORIA],investiroutrosconsolidadomar[[#This Row],[ATUAL]])</f>
        <v>0</v>
      </c>
      <c r="AD152" s="91">
        <f>SUMIFS(tabela_registros[VALOR],tabela_registros[MÊS],$AE$1,tabela_registros[DIA],investiroutrosconsolidadomar[[#Headers],[26]],tabela_registros[REGISTRO],DADOS!$N$5,tabela_registros[TIPO],DADOS!$AB$5,tabela_registros[CATEGORIA],investiroutrosconsolidadomar[[#This Row],[ATUAL]])</f>
        <v>0</v>
      </c>
      <c r="AE152" s="91">
        <f>SUMIFS(tabela_registros[VALOR],tabela_registros[MÊS],$AE$1,tabela_registros[DIA],investiroutrosconsolidadomar[[#Headers],[27]],tabela_registros[REGISTRO],DADOS!$N$5,tabela_registros[TIPO],DADOS!$AB$5,tabela_registros[CATEGORIA],investiroutrosconsolidadomar[[#This Row],[ATUAL]])</f>
        <v>0</v>
      </c>
      <c r="AF152" s="91">
        <f>SUMIFS(tabela_registros[VALOR],tabela_registros[MÊS],$AE$1,tabela_registros[DIA],investiroutrosconsolidadomar[[#Headers],[28]],tabela_registros[REGISTRO],DADOS!$N$5,tabela_registros[TIPO],DADOS!$AB$5,tabela_registros[CATEGORIA],investiroutrosconsolidadomar[[#This Row],[ATUAL]])</f>
        <v>0</v>
      </c>
      <c r="AG152" s="91">
        <f>SUMIFS(tabela_registros[VALOR],tabela_registros[MÊS],$AE$1,tabela_registros[DIA],investiroutrosconsolidadomar[[#Headers],[29]],tabela_registros[REGISTRO],DADOS!$N$5,tabela_registros[TIPO],DADOS!$AB$5,tabela_registros[CATEGORIA],investiroutrosconsolidadomar[[#This Row],[ATUAL]])</f>
        <v>0</v>
      </c>
      <c r="AH152" s="91">
        <f>SUMIFS(tabela_registros[VALOR],tabela_registros[MÊS],$AE$1,tabela_registros[DIA],investiroutrosconsolidadomar[[#Headers],[30]],tabela_registros[REGISTRO],DADOS!$N$5,tabela_registros[TIPO],DADOS!$AB$5,tabela_registros[CATEGORIA],investiroutrosconsolidadomar[[#This Row],[ATUAL]])</f>
        <v>0</v>
      </c>
      <c r="AI152" s="101">
        <f>SUMIFS(tabela_registros[VALOR],tabela_registros[MÊS],$AE$1,tabela_registros[DIA],investiroutrosconsolidadomar[[#Headers],[31]],tabela_registros[REGISTRO],DADOS!$N$5,tabela_registros[TIPO],DADOS!$AB$5,tabela_registros[CATEGORIA],investiroutrosconsolidadomar[[#This Row],[ATUAL]])</f>
        <v>0</v>
      </c>
      <c r="AJ152" s="97">
        <f>SUM(investiroutrosconsolidadomar[[#This Row],[1]:[31]])</f>
        <v>0</v>
      </c>
      <c r="AK152" s="25"/>
    </row>
    <row r="153" spans="2:37" ht="19.5" customHeight="1" thickTop="1" thickBot="1" x14ac:dyDescent="0.3">
      <c r="B153" s="28"/>
      <c r="C153" s="27" t="str">
        <f>DADOS!$AH$5</f>
        <v>📝 FUNDO DE INVESTIMENTO</v>
      </c>
      <c r="D153" s="26" t="str">
        <f>IF(investiroutrosconsolidadomar[[#This Row],[TOTAL (R$)]]=0,"",IF(OR(investiroutrosconsolidadomar[[#This Row],[TOTAL (R$)]]=LARGE($AJ$151:$AJ$158,1),investiroutrosconsolidadomar[[#This Row],[TOTAL (R$)]]=LARGE($AJ$151:$AJ$158,2)),DADOS!$I$10,""))</f>
        <v/>
      </c>
      <c r="E153" s="96">
        <f>SUMIFS(tabela_registros[VALOR],tabela_registros[MÊS],$AE$1,tabela_registros[DIA],investiroutrosconsolidadomar[[#Headers],[1]],tabela_registros[REGISTRO],DADOS!$N$5,tabela_registros[TIPO],DADOS!$AB$5,tabela_registros[CATEGORIA],investiroutrosconsolidadomar[[#This Row],[ATUAL]])</f>
        <v>0</v>
      </c>
      <c r="F153" s="91">
        <f>SUMIFS(tabela_registros[VALOR],tabela_registros[MÊS],$AE$1,tabela_registros[DIA],investiroutrosconsolidadomar[[#Headers],[2]],tabela_registros[REGISTRO],DADOS!$N$5,tabela_registros[TIPO],DADOS!$AB$5,tabela_registros[CATEGORIA],investiroutrosconsolidadomar[[#This Row],[ATUAL]])</f>
        <v>0</v>
      </c>
      <c r="G153" s="91">
        <f>SUMIFS(tabela_registros[VALOR],tabela_registros[MÊS],$AE$1,tabela_registros[DIA],investiroutrosconsolidadomar[[#Headers],[3]],tabela_registros[REGISTRO],DADOS!$N$5,tabela_registros[TIPO],DADOS!$AB$5,tabela_registros[CATEGORIA],investiroutrosconsolidadomar[[#This Row],[ATUAL]])</f>
        <v>0</v>
      </c>
      <c r="H153" s="91">
        <f>SUMIFS(tabela_registros[VALOR],tabela_registros[MÊS],$AE$1,tabela_registros[DIA],investiroutrosconsolidadomar[[#Headers],[4]],tabela_registros[REGISTRO],DADOS!$N$5,tabela_registros[TIPO],DADOS!$AB$5,tabela_registros[CATEGORIA],investiroutrosconsolidadomar[[#This Row],[ATUAL]])</f>
        <v>0</v>
      </c>
      <c r="I153" s="91">
        <f>SUMIFS(tabela_registros[VALOR],tabela_registros[MÊS],$AE$1,tabela_registros[DIA],investiroutrosconsolidadomar[[#Headers],[5]],tabela_registros[REGISTRO],DADOS!$N$5,tabela_registros[TIPO],DADOS!$AB$5,tabela_registros[CATEGORIA],investiroutrosconsolidadomar[[#This Row],[ATUAL]])</f>
        <v>0</v>
      </c>
      <c r="J153" s="91">
        <f>SUMIFS(tabela_registros[VALOR],tabela_registros[MÊS],$AE$1,tabela_registros[DIA],investiroutrosconsolidadomar[[#Headers],[6]],tabela_registros[REGISTRO],DADOS!$N$5,tabela_registros[TIPO],DADOS!$AB$5,tabela_registros[CATEGORIA],investiroutrosconsolidadomar[[#This Row],[ATUAL]])</f>
        <v>0</v>
      </c>
      <c r="K153" s="91">
        <f>SUMIFS(tabela_registros[VALOR],tabela_registros[MÊS],$AE$1,tabela_registros[DIA],investiroutrosconsolidadomar[[#Headers],[7]],tabela_registros[REGISTRO],DADOS!$N$5,tabela_registros[TIPO],DADOS!$AB$5,tabela_registros[CATEGORIA],investiroutrosconsolidadomar[[#This Row],[ATUAL]])</f>
        <v>0</v>
      </c>
      <c r="L153" s="91">
        <f>SUMIFS(tabela_registros[VALOR],tabela_registros[MÊS],$AE$1,tabela_registros[DIA],investiroutrosconsolidadomar[[#Headers],[8]],tabela_registros[REGISTRO],DADOS!$N$5,tabela_registros[TIPO],DADOS!$AB$5,tabela_registros[CATEGORIA],investiroutrosconsolidadomar[[#This Row],[ATUAL]])</f>
        <v>0</v>
      </c>
      <c r="M153" s="91">
        <f>SUMIFS(tabela_registros[VALOR],tabela_registros[MÊS],$AE$1,tabela_registros[DIA],investiroutrosconsolidadomar[[#Headers],[9]],tabela_registros[REGISTRO],DADOS!$N$5,tabela_registros[TIPO],DADOS!$AB$5,tabela_registros[CATEGORIA],investiroutrosconsolidadomar[[#This Row],[ATUAL]])</f>
        <v>0</v>
      </c>
      <c r="N153" s="91">
        <f>SUMIFS(tabela_registros[VALOR],tabela_registros[MÊS],$AE$1,tabela_registros[DIA],investiroutrosconsolidadomar[[#Headers],[10]],tabela_registros[REGISTRO],DADOS!$N$5,tabela_registros[TIPO],DADOS!$AB$5,tabela_registros[CATEGORIA],investiroutrosconsolidadomar[[#This Row],[ATUAL]])</f>
        <v>0</v>
      </c>
      <c r="O153" s="91">
        <f>SUMIFS(tabela_registros[VALOR],tabela_registros[MÊS],$AE$1,tabela_registros[DIA],investiroutrosconsolidadomar[[#Headers],[11]],tabela_registros[REGISTRO],DADOS!$N$5,tabela_registros[TIPO],DADOS!$AB$5,tabela_registros[CATEGORIA],investiroutrosconsolidadomar[[#This Row],[ATUAL]])</f>
        <v>0</v>
      </c>
      <c r="P153" s="91">
        <f>SUMIFS(tabela_registros[VALOR],tabela_registros[MÊS],$AE$1,tabela_registros[DIA],investiroutrosconsolidadomar[[#Headers],[12]],tabela_registros[REGISTRO],DADOS!$N$5,tabela_registros[TIPO],DADOS!$AB$5,tabela_registros[CATEGORIA],investiroutrosconsolidadomar[[#This Row],[ATUAL]])</f>
        <v>0</v>
      </c>
      <c r="Q153" s="91">
        <f>SUMIFS(tabela_registros[VALOR],tabela_registros[MÊS],$AE$1,tabela_registros[DIA],investiroutrosconsolidadomar[[#Headers],[13]],tabela_registros[REGISTRO],DADOS!$N$5,tabela_registros[TIPO],DADOS!$AB$5,tabela_registros[CATEGORIA],investiroutrosconsolidadomar[[#This Row],[ATUAL]])</f>
        <v>0</v>
      </c>
      <c r="R153" s="91">
        <f>SUMIFS(tabela_registros[VALOR],tabela_registros[MÊS],$AE$1,tabela_registros[DIA],investiroutrosconsolidadomar[[#Headers],[14]],tabela_registros[REGISTRO],DADOS!$N$5,tabela_registros[TIPO],DADOS!$AB$5,tabela_registros[CATEGORIA],investiroutrosconsolidadomar[[#This Row],[ATUAL]])</f>
        <v>0</v>
      </c>
      <c r="S153" s="91">
        <f>SUMIFS(tabela_registros[VALOR],tabela_registros[MÊS],$AE$1,tabela_registros[DIA],investiroutrosconsolidadomar[[#Headers],[15]],tabela_registros[REGISTRO],DADOS!$N$5,tabela_registros[TIPO],DADOS!$AB$5,tabela_registros[CATEGORIA],investiroutrosconsolidadomar[[#This Row],[ATUAL]])</f>
        <v>0</v>
      </c>
      <c r="T153" s="91">
        <f>SUMIFS(tabela_registros[VALOR],tabela_registros[MÊS],$AE$1,tabela_registros[DIA],investiroutrosconsolidadomar[[#Headers],[16]],tabela_registros[REGISTRO],DADOS!$N$5,tabela_registros[TIPO],DADOS!$AB$5,tabela_registros[CATEGORIA],investiroutrosconsolidadomar[[#This Row],[ATUAL]])</f>
        <v>0</v>
      </c>
      <c r="U153" s="91">
        <f>SUMIFS(tabela_registros[VALOR],tabela_registros[MÊS],$AE$1,tabela_registros[DIA],investiroutrosconsolidadomar[[#Headers],[17]],tabela_registros[REGISTRO],DADOS!$N$5,tabela_registros[TIPO],DADOS!$AB$5,tabela_registros[CATEGORIA],investiroutrosconsolidadomar[[#This Row],[ATUAL]])</f>
        <v>0</v>
      </c>
      <c r="V153" s="91">
        <f>SUMIFS(tabela_registros[VALOR],tabela_registros[MÊS],$AE$1,tabela_registros[DIA],investiroutrosconsolidadomar[[#Headers],[18]],tabela_registros[REGISTRO],DADOS!$N$5,tabela_registros[TIPO],DADOS!$AB$5,tabela_registros[CATEGORIA],investiroutrosconsolidadomar[[#This Row],[ATUAL]])</f>
        <v>0</v>
      </c>
      <c r="W153" s="91">
        <f>SUMIFS(tabela_registros[VALOR],tabela_registros[MÊS],$AE$1,tabela_registros[DIA],investiroutrosconsolidadomar[[#Headers],[19]],tabela_registros[REGISTRO],DADOS!$N$5,tabela_registros[TIPO],DADOS!$AB$5,tabela_registros[CATEGORIA],investiroutrosconsolidadomar[[#This Row],[ATUAL]])</f>
        <v>0</v>
      </c>
      <c r="X153" s="91">
        <f>SUMIFS(tabela_registros[VALOR],tabela_registros[MÊS],$AE$1,tabela_registros[DIA],investiroutrosconsolidadomar[[#Headers],[20]],tabela_registros[REGISTRO],DADOS!$N$5,tabela_registros[TIPO],DADOS!$AB$5,tabela_registros[CATEGORIA],investiroutrosconsolidadomar[[#This Row],[ATUAL]])</f>
        <v>0</v>
      </c>
      <c r="Y153" s="91">
        <f>SUMIFS(tabela_registros[VALOR],tabela_registros[MÊS],$AE$1,tabela_registros[DIA],investiroutrosconsolidadomar[[#Headers],[21]],tabela_registros[REGISTRO],DADOS!$N$5,tabela_registros[TIPO],DADOS!$AB$5,tabela_registros[CATEGORIA],investiroutrosconsolidadomar[[#This Row],[ATUAL]])</f>
        <v>0</v>
      </c>
      <c r="Z153" s="91">
        <f>SUMIFS(tabela_registros[VALOR],tabela_registros[MÊS],$AE$1,tabela_registros[DIA],investiroutrosconsolidadomar[[#Headers],[22]],tabela_registros[REGISTRO],DADOS!$N$5,tabela_registros[TIPO],DADOS!$AB$5,tabela_registros[CATEGORIA],investiroutrosconsolidadomar[[#This Row],[ATUAL]])</f>
        <v>0</v>
      </c>
      <c r="AA153" s="91">
        <f>SUMIFS(tabela_registros[VALOR],tabela_registros[MÊS],$AE$1,tabela_registros[DIA],investiroutrosconsolidadomar[[#Headers],[23]],tabela_registros[REGISTRO],DADOS!$N$5,tabela_registros[TIPO],DADOS!$AB$5,tabela_registros[CATEGORIA],investiroutrosconsolidadomar[[#This Row],[ATUAL]])</f>
        <v>0</v>
      </c>
      <c r="AB153" s="91">
        <f>SUMIFS(tabela_registros[VALOR],tabela_registros[MÊS],$AE$1,tabela_registros[DIA],investiroutrosconsolidadomar[[#Headers],[24]],tabela_registros[REGISTRO],DADOS!$N$5,tabela_registros[TIPO],DADOS!$AB$5,tabela_registros[CATEGORIA],investiroutrosconsolidadomar[[#This Row],[ATUAL]])</f>
        <v>0</v>
      </c>
      <c r="AC153" s="91">
        <f>SUMIFS(tabela_registros[VALOR],tabela_registros[MÊS],$AE$1,tabela_registros[DIA],investiroutrosconsolidadomar[[#Headers],[25]],tabela_registros[REGISTRO],DADOS!$N$5,tabela_registros[TIPO],DADOS!$AB$5,tabela_registros[CATEGORIA],investiroutrosconsolidadomar[[#This Row],[ATUAL]])</f>
        <v>0</v>
      </c>
      <c r="AD153" s="91">
        <f>SUMIFS(tabela_registros[VALOR],tabela_registros[MÊS],$AE$1,tabela_registros[DIA],investiroutrosconsolidadomar[[#Headers],[26]],tabela_registros[REGISTRO],DADOS!$N$5,tabela_registros[TIPO],DADOS!$AB$5,tabela_registros[CATEGORIA],investiroutrosconsolidadomar[[#This Row],[ATUAL]])</f>
        <v>0</v>
      </c>
      <c r="AE153" s="91">
        <f>SUMIFS(tabela_registros[VALOR],tabela_registros[MÊS],$AE$1,tabela_registros[DIA],investiroutrosconsolidadomar[[#Headers],[27]],tabela_registros[REGISTRO],DADOS!$N$5,tabela_registros[TIPO],DADOS!$AB$5,tabela_registros[CATEGORIA],investiroutrosconsolidadomar[[#This Row],[ATUAL]])</f>
        <v>0</v>
      </c>
      <c r="AF153" s="91">
        <f>SUMIFS(tabela_registros[VALOR],tabela_registros[MÊS],$AE$1,tabela_registros[DIA],investiroutrosconsolidadomar[[#Headers],[28]],tabela_registros[REGISTRO],DADOS!$N$5,tabela_registros[TIPO],DADOS!$AB$5,tabela_registros[CATEGORIA],investiroutrosconsolidadomar[[#This Row],[ATUAL]])</f>
        <v>0</v>
      </c>
      <c r="AG153" s="91">
        <f>SUMIFS(tabela_registros[VALOR],tabela_registros[MÊS],$AE$1,tabela_registros[DIA],investiroutrosconsolidadomar[[#Headers],[29]],tabela_registros[REGISTRO],DADOS!$N$5,tabela_registros[TIPO],DADOS!$AB$5,tabela_registros[CATEGORIA],investiroutrosconsolidadomar[[#This Row],[ATUAL]])</f>
        <v>0</v>
      </c>
      <c r="AH153" s="91">
        <f>SUMIFS(tabela_registros[VALOR],tabela_registros[MÊS],$AE$1,tabela_registros[DIA],investiroutrosconsolidadomar[[#Headers],[30]],tabela_registros[REGISTRO],DADOS!$N$5,tabela_registros[TIPO],DADOS!$AB$5,tabela_registros[CATEGORIA],investiroutrosconsolidadomar[[#This Row],[ATUAL]])</f>
        <v>0</v>
      </c>
      <c r="AI153" s="101">
        <f>SUMIFS(tabela_registros[VALOR],tabela_registros[MÊS],$AE$1,tabela_registros[DIA],investiroutrosconsolidadomar[[#Headers],[31]],tabela_registros[REGISTRO],DADOS!$N$5,tabela_registros[TIPO],DADOS!$AB$5,tabela_registros[CATEGORIA],investiroutrosconsolidadomar[[#This Row],[ATUAL]])</f>
        <v>0</v>
      </c>
      <c r="AJ153" s="97">
        <f>SUM(investiroutrosconsolidadomar[[#This Row],[1]:[31]])</f>
        <v>0</v>
      </c>
      <c r="AK153" s="25"/>
    </row>
    <row r="154" spans="2:37" ht="19.5" customHeight="1" thickTop="1" thickBot="1" x14ac:dyDescent="0.3">
      <c r="B154" s="28"/>
      <c r="C154" s="27" t="str">
        <f>DADOS!$AH$6</f>
        <v>📝 NOVA EMPRESA</v>
      </c>
      <c r="D154" s="26" t="str">
        <f>IF(investiroutrosconsolidadomar[[#This Row],[TOTAL (R$)]]=0,"",IF(OR(investiroutrosconsolidadomar[[#This Row],[TOTAL (R$)]]=LARGE($AJ$151:$AJ$158,1),investiroutrosconsolidadomar[[#This Row],[TOTAL (R$)]]=LARGE($AJ$151:$AJ$158,2)),DADOS!$I$10,""))</f>
        <v/>
      </c>
      <c r="E154" s="96">
        <f>SUMIFS(tabela_registros[VALOR],tabela_registros[MÊS],$AE$1,tabela_registros[DIA],investiroutrosconsolidadomar[[#Headers],[1]],tabela_registros[REGISTRO],DADOS!$N$5,tabela_registros[TIPO],DADOS!$AB$5,tabela_registros[CATEGORIA],investiroutrosconsolidadomar[[#This Row],[ATUAL]])</f>
        <v>0</v>
      </c>
      <c r="F154" s="91">
        <f>SUMIFS(tabela_registros[VALOR],tabela_registros[MÊS],$AE$1,tabela_registros[DIA],investiroutrosconsolidadomar[[#Headers],[2]],tabela_registros[REGISTRO],DADOS!$N$5,tabela_registros[TIPO],DADOS!$AB$5,tabela_registros[CATEGORIA],investiroutrosconsolidadomar[[#This Row],[ATUAL]])</f>
        <v>0</v>
      </c>
      <c r="G154" s="91">
        <f>SUMIFS(tabela_registros[VALOR],tabela_registros[MÊS],$AE$1,tabela_registros[DIA],investiroutrosconsolidadomar[[#Headers],[3]],tabela_registros[REGISTRO],DADOS!$N$5,tabela_registros[TIPO],DADOS!$AB$5,tabela_registros[CATEGORIA],investiroutrosconsolidadomar[[#This Row],[ATUAL]])</f>
        <v>0</v>
      </c>
      <c r="H154" s="91">
        <f>SUMIFS(tabela_registros[VALOR],tabela_registros[MÊS],$AE$1,tabela_registros[DIA],investiroutrosconsolidadomar[[#Headers],[4]],tabela_registros[REGISTRO],DADOS!$N$5,tabela_registros[TIPO],DADOS!$AB$5,tabela_registros[CATEGORIA],investiroutrosconsolidadomar[[#This Row],[ATUAL]])</f>
        <v>0</v>
      </c>
      <c r="I154" s="91">
        <f>SUMIFS(tabela_registros[VALOR],tabela_registros[MÊS],$AE$1,tabela_registros[DIA],investiroutrosconsolidadomar[[#Headers],[5]],tabela_registros[REGISTRO],DADOS!$N$5,tabela_registros[TIPO],DADOS!$AB$5,tabela_registros[CATEGORIA],investiroutrosconsolidadomar[[#This Row],[ATUAL]])</f>
        <v>0</v>
      </c>
      <c r="J154" s="91">
        <f>SUMIFS(tabela_registros[VALOR],tabela_registros[MÊS],$AE$1,tabela_registros[DIA],investiroutrosconsolidadomar[[#Headers],[6]],tabela_registros[REGISTRO],DADOS!$N$5,tabela_registros[TIPO],DADOS!$AB$5,tabela_registros[CATEGORIA],investiroutrosconsolidadomar[[#This Row],[ATUAL]])</f>
        <v>0</v>
      </c>
      <c r="K154" s="91">
        <f>SUMIFS(tabela_registros[VALOR],tabela_registros[MÊS],$AE$1,tabela_registros[DIA],investiroutrosconsolidadomar[[#Headers],[7]],tabela_registros[REGISTRO],DADOS!$N$5,tabela_registros[TIPO],DADOS!$AB$5,tabela_registros[CATEGORIA],investiroutrosconsolidadomar[[#This Row],[ATUAL]])</f>
        <v>0</v>
      </c>
      <c r="L154" s="91">
        <f>SUMIFS(tabela_registros[VALOR],tabela_registros[MÊS],$AE$1,tabela_registros[DIA],investiroutrosconsolidadomar[[#Headers],[8]],tabela_registros[REGISTRO],DADOS!$N$5,tabela_registros[TIPO],DADOS!$AB$5,tabela_registros[CATEGORIA],investiroutrosconsolidadomar[[#This Row],[ATUAL]])</f>
        <v>0</v>
      </c>
      <c r="M154" s="91">
        <f>SUMIFS(tabela_registros[VALOR],tabela_registros[MÊS],$AE$1,tabela_registros[DIA],investiroutrosconsolidadomar[[#Headers],[9]],tabela_registros[REGISTRO],DADOS!$N$5,tabela_registros[TIPO],DADOS!$AB$5,tabela_registros[CATEGORIA],investiroutrosconsolidadomar[[#This Row],[ATUAL]])</f>
        <v>0</v>
      </c>
      <c r="N154" s="91">
        <f>SUMIFS(tabela_registros[VALOR],tabela_registros[MÊS],$AE$1,tabela_registros[DIA],investiroutrosconsolidadomar[[#Headers],[10]],tabela_registros[REGISTRO],DADOS!$N$5,tabela_registros[TIPO],DADOS!$AB$5,tabela_registros[CATEGORIA],investiroutrosconsolidadomar[[#This Row],[ATUAL]])</f>
        <v>0</v>
      </c>
      <c r="O154" s="91">
        <f>SUMIFS(tabela_registros[VALOR],tabela_registros[MÊS],$AE$1,tabela_registros[DIA],investiroutrosconsolidadomar[[#Headers],[11]],tabela_registros[REGISTRO],DADOS!$N$5,tabela_registros[TIPO],DADOS!$AB$5,tabela_registros[CATEGORIA],investiroutrosconsolidadomar[[#This Row],[ATUAL]])</f>
        <v>0</v>
      </c>
      <c r="P154" s="91">
        <f>SUMIFS(tabela_registros[VALOR],tabela_registros[MÊS],$AE$1,tabela_registros[DIA],investiroutrosconsolidadomar[[#Headers],[12]],tabela_registros[REGISTRO],DADOS!$N$5,tabela_registros[TIPO],DADOS!$AB$5,tabela_registros[CATEGORIA],investiroutrosconsolidadomar[[#This Row],[ATUAL]])</f>
        <v>0</v>
      </c>
      <c r="Q154" s="91">
        <f>SUMIFS(tabela_registros[VALOR],tabela_registros[MÊS],$AE$1,tabela_registros[DIA],investiroutrosconsolidadomar[[#Headers],[13]],tabela_registros[REGISTRO],DADOS!$N$5,tabela_registros[TIPO],DADOS!$AB$5,tabela_registros[CATEGORIA],investiroutrosconsolidadomar[[#This Row],[ATUAL]])</f>
        <v>0</v>
      </c>
      <c r="R154" s="91">
        <f>SUMIFS(tabela_registros[VALOR],tabela_registros[MÊS],$AE$1,tabela_registros[DIA],investiroutrosconsolidadomar[[#Headers],[14]],tabela_registros[REGISTRO],DADOS!$N$5,tabela_registros[TIPO],DADOS!$AB$5,tabela_registros[CATEGORIA],investiroutrosconsolidadomar[[#This Row],[ATUAL]])</f>
        <v>0</v>
      </c>
      <c r="S154" s="91">
        <f>SUMIFS(tabela_registros[VALOR],tabela_registros[MÊS],$AE$1,tabela_registros[DIA],investiroutrosconsolidadomar[[#Headers],[15]],tabela_registros[REGISTRO],DADOS!$N$5,tabela_registros[TIPO],DADOS!$AB$5,tabela_registros[CATEGORIA],investiroutrosconsolidadomar[[#This Row],[ATUAL]])</f>
        <v>0</v>
      </c>
      <c r="T154" s="91">
        <f>SUMIFS(tabela_registros[VALOR],tabela_registros[MÊS],$AE$1,tabela_registros[DIA],investiroutrosconsolidadomar[[#Headers],[16]],tabela_registros[REGISTRO],DADOS!$N$5,tabela_registros[TIPO],DADOS!$AB$5,tabela_registros[CATEGORIA],investiroutrosconsolidadomar[[#This Row],[ATUAL]])</f>
        <v>0</v>
      </c>
      <c r="U154" s="91">
        <f>SUMIFS(tabela_registros[VALOR],tabela_registros[MÊS],$AE$1,tabela_registros[DIA],investiroutrosconsolidadomar[[#Headers],[17]],tabela_registros[REGISTRO],DADOS!$N$5,tabela_registros[TIPO],DADOS!$AB$5,tabela_registros[CATEGORIA],investiroutrosconsolidadomar[[#This Row],[ATUAL]])</f>
        <v>0</v>
      </c>
      <c r="V154" s="91">
        <f>SUMIFS(tabela_registros[VALOR],tabela_registros[MÊS],$AE$1,tabela_registros[DIA],investiroutrosconsolidadomar[[#Headers],[18]],tabela_registros[REGISTRO],DADOS!$N$5,tabela_registros[TIPO],DADOS!$AB$5,tabela_registros[CATEGORIA],investiroutrosconsolidadomar[[#This Row],[ATUAL]])</f>
        <v>0</v>
      </c>
      <c r="W154" s="91">
        <f>SUMIFS(tabela_registros[VALOR],tabela_registros[MÊS],$AE$1,tabela_registros[DIA],investiroutrosconsolidadomar[[#Headers],[19]],tabela_registros[REGISTRO],DADOS!$N$5,tabela_registros[TIPO],DADOS!$AB$5,tabela_registros[CATEGORIA],investiroutrosconsolidadomar[[#This Row],[ATUAL]])</f>
        <v>0</v>
      </c>
      <c r="X154" s="91">
        <f>SUMIFS(tabela_registros[VALOR],tabela_registros[MÊS],$AE$1,tabela_registros[DIA],investiroutrosconsolidadomar[[#Headers],[20]],tabela_registros[REGISTRO],DADOS!$N$5,tabela_registros[TIPO],DADOS!$AB$5,tabela_registros[CATEGORIA],investiroutrosconsolidadomar[[#This Row],[ATUAL]])</f>
        <v>0</v>
      </c>
      <c r="Y154" s="91">
        <f>SUMIFS(tabela_registros[VALOR],tabela_registros[MÊS],$AE$1,tabela_registros[DIA],investiroutrosconsolidadomar[[#Headers],[21]],tabela_registros[REGISTRO],DADOS!$N$5,tabela_registros[TIPO],DADOS!$AB$5,tabela_registros[CATEGORIA],investiroutrosconsolidadomar[[#This Row],[ATUAL]])</f>
        <v>0</v>
      </c>
      <c r="Z154" s="91">
        <f>SUMIFS(tabela_registros[VALOR],tabela_registros[MÊS],$AE$1,tabela_registros[DIA],investiroutrosconsolidadomar[[#Headers],[22]],tabela_registros[REGISTRO],DADOS!$N$5,tabela_registros[TIPO],DADOS!$AB$5,tabela_registros[CATEGORIA],investiroutrosconsolidadomar[[#This Row],[ATUAL]])</f>
        <v>0</v>
      </c>
      <c r="AA154" s="91">
        <f>SUMIFS(tabela_registros[VALOR],tabela_registros[MÊS],$AE$1,tabela_registros[DIA],investiroutrosconsolidadomar[[#Headers],[23]],tabela_registros[REGISTRO],DADOS!$N$5,tabela_registros[TIPO],DADOS!$AB$5,tabela_registros[CATEGORIA],investiroutrosconsolidadomar[[#This Row],[ATUAL]])</f>
        <v>0</v>
      </c>
      <c r="AB154" s="91">
        <f>SUMIFS(tabela_registros[VALOR],tabela_registros[MÊS],$AE$1,tabela_registros[DIA],investiroutrosconsolidadomar[[#Headers],[24]],tabela_registros[REGISTRO],DADOS!$N$5,tabela_registros[TIPO],DADOS!$AB$5,tabela_registros[CATEGORIA],investiroutrosconsolidadomar[[#This Row],[ATUAL]])</f>
        <v>0</v>
      </c>
      <c r="AC154" s="91">
        <f>SUMIFS(tabela_registros[VALOR],tabela_registros[MÊS],$AE$1,tabela_registros[DIA],investiroutrosconsolidadomar[[#Headers],[25]],tabela_registros[REGISTRO],DADOS!$N$5,tabela_registros[TIPO],DADOS!$AB$5,tabela_registros[CATEGORIA],investiroutrosconsolidadomar[[#This Row],[ATUAL]])</f>
        <v>0</v>
      </c>
      <c r="AD154" s="91">
        <f>SUMIFS(tabela_registros[VALOR],tabela_registros[MÊS],$AE$1,tabela_registros[DIA],investiroutrosconsolidadomar[[#Headers],[26]],tabela_registros[REGISTRO],DADOS!$N$5,tabela_registros[TIPO],DADOS!$AB$5,tabela_registros[CATEGORIA],investiroutrosconsolidadomar[[#This Row],[ATUAL]])</f>
        <v>0</v>
      </c>
      <c r="AE154" s="91">
        <f>SUMIFS(tabela_registros[VALOR],tabela_registros[MÊS],$AE$1,tabela_registros[DIA],investiroutrosconsolidadomar[[#Headers],[27]],tabela_registros[REGISTRO],DADOS!$N$5,tabela_registros[TIPO],DADOS!$AB$5,tabela_registros[CATEGORIA],investiroutrosconsolidadomar[[#This Row],[ATUAL]])</f>
        <v>0</v>
      </c>
      <c r="AF154" s="91">
        <f>SUMIFS(tabela_registros[VALOR],tabela_registros[MÊS],$AE$1,tabela_registros[DIA],investiroutrosconsolidadomar[[#Headers],[28]],tabela_registros[REGISTRO],DADOS!$N$5,tabela_registros[TIPO],DADOS!$AB$5,tabela_registros[CATEGORIA],investiroutrosconsolidadomar[[#This Row],[ATUAL]])</f>
        <v>0</v>
      </c>
      <c r="AG154" s="91">
        <f>SUMIFS(tabela_registros[VALOR],tabela_registros[MÊS],$AE$1,tabela_registros[DIA],investiroutrosconsolidadomar[[#Headers],[29]],tabela_registros[REGISTRO],DADOS!$N$5,tabela_registros[TIPO],DADOS!$AB$5,tabela_registros[CATEGORIA],investiroutrosconsolidadomar[[#This Row],[ATUAL]])</f>
        <v>0</v>
      </c>
      <c r="AH154" s="91">
        <f>SUMIFS(tabela_registros[VALOR],tabela_registros[MÊS],$AE$1,tabela_registros[DIA],investiroutrosconsolidadomar[[#Headers],[30]],tabela_registros[REGISTRO],DADOS!$N$5,tabela_registros[TIPO],DADOS!$AB$5,tabela_registros[CATEGORIA],investiroutrosconsolidadomar[[#This Row],[ATUAL]])</f>
        <v>0</v>
      </c>
      <c r="AI154" s="101">
        <f>SUMIFS(tabela_registros[VALOR],tabela_registros[MÊS],$AE$1,tabela_registros[DIA],investiroutrosconsolidadomar[[#Headers],[31]],tabela_registros[REGISTRO],DADOS!$N$5,tabela_registros[TIPO],DADOS!$AB$5,tabela_registros[CATEGORIA],investiroutrosconsolidadomar[[#This Row],[ATUAL]])</f>
        <v>0</v>
      </c>
      <c r="AJ154" s="97">
        <f>SUM(investiroutrosconsolidadomar[[#This Row],[1]:[31]])</f>
        <v>0</v>
      </c>
      <c r="AK154" s="25"/>
    </row>
    <row r="155" spans="2:37" ht="19.5" customHeight="1" thickTop="1" thickBot="1" x14ac:dyDescent="0.3">
      <c r="B155" s="28"/>
      <c r="C155" s="27" t="str">
        <f>DADOS!$AH$7</f>
        <v>📝 PEER TO COMPANY</v>
      </c>
      <c r="D155" s="26" t="str">
        <f>IF(investiroutrosconsolidadomar[[#This Row],[TOTAL (R$)]]=0,"",IF(OR(investiroutrosconsolidadomar[[#This Row],[TOTAL (R$)]]=LARGE($AJ$151:$AJ$158,1),investiroutrosconsolidadomar[[#This Row],[TOTAL (R$)]]=LARGE($AJ$151:$AJ$158,2)),DADOS!$I$10,""))</f>
        <v/>
      </c>
      <c r="E155" s="96">
        <f>SUMIFS(tabela_registros[VALOR],tabela_registros[MÊS],$AE$1,tabela_registros[DIA],investiroutrosconsolidadomar[[#Headers],[1]],tabela_registros[REGISTRO],DADOS!$N$5,tabela_registros[TIPO],DADOS!$AB$5,tabela_registros[CATEGORIA],investiroutrosconsolidadomar[[#This Row],[ATUAL]])</f>
        <v>0</v>
      </c>
      <c r="F155" s="91">
        <f>SUMIFS(tabela_registros[VALOR],tabela_registros[MÊS],$AE$1,tabela_registros[DIA],investiroutrosconsolidadomar[[#Headers],[2]],tabela_registros[REGISTRO],DADOS!$N$5,tabela_registros[TIPO],DADOS!$AB$5,tabela_registros[CATEGORIA],investiroutrosconsolidadomar[[#This Row],[ATUAL]])</f>
        <v>0</v>
      </c>
      <c r="G155" s="91">
        <f>SUMIFS(tabela_registros[VALOR],tabela_registros[MÊS],$AE$1,tabela_registros[DIA],investiroutrosconsolidadomar[[#Headers],[3]],tabela_registros[REGISTRO],DADOS!$N$5,tabela_registros[TIPO],DADOS!$AB$5,tabela_registros[CATEGORIA],investiroutrosconsolidadomar[[#This Row],[ATUAL]])</f>
        <v>0</v>
      </c>
      <c r="H155" s="91">
        <f>SUMIFS(tabela_registros[VALOR],tabela_registros[MÊS],$AE$1,tabela_registros[DIA],investiroutrosconsolidadomar[[#Headers],[4]],tabela_registros[REGISTRO],DADOS!$N$5,tabela_registros[TIPO],DADOS!$AB$5,tabela_registros[CATEGORIA],investiroutrosconsolidadomar[[#This Row],[ATUAL]])</f>
        <v>0</v>
      </c>
      <c r="I155" s="91">
        <f>SUMIFS(tabela_registros[VALOR],tabela_registros[MÊS],$AE$1,tabela_registros[DIA],investiroutrosconsolidadomar[[#Headers],[5]],tabela_registros[REGISTRO],DADOS!$N$5,tabela_registros[TIPO],DADOS!$AB$5,tabela_registros[CATEGORIA],investiroutrosconsolidadomar[[#This Row],[ATUAL]])</f>
        <v>0</v>
      </c>
      <c r="J155" s="91">
        <f>SUMIFS(tabela_registros[VALOR],tabela_registros[MÊS],$AE$1,tabela_registros[DIA],investiroutrosconsolidadomar[[#Headers],[6]],tabela_registros[REGISTRO],DADOS!$N$5,tabela_registros[TIPO],DADOS!$AB$5,tabela_registros[CATEGORIA],investiroutrosconsolidadomar[[#This Row],[ATUAL]])</f>
        <v>0</v>
      </c>
      <c r="K155" s="91">
        <f>SUMIFS(tabela_registros[VALOR],tabela_registros[MÊS],$AE$1,tabela_registros[DIA],investiroutrosconsolidadomar[[#Headers],[7]],tabela_registros[REGISTRO],DADOS!$N$5,tabela_registros[TIPO],DADOS!$AB$5,tabela_registros[CATEGORIA],investiroutrosconsolidadomar[[#This Row],[ATUAL]])</f>
        <v>0</v>
      </c>
      <c r="L155" s="91">
        <f>SUMIFS(tabela_registros[VALOR],tabela_registros[MÊS],$AE$1,tabela_registros[DIA],investiroutrosconsolidadomar[[#Headers],[8]],tabela_registros[REGISTRO],DADOS!$N$5,tabela_registros[TIPO],DADOS!$AB$5,tabela_registros[CATEGORIA],investiroutrosconsolidadomar[[#This Row],[ATUAL]])</f>
        <v>0</v>
      </c>
      <c r="M155" s="91">
        <f>SUMIFS(tabela_registros[VALOR],tabela_registros[MÊS],$AE$1,tabela_registros[DIA],investiroutrosconsolidadomar[[#Headers],[9]],tabela_registros[REGISTRO],DADOS!$N$5,tabela_registros[TIPO],DADOS!$AB$5,tabela_registros[CATEGORIA],investiroutrosconsolidadomar[[#This Row],[ATUAL]])</f>
        <v>0</v>
      </c>
      <c r="N155" s="91">
        <f>SUMIFS(tabela_registros[VALOR],tabela_registros[MÊS],$AE$1,tabela_registros[DIA],investiroutrosconsolidadomar[[#Headers],[10]],tabela_registros[REGISTRO],DADOS!$N$5,tabela_registros[TIPO],DADOS!$AB$5,tabela_registros[CATEGORIA],investiroutrosconsolidadomar[[#This Row],[ATUAL]])</f>
        <v>0</v>
      </c>
      <c r="O155" s="91">
        <f>SUMIFS(tabela_registros[VALOR],tabela_registros[MÊS],$AE$1,tabela_registros[DIA],investiroutrosconsolidadomar[[#Headers],[11]],tabela_registros[REGISTRO],DADOS!$N$5,tabela_registros[TIPO],DADOS!$AB$5,tabela_registros[CATEGORIA],investiroutrosconsolidadomar[[#This Row],[ATUAL]])</f>
        <v>0</v>
      </c>
      <c r="P155" s="91">
        <f>SUMIFS(tabela_registros[VALOR],tabela_registros[MÊS],$AE$1,tabela_registros[DIA],investiroutrosconsolidadomar[[#Headers],[12]],tabela_registros[REGISTRO],DADOS!$N$5,tabela_registros[TIPO],DADOS!$AB$5,tabela_registros[CATEGORIA],investiroutrosconsolidadomar[[#This Row],[ATUAL]])</f>
        <v>0</v>
      </c>
      <c r="Q155" s="91">
        <f>SUMIFS(tabela_registros[VALOR],tabela_registros[MÊS],$AE$1,tabela_registros[DIA],investiroutrosconsolidadomar[[#Headers],[13]],tabela_registros[REGISTRO],DADOS!$N$5,tabela_registros[TIPO],DADOS!$AB$5,tabela_registros[CATEGORIA],investiroutrosconsolidadomar[[#This Row],[ATUAL]])</f>
        <v>0</v>
      </c>
      <c r="R155" s="91">
        <f>SUMIFS(tabela_registros[VALOR],tabela_registros[MÊS],$AE$1,tabela_registros[DIA],investiroutrosconsolidadomar[[#Headers],[14]],tabela_registros[REGISTRO],DADOS!$N$5,tabela_registros[TIPO],DADOS!$AB$5,tabela_registros[CATEGORIA],investiroutrosconsolidadomar[[#This Row],[ATUAL]])</f>
        <v>0</v>
      </c>
      <c r="S155" s="91">
        <f>SUMIFS(tabela_registros[VALOR],tabela_registros[MÊS],$AE$1,tabela_registros[DIA],investiroutrosconsolidadomar[[#Headers],[15]],tabela_registros[REGISTRO],DADOS!$N$5,tabela_registros[TIPO],DADOS!$AB$5,tabela_registros[CATEGORIA],investiroutrosconsolidadomar[[#This Row],[ATUAL]])</f>
        <v>0</v>
      </c>
      <c r="T155" s="91">
        <f>SUMIFS(tabela_registros[VALOR],tabela_registros[MÊS],$AE$1,tabela_registros[DIA],investiroutrosconsolidadomar[[#Headers],[16]],tabela_registros[REGISTRO],DADOS!$N$5,tabela_registros[TIPO],DADOS!$AB$5,tabela_registros[CATEGORIA],investiroutrosconsolidadomar[[#This Row],[ATUAL]])</f>
        <v>0</v>
      </c>
      <c r="U155" s="91">
        <f>SUMIFS(tabela_registros[VALOR],tabela_registros[MÊS],$AE$1,tabela_registros[DIA],investiroutrosconsolidadomar[[#Headers],[17]],tabela_registros[REGISTRO],DADOS!$N$5,tabela_registros[TIPO],DADOS!$AB$5,tabela_registros[CATEGORIA],investiroutrosconsolidadomar[[#This Row],[ATUAL]])</f>
        <v>0</v>
      </c>
      <c r="V155" s="91">
        <f>SUMIFS(tabela_registros[VALOR],tabela_registros[MÊS],$AE$1,tabela_registros[DIA],investiroutrosconsolidadomar[[#Headers],[18]],tabela_registros[REGISTRO],DADOS!$N$5,tabela_registros[TIPO],DADOS!$AB$5,tabela_registros[CATEGORIA],investiroutrosconsolidadomar[[#This Row],[ATUAL]])</f>
        <v>0</v>
      </c>
      <c r="W155" s="91">
        <f>SUMIFS(tabela_registros[VALOR],tabela_registros[MÊS],$AE$1,tabela_registros[DIA],investiroutrosconsolidadomar[[#Headers],[19]],tabela_registros[REGISTRO],DADOS!$N$5,tabela_registros[TIPO],DADOS!$AB$5,tabela_registros[CATEGORIA],investiroutrosconsolidadomar[[#This Row],[ATUAL]])</f>
        <v>0</v>
      </c>
      <c r="X155" s="91">
        <f>SUMIFS(tabela_registros[VALOR],tabela_registros[MÊS],$AE$1,tabela_registros[DIA],investiroutrosconsolidadomar[[#Headers],[20]],tabela_registros[REGISTRO],DADOS!$N$5,tabela_registros[TIPO],DADOS!$AB$5,tabela_registros[CATEGORIA],investiroutrosconsolidadomar[[#This Row],[ATUAL]])</f>
        <v>0</v>
      </c>
      <c r="Y155" s="91">
        <f>SUMIFS(tabela_registros[VALOR],tabela_registros[MÊS],$AE$1,tabela_registros[DIA],investiroutrosconsolidadomar[[#Headers],[21]],tabela_registros[REGISTRO],DADOS!$N$5,tabela_registros[TIPO],DADOS!$AB$5,tabela_registros[CATEGORIA],investiroutrosconsolidadomar[[#This Row],[ATUAL]])</f>
        <v>0</v>
      </c>
      <c r="Z155" s="91">
        <f>SUMIFS(tabela_registros[VALOR],tabela_registros[MÊS],$AE$1,tabela_registros[DIA],investiroutrosconsolidadomar[[#Headers],[22]],tabela_registros[REGISTRO],DADOS!$N$5,tabela_registros[TIPO],DADOS!$AB$5,tabela_registros[CATEGORIA],investiroutrosconsolidadomar[[#This Row],[ATUAL]])</f>
        <v>0</v>
      </c>
      <c r="AA155" s="91">
        <f>SUMIFS(tabela_registros[VALOR],tabela_registros[MÊS],$AE$1,tabela_registros[DIA],investiroutrosconsolidadomar[[#Headers],[23]],tabela_registros[REGISTRO],DADOS!$N$5,tabela_registros[TIPO],DADOS!$AB$5,tabela_registros[CATEGORIA],investiroutrosconsolidadomar[[#This Row],[ATUAL]])</f>
        <v>0</v>
      </c>
      <c r="AB155" s="91">
        <f>SUMIFS(tabela_registros[VALOR],tabela_registros[MÊS],$AE$1,tabela_registros[DIA],investiroutrosconsolidadomar[[#Headers],[24]],tabela_registros[REGISTRO],DADOS!$N$5,tabela_registros[TIPO],DADOS!$AB$5,tabela_registros[CATEGORIA],investiroutrosconsolidadomar[[#This Row],[ATUAL]])</f>
        <v>0</v>
      </c>
      <c r="AC155" s="91">
        <f>SUMIFS(tabela_registros[VALOR],tabela_registros[MÊS],$AE$1,tabela_registros[DIA],investiroutrosconsolidadomar[[#Headers],[25]],tabela_registros[REGISTRO],DADOS!$N$5,tabela_registros[TIPO],DADOS!$AB$5,tabela_registros[CATEGORIA],investiroutrosconsolidadomar[[#This Row],[ATUAL]])</f>
        <v>0</v>
      </c>
      <c r="AD155" s="91">
        <f>SUMIFS(tabela_registros[VALOR],tabela_registros[MÊS],$AE$1,tabela_registros[DIA],investiroutrosconsolidadomar[[#Headers],[26]],tabela_registros[REGISTRO],DADOS!$N$5,tabela_registros[TIPO],DADOS!$AB$5,tabela_registros[CATEGORIA],investiroutrosconsolidadomar[[#This Row],[ATUAL]])</f>
        <v>0</v>
      </c>
      <c r="AE155" s="91">
        <f>SUMIFS(tabela_registros[VALOR],tabela_registros[MÊS],$AE$1,tabela_registros[DIA],investiroutrosconsolidadomar[[#Headers],[27]],tabela_registros[REGISTRO],DADOS!$N$5,tabela_registros[TIPO],DADOS!$AB$5,tabela_registros[CATEGORIA],investiroutrosconsolidadomar[[#This Row],[ATUAL]])</f>
        <v>0</v>
      </c>
      <c r="AF155" s="91">
        <f>SUMIFS(tabela_registros[VALOR],tabela_registros[MÊS],$AE$1,tabela_registros[DIA],investiroutrosconsolidadomar[[#Headers],[28]],tabela_registros[REGISTRO],DADOS!$N$5,tabela_registros[TIPO],DADOS!$AB$5,tabela_registros[CATEGORIA],investiroutrosconsolidadomar[[#This Row],[ATUAL]])</f>
        <v>0</v>
      </c>
      <c r="AG155" s="91">
        <f>SUMIFS(tabela_registros[VALOR],tabela_registros[MÊS],$AE$1,tabela_registros[DIA],investiroutrosconsolidadomar[[#Headers],[29]],tabela_registros[REGISTRO],DADOS!$N$5,tabela_registros[TIPO],DADOS!$AB$5,tabela_registros[CATEGORIA],investiroutrosconsolidadomar[[#This Row],[ATUAL]])</f>
        <v>0</v>
      </c>
      <c r="AH155" s="91">
        <f>SUMIFS(tabela_registros[VALOR],tabela_registros[MÊS],$AE$1,tabela_registros[DIA],investiroutrosconsolidadomar[[#Headers],[30]],tabela_registros[REGISTRO],DADOS!$N$5,tabela_registros[TIPO],DADOS!$AB$5,tabela_registros[CATEGORIA],investiroutrosconsolidadomar[[#This Row],[ATUAL]])</f>
        <v>0</v>
      </c>
      <c r="AI155" s="101">
        <f>SUMIFS(tabela_registros[VALOR],tabela_registros[MÊS],$AE$1,tabela_registros[DIA],investiroutrosconsolidadomar[[#Headers],[31]],tabela_registros[REGISTRO],DADOS!$N$5,tabela_registros[TIPO],DADOS!$AB$5,tabela_registros[CATEGORIA],investiroutrosconsolidadomar[[#This Row],[ATUAL]])</f>
        <v>0</v>
      </c>
      <c r="AJ155" s="97">
        <f>SUM(investiroutrosconsolidadomar[[#This Row],[1]:[31]])</f>
        <v>0</v>
      </c>
      <c r="AK155" s="25"/>
    </row>
    <row r="156" spans="2:37" ht="19.5" customHeight="1" thickTop="1" thickBot="1" x14ac:dyDescent="0.3">
      <c r="B156" s="28"/>
      <c r="C156" s="27" t="str">
        <f>DADOS!$AH$8</f>
        <v>📝 PEER TO PEER</v>
      </c>
      <c r="D156" s="26" t="str">
        <f>IF(investiroutrosconsolidadomar[[#This Row],[TOTAL (R$)]]=0,"",IF(OR(investiroutrosconsolidadomar[[#This Row],[TOTAL (R$)]]=LARGE($AJ$151:$AJ$158,1),investiroutrosconsolidadomar[[#This Row],[TOTAL (R$)]]=LARGE($AJ$151:$AJ$158,2)),DADOS!$I$10,""))</f>
        <v/>
      </c>
      <c r="E156" s="96">
        <f>SUMIFS(tabela_registros[VALOR],tabela_registros[MÊS],$AE$1,tabela_registros[DIA],investiroutrosconsolidadomar[[#Headers],[1]],tabela_registros[REGISTRO],DADOS!$N$5,tabela_registros[TIPO],DADOS!$AB$5,tabela_registros[CATEGORIA],investiroutrosconsolidadomar[[#This Row],[ATUAL]])</f>
        <v>0</v>
      </c>
      <c r="F156" s="91">
        <f>SUMIFS(tabela_registros[VALOR],tabela_registros[MÊS],$AE$1,tabela_registros[DIA],investiroutrosconsolidadomar[[#Headers],[2]],tabela_registros[REGISTRO],DADOS!$N$5,tabela_registros[TIPO],DADOS!$AB$5,tabela_registros[CATEGORIA],investiroutrosconsolidadomar[[#This Row],[ATUAL]])</f>
        <v>0</v>
      </c>
      <c r="G156" s="91">
        <f>SUMIFS(tabela_registros[VALOR],tabela_registros[MÊS],$AE$1,tabela_registros[DIA],investiroutrosconsolidadomar[[#Headers],[3]],tabela_registros[REGISTRO],DADOS!$N$5,tabela_registros[TIPO],DADOS!$AB$5,tabela_registros[CATEGORIA],investiroutrosconsolidadomar[[#This Row],[ATUAL]])</f>
        <v>0</v>
      </c>
      <c r="H156" s="91">
        <f>SUMIFS(tabela_registros[VALOR],tabela_registros[MÊS],$AE$1,tabela_registros[DIA],investiroutrosconsolidadomar[[#Headers],[4]],tabela_registros[REGISTRO],DADOS!$N$5,tabela_registros[TIPO],DADOS!$AB$5,tabela_registros[CATEGORIA],investiroutrosconsolidadomar[[#This Row],[ATUAL]])</f>
        <v>0</v>
      </c>
      <c r="I156" s="91">
        <f>SUMIFS(tabela_registros[VALOR],tabela_registros[MÊS],$AE$1,tabela_registros[DIA],investiroutrosconsolidadomar[[#Headers],[5]],tabela_registros[REGISTRO],DADOS!$N$5,tabela_registros[TIPO],DADOS!$AB$5,tabela_registros[CATEGORIA],investiroutrosconsolidadomar[[#This Row],[ATUAL]])</f>
        <v>0</v>
      </c>
      <c r="J156" s="91">
        <f>SUMIFS(tabela_registros[VALOR],tabela_registros[MÊS],$AE$1,tabela_registros[DIA],investiroutrosconsolidadomar[[#Headers],[6]],tabela_registros[REGISTRO],DADOS!$N$5,tabela_registros[TIPO],DADOS!$AB$5,tabela_registros[CATEGORIA],investiroutrosconsolidadomar[[#This Row],[ATUAL]])</f>
        <v>0</v>
      </c>
      <c r="K156" s="91">
        <f>SUMIFS(tabela_registros[VALOR],tabela_registros[MÊS],$AE$1,tabela_registros[DIA],investiroutrosconsolidadomar[[#Headers],[7]],tabela_registros[REGISTRO],DADOS!$N$5,tabela_registros[TIPO],DADOS!$AB$5,tabela_registros[CATEGORIA],investiroutrosconsolidadomar[[#This Row],[ATUAL]])</f>
        <v>0</v>
      </c>
      <c r="L156" s="91">
        <f>SUMIFS(tabela_registros[VALOR],tabela_registros[MÊS],$AE$1,tabela_registros[DIA],investiroutrosconsolidadomar[[#Headers],[8]],tabela_registros[REGISTRO],DADOS!$N$5,tabela_registros[TIPO],DADOS!$AB$5,tabela_registros[CATEGORIA],investiroutrosconsolidadomar[[#This Row],[ATUAL]])</f>
        <v>0</v>
      </c>
      <c r="M156" s="91">
        <f>SUMIFS(tabela_registros[VALOR],tabela_registros[MÊS],$AE$1,tabela_registros[DIA],investiroutrosconsolidadomar[[#Headers],[9]],tabela_registros[REGISTRO],DADOS!$N$5,tabela_registros[TIPO],DADOS!$AB$5,tabela_registros[CATEGORIA],investiroutrosconsolidadomar[[#This Row],[ATUAL]])</f>
        <v>0</v>
      </c>
      <c r="N156" s="91">
        <f>SUMIFS(tabela_registros[VALOR],tabela_registros[MÊS],$AE$1,tabela_registros[DIA],investiroutrosconsolidadomar[[#Headers],[10]],tabela_registros[REGISTRO],DADOS!$N$5,tabela_registros[TIPO],DADOS!$AB$5,tabela_registros[CATEGORIA],investiroutrosconsolidadomar[[#This Row],[ATUAL]])</f>
        <v>0</v>
      </c>
      <c r="O156" s="91">
        <f>SUMIFS(tabela_registros[VALOR],tabela_registros[MÊS],$AE$1,tabela_registros[DIA],investiroutrosconsolidadomar[[#Headers],[11]],tabela_registros[REGISTRO],DADOS!$N$5,tabela_registros[TIPO],DADOS!$AB$5,tabela_registros[CATEGORIA],investiroutrosconsolidadomar[[#This Row],[ATUAL]])</f>
        <v>0</v>
      </c>
      <c r="P156" s="91">
        <f>SUMIFS(tabela_registros[VALOR],tabela_registros[MÊS],$AE$1,tabela_registros[DIA],investiroutrosconsolidadomar[[#Headers],[12]],tabela_registros[REGISTRO],DADOS!$N$5,tabela_registros[TIPO],DADOS!$AB$5,tabela_registros[CATEGORIA],investiroutrosconsolidadomar[[#This Row],[ATUAL]])</f>
        <v>0</v>
      </c>
      <c r="Q156" s="91">
        <f>SUMIFS(tabela_registros[VALOR],tabela_registros[MÊS],$AE$1,tabela_registros[DIA],investiroutrosconsolidadomar[[#Headers],[13]],tabela_registros[REGISTRO],DADOS!$N$5,tabela_registros[TIPO],DADOS!$AB$5,tabela_registros[CATEGORIA],investiroutrosconsolidadomar[[#This Row],[ATUAL]])</f>
        <v>0</v>
      </c>
      <c r="R156" s="91">
        <f>SUMIFS(tabela_registros[VALOR],tabela_registros[MÊS],$AE$1,tabela_registros[DIA],investiroutrosconsolidadomar[[#Headers],[14]],tabela_registros[REGISTRO],DADOS!$N$5,tabela_registros[TIPO],DADOS!$AB$5,tabela_registros[CATEGORIA],investiroutrosconsolidadomar[[#This Row],[ATUAL]])</f>
        <v>0</v>
      </c>
      <c r="S156" s="91">
        <f>SUMIFS(tabela_registros[VALOR],tabela_registros[MÊS],$AE$1,tabela_registros[DIA],investiroutrosconsolidadomar[[#Headers],[15]],tabela_registros[REGISTRO],DADOS!$N$5,tabela_registros[TIPO],DADOS!$AB$5,tabela_registros[CATEGORIA],investiroutrosconsolidadomar[[#This Row],[ATUAL]])</f>
        <v>0</v>
      </c>
      <c r="T156" s="91">
        <f>SUMIFS(tabela_registros[VALOR],tabela_registros[MÊS],$AE$1,tabela_registros[DIA],investiroutrosconsolidadomar[[#Headers],[16]],tabela_registros[REGISTRO],DADOS!$N$5,tabela_registros[TIPO],DADOS!$AB$5,tabela_registros[CATEGORIA],investiroutrosconsolidadomar[[#This Row],[ATUAL]])</f>
        <v>0</v>
      </c>
      <c r="U156" s="91">
        <f>SUMIFS(tabela_registros[VALOR],tabela_registros[MÊS],$AE$1,tabela_registros[DIA],investiroutrosconsolidadomar[[#Headers],[17]],tabela_registros[REGISTRO],DADOS!$N$5,tabela_registros[TIPO],DADOS!$AB$5,tabela_registros[CATEGORIA],investiroutrosconsolidadomar[[#This Row],[ATUAL]])</f>
        <v>0</v>
      </c>
      <c r="V156" s="91">
        <f>SUMIFS(tabela_registros[VALOR],tabela_registros[MÊS],$AE$1,tabela_registros[DIA],investiroutrosconsolidadomar[[#Headers],[18]],tabela_registros[REGISTRO],DADOS!$N$5,tabela_registros[TIPO],DADOS!$AB$5,tabela_registros[CATEGORIA],investiroutrosconsolidadomar[[#This Row],[ATUAL]])</f>
        <v>0</v>
      </c>
      <c r="W156" s="91">
        <f>SUMIFS(tabela_registros[VALOR],tabela_registros[MÊS],$AE$1,tabela_registros[DIA],investiroutrosconsolidadomar[[#Headers],[19]],tabela_registros[REGISTRO],DADOS!$N$5,tabela_registros[TIPO],DADOS!$AB$5,tabela_registros[CATEGORIA],investiroutrosconsolidadomar[[#This Row],[ATUAL]])</f>
        <v>0</v>
      </c>
      <c r="X156" s="91">
        <f>SUMIFS(tabela_registros[VALOR],tabela_registros[MÊS],$AE$1,tabela_registros[DIA],investiroutrosconsolidadomar[[#Headers],[20]],tabela_registros[REGISTRO],DADOS!$N$5,tabela_registros[TIPO],DADOS!$AB$5,tabela_registros[CATEGORIA],investiroutrosconsolidadomar[[#This Row],[ATUAL]])</f>
        <v>0</v>
      </c>
      <c r="Y156" s="91">
        <f>SUMIFS(tabela_registros[VALOR],tabela_registros[MÊS],$AE$1,tabela_registros[DIA],investiroutrosconsolidadomar[[#Headers],[21]],tabela_registros[REGISTRO],DADOS!$N$5,tabela_registros[TIPO],DADOS!$AB$5,tabela_registros[CATEGORIA],investiroutrosconsolidadomar[[#This Row],[ATUAL]])</f>
        <v>0</v>
      </c>
      <c r="Z156" s="91">
        <f>SUMIFS(tabela_registros[VALOR],tabela_registros[MÊS],$AE$1,tabela_registros[DIA],investiroutrosconsolidadomar[[#Headers],[22]],tabela_registros[REGISTRO],DADOS!$N$5,tabela_registros[TIPO],DADOS!$AB$5,tabela_registros[CATEGORIA],investiroutrosconsolidadomar[[#This Row],[ATUAL]])</f>
        <v>0</v>
      </c>
      <c r="AA156" s="91">
        <f>SUMIFS(tabela_registros[VALOR],tabela_registros[MÊS],$AE$1,tabela_registros[DIA],investiroutrosconsolidadomar[[#Headers],[23]],tabela_registros[REGISTRO],DADOS!$N$5,tabela_registros[TIPO],DADOS!$AB$5,tabela_registros[CATEGORIA],investiroutrosconsolidadomar[[#This Row],[ATUAL]])</f>
        <v>0</v>
      </c>
      <c r="AB156" s="91">
        <f>SUMIFS(tabela_registros[VALOR],tabela_registros[MÊS],$AE$1,tabela_registros[DIA],investiroutrosconsolidadomar[[#Headers],[24]],tabela_registros[REGISTRO],DADOS!$N$5,tabela_registros[TIPO],DADOS!$AB$5,tabela_registros[CATEGORIA],investiroutrosconsolidadomar[[#This Row],[ATUAL]])</f>
        <v>0</v>
      </c>
      <c r="AC156" s="91">
        <f>SUMIFS(tabela_registros[VALOR],tabela_registros[MÊS],$AE$1,tabela_registros[DIA],investiroutrosconsolidadomar[[#Headers],[25]],tabela_registros[REGISTRO],DADOS!$N$5,tabela_registros[TIPO],DADOS!$AB$5,tabela_registros[CATEGORIA],investiroutrosconsolidadomar[[#This Row],[ATUAL]])</f>
        <v>0</v>
      </c>
      <c r="AD156" s="91">
        <f>SUMIFS(tabela_registros[VALOR],tabela_registros[MÊS],$AE$1,tabela_registros[DIA],investiroutrosconsolidadomar[[#Headers],[26]],tabela_registros[REGISTRO],DADOS!$N$5,tabela_registros[TIPO],DADOS!$AB$5,tabela_registros[CATEGORIA],investiroutrosconsolidadomar[[#This Row],[ATUAL]])</f>
        <v>0</v>
      </c>
      <c r="AE156" s="91">
        <f>SUMIFS(tabela_registros[VALOR],tabela_registros[MÊS],$AE$1,tabela_registros[DIA],investiroutrosconsolidadomar[[#Headers],[27]],tabela_registros[REGISTRO],DADOS!$N$5,tabela_registros[TIPO],DADOS!$AB$5,tabela_registros[CATEGORIA],investiroutrosconsolidadomar[[#This Row],[ATUAL]])</f>
        <v>0</v>
      </c>
      <c r="AF156" s="91">
        <f>SUMIFS(tabela_registros[VALOR],tabela_registros[MÊS],$AE$1,tabela_registros[DIA],investiroutrosconsolidadomar[[#Headers],[28]],tabela_registros[REGISTRO],DADOS!$N$5,tabela_registros[TIPO],DADOS!$AB$5,tabela_registros[CATEGORIA],investiroutrosconsolidadomar[[#This Row],[ATUAL]])</f>
        <v>0</v>
      </c>
      <c r="AG156" s="91">
        <f>SUMIFS(tabela_registros[VALOR],tabela_registros[MÊS],$AE$1,tabela_registros[DIA],investiroutrosconsolidadomar[[#Headers],[29]],tabela_registros[REGISTRO],DADOS!$N$5,tabela_registros[TIPO],DADOS!$AB$5,tabela_registros[CATEGORIA],investiroutrosconsolidadomar[[#This Row],[ATUAL]])</f>
        <v>0</v>
      </c>
      <c r="AH156" s="91">
        <f>SUMIFS(tabela_registros[VALOR],tabela_registros[MÊS],$AE$1,tabela_registros[DIA],investiroutrosconsolidadomar[[#Headers],[30]],tabela_registros[REGISTRO],DADOS!$N$5,tabela_registros[TIPO],DADOS!$AB$5,tabela_registros[CATEGORIA],investiroutrosconsolidadomar[[#This Row],[ATUAL]])</f>
        <v>0</v>
      </c>
      <c r="AI156" s="101">
        <f>SUMIFS(tabela_registros[VALOR],tabela_registros[MÊS],$AE$1,tabela_registros[DIA],investiroutrosconsolidadomar[[#Headers],[31]],tabela_registros[REGISTRO],DADOS!$N$5,tabela_registros[TIPO],DADOS!$AB$5,tabela_registros[CATEGORIA],investiroutrosconsolidadomar[[#This Row],[ATUAL]])</f>
        <v>0</v>
      </c>
      <c r="AJ156" s="97">
        <f>SUM(investiroutrosconsolidadomar[[#This Row],[1]:[31]])</f>
        <v>0</v>
      </c>
      <c r="AK156" s="25"/>
    </row>
    <row r="157" spans="2:37" ht="19.5" customHeight="1" thickTop="1" thickBot="1" x14ac:dyDescent="0.3">
      <c r="B157" s="28"/>
      <c r="C157" s="27" t="str">
        <f>DADOS!$AH$9</f>
        <v>📝 PREVIDÊNCIA PRIVADA</v>
      </c>
      <c r="D157" s="26" t="str">
        <f>IF(investiroutrosconsolidadomar[[#This Row],[TOTAL (R$)]]=0,"",IF(OR(investiroutrosconsolidadomar[[#This Row],[TOTAL (R$)]]=LARGE($AJ$151:$AJ$158,1),investiroutrosconsolidadomar[[#This Row],[TOTAL (R$)]]=LARGE($AJ$151:$AJ$158,2)),DADOS!$I$10,""))</f>
        <v/>
      </c>
      <c r="E157" s="96">
        <f>SUMIFS(tabela_registros[VALOR],tabela_registros[MÊS],$AE$1,tabela_registros[DIA],investiroutrosconsolidadomar[[#Headers],[1]],tabela_registros[REGISTRO],DADOS!$N$5,tabela_registros[TIPO],DADOS!$AB$5,tabela_registros[CATEGORIA],investiroutrosconsolidadomar[[#This Row],[ATUAL]])</f>
        <v>0</v>
      </c>
      <c r="F157" s="91">
        <f>SUMIFS(tabela_registros[VALOR],tabela_registros[MÊS],$AE$1,tabela_registros[DIA],investiroutrosconsolidadomar[[#Headers],[2]],tabela_registros[REGISTRO],DADOS!$N$5,tabela_registros[TIPO],DADOS!$AB$5,tabela_registros[CATEGORIA],investiroutrosconsolidadomar[[#This Row],[ATUAL]])</f>
        <v>0</v>
      </c>
      <c r="G157" s="91">
        <f>SUMIFS(tabela_registros[VALOR],tabela_registros[MÊS],$AE$1,tabela_registros[DIA],investiroutrosconsolidadomar[[#Headers],[3]],tabela_registros[REGISTRO],DADOS!$N$5,tabela_registros[TIPO],DADOS!$AB$5,tabela_registros[CATEGORIA],investiroutrosconsolidadomar[[#This Row],[ATUAL]])</f>
        <v>0</v>
      </c>
      <c r="H157" s="91">
        <f>SUMIFS(tabela_registros[VALOR],tabela_registros[MÊS],$AE$1,tabela_registros[DIA],investiroutrosconsolidadomar[[#Headers],[4]],tabela_registros[REGISTRO],DADOS!$N$5,tabela_registros[TIPO],DADOS!$AB$5,tabela_registros[CATEGORIA],investiroutrosconsolidadomar[[#This Row],[ATUAL]])</f>
        <v>0</v>
      </c>
      <c r="I157" s="91">
        <f>SUMIFS(tabela_registros[VALOR],tabela_registros[MÊS],$AE$1,tabela_registros[DIA],investiroutrosconsolidadomar[[#Headers],[5]],tabela_registros[REGISTRO],DADOS!$N$5,tabela_registros[TIPO],DADOS!$AB$5,tabela_registros[CATEGORIA],investiroutrosconsolidadomar[[#This Row],[ATUAL]])</f>
        <v>0</v>
      </c>
      <c r="J157" s="91">
        <f>SUMIFS(tabela_registros[VALOR],tabela_registros[MÊS],$AE$1,tabela_registros[DIA],investiroutrosconsolidadomar[[#Headers],[6]],tabela_registros[REGISTRO],DADOS!$N$5,tabela_registros[TIPO],DADOS!$AB$5,tabela_registros[CATEGORIA],investiroutrosconsolidadomar[[#This Row],[ATUAL]])</f>
        <v>0</v>
      </c>
      <c r="K157" s="91">
        <f>SUMIFS(tabela_registros[VALOR],tabela_registros[MÊS],$AE$1,tabela_registros[DIA],investiroutrosconsolidadomar[[#Headers],[7]],tabela_registros[REGISTRO],DADOS!$N$5,tabela_registros[TIPO],DADOS!$AB$5,tabela_registros[CATEGORIA],investiroutrosconsolidadomar[[#This Row],[ATUAL]])</f>
        <v>0</v>
      </c>
      <c r="L157" s="91">
        <f>SUMIFS(tabela_registros[VALOR],tabela_registros[MÊS],$AE$1,tabela_registros[DIA],investiroutrosconsolidadomar[[#Headers],[8]],tabela_registros[REGISTRO],DADOS!$N$5,tabela_registros[TIPO],DADOS!$AB$5,tabela_registros[CATEGORIA],investiroutrosconsolidadomar[[#This Row],[ATUAL]])</f>
        <v>0</v>
      </c>
      <c r="M157" s="91">
        <f>SUMIFS(tabela_registros[VALOR],tabela_registros[MÊS],$AE$1,tabela_registros[DIA],investiroutrosconsolidadomar[[#Headers],[9]],tabela_registros[REGISTRO],DADOS!$N$5,tabela_registros[TIPO],DADOS!$AB$5,tabela_registros[CATEGORIA],investiroutrosconsolidadomar[[#This Row],[ATUAL]])</f>
        <v>0</v>
      </c>
      <c r="N157" s="91">
        <f>SUMIFS(tabela_registros[VALOR],tabela_registros[MÊS],$AE$1,tabela_registros[DIA],investiroutrosconsolidadomar[[#Headers],[10]],tabela_registros[REGISTRO],DADOS!$N$5,tabela_registros[TIPO],DADOS!$AB$5,tabela_registros[CATEGORIA],investiroutrosconsolidadomar[[#This Row],[ATUAL]])</f>
        <v>0</v>
      </c>
      <c r="O157" s="91">
        <f>SUMIFS(tabela_registros[VALOR],tabela_registros[MÊS],$AE$1,tabela_registros[DIA],investiroutrosconsolidadomar[[#Headers],[11]],tabela_registros[REGISTRO],DADOS!$N$5,tabela_registros[TIPO],DADOS!$AB$5,tabela_registros[CATEGORIA],investiroutrosconsolidadomar[[#This Row],[ATUAL]])</f>
        <v>0</v>
      </c>
      <c r="P157" s="91">
        <f>SUMIFS(tabela_registros[VALOR],tabela_registros[MÊS],$AE$1,tabela_registros[DIA],investiroutrosconsolidadomar[[#Headers],[12]],tabela_registros[REGISTRO],DADOS!$N$5,tabela_registros[TIPO],DADOS!$AB$5,tabela_registros[CATEGORIA],investiroutrosconsolidadomar[[#This Row],[ATUAL]])</f>
        <v>0</v>
      </c>
      <c r="Q157" s="91">
        <f>SUMIFS(tabela_registros[VALOR],tabela_registros[MÊS],$AE$1,tabela_registros[DIA],investiroutrosconsolidadomar[[#Headers],[13]],tabela_registros[REGISTRO],DADOS!$N$5,tabela_registros[TIPO],DADOS!$AB$5,tabela_registros[CATEGORIA],investiroutrosconsolidadomar[[#This Row],[ATUAL]])</f>
        <v>0</v>
      </c>
      <c r="R157" s="91">
        <f>SUMIFS(tabela_registros[VALOR],tabela_registros[MÊS],$AE$1,tabela_registros[DIA],investiroutrosconsolidadomar[[#Headers],[14]],tabela_registros[REGISTRO],DADOS!$N$5,tabela_registros[TIPO],DADOS!$AB$5,tabela_registros[CATEGORIA],investiroutrosconsolidadomar[[#This Row],[ATUAL]])</f>
        <v>0</v>
      </c>
      <c r="S157" s="91">
        <f>SUMIFS(tabela_registros[VALOR],tabela_registros[MÊS],$AE$1,tabela_registros[DIA],investiroutrosconsolidadomar[[#Headers],[15]],tabela_registros[REGISTRO],DADOS!$N$5,tabela_registros[TIPO],DADOS!$AB$5,tabela_registros[CATEGORIA],investiroutrosconsolidadomar[[#This Row],[ATUAL]])</f>
        <v>0</v>
      </c>
      <c r="T157" s="91">
        <f>SUMIFS(tabela_registros[VALOR],tabela_registros[MÊS],$AE$1,tabela_registros[DIA],investiroutrosconsolidadomar[[#Headers],[16]],tabela_registros[REGISTRO],DADOS!$N$5,tabela_registros[TIPO],DADOS!$AB$5,tabela_registros[CATEGORIA],investiroutrosconsolidadomar[[#This Row],[ATUAL]])</f>
        <v>0</v>
      </c>
      <c r="U157" s="91">
        <f>SUMIFS(tabela_registros[VALOR],tabela_registros[MÊS],$AE$1,tabela_registros[DIA],investiroutrosconsolidadomar[[#Headers],[17]],tabela_registros[REGISTRO],DADOS!$N$5,tabela_registros[TIPO],DADOS!$AB$5,tabela_registros[CATEGORIA],investiroutrosconsolidadomar[[#This Row],[ATUAL]])</f>
        <v>0</v>
      </c>
      <c r="V157" s="91">
        <f>SUMIFS(tabela_registros[VALOR],tabela_registros[MÊS],$AE$1,tabela_registros[DIA],investiroutrosconsolidadomar[[#Headers],[18]],tabela_registros[REGISTRO],DADOS!$N$5,tabela_registros[TIPO],DADOS!$AB$5,tabela_registros[CATEGORIA],investiroutrosconsolidadomar[[#This Row],[ATUAL]])</f>
        <v>0</v>
      </c>
      <c r="W157" s="91">
        <f>SUMIFS(tabela_registros[VALOR],tabela_registros[MÊS],$AE$1,tabela_registros[DIA],investiroutrosconsolidadomar[[#Headers],[19]],tabela_registros[REGISTRO],DADOS!$N$5,tabela_registros[TIPO],DADOS!$AB$5,tabela_registros[CATEGORIA],investiroutrosconsolidadomar[[#This Row],[ATUAL]])</f>
        <v>0</v>
      </c>
      <c r="X157" s="91">
        <f>SUMIFS(tabela_registros[VALOR],tabela_registros[MÊS],$AE$1,tabela_registros[DIA],investiroutrosconsolidadomar[[#Headers],[20]],tabela_registros[REGISTRO],DADOS!$N$5,tabela_registros[TIPO],DADOS!$AB$5,tabela_registros[CATEGORIA],investiroutrosconsolidadomar[[#This Row],[ATUAL]])</f>
        <v>0</v>
      </c>
      <c r="Y157" s="91">
        <f>SUMIFS(tabela_registros[VALOR],tabela_registros[MÊS],$AE$1,tabela_registros[DIA],investiroutrosconsolidadomar[[#Headers],[21]],tabela_registros[REGISTRO],DADOS!$N$5,tabela_registros[TIPO],DADOS!$AB$5,tabela_registros[CATEGORIA],investiroutrosconsolidadomar[[#This Row],[ATUAL]])</f>
        <v>0</v>
      </c>
      <c r="Z157" s="91">
        <f>SUMIFS(tabela_registros[VALOR],tabela_registros[MÊS],$AE$1,tabela_registros[DIA],investiroutrosconsolidadomar[[#Headers],[22]],tabela_registros[REGISTRO],DADOS!$N$5,tabela_registros[TIPO],DADOS!$AB$5,tabela_registros[CATEGORIA],investiroutrosconsolidadomar[[#This Row],[ATUAL]])</f>
        <v>0</v>
      </c>
      <c r="AA157" s="91">
        <f>SUMIFS(tabela_registros[VALOR],tabela_registros[MÊS],$AE$1,tabela_registros[DIA],investiroutrosconsolidadomar[[#Headers],[23]],tabela_registros[REGISTRO],DADOS!$N$5,tabela_registros[TIPO],DADOS!$AB$5,tabela_registros[CATEGORIA],investiroutrosconsolidadomar[[#This Row],[ATUAL]])</f>
        <v>0</v>
      </c>
      <c r="AB157" s="91">
        <f>SUMIFS(tabela_registros[VALOR],tabela_registros[MÊS],$AE$1,tabela_registros[DIA],investiroutrosconsolidadomar[[#Headers],[24]],tabela_registros[REGISTRO],DADOS!$N$5,tabela_registros[TIPO],DADOS!$AB$5,tabela_registros[CATEGORIA],investiroutrosconsolidadomar[[#This Row],[ATUAL]])</f>
        <v>0</v>
      </c>
      <c r="AC157" s="91">
        <f>SUMIFS(tabela_registros[VALOR],tabela_registros[MÊS],$AE$1,tabela_registros[DIA],investiroutrosconsolidadomar[[#Headers],[25]],tabela_registros[REGISTRO],DADOS!$N$5,tabela_registros[TIPO],DADOS!$AB$5,tabela_registros[CATEGORIA],investiroutrosconsolidadomar[[#This Row],[ATUAL]])</f>
        <v>0</v>
      </c>
      <c r="AD157" s="91">
        <f>SUMIFS(tabela_registros[VALOR],tabela_registros[MÊS],$AE$1,tabela_registros[DIA],investiroutrosconsolidadomar[[#Headers],[26]],tabela_registros[REGISTRO],DADOS!$N$5,tabela_registros[TIPO],DADOS!$AB$5,tabela_registros[CATEGORIA],investiroutrosconsolidadomar[[#This Row],[ATUAL]])</f>
        <v>0</v>
      </c>
      <c r="AE157" s="91">
        <f>SUMIFS(tabela_registros[VALOR],tabela_registros[MÊS],$AE$1,tabela_registros[DIA],investiroutrosconsolidadomar[[#Headers],[27]],tabela_registros[REGISTRO],DADOS!$N$5,tabela_registros[TIPO],DADOS!$AB$5,tabela_registros[CATEGORIA],investiroutrosconsolidadomar[[#This Row],[ATUAL]])</f>
        <v>0</v>
      </c>
      <c r="AF157" s="91">
        <f>SUMIFS(tabela_registros[VALOR],tabela_registros[MÊS],$AE$1,tabela_registros[DIA],investiroutrosconsolidadomar[[#Headers],[28]],tabela_registros[REGISTRO],DADOS!$N$5,tabela_registros[TIPO],DADOS!$AB$5,tabela_registros[CATEGORIA],investiroutrosconsolidadomar[[#This Row],[ATUAL]])</f>
        <v>0</v>
      </c>
      <c r="AG157" s="91">
        <f>SUMIFS(tabela_registros[VALOR],tabela_registros[MÊS],$AE$1,tabela_registros[DIA],investiroutrosconsolidadomar[[#Headers],[29]],tabela_registros[REGISTRO],DADOS!$N$5,tabela_registros[TIPO],DADOS!$AB$5,tabela_registros[CATEGORIA],investiroutrosconsolidadomar[[#This Row],[ATUAL]])</f>
        <v>0</v>
      </c>
      <c r="AH157" s="91">
        <f>SUMIFS(tabela_registros[VALOR],tabela_registros[MÊS],$AE$1,tabela_registros[DIA],investiroutrosconsolidadomar[[#Headers],[30]],tabela_registros[REGISTRO],DADOS!$N$5,tabela_registros[TIPO],DADOS!$AB$5,tabela_registros[CATEGORIA],investiroutrosconsolidadomar[[#This Row],[ATUAL]])</f>
        <v>0</v>
      </c>
      <c r="AI157" s="101">
        <f>SUMIFS(tabela_registros[VALOR],tabela_registros[MÊS],$AE$1,tabela_registros[DIA],investiroutrosconsolidadomar[[#Headers],[31]],tabela_registros[REGISTRO],DADOS!$N$5,tabela_registros[TIPO],DADOS!$AB$5,tabela_registros[CATEGORIA],investiroutrosconsolidadomar[[#This Row],[ATUAL]])</f>
        <v>0</v>
      </c>
      <c r="AJ157" s="97">
        <f>SUM(investiroutrosconsolidadomar[[#This Row],[1]:[31]])</f>
        <v>0</v>
      </c>
      <c r="AK157" s="25"/>
    </row>
    <row r="158" spans="2:37" ht="19.5" customHeight="1" thickTop="1" thickBot="1" x14ac:dyDescent="0.3">
      <c r="B158" s="28"/>
      <c r="C158" s="27" t="str">
        <f>DADOS!$AH$10</f>
        <v>📎 OUTROS</v>
      </c>
      <c r="D158" s="26" t="str">
        <f>IF(investiroutrosconsolidadomar[[#This Row],[TOTAL (R$)]]=0,"",IF(OR(investiroutrosconsolidadomar[[#This Row],[TOTAL (R$)]]=LARGE($AJ$151:$AJ$158,1),investiroutrosconsolidadomar[[#This Row],[TOTAL (R$)]]=LARGE($AJ$151:$AJ$158,2)),DADOS!$I$10,""))</f>
        <v/>
      </c>
      <c r="E158" s="96">
        <f>SUMIFS(tabela_registros[VALOR],tabela_registros[MÊS],$AE$1,tabela_registros[DIA],investiroutrosconsolidadomar[[#Headers],[1]],tabela_registros[REGISTRO],DADOS!$N$5,tabela_registros[TIPO],DADOS!$AB$5,tabela_registros[CATEGORIA],investiroutrosconsolidadomar[[#This Row],[ATUAL]])</f>
        <v>0</v>
      </c>
      <c r="F158" s="91">
        <f>SUMIFS(tabela_registros[VALOR],tabela_registros[MÊS],$AE$1,tabela_registros[DIA],investiroutrosconsolidadomar[[#Headers],[2]],tabela_registros[REGISTRO],DADOS!$N$5,tabela_registros[TIPO],DADOS!$AB$5,tabela_registros[CATEGORIA],investiroutrosconsolidadomar[[#This Row],[ATUAL]])</f>
        <v>0</v>
      </c>
      <c r="G158" s="91">
        <f>SUMIFS(tabela_registros[VALOR],tabela_registros[MÊS],$AE$1,tabela_registros[DIA],investiroutrosconsolidadomar[[#Headers],[3]],tabela_registros[REGISTRO],DADOS!$N$5,tabela_registros[TIPO],DADOS!$AB$5,tabela_registros[CATEGORIA],investiroutrosconsolidadomar[[#This Row],[ATUAL]])</f>
        <v>0</v>
      </c>
      <c r="H158" s="91">
        <f>SUMIFS(tabela_registros[VALOR],tabela_registros[MÊS],$AE$1,tabela_registros[DIA],investiroutrosconsolidadomar[[#Headers],[4]],tabela_registros[REGISTRO],DADOS!$N$5,tabela_registros[TIPO],DADOS!$AB$5,tabela_registros[CATEGORIA],investiroutrosconsolidadomar[[#This Row],[ATUAL]])</f>
        <v>0</v>
      </c>
      <c r="I158" s="91">
        <f>SUMIFS(tabela_registros[VALOR],tabela_registros[MÊS],$AE$1,tabela_registros[DIA],investiroutrosconsolidadomar[[#Headers],[5]],tabela_registros[REGISTRO],DADOS!$N$5,tabela_registros[TIPO],DADOS!$AB$5,tabela_registros[CATEGORIA],investiroutrosconsolidadomar[[#This Row],[ATUAL]])</f>
        <v>0</v>
      </c>
      <c r="J158" s="91">
        <f>SUMIFS(tabela_registros[VALOR],tabela_registros[MÊS],$AE$1,tabela_registros[DIA],investiroutrosconsolidadomar[[#Headers],[6]],tabela_registros[REGISTRO],DADOS!$N$5,tabela_registros[TIPO],DADOS!$AB$5,tabela_registros[CATEGORIA],investiroutrosconsolidadomar[[#This Row],[ATUAL]])</f>
        <v>0</v>
      </c>
      <c r="K158" s="91">
        <f>SUMIFS(tabela_registros[VALOR],tabela_registros[MÊS],$AE$1,tabela_registros[DIA],investiroutrosconsolidadomar[[#Headers],[7]],tabela_registros[REGISTRO],DADOS!$N$5,tabela_registros[TIPO],DADOS!$AB$5,tabela_registros[CATEGORIA],investiroutrosconsolidadomar[[#This Row],[ATUAL]])</f>
        <v>0</v>
      </c>
      <c r="L158" s="91">
        <f>SUMIFS(tabela_registros[VALOR],tabela_registros[MÊS],$AE$1,tabela_registros[DIA],investiroutrosconsolidadomar[[#Headers],[8]],tabela_registros[REGISTRO],DADOS!$N$5,tabela_registros[TIPO],DADOS!$AB$5,tabela_registros[CATEGORIA],investiroutrosconsolidadomar[[#This Row],[ATUAL]])</f>
        <v>0</v>
      </c>
      <c r="M158" s="91">
        <f>SUMIFS(tabela_registros[VALOR],tabela_registros[MÊS],$AE$1,tabela_registros[DIA],investiroutrosconsolidadomar[[#Headers],[9]],tabela_registros[REGISTRO],DADOS!$N$5,tabela_registros[TIPO],DADOS!$AB$5,tabela_registros[CATEGORIA],investiroutrosconsolidadomar[[#This Row],[ATUAL]])</f>
        <v>0</v>
      </c>
      <c r="N158" s="91">
        <f>SUMIFS(tabela_registros[VALOR],tabela_registros[MÊS],$AE$1,tabela_registros[DIA],investiroutrosconsolidadomar[[#Headers],[10]],tabela_registros[REGISTRO],DADOS!$N$5,tabela_registros[TIPO],DADOS!$AB$5,tabela_registros[CATEGORIA],investiroutrosconsolidadomar[[#This Row],[ATUAL]])</f>
        <v>0</v>
      </c>
      <c r="O158" s="91">
        <f>SUMIFS(tabela_registros[VALOR],tabela_registros[MÊS],$AE$1,tabela_registros[DIA],investiroutrosconsolidadomar[[#Headers],[11]],tabela_registros[REGISTRO],DADOS!$N$5,tabela_registros[TIPO],DADOS!$AB$5,tabela_registros[CATEGORIA],investiroutrosconsolidadomar[[#This Row],[ATUAL]])</f>
        <v>0</v>
      </c>
      <c r="P158" s="91">
        <f>SUMIFS(tabela_registros[VALOR],tabela_registros[MÊS],$AE$1,tabela_registros[DIA],investiroutrosconsolidadomar[[#Headers],[12]],tabela_registros[REGISTRO],DADOS!$N$5,tabela_registros[TIPO],DADOS!$AB$5,tabela_registros[CATEGORIA],investiroutrosconsolidadomar[[#This Row],[ATUAL]])</f>
        <v>0</v>
      </c>
      <c r="Q158" s="91">
        <f>SUMIFS(tabela_registros[VALOR],tabela_registros[MÊS],$AE$1,tabela_registros[DIA],investiroutrosconsolidadomar[[#Headers],[13]],tabela_registros[REGISTRO],DADOS!$N$5,tabela_registros[TIPO],DADOS!$AB$5,tabela_registros[CATEGORIA],investiroutrosconsolidadomar[[#This Row],[ATUAL]])</f>
        <v>0</v>
      </c>
      <c r="R158" s="91">
        <f>SUMIFS(tabela_registros[VALOR],tabela_registros[MÊS],$AE$1,tabela_registros[DIA],investiroutrosconsolidadomar[[#Headers],[14]],tabela_registros[REGISTRO],DADOS!$N$5,tabela_registros[TIPO],DADOS!$AB$5,tabela_registros[CATEGORIA],investiroutrosconsolidadomar[[#This Row],[ATUAL]])</f>
        <v>0</v>
      </c>
      <c r="S158" s="91">
        <f>SUMIFS(tabela_registros[VALOR],tabela_registros[MÊS],$AE$1,tabela_registros[DIA],investiroutrosconsolidadomar[[#Headers],[15]],tabela_registros[REGISTRO],DADOS!$N$5,tabela_registros[TIPO],DADOS!$AB$5,tabela_registros[CATEGORIA],investiroutrosconsolidadomar[[#This Row],[ATUAL]])</f>
        <v>0</v>
      </c>
      <c r="T158" s="91">
        <f>SUMIFS(tabela_registros[VALOR],tabela_registros[MÊS],$AE$1,tabela_registros[DIA],investiroutrosconsolidadomar[[#Headers],[16]],tabela_registros[REGISTRO],DADOS!$N$5,tabela_registros[TIPO],DADOS!$AB$5,tabela_registros[CATEGORIA],investiroutrosconsolidadomar[[#This Row],[ATUAL]])</f>
        <v>0</v>
      </c>
      <c r="U158" s="91">
        <f>SUMIFS(tabela_registros[VALOR],tabela_registros[MÊS],$AE$1,tabela_registros[DIA],investiroutrosconsolidadomar[[#Headers],[17]],tabela_registros[REGISTRO],DADOS!$N$5,tabela_registros[TIPO],DADOS!$AB$5,tabela_registros[CATEGORIA],investiroutrosconsolidadomar[[#This Row],[ATUAL]])</f>
        <v>0</v>
      </c>
      <c r="V158" s="91">
        <f>SUMIFS(tabela_registros[VALOR],tabela_registros[MÊS],$AE$1,tabela_registros[DIA],investiroutrosconsolidadomar[[#Headers],[18]],tabela_registros[REGISTRO],DADOS!$N$5,tabela_registros[TIPO],DADOS!$AB$5,tabela_registros[CATEGORIA],investiroutrosconsolidadomar[[#This Row],[ATUAL]])</f>
        <v>0</v>
      </c>
      <c r="W158" s="91">
        <f>SUMIFS(tabela_registros[VALOR],tabela_registros[MÊS],$AE$1,tabela_registros[DIA],investiroutrosconsolidadomar[[#Headers],[19]],tabela_registros[REGISTRO],DADOS!$N$5,tabela_registros[TIPO],DADOS!$AB$5,tabela_registros[CATEGORIA],investiroutrosconsolidadomar[[#This Row],[ATUAL]])</f>
        <v>0</v>
      </c>
      <c r="X158" s="91">
        <f>SUMIFS(tabela_registros[VALOR],tabela_registros[MÊS],$AE$1,tabela_registros[DIA],investiroutrosconsolidadomar[[#Headers],[20]],tabela_registros[REGISTRO],DADOS!$N$5,tabela_registros[TIPO],DADOS!$AB$5,tabela_registros[CATEGORIA],investiroutrosconsolidadomar[[#This Row],[ATUAL]])</f>
        <v>0</v>
      </c>
      <c r="Y158" s="91">
        <f>SUMIFS(tabela_registros[VALOR],tabela_registros[MÊS],$AE$1,tabela_registros[DIA],investiroutrosconsolidadomar[[#Headers],[21]],tabela_registros[REGISTRO],DADOS!$N$5,tabela_registros[TIPO],DADOS!$AB$5,tabela_registros[CATEGORIA],investiroutrosconsolidadomar[[#This Row],[ATUAL]])</f>
        <v>0</v>
      </c>
      <c r="Z158" s="91">
        <f>SUMIFS(tabela_registros[VALOR],tabela_registros[MÊS],$AE$1,tabela_registros[DIA],investiroutrosconsolidadomar[[#Headers],[22]],tabela_registros[REGISTRO],DADOS!$N$5,tabela_registros[TIPO],DADOS!$AB$5,tabela_registros[CATEGORIA],investiroutrosconsolidadomar[[#This Row],[ATUAL]])</f>
        <v>0</v>
      </c>
      <c r="AA158" s="91">
        <f>SUMIFS(tabela_registros[VALOR],tabela_registros[MÊS],$AE$1,tabela_registros[DIA],investiroutrosconsolidadomar[[#Headers],[23]],tabela_registros[REGISTRO],DADOS!$N$5,tabela_registros[TIPO],DADOS!$AB$5,tabela_registros[CATEGORIA],investiroutrosconsolidadomar[[#This Row],[ATUAL]])</f>
        <v>0</v>
      </c>
      <c r="AB158" s="91">
        <f>SUMIFS(tabela_registros[VALOR],tabela_registros[MÊS],$AE$1,tabela_registros[DIA],investiroutrosconsolidadomar[[#Headers],[24]],tabela_registros[REGISTRO],DADOS!$N$5,tabela_registros[TIPO],DADOS!$AB$5,tabela_registros[CATEGORIA],investiroutrosconsolidadomar[[#This Row],[ATUAL]])</f>
        <v>0</v>
      </c>
      <c r="AC158" s="91">
        <f>SUMIFS(tabela_registros[VALOR],tabela_registros[MÊS],$AE$1,tabela_registros[DIA],investiroutrosconsolidadomar[[#Headers],[25]],tabela_registros[REGISTRO],DADOS!$N$5,tabela_registros[TIPO],DADOS!$AB$5,tabela_registros[CATEGORIA],investiroutrosconsolidadomar[[#This Row],[ATUAL]])</f>
        <v>0</v>
      </c>
      <c r="AD158" s="91">
        <f>SUMIFS(tabela_registros[VALOR],tabela_registros[MÊS],$AE$1,tabela_registros[DIA],investiroutrosconsolidadomar[[#Headers],[26]],tabela_registros[REGISTRO],DADOS!$N$5,tabela_registros[TIPO],DADOS!$AB$5,tabela_registros[CATEGORIA],investiroutrosconsolidadomar[[#This Row],[ATUAL]])</f>
        <v>0</v>
      </c>
      <c r="AE158" s="91">
        <f>SUMIFS(tabela_registros[VALOR],tabela_registros[MÊS],$AE$1,tabela_registros[DIA],investiroutrosconsolidadomar[[#Headers],[27]],tabela_registros[REGISTRO],DADOS!$N$5,tabela_registros[TIPO],DADOS!$AB$5,tabela_registros[CATEGORIA],investiroutrosconsolidadomar[[#This Row],[ATUAL]])</f>
        <v>0</v>
      </c>
      <c r="AF158" s="91">
        <f>SUMIFS(tabela_registros[VALOR],tabela_registros[MÊS],$AE$1,tabela_registros[DIA],investiroutrosconsolidadomar[[#Headers],[28]],tabela_registros[REGISTRO],DADOS!$N$5,tabela_registros[TIPO],DADOS!$AB$5,tabela_registros[CATEGORIA],investiroutrosconsolidadomar[[#This Row],[ATUAL]])</f>
        <v>0</v>
      </c>
      <c r="AG158" s="91">
        <f>SUMIFS(tabela_registros[VALOR],tabela_registros[MÊS],$AE$1,tabela_registros[DIA],investiroutrosconsolidadomar[[#Headers],[29]],tabela_registros[REGISTRO],DADOS!$N$5,tabela_registros[TIPO],DADOS!$AB$5,tabela_registros[CATEGORIA],investiroutrosconsolidadomar[[#This Row],[ATUAL]])</f>
        <v>0</v>
      </c>
      <c r="AH158" s="91">
        <f>SUMIFS(tabela_registros[VALOR],tabela_registros[MÊS],$AE$1,tabela_registros[DIA],investiroutrosconsolidadomar[[#Headers],[30]],tabela_registros[REGISTRO],DADOS!$N$5,tabela_registros[TIPO],DADOS!$AB$5,tabela_registros[CATEGORIA],investiroutrosconsolidadomar[[#This Row],[ATUAL]])</f>
        <v>0</v>
      </c>
      <c r="AI158" s="102">
        <f>SUMIFS(tabela_registros[VALOR],tabela_registros[MÊS],$AE$1,tabela_registros[DIA],investiroutrosconsolidadomar[[#Headers],[31]],tabela_registros[REGISTRO],DADOS!$N$5,tabela_registros[TIPO],DADOS!$AB$5,tabela_registros[CATEGORIA],investiroutrosconsolidadomar[[#This Row],[ATUAL]])</f>
        <v>0</v>
      </c>
      <c r="AJ158" s="97">
        <f>SUM(investiroutrosconsolidadomar[[#This Row],[1]:[31]])</f>
        <v>0</v>
      </c>
      <c r="AK158" s="25"/>
    </row>
    <row r="159" spans="2:37" s="16" customFormat="1" ht="21" customHeight="1" thickTop="1" thickBot="1" x14ac:dyDescent="0.35">
      <c r="B159" s="24"/>
      <c r="C159" s="23" t="s">
        <v>19</v>
      </c>
      <c r="D159" s="22"/>
      <c r="E159" s="21">
        <f>SUM(E151:E158)</f>
        <v>0</v>
      </c>
      <c r="F159" s="20">
        <f>SUM(F151:F158)+investiroutrosconsolidadomar[[#This Row],[1]]</f>
        <v>0</v>
      </c>
      <c r="G159" s="20">
        <f>SUM(G151:G158)+investiroutrosconsolidadomar[[#This Row],[2]]</f>
        <v>0</v>
      </c>
      <c r="H159" s="20">
        <f>SUM(H151:H158)+investiroutrosconsolidadomar[[#This Row],[3]]</f>
        <v>0</v>
      </c>
      <c r="I159" s="20">
        <f>SUM(I151:I158)+investiroutrosconsolidadomar[[#This Row],[4]]</f>
        <v>0</v>
      </c>
      <c r="J159" s="20">
        <f>SUM(J151:J158)+investiroutrosconsolidadomar[[#This Row],[5]]</f>
        <v>0</v>
      </c>
      <c r="K159" s="20">
        <f>SUM(K151:K158)+investiroutrosconsolidadomar[[#This Row],[6]]</f>
        <v>0</v>
      </c>
      <c r="L159" s="20">
        <f>SUM(L151:L158)+investiroutrosconsolidadomar[[#This Row],[7]]</f>
        <v>0</v>
      </c>
      <c r="M159" s="20">
        <f>SUM(M151:M158)+investiroutrosconsolidadomar[[#This Row],[8]]</f>
        <v>0</v>
      </c>
      <c r="N159" s="20">
        <f>SUM(N151:N158)+investiroutrosconsolidadomar[[#This Row],[9]]</f>
        <v>0</v>
      </c>
      <c r="O159" s="20">
        <f>SUM(O151:O158)+investiroutrosconsolidadomar[[#This Row],[10]]</f>
        <v>0</v>
      </c>
      <c r="P159" s="20">
        <f>SUM(P151:P158)+investiroutrosconsolidadomar[[#This Row],[11]]</f>
        <v>0</v>
      </c>
      <c r="Q159" s="20">
        <f>SUM(Q151:Q158)+investiroutrosconsolidadomar[[#This Row],[12]]</f>
        <v>0</v>
      </c>
      <c r="R159" s="20">
        <f>SUM(R151:R158)+investiroutrosconsolidadomar[[#This Row],[13]]</f>
        <v>0</v>
      </c>
      <c r="S159" s="20">
        <f>SUM(S151:S158)+investiroutrosconsolidadomar[[#This Row],[14]]</f>
        <v>0</v>
      </c>
      <c r="T159" s="20">
        <f>SUM(T151:T158)+investiroutrosconsolidadomar[[#This Row],[15]]</f>
        <v>0</v>
      </c>
      <c r="U159" s="20">
        <f>SUM(U151:U158)+investiroutrosconsolidadomar[[#This Row],[16]]</f>
        <v>0</v>
      </c>
      <c r="V159" s="20">
        <f>SUM(V151:V158)+investiroutrosconsolidadomar[[#This Row],[17]]</f>
        <v>0</v>
      </c>
      <c r="W159" s="20">
        <f>SUM(W151:W158)+investiroutrosconsolidadomar[[#This Row],[18]]</f>
        <v>0</v>
      </c>
      <c r="X159" s="20">
        <f>SUM(X151:X158)+investiroutrosconsolidadomar[[#This Row],[19]]</f>
        <v>0</v>
      </c>
      <c r="Y159" s="20">
        <f>SUM(Y151:Y158)+investiroutrosconsolidadomar[[#This Row],[20]]</f>
        <v>0</v>
      </c>
      <c r="Z159" s="20">
        <f>SUM(Z151:Z158)+investiroutrosconsolidadomar[[#This Row],[21]]</f>
        <v>0</v>
      </c>
      <c r="AA159" s="20">
        <f>SUM(AA151:AA158)+investiroutrosconsolidadomar[[#This Row],[22]]</f>
        <v>0</v>
      </c>
      <c r="AB159" s="20">
        <f>SUM(AB151:AB158)+investiroutrosconsolidadomar[[#This Row],[23]]</f>
        <v>0</v>
      </c>
      <c r="AC159" s="20">
        <f>SUM(AC151:AC158)+investiroutrosconsolidadomar[[#This Row],[24]]</f>
        <v>0</v>
      </c>
      <c r="AD159" s="20">
        <f>SUM(AD151:AD158)+investiroutrosconsolidadomar[[#This Row],[25]]</f>
        <v>0</v>
      </c>
      <c r="AE159" s="20">
        <f>SUM(AE151:AE158)+investiroutrosconsolidadomar[[#This Row],[26]]</f>
        <v>0</v>
      </c>
      <c r="AF159" s="20">
        <f>SUM(AF151:AF158)+investiroutrosconsolidadomar[[#This Row],[27]]</f>
        <v>0</v>
      </c>
      <c r="AG159" s="20">
        <f>SUM(AG151:AG158)+investiroutrosconsolidadomar[[#This Row],[28]]</f>
        <v>0</v>
      </c>
      <c r="AH159" s="20">
        <f>SUM(AH151:AH158)+investiroutrosconsolidadomar[[#This Row],[29]]</f>
        <v>0</v>
      </c>
      <c r="AI159" s="19">
        <f>SUM(AI151:AI158)+investiroutrosconsolidadomar[[#This Row],[30]]</f>
        <v>0</v>
      </c>
      <c r="AJ159" s="18">
        <f>investiroutrosconsolidadomar[[#This Row],[31]]</f>
        <v>0</v>
      </c>
      <c r="AK159" s="17"/>
    </row>
    <row r="160" spans="2:37" ht="6.75" customHeight="1" thickTop="1" thickBot="1" x14ac:dyDescent="0.3">
      <c r="B160" s="15"/>
      <c r="C160" s="14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  <c r="AA160" s="13"/>
      <c r="AB160" s="13"/>
      <c r="AC160" s="13"/>
      <c r="AD160" s="13"/>
      <c r="AE160" s="13"/>
      <c r="AF160" s="13"/>
      <c r="AG160" s="13"/>
      <c r="AH160" s="13"/>
      <c r="AI160" s="12"/>
      <c r="AJ160" s="11"/>
      <c r="AK160" s="10"/>
    </row>
    <row r="161" spans="2:37" ht="12.6" thickTop="1" x14ac:dyDescent="0.25">
      <c r="E161" s="37"/>
      <c r="AI161" s="4"/>
    </row>
    <row r="162" spans="2:37" x14ac:dyDescent="0.25">
      <c r="AI162" s="4"/>
    </row>
    <row r="163" spans="2:37" x14ac:dyDescent="0.25">
      <c r="AI163" s="4"/>
    </row>
    <row r="164" spans="2:37" ht="39.75" customHeight="1" x14ac:dyDescent="0.7">
      <c r="C164" s="36"/>
      <c r="E164" s="240"/>
      <c r="F164" s="240"/>
      <c r="G164" s="240"/>
      <c r="H164" s="240"/>
      <c r="I164" s="240"/>
      <c r="J164" s="240"/>
      <c r="K164" s="240"/>
      <c r="L164" s="240"/>
      <c r="M164" s="240"/>
      <c r="N164" s="240"/>
      <c r="O164" s="240"/>
      <c r="P164" s="240"/>
      <c r="Q164" s="240"/>
      <c r="R164" s="240"/>
      <c r="S164" s="240"/>
      <c r="T164" s="240"/>
      <c r="U164" s="240"/>
      <c r="V164" s="240"/>
      <c r="W164" s="240"/>
      <c r="X164" s="240"/>
      <c r="Y164" s="240"/>
      <c r="Z164" s="240"/>
      <c r="AA164" s="240"/>
      <c r="AB164" s="240"/>
      <c r="AC164" s="240"/>
      <c r="AD164" s="240"/>
      <c r="AE164" s="240"/>
      <c r="AF164" s="240"/>
      <c r="AG164" s="240"/>
      <c r="AH164" s="240"/>
      <c r="AI164" s="240"/>
      <c r="AJ164" s="32" t="s">
        <v>19</v>
      </c>
    </row>
    <row r="165" spans="2:37" ht="12.6" thickBot="1" x14ac:dyDescent="0.3">
      <c r="B165" s="35"/>
      <c r="AI165" s="4"/>
      <c r="AJ165" s="34" t="s">
        <v>202</v>
      </c>
    </row>
    <row r="166" spans="2:37" ht="6.75" customHeight="1" thickTop="1" thickBot="1" x14ac:dyDescent="0.3">
      <c r="B166" s="2"/>
      <c r="C166" s="14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F166" s="13"/>
      <c r="AG166" s="13"/>
      <c r="AH166" s="13"/>
      <c r="AI166" s="13"/>
      <c r="AJ166" s="12"/>
      <c r="AK166" s="33"/>
    </row>
    <row r="167" spans="2:37" ht="13.2" hidden="1" thickTop="1" thickBot="1" x14ac:dyDescent="0.3">
      <c r="B167" s="2"/>
      <c r="C167" s="31" t="s">
        <v>199</v>
      </c>
      <c r="D167" s="30" t="s">
        <v>198</v>
      </c>
      <c r="E167" s="30" t="s">
        <v>197</v>
      </c>
      <c r="F167" s="30" t="s">
        <v>196</v>
      </c>
      <c r="G167" s="30" t="s">
        <v>195</v>
      </c>
      <c r="H167" s="30" t="s">
        <v>194</v>
      </c>
      <c r="I167" s="30" t="s">
        <v>193</v>
      </c>
      <c r="J167" s="30" t="s">
        <v>192</v>
      </c>
      <c r="K167" s="30" t="s">
        <v>191</v>
      </c>
      <c r="L167" s="30" t="s">
        <v>190</v>
      </c>
      <c r="M167" s="30" t="s">
        <v>189</v>
      </c>
      <c r="N167" s="30" t="s">
        <v>188</v>
      </c>
      <c r="O167" s="30" t="s">
        <v>187</v>
      </c>
      <c r="P167" s="30" t="s">
        <v>186</v>
      </c>
      <c r="Q167" s="30" t="s">
        <v>185</v>
      </c>
      <c r="R167" s="30" t="s">
        <v>184</v>
      </c>
      <c r="S167" s="30" t="s">
        <v>183</v>
      </c>
      <c r="T167" s="30" t="s">
        <v>182</v>
      </c>
      <c r="U167" s="30" t="s">
        <v>181</v>
      </c>
      <c r="V167" s="30" t="s">
        <v>180</v>
      </c>
      <c r="W167" s="30" t="s">
        <v>179</v>
      </c>
      <c r="X167" s="30" t="s">
        <v>178</v>
      </c>
      <c r="Y167" s="30" t="s">
        <v>177</v>
      </c>
      <c r="Z167" s="30" t="s">
        <v>176</v>
      </c>
      <c r="AA167" s="30" t="s">
        <v>175</v>
      </c>
      <c r="AB167" s="30" t="s">
        <v>174</v>
      </c>
      <c r="AC167" s="30" t="s">
        <v>173</v>
      </c>
      <c r="AD167" s="30" t="s">
        <v>172</v>
      </c>
      <c r="AE167" s="30" t="s">
        <v>171</v>
      </c>
      <c r="AF167" s="30" t="s">
        <v>170</v>
      </c>
      <c r="AG167" s="30" t="s">
        <v>169</v>
      </c>
      <c r="AH167" s="30" t="s">
        <v>168</v>
      </c>
      <c r="AI167" s="30" t="s">
        <v>167</v>
      </c>
      <c r="AJ167" s="29" t="s">
        <v>166</v>
      </c>
      <c r="AK167" s="2"/>
    </row>
    <row r="168" spans="2:37" ht="19.5" customHeight="1" thickTop="1" thickBot="1" x14ac:dyDescent="0.3">
      <c r="B168" s="28"/>
      <c r="C168" s="27" t="str">
        <f>DADOS!$AL$3</f>
        <v>📝 CDB</v>
      </c>
      <c r="D168" s="26" t="str">
        <f>IF(reservafixaconsolidadomar[[#This Row],[TOTAL (R$)]]=0,"",IF(OR(reservafixaconsolidadomar[[#This Row],[TOTAL (R$)]]=LARGE($AJ$168:$AJ$177,1),reservafixaconsolidadomar[[#This Row],[TOTAL (R$)]]=LARGE($AJ$168:$AJ$177,2)),DADOS!$I$11,""))</f>
        <v/>
      </c>
      <c r="E168" s="96">
        <f>SUMIFS(tabela_registros[VALOR],tabela_registros[MÊS],$AE$1,tabela_registros[DIA],reservafixaconsolidadomar[[#Headers],[1]],tabela_registros[REGISTRO],DADOS!$N$6,tabela_registros[TIPO],DADOS!$AJ$3,tabela_registros[CATEGORIA],reservafixaconsolidadomar[[#This Row],[ATUAL]])</f>
        <v>0</v>
      </c>
      <c r="F168" s="91">
        <f>SUMIFS(tabela_registros[VALOR],tabela_registros[MÊS],$AE$1,tabela_registros[DIA],reservafixaconsolidadomar[[#Headers],[2]],tabela_registros[REGISTRO],DADOS!$N$6,tabela_registros[TIPO],DADOS!$AJ$3,tabela_registros[CATEGORIA],reservafixaconsolidadomar[[#This Row],[ATUAL]])</f>
        <v>0</v>
      </c>
      <c r="G168" s="91">
        <f>SUMIFS(tabela_registros[VALOR],tabela_registros[MÊS],$AE$1,tabela_registros[DIA],reservafixaconsolidadomar[[#Headers],[3]],tabela_registros[REGISTRO],DADOS!$N$6,tabela_registros[TIPO],DADOS!$AJ$3,tabela_registros[CATEGORIA],reservafixaconsolidadomar[[#This Row],[ATUAL]])</f>
        <v>0</v>
      </c>
      <c r="H168" s="91">
        <f>SUMIFS(tabela_registros[VALOR],tabela_registros[MÊS],$AE$1,tabela_registros[DIA],reservafixaconsolidadomar[[#Headers],[4]],tabela_registros[REGISTRO],DADOS!$N$6,tabela_registros[TIPO],DADOS!$AJ$3,tabela_registros[CATEGORIA],reservafixaconsolidadomar[[#This Row],[ATUAL]])</f>
        <v>0</v>
      </c>
      <c r="I168" s="91">
        <f>SUMIFS(tabela_registros[VALOR],tabela_registros[MÊS],$AE$1,tabela_registros[DIA],reservafixaconsolidadomar[[#Headers],[5]],tabela_registros[REGISTRO],DADOS!$N$6,tabela_registros[TIPO],DADOS!$AJ$3,tabela_registros[CATEGORIA],reservafixaconsolidadomar[[#This Row],[ATUAL]])</f>
        <v>0</v>
      </c>
      <c r="J168" s="91">
        <f>SUMIFS(tabela_registros[VALOR],tabela_registros[MÊS],$AE$1,tabela_registros[DIA],reservafixaconsolidadomar[[#Headers],[6]],tabela_registros[REGISTRO],DADOS!$N$6,tabela_registros[TIPO],DADOS!$AJ$3,tabela_registros[CATEGORIA],reservafixaconsolidadomar[[#This Row],[ATUAL]])</f>
        <v>0</v>
      </c>
      <c r="K168" s="91">
        <f>SUMIFS(tabela_registros[VALOR],tabela_registros[MÊS],$AE$1,tabela_registros[DIA],reservafixaconsolidadomar[[#Headers],[7]],tabela_registros[REGISTRO],DADOS!$N$6,tabela_registros[TIPO],DADOS!$AJ$3,tabela_registros[CATEGORIA],reservafixaconsolidadomar[[#This Row],[ATUAL]])</f>
        <v>0</v>
      </c>
      <c r="L168" s="91">
        <f>SUMIFS(tabela_registros[VALOR],tabela_registros[MÊS],$AE$1,tabela_registros[DIA],reservafixaconsolidadomar[[#Headers],[8]],tabela_registros[REGISTRO],DADOS!$N$6,tabela_registros[TIPO],DADOS!$AJ$3,tabela_registros[CATEGORIA],reservafixaconsolidadomar[[#This Row],[ATUAL]])</f>
        <v>0</v>
      </c>
      <c r="M168" s="91">
        <f>SUMIFS(tabela_registros[VALOR],tabela_registros[MÊS],$AE$1,tabela_registros[DIA],reservafixaconsolidadomar[[#Headers],[9]],tabela_registros[REGISTRO],DADOS!$N$6,tabela_registros[TIPO],DADOS!$AJ$3,tabela_registros[CATEGORIA],reservafixaconsolidadomar[[#This Row],[ATUAL]])</f>
        <v>0</v>
      </c>
      <c r="N168" s="91">
        <f>SUMIFS(tabela_registros[VALOR],tabela_registros[MÊS],$AE$1,tabela_registros[DIA],reservafixaconsolidadomar[[#Headers],[10]],tabela_registros[REGISTRO],DADOS!$N$6,tabela_registros[TIPO],DADOS!$AJ$3,tabela_registros[CATEGORIA],reservafixaconsolidadomar[[#This Row],[ATUAL]])</f>
        <v>0</v>
      </c>
      <c r="O168" s="91">
        <f>SUMIFS(tabela_registros[VALOR],tabela_registros[MÊS],$AE$1,tabela_registros[DIA],reservafixaconsolidadomar[[#Headers],[11]],tabela_registros[REGISTRO],DADOS!$N$6,tabela_registros[TIPO],DADOS!$AJ$3,tabela_registros[CATEGORIA],reservafixaconsolidadomar[[#This Row],[ATUAL]])</f>
        <v>0</v>
      </c>
      <c r="P168" s="91">
        <f>SUMIFS(tabela_registros[VALOR],tabela_registros[MÊS],$AE$1,tabela_registros[DIA],reservafixaconsolidadomar[[#Headers],[12]],tabela_registros[REGISTRO],DADOS!$N$6,tabela_registros[TIPO],DADOS!$AJ$3,tabela_registros[CATEGORIA],reservafixaconsolidadomar[[#This Row],[ATUAL]])</f>
        <v>0</v>
      </c>
      <c r="Q168" s="91">
        <f>SUMIFS(tabela_registros[VALOR],tabela_registros[MÊS],$AE$1,tabela_registros[DIA],reservafixaconsolidadomar[[#Headers],[13]],tabela_registros[REGISTRO],DADOS!$N$6,tabela_registros[TIPO],DADOS!$AJ$3,tabela_registros[CATEGORIA],reservafixaconsolidadomar[[#This Row],[ATUAL]])</f>
        <v>0</v>
      </c>
      <c r="R168" s="91">
        <f>SUMIFS(tabela_registros[VALOR],tabela_registros[MÊS],$AE$1,tabela_registros[DIA],reservafixaconsolidadomar[[#Headers],[14]],tabela_registros[REGISTRO],DADOS!$N$6,tabela_registros[TIPO],DADOS!$AJ$3,tabela_registros[CATEGORIA],reservafixaconsolidadomar[[#This Row],[ATUAL]])</f>
        <v>0</v>
      </c>
      <c r="S168" s="91">
        <f>SUMIFS(tabela_registros[VALOR],tabela_registros[MÊS],$AE$1,tabela_registros[DIA],reservafixaconsolidadomar[[#Headers],[15]],tabela_registros[REGISTRO],DADOS!$N$6,tabela_registros[TIPO],DADOS!$AJ$3,tabela_registros[CATEGORIA],reservafixaconsolidadomar[[#This Row],[ATUAL]])</f>
        <v>0</v>
      </c>
      <c r="T168" s="91">
        <f>SUMIFS(tabela_registros[VALOR],tabela_registros[MÊS],$AE$1,tabela_registros[DIA],reservafixaconsolidadomar[[#Headers],[16]],tabela_registros[REGISTRO],DADOS!$N$6,tabela_registros[TIPO],DADOS!$AJ$3,tabela_registros[CATEGORIA],reservafixaconsolidadomar[[#This Row],[ATUAL]])</f>
        <v>0</v>
      </c>
      <c r="U168" s="91">
        <f>SUMIFS(tabela_registros[VALOR],tabela_registros[MÊS],$AE$1,tabela_registros[DIA],reservafixaconsolidadomar[[#Headers],[17]],tabela_registros[REGISTRO],DADOS!$N$6,tabela_registros[TIPO],DADOS!$AJ$3,tabela_registros[CATEGORIA],reservafixaconsolidadomar[[#This Row],[ATUAL]])</f>
        <v>0</v>
      </c>
      <c r="V168" s="91">
        <f>SUMIFS(tabela_registros[VALOR],tabela_registros[MÊS],$AE$1,tabela_registros[DIA],reservafixaconsolidadomar[[#Headers],[18]],tabela_registros[REGISTRO],DADOS!$N$6,tabela_registros[TIPO],DADOS!$AJ$3,tabela_registros[CATEGORIA],reservafixaconsolidadomar[[#This Row],[ATUAL]])</f>
        <v>0</v>
      </c>
      <c r="W168" s="91">
        <f>SUMIFS(tabela_registros[VALOR],tabela_registros[MÊS],$AE$1,tabela_registros[DIA],reservafixaconsolidadomar[[#Headers],[19]],tabela_registros[REGISTRO],DADOS!$N$6,tabela_registros[TIPO],DADOS!$AJ$3,tabela_registros[CATEGORIA],reservafixaconsolidadomar[[#This Row],[ATUAL]])</f>
        <v>0</v>
      </c>
      <c r="X168" s="91">
        <f>SUMIFS(tabela_registros[VALOR],tabela_registros[MÊS],$AE$1,tabela_registros[DIA],reservafixaconsolidadomar[[#Headers],[20]],tabela_registros[REGISTRO],DADOS!$N$6,tabela_registros[TIPO],DADOS!$AJ$3,tabela_registros[CATEGORIA],reservafixaconsolidadomar[[#This Row],[ATUAL]])</f>
        <v>0</v>
      </c>
      <c r="Y168" s="91">
        <f>SUMIFS(tabela_registros[VALOR],tabela_registros[MÊS],$AE$1,tabela_registros[DIA],reservafixaconsolidadomar[[#Headers],[21]],tabela_registros[REGISTRO],DADOS!$N$6,tabela_registros[TIPO],DADOS!$AJ$3,tabela_registros[CATEGORIA],reservafixaconsolidadomar[[#This Row],[ATUAL]])</f>
        <v>0</v>
      </c>
      <c r="Z168" s="91">
        <f>SUMIFS(tabela_registros[VALOR],tabela_registros[MÊS],$AE$1,tabela_registros[DIA],reservafixaconsolidadomar[[#Headers],[22]],tabela_registros[REGISTRO],DADOS!$N$6,tabela_registros[TIPO],DADOS!$AJ$3,tabela_registros[CATEGORIA],reservafixaconsolidadomar[[#This Row],[ATUAL]])</f>
        <v>0</v>
      </c>
      <c r="AA168" s="91">
        <f>SUMIFS(tabela_registros[VALOR],tabela_registros[MÊS],$AE$1,tabela_registros[DIA],reservafixaconsolidadomar[[#Headers],[23]],tabela_registros[REGISTRO],DADOS!$N$6,tabela_registros[TIPO],DADOS!$AJ$3,tabela_registros[CATEGORIA],reservafixaconsolidadomar[[#This Row],[ATUAL]])</f>
        <v>0</v>
      </c>
      <c r="AB168" s="91">
        <f>SUMIFS(tabela_registros[VALOR],tabela_registros[MÊS],$AE$1,tabela_registros[DIA],reservafixaconsolidadomar[[#Headers],[24]],tabela_registros[REGISTRO],DADOS!$N$6,tabela_registros[TIPO],DADOS!$AJ$3,tabela_registros[CATEGORIA],reservafixaconsolidadomar[[#This Row],[ATUAL]])</f>
        <v>0</v>
      </c>
      <c r="AC168" s="91">
        <f>SUMIFS(tabela_registros[VALOR],tabela_registros[MÊS],$AE$1,tabela_registros[DIA],reservafixaconsolidadomar[[#Headers],[25]],tabela_registros[REGISTRO],DADOS!$N$6,tabela_registros[TIPO],DADOS!$AJ$3,tabela_registros[CATEGORIA],reservafixaconsolidadomar[[#This Row],[ATUAL]])</f>
        <v>0</v>
      </c>
      <c r="AD168" s="91">
        <f>SUMIFS(tabela_registros[VALOR],tabela_registros[MÊS],$AE$1,tabela_registros[DIA],reservafixaconsolidadomar[[#Headers],[26]],tabela_registros[REGISTRO],DADOS!$N$6,tabela_registros[TIPO],DADOS!$AJ$3,tabela_registros[CATEGORIA],reservafixaconsolidadomar[[#This Row],[ATUAL]])</f>
        <v>0</v>
      </c>
      <c r="AE168" s="91">
        <f>SUMIFS(tabela_registros[VALOR],tabela_registros[MÊS],$AE$1,tabela_registros[DIA],reservafixaconsolidadomar[[#Headers],[27]],tabela_registros[REGISTRO],DADOS!$N$6,tabela_registros[TIPO],DADOS!$AJ$3,tabela_registros[CATEGORIA],reservafixaconsolidadomar[[#This Row],[ATUAL]])</f>
        <v>0</v>
      </c>
      <c r="AF168" s="91">
        <f>SUMIFS(tabela_registros[VALOR],tabela_registros[MÊS],$AE$1,tabela_registros[DIA],reservafixaconsolidadomar[[#Headers],[28]],tabela_registros[REGISTRO],DADOS!$N$6,tabela_registros[TIPO],DADOS!$AJ$3,tabela_registros[CATEGORIA],reservafixaconsolidadomar[[#This Row],[ATUAL]])</f>
        <v>0</v>
      </c>
      <c r="AG168" s="91">
        <f>SUMIFS(tabela_registros[VALOR],tabela_registros[MÊS],$AE$1,tabela_registros[DIA],reservafixaconsolidadomar[[#Headers],[29]],tabela_registros[REGISTRO],DADOS!$N$6,tabela_registros[TIPO],DADOS!$AJ$3,tabela_registros[CATEGORIA],reservafixaconsolidadomar[[#This Row],[ATUAL]])</f>
        <v>0</v>
      </c>
      <c r="AH168" s="91">
        <f>SUMIFS(tabela_registros[VALOR],tabela_registros[MÊS],$AE$1,tabela_registros[DIA],reservafixaconsolidadomar[[#Headers],[30]],tabela_registros[REGISTRO],DADOS!$N$6,tabela_registros[TIPO],DADOS!$AJ$3,tabela_registros[CATEGORIA],reservafixaconsolidadomar[[#This Row],[ATUAL]])</f>
        <v>0</v>
      </c>
      <c r="AI168" s="101">
        <f>SUMIFS(tabela_registros[VALOR],tabela_registros[MÊS],$AE$1,tabela_registros[DIA],reservafixaconsolidadomar[[#Headers],[31]],tabela_registros[REGISTRO],DADOS!$N$6,tabela_registros[TIPO],DADOS!$AJ$3,tabela_registros[CATEGORIA],reservafixaconsolidadomar[[#This Row],[ATUAL]])</f>
        <v>0</v>
      </c>
      <c r="AJ168" s="97">
        <f>SUM(reservafixaconsolidadomar[[#This Row],[1]:[31]])</f>
        <v>0</v>
      </c>
      <c r="AK168" s="25"/>
    </row>
    <row r="169" spans="2:37" ht="19.5" customHeight="1" thickTop="1" thickBot="1" x14ac:dyDescent="0.3">
      <c r="B169" s="28"/>
      <c r="C169" s="27" t="str">
        <f>DADOS!$AL$4</f>
        <v>📝 CRA</v>
      </c>
      <c r="D169" s="26" t="str">
        <f>IF(reservafixaconsolidadomar[[#This Row],[TOTAL (R$)]]=0,"",IF(OR(reservafixaconsolidadomar[[#This Row],[TOTAL (R$)]]=LARGE($AJ$168:$AJ$177,1),reservafixaconsolidadomar[[#This Row],[TOTAL (R$)]]=LARGE($AJ$168:$AJ$177,2)),DADOS!$I$11,""))</f>
        <v/>
      </c>
      <c r="E169" s="96">
        <f>SUMIFS(tabela_registros[VALOR],tabela_registros[MÊS],$AE$1,tabela_registros[DIA],reservafixaconsolidadomar[[#Headers],[1]],tabela_registros[REGISTRO],DADOS!$N$6,tabela_registros[TIPO],DADOS!$AJ$3,tabela_registros[CATEGORIA],reservafixaconsolidadomar[[#This Row],[ATUAL]])</f>
        <v>0</v>
      </c>
      <c r="F169" s="91">
        <f>SUMIFS(tabela_registros[VALOR],tabela_registros[MÊS],$AE$1,tabela_registros[DIA],reservafixaconsolidadomar[[#Headers],[2]],tabela_registros[REGISTRO],DADOS!$N$6,tabela_registros[TIPO],DADOS!$AJ$3,tabela_registros[CATEGORIA],reservafixaconsolidadomar[[#This Row],[ATUAL]])</f>
        <v>0</v>
      </c>
      <c r="G169" s="91">
        <f>SUMIFS(tabela_registros[VALOR],tabela_registros[MÊS],$AE$1,tabela_registros[DIA],reservafixaconsolidadomar[[#Headers],[3]],tabela_registros[REGISTRO],DADOS!$N$6,tabela_registros[TIPO],DADOS!$AJ$3,tabela_registros[CATEGORIA],reservafixaconsolidadomar[[#This Row],[ATUAL]])</f>
        <v>0</v>
      </c>
      <c r="H169" s="91">
        <f>SUMIFS(tabela_registros[VALOR],tabela_registros[MÊS],$AE$1,tabela_registros[DIA],reservafixaconsolidadomar[[#Headers],[4]],tabela_registros[REGISTRO],DADOS!$N$6,tabela_registros[TIPO],DADOS!$AJ$3,tabela_registros[CATEGORIA],reservafixaconsolidadomar[[#This Row],[ATUAL]])</f>
        <v>0</v>
      </c>
      <c r="I169" s="91">
        <f>SUMIFS(tabela_registros[VALOR],tabela_registros[MÊS],$AE$1,tabela_registros[DIA],reservafixaconsolidadomar[[#Headers],[5]],tabela_registros[REGISTRO],DADOS!$N$6,tabela_registros[TIPO],DADOS!$AJ$3,tabela_registros[CATEGORIA],reservafixaconsolidadomar[[#This Row],[ATUAL]])</f>
        <v>0</v>
      </c>
      <c r="J169" s="91">
        <f>SUMIFS(tabela_registros[VALOR],tabela_registros[MÊS],$AE$1,tabela_registros[DIA],reservafixaconsolidadomar[[#Headers],[6]],tabela_registros[REGISTRO],DADOS!$N$6,tabela_registros[TIPO],DADOS!$AJ$3,tabela_registros[CATEGORIA],reservafixaconsolidadomar[[#This Row],[ATUAL]])</f>
        <v>0</v>
      </c>
      <c r="K169" s="91">
        <f>SUMIFS(tabela_registros[VALOR],tabela_registros[MÊS],$AE$1,tabela_registros[DIA],reservafixaconsolidadomar[[#Headers],[7]],tabela_registros[REGISTRO],DADOS!$N$6,tabela_registros[TIPO],DADOS!$AJ$3,tabela_registros[CATEGORIA],reservafixaconsolidadomar[[#This Row],[ATUAL]])</f>
        <v>0</v>
      </c>
      <c r="L169" s="91">
        <f>SUMIFS(tabela_registros[VALOR],tabela_registros[MÊS],$AE$1,tabela_registros[DIA],reservafixaconsolidadomar[[#Headers],[8]],tabela_registros[REGISTRO],DADOS!$N$6,tabela_registros[TIPO],DADOS!$AJ$3,tabela_registros[CATEGORIA],reservafixaconsolidadomar[[#This Row],[ATUAL]])</f>
        <v>0</v>
      </c>
      <c r="M169" s="91">
        <f>SUMIFS(tabela_registros[VALOR],tabela_registros[MÊS],$AE$1,tabela_registros[DIA],reservafixaconsolidadomar[[#Headers],[9]],tabela_registros[REGISTRO],DADOS!$N$6,tabela_registros[TIPO],DADOS!$AJ$3,tabela_registros[CATEGORIA],reservafixaconsolidadomar[[#This Row],[ATUAL]])</f>
        <v>0</v>
      </c>
      <c r="N169" s="91">
        <f>SUMIFS(tabela_registros[VALOR],tabela_registros[MÊS],$AE$1,tabela_registros[DIA],reservafixaconsolidadomar[[#Headers],[10]],tabela_registros[REGISTRO],DADOS!$N$6,tabela_registros[TIPO],DADOS!$AJ$3,tabela_registros[CATEGORIA],reservafixaconsolidadomar[[#This Row],[ATUAL]])</f>
        <v>0</v>
      </c>
      <c r="O169" s="91">
        <f>SUMIFS(tabela_registros[VALOR],tabela_registros[MÊS],$AE$1,tabela_registros[DIA],reservafixaconsolidadomar[[#Headers],[11]],tabela_registros[REGISTRO],DADOS!$N$6,tabela_registros[TIPO],DADOS!$AJ$3,tabela_registros[CATEGORIA],reservafixaconsolidadomar[[#This Row],[ATUAL]])</f>
        <v>0</v>
      </c>
      <c r="P169" s="91">
        <f>SUMIFS(tabela_registros[VALOR],tabela_registros[MÊS],$AE$1,tabela_registros[DIA],reservafixaconsolidadomar[[#Headers],[12]],tabela_registros[REGISTRO],DADOS!$N$6,tabela_registros[TIPO],DADOS!$AJ$3,tabela_registros[CATEGORIA],reservafixaconsolidadomar[[#This Row],[ATUAL]])</f>
        <v>0</v>
      </c>
      <c r="Q169" s="91">
        <f>SUMIFS(tabela_registros[VALOR],tabela_registros[MÊS],$AE$1,tabela_registros[DIA],reservafixaconsolidadomar[[#Headers],[13]],tabela_registros[REGISTRO],DADOS!$N$6,tabela_registros[TIPO],DADOS!$AJ$3,tabela_registros[CATEGORIA],reservafixaconsolidadomar[[#This Row],[ATUAL]])</f>
        <v>0</v>
      </c>
      <c r="R169" s="91">
        <f>SUMIFS(tabela_registros[VALOR],tabela_registros[MÊS],$AE$1,tabela_registros[DIA],reservafixaconsolidadomar[[#Headers],[14]],tabela_registros[REGISTRO],DADOS!$N$6,tabela_registros[TIPO],DADOS!$AJ$3,tabela_registros[CATEGORIA],reservafixaconsolidadomar[[#This Row],[ATUAL]])</f>
        <v>0</v>
      </c>
      <c r="S169" s="91">
        <f>SUMIFS(tabela_registros[VALOR],tabela_registros[MÊS],$AE$1,tabela_registros[DIA],reservafixaconsolidadomar[[#Headers],[15]],tabela_registros[REGISTRO],DADOS!$N$6,tabela_registros[TIPO],DADOS!$AJ$3,tabela_registros[CATEGORIA],reservafixaconsolidadomar[[#This Row],[ATUAL]])</f>
        <v>0</v>
      </c>
      <c r="T169" s="91">
        <f>SUMIFS(tabela_registros[VALOR],tabela_registros[MÊS],$AE$1,tabela_registros[DIA],reservafixaconsolidadomar[[#Headers],[16]],tabela_registros[REGISTRO],DADOS!$N$6,tabela_registros[TIPO],DADOS!$AJ$3,tabela_registros[CATEGORIA],reservafixaconsolidadomar[[#This Row],[ATUAL]])</f>
        <v>0</v>
      </c>
      <c r="U169" s="91">
        <f>SUMIFS(tabela_registros[VALOR],tabela_registros[MÊS],$AE$1,tabela_registros[DIA],reservafixaconsolidadomar[[#Headers],[17]],tabela_registros[REGISTRO],DADOS!$N$6,tabela_registros[TIPO],DADOS!$AJ$3,tabela_registros[CATEGORIA],reservafixaconsolidadomar[[#This Row],[ATUAL]])</f>
        <v>0</v>
      </c>
      <c r="V169" s="91">
        <f>SUMIFS(tabela_registros[VALOR],tabela_registros[MÊS],$AE$1,tabela_registros[DIA],reservafixaconsolidadomar[[#Headers],[18]],tabela_registros[REGISTRO],DADOS!$N$6,tabela_registros[TIPO],DADOS!$AJ$3,tabela_registros[CATEGORIA],reservafixaconsolidadomar[[#This Row],[ATUAL]])</f>
        <v>0</v>
      </c>
      <c r="W169" s="91">
        <f>SUMIFS(tabela_registros[VALOR],tabela_registros[MÊS],$AE$1,tabela_registros[DIA],reservafixaconsolidadomar[[#Headers],[19]],tabela_registros[REGISTRO],DADOS!$N$6,tabela_registros[TIPO],DADOS!$AJ$3,tabela_registros[CATEGORIA],reservafixaconsolidadomar[[#This Row],[ATUAL]])</f>
        <v>0</v>
      </c>
      <c r="X169" s="91">
        <f>SUMIFS(tabela_registros[VALOR],tabela_registros[MÊS],$AE$1,tabela_registros[DIA],reservafixaconsolidadomar[[#Headers],[20]],tabela_registros[REGISTRO],DADOS!$N$6,tabela_registros[TIPO],DADOS!$AJ$3,tabela_registros[CATEGORIA],reservafixaconsolidadomar[[#This Row],[ATUAL]])</f>
        <v>0</v>
      </c>
      <c r="Y169" s="91">
        <f>SUMIFS(tabela_registros[VALOR],tabela_registros[MÊS],$AE$1,tabela_registros[DIA],reservafixaconsolidadomar[[#Headers],[21]],tabela_registros[REGISTRO],DADOS!$N$6,tabela_registros[TIPO],DADOS!$AJ$3,tabela_registros[CATEGORIA],reservafixaconsolidadomar[[#This Row],[ATUAL]])</f>
        <v>0</v>
      </c>
      <c r="Z169" s="91">
        <f>SUMIFS(tabela_registros[VALOR],tabela_registros[MÊS],$AE$1,tabela_registros[DIA],reservafixaconsolidadomar[[#Headers],[22]],tabela_registros[REGISTRO],DADOS!$N$6,tabela_registros[TIPO],DADOS!$AJ$3,tabela_registros[CATEGORIA],reservafixaconsolidadomar[[#This Row],[ATUAL]])</f>
        <v>0</v>
      </c>
      <c r="AA169" s="91">
        <f>SUMIFS(tabela_registros[VALOR],tabela_registros[MÊS],$AE$1,tabela_registros[DIA],reservafixaconsolidadomar[[#Headers],[23]],tabela_registros[REGISTRO],DADOS!$N$6,tabela_registros[TIPO],DADOS!$AJ$3,tabela_registros[CATEGORIA],reservafixaconsolidadomar[[#This Row],[ATUAL]])</f>
        <v>0</v>
      </c>
      <c r="AB169" s="91">
        <f>SUMIFS(tabela_registros[VALOR],tabela_registros[MÊS],$AE$1,tabela_registros[DIA],reservafixaconsolidadomar[[#Headers],[24]],tabela_registros[REGISTRO],DADOS!$N$6,tabela_registros[TIPO],DADOS!$AJ$3,tabela_registros[CATEGORIA],reservafixaconsolidadomar[[#This Row],[ATUAL]])</f>
        <v>0</v>
      </c>
      <c r="AC169" s="91">
        <f>SUMIFS(tabela_registros[VALOR],tabela_registros[MÊS],$AE$1,tabela_registros[DIA],reservafixaconsolidadomar[[#Headers],[25]],tabela_registros[REGISTRO],DADOS!$N$6,tabela_registros[TIPO],DADOS!$AJ$3,tabela_registros[CATEGORIA],reservafixaconsolidadomar[[#This Row],[ATUAL]])</f>
        <v>0</v>
      </c>
      <c r="AD169" s="91">
        <f>SUMIFS(tabela_registros[VALOR],tabela_registros[MÊS],$AE$1,tabela_registros[DIA],reservafixaconsolidadomar[[#Headers],[26]],tabela_registros[REGISTRO],DADOS!$N$6,tabela_registros[TIPO],DADOS!$AJ$3,tabela_registros[CATEGORIA],reservafixaconsolidadomar[[#This Row],[ATUAL]])</f>
        <v>0</v>
      </c>
      <c r="AE169" s="91">
        <f>SUMIFS(tabela_registros[VALOR],tabela_registros[MÊS],$AE$1,tabela_registros[DIA],reservafixaconsolidadomar[[#Headers],[27]],tabela_registros[REGISTRO],DADOS!$N$6,tabela_registros[TIPO],DADOS!$AJ$3,tabela_registros[CATEGORIA],reservafixaconsolidadomar[[#This Row],[ATUAL]])</f>
        <v>0</v>
      </c>
      <c r="AF169" s="91">
        <f>SUMIFS(tabela_registros[VALOR],tabela_registros[MÊS],$AE$1,tabela_registros[DIA],reservafixaconsolidadomar[[#Headers],[28]],tabela_registros[REGISTRO],DADOS!$N$6,tabela_registros[TIPO],DADOS!$AJ$3,tabela_registros[CATEGORIA],reservafixaconsolidadomar[[#This Row],[ATUAL]])</f>
        <v>0</v>
      </c>
      <c r="AG169" s="91">
        <f>SUMIFS(tabela_registros[VALOR],tabela_registros[MÊS],$AE$1,tabela_registros[DIA],reservafixaconsolidadomar[[#Headers],[29]],tabela_registros[REGISTRO],DADOS!$N$6,tabela_registros[TIPO],DADOS!$AJ$3,tabela_registros[CATEGORIA],reservafixaconsolidadomar[[#This Row],[ATUAL]])</f>
        <v>0</v>
      </c>
      <c r="AH169" s="91">
        <f>SUMIFS(tabela_registros[VALOR],tabela_registros[MÊS],$AE$1,tabela_registros[DIA],reservafixaconsolidadomar[[#Headers],[30]],tabela_registros[REGISTRO],DADOS!$N$6,tabela_registros[TIPO],DADOS!$AJ$3,tabela_registros[CATEGORIA],reservafixaconsolidadomar[[#This Row],[ATUAL]])</f>
        <v>0</v>
      </c>
      <c r="AI169" s="101">
        <f>SUMIFS(tabela_registros[VALOR],tabela_registros[MÊS],$AE$1,tabela_registros[DIA],reservafixaconsolidadomar[[#Headers],[31]],tabela_registros[REGISTRO],DADOS!$N$6,tabela_registros[TIPO],DADOS!$AJ$3,tabela_registros[CATEGORIA],reservafixaconsolidadomar[[#This Row],[ATUAL]])</f>
        <v>0</v>
      </c>
      <c r="AJ169" s="97">
        <f>SUM(reservafixaconsolidadomar[[#This Row],[1]:[31]])</f>
        <v>0</v>
      </c>
      <c r="AK169" s="25"/>
    </row>
    <row r="170" spans="2:37" ht="19.5" customHeight="1" thickTop="1" thickBot="1" x14ac:dyDescent="0.3">
      <c r="B170" s="28"/>
      <c r="C170" s="27" t="str">
        <f>DADOS!$AL$5</f>
        <v>📝 CRI</v>
      </c>
      <c r="D170" s="26" t="str">
        <f>IF(reservafixaconsolidadomar[[#This Row],[TOTAL (R$)]]=0,"",IF(OR(reservafixaconsolidadomar[[#This Row],[TOTAL (R$)]]=LARGE($AJ$168:$AJ$177,1),reservafixaconsolidadomar[[#This Row],[TOTAL (R$)]]=LARGE($AJ$168:$AJ$177,2)),DADOS!$I$11,""))</f>
        <v/>
      </c>
      <c r="E170" s="96">
        <f>SUMIFS(tabela_registros[VALOR],tabela_registros[MÊS],$AE$1,tabela_registros[DIA],reservafixaconsolidadomar[[#Headers],[1]],tabela_registros[REGISTRO],DADOS!$N$6,tabela_registros[TIPO],DADOS!$AJ$3,tabela_registros[CATEGORIA],reservafixaconsolidadomar[[#This Row],[ATUAL]])</f>
        <v>0</v>
      </c>
      <c r="F170" s="91">
        <f>SUMIFS(tabela_registros[VALOR],tabela_registros[MÊS],$AE$1,tabela_registros[DIA],reservafixaconsolidadomar[[#Headers],[2]],tabela_registros[REGISTRO],DADOS!$N$6,tabela_registros[TIPO],DADOS!$AJ$3,tabela_registros[CATEGORIA],reservafixaconsolidadomar[[#This Row],[ATUAL]])</f>
        <v>0</v>
      </c>
      <c r="G170" s="91">
        <f>SUMIFS(tabela_registros[VALOR],tabela_registros[MÊS],$AE$1,tabela_registros[DIA],reservafixaconsolidadomar[[#Headers],[3]],tabela_registros[REGISTRO],DADOS!$N$6,tabela_registros[TIPO],DADOS!$AJ$3,tabela_registros[CATEGORIA],reservafixaconsolidadomar[[#This Row],[ATUAL]])</f>
        <v>0</v>
      </c>
      <c r="H170" s="91">
        <f>SUMIFS(tabela_registros[VALOR],tabela_registros[MÊS],$AE$1,tabela_registros[DIA],reservafixaconsolidadomar[[#Headers],[4]],tabela_registros[REGISTRO],DADOS!$N$6,tabela_registros[TIPO],DADOS!$AJ$3,tabela_registros[CATEGORIA],reservafixaconsolidadomar[[#This Row],[ATUAL]])</f>
        <v>0</v>
      </c>
      <c r="I170" s="91">
        <f>SUMIFS(tabela_registros[VALOR],tabela_registros[MÊS],$AE$1,tabela_registros[DIA],reservafixaconsolidadomar[[#Headers],[5]],tabela_registros[REGISTRO],DADOS!$N$6,tabela_registros[TIPO],DADOS!$AJ$3,tabela_registros[CATEGORIA],reservafixaconsolidadomar[[#This Row],[ATUAL]])</f>
        <v>0</v>
      </c>
      <c r="J170" s="91">
        <f>SUMIFS(tabela_registros[VALOR],tabela_registros[MÊS],$AE$1,tabela_registros[DIA],reservafixaconsolidadomar[[#Headers],[6]],tabela_registros[REGISTRO],DADOS!$N$6,tabela_registros[TIPO],DADOS!$AJ$3,tabela_registros[CATEGORIA],reservafixaconsolidadomar[[#This Row],[ATUAL]])</f>
        <v>0</v>
      </c>
      <c r="K170" s="91">
        <f>SUMIFS(tabela_registros[VALOR],tabela_registros[MÊS],$AE$1,tabela_registros[DIA],reservafixaconsolidadomar[[#Headers],[7]],tabela_registros[REGISTRO],DADOS!$N$6,tabela_registros[TIPO],DADOS!$AJ$3,tabela_registros[CATEGORIA],reservafixaconsolidadomar[[#This Row],[ATUAL]])</f>
        <v>0</v>
      </c>
      <c r="L170" s="91">
        <f>SUMIFS(tabela_registros[VALOR],tabela_registros[MÊS],$AE$1,tabela_registros[DIA],reservafixaconsolidadomar[[#Headers],[8]],tabela_registros[REGISTRO],DADOS!$N$6,tabela_registros[TIPO],DADOS!$AJ$3,tabela_registros[CATEGORIA],reservafixaconsolidadomar[[#This Row],[ATUAL]])</f>
        <v>0</v>
      </c>
      <c r="M170" s="91">
        <f>SUMIFS(tabela_registros[VALOR],tabela_registros[MÊS],$AE$1,tabela_registros[DIA],reservafixaconsolidadomar[[#Headers],[9]],tabela_registros[REGISTRO],DADOS!$N$6,tabela_registros[TIPO],DADOS!$AJ$3,tabela_registros[CATEGORIA],reservafixaconsolidadomar[[#This Row],[ATUAL]])</f>
        <v>0</v>
      </c>
      <c r="N170" s="91">
        <f>SUMIFS(tabela_registros[VALOR],tabela_registros[MÊS],$AE$1,tabela_registros[DIA],reservafixaconsolidadomar[[#Headers],[10]],tabela_registros[REGISTRO],DADOS!$N$6,tabela_registros[TIPO],DADOS!$AJ$3,tabela_registros[CATEGORIA],reservafixaconsolidadomar[[#This Row],[ATUAL]])</f>
        <v>0</v>
      </c>
      <c r="O170" s="91">
        <f>SUMIFS(tabela_registros[VALOR],tabela_registros[MÊS],$AE$1,tabela_registros[DIA],reservafixaconsolidadomar[[#Headers],[11]],tabela_registros[REGISTRO],DADOS!$N$6,tabela_registros[TIPO],DADOS!$AJ$3,tabela_registros[CATEGORIA],reservafixaconsolidadomar[[#This Row],[ATUAL]])</f>
        <v>0</v>
      </c>
      <c r="P170" s="91">
        <f>SUMIFS(tabela_registros[VALOR],tabela_registros[MÊS],$AE$1,tabela_registros[DIA],reservafixaconsolidadomar[[#Headers],[12]],tabela_registros[REGISTRO],DADOS!$N$6,tabela_registros[TIPO],DADOS!$AJ$3,tabela_registros[CATEGORIA],reservafixaconsolidadomar[[#This Row],[ATUAL]])</f>
        <v>0</v>
      </c>
      <c r="Q170" s="91">
        <f>SUMIFS(tabela_registros[VALOR],tabela_registros[MÊS],$AE$1,tabela_registros[DIA],reservafixaconsolidadomar[[#Headers],[13]],tabela_registros[REGISTRO],DADOS!$N$6,tabela_registros[TIPO],DADOS!$AJ$3,tabela_registros[CATEGORIA],reservafixaconsolidadomar[[#This Row],[ATUAL]])</f>
        <v>0</v>
      </c>
      <c r="R170" s="91">
        <f>SUMIFS(tabela_registros[VALOR],tabela_registros[MÊS],$AE$1,tabela_registros[DIA],reservafixaconsolidadomar[[#Headers],[14]],tabela_registros[REGISTRO],DADOS!$N$6,tabela_registros[TIPO],DADOS!$AJ$3,tabela_registros[CATEGORIA],reservafixaconsolidadomar[[#This Row],[ATUAL]])</f>
        <v>0</v>
      </c>
      <c r="S170" s="91">
        <f>SUMIFS(tabela_registros[VALOR],tabela_registros[MÊS],$AE$1,tabela_registros[DIA],reservafixaconsolidadomar[[#Headers],[15]],tabela_registros[REGISTRO],DADOS!$N$6,tabela_registros[TIPO],DADOS!$AJ$3,tabela_registros[CATEGORIA],reservafixaconsolidadomar[[#This Row],[ATUAL]])</f>
        <v>0</v>
      </c>
      <c r="T170" s="91">
        <f>SUMIFS(tabela_registros[VALOR],tabela_registros[MÊS],$AE$1,tabela_registros[DIA],reservafixaconsolidadomar[[#Headers],[16]],tabela_registros[REGISTRO],DADOS!$N$6,tabela_registros[TIPO],DADOS!$AJ$3,tabela_registros[CATEGORIA],reservafixaconsolidadomar[[#This Row],[ATUAL]])</f>
        <v>0</v>
      </c>
      <c r="U170" s="91">
        <f>SUMIFS(tabela_registros[VALOR],tabela_registros[MÊS],$AE$1,tabela_registros[DIA],reservafixaconsolidadomar[[#Headers],[17]],tabela_registros[REGISTRO],DADOS!$N$6,tabela_registros[TIPO],DADOS!$AJ$3,tabela_registros[CATEGORIA],reservafixaconsolidadomar[[#This Row],[ATUAL]])</f>
        <v>0</v>
      </c>
      <c r="V170" s="91">
        <f>SUMIFS(tabela_registros[VALOR],tabela_registros[MÊS],$AE$1,tabela_registros[DIA],reservafixaconsolidadomar[[#Headers],[18]],tabela_registros[REGISTRO],DADOS!$N$6,tabela_registros[TIPO],DADOS!$AJ$3,tabela_registros[CATEGORIA],reservafixaconsolidadomar[[#This Row],[ATUAL]])</f>
        <v>0</v>
      </c>
      <c r="W170" s="91">
        <f>SUMIFS(tabela_registros[VALOR],tabela_registros[MÊS],$AE$1,tabela_registros[DIA],reservafixaconsolidadomar[[#Headers],[19]],tabela_registros[REGISTRO],DADOS!$N$6,tabela_registros[TIPO],DADOS!$AJ$3,tabela_registros[CATEGORIA],reservafixaconsolidadomar[[#This Row],[ATUAL]])</f>
        <v>0</v>
      </c>
      <c r="X170" s="91">
        <f>SUMIFS(tabela_registros[VALOR],tabela_registros[MÊS],$AE$1,tabela_registros[DIA],reservafixaconsolidadomar[[#Headers],[20]],tabela_registros[REGISTRO],DADOS!$N$6,tabela_registros[TIPO],DADOS!$AJ$3,tabela_registros[CATEGORIA],reservafixaconsolidadomar[[#This Row],[ATUAL]])</f>
        <v>0</v>
      </c>
      <c r="Y170" s="91">
        <f>SUMIFS(tabela_registros[VALOR],tabela_registros[MÊS],$AE$1,tabela_registros[DIA],reservafixaconsolidadomar[[#Headers],[21]],tabela_registros[REGISTRO],DADOS!$N$6,tabela_registros[TIPO],DADOS!$AJ$3,tabela_registros[CATEGORIA],reservafixaconsolidadomar[[#This Row],[ATUAL]])</f>
        <v>0</v>
      </c>
      <c r="Z170" s="91">
        <f>SUMIFS(tabela_registros[VALOR],tabela_registros[MÊS],$AE$1,tabela_registros[DIA],reservafixaconsolidadomar[[#Headers],[22]],tabela_registros[REGISTRO],DADOS!$N$6,tabela_registros[TIPO],DADOS!$AJ$3,tabela_registros[CATEGORIA],reservafixaconsolidadomar[[#This Row],[ATUAL]])</f>
        <v>0</v>
      </c>
      <c r="AA170" s="91">
        <f>SUMIFS(tabela_registros[VALOR],tabela_registros[MÊS],$AE$1,tabela_registros[DIA],reservafixaconsolidadomar[[#Headers],[23]],tabela_registros[REGISTRO],DADOS!$N$6,tabela_registros[TIPO],DADOS!$AJ$3,tabela_registros[CATEGORIA],reservafixaconsolidadomar[[#This Row],[ATUAL]])</f>
        <v>0</v>
      </c>
      <c r="AB170" s="91">
        <f>SUMIFS(tabela_registros[VALOR],tabela_registros[MÊS],$AE$1,tabela_registros[DIA],reservafixaconsolidadomar[[#Headers],[24]],tabela_registros[REGISTRO],DADOS!$N$6,tabela_registros[TIPO],DADOS!$AJ$3,tabela_registros[CATEGORIA],reservafixaconsolidadomar[[#This Row],[ATUAL]])</f>
        <v>0</v>
      </c>
      <c r="AC170" s="91">
        <f>SUMIFS(tabela_registros[VALOR],tabela_registros[MÊS],$AE$1,tabela_registros[DIA],reservafixaconsolidadomar[[#Headers],[25]],tabela_registros[REGISTRO],DADOS!$N$6,tabela_registros[TIPO],DADOS!$AJ$3,tabela_registros[CATEGORIA],reservafixaconsolidadomar[[#This Row],[ATUAL]])</f>
        <v>0</v>
      </c>
      <c r="AD170" s="91">
        <f>SUMIFS(tabela_registros[VALOR],tabela_registros[MÊS],$AE$1,tabela_registros[DIA],reservafixaconsolidadomar[[#Headers],[26]],tabela_registros[REGISTRO],DADOS!$N$6,tabela_registros[TIPO],DADOS!$AJ$3,tabela_registros[CATEGORIA],reservafixaconsolidadomar[[#This Row],[ATUAL]])</f>
        <v>0</v>
      </c>
      <c r="AE170" s="91">
        <f>SUMIFS(tabela_registros[VALOR],tabela_registros[MÊS],$AE$1,tabela_registros[DIA],reservafixaconsolidadomar[[#Headers],[27]],tabela_registros[REGISTRO],DADOS!$N$6,tabela_registros[TIPO],DADOS!$AJ$3,tabela_registros[CATEGORIA],reservafixaconsolidadomar[[#This Row],[ATUAL]])</f>
        <v>0</v>
      </c>
      <c r="AF170" s="91">
        <f>SUMIFS(tabela_registros[VALOR],tabela_registros[MÊS],$AE$1,tabela_registros[DIA],reservafixaconsolidadomar[[#Headers],[28]],tabela_registros[REGISTRO],DADOS!$N$6,tabela_registros[TIPO],DADOS!$AJ$3,tabela_registros[CATEGORIA],reservafixaconsolidadomar[[#This Row],[ATUAL]])</f>
        <v>0</v>
      </c>
      <c r="AG170" s="91">
        <f>SUMIFS(tabela_registros[VALOR],tabela_registros[MÊS],$AE$1,tabela_registros[DIA],reservafixaconsolidadomar[[#Headers],[29]],tabela_registros[REGISTRO],DADOS!$N$6,tabela_registros[TIPO],DADOS!$AJ$3,tabela_registros[CATEGORIA],reservafixaconsolidadomar[[#This Row],[ATUAL]])</f>
        <v>0</v>
      </c>
      <c r="AH170" s="91">
        <f>SUMIFS(tabela_registros[VALOR],tabela_registros[MÊS],$AE$1,tabela_registros[DIA],reservafixaconsolidadomar[[#Headers],[30]],tabela_registros[REGISTRO],DADOS!$N$6,tabela_registros[TIPO],DADOS!$AJ$3,tabela_registros[CATEGORIA],reservafixaconsolidadomar[[#This Row],[ATUAL]])</f>
        <v>0</v>
      </c>
      <c r="AI170" s="101">
        <f>SUMIFS(tabela_registros[VALOR],tabela_registros[MÊS],$AE$1,tabela_registros[DIA],reservafixaconsolidadomar[[#Headers],[31]],tabela_registros[REGISTRO],DADOS!$N$6,tabela_registros[TIPO],DADOS!$AJ$3,tabela_registros[CATEGORIA],reservafixaconsolidadomar[[#This Row],[ATUAL]])</f>
        <v>0</v>
      </c>
      <c r="AJ170" s="97">
        <f>SUM(reservafixaconsolidadomar[[#This Row],[1]:[31]])</f>
        <v>0</v>
      </c>
      <c r="AK170" s="25"/>
    </row>
    <row r="171" spans="2:37" ht="19.5" customHeight="1" thickTop="1" thickBot="1" x14ac:dyDescent="0.3">
      <c r="B171" s="28"/>
      <c r="C171" s="27" t="str">
        <f>DADOS!$AL$6</f>
        <v>📝 DEBÊNTURE</v>
      </c>
      <c r="D171" s="26" t="str">
        <f>IF(reservafixaconsolidadomar[[#This Row],[TOTAL (R$)]]=0,"",IF(OR(reservafixaconsolidadomar[[#This Row],[TOTAL (R$)]]=LARGE($AJ$168:$AJ$177,1),reservafixaconsolidadomar[[#This Row],[TOTAL (R$)]]=LARGE($AJ$168:$AJ$177,2)),DADOS!$I$11,""))</f>
        <v/>
      </c>
      <c r="E171" s="96">
        <f>SUMIFS(tabela_registros[VALOR],tabela_registros[MÊS],$AE$1,tabela_registros[DIA],reservafixaconsolidadomar[[#Headers],[1]],tabela_registros[REGISTRO],DADOS!$N$6,tabela_registros[TIPO],DADOS!$AJ$3,tabela_registros[CATEGORIA],reservafixaconsolidadomar[[#This Row],[ATUAL]])</f>
        <v>0</v>
      </c>
      <c r="F171" s="91">
        <f>SUMIFS(tabela_registros[VALOR],tabela_registros[MÊS],$AE$1,tabela_registros[DIA],reservafixaconsolidadomar[[#Headers],[2]],tabela_registros[REGISTRO],DADOS!$N$6,tabela_registros[TIPO],DADOS!$AJ$3,tabela_registros[CATEGORIA],reservafixaconsolidadomar[[#This Row],[ATUAL]])</f>
        <v>0</v>
      </c>
      <c r="G171" s="91">
        <f>SUMIFS(tabela_registros[VALOR],tabela_registros[MÊS],$AE$1,tabela_registros[DIA],reservafixaconsolidadomar[[#Headers],[3]],tabela_registros[REGISTRO],DADOS!$N$6,tabela_registros[TIPO],DADOS!$AJ$3,tabela_registros[CATEGORIA],reservafixaconsolidadomar[[#This Row],[ATUAL]])</f>
        <v>0</v>
      </c>
      <c r="H171" s="91">
        <f>SUMIFS(tabela_registros[VALOR],tabela_registros[MÊS],$AE$1,tabela_registros[DIA],reservafixaconsolidadomar[[#Headers],[4]],tabela_registros[REGISTRO],DADOS!$N$6,tabela_registros[TIPO],DADOS!$AJ$3,tabela_registros[CATEGORIA],reservafixaconsolidadomar[[#This Row],[ATUAL]])</f>
        <v>0</v>
      </c>
      <c r="I171" s="91">
        <f>SUMIFS(tabela_registros[VALOR],tabela_registros[MÊS],$AE$1,tabela_registros[DIA],reservafixaconsolidadomar[[#Headers],[5]],tabela_registros[REGISTRO],DADOS!$N$6,tabela_registros[TIPO],DADOS!$AJ$3,tabela_registros[CATEGORIA],reservafixaconsolidadomar[[#This Row],[ATUAL]])</f>
        <v>0</v>
      </c>
      <c r="J171" s="91">
        <f>SUMIFS(tabela_registros[VALOR],tabela_registros[MÊS],$AE$1,tabela_registros[DIA],reservafixaconsolidadomar[[#Headers],[6]],tabela_registros[REGISTRO],DADOS!$N$6,tabela_registros[TIPO],DADOS!$AJ$3,tabela_registros[CATEGORIA],reservafixaconsolidadomar[[#This Row],[ATUAL]])</f>
        <v>0</v>
      </c>
      <c r="K171" s="91">
        <f>SUMIFS(tabela_registros[VALOR],tabela_registros[MÊS],$AE$1,tabela_registros[DIA],reservafixaconsolidadomar[[#Headers],[7]],tabela_registros[REGISTRO],DADOS!$N$6,tabela_registros[TIPO],DADOS!$AJ$3,tabela_registros[CATEGORIA],reservafixaconsolidadomar[[#This Row],[ATUAL]])</f>
        <v>0</v>
      </c>
      <c r="L171" s="91">
        <f>SUMIFS(tabela_registros[VALOR],tabela_registros[MÊS],$AE$1,tabela_registros[DIA],reservafixaconsolidadomar[[#Headers],[8]],tabela_registros[REGISTRO],DADOS!$N$6,tabela_registros[TIPO],DADOS!$AJ$3,tabela_registros[CATEGORIA],reservafixaconsolidadomar[[#This Row],[ATUAL]])</f>
        <v>0</v>
      </c>
      <c r="M171" s="91">
        <f>SUMIFS(tabela_registros[VALOR],tabela_registros[MÊS],$AE$1,tabela_registros[DIA],reservafixaconsolidadomar[[#Headers],[9]],tabela_registros[REGISTRO],DADOS!$N$6,tabela_registros[TIPO],DADOS!$AJ$3,tabela_registros[CATEGORIA],reservafixaconsolidadomar[[#This Row],[ATUAL]])</f>
        <v>0</v>
      </c>
      <c r="N171" s="91">
        <f>SUMIFS(tabela_registros[VALOR],tabela_registros[MÊS],$AE$1,tabela_registros[DIA],reservafixaconsolidadomar[[#Headers],[10]],tabela_registros[REGISTRO],DADOS!$N$6,tabela_registros[TIPO],DADOS!$AJ$3,tabela_registros[CATEGORIA],reservafixaconsolidadomar[[#This Row],[ATUAL]])</f>
        <v>0</v>
      </c>
      <c r="O171" s="91">
        <f>SUMIFS(tabela_registros[VALOR],tabela_registros[MÊS],$AE$1,tabela_registros[DIA],reservafixaconsolidadomar[[#Headers],[11]],tabela_registros[REGISTRO],DADOS!$N$6,tabela_registros[TIPO],DADOS!$AJ$3,tabela_registros[CATEGORIA],reservafixaconsolidadomar[[#This Row],[ATUAL]])</f>
        <v>0</v>
      </c>
      <c r="P171" s="91">
        <f>SUMIFS(tabela_registros[VALOR],tabela_registros[MÊS],$AE$1,tabela_registros[DIA],reservafixaconsolidadomar[[#Headers],[12]],tabela_registros[REGISTRO],DADOS!$N$6,tabela_registros[TIPO],DADOS!$AJ$3,tabela_registros[CATEGORIA],reservafixaconsolidadomar[[#This Row],[ATUAL]])</f>
        <v>0</v>
      </c>
      <c r="Q171" s="91">
        <f>SUMIFS(tabela_registros[VALOR],tabela_registros[MÊS],$AE$1,tabela_registros[DIA],reservafixaconsolidadomar[[#Headers],[13]],tabela_registros[REGISTRO],DADOS!$N$6,tabela_registros[TIPO],DADOS!$AJ$3,tabela_registros[CATEGORIA],reservafixaconsolidadomar[[#This Row],[ATUAL]])</f>
        <v>0</v>
      </c>
      <c r="R171" s="91">
        <f>SUMIFS(tabela_registros[VALOR],tabela_registros[MÊS],$AE$1,tabela_registros[DIA],reservafixaconsolidadomar[[#Headers],[14]],tabela_registros[REGISTRO],DADOS!$N$6,tabela_registros[TIPO],DADOS!$AJ$3,tabela_registros[CATEGORIA],reservafixaconsolidadomar[[#This Row],[ATUAL]])</f>
        <v>0</v>
      </c>
      <c r="S171" s="91">
        <f>SUMIFS(tabela_registros[VALOR],tabela_registros[MÊS],$AE$1,tabela_registros[DIA],reservafixaconsolidadomar[[#Headers],[15]],tabela_registros[REGISTRO],DADOS!$N$6,tabela_registros[TIPO],DADOS!$AJ$3,tabela_registros[CATEGORIA],reservafixaconsolidadomar[[#This Row],[ATUAL]])</f>
        <v>0</v>
      </c>
      <c r="T171" s="91">
        <f>SUMIFS(tabela_registros[VALOR],tabela_registros[MÊS],$AE$1,tabela_registros[DIA],reservafixaconsolidadomar[[#Headers],[16]],tabela_registros[REGISTRO],DADOS!$N$6,tabela_registros[TIPO],DADOS!$AJ$3,tabela_registros[CATEGORIA],reservafixaconsolidadomar[[#This Row],[ATUAL]])</f>
        <v>0</v>
      </c>
      <c r="U171" s="91">
        <f>SUMIFS(tabela_registros[VALOR],tabela_registros[MÊS],$AE$1,tabela_registros[DIA],reservafixaconsolidadomar[[#Headers],[17]],tabela_registros[REGISTRO],DADOS!$N$6,tabela_registros[TIPO],DADOS!$AJ$3,tabela_registros[CATEGORIA],reservafixaconsolidadomar[[#This Row],[ATUAL]])</f>
        <v>0</v>
      </c>
      <c r="V171" s="91">
        <f>SUMIFS(tabela_registros[VALOR],tabela_registros[MÊS],$AE$1,tabela_registros[DIA],reservafixaconsolidadomar[[#Headers],[18]],tabela_registros[REGISTRO],DADOS!$N$6,tabela_registros[TIPO],DADOS!$AJ$3,tabela_registros[CATEGORIA],reservafixaconsolidadomar[[#This Row],[ATUAL]])</f>
        <v>0</v>
      </c>
      <c r="W171" s="91">
        <f>SUMIFS(tabela_registros[VALOR],tabela_registros[MÊS],$AE$1,tabela_registros[DIA],reservafixaconsolidadomar[[#Headers],[19]],tabela_registros[REGISTRO],DADOS!$N$6,tabela_registros[TIPO],DADOS!$AJ$3,tabela_registros[CATEGORIA],reservafixaconsolidadomar[[#This Row],[ATUAL]])</f>
        <v>0</v>
      </c>
      <c r="X171" s="91">
        <f>SUMIFS(tabela_registros[VALOR],tabela_registros[MÊS],$AE$1,tabela_registros[DIA],reservafixaconsolidadomar[[#Headers],[20]],tabela_registros[REGISTRO],DADOS!$N$6,tabela_registros[TIPO],DADOS!$AJ$3,tabela_registros[CATEGORIA],reservafixaconsolidadomar[[#This Row],[ATUAL]])</f>
        <v>0</v>
      </c>
      <c r="Y171" s="91">
        <f>SUMIFS(tabela_registros[VALOR],tabela_registros[MÊS],$AE$1,tabela_registros[DIA],reservafixaconsolidadomar[[#Headers],[21]],tabela_registros[REGISTRO],DADOS!$N$6,tabela_registros[TIPO],DADOS!$AJ$3,tabela_registros[CATEGORIA],reservafixaconsolidadomar[[#This Row],[ATUAL]])</f>
        <v>0</v>
      </c>
      <c r="Z171" s="91">
        <f>SUMIFS(tabela_registros[VALOR],tabela_registros[MÊS],$AE$1,tabela_registros[DIA],reservafixaconsolidadomar[[#Headers],[22]],tabela_registros[REGISTRO],DADOS!$N$6,tabela_registros[TIPO],DADOS!$AJ$3,tabela_registros[CATEGORIA],reservafixaconsolidadomar[[#This Row],[ATUAL]])</f>
        <v>0</v>
      </c>
      <c r="AA171" s="91">
        <f>SUMIFS(tabela_registros[VALOR],tabela_registros[MÊS],$AE$1,tabela_registros[DIA],reservafixaconsolidadomar[[#Headers],[23]],tabela_registros[REGISTRO],DADOS!$N$6,tabela_registros[TIPO],DADOS!$AJ$3,tabela_registros[CATEGORIA],reservafixaconsolidadomar[[#This Row],[ATUAL]])</f>
        <v>0</v>
      </c>
      <c r="AB171" s="91">
        <f>SUMIFS(tabela_registros[VALOR],tabela_registros[MÊS],$AE$1,tabela_registros[DIA],reservafixaconsolidadomar[[#Headers],[24]],tabela_registros[REGISTRO],DADOS!$N$6,tabela_registros[TIPO],DADOS!$AJ$3,tabela_registros[CATEGORIA],reservafixaconsolidadomar[[#This Row],[ATUAL]])</f>
        <v>0</v>
      </c>
      <c r="AC171" s="91">
        <f>SUMIFS(tabela_registros[VALOR],tabela_registros[MÊS],$AE$1,tabela_registros[DIA],reservafixaconsolidadomar[[#Headers],[25]],tabela_registros[REGISTRO],DADOS!$N$6,tabela_registros[TIPO],DADOS!$AJ$3,tabela_registros[CATEGORIA],reservafixaconsolidadomar[[#This Row],[ATUAL]])</f>
        <v>0</v>
      </c>
      <c r="AD171" s="91">
        <f>SUMIFS(tabela_registros[VALOR],tabela_registros[MÊS],$AE$1,tabela_registros[DIA],reservafixaconsolidadomar[[#Headers],[26]],tabela_registros[REGISTRO],DADOS!$N$6,tabela_registros[TIPO],DADOS!$AJ$3,tabela_registros[CATEGORIA],reservafixaconsolidadomar[[#This Row],[ATUAL]])</f>
        <v>0</v>
      </c>
      <c r="AE171" s="91">
        <f>SUMIFS(tabela_registros[VALOR],tabela_registros[MÊS],$AE$1,tabela_registros[DIA],reservafixaconsolidadomar[[#Headers],[27]],tabela_registros[REGISTRO],DADOS!$N$6,tabela_registros[TIPO],DADOS!$AJ$3,tabela_registros[CATEGORIA],reservafixaconsolidadomar[[#This Row],[ATUAL]])</f>
        <v>0</v>
      </c>
      <c r="AF171" s="91">
        <f>SUMIFS(tabela_registros[VALOR],tabela_registros[MÊS],$AE$1,tabela_registros[DIA],reservafixaconsolidadomar[[#Headers],[28]],tabela_registros[REGISTRO],DADOS!$N$6,tabela_registros[TIPO],DADOS!$AJ$3,tabela_registros[CATEGORIA],reservafixaconsolidadomar[[#This Row],[ATUAL]])</f>
        <v>0</v>
      </c>
      <c r="AG171" s="91">
        <f>SUMIFS(tabela_registros[VALOR],tabela_registros[MÊS],$AE$1,tabela_registros[DIA],reservafixaconsolidadomar[[#Headers],[29]],tabela_registros[REGISTRO],DADOS!$N$6,tabela_registros[TIPO],DADOS!$AJ$3,tabela_registros[CATEGORIA],reservafixaconsolidadomar[[#This Row],[ATUAL]])</f>
        <v>0</v>
      </c>
      <c r="AH171" s="91">
        <f>SUMIFS(tabela_registros[VALOR],tabela_registros[MÊS],$AE$1,tabela_registros[DIA],reservafixaconsolidadomar[[#Headers],[30]],tabela_registros[REGISTRO],DADOS!$N$6,tabela_registros[TIPO],DADOS!$AJ$3,tabela_registros[CATEGORIA],reservafixaconsolidadomar[[#This Row],[ATUAL]])</f>
        <v>0</v>
      </c>
      <c r="AI171" s="101">
        <f>SUMIFS(tabela_registros[VALOR],tabela_registros[MÊS],$AE$1,tabela_registros[DIA],reservafixaconsolidadomar[[#Headers],[31]],tabela_registros[REGISTRO],DADOS!$N$6,tabela_registros[TIPO],DADOS!$AJ$3,tabela_registros[CATEGORIA],reservafixaconsolidadomar[[#This Row],[ATUAL]])</f>
        <v>0</v>
      </c>
      <c r="AJ171" s="97">
        <f>SUM(reservafixaconsolidadomar[[#This Row],[1]:[31]])</f>
        <v>0</v>
      </c>
      <c r="AK171" s="25"/>
    </row>
    <row r="172" spans="2:37" ht="19.5" customHeight="1" thickTop="1" thickBot="1" x14ac:dyDescent="0.3">
      <c r="B172" s="28"/>
      <c r="C172" s="27" t="str">
        <f>DADOS!$AL$7</f>
        <v>📝 EXTERIOR</v>
      </c>
      <c r="D172" s="26" t="str">
        <f>IF(reservafixaconsolidadomar[[#This Row],[TOTAL (R$)]]=0,"",IF(OR(reservafixaconsolidadomar[[#This Row],[TOTAL (R$)]]=LARGE($AJ$168:$AJ$177,1),reservafixaconsolidadomar[[#This Row],[TOTAL (R$)]]=LARGE($AJ$168:$AJ$177,2)),DADOS!$I$11,""))</f>
        <v/>
      </c>
      <c r="E172" s="96">
        <f>SUMIFS(tabela_registros[VALOR],tabela_registros[MÊS],$AE$1,tabela_registros[DIA],reservafixaconsolidadomar[[#Headers],[1]],tabela_registros[REGISTRO],DADOS!$N$6,tabela_registros[TIPO],DADOS!$AJ$3,tabela_registros[CATEGORIA],reservafixaconsolidadomar[[#This Row],[ATUAL]])</f>
        <v>0</v>
      </c>
      <c r="F172" s="91">
        <f>SUMIFS(tabela_registros[VALOR],tabela_registros[MÊS],$AE$1,tabela_registros[DIA],reservafixaconsolidadomar[[#Headers],[2]],tabela_registros[REGISTRO],DADOS!$N$6,tabela_registros[TIPO],DADOS!$AJ$3,tabela_registros[CATEGORIA],reservafixaconsolidadomar[[#This Row],[ATUAL]])</f>
        <v>0</v>
      </c>
      <c r="G172" s="91">
        <f>SUMIFS(tabela_registros[VALOR],tabela_registros[MÊS],$AE$1,tabela_registros[DIA],reservafixaconsolidadomar[[#Headers],[3]],tabela_registros[REGISTRO],DADOS!$N$6,tabela_registros[TIPO],DADOS!$AJ$3,tabela_registros[CATEGORIA],reservafixaconsolidadomar[[#This Row],[ATUAL]])</f>
        <v>0</v>
      </c>
      <c r="H172" s="91">
        <f>SUMIFS(tabela_registros[VALOR],tabela_registros[MÊS],$AE$1,tabela_registros[DIA],reservafixaconsolidadomar[[#Headers],[4]],tabela_registros[REGISTRO],DADOS!$N$6,tabela_registros[TIPO],DADOS!$AJ$3,tabela_registros[CATEGORIA],reservafixaconsolidadomar[[#This Row],[ATUAL]])</f>
        <v>0</v>
      </c>
      <c r="I172" s="91">
        <f>SUMIFS(tabela_registros[VALOR],tabela_registros[MÊS],$AE$1,tabela_registros[DIA],reservafixaconsolidadomar[[#Headers],[5]],tabela_registros[REGISTRO],DADOS!$N$6,tabela_registros[TIPO],DADOS!$AJ$3,tabela_registros[CATEGORIA],reservafixaconsolidadomar[[#This Row],[ATUAL]])</f>
        <v>0</v>
      </c>
      <c r="J172" s="91">
        <f>SUMIFS(tabela_registros[VALOR],tabela_registros[MÊS],$AE$1,tabela_registros[DIA],reservafixaconsolidadomar[[#Headers],[6]],tabela_registros[REGISTRO],DADOS!$N$6,tabela_registros[TIPO],DADOS!$AJ$3,tabela_registros[CATEGORIA],reservafixaconsolidadomar[[#This Row],[ATUAL]])</f>
        <v>0</v>
      </c>
      <c r="K172" s="91">
        <f>SUMIFS(tabela_registros[VALOR],tabela_registros[MÊS],$AE$1,tabela_registros[DIA],reservafixaconsolidadomar[[#Headers],[7]],tabela_registros[REGISTRO],DADOS!$N$6,tabela_registros[TIPO],DADOS!$AJ$3,tabela_registros[CATEGORIA],reservafixaconsolidadomar[[#This Row],[ATUAL]])</f>
        <v>0</v>
      </c>
      <c r="L172" s="91">
        <f>SUMIFS(tabela_registros[VALOR],tabela_registros[MÊS],$AE$1,tabela_registros[DIA],reservafixaconsolidadomar[[#Headers],[8]],tabela_registros[REGISTRO],DADOS!$N$6,tabela_registros[TIPO],DADOS!$AJ$3,tabela_registros[CATEGORIA],reservafixaconsolidadomar[[#This Row],[ATUAL]])</f>
        <v>0</v>
      </c>
      <c r="M172" s="91">
        <f>SUMIFS(tabela_registros[VALOR],tabela_registros[MÊS],$AE$1,tabela_registros[DIA],reservafixaconsolidadomar[[#Headers],[9]],tabela_registros[REGISTRO],DADOS!$N$6,tabela_registros[TIPO],DADOS!$AJ$3,tabela_registros[CATEGORIA],reservafixaconsolidadomar[[#This Row],[ATUAL]])</f>
        <v>0</v>
      </c>
      <c r="N172" s="91">
        <f>SUMIFS(tabela_registros[VALOR],tabela_registros[MÊS],$AE$1,tabela_registros[DIA],reservafixaconsolidadomar[[#Headers],[10]],tabela_registros[REGISTRO],DADOS!$N$6,tabela_registros[TIPO],DADOS!$AJ$3,tabela_registros[CATEGORIA],reservafixaconsolidadomar[[#This Row],[ATUAL]])</f>
        <v>0</v>
      </c>
      <c r="O172" s="91">
        <f>SUMIFS(tabela_registros[VALOR],tabela_registros[MÊS],$AE$1,tabela_registros[DIA],reservafixaconsolidadomar[[#Headers],[11]],tabela_registros[REGISTRO],DADOS!$N$6,tabela_registros[TIPO],DADOS!$AJ$3,tabela_registros[CATEGORIA],reservafixaconsolidadomar[[#This Row],[ATUAL]])</f>
        <v>0</v>
      </c>
      <c r="P172" s="91">
        <f>SUMIFS(tabela_registros[VALOR],tabela_registros[MÊS],$AE$1,tabela_registros[DIA],reservafixaconsolidadomar[[#Headers],[12]],tabela_registros[REGISTRO],DADOS!$N$6,tabela_registros[TIPO],DADOS!$AJ$3,tabela_registros[CATEGORIA],reservafixaconsolidadomar[[#This Row],[ATUAL]])</f>
        <v>0</v>
      </c>
      <c r="Q172" s="91">
        <f>SUMIFS(tabela_registros[VALOR],tabela_registros[MÊS],$AE$1,tabela_registros[DIA],reservafixaconsolidadomar[[#Headers],[13]],tabela_registros[REGISTRO],DADOS!$N$6,tabela_registros[TIPO],DADOS!$AJ$3,tabela_registros[CATEGORIA],reservafixaconsolidadomar[[#This Row],[ATUAL]])</f>
        <v>0</v>
      </c>
      <c r="R172" s="91">
        <f>SUMIFS(tabela_registros[VALOR],tabela_registros[MÊS],$AE$1,tabela_registros[DIA],reservafixaconsolidadomar[[#Headers],[14]],tabela_registros[REGISTRO],DADOS!$N$6,tabela_registros[TIPO],DADOS!$AJ$3,tabela_registros[CATEGORIA],reservafixaconsolidadomar[[#This Row],[ATUAL]])</f>
        <v>0</v>
      </c>
      <c r="S172" s="91">
        <f>SUMIFS(tabela_registros[VALOR],tabela_registros[MÊS],$AE$1,tabela_registros[DIA],reservafixaconsolidadomar[[#Headers],[15]],tabela_registros[REGISTRO],DADOS!$N$6,tabela_registros[TIPO],DADOS!$AJ$3,tabela_registros[CATEGORIA],reservafixaconsolidadomar[[#This Row],[ATUAL]])</f>
        <v>0</v>
      </c>
      <c r="T172" s="91">
        <f>SUMIFS(tabela_registros[VALOR],tabela_registros[MÊS],$AE$1,tabela_registros[DIA],reservafixaconsolidadomar[[#Headers],[16]],tabela_registros[REGISTRO],DADOS!$N$6,tabela_registros[TIPO],DADOS!$AJ$3,tabela_registros[CATEGORIA],reservafixaconsolidadomar[[#This Row],[ATUAL]])</f>
        <v>0</v>
      </c>
      <c r="U172" s="91">
        <f>SUMIFS(tabela_registros[VALOR],tabela_registros[MÊS],$AE$1,tabela_registros[DIA],reservafixaconsolidadomar[[#Headers],[17]],tabela_registros[REGISTRO],DADOS!$N$6,tabela_registros[TIPO],DADOS!$AJ$3,tabela_registros[CATEGORIA],reservafixaconsolidadomar[[#This Row],[ATUAL]])</f>
        <v>0</v>
      </c>
      <c r="V172" s="91">
        <f>SUMIFS(tabela_registros[VALOR],tabela_registros[MÊS],$AE$1,tabela_registros[DIA],reservafixaconsolidadomar[[#Headers],[18]],tabela_registros[REGISTRO],DADOS!$N$6,tabela_registros[TIPO],DADOS!$AJ$3,tabela_registros[CATEGORIA],reservafixaconsolidadomar[[#This Row],[ATUAL]])</f>
        <v>0</v>
      </c>
      <c r="W172" s="91">
        <f>SUMIFS(tabela_registros[VALOR],tabela_registros[MÊS],$AE$1,tabela_registros[DIA],reservafixaconsolidadomar[[#Headers],[19]],tabela_registros[REGISTRO],DADOS!$N$6,tabela_registros[TIPO],DADOS!$AJ$3,tabela_registros[CATEGORIA],reservafixaconsolidadomar[[#This Row],[ATUAL]])</f>
        <v>0</v>
      </c>
      <c r="X172" s="91">
        <f>SUMIFS(tabela_registros[VALOR],tabela_registros[MÊS],$AE$1,tabela_registros[DIA],reservafixaconsolidadomar[[#Headers],[20]],tabela_registros[REGISTRO],DADOS!$N$6,tabela_registros[TIPO],DADOS!$AJ$3,tabela_registros[CATEGORIA],reservafixaconsolidadomar[[#This Row],[ATUAL]])</f>
        <v>0</v>
      </c>
      <c r="Y172" s="91">
        <f>SUMIFS(tabela_registros[VALOR],tabela_registros[MÊS],$AE$1,tabela_registros[DIA],reservafixaconsolidadomar[[#Headers],[21]],tabela_registros[REGISTRO],DADOS!$N$6,tabela_registros[TIPO],DADOS!$AJ$3,tabela_registros[CATEGORIA],reservafixaconsolidadomar[[#This Row],[ATUAL]])</f>
        <v>0</v>
      </c>
      <c r="Z172" s="91">
        <f>SUMIFS(tabela_registros[VALOR],tabela_registros[MÊS],$AE$1,tabela_registros[DIA],reservafixaconsolidadomar[[#Headers],[22]],tabela_registros[REGISTRO],DADOS!$N$6,tabela_registros[TIPO],DADOS!$AJ$3,tabela_registros[CATEGORIA],reservafixaconsolidadomar[[#This Row],[ATUAL]])</f>
        <v>0</v>
      </c>
      <c r="AA172" s="91">
        <f>SUMIFS(tabela_registros[VALOR],tabela_registros[MÊS],$AE$1,tabela_registros[DIA],reservafixaconsolidadomar[[#Headers],[23]],tabela_registros[REGISTRO],DADOS!$N$6,tabela_registros[TIPO],DADOS!$AJ$3,tabela_registros[CATEGORIA],reservafixaconsolidadomar[[#This Row],[ATUAL]])</f>
        <v>0</v>
      </c>
      <c r="AB172" s="91">
        <f>SUMIFS(tabela_registros[VALOR],tabela_registros[MÊS],$AE$1,tabela_registros[DIA],reservafixaconsolidadomar[[#Headers],[24]],tabela_registros[REGISTRO],DADOS!$N$6,tabela_registros[TIPO],DADOS!$AJ$3,tabela_registros[CATEGORIA],reservafixaconsolidadomar[[#This Row],[ATUAL]])</f>
        <v>0</v>
      </c>
      <c r="AC172" s="91">
        <f>SUMIFS(tabela_registros[VALOR],tabela_registros[MÊS],$AE$1,tabela_registros[DIA],reservafixaconsolidadomar[[#Headers],[25]],tabela_registros[REGISTRO],DADOS!$N$6,tabela_registros[TIPO],DADOS!$AJ$3,tabela_registros[CATEGORIA],reservafixaconsolidadomar[[#This Row],[ATUAL]])</f>
        <v>0</v>
      </c>
      <c r="AD172" s="91">
        <f>SUMIFS(tabela_registros[VALOR],tabela_registros[MÊS],$AE$1,tabela_registros[DIA],reservafixaconsolidadomar[[#Headers],[26]],tabela_registros[REGISTRO],DADOS!$N$6,tabela_registros[TIPO],DADOS!$AJ$3,tabela_registros[CATEGORIA],reservafixaconsolidadomar[[#This Row],[ATUAL]])</f>
        <v>0</v>
      </c>
      <c r="AE172" s="91">
        <f>SUMIFS(tabela_registros[VALOR],tabela_registros[MÊS],$AE$1,tabela_registros[DIA],reservafixaconsolidadomar[[#Headers],[27]],tabela_registros[REGISTRO],DADOS!$N$6,tabela_registros[TIPO],DADOS!$AJ$3,tabela_registros[CATEGORIA],reservafixaconsolidadomar[[#This Row],[ATUAL]])</f>
        <v>0</v>
      </c>
      <c r="AF172" s="91">
        <f>SUMIFS(tabela_registros[VALOR],tabela_registros[MÊS],$AE$1,tabela_registros[DIA],reservafixaconsolidadomar[[#Headers],[28]],tabela_registros[REGISTRO],DADOS!$N$6,tabela_registros[TIPO],DADOS!$AJ$3,tabela_registros[CATEGORIA],reservafixaconsolidadomar[[#This Row],[ATUAL]])</f>
        <v>0</v>
      </c>
      <c r="AG172" s="91">
        <f>SUMIFS(tabela_registros[VALOR],tabela_registros[MÊS],$AE$1,tabela_registros[DIA],reservafixaconsolidadomar[[#Headers],[29]],tabela_registros[REGISTRO],DADOS!$N$6,tabela_registros[TIPO],DADOS!$AJ$3,tabela_registros[CATEGORIA],reservafixaconsolidadomar[[#This Row],[ATUAL]])</f>
        <v>0</v>
      </c>
      <c r="AH172" s="91">
        <f>SUMIFS(tabela_registros[VALOR],tabela_registros[MÊS],$AE$1,tabela_registros[DIA],reservafixaconsolidadomar[[#Headers],[30]],tabela_registros[REGISTRO],DADOS!$N$6,tabela_registros[TIPO],DADOS!$AJ$3,tabela_registros[CATEGORIA],reservafixaconsolidadomar[[#This Row],[ATUAL]])</f>
        <v>0</v>
      </c>
      <c r="AI172" s="101">
        <f>SUMIFS(tabela_registros[VALOR],tabela_registros[MÊS],$AE$1,tabela_registros[DIA],reservafixaconsolidadomar[[#Headers],[31]],tabela_registros[REGISTRO],DADOS!$N$6,tabela_registros[TIPO],DADOS!$AJ$3,tabela_registros[CATEGORIA],reservafixaconsolidadomar[[#This Row],[ATUAL]])</f>
        <v>0</v>
      </c>
      <c r="AJ172" s="97">
        <f>SUM(reservafixaconsolidadomar[[#This Row],[1]:[31]])</f>
        <v>0</v>
      </c>
      <c r="AK172" s="25"/>
    </row>
    <row r="173" spans="2:37" ht="19.5" customHeight="1" thickTop="1" thickBot="1" x14ac:dyDescent="0.3">
      <c r="B173" s="28"/>
      <c r="C173" s="27" t="str">
        <f>DADOS!$AL$8</f>
        <v>📝 LC</v>
      </c>
      <c r="D173" s="26" t="str">
        <f>IF(reservafixaconsolidadomar[[#This Row],[TOTAL (R$)]]=0,"",IF(OR(reservafixaconsolidadomar[[#This Row],[TOTAL (R$)]]=LARGE($AJ$168:$AJ$177,1),reservafixaconsolidadomar[[#This Row],[TOTAL (R$)]]=LARGE($AJ$168:$AJ$177,2)),DADOS!$I$11,""))</f>
        <v/>
      </c>
      <c r="E173" s="96">
        <f>SUMIFS(tabela_registros[VALOR],tabela_registros[MÊS],$AE$1,tabela_registros[DIA],reservafixaconsolidadomar[[#Headers],[1]],tabela_registros[REGISTRO],DADOS!$N$6,tabela_registros[TIPO],DADOS!$AJ$3,tabela_registros[CATEGORIA],reservafixaconsolidadomar[[#This Row],[ATUAL]])</f>
        <v>0</v>
      </c>
      <c r="F173" s="91">
        <f>SUMIFS(tabela_registros[VALOR],tabela_registros[MÊS],$AE$1,tabela_registros[DIA],reservafixaconsolidadomar[[#Headers],[2]],tabela_registros[REGISTRO],DADOS!$N$6,tabela_registros[TIPO],DADOS!$AJ$3,tabela_registros[CATEGORIA],reservafixaconsolidadomar[[#This Row],[ATUAL]])</f>
        <v>0</v>
      </c>
      <c r="G173" s="91">
        <f>SUMIFS(tabela_registros[VALOR],tabela_registros[MÊS],$AE$1,tabela_registros[DIA],reservafixaconsolidadomar[[#Headers],[3]],tabela_registros[REGISTRO],DADOS!$N$6,tabela_registros[TIPO],DADOS!$AJ$3,tabela_registros[CATEGORIA],reservafixaconsolidadomar[[#This Row],[ATUAL]])</f>
        <v>0</v>
      </c>
      <c r="H173" s="91">
        <f>SUMIFS(tabela_registros[VALOR],tabela_registros[MÊS],$AE$1,tabela_registros[DIA],reservafixaconsolidadomar[[#Headers],[4]],tabela_registros[REGISTRO],DADOS!$N$6,tabela_registros[TIPO],DADOS!$AJ$3,tabela_registros[CATEGORIA],reservafixaconsolidadomar[[#This Row],[ATUAL]])</f>
        <v>0</v>
      </c>
      <c r="I173" s="91">
        <f>SUMIFS(tabela_registros[VALOR],tabela_registros[MÊS],$AE$1,tabela_registros[DIA],reservafixaconsolidadomar[[#Headers],[5]],tabela_registros[REGISTRO],DADOS!$N$6,tabela_registros[TIPO],DADOS!$AJ$3,tabela_registros[CATEGORIA],reservafixaconsolidadomar[[#This Row],[ATUAL]])</f>
        <v>0</v>
      </c>
      <c r="J173" s="91">
        <f>SUMIFS(tabela_registros[VALOR],tabela_registros[MÊS],$AE$1,tabela_registros[DIA],reservafixaconsolidadomar[[#Headers],[6]],tabela_registros[REGISTRO],DADOS!$N$6,tabela_registros[TIPO],DADOS!$AJ$3,tabela_registros[CATEGORIA],reservafixaconsolidadomar[[#This Row],[ATUAL]])</f>
        <v>0</v>
      </c>
      <c r="K173" s="91">
        <f>SUMIFS(tabela_registros[VALOR],tabela_registros[MÊS],$AE$1,tabela_registros[DIA],reservafixaconsolidadomar[[#Headers],[7]],tabela_registros[REGISTRO],DADOS!$N$6,tabela_registros[TIPO],DADOS!$AJ$3,tabela_registros[CATEGORIA],reservafixaconsolidadomar[[#This Row],[ATUAL]])</f>
        <v>0</v>
      </c>
      <c r="L173" s="91">
        <f>SUMIFS(tabela_registros[VALOR],tabela_registros[MÊS],$AE$1,tabela_registros[DIA],reservafixaconsolidadomar[[#Headers],[8]],tabela_registros[REGISTRO],DADOS!$N$6,tabela_registros[TIPO],DADOS!$AJ$3,tabela_registros[CATEGORIA],reservafixaconsolidadomar[[#This Row],[ATUAL]])</f>
        <v>0</v>
      </c>
      <c r="M173" s="91">
        <f>SUMIFS(tabela_registros[VALOR],tabela_registros[MÊS],$AE$1,tabela_registros[DIA],reservafixaconsolidadomar[[#Headers],[9]],tabela_registros[REGISTRO],DADOS!$N$6,tabela_registros[TIPO],DADOS!$AJ$3,tabela_registros[CATEGORIA],reservafixaconsolidadomar[[#This Row],[ATUAL]])</f>
        <v>0</v>
      </c>
      <c r="N173" s="91">
        <f>SUMIFS(tabela_registros[VALOR],tabela_registros[MÊS],$AE$1,tabela_registros[DIA],reservafixaconsolidadomar[[#Headers],[10]],tabela_registros[REGISTRO],DADOS!$N$6,tabela_registros[TIPO],DADOS!$AJ$3,tabela_registros[CATEGORIA],reservafixaconsolidadomar[[#This Row],[ATUAL]])</f>
        <v>0</v>
      </c>
      <c r="O173" s="91">
        <f>SUMIFS(tabela_registros[VALOR],tabela_registros[MÊS],$AE$1,tabela_registros[DIA],reservafixaconsolidadomar[[#Headers],[11]],tabela_registros[REGISTRO],DADOS!$N$6,tabela_registros[TIPO],DADOS!$AJ$3,tabela_registros[CATEGORIA],reservafixaconsolidadomar[[#This Row],[ATUAL]])</f>
        <v>0</v>
      </c>
      <c r="P173" s="91">
        <f>SUMIFS(tabela_registros[VALOR],tabela_registros[MÊS],$AE$1,tabela_registros[DIA],reservafixaconsolidadomar[[#Headers],[12]],tabela_registros[REGISTRO],DADOS!$N$6,tabela_registros[TIPO],DADOS!$AJ$3,tabela_registros[CATEGORIA],reservafixaconsolidadomar[[#This Row],[ATUAL]])</f>
        <v>0</v>
      </c>
      <c r="Q173" s="91">
        <f>SUMIFS(tabela_registros[VALOR],tabela_registros[MÊS],$AE$1,tabela_registros[DIA],reservafixaconsolidadomar[[#Headers],[13]],tabela_registros[REGISTRO],DADOS!$N$6,tabela_registros[TIPO],DADOS!$AJ$3,tabela_registros[CATEGORIA],reservafixaconsolidadomar[[#This Row],[ATUAL]])</f>
        <v>0</v>
      </c>
      <c r="R173" s="91">
        <f>SUMIFS(tabela_registros[VALOR],tabela_registros[MÊS],$AE$1,tabela_registros[DIA],reservafixaconsolidadomar[[#Headers],[14]],tabela_registros[REGISTRO],DADOS!$N$6,tabela_registros[TIPO],DADOS!$AJ$3,tabela_registros[CATEGORIA],reservafixaconsolidadomar[[#This Row],[ATUAL]])</f>
        <v>0</v>
      </c>
      <c r="S173" s="91">
        <f>SUMIFS(tabela_registros[VALOR],tabela_registros[MÊS],$AE$1,tabela_registros[DIA],reservafixaconsolidadomar[[#Headers],[15]],tabela_registros[REGISTRO],DADOS!$N$6,tabela_registros[TIPO],DADOS!$AJ$3,tabela_registros[CATEGORIA],reservafixaconsolidadomar[[#This Row],[ATUAL]])</f>
        <v>0</v>
      </c>
      <c r="T173" s="91">
        <f>SUMIFS(tabela_registros[VALOR],tabela_registros[MÊS],$AE$1,tabela_registros[DIA],reservafixaconsolidadomar[[#Headers],[16]],tabela_registros[REGISTRO],DADOS!$N$6,tabela_registros[TIPO],DADOS!$AJ$3,tabela_registros[CATEGORIA],reservafixaconsolidadomar[[#This Row],[ATUAL]])</f>
        <v>0</v>
      </c>
      <c r="U173" s="91">
        <f>SUMIFS(tabela_registros[VALOR],tabela_registros[MÊS],$AE$1,tabela_registros[DIA],reservafixaconsolidadomar[[#Headers],[17]],tabela_registros[REGISTRO],DADOS!$N$6,tabela_registros[TIPO],DADOS!$AJ$3,tabela_registros[CATEGORIA],reservafixaconsolidadomar[[#This Row],[ATUAL]])</f>
        <v>0</v>
      </c>
      <c r="V173" s="91">
        <f>SUMIFS(tabela_registros[VALOR],tabela_registros[MÊS],$AE$1,tabela_registros[DIA],reservafixaconsolidadomar[[#Headers],[18]],tabela_registros[REGISTRO],DADOS!$N$6,tabela_registros[TIPO],DADOS!$AJ$3,tabela_registros[CATEGORIA],reservafixaconsolidadomar[[#This Row],[ATUAL]])</f>
        <v>0</v>
      </c>
      <c r="W173" s="91">
        <f>SUMIFS(tabela_registros[VALOR],tabela_registros[MÊS],$AE$1,tabela_registros[DIA],reservafixaconsolidadomar[[#Headers],[19]],tabela_registros[REGISTRO],DADOS!$N$6,tabela_registros[TIPO],DADOS!$AJ$3,tabela_registros[CATEGORIA],reservafixaconsolidadomar[[#This Row],[ATUAL]])</f>
        <v>0</v>
      </c>
      <c r="X173" s="91">
        <f>SUMIFS(tabela_registros[VALOR],tabela_registros[MÊS],$AE$1,tabela_registros[DIA],reservafixaconsolidadomar[[#Headers],[20]],tabela_registros[REGISTRO],DADOS!$N$6,tabela_registros[TIPO],DADOS!$AJ$3,tabela_registros[CATEGORIA],reservafixaconsolidadomar[[#This Row],[ATUAL]])</f>
        <v>0</v>
      </c>
      <c r="Y173" s="91">
        <f>SUMIFS(tabela_registros[VALOR],tabela_registros[MÊS],$AE$1,tabela_registros[DIA],reservafixaconsolidadomar[[#Headers],[21]],tabela_registros[REGISTRO],DADOS!$N$6,tabela_registros[TIPO],DADOS!$AJ$3,tabela_registros[CATEGORIA],reservafixaconsolidadomar[[#This Row],[ATUAL]])</f>
        <v>0</v>
      </c>
      <c r="Z173" s="91">
        <f>SUMIFS(tabela_registros[VALOR],tabela_registros[MÊS],$AE$1,tabela_registros[DIA],reservafixaconsolidadomar[[#Headers],[22]],tabela_registros[REGISTRO],DADOS!$N$6,tabela_registros[TIPO],DADOS!$AJ$3,tabela_registros[CATEGORIA],reservafixaconsolidadomar[[#This Row],[ATUAL]])</f>
        <v>0</v>
      </c>
      <c r="AA173" s="91">
        <f>SUMIFS(tabela_registros[VALOR],tabela_registros[MÊS],$AE$1,tabela_registros[DIA],reservafixaconsolidadomar[[#Headers],[23]],tabela_registros[REGISTRO],DADOS!$N$6,tabela_registros[TIPO],DADOS!$AJ$3,tabela_registros[CATEGORIA],reservafixaconsolidadomar[[#This Row],[ATUAL]])</f>
        <v>0</v>
      </c>
      <c r="AB173" s="91">
        <f>SUMIFS(tabela_registros[VALOR],tabela_registros[MÊS],$AE$1,tabela_registros[DIA],reservafixaconsolidadomar[[#Headers],[24]],tabela_registros[REGISTRO],DADOS!$N$6,tabela_registros[TIPO],DADOS!$AJ$3,tabela_registros[CATEGORIA],reservafixaconsolidadomar[[#This Row],[ATUAL]])</f>
        <v>0</v>
      </c>
      <c r="AC173" s="91">
        <f>SUMIFS(tabela_registros[VALOR],tabela_registros[MÊS],$AE$1,tabela_registros[DIA],reservafixaconsolidadomar[[#Headers],[25]],tabela_registros[REGISTRO],DADOS!$N$6,tabela_registros[TIPO],DADOS!$AJ$3,tabela_registros[CATEGORIA],reservafixaconsolidadomar[[#This Row],[ATUAL]])</f>
        <v>0</v>
      </c>
      <c r="AD173" s="91">
        <f>SUMIFS(tabela_registros[VALOR],tabela_registros[MÊS],$AE$1,tabela_registros[DIA],reservafixaconsolidadomar[[#Headers],[26]],tabela_registros[REGISTRO],DADOS!$N$6,tabela_registros[TIPO],DADOS!$AJ$3,tabela_registros[CATEGORIA],reservafixaconsolidadomar[[#This Row],[ATUAL]])</f>
        <v>0</v>
      </c>
      <c r="AE173" s="91">
        <f>SUMIFS(tabela_registros[VALOR],tabela_registros[MÊS],$AE$1,tabela_registros[DIA],reservafixaconsolidadomar[[#Headers],[27]],tabela_registros[REGISTRO],DADOS!$N$6,tabela_registros[TIPO],DADOS!$AJ$3,tabela_registros[CATEGORIA],reservafixaconsolidadomar[[#This Row],[ATUAL]])</f>
        <v>0</v>
      </c>
      <c r="AF173" s="91">
        <f>SUMIFS(tabela_registros[VALOR],tabela_registros[MÊS],$AE$1,tabela_registros[DIA],reservafixaconsolidadomar[[#Headers],[28]],tabela_registros[REGISTRO],DADOS!$N$6,tabela_registros[TIPO],DADOS!$AJ$3,tabela_registros[CATEGORIA],reservafixaconsolidadomar[[#This Row],[ATUAL]])</f>
        <v>0</v>
      </c>
      <c r="AG173" s="91">
        <f>SUMIFS(tabela_registros[VALOR],tabela_registros[MÊS],$AE$1,tabela_registros[DIA],reservafixaconsolidadomar[[#Headers],[29]],tabela_registros[REGISTRO],DADOS!$N$6,tabela_registros[TIPO],DADOS!$AJ$3,tabela_registros[CATEGORIA],reservafixaconsolidadomar[[#This Row],[ATUAL]])</f>
        <v>0</v>
      </c>
      <c r="AH173" s="91">
        <f>SUMIFS(tabela_registros[VALOR],tabela_registros[MÊS],$AE$1,tabela_registros[DIA],reservafixaconsolidadomar[[#Headers],[30]],tabela_registros[REGISTRO],DADOS!$N$6,tabela_registros[TIPO],DADOS!$AJ$3,tabela_registros[CATEGORIA],reservafixaconsolidadomar[[#This Row],[ATUAL]])</f>
        <v>0</v>
      </c>
      <c r="AI173" s="101">
        <f>SUMIFS(tabela_registros[VALOR],tabela_registros[MÊS],$AE$1,tabela_registros[DIA],reservafixaconsolidadomar[[#Headers],[31]],tabela_registros[REGISTRO],DADOS!$N$6,tabela_registros[TIPO],DADOS!$AJ$3,tabela_registros[CATEGORIA],reservafixaconsolidadomar[[#This Row],[ATUAL]])</f>
        <v>0</v>
      </c>
      <c r="AJ173" s="97">
        <f>SUM(reservafixaconsolidadomar[[#This Row],[1]:[31]])</f>
        <v>0</v>
      </c>
      <c r="AK173" s="25"/>
    </row>
    <row r="174" spans="2:37" ht="19.5" customHeight="1" thickTop="1" thickBot="1" x14ac:dyDescent="0.3">
      <c r="B174" s="28"/>
      <c r="C174" s="27" t="str">
        <f>DADOS!$AL$9</f>
        <v>📝 LCA</v>
      </c>
      <c r="D174" s="26" t="str">
        <f>IF(reservafixaconsolidadomar[[#This Row],[TOTAL (R$)]]=0,"",IF(OR(reservafixaconsolidadomar[[#This Row],[TOTAL (R$)]]=LARGE($AJ$168:$AJ$177,1),reservafixaconsolidadomar[[#This Row],[TOTAL (R$)]]=LARGE($AJ$168:$AJ$177,2)),DADOS!$I$11,""))</f>
        <v/>
      </c>
      <c r="E174" s="96">
        <f>SUMIFS(tabela_registros[VALOR],tabela_registros[MÊS],$AE$1,tabela_registros[DIA],reservafixaconsolidadomar[[#Headers],[1]],tabela_registros[REGISTRO],DADOS!$N$6,tabela_registros[TIPO],DADOS!$AJ$3,tabela_registros[CATEGORIA],reservafixaconsolidadomar[[#This Row],[ATUAL]])</f>
        <v>0</v>
      </c>
      <c r="F174" s="91">
        <f>SUMIFS(tabela_registros[VALOR],tabela_registros[MÊS],$AE$1,tabela_registros[DIA],reservafixaconsolidadomar[[#Headers],[2]],tabela_registros[REGISTRO],DADOS!$N$6,tabela_registros[TIPO],DADOS!$AJ$3,tabela_registros[CATEGORIA],reservafixaconsolidadomar[[#This Row],[ATUAL]])</f>
        <v>0</v>
      </c>
      <c r="G174" s="91">
        <f>SUMIFS(tabela_registros[VALOR],tabela_registros[MÊS],$AE$1,tabela_registros[DIA],reservafixaconsolidadomar[[#Headers],[3]],tabela_registros[REGISTRO],DADOS!$N$6,tabela_registros[TIPO],DADOS!$AJ$3,tabela_registros[CATEGORIA],reservafixaconsolidadomar[[#This Row],[ATUAL]])</f>
        <v>0</v>
      </c>
      <c r="H174" s="91">
        <f>SUMIFS(tabela_registros[VALOR],tabela_registros[MÊS],$AE$1,tabela_registros[DIA],reservafixaconsolidadomar[[#Headers],[4]],tabela_registros[REGISTRO],DADOS!$N$6,tabela_registros[TIPO],DADOS!$AJ$3,tabela_registros[CATEGORIA],reservafixaconsolidadomar[[#This Row],[ATUAL]])</f>
        <v>0</v>
      </c>
      <c r="I174" s="91">
        <f>SUMIFS(tabela_registros[VALOR],tabela_registros[MÊS],$AE$1,tabela_registros[DIA],reservafixaconsolidadomar[[#Headers],[5]],tabela_registros[REGISTRO],DADOS!$N$6,tabela_registros[TIPO],DADOS!$AJ$3,tabela_registros[CATEGORIA],reservafixaconsolidadomar[[#This Row],[ATUAL]])</f>
        <v>0</v>
      </c>
      <c r="J174" s="91">
        <f>SUMIFS(tabela_registros[VALOR],tabela_registros[MÊS],$AE$1,tabela_registros[DIA],reservafixaconsolidadomar[[#Headers],[6]],tabela_registros[REGISTRO],DADOS!$N$6,tabela_registros[TIPO],DADOS!$AJ$3,tabela_registros[CATEGORIA],reservafixaconsolidadomar[[#This Row],[ATUAL]])</f>
        <v>0</v>
      </c>
      <c r="K174" s="91">
        <f>SUMIFS(tabela_registros[VALOR],tabela_registros[MÊS],$AE$1,tabela_registros[DIA],reservafixaconsolidadomar[[#Headers],[7]],tabela_registros[REGISTRO],DADOS!$N$6,tabela_registros[TIPO],DADOS!$AJ$3,tabela_registros[CATEGORIA],reservafixaconsolidadomar[[#This Row],[ATUAL]])</f>
        <v>0</v>
      </c>
      <c r="L174" s="91">
        <f>SUMIFS(tabela_registros[VALOR],tabela_registros[MÊS],$AE$1,tabela_registros[DIA],reservafixaconsolidadomar[[#Headers],[8]],tabela_registros[REGISTRO],DADOS!$N$6,tabela_registros[TIPO],DADOS!$AJ$3,tabela_registros[CATEGORIA],reservafixaconsolidadomar[[#This Row],[ATUAL]])</f>
        <v>0</v>
      </c>
      <c r="M174" s="91">
        <f>SUMIFS(tabela_registros[VALOR],tabela_registros[MÊS],$AE$1,tabela_registros[DIA],reservafixaconsolidadomar[[#Headers],[9]],tabela_registros[REGISTRO],DADOS!$N$6,tabela_registros[TIPO],DADOS!$AJ$3,tabela_registros[CATEGORIA],reservafixaconsolidadomar[[#This Row],[ATUAL]])</f>
        <v>0</v>
      </c>
      <c r="N174" s="91">
        <f>SUMIFS(tabela_registros[VALOR],tabela_registros[MÊS],$AE$1,tabela_registros[DIA],reservafixaconsolidadomar[[#Headers],[10]],tabela_registros[REGISTRO],DADOS!$N$6,tabela_registros[TIPO],DADOS!$AJ$3,tabela_registros[CATEGORIA],reservafixaconsolidadomar[[#This Row],[ATUAL]])</f>
        <v>0</v>
      </c>
      <c r="O174" s="91">
        <f>SUMIFS(tabela_registros[VALOR],tabela_registros[MÊS],$AE$1,tabela_registros[DIA],reservafixaconsolidadomar[[#Headers],[11]],tabela_registros[REGISTRO],DADOS!$N$6,tabela_registros[TIPO],DADOS!$AJ$3,tabela_registros[CATEGORIA],reservafixaconsolidadomar[[#This Row],[ATUAL]])</f>
        <v>0</v>
      </c>
      <c r="P174" s="91">
        <f>SUMIFS(tabela_registros[VALOR],tabela_registros[MÊS],$AE$1,tabela_registros[DIA],reservafixaconsolidadomar[[#Headers],[12]],tabela_registros[REGISTRO],DADOS!$N$6,tabela_registros[TIPO],DADOS!$AJ$3,tabela_registros[CATEGORIA],reservafixaconsolidadomar[[#This Row],[ATUAL]])</f>
        <v>0</v>
      </c>
      <c r="Q174" s="91">
        <f>SUMIFS(tabela_registros[VALOR],tabela_registros[MÊS],$AE$1,tabela_registros[DIA],reservafixaconsolidadomar[[#Headers],[13]],tabela_registros[REGISTRO],DADOS!$N$6,tabela_registros[TIPO],DADOS!$AJ$3,tabela_registros[CATEGORIA],reservafixaconsolidadomar[[#This Row],[ATUAL]])</f>
        <v>0</v>
      </c>
      <c r="R174" s="91">
        <f>SUMIFS(tabela_registros[VALOR],tabela_registros[MÊS],$AE$1,tabela_registros[DIA],reservafixaconsolidadomar[[#Headers],[14]],tabela_registros[REGISTRO],DADOS!$N$6,tabela_registros[TIPO],DADOS!$AJ$3,tabela_registros[CATEGORIA],reservafixaconsolidadomar[[#This Row],[ATUAL]])</f>
        <v>0</v>
      </c>
      <c r="S174" s="91">
        <f>SUMIFS(tabela_registros[VALOR],tabela_registros[MÊS],$AE$1,tabela_registros[DIA],reservafixaconsolidadomar[[#Headers],[15]],tabela_registros[REGISTRO],DADOS!$N$6,tabela_registros[TIPO],DADOS!$AJ$3,tabela_registros[CATEGORIA],reservafixaconsolidadomar[[#This Row],[ATUAL]])</f>
        <v>0</v>
      </c>
      <c r="T174" s="91">
        <f>SUMIFS(tabela_registros[VALOR],tabela_registros[MÊS],$AE$1,tabela_registros[DIA],reservafixaconsolidadomar[[#Headers],[16]],tabela_registros[REGISTRO],DADOS!$N$6,tabela_registros[TIPO],DADOS!$AJ$3,tabela_registros[CATEGORIA],reservafixaconsolidadomar[[#This Row],[ATUAL]])</f>
        <v>0</v>
      </c>
      <c r="U174" s="91">
        <f>SUMIFS(tabela_registros[VALOR],tabela_registros[MÊS],$AE$1,tabela_registros[DIA],reservafixaconsolidadomar[[#Headers],[17]],tabela_registros[REGISTRO],DADOS!$N$6,tabela_registros[TIPO],DADOS!$AJ$3,tabela_registros[CATEGORIA],reservafixaconsolidadomar[[#This Row],[ATUAL]])</f>
        <v>0</v>
      </c>
      <c r="V174" s="91">
        <f>SUMIFS(tabela_registros[VALOR],tabela_registros[MÊS],$AE$1,tabela_registros[DIA],reservafixaconsolidadomar[[#Headers],[18]],tabela_registros[REGISTRO],DADOS!$N$6,tabela_registros[TIPO],DADOS!$AJ$3,tabela_registros[CATEGORIA],reservafixaconsolidadomar[[#This Row],[ATUAL]])</f>
        <v>0</v>
      </c>
      <c r="W174" s="91">
        <f>SUMIFS(tabela_registros[VALOR],tabela_registros[MÊS],$AE$1,tabela_registros[DIA],reservafixaconsolidadomar[[#Headers],[19]],tabela_registros[REGISTRO],DADOS!$N$6,tabela_registros[TIPO],DADOS!$AJ$3,tabela_registros[CATEGORIA],reservafixaconsolidadomar[[#This Row],[ATUAL]])</f>
        <v>0</v>
      </c>
      <c r="X174" s="91">
        <f>SUMIFS(tabela_registros[VALOR],tabela_registros[MÊS],$AE$1,tabela_registros[DIA],reservafixaconsolidadomar[[#Headers],[20]],tabela_registros[REGISTRO],DADOS!$N$6,tabela_registros[TIPO],DADOS!$AJ$3,tabela_registros[CATEGORIA],reservafixaconsolidadomar[[#This Row],[ATUAL]])</f>
        <v>0</v>
      </c>
      <c r="Y174" s="91">
        <f>SUMIFS(tabela_registros[VALOR],tabela_registros[MÊS],$AE$1,tabela_registros[DIA],reservafixaconsolidadomar[[#Headers],[21]],tabela_registros[REGISTRO],DADOS!$N$6,tabela_registros[TIPO],DADOS!$AJ$3,tabela_registros[CATEGORIA],reservafixaconsolidadomar[[#This Row],[ATUAL]])</f>
        <v>0</v>
      </c>
      <c r="Z174" s="91">
        <f>SUMIFS(tabela_registros[VALOR],tabela_registros[MÊS],$AE$1,tabela_registros[DIA],reservafixaconsolidadomar[[#Headers],[22]],tabela_registros[REGISTRO],DADOS!$N$6,tabela_registros[TIPO],DADOS!$AJ$3,tabela_registros[CATEGORIA],reservafixaconsolidadomar[[#This Row],[ATUAL]])</f>
        <v>0</v>
      </c>
      <c r="AA174" s="91">
        <f>SUMIFS(tabela_registros[VALOR],tabela_registros[MÊS],$AE$1,tabela_registros[DIA],reservafixaconsolidadomar[[#Headers],[23]],tabela_registros[REGISTRO],DADOS!$N$6,tabela_registros[TIPO],DADOS!$AJ$3,tabela_registros[CATEGORIA],reservafixaconsolidadomar[[#This Row],[ATUAL]])</f>
        <v>0</v>
      </c>
      <c r="AB174" s="91">
        <f>SUMIFS(tabela_registros[VALOR],tabela_registros[MÊS],$AE$1,tabela_registros[DIA],reservafixaconsolidadomar[[#Headers],[24]],tabela_registros[REGISTRO],DADOS!$N$6,tabela_registros[TIPO],DADOS!$AJ$3,tabela_registros[CATEGORIA],reservafixaconsolidadomar[[#This Row],[ATUAL]])</f>
        <v>0</v>
      </c>
      <c r="AC174" s="91">
        <f>SUMIFS(tabela_registros[VALOR],tabela_registros[MÊS],$AE$1,tabela_registros[DIA],reservafixaconsolidadomar[[#Headers],[25]],tabela_registros[REGISTRO],DADOS!$N$6,tabela_registros[TIPO],DADOS!$AJ$3,tabela_registros[CATEGORIA],reservafixaconsolidadomar[[#This Row],[ATUAL]])</f>
        <v>0</v>
      </c>
      <c r="AD174" s="91">
        <f>SUMIFS(tabela_registros[VALOR],tabela_registros[MÊS],$AE$1,tabela_registros[DIA],reservafixaconsolidadomar[[#Headers],[26]],tabela_registros[REGISTRO],DADOS!$N$6,tabela_registros[TIPO],DADOS!$AJ$3,tabela_registros[CATEGORIA],reservafixaconsolidadomar[[#This Row],[ATUAL]])</f>
        <v>0</v>
      </c>
      <c r="AE174" s="91">
        <f>SUMIFS(tabela_registros[VALOR],tabela_registros[MÊS],$AE$1,tabela_registros[DIA],reservafixaconsolidadomar[[#Headers],[27]],tabela_registros[REGISTRO],DADOS!$N$6,tabela_registros[TIPO],DADOS!$AJ$3,tabela_registros[CATEGORIA],reservafixaconsolidadomar[[#This Row],[ATUAL]])</f>
        <v>0</v>
      </c>
      <c r="AF174" s="91">
        <f>SUMIFS(tabela_registros[VALOR],tabela_registros[MÊS],$AE$1,tabela_registros[DIA],reservafixaconsolidadomar[[#Headers],[28]],tabela_registros[REGISTRO],DADOS!$N$6,tabela_registros[TIPO],DADOS!$AJ$3,tabela_registros[CATEGORIA],reservafixaconsolidadomar[[#This Row],[ATUAL]])</f>
        <v>0</v>
      </c>
      <c r="AG174" s="91">
        <f>SUMIFS(tabela_registros[VALOR],tabela_registros[MÊS],$AE$1,tabela_registros[DIA],reservafixaconsolidadomar[[#Headers],[29]],tabela_registros[REGISTRO],DADOS!$N$6,tabela_registros[TIPO],DADOS!$AJ$3,tabela_registros[CATEGORIA],reservafixaconsolidadomar[[#This Row],[ATUAL]])</f>
        <v>0</v>
      </c>
      <c r="AH174" s="91">
        <f>SUMIFS(tabela_registros[VALOR],tabela_registros[MÊS],$AE$1,tabela_registros[DIA],reservafixaconsolidadomar[[#Headers],[30]],tabela_registros[REGISTRO],DADOS!$N$6,tabela_registros[TIPO],DADOS!$AJ$3,tabela_registros[CATEGORIA],reservafixaconsolidadomar[[#This Row],[ATUAL]])</f>
        <v>0</v>
      </c>
      <c r="AI174" s="101">
        <f>SUMIFS(tabela_registros[VALOR],tabela_registros[MÊS],$AE$1,tabela_registros[DIA],reservafixaconsolidadomar[[#Headers],[31]],tabela_registros[REGISTRO],DADOS!$N$6,tabela_registros[TIPO],DADOS!$AJ$3,tabela_registros[CATEGORIA],reservafixaconsolidadomar[[#This Row],[ATUAL]])</f>
        <v>0</v>
      </c>
      <c r="AJ174" s="97">
        <f>SUM(reservafixaconsolidadomar[[#This Row],[1]:[31]])</f>
        <v>0</v>
      </c>
      <c r="AK174" s="25"/>
    </row>
    <row r="175" spans="2:37" ht="19.5" customHeight="1" thickTop="1" thickBot="1" x14ac:dyDescent="0.3">
      <c r="B175" s="28"/>
      <c r="C175" s="27" t="str">
        <f>DADOS!$AL$10</f>
        <v>📝 LCI</v>
      </c>
      <c r="D175" s="26" t="str">
        <f>IF(reservafixaconsolidadomar[[#This Row],[TOTAL (R$)]]=0,"",IF(OR(reservafixaconsolidadomar[[#This Row],[TOTAL (R$)]]=LARGE($AJ$168:$AJ$177,1),reservafixaconsolidadomar[[#This Row],[TOTAL (R$)]]=LARGE($AJ$168:$AJ$177,2)),DADOS!$I$11,""))</f>
        <v/>
      </c>
      <c r="E175" s="96">
        <f>SUMIFS(tabela_registros[VALOR],tabela_registros[MÊS],$AE$1,tabela_registros[DIA],reservafixaconsolidadomar[[#Headers],[1]],tabela_registros[REGISTRO],DADOS!$N$6,tabela_registros[TIPO],DADOS!$AJ$3,tabela_registros[CATEGORIA],reservafixaconsolidadomar[[#This Row],[ATUAL]])</f>
        <v>0</v>
      </c>
      <c r="F175" s="91">
        <f>SUMIFS(tabela_registros[VALOR],tabela_registros[MÊS],$AE$1,tabela_registros[DIA],reservafixaconsolidadomar[[#Headers],[2]],tabela_registros[REGISTRO],DADOS!$N$6,tabela_registros[TIPO],DADOS!$AJ$3,tabela_registros[CATEGORIA],reservafixaconsolidadomar[[#This Row],[ATUAL]])</f>
        <v>0</v>
      </c>
      <c r="G175" s="91">
        <f>SUMIFS(tabela_registros[VALOR],tabela_registros[MÊS],$AE$1,tabela_registros[DIA],reservafixaconsolidadomar[[#Headers],[3]],tabela_registros[REGISTRO],DADOS!$N$6,tabela_registros[TIPO],DADOS!$AJ$3,tabela_registros[CATEGORIA],reservafixaconsolidadomar[[#This Row],[ATUAL]])</f>
        <v>0</v>
      </c>
      <c r="H175" s="91">
        <f>SUMIFS(tabela_registros[VALOR],tabela_registros[MÊS],$AE$1,tabela_registros[DIA],reservafixaconsolidadomar[[#Headers],[4]],tabela_registros[REGISTRO],DADOS!$N$6,tabela_registros[TIPO],DADOS!$AJ$3,tabela_registros[CATEGORIA],reservafixaconsolidadomar[[#This Row],[ATUAL]])</f>
        <v>0</v>
      </c>
      <c r="I175" s="91">
        <f>SUMIFS(tabela_registros[VALOR],tabela_registros[MÊS],$AE$1,tabela_registros[DIA],reservafixaconsolidadomar[[#Headers],[5]],tabela_registros[REGISTRO],DADOS!$N$6,tabela_registros[TIPO],DADOS!$AJ$3,tabela_registros[CATEGORIA],reservafixaconsolidadomar[[#This Row],[ATUAL]])</f>
        <v>0</v>
      </c>
      <c r="J175" s="91">
        <f>SUMIFS(tabela_registros[VALOR],tabela_registros[MÊS],$AE$1,tabela_registros[DIA],reservafixaconsolidadomar[[#Headers],[6]],tabela_registros[REGISTRO],DADOS!$N$6,tabela_registros[TIPO],DADOS!$AJ$3,tabela_registros[CATEGORIA],reservafixaconsolidadomar[[#This Row],[ATUAL]])</f>
        <v>0</v>
      </c>
      <c r="K175" s="91">
        <f>SUMIFS(tabela_registros[VALOR],tabela_registros[MÊS],$AE$1,tabela_registros[DIA],reservafixaconsolidadomar[[#Headers],[7]],tabela_registros[REGISTRO],DADOS!$N$6,tabela_registros[TIPO],DADOS!$AJ$3,tabela_registros[CATEGORIA],reservafixaconsolidadomar[[#This Row],[ATUAL]])</f>
        <v>0</v>
      </c>
      <c r="L175" s="91">
        <f>SUMIFS(tabela_registros[VALOR],tabela_registros[MÊS],$AE$1,tabela_registros[DIA],reservafixaconsolidadomar[[#Headers],[8]],tabela_registros[REGISTRO],DADOS!$N$6,tabela_registros[TIPO],DADOS!$AJ$3,tabela_registros[CATEGORIA],reservafixaconsolidadomar[[#This Row],[ATUAL]])</f>
        <v>0</v>
      </c>
      <c r="M175" s="91">
        <f>SUMIFS(tabela_registros[VALOR],tabela_registros[MÊS],$AE$1,tabela_registros[DIA],reservafixaconsolidadomar[[#Headers],[9]],tabela_registros[REGISTRO],DADOS!$N$6,tabela_registros[TIPO],DADOS!$AJ$3,tabela_registros[CATEGORIA],reservafixaconsolidadomar[[#This Row],[ATUAL]])</f>
        <v>0</v>
      </c>
      <c r="N175" s="91">
        <f>SUMIFS(tabela_registros[VALOR],tabela_registros[MÊS],$AE$1,tabela_registros[DIA],reservafixaconsolidadomar[[#Headers],[10]],tabela_registros[REGISTRO],DADOS!$N$6,tabela_registros[TIPO],DADOS!$AJ$3,tabela_registros[CATEGORIA],reservafixaconsolidadomar[[#This Row],[ATUAL]])</f>
        <v>0</v>
      </c>
      <c r="O175" s="91">
        <f>SUMIFS(tabela_registros[VALOR],tabela_registros[MÊS],$AE$1,tabela_registros[DIA],reservafixaconsolidadomar[[#Headers],[11]],tabela_registros[REGISTRO],DADOS!$N$6,tabela_registros[TIPO],DADOS!$AJ$3,tabela_registros[CATEGORIA],reservafixaconsolidadomar[[#This Row],[ATUAL]])</f>
        <v>0</v>
      </c>
      <c r="P175" s="91">
        <f>SUMIFS(tabela_registros[VALOR],tabela_registros[MÊS],$AE$1,tabela_registros[DIA],reservafixaconsolidadomar[[#Headers],[12]],tabela_registros[REGISTRO],DADOS!$N$6,tabela_registros[TIPO],DADOS!$AJ$3,tabela_registros[CATEGORIA],reservafixaconsolidadomar[[#This Row],[ATUAL]])</f>
        <v>0</v>
      </c>
      <c r="Q175" s="91">
        <f>SUMIFS(tabela_registros[VALOR],tabela_registros[MÊS],$AE$1,tabela_registros[DIA],reservafixaconsolidadomar[[#Headers],[13]],tabela_registros[REGISTRO],DADOS!$N$6,tabela_registros[TIPO],DADOS!$AJ$3,tabela_registros[CATEGORIA],reservafixaconsolidadomar[[#This Row],[ATUAL]])</f>
        <v>0</v>
      </c>
      <c r="R175" s="91">
        <f>SUMIFS(tabela_registros[VALOR],tabela_registros[MÊS],$AE$1,tabela_registros[DIA],reservafixaconsolidadomar[[#Headers],[14]],tabela_registros[REGISTRO],DADOS!$N$6,tabela_registros[TIPO],DADOS!$AJ$3,tabela_registros[CATEGORIA],reservafixaconsolidadomar[[#This Row],[ATUAL]])</f>
        <v>0</v>
      </c>
      <c r="S175" s="91">
        <f>SUMIFS(tabela_registros[VALOR],tabela_registros[MÊS],$AE$1,tabela_registros[DIA],reservafixaconsolidadomar[[#Headers],[15]],tabela_registros[REGISTRO],DADOS!$N$6,tabela_registros[TIPO],DADOS!$AJ$3,tabela_registros[CATEGORIA],reservafixaconsolidadomar[[#This Row],[ATUAL]])</f>
        <v>0</v>
      </c>
      <c r="T175" s="91">
        <f>SUMIFS(tabela_registros[VALOR],tabela_registros[MÊS],$AE$1,tabela_registros[DIA],reservafixaconsolidadomar[[#Headers],[16]],tabela_registros[REGISTRO],DADOS!$N$6,tabela_registros[TIPO],DADOS!$AJ$3,tabela_registros[CATEGORIA],reservafixaconsolidadomar[[#This Row],[ATUAL]])</f>
        <v>0</v>
      </c>
      <c r="U175" s="91">
        <f>SUMIFS(tabela_registros[VALOR],tabela_registros[MÊS],$AE$1,tabela_registros[DIA],reservafixaconsolidadomar[[#Headers],[17]],tabela_registros[REGISTRO],DADOS!$N$6,tabela_registros[TIPO],DADOS!$AJ$3,tabela_registros[CATEGORIA],reservafixaconsolidadomar[[#This Row],[ATUAL]])</f>
        <v>0</v>
      </c>
      <c r="V175" s="91">
        <f>SUMIFS(tabela_registros[VALOR],tabela_registros[MÊS],$AE$1,tabela_registros[DIA],reservafixaconsolidadomar[[#Headers],[18]],tabela_registros[REGISTRO],DADOS!$N$6,tabela_registros[TIPO],DADOS!$AJ$3,tabela_registros[CATEGORIA],reservafixaconsolidadomar[[#This Row],[ATUAL]])</f>
        <v>0</v>
      </c>
      <c r="W175" s="91">
        <f>SUMIFS(tabela_registros[VALOR],tabela_registros[MÊS],$AE$1,tabela_registros[DIA],reservafixaconsolidadomar[[#Headers],[19]],tabela_registros[REGISTRO],DADOS!$N$6,tabela_registros[TIPO],DADOS!$AJ$3,tabela_registros[CATEGORIA],reservafixaconsolidadomar[[#This Row],[ATUAL]])</f>
        <v>0</v>
      </c>
      <c r="X175" s="91">
        <f>SUMIFS(tabela_registros[VALOR],tabela_registros[MÊS],$AE$1,tabela_registros[DIA],reservafixaconsolidadomar[[#Headers],[20]],tabela_registros[REGISTRO],DADOS!$N$6,tabela_registros[TIPO],DADOS!$AJ$3,tabela_registros[CATEGORIA],reservafixaconsolidadomar[[#This Row],[ATUAL]])</f>
        <v>0</v>
      </c>
      <c r="Y175" s="91">
        <f>SUMIFS(tabela_registros[VALOR],tabela_registros[MÊS],$AE$1,tabela_registros[DIA],reservafixaconsolidadomar[[#Headers],[21]],tabela_registros[REGISTRO],DADOS!$N$6,tabela_registros[TIPO],DADOS!$AJ$3,tabela_registros[CATEGORIA],reservafixaconsolidadomar[[#This Row],[ATUAL]])</f>
        <v>0</v>
      </c>
      <c r="Z175" s="91">
        <f>SUMIFS(tabela_registros[VALOR],tabela_registros[MÊS],$AE$1,tabela_registros[DIA],reservafixaconsolidadomar[[#Headers],[22]],tabela_registros[REGISTRO],DADOS!$N$6,tabela_registros[TIPO],DADOS!$AJ$3,tabela_registros[CATEGORIA],reservafixaconsolidadomar[[#This Row],[ATUAL]])</f>
        <v>0</v>
      </c>
      <c r="AA175" s="91">
        <f>SUMIFS(tabela_registros[VALOR],tabela_registros[MÊS],$AE$1,tabela_registros[DIA],reservafixaconsolidadomar[[#Headers],[23]],tabela_registros[REGISTRO],DADOS!$N$6,tabela_registros[TIPO],DADOS!$AJ$3,tabela_registros[CATEGORIA],reservafixaconsolidadomar[[#This Row],[ATUAL]])</f>
        <v>0</v>
      </c>
      <c r="AB175" s="91">
        <f>SUMIFS(tabela_registros[VALOR],tabela_registros[MÊS],$AE$1,tabela_registros[DIA],reservafixaconsolidadomar[[#Headers],[24]],tabela_registros[REGISTRO],DADOS!$N$6,tabela_registros[TIPO],DADOS!$AJ$3,tabela_registros[CATEGORIA],reservafixaconsolidadomar[[#This Row],[ATUAL]])</f>
        <v>0</v>
      </c>
      <c r="AC175" s="91">
        <f>SUMIFS(tabela_registros[VALOR],tabela_registros[MÊS],$AE$1,tabela_registros[DIA],reservafixaconsolidadomar[[#Headers],[25]],tabela_registros[REGISTRO],DADOS!$N$6,tabela_registros[TIPO],DADOS!$AJ$3,tabela_registros[CATEGORIA],reservafixaconsolidadomar[[#This Row],[ATUAL]])</f>
        <v>0</v>
      </c>
      <c r="AD175" s="91">
        <f>SUMIFS(tabela_registros[VALOR],tabela_registros[MÊS],$AE$1,tabela_registros[DIA],reservafixaconsolidadomar[[#Headers],[26]],tabela_registros[REGISTRO],DADOS!$N$6,tabela_registros[TIPO],DADOS!$AJ$3,tabela_registros[CATEGORIA],reservafixaconsolidadomar[[#This Row],[ATUAL]])</f>
        <v>0</v>
      </c>
      <c r="AE175" s="91">
        <f>SUMIFS(tabela_registros[VALOR],tabela_registros[MÊS],$AE$1,tabela_registros[DIA],reservafixaconsolidadomar[[#Headers],[27]],tabela_registros[REGISTRO],DADOS!$N$6,tabela_registros[TIPO],DADOS!$AJ$3,tabela_registros[CATEGORIA],reservafixaconsolidadomar[[#This Row],[ATUAL]])</f>
        <v>0</v>
      </c>
      <c r="AF175" s="91">
        <f>SUMIFS(tabela_registros[VALOR],tabela_registros[MÊS],$AE$1,tabela_registros[DIA],reservafixaconsolidadomar[[#Headers],[28]],tabela_registros[REGISTRO],DADOS!$N$6,tabela_registros[TIPO],DADOS!$AJ$3,tabela_registros[CATEGORIA],reservafixaconsolidadomar[[#This Row],[ATUAL]])</f>
        <v>0</v>
      </c>
      <c r="AG175" s="91">
        <f>SUMIFS(tabela_registros[VALOR],tabela_registros[MÊS],$AE$1,tabela_registros[DIA],reservafixaconsolidadomar[[#Headers],[29]],tabela_registros[REGISTRO],DADOS!$N$6,tabela_registros[TIPO],DADOS!$AJ$3,tabela_registros[CATEGORIA],reservafixaconsolidadomar[[#This Row],[ATUAL]])</f>
        <v>0</v>
      </c>
      <c r="AH175" s="91">
        <f>SUMIFS(tabela_registros[VALOR],tabela_registros[MÊS],$AE$1,tabela_registros[DIA],reservafixaconsolidadomar[[#Headers],[30]],tabela_registros[REGISTRO],DADOS!$N$6,tabela_registros[TIPO],DADOS!$AJ$3,tabela_registros[CATEGORIA],reservafixaconsolidadomar[[#This Row],[ATUAL]])</f>
        <v>0</v>
      </c>
      <c r="AI175" s="101">
        <f>SUMIFS(tabela_registros[VALOR],tabela_registros[MÊS],$AE$1,tabela_registros[DIA],reservafixaconsolidadomar[[#Headers],[31]],tabela_registros[REGISTRO],DADOS!$N$6,tabela_registros[TIPO],DADOS!$AJ$3,tabela_registros[CATEGORIA],reservafixaconsolidadomar[[#This Row],[ATUAL]])</f>
        <v>0</v>
      </c>
      <c r="AJ175" s="97">
        <f>SUM(reservafixaconsolidadomar[[#This Row],[1]:[31]])</f>
        <v>0</v>
      </c>
      <c r="AK175" s="25"/>
    </row>
    <row r="176" spans="2:37" ht="19.5" customHeight="1" thickTop="1" thickBot="1" x14ac:dyDescent="0.3">
      <c r="B176" s="28"/>
      <c r="C176" s="27" t="str">
        <f>DADOS!$AL$11</f>
        <v>📝 TESOURO DIRETO</v>
      </c>
      <c r="D176" s="26" t="str">
        <f>IF(reservafixaconsolidadomar[[#This Row],[TOTAL (R$)]]=0,"",IF(OR(reservafixaconsolidadomar[[#This Row],[TOTAL (R$)]]=LARGE($AJ$168:$AJ$177,1),reservafixaconsolidadomar[[#This Row],[TOTAL (R$)]]=LARGE($AJ$168:$AJ$177,2)),DADOS!$I$11,""))</f>
        <v/>
      </c>
      <c r="E176" s="96">
        <f>SUMIFS(tabela_registros[VALOR],tabela_registros[MÊS],$AE$1,tabela_registros[DIA],reservafixaconsolidadomar[[#Headers],[1]],tabela_registros[REGISTRO],DADOS!$N$6,tabela_registros[TIPO],DADOS!$AJ$3,tabela_registros[CATEGORIA],reservafixaconsolidadomar[[#This Row],[ATUAL]])</f>
        <v>0</v>
      </c>
      <c r="F176" s="91">
        <f>SUMIFS(tabela_registros[VALOR],tabela_registros[MÊS],$AE$1,tabela_registros[DIA],reservafixaconsolidadomar[[#Headers],[2]],tabela_registros[REGISTRO],DADOS!$N$6,tabela_registros[TIPO],DADOS!$AJ$3,tabela_registros[CATEGORIA],reservafixaconsolidadomar[[#This Row],[ATUAL]])</f>
        <v>0</v>
      </c>
      <c r="G176" s="91">
        <f>SUMIFS(tabela_registros[VALOR],tabela_registros[MÊS],$AE$1,tabela_registros[DIA],reservafixaconsolidadomar[[#Headers],[3]],tabela_registros[REGISTRO],DADOS!$N$6,tabela_registros[TIPO],DADOS!$AJ$3,tabela_registros[CATEGORIA],reservafixaconsolidadomar[[#This Row],[ATUAL]])</f>
        <v>0</v>
      </c>
      <c r="H176" s="91">
        <f>SUMIFS(tabela_registros[VALOR],tabela_registros[MÊS],$AE$1,tabela_registros[DIA],reservafixaconsolidadomar[[#Headers],[4]],tabela_registros[REGISTRO],DADOS!$N$6,tabela_registros[TIPO],DADOS!$AJ$3,tabela_registros[CATEGORIA],reservafixaconsolidadomar[[#This Row],[ATUAL]])</f>
        <v>0</v>
      </c>
      <c r="I176" s="91">
        <f>SUMIFS(tabela_registros[VALOR],tabela_registros[MÊS],$AE$1,tabela_registros[DIA],reservafixaconsolidadomar[[#Headers],[5]],tabela_registros[REGISTRO],DADOS!$N$6,tabela_registros[TIPO],DADOS!$AJ$3,tabela_registros[CATEGORIA],reservafixaconsolidadomar[[#This Row],[ATUAL]])</f>
        <v>0</v>
      </c>
      <c r="J176" s="91">
        <f>SUMIFS(tabela_registros[VALOR],tabela_registros[MÊS],$AE$1,tabela_registros[DIA],reservafixaconsolidadomar[[#Headers],[6]],tabela_registros[REGISTRO],DADOS!$N$6,tabela_registros[TIPO],DADOS!$AJ$3,tabela_registros[CATEGORIA],reservafixaconsolidadomar[[#This Row],[ATUAL]])</f>
        <v>0</v>
      </c>
      <c r="K176" s="91">
        <f>SUMIFS(tabela_registros[VALOR],tabela_registros[MÊS],$AE$1,tabela_registros[DIA],reservafixaconsolidadomar[[#Headers],[7]],tabela_registros[REGISTRO],DADOS!$N$6,tabela_registros[TIPO],DADOS!$AJ$3,tabela_registros[CATEGORIA],reservafixaconsolidadomar[[#This Row],[ATUAL]])</f>
        <v>0</v>
      </c>
      <c r="L176" s="91">
        <f>SUMIFS(tabela_registros[VALOR],tabela_registros[MÊS],$AE$1,tabela_registros[DIA],reservafixaconsolidadomar[[#Headers],[8]],tabela_registros[REGISTRO],DADOS!$N$6,tabela_registros[TIPO],DADOS!$AJ$3,tabela_registros[CATEGORIA],reservafixaconsolidadomar[[#This Row],[ATUAL]])</f>
        <v>0</v>
      </c>
      <c r="M176" s="91">
        <f>SUMIFS(tabela_registros[VALOR],tabela_registros[MÊS],$AE$1,tabela_registros[DIA],reservafixaconsolidadomar[[#Headers],[9]],tabela_registros[REGISTRO],DADOS!$N$6,tabela_registros[TIPO],DADOS!$AJ$3,tabela_registros[CATEGORIA],reservafixaconsolidadomar[[#This Row],[ATUAL]])</f>
        <v>0</v>
      </c>
      <c r="N176" s="91">
        <f>SUMIFS(tabela_registros[VALOR],tabela_registros[MÊS],$AE$1,tabela_registros[DIA],reservafixaconsolidadomar[[#Headers],[10]],tabela_registros[REGISTRO],DADOS!$N$6,tabela_registros[TIPO],DADOS!$AJ$3,tabela_registros[CATEGORIA],reservafixaconsolidadomar[[#This Row],[ATUAL]])</f>
        <v>0</v>
      </c>
      <c r="O176" s="91">
        <f>SUMIFS(tabela_registros[VALOR],tabela_registros[MÊS],$AE$1,tabela_registros[DIA],reservafixaconsolidadomar[[#Headers],[11]],tabela_registros[REGISTRO],DADOS!$N$6,tabela_registros[TIPO],DADOS!$AJ$3,tabela_registros[CATEGORIA],reservafixaconsolidadomar[[#This Row],[ATUAL]])</f>
        <v>0</v>
      </c>
      <c r="P176" s="91">
        <f>SUMIFS(tabela_registros[VALOR],tabela_registros[MÊS],$AE$1,tabela_registros[DIA],reservafixaconsolidadomar[[#Headers],[12]],tabela_registros[REGISTRO],DADOS!$N$6,tabela_registros[TIPO],DADOS!$AJ$3,tabela_registros[CATEGORIA],reservafixaconsolidadomar[[#This Row],[ATUAL]])</f>
        <v>0</v>
      </c>
      <c r="Q176" s="91">
        <f>SUMIFS(tabela_registros[VALOR],tabela_registros[MÊS],$AE$1,tabela_registros[DIA],reservafixaconsolidadomar[[#Headers],[13]],tabela_registros[REGISTRO],DADOS!$N$6,tabela_registros[TIPO],DADOS!$AJ$3,tabela_registros[CATEGORIA],reservafixaconsolidadomar[[#This Row],[ATUAL]])</f>
        <v>0</v>
      </c>
      <c r="R176" s="91">
        <f>SUMIFS(tabela_registros[VALOR],tabela_registros[MÊS],$AE$1,tabela_registros[DIA],reservafixaconsolidadomar[[#Headers],[14]],tabela_registros[REGISTRO],DADOS!$N$6,tabela_registros[TIPO],DADOS!$AJ$3,tabela_registros[CATEGORIA],reservafixaconsolidadomar[[#This Row],[ATUAL]])</f>
        <v>0</v>
      </c>
      <c r="S176" s="91">
        <f>SUMIFS(tabela_registros[VALOR],tabela_registros[MÊS],$AE$1,tabela_registros[DIA],reservafixaconsolidadomar[[#Headers],[15]],tabela_registros[REGISTRO],DADOS!$N$6,tabela_registros[TIPO],DADOS!$AJ$3,tabela_registros[CATEGORIA],reservafixaconsolidadomar[[#This Row],[ATUAL]])</f>
        <v>0</v>
      </c>
      <c r="T176" s="91">
        <f>SUMIFS(tabela_registros[VALOR],tabela_registros[MÊS],$AE$1,tabela_registros[DIA],reservafixaconsolidadomar[[#Headers],[16]],tabela_registros[REGISTRO],DADOS!$N$6,tabela_registros[TIPO],DADOS!$AJ$3,tabela_registros[CATEGORIA],reservafixaconsolidadomar[[#This Row],[ATUAL]])</f>
        <v>0</v>
      </c>
      <c r="U176" s="91">
        <f>SUMIFS(tabela_registros[VALOR],tabela_registros[MÊS],$AE$1,tabela_registros[DIA],reservafixaconsolidadomar[[#Headers],[17]],tabela_registros[REGISTRO],DADOS!$N$6,tabela_registros[TIPO],DADOS!$AJ$3,tabela_registros[CATEGORIA],reservafixaconsolidadomar[[#This Row],[ATUAL]])</f>
        <v>0</v>
      </c>
      <c r="V176" s="91">
        <f>SUMIFS(tabela_registros[VALOR],tabela_registros[MÊS],$AE$1,tabela_registros[DIA],reservafixaconsolidadomar[[#Headers],[18]],tabela_registros[REGISTRO],DADOS!$N$6,tabela_registros[TIPO],DADOS!$AJ$3,tabela_registros[CATEGORIA],reservafixaconsolidadomar[[#This Row],[ATUAL]])</f>
        <v>0</v>
      </c>
      <c r="W176" s="91">
        <f>SUMIFS(tabela_registros[VALOR],tabela_registros[MÊS],$AE$1,tabela_registros[DIA],reservafixaconsolidadomar[[#Headers],[19]],tabela_registros[REGISTRO],DADOS!$N$6,tabela_registros[TIPO],DADOS!$AJ$3,tabela_registros[CATEGORIA],reservafixaconsolidadomar[[#This Row],[ATUAL]])</f>
        <v>0</v>
      </c>
      <c r="X176" s="91">
        <f>SUMIFS(tabela_registros[VALOR],tabela_registros[MÊS],$AE$1,tabela_registros[DIA],reservafixaconsolidadomar[[#Headers],[20]],tabela_registros[REGISTRO],DADOS!$N$6,tabela_registros[TIPO],DADOS!$AJ$3,tabela_registros[CATEGORIA],reservafixaconsolidadomar[[#This Row],[ATUAL]])</f>
        <v>0</v>
      </c>
      <c r="Y176" s="91">
        <f>SUMIFS(tabela_registros[VALOR],tabela_registros[MÊS],$AE$1,tabela_registros[DIA],reservafixaconsolidadomar[[#Headers],[21]],tabela_registros[REGISTRO],DADOS!$N$6,tabela_registros[TIPO],DADOS!$AJ$3,tabela_registros[CATEGORIA],reservafixaconsolidadomar[[#This Row],[ATUAL]])</f>
        <v>0</v>
      </c>
      <c r="Z176" s="91">
        <f>SUMIFS(tabela_registros[VALOR],tabela_registros[MÊS],$AE$1,tabela_registros[DIA],reservafixaconsolidadomar[[#Headers],[22]],tabela_registros[REGISTRO],DADOS!$N$6,tabela_registros[TIPO],DADOS!$AJ$3,tabela_registros[CATEGORIA],reservafixaconsolidadomar[[#This Row],[ATUAL]])</f>
        <v>0</v>
      </c>
      <c r="AA176" s="91">
        <f>SUMIFS(tabela_registros[VALOR],tabela_registros[MÊS],$AE$1,tabela_registros[DIA],reservafixaconsolidadomar[[#Headers],[23]],tabela_registros[REGISTRO],DADOS!$N$6,tabela_registros[TIPO],DADOS!$AJ$3,tabela_registros[CATEGORIA],reservafixaconsolidadomar[[#This Row],[ATUAL]])</f>
        <v>0</v>
      </c>
      <c r="AB176" s="91">
        <f>SUMIFS(tabela_registros[VALOR],tabela_registros[MÊS],$AE$1,tabela_registros[DIA],reservafixaconsolidadomar[[#Headers],[24]],tabela_registros[REGISTRO],DADOS!$N$6,tabela_registros[TIPO],DADOS!$AJ$3,tabela_registros[CATEGORIA],reservafixaconsolidadomar[[#This Row],[ATUAL]])</f>
        <v>0</v>
      </c>
      <c r="AC176" s="91">
        <f>SUMIFS(tabela_registros[VALOR],tabela_registros[MÊS],$AE$1,tabela_registros[DIA],reservafixaconsolidadomar[[#Headers],[25]],tabela_registros[REGISTRO],DADOS!$N$6,tabela_registros[TIPO],DADOS!$AJ$3,tabela_registros[CATEGORIA],reservafixaconsolidadomar[[#This Row],[ATUAL]])</f>
        <v>0</v>
      </c>
      <c r="AD176" s="91">
        <f>SUMIFS(tabela_registros[VALOR],tabela_registros[MÊS],$AE$1,tabela_registros[DIA],reservafixaconsolidadomar[[#Headers],[26]],tabela_registros[REGISTRO],DADOS!$N$6,tabela_registros[TIPO],DADOS!$AJ$3,tabela_registros[CATEGORIA],reservafixaconsolidadomar[[#This Row],[ATUAL]])</f>
        <v>0</v>
      </c>
      <c r="AE176" s="91">
        <f>SUMIFS(tabela_registros[VALOR],tabela_registros[MÊS],$AE$1,tabela_registros[DIA],reservafixaconsolidadomar[[#Headers],[27]],tabela_registros[REGISTRO],DADOS!$N$6,tabela_registros[TIPO],DADOS!$AJ$3,tabela_registros[CATEGORIA],reservafixaconsolidadomar[[#This Row],[ATUAL]])</f>
        <v>0</v>
      </c>
      <c r="AF176" s="91">
        <f>SUMIFS(tabela_registros[VALOR],tabela_registros[MÊS],$AE$1,tabela_registros[DIA],reservafixaconsolidadomar[[#Headers],[28]],tabela_registros[REGISTRO],DADOS!$N$6,tabela_registros[TIPO],DADOS!$AJ$3,tabela_registros[CATEGORIA],reservafixaconsolidadomar[[#This Row],[ATUAL]])</f>
        <v>0</v>
      </c>
      <c r="AG176" s="91">
        <f>SUMIFS(tabela_registros[VALOR],tabela_registros[MÊS],$AE$1,tabela_registros[DIA],reservafixaconsolidadomar[[#Headers],[29]],tabela_registros[REGISTRO],DADOS!$N$6,tabela_registros[TIPO],DADOS!$AJ$3,tabela_registros[CATEGORIA],reservafixaconsolidadomar[[#This Row],[ATUAL]])</f>
        <v>0</v>
      </c>
      <c r="AH176" s="91">
        <f>SUMIFS(tabela_registros[VALOR],tabela_registros[MÊS],$AE$1,tabela_registros[DIA],reservafixaconsolidadomar[[#Headers],[30]],tabela_registros[REGISTRO],DADOS!$N$6,tabela_registros[TIPO],DADOS!$AJ$3,tabela_registros[CATEGORIA],reservafixaconsolidadomar[[#This Row],[ATUAL]])</f>
        <v>0</v>
      </c>
      <c r="AI176" s="101">
        <f>SUMIFS(tabela_registros[VALOR],tabela_registros[MÊS],$AE$1,tabela_registros[DIA],reservafixaconsolidadomar[[#Headers],[31]],tabela_registros[REGISTRO],DADOS!$N$6,tabela_registros[TIPO],DADOS!$AJ$3,tabela_registros[CATEGORIA],reservafixaconsolidadomar[[#This Row],[ATUAL]])</f>
        <v>0</v>
      </c>
      <c r="AJ176" s="97">
        <f>SUM(reservafixaconsolidadomar[[#This Row],[1]:[31]])</f>
        <v>0</v>
      </c>
      <c r="AK176" s="25"/>
    </row>
    <row r="177" spans="2:37" ht="19.5" customHeight="1" thickTop="1" thickBot="1" x14ac:dyDescent="0.3">
      <c r="B177" s="28"/>
      <c r="C177" s="27" t="str">
        <f>DADOS!$AL$12</f>
        <v>📎 OUTROS</v>
      </c>
      <c r="D177" s="26" t="str">
        <f>IF(reservafixaconsolidadomar[[#This Row],[TOTAL (R$)]]=0,"",IF(OR(reservafixaconsolidadomar[[#This Row],[TOTAL (R$)]]=LARGE($AJ$168:$AJ$177,1),reservafixaconsolidadomar[[#This Row],[TOTAL (R$)]]=LARGE($AJ$168:$AJ$177,2)),DADOS!$I$11,""))</f>
        <v/>
      </c>
      <c r="E177" s="96">
        <f>SUMIFS(tabela_registros[VALOR],tabela_registros[MÊS],$AE$1,tabela_registros[DIA],reservafixaconsolidadomar[[#Headers],[1]],tabela_registros[REGISTRO],DADOS!$N$6,tabela_registros[TIPO],DADOS!$AJ$3,tabela_registros[CATEGORIA],reservafixaconsolidadomar[[#This Row],[ATUAL]])</f>
        <v>0</v>
      </c>
      <c r="F177" s="91">
        <f>SUMIFS(tabela_registros[VALOR],tabela_registros[MÊS],$AE$1,tabela_registros[DIA],reservafixaconsolidadomar[[#Headers],[2]],tabela_registros[REGISTRO],DADOS!$N$6,tabela_registros[TIPO],DADOS!$AJ$3,tabela_registros[CATEGORIA],reservafixaconsolidadomar[[#This Row],[ATUAL]])</f>
        <v>0</v>
      </c>
      <c r="G177" s="91">
        <f>SUMIFS(tabela_registros[VALOR],tabela_registros[MÊS],$AE$1,tabela_registros[DIA],reservafixaconsolidadomar[[#Headers],[3]],tabela_registros[REGISTRO],DADOS!$N$6,tabela_registros[TIPO],DADOS!$AJ$3,tabela_registros[CATEGORIA],reservafixaconsolidadomar[[#This Row],[ATUAL]])</f>
        <v>0</v>
      </c>
      <c r="H177" s="91">
        <f>SUMIFS(tabela_registros[VALOR],tabela_registros[MÊS],$AE$1,tabela_registros[DIA],reservafixaconsolidadomar[[#Headers],[4]],tabela_registros[REGISTRO],DADOS!$N$6,tabela_registros[TIPO],DADOS!$AJ$3,tabela_registros[CATEGORIA],reservafixaconsolidadomar[[#This Row],[ATUAL]])</f>
        <v>0</v>
      </c>
      <c r="I177" s="91">
        <f>SUMIFS(tabela_registros[VALOR],tabela_registros[MÊS],$AE$1,tabela_registros[DIA],reservafixaconsolidadomar[[#Headers],[5]],tabela_registros[REGISTRO],DADOS!$N$6,tabela_registros[TIPO],DADOS!$AJ$3,tabela_registros[CATEGORIA],reservafixaconsolidadomar[[#This Row],[ATUAL]])</f>
        <v>0</v>
      </c>
      <c r="J177" s="91">
        <f>SUMIFS(tabela_registros[VALOR],tabela_registros[MÊS],$AE$1,tabela_registros[DIA],reservafixaconsolidadomar[[#Headers],[6]],tabela_registros[REGISTRO],DADOS!$N$6,tabela_registros[TIPO],DADOS!$AJ$3,tabela_registros[CATEGORIA],reservafixaconsolidadomar[[#This Row],[ATUAL]])</f>
        <v>0</v>
      </c>
      <c r="K177" s="91">
        <f>SUMIFS(tabela_registros[VALOR],tabela_registros[MÊS],$AE$1,tabela_registros[DIA],reservafixaconsolidadomar[[#Headers],[7]],tabela_registros[REGISTRO],DADOS!$N$6,tabela_registros[TIPO],DADOS!$AJ$3,tabela_registros[CATEGORIA],reservafixaconsolidadomar[[#This Row],[ATUAL]])</f>
        <v>0</v>
      </c>
      <c r="L177" s="91">
        <f>SUMIFS(tabela_registros[VALOR],tabela_registros[MÊS],$AE$1,tabela_registros[DIA],reservafixaconsolidadomar[[#Headers],[8]],tabela_registros[REGISTRO],DADOS!$N$6,tabela_registros[TIPO],DADOS!$AJ$3,tabela_registros[CATEGORIA],reservafixaconsolidadomar[[#This Row],[ATUAL]])</f>
        <v>0</v>
      </c>
      <c r="M177" s="91">
        <f>SUMIFS(tabela_registros[VALOR],tabela_registros[MÊS],$AE$1,tabela_registros[DIA],reservafixaconsolidadomar[[#Headers],[9]],tabela_registros[REGISTRO],DADOS!$N$6,tabela_registros[TIPO],DADOS!$AJ$3,tabela_registros[CATEGORIA],reservafixaconsolidadomar[[#This Row],[ATUAL]])</f>
        <v>0</v>
      </c>
      <c r="N177" s="91">
        <f>SUMIFS(tabela_registros[VALOR],tabela_registros[MÊS],$AE$1,tabela_registros[DIA],reservafixaconsolidadomar[[#Headers],[10]],tabela_registros[REGISTRO],DADOS!$N$6,tabela_registros[TIPO],DADOS!$AJ$3,tabela_registros[CATEGORIA],reservafixaconsolidadomar[[#This Row],[ATUAL]])</f>
        <v>0</v>
      </c>
      <c r="O177" s="91">
        <f>SUMIFS(tabela_registros[VALOR],tabela_registros[MÊS],$AE$1,tabela_registros[DIA],reservafixaconsolidadomar[[#Headers],[11]],tabela_registros[REGISTRO],DADOS!$N$6,tabela_registros[TIPO],DADOS!$AJ$3,tabela_registros[CATEGORIA],reservafixaconsolidadomar[[#This Row],[ATUAL]])</f>
        <v>0</v>
      </c>
      <c r="P177" s="91">
        <f>SUMIFS(tabela_registros[VALOR],tabela_registros[MÊS],$AE$1,tabela_registros[DIA],reservafixaconsolidadomar[[#Headers],[12]],tabela_registros[REGISTRO],DADOS!$N$6,tabela_registros[TIPO],DADOS!$AJ$3,tabela_registros[CATEGORIA],reservafixaconsolidadomar[[#This Row],[ATUAL]])</f>
        <v>0</v>
      </c>
      <c r="Q177" s="91">
        <f>SUMIFS(tabela_registros[VALOR],tabela_registros[MÊS],$AE$1,tabela_registros[DIA],reservafixaconsolidadomar[[#Headers],[13]],tabela_registros[REGISTRO],DADOS!$N$6,tabela_registros[TIPO],DADOS!$AJ$3,tabela_registros[CATEGORIA],reservafixaconsolidadomar[[#This Row],[ATUAL]])</f>
        <v>0</v>
      </c>
      <c r="R177" s="91">
        <f>SUMIFS(tabela_registros[VALOR],tabela_registros[MÊS],$AE$1,tabela_registros[DIA],reservafixaconsolidadomar[[#Headers],[14]],tabela_registros[REGISTRO],DADOS!$N$6,tabela_registros[TIPO],DADOS!$AJ$3,tabela_registros[CATEGORIA],reservafixaconsolidadomar[[#This Row],[ATUAL]])</f>
        <v>0</v>
      </c>
      <c r="S177" s="91">
        <f>SUMIFS(tabela_registros[VALOR],tabela_registros[MÊS],$AE$1,tabela_registros[DIA],reservafixaconsolidadomar[[#Headers],[15]],tabela_registros[REGISTRO],DADOS!$N$6,tabela_registros[TIPO],DADOS!$AJ$3,tabela_registros[CATEGORIA],reservafixaconsolidadomar[[#This Row],[ATUAL]])</f>
        <v>0</v>
      </c>
      <c r="T177" s="91">
        <f>SUMIFS(tabela_registros[VALOR],tabela_registros[MÊS],$AE$1,tabela_registros[DIA],reservafixaconsolidadomar[[#Headers],[16]],tabela_registros[REGISTRO],DADOS!$N$6,tabela_registros[TIPO],DADOS!$AJ$3,tabela_registros[CATEGORIA],reservafixaconsolidadomar[[#This Row],[ATUAL]])</f>
        <v>0</v>
      </c>
      <c r="U177" s="91">
        <f>SUMIFS(tabela_registros[VALOR],tabela_registros[MÊS],$AE$1,tabela_registros[DIA],reservafixaconsolidadomar[[#Headers],[17]],tabela_registros[REGISTRO],DADOS!$N$6,tabela_registros[TIPO],DADOS!$AJ$3,tabela_registros[CATEGORIA],reservafixaconsolidadomar[[#This Row],[ATUAL]])</f>
        <v>0</v>
      </c>
      <c r="V177" s="91">
        <f>SUMIFS(tabela_registros[VALOR],tabela_registros[MÊS],$AE$1,tabela_registros[DIA],reservafixaconsolidadomar[[#Headers],[18]],tabela_registros[REGISTRO],DADOS!$N$6,tabela_registros[TIPO],DADOS!$AJ$3,tabela_registros[CATEGORIA],reservafixaconsolidadomar[[#This Row],[ATUAL]])</f>
        <v>0</v>
      </c>
      <c r="W177" s="91">
        <f>SUMIFS(tabela_registros[VALOR],tabela_registros[MÊS],$AE$1,tabela_registros[DIA],reservafixaconsolidadomar[[#Headers],[19]],tabela_registros[REGISTRO],DADOS!$N$6,tabela_registros[TIPO],DADOS!$AJ$3,tabela_registros[CATEGORIA],reservafixaconsolidadomar[[#This Row],[ATUAL]])</f>
        <v>0</v>
      </c>
      <c r="X177" s="91">
        <f>SUMIFS(tabela_registros[VALOR],tabela_registros[MÊS],$AE$1,tabela_registros[DIA],reservafixaconsolidadomar[[#Headers],[20]],tabela_registros[REGISTRO],DADOS!$N$6,tabela_registros[TIPO],DADOS!$AJ$3,tabela_registros[CATEGORIA],reservafixaconsolidadomar[[#This Row],[ATUAL]])</f>
        <v>0</v>
      </c>
      <c r="Y177" s="91">
        <f>SUMIFS(tabela_registros[VALOR],tabela_registros[MÊS],$AE$1,tabela_registros[DIA],reservafixaconsolidadomar[[#Headers],[21]],tabela_registros[REGISTRO],DADOS!$N$6,tabela_registros[TIPO],DADOS!$AJ$3,tabela_registros[CATEGORIA],reservafixaconsolidadomar[[#This Row],[ATUAL]])</f>
        <v>0</v>
      </c>
      <c r="Z177" s="91">
        <f>SUMIFS(tabela_registros[VALOR],tabela_registros[MÊS],$AE$1,tabela_registros[DIA],reservafixaconsolidadomar[[#Headers],[22]],tabela_registros[REGISTRO],DADOS!$N$6,tabela_registros[TIPO],DADOS!$AJ$3,tabela_registros[CATEGORIA],reservafixaconsolidadomar[[#This Row],[ATUAL]])</f>
        <v>0</v>
      </c>
      <c r="AA177" s="91">
        <f>SUMIFS(tabela_registros[VALOR],tabela_registros[MÊS],$AE$1,tabela_registros[DIA],reservafixaconsolidadomar[[#Headers],[23]],tabela_registros[REGISTRO],DADOS!$N$6,tabela_registros[TIPO],DADOS!$AJ$3,tabela_registros[CATEGORIA],reservafixaconsolidadomar[[#This Row],[ATUAL]])</f>
        <v>0</v>
      </c>
      <c r="AB177" s="91">
        <f>SUMIFS(tabela_registros[VALOR],tabela_registros[MÊS],$AE$1,tabela_registros[DIA],reservafixaconsolidadomar[[#Headers],[24]],tabela_registros[REGISTRO],DADOS!$N$6,tabela_registros[TIPO],DADOS!$AJ$3,tabela_registros[CATEGORIA],reservafixaconsolidadomar[[#This Row],[ATUAL]])</f>
        <v>0</v>
      </c>
      <c r="AC177" s="91">
        <f>SUMIFS(tabela_registros[VALOR],tabela_registros[MÊS],$AE$1,tabela_registros[DIA],reservafixaconsolidadomar[[#Headers],[25]],tabela_registros[REGISTRO],DADOS!$N$6,tabela_registros[TIPO],DADOS!$AJ$3,tabela_registros[CATEGORIA],reservafixaconsolidadomar[[#This Row],[ATUAL]])</f>
        <v>0</v>
      </c>
      <c r="AD177" s="91">
        <f>SUMIFS(tabela_registros[VALOR],tabela_registros[MÊS],$AE$1,tabela_registros[DIA],reservafixaconsolidadomar[[#Headers],[26]],tabela_registros[REGISTRO],DADOS!$N$6,tabela_registros[TIPO],DADOS!$AJ$3,tabela_registros[CATEGORIA],reservafixaconsolidadomar[[#This Row],[ATUAL]])</f>
        <v>0</v>
      </c>
      <c r="AE177" s="91">
        <f>SUMIFS(tabela_registros[VALOR],tabela_registros[MÊS],$AE$1,tabela_registros[DIA],reservafixaconsolidadomar[[#Headers],[27]],tabela_registros[REGISTRO],DADOS!$N$6,tabela_registros[TIPO],DADOS!$AJ$3,tabela_registros[CATEGORIA],reservafixaconsolidadomar[[#This Row],[ATUAL]])</f>
        <v>0</v>
      </c>
      <c r="AF177" s="91">
        <f>SUMIFS(tabela_registros[VALOR],tabela_registros[MÊS],$AE$1,tabela_registros[DIA],reservafixaconsolidadomar[[#Headers],[28]],tabela_registros[REGISTRO],DADOS!$N$6,tabela_registros[TIPO],DADOS!$AJ$3,tabela_registros[CATEGORIA],reservafixaconsolidadomar[[#This Row],[ATUAL]])</f>
        <v>0</v>
      </c>
      <c r="AG177" s="91">
        <f>SUMIFS(tabela_registros[VALOR],tabela_registros[MÊS],$AE$1,tabela_registros[DIA],reservafixaconsolidadomar[[#Headers],[29]],tabela_registros[REGISTRO],DADOS!$N$6,tabela_registros[TIPO],DADOS!$AJ$3,tabela_registros[CATEGORIA],reservafixaconsolidadomar[[#This Row],[ATUAL]])</f>
        <v>0</v>
      </c>
      <c r="AH177" s="91">
        <f>SUMIFS(tabela_registros[VALOR],tabela_registros[MÊS],$AE$1,tabela_registros[DIA],reservafixaconsolidadomar[[#Headers],[30]],tabela_registros[REGISTRO],DADOS!$N$6,tabela_registros[TIPO],DADOS!$AJ$3,tabela_registros[CATEGORIA],reservafixaconsolidadomar[[#This Row],[ATUAL]])</f>
        <v>0</v>
      </c>
      <c r="AI177" s="102">
        <f>SUMIFS(tabela_registros[VALOR],tabela_registros[MÊS],$AE$1,tabela_registros[DIA],reservafixaconsolidadomar[[#Headers],[31]],tabela_registros[REGISTRO],DADOS!$N$6,tabela_registros[TIPO],DADOS!$AJ$3,tabela_registros[CATEGORIA],reservafixaconsolidadomar[[#This Row],[ATUAL]])</f>
        <v>0</v>
      </c>
      <c r="AJ177" s="97">
        <f>SUM(reservafixaconsolidadomar[[#This Row],[1]:[31]])</f>
        <v>0</v>
      </c>
      <c r="AK177" s="25"/>
    </row>
    <row r="178" spans="2:37" s="16" customFormat="1" ht="21" customHeight="1" thickTop="1" thickBot="1" x14ac:dyDescent="0.35">
      <c r="B178" s="24"/>
      <c r="C178" s="23" t="s">
        <v>19</v>
      </c>
      <c r="D178" s="22"/>
      <c r="E178" s="21">
        <f>SUM(E168:E177)</f>
        <v>0</v>
      </c>
      <c r="F178" s="20">
        <f>SUM(F168:F177)+reservafixaconsolidadomar[[#This Row],[1]]</f>
        <v>0</v>
      </c>
      <c r="G178" s="20">
        <f>SUM(G168:G177)+reservafixaconsolidadomar[[#This Row],[2]]</f>
        <v>0</v>
      </c>
      <c r="H178" s="20">
        <f>SUM(H168:H177)+reservafixaconsolidadomar[[#This Row],[3]]</f>
        <v>0</v>
      </c>
      <c r="I178" s="20">
        <f>SUM(I168:I177)+reservafixaconsolidadomar[[#This Row],[4]]</f>
        <v>0</v>
      </c>
      <c r="J178" s="20">
        <f>SUM(J168:J177)+reservafixaconsolidadomar[[#This Row],[5]]</f>
        <v>0</v>
      </c>
      <c r="K178" s="20">
        <f>SUM(K168:K177)+reservafixaconsolidadomar[[#This Row],[6]]</f>
        <v>0</v>
      </c>
      <c r="L178" s="20">
        <f>SUM(L168:L177)+reservafixaconsolidadomar[[#This Row],[7]]</f>
        <v>0</v>
      </c>
      <c r="M178" s="20">
        <f>SUM(M168:M177)+reservafixaconsolidadomar[[#This Row],[8]]</f>
        <v>0</v>
      </c>
      <c r="N178" s="20">
        <f>SUM(N168:N177)+reservafixaconsolidadomar[[#This Row],[9]]</f>
        <v>0</v>
      </c>
      <c r="O178" s="20">
        <f>SUM(O168:O177)+reservafixaconsolidadomar[[#This Row],[10]]</f>
        <v>0</v>
      </c>
      <c r="P178" s="20">
        <f>SUM(P168:P177)+reservafixaconsolidadomar[[#This Row],[11]]</f>
        <v>0</v>
      </c>
      <c r="Q178" s="20">
        <f>SUM(Q168:Q177)+reservafixaconsolidadomar[[#This Row],[12]]</f>
        <v>0</v>
      </c>
      <c r="R178" s="20">
        <f>SUM(R168:R177)+reservafixaconsolidadomar[[#This Row],[13]]</f>
        <v>0</v>
      </c>
      <c r="S178" s="20">
        <f>SUM(S168:S177)+reservafixaconsolidadomar[[#This Row],[14]]</f>
        <v>0</v>
      </c>
      <c r="T178" s="20">
        <f>SUM(T168:T177)+reservafixaconsolidadomar[[#This Row],[15]]</f>
        <v>0</v>
      </c>
      <c r="U178" s="20">
        <f>SUM(U168:U177)+reservafixaconsolidadomar[[#This Row],[16]]</f>
        <v>0</v>
      </c>
      <c r="V178" s="20">
        <f>SUM(V168:V177)+reservafixaconsolidadomar[[#This Row],[17]]</f>
        <v>0</v>
      </c>
      <c r="W178" s="20">
        <f>SUM(W168:W177)+reservafixaconsolidadomar[[#This Row],[18]]</f>
        <v>0</v>
      </c>
      <c r="X178" s="20">
        <f>SUM(X168:X177)+reservafixaconsolidadomar[[#This Row],[19]]</f>
        <v>0</v>
      </c>
      <c r="Y178" s="20">
        <f>SUM(Y168:Y177)+reservafixaconsolidadomar[[#This Row],[20]]</f>
        <v>0</v>
      </c>
      <c r="Z178" s="20">
        <f>SUM(Z168:Z177)+reservafixaconsolidadomar[[#This Row],[21]]</f>
        <v>0</v>
      </c>
      <c r="AA178" s="20">
        <f>SUM(AA168:AA177)+reservafixaconsolidadomar[[#This Row],[22]]</f>
        <v>0</v>
      </c>
      <c r="AB178" s="20">
        <f>SUM(AB168:AB177)+reservafixaconsolidadomar[[#This Row],[23]]</f>
        <v>0</v>
      </c>
      <c r="AC178" s="20">
        <f>SUM(AC168:AC177)+reservafixaconsolidadomar[[#This Row],[24]]</f>
        <v>0</v>
      </c>
      <c r="AD178" s="20">
        <f>SUM(AD168:AD177)+reservafixaconsolidadomar[[#This Row],[25]]</f>
        <v>0</v>
      </c>
      <c r="AE178" s="20">
        <f>SUM(AE168:AE177)+reservafixaconsolidadomar[[#This Row],[26]]</f>
        <v>0</v>
      </c>
      <c r="AF178" s="20">
        <f>SUM(AF168:AF177)+reservafixaconsolidadomar[[#This Row],[27]]</f>
        <v>0</v>
      </c>
      <c r="AG178" s="20">
        <f>SUM(AG168:AG177)+reservafixaconsolidadomar[[#This Row],[28]]</f>
        <v>0</v>
      </c>
      <c r="AH178" s="20">
        <f>SUM(AH168:AH177)+reservafixaconsolidadomar[[#This Row],[29]]</f>
        <v>0</v>
      </c>
      <c r="AI178" s="19">
        <f>SUM(AI168:AI177)+reservafixaconsolidadomar[[#This Row],[30]]</f>
        <v>0</v>
      </c>
      <c r="AJ178" s="18">
        <f>reservafixaconsolidadomar[[#This Row],[31]]</f>
        <v>0</v>
      </c>
      <c r="AK178" s="17"/>
    </row>
    <row r="179" spans="2:37" ht="6.75" customHeight="1" thickTop="1" thickBot="1" x14ac:dyDescent="0.3">
      <c r="B179" s="15"/>
      <c r="C179" s="14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3"/>
      <c r="AF179" s="13"/>
      <c r="AG179" s="13"/>
      <c r="AH179" s="13"/>
      <c r="AI179" s="12"/>
      <c r="AJ179" s="11"/>
      <c r="AK179" s="10"/>
    </row>
    <row r="180" spans="2:37" ht="12.6" thickTop="1" x14ac:dyDescent="0.25">
      <c r="E180" s="37"/>
      <c r="AI180" s="4"/>
    </row>
    <row r="181" spans="2:37" x14ac:dyDescent="0.25">
      <c r="AI181" s="4"/>
    </row>
    <row r="182" spans="2:37" x14ac:dyDescent="0.25">
      <c r="AI182" s="4"/>
    </row>
    <row r="183" spans="2:37" ht="39.75" customHeight="1" x14ac:dyDescent="0.7">
      <c r="C183" s="36"/>
      <c r="E183" s="240"/>
      <c r="F183" s="240"/>
      <c r="G183" s="240"/>
      <c r="H183" s="240"/>
      <c r="I183" s="240"/>
      <c r="J183" s="240"/>
      <c r="K183" s="240"/>
      <c r="L183" s="240"/>
      <c r="M183" s="240"/>
      <c r="N183" s="240"/>
      <c r="O183" s="240"/>
      <c r="P183" s="240"/>
      <c r="Q183" s="240"/>
      <c r="R183" s="240"/>
      <c r="S183" s="240"/>
      <c r="T183" s="240"/>
      <c r="U183" s="240"/>
      <c r="V183" s="240"/>
      <c r="W183" s="240"/>
      <c r="X183" s="240"/>
      <c r="Y183" s="240"/>
      <c r="Z183" s="240"/>
      <c r="AA183" s="240"/>
      <c r="AB183" s="240"/>
      <c r="AC183" s="240"/>
      <c r="AD183" s="240"/>
      <c r="AE183" s="240"/>
      <c r="AF183" s="240"/>
      <c r="AG183" s="240"/>
      <c r="AH183" s="240"/>
      <c r="AI183" s="240"/>
      <c r="AJ183" s="32" t="s">
        <v>19</v>
      </c>
    </row>
    <row r="184" spans="2:37" ht="12.6" thickBot="1" x14ac:dyDescent="0.3">
      <c r="B184" s="35"/>
      <c r="AI184" s="4"/>
      <c r="AJ184" s="34" t="s">
        <v>202</v>
      </c>
    </row>
    <row r="185" spans="2:37" ht="6.75" customHeight="1" thickTop="1" thickBot="1" x14ac:dyDescent="0.3">
      <c r="B185" s="2"/>
      <c r="C185" s="14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  <c r="AF185" s="13"/>
      <c r="AG185" s="13"/>
      <c r="AH185" s="13"/>
      <c r="AI185" s="13"/>
      <c r="AJ185" s="12"/>
      <c r="AK185" s="33"/>
    </row>
    <row r="186" spans="2:37" ht="13.2" hidden="1" thickTop="1" thickBot="1" x14ac:dyDescent="0.3">
      <c r="B186" s="2"/>
      <c r="C186" s="31" t="s">
        <v>199</v>
      </c>
      <c r="D186" s="30" t="s">
        <v>198</v>
      </c>
      <c r="E186" s="30" t="s">
        <v>197</v>
      </c>
      <c r="F186" s="30" t="s">
        <v>196</v>
      </c>
      <c r="G186" s="30" t="s">
        <v>195</v>
      </c>
      <c r="H186" s="30" t="s">
        <v>194</v>
      </c>
      <c r="I186" s="30" t="s">
        <v>193</v>
      </c>
      <c r="J186" s="30" t="s">
        <v>192</v>
      </c>
      <c r="K186" s="30" t="s">
        <v>191</v>
      </c>
      <c r="L186" s="30" t="s">
        <v>190</v>
      </c>
      <c r="M186" s="30" t="s">
        <v>189</v>
      </c>
      <c r="N186" s="30" t="s">
        <v>188</v>
      </c>
      <c r="O186" s="30" t="s">
        <v>187</v>
      </c>
      <c r="P186" s="30" t="s">
        <v>186</v>
      </c>
      <c r="Q186" s="30" t="s">
        <v>185</v>
      </c>
      <c r="R186" s="30" t="s">
        <v>184</v>
      </c>
      <c r="S186" s="30" t="s">
        <v>183</v>
      </c>
      <c r="T186" s="30" t="s">
        <v>182</v>
      </c>
      <c r="U186" s="30" t="s">
        <v>181</v>
      </c>
      <c r="V186" s="30" t="s">
        <v>180</v>
      </c>
      <c r="W186" s="30" t="s">
        <v>179</v>
      </c>
      <c r="X186" s="30" t="s">
        <v>178</v>
      </c>
      <c r="Y186" s="30" t="s">
        <v>177</v>
      </c>
      <c r="Z186" s="30" t="s">
        <v>176</v>
      </c>
      <c r="AA186" s="30" t="s">
        <v>175</v>
      </c>
      <c r="AB186" s="30" t="s">
        <v>174</v>
      </c>
      <c r="AC186" s="30" t="s">
        <v>173</v>
      </c>
      <c r="AD186" s="30" t="s">
        <v>172</v>
      </c>
      <c r="AE186" s="30" t="s">
        <v>171</v>
      </c>
      <c r="AF186" s="30" t="s">
        <v>170</v>
      </c>
      <c r="AG186" s="30" t="s">
        <v>169</v>
      </c>
      <c r="AH186" s="30" t="s">
        <v>168</v>
      </c>
      <c r="AI186" s="30" t="s">
        <v>167</v>
      </c>
      <c r="AJ186" s="29" t="s">
        <v>166</v>
      </c>
      <c r="AK186" s="2"/>
    </row>
    <row r="187" spans="2:37" ht="19.5" customHeight="1" thickTop="1" thickBot="1" x14ac:dyDescent="0.3">
      <c r="B187" s="28"/>
      <c r="C187" s="27" t="str">
        <f>DADOS!$AN$3</f>
        <v>📝 AÇÃO</v>
      </c>
      <c r="D187" s="26" t="str">
        <f>IF(reservavariáveisconsolidadomar[[#This Row],[TOTAL (R$)]]=0,"",IF(OR(reservavariáveisconsolidadomar[[#This Row],[TOTAL (R$)]]=LARGE($AJ$187:$AJ$196,1),reservavariáveisconsolidadomar[[#This Row],[TOTAL (R$)]]=LARGE($AJ$187:$AJ$196,2)),DADOS!$I$11,""))</f>
        <v/>
      </c>
      <c r="E187" s="96">
        <f>SUMIFS(tabela_registros[VALOR],tabela_registros[MÊS],$AE$1,tabela_registros[DIA],reservavariáveisconsolidadomar[[#Headers],[1]],tabela_registros[REGISTRO],DADOS!$N$6,tabela_registros[TIPO],DADOS!$AJ$4,tabela_registros[CATEGORIA],reservavariáveisconsolidadomar[[#This Row],[ATUAL]])</f>
        <v>0</v>
      </c>
      <c r="F187" s="91">
        <f>SUMIFS(tabela_registros[VALOR],tabela_registros[MÊS],$AE$1,tabela_registros[DIA],reservavariáveisconsolidadomar[[#Headers],[2]],tabela_registros[REGISTRO],DADOS!$N$6,tabela_registros[TIPO],DADOS!$AJ$4,tabela_registros[CATEGORIA],reservavariáveisconsolidadomar[[#This Row],[ATUAL]])</f>
        <v>0</v>
      </c>
      <c r="G187" s="91">
        <f>SUMIFS(tabela_registros[VALOR],tabela_registros[MÊS],$AE$1,tabela_registros[DIA],reservavariáveisconsolidadomar[[#Headers],[3]],tabela_registros[REGISTRO],DADOS!$N$6,tabela_registros[TIPO],DADOS!$AJ$4,tabela_registros[CATEGORIA],reservavariáveisconsolidadomar[[#This Row],[ATUAL]])</f>
        <v>0</v>
      </c>
      <c r="H187" s="91">
        <f>SUMIFS(tabela_registros[VALOR],tabela_registros[MÊS],$AE$1,tabela_registros[DIA],reservavariáveisconsolidadomar[[#Headers],[4]],tabela_registros[REGISTRO],DADOS!$N$6,tabela_registros[TIPO],DADOS!$AJ$4,tabela_registros[CATEGORIA],reservavariáveisconsolidadomar[[#This Row],[ATUAL]])</f>
        <v>0</v>
      </c>
      <c r="I187" s="91">
        <f>SUMIFS(tabela_registros[VALOR],tabela_registros[MÊS],$AE$1,tabela_registros[DIA],reservavariáveisconsolidadomar[[#Headers],[5]],tabela_registros[REGISTRO],DADOS!$N$6,tabela_registros[TIPO],DADOS!$AJ$4,tabela_registros[CATEGORIA],reservavariáveisconsolidadomar[[#This Row],[ATUAL]])</f>
        <v>0</v>
      </c>
      <c r="J187" s="91">
        <f>SUMIFS(tabela_registros[VALOR],tabela_registros[MÊS],$AE$1,tabela_registros[DIA],reservavariáveisconsolidadomar[[#Headers],[6]],tabela_registros[REGISTRO],DADOS!$N$6,tabela_registros[TIPO],DADOS!$AJ$4,tabela_registros[CATEGORIA],reservavariáveisconsolidadomar[[#This Row],[ATUAL]])</f>
        <v>0</v>
      </c>
      <c r="K187" s="91">
        <f>SUMIFS(tabela_registros[VALOR],tabela_registros[MÊS],$AE$1,tabela_registros[DIA],reservavariáveisconsolidadomar[[#Headers],[7]],tabela_registros[REGISTRO],DADOS!$N$6,tabela_registros[TIPO],DADOS!$AJ$4,tabela_registros[CATEGORIA],reservavariáveisconsolidadomar[[#This Row],[ATUAL]])</f>
        <v>0</v>
      </c>
      <c r="L187" s="91">
        <f>SUMIFS(tabela_registros[VALOR],tabela_registros[MÊS],$AE$1,tabela_registros[DIA],reservavariáveisconsolidadomar[[#Headers],[8]],tabela_registros[REGISTRO],DADOS!$N$6,tabela_registros[TIPO],DADOS!$AJ$4,tabela_registros[CATEGORIA],reservavariáveisconsolidadomar[[#This Row],[ATUAL]])</f>
        <v>0</v>
      </c>
      <c r="M187" s="91">
        <f>SUMIFS(tabela_registros[VALOR],tabela_registros[MÊS],$AE$1,tabela_registros[DIA],reservavariáveisconsolidadomar[[#Headers],[9]],tabela_registros[REGISTRO],DADOS!$N$6,tabela_registros[TIPO],DADOS!$AJ$4,tabela_registros[CATEGORIA],reservavariáveisconsolidadomar[[#This Row],[ATUAL]])</f>
        <v>0</v>
      </c>
      <c r="N187" s="91">
        <f>SUMIFS(tabela_registros[VALOR],tabela_registros[MÊS],$AE$1,tabela_registros[DIA],reservavariáveisconsolidadomar[[#Headers],[10]],tabela_registros[REGISTRO],DADOS!$N$6,tabela_registros[TIPO],DADOS!$AJ$4,tabela_registros[CATEGORIA],reservavariáveisconsolidadomar[[#This Row],[ATUAL]])</f>
        <v>0</v>
      </c>
      <c r="O187" s="91">
        <f>SUMIFS(tabela_registros[VALOR],tabela_registros[MÊS],$AE$1,tabela_registros[DIA],reservavariáveisconsolidadomar[[#Headers],[11]],tabela_registros[REGISTRO],DADOS!$N$6,tabela_registros[TIPO],DADOS!$AJ$4,tabela_registros[CATEGORIA],reservavariáveisconsolidadomar[[#This Row],[ATUAL]])</f>
        <v>0</v>
      </c>
      <c r="P187" s="91">
        <f>SUMIFS(tabela_registros[VALOR],tabela_registros[MÊS],$AE$1,tabela_registros[DIA],reservavariáveisconsolidadomar[[#Headers],[12]],tabela_registros[REGISTRO],DADOS!$N$6,tabela_registros[TIPO],DADOS!$AJ$4,tabela_registros[CATEGORIA],reservavariáveisconsolidadomar[[#This Row],[ATUAL]])</f>
        <v>0</v>
      </c>
      <c r="Q187" s="91">
        <f>SUMIFS(tabela_registros[VALOR],tabela_registros[MÊS],$AE$1,tabela_registros[DIA],reservavariáveisconsolidadomar[[#Headers],[13]],tabela_registros[REGISTRO],DADOS!$N$6,tabela_registros[TIPO],DADOS!$AJ$4,tabela_registros[CATEGORIA],reservavariáveisconsolidadomar[[#This Row],[ATUAL]])</f>
        <v>0</v>
      </c>
      <c r="R187" s="91">
        <f>SUMIFS(tabela_registros[VALOR],tabela_registros[MÊS],$AE$1,tabela_registros[DIA],reservavariáveisconsolidadomar[[#Headers],[14]],tabela_registros[REGISTRO],DADOS!$N$6,tabela_registros[TIPO],DADOS!$AJ$4,tabela_registros[CATEGORIA],reservavariáveisconsolidadomar[[#This Row],[ATUAL]])</f>
        <v>0</v>
      </c>
      <c r="S187" s="91">
        <f>SUMIFS(tabela_registros[VALOR],tabela_registros[MÊS],$AE$1,tabela_registros[DIA],reservavariáveisconsolidadomar[[#Headers],[15]],tabela_registros[REGISTRO],DADOS!$N$6,tabela_registros[TIPO],DADOS!$AJ$4,tabela_registros[CATEGORIA],reservavariáveisconsolidadomar[[#This Row],[ATUAL]])</f>
        <v>0</v>
      </c>
      <c r="T187" s="91">
        <f>SUMIFS(tabela_registros[VALOR],tabela_registros[MÊS],$AE$1,tabela_registros[DIA],reservavariáveisconsolidadomar[[#Headers],[16]],tabela_registros[REGISTRO],DADOS!$N$6,tabela_registros[TIPO],DADOS!$AJ$4,tabela_registros[CATEGORIA],reservavariáveisconsolidadomar[[#This Row],[ATUAL]])</f>
        <v>0</v>
      </c>
      <c r="U187" s="91">
        <f>SUMIFS(tabela_registros[VALOR],tabela_registros[MÊS],$AE$1,tabela_registros[DIA],reservavariáveisconsolidadomar[[#Headers],[17]],tabela_registros[REGISTRO],DADOS!$N$6,tabela_registros[TIPO],DADOS!$AJ$4,tabela_registros[CATEGORIA],reservavariáveisconsolidadomar[[#This Row],[ATUAL]])</f>
        <v>0</v>
      </c>
      <c r="V187" s="91">
        <f>SUMIFS(tabela_registros[VALOR],tabela_registros[MÊS],$AE$1,tabela_registros[DIA],reservavariáveisconsolidadomar[[#Headers],[18]],tabela_registros[REGISTRO],DADOS!$N$6,tabela_registros[TIPO],DADOS!$AJ$4,tabela_registros[CATEGORIA],reservavariáveisconsolidadomar[[#This Row],[ATUAL]])</f>
        <v>0</v>
      </c>
      <c r="W187" s="91">
        <f>SUMIFS(tabela_registros[VALOR],tabela_registros[MÊS],$AE$1,tabela_registros[DIA],reservavariáveisconsolidadomar[[#Headers],[19]],tabela_registros[REGISTRO],DADOS!$N$6,tabela_registros[TIPO],DADOS!$AJ$4,tabela_registros[CATEGORIA],reservavariáveisconsolidadomar[[#This Row],[ATUAL]])</f>
        <v>0</v>
      </c>
      <c r="X187" s="91">
        <f>SUMIFS(tabela_registros[VALOR],tabela_registros[MÊS],$AE$1,tabela_registros[DIA],reservavariáveisconsolidadomar[[#Headers],[20]],tabela_registros[REGISTRO],DADOS!$N$6,tabela_registros[TIPO],DADOS!$AJ$4,tabela_registros[CATEGORIA],reservavariáveisconsolidadomar[[#This Row],[ATUAL]])</f>
        <v>0</v>
      </c>
      <c r="Y187" s="91">
        <f>SUMIFS(tabela_registros[VALOR],tabela_registros[MÊS],$AE$1,tabela_registros[DIA],reservavariáveisconsolidadomar[[#Headers],[21]],tabela_registros[REGISTRO],DADOS!$N$6,tabela_registros[TIPO],DADOS!$AJ$4,tabela_registros[CATEGORIA],reservavariáveisconsolidadomar[[#This Row],[ATUAL]])</f>
        <v>0</v>
      </c>
      <c r="Z187" s="91">
        <f>SUMIFS(tabela_registros[VALOR],tabela_registros[MÊS],$AE$1,tabela_registros[DIA],reservavariáveisconsolidadomar[[#Headers],[22]],tabela_registros[REGISTRO],DADOS!$N$6,tabela_registros[TIPO],DADOS!$AJ$4,tabela_registros[CATEGORIA],reservavariáveisconsolidadomar[[#This Row],[ATUAL]])</f>
        <v>0</v>
      </c>
      <c r="AA187" s="91">
        <f>SUMIFS(tabela_registros[VALOR],tabela_registros[MÊS],$AE$1,tabela_registros[DIA],reservavariáveisconsolidadomar[[#Headers],[23]],tabela_registros[REGISTRO],DADOS!$N$6,tabela_registros[TIPO],DADOS!$AJ$4,tabela_registros[CATEGORIA],reservavariáveisconsolidadomar[[#This Row],[ATUAL]])</f>
        <v>0</v>
      </c>
      <c r="AB187" s="91">
        <f>SUMIFS(tabela_registros[VALOR],tabela_registros[MÊS],$AE$1,tabela_registros[DIA],reservavariáveisconsolidadomar[[#Headers],[24]],tabela_registros[REGISTRO],DADOS!$N$6,tabela_registros[TIPO],DADOS!$AJ$4,tabela_registros[CATEGORIA],reservavariáveisconsolidadomar[[#This Row],[ATUAL]])</f>
        <v>0</v>
      </c>
      <c r="AC187" s="91">
        <f>SUMIFS(tabela_registros[VALOR],tabela_registros[MÊS],$AE$1,tabela_registros[DIA],reservavariáveisconsolidadomar[[#Headers],[25]],tabela_registros[REGISTRO],DADOS!$N$6,tabela_registros[TIPO],DADOS!$AJ$4,tabela_registros[CATEGORIA],reservavariáveisconsolidadomar[[#This Row],[ATUAL]])</f>
        <v>0</v>
      </c>
      <c r="AD187" s="91">
        <f>SUMIFS(tabela_registros[VALOR],tabela_registros[MÊS],$AE$1,tabela_registros[DIA],reservavariáveisconsolidadomar[[#Headers],[26]],tabela_registros[REGISTRO],DADOS!$N$6,tabela_registros[TIPO],DADOS!$AJ$4,tabela_registros[CATEGORIA],reservavariáveisconsolidadomar[[#This Row],[ATUAL]])</f>
        <v>0</v>
      </c>
      <c r="AE187" s="91">
        <f>SUMIFS(tabela_registros[VALOR],tabela_registros[MÊS],$AE$1,tabela_registros[DIA],reservavariáveisconsolidadomar[[#Headers],[27]],tabela_registros[REGISTRO],DADOS!$N$6,tabela_registros[TIPO],DADOS!$AJ$4,tabela_registros[CATEGORIA],reservavariáveisconsolidadomar[[#This Row],[ATUAL]])</f>
        <v>0</v>
      </c>
      <c r="AF187" s="91">
        <f>SUMIFS(tabela_registros[VALOR],tabela_registros[MÊS],$AE$1,tabela_registros[DIA],reservavariáveisconsolidadomar[[#Headers],[28]],tabela_registros[REGISTRO],DADOS!$N$6,tabela_registros[TIPO],DADOS!$AJ$4,tabela_registros[CATEGORIA],reservavariáveisconsolidadomar[[#This Row],[ATUAL]])</f>
        <v>0</v>
      </c>
      <c r="AG187" s="91">
        <f>SUMIFS(tabela_registros[VALOR],tabela_registros[MÊS],$AE$1,tabela_registros[DIA],reservavariáveisconsolidadomar[[#Headers],[29]],tabela_registros[REGISTRO],DADOS!$N$6,tabela_registros[TIPO],DADOS!$AJ$4,tabela_registros[CATEGORIA],reservavariáveisconsolidadomar[[#This Row],[ATUAL]])</f>
        <v>0</v>
      </c>
      <c r="AH187" s="91">
        <f>SUMIFS(tabela_registros[VALOR],tabela_registros[MÊS],$AE$1,tabela_registros[DIA],reservavariáveisconsolidadomar[[#Headers],[30]],tabela_registros[REGISTRO],DADOS!$N$6,tabela_registros[TIPO],DADOS!$AJ$4,tabela_registros[CATEGORIA],reservavariáveisconsolidadomar[[#This Row],[ATUAL]])</f>
        <v>0</v>
      </c>
      <c r="AI187" s="101">
        <f>SUMIFS(tabela_registros[VALOR],tabela_registros[MÊS],$AE$1,tabela_registros[DIA],reservavariáveisconsolidadomar[[#Headers],[31]],tabela_registros[REGISTRO],DADOS!$N$6,tabela_registros[TIPO],DADOS!$AJ$4,tabela_registros[CATEGORIA],reservavariáveisconsolidadomar[[#This Row],[ATUAL]])</f>
        <v>0</v>
      </c>
      <c r="AJ187" s="97">
        <f>SUM(reservavariáveisconsolidadomar[[#This Row],[1]:[31]])</f>
        <v>0</v>
      </c>
      <c r="AK187" s="25"/>
    </row>
    <row r="188" spans="2:37" ht="19.5" customHeight="1" thickTop="1" thickBot="1" x14ac:dyDescent="0.3">
      <c r="B188" s="28"/>
      <c r="C188" s="27" t="str">
        <f>DADOS!$AN$4</f>
        <v>📝 COMÓDITE</v>
      </c>
      <c r="D188" s="26" t="str">
        <f>IF(reservavariáveisconsolidadomar[[#This Row],[TOTAL (R$)]]=0,"",IF(OR(reservavariáveisconsolidadomar[[#This Row],[TOTAL (R$)]]=LARGE($AJ$187:$AJ$196,1),reservavariáveisconsolidadomar[[#This Row],[TOTAL (R$)]]=LARGE($AJ$187:$AJ$196,2)),DADOS!$I$11,""))</f>
        <v/>
      </c>
      <c r="E188" s="96">
        <f>SUMIFS(tabela_registros[VALOR],tabela_registros[MÊS],$AE$1,tabela_registros[DIA],reservavariáveisconsolidadomar[[#Headers],[1]],tabela_registros[REGISTRO],DADOS!$N$6,tabela_registros[TIPO],DADOS!$AJ$4,tabela_registros[CATEGORIA],reservavariáveisconsolidadomar[[#This Row],[ATUAL]])</f>
        <v>0</v>
      </c>
      <c r="F188" s="91">
        <f>SUMIFS(tabela_registros[VALOR],tabela_registros[MÊS],$AE$1,tabela_registros[DIA],reservavariáveisconsolidadomar[[#Headers],[2]],tabela_registros[REGISTRO],DADOS!$N$6,tabela_registros[TIPO],DADOS!$AJ$4,tabela_registros[CATEGORIA],reservavariáveisconsolidadomar[[#This Row],[ATUAL]])</f>
        <v>0</v>
      </c>
      <c r="G188" s="91">
        <f>SUMIFS(tabela_registros[VALOR],tabela_registros[MÊS],$AE$1,tabela_registros[DIA],reservavariáveisconsolidadomar[[#Headers],[3]],tabela_registros[REGISTRO],DADOS!$N$6,tabela_registros[TIPO],DADOS!$AJ$4,tabela_registros[CATEGORIA],reservavariáveisconsolidadomar[[#This Row],[ATUAL]])</f>
        <v>0</v>
      </c>
      <c r="H188" s="91">
        <f>SUMIFS(tabela_registros[VALOR],tabela_registros[MÊS],$AE$1,tabela_registros[DIA],reservavariáveisconsolidadomar[[#Headers],[4]],tabela_registros[REGISTRO],DADOS!$N$6,tabela_registros[TIPO],DADOS!$AJ$4,tabela_registros[CATEGORIA],reservavariáveisconsolidadomar[[#This Row],[ATUAL]])</f>
        <v>0</v>
      </c>
      <c r="I188" s="91">
        <f>SUMIFS(tabela_registros[VALOR],tabela_registros[MÊS],$AE$1,tabela_registros[DIA],reservavariáveisconsolidadomar[[#Headers],[5]],tabela_registros[REGISTRO],DADOS!$N$6,tabela_registros[TIPO],DADOS!$AJ$4,tabela_registros[CATEGORIA],reservavariáveisconsolidadomar[[#This Row],[ATUAL]])</f>
        <v>0</v>
      </c>
      <c r="J188" s="91">
        <f>SUMIFS(tabela_registros[VALOR],tabela_registros[MÊS],$AE$1,tabela_registros[DIA],reservavariáveisconsolidadomar[[#Headers],[6]],tabela_registros[REGISTRO],DADOS!$N$6,tabela_registros[TIPO],DADOS!$AJ$4,tabela_registros[CATEGORIA],reservavariáveisconsolidadomar[[#This Row],[ATUAL]])</f>
        <v>0</v>
      </c>
      <c r="K188" s="91">
        <f>SUMIFS(tabela_registros[VALOR],tabela_registros[MÊS],$AE$1,tabela_registros[DIA],reservavariáveisconsolidadomar[[#Headers],[7]],tabela_registros[REGISTRO],DADOS!$N$6,tabela_registros[TIPO],DADOS!$AJ$4,tabela_registros[CATEGORIA],reservavariáveisconsolidadomar[[#This Row],[ATUAL]])</f>
        <v>0</v>
      </c>
      <c r="L188" s="91">
        <f>SUMIFS(tabela_registros[VALOR],tabela_registros[MÊS],$AE$1,tabela_registros[DIA],reservavariáveisconsolidadomar[[#Headers],[8]],tabela_registros[REGISTRO],DADOS!$N$6,tabela_registros[TIPO],DADOS!$AJ$4,tabela_registros[CATEGORIA],reservavariáveisconsolidadomar[[#This Row],[ATUAL]])</f>
        <v>0</v>
      </c>
      <c r="M188" s="91">
        <f>SUMIFS(tabela_registros[VALOR],tabela_registros[MÊS],$AE$1,tabela_registros[DIA],reservavariáveisconsolidadomar[[#Headers],[9]],tabela_registros[REGISTRO],DADOS!$N$6,tabela_registros[TIPO],DADOS!$AJ$4,tabela_registros[CATEGORIA],reservavariáveisconsolidadomar[[#This Row],[ATUAL]])</f>
        <v>0</v>
      </c>
      <c r="N188" s="91">
        <f>SUMIFS(tabela_registros[VALOR],tabela_registros[MÊS],$AE$1,tabela_registros[DIA],reservavariáveisconsolidadomar[[#Headers],[10]],tabela_registros[REGISTRO],DADOS!$N$6,tabela_registros[TIPO],DADOS!$AJ$4,tabela_registros[CATEGORIA],reservavariáveisconsolidadomar[[#This Row],[ATUAL]])</f>
        <v>0</v>
      </c>
      <c r="O188" s="91">
        <f>SUMIFS(tabela_registros[VALOR],tabela_registros[MÊS],$AE$1,tabela_registros[DIA],reservavariáveisconsolidadomar[[#Headers],[11]],tabela_registros[REGISTRO],DADOS!$N$6,tabela_registros[TIPO],DADOS!$AJ$4,tabela_registros[CATEGORIA],reservavariáveisconsolidadomar[[#This Row],[ATUAL]])</f>
        <v>0</v>
      </c>
      <c r="P188" s="91">
        <f>SUMIFS(tabela_registros[VALOR],tabela_registros[MÊS],$AE$1,tabela_registros[DIA],reservavariáveisconsolidadomar[[#Headers],[12]],tabela_registros[REGISTRO],DADOS!$N$6,tabela_registros[TIPO],DADOS!$AJ$4,tabela_registros[CATEGORIA],reservavariáveisconsolidadomar[[#This Row],[ATUAL]])</f>
        <v>0</v>
      </c>
      <c r="Q188" s="91">
        <f>SUMIFS(tabela_registros[VALOR],tabela_registros[MÊS],$AE$1,tabela_registros[DIA],reservavariáveisconsolidadomar[[#Headers],[13]],tabela_registros[REGISTRO],DADOS!$N$6,tabela_registros[TIPO],DADOS!$AJ$4,tabela_registros[CATEGORIA],reservavariáveisconsolidadomar[[#This Row],[ATUAL]])</f>
        <v>0</v>
      </c>
      <c r="R188" s="91">
        <f>SUMIFS(tabela_registros[VALOR],tabela_registros[MÊS],$AE$1,tabela_registros[DIA],reservavariáveisconsolidadomar[[#Headers],[14]],tabela_registros[REGISTRO],DADOS!$N$6,tabela_registros[TIPO],DADOS!$AJ$4,tabela_registros[CATEGORIA],reservavariáveisconsolidadomar[[#This Row],[ATUAL]])</f>
        <v>0</v>
      </c>
      <c r="S188" s="91">
        <f>SUMIFS(tabela_registros[VALOR],tabela_registros[MÊS],$AE$1,tabela_registros[DIA],reservavariáveisconsolidadomar[[#Headers],[15]],tabela_registros[REGISTRO],DADOS!$N$6,tabela_registros[TIPO],DADOS!$AJ$4,tabela_registros[CATEGORIA],reservavariáveisconsolidadomar[[#This Row],[ATUAL]])</f>
        <v>0</v>
      </c>
      <c r="T188" s="91">
        <f>SUMIFS(tabela_registros[VALOR],tabela_registros[MÊS],$AE$1,tabela_registros[DIA],reservavariáveisconsolidadomar[[#Headers],[16]],tabela_registros[REGISTRO],DADOS!$N$6,tabela_registros[TIPO],DADOS!$AJ$4,tabela_registros[CATEGORIA],reservavariáveisconsolidadomar[[#This Row],[ATUAL]])</f>
        <v>0</v>
      </c>
      <c r="U188" s="91">
        <f>SUMIFS(tabela_registros[VALOR],tabela_registros[MÊS],$AE$1,tabela_registros[DIA],reservavariáveisconsolidadomar[[#Headers],[17]],tabela_registros[REGISTRO],DADOS!$N$6,tabela_registros[TIPO],DADOS!$AJ$4,tabela_registros[CATEGORIA],reservavariáveisconsolidadomar[[#This Row],[ATUAL]])</f>
        <v>0</v>
      </c>
      <c r="V188" s="91">
        <f>SUMIFS(tabela_registros[VALOR],tabela_registros[MÊS],$AE$1,tabela_registros[DIA],reservavariáveisconsolidadomar[[#Headers],[18]],tabela_registros[REGISTRO],DADOS!$N$6,tabela_registros[TIPO],DADOS!$AJ$4,tabela_registros[CATEGORIA],reservavariáveisconsolidadomar[[#This Row],[ATUAL]])</f>
        <v>0</v>
      </c>
      <c r="W188" s="91">
        <f>SUMIFS(tabela_registros[VALOR],tabela_registros[MÊS],$AE$1,tabela_registros[DIA],reservavariáveisconsolidadomar[[#Headers],[19]],tabela_registros[REGISTRO],DADOS!$N$6,tabela_registros[TIPO],DADOS!$AJ$4,tabela_registros[CATEGORIA],reservavariáveisconsolidadomar[[#This Row],[ATUAL]])</f>
        <v>0</v>
      </c>
      <c r="X188" s="91">
        <f>SUMIFS(tabela_registros[VALOR],tabela_registros[MÊS],$AE$1,tabela_registros[DIA],reservavariáveisconsolidadomar[[#Headers],[20]],tabela_registros[REGISTRO],DADOS!$N$6,tabela_registros[TIPO],DADOS!$AJ$4,tabela_registros[CATEGORIA],reservavariáveisconsolidadomar[[#This Row],[ATUAL]])</f>
        <v>0</v>
      </c>
      <c r="Y188" s="91">
        <f>SUMIFS(tabela_registros[VALOR],tabela_registros[MÊS],$AE$1,tabela_registros[DIA],reservavariáveisconsolidadomar[[#Headers],[21]],tabela_registros[REGISTRO],DADOS!$N$6,tabela_registros[TIPO],DADOS!$AJ$4,tabela_registros[CATEGORIA],reservavariáveisconsolidadomar[[#This Row],[ATUAL]])</f>
        <v>0</v>
      </c>
      <c r="Z188" s="91">
        <f>SUMIFS(tabela_registros[VALOR],tabela_registros[MÊS],$AE$1,tabela_registros[DIA],reservavariáveisconsolidadomar[[#Headers],[22]],tabela_registros[REGISTRO],DADOS!$N$6,tabela_registros[TIPO],DADOS!$AJ$4,tabela_registros[CATEGORIA],reservavariáveisconsolidadomar[[#This Row],[ATUAL]])</f>
        <v>0</v>
      </c>
      <c r="AA188" s="91">
        <f>SUMIFS(tabela_registros[VALOR],tabela_registros[MÊS],$AE$1,tabela_registros[DIA],reservavariáveisconsolidadomar[[#Headers],[23]],tabela_registros[REGISTRO],DADOS!$N$6,tabela_registros[TIPO],DADOS!$AJ$4,tabela_registros[CATEGORIA],reservavariáveisconsolidadomar[[#This Row],[ATUAL]])</f>
        <v>0</v>
      </c>
      <c r="AB188" s="91">
        <f>SUMIFS(tabela_registros[VALOR],tabela_registros[MÊS],$AE$1,tabela_registros[DIA],reservavariáveisconsolidadomar[[#Headers],[24]],tabela_registros[REGISTRO],DADOS!$N$6,tabela_registros[TIPO],DADOS!$AJ$4,tabela_registros[CATEGORIA],reservavariáveisconsolidadomar[[#This Row],[ATUAL]])</f>
        <v>0</v>
      </c>
      <c r="AC188" s="91">
        <f>SUMIFS(tabela_registros[VALOR],tabela_registros[MÊS],$AE$1,tabela_registros[DIA],reservavariáveisconsolidadomar[[#Headers],[25]],tabela_registros[REGISTRO],DADOS!$N$6,tabela_registros[TIPO],DADOS!$AJ$4,tabela_registros[CATEGORIA],reservavariáveisconsolidadomar[[#This Row],[ATUAL]])</f>
        <v>0</v>
      </c>
      <c r="AD188" s="91">
        <f>SUMIFS(tabela_registros[VALOR],tabela_registros[MÊS],$AE$1,tabela_registros[DIA],reservavariáveisconsolidadomar[[#Headers],[26]],tabela_registros[REGISTRO],DADOS!$N$6,tabela_registros[TIPO],DADOS!$AJ$4,tabela_registros[CATEGORIA],reservavariáveisconsolidadomar[[#This Row],[ATUAL]])</f>
        <v>0</v>
      </c>
      <c r="AE188" s="91">
        <f>SUMIFS(tabela_registros[VALOR],tabela_registros[MÊS],$AE$1,tabela_registros[DIA],reservavariáveisconsolidadomar[[#Headers],[27]],tabela_registros[REGISTRO],DADOS!$N$6,tabela_registros[TIPO],DADOS!$AJ$4,tabela_registros[CATEGORIA],reservavariáveisconsolidadomar[[#This Row],[ATUAL]])</f>
        <v>0</v>
      </c>
      <c r="AF188" s="91">
        <f>SUMIFS(tabela_registros[VALOR],tabela_registros[MÊS],$AE$1,tabela_registros[DIA],reservavariáveisconsolidadomar[[#Headers],[28]],tabela_registros[REGISTRO],DADOS!$N$6,tabela_registros[TIPO],DADOS!$AJ$4,tabela_registros[CATEGORIA],reservavariáveisconsolidadomar[[#This Row],[ATUAL]])</f>
        <v>0</v>
      </c>
      <c r="AG188" s="91">
        <f>SUMIFS(tabela_registros[VALOR],tabela_registros[MÊS],$AE$1,tabela_registros[DIA],reservavariáveisconsolidadomar[[#Headers],[29]],tabela_registros[REGISTRO],DADOS!$N$6,tabela_registros[TIPO],DADOS!$AJ$4,tabela_registros[CATEGORIA],reservavariáveisconsolidadomar[[#This Row],[ATUAL]])</f>
        <v>0</v>
      </c>
      <c r="AH188" s="91">
        <f>SUMIFS(tabela_registros[VALOR],tabela_registros[MÊS],$AE$1,tabela_registros[DIA],reservavariáveisconsolidadomar[[#Headers],[30]],tabela_registros[REGISTRO],DADOS!$N$6,tabela_registros[TIPO],DADOS!$AJ$4,tabela_registros[CATEGORIA],reservavariáveisconsolidadomar[[#This Row],[ATUAL]])</f>
        <v>0</v>
      </c>
      <c r="AI188" s="101">
        <f>SUMIFS(tabela_registros[VALOR],tabela_registros[MÊS],$AE$1,tabela_registros[DIA],reservavariáveisconsolidadomar[[#Headers],[31]],tabela_registros[REGISTRO],DADOS!$N$6,tabela_registros[TIPO],DADOS!$AJ$4,tabela_registros[CATEGORIA],reservavariáveisconsolidadomar[[#This Row],[ATUAL]])</f>
        <v>0</v>
      </c>
      <c r="AJ188" s="97">
        <f>SUM(reservavariáveisconsolidadomar[[#This Row],[1]:[31]])</f>
        <v>0</v>
      </c>
      <c r="AK188" s="25"/>
    </row>
    <row r="189" spans="2:37" ht="19.5" customHeight="1" thickTop="1" thickBot="1" x14ac:dyDescent="0.3">
      <c r="B189" s="28"/>
      <c r="C189" s="27" t="str">
        <f>DADOS!$AN$5</f>
        <v>📝 CONTRATO DE FUTUROS</v>
      </c>
      <c r="D189" s="26" t="str">
        <f>IF(reservavariáveisconsolidadomar[[#This Row],[TOTAL (R$)]]=0,"",IF(OR(reservavariáveisconsolidadomar[[#This Row],[TOTAL (R$)]]=LARGE($AJ$187:$AJ$196,1),reservavariáveisconsolidadomar[[#This Row],[TOTAL (R$)]]=LARGE($AJ$187:$AJ$196,2)),DADOS!$I$11,""))</f>
        <v/>
      </c>
      <c r="E189" s="96">
        <f>SUMIFS(tabela_registros[VALOR],tabela_registros[MÊS],$AE$1,tabela_registros[DIA],reservavariáveisconsolidadomar[[#Headers],[1]],tabela_registros[REGISTRO],DADOS!$N$6,tabela_registros[TIPO],DADOS!$AJ$4,tabela_registros[CATEGORIA],reservavariáveisconsolidadomar[[#This Row],[ATUAL]])</f>
        <v>0</v>
      </c>
      <c r="F189" s="91">
        <f>SUMIFS(tabela_registros[VALOR],tabela_registros[MÊS],$AE$1,tabela_registros[DIA],reservavariáveisconsolidadomar[[#Headers],[2]],tabela_registros[REGISTRO],DADOS!$N$6,tabela_registros[TIPO],DADOS!$AJ$4,tabela_registros[CATEGORIA],reservavariáveisconsolidadomar[[#This Row],[ATUAL]])</f>
        <v>0</v>
      </c>
      <c r="G189" s="91">
        <f>SUMIFS(tabela_registros[VALOR],tabela_registros[MÊS],$AE$1,tabela_registros[DIA],reservavariáveisconsolidadomar[[#Headers],[3]],tabela_registros[REGISTRO],DADOS!$N$6,tabela_registros[TIPO],DADOS!$AJ$4,tabela_registros[CATEGORIA],reservavariáveisconsolidadomar[[#This Row],[ATUAL]])</f>
        <v>0</v>
      </c>
      <c r="H189" s="91">
        <f>SUMIFS(tabela_registros[VALOR],tabela_registros[MÊS],$AE$1,tabela_registros[DIA],reservavariáveisconsolidadomar[[#Headers],[4]],tabela_registros[REGISTRO],DADOS!$N$6,tabela_registros[TIPO],DADOS!$AJ$4,tabela_registros[CATEGORIA],reservavariáveisconsolidadomar[[#This Row],[ATUAL]])</f>
        <v>0</v>
      </c>
      <c r="I189" s="91">
        <f>SUMIFS(tabela_registros[VALOR],tabela_registros[MÊS],$AE$1,tabela_registros[DIA],reservavariáveisconsolidadomar[[#Headers],[5]],tabela_registros[REGISTRO],DADOS!$N$6,tabela_registros[TIPO],DADOS!$AJ$4,tabela_registros[CATEGORIA],reservavariáveisconsolidadomar[[#This Row],[ATUAL]])</f>
        <v>0</v>
      </c>
      <c r="J189" s="91">
        <f>SUMIFS(tabela_registros[VALOR],tabela_registros[MÊS],$AE$1,tabela_registros[DIA],reservavariáveisconsolidadomar[[#Headers],[6]],tabela_registros[REGISTRO],DADOS!$N$6,tabela_registros[TIPO],DADOS!$AJ$4,tabela_registros[CATEGORIA],reservavariáveisconsolidadomar[[#This Row],[ATUAL]])</f>
        <v>0</v>
      </c>
      <c r="K189" s="91">
        <f>SUMIFS(tabela_registros[VALOR],tabela_registros[MÊS],$AE$1,tabela_registros[DIA],reservavariáveisconsolidadomar[[#Headers],[7]],tabela_registros[REGISTRO],DADOS!$N$6,tabela_registros[TIPO],DADOS!$AJ$4,tabela_registros[CATEGORIA],reservavariáveisconsolidadomar[[#This Row],[ATUAL]])</f>
        <v>0</v>
      </c>
      <c r="L189" s="91">
        <f>SUMIFS(tabela_registros[VALOR],tabela_registros[MÊS],$AE$1,tabela_registros[DIA],reservavariáveisconsolidadomar[[#Headers],[8]],tabela_registros[REGISTRO],DADOS!$N$6,tabela_registros[TIPO],DADOS!$AJ$4,tabela_registros[CATEGORIA],reservavariáveisconsolidadomar[[#This Row],[ATUAL]])</f>
        <v>0</v>
      </c>
      <c r="M189" s="91">
        <f>SUMIFS(tabela_registros[VALOR],tabela_registros[MÊS],$AE$1,tabela_registros[DIA],reservavariáveisconsolidadomar[[#Headers],[9]],tabela_registros[REGISTRO],DADOS!$N$6,tabela_registros[TIPO],DADOS!$AJ$4,tabela_registros[CATEGORIA],reservavariáveisconsolidadomar[[#This Row],[ATUAL]])</f>
        <v>0</v>
      </c>
      <c r="N189" s="91">
        <f>SUMIFS(tabela_registros[VALOR],tabela_registros[MÊS],$AE$1,tabela_registros[DIA],reservavariáveisconsolidadomar[[#Headers],[10]],tabela_registros[REGISTRO],DADOS!$N$6,tabela_registros[TIPO],DADOS!$AJ$4,tabela_registros[CATEGORIA],reservavariáveisconsolidadomar[[#This Row],[ATUAL]])</f>
        <v>0</v>
      </c>
      <c r="O189" s="91">
        <f>SUMIFS(tabela_registros[VALOR],tabela_registros[MÊS],$AE$1,tabela_registros[DIA],reservavariáveisconsolidadomar[[#Headers],[11]],tabela_registros[REGISTRO],DADOS!$N$6,tabela_registros[TIPO],DADOS!$AJ$4,tabela_registros[CATEGORIA],reservavariáveisconsolidadomar[[#This Row],[ATUAL]])</f>
        <v>0</v>
      </c>
      <c r="P189" s="91">
        <f>SUMIFS(tabela_registros[VALOR],tabela_registros[MÊS],$AE$1,tabela_registros[DIA],reservavariáveisconsolidadomar[[#Headers],[12]],tabela_registros[REGISTRO],DADOS!$N$6,tabela_registros[TIPO],DADOS!$AJ$4,tabela_registros[CATEGORIA],reservavariáveisconsolidadomar[[#This Row],[ATUAL]])</f>
        <v>0</v>
      </c>
      <c r="Q189" s="91">
        <f>SUMIFS(tabela_registros[VALOR],tabela_registros[MÊS],$AE$1,tabela_registros[DIA],reservavariáveisconsolidadomar[[#Headers],[13]],tabela_registros[REGISTRO],DADOS!$N$6,tabela_registros[TIPO],DADOS!$AJ$4,tabela_registros[CATEGORIA],reservavariáveisconsolidadomar[[#This Row],[ATUAL]])</f>
        <v>0</v>
      </c>
      <c r="R189" s="91">
        <f>SUMIFS(tabela_registros[VALOR],tabela_registros[MÊS],$AE$1,tabela_registros[DIA],reservavariáveisconsolidadomar[[#Headers],[14]],tabela_registros[REGISTRO],DADOS!$N$6,tabela_registros[TIPO],DADOS!$AJ$4,tabela_registros[CATEGORIA],reservavariáveisconsolidadomar[[#This Row],[ATUAL]])</f>
        <v>0</v>
      </c>
      <c r="S189" s="91">
        <f>SUMIFS(tabela_registros[VALOR],tabela_registros[MÊS],$AE$1,tabela_registros[DIA],reservavariáveisconsolidadomar[[#Headers],[15]],tabela_registros[REGISTRO],DADOS!$N$6,tabela_registros[TIPO],DADOS!$AJ$4,tabela_registros[CATEGORIA],reservavariáveisconsolidadomar[[#This Row],[ATUAL]])</f>
        <v>0</v>
      </c>
      <c r="T189" s="91">
        <f>SUMIFS(tabela_registros[VALOR],tabela_registros[MÊS],$AE$1,tabela_registros[DIA],reservavariáveisconsolidadomar[[#Headers],[16]],tabela_registros[REGISTRO],DADOS!$N$6,tabela_registros[TIPO],DADOS!$AJ$4,tabela_registros[CATEGORIA],reservavariáveisconsolidadomar[[#This Row],[ATUAL]])</f>
        <v>0</v>
      </c>
      <c r="U189" s="91">
        <f>SUMIFS(tabela_registros[VALOR],tabela_registros[MÊS],$AE$1,tabela_registros[DIA],reservavariáveisconsolidadomar[[#Headers],[17]],tabela_registros[REGISTRO],DADOS!$N$6,tabela_registros[TIPO],DADOS!$AJ$4,tabela_registros[CATEGORIA],reservavariáveisconsolidadomar[[#This Row],[ATUAL]])</f>
        <v>0</v>
      </c>
      <c r="V189" s="91">
        <f>SUMIFS(tabela_registros[VALOR],tabela_registros[MÊS],$AE$1,tabela_registros[DIA],reservavariáveisconsolidadomar[[#Headers],[18]],tabela_registros[REGISTRO],DADOS!$N$6,tabela_registros[TIPO],DADOS!$AJ$4,tabela_registros[CATEGORIA],reservavariáveisconsolidadomar[[#This Row],[ATUAL]])</f>
        <v>0</v>
      </c>
      <c r="W189" s="91">
        <f>SUMIFS(tabela_registros[VALOR],tabela_registros[MÊS],$AE$1,tabela_registros[DIA],reservavariáveisconsolidadomar[[#Headers],[19]],tabela_registros[REGISTRO],DADOS!$N$6,tabela_registros[TIPO],DADOS!$AJ$4,tabela_registros[CATEGORIA],reservavariáveisconsolidadomar[[#This Row],[ATUAL]])</f>
        <v>0</v>
      </c>
      <c r="X189" s="91">
        <f>SUMIFS(tabela_registros[VALOR],tabela_registros[MÊS],$AE$1,tabela_registros[DIA],reservavariáveisconsolidadomar[[#Headers],[20]],tabela_registros[REGISTRO],DADOS!$N$6,tabela_registros[TIPO],DADOS!$AJ$4,tabela_registros[CATEGORIA],reservavariáveisconsolidadomar[[#This Row],[ATUAL]])</f>
        <v>0</v>
      </c>
      <c r="Y189" s="91">
        <f>SUMIFS(tabela_registros[VALOR],tabela_registros[MÊS],$AE$1,tabela_registros[DIA],reservavariáveisconsolidadomar[[#Headers],[21]],tabela_registros[REGISTRO],DADOS!$N$6,tabela_registros[TIPO],DADOS!$AJ$4,tabela_registros[CATEGORIA],reservavariáveisconsolidadomar[[#This Row],[ATUAL]])</f>
        <v>0</v>
      </c>
      <c r="Z189" s="91">
        <f>SUMIFS(tabela_registros[VALOR],tabela_registros[MÊS],$AE$1,tabela_registros[DIA],reservavariáveisconsolidadomar[[#Headers],[22]],tabela_registros[REGISTRO],DADOS!$N$6,tabela_registros[TIPO],DADOS!$AJ$4,tabela_registros[CATEGORIA],reservavariáveisconsolidadomar[[#This Row],[ATUAL]])</f>
        <v>0</v>
      </c>
      <c r="AA189" s="91">
        <f>SUMIFS(tabela_registros[VALOR],tabela_registros[MÊS],$AE$1,tabela_registros[DIA],reservavariáveisconsolidadomar[[#Headers],[23]],tabela_registros[REGISTRO],DADOS!$N$6,tabela_registros[TIPO],DADOS!$AJ$4,tabela_registros[CATEGORIA],reservavariáveisconsolidadomar[[#This Row],[ATUAL]])</f>
        <v>0</v>
      </c>
      <c r="AB189" s="91">
        <f>SUMIFS(tabela_registros[VALOR],tabela_registros[MÊS],$AE$1,tabela_registros[DIA],reservavariáveisconsolidadomar[[#Headers],[24]],tabela_registros[REGISTRO],DADOS!$N$6,tabela_registros[TIPO],DADOS!$AJ$4,tabela_registros[CATEGORIA],reservavariáveisconsolidadomar[[#This Row],[ATUAL]])</f>
        <v>0</v>
      </c>
      <c r="AC189" s="91">
        <f>SUMIFS(tabela_registros[VALOR],tabela_registros[MÊS],$AE$1,tabela_registros[DIA],reservavariáveisconsolidadomar[[#Headers],[25]],tabela_registros[REGISTRO],DADOS!$N$6,tabela_registros[TIPO],DADOS!$AJ$4,tabela_registros[CATEGORIA],reservavariáveisconsolidadomar[[#This Row],[ATUAL]])</f>
        <v>0</v>
      </c>
      <c r="AD189" s="91">
        <f>SUMIFS(tabela_registros[VALOR],tabela_registros[MÊS],$AE$1,tabela_registros[DIA],reservavariáveisconsolidadomar[[#Headers],[26]],tabela_registros[REGISTRO],DADOS!$N$6,tabela_registros[TIPO],DADOS!$AJ$4,tabela_registros[CATEGORIA],reservavariáveisconsolidadomar[[#This Row],[ATUAL]])</f>
        <v>0</v>
      </c>
      <c r="AE189" s="91">
        <f>SUMIFS(tabela_registros[VALOR],tabela_registros[MÊS],$AE$1,tabela_registros[DIA],reservavariáveisconsolidadomar[[#Headers],[27]],tabela_registros[REGISTRO],DADOS!$N$6,tabela_registros[TIPO],DADOS!$AJ$4,tabela_registros[CATEGORIA],reservavariáveisconsolidadomar[[#This Row],[ATUAL]])</f>
        <v>0</v>
      </c>
      <c r="AF189" s="91">
        <f>SUMIFS(tabela_registros[VALOR],tabela_registros[MÊS],$AE$1,tabela_registros[DIA],reservavariáveisconsolidadomar[[#Headers],[28]],tabela_registros[REGISTRO],DADOS!$N$6,tabela_registros[TIPO],DADOS!$AJ$4,tabela_registros[CATEGORIA],reservavariáveisconsolidadomar[[#This Row],[ATUAL]])</f>
        <v>0</v>
      </c>
      <c r="AG189" s="91">
        <f>SUMIFS(tabela_registros[VALOR],tabela_registros[MÊS],$AE$1,tabela_registros[DIA],reservavariáveisconsolidadomar[[#Headers],[29]],tabela_registros[REGISTRO],DADOS!$N$6,tabela_registros[TIPO],DADOS!$AJ$4,tabela_registros[CATEGORIA],reservavariáveisconsolidadomar[[#This Row],[ATUAL]])</f>
        <v>0</v>
      </c>
      <c r="AH189" s="91">
        <f>SUMIFS(tabela_registros[VALOR],tabela_registros[MÊS],$AE$1,tabela_registros[DIA],reservavariáveisconsolidadomar[[#Headers],[30]],tabela_registros[REGISTRO],DADOS!$N$6,tabela_registros[TIPO],DADOS!$AJ$4,tabela_registros[CATEGORIA],reservavariáveisconsolidadomar[[#This Row],[ATUAL]])</f>
        <v>0</v>
      </c>
      <c r="AI189" s="101">
        <f>SUMIFS(tabela_registros[VALOR],tabela_registros[MÊS],$AE$1,tabela_registros[DIA],reservavariáveisconsolidadomar[[#Headers],[31]],tabela_registros[REGISTRO],DADOS!$N$6,tabela_registros[TIPO],DADOS!$AJ$4,tabela_registros[CATEGORIA],reservavariáveisconsolidadomar[[#This Row],[ATUAL]])</f>
        <v>0</v>
      </c>
      <c r="AJ189" s="97">
        <f>SUM(reservavariáveisconsolidadomar[[#This Row],[1]:[31]])</f>
        <v>0</v>
      </c>
      <c r="AK189" s="25"/>
    </row>
    <row r="190" spans="2:37" ht="19.5" customHeight="1" thickTop="1" thickBot="1" x14ac:dyDescent="0.3">
      <c r="B190" s="28"/>
      <c r="C190" s="27" t="str">
        <f>DADOS!$AN$6</f>
        <v>📝 CONTRATO DE OPÇÕES</v>
      </c>
      <c r="D190" s="26" t="str">
        <f>IF(reservavariáveisconsolidadomar[[#This Row],[TOTAL (R$)]]=0,"",IF(OR(reservavariáveisconsolidadomar[[#This Row],[TOTAL (R$)]]=LARGE($AJ$187:$AJ$196,1),reservavariáveisconsolidadomar[[#This Row],[TOTAL (R$)]]=LARGE($AJ$187:$AJ$196,2)),DADOS!$I$11,""))</f>
        <v/>
      </c>
      <c r="E190" s="96">
        <f>SUMIFS(tabela_registros[VALOR],tabela_registros[MÊS],$AE$1,tabela_registros[DIA],reservavariáveisconsolidadomar[[#Headers],[1]],tabela_registros[REGISTRO],DADOS!$N$6,tabela_registros[TIPO],DADOS!$AJ$4,tabela_registros[CATEGORIA],reservavariáveisconsolidadomar[[#This Row],[ATUAL]])</f>
        <v>0</v>
      </c>
      <c r="F190" s="91">
        <f>SUMIFS(tabela_registros[VALOR],tabela_registros[MÊS],$AE$1,tabela_registros[DIA],reservavariáveisconsolidadomar[[#Headers],[2]],tabela_registros[REGISTRO],DADOS!$N$6,tabela_registros[TIPO],DADOS!$AJ$4,tabela_registros[CATEGORIA],reservavariáveisconsolidadomar[[#This Row],[ATUAL]])</f>
        <v>0</v>
      </c>
      <c r="G190" s="91">
        <f>SUMIFS(tabela_registros[VALOR],tabela_registros[MÊS],$AE$1,tabela_registros[DIA],reservavariáveisconsolidadomar[[#Headers],[3]],tabela_registros[REGISTRO],DADOS!$N$6,tabela_registros[TIPO],DADOS!$AJ$4,tabela_registros[CATEGORIA],reservavariáveisconsolidadomar[[#This Row],[ATUAL]])</f>
        <v>0</v>
      </c>
      <c r="H190" s="91">
        <f>SUMIFS(tabela_registros[VALOR],tabela_registros[MÊS],$AE$1,tabela_registros[DIA],reservavariáveisconsolidadomar[[#Headers],[4]],tabela_registros[REGISTRO],DADOS!$N$6,tabela_registros[TIPO],DADOS!$AJ$4,tabela_registros[CATEGORIA],reservavariáveisconsolidadomar[[#This Row],[ATUAL]])</f>
        <v>0</v>
      </c>
      <c r="I190" s="91">
        <f>SUMIFS(tabela_registros[VALOR],tabela_registros[MÊS],$AE$1,tabela_registros[DIA],reservavariáveisconsolidadomar[[#Headers],[5]],tabela_registros[REGISTRO],DADOS!$N$6,tabela_registros[TIPO],DADOS!$AJ$4,tabela_registros[CATEGORIA],reservavariáveisconsolidadomar[[#This Row],[ATUAL]])</f>
        <v>0</v>
      </c>
      <c r="J190" s="91">
        <f>SUMIFS(tabela_registros[VALOR],tabela_registros[MÊS],$AE$1,tabela_registros[DIA],reservavariáveisconsolidadomar[[#Headers],[6]],tabela_registros[REGISTRO],DADOS!$N$6,tabela_registros[TIPO],DADOS!$AJ$4,tabela_registros[CATEGORIA],reservavariáveisconsolidadomar[[#This Row],[ATUAL]])</f>
        <v>0</v>
      </c>
      <c r="K190" s="91">
        <f>SUMIFS(tabela_registros[VALOR],tabela_registros[MÊS],$AE$1,tabela_registros[DIA],reservavariáveisconsolidadomar[[#Headers],[7]],tabela_registros[REGISTRO],DADOS!$N$6,tabela_registros[TIPO],DADOS!$AJ$4,tabela_registros[CATEGORIA],reservavariáveisconsolidadomar[[#This Row],[ATUAL]])</f>
        <v>0</v>
      </c>
      <c r="L190" s="91">
        <f>SUMIFS(tabela_registros[VALOR],tabela_registros[MÊS],$AE$1,tabela_registros[DIA],reservavariáveisconsolidadomar[[#Headers],[8]],tabela_registros[REGISTRO],DADOS!$N$6,tabela_registros[TIPO],DADOS!$AJ$4,tabela_registros[CATEGORIA],reservavariáveisconsolidadomar[[#This Row],[ATUAL]])</f>
        <v>0</v>
      </c>
      <c r="M190" s="91">
        <f>SUMIFS(tabela_registros[VALOR],tabela_registros[MÊS],$AE$1,tabela_registros[DIA],reservavariáveisconsolidadomar[[#Headers],[9]],tabela_registros[REGISTRO],DADOS!$N$6,tabela_registros[TIPO],DADOS!$AJ$4,tabela_registros[CATEGORIA],reservavariáveisconsolidadomar[[#This Row],[ATUAL]])</f>
        <v>0</v>
      </c>
      <c r="N190" s="91">
        <f>SUMIFS(tabela_registros[VALOR],tabela_registros[MÊS],$AE$1,tabela_registros[DIA],reservavariáveisconsolidadomar[[#Headers],[10]],tabela_registros[REGISTRO],DADOS!$N$6,tabela_registros[TIPO],DADOS!$AJ$4,tabela_registros[CATEGORIA],reservavariáveisconsolidadomar[[#This Row],[ATUAL]])</f>
        <v>0</v>
      </c>
      <c r="O190" s="91">
        <f>SUMIFS(tabela_registros[VALOR],tabela_registros[MÊS],$AE$1,tabela_registros[DIA],reservavariáveisconsolidadomar[[#Headers],[11]],tabela_registros[REGISTRO],DADOS!$N$6,tabela_registros[TIPO],DADOS!$AJ$4,tabela_registros[CATEGORIA],reservavariáveisconsolidadomar[[#This Row],[ATUAL]])</f>
        <v>0</v>
      </c>
      <c r="P190" s="91">
        <f>SUMIFS(tabela_registros[VALOR],tabela_registros[MÊS],$AE$1,tabela_registros[DIA],reservavariáveisconsolidadomar[[#Headers],[12]],tabela_registros[REGISTRO],DADOS!$N$6,tabela_registros[TIPO],DADOS!$AJ$4,tabela_registros[CATEGORIA],reservavariáveisconsolidadomar[[#This Row],[ATUAL]])</f>
        <v>0</v>
      </c>
      <c r="Q190" s="91">
        <f>SUMIFS(tabela_registros[VALOR],tabela_registros[MÊS],$AE$1,tabela_registros[DIA],reservavariáveisconsolidadomar[[#Headers],[13]],tabela_registros[REGISTRO],DADOS!$N$6,tabela_registros[TIPO],DADOS!$AJ$4,tabela_registros[CATEGORIA],reservavariáveisconsolidadomar[[#This Row],[ATUAL]])</f>
        <v>0</v>
      </c>
      <c r="R190" s="91">
        <f>SUMIFS(tabela_registros[VALOR],tabela_registros[MÊS],$AE$1,tabela_registros[DIA],reservavariáveisconsolidadomar[[#Headers],[14]],tabela_registros[REGISTRO],DADOS!$N$6,tabela_registros[TIPO],DADOS!$AJ$4,tabela_registros[CATEGORIA],reservavariáveisconsolidadomar[[#This Row],[ATUAL]])</f>
        <v>0</v>
      </c>
      <c r="S190" s="91">
        <f>SUMIFS(tabela_registros[VALOR],tabela_registros[MÊS],$AE$1,tabela_registros[DIA],reservavariáveisconsolidadomar[[#Headers],[15]],tabela_registros[REGISTRO],DADOS!$N$6,tabela_registros[TIPO],DADOS!$AJ$4,tabela_registros[CATEGORIA],reservavariáveisconsolidadomar[[#This Row],[ATUAL]])</f>
        <v>0</v>
      </c>
      <c r="T190" s="91">
        <f>SUMIFS(tabela_registros[VALOR],tabela_registros[MÊS],$AE$1,tabela_registros[DIA],reservavariáveisconsolidadomar[[#Headers],[16]],tabela_registros[REGISTRO],DADOS!$N$6,tabela_registros[TIPO],DADOS!$AJ$4,tabela_registros[CATEGORIA],reservavariáveisconsolidadomar[[#This Row],[ATUAL]])</f>
        <v>0</v>
      </c>
      <c r="U190" s="91">
        <f>SUMIFS(tabela_registros[VALOR],tabela_registros[MÊS],$AE$1,tabela_registros[DIA],reservavariáveisconsolidadomar[[#Headers],[17]],tabela_registros[REGISTRO],DADOS!$N$6,tabela_registros[TIPO],DADOS!$AJ$4,tabela_registros[CATEGORIA],reservavariáveisconsolidadomar[[#This Row],[ATUAL]])</f>
        <v>0</v>
      </c>
      <c r="V190" s="91">
        <f>SUMIFS(tabela_registros[VALOR],tabela_registros[MÊS],$AE$1,tabela_registros[DIA],reservavariáveisconsolidadomar[[#Headers],[18]],tabela_registros[REGISTRO],DADOS!$N$6,tabela_registros[TIPO],DADOS!$AJ$4,tabela_registros[CATEGORIA],reservavariáveisconsolidadomar[[#This Row],[ATUAL]])</f>
        <v>0</v>
      </c>
      <c r="W190" s="91">
        <f>SUMIFS(tabela_registros[VALOR],tabela_registros[MÊS],$AE$1,tabela_registros[DIA],reservavariáveisconsolidadomar[[#Headers],[19]],tabela_registros[REGISTRO],DADOS!$N$6,tabela_registros[TIPO],DADOS!$AJ$4,tabela_registros[CATEGORIA],reservavariáveisconsolidadomar[[#This Row],[ATUAL]])</f>
        <v>0</v>
      </c>
      <c r="X190" s="91">
        <f>SUMIFS(tabela_registros[VALOR],tabela_registros[MÊS],$AE$1,tabela_registros[DIA],reservavariáveisconsolidadomar[[#Headers],[20]],tabela_registros[REGISTRO],DADOS!$N$6,tabela_registros[TIPO],DADOS!$AJ$4,tabela_registros[CATEGORIA],reservavariáveisconsolidadomar[[#This Row],[ATUAL]])</f>
        <v>0</v>
      </c>
      <c r="Y190" s="91">
        <f>SUMIFS(tabela_registros[VALOR],tabela_registros[MÊS],$AE$1,tabela_registros[DIA],reservavariáveisconsolidadomar[[#Headers],[21]],tabela_registros[REGISTRO],DADOS!$N$6,tabela_registros[TIPO],DADOS!$AJ$4,tabela_registros[CATEGORIA],reservavariáveisconsolidadomar[[#This Row],[ATUAL]])</f>
        <v>0</v>
      </c>
      <c r="Z190" s="91">
        <f>SUMIFS(tabela_registros[VALOR],tabela_registros[MÊS],$AE$1,tabela_registros[DIA],reservavariáveisconsolidadomar[[#Headers],[22]],tabela_registros[REGISTRO],DADOS!$N$6,tabela_registros[TIPO],DADOS!$AJ$4,tabela_registros[CATEGORIA],reservavariáveisconsolidadomar[[#This Row],[ATUAL]])</f>
        <v>0</v>
      </c>
      <c r="AA190" s="91">
        <f>SUMIFS(tabela_registros[VALOR],tabela_registros[MÊS],$AE$1,tabela_registros[DIA],reservavariáveisconsolidadomar[[#Headers],[23]],tabela_registros[REGISTRO],DADOS!$N$6,tabela_registros[TIPO],DADOS!$AJ$4,tabela_registros[CATEGORIA],reservavariáveisconsolidadomar[[#This Row],[ATUAL]])</f>
        <v>0</v>
      </c>
      <c r="AB190" s="91">
        <f>SUMIFS(tabela_registros[VALOR],tabela_registros[MÊS],$AE$1,tabela_registros[DIA],reservavariáveisconsolidadomar[[#Headers],[24]],tabela_registros[REGISTRO],DADOS!$N$6,tabela_registros[TIPO],DADOS!$AJ$4,tabela_registros[CATEGORIA],reservavariáveisconsolidadomar[[#This Row],[ATUAL]])</f>
        <v>0</v>
      </c>
      <c r="AC190" s="91">
        <f>SUMIFS(tabela_registros[VALOR],tabela_registros[MÊS],$AE$1,tabela_registros[DIA],reservavariáveisconsolidadomar[[#Headers],[25]],tabela_registros[REGISTRO],DADOS!$N$6,tabela_registros[TIPO],DADOS!$AJ$4,tabela_registros[CATEGORIA],reservavariáveisconsolidadomar[[#This Row],[ATUAL]])</f>
        <v>0</v>
      </c>
      <c r="AD190" s="91">
        <f>SUMIFS(tabela_registros[VALOR],tabela_registros[MÊS],$AE$1,tabela_registros[DIA],reservavariáveisconsolidadomar[[#Headers],[26]],tabela_registros[REGISTRO],DADOS!$N$6,tabela_registros[TIPO],DADOS!$AJ$4,tabela_registros[CATEGORIA],reservavariáveisconsolidadomar[[#This Row],[ATUAL]])</f>
        <v>0</v>
      </c>
      <c r="AE190" s="91">
        <f>SUMIFS(tabela_registros[VALOR],tabela_registros[MÊS],$AE$1,tabela_registros[DIA],reservavariáveisconsolidadomar[[#Headers],[27]],tabela_registros[REGISTRO],DADOS!$N$6,tabela_registros[TIPO],DADOS!$AJ$4,tabela_registros[CATEGORIA],reservavariáveisconsolidadomar[[#This Row],[ATUAL]])</f>
        <v>0</v>
      </c>
      <c r="AF190" s="91">
        <f>SUMIFS(tabela_registros[VALOR],tabela_registros[MÊS],$AE$1,tabela_registros[DIA],reservavariáveisconsolidadomar[[#Headers],[28]],tabela_registros[REGISTRO],DADOS!$N$6,tabela_registros[TIPO],DADOS!$AJ$4,tabela_registros[CATEGORIA],reservavariáveisconsolidadomar[[#This Row],[ATUAL]])</f>
        <v>0</v>
      </c>
      <c r="AG190" s="91">
        <f>SUMIFS(tabela_registros[VALOR],tabela_registros[MÊS],$AE$1,tabela_registros[DIA],reservavariáveisconsolidadomar[[#Headers],[29]],tabela_registros[REGISTRO],DADOS!$N$6,tabela_registros[TIPO],DADOS!$AJ$4,tabela_registros[CATEGORIA],reservavariáveisconsolidadomar[[#This Row],[ATUAL]])</f>
        <v>0</v>
      </c>
      <c r="AH190" s="91">
        <f>SUMIFS(tabela_registros[VALOR],tabela_registros[MÊS],$AE$1,tabela_registros[DIA],reservavariáveisconsolidadomar[[#Headers],[30]],tabela_registros[REGISTRO],DADOS!$N$6,tabela_registros[TIPO],DADOS!$AJ$4,tabela_registros[CATEGORIA],reservavariáveisconsolidadomar[[#This Row],[ATUAL]])</f>
        <v>0</v>
      </c>
      <c r="AI190" s="101">
        <f>SUMIFS(tabela_registros[VALOR],tabela_registros[MÊS],$AE$1,tabela_registros[DIA],reservavariáveisconsolidadomar[[#Headers],[31]],tabela_registros[REGISTRO],DADOS!$N$6,tabela_registros[TIPO],DADOS!$AJ$4,tabela_registros[CATEGORIA],reservavariáveisconsolidadomar[[#This Row],[ATUAL]])</f>
        <v>0</v>
      </c>
      <c r="AJ190" s="97">
        <f>SUM(reservavariáveisconsolidadomar[[#This Row],[1]:[31]])</f>
        <v>0</v>
      </c>
      <c r="AK190" s="25"/>
    </row>
    <row r="191" spans="2:37" ht="19.5" customHeight="1" thickTop="1" thickBot="1" x14ac:dyDescent="0.3">
      <c r="B191" s="28"/>
      <c r="C191" s="27" t="str">
        <f>DADOS!$AN$7</f>
        <v>📝 CRIPTOMOEDA</v>
      </c>
      <c r="D191" s="26" t="str">
        <f>IF(reservavariáveisconsolidadomar[[#This Row],[TOTAL (R$)]]=0,"",IF(OR(reservavariáveisconsolidadomar[[#This Row],[TOTAL (R$)]]=LARGE($AJ$187:$AJ$196,1),reservavariáveisconsolidadomar[[#This Row],[TOTAL (R$)]]=LARGE($AJ$187:$AJ$196,2)),DADOS!$I$11,""))</f>
        <v/>
      </c>
      <c r="E191" s="96">
        <f>SUMIFS(tabela_registros[VALOR],tabela_registros[MÊS],$AE$1,tabela_registros[DIA],reservavariáveisconsolidadomar[[#Headers],[1]],tabela_registros[REGISTRO],DADOS!$N$6,tabela_registros[TIPO],DADOS!$AJ$4,tabela_registros[CATEGORIA],reservavariáveisconsolidadomar[[#This Row],[ATUAL]])</f>
        <v>0</v>
      </c>
      <c r="F191" s="91">
        <f>SUMIFS(tabela_registros[VALOR],tabela_registros[MÊS],$AE$1,tabela_registros[DIA],reservavariáveisconsolidadomar[[#Headers],[2]],tabela_registros[REGISTRO],DADOS!$N$6,tabela_registros[TIPO],DADOS!$AJ$4,tabela_registros[CATEGORIA],reservavariáveisconsolidadomar[[#This Row],[ATUAL]])</f>
        <v>0</v>
      </c>
      <c r="G191" s="91">
        <f>SUMIFS(tabela_registros[VALOR],tabela_registros[MÊS],$AE$1,tabela_registros[DIA],reservavariáveisconsolidadomar[[#Headers],[3]],tabela_registros[REGISTRO],DADOS!$N$6,tabela_registros[TIPO],DADOS!$AJ$4,tabela_registros[CATEGORIA],reservavariáveisconsolidadomar[[#This Row],[ATUAL]])</f>
        <v>0</v>
      </c>
      <c r="H191" s="91">
        <f>SUMIFS(tabela_registros[VALOR],tabela_registros[MÊS],$AE$1,tabela_registros[DIA],reservavariáveisconsolidadomar[[#Headers],[4]],tabela_registros[REGISTRO],DADOS!$N$6,tabela_registros[TIPO],DADOS!$AJ$4,tabela_registros[CATEGORIA],reservavariáveisconsolidadomar[[#This Row],[ATUAL]])</f>
        <v>0</v>
      </c>
      <c r="I191" s="91">
        <f>SUMIFS(tabela_registros[VALOR],tabela_registros[MÊS],$AE$1,tabela_registros[DIA],reservavariáveisconsolidadomar[[#Headers],[5]],tabela_registros[REGISTRO],DADOS!$N$6,tabela_registros[TIPO],DADOS!$AJ$4,tabela_registros[CATEGORIA],reservavariáveisconsolidadomar[[#This Row],[ATUAL]])</f>
        <v>0</v>
      </c>
      <c r="J191" s="91">
        <f>SUMIFS(tabela_registros[VALOR],tabela_registros[MÊS],$AE$1,tabela_registros[DIA],reservavariáveisconsolidadomar[[#Headers],[6]],tabela_registros[REGISTRO],DADOS!$N$6,tabela_registros[TIPO],DADOS!$AJ$4,tabela_registros[CATEGORIA],reservavariáveisconsolidadomar[[#This Row],[ATUAL]])</f>
        <v>0</v>
      </c>
      <c r="K191" s="91">
        <f>SUMIFS(tabela_registros[VALOR],tabela_registros[MÊS],$AE$1,tabela_registros[DIA],reservavariáveisconsolidadomar[[#Headers],[7]],tabela_registros[REGISTRO],DADOS!$N$6,tabela_registros[TIPO],DADOS!$AJ$4,tabela_registros[CATEGORIA],reservavariáveisconsolidadomar[[#This Row],[ATUAL]])</f>
        <v>0</v>
      </c>
      <c r="L191" s="91">
        <f>SUMIFS(tabela_registros[VALOR],tabela_registros[MÊS],$AE$1,tabela_registros[DIA],reservavariáveisconsolidadomar[[#Headers],[8]],tabela_registros[REGISTRO],DADOS!$N$6,tabela_registros[TIPO],DADOS!$AJ$4,tabela_registros[CATEGORIA],reservavariáveisconsolidadomar[[#This Row],[ATUAL]])</f>
        <v>0</v>
      </c>
      <c r="M191" s="91">
        <f>SUMIFS(tabela_registros[VALOR],tabela_registros[MÊS],$AE$1,tabela_registros[DIA],reservavariáveisconsolidadomar[[#Headers],[9]],tabela_registros[REGISTRO],DADOS!$N$6,tabela_registros[TIPO],DADOS!$AJ$4,tabela_registros[CATEGORIA],reservavariáveisconsolidadomar[[#This Row],[ATUAL]])</f>
        <v>0</v>
      </c>
      <c r="N191" s="91">
        <f>SUMIFS(tabela_registros[VALOR],tabela_registros[MÊS],$AE$1,tabela_registros[DIA],reservavariáveisconsolidadomar[[#Headers],[10]],tabela_registros[REGISTRO],DADOS!$N$6,tabela_registros[TIPO],DADOS!$AJ$4,tabela_registros[CATEGORIA],reservavariáveisconsolidadomar[[#This Row],[ATUAL]])</f>
        <v>0</v>
      </c>
      <c r="O191" s="91">
        <f>SUMIFS(tabela_registros[VALOR],tabela_registros[MÊS],$AE$1,tabela_registros[DIA],reservavariáveisconsolidadomar[[#Headers],[11]],tabela_registros[REGISTRO],DADOS!$N$6,tabela_registros[TIPO],DADOS!$AJ$4,tabela_registros[CATEGORIA],reservavariáveisconsolidadomar[[#This Row],[ATUAL]])</f>
        <v>0</v>
      </c>
      <c r="P191" s="91">
        <f>SUMIFS(tabela_registros[VALOR],tabela_registros[MÊS],$AE$1,tabela_registros[DIA],reservavariáveisconsolidadomar[[#Headers],[12]],tabela_registros[REGISTRO],DADOS!$N$6,tabela_registros[TIPO],DADOS!$AJ$4,tabela_registros[CATEGORIA],reservavariáveisconsolidadomar[[#This Row],[ATUAL]])</f>
        <v>0</v>
      </c>
      <c r="Q191" s="91">
        <f>SUMIFS(tabela_registros[VALOR],tabela_registros[MÊS],$AE$1,tabela_registros[DIA],reservavariáveisconsolidadomar[[#Headers],[13]],tabela_registros[REGISTRO],DADOS!$N$6,tabela_registros[TIPO],DADOS!$AJ$4,tabela_registros[CATEGORIA],reservavariáveisconsolidadomar[[#This Row],[ATUAL]])</f>
        <v>0</v>
      </c>
      <c r="R191" s="91">
        <f>SUMIFS(tabela_registros[VALOR],tabela_registros[MÊS],$AE$1,tabela_registros[DIA],reservavariáveisconsolidadomar[[#Headers],[14]],tabela_registros[REGISTRO],DADOS!$N$6,tabela_registros[TIPO],DADOS!$AJ$4,tabela_registros[CATEGORIA],reservavariáveisconsolidadomar[[#This Row],[ATUAL]])</f>
        <v>0</v>
      </c>
      <c r="S191" s="91">
        <f>SUMIFS(tabela_registros[VALOR],tabela_registros[MÊS],$AE$1,tabela_registros[DIA],reservavariáveisconsolidadomar[[#Headers],[15]],tabela_registros[REGISTRO],DADOS!$N$6,tabela_registros[TIPO],DADOS!$AJ$4,tabela_registros[CATEGORIA],reservavariáveisconsolidadomar[[#This Row],[ATUAL]])</f>
        <v>0</v>
      </c>
      <c r="T191" s="91">
        <f>SUMIFS(tabela_registros[VALOR],tabela_registros[MÊS],$AE$1,tabela_registros[DIA],reservavariáveisconsolidadomar[[#Headers],[16]],tabela_registros[REGISTRO],DADOS!$N$6,tabela_registros[TIPO],DADOS!$AJ$4,tabela_registros[CATEGORIA],reservavariáveisconsolidadomar[[#This Row],[ATUAL]])</f>
        <v>0</v>
      </c>
      <c r="U191" s="91">
        <f>SUMIFS(tabela_registros[VALOR],tabela_registros[MÊS],$AE$1,tabela_registros[DIA],reservavariáveisconsolidadomar[[#Headers],[17]],tabela_registros[REGISTRO],DADOS!$N$6,tabela_registros[TIPO],DADOS!$AJ$4,tabela_registros[CATEGORIA],reservavariáveisconsolidadomar[[#This Row],[ATUAL]])</f>
        <v>0</v>
      </c>
      <c r="V191" s="91">
        <f>SUMIFS(tabela_registros[VALOR],tabela_registros[MÊS],$AE$1,tabela_registros[DIA],reservavariáveisconsolidadomar[[#Headers],[18]],tabela_registros[REGISTRO],DADOS!$N$6,tabela_registros[TIPO],DADOS!$AJ$4,tabela_registros[CATEGORIA],reservavariáveisconsolidadomar[[#This Row],[ATUAL]])</f>
        <v>0</v>
      </c>
      <c r="W191" s="91">
        <f>SUMIFS(tabela_registros[VALOR],tabela_registros[MÊS],$AE$1,tabela_registros[DIA],reservavariáveisconsolidadomar[[#Headers],[19]],tabela_registros[REGISTRO],DADOS!$N$6,tabela_registros[TIPO],DADOS!$AJ$4,tabela_registros[CATEGORIA],reservavariáveisconsolidadomar[[#This Row],[ATUAL]])</f>
        <v>0</v>
      </c>
      <c r="X191" s="91">
        <f>SUMIFS(tabela_registros[VALOR],tabela_registros[MÊS],$AE$1,tabela_registros[DIA],reservavariáveisconsolidadomar[[#Headers],[20]],tabela_registros[REGISTRO],DADOS!$N$6,tabela_registros[TIPO],DADOS!$AJ$4,tabela_registros[CATEGORIA],reservavariáveisconsolidadomar[[#This Row],[ATUAL]])</f>
        <v>0</v>
      </c>
      <c r="Y191" s="91">
        <f>SUMIFS(tabela_registros[VALOR],tabela_registros[MÊS],$AE$1,tabela_registros[DIA],reservavariáveisconsolidadomar[[#Headers],[21]],tabela_registros[REGISTRO],DADOS!$N$6,tabela_registros[TIPO],DADOS!$AJ$4,tabela_registros[CATEGORIA],reservavariáveisconsolidadomar[[#This Row],[ATUAL]])</f>
        <v>0</v>
      </c>
      <c r="Z191" s="91">
        <f>SUMIFS(tabela_registros[VALOR],tabela_registros[MÊS],$AE$1,tabela_registros[DIA],reservavariáveisconsolidadomar[[#Headers],[22]],tabela_registros[REGISTRO],DADOS!$N$6,tabela_registros[TIPO],DADOS!$AJ$4,tabela_registros[CATEGORIA],reservavariáveisconsolidadomar[[#This Row],[ATUAL]])</f>
        <v>0</v>
      </c>
      <c r="AA191" s="91">
        <f>SUMIFS(tabela_registros[VALOR],tabela_registros[MÊS],$AE$1,tabela_registros[DIA],reservavariáveisconsolidadomar[[#Headers],[23]],tabela_registros[REGISTRO],DADOS!$N$6,tabela_registros[TIPO],DADOS!$AJ$4,tabela_registros[CATEGORIA],reservavariáveisconsolidadomar[[#This Row],[ATUAL]])</f>
        <v>0</v>
      </c>
      <c r="AB191" s="91">
        <f>SUMIFS(tabela_registros[VALOR],tabela_registros[MÊS],$AE$1,tabela_registros[DIA],reservavariáveisconsolidadomar[[#Headers],[24]],tabela_registros[REGISTRO],DADOS!$N$6,tabela_registros[TIPO],DADOS!$AJ$4,tabela_registros[CATEGORIA],reservavariáveisconsolidadomar[[#This Row],[ATUAL]])</f>
        <v>0</v>
      </c>
      <c r="AC191" s="91">
        <f>SUMIFS(tabela_registros[VALOR],tabela_registros[MÊS],$AE$1,tabela_registros[DIA],reservavariáveisconsolidadomar[[#Headers],[25]],tabela_registros[REGISTRO],DADOS!$N$6,tabela_registros[TIPO],DADOS!$AJ$4,tabela_registros[CATEGORIA],reservavariáveisconsolidadomar[[#This Row],[ATUAL]])</f>
        <v>0</v>
      </c>
      <c r="AD191" s="91">
        <f>SUMIFS(tabela_registros[VALOR],tabela_registros[MÊS],$AE$1,tabela_registros[DIA],reservavariáveisconsolidadomar[[#Headers],[26]],tabela_registros[REGISTRO],DADOS!$N$6,tabela_registros[TIPO],DADOS!$AJ$4,tabela_registros[CATEGORIA],reservavariáveisconsolidadomar[[#This Row],[ATUAL]])</f>
        <v>0</v>
      </c>
      <c r="AE191" s="91">
        <f>SUMIFS(tabela_registros[VALOR],tabela_registros[MÊS],$AE$1,tabela_registros[DIA],reservavariáveisconsolidadomar[[#Headers],[27]],tabela_registros[REGISTRO],DADOS!$N$6,tabela_registros[TIPO],DADOS!$AJ$4,tabela_registros[CATEGORIA],reservavariáveisconsolidadomar[[#This Row],[ATUAL]])</f>
        <v>0</v>
      </c>
      <c r="AF191" s="91">
        <f>SUMIFS(tabela_registros[VALOR],tabela_registros[MÊS],$AE$1,tabela_registros[DIA],reservavariáveisconsolidadomar[[#Headers],[28]],tabela_registros[REGISTRO],DADOS!$N$6,tabela_registros[TIPO],DADOS!$AJ$4,tabela_registros[CATEGORIA],reservavariáveisconsolidadomar[[#This Row],[ATUAL]])</f>
        <v>0</v>
      </c>
      <c r="AG191" s="91">
        <f>SUMIFS(tabela_registros[VALOR],tabela_registros[MÊS],$AE$1,tabela_registros[DIA],reservavariáveisconsolidadomar[[#Headers],[29]],tabela_registros[REGISTRO],DADOS!$N$6,tabela_registros[TIPO],DADOS!$AJ$4,tabela_registros[CATEGORIA],reservavariáveisconsolidadomar[[#This Row],[ATUAL]])</f>
        <v>0</v>
      </c>
      <c r="AH191" s="91">
        <f>SUMIFS(tabela_registros[VALOR],tabela_registros[MÊS],$AE$1,tabela_registros[DIA],reservavariáveisconsolidadomar[[#Headers],[30]],tabela_registros[REGISTRO],DADOS!$N$6,tabela_registros[TIPO],DADOS!$AJ$4,tabela_registros[CATEGORIA],reservavariáveisconsolidadomar[[#This Row],[ATUAL]])</f>
        <v>0</v>
      </c>
      <c r="AI191" s="101">
        <f>SUMIFS(tabela_registros[VALOR],tabela_registros[MÊS],$AE$1,tabela_registros[DIA],reservavariáveisconsolidadomar[[#Headers],[31]],tabela_registros[REGISTRO],DADOS!$N$6,tabela_registros[TIPO],DADOS!$AJ$4,tabela_registros[CATEGORIA],reservavariáveisconsolidadomar[[#This Row],[ATUAL]])</f>
        <v>0</v>
      </c>
      <c r="AJ191" s="97">
        <f>SUM(reservavariáveisconsolidadomar[[#This Row],[1]:[31]])</f>
        <v>0</v>
      </c>
      <c r="AK191" s="25"/>
    </row>
    <row r="192" spans="2:37" ht="19.5" customHeight="1" thickTop="1" thickBot="1" x14ac:dyDescent="0.3">
      <c r="B192" s="28"/>
      <c r="C192" s="27" t="str">
        <f>DADOS!$AN$8</f>
        <v>📝 ETF</v>
      </c>
      <c r="D192" s="26" t="str">
        <f>IF(reservavariáveisconsolidadomar[[#This Row],[TOTAL (R$)]]=0,"",IF(OR(reservavariáveisconsolidadomar[[#This Row],[TOTAL (R$)]]=LARGE($AJ$187:$AJ$196,1),reservavariáveisconsolidadomar[[#This Row],[TOTAL (R$)]]=LARGE($AJ$187:$AJ$196,2)),DADOS!$I$11,""))</f>
        <v/>
      </c>
      <c r="E192" s="96">
        <f>SUMIFS(tabela_registros[VALOR],tabela_registros[MÊS],$AE$1,tabela_registros[DIA],reservavariáveisconsolidadomar[[#Headers],[1]],tabela_registros[REGISTRO],DADOS!$N$6,tabela_registros[TIPO],DADOS!$AJ$4,tabela_registros[CATEGORIA],reservavariáveisconsolidadomar[[#This Row],[ATUAL]])</f>
        <v>0</v>
      </c>
      <c r="F192" s="91">
        <f>SUMIFS(tabela_registros[VALOR],tabela_registros[MÊS],$AE$1,tabela_registros[DIA],reservavariáveisconsolidadomar[[#Headers],[2]],tabela_registros[REGISTRO],DADOS!$N$6,tabela_registros[TIPO],DADOS!$AJ$4,tabela_registros[CATEGORIA],reservavariáveisconsolidadomar[[#This Row],[ATUAL]])</f>
        <v>0</v>
      </c>
      <c r="G192" s="91">
        <f>SUMIFS(tabela_registros[VALOR],tabela_registros[MÊS],$AE$1,tabela_registros[DIA],reservavariáveisconsolidadomar[[#Headers],[3]],tabela_registros[REGISTRO],DADOS!$N$6,tabela_registros[TIPO],DADOS!$AJ$4,tabela_registros[CATEGORIA],reservavariáveisconsolidadomar[[#This Row],[ATUAL]])</f>
        <v>0</v>
      </c>
      <c r="H192" s="91">
        <f>SUMIFS(tabela_registros[VALOR],tabela_registros[MÊS],$AE$1,tabela_registros[DIA],reservavariáveisconsolidadomar[[#Headers],[4]],tabela_registros[REGISTRO],DADOS!$N$6,tabela_registros[TIPO],DADOS!$AJ$4,tabela_registros[CATEGORIA],reservavariáveisconsolidadomar[[#This Row],[ATUAL]])</f>
        <v>0</v>
      </c>
      <c r="I192" s="91">
        <f>SUMIFS(tabela_registros[VALOR],tabela_registros[MÊS],$AE$1,tabela_registros[DIA],reservavariáveisconsolidadomar[[#Headers],[5]],tabela_registros[REGISTRO],DADOS!$N$6,tabela_registros[TIPO],DADOS!$AJ$4,tabela_registros[CATEGORIA],reservavariáveisconsolidadomar[[#This Row],[ATUAL]])</f>
        <v>0</v>
      </c>
      <c r="J192" s="91">
        <f>SUMIFS(tabela_registros[VALOR],tabela_registros[MÊS],$AE$1,tabela_registros[DIA],reservavariáveisconsolidadomar[[#Headers],[6]],tabela_registros[REGISTRO],DADOS!$N$6,tabela_registros[TIPO],DADOS!$AJ$4,tabela_registros[CATEGORIA],reservavariáveisconsolidadomar[[#This Row],[ATUAL]])</f>
        <v>0</v>
      </c>
      <c r="K192" s="91">
        <f>SUMIFS(tabela_registros[VALOR],tabela_registros[MÊS],$AE$1,tabela_registros[DIA],reservavariáveisconsolidadomar[[#Headers],[7]],tabela_registros[REGISTRO],DADOS!$N$6,tabela_registros[TIPO],DADOS!$AJ$4,tabela_registros[CATEGORIA],reservavariáveisconsolidadomar[[#This Row],[ATUAL]])</f>
        <v>0</v>
      </c>
      <c r="L192" s="91">
        <f>SUMIFS(tabela_registros[VALOR],tabela_registros[MÊS],$AE$1,tabela_registros[DIA],reservavariáveisconsolidadomar[[#Headers],[8]],tabela_registros[REGISTRO],DADOS!$N$6,tabela_registros[TIPO],DADOS!$AJ$4,tabela_registros[CATEGORIA],reservavariáveisconsolidadomar[[#This Row],[ATUAL]])</f>
        <v>0</v>
      </c>
      <c r="M192" s="91">
        <f>SUMIFS(tabela_registros[VALOR],tabela_registros[MÊS],$AE$1,tabela_registros[DIA],reservavariáveisconsolidadomar[[#Headers],[9]],tabela_registros[REGISTRO],DADOS!$N$6,tabela_registros[TIPO],DADOS!$AJ$4,tabela_registros[CATEGORIA],reservavariáveisconsolidadomar[[#This Row],[ATUAL]])</f>
        <v>0</v>
      </c>
      <c r="N192" s="91">
        <f>SUMIFS(tabela_registros[VALOR],tabela_registros[MÊS],$AE$1,tabela_registros[DIA],reservavariáveisconsolidadomar[[#Headers],[10]],tabela_registros[REGISTRO],DADOS!$N$6,tabela_registros[TIPO],DADOS!$AJ$4,tabela_registros[CATEGORIA],reservavariáveisconsolidadomar[[#This Row],[ATUAL]])</f>
        <v>0</v>
      </c>
      <c r="O192" s="91">
        <f>SUMIFS(tabela_registros[VALOR],tabela_registros[MÊS],$AE$1,tabela_registros[DIA],reservavariáveisconsolidadomar[[#Headers],[11]],tabela_registros[REGISTRO],DADOS!$N$6,tabela_registros[TIPO],DADOS!$AJ$4,tabela_registros[CATEGORIA],reservavariáveisconsolidadomar[[#This Row],[ATUAL]])</f>
        <v>0</v>
      </c>
      <c r="P192" s="91">
        <f>SUMIFS(tabela_registros[VALOR],tabela_registros[MÊS],$AE$1,tabela_registros[DIA],reservavariáveisconsolidadomar[[#Headers],[12]],tabela_registros[REGISTRO],DADOS!$N$6,tabela_registros[TIPO],DADOS!$AJ$4,tabela_registros[CATEGORIA],reservavariáveisconsolidadomar[[#This Row],[ATUAL]])</f>
        <v>0</v>
      </c>
      <c r="Q192" s="91">
        <f>SUMIFS(tabela_registros[VALOR],tabela_registros[MÊS],$AE$1,tabela_registros[DIA],reservavariáveisconsolidadomar[[#Headers],[13]],tabela_registros[REGISTRO],DADOS!$N$6,tabela_registros[TIPO],DADOS!$AJ$4,tabela_registros[CATEGORIA],reservavariáveisconsolidadomar[[#This Row],[ATUAL]])</f>
        <v>0</v>
      </c>
      <c r="R192" s="91">
        <f>SUMIFS(tabela_registros[VALOR],tabela_registros[MÊS],$AE$1,tabela_registros[DIA],reservavariáveisconsolidadomar[[#Headers],[14]],tabela_registros[REGISTRO],DADOS!$N$6,tabela_registros[TIPO],DADOS!$AJ$4,tabela_registros[CATEGORIA],reservavariáveisconsolidadomar[[#This Row],[ATUAL]])</f>
        <v>0</v>
      </c>
      <c r="S192" s="91">
        <f>SUMIFS(tabela_registros[VALOR],tabela_registros[MÊS],$AE$1,tabela_registros[DIA],reservavariáveisconsolidadomar[[#Headers],[15]],tabela_registros[REGISTRO],DADOS!$N$6,tabela_registros[TIPO],DADOS!$AJ$4,tabela_registros[CATEGORIA],reservavariáveisconsolidadomar[[#This Row],[ATUAL]])</f>
        <v>0</v>
      </c>
      <c r="T192" s="91">
        <f>SUMIFS(tabela_registros[VALOR],tabela_registros[MÊS],$AE$1,tabela_registros[DIA],reservavariáveisconsolidadomar[[#Headers],[16]],tabela_registros[REGISTRO],DADOS!$N$6,tabela_registros[TIPO],DADOS!$AJ$4,tabela_registros[CATEGORIA],reservavariáveisconsolidadomar[[#This Row],[ATUAL]])</f>
        <v>0</v>
      </c>
      <c r="U192" s="91">
        <f>SUMIFS(tabela_registros[VALOR],tabela_registros[MÊS],$AE$1,tabela_registros[DIA],reservavariáveisconsolidadomar[[#Headers],[17]],tabela_registros[REGISTRO],DADOS!$N$6,tabela_registros[TIPO],DADOS!$AJ$4,tabela_registros[CATEGORIA],reservavariáveisconsolidadomar[[#This Row],[ATUAL]])</f>
        <v>0</v>
      </c>
      <c r="V192" s="91">
        <f>SUMIFS(tabela_registros[VALOR],tabela_registros[MÊS],$AE$1,tabela_registros[DIA],reservavariáveisconsolidadomar[[#Headers],[18]],tabela_registros[REGISTRO],DADOS!$N$6,tabela_registros[TIPO],DADOS!$AJ$4,tabela_registros[CATEGORIA],reservavariáveisconsolidadomar[[#This Row],[ATUAL]])</f>
        <v>0</v>
      </c>
      <c r="W192" s="91">
        <f>SUMIFS(tabela_registros[VALOR],tabela_registros[MÊS],$AE$1,tabela_registros[DIA],reservavariáveisconsolidadomar[[#Headers],[19]],tabela_registros[REGISTRO],DADOS!$N$6,tabela_registros[TIPO],DADOS!$AJ$4,tabela_registros[CATEGORIA],reservavariáveisconsolidadomar[[#This Row],[ATUAL]])</f>
        <v>0</v>
      </c>
      <c r="X192" s="91">
        <f>SUMIFS(tabela_registros[VALOR],tabela_registros[MÊS],$AE$1,tabela_registros[DIA],reservavariáveisconsolidadomar[[#Headers],[20]],tabela_registros[REGISTRO],DADOS!$N$6,tabela_registros[TIPO],DADOS!$AJ$4,tabela_registros[CATEGORIA],reservavariáveisconsolidadomar[[#This Row],[ATUAL]])</f>
        <v>0</v>
      </c>
      <c r="Y192" s="91">
        <f>SUMIFS(tabela_registros[VALOR],tabela_registros[MÊS],$AE$1,tabela_registros[DIA],reservavariáveisconsolidadomar[[#Headers],[21]],tabela_registros[REGISTRO],DADOS!$N$6,tabela_registros[TIPO],DADOS!$AJ$4,tabela_registros[CATEGORIA],reservavariáveisconsolidadomar[[#This Row],[ATUAL]])</f>
        <v>0</v>
      </c>
      <c r="Z192" s="91">
        <f>SUMIFS(tabela_registros[VALOR],tabela_registros[MÊS],$AE$1,tabela_registros[DIA],reservavariáveisconsolidadomar[[#Headers],[22]],tabela_registros[REGISTRO],DADOS!$N$6,tabela_registros[TIPO],DADOS!$AJ$4,tabela_registros[CATEGORIA],reservavariáveisconsolidadomar[[#This Row],[ATUAL]])</f>
        <v>0</v>
      </c>
      <c r="AA192" s="91">
        <f>SUMIFS(tabela_registros[VALOR],tabela_registros[MÊS],$AE$1,tabela_registros[DIA],reservavariáveisconsolidadomar[[#Headers],[23]],tabela_registros[REGISTRO],DADOS!$N$6,tabela_registros[TIPO],DADOS!$AJ$4,tabela_registros[CATEGORIA],reservavariáveisconsolidadomar[[#This Row],[ATUAL]])</f>
        <v>0</v>
      </c>
      <c r="AB192" s="91">
        <f>SUMIFS(tabela_registros[VALOR],tabela_registros[MÊS],$AE$1,tabela_registros[DIA],reservavariáveisconsolidadomar[[#Headers],[24]],tabela_registros[REGISTRO],DADOS!$N$6,tabela_registros[TIPO],DADOS!$AJ$4,tabela_registros[CATEGORIA],reservavariáveisconsolidadomar[[#This Row],[ATUAL]])</f>
        <v>0</v>
      </c>
      <c r="AC192" s="91">
        <f>SUMIFS(tabela_registros[VALOR],tabela_registros[MÊS],$AE$1,tabela_registros[DIA],reservavariáveisconsolidadomar[[#Headers],[25]],tabela_registros[REGISTRO],DADOS!$N$6,tabela_registros[TIPO],DADOS!$AJ$4,tabela_registros[CATEGORIA],reservavariáveisconsolidadomar[[#This Row],[ATUAL]])</f>
        <v>0</v>
      </c>
      <c r="AD192" s="91">
        <f>SUMIFS(tabela_registros[VALOR],tabela_registros[MÊS],$AE$1,tabela_registros[DIA],reservavariáveisconsolidadomar[[#Headers],[26]],tabela_registros[REGISTRO],DADOS!$N$6,tabela_registros[TIPO],DADOS!$AJ$4,tabela_registros[CATEGORIA],reservavariáveisconsolidadomar[[#This Row],[ATUAL]])</f>
        <v>0</v>
      </c>
      <c r="AE192" s="91">
        <f>SUMIFS(tabela_registros[VALOR],tabela_registros[MÊS],$AE$1,tabela_registros[DIA],reservavariáveisconsolidadomar[[#Headers],[27]],tabela_registros[REGISTRO],DADOS!$N$6,tabela_registros[TIPO],DADOS!$AJ$4,tabela_registros[CATEGORIA],reservavariáveisconsolidadomar[[#This Row],[ATUAL]])</f>
        <v>0</v>
      </c>
      <c r="AF192" s="91">
        <f>SUMIFS(tabela_registros[VALOR],tabela_registros[MÊS],$AE$1,tabela_registros[DIA],reservavariáveisconsolidadomar[[#Headers],[28]],tabela_registros[REGISTRO],DADOS!$N$6,tabela_registros[TIPO],DADOS!$AJ$4,tabela_registros[CATEGORIA],reservavariáveisconsolidadomar[[#This Row],[ATUAL]])</f>
        <v>0</v>
      </c>
      <c r="AG192" s="91">
        <f>SUMIFS(tabela_registros[VALOR],tabela_registros[MÊS],$AE$1,tabela_registros[DIA],reservavariáveisconsolidadomar[[#Headers],[29]],tabela_registros[REGISTRO],DADOS!$N$6,tabela_registros[TIPO],DADOS!$AJ$4,tabela_registros[CATEGORIA],reservavariáveisconsolidadomar[[#This Row],[ATUAL]])</f>
        <v>0</v>
      </c>
      <c r="AH192" s="91">
        <f>SUMIFS(tabela_registros[VALOR],tabela_registros[MÊS],$AE$1,tabela_registros[DIA],reservavariáveisconsolidadomar[[#Headers],[30]],tabela_registros[REGISTRO],DADOS!$N$6,tabela_registros[TIPO],DADOS!$AJ$4,tabela_registros[CATEGORIA],reservavariáveisconsolidadomar[[#This Row],[ATUAL]])</f>
        <v>0</v>
      </c>
      <c r="AI192" s="101">
        <f>SUMIFS(tabela_registros[VALOR],tabela_registros[MÊS],$AE$1,tabela_registros[DIA],reservavariáveisconsolidadomar[[#Headers],[31]],tabela_registros[REGISTRO],DADOS!$N$6,tabela_registros[TIPO],DADOS!$AJ$4,tabela_registros[CATEGORIA],reservavariáveisconsolidadomar[[#This Row],[ATUAL]])</f>
        <v>0</v>
      </c>
      <c r="AJ192" s="97">
        <f>SUM(reservavariáveisconsolidadomar[[#This Row],[1]:[31]])</f>
        <v>0</v>
      </c>
      <c r="AK192" s="25"/>
    </row>
    <row r="193" spans="2:37" ht="19.5" customHeight="1" thickTop="1" thickBot="1" x14ac:dyDescent="0.3">
      <c r="B193" s="28"/>
      <c r="C193" s="27" t="str">
        <f>DADOS!$AN$9</f>
        <v>📝 EXTERIOR</v>
      </c>
      <c r="D193" s="26" t="str">
        <f>IF(reservavariáveisconsolidadomar[[#This Row],[TOTAL (R$)]]=0,"",IF(OR(reservavariáveisconsolidadomar[[#This Row],[TOTAL (R$)]]=LARGE($AJ$187:$AJ$196,1),reservavariáveisconsolidadomar[[#This Row],[TOTAL (R$)]]=LARGE($AJ$187:$AJ$196,2)),DADOS!$I$11,""))</f>
        <v/>
      </c>
      <c r="E193" s="96">
        <f>SUMIFS(tabela_registros[VALOR],tabela_registros[MÊS],$AE$1,tabela_registros[DIA],reservavariáveisconsolidadomar[[#Headers],[1]],tabela_registros[REGISTRO],DADOS!$N$6,tabela_registros[TIPO],DADOS!$AJ$4,tabela_registros[CATEGORIA],reservavariáveisconsolidadomar[[#This Row],[ATUAL]])</f>
        <v>0</v>
      </c>
      <c r="F193" s="91">
        <f>SUMIFS(tabela_registros[VALOR],tabela_registros[MÊS],$AE$1,tabela_registros[DIA],reservavariáveisconsolidadomar[[#Headers],[2]],tabela_registros[REGISTRO],DADOS!$N$6,tabela_registros[TIPO],DADOS!$AJ$4,tabela_registros[CATEGORIA],reservavariáveisconsolidadomar[[#This Row],[ATUAL]])</f>
        <v>0</v>
      </c>
      <c r="G193" s="91">
        <f>SUMIFS(tabela_registros[VALOR],tabela_registros[MÊS],$AE$1,tabela_registros[DIA],reservavariáveisconsolidadomar[[#Headers],[3]],tabela_registros[REGISTRO],DADOS!$N$6,tabela_registros[TIPO],DADOS!$AJ$4,tabela_registros[CATEGORIA],reservavariáveisconsolidadomar[[#This Row],[ATUAL]])</f>
        <v>0</v>
      </c>
      <c r="H193" s="91">
        <f>SUMIFS(tabela_registros[VALOR],tabela_registros[MÊS],$AE$1,tabela_registros[DIA],reservavariáveisconsolidadomar[[#Headers],[4]],tabela_registros[REGISTRO],DADOS!$N$6,tabela_registros[TIPO],DADOS!$AJ$4,tabela_registros[CATEGORIA],reservavariáveisconsolidadomar[[#This Row],[ATUAL]])</f>
        <v>0</v>
      </c>
      <c r="I193" s="91">
        <f>SUMIFS(tabela_registros[VALOR],tabela_registros[MÊS],$AE$1,tabela_registros[DIA],reservavariáveisconsolidadomar[[#Headers],[5]],tabela_registros[REGISTRO],DADOS!$N$6,tabela_registros[TIPO],DADOS!$AJ$4,tabela_registros[CATEGORIA],reservavariáveisconsolidadomar[[#This Row],[ATUAL]])</f>
        <v>0</v>
      </c>
      <c r="J193" s="91">
        <f>SUMIFS(tabela_registros[VALOR],tabela_registros[MÊS],$AE$1,tabela_registros[DIA],reservavariáveisconsolidadomar[[#Headers],[6]],tabela_registros[REGISTRO],DADOS!$N$6,tabela_registros[TIPO],DADOS!$AJ$4,tabela_registros[CATEGORIA],reservavariáveisconsolidadomar[[#This Row],[ATUAL]])</f>
        <v>0</v>
      </c>
      <c r="K193" s="91">
        <f>SUMIFS(tabela_registros[VALOR],tabela_registros[MÊS],$AE$1,tabela_registros[DIA],reservavariáveisconsolidadomar[[#Headers],[7]],tabela_registros[REGISTRO],DADOS!$N$6,tabela_registros[TIPO],DADOS!$AJ$4,tabela_registros[CATEGORIA],reservavariáveisconsolidadomar[[#This Row],[ATUAL]])</f>
        <v>0</v>
      </c>
      <c r="L193" s="91">
        <f>SUMIFS(tabela_registros[VALOR],tabela_registros[MÊS],$AE$1,tabela_registros[DIA],reservavariáveisconsolidadomar[[#Headers],[8]],tabela_registros[REGISTRO],DADOS!$N$6,tabela_registros[TIPO],DADOS!$AJ$4,tabela_registros[CATEGORIA],reservavariáveisconsolidadomar[[#This Row],[ATUAL]])</f>
        <v>0</v>
      </c>
      <c r="M193" s="91">
        <f>SUMIFS(tabela_registros[VALOR],tabela_registros[MÊS],$AE$1,tabela_registros[DIA],reservavariáveisconsolidadomar[[#Headers],[9]],tabela_registros[REGISTRO],DADOS!$N$6,tabela_registros[TIPO],DADOS!$AJ$4,tabela_registros[CATEGORIA],reservavariáveisconsolidadomar[[#This Row],[ATUAL]])</f>
        <v>0</v>
      </c>
      <c r="N193" s="91">
        <f>SUMIFS(tabela_registros[VALOR],tabela_registros[MÊS],$AE$1,tabela_registros[DIA],reservavariáveisconsolidadomar[[#Headers],[10]],tabela_registros[REGISTRO],DADOS!$N$6,tabela_registros[TIPO],DADOS!$AJ$4,tabela_registros[CATEGORIA],reservavariáveisconsolidadomar[[#This Row],[ATUAL]])</f>
        <v>0</v>
      </c>
      <c r="O193" s="91">
        <f>SUMIFS(tabela_registros[VALOR],tabela_registros[MÊS],$AE$1,tabela_registros[DIA],reservavariáveisconsolidadomar[[#Headers],[11]],tabela_registros[REGISTRO],DADOS!$N$6,tabela_registros[TIPO],DADOS!$AJ$4,tabela_registros[CATEGORIA],reservavariáveisconsolidadomar[[#This Row],[ATUAL]])</f>
        <v>0</v>
      </c>
      <c r="P193" s="91">
        <f>SUMIFS(tabela_registros[VALOR],tabela_registros[MÊS],$AE$1,tabela_registros[DIA],reservavariáveisconsolidadomar[[#Headers],[12]],tabela_registros[REGISTRO],DADOS!$N$6,tabela_registros[TIPO],DADOS!$AJ$4,tabela_registros[CATEGORIA],reservavariáveisconsolidadomar[[#This Row],[ATUAL]])</f>
        <v>0</v>
      </c>
      <c r="Q193" s="91">
        <f>SUMIFS(tabela_registros[VALOR],tabela_registros[MÊS],$AE$1,tabela_registros[DIA],reservavariáveisconsolidadomar[[#Headers],[13]],tabela_registros[REGISTRO],DADOS!$N$6,tabela_registros[TIPO],DADOS!$AJ$4,tabela_registros[CATEGORIA],reservavariáveisconsolidadomar[[#This Row],[ATUAL]])</f>
        <v>0</v>
      </c>
      <c r="R193" s="91">
        <f>SUMIFS(tabela_registros[VALOR],tabela_registros[MÊS],$AE$1,tabela_registros[DIA],reservavariáveisconsolidadomar[[#Headers],[14]],tabela_registros[REGISTRO],DADOS!$N$6,tabela_registros[TIPO],DADOS!$AJ$4,tabela_registros[CATEGORIA],reservavariáveisconsolidadomar[[#This Row],[ATUAL]])</f>
        <v>0</v>
      </c>
      <c r="S193" s="91">
        <f>SUMIFS(tabela_registros[VALOR],tabela_registros[MÊS],$AE$1,tabela_registros[DIA],reservavariáveisconsolidadomar[[#Headers],[15]],tabela_registros[REGISTRO],DADOS!$N$6,tabela_registros[TIPO],DADOS!$AJ$4,tabela_registros[CATEGORIA],reservavariáveisconsolidadomar[[#This Row],[ATUAL]])</f>
        <v>0</v>
      </c>
      <c r="T193" s="91">
        <f>SUMIFS(tabela_registros[VALOR],tabela_registros[MÊS],$AE$1,tabela_registros[DIA],reservavariáveisconsolidadomar[[#Headers],[16]],tabela_registros[REGISTRO],DADOS!$N$6,tabela_registros[TIPO],DADOS!$AJ$4,tabela_registros[CATEGORIA],reservavariáveisconsolidadomar[[#This Row],[ATUAL]])</f>
        <v>0</v>
      </c>
      <c r="U193" s="91">
        <f>SUMIFS(tabela_registros[VALOR],tabela_registros[MÊS],$AE$1,tabela_registros[DIA],reservavariáveisconsolidadomar[[#Headers],[17]],tabela_registros[REGISTRO],DADOS!$N$6,tabela_registros[TIPO],DADOS!$AJ$4,tabela_registros[CATEGORIA],reservavariáveisconsolidadomar[[#This Row],[ATUAL]])</f>
        <v>0</v>
      </c>
      <c r="V193" s="91">
        <f>SUMIFS(tabela_registros[VALOR],tabela_registros[MÊS],$AE$1,tabela_registros[DIA],reservavariáveisconsolidadomar[[#Headers],[18]],tabela_registros[REGISTRO],DADOS!$N$6,tabela_registros[TIPO],DADOS!$AJ$4,tabela_registros[CATEGORIA],reservavariáveisconsolidadomar[[#This Row],[ATUAL]])</f>
        <v>0</v>
      </c>
      <c r="W193" s="91">
        <f>SUMIFS(tabela_registros[VALOR],tabela_registros[MÊS],$AE$1,tabela_registros[DIA],reservavariáveisconsolidadomar[[#Headers],[19]],tabela_registros[REGISTRO],DADOS!$N$6,tabela_registros[TIPO],DADOS!$AJ$4,tabela_registros[CATEGORIA],reservavariáveisconsolidadomar[[#This Row],[ATUAL]])</f>
        <v>0</v>
      </c>
      <c r="X193" s="91">
        <f>SUMIFS(tabela_registros[VALOR],tabela_registros[MÊS],$AE$1,tabela_registros[DIA],reservavariáveisconsolidadomar[[#Headers],[20]],tabela_registros[REGISTRO],DADOS!$N$6,tabela_registros[TIPO],DADOS!$AJ$4,tabela_registros[CATEGORIA],reservavariáveisconsolidadomar[[#This Row],[ATUAL]])</f>
        <v>0</v>
      </c>
      <c r="Y193" s="91">
        <f>SUMIFS(tabela_registros[VALOR],tabela_registros[MÊS],$AE$1,tabela_registros[DIA],reservavariáveisconsolidadomar[[#Headers],[21]],tabela_registros[REGISTRO],DADOS!$N$6,tabela_registros[TIPO],DADOS!$AJ$4,tabela_registros[CATEGORIA],reservavariáveisconsolidadomar[[#This Row],[ATUAL]])</f>
        <v>0</v>
      </c>
      <c r="Z193" s="91">
        <f>SUMIFS(tabela_registros[VALOR],tabela_registros[MÊS],$AE$1,tabela_registros[DIA],reservavariáveisconsolidadomar[[#Headers],[22]],tabela_registros[REGISTRO],DADOS!$N$6,tabela_registros[TIPO],DADOS!$AJ$4,tabela_registros[CATEGORIA],reservavariáveisconsolidadomar[[#This Row],[ATUAL]])</f>
        <v>0</v>
      </c>
      <c r="AA193" s="91">
        <f>SUMIFS(tabela_registros[VALOR],tabela_registros[MÊS],$AE$1,tabela_registros[DIA],reservavariáveisconsolidadomar[[#Headers],[23]],tabela_registros[REGISTRO],DADOS!$N$6,tabela_registros[TIPO],DADOS!$AJ$4,tabela_registros[CATEGORIA],reservavariáveisconsolidadomar[[#This Row],[ATUAL]])</f>
        <v>0</v>
      </c>
      <c r="AB193" s="91">
        <f>SUMIFS(tabela_registros[VALOR],tabela_registros[MÊS],$AE$1,tabela_registros[DIA],reservavariáveisconsolidadomar[[#Headers],[24]],tabela_registros[REGISTRO],DADOS!$N$6,tabela_registros[TIPO],DADOS!$AJ$4,tabela_registros[CATEGORIA],reservavariáveisconsolidadomar[[#This Row],[ATUAL]])</f>
        <v>0</v>
      </c>
      <c r="AC193" s="91">
        <f>SUMIFS(tabela_registros[VALOR],tabela_registros[MÊS],$AE$1,tabela_registros[DIA],reservavariáveisconsolidadomar[[#Headers],[25]],tabela_registros[REGISTRO],DADOS!$N$6,tabela_registros[TIPO],DADOS!$AJ$4,tabela_registros[CATEGORIA],reservavariáveisconsolidadomar[[#This Row],[ATUAL]])</f>
        <v>0</v>
      </c>
      <c r="AD193" s="91">
        <f>SUMIFS(tabela_registros[VALOR],tabela_registros[MÊS],$AE$1,tabela_registros[DIA],reservavariáveisconsolidadomar[[#Headers],[26]],tabela_registros[REGISTRO],DADOS!$N$6,tabela_registros[TIPO],DADOS!$AJ$4,tabela_registros[CATEGORIA],reservavariáveisconsolidadomar[[#This Row],[ATUAL]])</f>
        <v>0</v>
      </c>
      <c r="AE193" s="91">
        <f>SUMIFS(tabela_registros[VALOR],tabela_registros[MÊS],$AE$1,tabela_registros[DIA],reservavariáveisconsolidadomar[[#Headers],[27]],tabela_registros[REGISTRO],DADOS!$N$6,tabela_registros[TIPO],DADOS!$AJ$4,tabela_registros[CATEGORIA],reservavariáveisconsolidadomar[[#This Row],[ATUAL]])</f>
        <v>0</v>
      </c>
      <c r="AF193" s="91">
        <f>SUMIFS(tabela_registros[VALOR],tabela_registros[MÊS],$AE$1,tabela_registros[DIA],reservavariáveisconsolidadomar[[#Headers],[28]],tabela_registros[REGISTRO],DADOS!$N$6,tabela_registros[TIPO],DADOS!$AJ$4,tabela_registros[CATEGORIA],reservavariáveisconsolidadomar[[#This Row],[ATUAL]])</f>
        <v>0</v>
      </c>
      <c r="AG193" s="91">
        <f>SUMIFS(tabela_registros[VALOR],tabela_registros[MÊS],$AE$1,tabela_registros[DIA],reservavariáveisconsolidadomar[[#Headers],[29]],tabela_registros[REGISTRO],DADOS!$N$6,tabela_registros[TIPO],DADOS!$AJ$4,tabela_registros[CATEGORIA],reservavariáveisconsolidadomar[[#This Row],[ATUAL]])</f>
        <v>0</v>
      </c>
      <c r="AH193" s="91">
        <f>SUMIFS(tabela_registros[VALOR],tabela_registros[MÊS],$AE$1,tabela_registros[DIA],reservavariáveisconsolidadomar[[#Headers],[30]],tabela_registros[REGISTRO],DADOS!$N$6,tabela_registros[TIPO],DADOS!$AJ$4,tabela_registros[CATEGORIA],reservavariáveisconsolidadomar[[#This Row],[ATUAL]])</f>
        <v>0</v>
      </c>
      <c r="AI193" s="101">
        <f>SUMIFS(tabela_registros[VALOR],tabela_registros[MÊS],$AE$1,tabela_registros[DIA],reservavariáveisconsolidadomar[[#Headers],[31]],tabela_registros[REGISTRO],DADOS!$N$6,tabela_registros[TIPO],DADOS!$AJ$4,tabela_registros[CATEGORIA],reservavariáveisconsolidadomar[[#This Row],[ATUAL]])</f>
        <v>0</v>
      </c>
      <c r="AJ193" s="97">
        <f>SUM(reservavariáveisconsolidadomar[[#This Row],[1]:[31]])</f>
        <v>0</v>
      </c>
      <c r="AK193" s="25"/>
    </row>
    <row r="194" spans="2:37" ht="19.5" customHeight="1" thickTop="1" thickBot="1" x14ac:dyDescent="0.3">
      <c r="B194" s="28"/>
      <c r="C194" s="27" t="str">
        <f>DADOS!$AN$10</f>
        <v>📝 FII</v>
      </c>
      <c r="D194" s="26" t="str">
        <f>IF(reservavariáveisconsolidadomar[[#This Row],[TOTAL (R$)]]=0,"",IF(OR(reservavariáveisconsolidadomar[[#This Row],[TOTAL (R$)]]=LARGE($AJ$187:$AJ$196,1),reservavariáveisconsolidadomar[[#This Row],[TOTAL (R$)]]=LARGE($AJ$187:$AJ$196,2)),DADOS!$I$11,""))</f>
        <v/>
      </c>
      <c r="E194" s="96">
        <f>SUMIFS(tabela_registros[VALOR],tabela_registros[MÊS],$AE$1,tabela_registros[DIA],reservavariáveisconsolidadomar[[#Headers],[1]],tabela_registros[REGISTRO],DADOS!$N$6,tabela_registros[TIPO],DADOS!$AJ$4,tabela_registros[CATEGORIA],reservavariáveisconsolidadomar[[#This Row],[ATUAL]])</f>
        <v>0</v>
      </c>
      <c r="F194" s="91">
        <f>SUMIFS(tabela_registros[VALOR],tabela_registros[MÊS],$AE$1,tabela_registros[DIA],reservavariáveisconsolidadomar[[#Headers],[2]],tabela_registros[REGISTRO],DADOS!$N$6,tabela_registros[TIPO],DADOS!$AJ$4,tabela_registros[CATEGORIA],reservavariáveisconsolidadomar[[#This Row],[ATUAL]])</f>
        <v>0</v>
      </c>
      <c r="G194" s="91">
        <f>SUMIFS(tabela_registros[VALOR],tabela_registros[MÊS],$AE$1,tabela_registros[DIA],reservavariáveisconsolidadomar[[#Headers],[3]],tabela_registros[REGISTRO],DADOS!$N$6,tabela_registros[TIPO],DADOS!$AJ$4,tabela_registros[CATEGORIA],reservavariáveisconsolidadomar[[#This Row],[ATUAL]])</f>
        <v>0</v>
      </c>
      <c r="H194" s="91">
        <f>SUMIFS(tabela_registros[VALOR],tabela_registros[MÊS],$AE$1,tabela_registros[DIA],reservavariáveisconsolidadomar[[#Headers],[4]],tabela_registros[REGISTRO],DADOS!$N$6,tabela_registros[TIPO],DADOS!$AJ$4,tabela_registros[CATEGORIA],reservavariáveisconsolidadomar[[#This Row],[ATUAL]])</f>
        <v>0</v>
      </c>
      <c r="I194" s="91">
        <f>SUMIFS(tabela_registros[VALOR],tabela_registros[MÊS],$AE$1,tabela_registros[DIA],reservavariáveisconsolidadomar[[#Headers],[5]],tabela_registros[REGISTRO],DADOS!$N$6,tabela_registros[TIPO],DADOS!$AJ$4,tabela_registros[CATEGORIA],reservavariáveisconsolidadomar[[#This Row],[ATUAL]])</f>
        <v>0</v>
      </c>
      <c r="J194" s="91">
        <f>SUMIFS(tabela_registros[VALOR],tabela_registros[MÊS],$AE$1,tabela_registros[DIA],reservavariáveisconsolidadomar[[#Headers],[6]],tabela_registros[REGISTRO],DADOS!$N$6,tabela_registros[TIPO],DADOS!$AJ$4,tabela_registros[CATEGORIA],reservavariáveisconsolidadomar[[#This Row],[ATUAL]])</f>
        <v>0</v>
      </c>
      <c r="K194" s="91">
        <f>SUMIFS(tabela_registros[VALOR],tabela_registros[MÊS],$AE$1,tabela_registros[DIA],reservavariáveisconsolidadomar[[#Headers],[7]],tabela_registros[REGISTRO],DADOS!$N$6,tabela_registros[TIPO],DADOS!$AJ$4,tabela_registros[CATEGORIA],reservavariáveisconsolidadomar[[#This Row],[ATUAL]])</f>
        <v>0</v>
      </c>
      <c r="L194" s="91">
        <f>SUMIFS(tabela_registros[VALOR],tabela_registros[MÊS],$AE$1,tabela_registros[DIA],reservavariáveisconsolidadomar[[#Headers],[8]],tabela_registros[REGISTRO],DADOS!$N$6,tabela_registros[TIPO],DADOS!$AJ$4,tabela_registros[CATEGORIA],reservavariáveisconsolidadomar[[#This Row],[ATUAL]])</f>
        <v>0</v>
      </c>
      <c r="M194" s="91">
        <f>SUMIFS(tabela_registros[VALOR],tabela_registros[MÊS],$AE$1,tabela_registros[DIA],reservavariáveisconsolidadomar[[#Headers],[9]],tabela_registros[REGISTRO],DADOS!$N$6,tabela_registros[TIPO],DADOS!$AJ$4,tabela_registros[CATEGORIA],reservavariáveisconsolidadomar[[#This Row],[ATUAL]])</f>
        <v>0</v>
      </c>
      <c r="N194" s="91">
        <f>SUMIFS(tabela_registros[VALOR],tabela_registros[MÊS],$AE$1,tabela_registros[DIA],reservavariáveisconsolidadomar[[#Headers],[10]],tabela_registros[REGISTRO],DADOS!$N$6,tabela_registros[TIPO],DADOS!$AJ$4,tabela_registros[CATEGORIA],reservavariáveisconsolidadomar[[#This Row],[ATUAL]])</f>
        <v>0</v>
      </c>
      <c r="O194" s="91">
        <f>SUMIFS(tabela_registros[VALOR],tabela_registros[MÊS],$AE$1,tabela_registros[DIA],reservavariáveisconsolidadomar[[#Headers],[11]],tabela_registros[REGISTRO],DADOS!$N$6,tabela_registros[TIPO],DADOS!$AJ$4,tabela_registros[CATEGORIA],reservavariáveisconsolidadomar[[#This Row],[ATUAL]])</f>
        <v>0</v>
      </c>
      <c r="P194" s="91">
        <f>SUMIFS(tabela_registros[VALOR],tabela_registros[MÊS],$AE$1,tabela_registros[DIA],reservavariáveisconsolidadomar[[#Headers],[12]],tabela_registros[REGISTRO],DADOS!$N$6,tabela_registros[TIPO],DADOS!$AJ$4,tabela_registros[CATEGORIA],reservavariáveisconsolidadomar[[#This Row],[ATUAL]])</f>
        <v>0</v>
      </c>
      <c r="Q194" s="91">
        <f>SUMIFS(tabela_registros[VALOR],tabela_registros[MÊS],$AE$1,tabela_registros[DIA],reservavariáveisconsolidadomar[[#Headers],[13]],tabela_registros[REGISTRO],DADOS!$N$6,tabela_registros[TIPO],DADOS!$AJ$4,tabela_registros[CATEGORIA],reservavariáveisconsolidadomar[[#This Row],[ATUAL]])</f>
        <v>0</v>
      </c>
      <c r="R194" s="91">
        <f>SUMIFS(tabela_registros[VALOR],tabela_registros[MÊS],$AE$1,tabela_registros[DIA],reservavariáveisconsolidadomar[[#Headers],[14]],tabela_registros[REGISTRO],DADOS!$N$6,tabela_registros[TIPO],DADOS!$AJ$4,tabela_registros[CATEGORIA],reservavariáveisconsolidadomar[[#This Row],[ATUAL]])</f>
        <v>0</v>
      </c>
      <c r="S194" s="91">
        <f>SUMIFS(tabela_registros[VALOR],tabela_registros[MÊS],$AE$1,tabela_registros[DIA],reservavariáveisconsolidadomar[[#Headers],[15]],tabela_registros[REGISTRO],DADOS!$N$6,tabela_registros[TIPO],DADOS!$AJ$4,tabela_registros[CATEGORIA],reservavariáveisconsolidadomar[[#This Row],[ATUAL]])</f>
        <v>0</v>
      </c>
      <c r="T194" s="91">
        <f>SUMIFS(tabela_registros[VALOR],tabela_registros[MÊS],$AE$1,tabela_registros[DIA],reservavariáveisconsolidadomar[[#Headers],[16]],tabela_registros[REGISTRO],DADOS!$N$6,tabela_registros[TIPO],DADOS!$AJ$4,tabela_registros[CATEGORIA],reservavariáveisconsolidadomar[[#This Row],[ATUAL]])</f>
        <v>0</v>
      </c>
      <c r="U194" s="91">
        <f>SUMIFS(tabela_registros[VALOR],tabela_registros[MÊS],$AE$1,tabela_registros[DIA],reservavariáveisconsolidadomar[[#Headers],[17]],tabela_registros[REGISTRO],DADOS!$N$6,tabela_registros[TIPO],DADOS!$AJ$4,tabela_registros[CATEGORIA],reservavariáveisconsolidadomar[[#This Row],[ATUAL]])</f>
        <v>0</v>
      </c>
      <c r="V194" s="91">
        <f>SUMIFS(tabela_registros[VALOR],tabela_registros[MÊS],$AE$1,tabela_registros[DIA],reservavariáveisconsolidadomar[[#Headers],[18]],tabela_registros[REGISTRO],DADOS!$N$6,tabela_registros[TIPO],DADOS!$AJ$4,tabela_registros[CATEGORIA],reservavariáveisconsolidadomar[[#This Row],[ATUAL]])</f>
        <v>0</v>
      </c>
      <c r="W194" s="91">
        <f>SUMIFS(tabela_registros[VALOR],tabela_registros[MÊS],$AE$1,tabela_registros[DIA],reservavariáveisconsolidadomar[[#Headers],[19]],tabela_registros[REGISTRO],DADOS!$N$6,tabela_registros[TIPO],DADOS!$AJ$4,tabela_registros[CATEGORIA],reservavariáveisconsolidadomar[[#This Row],[ATUAL]])</f>
        <v>0</v>
      </c>
      <c r="X194" s="91">
        <f>SUMIFS(tabela_registros[VALOR],tabela_registros[MÊS],$AE$1,tabela_registros[DIA],reservavariáveisconsolidadomar[[#Headers],[20]],tabela_registros[REGISTRO],DADOS!$N$6,tabela_registros[TIPO],DADOS!$AJ$4,tabela_registros[CATEGORIA],reservavariáveisconsolidadomar[[#This Row],[ATUAL]])</f>
        <v>0</v>
      </c>
      <c r="Y194" s="91">
        <f>SUMIFS(tabela_registros[VALOR],tabela_registros[MÊS],$AE$1,tabela_registros[DIA],reservavariáveisconsolidadomar[[#Headers],[21]],tabela_registros[REGISTRO],DADOS!$N$6,tabela_registros[TIPO],DADOS!$AJ$4,tabela_registros[CATEGORIA],reservavariáveisconsolidadomar[[#This Row],[ATUAL]])</f>
        <v>0</v>
      </c>
      <c r="Z194" s="91">
        <f>SUMIFS(tabela_registros[VALOR],tabela_registros[MÊS],$AE$1,tabela_registros[DIA],reservavariáveisconsolidadomar[[#Headers],[22]],tabela_registros[REGISTRO],DADOS!$N$6,tabela_registros[TIPO],DADOS!$AJ$4,tabela_registros[CATEGORIA],reservavariáveisconsolidadomar[[#This Row],[ATUAL]])</f>
        <v>0</v>
      </c>
      <c r="AA194" s="91">
        <f>SUMIFS(tabela_registros[VALOR],tabela_registros[MÊS],$AE$1,tabela_registros[DIA],reservavariáveisconsolidadomar[[#Headers],[23]],tabela_registros[REGISTRO],DADOS!$N$6,tabela_registros[TIPO],DADOS!$AJ$4,tabela_registros[CATEGORIA],reservavariáveisconsolidadomar[[#This Row],[ATUAL]])</f>
        <v>0</v>
      </c>
      <c r="AB194" s="91">
        <f>SUMIFS(tabela_registros[VALOR],tabela_registros[MÊS],$AE$1,tabela_registros[DIA],reservavariáveisconsolidadomar[[#Headers],[24]],tabela_registros[REGISTRO],DADOS!$N$6,tabela_registros[TIPO],DADOS!$AJ$4,tabela_registros[CATEGORIA],reservavariáveisconsolidadomar[[#This Row],[ATUAL]])</f>
        <v>0</v>
      </c>
      <c r="AC194" s="91">
        <f>SUMIFS(tabela_registros[VALOR],tabela_registros[MÊS],$AE$1,tabela_registros[DIA],reservavariáveisconsolidadomar[[#Headers],[25]],tabela_registros[REGISTRO],DADOS!$N$6,tabela_registros[TIPO],DADOS!$AJ$4,tabela_registros[CATEGORIA],reservavariáveisconsolidadomar[[#This Row],[ATUAL]])</f>
        <v>0</v>
      </c>
      <c r="AD194" s="91">
        <f>SUMIFS(tabela_registros[VALOR],tabela_registros[MÊS],$AE$1,tabela_registros[DIA],reservavariáveisconsolidadomar[[#Headers],[26]],tabela_registros[REGISTRO],DADOS!$N$6,tabela_registros[TIPO],DADOS!$AJ$4,tabela_registros[CATEGORIA],reservavariáveisconsolidadomar[[#This Row],[ATUAL]])</f>
        <v>0</v>
      </c>
      <c r="AE194" s="91">
        <f>SUMIFS(tabela_registros[VALOR],tabela_registros[MÊS],$AE$1,tabela_registros[DIA],reservavariáveisconsolidadomar[[#Headers],[27]],tabela_registros[REGISTRO],DADOS!$N$6,tabela_registros[TIPO],DADOS!$AJ$4,tabela_registros[CATEGORIA],reservavariáveisconsolidadomar[[#This Row],[ATUAL]])</f>
        <v>0</v>
      </c>
      <c r="AF194" s="91">
        <f>SUMIFS(tabela_registros[VALOR],tabela_registros[MÊS],$AE$1,tabela_registros[DIA],reservavariáveisconsolidadomar[[#Headers],[28]],tabela_registros[REGISTRO],DADOS!$N$6,tabela_registros[TIPO],DADOS!$AJ$4,tabela_registros[CATEGORIA],reservavariáveisconsolidadomar[[#This Row],[ATUAL]])</f>
        <v>0</v>
      </c>
      <c r="AG194" s="91">
        <f>SUMIFS(tabela_registros[VALOR],tabela_registros[MÊS],$AE$1,tabela_registros[DIA],reservavariáveisconsolidadomar[[#Headers],[29]],tabela_registros[REGISTRO],DADOS!$N$6,tabela_registros[TIPO],DADOS!$AJ$4,tabela_registros[CATEGORIA],reservavariáveisconsolidadomar[[#This Row],[ATUAL]])</f>
        <v>0</v>
      </c>
      <c r="AH194" s="91">
        <f>SUMIFS(tabela_registros[VALOR],tabela_registros[MÊS],$AE$1,tabela_registros[DIA],reservavariáveisconsolidadomar[[#Headers],[30]],tabela_registros[REGISTRO],DADOS!$N$6,tabela_registros[TIPO],DADOS!$AJ$4,tabela_registros[CATEGORIA],reservavariáveisconsolidadomar[[#This Row],[ATUAL]])</f>
        <v>0</v>
      </c>
      <c r="AI194" s="101">
        <f>SUMIFS(tabela_registros[VALOR],tabela_registros[MÊS],$AE$1,tabela_registros[DIA],reservavariáveisconsolidadomar[[#Headers],[31]],tabela_registros[REGISTRO],DADOS!$N$6,tabela_registros[TIPO],DADOS!$AJ$4,tabela_registros[CATEGORIA],reservavariáveisconsolidadomar[[#This Row],[ATUAL]])</f>
        <v>0</v>
      </c>
      <c r="AJ194" s="97">
        <f>SUM(reservavariáveisconsolidadomar[[#This Row],[1]:[31]])</f>
        <v>0</v>
      </c>
      <c r="AK194" s="25"/>
    </row>
    <row r="195" spans="2:37" ht="19.5" customHeight="1" thickTop="1" thickBot="1" x14ac:dyDescent="0.3">
      <c r="B195" s="28"/>
      <c r="C195" s="27" t="str">
        <f>DADOS!$AN$11</f>
        <v>📝 MOEDA</v>
      </c>
      <c r="D195" s="26" t="str">
        <f>IF(reservavariáveisconsolidadomar[[#This Row],[TOTAL (R$)]]=0,"",IF(OR(reservavariáveisconsolidadomar[[#This Row],[TOTAL (R$)]]=LARGE($AJ$187:$AJ$196,1),reservavariáveisconsolidadomar[[#This Row],[TOTAL (R$)]]=LARGE($AJ$187:$AJ$196,2)),DADOS!$I$11,""))</f>
        <v/>
      </c>
      <c r="E195" s="96">
        <f>SUMIFS(tabela_registros[VALOR],tabela_registros[MÊS],$AE$1,tabela_registros[DIA],reservavariáveisconsolidadomar[[#Headers],[1]],tabela_registros[REGISTRO],DADOS!$N$6,tabela_registros[TIPO],DADOS!$AJ$4,tabela_registros[CATEGORIA],reservavariáveisconsolidadomar[[#This Row],[ATUAL]])</f>
        <v>0</v>
      </c>
      <c r="F195" s="91">
        <f>SUMIFS(tabela_registros[VALOR],tabela_registros[MÊS],$AE$1,tabela_registros[DIA],reservavariáveisconsolidadomar[[#Headers],[2]],tabela_registros[REGISTRO],DADOS!$N$6,tabela_registros[TIPO],DADOS!$AJ$4,tabela_registros[CATEGORIA],reservavariáveisconsolidadomar[[#This Row],[ATUAL]])</f>
        <v>0</v>
      </c>
      <c r="G195" s="91">
        <f>SUMIFS(tabela_registros[VALOR],tabela_registros[MÊS],$AE$1,tabela_registros[DIA],reservavariáveisconsolidadomar[[#Headers],[3]],tabela_registros[REGISTRO],DADOS!$N$6,tabela_registros[TIPO],DADOS!$AJ$4,tabela_registros[CATEGORIA],reservavariáveisconsolidadomar[[#This Row],[ATUAL]])</f>
        <v>0</v>
      </c>
      <c r="H195" s="91">
        <f>SUMIFS(tabela_registros[VALOR],tabela_registros[MÊS],$AE$1,tabela_registros[DIA],reservavariáveisconsolidadomar[[#Headers],[4]],tabela_registros[REGISTRO],DADOS!$N$6,tabela_registros[TIPO],DADOS!$AJ$4,tabela_registros[CATEGORIA],reservavariáveisconsolidadomar[[#This Row],[ATUAL]])</f>
        <v>0</v>
      </c>
      <c r="I195" s="91">
        <f>SUMIFS(tabela_registros[VALOR],tabela_registros[MÊS],$AE$1,tabela_registros[DIA],reservavariáveisconsolidadomar[[#Headers],[5]],tabela_registros[REGISTRO],DADOS!$N$6,tabela_registros[TIPO],DADOS!$AJ$4,tabela_registros[CATEGORIA],reservavariáveisconsolidadomar[[#This Row],[ATUAL]])</f>
        <v>0</v>
      </c>
      <c r="J195" s="91">
        <f>SUMIFS(tabela_registros[VALOR],tabela_registros[MÊS],$AE$1,tabela_registros[DIA],reservavariáveisconsolidadomar[[#Headers],[6]],tabela_registros[REGISTRO],DADOS!$N$6,tabela_registros[TIPO],DADOS!$AJ$4,tabela_registros[CATEGORIA],reservavariáveisconsolidadomar[[#This Row],[ATUAL]])</f>
        <v>0</v>
      </c>
      <c r="K195" s="91">
        <f>SUMIFS(tabela_registros[VALOR],tabela_registros[MÊS],$AE$1,tabela_registros[DIA],reservavariáveisconsolidadomar[[#Headers],[7]],tabela_registros[REGISTRO],DADOS!$N$6,tabela_registros[TIPO],DADOS!$AJ$4,tabela_registros[CATEGORIA],reservavariáveisconsolidadomar[[#This Row],[ATUAL]])</f>
        <v>0</v>
      </c>
      <c r="L195" s="91">
        <f>SUMIFS(tabela_registros[VALOR],tabela_registros[MÊS],$AE$1,tabela_registros[DIA],reservavariáveisconsolidadomar[[#Headers],[8]],tabela_registros[REGISTRO],DADOS!$N$6,tabela_registros[TIPO],DADOS!$AJ$4,tabela_registros[CATEGORIA],reservavariáveisconsolidadomar[[#This Row],[ATUAL]])</f>
        <v>0</v>
      </c>
      <c r="M195" s="91">
        <f>SUMIFS(tabela_registros[VALOR],tabela_registros[MÊS],$AE$1,tabela_registros[DIA],reservavariáveisconsolidadomar[[#Headers],[9]],tabela_registros[REGISTRO],DADOS!$N$6,tabela_registros[TIPO],DADOS!$AJ$4,tabela_registros[CATEGORIA],reservavariáveisconsolidadomar[[#This Row],[ATUAL]])</f>
        <v>0</v>
      </c>
      <c r="N195" s="91">
        <f>SUMIFS(tabela_registros[VALOR],tabela_registros[MÊS],$AE$1,tabela_registros[DIA],reservavariáveisconsolidadomar[[#Headers],[10]],tabela_registros[REGISTRO],DADOS!$N$6,tabela_registros[TIPO],DADOS!$AJ$4,tabela_registros[CATEGORIA],reservavariáveisconsolidadomar[[#This Row],[ATUAL]])</f>
        <v>0</v>
      </c>
      <c r="O195" s="91">
        <f>SUMIFS(tabela_registros[VALOR],tabela_registros[MÊS],$AE$1,tabela_registros[DIA],reservavariáveisconsolidadomar[[#Headers],[11]],tabela_registros[REGISTRO],DADOS!$N$6,tabela_registros[TIPO],DADOS!$AJ$4,tabela_registros[CATEGORIA],reservavariáveisconsolidadomar[[#This Row],[ATUAL]])</f>
        <v>0</v>
      </c>
      <c r="P195" s="91">
        <f>SUMIFS(tabela_registros[VALOR],tabela_registros[MÊS],$AE$1,tabela_registros[DIA],reservavariáveisconsolidadomar[[#Headers],[12]],tabela_registros[REGISTRO],DADOS!$N$6,tabela_registros[TIPO],DADOS!$AJ$4,tabela_registros[CATEGORIA],reservavariáveisconsolidadomar[[#This Row],[ATUAL]])</f>
        <v>0</v>
      </c>
      <c r="Q195" s="91">
        <f>SUMIFS(tabela_registros[VALOR],tabela_registros[MÊS],$AE$1,tabela_registros[DIA],reservavariáveisconsolidadomar[[#Headers],[13]],tabela_registros[REGISTRO],DADOS!$N$6,tabela_registros[TIPO],DADOS!$AJ$4,tabela_registros[CATEGORIA],reservavariáveisconsolidadomar[[#This Row],[ATUAL]])</f>
        <v>0</v>
      </c>
      <c r="R195" s="91">
        <f>SUMIFS(tabela_registros[VALOR],tabela_registros[MÊS],$AE$1,tabela_registros[DIA],reservavariáveisconsolidadomar[[#Headers],[14]],tabela_registros[REGISTRO],DADOS!$N$6,tabela_registros[TIPO],DADOS!$AJ$4,tabela_registros[CATEGORIA],reservavariáveisconsolidadomar[[#This Row],[ATUAL]])</f>
        <v>0</v>
      </c>
      <c r="S195" s="91">
        <f>SUMIFS(tabela_registros[VALOR],tabela_registros[MÊS],$AE$1,tabela_registros[DIA],reservavariáveisconsolidadomar[[#Headers],[15]],tabela_registros[REGISTRO],DADOS!$N$6,tabela_registros[TIPO],DADOS!$AJ$4,tabela_registros[CATEGORIA],reservavariáveisconsolidadomar[[#This Row],[ATUAL]])</f>
        <v>0</v>
      </c>
      <c r="T195" s="91">
        <f>SUMIFS(tabela_registros[VALOR],tabela_registros[MÊS],$AE$1,tabela_registros[DIA],reservavariáveisconsolidadomar[[#Headers],[16]],tabela_registros[REGISTRO],DADOS!$N$6,tabela_registros[TIPO],DADOS!$AJ$4,tabela_registros[CATEGORIA],reservavariáveisconsolidadomar[[#This Row],[ATUAL]])</f>
        <v>0</v>
      </c>
      <c r="U195" s="91">
        <f>SUMIFS(tabela_registros[VALOR],tabela_registros[MÊS],$AE$1,tabela_registros[DIA],reservavariáveisconsolidadomar[[#Headers],[17]],tabela_registros[REGISTRO],DADOS!$N$6,tabela_registros[TIPO],DADOS!$AJ$4,tabela_registros[CATEGORIA],reservavariáveisconsolidadomar[[#This Row],[ATUAL]])</f>
        <v>0</v>
      </c>
      <c r="V195" s="91">
        <f>SUMIFS(tabela_registros[VALOR],tabela_registros[MÊS],$AE$1,tabela_registros[DIA],reservavariáveisconsolidadomar[[#Headers],[18]],tabela_registros[REGISTRO],DADOS!$N$6,tabela_registros[TIPO],DADOS!$AJ$4,tabela_registros[CATEGORIA],reservavariáveisconsolidadomar[[#This Row],[ATUAL]])</f>
        <v>0</v>
      </c>
      <c r="W195" s="91">
        <f>SUMIFS(tabela_registros[VALOR],tabela_registros[MÊS],$AE$1,tabela_registros[DIA],reservavariáveisconsolidadomar[[#Headers],[19]],tabela_registros[REGISTRO],DADOS!$N$6,tabela_registros[TIPO],DADOS!$AJ$4,tabela_registros[CATEGORIA],reservavariáveisconsolidadomar[[#This Row],[ATUAL]])</f>
        <v>0</v>
      </c>
      <c r="X195" s="91">
        <f>SUMIFS(tabela_registros[VALOR],tabela_registros[MÊS],$AE$1,tabela_registros[DIA],reservavariáveisconsolidadomar[[#Headers],[20]],tabela_registros[REGISTRO],DADOS!$N$6,tabela_registros[TIPO],DADOS!$AJ$4,tabela_registros[CATEGORIA],reservavariáveisconsolidadomar[[#This Row],[ATUAL]])</f>
        <v>0</v>
      </c>
      <c r="Y195" s="91">
        <f>SUMIFS(tabela_registros[VALOR],tabela_registros[MÊS],$AE$1,tabela_registros[DIA],reservavariáveisconsolidadomar[[#Headers],[21]],tabela_registros[REGISTRO],DADOS!$N$6,tabela_registros[TIPO],DADOS!$AJ$4,tabela_registros[CATEGORIA],reservavariáveisconsolidadomar[[#This Row],[ATUAL]])</f>
        <v>0</v>
      </c>
      <c r="Z195" s="91">
        <f>SUMIFS(tabela_registros[VALOR],tabela_registros[MÊS],$AE$1,tabela_registros[DIA],reservavariáveisconsolidadomar[[#Headers],[22]],tabela_registros[REGISTRO],DADOS!$N$6,tabela_registros[TIPO],DADOS!$AJ$4,tabela_registros[CATEGORIA],reservavariáveisconsolidadomar[[#This Row],[ATUAL]])</f>
        <v>0</v>
      </c>
      <c r="AA195" s="91">
        <f>SUMIFS(tabela_registros[VALOR],tabela_registros[MÊS],$AE$1,tabela_registros[DIA],reservavariáveisconsolidadomar[[#Headers],[23]],tabela_registros[REGISTRO],DADOS!$N$6,tabela_registros[TIPO],DADOS!$AJ$4,tabela_registros[CATEGORIA],reservavariáveisconsolidadomar[[#This Row],[ATUAL]])</f>
        <v>0</v>
      </c>
      <c r="AB195" s="91">
        <f>SUMIFS(tabela_registros[VALOR],tabela_registros[MÊS],$AE$1,tabela_registros[DIA],reservavariáveisconsolidadomar[[#Headers],[24]],tabela_registros[REGISTRO],DADOS!$N$6,tabela_registros[TIPO],DADOS!$AJ$4,tabela_registros[CATEGORIA],reservavariáveisconsolidadomar[[#This Row],[ATUAL]])</f>
        <v>0</v>
      </c>
      <c r="AC195" s="91">
        <f>SUMIFS(tabela_registros[VALOR],tabela_registros[MÊS],$AE$1,tabela_registros[DIA],reservavariáveisconsolidadomar[[#Headers],[25]],tabela_registros[REGISTRO],DADOS!$N$6,tabela_registros[TIPO],DADOS!$AJ$4,tabela_registros[CATEGORIA],reservavariáveisconsolidadomar[[#This Row],[ATUAL]])</f>
        <v>0</v>
      </c>
      <c r="AD195" s="91">
        <f>SUMIFS(tabela_registros[VALOR],tabela_registros[MÊS],$AE$1,tabela_registros[DIA],reservavariáveisconsolidadomar[[#Headers],[26]],tabela_registros[REGISTRO],DADOS!$N$6,tabela_registros[TIPO],DADOS!$AJ$4,tabela_registros[CATEGORIA],reservavariáveisconsolidadomar[[#This Row],[ATUAL]])</f>
        <v>0</v>
      </c>
      <c r="AE195" s="91">
        <f>SUMIFS(tabela_registros[VALOR],tabela_registros[MÊS],$AE$1,tabela_registros[DIA],reservavariáveisconsolidadomar[[#Headers],[27]],tabela_registros[REGISTRO],DADOS!$N$6,tabela_registros[TIPO],DADOS!$AJ$4,tabela_registros[CATEGORIA],reservavariáveisconsolidadomar[[#This Row],[ATUAL]])</f>
        <v>0</v>
      </c>
      <c r="AF195" s="91">
        <f>SUMIFS(tabela_registros[VALOR],tabela_registros[MÊS],$AE$1,tabela_registros[DIA],reservavariáveisconsolidadomar[[#Headers],[28]],tabela_registros[REGISTRO],DADOS!$N$6,tabela_registros[TIPO],DADOS!$AJ$4,tabela_registros[CATEGORIA],reservavariáveisconsolidadomar[[#This Row],[ATUAL]])</f>
        <v>0</v>
      </c>
      <c r="AG195" s="91">
        <f>SUMIFS(tabela_registros[VALOR],tabela_registros[MÊS],$AE$1,tabela_registros[DIA],reservavariáveisconsolidadomar[[#Headers],[29]],tabela_registros[REGISTRO],DADOS!$N$6,tabela_registros[TIPO],DADOS!$AJ$4,tabela_registros[CATEGORIA],reservavariáveisconsolidadomar[[#This Row],[ATUAL]])</f>
        <v>0</v>
      </c>
      <c r="AH195" s="91">
        <f>SUMIFS(tabela_registros[VALOR],tabela_registros[MÊS],$AE$1,tabela_registros[DIA],reservavariáveisconsolidadomar[[#Headers],[30]],tabela_registros[REGISTRO],DADOS!$N$6,tabela_registros[TIPO],DADOS!$AJ$4,tabela_registros[CATEGORIA],reservavariáveisconsolidadomar[[#This Row],[ATUAL]])</f>
        <v>0</v>
      </c>
      <c r="AI195" s="101">
        <f>SUMIFS(tabela_registros[VALOR],tabela_registros[MÊS],$AE$1,tabela_registros[DIA],reservavariáveisconsolidadomar[[#Headers],[31]],tabela_registros[REGISTRO],DADOS!$N$6,tabela_registros[TIPO],DADOS!$AJ$4,tabela_registros[CATEGORIA],reservavariáveisconsolidadomar[[#This Row],[ATUAL]])</f>
        <v>0</v>
      </c>
      <c r="AJ195" s="97">
        <f>SUM(reservavariáveisconsolidadomar[[#This Row],[1]:[31]])</f>
        <v>0</v>
      </c>
      <c r="AK195" s="25"/>
    </row>
    <row r="196" spans="2:37" ht="19.5" customHeight="1" thickTop="1" thickBot="1" x14ac:dyDescent="0.3">
      <c r="B196" s="28"/>
      <c r="C196" s="27" t="str">
        <f>DADOS!$AN$12</f>
        <v>📎 OUTROS</v>
      </c>
      <c r="D196" s="26" t="str">
        <f>IF(reservavariáveisconsolidadomar[[#This Row],[TOTAL (R$)]]=0,"",IF(OR(reservavariáveisconsolidadomar[[#This Row],[TOTAL (R$)]]=LARGE($AJ$187:$AJ$196,1),reservavariáveisconsolidadomar[[#This Row],[TOTAL (R$)]]=LARGE($AJ$187:$AJ$196,2)),DADOS!$I$11,""))</f>
        <v/>
      </c>
      <c r="E196" s="96">
        <f>SUMIFS(tabela_registros[VALOR],tabela_registros[MÊS],$AE$1,tabela_registros[DIA],reservavariáveisconsolidadomar[[#Headers],[1]],tabela_registros[REGISTRO],DADOS!$N$6,tabela_registros[TIPO],DADOS!$AJ$4,tabela_registros[CATEGORIA],reservavariáveisconsolidadomar[[#This Row],[ATUAL]])</f>
        <v>0</v>
      </c>
      <c r="F196" s="91">
        <f>SUMIFS(tabela_registros[VALOR],tabela_registros[MÊS],$AE$1,tabela_registros[DIA],reservavariáveisconsolidadomar[[#Headers],[2]],tabela_registros[REGISTRO],DADOS!$N$6,tabela_registros[TIPO],DADOS!$AJ$4,tabela_registros[CATEGORIA],reservavariáveisconsolidadomar[[#This Row],[ATUAL]])</f>
        <v>0</v>
      </c>
      <c r="G196" s="91">
        <f>SUMIFS(tabela_registros[VALOR],tabela_registros[MÊS],$AE$1,tabela_registros[DIA],reservavariáveisconsolidadomar[[#Headers],[3]],tabela_registros[REGISTRO],DADOS!$N$6,tabela_registros[TIPO],DADOS!$AJ$4,tabela_registros[CATEGORIA],reservavariáveisconsolidadomar[[#This Row],[ATUAL]])</f>
        <v>0</v>
      </c>
      <c r="H196" s="91">
        <f>SUMIFS(tabela_registros[VALOR],tabela_registros[MÊS],$AE$1,tabela_registros[DIA],reservavariáveisconsolidadomar[[#Headers],[4]],tabela_registros[REGISTRO],DADOS!$N$6,tabela_registros[TIPO],DADOS!$AJ$4,tabela_registros[CATEGORIA],reservavariáveisconsolidadomar[[#This Row],[ATUAL]])</f>
        <v>0</v>
      </c>
      <c r="I196" s="91">
        <f>SUMIFS(tabela_registros[VALOR],tabela_registros[MÊS],$AE$1,tabela_registros[DIA],reservavariáveisconsolidadomar[[#Headers],[5]],tabela_registros[REGISTRO],DADOS!$N$6,tabela_registros[TIPO],DADOS!$AJ$4,tabela_registros[CATEGORIA],reservavariáveisconsolidadomar[[#This Row],[ATUAL]])</f>
        <v>0</v>
      </c>
      <c r="J196" s="91">
        <f>SUMIFS(tabela_registros[VALOR],tabela_registros[MÊS],$AE$1,tabela_registros[DIA],reservavariáveisconsolidadomar[[#Headers],[6]],tabela_registros[REGISTRO],DADOS!$N$6,tabela_registros[TIPO],DADOS!$AJ$4,tabela_registros[CATEGORIA],reservavariáveisconsolidadomar[[#This Row],[ATUAL]])</f>
        <v>0</v>
      </c>
      <c r="K196" s="91">
        <f>SUMIFS(tabela_registros[VALOR],tabela_registros[MÊS],$AE$1,tabela_registros[DIA],reservavariáveisconsolidadomar[[#Headers],[7]],tabela_registros[REGISTRO],DADOS!$N$6,tabela_registros[TIPO],DADOS!$AJ$4,tabela_registros[CATEGORIA],reservavariáveisconsolidadomar[[#This Row],[ATUAL]])</f>
        <v>0</v>
      </c>
      <c r="L196" s="91">
        <f>SUMIFS(tabela_registros[VALOR],tabela_registros[MÊS],$AE$1,tabela_registros[DIA],reservavariáveisconsolidadomar[[#Headers],[8]],tabela_registros[REGISTRO],DADOS!$N$6,tabela_registros[TIPO],DADOS!$AJ$4,tabela_registros[CATEGORIA],reservavariáveisconsolidadomar[[#This Row],[ATUAL]])</f>
        <v>0</v>
      </c>
      <c r="M196" s="91">
        <f>SUMIFS(tabela_registros[VALOR],tabela_registros[MÊS],$AE$1,tabela_registros[DIA],reservavariáveisconsolidadomar[[#Headers],[9]],tabela_registros[REGISTRO],DADOS!$N$6,tabela_registros[TIPO],DADOS!$AJ$4,tabela_registros[CATEGORIA],reservavariáveisconsolidadomar[[#This Row],[ATUAL]])</f>
        <v>0</v>
      </c>
      <c r="N196" s="91">
        <f>SUMIFS(tabela_registros[VALOR],tabela_registros[MÊS],$AE$1,tabela_registros[DIA],reservavariáveisconsolidadomar[[#Headers],[10]],tabela_registros[REGISTRO],DADOS!$N$6,tabela_registros[TIPO],DADOS!$AJ$4,tabela_registros[CATEGORIA],reservavariáveisconsolidadomar[[#This Row],[ATUAL]])</f>
        <v>0</v>
      </c>
      <c r="O196" s="91">
        <f>SUMIFS(tabela_registros[VALOR],tabela_registros[MÊS],$AE$1,tabela_registros[DIA],reservavariáveisconsolidadomar[[#Headers],[11]],tabela_registros[REGISTRO],DADOS!$N$6,tabela_registros[TIPO],DADOS!$AJ$4,tabela_registros[CATEGORIA],reservavariáveisconsolidadomar[[#This Row],[ATUAL]])</f>
        <v>0</v>
      </c>
      <c r="P196" s="91">
        <f>SUMIFS(tabela_registros[VALOR],tabela_registros[MÊS],$AE$1,tabela_registros[DIA],reservavariáveisconsolidadomar[[#Headers],[12]],tabela_registros[REGISTRO],DADOS!$N$6,tabela_registros[TIPO],DADOS!$AJ$4,tabela_registros[CATEGORIA],reservavariáveisconsolidadomar[[#This Row],[ATUAL]])</f>
        <v>0</v>
      </c>
      <c r="Q196" s="91">
        <f>SUMIFS(tabela_registros[VALOR],tabela_registros[MÊS],$AE$1,tabela_registros[DIA],reservavariáveisconsolidadomar[[#Headers],[13]],tabela_registros[REGISTRO],DADOS!$N$6,tabela_registros[TIPO],DADOS!$AJ$4,tabela_registros[CATEGORIA],reservavariáveisconsolidadomar[[#This Row],[ATUAL]])</f>
        <v>0</v>
      </c>
      <c r="R196" s="91">
        <f>SUMIFS(tabela_registros[VALOR],tabela_registros[MÊS],$AE$1,tabela_registros[DIA],reservavariáveisconsolidadomar[[#Headers],[14]],tabela_registros[REGISTRO],DADOS!$N$6,tabela_registros[TIPO],DADOS!$AJ$4,tabela_registros[CATEGORIA],reservavariáveisconsolidadomar[[#This Row],[ATUAL]])</f>
        <v>0</v>
      </c>
      <c r="S196" s="91">
        <f>SUMIFS(tabela_registros[VALOR],tabela_registros[MÊS],$AE$1,tabela_registros[DIA],reservavariáveisconsolidadomar[[#Headers],[15]],tabela_registros[REGISTRO],DADOS!$N$6,tabela_registros[TIPO],DADOS!$AJ$4,tabela_registros[CATEGORIA],reservavariáveisconsolidadomar[[#This Row],[ATUAL]])</f>
        <v>0</v>
      </c>
      <c r="T196" s="91">
        <f>SUMIFS(tabela_registros[VALOR],tabela_registros[MÊS],$AE$1,tabela_registros[DIA],reservavariáveisconsolidadomar[[#Headers],[16]],tabela_registros[REGISTRO],DADOS!$N$6,tabela_registros[TIPO],DADOS!$AJ$4,tabela_registros[CATEGORIA],reservavariáveisconsolidadomar[[#This Row],[ATUAL]])</f>
        <v>0</v>
      </c>
      <c r="U196" s="91">
        <f>SUMIFS(tabela_registros[VALOR],tabela_registros[MÊS],$AE$1,tabela_registros[DIA],reservavariáveisconsolidadomar[[#Headers],[17]],tabela_registros[REGISTRO],DADOS!$N$6,tabela_registros[TIPO],DADOS!$AJ$4,tabela_registros[CATEGORIA],reservavariáveisconsolidadomar[[#This Row],[ATUAL]])</f>
        <v>0</v>
      </c>
      <c r="V196" s="91">
        <f>SUMIFS(tabela_registros[VALOR],tabela_registros[MÊS],$AE$1,tabela_registros[DIA],reservavariáveisconsolidadomar[[#Headers],[18]],tabela_registros[REGISTRO],DADOS!$N$6,tabela_registros[TIPO],DADOS!$AJ$4,tabela_registros[CATEGORIA],reservavariáveisconsolidadomar[[#This Row],[ATUAL]])</f>
        <v>0</v>
      </c>
      <c r="W196" s="91">
        <f>SUMIFS(tabela_registros[VALOR],tabela_registros[MÊS],$AE$1,tabela_registros[DIA],reservavariáveisconsolidadomar[[#Headers],[19]],tabela_registros[REGISTRO],DADOS!$N$6,tabela_registros[TIPO],DADOS!$AJ$4,tabela_registros[CATEGORIA],reservavariáveisconsolidadomar[[#This Row],[ATUAL]])</f>
        <v>0</v>
      </c>
      <c r="X196" s="91">
        <f>SUMIFS(tabela_registros[VALOR],tabela_registros[MÊS],$AE$1,tabela_registros[DIA],reservavariáveisconsolidadomar[[#Headers],[20]],tabela_registros[REGISTRO],DADOS!$N$6,tabela_registros[TIPO],DADOS!$AJ$4,tabela_registros[CATEGORIA],reservavariáveisconsolidadomar[[#This Row],[ATUAL]])</f>
        <v>0</v>
      </c>
      <c r="Y196" s="91">
        <f>SUMIFS(tabela_registros[VALOR],tabela_registros[MÊS],$AE$1,tabela_registros[DIA],reservavariáveisconsolidadomar[[#Headers],[21]],tabela_registros[REGISTRO],DADOS!$N$6,tabela_registros[TIPO],DADOS!$AJ$4,tabela_registros[CATEGORIA],reservavariáveisconsolidadomar[[#This Row],[ATUAL]])</f>
        <v>0</v>
      </c>
      <c r="Z196" s="91">
        <f>SUMIFS(tabela_registros[VALOR],tabela_registros[MÊS],$AE$1,tabela_registros[DIA],reservavariáveisconsolidadomar[[#Headers],[22]],tabela_registros[REGISTRO],DADOS!$N$6,tabela_registros[TIPO],DADOS!$AJ$4,tabela_registros[CATEGORIA],reservavariáveisconsolidadomar[[#This Row],[ATUAL]])</f>
        <v>0</v>
      </c>
      <c r="AA196" s="91">
        <f>SUMIFS(tabela_registros[VALOR],tabela_registros[MÊS],$AE$1,tabela_registros[DIA],reservavariáveisconsolidadomar[[#Headers],[23]],tabela_registros[REGISTRO],DADOS!$N$6,tabela_registros[TIPO],DADOS!$AJ$4,tabela_registros[CATEGORIA],reservavariáveisconsolidadomar[[#This Row],[ATUAL]])</f>
        <v>0</v>
      </c>
      <c r="AB196" s="91">
        <f>SUMIFS(tabela_registros[VALOR],tabela_registros[MÊS],$AE$1,tabela_registros[DIA],reservavariáveisconsolidadomar[[#Headers],[24]],tabela_registros[REGISTRO],DADOS!$N$6,tabela_registros[TIPO],DADOS!$AJ$4,tabela_registros[CATEGORIA],reservavariáveisconsolidadomar[[#This Row],[ATUAL]])</f>
        <v>0</v>
      </c>
      <c r="AC196" s="91">
        <f>SUMIFS(tabela_registros[VALOR],tabela_registros[MÊS],$AE$1,tabela_registros[DIA],reservavariáveisconsolidadomar[[#Headers],[25]],tabela_registros[REGISTRO],DADOS!$N$6,tabela_registros[TIPO],DADOS!$AJ$4,tabela_registros[CATEGORIA],reservavariáveisconsolidadomar[[#This Row],[ATUAL]])</f>
        <v>0</v>
      </c>
      <c r="AD196" s="91">
        <f>SUMIFS(tabela_registros[VALOR],tabela_registros[MÊS],$AE$1,tabela_registros[DIA],reservavariáveisconsolidadomar[[#Headers],[26]],tabela_registros[REGISTRO],DADOS!$N$6,tabela_registros[TIPO],DADOS!$AJ$4,tabela_registros[CATEGORIA],reservavariáveisconsolidadomar[[#This Row],[ATUAL]])</f>
        <v>0</v>
      </c>
      <c r="AE196" s="91">
        <f>SUMIFS(tabela_registros[VALOR],tabela_registros[MÊS],$AE$1,tabela_registros[DIA],reservavariáveisconsolidadomar[[#Headers],[27]],tabela_registros[REGISTRO],DADOS!$N$6,tabela_registros[TIPO],DADOS!$AJ$4,tabela_registros[CATEGORIA],reservavariáveisconsolidadomar[[#This Row],[ATUAL]])</f>
        <v>0</v>
      </c>
      <c r="AF196" s="91">
        <f>SUMIFS(tabela_registros[VALOR],tabela_registros[MÊS],$AE$1,tabela_registros[DIA],reservavariáveisconsolidadomar[[#Headers],[28]],tabela_registros[REGISTRO],DADOS!$N$6,tabela_registros[TIPO],DADOS!$AJ$4,tabela_registros[CATEGORIA],reservavariáveisconsolidadomar[[#This Row],[ATUAL]])</f>
        <v>0</v>
      </c>
      <c r="AG196" s="91">
        <f>SUMIFS(tabela_registros[VALOR],tabela_registros[MÊS],$AE$1,tabela_registros[DIA],reservavariáveisconsolidadomar[[#Headers],[29]],tabela_registros[REGISTRO],DADOS!$N$6,tabela_registros[TIPO],DADOS!$AJ$4,tabela_registros[CATEGORIA],reservavariáveisconsolidadomar[[#This Row],[ATUAL]])</f>
        <v>0</v>
      </c>
      <c r="AH196" s="91">
        <f>SUMIFS(tabela_registros[VALOR],tabela_registros[MÊS],$AE$1,tabela_registros[DIA],reservavariáveisconsolidadomar[[#Headers],[30]],tabela_registros[REGISTRO],DADOS!$N$6,tabela_registros[TIPO],DADOS!$AJ$4,tabela_registros[CATEGORIA],reservavariáveisconsolidadomar[[#This Row],[ATUAL]])</f>
        <v>0</v>
      </c>
      <c r="AI196" s="102">
        <f>SUMIFS(tabela_registros[VALOR],tabela_registros[MÊS],$AE$1,tabela_registros[DIA],reservavariáveisconsolidadomar[[#Headers],[31]],tabela_registros[REGISTRO],DADOS!$N$6,tabela_registros[TIPO],DADOS!$AJ$4,tabela_registros[CATEGORIA],reservavariáveisconsolidadomar[[#This Row],[ATUAL]])</f>
        <v>0</v>
      </c>
      <c r="AJ196" s="97">
        <f>SUM(reservavariáveisconsolidadomar[[#This Row],[1]:[31]])</f>
        <v>0</v>
      </c>
      <c r="AK196" s="25"/>
    </row>
    <row r="197" spans="2:37" s="16" customFormat="1" ht="21" customHeight="1" thickTop="1" thickBot="1" x14ac:dyDescent="0.35">
      <c r="B197" s="24"/>
      <c r="C197" s="23" t="s">
        <v>19</v>
      </c>
      <c r="D197" s="22"/>
      <c r="E197" s="21">
        <f>SUM(E187:E196)</f>
        <v>0</v>
      </c>
      <c r="F197" s="20">
        <f>SUM(F187:F196)+reservavariáveisconsolidadomar[[#This Row],[1]]</f>
        <v>0</v>
      </c>
      <c r="G197" s="20">
        <f>SUM(G187:G196)+reservavariáveisconsolidadomar[[#This Row],[2]]</f>
        <v>0</v>
      </c>
      <c r="H197" s="20">
        <f>SUM(H187:H196)+reservavariáveisconsolidadomar[[#This Row],[3]]</f>
        <v>0</v>
      </c>
      <c r="I197" s="20">
        <f>SUM(I187:I196)+reservavariáveisconsolidadomar[[#This Row],[4]]</f>
        <v>0</v>
      </c>
      <c r="J197" s="20">
        <f>SUM(J187:J196)+reservavariáveisconsolidadomar[[#This Row],[5]]</f>
        <v>0</v>
      </c>
      <c r="K197" s="20">
        <f>SUM(K187:K196)+reservavariáveisconsolidadomar[[#This Row],[6]]</f>
        <v>0</v>
      </c>
      <c r="L197" s="20">
        <f>SUM(L187:L196)+reservavariáveisconsolidadomar[[#This Row],[7]]</f>
        <v>0</v>
      </c>
      <c r="M197" s="20">
        <f>SUM(M187:M196)+reservavariáveisconsolidadomar[[#This Row],[8]]</f>
        <v>0</v>
      </c>
      <c r="N197" s="20">
        <f>SUM(N187:N196)+reservavariáveisconsolidadomar[[#This Row],[9]]</f>
        <v>0</v>
      </c>
      <c r="O197" s="20">
        <f>SUM(O187:O196)+reservavariáveisconsolidadomar[[#This Row],[10]]</f>
        <v>0</v>
      </c>
      <c r="P197" s="20">
        <f>SUM(P187:P196)+reservavariáveisconsolidadomar[[#This Row],[11]]</f>
        <v>0</v>
      </c>
      <c r="Q197" s="20">
        <f>SUM(Q187:Q196)+reservavariáveisconsolidadomar[[#This Row],[12]]</f>
        <v>0</v>
      </c>
      <c r="R197" s="20">
        <f>SUM(R187:R196)+reservavariáveisconsolidadomar[[#This Row],[13]]</f>
        <v>0</v>
      </c>
      <c r="S197" s="20">
        <f>SUM(S187:S196)+reservavariáveisconsolidadomar[[#This Row],[14]]</f>
        <v>0</v>
      </c>
      <c r="T197" s="20">
        <f>SUM(T187:T196)+reservavariáveisconsolidadomar[[#This Row],[15]]</f>
        <v>0</v>
      </c>
      <c r="U197" s="20">
        <f>SUM(U187:U196)+reservavariáveisconsolidadomar[[#This Row],[16]]</f>
        <v>0</v>
      </c>
      <c r="V197" s="20">
        <f>SUM(V187:V196)+reservavariáveisconsolidadomar[[#This Row],[17]]</f>
        <v>0</v>
      </c>
      <c r="W197" s="20">
        <f>SUM(W187:W196)+reservavariáveisconsolidadomar[[#This Row],[18]]</f>
        <v>0</v>
      </c>
      <c r="X197" s="20">
        <f>SUM(X187:X196)+reservavariáveisconsolidadomar[[#This Row],[19]]</f>
        <v>0</v>
      </c>
      <c r="Y197" s="20">
        <f>SUM(Y187:Y196)+reservavariáveisconsolidadomar[[#This Row],[20]]</f>
        <v>0</v>
      </c>
      <c r="Z197" s="20">
        <f>SUM(Z187:Z196)+reservavariáveisconsolidadomar[[#This Row],[21]]</f>
        <v>0</v>
      </c>
      <c r="AA197" s="20">
        <f>SUM(AA187:AA196)+reservavariáveisconsolidadomar[[#This Row],[22]]</f>
        <v>0</v>
      </c>
      <c r="AB197" s="20">
        <f>SUM(AB187:AB196)+reservavariáveisconsolidadomar[[#This Row],[23]]</f>
        <v>0</v>
      </c>
      <c r="AC197" s="20">
        <f>SUM(AC187:AC196)+reservavariáveisconsolidadomar[[#This Row],[24]]</f>
        <v>0</v>
      </c>
      <c r="AD197" s="20">
        <f>SUM(AD187:AD196)+reservavariáveisconsolidadomar[[#This Row],[25]]</f>
        <v>0</v>
      </c>
      <c r="AE197" s="20">
        <f>SUM(AE187:AE196)+reservavariáveisconsolidadomar[[#This Row],[26]]</f>
        <v>0</v>
      </c>
      <c r="AF197" s="20">
        <f>SUM(AF187:AF196)+reservavariáveisconsolidadomar[[#This Row],[27]]</f>
        <v>0</v>
      </c>
      <c r="AG197" s="20">
        <f>SUM(AG187:AG196)+reservavariáveisconsolidadomar[[#This Row],[28]]</f>
        <v>0</v>
      </c>
      <c r="AH197" s="20">
        <f>SUM(AH187:AH196)+reservavariáveisconsolidadomar[[#This Row],[29]]</f>
        <v>0</v>
      </c>
      <c r="AI197" s="19">
        <f>SUM(AI187:AI196)+reservavariáveisconsolidadomar[[#This Row],[30]]</f>
        <v>0</v>
      </c>
      <c r="AJ197" s="18">
        <f>reservavariáveisconsolidadomar[[#This Row],[31]]</f>
        <v>0</v>
      </c>
      <c r="AK197" s="17"/>
    </row>
    <row r="198" spans="2:37" ht="6.75" customHeight="1" thickTop="1" thickBot="1" x14ac:dyDescent="0.3">
      <c r="B198" s="15"/>
      <c r="C198" s="14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  <c r="AC198" s="13"/>
      <c r="AD198" s="13"/>
      <c r="AE198" s="13"/>
      <c r="AF198" s="13"/>
      <c r="AG198" s="13"/>
      <c r="AH198" s="13"/>
      <c r="AI198" s="12"/>
      <c r="AJ198" s="11"/>
      <c r="AK198" s="10"/>
    </row>
    <row r="199" spans="2:37" ht="12.6" thickTop="1" x14ac:dyDescent="0.25">
      <c r="E199" s="37"/>
      <c r="AI199" s="4"/>
    </row>
    <row r="200" spans="2:37" x14ac:dyDescent="0.25">
      <c r="AI200" s="4"/>
    </row>
    <row r="201" spans="2:37" x14ac:dyDescent="0.25">
      <c r="AI201" s="4"/>
    </row>
    <row r="202" spans="2:37" ht="39.75" customHeight="1" x14ac:dyDescent="0.7">
      <c r="C202" s="36"/>
      <c r="E202" s="240"/>
      <c r="F202" s="240"/>
      <c r="G202" s="240"/>
      <c r="H202" s="240"/>
      <c r="I202" s="240"/>
      <c r="J202" s="240"/>
      <c r="K202" s="240"/>
      <c r="L202" s="240"/>
      <c r="M202" s="240"/>
      <c r="N202" s="240"/>
      <c r="O202" s="240"/>
      <c r="P202" s="240"/>
      <c r="Q202" s="240"/>
      <c r="R202" s="240"/>
      <c r="S202" s="240"/>
      <c r="T202" s="240"/>
      <c r="U202" s="240"/>
      <c r="V202" s="240"/>
      <c r="W202" s="240"/>
      <c r="X202" s="240"/>
      <c r="Y202" s="240"/>
      <c r="Z202" s="240"/>
      <c r="AA202" s="240"/>
      <c r="AB202" s="240"/>
      <c r="AC202" s="240"/>
      <c r="AD202" s="240"/>
      <c r="AE202" s="240"/>
      <c r="AF202" s="240"/>
      <c r="AG202" s="240"/>
      <c r="AH202" s="240"/>
      <c r="AI202" s="240"/>
      <c r="AJ202" s="32" t="s">
        <v>19</v>
      </c>
    </row>
    <row r="203" spans="2:37" ht="12.6" thickBot="1" x14ac:dyDescent="0.3">
      <c r="B203" s="35"/>
      <c r="AI203" s="4"/>
      <c r="AJ203" s="34" t="s">
        <v>202</v>
      </c>
    </row>
    <row r="204" spans="2:37" ht="6.75" customHeight="1" thickTop="1" thickBot="1" x14ac:dyDescent="0.3">
      <c r="B204" s="2"/>
      <c r="C204" s="14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3"/>
      <c r="AD204" s="13"/>
      <c r="AE204" s="13"/>
      <c r="AF204" s="13"/>
      <c r="AG204" s="13"/>
      <c r="AH204" s="13"/>
      <c r="AI204" s="13"/>
      <c r="AJ204" s="12"/>
      <c r="AK204" s="33"/>
    </row>
    <row r="205" spans="2:37" ht="13.2" hidden="1" thickTop="1" thickBot="1" x14ac:dyDescent="0.3">
      <c r="B205" s="2"/>
      <c r="C205" s="31" t="s">
        <v>199</v>
      </c>
      <c r="D205" s="30" t="s">
        <v>198</v>
      </c>
      <c r="E205" s="30" t="s">
        <v>197</v>
      </c>
      <c r="F205" s="30" t="s">
        <v>196</v>
      </c>
      <c r="G205" s="30" t="s">
        <v>195</v>
      </c>
      <c r="H205" s="30" t="s">
        <v>194</v>
      </c>
      <c r="I205" s="30" t="s">
        <v>193</v>
      </c>
      <c r="J205" s="30" t="s">
        <v>192</v>
      </c>
      <c r="K205" s="30" t="s">
        <v>191</v>
      </c>
      <c r="L205" s="30" t="s">
        <v>190</v>
      </c>
      <c r="M205" s="30" t="s">
        <v>189</v>
      </c>
      <c r="N205" s="30" t="s">
        <v>188</v>
      </c>
      <c r="O205" s="30" t="s">
        <v>187</v>
      </c>
      <c r="P205" s="30" t="s">
        <v>186</v>
      </c>
      <c r="Q205" s="30" t="s">
        <v>185</v>
      </c>
      <c r="R205" s="30" t="s">
        <v>184</v>
      </c>
      <c r="S205" s="30" t="s">
        <v>183</v>
      </c>
      <c r="T205" s="30" t="s">
        <v>182</v>
      </c>
      <c r="U205" s="30" t="s">
        <v>181</v>
      </c>
      <c r="V205" s="30" t="s">
        <v>180</v>
      </c>
      <c r="W205" s="30" t="s">
        <v>179</v>
      </c>
      <c r="X205" s="30" t="s">
        <v>178</v>
      </c>
      <c r="Y205" s="30" t="s">
        <v>177</v>
      </c>
      <c r="Z205" s="30" t="s">
        <v>176</v>
      </c>
      <c r="AA205" s="30" t="s">
        <v>175</v>
      </c>
      <c r="AB205" s="30" t="s">
        <v>174</v>
      </c>
      <c r="AC205" s="30" t="s">
        <v>173</v>
      </c>
      <c r="AD205" s="30" t="s">
        <v>172</v>
      </c>
      <c r="AE205" s="30" t="s">
        <v>171</v>
      </c>
      <c r="AF205" s="30" t="s">
        <v>170</v>
      </c>
      <c r="AG205" s="30" t="s">
        <v>169</v>
      </c>
      <c r="AH205" s="30" t="s">
        <v>168</v>
      </c>
      <c r="AI205" s="30" t="s">
        <v>167</v>
      </c>
      <c r="AJ205" s="29" t="s">
        <v>166</v>
      </c>
      <c r="AK205" s="2"/>
    </row>
    <row r="206" spans="2:37" ht="19.5" customHeight="1" thickTop="1" thickBot="1" x14ac:dyDescent="0.3">
      <c r="B206" s="28"/>
      <c r="C206" s="27" t="str">
        <f>DADOS!$AP$3</f>
        <v>📝 COE</v>
      </c>
      <c r="D206" s="26" t="str">
        <f>IF(reservaoutrosconsolidadomar[[#This Row],[TOTAL (R$)]]=0,"",IF(OR(reservaoutrosconsolidadomar[[#This Row],[TOTAL (R$)]]=LARGE($AJ$206:$AJ$213,1),reservaoutrosconsolidadomar[[#This Row],[TOTAL (R$)]]=LARGE($AJ$206:$AJ$213,2)),DADOS!$I$11,""))</f>
        <v/>
      </c>
      <c r="E206" s="96">
        <f>SUMIFS(tabela_registros[VALOR],tabela_registros[MÊS],$AE$1,tabela_registros[DIA],reservaoutrosconsolidadomar[[#Headers],[1]],tabela_registros[REGISTRO],DADOS!$N$6,tabela_registros[TIPO],DADOS!$AJ$5,tabela_registros[CATEGORIA],reservaoutrosconsolidadomar[[#This Row],[ATUAL]])</f>
        <v>0</v>
      </c>
      <c r="F206" s="91">
        <f>SUMIFS(tabela_registros[VALOR],tabela_registros[MÊS],$AE$1,tabela_registros[DIA],reservaoutrosconsolidadomar[[#Headers],[2]],tabela_registros[REGISTRO],DADOS!$N$6,tabela_registros[TIPO],DADOS!$AJ$5,tabela_registros[CATEGORIA],reservaoutrosconsolidadomar[[#This Row],[ATUAL]])</f>
        <v>0</v>
      </c>
      <c r="G206" s="91">
        <f>SUMIFS(tabela_registros[VALOR],tabela_registros[MÊS],$AE$1,tabela_registros[DIA],reservaoutrosconsolidadomar[[#Headers],[3]],tabela_registros[REGISTRO],DADOS!$N$6,tabela_registros[TIPO],DADOS!$AJ$5,tabela_registros[CATEGORIA],reservaoutrosconsolidadomar[[#This Row],[ATUAL]])</f>
        <v>0</v>
      </c>
      <c r="H206" s="91">
        <f>SUMIFS(tabela_registros[VALOR],tabela_registros[MÊS],$AE$1,tabela_registros[DIA],reservaoutrosconsolidadomar[[#Headers],[4]],tabela_registros[REGISTRO],DADOS!$N$6,tabela_registros[TIPO],DADOS!$AJ$5,tabela_registros[CATEGORIA],reservaoutrosconsolidadomar[[#This Row],[ATUAL]])</f>
        <v>0</v>
      </c>
      <c r="I206" s="91">
        <f>SUMIFS(tabela_registros[VALOR],tabela_registros[MÊS],$AE$1,tabela_registros[DIA],reservaoutrosconsolidadomar[[#Headers],[5]],tabela_registros[REGISTRO],DADOS!$N$6,tabela_registros[TIPO],DADOS!$AJ$5,tabela_registros[CATEGORIA],reservaoutrosconsolidadomar[[#This Row],[ATUAL]])</f>
        <v>0</v>
      </c>
      <c r="J206" s="91">
        <f>SUMIFS(tabela_registros[VALOR],tabela_registros[MÊS],$AE$1,tabela_registros[DIA],reservaoutrosconsolidadomar[[#Headers],[6]],tabela_registros[REGISTRO],DADOS!$N$6,tabela_registros[TIPO],DADOS!$AJ$5,tabela_registros[CATEGORIA],reservaoutrosconsolidadomar[[#This Row],[ATUAL]])</f>
        <v>0</v>
      </c>
      <c r="K206" s="91">
        <f>SUMIFS(tabela_registros[VALOR],tabela_registros[MÊS],$AE$1,tabela_registros[DIA],reservaoutrosconsolidadomar[[#Headers],[7]],tabela_registros[REGISTRO],DADOS!$N$6,tabela_registros[TIPO],DADOS!$AJ$5,tabela_registros[CATEGORIA],reservaoutrosconsolidadomar[[#This Row],[ATUAL]])</f>
        <v>0</v>
      </c>
      <c r="L206" s="91">
        <f>SUMIFS(tabela_registros[VALOR],tabela_registros[MÊS],$AE$1,tabela_registros[DIA],reservaoutrosconsolidadomar[[#Headers],[8]],tabela_registros[REGISTRO],DADOS!$N$6,tabela_registros[TIPO],DADOS!$AJ$5,tabela_registros[CATEGORIA],reservaoutrosconsolidadomar[[#This Row],[ATUAL]])</f>
        <v>0</v>
      </c>
      <c r="M206" s="91">
        <f>SUMIFS(tabela_registros[VALOR],tabela_registros[MÊS],$AE$1,tabela_registros[DIA],reservaoutrosconsolidadomar[[#Headers],[9]],tabela_registros[REGISTRO],DADOS!$N$6,tabela_registros[TIPO],DADOS!$AJ$5,tabela_registros[CATEGORIA],reservaoutrosconsolidadomar[[#This Row],[ATUAL]])</f>
        <v>0</v>
      </c>
      <c r="N206" s="91">
        <f>SUMIFS(tabela_registros[VALOR],tabela_registros[MÊS],$AE$1,tabela_registros[DIA],reservaoutrosconsolidadomar[[#Headers],[10]],tabela_registros[REGISTRO],DADOS!$N$6,tabela_registros[TIPO],DADOS!$AJ$5,tabela_registros[CATEGORIA],reservaoutrosconsolidadomar[[#This Row],[ATUAL]])</f>
        <v>0</v>
      </c>
      <c r="O206" s="91">
        <f>SUMIFS(tabela_registros[VALOR],tabela_registros[MÊS],$AE$1,tabela_registros[DIA],reservaoutrosconsolidadomar[[#Headers],[11]],tabela_registros[REGISTRO],DADOS!$N$6,tabela_registros[TIPO],DADOS!$AJ$5,tabela_registros[CATEGORIA],reservaoutrosconsolidadomar[[#This Row],[ATUAL]])</f>
        <v>0</v>
      </c>
      <c r="P206" s="91">
        <f>SUMIFS(tabela_registros[VALOR],tabela_registros[MÊS],$AE$1,tabela_registros[DIA],reservaoutrosconsolidadomar[[#Headers],[12]],tabela_registros[REGISTRO],DADOS!$N$6,tabela_registros[TIPO],DADOS!$AJ$5,tabela_registros[CATEGORIA],reservaoutrosconsolidadomar[[#This Row],[ATUAL]])</f>
        <v>0</v>
      </c>
      <c r="Q206" s="91">
        <f>SUMIFS(tabela_registros[VALOR],tabela_registros[MÊS],$AE$1,tabela_registros[DIA],reservaoutrosconsolidadomar[[#Headers],[13]],tabela_registros[REGISTRO],DADOS!$N$6,tabela_registros[TIPO],DADOS!$AJ$5,tabela_registros[CATEGORIA],reservaoutrosconsolidadomar[[#This Row],[ATUAL]])</f>
        <v>0</v>
      </c>
      <c r="R206" s="91">
        <f>SUMIFS(tabela_registros[VALOR],tabela_registros[MÊS],$AE$1,tabela_registros[DIA],reservaoutrosconsolidadomar[[#Headers],[14]],tabela_registros[REGISTRO],DADOS!$N$6,tabela_registros[TIPO],DADOS!$AJ$5,tabela_registros[CATEGORIA],reservaoutrosconsolidadomar[[#This Row],[ATUAL]])</f>
        <v>0</v>
      </c>
      <c r="S206" s="91">
        <f>SUMIFS(tabela_registros[VALOR],tabela_registros[MÊS],$AE$1,tabela_registros[DIA],reservaoutrosconsolidadomar[[#Headers],[15]],tabela_registros[REGISTRO],DADOS!$N$6,tabela_registros[TIPO],DADOS!$AJ$5,tabela_registros[CATEGORIA],reservaoutrosconsolidadomar[[#This Row],[ATUAL]])</f>
        <v>0</v>
      </c>
      <c r="T206" s="91">
        <f>SUMIFS(tabela_registros[VALOR],tabela_registros[MÊS],$AE$1,tabela_registros[DIA],reservaoutrosconsolidadomar[[#Headers],[16]],tabela_registros[REGISTRO],DADOS!$N$6,tabela_registros[TIPO],DADOS!$AJ$5,tabela_registros[CATEGORIA],reservaoutrosconsolidadomar[[#This Row],[ATUAL]])</f>
        <v>0</v>
      </c>
      <c r="U206" s="91">
        <f>SUMIFS(tabela_registros[VALOR],tabela_registros[MÊS],$AE$1,tabela_registros[DIA],reservaoutrosconsolidadomar[[#Headers],[17]],tabela_registros[REGISTRO],DADOS!$N$6,tabela_registros[TIPO],DADOS!$AJ$5,tabela_registros[CATEGORIA],reservaoutrosconsolidadomar[[#This Row],[ATUAL]])</f>
        <v>0</v>
      </c>
      <c r="V206" s="91">
        <f>SUMIFS(tabela_registros[VALOR],tabela_registros[MÊS],$AE$1,tabela_registros[DIA],reservaoutrosconsolidadomar[[#Headers],[18]],tabela_registros[REGISTRO],DADOS!$N$6,tabela_registros[TIPO],DADOS!$AJ$5,tabela_registros[CATEGORIA],reservaoutrosconsolidadomar[[#This Row],[ATUAL]])</f>
        <v>0</v>
      </c>
      <c r="W206" s="91">
        <f>SUMIFS(tabela_registros[VALOR],tabela_registros[MÊS],$AE$1,tabela_registros[DIA],reservaoutrosconsolidadomar[[#Headers],[19]],tabela_registros[REGISTRO],DADOS!$N$6,tabela_registros[TIPO],DADOS!$AJ$5,tabela_registros[CATEGORIA],reservaoutrosconsolidadomar[[#This Row],[ATUAL]])</f>
        <v>0</v>
      </c>
      <c r="X206" s="91">
        <f>SUMIFS(tabela_registros[VALOR],tabela_registros[MÊS],$AE$1,tabela_registros[DIA],reservaoutrosconsolidadomar[[#Headers],[20]],tabela_registros[REGISTRO],DADOS!$N$6,tabela_registros[TIPO],DADOS!$AJ$5,tabela_registros[CATEGORIA],reservaoutrosconsolidadomar[[#This Row],[ATUAL]])</f>
        <v>0</v>
      </c>
      <c r="Y206" s="91">
        <f>SUMIFS(tabela_registros[VALOR],tabela_registros[MÊS],$AE$1,tabela_registros[DIA],reservaoutrosconsolidadomar[[#Headers],[21]],tabela_registros[REGISTRO],DADOS!$N$6,tabela_registros[TIPO],DADOS!$AJ$5,tabela_registros[CATEGORIA],reservaoutrosconsolidadomar[[#This Row],[ATUAL]])</f>
        <v>0</v>
      </c>
      <c r="Z206" s="91">
        <f>SUMIFS(tabela_registros[VALOR],tabela_registros[MÊS],$AE$1,tabela_registros[DIA],reservaoutrosconsolidadomar[[#Headers],[22]],tabela_registros[REGISTRO],DADOS!$N$6,tabela_registros[TIPO],DADOS!$AJ$5,tabela_registros[CATEGORIA],reservaoutrosconsolidadomar[[#This Row],[ATUAL]])</f>
        <v>0</v>
      </c>
      <c r="AA206" s="91">
        <f>SUMIFS(tabela_registros[VALOR],tabela_registros[MÊS],$AE$1,tabela_registros[DIA],reservaoutrosconsolidadomar[[#Headers],[23]],tabela_registros[REGISTRO],DADOS!$N$6,tabela_registros[TIPO],DADOS!$AJ$5,tabela_registros[CATEGORIA],reservaoutrosconsolidadomar[[#This Row],[ATUAL]])</f>
        <v>0</v>
      </c>
      <c r="AB206" s="91">
        <f>SUMIFS(tabela_registros[VALOR],tabela_registros[MÊS],$AE$1,tabela_registros[DIA],reservaoutrosconsolidadomar[[#Headers],[24]],tabela_registros[REGISTRO],DADOS!$N$6,tabela_registros[TIPO],DADOS!$AJ$5,tabela_registros[CATEGORIA],reservaoutrosconsolidadomar[[#This Row],[ATUAL]])</f>
        <v>0</v>
      </c>
      <c r="AC206" s="91">
        <f>SUMIFS(tabela_registros[VALOR],tabela_registros[MÊS],$AE$1,tabela_registros[DIA],reservaoutrosconsolidadomar[[#Headers],[25]],tabela_registros[REGISTRO],DADOS!$N$6,tabela_registros[TIPO],DADOS!$AJ$5,tabela_registros[CATEGORIA],reservaoutrosconsolidadomar[[#This Row],[ATUAL]])</f>
        <v>0</v>
      </c>
      <c r="AD206" s="91">
        <f>SUMIFS(tabela_registros[VALOR],tabela_registros[MÊS],$AE$1,tabela_registros[DIA],reservaoutrosconsolidadomar[[#Headers],[26]],tabela_registros[REGISTRO],DADOS!$N$6,tabela_registros[TIPO],DADOS!$AJ$5,tabela_registros[CATEGORIA],reservaoutrosconsolidadomar[[#This Row],[ATUAL]])</f>
        <v>0</v>
      </c>
      <c r="AE206" s="91">
        <f>SUMIFS(tabela_registros[VALOR],tabela_registros[MÊS],$AE$1,tabela_registros[DIA],reservaoutrosconsolidadomar[[#Headers],[27]],tabela_registros[REGISTRO],DADOS!$N$6,tabela_registros[TIPO],DADOS!$AJ$5,tabela_registros[CATEGORIA],reservaoutrosconsolidadomar[[#This Row],[ATUAL]])</f>
        <v>0</v>
      </c>
      <c r="AF206" s="91">
        <f>SUMIFS(tabela_registros[VALOR],tabela_registros[MÊS],$AE$1,tabela_registros[DIA],reservaoutrosconsolidadomar[[#Headers],[28]],tabela_registros[REGISTRO],DADOS!$N$6,tabela_registros[TIPO],DADOS!$AJ$5,tabela_registros[CATEGORIA],reservaoutrosconsolidadomar[[#This Row],[ATUAL]])</f>
        <v>0</v>
      </c>
      <c r="AG206" s="91">
        <f>SUMIFS(tabela_registros[VALOR],tabela_registros[MÊS],$AE$1,tabela_registros[DIA],reservaoutrosconsolidadomar[[#Headers],[29]],tabela_registros[REGISTRO],DADOS!$N$6,tabela_registros[TIPO],DADOS!$AJ$5,tabela_registros[CATEGORIA],reservaoutrosconsolidadomar[[#This Row],[ATUAL]])</f>
        <v>0</v>
      </c>
      <c r="AH206" s="91">
        <f>SUMIFS(tabela_registros[VALOR],tabela_registros[MÊS],$AE$1,tabela_registros[DIA],reservaoutrosconsolidadomar[[#Headers],[30]],tabela_registros[REGISTRO],DADOS!$N$6,tabela_registros[TIPO],DADOS!$AJ$5,tabela_registros[CATEGORIA],reservaoutrosconsolidadomar[[#This Row],[ATUAL]])</f>
        <v>0</v>
      </c>
      <c r="AI206" s="101">
        <f>SUMIFS(tabela_registros[VALOR],tabela_registros[MÊS],$AE$1,tabela_registros[DIA],reservaoutrosconsolidadomar[[#Headers],[31]],tabela_registros[REGISTRO],DADOS!$N$6,tabela_registros[TIPO],DADOS!$AJ$5,tabela_registros[CATEGORIA],reservaoutrosconsolidadomar[[#This Row],[ATUAL]])</f>
        <v>0</v>
      </c>
      <c r="AJ206" s="97">
        <f>SUM(reservaoutrosconsolidadomar[[#This Row],[1]:[31]])</f>
        <v>0</v>
      </c>
      <c r="AK206" s="25"/>
    </row>
    <row r="207" spans="2:37" ht="19.5" customHeight="1" thickTop="1" thickBot="1" x14ac:dyDescent="0.3">
      <c r="B207" s="28"/>
      <c r="C207" s="27" t="str">
        <f>DADOS!$AP$4</f>
        <v>📝 FOREX</v>
      </c>
      <c r="D207" s="26" t="str">
        <f>IF(reservaoutrosconsolidadomar[[#This Row],[TOTAL (R$)]]=0,"",IF(OR(reservaoutrosconsolidadomar[[#This Row],[TOTAL (R$)]]=LARGE($AJ$206:$AJ$213,1),reservaoutrosconsolidadomar[[#This Row],[TOTAL (R$)]]=LARGE($AJ$206:$AJ$213,2)),DADOS!$I$11,""))</f>
        <v/>
      </c>
      <c r="E207" s="96">
        <f>SUMIFS(tabela_registros[VALOR],tabela_registros[MÊS],$AE$1,tabela_registros[DIA],reservaoutrosconsolidadomar[[#Headers],[1]],tabela_registros[REGISTRO],DADOS!$N$6,tabela_registros[TIPO],DADOS!$AJ$5,tabela_registros[CATEGORIA],reservaoutrosconsolidadomar[[#This Row],[ATUAL]])</f>
        <v>0</v>
      </c>
      <c r="F207" s="91">
        <f>SUMIFS(tabela_registros[VALOR],tabela_registros[MÊS],$AE$1,tabela_registros[DIA],reservaoutrosconsolidadomar[[#Headers],[2]],tabela_registros[REGISTRO],DADOS!$N$6,tabela_registros[TIPO],DADOS!$AJ$5,tabela_registros[CATEGORIA],reservaoutrosconsolidadomar[[#This Row],[ATUAL]])</f>
        <v>0</v>
      </c>
      <c r="G207" s="91">
        <f>SUMIFS(tabela_registros[VALOR],tabela_registros[MÊS],$AE$1,tabela_registros[DIA],reservaoutrosconsolidadomar[[#Headers],[3]],tabela_registros[REGISTRO],DADOS!$N$6,tabela_registros[TIPO],DADOS!$AJ$5,tabela_registros[CATEGORIA],reservaoutrosconsolidadomar[[#This Row],[ATUAL]])</f>
        <v>0</v>
      </c>
      <c r="H207" s="91">
        <f>SUMIFS(tabela_registros[VALOR],tabela_registros[MÊS],$AE$1,tabela_registros[DIA],reservaoutrosconsolidadomar[[#Headers],[4]],tabela_registros[REGISTRO],DADOS!$N$6,tabela_registros[TIPO],DADOS!$AJ$5,tabela_registros[CATEGORIA],reservaoutrosconsolidadomar[[#This Row],[ATUAL]])</f>
        <v>0</v>
      </c>
      <c r="I207" s="91">
        <f>SUMIFS(tabela_registros[VALOR],tabela_registros[MÊS],$AE$1,tabela_registros[DIA],reservaoutrosconsolidadomar[[#Headers],[5]],tabela_registros[REGISTRO],DADOS!$N$6,tabela_registros[TIPO],DADOS!$AJ$5,tabela_registros[CATEGORIA],reservaoutrosconsolidadomar[[#This Row],[ATUAL]])</f>
        <v>0</v>
      </c>
      <c r="J207" s="91">
        <f>SUMIFS(tabela_registros[VALOR],tabela_registros[MÊS],$AE$1,tabela_registros[DIA],reservaoutrosconsolidadomar[[#Headers],[6]],tabela_registros[REGISTRO],DADOS!$N$6,tabela_registros[TIPO],DADOS!$AJ$5,tabela_registros[CATEGORIA],reservaoutrosconsolidadomar[[#This Row],[ATUAL]])</f>
        <v>0</v>
      </c>
      <c r="K207" s="91">
        <f>SUMIFS(tabela_registros[VALOR],tabela_registros[MÊS],$AE$1,tabela_registros[DIA],reservaoutrosconsolidadomar[[#Headers],[7]],tabela_registros[REGISTRO],DADOS!$N$6,tabela_registros[TIPO],DADOS!$AJ$5,tabela_registros[CATEGORIA],reservaoutrosconsolidadomar[[#This Row],[ATUAL]])</f>
        <v>0</v>
      </c>
      <c r="L207" s="91">
        <f>SUMIFS(tabela_registros[VALOR],tabela_registros[MÊS],$AE$1,tabela_registros[DIA],reservaoutrosconsolidadomar[[#Headers],[8]],tabela_registros[REGISTRO],DADOS!$N$6,tabela_registros[TIPO],DADOS!$AJ$5,tabela_registros[CATEGORIA],reservaoutrosconsolidadomar[[#This Row],[ATUAL]])</f>
        <v>0</v>
      </c>
      <c r="M207" s="91">
        <f>SUMIFS(tabela_registros[VALOR],tabela_registros[MÊS],$AE$1,tabela_registros[DIA],reservaoutrosconsolidadomar[[#Headers],[9]],tabela_registros[REGISTRO],DADOS!$N$6,tabela_registros[TIPO],DADOS!$AJ$5,tabela_registros[CATEGORIA],reservaoutrosconsolidadomar[[#This Row],[ATUAL]])</f>
        <v>0</v>
      </c>
      <c r="N207" s="91">
        <f>SUMIFS(tabela_registros[VALOR],tabela_registros[MÊS],$AE$1,tabela_registros[DIA],reservaoutrosconsolidadomar[[#Headers],[10]],tabela_registros[REGISTRO],DADOS!$N$6,tabela_registros[TIPO],DADOS!$AJ$5,tabela_registros[CATEGORIA],reservaoutrosconsolidadomar[[#This Row],[ATUAL]])</f>
        <v>0</v>
      </c>
      <c r="O207" s="91">
        <f>SUMIFS(tabela_registros[VALOR],tabela_registros[MÊS],$AE$1,tabela_registros[DIA],reservaoutrosconsolidadomar[[#Headers],[11]],tabela_registros[REGISTRO],DADOS!$N$6,tabela_registros[TIPO],DADOS!$AJ$5,tabela_registros[CATEGORIA],reservaoutrosconsolidadomar[[#This Row],[ATUAL]])</f>
        <v>0</v>
      </c>
      <c r="P207" s="91">
        <f>SUMIFS(tabela_registros[VALOR],tabela_registros[MÊS],$AE$1,tabela_registros[DIA],reservaoutrosconsolidadomar[[#Headers],[12]],tabela_registros[REGISTRO],DADOS!$N$6,tabela_registros[TIPO],DADOS!$AJ$5,tabela_registros[CATEGORIA],reservaoutrosconsolidadomar[[#This Row],[ATUAL]])</f>
        <v>0</v>
      </c>
      <c r="Q207" s="91">
        <f>SUMIFS(tabela_registros[VALOR],tabela_registros[MÊS],$AE$1,tabela_registros[DIA],reservaoutrosconsolidadomar[[#Headers],[13]],tabela_registros[REGISTRO],DADOS!$N$6,tabela_registros[TIPO],DADOS!$AJ$5,tabela_registros[CATEGORIA],reservaoutrosconsolidadomar[[#This Row],[ATUAL]])</f>
        <v>0</v>
      </c>
      <c r="R207" s="91">
        <f>SUMIFS(tabela_registros[VALOR],tabela_registros[MÊS],$AE$1,tabela_registros[DIA],reservaoutrosconsolidadomar[[#Headers],[14]],tabela_registros[REGISTRO],DADOS!$N$6,tabela_registros[TIPO],DADOS!$AJ$5,tabela_registros[CATEGORIA],reservaoutrosconsolidadomar[[#This Row],[ATUAL]])</f>
        <v>0</v>
      </c>
      <c r="S207" s="91">
        <f>SUMIFS(tabela_registros[VALOR],tabela_registros[MÊS],$AE$1,tabela_registros[DIA],reservaoutrosconsolidadomar[[#Headers],[15]],tabela_registros[REGISTRO],DADOS!$N$6,tabela_registros[TIPO],DADOS!$AJ$5,tabela_registros[CATEGORIA],reservaoutrosconsolidadomar[[#This Row],[ATUAL]])</f>
        <v>0</v>
      </c>
      <c r="T207" s="91">
        <f>SUMIFS(tabela_registros[VALOR],tabela_registros[MÊS],$AE$1,tabela_registros[DIA],reservaoutrosconsolidadomar[[#Headers],[16]],tabela_registros[REGISTRO],DADOS!$N$6,tabela_registros[TIPO],DADOS!$AJ$5,tabela_registros[CATEGORIA],reservaoutrosconsolidadomar[[#This Row],[ATUAL]])</f>
        <v>0</v>
      </c>
      <c r="U207" s="91">
        <f>SUMIFS(tabela_registros[VALOR],tabela_registros[MÊS],$AE$1,tabela_registros[DIA],reservaoutrosconsolidadomar[[#Headers],[17]],tabela_registros[REGISTRO],DADOS!$N$6,tabela_registros[TIPO],DADOS!$AJ$5,tabela_registros[CATEGORIA],reservaoutrosconsolidadomar[[#This Row],[ATUAL]])</f>
        <v>0</v>
      </c>
      <c r="V207" s="91">
        <f>SUMIFS(tabela_registros[VALOR],tabela_registros[MÊS],$AE$1,tabela_registros[DIA],reservaoutrosconsolidadomar[[#Headers],[18]],tabela_registros[REGISTRO],DADOS!$N$6,tabela_registros[TIPO],DADOS!$AJ$5,tabela_registros[CATEGORIA],reservaoutrosconsolidadomar[[#This Row],[ATUAL]])</f>
        <v>0</v>
      </c>
      <c r="W207" s="91">
        <f>SUMIFS(tabela_registros[VALOR],tabela_registros[MÊS],$AE$1,tabela_registros[DIA],reservaoutrosconsolidadomar[[#Headers],[19]],tabela_registros[REGISTRO],DADOS!$N$6,tabela_registros[TIPO],DADOS!$AJ$5,tabela_registros[CATEGORIA],reservaoutrosconsolidadomar[[#This Row],[ATUAL]])</f>
        <v>0</v>
      </c>
      <c r="X207" s="91">
        <f>SUMIFS(tabela_registros[VALOR],tabela_registros[MÊS],$AE$1,tabela_registros[DIA],reservaoutrosconsolidadomar[[#Headers],[20]],tabela_registros[REGISTRO],DADOS!$N$6,tabela_registros[TIPO],DADOS!$AJ$5,tabela_registros[CATEGORIA],reservaoutrosconsolidadomar[[#This Row],[ATUAL]])</f>
        <v>0</v>
      </c>
      <c r="Y207" s="91">
        <f>SUMIFS(tabela_registros[VALOR],tabela_registros[MÊS],$AE$1,tabela_registros[DIA],reservaoutrosconsolidadomar[[#Headers],[21]],tabela_registros[REGISTRO],DADOS!$N$6,tabela_registros[TIPO],DADOS!$AJ$5,tabela_registros[CATEGORIA],reservaoutrosconsolidadomar[[#This Row],[ATUAL]])</f>
        <v>0</v>
      </c>
      <c r="Z207" s="91">
        <f>SUMIFS(tabela_registros[VALOR],tabela_registros[MÊS],$AE$1,tabela_registros[DIA],reservaoutrosconsolidadomar[[#Headers],[22]],tabela_registros[REGISTRO],DADOS!$N$6,tabela_registros[TIPO],DADOS!$AJ$5,tabela_registros[CATEGORIA],reservaoutrosconsolidadomar[[#This Row],[ATUAL]])</f>
        <v>0</v>
      </c>
      <c r="AA207" s="91">
        <f>SUMIFS(tabela_registros[VALOR],tabela_registros[MÊS],$AE$1,tabela_registros[DIA],reservaoutrosconsolidadomar[[#Headers],[23]],tabela_registros[REGISTRO],DADOS!$N$6,tabela_registros[TIPO],DADOS!$AJ$5,tabela_registros[CATEGORIA],reservaoutrosconsolidadomar[[#This Row],[ATUAL]])</f>
        <v>0</v>
      </c>
      <c r="AB207" s="91">
        <f>SUMIFS(tabela_registros[VALOR],tabela_registros[MÊS],$AE$1,tabela_registros[DIA],reservaoutrosconsolidadomar[[#Headers],[24]],tabela_registros[REGISTRO],DADOS!$N$6,tabela_registros[TIPO],DADOS!$AJ$5,tabela_registros[CATEGORIA],reservaoutrosconsolidadomar[[#This Row],[ATUAL]])</f>
        <v>0</v>
      </c>
      <c r="AC207" s="91">
        <f>SUMIFS(tabela_registros[VALOR],tabela_registros[MÊS],$AE$1,tabela_registros[DIA],reservaoutrosconsolidadomar[[#Headers],[25]],tabela_registros[REGISTRO],DADOS!$N$6,tabela_registros[TIPO],DADOS!$AJ$5,tabela_registros[CATEGORIA],reservaoutrosconsolidadomar[[#This Row],[ATUAL]])</f>
        <v>0</v>
      </c>
      <c r="AD207" s="91">
        <f>SUMIFS(tabela_registros[VALOR],tabela_registros[MÊS],$AE$1,tabela_registros[DIA],reservaoutrosconsolidadomar[[#Headers],[26]],tabela_registros[REGISTRO],DADOS!$N$6,tabela_registros[TIPO],DADOS!$AJ$5,tabela_registros[CATEGORIA],reservaoutrosconsolidadomar[[#This Row],[ATUAL]])</f>
        <v>0</v>
      </c>
      <c r="AE207" s="91">
        <f>SUMIFS(tabela_registros[VALOR],tabela_registros[MÊS],$AE$1,tabela_registros[DIA],reservaoutrosconsolidadomar[[#Headers],[27]],tabela_registros[REGISTRO],DADOS!$N$6,tabela_registros[TIPO],DADOS!$AJ$5,tabela_registros[CATEGORIA],reservaoutrosconsolidadomar[[#This Row],[ATUAL]])</f>
        <v>0</v>
      </c>
      <c r="AF207" s="91">
        <f>SUMIFS(tabela_registros[VALOR],tabela_registros[MÊS],$AE$1,tabela_registros[DIA],reservaoutrosconsolidadomar[[#Headers],[28]],tabela_registros[REGISTRO],DADOS!$N$6,tabela_registros[TIPO],DADOS!$AJ$5,tabela_registros[CATEGORIA],reservaoutrosconsolidadomar[[#This Row],[ATUAL]])</f>
        <v>0</v>
      </c>
      <c r="AG207" s="91">
        <f>SUMIFS(tabela_registros[VALOR],tabela_registros[MÊS],$AE$1,tabela_registros[DIA],reservaoutrosconsolidadomar[[#Headers],[29]],tabela_registros[REGISTRO],DADOS!$N$6,tabela_registros[TIPO],DADOS!$AJ$5,tabela_registros[CATEGORIA],reservaoutrosconsolidadomar[[#This Row],[ATUAL]])</f>
        <v>0</v>
      </c>
      <c r="AH207" s="91">
        <f>SUMIFS(tabela_registros[VALOR],tabela_registros[MÊS],$AE$1,tabela_registros[DIA],reservaoutrosconsolidadomar[[#Headers],[30]],tabela_registros[REGISTRO],DADOS!$N$6,tabela_registros[TIPO],DADOS!$AJ$5,tabela_registros[CATEGORIA],reservaoutrosconsolidadomar[[#This Row],[ATUAL]])</f>
        <v>0</v>
      </c>
      <c r="AI207" s="101">
        <f>SUMIFS(tabela_registros[VALOR],tabela_registros[MÊS],$AE$1,tabela_registros[DIA],reservaoutrosconsolidadomar[[#Headers],[31]],tabela_registros[REGISTRO],DADOS!$N$6,tabela_registros[TIPO],DADOS!$AJ$5,tabela_registros[CATEGORIA],reservaoutrosconsolidadomar[[#This Row],[ATUAL]])</f>
        <v>0</v>
      </c>
      <c r="AJ207" s="97">
        <f>SUM(reservaoutrosconsolidadomar[[#This Row],[1]:[31]])</f>
        <v>0</v>
      </c>
      <c r="AK207" s="25"/>
    </row>
    <row r="208" spans="2:37" ht="19.5" customHeight="1" thickTop="1" thickBot="1" x14ac:dyDescent="0.3">
      <c r="B208" s="28"/>
      <c r="C208" s="27" t="str">
        <f>DADOS!$AP$5</f>
        <v>📝 FUNDO DE INVESTIMENTO</v>
      </c>
      <c r="D208" s="26" t="str">
        <f>IF(reservaoutrosconsolidadomar[[#This Row],[TOTAL (R$)]]=0,"",IF(OR(reservaoutrosconsolidadomar[[#This Row],[TOTAL (R$)]]=LARGE($AJ$206:$AJ$213,1),reservaoutrosconsolidadomar[[#This Row],[TOTAL (R$)]]=LARGE($AJ$206:$AJ$213,2)),DADOS!$I$11,""))</f>
        <v/>
      </c>
      <c r="E208" s="96">
        <f>SUMIFS(tabela_registros[VALOR],tabela_registros[MÊS],$AE$1,tabela_registros[DIA],reservaoutrosconsolidadomar[[#Headers],[1]],tabela_registros[REGISTRO],DADOS!$N$6,tabela_registros[TIPO],DADOS!$AJ$5,tabela_registros[CATEGORIA],reservaoutrosconsolidadomar[[#This Row],[ATUAL]])</f>
        <v>0</v>
      </c>
      <c r="F208" s="91">
        <f>SUMIFS(tabela_registros[VALOR],tabela_registros[MÊS],$AE$1,tabela_registros[DIA],reservaoutrosconsolidadomar[[#Headers],[2]],tabela_registros[REGISTRO],DADOS!$N$6,tabela_registros[TIPO],DADOS!$AJ$5,tabela_registros[CATEGORIA],reservaoutrosconsolidadomar[[#This Row],[ATUAL]])</f>
        <v>0</v>
      </c>
      <c r="G208" s="91">
        <f>SUMIFS(tabela_registros[VALOR],tabela_registros[MÊS],$AE$1,tabela_registros[DIA],reservaoutrosconsolidadomar[[#Headers],[3]],tabela_registros[REGISTRO],DADOS!$N$6,tabela_registros[TIPO],DADOS!$AJ$5,tabela_registros[CATEGORIA],reservaoutrosconsolidadomar[[#This Row],[ATUAL]])</f>
        <v>0</v>
      </c>
      <c r="H208" s="91">
        <f>SUMIFS(tabela_registros[VALOR],tabela_registros[MÊS],$AE$1,tabela_registros[DIA],reservaoutrosconsolidadomar[[#Headers],[4]],tabela_registros[REGISTRO],DADOS!$N$6,tabela_registros[TIPO],DADOS!$AJ$5,tabela_registros[CATEGORIA],reservaoutrosconsolidadomar[[#This Row],[ATUAL]])</f>
        <v>0</v>
      </c>
      <c r="I208" s="91">
        <f>SUMIFS(tabela_registros[VALOR],tabela_registros[MÊS],$AE$1,tabela_registros[DIA],reservaoutrosconsolidadomar[[#Headers],[5]],tabela_registros[REGISTRO],DADOS!$N$6,tabela_registros[TIPO],DADOS!$AJ$5,tabela_registros[CATEGORIA],reservaoutrosconsolidadomar[[#This Row],[ATUAL]])</f>
        <v>0</v>
      </c>
      <c r="J208" s="91">
        <f>SUMIFS(tabela_registros[VALOR],tabela_registros[MÊS],$AE$1,tabela_registros[DIA],reservaoutrosconsolidadomar[[#Headers],[6]],tabela_registros[REGISTRO],DADOS!$N$6,tabela_registros[TIPO],DADOS!$AJ$5,tabela_registros[CATEGORIA],reservaoutrosconsolidadomar[[#This Row],[ATUAL]])</f>
        <v>0</v>
      </c>
      <c r="K208" s="91">
        <f>SUMIFS(tabela_registros[VALOR],tabela_registros[MÊS],$AE$1,tabela_registros[DIA],reservaoutrosconsolidadomar[[#Headers],[7]],tabela_registros[REGISTRO],DADOS!$N$6,tabela_registros[TIPO],DADOS!$AJ$5,tabela_registros[CATEGORIA],reservaoutrosconsolidadomar[[#This Row],[ATUAL]])</f>
        <v>0</v>
      </c>
      <c r="L208" s="91">
        <f>SUMIFS(tabela_registros[VALOR],tabela_registros[MÊS],$AE$1,tabela_registros[DIA],reservaoutrosconsolidadomar[[#Headers],[8]],tabela_registros[REGISTRO],DADOS!$N$6,tabela_registros[TIPO],DADOS!$AJ$5,tabela_registros[CATEGORIA],reservaoutrosconsolidadomar[[#This Row],[ATUAL]])</f>
        <v>0</v>
      </c>
      <c r="M208" s="91">
        <f>SUMIFS(tabela_registros[VALOR],tabela_registros[MÊS],$AE$1,tabela_registros[DIA],reservaoutrosconsolidadomar[[#Headers],[9]],tabela_registros[REGISTRO],DADOS!$N$6,tabela_registros[TIPO],DADOS!$AJ$5,tabela_registros[CATEGORIA],reservaoutrosconsolidadomar[[#This Row],[ATUAL]])</f>
        <v>0</v>
      </c>
      <c r="N208" s="91">
        <f>SUMIFS(tabela_registros[VALOR],tabela_registros[MÊS],$AE$1,tabela_registros[DIA],reservaoutrosconsolidadomar[[#Headers],[10]],tabela_registros[REGISTRO],DADOS!$N$6,tabela_registros[TIPO],DADOS!$AJ$5,tabela_registros[CATEGORIA],reservaoutrosconsolidadomar[[#This Row],[ATUAL]])</f>
        <v>0</v>
      </c>
      <c r="O208" s="91">
        <f>SUMIFS(tabela_registros[VALOR],tabela_registros[MÊS],$AE$1,tabela_registros[DIA],reservaoutrosconsolidadomar[[#Headers],[11]],tabela_registros[REGISTRO],DADOS!$N$6,tabela_registros[TIPO],DADOS!$AJ$5,tabela_registros[CATEGORIA],reservaoutrosconsolidadomar[[#This Row],[ATUAL]])</f>
        <v>0</v>
      </c>
      <c r="P208" s="91">
        <f>SUMIFS(tabela_registros[VALOR],tabela_registros[MÊS],$AE$1,tabela_registros[DIA],reservaoutrosconsolidadomar[[#Headers],[12]],tabela_registros[REGISTRO],DADOS!$N$6,tabela_registros[TIPO],DADOS!$AJ$5,tabela_registros[CATEGORIA],reservaoutrosconsolidadomar[[#This Row],[ATUAL]])</f>
        <v>0</v>
      </c>
      <c r="Q208" s="91">
        <f>SUMIFS(tabela_registros[VALOR],tabela_registros[MÊS],$AE$1,tabela_registros[DIA],reservaoutrosconsolidadomar[[#Headers],[13]],tabela_registros[REGISTRO],DADOS!$N$6,tabela_registros[TIPO],DADOS!$AJ$5,tabela_registros[CATEGORIA],reservaoutrosconsolidadomar[[#This Row],[ATUAL]])</f>
        <v>0</v>
      </c>
      <c r="R208" s="91">
        <f>SUMIFS(tabela_registros[VALOR],tabela_registros[MÊS],$AE$1,tabela_registros[DIA],reservaoutrosconsolidadomar[[#Headers],[14]],tabela_registros[REGISTRO],DADOS!$N$6,tabela_registros[TIPO],DADOS!$AJ$5,tabela_registros[CATEGORIA],reservaoutrosconsolidadomar[[#This Row],[ATUAL]])</f>
        <v>0</v>
      </c>
      <c r="S208" s="91">
        <f>SUMIFS(tabela_registros[VALOR],tabela_registros[MÊS],$AE$1,tabela_registros[DIA],reservaoutrosconsolidadomar[[#Headers],[15]],tabela_registros[REGISTRO],DADOS!$N$6,tabela_registros[TIPO],DADOS!$AJ$5,tabela_registros[CATEGORIA],reservaoutrosconsolidadomar[[#This Row],[ATUAL]])</f>
        <v>0</v>
      </c>
      <c r="T208" s="91">
        <f>SUMIFS(tabela_registros[VALOR],tabela_registros[MÊS],$AE$1,tabela_registros[DIA],reservaoutrosconsolidadomar[[#Headers],[16]],tabela_registros[REGISTRO],DADOS!$N$6,tabela_registros[TIPO],DADOS!$AJ$5,tabela_registros[CATEGORIA],reservaoutrosconsolidadomar[[#This Row],[ATUAL]])</f>
        <v>0</v>
      </c>
      <c r="U208" s="91">
        <f>SUMIFS(tabela_registros[VALOR],tabela_registros[MÊS],$AE$1,tabela_registros[DIA],reservaoutrosconsolidadomar[[#Headers],[17]],tabela_registros[REGISTRO],DADOS!$N$6,tabela_registros[TIPO],DADOS!$AJ$5,tabela_registros[CATEGORIA],reservaoutrosconsolidadomar[[#This Row],[ATUAL]])</f>
        <v>0</v>
      </c>
      <c r="V208" s="91">
        <f>SUMIFS(tabela_registros[VALOR],tabela_registros[MÊS],$AE$1,tabela_registros[DIA],reservaoutrosconsolidadomar[[#Headers],[18]],tabela_registros[REGISTRO],DADOS!$N$6,tabela_registros[TIPO],DADOS!$AJ$5,tabela_registros[CATEGORIA],reservaoutrosconsolidadomar[[#This Row],[ATUAL]])</f>
        <v>0</v>
      </c>
      <c r="W208" s="91">
        <f>SUMIFS(tabela_registros[VALOR],tabela_registros[MÊS],$AE$1,tabela_registros[DIA],reservaoutrosconsolidadomar[[#Headers],[19]],tabela_registros[REGISTRO],DADOS!$N$6,tabela_registros[TIPO],DADOS!$AJ$5,tabela_registros[CATEGORIA],reservaoutrosconsolidadomar[[#This Row],[ATUAL]])</f>
        <v>0</v>
      </c>
      <c r="X208" s="91">
        <f>SUMIFS(tabela_registros[VALOR],tabela_registros[MÊS],$AE$1,tabela_registros[DIA],reservaoutrosconsolidadomar[[#Headers],[20]],tabela_registros[REGISTRO],DADOS!$N$6,tabela_registros[TIPO],DADOS!$AJ$5,tabela_registros[CATEGORIA],reservaoutrosconsolidadomar[[#This Row],[ATUAL]])</f>
        <v>0</v>
      </c>
      <c r="Y208" s="91">
        <f>SUMIFS(tabela_registros[VALOR],tabela_registros[MÊS],$AE$1,tabela_registros[DIA],reservaoutrosconsolidadomar[[#Headers],[21]],tabela_registros[REGISTRO],DADOS!$N$6,tabela_registros[TIPO],DADOS!$AJ$5,tabela_registros[CATEGORIA],reservaoutrosconsolidadomar[[#This Row],[ATUAL]])</f>
        <v>0</v>
      </c>
      <c r="Z208" s="91">
        <f>SUMIFS(tabela_registros[VALOR],tabela_registros[MÊS],$AE$1,tabela_registros[DIA],reservaoutrosconsolidadomar[[#Headers],[22]],tabela_registros[REGISTRO],DADOS!$N$6,tabela_registros[TIPO],DADOS!$AJ$5,tabela_registros[CATEGORIA],reservaoutrosconsolidadomar[[#This Row],[ATUAL]])</f>
        <v>0</v>
      </c>
      <c r="AA208" s="91">
        <f>SUMIFS(tabela_registros[VALOR],tabela_registros[MÊS],$AE$1,tabela_registros[DIA],reservaoutrosconsolidadomar[[#Headers],[23]],tabela_registros[REGISTRO],DADOS!$N$6,tabela_registros[TIPO],DADOS!$AJ$5,tabela_registros[CATEGORIA],reservaoutrosconsolidadomar[[#This Row],[ATUAL]])</f>
        <v>0</v>
      </c>
      <c r="AB208" s="91">
        <f>SUMIFS(tabela_registros[VALOR],tabela_registros[MÊS],$AE$1,tabela_registros[DIA],reservaoutrosconsolidadomar[[#Headers],[24]],tabela_registros[REGISTRO],DADOS!$N$6,tabela_registros[TIPO],DADOS!$AJ$5,tabela_registros[CATEGORIA],reservaoutrosconsolidadomar[[#This Row],[ATUAL]])</f>
        <v>0</v>
      </c>
      <c r="AC208" s="91">
        <f>SUMIFS(tabela_registros[VALOR],tabela_registros[MÊS],$AE$1,tabela_registros[DIA],reservaoutrosconsolidadomar[[#Headers],[25]],tabela_registros[REGISTRO],DADOS!$N$6,tabela_registros[TIPO],DADOS!$AJ$5,tabela_registros[CATEGORIA],reservaoutrosconsolidadomar[[#This Row],[ATUAL]])</f>
        <v>0</v>
      </c>
      <c r="AD208" s="91">
        <f>SUMIFS(tabela_registros[VALOR],tabela_registros[MÊS],$AE$1,tabela_registros[DIA],reservaoutrosconsolidadomar[[#Headers],[26]],tabela_registros[REGISTRO],DADOS!$N$6,tabela_registros[TIPO],DADOS!$AJ$5,tabela_registros[CATEGORIA],reservaoutrosconsolidadomar[[#This Row],[ATUAL]])</f>
        <v>0</v>
      </c>
      <c r="AE208" s="91">
        <f>SUMIFS(tabela_registros[VALOR],tabela_registros[MÊS],$AE$1,tabela_registros[DIA],reservaoutrosconsolidadomar[[#Headers],[27]],tabela_registros[REGISTRO],DADOS!$N$6,tabela_registros[TIPO],DADOS!$AJ$5,tabela_registros[CATEGORIA],reservaoutrosconsolidadomar[[#This Row],[ATUAL]])</f>
        <v>0</v>
      </c>
      <c r="AF208" s="91">
        <f>SUMIFS(tabela_registros[VALOR],tabela_registros[MÊS],$AE$1,tabela_registros[DIA],reservaoutrosconsolidadomar[[#Headers],[28]],tabela_registros[REGISTRO],DADOS!$N$6,tabela_registros[TIPO],DADOS!$AJ$5,tabela_registros[CATEGORIA],reservaoutrosconsolidadomar[[#This Row],[ATUAL]])</f>
        <v>0</v>
      </c>
      <c r="AG208" s="91">
        <f>SUMIFS(tabela_registros[VALOR],tabela_registros[MÊS],$AE$1,tabela_registros[DIA],reservaoutrosconsolidadomar[[#Headers],[29]],tabela_registros[REGISTRO],DADOS!$N$6,tabela_registros[TIPO],DADOS!$AJ$5,tabela_registros[CATEGORIA],reservaoutrosconsolidadomar[[#This Row],[ATUAL]])</f>
        <v>0</v>
      </c>
      <c r="AH208" s="91">
        <f>SUMIFS(tabela_registros[VALOR],tabela_registros[MÊS],$AE$1,tabela_registros[DIA],reservaoutrosconsolidadomar[[#Headers],[30]],tabela_registros[REGISTRO],DADOS!$N$6,tabela_registros[TIPO],DADOS!$AJ$5,tabela_registros[CATEGORIA],reservaoutrosconsolidadomar[[#This Row],[ATUAL]])</f>
        <v>0</v>
      </c>
      <c r="AI208" s="101">
        <f>SUMIFS(tabela_registros[VALOR],tabela_registros[MÊS],$AE$1,tabela_registros[DIA],reservaoutrosconsolidadomar[[#Headers],[31]],tabela_registros[REGISTRO],DADOS!$N$6,tabela_registros[TIPO],DADOS!$AJ$5,tabela_registros[CATEGORIA],reservaoutrosconsolidadomar[[#This Row],[ATUAL]])</f>
        <v>0</v>
      </c>
      <c r="AJ208" s="97">
        <f>SUM(reservaoutrosconsolidadomar[[#This Row],[1]:[31]])</f>
        <v>0</v>
      </c>
      <c r="AK208" s="25"/>
    </row>
    <row r="209" spans="2:37" ht="19.5" customHeight="1" thickTop="1" thickBot="1" x14ac:dyDescent="0.3">
      <c r="B209" s="28"/>
      <c r="C209" s="27" t="str">
        <f>DADOS!$AP$6</f>
        <v>📝 NOVA EMPRESA</v>
      </c>
      <c r="D209" s="26" t="str">
        <f>IF(reservaoutrosconsolidadomar[[#This Row],[TOTAL (R$)]]=0,"",IF(OR(reservaoutrosconsolidadomar[[#This Row],[TOTAL (R$)]]=LARGE($AJ$206:$AJ$213,1),reservaoutrosconsolidadomar[[#This Row],[TOTAL (R$)]]=LARGE($AJ$206:$AJ$213,2)),DADOS!$I$11,""))</f>
        <v/>
      </c>
      <c r="E209" s="96">
        <f>SUMIFS(tabela_registros[VALOR],tabela_registros[MÊS],$AE$1,tabela_registros[DIA],reservaoutrosconsolidadomar[[#Headers],[1]],tabela_registros[REGISTRO],DADOS!$N$6,tabela_registros[TIPO],DADOS!$AJ$5,tabela_registros[CATEGORIA],reservaoutrosconsolidadomar[[#This Row],[ATUAL]])</f>
        <v>0</v>
      </c>
      <c r="F209" s="91">
        <f>SUMIFS(tabela_registros[VALOR],tabela_registros[MÊS],$AE$1,tabela_registros[DIA],reservaoutrosconsolidadomar[[#Headers],[2]],tabela_registros[REGISTRO],DADOS!$N$6,tabela_registros[TIPO],DADOS!$AJ$5,tabela_registros[CATEGORIA],reservaoutrosconsolidadomar[[#This Row],[ATUAL]])</f>
        <v>0</v>
      </c>
      <c r="G209" s="91">
        <f>SUMIFS(tabela_registros[VALOR],tabela_registros[MÊS],$AE$1,tabela_registros[DIA],reservaoutrosconsolidadomar[[#Headers],[3]],tabela_registros[REGISTRO],DADOS!$N$6,tabela_registros[TIPO],DADOS!$AJ$5,tabela_registros[CATEGORIA],reservaoutrosconsolidadomar[[#This Row],[ATUAL]])</f>
        <v>0</v>
      </c>
      <c r="H209" s="91">
        <f>SUMIFS(tabela_registros[VALOR],tabela_registros[MÊS],$AE$1,tabela_registros[DIA],reservaoutrosconsolidadomar[[#Headers],[4]],tabela_registros[REGISTRO],DADOS!$N$6,tabela_registros[TIPO],DADOS!$AJ$5,tabela_registros[CATEGORIA],reservaoutrosconsolidadomar[[#This Row],[ATUAL]])</f>
        <v>0</v>
      </c>
      <c r="I209" s="91">
        <f>SUMIFS(tabela_registros[VALOR],tabela_registros[MÊS],$AE$1,tabela_registros[DIA],reservaoutrosconsolidadomar[[#Headers],[5]],tabela_registros[REGISTRO],DADOS!$N$6,tabela_registros[TIPO],DADOS!$AJ$5,tabela_registros[CATEGORIA],reservaoutrosconsolidadomar[[#This Row],[ATUAL]])</f>
        <v>0</v>
      </c>
      <c r="J209" s="91">
        <f>SUMIFS(tabela_registros[VALOR],tabela_registros[MÊS],$AE$1,tabela_registros[DIA],reservaoutrosconsolidadomar[[#Headers],[6]],tabela_registros[REGISTRO],DADOS!$N$6,tabela_registros[TIPO],DADOS!$AJ$5,tabela_registros[CATEGORIA],reservaoutrosconsolidadomar[[#This Row],[ATUAL]])</f>
        <v>0</v>
      </c>
      <c r="K209" s="91">
        <f>SUMIFS(tabela_registros[VALOR],tabela_registros[MÊS],$AE$1,tabela_registros[DIA],reservaoutrosconsolidadomar[[#Headers],[7]],tabela_registros[REGISTRO],DADOS!$N$6,tabela_registros[TIPO],DADOS!$AJ$5,tabela_registros[CATEGORIA],reservaoutrosconsolidadomar[[#This Row],[ATUAL]])</f>
        <v>0</v>
      </c>
      <c r="L209" s="91">
        <f>SUMIFS(tabela_registros[VALOR],tabela_registros[MÊS],$AE$1,tabela_registros[DIA],reservaoutrosconsolidadomar[[#Headers],[8]],tabela_registros[REGISTRO],DADOS!$N$6,tabela_registros[TIPO],DADOS!$AJ$5,tabela_registros[CATEGORIA],reservaoutrosconsolidadomar[[#This Row],[ATUAL]])</f>
        <v>0</v>
      </c>
      <c r="M209" s="91">
        <f>SUMIFS(tabela_registros[VALOR],tabela_registros[MÊS],$AE$1,tabela_registros[DIA],reservaoutrosconsolidadomar[[#Headers],[9]],tabela_registros[REGISTRO],DADOS!$N$6,tabela_registros[TIPO],DADOS!$AJ$5,tabela_registros[CATEGORIA],reservaoutrosconsolidadomar[[#This Row],[ATUAL]])</f>
        <v>0</v>
      </c>
      <c r="N209" s="91">
        <f>SUMIFS(tabela_registros[VALOR],tabela_registros[MÊS],$AE$1,tabela_registros[DIA],reservaoutrosconsolidadomar[[#Headers],[10]],tabela_registros[REGISTRO],DADOS!$N$6,tabela_registros[TIPO],DADOS!$AJ$5,tabela_registros[CATEGORIA],reservaoutrosconsolidadomar[[#This Row],[ATUAL]])</f>
        <v>0</v>
      </c>
      <c r="O209" s="91">
        <f>SUMIFS(tabela_registros[VALOR],tabela_registros[MÊS],$AE$1,tabela_registros[DIA],reservaoutrosconsolidadomar[[#Headers],[11]],tabela_registros[REGISTRO],DADOS!$N$6,tabela_registros[TIPO],DADOS!$AJ$5,tabela_registros[CATEGORIA],reservaoutrosconsolidadomar[[#This Row],[ATUAL]])</f>
        <v>0</v>
      </c>
      <c r="P209" s="91">
        <f>SUMIFS(tabela_registros[VALOR],tabela_registros[MÊS],$AE$1,tabela_registros[DIA],reservaoutrosconsolidadomar[[#Headers],[12]],tabela_registros[REGISTRO],DADOS!$N$6,tabela_registros[TIPO],DADOS!$AJ$5,tabela_registros[CATEGORIA],reservaoutrosconsolidadomar[[#This Row],[ATUAL]])</f>
        <v>0</v>
      </c>
      <c r="Q209" s="91">
        <f>SUMIFS(tabela_registros[VALOR],tabela_registros[MÊS],$AE$1,tabela_registros[DIA],reservaoutrosconsolidadomar[[#Headers],[13]],tabela_registros[REGISTRO],DADOS!$N$6,tabela_registros[TIPO],DADOS!$AJ$5,tabela_registros[CATEGORIA],reservaoutrosconsolidadomar[[#This Row],[ATUAL]])</f>
        <v>0</v>
      </c>
      <c r="R209" s="91">
        <f>SUMIFS(tabela_registros[VALOR],tabela_registros[MÊS],$AE$1,tabela_registros[DIA],reservaoutrosconsolidadomar[[#Headers],[14]],tabela_registros[REGISTRO],DADOS!$N$6,tabela_registros[TIPO],DADOS!$AJ$5,tabela_registros[CATEGORIA],reservaoutrosconsolidadomar[[#This Row],[ATUAL]])</f>
        <v>0</v>
      </c>
      <c r="S209" s="91">
        <f>SUMIFS(tabela_registros[VALOR],tabela_registros[MÊS],$AE$1,tabela_registros[DIA],reservaoutrosconsolidadomar[[#Headers],[15]],tabela_registros[REGISTRO],DADOS!$N$6,tabela_registros[TIPO],DADOS!$AJ$5,tabela_registros[CATEGORIA],reservaoutrosconsolidadomar[[#This Row],[ATUAL]])</f>
        <v>0</v>
      </c>
      <c r="T209" s="91">
        <f>SUMIFS(tabela_registros[VALOR],tabela_registros[MÊS],$AE$1,tabela_registros[DIA],reservaoutrosconsolidadomar[[#Headers],[16]],tabela_registros[REGISTRO],DADOS!$N$6,tabela_registros[TIPO],DADOS!$AJ$5,tabela_registros[CATEGORIA],reservaoutrosconsolidadomar[[#This Row],[ATUAL]])</f>
        <v>0</v>
      </c>
      <c r="U209" s="91">
        <f>SUMIFS(tabela_registros[VALOR],tabela_registros[MÊS],$AE$1,tabela_registros[DIA],reservaoutrosconsolidadomar[[#Headers],[17]],tabela_registros[REGISTRO],DADOS!$N$6,tabela_registros[TIPO],DADOS!$AJ$5,tabela_registros[CATEGORIA],reservaoutrosconsolidadomar[[#This Row],[ATUAL]])</f>
        <v>0</v>
      </c>
      <c r="V209" s="91">
        <f>SUMIFS(tabela_registros[VALOR],tabela_registros[MÊS],$AE$1,tabela_registros[DIA],reservaoutrosconsolidadomar[[#Headers],[18]],tabela_registros[REGISTRO],DADOS!$N$6,tabela_registros[TIPO],DADOS!$AJ$5,tabela_registros[CATEGORIA],reservaoutrosconsolidadomar[[#This Row],[ATUAL]])</f>
        <v>0</v>
      </c>
      <c r="W209" s="91">
        <f>SUMIFS(tabela_registros[VALOR],tabela_registros[MÊS],$AE$1,tabela_registros[DIA],reservaoutrosconsolidadomar[[#Headers],[19]],tabela_registros[REGISTRO],DADOS!$N$6,tabela_registros[TIPO],DADOS!$AJ$5,tabela_registros[CATEGORIA],reservaoutrosconsolidadomar[[#This Row],[ATUAL]])</f>
        <v>0</v>
      </c>
      <c r="X209" s="91">
        <f>SUMIFS(tabela_registros[VALOR],tabela_registros[MÊS],$AE$1,tabela_registros[DIA],reservaoutrosconsolidadomar[[#Headers],[20]],tabela_registros[REGISTRO],DADOS!$N$6,tabela_registros[TIPO],DADOS!$AJ$5,tabela_registros[CATEGORIA],reservaoutrosconsolidadomar[[#This Row],[ATUAL]])</f>
        <v>0</v>
      </c>
      <c r="Y209" s="91">
        <f>SUMIFS(tabela_registros[VALOR],tabela_registros[MÊS],$AE$1,tabela_registros[DIA],reservaoutrosconsolidadomar[[#Headers],[21]],tabela_registros[REGISTRO],DADOS!$N$6,tabela_registros[TIPO],DADOS!$AJ$5,tabela_registros[CATEGORIA],reservaoutrosconsolidadomar[[#This Row],[ATUAL]])</f>
        <v>0</v>
      </c>
      <c r="Z209" s="91">
        <f>SUMIFS(tabela_registros[VALOR],tabela_registros[MÊS],$AE$1,tabela_registros[DIA],reservaoutrosconsolidadomar[[#Headers],[22]],tabela_registros[REGISTRO],DADOS!$N$6,tabela_registros[TIPO],DADOS!$AJ$5,tabela_registros[CATEGORIA],reservaoutrosconsolidadomar[[#This Row],[ATUAL]])</f>
        <v>0</v>
      </c>
      <c r="AA209" s="91">
        <f>SUMIFS(tabela_registros[VALOR],tabela_registros[MÊS],$AE$1,tabela_registros[DIA],reservaoutrosconsolidadomar[[#Headers],[23]],tabela_registros[REGISTRO],DADOS!$N$6,tabela_registros[TIPO],DADOS!$AJ$5,tabela_registros[CATEGORIA],reservaoutrosconsolidadomar[[#This Row],[ATUAL]])</f>
        <v>0</v>
      </c>
      <c r="AB209" s="91">
        <f>SUMIFS(tabela_registros[VALOR],tabela_registros[MÊS],$AE$1,tabela_registros[DIA],reservaoutrosconsolidadomar[[#Headers],[24]],tabela_registros[REGISTRO],DADOS!$N$6,tabela_registros[TIPO],DADOS!$AJ$5,tabela_registros[CATEGORIA],reservaoutrosconsolidadomar[[#This Row],[ATUAL]])</f>
        <v>0</v>
      </c>
      <c r="AC209" s="91">
        <f>SUMIFS(tabela_registros[VALOR],tabela_registros[MÊS],$AE$1,tabela_registros[DIA],reservaoutrosconsolidadomar[[#Headers],[25]],tabela_registros[REGISTRO],DADOS!$N$6,tabela_registros[TIPO],DADOS!$AJ$5,tabela_registros[CATEGORIA],reservaoutrosconsolidadomar[[#This Row],[ATUAL]])</f>
        <v>0</v>
      </c>
      <c r="AD209" s="91">
        <f>SUMIFS(tabela_registros[VALOR],tabela_registros[MÊS],$AE$1,tabela_registros[DIA],reservaoutrosconsolidadomar[[#Headers],[26]],tabela_registros[REGISTRO],DADOS!$N$6,tabela_registros[TIPO],DADOS!$AJ$5,tabela_registros[CATEGORIA],reservaoutrosconsolidadomar[[#This Row],[ATUAL]])</f>
        <v>0</v>
      </c>
      <c r="AE209" s="91">
        <f>SUMIFS(tabela_registros[VALOR],tabela_registros[MÊS],$AE$1,tabela_registros[DIA],reservaoutrosconsolidadomar[[#Headers],[27]],tabela_registros[REGISTRO],DADOS!$N$6,tabela_registros[TIPO],DADOS!$AJ$5,tabela_registros[CATEGORIA],reservaoutrosconsolidadomar[[#This Row],[ATUAL]])</f>
        <v>0</v>
      </c>
      <c r="AF209" s="91">
        <f>SUMIFS(tabela_registros[VALOR],tabela_registros[MÊS],$AE$1,tabela_registros[DIA],reservaoutrosconsolidadomar[[#Headers],[28]],tabela_registros[REGISTRO],DADOS!$N$6,tabela_registros[TIPO],DADOS!$AJ$5,tabela_registros[CATEGORIA],reservaoutrosconsolidadomar[[#This Row],[ATUAL]])</f>
        <v>0</v>
      </c>
      <c r="AG209" s="91">
        <f>SUMIFS(tabela_registros[VALOR],tabela_registros[MÊS],$AE$1,tabela_registros[DIA],reservaoutrosconsolidadomar[[#Headers],[29]],tabela_registros[REGISTRO],DADOS!$N$6,tabela_registros[TIPO],DADOS!$AJ$5,tabela_registros[CATEGORIA],reservaoutrosconsolidadomar[[#This Row],[ATUAL]])</f>
        <v>0</v>
      </c>
      <c r="AH209" s="91">
        <f>SUMIFS(tabela_registros[VALOR],tabela_registros[MÊS],$AE$1,tabela_registros[DIA],reservaoutrosconsolidadomar[[#Headers],[30]],tabela_registros[REGISTRO],DADOS!$N$6,tabela_registros[TIPO],DADOS!$AJ$5,tabela_registros[CATEGORIA],reservaoutrosconsolidadomar[[#This Row],[ATUAL]])</f>
        <v>0</v>
      </c>
      <c r="AI209" s="101">
        <f>SUMIFS(tabela_registros[VALOR],tabela_registros[MÊS],$AE$1,tabela_registros[DIA],reservaoutrosconsolidadomar[[#Headers],[31]],tabela_registros[REGISTRO],DADOS!$N$6,tabela_registros[TIPO],DADOS!$AJ$5,tabela_registros[CATEGORIA],reservaoutrosconsolidadomar[[#This Row],[ATUAL]])</f>
        <v>0</v>
      </c>
      <c r="AJ209" s="97">
        <f>SUM(reservaoutrosconsolidadomar[[#This Row],[1]:[31]])</f>
        <v>0</v>
      </c>
      <c r="AK209" s="25"/>
    </row>
    <row r="210" spans="2:37" ht="19.5" customHeight="1" thickTop="1" thickBot="1" x14ac:dyDescent="0.3">
      <c r="B210" s="28"/>
      <c r="C210" s="27" t="str">
        <f>DADOS!$AP$7</f>
        <v>📝 PEER TO COMPANY</v>
      </c>
      <c r="D210" s="26" t="str">
        <f>IF(reservaoutrosconsolidadomar[[#This Row],[TOTAL (R$)]]=0,"",IF(OR(reservaoutrosconsolidadomar[[#This Row],[TOTAL (R$)]]=LARGE($AJ$206:$AJ$213,1),reservaoutrosconsolidadomar[[#This Row],[TOTAL (R$)]]=LARGE($AJ$206:$AJ$213,2)),DADOS!$I$11,""))</f>
        <v/>
      </c>
      <c r="E210" s="96">
        <f>SUMIFS(tabela_registros[VALOR],tabela_registros[MÊS],$AE$1,tabela_registros[DIA],reservaoutrosconsolidadomar[[#Headers],[1]],tabela_registros[REGISTRO],DADOS!$N$6,tabela_registros[TIPO],DADOS!$AJ$5,tabela_registros[CATEGORIA],reservaoutrosconsolidadomar[[#This Row],[ATUAL]])</f>
        <v>0</v>
      </c>
      <c r="F210" s="91">
        <f>SUMIFS(tabela_registros[VALOR],tabela_registros[MÊS],$AE$1,tabela_registros[DIA],reservaoutrosconsolidadomar[[#Headers],[2]],tabela_registros[REGISTRO],DADOS!$N$6,tabela_registros[TIPO],DADOS!$AJ$5,tabela_registros[CATEGORIA],reservaoutrosconsolidadomar[[#This Row],[ATUAL]])</f>
        <v>0</v>
      </c>
      <c r="G210" s="91">
        <f>SUMIFS(tabela_registros[VALOR],tabela_registros[MÊS],$AE$1,tabela_registros[DIA],reservaoutrosconsolidadomar[[#Headers],[3]],tabela_registros[REGISTRO],DADOS!$N$6,tabela_registros[TIPO],DADOS!$AJ$5,tabela_registros[CATEGORIA],reservaoutrosconsolidadomar[[#This Row],[ATUAL]])</f>
        <v>0</v>
      </c>
      <c r="H210" s="91">
        <f>SUMIFS(tabela_registros[VALOR],tabela_registros[MÊS],$AE$1,tabela_registros[DIA],reservaoutrosconsolidadomar[[#Headers],[4]],tabela_registros[REGISTRO],DADOS!$N$6,tabela_registros[TIPO],DADOS!$AJ$5,tabela_registros[CATEGORIA],reservaoutrosconsolidadomar[[#This Row],[ATUAL]])</f>
        <v>0</v>
      </c>
      <c r="I210" s="91">
        <f>SUMIFS(tabela_registros[VALOR],tabela_registros[MÊS],$AE$1,tabela_registros[DIA],reservaoutrosconsolidadomar[[#Headers],[5]],tabela_registros[REGISTRO],DADOS!$N$6,tabela_registros[TIPO],DADOS!$AJ$5,tabela_registros[CATEGORIA],reservaoutrosconsolidadomar[[#This Row],[ATUAL]])</f>
        <v>0</v>
      </c>
      <c r="J210" s="91">
        <f>SUMIFS(tabela_registros[VALOR],tabela_registros[MÊS],$AE$1,tabela_registros[DIA],reservaoutrosconsolidadomar[[#Headers],[6]],tabela_registros[REGISTRO],DADOS!$N$6,tabela_registros[TIPO],DADOS!$AJ$5,tabela_registros[CATEGORIA],reservaoutrosconsolidadomar[[#This Row],[ATUAL]])</f>
        <v>0</v>
      </c>
      <c r="K210" s="91">
        <f>SUMIFS(tabela_registros[VALOR],tabela_registros[MÊS],$AE$1,tabela_registros[DIA],reservaoutrosconsolidadomar[[#Headers],[7]],tabela_registros[REGISTRO],DADOS!$N$6,tabela_registros[TIPO],DADOS!$AJ$5,tabela_registros[CATEGORIA],reservaoutrosconsolidadomar[[#This Row],[ATUAL]])</f>
        <v>0</v>
      </c>
      <c r="L210" s="91">
        <f>SUMIFS(tabela_registros[VALOR],tabela_registros[MÊS],$AE$1,tabela_registros[DIA],reservaoutrosconsolidadomar[[#Headers],[8]],tabela_registros[REGISTRO],DADOS!$N$6,tabela_registros[TIPO],DADOS!$AJ$5,tabela_registros[CATEGORIA],reservaoutrosconsolidadomar[[#This Row],[ATUAL]])</f>
        <v>0</v>
      </c>
      <c r="M210" s="91">
        <f>SUMIFS(tabela_registros[VALOR],tabela_registros[MÊS],$AE$1,tabela_registros[DIA],reservaoutrosconsolidadomar[[#Headers],[9]],tabela_registros[REGISTRO],DADOS!$N$6,tabela_registros[TIPO],DADOS!$AJ$5,tabela_registros[CATEGORIA],reservaoutrosconsolidadomar[[#This Row],[ATUAL]])</f>
        <v>0</v>
      </c>
      <c r="N210" s="91">
        <f>SUMIFS(tabela_registros[VALOR],tabela_registros[MÊS],$AE$1,tabela_registros[DIA],reservaoutrosconsolidadomar[[#Headers],[10]],tabela_registros[REGISTRO],DADOS!$N$6,tabela_registros[TIPO],DADOS!$AJ$5,tabela_registros[CATEGORIA],reservaoutrosconsolidadomar[[#This Row],[ATUAL]])</f>
        <v>0</v>
      </c>
      <c r="O210" s="91">
        <f>SUMIFS(tabela_registros[VALOR],tabela_registros[MÊS],$AE$1,tabela_registros[DIA],reservaoutrosconsolidadomar[[#Headers],[11]],tabela_registros[REGISTRO],DADOS!$N$6,tabela_registros[TIPO],DADOS!$AJ$5,tabela_registros[CATEGORIA],reservaoutrosconsolidadomar[[#This Row],[ATUAL]])</f>
        <v>0</v>
      </c>
      <c r="P210" s="91">
        <f>SUMIFS(tabela_registros[VALOR],tabela_registros[MÊS],$AE$1,tabela_registros[DIA],reservaoutrosconsolidadomar[[#Headers],[12]],tabela_registros[REGISTRO],DADOS!$N$6,tabela_registros[TIPO],DADOS!$AJ$5,tabela_registros[CATEGORIA],reservaoutrosconsolidadomar[[#This Row],[ATUAL]])</f>
        <v>0</v>
      </c>
      <c r="Q210" s="91">
        <f>SUMIFS(tabela_registros[VALOR],tabela_registros[MÊS],$AE$1,tabela_registros[DIA],reservaoutrosconsolidadomar[[#Headers],[13]],tabela_registros[REGISTRO],DADOS!$N$6,tabela_registros[TIPO],DADOS!$AJ$5,tabela_registros[CATEGORIA],reservaoutrosconsolidadomar[[#This Row],[ATUAL]])</f>
        <v>0</v>
      </c>
      <c r="R210" s="91">
        <f>SUMIFS(tabela_registros[VALOR],tabela_registros[MÊS],$AE$1,tabela_registros[DIA],reservaoutrosconsolidadomar[[#Headers],[14]],tabela_registros[REGISTRO],DADOS!$N$6,tabela_registros[TIPO],DADOS!$AJ$5,tabela_registros[CATEGORIA],reservaoutrosconsolidadomar[[#This Row],[ATUAL]])</f>
        <v>0</v>
      </c>
      <c r="S210" s="91">
        <f>SUMIFS(tabela_registros[VALOR],tabela_registros[MÊS],$AE$1,tabela_registros[DIA],reservaoutrosconsolidadomar[[#Headers],[15]],tabela_registros[REGISTRO],DADOS!$N$6,tabela_registros[TIPO],DADOS!$AJ$5,tabela_registros[CATEGORIA],reservaoutrosconsolidadomar[[#This Row],[ATUAL]])</f>
        <v>0</v>
      </c>
      <c r="T210" s="91">
        <f>SUMIFS(tabela_registros[VALOR],tabela_registros[MÊS],$AE$1,tabela_registros[DIA],reservaoutrosconsolidadomar[[#Headers],[16]],tabela_registros[REGISTRO],DADOS!$N$6,tabela_registros[TIPO],DADOS!$AJ$5,tabela_registros[CATEGORIA],reservaoutrosconsolidadomar[[#This Row],[ATUAL]])</f>
        <v>0</v>
      </c>
      <c r="U210" s="91">
        <f>SUMIFS(tabela_registros[VALOR],tabela_registros[MÊS],$AE$1,tabela_registros[DIA],reservaoutrosconsolidadomar[[#Headers],[17]],tabela_registros[REGISTRO],DADOS!$N$6,tabela_registros[TIPO],DADOS!$AJ$5,tabela_registros[CATEGORIA],reservaoutrosconsolidadomar[[#This Row],[ATUAL]])</f>
        <v>0</v>
      </c>
      <c r="V210" s="91">
        <f>SUMIFS(tabela_registros[VALOR],tabela_registros[MÊS],$AE$1,tabela_registros[DIA],reservaoutrosconsolidadomar[[#Headers],[18]],tabela_registros[REGISTRO],DADOS!$N$6,tabela_registros[TIPO],DADOS!$AJ$5,tabela_registros[CATEGORIA],reservaoutrosconsolidadomar[[#This Row],[ATUAL]])</f>
        <v>0</v>
      </c>
      <c r="W210" s="91">
        <f>SUMIFS(tabela_registros[VALOR],tabela_registros[MÊS],$AE$1,tabela_registros[DIA],reservaoutrosconsolidadomar[[#Headers],[19]],tabela_registros[REGISTRO],DADOS!$N$6,tabela_registros[TIPO],DADOS!$AJ$5,tabela_registros[CATEGORIA],reservaoutrosconsolidadomar[[#This Row],[ATUAL]])</f>
        <v>0</v>
      </c>
      <c r="X210" s="91">
        <f>SUMIFS(tabela_registros[VALOR],tabela_registros[MÊS],$AE$1,tabela_registros[DIA],reservaoutrosconsolidadomar[[#Headers],[20]],tabela_registros[REGISTRO],DADOS!$N$6,tabela_registros[TIPO],DADOS!$AJ$5,tabela_registros[CATEGORIA],reservaoutrosconsolidadomar[[#This Row],[ATUAL]])</f>
        <v>0</v>
      </c>
      <c r="Y210" s="91">
        <f>SUMIFS(tabela_registros[VALOR],tabela_registros[MÊS],$AE$1,tabela_registros[DIA],reservaoutrosconsolidadomar[[#Headers],[21]],tabela_registros[REGISTRO],DADOS!$N$6,tabela_registros[TIPO],DADOS!$AJ$5,tabela_registros[CATEGORIA],reservaoutrosconsolidadomar[[#This Row],[ATUAL]])</f>
        <v>0</v>
      </c>
      <c r="Z210" s="91">
        <f>SUMIFS(tabela_registros[VALOR],tabela_registros[MÊS],$AE$1,tabela_registros[DIA],reservaoutrosconsolidadomar[[#Headers],[22]],tabela_registros[REGISTRO],DADOS!$N$6,tabela_registros[TIPO],DADOS!$AJ$5,tabela_registros[CATEGORIA],reservaoutrosconsolidadomar[[#This Row],[ATUAL]])</f>
        <v>0</v>
      </c>
      <c r="AA210" s="91">
        <f>SUMIFS(tabela_registros[VALOR],tabela_registros[MÊS],$AE$1,tabela_registros[DIA],reservaoutrosconsolidadomar[[#Headers],[23]],tabela_registros[REGISTRO],DADOS!$N$6,tabela_registros[TIPO],DADOS!$AJ$5,tabela_registros[CATEGORIA],reservaoutrosconsolidadomar[[#This Row],[ATUAL]])</f>
        <v>0</v>
      </c>
      <c r="AB210" s="91">
        <f>SUMIFS(tabela_registros[VALOR],tabela_registros[MÊS],$AE$1,tabela_registros[DIA],reservaoutrosconsolidadomar[[#Headers],[24]],tabela_registros[REGISTRO],DADOS!$N$6,tabela_registros[TIPO],DADOS!$AJ$5,tabela_registros[CATEGORIA],reservaoutrosconsolidadomar[[#This Row],[ATUAL]])</f>
        <v>0</v>
      </c>
      <c r="AC210" s="91">
        <f>SUMIFS(tabela_registros[VALOR],tabela_registros[MÊS],$AE$1,tabela_registros[DIA],reservaoutrosconsolidadomar[[#Headers],[25]],tabela_registros[REGISTRO],DADOS!$N$6,tabela_registros[TIPO],DADOS!$AJ$5,tabela_registros[CATEGORIA],reservaoutrosconsolidadomar[[#This Row],[ATUAL]])</f>
        <v>0</v>
      </c>
      <c r="AD210" s="91">
        <f>SUMIFS(tabela_registros[VALOR],tabela_registros[MÊS],$AE$1,tabela_registros[DIA],reservaoutrosconsolidadomar[[#Headers],[26]],tabela_registros[REGISTRO],DADOS!$N$6,tabela_registros[TIPO],DADOS!$AJ$5,tabela_registros[CATEGORIA],reservaoutrosconsolidadomar[[#This Row],[ATUAL]])</f>
        <v>0</v>
      </c>
      <c r="AE210" s="91">
        <f>SUMIFS(tabela_registros[VALOR],tabela_registros[MÊS],$AE$1,tabela_registros[DIA],reservaoutrosconsolidadomar[[#Headers],[27]],tabela_registros[REGISTRO],DADOS!$N$6,tabela_registros[TIPO],DADOS!$AJ$5,tabela_registros[CATEGORIA],reservaoutrosconsolidadomar[[#This Row],[ATUAL]])</f>
        <v>0</v>
      </c>
      <c r="AF210" s="91">
        <f>SUMIFS(tabela_registros[VALOR],tabela_registros[MÊS],$AE$1,tabela_registros[DIA],reservaoutrosconsolidadomar[[#Headers],[28]],tabela_registros[REGISTRO],DADOS!$N$6,tabela_registros[TIPO],DADOS!$AJ$5,tabela_registros[CATEGORIA],reservaoutrosconsolidadomar[[#This Row],[ATUAL]])</f>
        <v>0</v>
      </c>
      <c r="AG210" s="91">
        <f>SUMIFS(tabela_registros[VALOR],tabela_registros[MÊS],$AE$1,tabela_registros[DIA],reservaoutrosconsolidadomar[[#Headers],[29]],tabela_registros[REGISTRO],DADOS!$N$6,tabela_registros[TIPO],DADOS!$AJ$5,tabela_registros[CATEGORIA],reservaoutrosconsolidadomar[[#This Row],[ATUAL]])</f>
        <v>0</v>
      </c>
      <c r="AH210" s="91">
        <f>SUMIFS(tabela_registros[VALOR],tabela_registros[MÊS],$AE$1,tabela_registros[DIA],reservaoutrosconsolidadomar[[#Headers],[30]],tabela_registros[REGISTRO],DADOS!$N$6,tabela_registros[TIPO],DADOS!$AJ$5,tabela_registros[CATEGORIA],reservaoutrosconsolidadomar[[#This Row],[ATUAL]])</f>
        <v>0</v>
      </c>
      <c r="AI210" s="101">
        <f>SUMIFS(tabela_registros[VALOR],tabela_registros[MÊS],$AE$1,tabela_registros[DIA],reservaoutrosconsolidadomar[[#Headers],[31]],tabela_registros[REGISTRO],DADOS!$N$6,tabela_registros[TIPO],DADOS!$AJ$5,tabela_registros[CATEGORIA],reservaoutrosconsolidadomar[[#This Row],[ATUAL]])</f>
        <v>0</v>
      </c>
      <c r="AJ210" s="97">
        <f>SUM(reservaoutrosconsolidadomar[[#This Row],[1]:[31]])</f>
        <v>0</v>
      </c>
      <c r="AK210" s="25"/>
    </row>
    <row r="211" spans="2:37" ht="19.5" customHeight="1" thickTop="1" thickBot="1" x14ac:dyDescent="0.3">
      <c r="B211" s="28"/>
      <c r="C211" s="27" t="str">
        <f>DADOS!$AP$8</f>
        <v>📝 PEER TO PEER</v>
      </c>
      <c r="D211" s="26" t="str">
        <f>IF(reservaoutrosconsolidadomar[[#This Row],[TOTAL (R$)]]=0,"",IF(OR(reservaoutrosconsolidadomar[[#This Row],[TOTAL (R$)]]=LARGE($AJ$206:$AJ$213,1),reservaoutrosconsolidadomar[[#This Row],[TOTAL (R$)]]=LARGE($AJ$206:$AJ$213,2)),DADOS!$I$11,""))</f>
        <v/>
      </c>
      <c r="E211" s="96">
        <f>SUMIFS(tabela_registros[VALOR],tabela_registros[MÊS],$AE$1,tabela_registros[DIA],reservaoutrosconsolidadomar[[#Headers],[1]],tabela_registros[REGISTRO],DADOS!$N$6,tabela_registros[TIPO],DADOS!$AJ$5,tabela_registros[CATEGORIA],reservaoutrosconsolidadomar[[#This Row],[ATUAL]])</f>
        <v>0</v>
      </c>
      <c r="F211" s="91">
        <f>SUMIFS(tabela_registros[VALOR],tabela_registros[MÊS],$AE$1,tabela_registros[DIA],reservaoutrosconsolidadomar[[#Headers],[2]],tabela_registros[REGISTRO],DADOS!$N$6,tabela_registros[TIPO],DADOS!$AJ$5,tabela_registros[CATEGORIA],reservaoutrosconsolidadomar[[#This Row],[ATUAL]])</f>
        <v>0</v>
      </c>
      <c r="G211" s="91">
        <f>SUMIFS(tabela_registros[VALOR],tabela_registros[MÊS],$AE$1,tabela_registros[DIA],reservaoutrosconsolidadomar[[#Headers],[3]],tabela_registros[REGISTRO],DADOS!$N$6,tabela_registros[TIPO],DADOS!$AJ$5,tabela_registros[CATEGORIA],reservaoutrosconsolidadomar[[#This Row],[ATUAL]])</f>
        <v>0</v>
      </c>
      <c r="H211" s="91">
        <f>SUMIFS(tabela_registros[VALOR],tabela_registros[MÊS],$AE$1,tabela_registros[DIA],reservaoutrosconsolidadomar[[#Headers],[4]],tabela_registros[REGISTRO],DADOS!$N$6,tabela_registros[TIPO],DADOS!$AJ$5,tabela_registros[CATEGORIA],reservaoutrosconsolidadomar[[#This Row],[ATUAL]])</f>
        <v>0</v>
      </c>
      <c r="I211" s="91">
        <f>SUMIFS(tabela_registros[VALOR],tabela_registros[MÊS],$AE$1,tabela_registros[DIA],reservaoutrosconsolidadomar[[#Headers],[5]],tabela_registros[REGISTRO],DADOS!$N$6,tabela_registros[TIPO],DADOS!$AJ$5,tabela_registros[CATEGORIA],reservaoutrosconsolidadomar[[#This Row],[ATUAL]])</f>
        <v>0</v>
      </c>
      <c r="J211" s="91">
        <f>SUMIFS(tabela_registros[VALOR],tabela_registros[MÊS],$AE$1,tabela_registros[DIA],reservaoutrosconsolidadomar[[#Headers],[6]],tabela_registros[REGISTRO],DADOS!$N$6,tabela_registros[TIPO],DADOS!$AJ$5,tabela_registros[CATEGORIA],reservaoutrosconsolidadomar[[#This Row],[ATUAL]])</f>
        <v>0</v>
      </c>
      <c r="K211" s="91">
        <f>SUMIFS(tabela_registros[VALOR],tabela_registros[MÊS],$AE$1,tabela_registros[DIA],reservaoutrosconsolidadomar[[#Headers],[7]],tabela_registros[REGISTRO],DADOS!$N$6,tabela_registros[TIPO],DADOS!$AJ$5,tabela_registros[CATEGORIA],reservaoutrosconsolidadomar[[#This Row],[ATUAL]])</f>
        <v>0</v>
      </c>
      <c r="L211" s="91">
        <f>SUMIFS(tabela_registros[VALOR],tabela_registros[MÊS],$AE$1,tabela_registros[DIA],reservaoutrosconsolidadomar[[#Headers],[8]],tabela_registros[REGISTRO],DADOS!$N$6,tabela_registros[TIPO],DADOS!$AJ$5,tabela_registros[CATEGORIA],reservaoutrosconsolidadomar[[#This Row],[ATUAL]])</f>
        <v>0</v>
      </c>
      <c r="M211" s="91">
        <f>SUMIFS(tabela_registros[VALOR],tabela_registros[MÊS],$AE$1,tabela_registros[DIA],reservaoutrosconsolidadomar[[#Headers],[9]],tabela_registros[REGISTRO],DADOS!$N$6,tabela_registros[TIPO],DADOS!$AJ$5,tabela_registros[CATEGORIA],reservaoutrosconsolidadomar[[#This Row],[ATUAL]])</f>
        <v>0</v>
      </c>
      <c r="N211" s="91">
        <f>SUMIFS(tabela_registros[VALOR],tabela_registros[MÊS],$AE$1,tabela_registros[DIA],reservaoutrosconsolidadomar[[#Headers],[10]],tabela_registros[REGISTRO],DADOS!$N$6,tabela_registros[TIPO],DADOS!$AJ$5,tabela_registros[CATEGORIA],reservaoutrosconsolidadomar[[#This Row],[ATUAL]])</f>
        <v>0</v>
      </c>
      <c r="O211" s="91">
        <f>SUMIFS(tabela_registros[VALOR],tabela_registros[MÊS],$AE$1,tabela_registros[DIA],reservaoutrosconsolidadomar[[#Headers],[11]],tabela_registros[REGISTRO],DADOS!$N$6,tabela_registros[TIPO],DADOS!$AJ$5,tabela_registros[CATEGORIA],reservaoutrosconsolidadomar[[#This Row],[ATUAL]])</f>
        <v>0</v>
      </c>
      <c r="P211" s="91">
        <f>SUMIFS(tabela_registros[VALOR],tabela_registros[MÊS],$AE$1,tabela_registros[DIA],reservaoutrosconsolidadomar[[#Headers],[12]],tabela_registros[REGISTRO],DADOS!$N$6,tabela_registros[TIPO],DADOS!$AJ$5,tabela_registros[CATEGORIA],reservaoutrosconsolidadomar[[#This Row],[ATUAL]])</f>
        <v>0</v>
      </c>
      <c r="Q211" s="91">
        <f>SUMIFS(tabela_registros[VALOR],tabela_registros[MÊS],$AE$1,tabela_registros[DIA],reservaoutrosconsolidadomar[[#Headers],[13]],tabela_registros[REGISTRO],DADOS!$N$6,tabela_registros[TIPO],DADOS!$AJ$5,tabela_registros[CATEGORIA],reservaoutrosconsolidadomar[[#This Row],[ATUAL]])</f>
        <v>0</v>
      </c>
      <c r="R211" s="91">
        <f>SUMIFS(tabela_registros[VALOR],tabela_registros[MÊS],$AE$1,tabela_registros[DIA],reservaoutrosconsolidadomar[[#Headers],[14]],tabela_registros[REGISTRO],DADOS!$N$6,tabela_registros[TIPO],DADOS!$AJ$5,tabela_registros[CATEGORIA],reservaoutrosconsolidadomar[[#This Row],[ATUAL]])</f>
        <v>0</v>
      </c>
      <c r="S211" s="91">
        <f>SUMIFS(tabela_registros[VALOR],tabela_registros[MÊS],$AE$1,tabela_registros[DIA],reservaoutrosconsolidadomar[[#Headers],[15]],tabela_registros[REGISTRO],DADOS!$N$6,tabela_registros[TIPO],DADOS!$AJ$5,tabela_registros[CATEGORIA],reservaoutrosconsolidadomar[[#This Row],[ATUAL]])</f>
        <v>0</v>
      </c>
      <c r="T211" s="91">
        <f>SUMIFS(tabela_registros[VALOR],tabela_registros[MÊS],$AE$1,tabela_registros[DIA],reservaoutrosconsolidadomar[[#Headers],[16]],tabela_registros[REGISTRO],DADOS!$N$6,tabela_registros[TIPO],DADOS!$AJ$5,tabela_registros[CATEGORIA],reservaoutrosconsolidadomar[[#This Row],[ATUAL]])</f>
        <v>0</v>
      </c>
      <c r="U211" s="91">
        <f>SUMIFS(tabela_registros[VALOR],tabela_registros[MÊS],$AE$1,tabela_registros[DIA],reservaoutrosconsolidadomar[[#Headers],[17]],tabela_registros[REGISTRO],DADOS!$N$6,tabela_registros[TIPO],DADOS!$AJ$5,tabela_registros[CATEGORIA],reservaoutrosconsolidadomar[[#This Row],[ATUAL]])</f>
        <v>0</v>
      </c>
      <c r="V211" s="91">
        <f>SUMIFS(tabela_registros[VALOR],tabela_registros[MÊS],$AE$1,tabela_registros[DIA],reservaoutrosconsolidadomar[[#Headers],[18]],tabela_registros[REGISTRO],DADOS!$N$6,tabela_registros[TIPO],DADOS!$AJ$5,tabela_registros[CATEGORIA],reservaoutrosconsolidadomar[[#This Row],[ATUAL]])</f>
        <v>0</v>
      </c>
      <c r="W211" s="91">
        <f>SUMIFS(tabela_registros[VALOR],tabela_registros[MÊS],$AE$1,tabela_registros[DIA],reservaoutrosconsolidadomar[[#Headers],[19]],tabela_registros[REGISTRO],DADOS!$N$6,tabela_registros[TIPO],DADOS!$AJ$5,tabela_registros[CATEGORIA],reservaoutrosconsolidadomar[[#This Row],[ATUAL]])</f>
        <v>0</v>
      </c>
      <c r="X211" s="91">
        <f>SUMIFS(tabela_registros[VALOR],tabela_registros[MÊS],$AE$1,tabela_registros[DIA],reservaoutrosconsolidadomar[[#Headers],[20]],tabela_registros[REGISTRO],DADOS!$N$6,tabela_registros[TIPO],DADOS!$AJ$5,tabela_registros[CATEGORIA],reservaoutrosconsolidadomar[[#This Row],[ATUAL]])</f>
        <v>0</v>
      </c>
      <c r="Y211" s="91">
        <f>SUMIFS(tabela_registros[VALOR],tabela_registros[MÊS],$AE$1,tabela_registros[DIA],reservaoutrosconsolidadomar[[#Headers],[21]],tabela_registros[REGISTRO],DADOS!$N$6,tabela_registros[TIPO],DADOS!$AJ$5,tabela_registros[CATEGORIA],reservaoutrosconsolidadomar[[#This Row],[ATUAL]])</f>
        <v>0</v>
      </c>
      <c r="Z211" s="91">
        <f>SUMIFS(tabela_registros[VALOR],tabela_registros[MÊS],$AE$1,tabela_registros[DIA],reservaoutrosconsolidadomar[[#Headers],[22]],tabela_registros[REGISTRO],DADOS!$N$6,tabela_registros[TIPO],DADOS!$AJ$5,tabela_registros[CATEGORIA],reservaoutrosconsolidadomar[[#This Row],[ATUAL]])</f>
        <v>0</v>
      </c>
      <c r="AA211" s="91">
        <f>SUMIFS(tabela_registros[VALOR],tabela_registros[MÊS],$AE$1,tabela_registros[DIA],reservaoutrosconsolidadomar[[#Headers],[23]],tabela_registros[REGISTRO],DADOS!$N$6,tabela_registros[TIPO],DADOS!$AJ$5,tabela_registros[CATEGORIA],reservaoutrosconsolidadomar[[#This Row],[ATUAL]])</f>
        <v>0</v>
      </c>
      <c r="AB211" s="91">
        <f>SUMIFS(tabela_registros[VALOR],tabela_registros[MÊS],$AE$1,tabela_registros[DIA],reservaoutrosconsolidadomar[[#Headers],[24]],tabela_registros[REGISTRO],DADOS!$N$6,tabela_registros[TIPO],DADOS!$AJ$5,tabela_registros[CATEGORIA],reservaoutrosconsolidadomar[[#This Row],[ATUAL]])</f>
        <v>0</v>
      </c>
      <c r="AC211" s="91">
        <f>SUMIFS(tabela_registros[VALOR],tabela_registros[MÊS],$AE$1,tabela_registros[DIA],reservaoutrosconsolidadomar[[#Headers],[25]],tabela_registros[REGISTRO],DADOS!$N$6,tabela_registros[TIPO],DADOS!$AJ$5,tabela_registros[CATEGORIA],reservaoutrosconsolidadomar[[#This Row],[ATUAL]])</f>
        <v>0</v>
      </c>
      <c r="AD211" s="91">
        <f>SUMIFS(tabela_registros[VALOR],tabela_registros[MÊS],$AE$1,tabela_registros[DIA],reservaoutrosconsolidadomar[[#Headers],[26]],tabela_registros[REGISTRO],DADOS!$N$6,tabela_registros[TIPO],DADOS!$AJ$5,tabela_registros[CATEGORIA],reservaoutrosconsolidadomar[[#This Row],[ATUAL]])</f>
        <v>0</v>
      </c>
      <c r="AE211" s="91">
        <f>SUMIFS(tabela_registros[VALOR],tabela_registros[MÊS],$AE$1,tabela_registros[DIA],reservaoutrosconsolidadomar[[#Headers],[27]],tabela_registros[REGISTRO],DADOS!$N$6,tabela_registros[TIPO],DADOS!$AJ$5,tabela_registros[CATEGORIA],reservaoutrosconsolidadomar[[#This Row],[ATUAL]])</f>
        <v>0</v>
      </c>
      <c r="AF211" s="91">
        <f>SUMIFS(tabela_registros[VALOR],tabela_registros[MÊS],$AE$1,tabela_registros[DIA],reservaoutrosconsolidadomar[[#Headers],[28]],tabela_registros[REGISTRO],DADOS!$N$6,tabela_registros[TIPO],DADOS!$AJ$5,tabela_registros[CATEGORIA],reservaoutrosconsolidadomar[[#This Row],[ATUAL]])</f>
        <v>0</v>
      </c>
      <c r="AG211" s="91">
        <f>SUMIFS(tabela_registros[VALOR],tabela_registros[MÊS],$AE$1,tabela_registros[DIA],reservaoutrosconsolidadomar[[#Headers],[29]],tabela_registros[REGISTRO],DADOS!$N$6,tabela_registros[TIPO],DADOS!$AJ$5,tabela_registros[CATEGORIA],reservaoutrosconsolidadomar[[#This Row],[ATUAL]])</f>
        <v>0</v>
      </c>
      <c r="AH211" s="91">
        <f>SUMIFS(tabela_registros[VALOR],tabela_registros[MÊS],$AE$1,tabela_registros[DIA],reservaoutrosconsolidadomar[[#Headers],[30]],tabela_registros[REGISTRO],DADOS!$N$6,tabela_registros[TIPO],DADOS!$AJ$5,tabela_registros[CATEGORIA],reservaoutrosconsolidadomar[[#This Row],[ATUAL]])</f>
        <v>0</v>
      </c>
      <c r="AI211" s="101">
        <f>SUMIFS(tabela_registros[VALOR],tabela_registros[MÊS],$AE$1,tabela_registros[DIA],reservaoutrosconsolidadomar[[#Headers],[31]],tabela_registros[REGISTRO],DADOS!$N$6,tabela_registros[TIPO],DADOS!$AJ$5,tabela_registros[CATEGORIA],reservaoutrosconsolidadomar[[#This Row],[ATUAL]])</f>
        <v>0</v>
      </c>
      <c r="AJ211" s="97">
        <f>SUM(reservaoutrosconsolidadomar[[#This Row],[1]:[31]])</f>
        <v>0</v>
      </c>
      <c r="AK211" s="25"/>
    </row>
    <row r="212" spans="2:37" ht="19.5" customHeight="1" thickTop="1" thickBot="1" x14ac:dyDescent="0.3">
      <c r="B212" s="28"/>
      <c r="C212" s="27" t="str">
        <f>DADOS!$AP$9</f>
        <v>📝 PREVIDÊNCIA PRIVADA</v>
      </c>
      <c r="D212" s="26" t="str">
        <f>IF(reservaoutrosconsolidadomar[[#This Row],[TOTAL (R$)]]=0,"",IF(OR(reservaoutrosconsolidadomar[[#This Row],[TOTAL (R$)]]=LARGE($AJ$206:$AJ$213,1),reservaoutrosconsolidadomar[[#This Row],[TOTAL (R$)]]=LARGE($AJ$206:$AJ$213,2)),DADOS!$I$11,""))</f>
        <v/>
      </c>
      <c r="E212" s="96">
        <f>SUMIFS(tabela_registros[VALOR],tabela_registros[MÊS],$AE$1,tabela_registros[DIA],reservaoutrosconsolidadomar[[#Headers],[1]],tabela_registros[REGISTRO],DADOS!$N$6,tabela_registros[TIPO],DADOS!$AJ$5,tabela_registros[CATEGORIA],reservaoutrosconsolidadomar[[#This Row],[ATUAL]])</f>
        <v>0</v>
      </c>
      <c r="F212" s="91">
        <f>SUMIFS(tabela_registros[VALOR],tabela_registros[MÊS],$AE$1,tabela_registros[DIA],reservaoutrosconsolidadomar[[#Headers],[2]],tabela_registros[REGISTRO],DADOS!$N$6,tabela_registros[TIPO],DADOS!$AJ$5,tabela_registros[CATEGORIA],reservaoutrosconsolidadomar[[#This Row],[ATUAL]])</f>
        <v>0</v>
      </c>
      <c r="G212" s="91">
        <f>SUMIFS(tabela_registros[VALOR],tabela_registros[MÊS],$AE$1,tabela_registros[DIA],reservaoutrosconsolidadomar[[#Headers],[3]],tabela_registros[REGISTRO],DADOS!$N$6,tabela_registros[TIPO],DADOS!$AJ$5,tabela_registros[CATEGORIA],reservaoutrosconsolidadomar[[#This Row],[ATUAL]])</f>
        <v>0</v>
      </c>
      <c r="H212" s="91">
        <f>SUMIFS(tabela_registros[VALOR],tabela_registros[MÊS],$AE$1,tabela_registros[DIA],reservaoutrosconsolidadomar[[#Headers],[4]],tabela_registros[REGISTRO],DADOS!$N$6,tabela_registros[TIPO],DADOS!$AJ$5,tabela_registros[CATEGORIA],reservaoutrosconsolidadomar[[#This Row],[ATUAL]])</f>
        <v>0</v>
      </c>
      <c r="I212" s="91">
        <f>SUMIFS(tabela_registros[VALOR],tabela_registros[MÊS],$AE$1,tabela_registros[DIA],reservaoutrosconsolidadomar[[#Headers],[5]],tabela_registros[REGISTRO],DADOS!$N$6,tabela_registros[TIPO],DADOS!$AJ$5,tabela_registros[CATEGORIA],reservaoutrosconsolidadomar[[#This Row],[ATUAL]])</f>
        <v>0</v>
      </c>
      <c r="J212" s="91">
        <f>SUMIFS(tabela_registros[VALOR],tabela_registros[MÊS],$AE$1,tabela_registros[DIA],reservaoutrosconsolidadomar[[#Headers],[6]],tabela_registros[REGISTRO],DADOS!$N$6,tabela_registros[TIPO],DADOS!$AJ$5,tabela_registros[CATEGORIA],reservaoutrosconsolidadomar[[#This Row],[ATUAL]])</f>
        <v>0</v>
      </c>
      <c r="K212" s="91">
        <f>SUMIFS(tabela_registros[VALOR],tabela_registros[MÊS],$AE$1,tabela_registros[DIA],reservaoutrosconsolidadomar[[#Headers],[7]],tabela_registros[REGISTRO],DADOS!$N$6,tabela_registros[TIPO],DADOS!$AJ$5,tabela_registros[CATEGORIA],reservaoutrosconsolidadomar[[#This Row],[ATUAL]])</f>
        <v>0</v>
      </c>
      <c r="L212" s="91">
        <f>SUMIFS(tabela_registros[VALOR],tabela_registros[MÊS],$AE$1,tabela_registros[DIA],reservaoutrosconsolidadomar[[#Headers],[8]],tabela_registros[REGISTRO],DADOS!$N$6,tabela_registros[TIPO],DADOS!$AJ$5,tabela_registros[CATEGORIA],reservaoutrosconsolidadomar[[#This Row],[ATUAL]])</f>
        <v>0</v>
      </c>
      <c r="M212" s="91">
        <f>SUMIFS(tabela_registros[VALOR],tabela_registros[MÊS],$AE$1,tabela_registros[DIA],reservaoutrosconsolidadomar[[#Headers],[9]],tabela_registros[REGISTRO],DADOS!$N$6,tabela_registros[TIPO],DADOS!$AJ$5,tabela_registros[CATEGORIA],reservaoutrosconsolidadomar[[#This Row],[ATUAL]])</f>
        <v>0</v>
      </c>
      <c r="N212" s="91">
        <f>SUMIFS(tabela_registros[VALOR],tabela_registros[MÊS],$AE$1,tabela_registros[DIA],reservaoutrosconsolidadomar[[#Headers],[10]],tabela_registros[REGISTRO],DADOS!$N$6,tabela_registros[TIPO],DADOS!$AJ$5,tabela_registros[CATEGORIA],reservaoutrosconsolidadomar[[#This Row],[ATUAL]])</f>
        <v>0</v>
      </c>
      <c r="O212" s="91">
        <f>SUMIFS(tabela_registros[VALOR],tabela_registros[MÊS],$AE$1,tabela_registros[DIA],reservaoutrosconsolidadomar[[#Headers],[11]],tabela_registros[REGISTRO],DADOS!$N$6,tabela_registros[TIPO],DADOS!$AJ$5,tabela_registros[CATEGORIA],reservaoutrosconsolidadomar[[#This Row],[ATUAL]])</f>
        <v>0</v>
      </c>
      <c r="P212" s="91">
        <f>SUMIFS(tabela_registros[VALOR],tabela_registros[MÊS],$AE$1,tabela_registros[DIA],reservaoutrosconsolidadomar[[#Headers],[12]],tabela_registros[REGISTRO],DADOS!$N$6,tabela_registros[TIPO],DADOS!$AJ$5,tabela_registros[CATEGORIA],reservaoutrosconsolidadomar[[#This Row],[ATUAL]])</f>
        <v>0</v>
      </c>
      <c r="Q212" s="91">
        <f>SUMIFS(tabela_registros[VALOR],tabela_registros[MÊS],$AE$1,tabela_registros[DIA],reservaoutrosconsolidadomar[[#Headers],[13]],tabela_registros[REGISTRO],DADOS!$N$6,tabela_registros[TIPO],DADOS!$AJ$5,tabela_registros[CATEGORIA],reservaoutrosconsolidadomar[[#This Row],[ATUAL]])</f>
        <v>0</v>
      </c>
      <c r="R212" s="91">
        <f>SUMIFS(tabela_registros[VALOR],tabela_registros[MÊS],$AE$1,tabela_registros[DIA],reservaoutrosconsolidadomar[[#Headers],[14]],tabela_registros[REGISTRO],DADOS!$N$6,tabela_registros[TIPO],DADOS!$AJ$5,tabela_registros[CATEGORIA],reservaoutrosconsolidadomar[[#This Row],[ATUAL]])</f>
        <v>0</v>
      </c>
      <c r="S212" s="91">
        <f>SUMIFS(tabela_registros[VALOR],tabela_registros[MÊS],$AE$1,tabela_registros[DIA],reservaoutrosconsolidadomar[[#Headers],[15]],tabela_registros[REGISTRO],DADOS!$N$6,tabela_registros[TIPO],DADOS!$AJ$5,tabela_registros[CATEGORIA],reservaoutrosconsolidadomar[[#This Row],[ATUAL]])</f>
        <v>0</v>
      </c>
      <c r="T212" s="91">
        <f>SUMIFS(tabela_registros[VALOR],tabela_registros[MÊS],$AE$1,tabela_registros[DIA],reservaoutrosconsolidadomar[[#Headers],[16]],tabela_registros[REGISTRO],DADOS!$N$6,tabela_registros[TIPO],DADOS!$AJ$5,tabela_registros[CATEGORIA],reservaoutrosconsolidadomar[[#This Row],[ATUAL]])</f>
        <v>0</v>
      </c>
      <c r="U212" s="91">
        <f>SUMIFS(tabela_registros[VALOR],tabela_registros[MÊS],$AE$1,tabela_registros[DIA],reservaoutrosconsolidadomar[[#Headers],[17]],tabela_registros[REGISTRO],DADOS!$N$6,tabela_registros[TIPO],DADOS!$AJ$5,tabela_registros[CATEGORIA],reservaoutrosconsolidadomar[[#This Row],[ATUAL]])</f>
        <v>0</v>
      </c>
      <c r="V212" s="91">
        <f>SUMIFS(tabela_registros[VALOR],tabela_registros[MÊS],$AE$1,tabela_registros[DIA],reservaoutrosconsolidadomar[[#Headers],[18]],tabela_registros[REGISTRO],DADOS!$N$6,tabela_registros[TIPO],DADOS!$AJ$5,tabela_registros[CATEGORIA],reservaoutrosconsolidadomar[[#This Row],[ATUAL]])</f>
        <v>0</v>
      </c>
      <c r="W212" s="91">
        <f>SUMIFS(tabela_registros[VALOR],tabela_registros[MÊS],$AE$1,tabela_registros[DIA],reservaoutrosconsolidadomar[[#Headers],[19]],tabela_registros[REGISTRO],DADOS!$N$6,tabela_registros[TIPO],DADOS!$AJ$5,tabela_registros[CATEGORIA],reservaoutrosconsolidadomar[[#This Row],[ATUAL]])</f>
        <v>0</v>
      </c>
      <c r="X212" s="91">
        <f>SUMIFS(tabela_registros[VALOR],tabela_registros[MÊS],$AE$1,tabela_registros[DIA],reservaoutrosconsolidadomar[[#Headers],[20]],tabela_registros[REGISTRO],DADOS!$N$6,tabela_registros[TIPO],DADOS!$AJ$5,tabela_registros[CATEGORIA],reservaoutrosconsolidadomar[[#This Row],[ATUAL]])</f>
        <v>0</v>
      </c>
      <c r="Y212" s="91">
        <f>SUMIFS(tabela_registros[VALOR],tabela_registros[MÊS],$AE$1,tabela_registros[DIA],reservaoutrosconsolidadomar[[#Headers],[21]],tabela_registros[REGISTRO],DADOS!$N$6,tabela_registros[TIPO],DADOS!$AJ$5,tabela_registros[CATEGORIA],reservaoutrosconsolidadomar[[#This Row],[ATUAL]])</f>
        <v>0</v>
      </c>
      <c r="Z212" s="91">
        <f>SUMIFS(tabela_registros[VALOR],tabela_registros[MÊS],$AE$1,tabela_registros[DIA],reservaoutrosconsolidadomar[[#Headers],[22]],tabela_registros[REGISTRO],DADOS!$N$6,tabela_registros[TIPO],DADOS!$AJ$5,tabela_registros[CATEGORIA],reservaoutrosconsolidadomar[[#This Row],[ATUAL]])</f>
        <v>0</v>
      </c>
      <c r="AA212" s="91">
        <f>SUMIFS(tabela_registros[VALOR],tabela_registros[MÊS],$AE$1,tabela_registros[DIA],reservaoutrosconsolidadomar[[#Headers],[23]],tabela_registros[REGISTRO],DADOS!$N$6,tabela_registros[TIPO],DADOS!$AJ$5,tabela_registros[CATEGORIA],reservaoutrosconsolidadomar[[#This Row],[ATUAL]])</f>
        <v>0</v>
      </c>
      <c r="AB212" s="91">
        <f>SUMIFS(tabela_registros[VALOR],tabela_registros[MÊS],$AE$1,tabela_registros[DIA],reservaoutrosconsolidadomar[[#Headers],[24]],tabela_registros[REGISTRO],DADOS!$N$6,tabela_registros[TIPO],DADOS!$AJ$5,tabela_registros[CATEGORIA],reservaoutrosconsolidadomar[[#This Row],[ATUAL]])</f>
        <v>0</v>
      </c>
      <c r="AC212" s="91">
        <f>SUMIFS(tabela_registros[VALOR],tabela_registros[MÊS],$AE$1,tabela_registros[DIA],reservaoutrosconsolidadomar[[#Headers],[25]],tabela_registros[REGISTRO],DADOS!$N$6,tabela_registros[TIPO],DADOS!$AJ$5,tabela_registros[CATEGORIA],reservaoutrosconsolidadomar[[#This Row],[ATUAL]])</f>
        <v>0</v>
      </c>
      <c r="AD212" s="91">
        <f>SUMIFS(tabela_registros[VALOR],tabela_registros[MÊS],$AE$1,tabela_registros[DIA],reservaoutrosconsolidadomar[[#Headers],[26]],tabela_registros[REGISTRO],DADOS!$N$6,tabela_registros[TIPO],DADOS!$AJ$5,tabela_registros[CATEGORIA],reservaoutrosconsolidadomar[[#This Row],[ATUAL]])</f>
        <v>0</v>
      </c>
      <c r="AE212" s="91">
        <f>SUMIFS(tabela_registros[VALOR],tabela_registros[MÊS],$AE$1,tabela_registros[DIA],reservaoutrosconsolidadomar[[#Headers],[27]],tabela_registros[REGISTRO],DADOS!$N$6,tabela_registros[TIPO],DADOS!$AJ$5,tabela_registros[CATEGORIA],reservaoutrosconsolidadomar[[#This Row],[ATUAL]])</f>
        <v>0</v>
      </c>
      <c r="AF212" s="91">
        <f>SUMIFS(tabela_registros[VALOR],tabela_registros[MÊS],$AE$1,tabela_registros[DIA],reservaoutrosconsolidadomar[[#Headers],[28]],tabela_registros[REGISTRO],DADOS!$N$6,tabela_registros[TIPO],DADOS!$AJ$5,tabela_registros[CATEGORIA],reservaoutrosconsolidadomar[[#This Row],[ATUAL]])</f>
        <v>0</v>
      </c>
      <c r="AG212" s="91">
        <f>SUMIFS(tabela_registros[VALOR],tabela_registros[MÊS],$AE$1,tabela_registros[DIA],reservaoutrosconsolidadomar[[#Headers],[29]],tabela_registros[REGISTRO],DADOS!$N$6,tabela_registros[TIPO],DADOS!$AJ$5,tabela_registros[CATEGORIA],reservaoutrosconsolidadomar[[#This Row],[ATUAL]])</f>
        <v>0</v>
      </c>
      <c r="AH212" s="91">
        <f>SUMIFS(tabela_registros[VALOR],tabela_registros[MÊS],$AE$1,tabela_registros[DIA],reservaoutrosconsolidadomar[[#Headers],[30]],tabela_registros[REGISTRO],DADOS!$N$6,tabela_registros[TIPO],DADOS!$AJ$5,tabela_registros[CATEGORIA],reservaoutrosconsolidadomar[[#This Row],[ATUAL]])</f>
        <v>0</v>
      </c>
      <c r="AI212" s="101">
        <f>SUMIFS(tabela_registros[VALOR],tabela_registros[MÊS],$AE$1,tabela_registros[DIA],reservaoutrosconsolidadomar[[#Headers],[31]],tabela_registros[REGISTRO],DADOS!$N$6,tabela_registros[TIPO],DADOS!$AJ$5,tabela_registros[CATEGORIA],reservaoutrosconsolidadomar[[#This Row],[ATUAL]])</f>
        <v>0</v>
      </c>
      <c r="AJ212" s="97">
        <f>SUM(reservaoutrosconsolidadomar[[#This Row],[1]:[31]])</f>
        <v>0</v>
      </c>
      <c r="AK212" s="25"/>
    </row>
    <row r="213" spans="2:37" ht="19.5" customHeight="1" thickTop="1" thickBot="1" x14ac:dyDescent="0.3">
      <c r="B213" s="28"/>
      <c r="C213" s="27" t="str">
        <f>DADOS!$AP$10</f>
        <v>📎 OUTROS</v>
      </c>
      <c r="D213" s="26" t="str">
        <f>IF(reservaoutrosconsolidadomar[[#This Row],[TOTAL (R$)]]=0,"",IF(OR(reservaoutrosconsolidadomar[[#This Row],[TOTAL (R$)]]=LARGE($AJ$206:$AJ$213,1),reservaoutrosconsolidadomar[[#This Row],[TOTAL (R$)]]=LARGE($AJ$206:$AJ$213,2)),DADOS!$I$11,""))</f>
        <v/>
      </c>
      <c r="E213" s="96">
        <f>SUMIFS(tabela_registros[VALOR],tabela_registros[MÊS],$AE$1,tabela_registros[DIA],reservaoutrosconsolidadomar[[#Headers],[1]],tabela_registros[REGISTRO],DADOS!$N$6,tabela_registros[TIPO],DADOS!$AJ$5,tabela_registros[CATEGORIA],reservaoutrosconsolidadomar[[#This Row],[ATUAL]])</f>
        <v>0</v>
      </c>
      <c r="F213" s="91">
        <f>SUMIFS(tabela_registros[VALOR],tabela_registros[MÊS],$AE$1,tabela_registros[DIA],reservaoutrosconsolidadomar[[#Headers],[2]],tabela_registros[REGISTRO],DADOS!$N$6,tabela_registros[TIPO],DADOS!$AJ$5,tabela_registros[CATEGORIA],reservaoutrosconsolidadomar[[#This Row],[ATUAL]])</f>
        <v>0</v>
      </c>
      <c r="G213" s="91">
        <f>SUMIFS(tabela_registros[VALOR],tabela_registros[MÊS],$AE$1,tabela_registros[DIA],reservaoutrosconsolidadomar[[#Headers],[3]],tabela_registros[REGISTRO],DADOS!$N$6,tabela_registros[TIPO],DADOS!$AJ$5,tabela_registros[CATEGORIA],reservaoutrosconsolidadomar[[#This Row],[ATUAL]])</f>
        <v>0</v>
      </c>
      <c r="H213" s="91">
        <f>SUMIFS(tabela_registros[VALOR],tabela_registros[MÊS],$AE$1,tabela_registros[DIA],reservaoutrosconsolidadomar[[#Headers],[4]],tabela_registros[REGISTRO],DADOS!$N$6,tabela_registros[TIPO],DADOS!$AJ$5,tabela_registros[CATEGORIA],reservaoutrosconsolidadomar[[#This Row],[ATUAL]])</f>
        <v>0</v>
      </c>
      <c r="I213" s="91">
        <f>SUMIFS(tabela_registros[VALOR],tabela_registros[MÊS],$AE$1,tabela_registros[DIA],reservaoutrosconsolidadomar[[#Headers],[5]],tabela_registros[REGISTRO],DADOS!$N$6,tabela_registros[TIPO],DADOS!$AJ$5,tabela_registros[CATEGORIA],reservaoutrosconsolidadomar[[#This Row],[ATUAL]])</f>
        <v>0</v>
      </c>
      <c r="J213" s="91">
        <f>SUMIFS(tabela_registros[VALOR],tabela_registros[MÊS],$AE$1,tabela_registros[DIA],reservaoutrosconsolidadomar[[#Headers],[6]],tabela_registros[REGISTRO],DADOS!$N$6,tabela_registros[TIPO],DADOS!$AJ$5,tabela_registros[CATEGORIA],reservaoutrosconsolidadomar[[#This Row],[ATUAL]])</f>
        <v>0</v>
      </c>
      <c r="K213" s="91">
        <f>SUMIFS(tabela_registros[VALOR],tabela_registros[MÊS],$AE$1,tabela_registros[DIA],reservaoutrosconsolidadomar[[#Headers],[7]],tabela_registros[REGISTRO],DADOS!$N$6,tabela_registros[TIPO],DADOS!$AJ$5,tabela_registros[CATEGORIA],reservaoutrosconsolidadomar[[#This Row],[ATUAL]])</f>
        <v>0</v>
      </c>
      <c r="L213" s="91">
        <f>SUMIFS(tabela_registros[VALOR],tabela_registros[MÊS],$AE$1,tabela_registros[DIA],reservaoutrosconsolidadomar[[#Headers],[8]],tabela_registros[REGISTRO],DADOS!$N$6,tabela_registros[TIPO],DADOS!$AJ$5,tabela_registros[CATEGORIA],reservaoutrosconsolidadomar[[#This Row],[ATUAL]])</f>
        <v>0</v>
      </c>
      <c r="M213" s="91">
        <f>SUMIFS(tabela_registros[VALOR],tabela_registros[MÊS],$AE$1,tabela_registros[DIA],reservaoutrosconsolidadomar[[#Headers],[9]],tabela_registros[REGISTRO],DADOS!$N$6,tabela_registros[TIPO],DADOS!$AJ$5,tabela_registros[CATEGORIA],reservaoutrosconsolidadomar[[#This Row],[ATUAL]])</f>
        <v>0</v>
      </c>
      <c r="N213" s="91">
        <f>SUMIFS(tabela_registros[VALOR],tabela_registros[MÊS],$AE$1,tabela_registros[DIA],reservaoutrosconsolidadomar[[#Headers],[10]],tabela_registros[REGISTRO],DADOS!$N$6,tabela_registros[TIPO],DADOS!$AJ$5,tabela_registros[CATEGORIA],reservaoutrosconsolidadomar[[#This Row],[ATUAL]])</f>
        <v>0</v>
      </c>
      <c r="O213" s="91">
        <f>SUMIFS(tabela_registros[VALOR],tabela_registros[MÊS],$AE$1,tabela_registros[DIA],reservaoutrosconsolidadomar[[#Headers],[11]],tabela_registros[REGISTRO],DADOS!$N$6,tabela_registros[TIPO],DADOS!$AJ$5,tabela_registros[CATEGORIA],reservaoutrosconsolidadomar[[#This Row],[ATUAL]])</f>
        <v>0</v>
      </c>
      <c r="P213" s="91">
        <f>SUMIFS(tabela_registros[VALOR],tabela_registros[MÊS],$AE$1,tabela_registros[DIA],reservaoutrosconsolidadomar[[#Headers],[12]],tabela_registros[REGISTRO],DADOS!$N$6,tabela_registros[TIPO],DADOS!$AJ$5,tabela_registros[CATEGORIA],reservaoutrosconsolidadomar[[#This Row],[ATUAL]])</f>
        <v>0</v>
      </c>
      <c r="Q213" s="91">
        <f>SUMIFS(tabela_registros[VALOR],tabela_registros[MÊS],$AE$1,tabela_registros[DIA],reservaoutrosconsolidadomar[[#Headers],[13]],tabela_registros[REGISTRO],DADOS!$N$6,tabela_registros[TIPO],DADOS!$AJ$5,tabela_registros[CATEGORIA],reservaoutrosconsolidadomar[[#This Row],[ATUAL]])</f>
        <v>0</v>
      </c>
      <c r="R213" s="91">
        <f>SUMIFS(tabela_registros[VALOR],tabela_registros[MÊS],$AE$1,tabela_registros[DIA],reservaoutrosconsolidadomar[[#Headers],[14]],tabela_registros[REGISTRO],DADOS!$N$6,tabela_registros[TIPO],DADOS!$AJ$5,tabela_registros[CATEGORIA],reservaoutrosconsolidadomar[[#This Row],[ATUAL]])</f>
        <v>0</v>
      </c>
      <c r="S213" s="91">
        <f>SUMIFS(tabela_registros[VALOR],tabela_registros[MÊS],$AE$1,tabela_registros[DIA],reservaoutrosconsolidadomar[[#Headers],[15]],tabela_registros[REGISTRO],DADOS!$N$6,tabela_registros[TIPO],DADOS!$AJ$5,tabela_registros[CATEGORIA],reservaoutrosconsolidadomar[[#This Row],[ATUAL]])</f>
        <v>0</v>
      </c>
      <c r="T213" s="91">
        <f>SUMIFS(tabela_registros[VALOR],tabela_registros[MÊS],$AE$1,tabela_registros[DIA],reservaoutrosconsolidadomar[[#Headers],[16]],tabela_registros[REGISTRO],DADOS!$N$6,tabela_registros[TIPO],DADOS!$AJ$5,tabela_registros[CATEGORIA],reservaoutrosconsolidadomar[[#This Row],[ATUAL]])</f>
        <v>0</v>
      </c>
      <c r="U213" s="91">
        <f>SUMIFS(tabela_registros[VALOR],tabela_registros[MÊS],$AE$1,tabela_registros[DIA],reservaoutrosconsolidadomar[[#Headers],[17]],tabela_registros[REGISTRO],DADOS!$N$6,tabela_registros[TIPO],DADOS!$AJ$5,tabela_registros[CATEGORIA],reservaoutrosconsolidadomar[[#This Row],[ATUAL]])</f>
        <v>0</v>
      </c>
      <c r="V213" s="91">
        <f>SUMIFS(tabela_registros[VALOR],tabela_registros[MÊS],$AE$1,tabela_registros[DIA],reservaoutrosconsolidadomar[[#Headers],[18]],tabela_registros[REGISTRO],DADOS!$N$6,tabela_registros[TIPO],DADOS!$AJ$5,tabela_registros[CATEGORIA],reservaoutrosconsolidadomar[[#This Row],[ATUAL]])</f>
        <v>0</v>
      </c>
      <c r="W213" s="91">
        <f>SUMIFS(tabela_registros[VALOR],tabela_registros[MÊS],$AE$1,tabela_registros[DIA],reservaoutrosconsolidadomar[[#Headers],[19]],tabela_registros[REGISTRO],DADOS!$N$6,tabela_registros[TIPO],DADOS!$AJ$5,tabela_registros[CATEGORIA],reservaoutrosconsolidadomar[[#This Row],[ATUAL]])</f>
        <v>0</v>
      </c>
      <c r="X213" s="91">
        <f>SUMIFS(tabela_registros[VALOR],tabela_registros[MÊS],$AE$1,tabela_registros[DIA],reservaoutrosconsolidadomar[[#Headers],[20]],tabela_registros[REGISTRO],DADOS!$N$6,tabela_registros[TIPO],DADOS!$AJ$5,tabela_registros[CATEGORIA],reservaoutrosconsolidadomar[[#This Row],[ATUAL]])</f>
        <v>0</v>
      </c>
      <c r="Y213" s="91">
        <f>SUMIFS(tabela_registros[VALOR],tabela_registros[MÊS],$AE$1,tabela_registros[DIA],reservaoutrosconsolidadomar[[#Headers],[21]],tabela_registros[REGISTRO],DADOS!$N$6,tabela_registros[TIPO],DADOS!$AJ$5,tabela_registros[CATEGORIA],reservaoutrosconsolidadomar[[#This Row],[ATUAL]])</f>
        <v>0</v>
      </c>
      <c r="Z213" s="91">
        <f>SUMIFS(tabela_registros[VALOR],tabela_registros[MÊS],$AE$1,tabela_registros[DIA],reservaoutrosconsolidadomar[[#Headers],[22]],tabela_registros[REGISTRO],DADOS!$N$6,tabela_registros[TIPO],DADOS!$AJ$5,tabela_registros[CATEGORIA],reservaoutrosconsolidadomar[[#This Row],[ATUAL]])</f>
        <v>0</v>
      </c>
      <c r="AA213" s="91">
        <f>SUMIFS(tabela_registros[VALOR],tabela_registros[MÊS],$AE$1,tabela_registros[DIA],reservaoutrosconsolidadomar[[#Headers],[23]],tabela_registros[REGISTRO],DADOS!$N$6,tabela_registros[TIPO],DADOS!$AJ$5,tabela_registros[CATEGORIA],reservaoutrosconsolidadomar[[#This Row],[ATUAL]])</f>
        <v>0</v>
      </c>
      <c r="AB213" s="91">
        <f>SUMIFS(tabela_registros[VALOR],tabela_registros[MÊS],$AE$1,tabela_registros[DIA],reservaoutrosconsolidadomar[[#Headers],[24]],tabela_registros[REGISTRO],DADOS!$N$6,tabela_registros[TIPO],DADOS!$AJ$5,tabela_registros[CATEGORIA],reservaoutrosconsolidadomar[[#This Row],[ATUAL]])</f>
        <v>0</v>
      </c>
      <c r="AC213" s="91">
        <f>SUMIFS(tabela_registros[VALOR],tabela_registros[MÊS],$AE$1,tabela_registros[DIA],reservaoutrosconsolidadomar[[#Headers],[25]],tabela_registros[REGISTRO],DADOS!$N$6,tabela_registros[TIPO],DADOS!$AJ$5,tabela_registros[CATEGORIA],reservaoutrosconsolidadomar[[#This Row],[ATUAL]])</f>
        <v>0</v>
      </c>
      <c r="AD213" s="91">
        <f>SUMIFS(tabela_registros[VALOR],tabela_registros[MÊS],$AE$1,tabela_registros[DIA],reservaoutrosconsolidadomar[[#Headers],[26]],tabela_registros[REGISTRO],DADOS!$N$6,tabela_registros[TIPO],DADOS!$AJ$5,tabela_registros[CATEGORIA],reservaoutrosconsolidadomar[[#This Row],[ATUAL]])</f>
        <v>0</v>
      </c>
      <c r="AE213" s="91">
        <f>SUMIFS(tabela_registros[VALOR],tabela_registros[MÊS],$AE$1,tabela_registros[DIA],reservaoutrosconsolidadomar[[#Headers],[27]],tabela_registros[REGISTRO],DADOS!$N$6,tabela_registros[TIPO],DADOS!$AJ$5,tabela_registros[CATEGORIA],reservaoutrosconsolidadomar[[#This Row],[ATUAL]])</f>
        <v>0</v>
      </c>
      <c r="AF213" s="91">
        <f>SUMIFS(tabela_registros[VALOR],tabela_registros[MÊS],$AE$1,tabela_registros[DIA],reservaoutrosconsolidadomar[[#Headers],[28]],tabela_registros[REGISTRO],DADOS!$N$6,tabela_registros[TIPO],DADOS!$AJ$5,tabela_registros[CATEGORIA],reservaoutrosconsolidadomar[[#This Row],[ATUAL]])</f>
        <v>0</v>
      </c>
      <c r="AG213" s="91">
        <f>SUMIFS(tabela_registros[VALOR],tabela_registros[MÊS],$AE$1,tabela_registros[DIA],reservaoutrosconsolidadomar[[#Headers],[29]],tabela_registros[REGISTRO],DADOS!$N$6,tabela_registros[TIPO],DADOS!$AJ$5,tabela_registros[CATEGORIA],reservaoutrosconsolidadomar[[#This Row],[ATUAL]])</f>
        <v>0</v>
      </c>
      <c r="AH213" s="91">
        <f>SUMIFS(tabela_registros[VALOR],tabela_registros[MÊS],$AE$1,tabela_registros[DIA],reservaoutrosconsolidadomar[[#Headers],[30]],tabela_registros[REGISTRO],DADOS!$N$6,tabela_registros[TIPO],DADOS!$AJ$5,tabela_registros[CATEGORIA],reservaoutrosconsolidadomar[[#This Row],[ATUAL]])</f>
        <v>0</v>
      </c>
      <c r="AI213" s="102">
        <f>SUMIFS(tabela_registros[VALOR],tabela_registros[MÊS],$AE$1,tabela_registros[DIA],reservaoutrosconsolidadomar[[#Headers],[31]],tabela_registros[REGISTRO],DADOS!$N$6,tabela_registros[TIPO],DADOS!$AJ$5,tabela_registros[CATEGORIA],reservaoutrosconsolidadomar[[#This Row],[ATUAL]])</f>
        <v>0</v>
      </c>
      <c r="AJ213" s="97">
        <f>SUM(reservaoutrosconsolidadomar[[#This Row],[1]:[31]])</f>
        <v>0</v>
      </c>
      <c r="AK213" s="25"/>
    </row>
    <row r="214" spans="2:37" s="16" customFormat="1" ht="21" customHeight="1" thickTop="1" thickBot="1" x14ac:dyDescent="0.35">
      <c r="B214" s="24"/>
      <c r="C214" s="23" t="s">
        <v>19</v>
      </c>
      <c r="D214" s="22"/>
      <c r="E214" s="21">
        <f>SUM(E206:E213)</f>
        <v>0</v>
      </c>
      <c r="F214" s="20">
        <f>SUM(F206:F213)+reservaoutrosconsolidadomar[[#This Row],[1]]</f>
        <v>0</v>
      </c>
      <c r="G214" s="20">
        <f>SUM(G206:G213)+reservaoutrosconsolidadomar[[#This Row],[2]]</f>
        <v>0</v>
      </c>
      <c r="H214" s="20">
        <f>SUM(H206:H213)+reservaoutrosconsolidadomar[[#This Row],[3]]</f>
        <v>0</v>
      </c>
      <c r="I214" s="20">
        <f>SUM(I206:I213)+reservaoutrosconsolidadomar[[#This Row],[4]]</f>
        <v>0</v>
      </c>
      <c r="J214" s="20">
        <f>SUM(J206:J213)+reservaoutrosconsolidadomar[[#This Row],[5]]</f>
        <v>0</v>
      </c>
      <c r="K214" s="20">
        <f>SUM(K206:K213)+reservaoutrosconsolidadomar[[#This Row],[6]]</f>
        <v>0</v>
      </c>
      <c r="L214" s="20">
        <f>SUM(L206:L213)+reservaoutrosconsolidadomar[[#This Row],[7]]</f>
        <v>0</v>
      </c>
      <c r="M214" s="20">
        <f>SUM(M206:M213)+reservaoutrosconsolidadomar[[#This Row],[8]]</f>
        <v>0</v>
      </c>
      <c r="N214" s="20">
        <f>SUM(N206:N213)+reservaoutrosconsolidadomar[[#This Row],[9]]</f>
        <v>0</v>
      </c>
      <c r="O214" s="20">
        <f>SUM(O206:O213)+reservaoutrosconsolidadomar[[#This Row],[10]]</f>
        <v>0</v>
      </c>
      <c r="P214" s="20">
        <f>SUM(P206:P213)+reservaoutrosconsolidadomar[[#This Row],[11]]</f>
        <v>0</v>
      </c>
      <c r="Q214" s="20">
        <f>SUM(Q206:Q213)+reservaoutrosconsolidadomar[[#This Row],[12]]</f>
        <v>0</v>
      </c>
      <c r="R214" s="20">
        <f>SUM(R206:R213)+reservaoutrosconsolidadomar[[#This Row],[13]]</f>
        <v>0</v>
      </c>
      <c r="S214" s="20">
        <f>SUM(S206:S213)+reservaoutrosconsolidadomar[[#This Row],[14]]</f>
        <v>0</v>
      </c>
      <c r="T214" s="20">
        <f>SUM(T206:T213)+reservaoutrosconsolidadomar[[#This Row],[15]]</f>
        <v>0</v>
      </c>
      <c r="U214" s="20">
        <f>SUM(U206:U213)+reservaoutrosconsolidadomar[[#This Row],[16]]</f>
        <v>0</v>
      </c>
      <c r="V214" s="20">
        <f>SUM(V206:V213)+reservaoutrosconsolidadomar[[#This Row],[17]]</f>
        <v>0</v>
      </c>
      <c r="W214" s="20">
        <f>SUM(W206:W213)+reservaoutrosconsolidadomar[[#This Row],[18]]</f>
        <v>0</v>
      </c>
      <c r="X214" s="20">
        <f>SUM(X206:X213)+reservaoutrosconsolidadomar[[#This Row],[19]]</f>
        <v>0</v>
      </c>
      <c r="Y214" s="20">
        <f>SUM(Y206:Y213)+reservaoutrosconsolidadomar[[#This Row],[20]]</f>
        <v>0</v>
      </c>
      <c r="Z214" s="20">
        <f>SUM(Z206:Z213)+reservaoutrosconsolidadomar[[#This Row],[21]]</f>
        <v>0</v>
      </c>
      <c r="AA214" s="20">
        <f>SUM(AA206:AA213)+reservaoutrosconsolidadomar[[#This Row],[22]]</f>
        <v>0</v>
      </c>
      <c r="AB214" s="20">
        <f>SUM(AB206:AB213)+reservaoutrosconsolidadomar[[#This Row],[23]]</f>
        <v>0</v>
      </c>
      <c r="AC214" s="20">
        <f>SUM(AC206:AC213)+reservaoutrosconsolidadomar[[#This Row],[24]]</f>
        <v>0</v>
      </c>
      <c r="AD214" s="20">
        <f>SUM(AD206:AD213)+reservaoutrosconsolidadomar[[#This Row],[25]]</f>
        <v>0</v>
      </c>
      <c r="AE214" s="20">
        <f>SUM(AE206:AE213)+reservaoutrosconsolidadomar[[#This Row],[26]]</f>
        <v>0</v>
      </c>
      <c r="AF214" s="20">
        <f>SUM(AF206:AF213)+reservaoutrosconsolidadomar[[#This Row],[27]]</f>
        <v>0</v>
      </c>
      <c r="AG214" s="20">
        <f>SUM(AG206:AG213)+reservaoutrosconsolidadomar[[#This Row],[28]]</f>
        <v>0</v>
      </c>
      <c r="AH214" s="20">
        <f>SUM(AH206:AH213)+reservaoutrosconsolidadomar[[#This Row],[29]]</f>
        <v>0</v>
      </c>
      <c r="AI214" s="19">
        <f>SUM(AI206:AI213)+reservaoutrosconsolidadomar[[#This Row],[30]]</f>
        <v>0</v>
      </c>
      <c r="AJ214" s="18">
        <f>reservaoutrosconsolidadomar[[#This Row],[31]]</f>
        <v>0</v>
      </c>
      <c r="AK214" s="17"/>
    </row>
    <row r="215" spans="2:37" ht="6.75" customHeight="1" thickTop="1" thickBot="1" x14ac:dyDescent="0.3">
      <c r="B215" s="15"/>
      <c r="C215" s="14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3"/>
      <c r="AE215" s="13"/>
      <c r="AF215" s="13"/>
      <c r="AG215" s="13"/>
      <c r="AH215" s="13"/>
      <c r="AI215" s="12"/>
      <c r="AJ215" s="11"/>
      <c r="AK215" s="10"/>
    </row>
    <row r="216" spans="2:37" ht="12.6" thickTop="1" x14ac:dyDescent="0.25"/>
    <row r="217" spans="2:37" x14ac:dyDescent="0.25"/>
  </sheetData>
  <sheetProtection algorithmName="SHA-512" hashValue="q5jYeGmcCb3+P17snEE5z3o1gN2WMa6hEtiGLmBDiaXqzubaH6xKh0g6sGBhIY3VbfuJD1l1/nKkx/eIYRImNw==" saltValue="TrARS2MuW9AFEj43yt9TXQ==" spinCount="100000" sheet="1" objects="1" scenarios="1" selectLockedCells="1" selectUnlockedCells="1"/>
  <mergeCells count="26">
    <mergeCell ref="E164:AI164"/>
    <mergeCell ref="E183:AI183"/>
    <mergeCell ref="E202:AI202"/>
    <mergeCell ref="E10:AI10"/>
    <mergeCell ref="E21:AI21"/>
    <mergeCell ref="E33:AI33"/>
    <mergeCell ref="E56:AI56"/>
    <mergeCell ref="E78:AI78"/>
    <mergeCell ref="E92:AI92"/>
    <mergeCell ref="E109:AI109"/>
    <mergeCell ref="E128:AI128"/>
    <mergeCell ref="E147:AI147"/>
    <mergeCell ref="AC3:AD4"/>
    <mergeCell ref="AF3:AG4"/>
    <mergeCell ref="E4:G4"/>
    <mergeCell ref="I4:K4"/>
    <mergeCell ref="M4:O4"/>
    <mergeCell ref="Q4:S4"/>
    <mergeCell ref="U4:W4"/>
    <mergeCell ref="U3:W3"/>
    <mergeCell ref="Z3:AA4"/>
    <mergeCell ref="C2:C6"/>
    <mergeCell ref="E3:G3"/>
    <mergeCell ref="I3:K3"/>
    <mergeCell ref="M3:O3"/>
    <mergeCell ref="Q3:S3"/>
  </mergeCells>
  <hyperlinks>
    <hyperlink ref="Z3:AA4" location="'🔒'!A1" display="REGISTROS" xr:uid="{3155E8B6-A8B4-4C74-8424-AE6048BAE193}"/>
    <hyperlink ref="AF3:AG4" location="ANUAL!A1" display="ANUAL" xr:uid="{F8B28CDD-0857-44DC-B1C9-9CFE2173DD40}"/>
    <hyperlink ref="AC3:AD4" location="'📈'!A1" display="RADAR" xr:uid="{971B8C2E-00DB-41DF-BF9F-4B5F5A79FA2D}"/>
  </hyperlinks>
  <pageMargins left="0.511811024" right="0.511811024" top="0.78740157499999996" bottom="0.78740157499999996" header="0.31496062000000002" footer="0.31496062000000002"/>
  <ignoredErrors>
    <ignoredError sqref="E6:AI6" numberStoredAsText="1"/>
    <ignoredError sqref="AJ16:AJ27 D37:AJ214" calculatedColumn="1"/>
  </ignoredErrors>
  <drawing r:id="rId1"/>
  <tableParts count="12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</tableParts>
  <extLst>
    <ext xmlns:x14="http://schemas.microsoft.com/office/spreadsheetml/2009/9/main" uri="{05C60535-1F16-4fd2-B633-F4F36F0B64E0}">
      <x14:sparklineGroups xmlns:xm="http://schemas.microsoft.com/office/excel/2006/main">
        <x14:sparklineGroup manualMax="0" type="column" displayEmptyCellsAs="gap" high="1" negative="1" maxAxisType="group" xr2:uid="{632D6A34-D185-4B92-8D07-CAF01206708C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'3'!E16:AI16</xm:f>
              <xm:sqref>E10</xm:sqref>
            </x14:sparkline>
          </x14:sparklines>
        </x14:sparklineGroup>
        <x14:sparklineGroup manualMax="0" manualMin="0" type="column" displayEmptyCellsAs="gap" high="1" low="1" negative="1" minAxisType="custom" maxAxisType="group" xr2:uid="{7FBA4C57-A559-43CD-83F4-37D72FAFFCE9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'3'!E27:AI27</xm:f>
              <xm:sqref>E21</xm:sqref>
            </x14:sparkline>
          </x14:sparklines>
        </x14:sparklineGroup>
        <x14:sparklineGroup manualMax="0" manualMin="0" type="column" displayEmptyCellsAs="gap" high="1" low="1" negative="1" minAxisType="custom" maxAxisType="group" xr2:uid="{97706C00-DE76-4C17-9AC1-C1CC88187B8C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'3'!E87:AI87</xm:f>
              <xm:sqref>E78</xm:sqref>
            </x14:sparkline>
          </x14:sparklines>
        </x14:sparklineGroup>
        <x14:sparklineGroup manualMax="0" manualMin="0" type="column" displayEmptyCellsAs="gap" high="1" low="1" negative="1" minAxisType="custom" maxAxisType="group" xr2:uid="{8E9F3F2A-F36E-4B7E-B261-A333E155DD77}">
          <x14:colorSeries rgb="FFC00000"/>
          <x14:colorNegative rgb="FFC00000"/>
          <x14:colorAxis rgb="FF000000"/>
          <x14:colorMarkers rgb="FF0070C0"/>
          <x14:colorFirst rgb="FFFFC000"/>
          <x14:colorLast rgb="FFFFC000"/>
          <x14:colorHigh rgb="FFFF0000"/>
          <x14:colorLow rgb="FFFFC000"/>
          <x14:sparklines>
            <x14:sparkline>
              <xm:f>'3'!E73:AI73</xm:f>
              <xm:sqref>E56</xm:sqref>
            </x14:sparkline>
          </x14:sparklines>
        </x14:sparklineGroup>
        <x14:sparklineGroup manualMax="0" manualMin="0" type="column" displayEmptyCellsAs="gap" high="1" low="1" negative="1" minAxisType="custom" maxAxisType="group" xr2:uid="{7D254BFB-9959-47C3-AD07-EE326202BEA7}">
          <x14:colorSeries rgb="FFC00000"/>
          <x14:colorNegative rgb="FFC00000"/>
          <x14:colorAxis rgb="FF000000"/>
          <x14:colorMarkers rgb="FF0070C0"/>
          <x14:colorFirst rgb="FFFFC000"/>
          <x14:colorLast rgb="FFFFC000"/>
          <x14:colorHigh rgb="FFFF0000"/>
          <x14:colorLow rgb="FFFFC000"/>
          <x14:sparklines>
            <x14:sparkline>
              <xm:f>'3'!E51:AI51</xm:f>
              <xm:sqref>E33</xm:sqref>
            </x14:sparkline>
          </x14:sparklines>
        </x14:sparklineGroup>
        <x14:sparklineGroup manualMax="0" manualMin="0" type="column" displayEmptyCellsAs="gap" high="1" low="1" negative="1" minAxisType="custom" maxAxisType="group" xr2:uid="{2E099976-0F51-4079-9941-70E9C1D8C06C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'3'!E104:AI104</xm:f>
              <xm:sqref>E92</xm:sqref>
            </x14:sparkline>
          </x14:sparklines>
        </x14:sparklineGroup>
        <x14:sparklineGroup manualMax="0" manualMin="0" type="column" displayEmptyCellsAs="gap" high="1" low="1" negative="1" minAxisType="custom" maxAxisType="group" xr2:uid="{403B9A05-1EC5-4C7C-834A-81B1FB2BB053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'3'!E123:AI123</xm:f>
              <xm:sqref>E109</xm:sqref>
            </x14:sparkline>
          </x14:sparklines>
        </x14:sparklineGroup>
        <x14:sparklineGroup manualMax="0" manualMin="0" type="column" displayEmptyCellsAs="gap" high="1" low="1" negative="1" minAxisType="custom" maxAxisType="group" xr2:uid="{22FFA6B7-A4C7-4832-A436-7FD251D981E9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'3'!E142:AI142</xm:f>
              <xm:sqref>E128</xm:sqref>
            </x14:sparkline>
          </x14:sparklines>
        </x14:sparklineGroup>
        <x14:sparklineGroup manualMax="0" manualMin="0" type="column" displayEmptyCellsAs="gap" high="1" low="1" negative="1" minAxisType="custom" maxAxisType="group" xr2:uid="{BA98C123-B556-4047-B9BC-AD24810CA00C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'3'!E159:AI159</xm:f>
              <xm:sqref>E147</xm:sqref>
            </x14:sparkline>
          </x14:sparklines>
        </x14:sparklineGroup>
        <x14:sparklineGroup manualMax="0" manualMin="0" type="column" displayEmptyCellsAs="gap" high="1" low="1" negative="1" minAxisType="custom" maxAxisType="group" xr2:uid="{5AD270B5-FBA9-4148-A8EA-6C9115810FA8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'3'!E178:AI178</xm:f>
              <xm:sqref>E164</xm:sqref>
            </x14:sparkline>
          </x14:sparklines>
        </x14:sparklineGroup>
        <x14:sparklineGroup manualMax="0" manualMin="0" type="column" displayEmptyCellsAs="gap" high="1" low="1" negative="1" minAxisType="custom" maxAxisType="group" xr2:uid="{B7CCF23A-2828-468D-8647-7BC991769064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'3'!E197:AI197</xm:f>
              <xm:sqref>E183</xm:sqref>
            </x14:sparkline>
          </x14:sparklines>
        </x14:sparklineGroup>
        <x14:sparklineGroup manualMax="0" manualMin="0" type="column" displayEmptyCellsAs="gap" high="1" low="1" negative="1" minAxisType="custom" maxAxisType="group" xr2:uid="{8D7BF15E-808D-4584-A599-9BC4729D6681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'3'!E214:AI214</xm:f>
              <xm:sqref>E202</xm:sqref>
            </x14:sparkline>
          </x14:sparklines>
        </x14:sparklineGroup>
      </x14:sparklineGroup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209D9C-AEC2-476F-BC1B-CCA0400D5E3F}">
  <sheetPr codeName="Planilha8">
    <tabColor rgb="FFFFEBAB"/>
  </sheetPr>
  <dimension ref="A1:AL217"/>
  <sheetViews>
    <sheetView showGridLines="0" showRowColHeaders="0" showZeros="0" zoomScale="85" zoomScaleNormal="85" workbookViewId="0">
      <pane xSplit="3" ySplit="6" topLeftCell="D7" activePane="bottomRight" state="frozen"/>
      <selection activeCell="D24" sqref="D24"/>
      <selection pane="topRight" activeCell="D24" sqref="D24"/>
      <selection pane="bottomLeft" activeCell="D24" sqref="D24"/>
      <selection pane="bottomRight" activeCell="D24" sqref="D24"/>
    </sheetView>
  </sheetViews>
  <sheetFormatPr defaultColWidth="0" defaultRowHeight="12" zeroHeight="1" x14ac:dyDescent="0.25"/>
  <cols>
    <col min="1" max="1" width="2.109375" style="4" customWidth="1"/>
    <col min="2" max="2" width="1.5546875" style="4" customWidth="1"/>
    <col min="3" max="3" width="29.33203125" style="4" bestFit="1" customWidth="1"/>
    <col min="4" max="4" width="4.6640625" style="4" customWidth="1"/>
    <col min="5" max="34" width="5.5546875" style="4" customWidth="1"/>
    <col min="35" max="35" width="5.5546875" style="9" hidden="1" customWidth="1"/>
    <col min="36" max="36" width="9.5546875" style="4" customWidth="1"/>
    <col min="37" max="37" width="1.5546875" style="4" customWidth="1"/>
    <col min="38" max="38" width="2" style="4" customWidth="1"/>
    <col min="39" max="16384" width="2.109375" style="4" hidden="1"/>
  </cols>
  <sheetData>
    <row r="1" spans="1:38" ht="29.25" hidden="1" customHeight="1" thickBot="1" x14ac:dyDescent="0.3">
      <c r="A1" s="80"/>
      <c r="B1" s="80"/>
      <c r="C1" s="80"/>
      <c r="D1" s="79"/>
      <c r="AD1" s="4" t="s">
        <v>215</v>
      </c>
      <c r="AE1" s="78">
        <v>4</v>
      </c>
      <c r="AH1" s="4" t="s">
        <v>214</v>
      </c>
      <c r="AI1" s="75">
        <f>IF('⚙️'!$Q$3=$AE$1,'⚙️'!$F$13,0)</f>
        <v>0</v>
      </c>
      <c r="AK1" s="75"/>
    </row>
    <row r="2" spans="1:38" ht="15.75" customHeight="1" thickTop="1" thickBot="1" x14ac:dyDescent="0.3">
      <c r="A2" s="77"/>
      <c r="B2" s="77"/>
      <c r="C2" s="245" t="s">
        <v>92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71"/>
      <c r="U2" s="71"/>
      <c r="V2" s="71"/>
      <c r="W2" s="71"/>
      <c r="X2" s="71"/>
      <c r="Y2" s="71"/>
      <c r="Z2" s="71"/>
      <c r="AA2" s="71"/>
      <c r="AB2" s="71"/>
      <c r="AC2" s="76"/>
      <c r="AD2" s="64"/>
      <c r="AE2" s="64"/>
      <c r="AF2" s="64"/>
      <c r="AG2" s="64"/>
      <c r="AH2" s="64"/>
      <c r="AI2" s="64"/>
      <c r="AJ2" s="64"/>
      <c r="AK2" s="64"/>
      <c r="AL2" s="64"/>
    </row>
    <row r="3" spans="1:38" s="73" customFormat="1" ht="18" customHeight="1" thickTop="1" thickBot="1" x14ac:dyDescent="0.3">
      <c r="A3" s="72"/>
      <c r="B3" s="72"/>
      <c r="C3" s="246"/>
      <c r="D3" s="2"/>
      <c r="E3" s="243" t="s">
        <v>211</v>
      </c>
      <c r="F3" s="243"/>
      <c r="G3" s="243"/>
      <c r="H3" s="71"/>
      <c r="I3" s="243" t="s">
        <v>210</v>
      </c>
      <c r="J3" s="243"/>
      <c r="K3" s="243"/>
      <c r="L3" s="71"/>
      <c r="M3" s="243" t="s">
        <v>209</v>
      </c>
      <c r="N3" s="243"/>
      <c r="O3" s="243"/>
      <c r="P3" s="71"/>
      <c r="Q3" s="243" t="s">
        <v>208</v>
      </c>
      <c r="R3" s="243"/>
      <c r="S3" s="243"/>
      <c r="T3" s="71"/>
      <c r="U3" s="243" t="s">
        <v>207</v>
      </c>
      <c r="V3" s="243"/>
      <c r="W3" s="243"/>
      <c r="X3" s="71"/>
      <c r="Y3" s="71"/>
      <c r="Z3" s="252" t="s">
        <v>23</v>
      </c>
      <c r="AA3" s="253"/>
      <c r="AB3" s="64"/>
      <c r="AC3" s="252" t="s">
        <v>24</v>
      </c>
      <c r="AD3" s="253"/>
      <c r="AE3" s="64"/>
      <c r="AF3" s="252" t="s">
        <v>22</v>
      </c>
      <c r="AG3" s="253"/>
      <c r="AH3" s="74"/>
      <c r="AI3" s="74"/>
      <c r="AJ3" s="74"/>
      <c r="AK3" s="64"/>
      <c r="AL3" s="64"/>
    </row>
    <row r="4" spans="1:38" s="73" customFormat="1" ht="18" customHeight="1" thickTop="1" thickBot="1" x14ac:dyDescent="0.3">
      <c r="A4" s="72"/>
      <c r="B4" s="72"/>
      <c r="C4" s="246"/>
      <c r="D4" s="2"/>
      <c r="E4" s="242">
        <f>$AJ$16</f>
        <v>-265</v>
      </c>
      <c r="F4" s="242"/>
      <c r="G4" s="242"/>
      <c r="H4" s="71"/>
      <c r="I4" s="242">
        <f>$AJ$14</f>
        <v>310</v>
      </c>
      <c r="J4" s="242"/>
      <c r="K4" s="242"/>
      <c r="L4" s="71"/>
      <c r="M4" s="242">
        <f>$AJ$15</f>
        <v>575</v>
      </c>
      <c r="N4" s="242"/>
      <c r="O4" s="242"/>
      <c r="P4" s="71"/>
      <c r="Q4" s="242">
        <f>$AJ$25</f>
        <v>0</v>
      </c>
      <c r="R4" s="242"/>
      <c r="S4" s="242"/>
      <c r="T4" s="71"/>
      <c r="U4" s="242">
        <f>$AJ$26</f>
        <v>0</v>
      </c>
      <c r="V4" s="242"/>
      <c r="W4" s="242"/>
      <c r="X4" s="71"/>
      <c r="Y4" s="71"/>
      <c r="Z4" s="254"/>
      <c r="AA4" s="255"/>
      <c r="AB4" s="64"/>
      <c r="AC4" s="254"/>
      <c r="AD4" s="255"/>
      <c r="AE4" s="64"/>
      <c r="AF4" s="254"/>
      <c r="AG4" s="255"/>
      <c r="AH4" s="74"/>
      <c r="AI4" s="74" t="s">
        <v>216</v>
      </c>
      <c r="AJ4" s="74"/>
      <c r="AK4" s="64"/>
      <c r="AL4" s="64"/>
    </row>
    <row r="5" spans="1:38" ht="11.25" customHeight="1" thickTop="1" thickBot="1" x14ac:dyDescent="0.3">
      <c r="A5" s="72"/>
      <c r="B5" s="72"/>
      <c r="C5" s="246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71"/>
      <c r="Y5" s="2"/>
      <c r="Z5" s="2"/>
      <c r="AA5" s="71"/>
      <c r="AB5" s="71"/>
      <c r="AC5" s="70"/>
      <c r="AD5" s="69"/>
      <c r="AE5" s="69"/>
      <c r="AF5" s="69"/>
      <c r="AG5" s="69"/>
      <c r="AH5" s="69"/>
      <c r="AI5" s="69"/>
      <c r="AJ5" s="64"/>
      <c r="AK5" s="64"/>
      <c r="AL5" s="64"/>
    </row>
    <row r="6" spans="1:38" ht="13.5" customHeight="1" thickTop="1" thickBot="1" x14ac:dyDescent="0.3">
      <c r="A6" s="68"/>
      <c r="B6" s="68"/>
      <c r="C6" s="247"/>
      <c r="D6" s="15"/>
      <c r="E6" s="67" t="s">
        <v>197</v>
      </c>
      <c r="F6" s="67" t="s">
        <v>196</v>
      </c>
      <c r="G6" s="66" t="s">
        <v>195</v>
      </c>
      <c r="H6" s="66" t="s">
        <v>194</v>
      </c>
      <c r="I6" s="66" t="s">
        <v>193</v>
      </c>
      <c r="J6" s="66" t="s">
        <v>192</v>
      </c>
      <c r="K6" s="66" t="s">
        <v>191</v>
      </c>
      <c r="L6" s="66" t="s">
        <v>190</v>
      </c>
      <c r="M6" s="66" t="s">
        <v>189</v>
      </c>
      <c r="N6" s="66" t="s">
        <v>188</v>
      </c>
      <c r="O6" s="66" t="s">
        <v>187</v>
      </c>
      <c r="P6" s="66" t="s">
        <v>186</v>
      </c>
      <c r="Q6" s="66" t="s">
        <v>185</v>
      </c>
      <c r="R6" s="66" t="s">
        <v>184</v>
      </c>
      <c r="S6" s="66" t="s">
        <v>183</v>
      </c>
      <c r="T6" s="66" t="s">
        <v>182</v>
      </c>
      <c r="U6" s="66" t="s">
        <v>181</v>
      </c>
      <c r="V6" s="66" t="s">
        <v>180</v>
      </c>
      <c r="W6" s="66" t="s">
        <v>179</v>
      </c>
      <c r="X6" s="66" t="s">
        <v>178</v>
      </c>
      <c r="Y6" s="66" t="s">
        <v>177</v>
      </c>
      <c r="Z6" s="66" t="s">
        <v>176</v>
      </c>
      <c r="AA6" s="66" t="s">
        <v>175</v>
      </c>
      <c r="AB6" s="66" t="s">
        <v>174</v>
      </c>
      <c r="AC6" s="66" t="s">
        <v>173</v>
      </c>
      <c r="AD6" s="66" t="s">
        <v>172</v>
      </c>
      <c r="AE6" s="66" t="s">
        <v>171</v>
      </c>
      <c r="AF6" s="66" t="s">
        <v>170</v>
      </c>
      <c r="AG6" s="66" t="s">
        <v>169</v>
      </c>
      <c r="AH6" s="66" t="s">
        <v>168</v>
      </c>
      <c r="AI6" s="65" t="s">
        <v>167</v>
      </c>
      <c r="AJ6" s="64"/>
      <c r="AK6" s="64"/>
      <c r="AL6" s="64"/>
    </row>
    <row r="7" spans="1:38" ht="12.6" thickTop="1" x14ac:dyDescent="0.25">
      <c r="E7" s="37"/>
      <c r="AI7" s="4"/>
    </row>
    <row r="8" spans="1:38" x14ac:dyDescent="0.25">
      <c r="AI8" s="4"/>
    </row>
    <row r="9" spans="1:38" x14ac:dyDescent="0.25">
      <c r="AI9" s="4"/>
    </row>
    <row r="10" spans="1:38" ht="39.75" customHeight="1" x14ac:dyDescent="0.7">
      <c r="C10" s="36"/>
      <c r="E10" s="240"/>
      <c r="F10" s="240"/>
      <c r="G10" s="240"/>
      <c r="H10" s="240"/>
      <c r="I10" s="240"/>
      <c r="J10" s="240"/>
      <c r="K10" s="240"/>
      <c r="L10" s="240"/>
      <c r="M10" s="240"/>
      <c r="N10" s="240"/>
      <c r="O10" s="240"/>
      <c r="P10" s="240"/>
      <c r="Q10" s="240"/>
      <c r="R10" s="240"/>
      <c r="S10" s="240"/>
      <c r="T10" s="240"/>
      <c r="U10" s="240"/>
      <c r="V10" s="240"/>
      <c r="W10" s="240"/>
      <c r="X10" s="240"/>
      <c r="Y10" s="240"/>
      <c r="Z10" s="240"/>
      <c r="AA10" s="240"/>
      <c r="AB10" s="240"/>
      <c r="AC10" s="240"/>
      <c r="AD10" s="240"/>
      <c r="AE10" s="240"/>
      <c r="AF10" s="240"/>
      <c r="AG10" s="240"/>
      <c r="AH10" s="240"/>
      <c r="AI10" s="240"/>
      <c r="AJ10" s="32" t="s">
        <v>19</v>
      </c>
    </row>
    <row r="11" spans="1:38" ht="12.6" thickBot="1" x14ac:dyDescent="0.3">
      <c r="AI11" s="4"/>
      <c r="AJ11" s="34" t="s">
        <v>202</v>
      </c>
    </row>
    <row r="12" spans="1:38" ht="6.75" customHeight="1" thickTop="1" thickBot="1" x14ac:dyDescent="0.3">
      <c r="B12" s="49"/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49"/>
      <c r="X12" s="49"/>
      <c r="Y12" s="49"/>
      <c r="Z12" s="49"/>
      <c r="AA12" s="49"/>
      <c r="AB12" s="49"/>
      <c r="AC12" s="49"/>
      <c r="AD12" s="49"/>
      <c r="AE12" s="49"/>
      <c r="AF12" s="49"/>
      <c r="AG12" s="49"/>
      <c r="AH12" s="49"/>
      <c r="AI12" s="49"/>
      <c r="AJ12" s="50"/>
      <c r="AK12" s="49"/>
    </row>
    <row r="13" spans="1:38" ht="13.2" hidden="1" thickTop="1" thickBot="1" x14ac:dyDescent="0.3">
      <c r="B13" s="2"/>
      <c r="C13" s="31" t="s">
        <v>199</v>
      </c>
      <c r="D13" s="30" t="s">
        <v>198</v>
      </c>
      <c r="E13" s="30" t="s">
        <v>197</v>
      </c>
      <c r="F13" s="30" t="s">
        <v>196</v>
      </c>
      <c r="G13" s="30" t="s">
        <v>195</v>
      </c>
      <c r="H13" s="30" t="s">
        <v>194</v>
      </c>
      <c r="I13" s="30" t="s">
        <v>193</v>
      </c>
      <c r="J13" s="30" t="s">
        <v>192</v>
      </c>
      <c r="K13" s="30" t="s">
        <v>191</v>
      </c>
      <c r="L13" s="30" t="s">
        <v>190</v>
      </c>
      <c r="M13" s="30" t="s">
        <v>189</v>
      </c>
      <c r="N13" s="30" t="s">
        <v>188</v>
      </c>
      <c r="O13" s="30" t="s">
        <v>187</v>
      </c>
      <c r="P13" s="30" t="s">
        <v>186</v>
      </c>
      <c r="Q13" s="30" t="s">
        <v>185</v>
      </c>
      <c r="R13" s="30" t="s">
        <v>184</v>
      </c>
      <c r="S13" s="30" t="s">
        <v>183</v>
      </c>
      <c r="T13" s="30" t="s">
        <v>182</v>
      </c>
      <c r="U13" s="30" t="s">
        <v>181</v>
      </c>
      <c r="V13" s="30" t="s">
        <v>180</v>
      </c>
      <c r="W13" s="30" t="s">
        <v>179</v>
      </c>
      <c r="X13" s="30" t="s">
        <v>178</v>
      </c>
      <c r="Y13" s="30" t="s">
        <v>177</v>
      </c>
      <c r="Z13" s="30" t="s">
        <v>176</v>
      </c>
      <c r="AA13" s="30" t="s">
        <v>175</v>
      </c>
      <c r="AB13" s="30" t="s">
        <v>174</v>
      </c>
      <c r="AC13" s="30" t="s">
        <v>173</v>
      </c>
      <c r="AD13" s="30" t="s">
        <v>172</v>
      </c>
      <c r="AE13" s="30" t="s">
        <v>171</v>
      </c>
      <c r="AF13" s="30" t="s">
        <v>170</v>
      </c>
      <c r="AG13" s="30" t="s">
        <v>169</v>
      </c>
      <c r="AH13" s="30" t="s">
        <v>168</v>
      </c>
      <c r="AI13" s="30" t="s">
        <v>167</v>
      </c>
      <c r="AJ13" s="29" t="s">
        <v>166</v>
      </c>
      <c r="AK13" s="49"/>
    </row>
    <row r="14" spans="1:38" ht="19.5" customHeight="1" thickTop="1" thickBot="1" x14ac:dyDescent="0.3">
      <c r="B14" s="49"/>
      <c r="C14" s="61" t="s">
        <v>206</v>
      </c>
      <c r="D14" s="60"/>
      <c r="E14" s="88">
        <f>SUMIFS(tabela_registros[VALOR],tabela_registros[MÊS],$AE$1,tabela_registros[DIA],abrtotal305971[[#Headers],[1]],tabela_registros[REGISTRO],DADOS!$N$3)</f>
        <v>152</v>
      </c>
      <c r="F14" s="88">
        <f>SUMIFS(tabela_registros[VALOR],tabela_registros[MÊS],$AE$1,tabela_registros[DIA],abrtotal305971[[#Headers],[2]],tabela_registros[REGISTRO],DADOS!$N$3)</f>
        <v>158</v>
      </c>
      <c r="G14" s="88">
        <f>SUMIFS(tabela_registros[VALOR],tabela_registros[MÊS],$AE$1,tabela_registros[DIA],abrtotal305971[[#Headers],[3]],tabela_registros[REGISTRO],DADOS!$N$3)</f>
        <v>0</v>
      </c>
      <c r="H14" s="88">
        <f>SUMIFS(tabela_registros[VALOR],tabela_registros[MÊS],$AE$1,tabela_registros[DIA],abrtotal305971[[#Headers],[4]],tabela_registros[REGISTRO],DADOS!$N$3)</f>
        <v>0</v>
      </c>
      <c r="I14" s="88">
        <f>SUMIFS(tabela_registros[VALOR],tabela_registros[MÊS],$AE$1,tabela_registros[DIA],abrtotal305971[[#Headers],[5]],tabela_registros[REGISTRO],DADOS!$N$3)</f>
        <v>0</v>
      </c>
      <c r="J14" s="88">
        <f>SUMIFS(tabela_registros[VALOR],tabela_registros[MÊS],$AE$1,tabela_registros[DIA],abrtotal305971[[#Headers],[6]],tabela_registros[REGISTRO],DADOS!$N$3)</f>
        <v>0</v>
      </c>
      <c r="K14" s="88">
        <f>SUMIFS(tabela_registros[VALOR],tabela_registros[MÊS],$AE$1,tabela_registros[DIA],abrtotal305971[[#Headers],[7]],tabela_registros[REGISTRO],DADOS!$N$3)</f>
        <v>0</v>
      </c>
      <c r="L14" s="88">
        <f>SUMIFS(tabela_registros[VALOR],tabela_registros[MÊS],$AE$1,tabela_registros[DIA],abrtotal305971[[#Headers],[8]],tabela_registros[REGISTRO],DADOS!$N$3)</f>
        <v>0</v>
      </c>
      <c r="M14" s="88">
        <f>SUMIFS(tabela_registros[VALOR],tabela_registros[MÊS],$AE$1,tabela_registros[DIA],abrtotal305971[[#Headers],[9]],tabela_registros[REGISTRO],DADOS!$N$3)</f>
        <v>0</v>
      </c>
      <c r="N14" s="88">
        <f>SUMIFS(tabela_registros[VALOR],tabela_registros[MÊS],$AE$1,tabela_registros[DIA],abrtotal305971[[#Headers],[10]],tabela_registros[REGISTRO],DADOS!$N$3)</f>
        <v>0</v>
      </c>
      <c r="O14" s="88">
        <f>SUMIFS(tabela_registros[VALOR],tabela_registros[MÊS],$AE$1,tabela_registros[DIA],abrtotal305971[[#Headers],[11]],tabela_registros[REGISTRO],DADOS!$N$3)</f>
        <v>0</v>
      </c>
      <c r="P14" s="88">
        <f>SUMIFS(tabela_registros[VALOR],tabela_registros[MÊS],$AE$1,tabela_registros[DIA],abrtotal305971[[#Headers],[12]],tabela_registros[REGISTRO],DADOS!$N$3)</f>
        <v>0</v>
      </c>
      <c r="Q14" s="88">
        <f>SUMIFS(tabela_registros[VALOR],tabela_registros[MÊS],$AE$1,tabela_registros[DIA],abrtotal305971[[#Headers],[13]],tabela_registros[REGISTRO],DADOS!$N$3)</f>
        <v>0</v>
      </c>
      <c r="R14" s="88">
        <f>SUMIFS(tabela_registros[VALOR],tabela_registros[MÊS],$AE$1,tabela_registros[DIA],abrtotal305971[[#Headers],[14]],tabela_registros[REGISTRO],DADOS!$N$3)</f>
        <v>0</v>
      </c>
      <c r="S14" s="88">
        <f>SUMIFS(tabela_registros[VALOR],tabela_registros[MÊS],$AE$1,tabela_registros[DIA],abrtotal305971[[#Headers],[15]],tabela_registros[REGISTRO],DADOS!$N$3)</f>
        <v>0</v>
      </c>
      <c r="T14" s="88">
        <f>SUMIFS(tabela_registros[VALOR],tabela_registros[MÊS],$AE$1,tabela_registros[DIA],abrtotal305971[[#Headers],[16]],tabela_registros[REGISTRO],DADOS!$N$3)</f>
        <v>0</v>
      </c>
      <c r="U14" s="88">
        <f>SUMIFS(tabela_registros[VALOR],tabela_registros[MÊS],$AE$1,tabela_registros[DIA],abrtotal305971[[#Headers],[17]],tabela_registros[REGISTRO],DADOS!$N$3)</f>
        <v>0</v>
      </c>
      <c r="V14" s="88">
        <f>SUMIFS(tabela_registros[VALOR],tabela_registros[MÊS],$AE$1,tabela_registros[DIA],abrtotal305971[[#Headers],[18]],tabela_registros[REGISTRO],DADOS!$N$3)</f>
        <v>0</v>
      </c>
      <c r="W14" s="88">
        <f>SUMIFS(tabela_registros[VALOR],tabela_registros[MÊS],$AE$1,tabela_registros[DIA],abrtotal305971[[#Headers],[19]],tabela_registros[REGISTRO],DADOS!$N$3)</f>
        <v>0</v>
      </c>
      <c r="X14" s="88">
        <f>SUMIFS(tabela_registros[VALOR],tabela_registros[MÊS],$AE$1,tabela_registros[DIA],abrtotal305971[[#Headers],[20]],tabela_registros[REGISTRO],DADOS!$N$3)</f>
        <v>0</v>
      </c>
      <c r="Y14" s="88">
        <f>SUMIFS(tabela_registros[VALOR],tabela_registros[MÊS],$AE$1,tabela_registros[DIA],abrtotal305971[[#Headers],[21]],tabela_registros[REGISTRO],DADOS!$N$3)</f>
        <v>0</v>
      </c>
      <c r="Z14" s="88">
        <f>SUMIFS(tabela_registros[VALOR],tabela_registros[MÊS],$AE$1,tabela_registros[DIA],abrtotal305971[[#Headers],[22]],tabela_registros[REGISTRO],DADOS!$N$3)</f>
        <v>0</v>
      </c>
      <c r="AA14" s="88">
        <f>SUMIFS(tabela_registros[VALOR],tabela_registros[MÊS],$AE$1,tabela_registros[DIA],abrtotal305971[[#Headers],[23]],tabela_registros[REGISTRO],DADOS!$N$3)</f>
        <v>0</v>
      </c>
      <c r="AB14" s="88">
        <f>SUMIFS(tabela_registros[VALOR],tabela_registros[MÊS],$AE$1,tabela_registros[DIA],abrtotal305971[[#Headers],[24]],tabela_registros[REGISTRO],DADOS!$N$3)</f>
        <v>0</v>
      </c>
      <c r="AC14" s="88">
        <f>SUMIFS(tabela_registros[VALOR],tabela_registros[MÊS],$AE$1,tabela_registros[DIA],abrtotal305971[[#Headers],[25]],tabela_registros[REGISTRO],DADOS!$N$3)</f>
        <v>0</v>
      </c>
      <c r="AD14" s="88">
        <f>SUMIFS(tabela_registros[VALOR],tabela_registros[MÊS],$AE$1,tabela_registros[DIA],abrtotal305971[[#Headers],[26]],tabela_registros[REGISTRO],DADOS!$N$3)</f>
        <v>0</v>
      </c>
      <c r="AE14" s="88">
        <f>SUMIFS(tabela_registros[VALOR],tabela_registros[MÊS],$AE$1,tabela_registros[DIA],abrtotal305971[[#Headers],[27]],tabela_registros[REGISTRO],DADOS!$N$3)</f>
        <v>0</v>
      </c>
      <c r="AF14" s="88">
        <f>SUMIFS(tabela_registros[VALOR],tabela_registros[MÊS],$AE$1,tabela_registros[DIA],abrtotal305971[[#Headers],[28]],tabela_registros[REGISTRO],DADOS!$N$3)</f>
        <v>0</v>
      </c>
      <c r="AG14" s="88">
        <f>SUMIFS(tabela_registros[VALOR],tabela_registros[MÊS],$AE$1,tabela_registros[DIA],abrtotal305971[[#Headers],[29]],tabela_registros[REGISTRO],DADOS!$N$3)</f>
        <v>0</v>
      </c>
      <c r="AH14" s="89">
        <f>SUMIFS(tabela_registros[VALOR],tabela_registros[MÊS],$AE$1,tabela_registros[DIA],abrtotal305971[[#Headers],[30]],tabela_registros[REGISTRO],DADOS!$N$3)</f>
        <v>0</v>
      </c>
      <c r="AI14" s="90">
        <f>SUMIFS(tabela_registros[VALOR],tabela_registros[MÊS],$AE$1,tabela_registros[DIA],abrtotal305971[[#Headers],[31]],tabela_registros[REGISTRO],DADOS!$N$3)</f>
        <v>0</v>
      </c>
      <c r="AJ14" s="90">
        <f>SUM(abrtotal305971[[#This Row],[1]:[31]])</f>
        <v>310</v>
      </c>
      <c r="AK14" s="49"/>
    </row>
    <row r="15" spans="1:38" ht="18" customHeight="1" thickTop="1" thickBot="1" x14ac:dyDescent="0.3">
      <c r="B15" s="49"/>
      <c r="C15" s="61" t="s">
        <v>205</v>
      </c>
      <c r="D15" s="60"/>
      <c r="E15" s="91">
        <f>SUMIFS(tabela_registros[VALOR],tabela_registros[MÊS],$AE$1,tabela_registros[DIA],abrtotal305971[[#Headers],[1]],tabela_registros[REGISTRO],DADOS!$N$4)</f>
        <v>0</v>
      </c>
      <c r="F15" s="91">
        <f>SUMIFS(tabela_registros[VALOR],tabela_registros[MÊS],$AE$1,tabela_registros[DIA],abrtotal305971[[#Headers],[2]],tabela_registros[REGISTRO],DADOS!$N$4)</f>
        <v>0</v>
      </c>
      <c r="G15" s="91">
        <f>SUMIFS(tabela_registros[VALOR],tabela_registros[MÊS],$AE$1,tabela_registros[DIA],abrtotal305971[[#Headers],[3]],tabela_registros[REGISTRO],DADOS!$N$4)</f>
        <v>450</v>
      </c>
      <c r="H15" s="91">
        <f>SUMIFS(tabela_registros[VALOR],tabela_registros[MÊS],$AE$1,tabela_registros[DIA],abrtotal305971[[#Headers],[4]],tabela_registros[REGISTRO],DADOS!$N$4)</f>
        <v>0</v>
      </c>
      <c r="I15" s="91">
        <f>SUMIFS(tabela_registros[VALOR],tabela_registros[MÊS],$AE$1,tabela_registros[DIA],abrtotal305971[[#Headers],[5]],tabela_registros[REGISTRO],DADOS!$N$4)</f>
        <v>0</v>
      </c>
      <c r="J15" s="91">
        <f>SUMIFS(tabela_registros[VALOR],tabela_registros[MÊS],$AE$1,tabela_registros[DIA],abrtotal305971[[#Headers],[6]],tabela_registros[REGISTRO],DADOS!$N$4)</f>
        <v>0</v>
      </c>
      <c r="K15" s="91">
        <f>SUMIFS(tabela_registros[VALOR],tabela_registros[MÊS],$AE$1,tabela_registros[DIA],abrtotal305971[[#Headers],[7]],tabela_registros[REGISTRO],DADOS!$N$4)</f>
        <v>0</v>
      </c>
      <c r="L15" s="91">
        <f>SUMIFS(tabela_registros[VALOR],tabela_registros[MÊS],$AE$1,tabela_registros[DIA],abrtotal305971[[#Headers],[8]],tabela_registros[REGISTRO],DADOS!$N$4)</f>
        <v>0</v>
      </c>
      <c r="M15" s="91">
        <f>SUMIFS(tabela_registros[VALOR],tabela_registros[MÊS],$AE$1,tabela_registros[DIA],abrtotal305971[[#Headers],[9]],tabela_registros[REGISTRO],DADOS!$N$4)</f>
        <v>0</v>
      </c>
      <c r="N15" s="91">
        <f>SUMIFS(tabela_registros[VALOR],tabela_registros[MÊS],$AE$1,tabela_registros[DIA],abrtotal305971[[#Headers],[10]],tabela_registros[REGISTRO],DADOS!$N$4)</f>
        <v>0</v>
      </c>
      <c r="O15" s="91">
        <f>SUMIFS(tabela_registros[VALOR],tabela_registros[MÊS],$AE$1,tabela_registros[DIA],abrtotal305971[[#Headers],[11]],tabela_registros[REGISTRO],DADOS!$N$4)</f>
        <v>0</v>
      </c>
      <c r="P15" s="91">
        <f>SUMIFS(tabela_registros[VALOR],tabela_registros[MÊS],$AE$1,tabela_registros[DIA],abrtotal305971[[#Headers],[12]],tabela_registros[REGISTRO],DADOS!$N$4)</f>
        <v>125</v>
      </c>
      <c r="Q15" s="91">
        <f>SUMIFS(tabela_registros[VALOR],tabela_registros[MÊS],$AE$1,tabela_registros[DIA],abrtotal305971[[#Headers],[13]],tabela_registros[REGISTRO],DADOS!$N$4)</f>
        <v>0</v>
      </c>
      <c r="R15" s="91">
        <f>SUMIFS(tabela_registros[VALOR],tabela_registros[MÊS],$AE$1,tabela_registros[DIA],abrtotal305971[[#Headers],[14]],tabela_registros[REGISTRO],DADOS!$N$4)</f>
        <v>0</v>
      </c>
      <c r="S15" s="91">
        <f>SUMIFS(tabela_registros[VALOR],tabela_registros[MÊS],$AE$1,tabela_registros[DIA],abrtotal305971[[#Headers],[15]],tabela_registros[REGISTRO],DADOS!$N$4)</f>
        <v>0</v>
      </c>
      <c r="T15" s="91">
        <f>SUMIFS(tabela_registros[VALOR],tabela_registros[MÊS],$AE$1,tabela_registros[DIA],abrtotal305971[[#Headers],[16]],tabela_registros[REGISTRO],DADOS!$N$4)</f>
        <v>0</v>
      </c>
      <c r="U15" s="91">
        <f>SUMIFS(tabela_registros[VALOR],tabela_registros[MÊS],$AE$1,tabela_registros[DIA],abrtotal305971[[#Headers],[17]],tabela_registros[REGISTRO],DADOS!$N$4)</f>
        <v>0</v>
      </c>
      <c r="V15" s="91">
        <f>SUMIFS(tabela_registros[VALOR],tabela_registros[MÊS],$AE$1,tabela_registros[DIA],abrtotal305971[[#Headers],[18]],tabela_registros[REGISTRO],DADOS!$N$4)</f>
        <v>0</v>
      </c>
      <c r="W15" s="91">
        <f>SUMIFS(tabela_registros[VALOR],tabela_registros[MÊS],$AE$1,tabela_registros[DIA],abrtotal305971[[#Headers],[19]],tabela_registros[REGISTRO],DADOS!$N$4)</f>
        <v>0</v>
      </c>
      <c r="X15" s="91">
        <f>SUMIFS(tabela_registros[VALOR],tabela_registros[MÊS],$AE$1,tabela_registros[DIA],abrtotal305971[[#Headers],[20]],tabela_registros[REGISTRO],DADOS!$N$4)</f>
        <v>0</v>
      </c>
      <c r="Y15" s="91">
        <f>SUMIFS(tabela_registros[VALOR],tabela_registros[MÊS],$AE$1,tabela_registros[DIA],abrtotal305971[[#Headers],[21]],tabela_registros[REGISTRO],DADOS!$N$4)</f>
        <v>0</v>
      </c>
      <c r="Z15" s="91">
        <f>SUMIFS(tabela_registros[VALOR],tabela_registros[MÊS],$AE$1,tabela_registros[DIA],abrtotal305971[[#Headers],[22]],tabela_registros[REGISTRO],DADOS!$N$4)</f>
        <v>0</v>
      </c>
      <c r="AA15" s="91">
        <f>SUMIFS(tabela_registros[VALOR],tabela_registros[MÊS],$AE$1,tabela_registros[DIA],abrtotal305971[[#Headers],[23]],tabela_registros[REGISTRO],DADOS!$N$4)</f>
        <v>0</v>
      </c>
      <c r="AB15" s="91">
        <f>SUMIFS(tabela_registros[VALOR],tabela_registros[MÊS],$AE$1,tabela_registros[DIA],abrtotal305971[[#Headers],[24]],tabela_registros[REGISTRO],DADOS!$N$4)</f>
        <v>0</v>
      </c>
      <c r="AC15" s="91">
        <f>SUMIFS(tabela_registros[VALOR],tabela_registros[MÊS],$AE$1,tabela_registros[DIA],abrtotal305971[[#Headers],[25]],tabela_registros[REGISTRO],DADOS!$N$4)</f>
        <v>0</v>
      </c>
      <c r="AD15" s="91">
        <f>SUMIFS(tabela_registros[VALOR],tabela_registros[MÊS],$AE$1,tabela_registros[DIA],abrtotal305971[[#Headers],[26]],tabela_registros[REGISTRO],DADOS!$N$4)</f>
        <v>0</v>
      </c>
      <c r="AE15" s="91">
        <f>SUMIFS(tabela_registros[VALOR],tabela_registros[MÊS],$AE$1,tabela_registros[DIA],abrtotal305971[[#Headers],[27]],tabela_registros[REGISTRO],DADOS!$N$4)</f>
        <v>0</v>
      </c>
      <c r="AF15" s="91">
        <f>SUMIFS(tabela_registros[VALOR],tabela_registros[MÊS],$AE$1,tabela_registros[DIA],abrtotal305971[[#Headers],[28]],tabela_registros[REGISTRO],DADOS!$N$4)</f>
        <v>0</v>
      </c>
      <c r="AG15" s="91">
        <f>SUMIFS(tabela_registros[VALOR],tabela_registros[MÊS],$AE$1,tabela_registros[DIA],abrtotal305971[[#Headers],[29]],tabela_registros[REGISTRO],DADOS!$N$4)</f>
        <v>0</v>
      </c>
      <c r="AH15" s="92">
        <f>SUMIFS(tabela_registros[VALOR],tabela_registros[MÊS],$AE$1,tabela_registros[DIA],abrtotal305971[[#Headers],[30]],tabela_registros[REGISTRO],DADOS!$N$4)</f>
        <v>0</v>
      </c>
      <c r="AI15" s="93">
        <f>SUMIFS(tabela_registros[VALOR],tabela_registros[MÊS],$AE$1,tabela_registros[DIA],abrtotal305971[[#Headers],[31]],tabela_registros[REGISTRO],DADOS!$N$4)</f>
        <v>0</v>
      </c>
      <c r="AJ15" s="93">
        <f>SUM(abrtotal305971[[#This Row],[1]:[31]])</f>
        <v>575</v>
      </c>
      <c r="AK15" s="49"/>
    </row>
    <row r="16" spans="1:38" s="16" customFormat="1" ht="21" customHeight="1" thickTop="1" thickBot="1" x14ac:dyDescent="0.35">
      <c r="B16" s="52"/>
      <c r="C16" s="57" t="s">
        <v>204</v>
      </c>
      <c r="D16" s="63"/>
      <c r="E16" s="55">
        <f>(E14-E15)+AI1</f>
        <v>152</v>
      </c>
      <c r="F16" s="54">
        <f>abrtotal305971[[#This Row],[1]]+(F14-F15)</f>
        <v>310</v>
      </c>
      <c r="G16" s="54">
        <f>abrtotal305971[[#This Row],[2]]+(G14-G15)</f>
        <v>-140</v>
      </c>
      <c r="H16" s="54">
        <f>abrtotal305971[[#This Row],[3]]+(H14-H15)</f>
        <v>-140</v>
      </c>
      <c r="I16" s="54">
        <f>abrtotal305971[[#This Row],[4]]+(I14-I15)</f>
        <v>-140</v>
      </c>
      <c r="J16" s="54">
        <f>abrtotal305971[[#This Row],[5]]+(J14-J15)</f>
        <v>-140</v>
      </c>
      <c r="K16" s="54">
        <f>abrtotal305971[[#This Row],[6]]+(K14-K15)</f>
        <v>-140</v>
      </c>
      <c r="L16" s="54">
        <f>abrtotal305971[[#This Row],[7]]+(L14-L15)</f>
        <v>-140</v>
      </c>
      <c r="M16" s="54">
        <f>abrtotal305971[[#This Row],[8]]+(M14-M15)</f>
        <v>-140</v>
      </c>
      <c r="N16" s="54">
        <f>abrtotal305971[[#This Row],[9]]+(N14-N15)</f>
        <v>-140</v>
      </c>
      <c r="O16" s="54">
        <f>abrtotal305971[[#This Row],[10]]+(O14-O15)</f>
        <v>-140</v>
      </c>
      <c r="P16" s="54">
        <f>abrtotal305971[[#This Row],[11]]+(P14-P15)</f>
        <v>-265</v>
      </c>
      <c r="Q16" s="54">
        <f>abrtotal305971[[#This Row],[12]]+(Q14-Q15)</f>
        <v>-265</v>
      </c>
      <c r="R16" s="54">
        <f>abrtotal305971[[#This Row],[13]]+(R14-R15)</f>
        <v>-265</v>
      </c>
      <c r="S16" s="54">
        <f>abrtotal305971[[#This Row],[14]]+(S14-S15)</f>
        <v>-265</v>
      </c>
      <c r="T16" s="54">
        <f>abrtotal305971[[#This Row],[15]]+(T14-T15)</f>
        <v>-265</v>
      </c>
      <c r="U16" s="54">
        <f>abrtotal305971[[#This Row],[16]]+(U14-U15)</f>
        <v>-265</v>
      </c>
      <c r="V16" s="54">
        <f>abrtotal305971[[#This Row],[17]]+(V14-V15)</f>
        <v>-265</v>
      </c>
      <c r="W16" s="54">
        <f>abrtotal305971[[#This Row],[18]]+(W14-W15)</f>
        <v>-265</v>
      </c>
      <c r="X16" s="54">
        <f>abrtotal305971[[#This Row],[19]]+(X14-X15)</f>
        <v>-265</v>
      </c>
      <c r="Y16" s="54">
        <f>abrtotal305971[[#This Row],[20]]+(Y14-Y15)</f>
        <v>-265</v>
      </c>
      <c r="Z16" s="54">
        <f>abrtotal305971[[#This Row],[21]]+(Z14-Z15)</f>
        <v>-265</v>
      </c>
      <c r="AA16" s="54">
        <f>abrtotal305971[[#This Row],[22]]+(AA14-AA15)</f>
        <v>-265</v>
      </c>
      <c r="AB16" s="54">
        <f>abrtotal305971[[#This Row],[23]]+(AB14-AB15)</f>
        <v>-265</v>
      </c>
      <c r="AC16" s="54">
        <f>abrtotal305971[[#This Row],[24]]+(AC14-AC15)</f>
        <v>-265</v>
      </c>
      <c r="AD16" s="54">
        <f>abrtotal305971[[#This Row],[25]]+(AD14-AD15)</f>
        <v>-265</v>
      </c>
      <c r="AE16" s="54">
        <f>abrtotal305971[[#This Row],[26]]+(AE14-AE15)</f>
        <v>-265</v>
      </c>
      <c r="AF16" s="54">
        <f>abrtotal305971[[#This Row],[27]]+(AF14-AF15)</f>
        <v>-265</v>
      </c>
      <c r="AG16" s="54">
        <f>abrtotal305971[[#This Row],[28]]+(AG14-AG15)</f>
        <v>-265</v>
      </c>
      <c r="AH16" s="62">
        <f>abrtotal305971[[#This Row],[29]]+(AH14-AH15)</f>
        <v>-265</v>
      </c>
      <c r="AI16" s="53">
        <f>abrtotal305971[[#This Row],[30]]+(AI14-AI15)</f>
        <v>-265</v>
      </c>
      <c r="AJ16" s="53">
        <f>abrtotal305971[[#This Row],[31]]</f>
        <v>-265</v>
      </c>
      <c r="AK16" s="52"/>
    </row>
    <row r="17" spans="1:37" ht="6.75" customHeight="1" thickTop="1" thickBot="1" x14ac:dyDescent="0.3">
      <c r="B17" s="49"/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49"/>
      <c r="X17" s="49"/>
      <c r="Y17" s="49"/>
      <c r="Z17" s="49"/>
      <c r="AA17" s="49"/>
      <c r="AB17" s="49"/>
      <c r="AC17" s="49"/>
      <c r="AD17" s="49"/>
      <c r="AE17" s="49"/>
      <c r="AF17" s="49"/>
      <c r="AG17" s="49"/>
      <c r="AH17" s="49"/>
      <c r="AI17" s="50"/>
      <c r="AJ17" s="49"/>
      <c r="AK17" s="49"/>
    </row>
    <row r="18" spans="1:37" ht="12.6" thickTop="1" x14ac:dyDescent="0.25">
      <c r="C18" s="46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  <c r="AH18" s="47"/>
      <c r="AI18" s="47"/>
    </row>
    <row r="19" spans="1:37" x14ac:dyDescent="0.25">
      <c r="C19" s="46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  <c r="AA19" s="47"/>
      <c r="AB19" s="47"/>
      <c r="AC19" s="47"/>
      <c r="AD19" s="47"/>
      <c r="AE19" s="47"/>
      <c r="AF19" s="47"/>
      <c r="AG19" s="47"/>
      <c r="AH19" s="47"/>
      <c r="AI19" s="47"/>
    </row>
    <row r="20" spans="1:37" x14ac:dyDescent="0.25">
      <c r="A20" s="46"/>
      <c r="B20" s="46"/>
      <c r="C20" s="46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  <c r="AA20" s="47"/>
      <c r="AB20" s="47"/>
      <c r="AC20" s="47"/>
      <c r="AD20" s="47"/>
      <c r="AE20" s="47"/>
      <c r="AF20" s="47"/>
      <c r="AG20" s="47"/>
      <c r="AH20" s="47"/>
      <c r="AI20" s="47"/>
    </row>
    <row r="21" spans="1:37" ht="39.75" customHeight="1" x14ac:dyDescent="0.25">
      <c r="A21" s="46"/>
      <c r="B21" s="46"/>
      <c r="C21" s="46"/>
      <c r="E21" s="240"/>
      <c r="F21" s="240"/>
      <c r="G21" s="240"/>
      <c r="H21" s="240"/>
      <c r="I21" s="240"/>
      <c r="J21" s="240"/>
      <c r="K21" s="240"/>
      <c r="L21" s="240"/>
      <c r="M21" s="240"/>
      <c r="N21" s="240"/>
      <c r="O21" s="240"/>
      <c r="P21" s="240"/>
      <c r="Q21" s="240"/>
      <c r="R21" s="240"/>
      <c r="S21" s="240"/>
      <c r="T21" s="240"/>
      <c r="U21" s="240"/>
      <c r="V21" s="240"/>
      <c r="W21" s="240"/>
      <c r="X21" s="240"/>
      <c r="Y21" s="240"/>
      <c r="Z21" s="240"/>
      <c r="AA21" s="240"/>
      <c r="AB21" s="240"/>
      <c r="AC21" s="240"/>
      <c r="AD21" s="240"/>
      <c r="AE21" s="240"/>
      <c r="AF21" s="240"/>
      <c r="AG21" s="240"/>
      <c r="AH21" s="240"/>
      <c r="AI21" s="240"/>
      <c r="AJ21" s="32" t="s">
        <v>19</v>
      </c>
    </row>
    <row r="22" spans="1:37" ht="11.25" customHeight="1" thickBot="1" x14ac:dyDescent="0.75">
      <c r="C22" s="36"/>
      <c r="AI22" s="4"/>
      <c r="AJ22" s="34" t="s">
        <v>202</v>
      </c>
    </row>
    <row r="23" spans="1:37" ht="6.75" customHeight="1" thickTop="1" thickBot="1" x14ac:dyDescent="0.3">
      <c r="B23" s="49"/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49"/>
      <c r="X23" s="49"/>
      <c r="Y23" s="49"/>
      <c r="Z23" s="49"/>
      <c r="AA23" s="49"/>
      <c r="AB23" s="49"/>
      <c r="AC23" s="49"/>
      <c r="AD23" s="49"/>
      <c r="AE23" s="49"/>
      <c r="AF23" s="49"/>
      <c r="AG23" s="49"/>
      <c r="AH23" s="49"/>
      <c r="AI23" s="49"/>
      <c r="AJ23" s="50"/>
      <c r="AK23" s="49"/>
    </row>
    <row r="24" spans="1:37" ht="13.2" hidden="1" thickTop="1" thickBot="1" x14ac:dyDescent="0.3">
      <c r="B24" s="2"/>
      <c r="C24" s="30" t="s">
        <v>199</v>
      </c>
      <c r="D24" s="49" t="s">
        <v>198</v>
      </c>
      <c r="E24" s="30" t="s">
        <v>197</v>
      </c>
      <c r="F24" s="30" t="s">
        <v>196</v>
      </c>
      <c r="G24" s="30" t="s">
        <v>195</v>
      </c>
      <c r="H24" s="30" t="s">
        <v>194</v>
      </c>
      <c r="I24" s="30" t="s">
        <v>193</v>
      </c>
      <c r="J24" s="30" t="s">
        <v>192</v>
      </c>
      <c r="K24" s="30" t="s">
        <v>191</v>
      </c>
      <c r="L24" s="30" t="s">
        <v>190</v>
      </c>
      <c r="M24" s="30" t="s">
        <v>189</v>
      </c>
      <c r="N24" s="30" t="s">
        <v>188</v>
      </c>
      <c r="O24" s="30" t="s">
        <v>187</v>
      </c>
      <c r="P24" s="30" t="s">
        <v>186</v>
      </c>
      <c r="Q24" s="30" t="s">
        <v>185</v>
      </c>
      <c r="R24" s="30" t="s">
        <v>184</v>
      </c>
      <c r="S24" s="30" t="s">
        <v>183</v>
      </c>
      <c r="T24" s="30" t="s">
        <v>182</v>
      </c>
      <c r="U24" s="30" t="s">
        <v>181</v>
      </c>
      <c r="V24" s="30" t="s">
        <v>180</v>
      </c>
      <c r="W24" s="30" t="s">
        <v>179</v>
      </c>
      <c r="X24" s="30" t="s">
        <v>178</v>
      </c>
      <c r="Y24" s="30" t="s">
        <v>177</v>
      </c>
      <c r="Z24" s="30" t="s">
        <v>176</v>
      </c>
      <c r="AA24" s="30" t="s">
        <v>175</v>
      </c>
      <c r="AB24" s="30" t="s">
        <v>174</v>
      </c>
      <c r="AC24" s="30" t="s">
        <v>173</v>
      </c>
      <c r="AD24" s="30" t="s">
        <v>172</v>
      </c>
      <c r="AE24" s="30" t="s">
        <v>171</v>
      </c>
      <c r="AF24" s="30" t="s">
        <v>170</v>
      </c>
      <c r="AG24" s="30" t="s">
        <v>169</v>
      </c>
      <c r="AH24" s="30" t="s">
        <v>168</v>
      </c>
      <c r="AI24" s="30" t="s">
        <v>167</v>
      </c>
      <c r="AJ24" s="29" t="s">
        <v>166</v>
      </c>
      <c r="AK24" s="49"/>
    </row>
    <row r="25" spans="1:37" ht="19.5" customHeight="1" thickTop="1" thickBot="1" x14ac:dyDescent="0.3">
      <c r="B25" s="49"/>
      <c r="C25" s="61" t="s">
        <v>7</v>
      </c>
      <c r="D25" s="60"/>
      <c r="E25" s="88">
        <f>SUMIFS(tabela_registros[VALOR],tabela_registros[MÊS],$AE$1,tabela_registros[DIA],abrtotal305971[[#Headers],[1]],tabela_registros[REGISTRO],DADOS!$N$5)</f>
        <v>0</v>
      </c>
      <c r="F25" s="88">
        <f>SUMIFS(tabela_registros[VALOR],tabela_registros[MÊS],$AE$1,tabela_registros[DIA],abrtotal305971[[#Headers],[2]],tabela_registros[REGISTRO],DADOS!$N$5)</f>
        <v>0</v>
      </c>
      <c r="G25" s="88">
        <f>SUMIFS(tabela_registros[VALOR],tabela_registros[MÊS],$AE$1,tabela_registros[DIA],abrtotal305971[[#Headers],[3]],tabela_registros[REGISTRO],DADOS!$N$5)</f>
        <v>0</v>
      </c>
      <c r="H25" s="88">
        <f>SUMIFS(tabela_registros[VALOR],tabela_registros[MÊS],$AE$1,tabela_registros[DIA],abrtotal305971[[#Headers],[4]],tabela_registros[REGISTRO],DADOS!$N$5)</f>
        <v>0</v>
      </c>
      <c r="I25" s="88">
        <f>SUMIFS(tabela_registros[VALOR],tabela_registros[MÊS],$AE$1,tabela_registros[DIA],abrtotal305971[[#Headers],[5]],tabela_registros[REGISTRO],DADOS!$N$5)</f>
        <v>0</v>
      </c>
      <c r="J25" s="88">
        <f>SUMIFS(tabela_registros[VALOR],tabela_registros[MÊS],$AE$1,tabela_registros[DIA],abrtotal305971[[#Headers],[6]],tabela_registros[REGISTRO],DADOS!$N$5)</f>
        <v>0</v>
      </c>
      <c r="K25" s="88">
        <f>SUMIFS(tabela_registros[VALOR],tabela_registros[MÊS],$AE$1,tabela_registros[DIA],abrtotal305971[[#Headers],[7]],tabela_registros[REGISTRO],DADOS!$N$5)</f>
        <v>0</v>
      </c>
      <c r="L25" s="88">
        <f>SUMIFS(tabela_registros[VALOR],tabela_registros[MÊS],$AE$1,tabela_registros[DIA],abrtotal305971[[#Headers],[8]],tabela_registros[REGISTRO],DADOS!$N$5)</f>
        <v>0</v>
      </c>
      <c r="M25" s="88">
        <f>SUMIFS(tabela_registros[VALOR],tabela_registros[MÊS],$AE$1,tabela_registros[DIA],abrtotal305971[[#Headers],[9]],tabela_registros[REGISTRO],DADOS!$N$5)</f>
        <v>0</v>
      </c>
      <c r="N25" s="88">
        <f>SUMIFS(tabela_registros[VALOR],tabela_registros[MÊS],$AE$1,tabela_registros[DIA],abrtotal305971[[#Headers],[10]],tabela_registros[REGISTRO],DADOS!$N$5)</f>
        <v>0</v>
      </c>
      <c r="O25" s="88">
        <f>SUMIFS(tabela_registros[VALOR],tabela_registros[MÊS],$AE$1,tabela_registros[DIA],abrtotal305971[[#Headers],[11]],tabela_registros[REGISTRO],DADOS!$N$5)</f>
        <v>0</v>
      </c>
      <c r="P25" s="88">
        <f>SUMIFS(tabela_registros[VALOR],tabela_registros[MÊS],$AE$1,tabela_registros[DIA],abrtotal305971[[#Headers],[12]],tabela_registros[REGISTRO],DADOS!$N$5)</f>
        <v>0</v>
      </c>
      <c r="Q25" s="88">
        <f>SUMIFS(tabela_registros[VALOR],tabela_registros[MÊS],$AE$1,tabela_registros[DIA],abrtotal305971[[#Headers],[13]],tabela_registros[REGISTRO],DADOS!$N$5)</f>
        <v>0</v>
      </c>
      <c r="R25" s="88">
        <f>SUMIFS(tabela_registros[VALOR],tabela_registros[MÊS],$AE$1,tabela_registros[DIA],abrtotal305971[[#Headers],[14]],tabela_registros[REGISTRO],DADOS!$N$5)</f>
        <v>0</v>
      </c>
      <c r="S25" s="88">
        <f>SUMIFS(tabela_registros[VALOR],tabela_registros[MÊS],$AE$1,tabela_registros[DIA],abrtotal305971[[#Headers],[15]],tabela_registros[REGISTRO],DADOS!$N$5)</f>
        <v>0</v>
      </c>
      <c r="T25" s="88">
        <f>SUMIFS(tabela_registros[VALOR],tabela_registros[MÊS],$AE$1,tabela_registros[DIA],abrtotal305971[[#Headers],[16]],tabela_registros[REGISTRO],DADOS!$N$5)</f>
        <v>0</v>
      </c>
      <c r="U25" s="88">
        <f>SUMIFS(tabela_registros[VALOR],tabela_registros[MÊS],$AE$1,tabela_registros[DIA],abrtotal305971[[#Headers],[17]],tabela_registros[REGISTRO],DADOS!$N$5)</f>
        <v>0</v>
      </c>
      <c r="V25" s="88">
        <f>SUMIFS(tabela_registros[VALOR],tabela_registros[MÊS],$AE$1,tabela_registros[DIA],abrtotal305971[[#Headers],[18]],tabela_registros[REGISTRO],DADOS!$N$5)</f>
        <v>0</v>
      </c>
      <c r="W25" s="88">
        <f>SUMIFS(tabela_registros[VALOR],tabela_registros[MÊS],$AE$1,tabela_registros[DIA],abrtotal305971[[#Headers],[19]],tabela_registros[REGISTRO],DADOS!$N$5)</f>
        <v>0</v>
      </c>
      <c r="X25" s="88">
        <f>SUMIFS(tabela_registros[VALOR],tabela_registros[MÊS],$AE$1,tabela_registros[DIA],abrtotal305971[[#Headers],[20]],tabela_registros[REGISTRO],DADOS!$N$5)</f>
        <v>0</v>
      </c>
      <c r="Y25" s="88">
        <f>SUMIFS(tabela_registros[VALOR],tabela_registros[MÊS],$AE$1,tabela_registros[DIA],abrtotal305971[[#Headers],[21]],tabela_registros[REGISTRO],DADOS!$N$5)</f>
        <v>0</v>
      </c>
      <c r="Z25" s="88">
        <f>SUMIFS(tabela_registros[VALOR],tabela_registros[MÊS],$AE$1,tabela_registros[DIA],abrtotal305971[[#Headers],[22]],tabela_registros[REGISTRO],DADOS!$N$5)</f>
        <v>0</v>
      </c>
      <c r="AA25" s="88">
        <f>SUMIFS(tabela_registros[VALOR],tabela_registros[MÊS],$AE$1,tabela_registros[DIA],abrtotal305971[[#Headers],[23]],tabela_registros[REGISTRO],DADOS!$N$5)</f>
        <v>0</v>
      </c>
      <c r="AB25" s="88">
        <f>SUMIFS(tabela_registros[VALOR],tabela_registros[MÊS],$AE$1,tabela_registros[DIA],abrtotal305971[[#Headers],[24]],tabela_registros[REGISTRO],DADOS!$N$5)</f>
        <v>0</v>
      </c>
      <c r="AC25" s="88">
        <f>SUMIFS(tabela_registros[VALOR],tabela_registros[MÊS],$AE$1,tabela_registros[DIA],abrtotal305971[[#Headers],[25]],tabela_registros[REGISTRO],DADOS!$N$5)</f>
        <v>0</v>
      </c>
      <c r="AD25" s="88">
        <f>SUMIFS(tabela_registros[VALOR],tabela_registros[MÊS],$AE$1,tabela_registros[DIA],abrtotal305971[[#Headers],[26]],tabela_registros[REGISTRO],DADOS!$N$5)</f>
        <v>0</v>
      </c>
      <c r="AE25" s="88">
        <f>SUMIFS(tabela_registros[VALOR],tabela_registros[MÊS],$AE$1,tabela_registros[DIA],abrtotal305971[[#Headers],[27]],tabela_registros[REGISTRO],DADOS!$N$5)</f>
        <v>0</v>
      </c>
      <c r="AF25" s="88">
        <f>SUMIFS(tabela_registros[VALOR],tabela_registros[MÊS],$AE$1,tabela_registros[DIA],abrtotal305971[[#Headers],[28]],tabela_registros[REGISTRO],DADOS!$N$5)</f>
        <v>0</v>
      </c>
      <c r="AG25" s="88">
        <f>SUMIFS(tabela_registros[VALOR],tabela_registros[MÊS],$AE$1,tabela_registros[DIA],abrtotal305971[[#Headers],[29]],tabela_registros[REGISTRO],DADOS!$N$5)</f>
        <v>0</v>
      </c>
      <c r="AH25" s="89">
        <f>SUMIFS(tabela_registros[VALOR],tabela_registros[MÊS],$AE$1,tabela_registros[DIA],abrtotal305971[[#Headers],[30]],tabela_registros[REGISTRO],DADOS!$N$5)</f>
        <v>0</v>
      </c>
      <c r="AI25" s="90">
        <f>SUMIFS(tabela_registros[VALOR],tabela_registros[MÊS],$AE$1,tabela_registros[DIA],abrtotal305971[[#Headers],[31]],tabela_registros[REGISTRO],DADOS!$N$5)</f>
        <v>0</v>
      </c>
      <c r="AJ25" s="90">
        <f>SUM(E25:AI25)</f>
        <v>0</v>
      </c>
      <c r="AK25" s="49"/>
    </row>
    <row r="26" spans="1:37" ht="18" customHeight="1" thickTop="1" thickBot="1" x14ac:dyDescent="0.3">
      <c r="B26" s="49"/>
      <c r="C26" s="59" t="s">
        <v>8</v>
      </c>
      <c r="D26" s="58"/>
      <c r="E26" s="91">
        <f>SUMIFS(tabela_registros[VALOR],tabela_registros[MÊS],$AE$1,tabela_registros[DIA],abrtotal305971[[#Headers],[1]],tabela_registros[REGISTRO],DADOS!$N$6)</f>
        <v>0</v>
      </c>
      <c r="F26" s="91">
        <f>SUMIFS(tabela_registros[VALOR],tabela_registros[MÊS],$AE$1,tabela_registros[DIA],abrtotal305971[[#Headers],[2]],tabela_registros[REGISTRO],DADOS!$N$6)</f>
        <v>0</v>
      </c>
      <c r="G26" s="91">
        <f>SUMIFS(tabela_registros[VALOR],tabela_registros[MÊS],$AE$1,tabela_registros[DIA],abrtotal305971[[#Headers],[3]],tabela_registros[REGISTRO],DADOS!$N$6)</f>
        <v>0</v>
      </c>
      <c r="H26" s="91">
        <f>SUMIFS(tabela_registros[VALOR],tabela_registros[MÊS],$AE$1,tabela_registros[DIA],abrtotal305971[[#Headers],[4]],tabela_registros[REGISTRO],DADOS!$N$6)</f>
        <v>0</v>
      </c>
      <c r="I26" s="91">
        <f>SUMIFS(tabela_registros[VALOR],tabela_registros[MÊS],$AE$1,tabela_registros[DIA],abrtotal305971[[#Headers],[5]],tabela_registros[REGISTRO],DADOS!$N$6)</f>
        <v>0</v>
      </c>
      <c r="J26" s="91">
        <f>SUMIFS(tabela_registros[VALOR],tabela_registros[MÊS],$AE$1,tabela_registros[DIA],abrtotal305971[[#Headers],[6]],tabela_registros[REGISTRO],DADOS!$N$6)</f>
        <v>0</v>
      </c>
      <c r="K26" s="91">
        <f>SUMIFS(tabela_registros[VALOR],tabela_registros[MÊS],$AE$1,tabela_registros[DIA],abrtotal305971[[#Headers],[7]],tabela_registros[REGISTRO],DADOS!$N$6)</f>
        <v>0</v>
      </c>
      <c r="L26" s="91">
        <f>SUMIFS(tabela_registros[VALOR],tabela_registros[MÊS],$AE$1,tabela_registros[DIA],abrtotal305971[[#Headers],[8]],tabela_registros[REGISTRO],DADOS!$N$6)</f>
        <v>0</v>
      </c>
      <c r="M26" s="91">
        <f>SUMIFS(tabela_registros[VALOR],tabela_registros[MÊS],$AE$1,tabela_registros[DIA],abrtotal305971[[#Headers],[9]],tabela_registros[REGISTRO],DADOS!$N$6)</f>
        <v>0</v>
      </c>
      <c r="N26" s="91">
        <f>SUMIFS(tabela_registros[VALOR],tabela_registros[MÊS],$AE$1,tabela_registros[DIA],abrtotal305971[[#Headers],[10]],tabela_registros[REGISTRO],DADOS!$N$6)</f>
        <v>0</v>
      </c>
      <c r="O26" s="91">
        <f>SUMIFS(tabela_registros[VALOR],tabela_registros[MÊS],$AE$1,tabela_registros[DIA],abrtotal305971[[#Headers],[11]],tabela_registros[REGISTRO],DADOS!$N$6)</f>
        <v>0</v>
      </c>
      <c r="P26" s="91">
        <f>SUMIFS(tabela_registros[VALOR],tabela_registros[MÊS],$AE$1,tabela_registros[DIA],abrtotal305971[[#Headers],[12]],tabela_registros[REGISTRO],DADOS!$N$6)</f>
        <v>0</v>
      </c>
      <c r="Q26" s="91">
        <f>SUMIFS(tabela_registros[VALOR],tabela_registros[MÊS],$AE$1,tabela_registros[DIA],abrtotal305971[[#Headers],[13]],tabela_registros[REGISTRO],DADOS!$N$6)</f>
        <v>0</v>
      </c>
      <c r="R26" s="91">
        <f>SUMIFS(tabela_registros[VALOR],tabela_registros[MÊS],$AE$1,tabela_registros[DIA],abrtotal305971[[#Headers],[14]],tabela_registros[REGISTRO],DADOS!$N$6)</f>
        <v>0</v>
      </c>
      <c r="S26" s="91">
        <f>SUMIFS(tabela_registros[VALOR],tabela_registros[MÊS],$AE$1,tabela_registros[DIA],abrtotal305971[[#Headers],[15]],tabela_registros[REGISTRO],DADOS!$N$6)</f>
        <v>0</v>
      </c>
      <c r="T26" s="91">
        <f>SUMIFS(tabela_registros[VALOR],tabela_registros[MÊS],$AE$1,tabela_registros[DIA],abrtotal305971[[#Headers],[16]],tabela_registros[REGISTRO],DADOS!$N$6)</f>
        <v>0</v>
      </c>
      <c r="U26" s="91">
        <f>SUMIFS(tabela_registros[VALOR],tabela_registros[MÊS],$AE$1,tabela_registros[DIA],abrtotal305971[[#Headers],[17]],tabela_registros[REGISTRO],DADOS!$N$6)</f>
        <v>0</v>
      </c>
      <c r="V26" s="91">
        <f>SUMIFS(tabela_registros[VALOR],tabela_registros[MÊS],$AE$1,tabela_registros[DIA],abrtotal305971[[#Headers],[18]],tabela_registros[REGISTRO],DADOS!$N$6)</f>
        <v>0</v>
      </c>
      <c r="W26" s="91">
        <f>SUMIFS(tabela_registros[VALOR],tabela_registros[MÊS],$AE$1,tabela_registros[DIA],abrtotal305971[[#Headers],[19]],tabela_registros[REGISTRO],DADOS!$N$6)</f>
        <v>0</v>
      </c>
      <c r="X26" s="91">
        <f>SUMIFS(tabela_registros[VALOR],tabela_registros[MÊS],$AE$1,tabela_registros[DIA],abrtotal305971[[#Headers],[20]],tabela_registros[REGISTRO],DADOS!$N$6)</f>
        <v>0</v>
      </c>
      <c r="Y26" s="91">
        <f>SUMIFS(tabela_registros[VALOR],tabela_registros[MÊS],$AE$1,tabela_registros[DIA],abrtotal305971[[#Headers],[21]],tabela_registros[REGISTRO],DADOS!$N$6)</f>
        <v>0</v>
      </c>
      <c r="Z26" s="91">
        <f>SUMIFS(tabela_registros[VALOR],tabela_registros[MÊS],$AE$1,tabela_registros[DIA],abrtotal305971[[#Headers],[22]],tabela_registros[REGISTRO],DADOS!$N$6)</f>
        <v>0</v>
      </c>
      <c r="AA26" s="91">
        <f>SUMIFS(tabela_registros[VALOR],tabela_registros[MÊS],$AE$1,tabela_registros[DIA],abrtotal305971[[#Headers],[23]],tabela_registros[REGISTRO],DADOS!$N$6)</f>
        <v>0</v>
      </c>
      <c r="AB26" s="91">
        <f>SUMIFS(tabela_registros[VALOR],tabela_registros[MÊS],$AE$1,tabela_registros[DIA],abrtotal305971[[#Headers],[24]],tabela_registros[REGISTRO],DADOS!$N$6)</f>
        <v>0</v>
      </c>
      <c r="AC26" s="91">
        <f>SUMIFS(tabela_registros[VALOR],tabela_registros[MÊS],$AE$1,tabela_registros[DIA],abrtotal305971[[#Headers],[25]],tabela_registros[REGISTRO],DADOS!$N$6)</f>
        <v>0</v>
      </c>
      <c r="AD26" s="91">
        <f>SUMIFS(tabela_registros[VALOR],tabela_registros[MÊS],$AE$1,tabela_registros[DIA],abrtotal305971[[#Headers],[26]],tabela_registros[REGISTRO],DADOS!$N$6)</f>
        <v>0</v>
      </c>
      <c r="AE26" s="91">
        <f>SUMIFS(tabela_registros[VALOR],tabela_registros[MÊS],$AE$1,tabela_registros[DIA],abrtotal305971[[#Headers],[27]],tabela_registros[REGISTRO],DADOS!$N$6)</f>
        <v>0</v>
      </c>
      <c r="AF26" s="91">
        <f>SUMIFS(tabela_registros[VALOR],tabela_registros[MÊS],$AE$1,tabela_registros[DIA],abrtotal305971[[#Headers],[28]],tabela_registros[REGISTRO],DADOS!$N$6)</f>
        <v>0</v>
      </c>
      <c r="AG26" s="91">
        <f>SUMIFS(tabela_registros[VALOR],tabela_registros[MÊS],$AE$1,tabela_registros[DIA],abrtotal305971[[#Headers],[29]],tabela_registros[REGISTRO],DADOS!$N$6)</f>
        <v>0</v>
      </c>
      <c r="AH26" s="92">
        <f>SUMIFS(tabela_registros[VALOR],tabela_registros[MÊS],$AE$1,tabela_registros[DIA],abrtotal305971[[#Headers],[30]],tabela_registros[REGISTRO],DADOS!$N$6)</f>
        <v>0</v>
      </c>
      <c r="AI26" s="93">
        <f>SUMIFS(tabela_registros[VALOR],tabela_registros[MÊS],$AE$1,tabela_registros[DIA],abrtotal305971[[#Headers],[31]],tabela_registros[REGISTRO],DADOS!$N$6)</f>
        <v>0</v>
      </c>
      <c r="AJ26" s="93">
        <f>SUM(E26:AI26)</f>
        <v>0</v>
      </c>
      <c r="AK26" s="49"/>
    </row>
    <row r="27" spans="1:37" s="16" customFormat="1" ht="21" customHeight="1" thickTop="1" thickBot="1" x14ac:dyDescent="0.35">
      <c r="B27" s="52"/>
      <c r="C27" s="57" t="s">
        <v>19</v>
      </c>
      <c r="D27" s="56"/>
      <c r="E27" s="55">
        <f>SUM(E25:E26)</f>
        <v>0</v>
      </c>
      <c r="F27" s="54">
        <f>SUM(F25:F26)+abrinvestir215870[[#This Row],[1]]</f>
        <v>0</v>
      </c>
      <c r="G27" s="54">
        <f>SUM(G25:G26)+abrinvestir215870[[#This Row],[2]]</f>
        <v>0</v>
      </c>
      <c r="H27" s="54">
        <f>SUM(H25:H26)+abrinvestir215870[[#This Row],[3]]</f>
        <v>0</v>
      </c>
      <c r="I27" s="54">
        <f>SUM(I25:I26)+abrinvestir215870[[#This Row],[4]]</f>
        <v>0</v>
      </c>
      <c r="J27" s="54">
        <f>SUM(J25:J26)+abrinvestir215870[[#This Row],[5]]</f>
        <v>0</v>
      </c>
      <c r="K27" s="54">
        <f>SUM(K25:K26)+abrinvestir215870[[#This Row],[6]]</f>
        <v>0</v>
      </c>
      <c r="L27" s="54">
        <f>SUM(L25:L26)+abrinvestir215870[[#This Row],[7]]</f>
        <v>0</v>
      </c>
      <c r="M27" s="54">
        <f>SUM(M25:M26)+abrinvestir215870[[#This Row],[8]]</f>
        <v>0</v>
      </c>
      <c r="N27" s="54">
        <f>SUM(N25:N26)+abrinvestir215870[[#This Row],[9]]</f>
        <v>0</v>
      </c>
      <c r="O27" s="54">
        <f>SUM(O25:O26)+abrinvestir215870[[#This Row],[10]]</f>
        <v>0</v>
      </c>
      <c r="P27" s="54">
        <f>SUM(P25:P26)+abrinvestir215870[[#This Row],[11]]</f>
        <v>0</v>
      </c>
      <c r="Q27" s="54">
        <f>SUM(Q25:Q26)+abrinvestir215870[[#This Row],[12]]</f>
        <v>0</v>
      </c>
      <c r="R27" s="54">
        <f>SUM(R25:R26)+abrinvestir215870[[#This Row],[13]]</f>
        <v>0</v>
      </c>
      <c r="S27" s="54">
        <f>SUM(S25:S26)+abrinvestir215870[[#This Row],[14]]</f>
        <v>0</v>
      </c>
      <c r="T27" s="54">
        <f>SUM(T25:T26)+abrinvestir215870[[#This Row],[15]]</f>
        <v>0</v>
      </c>
      <c r="U27" s="54">
        <f>SUM(U25:U26)+abrinvestir215870[[#This Row],[16]]</f>
        <v>0</v>
      </c>
      <c r="V27" s="54">
        <f>SUM(V25:V26)+abrinvestir215870[[#This Row],[17]]</f>
        <v>0</v>
      </c>
      <c r="W27" s="54">
        <f>SUM(W25:W26)+abrinvestir215870[[#This Row],[18]]</f>
        <v>0</v>
      </c>
      <c r="X27" s="54">
        <f>SUM(X25:X26)+abrinvestir215870[[#This Row],[19]]</f>
        <v>0</v>
      </c>
      <c r="Y27" s="54">
        <f>SUM(Y25:Y26)+abrinvestir215870[[#This Row],[20]]</f>
        <v>0</v>
      </c>
      <c r="Z27" s="54">
        <f>SUM(Z25:Z26)+abrinvestir215870[[#This Row],[21]]</f>
        <v>0</v>
      </c>
      <c r="AA27" s="54">
        <f>SUM(AA25:AA26)+abrinvestir215870[[#This Row],[22]]</f>
        <v>0</v>
      </c>
      <c r="AB27" s="54">
        <f>SUM(AB25:AB26)+abrinvestir215870[[#This Row],[23]]</f>
        <v>0</v>
      </c>
      <c r="AC27" s="54">
        <f>SUM(AC25:AC26)+abrinvestir215870[[#This Row],[24]]</f>
        <v>0</v>
      </c>
      <c r="AD27" s="54">
        <f>SUM(AD25:AD26)+abrinvestir215870[[#This Row],[25]]</f>
        <v>0</v>
      </c>
      <c r="AE27" s="54">
        <f>SUM(AE25:AE26)+abrinvestir215870[[#This Row],[26]]</f>
        <v>0</v>
      </c>
      <c r="AF27" s="54">
        <f>SUM(AF25:AF26)+abrinvestir215870[[#This Row],[27]]</f>
        <v>0</v>
      </c>
      <c r="AG27" s="54">
        <f>SUM(AG25:AG26)+abrinvestir215870[[#This Row],[28]]</f>
        <v>0</v>
      </c>
      <c r="AH27" s="62">
        <f>SUM(AH25:AH26)+abrinvestir215870[[#This Row],[29]]</f>
        <v>0</v>
      </c>
      <c r="AI27" s="53">
        <f>SUM(AI25:AI26)+abrinvestir215870[[#This Row],[30]]</f>
        <v>0</v>
      </c>
      <c r="AJ27" s="53">
        <f>abrinvestir215870[[#This Row],[31]]</f>
        <v>0</v>
      </c>
      <c r="AK27" s="52"/>
    </row>
    <row r="28" spans="1:37" ht="6.75" hidden="1" customHeight="1" thickTop="1" thickBot="1" x14ac:dyDescent="0.35">
      <c r="B28" s="49"/>
      <c r="C28" t="s">
        <v>204</v>
      </c>
      <c r="D28"/>
      <c r="E28" s="51">
        <f>SUBTOTAL(109,abrinvestir215870[1])</f>
        <v>0</v>
      </c>
      <c r="F28" s="51">
        <f>SUBTOTAL(109,abrinvestir215870[2])</f>
        <v>0</v>
      </c>
      <c r="G28" s="51">
        <f>SUBTOTAL(109,abrinvestir215870[3])</f>
        <v>0</v>
      </c>
      <c r="H28" s="51">
        <f>SUBTOTAL(109,abrinvestir215870[4])</f>
        <v>0</v>
      </c>
      <c r="I28" s="51">
        <f>SUBTOTAL(109,abrinvestir215870[5])</f>
        <v>0</v>
      </c>
      <c r="J28" s="51">
        <f>SUBTOTAL(109,abrinvestir215870[6])</f>
        <v>0</v>
      </c>
      <c r="K28" s="51">
        <f>SUBTOTAL(109,abrinvestir215870[7])</f>
        <v>0</v>
      </c>
      <c r="L28" s="51">
        <f>SUBTOTAL(109,abrinvestir215870[8])</f>
        <v>0</v>
      </c>
      <c r="M28" s="51">
        <f>SUBTOTAL(109,abrinvestir215870[9])</f>
        <v>0</v>
      </c>
      <c r="N28" s="51">
        <f>SUBTOTAL(109,abrinvestir215870[10])</f>
        <v>0</v>
      </c>
      <c r="O28" s="51">
        <f>SUBTOTAL(109,abrinvestir215870[11])</f>
        <v>0</v>
      </c>
      <c r="P28" s="51">
        <f>SUBTOTAL(109,abrinvestir215870[12])</f>
        <v>0</v>
      </c>
      <c r="Q28" s="51">
        <f>SUBTOTAL(109,abrinvestir215870[13])</f>
        <v>0</v>
      </c>
      <c r="R28" s="51">
        <f>SUBTOTAL(109,abrinvestir215870[14])</f>
        <v>0</v>
      </c>
      <c r="S28" s="51">
        <f>SUBTOTAL(109,abrinvestir215870[15])</f>
        <v>0</v>
      </c>
      <c r="T28" s="51">
        <f>SUBTOTAL(109,abrinvestir215870[16])</f>
        <v>0</v>
      </c>
      <c r="U28" s="51">
        <f>SUBTOTAL(109,abrinvestir215870[17])</f>
        <v>0</v>
      </c>
      <c r="V28" s="51">
        <f>SUBTOTAL(109,abrinvestir215870[18])</f>
        <v>0</v>
      </c>
      <c r="W28" s="51">
        <f>SUBTOTAL(109,abrinvestir215870[19])</f>
        <v>0</v>
      </c>
      <c r="X28" s="51">
        <f>SUBTOTAL(109,abrinvestir215870[20])</f>
        <v>0</v>
      </c>
      <c r="Y28" s="51">
        <f>SUBTOTAL(109,abrinvestir215870[21])</f>
        <v>0</v>
      </c>
      <c r="Z28" s="51">
        <f>SUBTOTAL(109,abrinvestir215870[22])</f>
        <v>0</v>
      </c>
      <c r="AA28" s="51">
        <f>SUBTOTAL(109,abrinvestir215870[23])</f>
        <v>0</v>
      </c>
      <c r="AB28" s="51">
        <f>SUBTOTAL(109,abrinvestir215870[24])</f>
        <v>0</v>
      </c>
      <c r="AC28" s="51">
        <f>SUBTOTAL(109,abrinvestir215870[25])</f>
        <v>0</v>
      </c>
      <c r="AD28" s="51">
        <f>SUBTOTAL(109,abrinvestir215870[26])</f>
        <v>0</v>
      </c>
      <c r="AE28" s="51">
        <f>SUBTOTAL(109,abrinvestir215870[27])</f>
        <v>0</v>
      </c>
      <c r="AF28" s="51">
        <f>SUBTOTAL(109,abrinvestir215870[28])</f>
        <v>0</v>
      </c>
      <c r="AG28" s="51">
        <f>SUBTOTAL(109,abrinvestir215870[29])</f>
        <v>0</v>
      </c>
      <c r="AH28" s="51">
        <f>SUBTOTAL(109,abrinvestir215870[30])</f>
        <v>0</v>
      </c>
      <c r="AI28" s="51">
        <f>SUBTOTAL(109,abrinvestir215870[31])</f>
        <v>0</v>
      </c>
      <c r="AJ28" s="51">
        <f>SUBTOTAL(109,abrinvestir215870[TOTAL (R$)])</f>
        <v>0</v>
      </c>
      <c r="AK28" s="49"/>
    </row>
    <row r="29" spans="1:37" ht="6.75" customHeight="1" thickTop="1" thickBot="1" x14ac:dyDescent="0.3">
      <c r="B29" s="49"/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49"/>
      <c r="X29" s="49"/>
      <c r="Y29" s="49"/>
      <c r="Z29" s="49"/>
      <c r="AA29" s="49"/>
      <c r="AB29" s="49"/>
      <c r="AC29" s="49"/>
      <c r="AD29" s="49"/>
      <c r="AE29" s="49"/>
      <c r="AF29" s="49"/>
      <c r="AG29" s="49"/>
      <c r="AH29" s="49"/>
      <c r="AI29" s="50"/>
      <c r="AJ29" s="49"/>
      <c r="AK29" s="49"/>
    </row>
    <row r="30" spans="1:37" ht="12.6" thickTop="1" x14ac:dyDescent="0.25">
      <c r="C30" s="46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 s="47"/>
      <c r="Z30" s="47"/>
      <c r="AA30" s="47"/>
      <c r="AB30" s="47"/>
      <c r="AC30" s="47"/>
      <c r="AD30" s="47"/>
      <c r="AE30" s="47"/>
      <c r="AF30" s="47"/>
      <c r="AG30" s="47"/>
      <c r="AH30" s="47"/>
      <c r="AI30" s="47"/>
    </row>
    <row r="31" spans="1:37" x14ac:dyDescent="0.25">
      <c r="C31" s="46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47"/>
      <c r="X31" s="47"/>
      <c r="Y31" s="47"/>
      <c r="Z31" s="47"/>
      <c r="AA31" s="47"/>
      <c r="AB31" s="47"/>
      <c r="AC31" s="47"/>
      <c r="AD31" s="47"/>
      <c r="AE31" s="47"/>
      <c r="AF31" s="47"/>
      <c r="AG31" s="47"/>
      <c r="AH31" s="47"/>
      <c r="AI31" s="47"/>
    </row>
    <row r="32" spans="1:37" x14ac:dyDescent="0.25">
      <c r="C32" s="46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47"/>
      <c r="AB32" s="47"/>
      <c r="AC32" s="47"/>
      <c r="AD32" s="47"/>
      <c r="AE32" s="47"/>
      <c r="AF32" s="47"/>
      <c r="AG32" s="47"/>
      <c r="AH32" s="47"/>
      <c r="AI32" s="47"/>
    </row>
    <row r="33" spans="2:37" ht="39.75" customHeight="1" x14ac:dyDescent="0.25">
      <c r="C33" s="46"/>
      <c r="E33" s="240"/>
      <c r="F33" s="240"/>
      <c r="G33" s="240"/>
      <c r="H33" s="240"/>
      <c r="I33" s="240"/>
      <c r="J33" s="240"/>
      <c r="K33" s="240"/>
      <c r="L33" s="240"/>
      <c r="M33" s="240"/>
      <c r="N33" s="240"/>
      <c r="O33" s="240"/>
      <c r="P33" s="240"/>
      <c r="Q33" s="240"/>
      <c r="R33" s="240"/>
      <c r="S33" s="240"/>
      <c r="T33" s="240"/>
      <c r="U33" s="240"/>
      <c r="V33" s="240"/>
      <c r="W33" s="240"/>
      <c r="X33" s="240"/>
      <c r="Y33" s="240"/>
      <c r="Z33" s="240"/>
      <c r="AA33" s="240"/>
      <c r="AB33" s="240"/>
      <c r="AC33" s="240"/>
      <c r="AD33" s="240"/>
      <c r="AE33" s="240"/>
      <c r="AF33" s="240"/>
      <c r="AG33" s="240"/>
      <c r="AH33" s="240"/>
      <c r="AI33" s="240"/>
      <c r="AJ33" s="32" t="s">
        <v>19</v>
      </c>
    </row>
    <row r="34" spans="2:37" ht="11.25" customHeight="1" thickBot="1" x14ac:dyDescent="0.75">
      <c r="C34" s="36"/>
      <c r="AI34" s="4"/>
      <c r="AJ34" s="34" t="s">
        <v>202</v>
      </c>
    </row>
    <row r="35" spans="2:37" ht="6.75" customHeight="1" thickTop="1" thickBot="1" x14ac:dyDescent="0.3">
      <c r="B35" s="33"/>
      <c r="C35" s="45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F35" s="44"/>
      <c r="AG35" s="44"/>
      <c r="AH35" s="44"/>
      <c r="AI35" s="44"/>
      <c r="AJ35" s="43"/>
      <c r="AK35" s="33"/>
    </row>
    <row r="36" spans="2:37" ht="12.6" hidden="1" thickBot="1" x14ac:dyDescent="0.3">
      <c r="B36" s="2"/>
      <c r="C36" s="31" t="s">
        <v>132</v>
      </c>
      <c r="D36" s="30" t="s">
        <v>198</v>
      </c>
      <c r="E36" s="30" t="s">
        <v>197</v>
      </c>
      <c r="F36" s="30" t="s">
        <v>196</v>
      </c>
      <c r="G36" s="30" t="s">
        <v>195</v>
      </c>
      <c r="H36" s="30" t="s">
        <v>194</v>
      </c>
      <c r="I36" s="30" t="s">
        <v>193</v>
      </c>
      <c r="J36" s="30" t="s">
        <v>192</v>
      </c>
      <c r="K36" s="30" t="s">
        <v>191</v>
      </c>
      <c r="L36" s="30" t="s">
        <v>190</v>
      </c>
      <c r="M36" s="30" t="s">
        <v>189</v>
      </c>
      <c r="N36" s="30" t="s">
        <v>188</v>
      </c>
      <c r="O36" s="30" t="s">
        <v>187</v>
      </c>
      <c r="P36" s="30" t="s">
        <v>186</v>
      </c>
      <c r="Q36" s="30" t="s">
        <v>185</v>
      </c>
      <c r="R36" s="30" t="s">
        <v>184</v>
      </c>
      <c r="S36" s="30" t="s">
        <v>183</v>
      </c>
      <c r="T36" s="30" t="s">
        <v>182</v>
      </c>
      <c r="U36" s="30" t="s">
        <v>181</v>
      </c>
      <c r="V36" s="30" t="s">
        <v>180</v>
      </c>
      <c r="W36" s="30" t="s">
        <v>179</v>
      </c>
      <c r="X36" s="30" t="s">
        <v>178</v>
      </c>
      <c r="Y36" s="30" t="s">
        <v>177</v>
      </c>
      <c r="Z36" s="30" t="s">
        <v>176</v>
      </c>
      <c r="AA36" s="30" t="s">
        <v>175</v>
      </c>
      <c r="AB36" s="30" t="s">
        <v>174</v>
      </c>
      <c r="AC36" s="30" t="s">
        <v>173</v>
      </c>
      <c r="AD36" s="30" t="s">
        <v>172</v>
      </c>
      <c r="AE36" s="30" t="s">
        <v>171</v>
      </c>
      <c r="AF36" s="30" t="s">
        <v>170</v>
      </c>
      <c r="AG36" s="30" t="s">
        <v>169</v>
      </c>
      <c r="AH36" s="30" t="s">
        <v>168</v>
      </c>
      <c r="AI36" s="30" t="s">
        <v>167</v>
      </c>
      <c r="AJ36" s="42" t="s">
        <v>19</v>
      </c>
      <c r="AK36" s="2" t="s">
        <v>203</v>
      </c>
    </row>
    <row r="37" spans="2:37" ht="19.5" customHeight="1" thickTop="1" thickBot="1" x14ac:dyDescent="0.3">
      <c r="B37" s="28"/>
      <c r="C37" s="27" t="str">
        <f>DADOS!$R$3</f>
        <v>💧 ÁGUA</v>
      </c>
      <c r="D37" s="26" t="str">
        <f>IF(despesafixaconsolidadoabr[[#This Row],[TOTAL]]=0,"",IF(OR(despesafixaconsolidadoabr[[#This Row],[TOTAL]]=LARGE($AJ$37:$AJ$50,1),despesafixaconsolidadoabr[[#This Row],[TOTAL]]=LARGE($AJ$37:$AJ$50,2),despesafixaconsolidadoabr[[#This Row],[TOTAL]]=LARGE($AJ$37:$AJ$50,3),despesafixaconsolidadoabr[[#This Row],[TOTAL]]=LARGE($AJ$37:$AJ$50,4),despesafixaconsolidadoabr[[#This Row],[TOTAL]]=LARGE($AJ$37:$AJ$50,5)),DADOS!$I$8,""))</f>
        <v>💣</v>
      </c>
      <c r="E37" s="94">
        <f>SUMIFS(tabela_registros[VALOR],tabela_registros[MÊS],$AE$1,tabela_registros[DIA],abrtotal305971[[#Headers],[1]],tabela_registros[REGISTRO],DADOS!$N$4,tabela_registros[TIPO],DADOS!$P$3,tabela_registros[CATEGORIA],despesafixaconsolidadoabr[[#This Row],[DESPESA FIXA]])</f>
        <v>0</v>
      </c>
      <c r="F37" s="88">
        <f>SUMIFS(tabela_registros[VALOR],tabela_registros[MÊS],$AE$1,tabela_registros[DIA],abrtotal305971[[#Headers],[2]],tabela_registros[REGISTRO],DADOS!$N$4,tabela_registros[TIPO],DADOS!$P$3,tabela_registros[CATEGORIA],despesafixaconsolidadoabr[[#This Row],[DESPESA FIXA]])</f>
        <v>0</v>
      </c>
      <c r="G37" s="88">
        <f>SUMIFS(tabela_registros[VALOR],tabela_registros[MÊS],$AE$1,tabela_registros[DIA],abrtotal305971[[#Headers],[3]],tabela_registros[REGISTRO],DADOS!$N$4,tabela_registros[TIPO],DADOS!$P$3,tabela_registros[CATEGORIA],despesafixaconsolidadoabr[[#This Row],[DESPESA FIXA]])</f>
        <v>0</v>
      </c>
      <c r="H37" s="88">
        <f>SUMIFS(tabela_registros[VALOR],tabela_registros[MÊS],$AE$1,tabela_registros[DIA],abrtotal305971[[#Headers],[4]],tabela_registros[REGISTRO],DADOS!$N$4,tabela_registros[TIPO],DADOS!$P$3,tabela_registros[CATEGORIA],despesafixaconsolidadoabr[[#This Row],[DESPESA FIXA]])</f>
        <v>0</v>
      </c>
      <c r="I37" s="88">
        <f>SUMIFS(tabela_registros[VALOR],tabela_registros[MÊS],$AE$1,tabela_registros[DIA],abrtotal305971[[#Headers],[5]],tabela_registros[REGISTRO],DADOS!$N$4,tabela_registros[TIPO],DADOS!$P$3,tabela_registros[CATEGORIA],despesafixaconsolidadoabr[[#This Row],[DESPESA FIXA]])</f>
        <v>0</v>
      </c>
      <c r="J37" s="88">
        <f>SUMIFS(tabela_registros[VALOR],tabela_registros[MÊS],$AE$1,tabela_registros[DIA],abrtotal305971[[#Headers],[6]],tabela_registros[REGISTRO],DADOS!$N$4,tabela_registros[TIPO],DADOS!$P$3,tabela_registros[CATEGORIA],despesafixaconsolidadoabr[[#This Row],[DESPESA FIXA]])</f>
        <v>0</v>
      </c>
      <c r="K37" s="88">
        <f>SUMIFS(tabela_registros[VALOR],tabela_registros[MÊS],$AE$1,tabela_registros[DIA],abrtotal305971[[#Headers],[7]],tabela_registros[REGISTRO],DADOS!$N$4,tabela_registros[TIPO],DADOS!$P$3,tabela_registros[CATEGORIA],despesafixaconsolidadoabr[[#This Row],[DESPESA FIXA]])</f>
        <v>0</v>
      </c>
      <c r="L37" s="88">
        <f>SUMIFS(tabela_registros[VALOR],tabela_registros[MÊS],$AE$1,tabela_registros[DIA],abrtotal305971[[#Headers],[8]],tabela_registros[REGISTRO],DADOS!$N$4,tabela_registros[TIPO],DADOS!$P$3,tabela_registros[CATEGORIA],despesafixaconsolidadoabr[[#This Row],[DESPESA FIXA]])</f>
        <v>0</v>
      </c>
      <c r="M37" s="88">
        <f>SUMIFS(tabela_registros[VALOR],tabela_registros[MÊS],$AE$1,tabela_registros[DIA],abrtotal305971[[#Headers],[9]],tabela_registros[REGISTRO],DADOS!$N$4,tabela_registros[TIPO],DADOS!$P$3,tabela_registros[CATEGORIA],despesafixaconsolidadoabr[[#This Row],[DESPESA FIXA]])</f>
        <v>0</v>
      </c>
      <c r="N37" s="88">
        <f>SUMIFS(tabela_registros[VALOR],tabela_registros[MÊS],$AE$1,tabela_registros[DIA],abrtotal305971[[#Headers],[10]],tabela_registros[REGISTRO],DADOS!$N$4,tabela_registros[TIPO],DADOS!$P$3,tabela_registros[CATEGORIA],despesafixaconsolidadoabr[[#This Row],[DESPESA FIXA]])</f>
        <v>0</v>
      </c>
      <c r="O37" s="88">
        <f>SUMIFS(tabela_registros[VALOR],tabela_registros[MÊS],$AE$1,tabela_registros[DIA],abrtotal305971[[#Headers],[11]],tabela_registros[REGISTRO],DADOS!$N$4,tabela_registros[TIPO],DADOS!$P$3,tabela_registros[CATEGORIA],despesafixaconsolidadoabr[[#This Row],[DESPESA FIXA]])</f>
        <v>0</v>
      </c>
      <c r="P37" s="88">
        <f>SUMIFS(tabela_registros[VALOR],tabela_registros[MÊS],$AE$1,tabela_registros[DIA],abrtotal305971[[#Headers],[12]],tabela_registros[REGISTRO],DADOS!$N$4,tabela_registros[TIPO],DADOS!$P$3,tabela_registros[CATEGORIA],despesafixaconsolidadoabr[[#This Row],[DESPESA FIXA]])</f>
        <v>125</v>
      </c>
      <c r="Q37" s="88">
        <f>SUMIFS(tabela_registros[VALOR],tabela_registros[MÊS],$AE$1,tabela_registros[DIA],abrtotal305971[[#Headers],[13]],tabela_registros[REGISTRO],DADOS!$N$4,tabela_registros[TIPO],DADOS!$P$3,tabela_registros[CATEGORIA],despesafixaconsolidadoabr[[#This Row],[DESPESA FIXA]])</f>
        <v>0</v>
      </c>
      <c r="R37" s="88">
        <f>SUMIFS(tabela_registros[VALOR],tabela_registros[MÊS],$AE$1,tabela_registros[DIA],abrtotal305971[[#Headers],[14]],tabela_registros[REGISTRO],DADOS!$N$4,tabela_registros[TIPO],DADOS!$P$3,tabela_registros[CATEGORIA],despesafixaconsolidadoabr[[#This Row],[DESPESA FIXA]])</f>
        <v>0</v>
      </c>
      <c r="S37" s="88">
        <f>SUMIFS(tabela_registros[VALOR],tabela_registros[MÊS],$AE$1,tabela_registros[DIA],abrtotal305971[[#Headers],[15]],tabela_registros[REGISTRO],DADOS!$N$4,tabela_registros[TIPO],DADOS!$P$3,tabela_registros[CATEGORIA],despesafixaconsolidadoabr[[#This Row],[DESPESA FIXA]])</f>
        <v>0</v>
      </c>
      <c r="T37" s="88">
        <f>SUMIFS(tabela_registros[VALOR],tabela_registros[MÊS],$AE$1,tabela_registros[DIA],abrtotal305971[[#Headers],[16]],tabela_registros[REGISTRO],DADOS!$N$4,tabela_registros[TIPO],DADOS!$P$3,tabela_registros[CATEGORIA],despesafixaconsolidadoabr[[#This Row],[DESPESA FIXA]])</f>
        <v>0</v>
      </c>
      <c r="U37" s="88">
        <f>SUMIFS(tabela_registros[VALOR],tabela_registros[MÊS],$AE$1,tabela_registros[DIA],abrtotal305971[[#Headers],[17]],tabela_registros[REGISTRO],DADOS!$N$4,tabela_registros[TIPO],DADOS!$P$3,tabela_registros[CATEGORIA],despesafixaconsolidadoabr[[#This Row],[DESPESA FIXA]])</f>
        <v>0</v>
      </c>
      <c r="V37" s="88">
        <f>SUMIFS(tabela_registros[VALOR],tabela_registros[MÊS],$AE$1,tabela_registros[DIA],abrtotal305971[[#Headers],[18]],tabela_registros[REGISTRO],DADOS!$N$4,tabela_registros[TIPO],DADOS!$P$3,tabela_registros[CATEGORIA],despesafixaconsolidadoabr[[#This Row],[DESPESA FIXA]])</f>
        <v>0</v>
      </c>
      <c r="W37" s="88">
        <f>SUMIFS(tabela_registros[VALOR],tabela_registros[MÊS],$AE$1,tabela_registros[DIA],abrtotal305971[[#Headers],[19]],tabela_registros[REGISTRO],DADOS!$N$4,tabela_registros[TIPO],DADOS!$P$3,tabela_registros[CATEGORIA],despesafixaconsolidadoabr[[#This Row],[DESPESA FIXA]])</f>
        <v>0</v>
      </c>
      <c r="X37" s="88">
        <f>SUMIFS(tabela_registros[VALOR],tabela_registros[MÊS],$AE$1,tabela_registros[DIA],abrtotal305971[[#Headers],[20]],tabela_registros[REGISTRO],DADOS!$N$4,tabela_registros[TIPO],DADOS!$P$3,tabela_registros[CATEGORIA],despesafixaconsolidadoabr[[#This Row],[DESPESA FIXA]])</f>
        <v>0</v>
      </c>
      <c r="Y37" s="88">
        <f>SUMIFS(tabela_registros[VALOR],tabela_registros[MÊS],$AE$1,tabela_registros[DIA],abrtotal305971[[#Headers],[21]],tabela_registros[REGISTRO],DADOS!$N$4,tabela_registros[TIPO],DADOS!$P$3,tabela_registros[CATEGORIA],despesafixaconsolidadoabr[[#This Row],[DESPESA FIXA]])</f>
        <v>0</v>
      </c>
      <c r="Z37" s="88">
        <f>SUMIFS(tabela_registros[VALOR],tabela_registros[MÊS],$AE$1,tabela_registros[DIA],abrtotal305971[[#Headers],[22]],tabela_registros[REGISTRO],DADOS!$N$4,tabela_registros[TIPO],DADOS!$P$3,tabela_registros[CATEGORIA],despesafixaconsolidadoabr[[#This Row],[DESPESA FIXA]])</f>
        <v>0</v>
      </c>
      <c r="AA37" s="88">
        <f>SUMIFS(tabela_registros[VALOR],tabela_registros[MÊS],$AE$1,tabela_registros[DIA],abrtotal305971[[#Headers],[23]],tabela_registros[REGISTRO],DADOS!$N$4,tabela_registros[TIPO],DADOS!$P$3,tabela_registros[CATEGORIA],despesafixaconsolidadoabr[[#This Row],[DESPESA FIXA]])</f>
        <v>0</v>
      </c>
      <c r="AB37" s="88">
        <f>SUMIFS(tabela_registros[VALOR],tabela_registros[MÊS],$AE$1,tabela_registros[DIA],abrtotal305971[[#Headers],[24]],tabela_registros[REGISTRO],DADOS!$N$4,tabela_registros[TIPO],DADOS!$P$3,tabela_registros[CATEGORIA],despesafixaconsolidadoabr[[#This Row],[DESPESA FIXA]])</f>
        <v>0</v>
      </c>
      <c r="AC37" s="88">
        <f>SUMIFS(tabela_registros[VALOR],tabela_registros[MÊS],$AE$1,tabela_registros[DIA],abrtotal305971[[#Headers],[25]],tabela_registros[REGISTRO],DADOS!$N$4,tabela_registros[TIPO],DADOS!$P$3,tabela_registros[CATEGORIA],despesafixaconsolidadoabr[[#This Row],[DESPESA FIXA]])</f>
        <v>0</v>
      </c>
      <c r="AD37" s="88">
        <f>SUMIFS(tabela_registros[VALOR],tabela_registros[MÊS],$AE$1,tabela_registros[DIA],abrtotal305971[[#Headers],[26]],tabela_registros[REGISTRO],DADOS!$N$4,tabela_registros[TIPO],DADOS!$P$3,tabela_registros[CATEGORIA],despesafixaconsolidadoabr[[#This Row],[DESPESA FIXA]])</f>
        <v>0</v>
      </c>
      <c r="AE37" s="88">
        <f>SUMIFS(tabela_registros[VALOR],tabela_registros[MÊS],$AE$1,tabela_registros[DIA],abrtotal305971[[#Headers],[27]],tabela_registros[REGISTRO],DADOS!$N$4,tabela_registros[TIPO],DADOS!$P$3,tabela_registros[CATEGORIA],despesafixaconsolidadoabr[[#This Row],[DESPESA FIXA]])</f>
        <v>0</v>
      </c>
      <c r="AF37" s="88">
        <f>SUMIFS(tabela_registros[VALOR],tabela_registros[MÊS],$AE$1,tabela_registros[DIA],abrtotal305971[[#Headers],[28]],tabela_registros[REGISTRO],DADOS!$N$4,tabela_registros[TIPO],DADOS!$P$3,tabela_registros[CATEGORIA],despesafixaconsolidadoabr[[#This Row],[DESPESA FIXA]])</f>
        <v>0</v>
      </c>
      <c r="AG37" s="88">
        <f>SUMIFS(tabela_registros[VALOR],tabela_registros[MÊS],$AE$1,tabela_registros[DIA],abrtotal305971[[#Headers],[29]],tabela_registros[REGISTRO],DADOS!$N$4,tabela_registros[TIPO],DADOS!$P$3,tabela_registros[CATEGORIA],despesafixaconsolidadoabr[[#This Row],[DESPESA FIXA]])</f>
        <v>0</v>
      </c>
      <c r="AH37" s="88">
        <f>SUMIFS(tabela_registros[VALOR],tabela_registros[MÊS],$AE$1,tabela_registros[DIA],abrtotal305971[[#Headers],[30]],tabela_registros[REGISTRO],DADOS!$N$4,tabela_registros[TIPO],DADOS!$P$3,tabela_registros[CATEGORIA],despesafixaconsolidadoabr[[#This Row],[DESPESA FIXA]])</f>
        <v>0</v>
      </c>
      <c r="AI37" s="100">
        <f>SUMIFS(tabela_registros[VALOR],tabela_registros[MÊS],$AE$1,tabela_registros[DIA],abrtotal305971[[#Headers],[31]],tabela_registros[REGISTRO],DADOS!$N$4,tabela_registros[TIPO],DADOS!$P$3,tabela_registros[CATEGORIA],despesafixaconsolidadoabr[[#This Row],[DESPESA FIXA]])</f>
        <v>0</v>
      </c>
      <c r="AJ37" s="95">
        <f>SUM(despesafixaconsolidadoabr[[#This Row],[1]:[31]])</f>
        <v>125</v>
      </c>
      <c r="AK37" s="28"/>
    </row>
    <row r="38" spans="2:37" ht="18" customHeight="1" thickTop="1" thickBot="1" x14ac:dyDescent="0.3">
      <c r="B38" s="28"/>
      <c r="C38" s="27" t="str">
        <f>DADOS!$R$4</f>
        <v>🐶 ANIMAIS DE ESTIMAÇÃO</v>
      </c>
      <c r="D38" s="26" t="str">
        <f>IF(despesafixaconsolidadoabr[[#This Row],[TOTAL]]=0,"",IF(OR(despesafixaconsolidadoabr[[#This Row],[TOTAL]]=LARGE($AJ$37:$AJ$50,1),despesafixaconsolidadoabr[[#This Row],[TOTAL]]=LARGE($AJ$37:$AJ$50,2),despesafixaconsolidadoabr[[#This Row],[TOTAL]]=LARGE($AJ$37:$AJ$50,3),despesafixaconsolidadoabr[[#This Row],[TOTAL]]=LARGE($AJ$37:$AJ$50,4),despesafixaconsolidadoabr[[#This Row],[TOTAL]]=LARGE($AJ$37:$AJ$50,5)),DADOS!$I$8,""))</f>
        <v/>
      </c>
      <c r="E38" s="96">
        <f>SUMIFS(tabela_registros[VALOR],tabela_registros[MÊS],$AE$1,tabela_registros[DIA],abrtotal305971[[#Headers],[1]],tabela_registros[REGISTRO],DADOS!$N$4,tabela_registros[TIPO],DADOS!$P$3,tabela_registros[CATEGORIA],despesafixaconsolidadoabr[[#This Row],[DESPESA FIXA]])</f>
        <v>0</v>
      </c>
      <c r="F38" s="91">
        <f>SUMIFS(tabela_registros[VALOR],tabela_registros[MÊS],$AE$1,tabela_registros[DIA],abrtotal305971[[#Headers],[2]],tabela_registros[REGISTRO],DADOS!$N$4,tabela_registros[TIPO],DADOS!$P$3,tabela_registros[CATEGORIA],despesafixaconsolidadoabr[[#This Row],[DESPESA FIXA]])</f>
        <v>0</v>
      </c>
      <c r="G38" s="91">
        <f>SUMIFS(tabela_registros[VALOR],tabela_registros[MÊS],$AE$1,tabela_registros[DIA],abrtotal305971[[#Headers],[3]],tabela_registros[REGISTRO],DADOS!$N$4,tabela_registros[TIPO],DADOS!$P$3,tabela_registros[CATEGORIA],despesafixaconsolidadoabr[[#This Row],[DESPESA FIXA]])</f>
        <v>0</v>
      </c>
      <c r="H38" s="91">
        <f>SUMIFS(tabela_registros[VALOR],tabela_registros[MÊS],$AE$1,tabela_registros[DIA],abrtotal305971[[#Headers],[4]],tabela_registros[REGISTRO],DADOS!$N$4,tabela_registros[TIPO],DADOS!$P$3,tabela_registros[CATEGORIA],despesafixaconsolidadoabr[[#This Row],[DESPESA FIXA]])</f>
        <v>0</v>
      </c>
      <c r="I38" s="91">
        <f>SUMIFS(tabela_registros[VALOR],tabela_registros[MÊS],$AE$1,tabela_registros[DIA],abrtotal305971[[#Headers],[5]],tabela_registros[REGISTRO],DADOS!$N$4,tabela_registros[TIPO],DADOS!$P$3,tabela_registros[CATEGORIA],despesafixaconsolidadoabr[[#This Row],[DESPESA FIXA]])</f>
        <v>0</v>
      </c>
      <c r="J38" s="91">
        <f>SUMIFS(tabela_registros[VALOR],tabela_registros[MÊS],$AE$1,tabela_registros[DIA],abrtotal305971[[#Headers],[6]],tabela_registros[REGISTRO],DADOS!$N$4,tabela_registros[TIPO],DADOS!$P$3,tabela_registros[CATEGORIA],despesafixaconsolidadoabr[[#This Row],[DESPESA FIXA]])</f>
        <v>0</v>
      </c>
      <c r="K38" s="91">
        <f>SUMIFS(tabela_registros[VALOR],tabela_registros[MÊS],$AE$1,tabela_registros[DIA],abrtotal305971[[#Headers],[7]],tabela_registros[REGISTRO],DADOS!$N$4,tabela_registros[TIPO],DADOS!$P$3,tabela_registros[CATEGORIA],despesafixaconsolidadoabr[[#This Row],[DESPESA FIXA]])</f>
        <v>0</v>
      </c>
      <c r="L38" s="91">
        <f>SUMIFS(tabela_registros[VALOR],tabela_registros[MÊS],$AE$1,tabela_registros[DIA],abrtotal305971[[#Headers],[8]],tabela_registros[REGISTRO],DADOS!$N$4,tabela_registros[TIPO],DADOS!$P$3,tabela_registros[CATEGORIA],despesafixaconsolidadoabr[[#This Row],[DESPESA FIXA]])</f>
        <v>0</v>
      </c>
      <c r="M38" s="91">
        <f>SUMIFS(tabela_registros[VALOR],tabela_registros[MÊS],$AE$1,tabela_registros[DIA],abrtotal305971[[#Headers],[9]],tabela_registros[REGISTRO],DADOS!$N$4,tabela_registros[TIPO],DADOS!$P$3,tabela_registros[CATEGORIA],despesafixaconsolidadoabr[[#This Row],[DESPESA FIXA]])</f>
        <v>0</v>
      </c>
      <c r="N38" s="91">
        <f>SUMIFS(tabela_registros[VALOR],tabela_registros[MÊS],$AE$1,tabela_registros[DIA],abrtotal305971[[#Headers],[10]],tabela_registros[REGISTRO],DADOS!$N$4,tabela_registros[TIPO],DADOS!$P$3,tabela_registros[CATEGORIA],despesafixaconsolidadoabr[[#This Row],[DESPESA FIXA]])</f>
        <v>0</v>
      </c>
      <c r="O38" s="91">
        <f>SUMIFS(tabela_registros[VALOR],tabela_registros[MÊS],$AE$1,tabela_registros[DIA],abrtotal305971[[#Headers],[11]],tabela_registros[REGISTRO],DADOS!$N$4,tabela_registros[TIPO],DADOS!$P$3,tabela_registros[CATEGORIA],despesafixaconsolidadoabr[[#This Row],[DESPESA FIXA]])</f>
        <v>0</v>
      </c>
      <c r="P38" s="91">
        <f>SUMIFS(tabela_registros[VALOR],tabela_registros[MÊS],$AE$1,tabela_registros[DIA],abrtotal305971[[#Headers],[12]],tabela_registros[REGISTRO],DADOS!$N$4,tabela_registros[TIPO],DADOS!$P$3,tabela_registros[CATEGORIA],despesafixaconsolidadoabr[[#This Row],[DESPESA FIXA]])</f>
        <v>0</v>
      </c>
      <c r="Q38" s="91">
        <f>SUMIFS(tabela_registros[VALOR],tabela_registros[MÊS],$AE$1,tabela_registros[DIA],abrtotal305971[[#Headers],[13]],tabela_registros[REGISTRO],DADOS!$N$4,tabela_registros[TIPO],DADOS!$P$3,tabela_registros[CATEGORIA],despesafixaconsolidadoabr[[#This Row],[DESPESA FIXA]])</f>
        <v>0</v>
      </c>
      <c r="R38" s="91">
        <f>SUMIFS(tabela_registros[VALOR],tabela_registros[MÊS],$AE$1,tabela_registros[DIA],abrtotal305971[[#Headers],[14]],tabela_registros[REGISTRO],DADOS!$N$4,tabela_registros[TIPO],DADOS!$P$3,tabela_registros[CATEGORIA],despesafixaconsolidadoabr[[#This Row],[DESPESA FIXA]])</f>
        <v>0</v>
      </c>
      <c r="S38" s="91">
        <f>SUMIFS(tabela_registros[VALOR],tabela_registros[MÊS],$AE$1,tabela_registros[DIA],abrtotal305971[[#Headers],[15]],tabela_registros[REGISTRO],DADOS!$N$4,tabela_registros[TIPO],DADOS!$P$3,tabela_registros[CATEGORIA],despesafixaconsolidadoabr[[#This Row],[DESPESA FIXA]])</f>
        <v>0</v>
      </c>
      <c r="T38" s="91">
        <f>SUMIFS(tabela_registros[VALOR],tabela_registros[MÊS],$AE$1,tabela_registros[DIA],abrtotal305971[[#Headers],[16]],tabela_registros[REGISTRO],DADOS!$N$4,tabela_registros[TIPO],DADOS!$P$3,tabela_registros[CATEGORIA],despesafixaconsolidadoabr[[#This Row],[DESPESA FIXA]])</f>
        <v>0</v>
      </c>
      <c r="U38" s="91">
        <f>SUMIFS(tabela_registros[VALOR],tabela_registros[MÊS],$AE$1,tabela_registros[DIA],abrtotal305971[[#Headers],[17]],tabela_registros[REGISTRO],DADOS!$N$4,tabela_registros[TIPO],DADOS!$P$3,tabela_registros[CATEGORIA],despesafixaconsolidadoabr[[#This Row],[DESPESA FIXA]])</f>
        <v>0</v>
      </c>
      <c r="V38" s="91">
        <f>SUMIFS(tabela_registros[VALOR],tabela_registros[MÊS],$AE$1,tabela_registros[DIA],abrtotal305971[[#Headers],[18]],tabela_registros[REGISTRO],DADOS!$N$4,tabela_registros[TIPO],DADOS!$P$3,tabela_registros[CATEGORIA],despesafixaconsolidadoabr[[#This Row],[DESPESA FIXA]])</f>
        <v>0</v>
      </c>
      <c r="W38" s="91">
        <f>SUMIFS(tabela_registros[VALOR],tabela_registros[MÊS],$AE$1,tabela_registros[DIA],abrtotal305971[[#Headers],[19]],tabela_registros[REGISTRO],DADOS!$N$4,tabela_registros[TIPO],DADOS!$P$3,tabela_registros[CATEGORIA],despesafixaconsolidadoabr[[#This Row],[DESPESA FIXA]])</f>
        <v>0</v>
      </c>
      <c r="X38" s="91">
        <f>SUMIFS(tabela_registros[VALOR],tabela_registros[MÊS],$AE$1,tabela_registros[DIA],abrtotal305971[[#Headers],[20]],tabela_registros[REGISTRO],DADOS!$N$4,tabela_registros[TIPO],DADOS!$P$3,tabela_registros[CATEGORIA],despesafixaconsolidadoabr[[#This Row],[DESPESA FIXA]])</f>
        <v>0</v>
      </c>
      <c r="Y38" s="91">
        <f>SUMIFS(tabela_registros[VALOR],tabela_registros[MÊS],$AE$1,tabela_registros[DIA],abrtotal305971[[#Headers],[21]],tabela_registros[REGISTRO],DADOS!$N$4,tabela_registros[TIPO],DADOS!$P$3,tabela_registros[CATEGORIA],despesafixaconsolidadoabr[[#This Row],[DESPESA FIXA]])</f>
        <v>0</v>
      </c>
      <c r="Z38" s="91">
        <f>SUMIFS(tabela_registros[VALOR],tabela_registros[MÊS],$AE$1,tabela_registros[DIA],abrtotal305971[[#Headers],[22]],tabela_registros[REGISTRO],DADOS!$N$4,tabela_registros[TIPO],DADOS!$P$3,tabela_registros[CATEGORIA],despesafixaconsolidadoabr[[#This Row],[DESPESA FIXA]])</f>
        <v>0</v>
      </c>
      <c r="AA38" s="91">
        <f>SUMIFS(tabela_registros[VALOR],tabela_registros[MÊS],$AE$1,tabela_registros[DIA],abrtotal305971[[#Headers],[23]],tabela_registros[REGISTRO],DADOS!$N$4,tabela_registros[TIPO],DADOS!$P$3,tabela_registros[CATEGORIA],despesafixaconsolidadoabr[[#This Row],[DESPESA FIXA]])</f>
        <v>0</v>
      </c>
      <c r="AB38" s="91">
        <f>SUMIFS(tabela_registros[VALOR],tabela_registros[MÊS],$AE$1,tabela_registros[DIA],abrtotal305971[[#Headers],[24]],tabela_registros[REGISTRO],DADOS!$N$4,tabela_registros[TIPO],DADOS!$P$3,tabela_registros[CATEGORIA],despesafixaconsolidadoabr[[#This Row],[DESPESA FIXA]])</f>
        <v>0</v>
      </c>
      <c r="AC38" s="91">
        <f>SUMIFS(tabela_registros[VALOR],tabela_registros[MÊS],$AE$1,tabela_registros[DIA],abrtotal305971[[#Headers],[25]],tabela_registros[REGISTRO],DADOS!$N$4,tabela_registros[TIPO],DADOS!$P$3,tabela_registros[CATEGORIA],despesafixaconsolidadoabr[[#This Row],[DESPESA FIXA]])</f>
        <v>0</v>
      </c>
      <c r="AD38" s="91">
        <f>SUMIFS(tabela_registros[VALOR],tabela_registros[MÊS],$AE$1,tabela_registros[DIA],abrtotal305971[[#Headers],[26]],tabela_registros[REGISTRO],DADOS!$N$4,tabela_registros[TIPO],DADOS!$P$3,tabela_registros[CATEGORIA],despesafixaconsolidadoabr[[#This Row],[DESPESA FIXA]])</f>
        <v>0</v>
      </c>
      <c r="AE38" s="91">
        <f>SUMIFS(tabela_registros[VALOR],tabela_registros[MÊS],$AE$1,tabela_registros[DIA],abrtotal305971[[#Headers],[27]],tabela_registros[REGISTRO],DADOS!$N$4,tabela_registros[TIPO],DADOS!$P$3,tabela_registros[CATEGORIA],despesafixaconsolidadoabr[[#This Row],[DESPESA FIXA]])</f>
        <v>0</v>
      </c>
      <c r="AF38" s="91">
        <f>SUMIFS(tabela_registros[VALOR],tabela_registros[MÊS],$AE$1,tabela_registros[DIA],abrtotal305971[[#Headers],[28]],tabela_registros[REGISTRO],DADOS!$N$4,tabela_registros[TIPO],DADOS!$P$3,tabela_registros[CATEGORIA],despesafixaconsolidadoabr[[#This Row],[DESPESA FIXA]])</f>
        <v>0</v>
      </c>
      <c r="AG38" s="91">
        <f>SUMIFS(tabela_registros[VALOR],tabela_registros[MÊS],$AE$1,tabela_registros[DIA],abrtotal305971[[#Headers],[29]],tabela_registros[REGISTRO],DADOS!$N$4,tabela_registros[TIPO],DADOS!$P$3,tabela_registros[CATEGORIA],despesafixaconsolidadoabr[[#This Row],[DESPESA FIXA]])</f>
        <v>0</v>
      </c>
      <c r="AH38" s="91">
        <f>SUMIFS(tabela_registros[VALOR],tabela_registros[MÊS],$AE$1,tabela_registros[DIA],abrtotal305971[[#Headers],[30]],tabela_registros[REGISTRO],DADOS!$N$4,tabela_registros[TIPO],DADOS!$P$3,tabela_registros[CATEGORIA],despesafixaconsolidadoabr[[#This Row],[DESPESA FIXA]])</f>
        <v>0</v>
      </c>
      <c r="AI38" s="101">
        <f>SUMIFS(tabela_registros[VALOR],tabela_registros[MÊS],$AE$1,tabela_registros[DIA],abrtotal305971[[#Headers],[31]],tabela_registros[REGISTRO],DADOS!$N$4,tabela_registros[TIPO],DADOS!$P$3,tabela_registros[CATEGORIA],despesafixaconsolidadoabr[[#This Row],[DESPESA FIXA]])</f>
        <v>0</v>
      </c>
      <c r="AJ38" s="97">
        <f>SUM(despesafixaconsolidadoabr[[#This Row],[1]:[31]])</f>
        <v>0</v>
      </c>
      <c r="AK38" s="28"/>
    </row>
    <row r="39" spans="2:37" ht="18" customHeight="1" thickTop="1" thickBot="1" x14ac:dyDescent="0.3">
      <c r="B39" s="28"/>
      <c r="C39" s="27" t="str">
        <f>DADOS!$R$5</f>
        <v>🔖 ASSINATURAS E SERVIÇOS</v>
      </c>
      <c r="D39" s="26" t="str">
        <f>IF(despesafixaconsolidadoabr[[#This Row],[TOTAL]]=0,"",IF(OR(despesafixaconsolidadoabr[[#This Row],[TOTAL]]=LARGE($AJ$37:$AJ$50,1),despesafixaconsolidadoabr[[#This Row],[TOTAL]]=LARGE($AJ$37:$AJ$50,2),despesafixaconsolidadoabr[[#This Row],[TOTAL]]=LARGE($AJ$37:$AJ$50,3),despesafixaconsolidadoabr[[#This Row],[TOTAL]]=LARGE($AJ$37:$AJ$50,4),despesafixaconsolidadoabr[[#This Row],[TOTAL]]=LARGE($AJ$37:$AJ$50,5)),DADOS!$I$8,""))</f>
        <v/>
      </c>
      <c r="E39" s="96">
        <f>SUMIFS(tabela_registros[VALOR],tabela_registros[MÊS],$AE$1,tabela_registros[DIA],abrtotal305971[[#Headers],[1]],tabela_registros[REGISTRO],DADOS!$N$4,tabela_registros[TIPO],DADOS!$P$3,tabela_registros[CATEGORIA],despesafixaconsolidadoabr[[#This Row],[DESPESA FIXA]])</f>
        <v>0</v>
      </c>
      <c r="F39" s="91">
        <f>SUMIFS(tabela_registros[VALOR],tabela_registros[MÊS],$AE$1,tabela_registros[DIA],abrtotal305971[[#Headers],[2]],tabela_registros[REGISTRO],DADOS!$N$4,tabela_registros[TIPO],DADOS!$P$3,tabela_registros[CATEGORIA],despesafixaconsolidadoabr[[#This Row],[DESPESA FIXA]])</f>
        <v>0</v>
      </c>
      <c r="G39" s="91">
        <f>SUMIFS(tabela_registros[VALOR],tabela_registros[MÊS],$AE$1,tabela_registros[DIA],abrtotal305971[[#Headers],[3]],tabela_registros[REGISTRO],DADOS!$N$4,tabela_registros[TIPO],DADOS!$P$3,tabela_registros[CATEGORIA],despesafixaconsolidadoabr[[#This Row],[DESPESA FIXA]])</f>
        <v>0</v>
      </c>
      <c r="H39" s="91">
        <f>SUMIFS(tabela_registros[VALOR],tabela_registros[MÊS],$AE$1,tabela_registros[DIA],abrtotal305971[[#Headers],[4]],tabela_registros[REGISTRO],DADOS!$N$4,tabela_registros[TIPO],DADOS!$P$3,tabela_registros[CATEGORIA],despesafixaconsolidadoabr[[#This Row],[DESPESA FIXA]])</f>
        <v>0</v>
      </c>
      <c r="I39" s="91">
        <f>SUMIFS(tabela_registros[VALOR],tabela_registros[MÊS],$AE$1,tabela_registros[DIA],abrtotal305971[[#Headers],[5]],tabela_registros[REGISTRO],DADOS!$N$4,tabela_registros[TIPO],DADOS!$P$3,tabela_registros[CATEGORIA],despesafixaconsolidadoabr[[#This Row],[DESPESA FIXA]])</f>
        <v>0</v>
      </c>
      <c r="J39" s="91">
        <f>SUMIFS(tabela_registros[VALOR],tabela_registros[MÊS],$AE$1,tabela_registros[DIA],abrtotal305971[[#Headers],[6]],tabela_registros[REGISTRO],DADOS!$N$4,tabela_registros[TIPO],DADOS!$P$3,tabela_registros[CATEGORIA],despesafixaconsolidadoabr[[#This Row],[DESPESA FIXA]])</f>
        <v>0</v>
      </c>
      <c r="K39" s="91">
        <f>SUMIFS(tabela_registros[VALOR],tabela_registros[MÊS],$AE$1,tabela_registros[DIA],abrtotal305971[[#Headers],[7]],tabela_registros[REGISTRO],DADOS!$N$4,tabela_registros[TIPO],DADOS!$P$3,tabela_registros[CATEGORIA],despesafixaconsolidadoabr[[#This Row],[DESPESA FIXA]])</f>
        <v>0</v>
      </c>
      <c r="L39" s="91">
        <f>SUMIFS(tabela_registros[VALOR],tabela_registros[MÊS],$AE$1,tabela_registros[DIA],abrtotal305971[[#Headers],[8]],tabela_registros[REGISTRO],DADOS!$N$4,tabela_registros[TIPO],DADOS!$P$3,tabela_registros[CATEGORIA],despesafixaconsolidadoabr[[#This Row],[DESPESA FIXA]])</f>
        <v>0</v>
      </c>
      <c r="M39" s="91">
        <f>SUMIFS(tabela_registros[VALOR],tabela_registros[MÊS],$AE$1,tabela_registros[DIA],abrtotal305971[[#Headers],[9]],tabela_registros[REGISTRO],DADOS!$N$4,tabela_registros[TIPO],DADOS!$P$3,tabela_registros[CATEGORIA],despesafixaconsolidadoabr[[#This Row],[DESPESA FIXA]])</f>
        <v>0</v>
      </c>
      <c r="N39" s="91">
        <f>SUMIFS(tabela_registros[VALOR],tabela_registros[MÊS],$AE$1,tabela_registros[DIA],abrtotal305971[[#Headers],[10]],tabela_registros[REGISTRO],DADOS!$N$4,tabela_registros[TIPO],DADOS!$P$3,tabela_registros[CATEGORIA],despesafixaconsolidadoabr[[#This Row],[DESPESA FIXA]])</f>
        <v>0</v>
      </c>
      <c r="O39" s="91">
        <f>SUMIFS(tabela_registros[VALOR],tabela_registros[MÊS],$AE$1,tabela_registros[DIA],abrtotal305971[[#Headers],[11]],tabela_registros[REGISTRO],DADOS!$N$4,tabela_registros[TIPO],DADOS!$P$3,tabela_registros[CATEGORIA],despesafixaconsolidadoabr[[#This Row],[DESPESA FIXA]])</f>
        <v>0</v>
      </c>
      <c r="P39" s="91">
        <f>SUMIFS(tabela_registros[VALOR],tabela_registros[MÊS],$AE$1,tabela_registros[DIA],abrtotal305971[[#Headers],[12]],tabela_registros[REGISTRO],DADOS!$N$4,tabela_registros[TIPO],DADOS!$P$3,tabela_registros[CATEGORIA],despesafixaconsolidadoabr[[#This Row],[DESPESA FIXA]])</f>
        <v>0</v>
      </c>
      <c r="Q39" s="91">
        <f>SUMIFS(tabela_registros[VALOR],tabela_registros[MÊS],$AE$1,tabela_registros[DIA],abrtotal305971[[#Headers],[13]],tabela_registros[REGISTRO],DADOS!$N$4,tabela_registros[TIPO],DADOS!$P$3,tabela_registros[CATEGORIA],despesafixaconsolidadoabr[[#This Row],[DESPESA FIXA]])</f>
        <v>0</v>
      </c>
      <c r="R39" s="91">
        <f>SUMIFS(tabela_registros[VALOR],tabela_registros[MÊS],$AE$1,tabela_registros[DIA],abrtotal305971[[#Headers],[14]],tabela_registros[REGISTRO],DADOS!$N$4,tabela_registros[TIPO],DADOS!$P$3,tabela_registros[CATEGORIA],despesafixaconsolidadoabr[[#This Row],[DESPESA FIXA]])</f>
        <v>0</v>
      </c>
      <c r="S39" s="91">
        <f>SUMIFS(tabela_registros[VALOR],tabela_registros[MÊS],$AE$1,tabela_registros[DIA],abrtotal305971[[#Headers],[15]],tabela_registros[REGISTRO],DADOS!$N$4,tabela_registros[TIPO],DADOS!$P$3,tabela_registros[CATEGORIA],despesafixaconsolidadoabr[[#This Row],[DESPESA FIXA]])</f>
        <v>0</v>
      </c>
      <c r="T39" s="91">
        <f>SUMIFS(tabela_registros[VALOR],tabela_registros[MÊS],$AE$1,tabela_registros[DIA],abrtotal305971[[#Headers],[16]],tabela_registros[REGISTRO],DADOS!$N$4,tabela_registros[TIPO],DADOS!$P$3,tabela_registros[CATEGORIA],despesafixaconsolidadoabr[[#This Row],[DESPESA FIXA]])</f>
        <v>0</v>
      </c>
      <c r="U39" s="91">
        <f>SUMIFS(tabela_registros[VALOR],tabela_registros[MÊS],$AE$1,tabela_registros[DIA],abrtotal305971[[#Headers],[17]],tabela_registros[REGISTRO],DADOS!$N$4,tabela_registros[TIPO],DADOS!$P$3,tabela_registros[CATEGORIA],despesafixaconsolidadoabr[[#This Row],[DESPESA FIXA]])</f>
        <v>0</v>
      </c>
      <c r="V39" s="91">
        <f>SUMIFS(tabela_registros[VALOR],tabela_registros[MÊS],$AE$1,tabela_registros[DIA],abrtotal305971[[#Headers],[18]],tabela_registros[REGISTRO],DADOS!$N$4,tabela_registros[TIPO],DADOS!$P$3,tabela_registros[CATEGORIA],despesafixaconsolidadoabr[[#This Row],[DESPESA FIXA]])</f>
        <v>0</v>
      </c>
      <c r="W39" s="91">
        <f>SUMIFS(tabela_registros[VALOR],tabela_registros[MÊS],$AE$1,tabela_registros[DIA],abrtotal305971[[#Headers],[19]],tabela_registros[REGISTRO],DADOS!$N$4,tabela_registros[TIPO],DADOS!$P$3,tabela_registros[CATEGORIA],despesafixaconsolidadoabr[[#This Row],[DESPESA FIXA]])</f>
        <v>0</v>
      </c>
      <c r="X39" s="91">
        <f>SUMIFS(tabela_registros[VALOR],tabela_registros[MÊS],$AE$1,tabela_registros[DIA],abrtotal305971[[#Headers],[20]],tabela_registros[REGISTRO],DADOS!$N$4,tabela_registros[TIPO],DADOS!$P$3,tabela_registros[CATEGORIA],despesafixaconsolidadoabr[[#This Row],[DESPESA FIXA]])</f>
        <v>0</v>
      </c>
      <c r="Y39" s="91">
        <f>SUMIFS(tabela_registros[VALOR],tabela_registros[MÊS],$AE$1,tabela_registros[DIA],abrtotal305971[[#Headers],[21]],tabela_registros[REGISTRO],DADOS!$N$4,tabela_registros[TIPO],DADOS!$P$3,tabela_registros[CATEGORIA],despesafixaconsolidadoabr[[#This Row],[DESPESA FIXA]])</f>
        <v>0</v>
      </c>
      <c r="Z39" s="91">
        <f>SUMIFS(tabela_registros[VALOR],tabela_registros[MÊS],$AE$1,tabela_registros[DIA],abrtotal305971[[#Headers],[22]],tabela_registros[REGISTRO],DADOS!$N$4,tabela_registros[TIPO],DADOS!$P$3,tabela_registros[CATEGORIA],despesafixaconsolidadoabr[[#This Row],[DESPESA FIXA]])</f>
        <v>0</v>
      </c>
      <c r="AA39" s="91">
        <f>SUMIFS(tabela_registros[VALOR],tabela_registros[MÊS],$AE$1,tabela_registros[DIA],abrtotal305971[[#Headers],[23]],tabela_registros[REGISTRO],DADOS!$N$4,tabela_registros[TIPO],DADOS!$P$3,tabela_registros[CATEGORIA],despesafixaconsolidadoabr[[#This Row],[DESPESA FIXA]])</f>
        <v>0</v>
      </c>
      <c r="AB39" s="91">
        <f>SUMIFS(tabela_registros[VALOR],tabela_registros[MÊS],$AE$1,tabela_registros[DIA],abrtotal305971[[#Headers],[24]],tabela_registros[REGISTRO],DADOS!$N$4,tabela_registros[TIPO],DADOS!$P$3,tabela_registros[CATEGORIA],despesafixaconsolidadoabr[[#This Row],[DESPESA FIXA]])</f>
        <v>0</v>
      </c>
      <c r="AC39" s="91">
        <f>SUMIFS(tabela_registros[VALOR],tabela_registros[MÊS],$AE$1,tabela_registros[DIA],abrtotal305971[[#Headers],[25]],tabela_registros[REGISTRO],DADOS!$N$4,tabela_registros[TIPO],DADOS!$P$3,tabela_registros[CATEGORIA],despesafixaconsolidadoabr[[#This Row],[DESPESA FIXA]])</f>
        <v>0</v>
      </c>
      <c r="AD39" s="91">
        <f>SUMIFS(tabela_registros[VALOR],tabela_registros[MÊS],$AE$1,tabela_registros[DIA],abrtotal305971[[#Headers],[26]],tabela_registros[REGISTRO],DADOS!$N$4,tabela_registros[TIPO],DADOS!$P$3,tabela_registros[CATEGORIA],despesafixaconsolidadoabr[[#This Row],[DESPESA FIXA]])</f>
        <v>0</v>
      </c>
      <c r="AE39" s="91">
        <f>SUMIFS(tabela_registros[VALOR],tabela_registros[MÊS],$AE$1,tabela_registros[DIA],abrtotal305971[[#Headers],[27]],tabela_registros[REGISTRO],DADOS!$N$4,tabela_registros[TIPO],DADOS!$P$3,tabela_registros[CATEGORIA],despesafixaconsolidadoabr[[#This Row],[DESPESA FIXA]])</f>
        <v>0</v>
      </c>
      <c r="AF39" s="91">
        <f>SUMIFS(tabela_registros[VALOR],tabela_registros[MÊS],$AE$1,tabela_registros[DIA],abrtotal305971[[#Headers],[28]],tabela_registros[REGISTRO],DADOS!$N$4,tabela_registros[TIPO],DADOS!$P$3,tabela_registros[CATEGORIA],despesafixaconsolidadoabr[[#This Row],[DESPESA FIXA]])</f>
        <v>0</v>
      </c>
      <c r="AG39" s="91">
        <f>SUMIFS(tabela_registros[VALOR],tabela_registros[MÊS],$AE$1,tabela_registros[DIA],abrtotal305971[[#Headers],[29]],tabela_registros[REGISTRO],DADOS!$N$4,tabela_registros[TIPO],DADOS!$P$3,tabela_registros[CATEGORIA],despesafixaconsolidadoabr[[#This Row],[DESPESA FIXA]])</f>
        <v>0</v>
      </c>
      <c r="AH39" s="91">
        <f>SUMIFS(tabela_registros[VALOR],tabela_registros[MÊS],$AE$1,tabela_registros[DIA],abrtotal305971[[#Headers],[30]],tabela_registros[REGISTRO],DADOS!$N$4,tabela_registros[TIPO],DADOS!$P$3,tabela_registros[CATEGORIA],despesafixaconsolidadoabr[[#This Row],[DESPESA FIXA]])</f>
        <v>0</v>
      </c>
      <c r="AI39" s="101">
        <f>SUMIFS(tabela_registros[VALOR],tabela_registros[MÊS],$AE$1,tabela_registros[DIA],abrtotal305971[[#Headers],[31]],tabela_registros[REGISTRO],DADOS!$N$4,tabela_registros[TIPO],DADOS!$P$3,tabela_registros[CATEGORIA],despesafixaconsolidadoabr[[#This Row],[DESPESA FIXA]])</f>
        <v>0</v>
      </c>
      <c r="AJ39" s="97">
        <f>SUM(despesafixaconsolidadoabr[[#This Row],[1]:[31]])</f>
        <v>0</v>
      </c>
      <c r="AK39" s="28"/>
    </row>
    <row r="40" spans="2:37" ht="18" customHeight="1" thickTop="1" thickBot="1" x14ac:dyDescent="0.3">
      <c r="B40" s="28"/>
      <c r="C40" s="27" t="str">
        <f>DADOS!$R$6</f>
        <v>📱 CELULAR</v>
      </c>
      <c r="D40" s="26" t="str">
        <f>IF(despesafixaconsolidadoabr[[#This Row],[TOTAL]]=0,"",IF(OR(despesafixaconsolidadoabr[[#This Row],[TOTAL]]=LARGE($AJ$37:$AJ$50,1),despesafixaconsolidadoabr[[#This Row],[TOTAL]]=LARGE($AJ$37:$AJ$50,2),despesafixaconsolidadoabr[[#This Row],[TOTAL]]=LARGE($AJ$37:$AJ$50,3),despesafixaconsolidadoabr[[#This Row],[TOTAL]]=LARGE($AJ$37:$AJ$50,4),despesafixaconsolidadoabr[[#This Row],[TOTAL]]=LARGE($AJ$37:$AJ$50,5)),DADOS!$I$8,""))</f>
        <v/>
      </c>
      <c r="E40" s="96">
        <f>SUMIFS(tabela_registros[VALOR],tabela_registros[MÊS],$AE$1,tabela_registros[DIA],abrtotal305971[[#Headers],[1]],tabela_registros[REGISTRO],DADOS!$N$4,tabela_registros[TIPO],DADOS!$P$3,tabela_registros[CATEGORIA],despesafixaconsolidadoabr[[#This Row],[DESPESA FIXA]])</f>
        <v>0</v>
      </c>
      <c r="F40" s="91">
        <f>SUMIFS(tabela_registros[VALOR],tabela_registros[MÊS],$AE$1,tabela_registros[DIA],abrtotal305971[[#Headers],[2]],tabela_registros[REGISTRO],DADOS!$N$4,tabela_registros[TIPO],DADOS!$P$3,tabela_registros[CATEGORIA],despesafixaconsolidadoabr[[#This Row],[DESPESA FIXA]])</f>
        <v>0</v>
      </c>
      <c r="G40" s="91">
        <f>SUMIFS(tabela_registros[VALOR],tabela_registros[MÊS],$AE$1,tabela_registros[DIA],abrtotal305971[[#Headers],[3]],tabela_registros[REGISTRO],DADOS!$N$4,tabela_registros[TIPO],DADOS!$P$3,tabela_registros[CATEGORIA],despesafixaconsolidadoabr[[#This Row],[DESPESA FIXA]])</f>
        <v>0</v>
      </c>
      <c r="H40" s="91">
        <f>SUMIFS(tabela_registros[VALOR],tabela_registros[MÊS],$AE$1,tabela_registros[DIA],abrtotal305971[[#Headers],[4]],tabela_registros[REGISTRO],DADOS!$N$4,tabela_registros[TIPO],DADOS!$P$3,tabela_registros[CATEGORIA],despesafixaconsolidadoabr[[#This Row],[DESPESA FIXA]])</f>
        <v>0</v>
      </c>
      <c r="I40" s="91">
        <f>SUMIFS(tabela_registros[VALOR],tabela_registros[MÊS],$AE$1,tabela_registros[DIA],abrtotal305971[[#Headers],[5]],tabela_registros[REGISTRO],DADOS!$N$4,tabela_registros[TIPO],DADOS!$P$3,tabela_registros[CATEGORIA],despesafixaconsolidadoabr[[#This Row],[DESPESA FIXA]])</f>
        <v>0</v>
      </c>
      <c r="J40" s="91">
        <f>SUMIFS(tabela_registros[VALOR],tabela_registros[MÊS],$AE$1,tabela_registros[DIA],abrtotal305971[[#Headers],[6]],tabela_registros[REGISTRO],DADOS!$N$4,tabela_registros[TIPO],DADOS!$P$3,tabela_registros[CATEGORIA],despesafixaconsolidadoabr[[#This Row],[DESPESA FIXA]])</f>
        <v>0</v>
      </c>
      <c r="K40" s="91">
        <f>SUMIFS(tabela_registros[VALOR],tabela_registros[MÊS],$AE$1,tabela_registros[DIA],abrtotal305971[[#Headers],[7]],tabela_registros[REGISTRO],DADOS!$N$4,tabela_registros[TIPO],DADOS!$P$3,tabela_registros[CATEGORIA],despesafixaconsolidadoabr[[#This Row],[DESPESA FIXA]])</f>
        <v>0</v>
      </c>
      <c r="L40" s="91">
        <f>SUMIFS(tabela_registros[VALOR],tabela_registros[MÊS],$AE$1,tabela_registros[DIA],abrtotal305971[[#Headers],[8]],tabela_registros[REGISTRO],DADOS!$N$4,tabela_registros[TIPO],DADOS!$P$3,tabela_registros[CATEGORIA],despesafixaconsolidadoabr[[#This Row],[DESPESA FIXA]])</f>
        <v>0</v>
      </c>
      <c r="M40" s="91">
        <f>SUMIFS(tabela_registros[VALOR],tabela_registros[MÊS],$AE$1,tabela_registros[DIA],abrtotal305971[[#Headers],[9]],tabela_registros[REGISTRO],DADOS!$N$4,tabela_registros[TIPO],DADOS!$P$3,tabela_registros[CATEGORIA],despesafixaconsolidadoabr[[#This Row],[DESPESA FIXA]])</f>
        <v>0</v>
      </c>
      <c r="N40" s="91">
        <f>SUMIFS(tabela_registros[VALOR],tabela_registros[MÊS],$AE$1,tabela_registros[DIA],abrtotal305971[[#Headers],[10]],tabela_registros[REGISTRO],DADOS!$N$4,tabela_registros[TIPO],DADOS!$P$3,tabela_registros[CATEGORIA],despesafixaconsolidadoabr[[#This Row],[DESPESA FIXA]])</f>
        <v>0</v>
      </c>
      <c r="O40" s="91">
        <f>SUMIFS(tabela_registros[VALOR],tabela_registros[MÊS],$AE$1,tabela_registros[DIA],abrtotal305971[[#Headers],[11]],tabela_registros[REGISTRO],DADOS!$N$4,tabela_registros[TIPO],DADOS!$P$3,tabela_registros[CATEGORIA],despesafixaconsolidadoabr[[#This Row],[DESPESA FIXA]])</f>
        <v>0</v>
      </c>
      <c r="P40" s="91">
        <f>SUMIFS(tabela_registros[VALOR],tabela_registros[MÊS],$AE$1,tabela_registros[DIA],abrtotal305971[[#Headers],[12]],tabela_registros[REGISTRO],DADOS!$N$4,tabela_registros[TIPO],DADOS!$P$3,tabela_registros[CATEGORIA],despesafixaconsolidadoabr[[#This Row],[DESPESA FIXA]])</f>
        <v>0</v>
      </c>
      <c r="Q40" s="91">
        <f>SUMIFS(tabela_registros[VALOR],tabela_registros[MÊS],$AE$1,tabela_registros[DIA],abrtotal305971[[#Headers],[13]],tabela_registros[REGISTRO],DADOS!$N$4,tabela_registros[TIPO],DADOS!$P$3,tabela_registros[CATEGORIA],despesafixaconsolidadoabr[[#This Row],[DESPESA FIXA]])</f>
        <v>0</v>
      </c>
      <c r="R40" s="91">
        <f>SUMIFS(tabela_registros[VALOR],tabela_registros[MÊS],$AE$1,tabela_registros[DIA],abrtotal305971[[#Headers],[14]],tabela_registros[REGISTRO],DADOS!$N$4,tabela_registros[TIPO],DADOS!$P$3,tabela_registros[CATEGORIA],despesafixaconsolidadoabr[[#This Row],[DESPESA FIXA]])</f>
        <v>0</v>
      </c>
      <c r="S40" s="91">
        <f>SUMIFS(tabela_registros[VALOR],tabela_registros[MÊS],$AE$1,tabela_registros[DIA],abrtotal305971[[#Headers],[15]],tabela_registros[REGISTRO],DADOS!$N$4,tabela_registros[TIPO],DADOS!$P$3,tabela_registros[CATEGORIA],despesafixaconsolidadoabr[[#This Row],[DESPESA FIXA]])</f>
        <v>0</v>
      </c>
      <c r="T40" s="91">
        <f>SUMIFS(tabela_registros[VALOR],tabela_registros[MÊS],$AE$1,tabela_registros[DIA],abrtotal305971[[#Headers],[16]],tabela_registros[REGISTRO],DADOS!$N$4,tabela_registros[TIPO],DADOS!$P$3,tabela_registros[CATEGORIA],despesafixaconsolidadoabr[[#This Row],[DESPESA FIXA]])</f>
        <v>0</v>
      </c>
      <c r="U40" s="91">
        <f>SUMIFS(tabela_registros[VALOR],tabela_registros[MÊS],$AE$1,tabela_registros[DIA],abrtotal305971[[#Headers],[17]],tabela_registros[REGISTRO],DADOS!$N$4,tabela_registros[TIPO],DADOS!$P$3,tabela_registros[CATEGORIA],despesafixaconsolidadoabr[[#This Row],[DESPESA FIXA]])</f>
        <v>0</v>
      </c>
      <c r="V40" s="91">
        <f>SUMIFS(tabela_registros[VALOR],tabela_registros[MÊS],$AE$1,tabela_registros[DIA],abrtotal305971[[#Headers],[18]],tabela_registros[REGISTRO],DADOS!$N$4,tabela_registros[TIPO],DADOS!$P$3,tabela_registros[CATEGORIA],despesafixaconsolidadoabr[[#This Row],[DESPESA FIXA]])</f>
        <v>0</v>
      </c>
      <c r="W40" s="91">
        <f>SUMIFS(tabela_registros[VALOR],tabela_registros[MÊS],$AE$1,tabela_registros[DIA],abrtotal305971[[#Headers],[19]],tabela_registros[REGISTRO],DADOS!$N$4,tabela_registros[TIPO],DADOS!$P$3,tabela_registros[CATEGORIA],despesafixaconsolidadoabr[[#This Row],[DESPESA FIXA]])</f>
        <v>0</v>
      </c>
      <c r="X40" s="91">
        <f>SUMIFS(tabela_registros[VALOR],tabela_registros[MÊS],$AE$1,tabela_registros[DIA],abrtotal305971[[#Headers],[20]],tabela_registros[REGISTRO],DADOS!$N$4,tabela_registros[TIPO],DADOS!$P$3,tabela_registros[CATEGORIA],despesafixaconsolidadoabr[[#This Row],[DESPESA FIXA]])</f>
        <v>0</v>
      </c>
      <c r="Y40" s="91">
        <f>SUMIFS(tabela_registros[VALOR],tabela_registros[MÊS],$AE$1,tabela_registros[DIA],abrtotal305971[[#Headers],[21]],tabela_registros[REGISTRO],DADOS!$N$4,tabela_registros[TIPO],DADOS!$P$3,tabela_registros[CATEGORIA],despesafixaconsolidadoabr[[#This Row],[DESPESA FIXA]])</f>
        <v>0</v>
      </c>
      <c r="Z40" s="91">
        <f>SUMIFS(tabela_registros[VALOR],tabela_registros[MÊS],$AE$1,tabela_registros[DIA],abrtotal305971[[#Headers],[22]],tabela_registros[REGISTRO],DADOS!$N$4,tabela_registros[TIPO],DADOS!$P$3,tabela_registros[CATEGORIA],despesafixaconsolidadoabr[[#This Row],[DESPESA FIXA]])</f>
        <v>0</v>
      </c>
      <c r="AA40" s="91">
        <f>SUMIFS(tabela_registros[VALOR],tabela_registros[MÊS],$AE$1,tabela_registros[DIA],abrtotal305971[[#Headers],[23]],tabela_registros[REGISTRO],DADOS!$N$4,tabela_registros[TIPO],DADOS!$P$3,tabela_registros[CATEGORIA],despesafixaconsolidadoabr[[#This Row],[DESPESA FIXA]])</f>
        <v>0</v>
      </c>
      <c r="AB40" s="91">
        <f>SUMIFS(tabela_registros[VALOR],tabela_registros[MÊS],$AE$1,tabela_registros[DIA],abrtotal305971[[#Headers],[24]],tabela_registros[REGISTRO],DADOS!$N$4,tabela_registros[TIPO],DADOS!$P$3,tabela_registros[CATEGORIA],despesafixaconsolidadoabr[[#This Row],[DESPESA FIXA]])</f>
        <v>0</v>
      </c>
      <c r="AC40" s="91">
        <f>SUMIFS(tabela_registros[VALOR],tabela_registros[MÊS],$AE$1,tabela_registros[DIA],abrtotal305971[[#Headers],[25]],tabela_registros[REGISTRO],DADOS!$N$4,tabela_registros[TIPO],DADOS!$P$3,tabela_registros[CATEGORIA],despesafixaconsolidadoabr[[#This Row],[DESPESA FIXA]])</f>
        <v>0</v>
      </c>
      <c r="AD40" s="91">
        <f>SUMIFS(tabela_registros[VALOR],tabela_registros[MÊS],$AE$1,tabela_registros[DIA],abrtotal305971[[#Headers],[26]],tabela_registros[REGISTRO],DADOS!$N$4,tabela_registros[TIPO],DADOS!$P$3,tabela_registros[CATEGORIA],despesafixaconsolidadoabr[[#This Row],[DESPESA FIXA]])</f>
        <v>0</v>
      </c>
      <c r="AE40" s="91">
        <f>SUMIFS(tabela_registros[VALOR],tabela_registros[MÊS],$AE$1,tabela_registros[DIA],abrtotal305971[[#Headers],[27]],tabela_registros[REGISTRO],DADOS!$N$4,tabela_registros[TIPO],DADOS!$P$3,tabela_registros[CATEGORIA],despesafixaconsolidadoabr[[#This Row],[DESPESA FIXA]])</f>
        <v>0</v>
      </c>
      <c r="AF40" s="91">
        <f>SUMIFS(tabela_registros[VALOR],tabela_registros[MÊS],$AE$1,tabela_registros[DIA],abrtotal305971[[#Headers],[28]],tabela_registros[REGISTRO],DADOS!$N$4,tabela_registros[TIPO],DADOS!$P$3,tabela_registros[CATEGORIA],despesafixaconsolidadoabr[[#This Row],[DESPESA FIXA]])</f>
        <v>0</v>
      </c>
      <c r="AG40" s="91">
        <f>SUMIFS(tabela_registros[VALOR],tabela_registros[MÊS],$AE$1,tabela_registros[DIA],abrtotal305971[[#Headers],[29]],tabela_registros[REGISTRO],DADOS!$N$4,tabela_registros[TIPO],DADOS!$P$3,tabela_registros[CATEGORIA],despesafixaconsolidadoabr[[#This Row],[DESPESA FIXA]])</f>
        <v>0</v>
      </c>
      <c r="AH40" s="91">
        <f>SUMIFS(tabela_registros[VALOR],tabela_registros[MÊS],$AE$1,tabela_registros[DIA],abrtotal305971[[#Headers],[30]],tabela_registros[REGISTRO],DADOS!$N$4,tabela_registros[TIPO],DADOS!$P$3,tabela_registros[CATEGORIA],despesafixaconsolidadoabr[[#This Row],[DESPESA FIXA]])</f>
        <v>0</v>
      </c>
      <c r="AI40" s="101">
        <f>SUMIFS(tabela_registros[VALOR],tabela_registros[MÊS],$AE$1,tabela_registros[DIA],abrtotal305971[[#Headers],[31]],tabela_registros[REGISTRO],DADOS!$N$4,tabela_registros[TIPO],DADOS!$P$3,tabela_registros[CATEGORIA],despesafixaconsolidadoabr[[#This Row],[DESPESA FIXA]])</f>
        <v>0</v>
      </c>
      <c r="AJ40" s="97">
        <f>SUM(despesafixaconsolidadoabr[[#This Row],[1]:[31]])</f>
        <v>0</v>
      </c>
      <c r="AK40" s="28"/>
    </row>
    <row r="41" spans="2:37" ht="18" customHeight="1" thickTop="1" thickBot="1" x14ac:dyDescent="0.3">
      <c r="B41" s="28"/>
      <c r="C41" s="27" t="str">
        <f>DADOS!$R$7</f>
        <v>📖 EDUCAÇÃO</v>
      </c>
      <c r="D41" s="26" t="str">
        <f>IF(despesafixaconsolidadoabr[[#This Row],[TOTAL]]=0,"",IF(OR(despesafixaconsolidadoabr[[#This Row],[TOTAL]]=LARGE($AJ$37:$AJ$50,1),despesafixaconsolidadoabr[[#This Row],[TOTAL]]=LARGE($AJ$37:$AJ$50,2),despesafixaconsolidadoabr[[#This Row],[TOTAL]]=LARGE($AJ$37:$AJ$50,3),despesafixaconsolidadoabr[[#This Row],[TOTAL]]=LARGE($AJ$37:$AJ$50,4),despesafixaconsolidadoabr[[#This Row],[TOTAL]]=LARGE($AJ$37:$AJ$50,5)),DADOS!$I$8,""))</f>
        <v/>
      </c>
      <c r="E41" s="96">
        <f>SUMIFS(tabela_registros[VALOR],tabela_registros[MÊS],$AE$1,tabela_registros[DIA],abrtotal305971[[#Headers],[1]],tabela_registros[REGISTRO],DADOS!$N$4,tabela_registros[TIPO],DADOS!$P$3,tabela_registros[CATEGORIA],despesafixaconsolidadoabr[[#This Row],[DESPESA FIXA]])</f>
        <v>0</v>
      </c>
      <c r="F41" s="91">
        <f>SUMIFS(tabela_registros[VALOR],tabela_registros[MÊS],$AE$1,tabela_registros[DIA],abrtotal305971[[#Headers],[2]],tabela_registros[REGISTRO],DADOS!$N$4,tabela_registros[TIPO],DADOS!$P$3,tabela_registros[CATEGORIA],despesafixaconsolidadoabr[[#This Row],[DESPESA FIXA]])</f>
        <v>0</v>
      </c>
      <c r="G41" s="91">
        <f>SUMIFS(tabela_registros[VALOR],tabela_registros[MÊS],$AE$1,tabela_registros[DIA],abrtotal305971[[#Headers],[3]],tabela_registros[REGISTRO],DADOS!$N$4,tabela_registros[TIPO],DADOS!$P$3,tabela_registros[CATEGORIA],despesafixaconsolidadoabr[[#This Row],[DESPESA FIXA]])</f>
        <v>0</v>
      </c>
      <c r="H41" s="91">
        <f>SUMIFS(tabela_registros[VALOR],tabela_registros[MÊS],$AE$1,tabela_registros[DIA],abrtotal305971[[#Headers],[4]],tabela_registros[REGISTRO],DADOS!$N$4,tabela_registros[TIPO],DADOS!$P$3,tabela_registros[CATEGORIA],despesafixaconsolidadoabr[[#This Row],[DESPESA FIXA]])</f>
        <v>0</v>
      </c>
      <c r="I41" s="91">
        <f>SUMIFS(tabela_registros[VALOR],tabela_registros[MÊS],$AE$1,tabela_registros[DIA],abrtotal305971[[#Headers],[5]],tabela_registros[REGISTRO],DADOS!$N$4,tabela_registros[TIPO],DADOS!$P$3,tabela_registros[CATEGORIA],despesafixaconsolidadoabr[[#This Row],[DESPESA FIXA]])</f>
        <v>0</v>
      </c>
      <c r="J41" s="91">
        <f>SUMIFS(tabela_registros[VALOR],tabela_registros[MÊS],$AE$1,tabela_registros[DIA],abrtotal305971[[#Headers],[6]],tabela_registros[REGISTRO],DADOS!$N$4,tabela_registros[TIPO],DADOS!$P$3,tabela_registros[CATEGORIA],despesafixaconsolidadoabr[[#This Row],[DESPESA FIXA]])</f>
        <v>0</v>
      </c>
      <c r="K41" s="91">
        <f>SUMIFS(tabela_registros[VALOR],tabela_registros[MÊS],$AE$1,tabela_registros[DIA],abrtotal305971[[#Headers],[7]],tabela_registros[REGISTRO],DADOS!$N$4,tabela_registros[TIPO],DADOS!$P$3,tabela_registros[CATEGORIA],despesafixaconsolidadoabr[[#This Row],[DESPESA FIXA]])</f>
        <v>0</v>
      </c>
      <c r="L41" s="91">
        <f>SUMIFS(tabela_registros[VALOR],tabela_registros[MÊS],$AE$1,tabela_registros[DIA],abrtotal305971[[#Headers],[8]],tabela_registros[REGISTRO],DADOS!$N$4,tabela_registros[TIPO],DADOS!$P$3,tabela_registros[CATEGORIA],despesafixaconsolidadoabr[[#This Row],[DESPESA FIXA]])</f>
        <v>0</v>
      </c>
      <c r="M41" s="91">
        <f>SUMIFS(tabela_registros[VALOR],tabela_registros[MÊS],$AE$1,tabela_registros[DIA],abrtotal305971[[#Headers],[9]],tabela_registros[REGISTRO],DADOS!$N$4,tabela_registros[TIPO],DADOS!$P$3,tabela_registros[CATEGORIA],despesafixaconsolidadoabr[[#This Row],[DESPESA FIXA]])</f>
        <v>0</v>
      </c>
      <c r="N41" s="91">
        <f>SUMIFS(tabela_registros[VALOR],tabela_registros[MÊS],$AE$1,tabela_registros[DIA],abrtotal305971[[#Headers],[10]],tabela_registros[REGISTRO],DADOS!$N$4,tabela_registros[TIPO],DADOS!$P$3,tabela_registros[CATEGORIA],despesafixaconsolidadoabr[[#This Row],[DESPESA FIXA]])</f>
        <v>0</v>
      </c>
      <c r="O41" s="91">
        <f>SUMIFS(tabela_registros[VALOR],tabela_registros[MÊS],$AE$1,tabela_registros[DIA],abrtotal305971[[#Headers],[11]],tabela_registros[REGISTRO],DADOS!$N$4,tabela_registros[TIPO],DADOS!$P$3,tabela_registros[CATEGORIA],despesafixaconsolidadoabr[[#This Row],[DESPESA FIXA]])</f>
        <v>0</v>
      </c>
      <c r="P41" s="91">
        <f>SUMIFS(tabela_registros[VALOR],tabela_registros[MÊS],$AE$1,tabela_registros[DIA],abrtotal305971[[#Headers],[12]],tabela_registros[REGISTRO],DADOS!$N$4,tabela_registros[TIPO],DADOS!$P$3,tabela_registros[CATEGORIA],despesafixaconsolidadoabr[[#This Row],[DESPESA FIXA]])</f>
        <v>0</v>
      </c>
      <c r="Q41" s="91">
        <f>SUMIFS(tabela_registros[VALOR],tabela_registros[MÊS],$AE$1,tabela_registros[DIA],abrtotal305971[[#Headers],[13]],tabela_registros[REGISTRO],DADOS!$N$4,tabela_registros[TIPO],DADOS!$P$3,tabela_registros[CATEGORIA],despesafixaconsolidadoabr[[#This Row],[DESPESA FIXA]])</f>
        <v>0</v>
      </c>
      <c r="R41" s="91">
        <f>SUMIFS(tabela_registros[VALOR],tabela_registros[MÊS],$AE$1,tabela_registros[DIA],abrtotal305971[[#Headers],[14]],tabela_registros[REGISTRO],DADOS!$N$4,tabela_registros[TIPO],DADOS!$P$3,tabela_registros[CATEGORIA],despesafixaconsolidadoabr[[#This Row],[DESPESA FIXA]])</f>
        <v>0</v>
      </c>
      <c r="S41" s="91">
        <f>SUMIFS(tabela_registros[VALOR],tabela_registros[MÊS],$AE$1,tabela_registros[DIA],abrtotal305971[[#Headers],[15]],tabela_registros[REGISTRO],DADOS!$N$4,tabela_registros[TIPO],DADOS!$P$3,tabela_registros[CATEGORIA],despesafixaconsolidadoabr[[#This Row],[DESPESA FIXA]])</f>
        <v>0</v>
      </c>
      <c r="T41" s="91">
        <f>SUMIFS(tabela_registros[VALOR],tabela_registros[MÊS],$AE$1,tabela_registros[DIA],abrtotal305971[[#Headers],[16]],tabela_registros[REGISTRO],DADOS!$N$4,tabela_registros[TIPO],DADOS!$P$3,tabela_registros[CATEGORIA],despesafixaconsolidadoabr[[#This Row],[DESPESA FIXA]])</f>
        <v>0</v>
      </c>
      <c r="U41" s="91">
        <f>SUMIFS(tabela_registros[VALOR],tabela_registros[MÊS],$AE$1,tabela_registros[DIA],abrtotal305971[[#Headers],[17]],tabela_registros[REGISTRO],DADOS!$N$4,tabela_registros[TIPO],DADOS!$P$3,tabela_registros[CATEGORIA],despesafixaconsolidadoabr[[#This Row],[DESPESA FIXA]])</f>
        <v>0</v>
      </c>
      <c r="V41" s="91">
        <f>SUMIFS(tabela_registros[VALOR],tabela_registros[MÊS],$AE$1,tabela_registros[DIA],abrtotal305971[[#Headers],[18]],tabela_registros[REGISTRO],DADOS!$N$4,tabela_registros[TIPO],DADOS!$P$3,tabela_registros[CATEGORIA],despesafixaconsolidadoabr[[#This Row],[DESPESA FIXA]])</f>
        <v>0</v>
      </c>
      <c r="W41" s="91">
        <f>SUMIFS(tabela_registros[VALOR],tabela_registros[MÊS],$AE$1,tabela_registros[DIA],abrtotal305971[[#Headers],[19]],tabela_registros[REGISTRO],DADOS!$N$4,tabela_registros[TIPO],DADOS!$P$3,tabela_registros[CATEGORIA],despesafixaconsolidadoabr[[#This Row],[DESPESA FIXA]])</f>
        <v>0</v>
      </c>
      <c r="X41" s="91">
        <f>SUMIFS(tabela_registros[VALOR],tabela_registros[MÊS],$AE$1,tabela_registros[DIA],abrtotal305971[[#Headers],[20]],tabela_registros[REGISTRO],DADOS!$N$4,tabela_registros[TIPO],DADOS!$P$3,tabela_registros[CATEGORIA],despesafixaconsolidadoabr[[#This Row],[DESPESA FIXA]])</f>
        <v>0</v>
      </c>
      <c r="Y41" s="91">
        <f>SUMIFS(tabela_registros[VALOR],tabela_registros[MÊS],$AE$1,tabela_registros[DIA],abrtotal305971[[#Headers],[21]],tabela_registros[REGISTRO],DADOS!$N$4,tabela_registros[TIPO],DADOS!$P$3,tabela_registros[CATEGORIA],despesafixaconsolidadoabr[[#This Row],[DESPESA FIXA]])</f>
        <v>0</v>
      </c>
      <c r="Z41" s="91">
        <f>SUMIFS(tabela_registros[VALOR],tabela_registros[MÊS],$AE$1,tabela_registros[DIA],abrtotal305971[[#Headers],[22]],tabela_registros[REGISTRO],DADOS!$N$4,tabela_registros[TIPO],DADOS!$P$3,tabela_registros[CATEGORIA],despesafixaconsolidadoabr[[#This Row],[DESPESA FIXA]])</f>
        <v>0</v>
      </c>
      <c r="AA41" s="91">
        <f>SUMIFS(tabela_registros[VALOR],tabela_registros[MÊS],$AE$1,tabela_registros[DIA],abrtotal305971[[#Headers],[23]],tabela_registros[REGISTRO],DADOS!$N$4,tabela_registros[TIPO],DADOS!$P$3,tabela_registros[CATEGORIA],despesafixaconsolidadoabr[[#This Row],[DESPESA FIXA]])</f>
        <v>0</v>
      </c>
      <c r="AB41" s="91">
        <f>SUMIFS(tabela_registros[VALOR],tabela_registros[MÊS],$AE$1,tabela_registros[DIA],abrtotal305971[[#Headers],[24]],tabela_registros[REGISTRO],DADOS!$N$4,tabela_registros[TIPO],DADOS!$P$3,tabela_registros[CATEGORIA],despesafixaconsolidadoabr[[#This Row],[DESPESA FIXA]])</f>
        <v>0</v>
      </c>
      <c r="AC41" s="91">
        <f>SUMIFS(tabela_registros[VALOR],tabela_registros[MÊS],$AE$1,tabela_registros[DIA],abrtotal305971[[#Headers],[25]],tabela_registros[REGISTRO],DADOS!$N$4,tabela_registros[TIPO],DADOS!$P$3,tabela_registros[CATEGORIA],despesafixaconsolidadoabr[[#This Row],[DESPESA FIXA]])</f>
        <v>0</v>
      </c>
      <c r="AD41" s="91">
        <f>SUMIFS(tabela_registros[VALOR],tabela_registros[MÊS],$AE$1,tabela_registros[DIA],abrtotal305971[[#Headers],[26]],tabela_registros[REGISTRO],DADOS!$N$4,tabela_registros[TIPO],DADOS!$P$3,tabela_registros[CATEGORIA],despesafixaconsolidadoabr[[#This Row],[DESPESA FIXA]])</f>
        <v>0</v>
      </c>
      <c r="AE41" s="91">
        <f>SUMIFS(tabela_registros[VALOR],tabela_registros[MÊS],$AE$1,tabela_registros[DIA],abrtotal305971[[#Headers],[27]],tabela_registros[REGISTRO],DADOS!$N$4,tabela_registros[TIPO],DADOS!$P$3,tabela_registros[CATEGORIA],despesafixaconsolidadoabr[[#This Row],[DESPESA FIXA]])</f>
        <v>0</v>
      </c>
      <c r="AF41" s="91">
        <f>SUMIFS(tabela_registros[VALOR],tabela_registros[MÊS],$AE$1,tabela_registros[DIA],abrtotal305971[[#Headers],[28]],tabela_registros[REGISTRO],DADOS!$N$4,tabela_registros[TIPO],DADOS!$P$3,tabela_registros[CATEGORIA],despesafixaconsolidadoabr[[#This Row],[DESPESA FIXA]])</f>
        <v>0</v>
      </c>
      <c r="AG41" s="91">
        <f>SUMIFS(tabela_registros[VALOR],tabela_registros[MÊS],$AE$1,tabela_registros[DIA],abrtotal305971[[#Headers],[29]],tabela_registros[REGISTRO],DADOS!$N$4,tabela_registros[TIPO],DADOS!$P$3,tabela_registros[CATEGORIA],despesafixaconsolidadoabr[[#This Row],[DESPESA FIXA]])</f>
        <v>0</v>
      </c>
      <c r="AH41" s="91">
        <f>SUMIFS(tabela_registros[VALOR],tabela_registros[MÊS],$AE$1,tabela_registros[DIA],abrtotal305971[[#Headers],[30]],tabela_registros[REGISTRO],DADOS!$N$4,tabela_registros[TIPO],DADOS!$P$3,tabela_registros[CATEGORIA],despesafixaconsolidadoabr[[#This Row],[DESPESA FIXA]])</f>
        <v>0</v>
      </c>
      <c r="AI41" s="101">
        <f>SUMIFS(tabela_registros[VALOR],tabela_registros[MÊS],$AE$1,tabela_registros[DIA],abrtotal305971[[#Headers],[31]],tabela_registros[REGISTRO],DADOS!$N$4,tabela_registros[TIPO],DADOS!$P$3,tabela_registros[CATEGORIA],despesafixaconsolidadoabr[[#This Row],[DESPESA FIXA]])</f>
        <v>0</v>
      </c>
      <c r="AJ41" s="97">
        <f>SUM(despesafixaconsolidadoabr[[#This Row],[1]:[31]])</f>
        <v>0</v>
      </c>
      <c r="AK41" s="28"/>
    </row>
    <row r="42" spans="2:37" ht="18" customHeight="1" thickTop="1" thickBot="1" x14ac:dyDescent="0.3">
      <c r="B42" s="28"/>
      <c r="C42" s="27" t="str">
        <f>DADOS!$R$8</f>
        <v>🏦 EMPRÉSTIMO</v>
      </c>
      <c r="D42" s="26" t="str">
        <f>IF(despesafixaconsolidadoabr[[#This Row],[TOTAL]]=0,"",IF(OR(despesafixaconsolidadoabr[[#This Row],[TOTAL]]=LARGE($AJ$37:$AJ$50,1),despesafixaconsolidadoabr[[#This Row],[TOTAL]]=LARGE($AJ$37:$AJ$50,2),despesafixaconsolidadoabr[[#This Row],[TOTAL]]=LARGE($AJ$37:$AJ$50,3),despesafixaconsolidadoabr[[#This Row],[TOTAL]]=LARGE($AJ$37:$AJ$50,4),despesafixaconsolidadoabr[[#This Row],[TOTAL]]=LARGE($AJ$37:$AJ$50,5)),DADOS!$I$8,""))</f>
        <v/>
      </c>
      <c r="E42" s="96">
        <f>SUMIFS(tabela_registros[VALOR],tabela_registros[MÊS],$AE$1,tabela_registros[DIA],abrtotal305971[[#Headers],[1]],tabela_registros[REGISTRO],DADOS!$N$4,tabela_registros[TIPO],DADOS!$P$3,tabela_registros[CATEGORIA],despesafixaconsolidadoabr[[#This Row],[DESPESA FIXA]])</f>
        <v>0</v>
      </c>
      <c r="F42" s="91">
        <f>SUMIFS(tabela_registros[VALOR],tabela_registros[MÊS],$AE$1,tabela_registros[DIA],abrtotal305971[[#Headers],[2]],tabela_registros[REGISTRO],DADOS!$N$4,tabela_registros[TIPO],DADOS!$P$3,tabela_registros[CATEGORIA],despesafixaconsolidadoabr[[#This Row],[DESPESA FIXA]])</f>
        <v>0</v>
      </c>
      <c r="G42" s="91">
        <f>SUMIFS(tabela_registros[VALOR],tabela_registros[MÊS],$AE$1,tabela_registros[DIA],abrtotal305971[[#Headers],[3]],tabela_registros[REGISTRO],DADOS!$N$4,tabela_registros[TIPO],DADOS!$P$3,tabela_registros[CATEGORIA],despesafixaconsolidadoabr[[#This Row],[DESPESA FIXA]])</f>
        <v>0</v>
      </c>
      <c r="H42" s="91">
        <f>SUMIFS(tabela_registros[VALOR],tabela_registros[MÊS],$AE$1,tabela_registros[DIA],abrtotal305971[[#Headers],[4]],tabela_registros[REGISTRO],DADOS!$N$4,tabela_registros[TIPO],DADOS!$P$3,tabela_registros[CATEGORIA],despesafixaconsolidadoabr[[#This Row],[DESPESA FIXA]])</f>
        <v>0</v>
      </c>
      <c r="I42" s="91">
        <f>SUMIFS(tabela_registros[VALOR],tabela_registros[MÊS],$AE$1,tabela_registros[DIA],abrtotal305971[[#Headers],[5]],tabela_registros[REGISTRO],DADOS!$N$4,tabela_registros[TIPO],DADOS!$P$3,tabela_registros[CATEGORIA],despesafixaconsolidadoabr[[#This Row],[DESPESA FIXA]])</f>
        <v>0</v>
      </c>
      <c r="J42" s="91">
        <f>SUMIFS(tabela_registros[VALOR],tabela_registros[MÊS],$AE$1,tabela_registros[DIA],abrtotal305971[[#Headers],[6]],tabela_registros[REGISTRO],DADOS!$N$4,tabela_registros[TIPO],DADOS!$P$3,tabela_registros[CATEGORIA],despesafixaconsolidadoabr[[#This Row],[DESPESA FIXA]])</f>
        <v>0</v>
      </c>
      <c r="K42" s="91">
        <f>SUMIFS(tabela_registros[VALOR],tabela_registros[MÊS],$AE$1,tabela_registros[DIA],abrtotal305971[[#Headers],[7]],tabela_registros[REGISTRO],DADOS!$N$4,tabela_registros[TIPO],DADOS!$P$3,tabela_registros[CATEGORIA],despesafixaconsolidadoabr[[#This Row],[DESPESA FIXA]])</f>
        <v>0</v>
      </c>
      <c r="L42" s="91">
        <f>SUMIFS(tabela_registros[VALOR],tabela_registros[MÊS],$AE$1,tabela_registros[DIA],abrtotal305971[[#Headers],[8]],tabela_registros[REGISTRO],DADOS!$N$4,tabela_registros[TIPO],DADOS!$P$3,tabela_registros[CATEGORIA],despesafixaconsolidadoabr[[#This Row],[DESPESA FIXA]])</f>
        <v>0</v>
      </c>
      <c r="M42" s="91">
        <f>SUMIFS(tabela_registros[VALOR],tabela_registros[MÊS],$AE$1,tabela_registros[DIA],abrtotal305971[[#Headers],[9]],tabela_registros[REGISTRO],DADOS!$N$4,tabela_registros[TIPO],DADOS!$P$3,tabela_registros[CATEGORIA],despesafixaconsolidadoabr[[#This Row],[DESPESA FIXA]])</f>
        <v>0</v>
      </c>
      <c r="N42" s="91">
        <f>SUMIFS(tabela_registros[VALOR],tabela_registros[MÊS],$AE$1,tabela_registros[DIA],abrtotal305971[[#Headers],[10]],tabela_registros[REGISTRO],DADOS!$N$4,tabela_registros[TIPO],DADOS!$P$3,tabela_registros[CATEGORIA],despesafixaconsolidadoabr[[#This Row],[DESPESA FIXA]])</f>
        <v>0</v>
      </c>
      <c r="O42" s="91">
        <f>SUMIFS(tabela_registros[VALOR],tabela_registros[MÊS],$AE$1,tabela_registros[DIA],abrtotal305971[[#Headers],[11]],tabela_registros[REGISTRO],DADOS!$N$4,tabela_registros[TIPO],DADOS!$P$3,tabela_registros[CATEGORIA],despesafixaconsolidadoabr[[#This Row],[DESPESA FIXA]])</f>
        <v>0</v>
      </c>
      <c r="P42" s="91">
        <f>SUMIFS(tabela_registros[VALOR],tabela_registros[MÊS],$AE$1,tabela_registros[DIA],abrtotal305971[[#Headers],[12]],tabela_registros[REGISTRO],DADOS!$N$4,tabela_registros[TIPO],DADOS!$P$3,tabela_registros[CATEGORIA],despesafixaconsolidadoabr[[#This Row],[DESPESA FIXA]])</f>
        <v>0</v>
      </c>
      <c r="Q42" s="91">
        <f>SUMIFS(tabela_registros[VALOR],tabela_registros[MÊS],$AE$1,tabela_registros[DIA],abrtotal305971[[#Headers],[13]],tabela_registros[REGISTRO],DADOS!$N$4,tabela_registros[TIPO],DADOS!$P$3,tabela_registros[CATEGORIA],despesafixaconsolidadoabr[[#This Row],[DESPESA FIXA]])</f>
        <v>0</v>
      </c>
      <c r="R42" s="91">
        <f>SUMIFS(tabela_registros[VALOR],tabela_registros[MÊS],$AE$1,tabela_registros[DIA],abrtotal305971[[#Headers],[14]],tabela_registros[REGISTRO],DADOS!$N$4,tabela_registros[TIPO],DADOS!$P$3,tabela_registros[CATEGORIA],despesafixaconsolidadoabr[[#This Row],[DESPESA FIXA]])</f>
        <v>0</v>
      </c>
      <c r="S42" s="91">
        <f>SUMIFS(tabela_registros[VALOR],tabela_registros[MÊS],$AE$1,tabela_registros[DIA],abrtotal305971[[#Headers],[15]],tabela_registros[REGISTRO],DADOS!$N$4,tabela_registros[TIPO],DADOS!$P$3,tabela_registros[CATEGORIA],despesafixaconsolidadoabr[[#This Row],[DESPESA FIXA]])</f>
        <v>0</v>
      </c>
      <c r="T42" s="91">
        <f>SUMIFS(tabela_registros[VALOR],tabela_registros[MÊS],$AE$1,tabela_registros[DIA],abrtotal305971[[#Headers],[16]],tabela_registros[REGISTRO],DADOS!$N$4,tabela_registros[TIPO],DADOS!$P$3,tabela_registros[CATEGORIA],despesafixaconsolidadoabr[[#This Row],[DESPESA FIXA]])</f>
        <v>0</v>
      </c>
      <c r="U42" s="91">
        <f>SUMIFS(tabela_registros[VALOR],tabela_registros[MÊS],$AE$1,tabela_registros[DIA],abrtotal305971[[#Headers],[17]],tabela_registros[REGISTRO],DADOS!$N$4,tabela_registros[TIPO],DADOS!$P$3,tabela_registros[CATEGORIA],despesafixaconsolidadoabr[[#This Row],[DESPESA FIXA]])</f>
        <v>0</v>
      </c>
      <c r="V42" s="91">
        <f>SUMIFS(tabela_registros[VALOR],tabela_registros[MÊS],$AE$1,tabela_registros[DIA],abrtotal305971[[#Headers],[18]],tabela_registros[REGISTRO],DADOS!$N$4,tabela_registros[TIPO],DADOS!$P$3,tabela_registros[CATEGORIA],despesafixaconsolidadoabr[[#This Row],[DESPESA FIXA]])</f>
        <v>0</v>
      </c>
      <c r="W42" s="91">
        <f>SUMIFS(tabela_registros[VALOR],tabela_registros[MÊS],$AE$1,tabela_registros[DIA],abrtotal305971[[#Headers],[19]],tabela_registros[REGISTRO],DADOS!$N$4,tabela_registros[TIPO],DADOS!$P$3,tabela_registros[CATEGORIA],despesafixaconsolidadoabr[[#This Row],[DESPESA FIXA]])</f>
        <v>0</v>
      </c>
      <c r="X42" s="91">
        <f>SUMIFS(tabela_registros[VALOR],tabela_registros[MÊS],$AE$1,tabela_registros[DIA],abrtotal305971[[#Headers],[20]],tabela_registros[REGISTRO],DADOS!$N$4,tabela_registros[TIPO],DADOS!$P$3,tabela_registros[CATEGORIA],despesafixaconsolidadoabr[[#This Row],[DESPESA FIXA]])</f>
        <v>0</v>
      </c>
      <c r="Y42" s="91">
        <f>SUMIFS(tabela_registros[VALOR],tabela_registros[MÊS],$AE$1,tabela_registros[DIA],abrtotal305971[[#Headers],[21]],tabela_registros[REGISTRO],DADOS!$N$4,tabela_registros[TIPO],DADOS!$P$3,tabela_registros[CATEGORIA],despesafixaconsolidadoabr[[#This Row],[DESPESA FIXA]])</f>
        <v>0</v>
      </c>
      <c r="Z42" s="91">
        <f>SUMIFS(tabela_registros[VALOR],tabela_registros[MÊS],$AE$1,tabela_registros[DIA],abrtotal305971[[#Headers],[22]],tabela_registros[REGISTRO],DADOS!$N$4,tabela_registros[TIPO],DADOS!$P$3,tabela_registros[CATEGORIA],despesafixaconsolidadoabr[[#This Row],[DESPESA FIXA]])</f>
        <v>0</v>
      </c>
      <c r="AA42" s="91">
        <f>SUMIFS(tabela_registros[VALOR],tabela_registros[MÊS],$AE$1,tabela_registros[DIA],abrtotal305971[[#Headers],[23]],tabela_registros[REGISTRO],DADOS!$N$4,tabela_registros[TIPO],DADOS!$P$3,tabela_registros[CATEGORIA],despesafixaconsolidadoabr[[#This Row],[DESPESA FIXA]])</f>
        <v>0</v>
      </c>
      <c r="AB42" s="91">
        <f>SUMIFS(tabela_registros[VALOR],tabela_registros[MÊS],$AE$1,tabela_registros[DIA],abrtotal305971[[#Headers],[24]],tabela_registros[REGISTRO],DADOS!$N$4,tabela_registros[TIPO],DADOS!$P$3,tabela_registros[CATEGORIA],despesafixaconsolidadoabr[[#This Row],[DESPESA FIXA]])</f>
        <v>0</v>
      </c>
      <c r="AC42" s="91">
        <f>SUMIFS(tabela_registros[VALOR],tabela_registros[MÊS],$AE$1,tabela_registros[DIA],abrtotal305971[[#Headers],[25]],tabela_registros[REGISTRO],DADOS!$N$4,tabela_registros[TIPO],DADOS!$P$3,tabela_registros[CATEGORIA],despesafixaconsolidadoabr[[#This Row],[DESPESA FIXA]])</f>
        <v>0</v>
      </c>
      <c r="AD42" s="91">
        <f>SUMIFS(tabela_registros[VALOR],tabela_registros[MÊS],$AE$1,tabela_registros[DIA],abrtotal305971[[#Headers],[26]],tabela_registros[REGISTRO],DADOS!$N$4,tabela_registros[TIPO],DADOS!$P$3,tabela_registros[CATEGORIA],despesafixaconsolidadoabr[[#This Row],[DESPESA FIXA]])</f>
        <v>0</v>
      </c>
      <c r="AE42" s="91">
        <f>SUMIFS(tabela_registros[VALOR],tabela_registros[MÊS],$AE$1,tabela_registros[DIA],abrtotal305971[[#Headers],[27]],tabela_registros[REGISTRO],DADOS!$N$4,tabela_registros[TIPO],DADOS!$P$3,tabela_registros[CATEGORIA],despesafixaconsolidadoabr[[#This Row],[DESPESA FIXA]])</f>
        <v>0</v>
      </c>
      <c r="AF42" s="91">
        <f>SUMIFS(tabela_registros[VALOR],tabela_registros[MÊS],$AE$1,tabela_registros[DIA],abrtotal305971[[#Headers],[28]],tabela_registros[REGISTRO],DADOS!$N$4,tabela_registros[TIPO],DADOS!$P$3,tabela_registros[CATEGORIA],despesafixaconsolidadoabr[[#This Row],[DESPESA FIXA]])</f>
        <v>0</v>
      </c>
      <c r="AG42" s="91">
        <f>SUMIFS(tabela_registros[VALOR],tabela_registros[MÊS],$AE$1,tabela_registros[DIA],abrtotal305971[[#Headers],[29]],tabela_registros[REGISTRO],DADOS!$N$4,tabela_registros[TIPO],DADOS!$P$3,tabela_registros[CATEGORIA],despesafixaconsolidadoabr[[#This Row],[DESPESA FIXA]])</f>
        <v>0</v>
      </c>
      <c r="AH42" s="91">
        <f>SUMIFS(tabela_registros[VALOR],tabela_registros[MÊS],$AE$1,tabela_registros[DIA],abrtotal305971[[#Headers],[30]],tabela_registros[REGISTRO],DADOS!$N$4,tabela_registros[TIPO],DADOS!$P$3,tabela_registros[CATEGORIA],despesafixaconsolidadoabr[[#This Row],[DESPESA FIXA]])</f>
        <v>0</v>
      </c>
      <c r="AI42" s="101">
        <f>SUMIFS(tabela_registros[VALOR],tabela_registros[MÊS],$AE$1,tabela_registros[DIA],abrtotal305971[[#Headers],[31]],tabela_registros[REGISTRO],DADOS!$N$4,tabela_registros[TIPO],DADOS!$P$3,tabela_registros[CATEGORIA],despesafixaconsolidadoabr[[#This Row],[DESPESA FIXA]])</f>
        <v>0</v>
      </c>
      <c r="AJ42" s="97">
        <f>SUM(despesafixaconsolidadoabr[[#This Row],[1]:[31]])</f>
        <v>0</v>
      </c>
      <c r="AK42" s="28"/>
    </row>
    <row r="43" spans="2:37" ht="18" customHeight="1" thickTop="1" thickBot="1" x14ac:dyDescent="0.3">
      <c r="B43" s="28"/>
      <c r="C43" s="27" t="str">
        <f>DADOS!$R$9</f>
        <v>💡 ENERGIA</v>
      </c>
      <c r="D43" s="26" t="str">
        <f>IF(despesafixaconsolidadoabr[[#This Row],[TOTAL]]=0,"",IF(OR(despesafixaconsolidadoabr[[#This Row],[TOTAL]]=LARGE($AJ$37:$AJ$50,1),despesafixaconsolidadoabr[[#This Row],[TOTAL]]=LARGE($AJ$37:$AJ$50,2),despesafixaconsolidadoabr[[#This Row],[TOTAL]]=LARGE($AJ$37:$AJ$50,3),despesafixaconsolidadoabr[[#This Row],[TOTAL]]=LARGE($AJ$37:$AJ$50,4),despesafixaconsolidadoabr[[#This Row],[TOTAL]]=LARGE($AJ$37:$AJ$50,5)),DADOS!$I$8,""))</f>
        <v/>
      </c>
      <c r="E43" s="96">
        <f>SUMIFS(tabela_registros[VALOR],tabela_registros[MÊS],$AE$1,tabela_registros[DIA],abrtotal305971[[#Headers],[1]],tabela_registros[REGISTRO],DADOS!$N$4,tabela_registros[TIPO],DADOS!$P$3,tabela_registros[CATEGORIA],despesafixaconsolidadoabr[[#This Row],[DESPESA FIXA]])</f>
        <v>0</v>
      </c>
      <c r="F43" s="91">
        <f>SUMIFS(tabela_registros[VALOR],tabela_registros[MÊS],$AE$1,tabela_registros[DIA],abrtotal305971[[#Headers],[2]],tabela_registros[REGISTRO],DADOS!$N$4,tabela_registros[TIPO],DADOS!$P$3,tabela_registros[CATEGORIA],despesafixaconsolidadoabr[[#This Row],[DESPESA FIXA]])</f>
        <v>0</v>
      </c>
      <c r="G43" s="91">
        <f>SUMIFS(tabela_registros[VALOR],tabela_registros[MÊS],$AE$1,tabela_registros[DIA],abrtotal305971[[#Headers],[3]],tabela_registros[REGISTRO],DADOS!$N$4,tabela_registros[TIPO],DADOS!$P$3,tabela_registros[CATEGORIA],despesafixaconsolidadoabr[[#This Row],[DESPESA FIXA]])</f>
        <v>0</v>
      </c>
      <c r="H43" s="91">
        <f>SUMIFS(tabela_registros[VALOR],tabela_registros[MÊS],$AE$1,tabela_registros[DIA],abrtotal305971[[#Headers],[4]],tabela_registros[REGISTRO],DADOS!$N$4,tabela_registros[TIPO],DADOS!$P$3,tabela_registros[CATEGORIA],despesafixaconsolidadoabr[[#This Row],[DESPESA FIXA]])</f>
        <v>0</v>
      </c>
      <c r="I43" s="91">
        <f>SUMIFS(tabela_registros[VALOR],tabela_registros[MÊS],$AE$1,tabela_registros[DIA],abrtotal305971[[#Headers],[5]],tabela_registros[REGISTRO],DADOS!$N$4,tabela_registros[TIPO],DADOS!$P$3,tabela_registros[CATEGORIA],despesafixaconsolidadoabr[[#This Row],[DESPESA FIXA]])</f>
        <v>0</v>
      </c>
      <c r="J43" s="91">
        <f>SUMIFS(tabela_registros[VALOR],tabela_registros[MÊS],$AE$1,tabela_registros[DIA],abrtotal305971[[#Headers],[6]],tabela_registros[REGISTRO],DADOS!$N$4,tabela_registros[TIPO],DADOS!$P$3,tabela_registros[CATEGORIA],despesafixaconsolidadoabr[[#This Row],[DESPESA FIXA]])</f>
        <v>0</v>
      </c>
      <c r="K43" s="91">
        <f>SUMIFS(tabela_registros[VALOR],tabela_registros[MÊS],$AE$1,tabela_registros[DIA],abrtotal305971[[#Headers],[7]],tabela_registros[REGISTRO],DADOS!$N$4,tabela_registros[TIPO],DADOS!$P$3,tabela_registros[CATEGORIA],despesafixaconsolidadoabr[[#This Row],[DESPESA FIXA]])</f>
        <v>0</v>
      </c>
      <c r="L43" s="91">
        <f>SUMIFS(tabela_registros[VALOR],tabela_registros[MÊS],$AE$1,tabela_registros[DIA],abrtotal305971[[#Headers],[8]],tabela_registros[REGISTRO],DADOS!$N$4,tabela_registros[TIPO],DADOS!$P$3,tabela_registros[CATEGORIA],despesafixaconsolidadoabr[[#This Row],[DESPESA FIXA]])</f>
        <v>0</v>
      </c>
      <c r="M43" s="91">
        <f>SUMIFS(tabela_registros[VALOR],tabela_registros[MÊS],$AE$1,tabela_registros[DIA],abrtotal305971[[#Headers],[9]],tabela_registros[REGISTRO],DADOS!$N$4,tabela_registros[TIPO],DADOS!$P$3,tabela_registros[CATEGORIA],despesafixaconsolidadoabr[[#This Row],[DESPESA FIXA]])</f>
        <v>0</v>
      </c>
      <c r="N43" s="91">
        <f>SUMIFS(tabela_registros[VALOR],tabela_registros[MÊS],$AE$1,tabela_registros[DIA],abrtotal305971[[#Headers],[10]],tabela_registros[REGISTRO],DADOS!$N$4,tabela_registros[TIPO],DADOS!$P$3,tabela_registros[CATEGORIA],despesafixaconsolidadoabr[[#This Row],[DESPESA FIXA]])</f>
        <v>0</v>
      </c>
      <c r="O43" s="91">
        <f>SUMIFS(tabela_registros[VALOR],tabela_registros[MÊS],$AE$1,tabela_registros[DIA],abrtotal305971[[#Headers],[11]],tabela_registros[REGISTRO],DADOS!$N$4,tabela_registros[TIPO],DADOS!$P$3,tabela_registros[CATEGORIA],despesafixaconsolidadoabr[[#This Row],[DESPESA FIXA]])</f>
        <v>0</v>
      </c>
      <c r="P43" s="91">
        <f>SUMIFS(tabela_registros[VALOR],tabela_registros[MÊS],$AE$1,tabela_registros[DIA],abrtotal305971[[#Headers],[12]],tabela_registros[REGISTRO],DADOS!$N$4,tabela_registros[TIPO],DADOS!$P$3,tabela_registros[CATEGORIA],despesafixaconsolidadoabr[[#This Row],[DESPESA FIXA]])</f>
        <v>0</v>
      </c>
      <c r="Q43" s="91">
        <f>SUMIFS(tabela_registros[VALOR],tabela_registros[MÊS],$AE$1,tabela_registros[DIA],abrtotal305971[[#Headers],[13]],tabela_registros[REGISTRO],DADOS!$N$4,tabela_registros[TIPO],DADOS!$P$3,tabela_registros[CATEGORIA],despesafixaconsolidadoabr[[#This Row],[DESPESA FIXA]])</f>
        <v>0</v>
      </c>
      <c r="R43" s="91">
        <f>SUMIFS(tabela_registros[VALOR],tabela_registros[MÊS],$AE$1,tabela_registros[DIA],abrtotal305971[[#Headers],[14]],tabela_registros[REGISTRO],DADOS!$N$4,tabela_registros[TIPO],DADOS!$P$3,tabela_registros[CATEGORIA],despesafixaconsolidadoabr[[#This Row],[DESPESA FIXA]])</f>
        <v>0</v>
      </c>
      <c r="S43" s="91">
        <f>SUMIFS(tabela_registros[VALOR],tabela_registros[MÊS],$AE$1,tabela_registros[DIA],abrtotal305971[[#Headers],[15]],tabela_registros[REGISTRO],DADOS!$N$4,tabela_registros[TIPO],DADOS!$P$3,tabela_registros[CATEGORIA],despesafixaconsolidadoabr[[#This Row],[DESPESA FIXA]])</f>
        <v>0</v>
      </c>
      <c r="T43" s="91">
        <f>SUMIFS(tabela_registros[VALOR],tabela_registros[MÊS],$AE$1,tabela_registros[DIA],abrtotal305971[[#Headers],[16]],tabela_registros[REGISTRO],DADOS!$N$4,tabela_registros[TIPO],DADOS!$P$3,tabela_registros[CATEGORIA],despesafixaconsolidadoabr[[#This Row],[DESPESA FIXA]])</f>
        <v>0</v>
      </c>
      <c r="U43" s="91">
        <f>SUMIFS(tabela_registros[VALOR],tabela_registros[MÊS],$AE$1,tabela_registros[DIA],abrtotal305971[[#Headers],[17]],tabela_registros[REGISTRO],DADOS!$N$4,tabela_registros[TIPO],DADOS!$P$3,tabela_registros[CATEGORIA],despesafixaconsolidadoabr[[#This Row],[DESPESA FIXA]])</f>
        <v>0</v>
      </c>
      <c r="V43" s="91">
        <f>SUMIFS(tabela_registros[VALOR],tabela_registros[MÊS],$AE$1,tabela_registros[DIA],abrtotal305971[[#Headers],[18]],tabela_registros[REGISTRO],DADOS!$N$4,tabela_registros[TIPO],DADOS!$P$3,tabela_registros[CATEGORIA],despesafixaconsolidadoabr[[#This Row],[DESPESA FIXA]])</f>
        <v>0</v>
      </c>
      <c r="W43" s="91">
        <f>SUMIFS(tabela_registros[VALOR],tabela_registros[MÊS],$AE$1,tabela_registros[DIA],abrtotal305971[[#Headers],[19]],tabela_registros[REGISTRO],DADOS!$N$4,tabela_registros[TIPO],DADOS!$P$3,tabela_registros[CATEGORIA],despesafixaconsolidadoabr[[#This Row],[DESPESA FIXA]])</f>
        <v>0</v>
      </c>
      <c r="X43" s="91">
        <f>SUMIFS(tabela_registros[VALOR],tabela_registros[MÊS],$AE$1,tabela_registros[DIA],abrtotal305971[[#Headers],[20]],tabela_registros[REGISTRO],DADOS!$N$4,tabela_registros[TIPO],DADOS!$P$3,tabela_registros[CATEGORIA],despesafixaconsolidadoabr[[#This Row],[DESPESA FIXA]])</f>
        <v>0</v>
      </c>
      <c r="Y43" s="91">
        <f>SUMIFS(tabela_registros[VALOR],tabela_registros[MÊS],$AE$1,tabela_registros[DIA],abrtotal305971[[#Headers],[21]],tabela_registros[REGISTRO],DADOS!$N$4,tabela_registros[TIPO],DADOS!$P$3,tabela_registros[CATEGORIA],despesafixaconsolidadoabr[[#This Row],[DESPESA FIXA]])</f>
        <v>0</v>
      </c>
      <c r="Z43" s="91">
        <f>SUMIFS(tabela_registros[VALOR],tabela_registros[MÊS],$AE$1,tabela_registros[DIA],abrtotal305971[[#Headers],[22]],tabela_registros[REGISTRO],DADOS!$N$4,tabela_registros[TIPO],DADOS!$P$3,tabela_registros[CATEGORIA],despesafixaconsolidadoabr[[#This Row],[DESPESA FIXA]])</f>
        <v>0</v>
      </c>
      <c r="AA43" s="91">
        <f>SUMIFS(tabela_registros[VALOR],tabela_registros[MÊS],$AE$1,tabela_registros[DIA],abrtotal305971[[#Headers],[23]],tabela_registros[REGISTRO],DADOS!$N$4,tabela_registros[TIPO],DADOS!$P$3,tabela_registros[CATEGORIA],despesafixaconsolidadoabr[[#This Row],[DESPESA FIXA]])</f>
        <v>0</v>
      </c>
      <c r="AB43" s="91">
        <f>SUMIFS(tabela_registros[VALOR],tabela_registros[MÊS],$AE$1,tabela_registros[DIA],abrtotal305971[[#Headers],[24]],tabela_registros[REGISTRO],DADOS!$N$4,tabela_registros[TIPO],DADOS!$P$3,tabela_registros[CATEGORIA],despesafixaconsolidadoabr[[#This Row],[DESPESA FIXA]])</f>
        <v>0</v>
      </c>
      <c r="AC43" s="91">
        <f>SUMIFS(tabela_registros[VALOR],tabela_registros[MÊS],$AE$1,tabela_registros[DIA],abrtotal305971[[#Headers],[25]],tabela_registros[REGISTRO],DADOS!$N$4,tabela_registros[TIPO],DADOS!$P$3,tabela_registros[CATEGORIA],despesafixaconsolidadoabr[[#This Row],[DESPESA FIXA]])</f>
        <v>0</v>
      </c>
      <c r="AD43" s="91">
        <f>SUMIFS(tabela_registros[VALOR],tabela_registros[MÊS],$AE$1,tabela_registros[DIA],abrtotal305971[[#Headers],[26]],tabela_registros[REGISTRO],DADOS!$N$4,tabela_registros[TIPO],DADOS!$P$3,tabela_registros[CATEGORIA],despesafixaconsolidadoabr[[#This Row],[DESPESA FIXA]])</f>
        <v>0</v>
      </c>
      <c r="AE43" s="91">
        <f>SUMIFS(tabela_registros[VALOR],tabela_registros[MÊS],$AE$1,tabela_registros[DIA],abrtotal305971[[#Headers],[27]],tabela_registros[REGISTRO],DADOS!$N$4,tabela_registros[TIPO],DADOS!$P$3,tabela_registros[CATEGORIA],despesafixaconsolidadoabr[[#This Row],[DESPESA FIXA]])</f>
        <v>0</v>
      </c>
      <c r="AF43" s="91">
        <f>SUMIFS(tabela_registros[VALOR],tabela_registros[MÊS],$AE$1,tabela_registros[DIA],abrtotal305971[[#Headers],[28]],tabela_registros[REGISTRO],DADOS!$N$4,tabela_registros[TIPO],DADOS!$P$3,tabela_registros[CATEGORIA],despesafixaconsolidadoabr[[#This Row],[DESPESA FIXA]])</f>
        <v>0</v>
      </c>
      <c r="AG43" s="91">
        <f>SUMIFS(tabela_registros[VALOR],tabela_registros[MÊS],$AE$1,tabela_registros[DIA],abrtotal305971[[#Headers],[29]],tabela_registros[REGISTRO],DADOS!$N$4,tabela_registros[TIPO],DADOS!$P$3,tabela_registros[CATEGORIA],despesafixaconsolidadoabr[[#This Row],[DESPESA FIXA]])</f>
        <v>0</v>
      </c>
      <c r="AH43" s="91">
        <f>SUMIFS(tabela_registros[VALOR],tabela_registros[MÊS],$AE$1,tabela_registros[DIA],abrtotal305971[[#Headers],[30]],tabela_registros[REGISTRO],DADOS!$N$4,tabela_registros[TIPO],DADOS!$P$3,tabela_registros[CATEGORIA],despesafixaconsolidadoabr[[#This Row],[DESPESA FIXA]])</f>
        <v>0</v>
      </c>
      <c r="AI43" s="101">
        <f>SUMIFS(tabela_registros[VALOR],tabela_registros[MÊS],$AE$1,tabela_registros[DIA],abrtotal305971[[#Headers],[31]],tabela_registros[REGISTRO],DADOS!$N$4,tabela_registros[TIPO],DADOS!$P$3,tabela_registros[CATEGORIA],despesafixaconsolidadoabr[[#This Row],[DESPESA FIXA]])</f>
        <v>0</v>
      </c>
      <c r="AJ43" s="97">
        <f>SUM(despesafixaconsolidadoabr[[#This Row],[1]:[31]])</f>
        <v>0</v>
      </c>
      <c r="AK43" s="28"/>
    </row>
    <row r="44" spans="2:37" ht="18" customHeight="1" thickTop="1" thickBot="1" x14ac:dyDescent="0.3">
      <c r="B44" s="28"/>
      <c r="C44" s="27" t="str">
        <f>DADOS!$R$10</f>
        <v>👨‍👩‍👧 FAMÍLIA</v>
      </c>
      <c r="D44" s="26" t="str">
        <f>IF(despesafixaconsolidadoabr[[#This Row],[TOTAL]]=0,"",IF(OR(despesafixaconsolidadoabr[[#This Row],[TOTAL]]=LARGE($AJ$37:$AJ$50,1),despesafixaconsolidadoabr[[#This Row],[TOTAL]]=LARGE($AJ$37:$AJ$50,2),despesafixaconsolidadoabr[[#This Row],[TOTAL]]=LARGE($AJ$37:$AJ$50,3),despesafixaconsolidadoabr[[#This Row],[TOTAL]]=LARGE($AJ$37:$AJ$50,4),despesafixaconsolidadoabr[[#This Row],[TOTAL]]=LARGE($AJ$37:$AJ$50,5)),DADOS!$I$8,""))</f>
        <v/>
      </c>
      <c r="E44" s="96">
        <f>SUMIFS(tabela_registros[VALOR],tabela_registros[MÊS],$AE$1,tabela_registros[DIA],abrtotal305971[[#Headers],[1]],tabela_registros[REGISTRO],DADOS!$N$4,tabela_registros[TIPO],DADOS!$P$3,tabela_registros[CATEGORIA],despesafixaconsolidadoabr[[#This Row],[DESPESA FIXA]])</f>
        <v>0</v>
      </c>
      <c r="F44" s="91">
        <f>SUMIFS(tabela_registros[VALOR],tabela_registros[MÊS],$AE$1,tabela_registros[DIA],abrtotal305971[[#Headers],[2]],tabela_registros[REGISTRO],DADOS!$N$4,tabela_registros[TIPO],DADOS!$P$3,tabela_registros[CATEGORIA],despesafixaconsolidadoabr[[#This Row],[DESPESA FIXA]])</f>
        <v>0</v>
      </c>
      <c r="G44" s="91">
        <f>SUMIFS(tabela_registros[VALOR],tabela_registros[MÊS],$AE$1,tabela_registros[DIA],abrtotal305971[[#Headers],[3]],tabela_registros[REGISTRO],DADOS!$N$4,tabela_registros[TIPO],DADOS!$P$3,tabela_registros[CATEGORIA],despesafixaconsolidadoabr[[#This Row],[DESPESA FIXA]])</f>
        <v>0</v>
      </c>
      <c r="H44" s="91">
        <f>SUMIFS(tabela_registros[VALOR],tabela_registros[MÊS],$AE$1,tabela_registros[DIA],abrtotal305971[[#Headers],[4]],tabela_registros[REGISTRO],DADOS!$N$4,tabela_registros[TIPO],DADOS!$P$3,tabela_registros[CATEGORIA],despesafixaconsolidadoabr[[#This Row],[DESPESA FIXA]])</f>
        <v>0</v>
      </c>
      <c r="I44" s="91">
        <f>SUMIFS(tabela_registros[VALOR],tabela_registros[MÊS],$AE$1,tabela_registros[DIA],abrtotal305971[[#Headers],[5]],tabela_registros[REGISTRO],DADOS!$N$4,tabela_registros[TIPO],DADOS!$P$3,tabela_registros[CATEGORIA],despesafixaconsolidadoabr[[#This Row],[DESPESA FIXA]])</f>
        <v>0</v>
      </c>
      <c r="J44" s="91">
        <f>SUMIFS(tabela_registros[VALOR],tabela_registros[MÊS],$AE$1,tabela_registros[DIA],abrtotal305971[[#Headers],[6]],tabela_registros[REGISTRO],DADOS!$N$4,tabela_registros[TIPO],DADOS!$P$3,tabela_registros[CATEGORIA],despesafixaconsolidadoabr[[#This Row],[DESPESA FIXA]])</f>
        <v>0</v>
      </c>
      <c r="K44" s="91">
        <f>SUMIFS(tabela_registros[VALOR],tabela_registros[MÊS],$AE$1,tabela_registros[DIA],abrtotal305971[[#Headers],[7]],tabela_registros[REGISTRO],DADOS!$N$4,tabela_registros[TIPO],DADOS!$P$3,tabela_registros[CATEGORIA],despesafixaconsolidadoabr[[#This Row],[DESPESA FIXA]])</f>
        <v>0</v>
      </c>
      <c r="L44" s="91">
        <f>SUMIFS(tabela_registros[VALOR],tabela_registros[MÊS],$AE$1,tabela_registros[DIA],abrtotal305971[[#Headers],[8]],tabela_registros[REGISTRO],DADOS!$N$4,tabela_registros[TIPO],DADOS!$P$3,tabela_registros[CATEGORIA],despesafixaconsolidadoabr[[#This Row],[DESPESA FIXA]])</f>
        <v>0</v>
      </c>
      <c r="M44" s="91">
        <f>SUMIFS(tabela_registros[VALOR],tabela_registros[MÊS],$AE$1,tabela_registros[DIA],abrtotal305971[[#Headers],[9]],tabela_registros[REGISTRO],DADOS!$N$4,tabela_registros[TIPO],DADOS!$P$3,tabela_registros[CATEGORIA],despesafixaconsolidadoabr[[#This Row],[DESPESA FIXA]])</f>
        <v>0</v>
      </c>
      <c r="N44" s="91">
        <f>SUMIFS(tabela_registros[VALOR],tabela_registros[MÊS],$AE$1,tabela_registros[DIA],abrtotal305971[[#Headers],[10]],tabela_registros[REGISTRO],DADOS!$N$4,tabela_registros[TIPO],DADOS!$P$3,tabela_registros[CATEGORIA],despesafixaconsolidadoabr[[#This Row],[DESPESA FIXA]])</f>
        <v>0</v>
      </c>
      <c r="O44" s="91">
        <f>SUMIFS(tabela_registros[VALOR],tabela_registros[MÊS],$AE$1,tabela_registros[DIA],abrtotal305971[[#Headers],[11]],tabela_registros[REGISTRO],DADOS!$N$4,tabela_registros[TIPO],DADOS!$P$3,tabela_registros[CATEGORIA],despesafixaconsolidadoabr[[#This Row],[DESPESA FIXA]])</f>
        <v>0</v>
      </c>
      <c r="P44" s="91">
        <f>SUMIFS(tabela_registros[VALOR],tabela_registros[MÊS],$AE$1,tabela_registros[DIA],abrtotal305971[[#Headers],[12]],tabela_registros[REGISTRO],DADOS!$N$4,tabela_registros[TIPO],DADOS!$P$3,tabela_registros[CATEGORIA],despesafixaconsolidadoabr[[#This Row],[DESPESA FIXA]])</f>
        <v>0</v>
      </c>
      <c r="Q44" s="91">
        <f>SUMIFS(tabela_registros[VALOR],tabela_registros[MÊS],$AE$1,tabela_registros[DIA],abrtotal305971[[#Headers],[13]],tabela_registros[REGISTRO],DADOS!$N$4,tabela_registros[TIPO],DADOS!$P$3,tabela_registros[CATEGORIA],despesafixaconsolidadoabr[[#This Row],[DESPESA FIXA]])</f>
        <v>0</v>
      </c>
      <c r="R44" s="91">
        <f>SUMIFS(tabela_registros[VALOR],tabela_registros[MÊS],$AE$1,tabela_registros[DIA],abrtotal305971[[#Headers],[14]],tabela_registros[REGISTRO],DADOS!$N$4,tabela_registros[TIPO],DADOS!$P$3,tabela_registros[CATEGORIA],despesafixaconsolidadoabr[[#This Row],[DESPESA FIXA]])</f>
        <v>0</v>
      </c>
      <c r="S44" s="91">
        <f>SUMIFS(tabela_registros[VALOR],tabela_registros[MÊS],$AE$1,tabela_registros[DIA],abrtotal305971[[#Headers],[15]],tabela_registros[REGISTRO],DADOS!$N$4,tabela_registros[TIPO],DADOS!$P$3,tabela_registros[CATEGORIA],despesafixaconsolidadoabr[[#This Row],[DESPESA FIXA]])</f>
        <v>0</v>
      </c>
      <c r="T44" s="91">
        <f>SUMIFS(tabela_registros[VALOR],tabela_registros[MÊS],$AE$1,tabela_registros[DIA],abrtotal305971[[#Headers],[16]],tabela_registros[REGISTRO],DADOS!$N$4,tabela_registros[TIPO],DADOS!$P$3,tabela_registros[CATEGORIA],despesafixaconsolidadoabr[[#This Row],[DESPESA FIXA]])</f>
        <v>0</v>
      </c>
      <c r="U44" s="91">
        <f>SUMIFS(tabela_registros[VALOR],tabela_registros[MÊS],$AE$1,tabela_registros[DIA],abrtotal305971[[#Headers],[17]],tabela_registros[REGISTRO],DADOS!$N$4,tabela_registros[TIPO],DADOS!$P$3,tabela_registros[CATEGORIA],despesafixaconsolidadoabr[[#This Row],[DESPESA FIXA]])</f>
        <v>0</v>
      </c>
      <c r="V44" s="91">
        <f>SUMIFS(tabela_registros[VALOR],tabela_registros[MÊS],$AE$1,tabela_registros[DIA],abrtotal305971[[#Headers],[18]],tabela_registros[REGISTRO],DADOS!$N$4,tabela_registros[TIPO],DADOS!$P$3,tabela_registros[CATEGORIA],despesafixaconsolidadoabr[[#This Row],[DESPESA FIXA]])</f>
        <v>0</v>
      </c>
      <c r="W44" s="91">
        <f>SUMIFS(tabela_registros[VALOR],tabela_registros[MÊS],$AE$1,tabela_registros[DIA],abrtotal305971[[#Headers],[19]],tabela_registros[REGISTRO],DADOS!$N$4,tabela_registros[TIPO],DADOS!$P$3,tabela_registros[CATEGORIA],despesafixaconsolidadoabr[[#This Row],[DESPESA FIXA]])</f>
        <v>0</v>
      </c>
      <c r="X44" s="91">
        <f>SUMIFS(tabela_registros[VALOR],tabela_registros[MÊS],$AE$1,tabela_registros[DIA],abrtotal305971[[#Headers],[20]],tabela_registros[REGISTRO],DADOS!$N$4,tabela_registros[TIPO],DADOS!$P$3,tabela_registros[CATEGORIA],despesafixaconsolidadoabr[[#This Row],[DESPESA FIXA]])</f>
        <v>0</v>
      </c>
      <c r="Y44" s="91">
        <f>SUMIFS(tabela_registros[VALOR],tabela_registros[MÊS],$AE$1,tabela_registros[DIA],abrtotal305971[[#Headers],[21]],tabela_registros[REGISTRO],DADOS!$N$4,tabela_registros[TIPO],DADOS!$P$3,tabela_registros[CATEGORIA],despesafixaconsolidadoabr[[#This Row],[DESPESA FIXA]])</f>
        <v>0</v>
      </c>
      <c r="Z44" s="91">
        <f>SUMIFS(tabela_registros[VALOR],tabela_registros[MÊS],$AE$1,tabela_registros[DIA],abrtotal305971[[#Headers],[22]],tabela_registros[REGISTRO],DADOS!$N$4,tabela_registros[TIPO],DADOS!$P$3,tabela_registros[CATEGORIA],despesafixaconsolidadoabr[[#This Row],[DESPESA FIXA]])</f>
        <v>0</v>
      </c>
      <c r="AA44" s="91">
        <f>SUMIFS(tabela_registros[VALOR],tabela_registros[MÊS],$AE$1,tabela_registros[DIA],abrtotal305971[[#Headers],[23]],tabela_registros[REGISTRO],DADOS!$N$4,tabela_registros[TIPO],DADOS!$P$3,tabela_registros[CATEGORIA],despesafixaconsolidadoabr[[#This Row],[DESPESA FIXA]])</f>
        <v>0</v>
      </c>
      <c r="AB44" s="91">
        <f>SUMIFS(tabela_registros[VALOR],tabela_registros[MÊS],$AE$1,tabela_registros[DIA],abrtotal305971[[#Headers],[24]],tabela_registros[REGISTRO],DADOS!$N$4,tabela_registros[TIPO],DADOS!$P$3,tabela_registros[CATEGORIA],despesafixaconsolidadoabr[[#This Row],[DESPESA FIXA]])</f>
        <v>0</v>
      </c>
      <c r="AC44" s="91">
        <f>SUMIFS(tabela_registros[VALOR],tabela_registros[MÊS],$AE$1,tabela_registros[DIA],abrtotal305971[[#Headers],[25]],tabela_registros[REGISTRO],DADOS!$N$4,tabela_registros[TIPO],DADOS!$P$3,tabela_registros[CATEGORIA],despesafixaconsolidadoabr[[#This Row],[DESPESA FIXA]])</f>
        <v>0</v>
      </c>
      <c r="AD44" s="91">
        <f>SUMIFS(tabela_registros[VALOR],tabela_registros[MÊS],$AE$1,tabela_registros[DIA],abrtotal305971[[#Headers],[26]],tabela_registros[REGISTRO],DADOS!$N$4,tabela_registros[TIPO],DADOS!$P$3,tabela_registros[CATEGORIA],despesafixaconsolidadoabr[[#This Row],[DESPESA FIXA]])</f>
        <v>0</v>
      </c>
      <c r="AE44" s="91">
        <f>SUMIFS(tabela_registros[VALOR],tabela_registros[MÊS],$AE$1,tabela_registros[DIA],abrtotal305971[[#Headers],[27]],tabela_registros[REGISTRO],DADOS!$N$4,tabela_registros[TIPO],DADOS!$P$3,tabela_registros[CATEGORIA],despesafixaconsolidadoabr[[#This Row],[DESPESA FIXA]])</f>
        <v>0</v>
      </c>
      <c r="AF44" s="91">
        <f>SUMIFS(tabela_registros[VALOR],tabela_registros[MÊS],$AE$1,tabela_registros[DIA],abrtotal305971[[#Headers],[28]],tabela_registros[REGISTRO],DADOS!$N$4,tabela_registros[TIPO],DADOS!$P$3,tabela_registros[CATEGORIA],despesafixaconsolidadoabr[[#This Row],[DESPESA FIXA]])</f>
        <v>0</v>
      </c>
      <c r="AG44" s="91">
        <f>SUMIFS(tabela_registros[VALOR],tabela_registros[MÊS],$AE$1,tabela_registros[DIA],abrtotal305971[[#Headers],[29]],tabela_registros[REGISTRO],DADOS!$N$4,tabela_registros[TIPO],DADOS!$P$3,tabela_registros[CATEGORIA],despesafixaconsolidadoabr[[#This Row],[DESPESA FIXA]])</f>
        <v>0</v>
      </c>
      <c r="AH44" s="91">
        <f>SUMIFS(tabela_registros[VALOR],tabela_registros[MÊS],$AE$1,tabela_registros[DIA],abrtotal305971[[#Headers],[30]],tabela_registros[REGISTRO],DADOS!$N$4,tabela_registros[TIPO],DADOS!$P$3,tabela_registros[CATEGORIA],despesafixaconsolidadoabr[[#This Row],[DESPESA FIXA]])</f>
        <v>0</v>
      </c>
      <c r="AI44" s="101">
        <f>SUMIFS(tabela_registros[VALOR],tabela_registros[MÊS],$AE$1,tabela_registros[DIA],abrtotal305971[[#Headers],[31]],tabela_registros[REGISTRO],DADOS!$N$4,tabela_registros[TIPO],DADOS!$P$3,tabela_registros[CATEGORIA],despesafixaconsolidadoabr[[#This Row],[DESPESA FIXA]])</f>
        <v>0</v>
      </c>
      <c r="AJ44" s="97">
        <f>SUM(despesafixaconsolidadoabr[[#This Row],[1]:[31]])</f>
        <v>0</v>
      </c>
      <c r="AK44" s="28"/>
    </row>
    <row r="45" spans="2:37" ht="18" customHeight="1" thickTop="1" thickBot="1" x14ac:dyDescent="0.3">
      <c r="B45" s="28"/>
      <c r="C45" s="27" t="str">
        <f>DADOS!$R$11</f>
        <v>🔢 IMPOSTOS</v>
      </c>
      <c r="D45" s="26" t="str">
        <f>IF(despesafixaconsolidadoabr[[#This Row],[TOTAL]]=0,"",IF(OR(despesafixaconsolidadoabr[[#This Row],[TOTAL]]=LARGE($AJ$37:$AJ$50,1),despesafixaconsolidadoabr[[#This Row],[TOTAL]]=LARGE($AJ$37:$AJ$50,2),despesafixaconsolidadoabr[[#This Row],[TOTAL]]=LARGE($AJ$37:$AJ$50,3),despesafixaconsolidadoabr[[#This Row],[TOTAL]]=LARGE($AJ$37:$AJ$50,4),despesafixaconsolidadoabr[[#This Row],[TOTAL]]=LARGE($AJ$37:$AJ$50,5)),DADOS!$I$8,""))</f>
        <v/>
      </c>
      <c r="E45" s="96">
        <f>SUMIFS(tabela_registros[VALOR],tabela_registros[MÊS],$AE$1,tabela_registros[DIA],abrtotal305971[[#Headers],[1]],tabela_registros[REGISTRO],DADOS!$N$4,tabela_registros[TIPO],DADOS!$P$3,tabela_registros[CATEGORIA],despesafixaconsolidadoabr[[#This Row],[DESPESA FIXA]])</f>
        <v>0</v>
      </c>
      <c r="F45" s="91">
        <f>SUMIFS(tabela_registros[VALOR],tabela_registros[MÊS],$AE$1,tabela_registros[DIA],abrtotal305971[[#Headers],[2]],tabela_registros[REGISTRO],DADOS!$N$4,tabela_registros[TIPO],DADOS!$P$3,tabela_registros[CATEGORIA],despesafixaconsolidadoabr[[#This Row],[DESPESA FIXA]])</f>
        <v>0</v>
      </c>
      <c r="G45" s="91">
        <f>SUMIFS(tabela_registros[VALOR],tabela_registros[MÊS],$AE$1,tabela_registros[DIA],abrtotal305971[[#Headers],[3]],tabela_registros[REGISTRO],DADOS!$N$4,tabela_registros[TIPO],DADOS!$P$3,tabela_registros[CATEGORIA],despesafixaconsolidadoabr[[#This Row],[DESPESA FIXA]])</f>
        <v>0</v>
      </c>
      <c r="H45" s="91">
        <f>SUMIFS(tabela_registros[VALOR],tabela_registros[MÊS],$AE$1,tabela_registros[DIA],abrtotal305971[[#Headers],[4]],tabela_registros[REGISTRO],DADOS!$N$4,tabela_registros[TIPO],DADOS!$P$3,tabela_registros[CATEGORIA],despesafixaconsolidadoabr[[#This Row],[DESPESA FIXA]])</f>
        <v>0</v>
      </c>
      <c r="I45" s="91">
        <f>SUMIFS(tabela_registros[VALOR],tabela_registros[MÊS],$AE$1,tabela_registros[DIA],abrtotal305971[[#Headers],[5]],tabela_registros[REGISTRO],DADOS!$N$4,tabela_registros[TIPO],DADOS!$P$3,tabela_registros[CATEGORIA],despesafixaconsolidadoabr[[#This Row],[DESPESA FIXA]])</f>
        <v>0</v>
      </c>
      <c r="J45" s="91">
        <f>SUMIFS(tabela_registros[VALOR],tabela_registros[MÊS],$AE$1,tabela_registros[DIA],abrtotal305971[[#Headers],[6]],tabela_registros[REGISTRO],DADOS!$N$4,tabela_registros[TIPO],DADOS!$P$3,tabela_registros[CATEGORIA],despesafixaconsolidadoabr[[#This Row],[DESPESA FIXA]])</f>
        <v>0</v>
      </c>
      <c r="K45" s="91">
        <f>SUMIFS(tabela_registros[VALOR],tabela_registros[MÊS],$AE$1,tabela_registros[DIA],abrtotal305971[[#Headers],[7]],tabela_registros[REGISTRO],DADOS!$N$4,tabela_registros[TIPO],DADOS!$P$3,tabela_registros[CATEGORIA],despesafixaconsolidadoabr[[#This Row],[DESPESA FIXA]])</f>
        <v>0</v>
      </c>
      <c r="L45" s="91">
        <f>SUMIFS(tabela_registros[VALOR],tabela_registros[MÊS],$AE$1,tabela_registros[DIA],abrtotal305971[[#Headers],[8]],tabela_registros[REGISTRO],DADOS!$N$4,tabela_registros[TIPO],DADOS!$P$3,tabela_registros[CATEGORIA],despesafixaconsolidadoabr[[#This Row],[DESPESA FIXA]])</f>
        <v>0</v>
      </c>
      <c r="M45" s="91">
        <f>SUMIFS(tabela_registros[VALOR],tabela_registros[MÊS],$AE$1,tabela_registros[DIA],abrtotal305971[[#Headers],[9]],tabela_registros[REGISTRO],DADOS!$N$4,tabela_registros[TIPO],DADOS!$P$3,tabela_registros[CATEGORIA],despesafixaconsolidadoabr[[#This Row],[DESPESA FIXA]])</f>
        <v>0</v>
      </c>
      <c r="N45" s="91">
        <f>SUMIFS(tabela_registros[VALOR],tabela_registros[MÊS],$AE$1,tabela_registros[DIA],abrtotal305971[[#Headers],[10]],tabela_registros[REGISTRO],DADOS!$N$4,tabela_registros[TIPO],DADOS!$P$3,tabela_registros[CATEGORIA],despesafixaconsolidadoabr[[#This Row],[DESPESA FIXA]])</f>
        <v>0</v>
      </c>
      <c r="O45" s="91">
        <f>SUMIFS(tabela_registros[VALOR],tabela_registros[MÊS],$AE$1,tabela_registros[DIA],abrtotal305971[[#Headers],[11]],tabela_registros[REGISTRO],DADOS!$N$4,tabela_registros[TIPO],DADOS!$P$3,tabela_registros[CATEGORIA],despesafixaconsolidadoabr[[#This Row],[DESPESA FIXA]])</f>
        <v>0</v>
      </c>
      <c r="P45" s="91">
        <f>SUMIFS(tabela_registros[VALOR],tabela_registros[MÊS],$AE$1,tabela_registros[DIA],abrtotal305971[[#Headers],[12]],tabela_registros[REGISTRO],DADOS!$N$4,tabela_registros[TIPO],DADOS!$P$3,tabela_registros[CATEGORIA],despesafixaconsolidadoabr[[#This Row],[DESPESA FIXA]])</f>
        <v>0</v>
      </c>
      <c r="Q45" s="91">
        <f>SUMIFS(tabela_registros[VALOR],tabela_registros[MÊS],$AE$1,tabela_registros[DIA],abrtotal305971[[#Headers],[13]],tabela_registros[REGISTRO],DADOS!$N$4,tabela_registros[TIPO],DADOS!$P$3,tabela_registros[CATEGORIA],despesafixaconsolidadoabr[[#This Row],[DESPESA FIXA]])</f>
        <v>0</v>
      </c>
      <c r="R45" s="91">
        <f>SUMIFS(tabela_registros[VALOR],tabela_registros[MÊS],$AE$1,tabela_registros[DIA],abrtotal305971[[#Headers],[14]],tabela_registros[REGISTRO],DADOS!$N$4,tabela_registros[TIPO],DADOS!$P$3,tabela_registros[CATEGORIA],despesafixaconsolidadoabr[[#This Row],[DESPESA FIXA]])</f>
        <v>0</v>
      </c>
      <c r="S45" s="91">
        <f>SUMIFS(tabela_registros[VALOR],tabela_registros[MÊS],$AE$1,tabela_registros[DIA],abrtotal305971[[#Headers],[15]],tabela_registros[REGISTRO],DADOS!$N$4,tabela_registros[TIPO],DADOS!$P$3,tabela_registros[CATEGORIA],despesafixaconsolidadoabr[[#This Row],[DESPESA FIXA]])</f>
        <v>0</v>
      </c>
      <c r="T45" s="91">
        <f>SUMIFS(tabela_registros[VALOR],tabela_registros[MÊS],$AE$1,tabela_registros[DIA],abrtotal305971[[#Headers],[16]],tabela_registros[REGISTRO],DADOS!$N$4,tabela_registros[TIPO],DADOS!$P$3,tabela_registros[CATEGORIA],despesafixaconsolidadoabr[[#This Row],[DESPESA FIXA]])</f>
        <v>0</v>
      </c>
      <c r="U45" s="91">
        <f>SUMIFS(tabela_registros[VALOR],tabela_registros[MÊS],$AE$1,tabela_registros[DIA],abrtotal305971[[#Headers],[17]],tabela_registros[REGISTRO],DADOS!$N$4,tabela_registros[TIPO],DADOS!$P$3,tabela_registros[CATEGORIA],despesafixaconsolidadoabr[[#This Row],[DESPESA FIXA]])</f>
        <v>0</v>
      </c>
      <c r="V45" s="91">
        <f>SUMIFS(tabela_registros[VALOR],tabela_registros[MÊS],$AE$1,tabela_registros[DIA],abrtotal305971[[#Headers],[18]],tabela_registros[REGISTRO],DADOS!$N$4,tabela_registros[TIPO],DADOS!$P$3,tabela_registros[CATEGORIA],despesafixaconsolidadoabr[[#This Row],[DESPESA FIXA]])</f>
        <v>0</v>
      </c>
      <c r="W45" s="91">
        <f>SUMIFS(tabela_registros[VALOR],tabela_registros[MÊS],$AE$1,tabela_registros[DIA],abrtotal305971[[#Headers],[19]],tabela_registros[REGISTRO],DADOS!$N$4,tabela_registros[TIPO],DADOS!$P$3,tabela_registros[CATEGORIA],despesafixaconsolidadoabr[[#This Row],[DESPESA FIXA]])</f>
        <v>0</v>
      </c>
      <c r="X45" s="91">
        <f>SUMIFS(tabela_registros[VALOR],tabela_registros[MÊS],$AE$1,tabela_registros[DIA],abrtotal305971[[#Headers],[20]],tabela_registros[REGISTRO],DADOS!$N$4,tabela_registros[TIPO],DADOS!$P$3,tabela_registros[CATEGORIA],despesafixaconsolidadoabr[[#This Row],[DESPESA FIXA]])</f>
        <v>0</v>
      </c>
      <c r="Y45" s="91">
        <f>SUMIFS(tabela_registros[VALOR],tabela_registros[MÊS],$AE$1,tabela_registros[DIA],abrtotal305971[[#Headers],[21]],tabela_registros[REGISTRO],DADOS!$N$4,tabela_registros[TIPO],DADOS!$P$3,tabela_registros[CATEGORIA],despesafixaconsolidadoabr[[#This Row],[DESPESA FIXA]])</f>
        <v>0</v>
      </c>
      <c r="Z45" s="91">
        <f>SUMIFS(tabela_registros[VALOR],tabela_registros[MÊS],$AE$1,tabela_registros[DIA],abrtotal305971[[#Headers],[22]],tabela_registros[REGISTRO],DADOS!$N$4,tabela_registros[TIPO],DADOS!$P$3,tabela_registros[CATEGORIA],despesafixaconsolidadoabr[[#This Row],[DESPESA FIXA]])</f>
        <v>0</v>
      </c>
      <c r="AA45" s="91">
        <f>SUMIFS(tabela_registros[VALOR],tabela_registros[MÊS],$AE$1,tabela_registros[DIA],abrtotal305971[[#Headers],[23]],tabela_registros[REGISTRO],DADOS!$N$4,tabela_registros[TIPO],DADOS!$P$3,tabela_registros[CATEGORIA],despesafixaconsolidadoabr[[#This Row],[DESPESA FIXA]])</f>
        <v>0</v>
      </c>
      <c r="AB45" s="91">
        <f>SUMIFS(tabela_registros[VALOR],tabela_registros[MÊS],$AE$1,tabela_registros[DIA],abrtotal305971[[#Headers],[24]],tabela_registros[REGISTRO],DADOS!$N$4,tabela_registros[TIPO],DADOS!$P$3,tabela_registros[CATEGORIA],despesafixaconsolidadoabr[[#This Row],[DESPESA FIXA]])</f>
        <v>0</v>
      </c>
      <c r="AC45" s="91">
        <f>SUMIFS(tabela_registros[VALOR],tabela_registros[MÊS],$AE$1,tabela_registros[DIA],abrtotal305971[[#Headers],[25]],tabela_registros[REGISTRO],DADOS!$N$4,tabela_registros[TIPO],DADOS!$P$3,tabela_registros[CATEGORIA],despesafixaconsolidadoabr[[#This Row],[DESPESA FIXA]])</f>
        <v>0</v>
      </c>
      <c r="AD45" s="91">
        <f>SUMIFS(tabela_registros[VALOR],tabela_registros[MÊS],$AE$1,tabela_registros[DIA],abrtotal305971[[#Headers],[26]],tabela_registros[REGISTRO],DADOS!$N$4,tabela_registros[TIPO],DADOS!$P$3,tabela_registros[CATEGORIA],despesafixaconsolidadoabr[[#This Row],[DESPESA FIXA]])</f>
        <v>0</v>
      </c>
      <c r="AE45" s="91">
        <f>SUMIFS(tabela_registros[VALOR],tabela_registros[MÊS],$AE$1,tabela_registros[DIA],abrtotal305971[[#Headers],[27]],tabela_registros[REGISTRO],DADOS!$N$4,tabela_registros[TIPO],DADOS!$P$3,tabela_registros[CATEGORIA],despesafixaconsolidadoabr[[#This Row],[DESPESA FIXA]])</f>
        <v>0</v>
      </c>
      <c r="AF45" s="91">
        <f>SUMIFS(tabela_registros[VALOR],tabela_registros[MÊS],$AE$1,tabela_registros[DIA],abrtotal305971[[#Headers],[28]],tabela_registros[REGISTRO],DADOS!$N$4,tabela_registros[TIPO],DADOS!$P$3,tabela_registros[CATEGORIA],despesafixaconsolidadoabr[[#This Row],[DESPESA FIXA]])</f>
        <v>0</v>
      </c>
      <c r="AG45" s="91">
        <f>SUMIFS(tabela_registros[VALOR],tabela_registros[MÊS],$AE$1,tabela_registros[DIA],abrtotal305971[[#Headers],[29]],tabela_registros[REGISTRO],DADOS!$N$4,tabela_registros[TIPO],DADOS!$P$3,tabela_registros[CATEGORIA],despesafixaconsolidadoabr[[#This Row],[DESPESA FIXA]])</f>
        <v>0</v>
      </c>
      <c r="AH45" s="91">
        <f>SUMIFS(tabela_registros[VALOR],tabela_registros[MÊS],$AE$1,tabela_registros[DIA],abrtotal305971[[#Headers],[30]],tabela_registros[REGISTRO],DADOS!$N$4,tabela_registros[TIPO],DADOS!$P$3,tabela_registros[CATEGORIA],despesafixaconsolidadoabr[[#This Row],[DESPESA FIXA]])</f>
        <v>0</v>
      </c>
      <c r="AI45" s="101">
        <f>SUMIFS(tabela_registros[VALOR],tabela_registros[MÊS],$AE$1,tabela_registros[DIA],abrtotal305971[[#Headers],[31]],tabela_registros[REGISTRO],DADOS!$N$4,tabela_registros[TIPO],DADOS!$P$3,tabela_registros[CATEGORIA],despesafixaconsolidadoabr[[#This Row],[DESPESA FIXA]])</f>
        <v>0</v>
      </c>
      <c r="AJ45" s="97">
        <f>SUM(despesafixaconsolidadoabr[[#This Row],[1]:[31]])</f>
        <v>0</v>
      </c>
      <c r="AK45" s="28"/>
    </row>
    <row r="46" spans="2:37" ht="18" customHeight="1" thickTop="1" thickBot="1" x14ac:dyDescent="0.3">
      <c r="B46" s="28"/>
      <c r="C46" s="27" t="str">
        <f>DADOS!$R$12</f>
        <v>🖱️ INTERNET</v>
      </c>
      <c r="D46" s="26" t="str">
        <f>IF(despesafixaconsolidadoabr[[#This Row],[TOTAL]]=0,"",IF(OR(despesafixaconsolidadoabr[[#This Row],[TOTAL]]=LARGE($AJ$37:$AJ$50,1),despesafixaconsolidadoabr[[#This Row],[TOTAL]]=LARGE($AJ$37:$AJ$50,2),despesafixaconsolidadoabr[[#This Row],[TOTAL]]=LARGE($AJ$37:$AJ$50,3),despesafixaconsolidadoabr[[#This Row],[TOTAL]]=LARGE($AJ$37:$AJ$50,4),despesafixaconsolidadoabr[[#This Row],[TOTAL]]=LARGE($AJ$37:$AJ$50,5)),DADOS!$I$8,""))</f>
        <v/>
      </c>
      <c r="E46" s="96">
        <f>SUMIFS(tabela_registros[VALOR],tabela_registros[MÊS],$AE$1,tabela_registros[DIA],abrtotal305971[[#Headers],[1]],tabela_registros[REGISTRO],DADOS!$N$4,tabela_registros[TIPO],DADOS!$P$3,tabela_registros[CATEGORIA],despesafixaconsolidadoabr[[#This Row],[DESPESA FIXA]])</f>
        <v>0</v>
      </c>
      <c r="F46" s="91">
        <f>SUMIFS(tabela_registros[VALOR],tabela_registros[MÊS],$AE$1,tabela_registros[DIA],abrtotal305971[[#Headers],[2]],tabela_registros[REGISTRO],DADOS!$N$4,tabela_registros[TIPO],DADOS!$P$3,tabela_registros[CATEGORIA],despesafixaconsolidadoabr[[#This Row],[DESPESA FIXA]])</f>
        <v>0</v>
      </c>
      <c r="G46" s="91">
        <f>SUMIFS(tabela_registros[VALOR],tabela_registros[MÊS],$AE$1,tabela_registros[DIA],abrtotal305971[[#Headers],[3]],tabela_registros[REGISTRO],DADOS!$N$4,tabela_registros[TIPO],DADOS!$P$3,tabela_registros[CATEGORIA],despesafixaconsolidadoabr[[#This Row],[DESPESA FIXA]])</f>
        <v>0</v>
      </c>
      <c r="H46" s="91">
        <f>SUMIFS(tabela_registros[VALOR],tabela_registros[MÊS],$AE$1,tabela_registros[DIA],abrtotal305971[[#Headers],[4]],tabela_registros[REGISTRO],DADOS!$N$4,tabela_registros[TIPO],DADOS!$P$3,tabela_registros[CATEGORIA],despesafixaconsolidadoabr[[#This Row],[DESPESA FIXA]])</f>
        <v>0</v>
      </c>
      <c r="I46" s="91">
        <f>SUMIFS(tabela_registros[VALOR],tabela_registros[MÊS],$AE$1,tabela_registros[DIA],abrtotal305971[[#Headers],[5]],tabela_registros[REGISTRO],DADOS!$N$4,tabela_registros[TIPO],DADOS!$P$3,tabela_registros[CATEGORIA],despesafixaconsolidadoabr[[#This Row],[DESPESA FIXA]])</f>
        <v>0</v>
      </c>
      <c r="J46" s="91">
        <f>SUMIFS(tabela_registros[VALOR],tabela_registros[MÊS],$AE$1,tabela_registros[DIA],abrtotal305971[[#Headers],[6]],tabela_registros[REGISTRO],DADOS!$N$4,tabela_registros[TIPO],DADOS!$P$3,tabela_registros[CATEGORIA],despesafixaconsolidadoabr[[#This Row],[DESPESA FIXA]])</f>
        <v>0</v>
      </c>
      <c r="K46" s="91">
        <f>SUMIFS(tabela_registros[VALOR],tabela_registros[MÊS],$AE$1,tabela_registros[DIA],abrtotal305971[[#Headers],[7]],tabela_registros[REGISTRO],DADOS!$N$4,tabela_registros[TIPO],DADOS!$P$3,tabela_registros[CATEGORIA],despesafixaconsolidadoabr[[#This Row],[DESPESA FIXA]])</f>
        <v>0</v>
      </c>
      <c r="L46" s="91">
        <f>SUMIFS(tabela_registros[VALOR],tabela_registros[MÊS],$AE$1,tabela_registros[DIA],abrtotal305971[[#Headers],[8]],tabela_registros[REGISTRO],DADOS!$N$4,tabela_registros[TIPO],DADOS!$P$3,tabela_registros[CATEGORIA],despesafixaconsolidadoabr[[#This Row],[DESPESA FIXA]])</f>
        <v>0</v>
      </c>
      <c r="M46" s="91">
        <f>SUMIFS(tabela_registros[VALOR],tabela_registros[MÊS],$AE$1,tabela_registros[DIA],abrtotal305971[[#Headers],[9]],tabela_registros[REGISTRO],DADOS!$N$4,tabela_registros[TIPO],DADOS!$P$3,tabela_registros[CATEGORIA],despesafixaconsolidadoabr[[#This Row],[DESPESA FIXA]])</f>
        <v>0</v>
      </c>
      <c r="N46" s="91">
        <f>SUMIFS(tabela_registros[VALOR],tabela_registros[MÊS],$AE$1,tabela_registros[DIA],abrtotal305971[[#Headers],[10]],tabela_registros[REGISTRO],DADOS!$N$4,tabela_registros[TIPO],DADOS!$P$3,tabela_registros[CATEGORIA],despesafixaconsolidadoabr[[#This Row],[DESPESA FIXA]])</f>
        <v>0</v>
      </c>
      <c r="O46" s="91">
        <f>SUMIFS(tabela_registros[VALOR],tabela_registros[MÊS],$AE$1,tabela_registros[DIA],abrtotal305971[[#Headers],[11]],tabela_registros[REGISTRO],DADOS!$N$4,tabela_registros[TIPO],DADOS!$P$3,tabela_registros[CATEGORIA],despesafixaconsolidadoabr[[#This Row],[DESPESA FIXA]])</f>
        <v>0</v>
      </c>
      <c r="P46" s="91">
        <f>SUMIFS(tabela_registros[VALOR],tabela_registros[MÊS],$AE$1,tabela_registros[DIA],abrtotal305971[[#Headers],[12]],tabela_registros[REGISTRO],DADOS!$N$4,tabela_registros[TIPO],DADOS!$P$3,tabela_registros[CATEGORIA],despesafixaconsolidadoabr[[#This Row],[DESPESA FIXA]])</f>
        <v>0</v>
      </c>
      <c r="Q46" s="91">
        <f>SUMIFS(tabela_registros[VALOR],tabela_registros[MÊS],$AE$1,tabela_registros[DIA],abrtotal305971[[#Headers],[13]],tabela_registros[REGISTRO],DADOS!$N$4,tabela_registros[TIPO],DADOS!$P$3,tabela_registros[CATEGORIA],despesafixaconsolidadoabr[[#This Row],[DESPESA FIXA]])</f>
        <v>0</v>
      </c>
      <c r="R46" s="91">
        <f>SUMIFS(tabela_registros[VALOR],tabela_registros[MÊS],$AE$1,tabela_registros[DIA],abrtotal305971[[#Headers],[14]],tabela_registros[REGISTRO],DADOS!$N$4,tabela_registros[TIPO],DADOS!$P$3,tabela_registros[CATEGORIA],despesafixaconsolidadoabr[[#This Row],[DESPESA FIXA]])</f>
        <v>0</v>
      </c>
      <c r="S46" s="91">
        <f>SUMIFS(tabela_registros[VALOR],tabela_registros[MÊS],$AE$1,tabela_registros[DIA],abrtotal305971[[#Headers],[15]],tabela_registros[REGISTRO],DADOS!$N$4,tabela_registros[TIPO],DADOS!$P$3,tabela_registros[CATEGORIA],despesafixaconsolidadoabr[[#This Row],[DESPESA FIXA]])</f>
        <v>0</v>
      </c>
      <c r="T46" s="91">
        <f>SUMIFS(tabela_registros[VALOR],tabela_registros[MÊS],$AE$1,tabela_registros[DIA],abrtotal305971[[#Headers],[16]],tabela_registros[REGISTRO],DADOS!$N$4,tabela_registros[TIPO],DADOS!$P$3,tabela_registros[CATEGORIA],despesafixaconsolidadoabr[[#This Row],[DESPESA FIXA]])</f>
        <v>0</v>
      </c>
      <c r="U46" s="91">
        <f>SUMIFS(tabela_registros[VALOR],tabela_registros[MÊS],$AE$1,tabela_registros[DIA],abrtotal305971[[#Headers],[17]],tabela_registros[REGISTRO],DADOS!$N$4,tabela_registros[TIPO],DADOS!$P$3,tabela_registros[CATEGORIA],despesafixaconsolidadoabr[[#This Row],[DESPESA FIXA]])</f>
        <v>0</v>
      </c>
      <c r="V46" s="91">
        <f>SUMIFS(tabela_registros[VALOR],tabela_registros[MÊS],$AE$1,tabela_registros[DIA],abrtotal305971[[#Headers],[18]],tabela_registros[REGISTRO],DADOS!$N$4,tabela_registros[TIPO],DADOS!$P$3,tabela_registros[CATEGORIA],despesafixaconsolidadoabr[[#This Row],[DESPESA FIXA]])</f>
        <v>0</v>
      </c>
      <c r="W46" s="91">
        <f>SUMIFS(tabela_registros[VALOR],tabela_registros[MÊS],$AE$1,tabela_registros[DIA],abrtotal305971[[#Headers],[19]],tabela_registros[REGISTRO],DADOS!$N$4,tabela_registros[TIPO],DADOS!$P$3,tabela_registros[CATEGORIA],despesafixaconsolidadoabr[[#This Row],[DESPESA FIXA]])</f>
        <v>0</v>
      </c>
      <c r="X46" s="91">
        <f>SUMIFS(tabela_registros[VALOR],tabela_registros[MÊS],$AE$1,tabela_registros[DIA],abrtotal305971[[#Headers],[20]],tabela_registros[REGISTRO],DADOS!$N$4,tabela_registros[TIPO],DADOS!$P$3,tabela_registros[CATEGORIA],despesafixaconsolidadoabr[[#This Row],[DESPESA FIXA]])</f>
        <v>0</v>
      </c>
      <c r="Y46" s="91">
        <f>SUMIFS(tabela_registros[VALOR],tabela_registros[MÊS],$AE$1,tabela_registros[DIA],abrtotal305971[[#Headers],[21]],tabela_registros[REGISTRO],DADOS!$N$4,tabela_registros[TIPO],DADOS!$P$3,tabela_registros[CATEGORIA],despesafixaconsolidadoabr[[#This Row],[DESPESA FIXA]])</f>
        <v>0</v>
      </c>
      <c r="Z46" s="91">
        <f>SUMIFS(tabela_registros[VALOR],tabela_registros[MÊS],$AE$1,tabela_registros[DIA],abrtotal305971[[#Headers],[22]],tabela_registros[REGISTRO],DADOS!$N$4,tabela_registros[TIPO],DADOS!$P$3,tabela_registros[CATEGORIA],despesafixaconsolidadoabr[[#This Row],[DESPESA FIXA]])</f>
        <v>0</v>
      </c>
      <c r="AA46" s="91">
        <f>SUMIFS(tabela_registros[VALOR],tabela_registros[MÊS],$AE$1,tabela_registros[DIA],abrtotal305971[[#Headers],[23]],tabela_registros[REGISTRO],DADOS!$N$4,tabela_registros[TIPO],DADOS!$P$3,tabela_registros[CATEGORIA],despesafixaconsolidadoabr[[#This Row],[DESPESA FIXA]])</f>
        <v>0</v>
      </c>
      <c r="AB46" s="91">
        <f>SUMIFS(tabela_registros[VALOR],tabela_registros[MÊS],$AE$1,tabela_registros[DIA],abrtotal305971[[#Headers],[24]],tabela_registros[REGISTRO],DADOS!$N$4,tabela_registros[TIPO],DADOS!$P$3,tabela_registros[CATEGORIA],despesafixaconsolidadoabr[[#This Row],[DESPESA FIXA]])</f>
        <v>0</v>
      </c>
      <c r="AC46" s="91">
        <f>SUMIFS(tabela_registros[VALOR],tabela_registros[MÊS],$AE$1,tabela_registros[DIA],abrtotal305971[[#Headers],[25]],tabela_registros[REGISTRO],DADOS!$N$4,tabela_registros[TIPO],DADOS!$P$3,tabela_registros[CATEGORIA],despesafixaconsolidadoabr[[#This Row],[DESPESA FIXA]])</f>
        <v>0</v>
      </c>
      <c r="AD46" s="91">
        <f>SUMIFS(tabela_registros[VALOR],tabela_registros[MÊS],$AE$1,tabela_registros[DIA],abrtotal305971[[#Headers],[26]],tabela_registros[REGISTRO],DADOS!$N$4,tabela_registros[TIPO],DADOS!$P$3,tabela_registros[CATEGORIA],despesafixaconsolidadoabr[[#This Row],[DESPESA FIXA]])</f>
        <v>0</v>
      </c>
      <c r="AE46" s="91">
        <f>SUMIFS(tabela_registros[VALOR],tabela_registros[MÊS],$AE$1,tabela_registros[DIA],abrtotal305971[[#Headers],[27]],tabela_registros[REGISTRO],DADOS!$N$4,tabela_registros[TIPO],DADOS!$P$3,tabela_registros[CATEGORIA],despesafixaconsolidadoabr[[#This Row],[DESPESA FIXA]])</f>
        <v>0</v>
      </c>
      <c r="AF46" s="91">
        <f>SUMIFS(tabela_registros[VALOR],tabela_registros[MÊS],$AE$1,tabela_registros[DIA],abrtotal305971[[#Headers],[28]],tabela_registros[REGISTRO],DADOS!$N$4,tabela_registros[TIPO],DADOS!$P$3,tabela_registros[CATEGORIA],despesafixaconsolidadoabr[[#This Row],[DESPESA FIXA]])</f>
        <v>0</v>
      </c>
      <c r="AG46" s="91">
        <f>SUMIFS(tabela_registros[VALOR],tabela_registros[MÊS],$AE$1,tabela_registros[DIA],abrtotal305971[[#Headers],[29]],tabela_registros[REGISTRO],DADOS!$N$4,tabela_registros[TIPO],DADOS!$P$3,tabela_registros[CATEGORIA],despesafixaconsolidadoabr[[#This Row],[DESPESA FIXA]])</f>
        <v>0</v>
      </c>
      <c r="AH46" s="91">
        <f>SUMIFS(tabela_registros[VALOR],tabela_registros[MÊS],$AE$1,tabela_registros[DIA],abrtotal305971[[#Headers],[30]],tabela_registros[REGISTRO],DADOS!$N$4,tabela_registros[TIPO],DADOS!$P$3,tabela_registros[CATEGORIA],despesafixaconsolidadoabr[[#This Row],[DESPESA FIXA]])</f>
        <v>0</v>
      </c>
      <c r="AI46" s="101">
        <f>SUMIFS(tabela_registros[VALOR],tabela_registros[MÊS],$AE$1,tabela_registros[DIA],abrtotal305971[[#Headers],[31]],tabela_registros[REGISTRO],DADOS!$N$4,tabela_registros[TIPO],DADOS!$P$3,tabela_registros[CATEGORIA],despesafixaconsolidadoabr[[#This Row],[DESPESA FIXA]])</f>
        <v>0</v>
      </c>
      <c r="AJ46" s="97">
        <f>SUM(despesafixaconsolidadoabr[[#This Row],[1]:[31]])</f>
        <v>0</v>
      </c>
      <c r="AK46" s="28"/>
    </row>
    <row r="47" spans="2:37" ht="18" customHeight="1" thickTop="1" thickBot="1" x14ac:dyDescent="0.3">
      <c r="B47" s="28"/>
      <c r="C47" s="27" t="str">
        <f>DADOS!$R$13</f>
        <v>🏠 MORADIA</v>
      </c>
      <c r="D47" s="26" t="str">
        <f>IF(despesafixaconsolidadoabr[[#This Row],[TOTAL]]=0,"",IF(OR(despesafixaconsolidadoabr[[#This Row],[TOTAL]]=LARGE($AJ$37:$AJ$50,1),despesafixaconsolidadoabr[[#This Row],[TOTAL]]=LARGE($AJ$37:$AJ$50,2),despesafixaconsolidadoabr[[#This Row],[TOTAL]]=LARGE($AJ$37:$AJ$50,3),despesafixaconsolidadoabr[[#This Row],[TOTAL]]=LARGE($AJ$37:$AJ$50,4),despesafixaconsolidadoabr[[#This Row],[TOTAL]]=LARGE($AJ$37:$AJ$50,5)),DADOS!$I$8,""))</f>
        <v/>
      </c>
      <c r="E47" s="96">
        <f>SUMIFS(tabela_registros[VALOR],tabela_registros[MÊS],$AE$1,tabela_registros[DIA],abrtotal305971[[#Headers],[1]],tabela_registros[REGISTRO],DADOS!$N$4,tabela_registros[TIPO],DADOS!$P$3,tabela_registros[CATEGORIA],despesafixaconsolidadoabr[[#This Row],[DESPESA FIXA]])</f>
        <v>0</v>
      </c>
      <c r="F47" s="91">
        <f>SUMIFS(tabela_registros[VALOR],tabela_registros[MÊS],$AE$1,tabela_registros[DIA],abrtotal305971[[#Headers],[2]],tabela_registros[REGISTRO],DADOS!$N$4,tabela_registros[TIPO],DADOS!$P$3,tabela_registros[CATEGORIA],despesafixaconsolidadoabr[[#This Row],[DESPESA FIXA]])</f>
        <v>0</v>
      </c>
      <c r="G47" s="91">
        <f>SUMIFS(tabela_registros[VALOR],tabela_registros[MÊS],$AE$1,tabela_registros[DIA],abrtotal305971[[#Headers],[3]],tabela_registros[REGISTRO],DADOS!$N$4,tabela_registros[TIPO],DADOS!$P$3,tabela_registros[CATEGORIA],despesafixaconsolidadoabr[[#This Row],[DESPESA FIXA]])</f>
        <v>0</v>
      </c>
      <c r="H47" s="91">
        <f>SUMIFS(tabela_registros[VALOR],tabela_registros[MÊS],$AE$1,tabela_registros[DIA],abrtotal305971[[#Headers],[4]],tabela_registros[REGISTRO],DADOS!$N$4,tabela_registros[TIPO],DADOS!$P$3,tabela_registros[CATEGORIA],despesafixaconsolidadoabr[[#This Row],[DESPESA FIXA]])</f>
        <v>0</v>
      </c>
      <c r="I47" s="91">
        <f>SUMIFS(tabela_registros[VALOR],tabela_registros[MÊS],$AE$1,tabela_registros[DIA],abrtotal305971[[#Headers],[5]],tabela_registros[REGISTRO],DADOS!$N$4,tabela_registros[TIPO],DADOS!$P$3,tabela_registros[CATEGORIA],despesafixaconsolidadoabr[[#This Row],[DESPESA FIXA]])</f>
        <v>0</v>
      </c>
      <c r="J47" s="91">
        <f>SUMIFS(tabela_registros[VALOR],tabela_registros[MÊS],$AE$1,tabela_registros[DIA],abrtotal305971[[#Headers],[6]],tabela_registros[REGISTRO],DADOS!$N$4,tabela_registros[TIPO],DADOS!$P$3,tabela_registros[CATEGORIA],despesafixaconsolidadoabr[[#This Row],[DESPESA FIXA]])</f>
        <v>0</v>
      </c>
      <c r="K47" s="91">
        <f>SUMIFS(tabela_registros[VALOR],tabela_registros[MÊS],$AE$1,tabela_registros[DIA],abrtotal305971[[#Headers],[7]],tabela_registros[REGISTRO],DADOS!$N$4,tabela_registros[TIPO],DADOS!$P$3,tabela_registros[CATEGORIA],despesafixaconsolidadoabr[[#This Row],[DESPESA FIXA]])</f>
        <v>0</v>
      </c>
      <c r="L47" s="91">
        <f>SUMIFS(tabela_registros[VALOR],tabela_registros[MÊS],$AE$1,tabela_registros[DIA],abrtotal305971[[#Headers],[8]],tabela_registros[REGISTRO],DADOS!$N$4,tabela_registros[TIPO],DADOS!$P$3,tabela_registros[CATEGORIA],despesafixaconsolidadoabr[[#This Row],[DESPESA FIXA]])</f>
        <v>0</v>
      </c>
      <c r="M47" s="91">
        <f>SUMIFS(tabela_registros[VALOR],tabela_registros[MÊS],$AE$1,tabela_registros[DIA],abrtotal305971[[#Headers],[9]],tabela_registros[REGISTRO],DADOS!$N$4,tabela_registros[TIPO],DADOS!$P$3,tabela_registros[CATEGORIA],despesafixaconsolidadoabr[[#This Row],[DESPESA FIXA]])</f>
        <v>0</v>
      </c>
      <c r="N47" s="91">
        <f>SUMIFS(tabela_registros[VALOR],tabela_registros[MÊS],$AE$1,tabela_registros[DIA],abrtotal305971[[#Headers],[10]],tabela_registros[REGISTRO],DADOS!$N$4,tabela_registros[TIPO],DADOS!$P$3,tabela_registros[CATEGORIA],despesafixaconsolidadoabr[[#This Row],[DESPESA FIXA]])</f>
        <v>0</v>
      </c>
      <c r="O47" s="91">
        <f>SUMIFS(tabela_registros[VALOR],tabela_registros[MÊS],$AE$1,tabela_registros[DIA],abrtotal305971[[#Headers],[11]],tabela_registros[REGISTRO],DADOS!$N$4,tabela_registros[TIPO],DADOS!$P$3,tabela_registros[CATEGORIA],despesafixaconsolidadoabr[[#This Row],[DESPESA FIXA]])</f>
        <v>0</v>
      </c>
      <c r="P47" s="91">
        <f>SUMIFS(tabela_registros[VALOR],tabela_registros[MÊS],$AE$1,tabela_registros[DIA],abrtotal305971[[#Headers],[12]],tabela_registros[REGISTRO],DADOS!$N$4,tabela_registros[TIPO],DADOS!$P$3,tabela_registros[CATEGORIA],despesafixaconsolidadoabr[[#This Row],[DESPESA FIXA]])</f>
        <v>0</v>
      </c>
      <c r="Q47" s="91">
        <f>SUMIFS(tabela_registros[VALOR],tabela_registros[MÊS],$AE$1,tabela_registros[DIA],abrtotal305971[[#Headers],[13]],tabela_registros[REGISTRO],DADOS!$N$4,tabela_registros[TIPO],DADOS!$P$3,tabela_registros[CATEGORIA],despesafixaconsolidadoabr[[#This Row],[DESPESA FIXA]])</f>
        <v>0</v>
      </c>
      <c r="R47" s="91">
        <f>SUMIFS(tabela_registros[VALOR],tabela_registros[MÊS],$AE$1,tabela_registros[DIA],abrtotal305971[[#Headers],[14]],tabela_registros[REGISTRO],DADOS!$N$4,tabela_registros[TIPO],DADOS!$P$3,tabela_registros[CATEGORIA],despesafixaconsolidadoabr[[#This Row],[DESPESA FIXA]])</f>
        <v>0</v>
      </c>
      <c r="S47" s="91">
        <f>SUMIFS(tabela_registros[VALOR],tabela_registros[MÊS],$AE$1,tabela_registros[DIA],abrtotal305971[[#Headers],[15]],tabela_registros[REGISTRO],DADOS!$N$4,tabela_registros[TIPO],DADOS!$P$3,tabela_registros[CATEGORIA],despesafixaconsolidadoabr[[#This Row],[DESPESA FIXA]])</f>
        <v>0</v>
      </c>
      <c r="T47" s="91">
        <f>SUMIFS(tabela_registros[VALOR],tabela_registros[MÊS],$AE$1,tabela_registros[DIA],abrtotal305971[[#Headers],[16]],tabela_registros[REGISTRO],DADOS!$N$4,tabela_registros[TIPO],DADOS!$P$3,tabela_registros[CATEGORIA],despesafixaconsolidadoabr[[#This Row],[DESPESA FIXA]])</f>
        <v>0</v>
      </c>
      <c r="U47" s="91">
        <f>SUMIFS(tabela_registros[VALOR],tabela_registros[MÊS],$AE$1,tabela_registros[DIA],abrtotal305971[[#Headers],[17]],tabela_registros[REGISTRO],DADOS!$N$4,tabela_registros[TIPO],DADOS!$P$3,tabela_registros[CATEGORIA],despesafixaconsolidadoabr[[#This Row],[DESPESA FIXA]])</f>
        <v>0</v>
      </c>
      <c r="V47" s="91">
        <f>SUMIFS(tabela_registros[VALOR],tabela_registros[MÊS],$AE$1,tabela_registros[DIA],abrtotal305971[[#Headers],[18]],tabela_registros[REGISTRO],DADOS!$N$4,tabela_registros[TIPO],DADOS!$P$3,tabela_registros[CATEGORIA],despesafixaconsolidadoabr[[#This Row],[DESPESA FIXA]])</f>
        <v>0</v>
      </c>
      <c r="W47" s="91">
        <f>SUMIFS(tabela_registros[VALOR],tabela_registros[MÊS],$AE$1,tabela_registros[DIA],abrtotal305971[[#Headers],[19]],tabela_registros[REGISTRO],DADOS!$N$4,tabela_registros[TIPO],DADOS!$P$3,tabela_registros[CATEGORIA],despesafixaconsolidadoabr[[#This Row],[DESPESA FIXA]])</f>
        <v>0</v>
      </c>
      <c r="X47" s="91">
        <f>SUMIFS(tabela_registros[VALOR],tabela_registros[MÊS],$AE$1,tabela_registros[DIA],abrtotal305971[[#Headers],[20]],tabela_registros[REGISTRO],DADOS!$N$4,tabela_registros[TIPO],DADOS!$P$3,tabela_registros[CATEGORIA],despesafixaconsolidadoabr[[#This Row],[DESPESA FIXA]])</f>
        <v>0</v>
      </c>
      <c r="Y47" s="91">
        <f>SUMIFS(tabela_registros[VALOR],tabela_registros[MÊS],$AE$1,tabela_registros[DIA],abrtotal305971[[#Headers],[21]],tabela_registros[REGISTRO],DADOS!$N$4,tabela_registros[TIPO],DADOS!$P$3,tabela_registros[CATEGORIA],despesafixaconsolidadoabr[[#This Row],[DESPESA FIXA]])</f>
        <v>0</v>
      </c>
      <c r="Z47" s="91">
        <f>SUMIFS(tabela_registros[VALOR],tabela_registros[MÊS],$AE$1,tabela_registros[DIA],abrtotal305971[[#Headers],[22]],tabela_registros[REGISTRO],DADOS!$N$4,tabela_registros[TIPO],DADOS!$P$3,tabela_registros[CATEGORIA],despesafixaconsolidadoabr[[#This Row],[DESPESA FIXA]])</f>
        <v>0</v>
      </c>
      <c r="AA47" s="91">
        <f>SUMIFS(tabela_registros[VALOR],tabela_registros[MÊS],$AE$1,tabela_registros[DIA],abrtotal305971[[#Headers],[23]],tabela_registros[REGISTRO],DADOS!$N$4,tabela_registros[TIPO],DADOS!$P$3,tabela_registros[CATEGORIA],despesafixaconsolidadoabr[[#This Row],[DESPESA FIXA]])</f>
        <v>0</v>
      </c>
      <c r="AB47" s="91">
        <f>SUMIFS(tabela_registros[VALOR],tabela_registros[MÊS],$AE$1,tabela_registros[DIA],abrtotal305971[[#Headers],[24]],tabela_registros[REGISTRO],DADOS!$N$4,tabela_registros[TIPO],DADOS!$P$3,tabela_registros[CATEGORIA],despesafixaconsolidadoabr[[#This Row],[DESPESA FIXA]])</f>
        <v>0</v>
      </c>
      <c r="AC47" s="91">
        <f>SUMIFS(tabela_registros[VALOR],tabela_registros[MÊS],$AE$1,tabela_registros[DIA],abrtotal305971[[#Headers],[25]],tabela_registros[REGISTRO],DADOS!$N$4,tabela_registros[TIPO],DADOS!$P$3,tabela_registros[CATEGORIA],despesafixaconsolidadoabr[[#This Row],[DESPESA FIXA]])</f>
        <v>0</v>
      </c>
      <c r="AD47" s="91">
        <f>SUMIFS(tabela_registros[VALOR],tabela_registros[MÊS],$AE$1,tabela_registros[DIA],abrtotal305971[[#Headers],[26]],tabela_registros[REGISTRO],DADOS!$N$4,tabela_registros[TIPO],DADOS!$P$3,tabela_registros[CATEGORIA],despesafixaconsolidadoabr[[#This Row],[DESPESA FIXA]])</f>
        <v>0</v>
      </c>
      <c r="AE47" s="91">
        <f>SUMIFS(tabela_registros[VALOR],tabela_registros[MÊS],$AE$1,tabela_registros[DIA],abrtotal305971[[#Headers],[27]],tabela_registros[REGISTRO],DADOS!$N$4,tabela_registros[TIPO],DADOS!$P$3,tabela_registros[CATEGORIA],despesafixaconsolidadoabr[[#This Row],[DESPESA FIXA]])</f>
        <v>0</v>
      </c>
      <c r="AF47" s="91">
        <f>SUMIFS(tabela_registros[VALOR],tabela_registros[MÊS],$AE$1,tabela_registros[DIA],abrtotal305971[[#Headers],[28]],tabela_registros[REGISTRO],DADOS!$N$4,tabela_registros[TIPO],DADOS!$P$3,tabela_registros[CATEGORIA],despesafixaconsolidadoabr[[#This Row],[DESPESA FIXA]])</f>
        <v>0</v>
      </c>
      <c r="AG47" s="91">
        <f>SUMIFS(tabela_registros[VALOR],tabela_registros[MÊS],$AE$1,tabela_registros[DIA],abrtotal305971[[#Headers],[29]],tabela_registros[REGISTRO],DADOS!$N$4,tabela_registros[TIPO],DADOS!$P$3,tabela_registros[CATEGORIA],despesafixaconsolidadoabr[[#This Row],[DESPESA FIXA]])</f>
        <v>0</v>
      </c>
      <c r="AH47" s="91">
        <f>SUMIFS(tabela_registros[VALOR],tabela_registros[MÊS],$AE$1,tabela_registros[DIA],abrtotal305971[[#Headers],[30]],tabela_registros[REGISTRO],DADOS!$N$4,tabela_registros[TIPO],DADOS!$P$3,tabela_registros[CATEGORIA],despesafixaconsolidadoabr[[#This Row],[DESPESA FIXA]])</f>
        <v>0</v>
      </c>
      <c r="AI47" s="101">
        <f>SUMIFS(tabela_registros[VALOR],tabela_registros[MÊS],$AE$1,tabela_registros[DIA],abrtotal305971[[#Headers],[31]],tabela_registros[REGISTRO],DADOS!$N$4,tabela_registros[TIPO],DADOS!$P$3,tabela_registros[CATEGORIA],despesafixaconsolidadoabr[[#This Row],[DESPESA FIXA]])</f>
        <v>0</v>
      </c>
      <c r="AJ47" s="97">
        <f>SUM(despesafixaconsolidadoabr[[#This Row],[1]:[31]])</f>
        <v>0</v>
      </c>
      <c r="AK47" s="28"/>
    </row>
    <row r="48" spans="2:37" ht="18" customHeight="1" thickTop="1" thickBot="1" x14ac:dyDescent="0.3">
      <c r="B48" s="28"/>
      <c r="C48" s="27" t="str">
        <f>DADOS!$R$14</f>
        <v>💊 SAÚDE</v>
      </c>
      <c r="D48" s="26" t="str">
        <f>IF(despesafixaconsolidadoabr[[#This Row],[TOTAL]]=0,"",IF(OR(despesafixaconsolidadoabr[[#This Row],[TOTAL]]=LARGE($AJ$37:$AJ$50,1),despesafixaconsolidadoabr[[#This Row],[TOTAL]]=LARGE($AJ$37:$AJ$50,2),despesafixaconsolidadoabr[[#This Row],[TOTAL]]=LARGE($AJ$37:$AJ$50,3),despesafixaconsolidadoabr[[#This Row],[TOTAL]]=LARGE($AJ$37:$AJ$50,4),despesafixaconsolidadoabr[[#This Row],[TOTAL]]=LARGE($AJ$37:$AJ$50,5)),DADOS!$I$8,""))</f>
        <v/>
      </c>
      <c r="E48" s="96">
        <f>SUMIFS(tabela_registros[VALOR],tabela_registros[MÊS],$AE$1,tabela_registros[DIA],abrtotal305971[[#Headers],[1]],tabela_registros[REGISTRO],DADOS!$N$4,tabela_registros[TIPO],DADOS!$P$3,tabela_registros[CATEGORIA],despesafixaconsolidadoabr[[#This Row],[DESPESA FIXA]])</f>
        <v>0</v>
      </c>
      <c r="F48" s="91">
        <f>SUMIFS(tabela_registros[VALOR],tabela_registros[MÊS],$AE$1,tabela_registros[DIA],abrtotal305971[[#Headers],[2]],tabela_registros[REGISTRO],DADOS!$N$4,tabela_registros[TIPO],DADOS!$P$3,tabela_registros[CATEGORIA],despesafixaconsolidadoabr[[#This Row],[DESPESA FIXA]])</f>
        <v>0</v>
      </c>
      <c r="G48" s="91">
        <f>SUMIFS(tabela_registros[VALOR],tabela_registros[MÊS],$AE$1,tabela_registros[DIA],abrtotal305971[[#Headers],[3]],tabela_registros[REGISTRO],DADOS!$N$4,tabela_registros[TIPO],DADOS!$P$3,tabela_registros[CATEGORIA],despesafixaconsolidadoabr[[#This Row],[DESPESA FIXA]])</f>
        <v>0</v>
      </c>
      <c r="H48" s="91">
        <f>SUMIFS(tabela_registros[VALOR],tabela_registros[MÊS],$AE$1,tabela_registros[DIA],abrtotal305971[[#Headers],[4]],tabela_registros[REGISTRO],DADOS!$N$4,tabela_registros[TIPO],DADOS!$P$3,tabela_registros[CATEGORIA],despesafixaconsolidadoabr[[#This Row],[DESPESA FIXA]])</f>
        <v>0</v>
      </c>
      <c r="I48" s="91">
        <f>SUMIFS(tabela_registros[VALOR],tabela_registros[MÊS],$AE$1,tabela_registros[DIA],abrtotal305971[[#Headers],[5]],tabela_registros[REGISTRO],DADOS!$N$4,tabela_registros[TIPO],DADOS!$P$3,tabela_registros[CATEGORIA],despesafixaconsolidadoabr[[#This Row],[DESPESA FIXA]])</f>
        <v>0</v>
      </c>
      <c r="J48" s="91">
        <f>SUMIFS(tabela_registros[VALOR],tabela_registros[MÊS],$AE$1,tabela_registros[DIA],abrtotal305971[[#Headers],[6]],tabela_registros[REGISTRO],DADOS!$N$4,tabela_registros[TIPO],DADOS!$P$3,tabela_registros[CATEGORIA],despesafixaconsolidadoabr[[#This Row],[DESPESA FIXA]])</f>
        <v>0</v>
      </c>
      <c r="K48" s="91">
        <f>SUMIFS(tabela_registros[VALOR],tabela_registros[MÊS],$AE$1,tabela_registros[DIA],abrtotal305971[[#Headers],[7]],tabela_registros[REGISTRO],DADOS!$N$4,tabela_registros[TIPO],DADOS!$P$3,tabela_registros[CATEGORIA],despesafixaconsolidadoabr[[#This Row],[DESPESA FIXA]])</f>
        <v>0</v>
      </c>
      <c r="L48" s="91">
        <f>SUMIFS(tabela_registros[VALOR],tabela_registros[MÊS],$AE$1,tabela_registros[DIA],abrtotal305971[[#Headers],[8]],tabela_registros[REGISTRO],DADOS!$N$4,tabela_registros[TIPO],DADOS!$P$3,tabela_registros[CATEGORIA],despesafixaconsolidadoabr[[#This Row],[DESPESA FIXA]])</f>
        <v>0</v>
      </c>
      <c r="M48" s="91">
        <f>SUMIFS(tabela_registros[VALOR],tabela_registros[MÊS],$AE$1,tabela_registros[DIA],abrtotal305971[[#Headers],[9]],tabela_registros[REGISTRO],DADOS!$N$4,tabela_registros[TIPO],DADOS!$P$3,tabela_registros[CATEGORIA],despesafixaconsolidadoabr[[#This Row],[DESPESA FIXA]])</f>
        <v>0</v>
      </c>
      <c r="N48" s="91">
        <f>SUMIFS(tabela_registros[VALOR],tabela_registros[MÊS],$AE$1,tabela_registros[DIA],abrtotal305971[[#Headers],[10]],tabela_registros[REGISTRO],DADOS!$N$4,tabela_registros[TIPO],DADOS!$P$3,tabela_registros[CATEGORIA],despesafixaconsolidadoabr[[#This Row],[DESPESA FIXA]])</f>
        <v>0</v>
      </c>
      <c r="O48" s="91">
        <f>SUMIFS(tabela_registros[VALOR],tabela_registros[MÊS],$AE$1,tabela_registros[DIA],abrtotal305971[[#Headers],[11]],tabela_registros[REGISTRO],DADOS!$N$4,tabela_registros[TIPO],DADOS!$P$3,tabela_registros[CATEGORIA],despesafixaconsolidadoabr[[#This Row],[DESPESA FIXA]])</f>
        <v>0</v>
      </c>
      <c r="P48" s="91">
        <f>SUMIFS(tabela_registros[VALOR],tabela_registros[MÊS],$AE$1,tabela_registros[DIA],abrtotal305971[[#Headers],[12]],tabela_registros[REGISTRO],DADOS!$N$4,tabela_registros[TIPO],DADOS!$P$3,tabela_registros[CATEGORIA],despesafixaconsolidadoabr[[#This Row],[DESPESA FIXA]])</f>
        <v>0</v>
      </c>
      <c r="Q48" s="91">
        <f>SUMIFS(tabela_registros[VALOR],tabela_registros[MÊS],$AE$1,tabela_registros[DIA],abrtotal305971[[#Headers],[13]],tabela_registros[REGISTRO],DADOS!$N$4,tabela_registros[TIPO],DADOS!$P$3,tabela_registros[CATEGORIA],despesafixaconsolidadoabr[[#This Row],[DESPESA FIXA]])</f>
        <v>0</v>
      </c>
      <c r="R48" s="91">
        <f>SUMIFS(tabela_registros[VALOR],tabela_registros[MÊS],$AE$1,tabela_registros[DIA],abrtotal305971[[#Headers],[14]],tabela_registros[REGISTRO],DADOS!$N$4,tabela_registros[TIPO],DADOS!$P$3,tabela_registros[CATEGORIA],despesafixaconsolidadoabr[[#This Row],[DESPESA FIXA]])</f>
        <v>0</v>
      </c>
      <c r="S48" s="91">
        <f>SUMIFS(tabela_registros[VALOR],tabela_registros[MÊS],$AE$1,tabela_registros[DIA],abrtotal305971[[#Headers],[15]],tabela_registros[REGISTRO],DADOS!$N$4,tabela_registros[TIPO],DADOS!$P$3,tabela_registros[CATEGORIA],despesafixaconsolidadoabr[[#This Row],[DESPESA FIXA]])</f>
        <v>0</v>
      </c>
      <c r="T48" s="91">
        <f>SUMIFS(tabela_registros[VALOR],tabela_registros[MÊS],$AE$1,tabela_registros[DIA],abrtotal305971[[#Headers],[16]],tabela_registros[REGISTRO],DADOS!$N$4,tabela_registros[TIPO],DADOS!$P$3,tabela_registros[CATEGORIA],despesafixaconsolidadoabr[[#This Row],[DESPESA FIXA]])</f>
        <v>0</v>
      </c>
      <c r="U48" s="91">
        <f>SUMIFS(tabela_registros[VALOR],tabela_registros[MÊS],$AE$1,tabela_registros[DIA],abrtotal305971[[#Headers],[17]],tabela_registros[REGISTRO],DADOS!$N$4,tabela_registros[TIPO],DADOS!$P$3,tabela_registros[CATEGORIA],despesafixaconsolidadoabr[[#This Row],[DESPESA FIXA]])</f>
        <v>0</v>
      </c>
      <c r="V48" s="91">
        <f>SUMIFS(tabela_registros[VALOR],tabela_registros[MÊS],$AE$1,tabela_registros[DIA],abrtotal305971[[#Headers],[18]],tabela_registros[REGISTRO],DADOS!$N$4,tabela_registros[TIPO],DADOS!$P$3,tabela_registros[CATEGORIA],despesafixaconsolidadoabr[[#This Row],[DESPESA FIXA]])</f>
        <v>0</v>
      </c>
      <c r="W48" s="91">
        <f>SUMIFS(tabela_registros[VALOR],tabela_registros[MÊS],$AE$1,tabela_registros[DIA],abrtotal305971[[#Headers],[19]],tabela_registros[REGISTRO],DADOS!$N$4,tabela_registros[TIPO],DADOS!$P$3,tabela_registros[CATEGORIA],despesafixaconsolidadoabr[[#This Row],[DESPESA FIXA]])</f>
        <v>0</v>
      </c>
      <c r="X48" s="91">
        <f>SUMIFS(tabela_registros[VALOR],tabela_registros[MÊS],$AE$1,tabela_registros[DIA],abrtotal305971[[#Headers],[20]],tabela_registros[REGISTRO],DADOS!$N$4,tabela_registros[TIPO],DADOS!$P$3,tabela_registros[CATEGORIA],despesafixaconsolidadoabr[[#This Row],[DESPESA FIXA]])</f>
        <v>0</v>
      </c>
      <c r="Y48" s="91">
        <f>SUMIFS(tabela_registros[VALOR],tabela_registros[MÊS],$AE$1,tabela_registros[DIA],abrtotal305971[[#Headers],[21]],tabela_registros[REGISTRO],DADOS!$N$4,tabela_registros[TIPO],DADOS!$P$3,tabela_registros[CATEGORIA],despesafixaconsolidadoabr[[#This Row],[DESPESA FIXA]])</f>
        <v>0</v>
      </c>
      <c r="Z48" s="91">
        <f>SUMIFS(tabela_registros[VALOR],tabela_registros[MÊS],$AE$1,tabela_registros[DIA],abrtotal305971[[#Headers],[22]],tabela_registros[REGISTRO],DADOS!$N$4,tabela_registros[TIPO],DADOS!$P$3,tabela_registros[CATEGORIA],despesafixaconsolidadoabr[[#This Row],[DESPESA FIXA]])</f>
        <v>0</v>
      </c>
      <c r="AA48" s="91">
        <f>SUMIFS(tabela_registros[VALOR],tabela_registros[MÊS],$AE$1,tabela_registros[DIA],abrtotal305971[[#Headers],[23]],tabela_registros[REGISTRO],DADOS!$N$4,tabela_registros[TIPO],DADOS!$P$3,tabela_registros[CATEGORIA],despesafixaconsolidadoabr[[#This Row],[DESPESA FIXA]])</f>
        <v>0</v>
      </c>
      <c r="AB48" s="91">
        <f>SUMIFS(tabela_registros[VALOR],tabela_registros[MÊS],$AE$1,tabela_registros[DIA],abrtotal305971[[#Headers],[24]],tabela_registros[REGISTRO],DADOS!$N$4,tabela_registros[TIPO],DADOS!$P$3,tabela_registros[CATEGORIA],despesafixaconsolidadoabr[[#This Row],[DESPESA FIXA]])</f>
        <v>0</v>
      </c>
      <c r="AC48" s="91">
        <f>SUMIFS(tabela_registros[VALOR],tabela_registros[MÊS],$AE$1,tabela_registros[DIA],abrtotal305971[[#Headers],[25]],tabela_registros[REGISTRO],DADOS!$N$4,tabela_registros[TIPO],DADOS!$P$3,tabela_registros[CATEGORIA],despesafixaconsolidadoabr[[#This Row],[DESPESA FIXA]])</f>
        <v>0</v>
      </c>
      <c r="AD48" s="91">
        <f>SUMIFS(tabela_registros[VALOR],tabela_registros[MÊS],$AE$1,tabela_registros[DIA],abrtotal305971[[#Headers],[26]],tabela_registros[REGISTRO],DADOS!$N$4,tabela_registros[TIPO],DADOS!$P$3,tabela_registros[CATEGORIA],despesafixaconsolidadoabr[[#This Row],[DESPESA FIXA]])</f>
        <v>0</v>
      </c>
      <c r="AE48" s="91">
        <f>SUMIFS(tabela_registros[VALOR],tabela_registros[MÊS],$AE$1,tabela_registros[DIA],abrtotal305971[[#Headers],[27]],tabela_registros[REGISTRO],DADOS!$N$4,tabela_registros[TIPO],DADOS!$P$3,tabela_registros[CATEGORIA],despesafixaconsolidadoabr[[#This Row],[DESPESA FIXA]])</f>
        <v>0</v>
      </c>
      <c r="AF48" s="91">
        <f>SUMIFS(tabela_registros[VALOR],tabela_registros[MÊS],$AE$1,tabela_registros[DIA],abrtotal305971[[#Headers],[28]],tabela_registros[REGISTRO],DADOS!$N$4,tabela_registros[TIPO],DADOS!$P$3,tabela_registros[CATEGORIA],despesafixaconsolidadoabr[[#This Row],[DESPESA FIXA]])</f>
        <v>0</v>
      </c>
      <c r="AG48" s="91">
        <f>SUMIFS(tabela_registros[VALOR],tabela_registros[MÊS],$AE$1,tabela_registros[DIA],abrtotal305971[[#Headers],[29]],tabela_registros[REGISTRO],DADOS!$N$4,tabela_registros[TIPO],DADOS!$P$3,tabela_registros[CATEGORIA],despesafixaconsolidadoabr[[#This Row],[DESPESA FIXA]])</f>
        <v>0</v>
      </c>
      <c r="AH48" s="91">
        <f>SUMIFS(tabela_registros[VALOR],tabela_registros[MÊS],$AE$1,tabela_registros[DIA],abrtotal305971[[#Headers],[30]],tabela_registros[REGISTRO],DADOS!$N$4,tabela_registros[TIPO],DADOS!$P$3,tabela_registros[CATEGORIA],despesafixaconsolidadoabr[[#This Row],[DESPESA FIXA]])</f>
        <v>0</v>
      </c>
      <c r="AI48" s="101">
        <f>SUMIFS(tabela_registros[VALOR],tabela_registros[MÊS],$AE$1,tabela_registros[DIA],abrtotal305971[[#Headers],[31]],tabela_registros[REGISTRO],DADOS!$N$4,tabela_registros[TIPO],DADOS!$P$3,tabela_registros[CATEGORIA],despesafixaconsolidadoabr[[#This Row],[DESPESA FIXA]])</f>
        <v>0</v>
      </c>
      <c r="AJ48" s="97">
        <f>SUM(despesafixaconsolidadoabr[[#This Row],[1]:[31]])</f>
        <v>0</v>
      </c>
      <c r="AK48" s="28"/>
    </row>
    <row r="49" spans="2:37" ht="18" customHeight="1" thickTop="1" thickBot="1" x14ac:dyDescent="0.3">
      <c r="B49" s="28"/>
      <c r="C49" s="27" t="str">
        <f>DADOS!$R$15</f>
        <v>📞 TELEFONE</v>
      </c>
      <c r="D49" s="26" t="str">
        <f>IF(despesafixaconsolidadoabr[[#This Row],[TOTAL]]=0,"",IF(OR(despesafixaconsolidadoabr[[#This Row],[TOTAL]]=LARGE($AJ$37:$AJ$50,1),despesafixaconsolidadoabr[[#This Row],[TOTAL]]=LARGE($AJ$37:$AJ$50,2),despesafixaconsolidadoabr[[#This Row],[TOTAL]]=LARGE($AJ$37:$AJ$50,3),despesafixaconsolidadoabr[[#This Row],[TOTAL]]=LARGE($AJ$37:$AJ$50,4),despesafixaconsolidadoabr[[#This Row],[TOTAL]]=LARGE($AJ$37:$AJ$50,5)),DADOS!$I$8,""))</f>
        <v/>
      </c>
      <c r="E49" s="96">
        <f>SUMIFS(tabela_registros[VALOR],tabela_registros[MÊS],$AE$1,tabela_registros[DIA],abrtotal305971[[#Headers],[1]],tabela_registros[REGISTRO],DADOS!$N$4,tabela_registros[TIPO],DADOS!$P$3,tabela_registros[CATEGORIA],despesafixaconsolidadoabr[[#This Row],[DESPESA FIXA]])</f>
        <v>0</v>
      </c>
      <c r="F49" s="91">
        <f>SUMIFS(tabela_registros[VALOR],tabela_registros[MÊS],$AE$1,tabela_registros[DIA],abrtotal305971[[#Headers],[2]],tabela_registros[REGISTRO],DADOS!$N$4,tabela_registros[TIPO],DADOS!$P$3,tabela_registros[CATEGORIA],despesafixaconsolidadoabr[[#This Row],[DESPESA FIXA]])</f>
        <v>0</v>
      </c>
      <c r="G49" s="91">
        <f>SUMIFS(tabela_registros[VALOR],tabela_registros[MÊS],$AE$1,tabela_registros[DIA],abrtotal305971[[#Headers],[3]],tabela_registros[REGISTRO],DADOS!$N$4,tabela_registros[TIPO],DADOS!$P$3,tabela_registros[CATEGORIA],despesafixaconsolidadoabr[[#This Row],[DESPESA FIXA]])</f>
        <v>0</v>
      </c>
      <c r="H49" s="91">
        <f>SUMIFS(tabela_registros[VALOR],tabela_registros[MÊS],$AE$1,tabela_registros[DIA],abrtotal305971[[#Headers],[4]],tabela_registros[REGISTRO],DADOS!$N$4,tabela_registros[TIPO],DADOS!$P$3,tabela_registros[CATEGORIA],despesafixaconsolidadoabr[[#This Row],[DESPESA FIXA]])</f>
        <v>0</v>
      </c>
      <c r="I49" s="91">
        <f>SUMIFS(tabela_registros[VALOR],tabela_registros[MÊS],$AE$1,tabela_registros[DIA],abrtotal305971[[#Headers],[5]],tabela_registros[REGISTRO],DADOS!$N$4,tabela_registros[TIPO],DADOS!$P$3,tabela_registros[CATEGORIA],despesafixaconsolidadoabr[[#This Row],[DESPESA FIXA]])</f>
        <v>0</v>
      </c>
      <c r="J49" s="91">
        <f>SUMIFS(tabela_registros[VALOR],tabela_registros[MÊS],$AE$1,tabela_registros[DIA],abrtotal305971[[#Headers],[6]],tabela_registros[REGISTRO],DADOS!$N$4,tabela_registros[TIPO],DADOS!$P$3,tabela_registros[CATEGORIA],despesafixaconsolidadoabr[[#This Row],[DESPESA FIXA]])</f>
        <v>0</v>
      </c>
      <c r="K49" s="91">
        <f>SUMIFS(tabela_registros[VALOR],tabela_registros[MÊS],$AE$1,tabela_registros[DIA],abrtotal305971[[#Headers],[7]],tabela_registros[REGISTRO],DADOS!$N$4,tabela_registros[TIPO],DADOS!$P$3,tabela_registros[CATEGORIA],despesafixaconsolidadoabr[[#This Row],[DESPESA FIXA]])</f>
        <v>0</v>
      </c>
      <c r="L49" s="91">
        <f>SUMIFS(tabela_registros[VALOR],tabela_registros[MÊS],$AE$1,tabela_registros[DIA],abrtotal305971[[#Headers],[8]],tabela_registros[REGISTRO],DADOS!$N$4,tabela_registros[TIPO],DADOS!$P$3,tabela_registros[CATEGORIA],despesafixaconsolidadoabr[[#This Row],[DESPESA FIXA]])</f>
        <v>0</v>
      </c>
      <c r="M49" s="91">
        <f>SUMIFS(tabela_registros[VALOR],tabela_registros[MÊS],$AE$1,tabela_registros[DIA],abrtotal305971[[#Headers],[9]],tabela_registros[REGISTRO],DADOS!$N$4,tabela_registros[TIPO],DADOS!$P$3,tabela_registros[CATEGORIA],despesafixaconsolidadoabr[[#This Row],[DESPESA FIXA]])</f>
        <v>0</v>
      </c>
      <c r="N49" s="91">
        <f>SUMIFS(tabela_registros[VALOR],tabela_registros[MÊS],$AE$1,tabela_registros[DIA],abrtotal305971[[#Headers],[10]],tabela_registros[REGISTRO],DADOS!$N$4,tabela_registros[TIPO],DADOS!$P$3,tabela_registros[CATEGORIA],despesafixaconsolidadoabr[[#This Row],[DESPESA FIXA]])</f>
        <v>0</v>
      </c>
      <c r="O49" s="91">
        <f>SUMIFS(tabela_registros[VALOR],tabela_registros[MÊS],$AE$1,tabela_registros[DIA],abrtotal305971[[#Headers],[11]],tabela_registros[REGISTRO],DADOS!$N$4,tabela_registros[TIPO],DADOS!$P$3,tabela_registros[CATEGORIA],despesafixaconsolidadoabr[[#This Row],[DESPESA FIXA]])</f>
        <v>0</v>
      </c>
      <c r="P49" s="91">
        <f>SUMIFS(tabela_registros[VALOR],tabela_registros[MÊS],$AE$1,tabela_registros[DIA],abrtotal305971[[#Headers],[12]],tabela_registros[REGISTRO],DADOS!$N$4,tabela_registros[TIPO],DADOS!$P$3,tabela_registros[CATEGORIA],despesafixaconsolidadoabr[[#This Row],[DESPESA FIXA]])</f>
        <v>0</v>
      </c>
      <c r="Q49" s="91">
        <f>SUMIFS(tabela_registros[VALOR],tabela_registros[MÊS],$AE$1,tabela_registros[DIA],abrtotal305971[[#Headers],[13]],tabela_registros[REGISTRO],DADOS!$N$4,tabela_registros[TIPO],DADOS!$P$3,tabela_registros[CATEGORIA],despesafixaconsolidadoabr[[#This Row],[DESPESA FIXA]])</f>
        <v>0</v>
      </c>
      <c r="R49" s="91">
        <f>SUMIFS(tabela_registros[VALOR],tabela_registros[MÊS],$AE$1,tabela_registros[DIA],abrtotal305971[[#Headers],[14]],tabela_registros[REGISTRO],DADOS!$N$4,tabela_registros[TIPO],DADOS!$P$3,tabela_registros[CATEGORIA],despesafixaconsolidadoabr[[#This Row],[DESPESA FIXA]])</f>
        <v>0</v>
      </c>
      <c r="S49" s="91">
        <f>SUMIFS(tabela_registros[VALOR],tabela_registros[MÊS],$AE$1,tabela_registros[DIA],abrtotal305971[[#Headers],[15]],tabela_registros[REGISTRO],DADOS!$N$4,tabela_registros[TIPO],DADOS!$P$3,tabela_registros[CATEGORIA],despesafixaconsolidadoabr[[#This Row],[DESPESA FIXA]])</f>
        <v>0</v>
      </c>
      <c r="T49" s="91">
        <f>SUMIFS(tabela_registros[VALOR],tabela_registros[MÊS],$AE$1,tabela_registros[DIA],abrtotal305971[[#Headers],[16]],tabela_registros[REGISTRO],DADOS!$N$4,tabela_registros[TIPO],DADOS!$P$3,tabela_registros[CATEGORIA],despesafixaconsolidadoabr[[#This Row],[DESPESA FIXA]])</f>
        <v>0</v>
      </c>
      <c r="U49" s="91">
        <f>SUMIFS(tabela_registros[VALOR],tabela_registros[MÊS],$AE$1,tabela_registros[DIA],abrtotal305971[[#Headers],[17]],tabela_registros[REGISTRO],DADOS!$N$4,tabela_registros[TIPO],DADOS!$P$3,tabela_registros[CATEGORIA],despesafixaconsolidadoabr[[#This Row],[DESPESA FIXA]])</f>
        <v>0</v>
      </c>
      <c r="V49" s="91">
        <f>SUMIFS(tabela_registros[VALOR],tabela_registros[MÊS],$AE$1,tabela_registros[DIA],abrtotal305971[[#Headers],[18]],tabela_registros[REGISTRO],DADOS!$N$4,tabela_registros[TIPO],DADOS!$P$3,tabela_registros[CATEGORIA],despesafixaconsolidadoabr[[#This Row],[DESPESA FIXA]])</f>
        <v>0</v>
      </c>
      <c r="W49" s="91">
        <f>SUMIFS(tabela_registros[VALOR],tabela_registros[MÊS],$AE$1,tabela_registros[DIA],abrtotal305971[[#Headers],[19]],tabela_registros[REGISTRO],DADOS!$N$4,tabela_registros[TIPO],DADOS!$P$3,tabela_registros[CATEGORIA],despesafixaconsolidadoabr[[#This Row],[DESPESA FIXA]])</f>
        <v>0</v>
      </c>
      <c r="X49" s="91">
        <f>SUMIFS(tabela_registros[VALOR],tabela_registros[MÊS],$AE$1,tabela_registros[DIA],abrtotal305971[[#Headers],[20]],tabela_registros[REGISTRO],DADOS!$N$4,tabela_registros[TIPO],DADOS!$P$3,tabela_registros[CATEGORIA],despesafixaconsolidadoabr[[#This Row],[DESPESA FIXA]])</f>
        <v>0</v>
      </c>
      <c r="Y49" s="91">
        <f>SUMIFS(tabela_registros[VALOR],tabela_registros[MÊS],$AE$1,tabela_registros[DIA],abrtotal305971[[#Headers],[21]],tabela_registros[REGISTRO],DADOS!$N$4,tabela_registros[TIPO],DADOS!$P$3,tabela_registros[CATEGORIA],despesafixaconsolidadoabr[[#This Row],[DESPESA FIXA]])</f>
        <v>0</v>
      </c>
      <c r="Z49" s="91">
        <f>SUMIFS(tabela_registros[VALOR],tabela_registros[MÊS],$AE$1,tabela_registros[DIA],abrtotal305971[[#Headers],[22]],tabela_registros[REGISTRO],DADOS!$N$4,tabela_registros[TIPO],DADOS!$P$3,tabela_registros[CATEGORIA],despesafixaconsolidadoabr[[#This Row],[DESPESA FIXA]])</f>
        <v>0</v>
      </c>
      <c r="AA49" s="91">
        <f>SUMIFS(tabela_registros[VALOR],tabela_registros[MÊS],$AE$1,tabela_registros[DIA],abrtotal305971[[#Headers],[23]],tabela_registros[REGISTRO],DADOS!$N$4,tabela_registros[TIPO],DADOS!$P$3,tabela_registros[CATEGORIA],despesafixaconsolidadoabr[[#This Row],[DESPESA FIXA]])</f>
        <v>0</v>
      </c>
      <c r="AB49" s="91">
        <f>SUMIFS(tabela_registros[VALOR],tabela_registros[MÊS],$AE$1,tabela_registros[DIA],abrtotal305971[[#Headers],[24]],tabela_registros[REGISTRO],DADOS!$N$4,tabela_registros[TIPO],DADOS!$P$3,tabela_registros[CATEGORIA],despesafixaconsolidadoabr[[#This Row],[DESPESA FIXA]])</f>
        <v>0</v>
      </c>
      <c r="AC49" s="91">
        <f>SUMIFS(tabela_registros[VALOR],tabela_registros[MÊS],$AE$1,tabela_registros[DIA],abrtotal305971[[#Headers],[25]],tabela_registros[REGISTRO],DADOS!$N$4,tabela_registros[TIPO],DADOS!$P$3,tabela_registros[CATEGORIA],despesafixaconsolidadoabr[[#This Row],[DESPESA FIXA]])</f>
        <v>0</v>
      </c>
      <c r="AD49" s="91">
        <f>SUMIFS(tabela_registros[VALOR],tabela_registros[MÊS],$AE$1,tabela_registros[DIA],abrtotal305971[[#Headers],[26]],tabela_registros[REGISTRO],DADOS!$N$4,tabela_registros[TIPO],DADOS!$P$3,tabela_registros[CATEGORIA],despesafixaconsolidadoabr[[#This Row],[DESPESA FIXA]])</f>
        <v>0</v>
      </c>
      <c r="AE49" s="91">
        <f>SUMIFS(tabela_registros[VALOR],tabela_registros[MÊS],$AE$1,tabela_registros[DIA],abrtotal305971[[#Headers],[27]],tabela_registros[REGISTRO],DADOS!$N$4,tabela_registros[TIPO],DADOS!$P$3,tabela_registros[CATEGORIA],despesafixaconsolidadoabr[[#This Row],[DESPESA FIXA]])</f>
        <v>0</v>
      </c>
      <c r="AF49" s="91">
        <f>SUMIFS(tabela_registros[VALOR],tabela_registros[MÊS],$AE$1,tabela_registros[DIA],abrtotal305971[[#Headers],[28]],tabela_registros[REGISTRO],DADOS!$N$4,tabela_registros[TIPO],DADOS!$P$3,tabela_registros[CATEGORIA],despesafixaconsolidadoabr[[#This Row],[DESPESA FIXA]])</f>
        <v>0</v>
      </c>
      <c r="AG49" s="91">
        <f>SUMIFS(tabela_registros[VALOR],tabela_registros[MÊS],$AE$1,tabela_registros[DIA],abrtotal305971[[#Headers],[29]],tabela_registros[REGISTRO],DADOS!$N$4,tabela_registros[TIPO],DADOS!$P$3,tabela_registros[CATEGORIA],despesafixaconsolidadoabr[[#This Row],[DESPESA FIXA]])</f>
        <v>0</v>
      </c>
      <c r="AH49" s="91">
        <f>SUMIFS(tabela_registros[VALOR],tabela_registros[MÊS],$AE$1,tabela_registros[DIA],abrtotal305971[[#Headers],[30]],tabela_registros[REGISTRO],DADOS!$N$4,tabela_registros[TIPO],DADOS!$P$3,tabela_registros[CATEGORIA],despesafixaconsolidadoabr[[#This Row],[DESPESA FIXA]])</f>
        <v>0</v>
      </c>
      <c r="AI49" s="101">
        <f>SUMIFS(tabela_registros[VALOR],tabela_registros[MÊS],$AE$1,tabela_registros[DIA],abrtotal305971[[#Headers],[31]],tabela_registros[REGISTRO],DADOS!$N$4,tabela_registros[TIPO],DADOS!$P$3,tabela_registros[CATEGORIA],despesafixaconsolidadoabr[[#This Row],[DESPESA FIXA]])</f>
        <v>0</v>
      </c>
      <c r="AJ49" s="97">
        <f>SUM(despesafixaconsolidadoabr[[#This Row],[1]:[31]])</f>
        <v>0</v>
      </c>
      <c r="AK49" s="28"/>
    </row>
    <row r="50" spans="2:37" ht="18" customHeight="1" thickTop="1" thickBot="1" x14ac:dyDescent="0.3">
      <c r="B50" s="28"/>
      <c r="C50" s="27" t="str">
        <f>DADOS!$R$16</f>
        <v>📎 OUTROS</v>
      </c>
      <c r="D50" s="26" t="str">
        <f>IF(despesafixaconsolidadoabr[[#This Row],[TOTAL]]=0,"",IF(OR(despesafixaconsolidadoabr[[#This Row],[TOTAL]]=LARGE($AJ$37:$AJ$50,1),despesafixaconsolidadoabr[[#This Row],[TOTAL]]=LARGE($AJ$37:$AJ$50,2),despesafixaconsolidadoabr[[#This Row],[TOTAL]]=LARGE($AJ$37:$AJ$50,3),despesafixaconsolidadoabr[[#This Row],[TOTAL]]=LARGE($AJ$37:$AJ$50,4),despesafixaconsolidadoabr[[#This Row],[TOTAL]]=LARGE($AJ$37:$AJ$50,5)),DADOS!$I$8,""))</f>
        <v/>
      </c>
      <c r="E50" s="98">
        <f>SUMIFS(tabela_registros[VALOR],tabela_registros[MÊS],$AE$1,tabela_registros[DIA],abrtotal305971[[#Headers],[1]],tabela_registros[REGISTRO],DADOS!$N$4,tabela_registros[TIPO],DADOS!$P$3,tabela_registros[CATEGORIA],despesafixaconsolidadoabr[[#This Row],[DESPESA FIXA]])</f>
        <v>0</v>
      </c>
      <c r="F50" s="99">
        <f>SUMIFS(tabela_registros[VALOR],tabela_registros[MÊS],$AE$1,tabela_registros[DIA],abrtotal305971[[#Headers],[2]],tabela_registros[REGISTRO],DADOS!$N$4,tabela_registros[TIPO],DADOS!$P$3,tabela_registros[CATEGORIA],despesafixaconsolidadoabr[[#This Row],[DESPESA FIXA]])</f>
        <v>0</v>
      </c>
      <c r="G50" s="99">
        <f>SUMIFS(tabela_registros[VALOR],tabela_registros[MÊS],$AE$1,tabela_registros[DIA],abrtotal305971[[#Headers],[3]],tabela_registros[REGISTRO],DADOS!$N$4,tabela_registros[TIPO],DADOS!$P$3,tabela_registros[CATEGORIA],despesafixaconsolidadoabr[[#This Row],[DESPESA FIXA]])</f>
        <v>0</v>
      </c>
      <c r="H50" s="99">
        <f>SUMIFS(tabela_registros[VALOR],tabela_registros[MÊS],$AE$1,tabela_registros[DIA],abrtotal305971[[#Headers],[4]],tabela_registros[REGISTRO],DADOS!$N$4,tabela_registros[TIPO],DADOS!$P$3,tabela_registros[CATEGORIA],despesafixaconsolidadoabr[[#This Row],[DESPESA FIXA]])</f>
        <v>0</v>
      </c>
      <c r="I50" s="99">
        <f>SUMIFS(tabela_registros[VALOR],tabela_registros[MÊS],$AE$1,tabela_registros[DIA],abrtotal305971[[#Headers],[5]],tabela_registros[REGISTRO],DADOS!$N$4,tabela_registros[TIPO],DADOS!$P$3,tabela_registros[CATEGORIA],despesafixaconsolidadoabr[[#This Row],[DESPESA FIXA]])</f>
        <v>0</v>
      </c>
      <c r="J50" s="99">
        <f>SUMIFS(tabela_registros[VALOR],tabela_registros[MÊS],$AE$1,tabela_registros[DIA],abrtotal305971[[#Headers],[6]],tabela_registros[REGISTRO],DADOS!$N$4,tabela_registros[TIPO],DADOS!$P$3,tabela_registros[CATEGORIA],despesafixaconsolidadoabr[[#This Row],[DESPESA FIXA]])</f>
        <v>0</v>
      </c>
      <c r="K50" s="99">
        <f>SUMIFS(tabela_registros[VALOR],tabela_registros[MÊS],$AE$1,tabela_registros[DIA],abrtotal305971[[#Headers],[7]],tabela_registros[REGISTRO],DADOS!$N$4,tabela_registros[TIPO],DADOS!$P$3,tabela_registros[CATEGORIA],despesafixaconsolidadoabr[[#This Row],[DESPESA FIXA]])</f>
        <v>0</v>
      </c>
      <c r="L50" s="99">
        <f>SUMIFS(tabela_registros[VALOR],tabela_registros[MÊS],$AE$1,tabela_registros[DIA],abrtotal305971[[#Headers],[8]],tabela_registros[REGISTRO],DADOS!$N$4,tabela_registros[TIPO],DADOS!$P$3,tabela_registros[CATEGORIA],despesafixaconsolidadoabr[[#This Row],[DESPESA FIXA]])</f>
        <v>0</v>
      </c>
      <c r="M50" s="99">
        <f>SUMIFS(tabela_registros[VALOR],tabela_registros[MÊS],$AE$1,tabela_registros[DIA],abrtotal305971[[#Headers],[9]],tabela_registros[REGISTRO],DADOS!$N$4,tabela_registros[TIPO],DADOS!$P$3,tabela_registros[CATEGORIA],despesafixaconsolidadoabr[[#This Row],[DESPESA FIXA]])</f>
        <v>0</v>
      </c>
      <c r="N50" s="99">
        <f>SUMIFS(tabela_registros[VALOR],tabela_registros[MÊS],$AE$1,tabela_registros[DIA],abrtotal305971[[#Headers],[10]],tabela_registros[REGISTRO],DADOS!$N$4,tabela_registros[TIPO],DADOS!$P$3,tabela_registros[CATEGORIA],despesafixaconsolidadoabr[[#This Row],[DESPESA FIXA]])</f>
        <v>0</v>
      </c>
      <c r="O50" s="99">
        <f>SUMIFS(tabela_registros[VALOR],tabela_registros[MÊS],$AE$1,tabela_registros[DIA],abrtotal305971[[#Headers],[11]],tabela_registros[REGISTRO],DADOS!$N$4,tabela_registros[TIPO],DADOS!$P$3,tabela_registros[CATEGORIA],despesafixaconsolidadoabr[[#This Row],[DESPESA FIXA]])</f>
        <v>0</v>
      </c>
      <c r="P50" s="99">
        <f>SUMIFS(tabela_registros[VALOR],tabela_registros[MÊS],$AE$1,tabela_registros[DIA],abrtotal305971[[#Headers],[12]],tabela_registros[REGISTRO],DADOS!$N$4,tabela_registros[TIPO],DADOS!$P$3,tabela_registros[CATEGORIA],despesafixaconsolidadoabr[[#This Row],[DESPESA FIXA]])</f>
        <v>0</v>
      </c>
      <c r="Q50" s="99">
        <f>SUMIFS(tabela_registros[VALOR],tabela_registros[MÊS],$AE$1,tabela_registros[DIA],abrtotal305971[[#Headers],[13]],tabela_registros[REGISTRO],DADOS!$N$4,tabela_registros[TIPO],DADOS!$P$3,tabela_registros[CATEGORIA],despesafixaconsolidadoabr[[#This Row],[DESPESA FIXA]])</f>
        <v>0</v>
      </c>
      <c r="R50" s="99">
        <f>SUMIFS(tabela_registros[VALOR],tabela_registros[MÊS],$AE$1,tabela_registros[DIA],abrtotal305971[[#Headers],[14]],tabela_registros[REGISTRO],DADOS!$N$4,tabela_registros[TIPO],DADOS!$P$3,tabela_registros[CATEGORIA],despesafixaconsolidadoabr[[#This Row],[DESPESA FIXA]])</f>
        <v>0</v>
      </c>
      <c r="S50" s="99">
        <f>SUMIFS(tabela_registros[VALOR],tabela_registros[MÊS],$AE$1,tabela_registros[DIA],abrtotal305971[[#Headers],[15]],tabela_registros[REGISTRO],DADOS!$N$4,tabela_registros[TIPO],DADOS!$P$3,tabela_registros[CATEGORIA],despesafixaconsolidadoabr[[#This Row],[DESPESA FIXA]])</f>
        <v>0</v>
      </c>
      <c r="T50" s="99">
        <f>SUMIFS(tabela_registros[VALOR],tabela_registros[MÊS],$AE$1,tabela_registros[DIA],abrtotal305971[[#Headers],[16]],tabela_registros[REGISTRO],DADOS!$N$4,tabela_registros[TIPO],DADOS!$P$3,tabela_registros[CATEGORIA],despesafixaconsolidadoabr[[#This Row],[DESPESA FIXA]])</f>
        <v>0</v>
      </c>
      <c r="U50" s="99">
        <f>SUMIFS(tabela_registros[VALOR],tabela_registros[MÊS],$AE$1,tabela_registros[DIA],abrtotal305971[[#Headers],[17]],tabela_registros[REGISTRO],DADOS!$N$4,tabela_registros[TIPO],DADOS!$P$3,tabela_registros[CATEGORIA],despesafixaconsolidadoabr[[#This Row],[DESPESA FIXA]])</f>
        <v>0</v>
      </c>
      <c r="V50" s="99">
        <f>SUMIFS(tabela_registros[VALOR],tabela_registros[MÊS],$AE$1,tabela_registros[DIA],abrtotal305971[[#Headers],[18]],tabela_registros[REGISTRO],DADOS!$N$4,tabela_registros[TIPO],DADOS!$P$3,tabela_registros[CATEGORIA],despesafixaconsolidadoabr[[#This Row],[DESPESA FIXA]])</f>
        <v>0</v>
      </c>
      <c r="W50" s="99">
        <f>SUMIFS(tabela_registros[VALOR],tabela_registros[MÊS],$AE$1,tabela_registros[DIA],abrtotal305971[[#Headers],[19]],tabela_registros[REGISTRO],DADOS!$N$4,tabela_registros[TIPO],DADOS!$P$3,tabela_registros[CATEGORIA],despesafixaconsolidadoabr[[#This Row],[DESPESA FIXA]])</f>
        <v>0</v>
      </c>
      <c r="X50" s="99">
        <f>SUMIFS(tabela_registros[VALOR],tabela_registros[MÊS],$AE$1,tabela_registros[DIA],abrtotal305971[[#Headers],[20]],tabela_registros[REGISTRO],DADOS!$N$4,tabela_registros[TIPO],DADOS!$P$3,tabela_registros[CATEGORIA],despesafixaconsolidadoabr[[#This Row],[DESPESA FIXA]])</f>
        <v>0</v>
      </c>
      <c r="Y50" s="99">
        <f>SUMIFS(tabela_registros[VALOR],tabela_registros[MÊS],$AE$1,tabela_registros[DIA],abrtotal305971[[#Headers],[21]],tabela_registros[REGISTRO],DADOS!$N$4,tabela_registros[TIPO],DADOS!$P$3,tabela_registros[CATEGORIA],despesafixaconsolidadoabr[[#This Row],[DESPESA FIXA]])</f>
        <v>0</v>
      </c>
      <c r="Z50" s="99">
        <f>SUMIFS(tabela_registros[VALOR],tabela_registros[MÊS],$AE$1,tabela_registros[DIA],abrtotal305971[[#Headers],[22]],tabela_registros[REGISTRO],DADOS!$N$4,tabela_registros[TIPO],DADOS!$P$3,tabela_registros[CATEGORIA],despesafixaconsolidadoabr[[#This Row],[DESPESA FIXA]])</f>
        <v>0</v>
      </c>
      <c r="AA50" s="99">
        <f>SUMIFS(tabela_registros[VALOR],tabela_registros[MÊS],$AE$1,tabela_registros[DIA],abrtotal305971[[#Headers],[23]],tabela_registros[REGISTRO],DADOS!$N$4,tabela_registros[TIPO],DADOS!$P$3,tabela_registros[CATEGORIA],despesafixaconsolidadoabr[[#This Row],[DESPESA FIXA]])</f>
        <v>0</v>
      </c>
      <c r="AB50" s="99">
        <f>SUMIFS(tabela_registros[VALOR],tabela_registros[MÊS],$AE$1,tabela_registros[DIA],abrtotal305971[[#Headers],[24]],tabela_registros[REGISTRO],DADOS!$N$4,tabela_registros[TIPO],DADOS!$P$3,tabela_registros[CATEGORIA],despesafixaconsolidadoabr[[#This Row],[DESPESA FIXA]])</f>
        <v>0</v>
      </c>
      <c r="AC50" s="99">
        <f>SUMIFS(tabela_registros[VALOR],tabela_registros[MÊS],$AE$1,tabela_registros[DIA],abrtotal305971[[#Headers],[25]],tabela_registros[REGISTRO],DADOS!$N$4,tabela_registros[TIPO],DADOS!$P$3,tabela_registros[CATEGORIA],despesafixaconsolidadoabr[[#This Row],[DESPESA FIXA]])</f>
        <v>0</v>
      </c>
      <c r="AD50" s="99">
        <f>SUMIFS(tabela_registros[VALOR],tabela_registros[MÊS],$AE$1,tabela_registros[DIA],abrtotal305971[[#Headers],[26]],tabela_registros[REGISTRO],DADOS!$N$4,tabela_registros[TIPO],DADOS!$P$3,tabela_registros[CATEGORIA],despesafixaconsolidadoabr[[#This Row],[DESPESA FIXA]])</f>
        <v>0</v>
      </c>
      <c r="AE50" s="99">
        <f>SUMIFS(tabela_registros[VALOR],tabela_registros[MÊS],$AE$1,tabela_registros[DIA],abrtotal305971[[#Headers],[27]],tabela_registros[REGISTRO],DADOS!$N$4,tabela_registros[TIPO],DADOS!$P$3,tabela_registros[CATEGORIA],despesafixaconsolidadoabr[[#This Row],[DESPESA FIXA]])</f>
        <v>0</v>
      </c>
      <c r="AF50" s="99">
        <f>SUMIFS(tabela_registros[VALOR],tabela_registros[MÊS],$AE$1,tabela_registros[DIA],abrtotal305971[[#Headers],[28]],tabela_registros[REGISTRO],DADOS!$N$4,tabela_registros[TIPO],DADOS!$P$3,tabela_registros[CATEGORIA],despesafixaconsolidadoabr[[#This Row],[DESPESA FIXA]])</f>
        <v>0</v>
      </c>
      <c r="AG50" s="99">
        <f>SUMIFS(tabela_registros[VALOR],tabela_registros[MÊS],$AE$1,tabela_registros[DIA],abrtotal305971[[#Headers],[29]],tabela_registros[REGISTRO],DADOS!$N$4,tabela_registros[TIPO],DADOS!$P$3,tabela_registros[CATEGORIA],despesafixaconsolidadoabr[[#This Row],[DESPESA FIXA]])</f>
        <v>0</v>
      </c>
      <c r="AH50" s="99">
        <f>SUMIFS(tabela_registros[VALOR],tabela_registros[MÊS],$AE$1,tabela_registros[DIA],abrtotal305971[[#Headers],[30]],tabela_registros[REGISTRO],DADOS!$N$4,tabela_registros[TIPO],DADOS!$P$3,tabela_registros[CATEGORIA],despesafixaconsolidadoabr[[#This Row],[DESPESA FIXA]])</f>
        <v>0</v>
      </c>
      <c r="AI50" s="102">
        <f>SUMIFS(tabela_registros[VALOR],tabela_registros[MÊS],$AE$1,tabela_registros[DIA],abrtotal305971[[#Headers],[31]],tabela_registros[REGISTRO],DADOS!$N$4,tabela_registros[TIPO],DADOS!$P$3,tabela_registros[CATEGORIA],despesafixaconsolidadoabr[[#This Row],[DESPESA FIXA]])</f>
        <v>0</v>
      </c>
      <c r="AJ50" s="103">
        <f>SUM(despesafixaconsolidadoabr[[#This Row],[1]:[31]])</f>
        <v>0</v>
      </c>
      <c r="AK50" s="28"/>
    </row>
    <row r="51" spans="2:37" s="16" customFormat="1" ht="21" customHeight="1" thickTop="1" thickBot="1" x14ac:dyDescent="0.35">
      <c r="B51" s="24"/>
      <c r="C51" s="23" t="s">
        <v>19</v>
      </c>
      <c r="D51" s="41" t="str">
        <f>IF(despesafixaconsolidadoabr[[#This Row],[TOTAL]]=0,"",IF(OR(despesafixaconsolidadoabr[[#This Row],[TOTAL]]=SMALL($AJ$37:$AJ$50,1),despesafixaconsolidadoabr[[#This Row],[TOTAL]]=SMALL($AJ$37:$AJ$50,2),despesafixaconsolidadoabr[[#This Row],[TOTAL]]=SMALL($AJ$37:$AJ$50,3),despesafixaconsolidadoabr[[#This Row],[TOTAL]]=SMALL($AJ$37:$AJ$50,4),despesafixaconsolidadoabr[[#This Row],[TOTAL]]=SMALL($AJ$37:$AJ$50,5)),DADOS!$I$8,""))</f>
        <v/>
      </c>
      <c r="E51" s="21">
        <f>SUM(E37:E50)</f>
        <v>0</v>
      </c>
      <c r="F51" s="20">
        <f>SUM(F37:F50)+despesafixaconsolidadoabr[[#This Row],[1]]</f>
        <v>0</v>
      </c>
      <c r="G51" s="20">
        <f>SUM(G37:G50)+despesafixaconsolidadoabr[[#This Row],[2]]</f>
        <v>0</v>
      </c>
      <c r="H51" s="20">
        <f>SUM(H37:H50)+despesafixaconsolidadoabr[[#This Row],[3]]</f>
        <v>0</v>
      </c>
      <c r="I51" s="20">
        <f>SUM(I37:I50)+despesafixaconsolidadoabr[[#This Row],[4]]</f>
        <v>0</v>
      </c>
      <c r="J51" s="20">
        <f>SUM(J37:J50)+despesafixaconsolidadoabr[[#This Row],[5]]</f>
        <v>0</v>
      </c>
      <c r="K51" s="20">
        <f>SUM(K37:K50)+despesafixaconsolidadoabr[[#This Row],[6]]</f>
        <v>0</v>
      </c>
      <c r="L51" s="20">
        <f>SUM(L37:L50)+despesafixaconsolidadoabr[[#This Row],[7]]</f>
        <v>0</v>
      </c>
      <c r="M51" s="20">
        <f>SUM(M37:M50)+despesafixaconsolidadoabr[[#This Row],[8]]</f>
        <v>0</v>
      </c>
      <c r="N51" s="20">
        <f>SUM(N37:N50)+despesafixaconsolidadoabr[[#This Row],[9]]</f>
        <v>0</v>
      </c>
      <c r="O51" s="20">
        <f>SUM(O37:O50)+despesafixaconsolidadoabr[[#This Row],[10]]</f>
        <v>0</v>
      </c>
      <c r="P51" s="20">
        <f>SUM(P37:P50)+despesafixaconsolidadoabr[[#This Row],[11]]</f>
        <v>125</v>
      </c>
      <c r="Q51" s="20">
        <f>SUM(Q37:Q50)+despesafixaconsolidadoabr[[#This Row],[12]]</f>
        <v>125</v>
      </c>
      <c r="R51" s="20">
        <f>SUM(R37:R50)+despesafixaconsolidadoabr[[#This Row],[13]]</f>
        <v>125</v>
      </c>
      <c r="S51" s="20">
        <f>SUM(S37:S50)+despesafixaconsolidadoabr[[#This Row],[14]]</f>
        <v>125</v>
      </c>
      <c r="T51" s="20">
        <f>SUM(T37:T50)+despesafixaconsolidadoabr[[#This Row],[15]]</f>
        <v>125</v>
      </c>
      <c r="U51" s="20">
        <f>SUM(U37:U50)+despesafixaconsolidadoabr[[#This Row],[16]]</f>
        <v>125</v>
      </c>
      <c r="V51" s="20">
        <f>SUM(V37:V50)+despesafixaconsolidadoabr[[#This Row],[17]]</f>
        <v>125</v>
      </c>
      <c r="W51" s="20">
        <f>SUM(W37:W50)+despesafixaconsolidadoabr[[#This Row],[18]]</f>
        <v>125</v>
      </c>
      <c r="X51" s="20">
        <f>SUM(X37:X50)+despesafixaconsolidadoabr[[#This Row],[19]]</f>
        <v>125</v>
      </c>
      <c r="Y51" s="20">
        <f>SUM(Y37:Y50)+despesafixaconsolidadoabr[[#This Row],[20]]</f>
        <v>125</v>
      </c>
      <c r="Z51" s="20">
        <f>SUM(Z37:Z50)+despesafixaconsolidadoabr[[#This Row],[21]]</f>
        <v>125</v>
      </c>
      <c r="AA51" s="20">
        <f>SUM(AA37:AA50)+despesafixaconsolidadoabr[[#This Row],[22]]</f>
        <v>125</v>
      </c>
      <c r="AB51" s="20">
        <f>SUM(AB37:AB50)+despesafixaconsolidadoabr[[#This Row],[23]]</f>
        <v>125</v>
      </c>
      <c r="AC51" s="20">
        <f>SUM(AC37:AC50)+despesafixaconsolidadoabr[[#This Row],[24]]</f>
        <v>125</v>
      </c>
      <c r="AD51" s="20">
        <f>SUM(AD37:AD50)+despesafixaconsolidadoabr[[#This Row],[25]]</f>
        <v>125</v>
      </c>
      <c r="AE51" s="20">
        <f>SUM(AE37:AE50)+despesafixaconsolidadoabr[[#This Row],[26]]</f>
        <v>125</v>
      </c>
      <c r="AF51" s="20">
        <f>SUM(AF37:AF50)+despesafixaconsolidadoabr[[#This Row],[27]]</f>
        <v>125</v>
      </c>
      <c r="AG51" s="20">
        <f>SUM(AG37:AG50)+despesafixaconsolidadoabr[[#This Row],[28]]</f>
        <v>125</v>
      </c>
      <c r="AH51" s="20">
        <f>SUM(AH37:AH50)+despesafixaconsolidadoabr[[#This Row],[29]]</f>
        <v>125</v>
      </c>
      <c r="AI51" s="19">
        <f>SUM(AI37:AI50)+despesafixaconsolidadoabr[[#This Row],[30]]</f>
        <v>125</v>
      </c>
      <c r="AJ51" s="18">
        <f>despesafixaconsolidadoabr[[#This Row],[31]]</f>
        <v>125</v>
      </c>
      <c r="AK51" s="17"/>
    </row>
    <row r="52" spans="2:37" ht="6.75" customHeight="1" thickTop="1" thickBot="1" x14ac:dyDescent="0.3">
      <c r="B52" s="15"/>
      <c r="C52" s="40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39"/>
      <c r="AG52" s="39"/>
      <c r="AH52" s="39"/>
      <c r="AI52" s="48"/>
      <c r="AJ52" s="15"/>
      <c r="AK52" s="10"/>
    </row>
    <row r="53" spans="2:37" ht="12.6" thickTop="1" x14ac:dyDescent="0.25">
      <c r="C53" s="46"/>
      <c r="D53" s="47"/>
      <c r="E53" s="47"/>
      <c r="F53" s="47"/>
      <c r="G53" s="47"/>
      <c r="H53" s="47"/>
      <c r="I53" s="47"/>
      <c r="J53" s="47"/>
      <c r="K53" s="47"/>
      <c r="L53" s="47"/>
      <c r="M53" s="47"/>
      <c r="N53" s="47"/>
      <c r="O53" s="47"/>
      <c r="P53" s="47"/>
      <c r="Q53" s="47"/>
      <c r="R53" s="47"/>
      <c r="S53" s="47"/>
      <c r="T53" s="47"/>
      <c r="U53" s="47"/>
      <c r="V53" s="47"/>
      <c r="W53" s="47"/>
      <c r="X53" s="47"/>
      <c r="Y53" s="47"/>
      <c r="Z53" s="47"/>
      <c r="AA53" s="47"/>
      <c r="AB53" s="47"/>
      <c r="AC53" s="47"/>
      <c r="AD53" s="47"/>
      <c r="AE53" s="47"/>
      <c r="AF53" s="47"/>
      <c r="AG53" s="47"/>
      <c r="AH53" s="47"/>
      <c r="AI53" s="47"/>
      <c r="AK53" s="37"/>
    </row>
    <row r="54" spans="2:37" x14ac:dyDescent="0.25">
      <c r="C54" s="46"/>
      <c r="D54" s="47"/>
      <c r="E54" s="47"/>
      <c r="F54" s="47"/>
      <c r="G54" s="47"/>
      <c r="H54" s="47"/>
      <c r="I54" s="47"/>
      <c r="J54" s="47"/>
      <c r="K54" s="47"/>
      <c r="L54" s="47"/>
      <c r="M54" s="47"/>
      <c r="N54" s="47"/>
      <c r="O54" s="47"/>
      <c r="P54" s="47"/>
      <c r="Q54" s="47"/>
      <c r="R54" s="47"/>
      <c r="S54" s="47"/>
      <c r="T54" s="47"/>
      <c r="U54" s="47"/>
      <c r="V54" s="47"/>
      <c r="W54" s="47"/>
      <c r="X54" s="47"/>
      <c r="Y54" s="47"/>
      <c r="Z54" s="47"/>
      <c r="AA54" s="47"/>
      <c r="AB54" s="47"/>
      <c r="AC54" s="47"/>
      <c r="AD54" s="47"/>
      <c r="AE54" s="47"/>
      <c r="AF54" s="47"/>
      <c r="AG54" s="47"/>
      <c r="AH54" s="47"/>
      <c r="AI54" s="47"/>
    </row>
    <row r="55" spans="2:37" x14ac:dyDescent="0.25">
      <c r="C55" s="46"/>
      <c r="D55" s="47"/>
      <c r="E55" s="47"/>
      <c r="F55" s="47"/>
      <c r="G55" s="47"/>
      <c r="H55" s="47"/>
      <c r="I55" s="47"/>
      <c r="J55" s="47"/>
      <c r="K55" s="47"/>
      <c r="L55" s="47"/>
      <c r="M55" s="47"/>
      <c r="N55" s="47"/>
      <c r="O55" s="47"/>
      <c r="P55" s="47"/>
      <c r="Q55" s="47"/>
      <c r="R55" s="47"/>
      <c r="S55" s="47"/>
      <c r="T55" s="47"/>
      <c r="U55" s="47"/>
      <c r="V55" s="47"/>
      <c r="W55" s="47"/>
      <c r="X55" s="47"/>
      <c r="Y55" s="47"/>
      <c r="Z55" s="47"/>
      <c r="AA55" s="47"/>
      <c r="AB55" s="47"/>
      <c r="AC55" s="47"/>
      <c r="AD55" s="47"/>
      <c r="AE55" s="47"/>
      <c r="AF55" s="47"/>
      <c r="AG55" s="47"/>
      <c r="AH55" s="47"/>
      <c r="AI55" s="47"/>
    </row>
    <row r="56" spans="2:37" ht="39.75" customHeight="1" x14ac:dyDescent="0.25">
      <c r="C56" s="46"/>
      <c r="E56" s="240"/>
      <c r="F56" s="240"/>
      <c r="G56" s="240"/>
      <c r="H56" s="240"/>
      <c r="I56" s="240"/>
      <c r="J56" s="240"/>
      <c r="K56" s="240"/>
      <c r="L56" s="240"/>
      <c r="M56" s="240"/>
      <c r="N56" s="240"/>
      <c r="O56" s="240"/>
      <c r="P56" s="240"/>
      <c r="Q56" s="240"/>
      <c r="R56" s="240"/>
      <c r="S56" s="240"/>
      <c r="T56" s="240"/>
      <c r="U56" s="240"/>
      <c r="V56" s="240"/>
      <c r="W56" s="240"/>
      <c r="X56" s="240"/>
      <c r="Y56" s="240"/>
      <c r="Z56" s="240"/>
      <c r="AA56" s="240"/>
      <c r="AB56" s="240"/>
      <c r="AC56" s="240"/>
      <c r="AD56" s="240"/>
      <c r="AE56" s="240"/>
      <c r="AF56" s="240"/>
      <c r="AG56" s="240"/>
      <c r="AH56" s="240"/>
      <c r="AI56" s="240"/>
      <c r="AJ56" s="32" t="s">
        <v>19</v>
      </c>
    </row>
    <row r="57" spans="2:37" ht="11.25" customHeight="1" thickBot="1" x14ac:dyDescent="0.75">
      <c r="C57" s="36"/>
      <c r="AI57" s="4"/>
      <c r="AJ57" s="34" t="s">
        <v>202</v>
      </c>
    </row>
    <row r="58" spans="2:37" ht="6.75" customHeight="1" thickTop="1" thickBot="1" x14ac:dyDescent="0.3">
      <c r="B58" s="33"/>
      <c r="C58" s="45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44"/>
      <c r="AH58" s="44"/>
      <c r="AI58" s="44"/>
      <c r="AJ58" s="43"/>
      <c r="AK58" s="33"/>
    </row>
    <row r="59" spans="2:37" ht="12.6" hidden="1" thickBot="1" x14ac:dyDescent="0.3">
      <c r="B59" s="2"/>
      <c r="C59" s="31" t="s">
        <v>116</v>
      </c>
      <c r="D59" s="30" t="s">
        <v>198</v>
      </c>
      <c r="E59" s="30" t="s">
        <v>197</v>
      </c>
      <c r="F59" s="30" t="s">
        <v>196</v>
      </c>
      <c r="G59" s="30" t="s">
        <v>195</v>
      </c>
      <c r="H59" s="30" t="s">
        <v>194</v>
      </c>
      <c r="I59" s="30" t="s">
        <v>193</v>
      </c>
      <c r="J59" s="30" t="s">
        <v>192</v>
      </c>
      <c r="K59" s="30" t="s">
        <v>191</v>
      </c>
      <c r="L59" s="30" t="s">
        <v>190</v>
      </c>
      <c r="M59" s="30" t="s">
        <v>189</v>
      </c>
      <c r="N59" s="30" t="s">
        <v>188</v>
      </c>
      <c r="O59" s="30" t="s">
        <v>187</v>
      </c>
      <c r="P59" s="30" t="s">
        <v>186</v>
      </c>
      <c r="Q59" s="30" t="s">
        <v>185</v>
      </c>
      <c r="R59" s="30" t="s">
        <v>184</v>
      </c>
      <c r="S59" s="30" t="s">
        <v>183</v>
      </c>
      <c r="T59" s="30" t="s">
        <v>182</v>
      </c>
      <c r="U59" s="30" t="s">
        <v>181</v>
      </c>
      <c r="V59" s="30" t="s">
        <v>180</v>
      </c>
      <c r="W59" s="30" t="s">
        <v>179</v>
      </c>
      <c r="X59" s="30" t="s">
        <v>178</v>
      </c>
      <c r="Y59" s="30" t="s">
        <v>177</v>
      </c>
      <c r="Z59" s="30" t="s">
        <v>176</v>
      </c>
      <c r="AA59" s="30" t="s">
        <v>175</v>
      </c>
      <c r="AB59" s="30" t="s">
        <v>174</v>
      </c>
      <c r="AC59" s="30" t="s">
        <v>173</v>
      </c>
      <c r="AD59" s="30" t="s">
        <v>172</v>
      </c>
      <c r="AE59" s="30" t="s">
        <v>171</v>
      </c>
      <c r="AF59" s="30" t="s">
        <v>170</v>
      </c>
      <c r="AG59" s="30" t="s">
        <v>169</v>
      </c>
      <c r="AH59" s="30" t="s">
        <v>168</v>
      </c>
      <c r="AI59" s="30" t="s">
        <v>167</v>
      </c>
      <c r="AJ59" s="42" t="s">
        <v>19</v>
      </c>
      <c r="AK59" s="2" t="s">
        <v>203</v>
      </c>
    </row>
    <row r="60" spans="2:37" ht="19.5" customHeight="1" thickTop="1" thickBot="1" x14ac:dyDescent="0.3">
      <c r="B60" s="28"/>
      <c r="C60" s="27" t="str">
        <f>DADOS!$T$3</f>
        <v>🍕 ALIMENTAÇÃO</v>
      </c>
      <c r="D60" s="26" t="str">
        <f>IF(despesavariávelconsolidadoabr[[#This Row],[TOTAL]]=0,"",IF(OR(despesavariávelconsolidadoabr[[#This Row],[TOTAL]]=LARGE($AJ$60:$AJ$72,1),despesavariávelconsolidadoabr[[#This Row],[TOTAL]]=LARGE($AJ$60:$AJ$72,2),despesavariávelconsolidadoabr[[#This Row],[TOTAL]]=LARGE($AJ$60:$AJ$72,3),despesavariávelconsolidadoabr[[#This Row],[TOTAL]]=LARGE($AJ$60:$AJ$72,4),despesavariávelconsolidadoabr[[#This Row],[TOTAL]]=LARGE($AJ$60:$AJ$72,5)),DADOS!$I$8,""))</f>
        <v/>
      </c>
      <c r="E60" s="94">
        <f>SUMIFS(tabela_registros[VALOR],tabela_registros[MÊS],$AE$1,tabela_registros[DIA],abrtotal305971[[#Headers],[1]],tabela_registros[REGISTRO],DADOS!$N$4,tabela_registros[TIPO],DADOS!$P$4,tabela_registros[CATEGORIA],despesavariávelconsolidadoabr[[#This Row],[DESPESA VARIÁVEL]])</f>
        <v>0</v>
      </c>
      <c r="F60" s="88">
        <f>SUMIFS(tabela_registros[VALOR],tabela_registros[MÊS],$AE$1,tabela_registros[DIA],abrtotal305971[[#Headers],[2]],tabela_registros[REGISTRO],DADOS!$N$4,tabela_registros[TIPO],DADOS!$P$4,tabela_registros[CATEGORIA],despesavariávelconsolidadoabr[[#This Row],[DESPESA VARIÁVEL]])</f>
        <v>0</v>
      </c>
      <c r="G60" s="88">
        <f>SUMIFS(tabela_registros[VALOR],tabela_registros[MÊS],$AE$1,tabela_registros[DIA],abrtotal305971[[#Headers],[3]],tabela_registros[REGISTRO],DADOS!$N$4,tabela_registros[TIPO],DADOS!$P$4,tabela_registros[CATEGORIA],despesavariávelconsolidadoabr[[#This Row],[DESPESA VARIÁVEL]])</f>
        <v>0</v>
      </c>
      <c r="H60" s="88">
        <f>SUMIFS(tabela_registros[VALOR],tabela_registros[MÊS],$AE$1,tabela_registros[DIA],abrtotal305971[[#Headers],[4]],tabela_registros[REGISTRO],DADOS!$N$4,tabela_registros[TIPO],DADOS!$P$4,tabela_registros[CATEGORIA],despesavariávelconsolidadoabr[[#This Row],[DESPESA VARIÁVEL]])</f>
        <v>0</v>
      </c>
      <c r="I60" s="88">
        <f>SUMIFS(tabela_registros[VALOR],tabela_registros[MÊS],$AE$1,tabela_registros[DIA],abrtotal305971[[#Headers],[5]],tabela_registros[REGISTRO],DADOS!$N$4,tabela_registros[TIPO],DADOS!$P$4,tabela_registros[CATEGORIA],despesavariávelconsolidadoabr[[#This Row],[DESPESA VARIÁVEL]])</f>
        <v>0</v>
      </c>
      <c r="J60" s="88">
        <f>SUMIFS(tabela_registros[VALOR],tabela_registros[MÊS],$AE$1,tabela_registros[DIA],abrtotal305971[[#Headers],[6]],tabela_registros[REGISTRO],DADOS!$N$4,tabela_registros[TIPO],DADOS!$P$4,tabela_registros[CATEGORIA],despesavariávelconsolidadoabr[[#This Row],[DESPESA VARIÁVEL]])</f>
        <v>0</v>
      </c>
      <c r="K60" s="88">
        <f>SUMIFS(tabela_registros[VALOR],tabela_registros[MÊS],$AE$1,tabela_registros[DIA],abrtotal305971[[#Headers],[7]],tabela_registros[REGISTRO],DADOS!$N$4,tabela_registros[TIPO],DADOS!$P$4,tabela_registros[CATEGORIA],despesavariávelconsolidadoabr[[#This Row],[DESPESA VARIÁVEL]])</f>
        <v>0</v>
      </c>
      <c r="L60" s="88">
        <f>SUMIFS(tabela_registros[VALOR],tabela_registros[MÊS],$AE$1,tabela_registros[DIA],abrtotal305971[[#Headers],[8]],tabela_registros[REGISTRO],DADOS!$N$4,tabela_registros[TIPO],DADOS!$P$4,tabela_registros[CATEGORIA],despesavariávelconsolidadoabr[[#This Row],[DESPESA VARIÁVEL]])</f>
        <v>0</v>
      </c>
      <c r="M60" s="88">
        <f>SUMIFS(tabela_registros[VALOR],tabela_registros[MÊS],$AE$1,tabela_registros[DIA],abrtotal305971[[#Headers],[9]],tabela_registros[REGISTRO],DADOS!$N$4,tabela_registros[TIPO],DADOS!$P$4,tabela_registros[CATEGORIA],despesavariávelconsolidadoabr[[#This Row],[DESPESA VARIÁVEL]])</f>
        <v>0</v>
      </c>
      <c r="N60" s="88">
        <f>SUMIFS(tabela_registros[VALOR],tabela_registros[MÊS],$AE$1,tabela_registros[DIA],abrtotal305971[[#Headers],[10]],tabela_registros[REGISTRO],DADOS!$N$4,tabela_registros[TIPO],DADOS!$P$4,tabela_registros[CATEGORIA],despesavariávelconsolidadoabr[[#This Row],[DESPESA VARIÁVEL]])</f>
        <v>0</v>
      </c>
      <c r="O60" s="88">
        <f>SUMIFS(tabela_registros[VALOR],tabela_registros[MÊS],$AE$1,tabela_registros[DIA],abrtotal305971[[#Headers],[11]],tabela_registros[REGISTRO],DADOS!$N$4,tabela_registros[TIPO],DADOS!$P$4,tabela_registros[CATEGORIA],despesavariávelconsolidadoabr[[#This Row],[DESPESA VARIÁVEL]])</f>
        <v>0</v>
      </c>
      <c r="P60" s="88">
        <f>SUMIFS(tabela_registros[VALOR],tabela_registros[MÊS],$AE$1,tabela_registros[DIA],abrtotal305971[[#Headers],[12]],tabela_registros[REGISTRO],DADOS!$N$4,tabela_registros[TIPO],DADOS!$P$4,tabela_registros[CATEGORIA],despesavariávelconsolidadoabr[[#This Row],[DESPESA VARIÁVEL]])</f>
        <v>0</v>
      </c>
      <c r="Q60" s="88">
        <f>SUMIFS(tabela_registros[VALOR],tabela_registros[MÊS],$AE$1,tabela_registros[DIA],abrtotal305971[[#Headers],[13]],tabela_registros[REGISTRO],DADOS!$N$4,tabela_registros[TIPO],DADOS!$P$4,tabela_registros[CATEGORIA],despesavariávelconsolidadoabr[[#This Row],[DESPESA VARIÁVEL]])</f>
        <v>0</v>
      </c>
      <c r="R60" s="88">
        <f>SUMIFS(tabela_registros[VALOR],tabela_registros[MÊS],$AE$1,tabela_registros[DIA],abrtotal305971[[#Headers],[14]],tabela_registros[REGISTRO],DADOS!$N$4,tabela_registros[TIPO],DADOS!$P$4,tabela_registros[CATEGORIA],despesavariávelconsolidadoabr[[#This Row],[DESPESA VARIÁVEL]])</f>
        <v>0</v>
      </c>
      <c r="S60" s="88">
        <f>SUMIFS(tabela_registros[VALOR],tabela_registros[MÊS],$AE$1,tabela_registros[DIA],abrtotal305971[[#Headers],[15]],tabela_registros[REGISTRO],DADOS!$N$4,tabela_registros[TIPO],DADOS!$P$4,tabela_registros[CATEGORIA],despesavariávelconsolidadoabr[[#This Row],[DESPESA VARIÁVEL]])</f>
        <v>0</v>
      </c>
      <c r="T60" s="88">
        <f>SUMIFS(tabela_registros[VALOR],tabela_registros[MÊS],$AE$1,tabela_registros[DIA],abrtotal305971[[#Headers],[16]],tabela_registros[REGISTRO],DADOS!$N$4,tabela_registros[TIPO],DADOS!$P$4,tabela_registros[CATEGORIA],despesavariávelconsolidadoabr[[#This Row],[DESPESA VARIÁVEL]])</f>
        <v>0</v>
      </c>
      <c r="U60" s="88">
        <f>SUMIFS(tabela_registros[VALOR],tabela_registros[MÊS],$AE$1,tabela_registros[DIA],abrtotal305971[[#Headers],[17]],tabela_registros[REGISTRO],DADOS!$N$4,tabela_registros[TIPO],DADOS!$P$4,tabela_registros[CATEGORIA],despesavariávelconsolidadoabr[[#This Row],[DESPESA VARIÁVEL]])</f>
        <v>0</v>
      </c>
      <c r="V60" s="88">
        <f>SUMIFS(tabela_registros[VALOR],tabela_registros[MÊS],$AE$1,tabela_registros[DIA],abrtotal305971[[#Headers],[18]],tabela_registros[REGISTRO],DADOS!$N$4,tabela_registros[TIPO],DADOS!$P$4,tabela_registros[CATEGORIA],despesavariávelconsolidadoabr[[#This Row],[DESPESA VARIÁVEL]])</f>
        <v>0</v>
      </c>
      <c r="W60" s="88">
        <f>SUMIFS(tabela_registros[VALOR],tabela_registros[MÊS],$AE$1,tabela_registros[DIA],abrtotal305971[[#Headers],[19]],tabela_registros[REGISTRO],DADOS!$N$4,tabela_registros[TIPO],DADOS!$P$4,tabela_registros[CATEGORIA],despesavariávelconsolidadoabr[[#This Row],[DESPESA VARIÁVEL]])</f>
        <v>0</v>
      </c>
      <c r="X60" s="88">
        <f>SUMIFS(tabela_registros[VALOR],tabela_registros[MÊS],$AE$1,tabela_registros[DIA],abrtotal305971[[#Headers],[20]],tabela_registros[REGISTRO],DADOS!$N$4,tabela_registros[TIPO],DADOS!$P$4,tabela_registros[CATEGORIA],despesavariávelconsolidadoabr[[#This Row],[DESPESA VARIÁVEL]])</f>
        <v>0</v>
      </c>
      <c r="Y60" s="88">
        <f>SUMIFS(tabela_registros[VALOR],tabela_registros[MÊS],$AE$1,tabela_registros[DIA],abrtotal305971[[#Headers],[21]],tabela_registros[REGISTRO],DADOS!$N$4,tabela_registros[TIPO],DADOS!$P$4,tabela_registros[CATEGORIA],despesavariávelconsolidadoabr[[#This Row],[DESPESA VARIÁVEL]])</f>
        <v>0</v>
      </c>
      <c r="Z60" s="88">
        <f>SUMIFS(tabela_registros[VALOR],tabela_registros[MÊS],$AE$1,tabela_registros[DIA],abrtotal305971[[#Headers],[22]],tabela_registros[REGISTRO],DADOS!$N$4,tabela_registros[TIPO],DADOS!$P$4,tabela_registros[CATEGORIA],despesavariávelconsolidadoabr[[#This Row],[DESPESA VARIÁVEL]])</f>
        <v>0</v>
      </c>
      <c r="AA60" s="88">
        <f>SUMIFS(tabela_registros[VALOR],tabela_registros[MÊS],$AE$1,tabela_registros[DIA],abrtotal305971[[#Headers],[23]],tabela_registros[REGISTRO],DADOS!$N$4,tabela_registros[TIPO],DADOS!$P$4,tabela_registros[CATEGORIA],despesavariávelconsolidadoabr[[#This Row],[DESPESA VARIÁVEL]])</f>
        <v>0</v>
      </c>
      <c r="AB60" s="88">
        <f>SUMIFS(tabela_registros[VALOR],tabela_registros[MÊS],$AE$1,tabela_registros[DIA],abrtotal305971[[#Headers],[24]],tabela_registros[REGISTRO],DADOS!$N$4,tabela_registros[TIPO],DADOS!$P$4,tabela_registros[CATEGORIA],despesavariávelconsolidadoabr[[#This Row],[DESPESA VARIÁVEL]])</f>
        <v>0</v>
      </c>
      <c r="AC60" s="88">
        <f>SUMIFS(tabela_registros[VALOR],tabela_registros[MÊS],$AE$1,tabela_registros[DIA],abrtotal305971[[#Headers],[25]],tabela_registros[REGISTRO],DADOS!$N$4,tabela_registros[TIPO],DADOS!$P$4,tabela_registros[CATEGORIA],despesavariávelconsolidadoabr[[#This Row],[DESPESA VARIÁVEL]])</f>
        <v>0</v>
      </c>
      <c r="AD60" s="88">
        <f>SUMIFS(tabela_registros[VALOR],tabela_registros[MÊS],$AE$1,tabela_registros[DIA],abrtotal305971[[#Headers],[26]],tabela_registros[REGISTRO],DADOS!$N$4,tabela_registros[TIPO],DADOS!$P$4,tabela_registros[CATEGORIA],despesavariávelconsolidadoabr[[#This Row],[DESPESA VARIÁVEL]])</f>
        <v>0</v>
      </c>
      <c r="AE60" s="88">
        <f>SUMIFS(tabela_registros[VALOR],tabela_registros[MÊS],$AE$1,tabela_registros[DIA],abrtotal305971[[#Headers],[27]],tabela_registros[REGISTRO],DADOS!$N$4,tabela_registros[TIPO],DADOS!$P$4,tabela_registros[CATEGORIA],despesavariávelconsolidadoabr[[#This Row],[DESPESA VARIÁVEL]])</f>
        <v>0</v>
      </c>
      <c r="AF60" s="88">
        <f>SUMIFS(tabela_registros[VALOR],tabela_registros[MÊS],$AE$1,tabela_registros[DIA],abrtotal305971[[#Headers],[28]],tabela_registros[REGISTRO],DADOS!$N$4,tabela_registros[TIPO],DADOS!$P$4,tabela_registros[CATEGORIA],despesavariávelconsolidadoabr[[#This Row],[DESPESA VARIÁVEL]])</f>
        <v>0</v>
      </c>
      <c r="AG60" s="88">
        <f>SUMIFS(tabela_registros[VALOR],tabela_registros[MÊS],$AE$1,tabela_registros[DIA],abrtotal305971[[#Headers],[29]],tabela_registros[REGISTRO],DADOS!$N$4,tabela_registros[TIPO],DADOS!$P$4,tabela_registros[CATEGORIA],despesavariávelconsolidadoabr[[#This Row],[DESPESA VARIÁVEL]])</f>
        <v>0</v>
      </c>
      <c r="AH60" s="88">
        <f>SUMIFS(tabela_registros[VALOR],tabela_registros[MÊS],$AE$1,tabela_registros[DIA],abrtotal305971[[#Headers],[30]],tabela_registros[REGISTRO],DADOS!$N$4,tabela_registros[TIPO],DADOS!$P$4,tabela_registros[CATEGORIA],despesavariávelconsolidadoabr[[#This Row],[DESPESA VARIÁVEL]])</f>
        <v>0</v>
      </c>
      <c r="AI60" s="100">
        <f>SUMIFS(tabela_registros[VALOR],tabela_registros[MÊS],$AE$1,tabela_registros[DIA],abrtotal305971[[#Headers],[31]],tabela_registros[REGISTRO],DADOS!$N$4,tabela_registros[TIPO],DADOS!$P$4,tabela_registros[CATEGORIA],despesavariávelconsolidadoabr[[#This Row],[DESPESA VARIÁVEL]])</f>
        <v>0</v>
      </c>
      <c r="AJ60" s="95">
        <f>SUM(despesavariávelconsolidadoabr[[#This Row],[1]:[31]])</f>
        <v>0</v>
      </c>
      <c r="AK60" s="28"/>
    </row>
    <row r="61" spans="2:37" ht="18" customHeight="1" thickTop="1" thickBot="1" x14ac:dyDescent="0.3">
      <c r="B61" s="28"/>
      <c r="C61" s="27" t="str">
        <f>DADOS!$T$4</f>
        <v>💳 CARTÃO DE CRÉDITO</v>
      </c>
      <c r="D61" s="26" t="str">
        <f>IF(despesavariávelconsolidadoabr[[#This Row],[TOTAL]]=0,"",IF(OR(despesavariávelconsolidadoabr[[#This Row],[TOTAL]]=LARGE($AJ$60:$AJ$72,1),despesavariávelconsolidadoabr[[#This Row],[TOTAL]]=LARGE($AJ$60:$AJ$72,2),despesavariávelconsolidadoabr[[#This Row],[TOTAL]]=LARGE($AJ$60:$AJ$72,3),despesavariávelconsolidadoabr[[#This Row],[TOTAL]]=LARGE($AJ$60:$AJ$72,4),despesavariávelconsolidadoabr[[#This Row],[TOTAL]]=LARGE($AJ$60:$AJ$72,5)),DADOS!$I$8,""))</f>
        <v/>
      </c>
      <c r="E61" s="96">
        <f>SUMIFS(tabela_registros[VALOR],tabela_registros[MÊS],$AE$1,tabela_registros[DIA],abrtotal305971[[#Headers],[1]],tabela_registros[REGISTRO],DADOS!$N$4,tabela_registros[TIPO],DADOS!$P$4,tabela_registros[CATEGORIA],despesavariávelconsolidadoabr[[#This Row],[DESPESA VARIÁVEL]])</f>
        <v>0</v>
      </c>
      <c r="F61" s="91">
        <f>SUMIFS(tabela_registros[VALOR],tabela_registros[MÊS],$AE$1,tabela_registros[DIA],abrtotal305971[[#Headers],[2]],tabela_registros[REGISTRO],DADOS!$N$4,tabela_registros[TIPO],DADOS!$P$4,tabela_registros[CATEGORIA],despesavariávelconsolidadoabr[[#This Row],[DESPESA VARIÁVEL]])</f>
        <v>0</v>
      </c>
      <c r="G61" s="91">
        <f>SUMIFS(tabela_registros[VALOR],tabela_registros[MÊS],$AE$1,tabela_registros[DIA],abrtotal305971[[#Headers],[3]],tabela_registros[REGISTRO],DADOS!$N$4,tabela_registros[TIPO],DADOS!$P$4,tabela_registros[CATEGORIA],despesavariávelconsolidadoabr[[#This Row],[DESPESA VARIÁVEL]])</f>
        <v>0</v>
      </c>
      <c r="H61" s="91">
        <f>SUMIFS(tabela_registros[VALOR],tabela_registros[MÊS],$AE$1,tabela_registros[DIA],abrtotal305971[[#Headers],[4]],tabela_registros[REGISTRO],DADOS!$N$4,tabela_registros[TIPO],DADOS!$P$4,tabela_registros[CATEGORIA],despesavariávelconsolidadoabr[[#This Row],[DESPESA VARIÁVEL]])</f>
        <v>0</v>
      </c>
      <c r="I61" s="91">
        <f>SUMIFS(tabela_registros[VALOR],tabela_registros[MÊS],$AE$1,tabela_registros[DIA],abrtotal305971[[#Headers],[5]],tabela_registros[REGISTRO],DADOS!$N$4,tabela_registros[TIPO],DADOS!$P$4,tabela_registros[CATEGORIA],despesavariávelconsolidadoabr[[#This Row],[DESPESA VARIÁVEL]])</f>
        <v>0</v>
      </c>
      <c r="J61" s="91">
        <f>SUMIFS(tabela_registros[VALOR],tabela_registros[MÊS],$AE$1,tabela_registros[DIA],abrtotal305971[[#Headers],[6]],tabela_registros[REGISTRO],DADOS!$N$4,tabela_registros[TIPO],DADOS!$P$4,tabela_registros[CATEGORIA],despesavariávelconsolidadoabr[[#This Row],[DESPESA VARIÁVEL]])</f>
        <v>0</v>
      </c>
      <c r="K61" s="91">
        <f>SUMIFS(tabela_registros[VALOR],tabela_registros[MÊS],$AE$1,tabela_registros[DIA],abrtotal305971[[#Headers],[7]],tabela_registros[REGISTRO],DADOS!$N$4,tabela_registros[TIPO],DADOS!$P$4,tabela_registros[CATEGORIA],despesavariávelconsolidadoabr[[#This Row],[DESPESA VARIÁVEL]])</f>
        <v>0</v>
      </c>
      <c r="L61" s="91">
        <f>SUMIFS(tabela_registros[VALOR],tabela_registros[MÊS],$AE$1,tabela_registros[DIA],abrtotal305971[[#Headers],[8]],tabela_registros[REGISTRO],DADOS!$N$4,tabela_registros[TIPO],DADOS!$P$4,tabela_registros[CATEGORIA],despesavariávelconsolidadoabr[[#This Row],[DESPESA VARIÁVEL]])</f>
        <v>0</v>
      </c>
      <c r="M61" s="91">
        <f>SUMIFS(tabela_registros[VALOR],tabela_registros[MÊS],$AE$1,tabela_registros[DIA],abrtotal305971[[#Headers],[9]],tabela_registros[REGISTRO],DADOS!$N$4,tabela_registros[TIPO],DADOS!$P$4,tabela_registros[CATEGORIA],despesavariávelconsolidadoabr[[#This Row],[DESPESA VARIÁVEL]])</f>
        <v>0</v>
      </c>
      <c r="N61" s="91">
        <f>SUMIFS(tabela_registros[VALOR],tabela_registros[MÊS],$AE$1,tabela_registros[DIA],abrtotal305971[[#Headers],[10]],tabela_registros[REGISTRO],DADOS!$N$4,tabela_registros[TIPO],DADOS!$P$4,tabela_registros[CATEGORIA],despesavariávelconsolidadoabr[[#This Row],[DESPESA VARIÁVEL]])</f>
        <v>0</v>
      </c>
      <c r="O61" s="91">
        <f>SUMIFS(tabela_registros[VALOR],tabela_registros[MÊS],$AE$1,tabela_registros[DIA],abrtotal305971[[#Headers],[11]],tabela_registros[REGISTRO],DADOS!$N$4,tabela_registros[TIPO],DADOS!$P$4,tabela_registros[CATEGORIA],despesavariávelconsolidadoabr[[#This Row],[DESPESA VARIÁVEL]])</f>
        <v>0</v>
      </c>
      <c r="P61" s="91">
        <f>SUMIFS(tabela_registros[VALOR],tabela_registros[MÊS],$AE$1,tabela_registros[DIA],abrtotal305971[[#Headers],[12]],tabela_registros[REGISTRO],DADOS!$N$4,tabela_registros[TIPO],DADOS!$P$4,tabela_registros[CATEGORIA],despesavariávelconsolidadoabr[[#This Row],[DESPESA VARIÁVEL]])</f>
        <v>0</v>
      </c>
      <c r="Q61" s="91">
        <f>SUMIFS(tabela_registros[VALOR],tabela_registros[MÊS],$AE$1,tabela_registros[DIA],abrtotal305971[[#Headers],[13]],tabela_registros[REGISTRO],DADOS!$N$4,tabela_registros[TIPO],DADOS!$P$4,tabela_registros[CATEGORIA],despesavariávelconsolidadoabr[[#This Row],[DESPESA VARIÁVEL]])</f>
        <v>0</v>
      </c>
      <c r="R61" s="91">
        <f>SUMIFS(tabela_registros[VALOR],tabela_registros[MÊS],$AE$1,tabela_registros[DIA],abrtotal305971[[#Headers],[14]],tabela_registros[REGISTRO],DADOS!$N$4,tabela_registros[TIPO],DADOS!$P$4,tabela_registros[CATEGORIA],despesavariávelconsolidadoabr[[#This Row],[DESPESA VARIÁVEL]])</f>
        <v>0</v>
      </c>
      <c r="S61" s="91">
        <f>SUMIFS(tabela_registros[VALOR],tabela_registros[MÊS],$AE$1,tabela_registros[DIA],abrtotal305971[[#Headers],[15]],tabela_registros[REGISTRO],DADOS!$N$4,tabela_registros[TIPO],DADOS!$P$4,tabela_registros[CATEGORIA],despesavariávelconsolidadoabr[[#This Row],[DESPESA VARIÁVEL]])</f>
        <v>0</v>
      </c>
      <c r="T61" s="91">
        <f>SUMIFS(tabela_registros[VALOR],tabela_registros[MÊS],$AE$1,tabela_registros[DIA],abrtotal305971[[#Headers],[16]],tabela_registros[REGISTRO],DADOS!$N$4,tabela_registros[TIPO],DADOS!$P$4,tabela_registros[CATEGORIA],despesavariávelconsolidadoabr[[#This Row],[DESPESA VARIÁVEL]])</f>
        <v>0</v>
      </c>
      <c r="U61" s="91">
        <f>SUMIFS(tabela_registros[VALOR],tabela_registros[MÊS],$AE$1,tabela_registros[DIA],abrtotal305971[[#Headers],[17]],tabela_registros[REGISTRO],DADOS!$N$4,tabela_registros[TIPO],DADOS!$P$4,tabela_registros[CATEGORIA],despesavariávelconsolidadoabr[[#This Row],[DESPESA VARIÁVEL]])</f>
        <v>0</v>
      </c>
      <c r="V61" s="91">
        <f>SUMIFS(tabela_registros[VALOR],tabela_registros[MÊS],$AE$1,tabela_registros[DIA],abrtotal305971[[#Headers],[18]],tabela_registros[REGISTRO],DADOS!$N$4,tabela_registros[TIPO],DADOS!$P$4,tabela_registros[CATEGORIA],despesavariávelconsolidadoabr[[#This Row],[DESPESA VARIÁVEL]])</f>
        <v>0</v>
      </c>
      <c r="W61" s="91">
        <f>SUMIFS(tabela_registros[VALOR],tabela_registros[MÊS],$AE$1,tabela_registros[DIA],abrtotal305971[[#Headers],[19]],tabela_registros[REGISTRO],DADOS!$N$4,tabela_registros[TIPO],DADOS!$P$4,tabela_registros[CATEGORIA],despesavariávelconsolidadoabr[[#This Row],[DESPESA VARIÁVEL]])</f>
        <v>0</v>
      </c>
      <c r="X61" s="91">
        <f>SUMIFS(tabela_registros[VALOR],tabela_registros[MÊS],$AE$1,tabela_registros[DIA],abrtotal305971[[#Headers],[20]],tabela_registros[REGISTRO],DADOS!$N$4,tabela_registros[TIPO],DADOS!$P$4,tabela_registros[CATEGORIA],despesavariávelconsolidadoabr[[#This Row],[DESPESA VARIÁVEL]])</f>
        <v>0</v>
      </c>
      <c r="Y61" s="91">
        <f>SUMIFS(tabela_registros[VALOR],tabela_registros[MÊS],$AE$1,tabela_registros[DIA],abrtotal305971[[#Headers],[21]],tabela_registros[REGISTRO],DADOS!$N$4,tabela_registros[TIPO],DADOS!$P$4,tabela_registros[CATEGORIA],despesavariávelconsolidadoabr[[#This Row],[DESPESA VARIÁVEL]])</f>
        <v>0</v>
      </c>
      <c r="Z61" s="91">
        <f>SUMIFS(tabela_registros[VALOR],tabela_registros[MÊS],$AE$1,tabela_registros[DIA],abrtotal305971[[#Headers],[22]],tabela_registros[REGISTRO],DADOS!$N$4,tabela_registros[TIPO],DADOS!$P$4,tabela_registros[CATEGORIA],despesavariávelconsolidadoabr[[#This Row],[DESPESA VARIÁVEL]])</f>
        <v>0</v>
      </c>
      <c r="AA61" s="91">
        <f>SUMIFS(tabela_registros[VALOR],tabela_registros[MÊS],$AE$1,tabela_registros[DIA],abrtotal305971[[#Headers],[23]],tabela_registros[REGISTRO],DADOS!$N$4,tabela_registros[TIPO],DADOS!$P$4,tabela_registros[CATEGORIA],despesavariávelconsolidadoabr[[#This Row],[DESPESA VARIÁVEL]])</f>
        <v>0</v>
      </c>
      <c r="AB61" s="91">
        <f>SUMIFS(tabela_registros[VALOR],tabela_registros[MÊS],$AE$1,tabela_registros[DIA],abrtotal305971[[#Headers],[24]],tabela_registros[REGISTRO],DADOS!$N$4,tabela_registros[TIPO],DADOS!$P$4,tabela_registros[CATEGORIA],despesavariávelconsolidadoabr[[#This Row],[DESPESA VARIÁVEL]])</f>
        <v>0</v>
      </c>
      <c r="AC61" s="91">
        <f>SUMIFS(tabela_registros[VALOR],tabela_registros[MÊS],$AE$1,tabela_registros[DIA],abrtotal305971[[#Headers],[25]],tabela_registros[REGISTRO],DADOS!$N$4,tabela_registros[TIPO],DADOS!$P$4,tabela_registros[CATEGORIA],despesavariávelconsolidadoabr[[#This Row],[DESPESA VARIÁVEL]])</f>
        <v>0</v>
      </c>
      <c r="AD61" s="91">
        <f>SUMIFS(tabela_registros[VALOR],tabela_registros[MÊS],$AE$1,tabela_registros[DIA],abrtotal305971[[#Headers],[26]],tabela_registros[REGISTRO],DADOS!$N$4,tabela_registros[TIPO],DADOS!$P$4,tabela_registros[CATEGORIA],despesavariávelconsolidadoabr[[#This Row],[DESPESA VARIÁVEL]])</f>
        <v>0</v>
      </c>
      <c r="AE61" s="91">
        <f>SUMIFS(tabela_registros[VALOR],tabela_registros[MÊS],$AE$1,tabela_registros[DIA],abrtotal305971[[#Headers],[27]],tabela_registros[REGISTRO],DADOS!$N$4,tabela_registros[TIPO],DADOS!$P$4,tabela_registros[CATEGORIA],despesavariávelconsolidadoabr[[#This Row],[DESPESA VARIÁVEL]])</f>
        <v>0</v>
      </c>
      <c r="AF61" s="91">
        <f>SUMIFS(tabela_registros[VALOR],tabela_registros[MÊS],$AE$1,tabela_registros[DIA],abrtotal305971[[#Headers],[28]],tabela_registros[REGISTRO],DADOS!$N$4,tabela_registros[TIPO],DADOS!$P$4,tabela_registros[CATEGORIA],despesavariávelconsolidadoabr[[#This Row],[DESPESA VARIÁVEL]])</f>
        <v>0</v>
      </c>
      <c r="AG61" s="91">
        <f>SUMIFS(tabela_registros[VALOR],tabela_registros[MÊS],$AE$1,tabela_registros[DIA],abrtotal305971[[#Headers],[29]],tabela_registros[REGISTRO],DADOS!$N$4,tabela_registros[TIPO],DADOS!$P$4,tabela_registros[CATEGORIA],despesavariávelconsolidadoabr[[#This Row],[DESPESA VARIÁVEL]])</f>
        <v>0</v>
      </c>
      <c r="AH61" s="91">
        <f>SUMIFS(tabela_registros[VALOR],tabela_registros[MÊS],$AE$1,tabela_registros[DIA],abrtotal305971[[#Headers],[30]],tabela_registros[REGISTRO],DADOS!$N$4,tabela_registros[TIPO],DADOS!$P$4,tabela_registros[CATEGORIA],despesavariávelconsolidadoabr[[#This Row],[DESPESA VARIÁVEL]])</f>
        <v>0</v>
      </c>
      <c r="AI61" s="101">
        <f>SUMIFS(tabela_registros[VALOR],tabela_registros[MÊS],$AE$1,tabela_registros[DIA],abrtotal305971[[#Headers],[31]],tabela_registros[REGISTRO],DADOS!$N$4,tabela_registros[TIPO],DADOS!$P$4,tabela_registros[CATEGORIA],despesavariávelconsolidadoabr[[#This Row],[DESPESA VARIÁVEL]])</f>
        <v>0</v>
      </c>
      <c r="AJ61" s="97">
        <f>SUM(despesavariávelconsolidadoabr[[#This Row],[1]:[31]])</f>
        <v>0</v>
      </c>
      <c r="AK61" s="28"/>
    </row>
    <row r="62" spans="2:37" ht="18" customHeight="1" thickTop="1" thickBot="1" x14ac:dyDescent="0.3">
      <c r="B62" s="28"/>
      <c r="C62" s="27" t="str">
        <f>DADOS!$T$5</f>
        <v>✍️ CHEQUE ESPECIAL</v>
      </c>
      <c r="D62" s="26" t="str">
        <f>IF(despesavariávelconsolidadoabr[[#This Row],[TOTAL]]=0,"",IF(OR(despesavariávelconsolidadoabr[[#This Row],[TOTAL]]=LARGE($AJ$60:$AJ$72,1),despesavariávelconsolidadoabr[[#This Row],[TOTAL]]=LARGE($AJ$60:$AJ$72,2),despesavariávelconsolidadoabr[[#This Row],[TOTAL]]=LARGE($AJ$60:$AJ$72,3),despesavariávelconsolidadoabr[[#This Row],[TOTAL]]=LARGE($AJ$60:$AJ$72,4),despesavariávelconsolidadoabr[[#This Row],[TOTAL]]=LARGE($AJ$60:$AJ$72,5)),DADOS!$I$8,""))</f>
        <v/>
      </c>
      <c r="E62" s="96">
        <f>SUMIFS(tabela_registros[VALOR],tabela_registros[MÊS],$AE$1,tabela_registros[DIA],abrtotal305971[[#Headers],[1]],tabela_registros[REGISTRO],DADOS!$N$4,tabela_registros[TIPO],DADOS!$P$4,tabela_registros[CATEGORIA],despesavariávelconsolidadoabr[[#This Row],[DESPESA VARIÁVEL]])</f>
        <v>0</v>
      </c>
      <c r="F62" s="91">
        <f>SUMIFS(tabela_registros[VALOR],tabela_registros[MÊS],$AE$1,tabela_registros[DIA],abrtotal305971[[#Headers],[2]],tabela_registros[REGISTRO],DADOS!$N$4,tabela_registros[TIPO],DADOS!$P$4,tabela_registros[CATEGORIA],despesavariávelconsolidadoabr[[#This Row],[DESPESA VARIÁVEL]])</f>
        <v>0</v>
      </c>
      <c r="G62" s="91">
        <f>SUMIFS(tabela_registros[VALOR],tabela_registros[MÊS],$AE$1,tabela_registros[DIA],abrtotal305971[[#Headers],[3]],tabela_registros[REGISTRO],DADOS!$N$4,tabela_registros[TIPO],DADOS!$P$4,tabela_registros[CATEGORIA],despesavariávelconsolidadoabr[[#This Row],[DESPESA VARIÁVEL]])</f>
        <v>0</v>
      </c>
      <c r="H62" s="91">
        <f>SUMIFS(tabela_registros[VALOR],tabela_registros[MÊS],$AE$1,tabela_registros[DIA],abrtotal305971[[#Headers],[4]],tabela_registros[REGISTRO],DADOS!$N$4,tabela_registros[TIPO],DADOS!$P$4,tabela_registros[CATEGORIA],despesavariávelconsolidadoabr[[#This Row],[DESPESA VARIÁVEL]])</f>
        <v>0</v>
      </c>
      <c r="I62" s="91">
        <f>SUMIFS(tabela_registros[VALOR],tabela_registros[MÊS],$AE$1,tabela_registros[DIA],abrtotal305971[[#Headers],[5]],tabela_registros[REGISTRO],DADOS!$N$4,tabela_registros[TIPO],DADOS!$P$4,tabela_registros[CATEGORIA],despesavariávelconsolidadoabr[[#This Row],[DESPESA VARIÁVEL]])</f>
        <v>0</v>
      </c>
      <c r="J62" s="91">
        <f>SUMIFS(tabela_registros[VALOR],tabela_registros[MÊS],$AE$1,tabela_registros[DIA],abrtotal305971[[#Headers],[6]],tabela_registros[REGISTRO],DADOS!$N$4,tabela_registros[TIPO],DADOS!$P$4,tabela_registros[CATEGORIA],despesavariávelconsolidadoabr[[#This Row],[DESPESA VARIÁVEL]])</f>
        <v>0</v>
      </c>
      <c r="K62" s="91">
        <f>SUMIFS(tabela_registros[VALOR],tabela_registros[MÊS],$AE$1,tabela_registros[DIA],abrtotal305971[[#Headers],[7]],tabela_registros[REGISTRO],DADOS!$N$4,tabela_registros[TIPO],DADOS!$P$4,tabela_registros[CATEGORIA],despesavariávelconsolidadoabr[[#This Row],[DESPESA VARIÁVEL]])</f>
        <v>0</v>
      </c>
      <c r="L62" s="91">
        <f>SUMIFS(tabela_registros[VALOR],tabela_registros[MÊS],$AE$1,tabela_registros[DIA],abrtotal305971[[#Headers],[8]],tabela_registros[REGISTRO],DADOS!$N$4,tabela_registros[TIPO],DADOS!$P$4,tabela_registros[CATEGORIA],despesavariávelconsolidadoabr[[#This Row],[DESPESA VARIÁVEL]])</f>
        <v>0</v>
      </c>
      <c r="M62" s="91">
        <f>SUMIFS(tabela_registros[VALOR],tabela_registros[MÊS],$AE$1,tabela_registros[DIA],abrtotal305971[[#Headers],[9]],tabela_registros[REGISTRO],DADOS!$N$4,tabela_registros[TIPO],DADOS!$P$4,tabela_registros[CATEGORIA],despesavariávelconsolidadoabr[[#This Row],[DESPESA VARIÁVEL]])</f>
        <v>0</v>
      </c>
      <c r="N62" s="91">
        <f>SUMIFS(tabela_registros[VALOR],tabela_registros[MÊS],$AE$1,tabela_registros[DIA],abrtotal305971[[#Headers],[10]],tabela_registros[REGISTRO],DADOS!$N$4,tabela_registros[TIPO],DADOS!$P$4,tabela_registros[CATEGORIA],despesavariávelconsolidadoabr[[#This Row],[DESPESA VARIÁVEL]])</f>
        <v>0</v>
      </c>
      <c r="O62" s="91">
        <f>SUMIFS(tabela_registros[VALOR],tabela_registros[MÊS],$AE$1,tabela_registros[DIA],abrtotal305971[[#Headers],[11]],tabela_registros[REGISTRO],DADOS!$N$4,tabela_registros[TIPO],DADOS!$P$4,tabela_registros[CATEGORIA],despesavariávelconsolidadoabr[[#This Row],[DESPESA VARIÁVEL]])</f>
        <v>0</v>
      </c>
      <c r="P62" s="91">
        <f>SUMIFS(tabela_registros[VALOR],tabela_registros[MÊS],$AE$1,tabela_registros[DIA],abrtotal305971[[#Headers],[12]],tabela_registros[REGISTRO],DADOS!$N$4,tabela_registros[TIPO],DADOS!$P$4,tabela_registros[CATEGORIA],despesavariávelconsolidadoabr[[#This Row],[DESPESA VARIÁVEL]])</f>
        <v>0</v>
      </c>
      <c r="Q62" s="91">
        <f>SUMIFS(tabela_registros[VALOR],tabela_registros[MÊS],$AE$1,tabela_registros[DIA],abrtotal305971[[#Headers],[13]],tabela_registros[REGISTRO],DADOS!$N$4,tabela_registros[TIPO],DADOS!$P$4,tabela_registros[CATEGORIA],despesavariávelconsolidadoabr[[#This Row],[DESPESA VARIÁVEL]])</f>
        <v>0</v>
      </c>
      <c r="R62" s="91">
        <f>SUMIFS(tabela_registros[VALOR],tabela_registros[MÊS],$AE$1,tabela_registros[DIA],abrtotal305971[[#Headers],[14]],tabela_registros[REGISTRO],DADOS!$N$4,tabela_registros[TIPO],DADOS!$P$4,tabela_registros[CATEGORIA],despesavariávelconsolidadoabr[[#This Row],[DESPESA VARIÁVEL]])</f>
        <v>0</v>
      </c>
      <c r="S62" s="91">
        <f>SUMIFS(tabela_registros[VALOR],tabela_registros[MÊS],$AE$1,tabela_registros[DIA],abrtotal305971[[#Headers],[15]],tabela_registros[REGISTRO],DADOS!$N$4,tabela_registros[TIPO],DADOS!$P$4,tabela_registros[CATEGORIA],despesavariávelconsolidadoabr[[#This Row],[DESPESA VARIÁVEL]])</f>
        <v>0</v>
      </c>
      <c r="T62" s="91">
        <f>SUMIFS(tabela_registros[VALOR],tabela_registros[MÊS],$AE$1,tabela_registros[DIA],abrtotal305971[[#Headers],[16]],tabela_registros[REGISTRO],DADOS!$N$4,tabela_registros[TIPO],DADOS!$P$4,tabela_registros[CATEGORIA],despesavariávelconsolidadoabr[[#This Row],[DESPESA VARIÁVEL]])</f>
        <v>0</v>
      </c>
      <c r="U62" s="91">
        <f>SUMIFS(tabela_registros[VALOR],tabela_registros[MÊS],$AE$1,tabela_registros[DIA],abrtotal305971[[#Headers],[17]],tabela_registros[REGISTRO],DADOS!$N$4,tabela_registros[TIPO],DADOS!$P$4,tabela_registros[CATEGORIA],despesavariávelconsolidadoabr[[#This Row],[DESPESA VARIÁVEL]])</f>
        <v>0</v>
      </c>
      <c r="V62" s="91">
        <f>SUMIFS(tabela_registros[VALOR],tabela_registros[MÊS],$AE$1,tabela_registros[DIA],abrtotal305971[[#Headers],[18]],tabela_registros[REGISTRO],DADOS!$N$4,tabela_registros[TIPO],DADOS!$P$4,tabela_registros[CATEGORIA],despesavariávelconsolidadoabr[[#This Row],[DESPESA VARIÁVEL]])</f>
        <v>0</v>
      </c>
      <c r="W62" s="91">
        <f>SUMIFS(tabela_registros[VALOR],tabela_registros[MÊS],$AE$1,tabela_registros[DIA],abrtotal305971[[#Headers],[19]],tabela_registros[REGISTRO],DADOS!$N$4,tabela_registros[TIPO],DADOS!$P$4,tabela_registros[CATEGORIA],despesavariávelconsolidadoabr[[#This Row],[DESPESA VARIÁVEL]])</f>
        <v>0</v>
      </c>
      <c r="X62" s="91">
        <f>SUMIFS(tabela_registros[VALOR],tabela_registros[MÊS],$AE$1,tabela_registros[DIA],abrtotal305971[[#Headers],[20]],tabela_registros[REGISTRO],DADOS!$N$4,tabela_registros[TIPO],DADOS!$P$4,tabela_registros[CATEGORIA],despesavariávelconsolidadoabr[[#This Row],[DESPESA VARIÁVEL]])</f>
        <v>0</v>
      </c>
      <c r="Y62" s="91">
        <f>SUMIFS(tabela_registros[VALOR],tabela_registros[MÊS],$AE$1,tabela_registros[DIA],abrtotal305971[[#Headers],[21]],tabela_registros[REGISTRO],DADOS!$N$4,tabela_registros[TIPO],DADOS!$P$4,tabela_registros[CATEGORIA],despesavariávelconsolidadoabr[[#This Row],[DESPESA VARIÁVEL]])</f>
        <v>0</v>
      </c>
      <c r="Z62" s="91">
        <f>SUMIFS(tabela_registros[VALOR],tabela_registros[MÊS],$AE$1,tabela_registros[DIA],abrtotal305971[[#Headers],[22]],tabela_registros[REGISTRO],DADOS!$N$4,tabela_registros[TIPO],DADOS!$P$4,tabela_registros[CATEGORIA],despesavariávelconsolidadoabr[[#This Row],[DESPESA VARIÁVEL]])</f>
        <v>0</v>
      </c>
      <c r="AA62" s="91">
        <f>SUMIFS(tabela_registros[VALOR],tabela_registros[MÊS],$AE$1,tabela_registros[DIA],abrtotal305971[[#Headers],[23]],tabela_registros[REGISTRO],DADOS!$N$4,tabela_registros[TIPO],DADOS!$P$4,tabela_registros[CATEGORIA],despesavariávelconsolidadoabr[[#This Row],[DESPESA VARIÁVEL]])</f>
        <v>0</v>
      </c>
      <c r="AB62" s="91">
        <f>SUMIFS(tabela_registros[VALOR],tabela_registros[MÊS],$AE$1,tabela_registros[DIA],abrtotal305971[[#Headers],[24]],tabela_registros[REGISTRO],DADOS!$N$4,tabela_registros[TIPO],DADOS!$P$4,tabela_registros[CATEGORIA],despesavariávelconsolidadoabr[[#This Row],[DESPESA VARIÁVEL]])</f>
        <v>0</v>
      </c>
      <c r="AC62" s="91">
        <f>SUMIFS(tabela_registros[VALOR],tabela_registros[MÊS],$AE$1,tabela_registros[DIA],abrtotal305971[[#Headers],[25]],tabela_registros[REGISTRO],DADOS!$N$4,tabela_registros[TIPO],DADOS!$P$4,tabela_registros[CATEGORIA],despesavariávelconsolidadoabr[[#This Row],[DESPESA VARIÁVEL]])</f>
        <v>0</v>
      </c>
      <c r="AD62" s="91">
        <f>SUMIFS(tabela_registros[VALOR],tabela_registros[MÊS],$AE$1,tabela_registros[DIA],abrtotal305971[[#Headers],[26]],tabela_registros[REGISTRO],DADOS!$N$4,tabela_registros[TIPO],DADOS!$P$4,tabela_registros[CATEGORIA],despesavariávelconsolidadoabr[[#This Row],[DESPESA VARIÁVEL]])</f>
        <v>0</v>
      </c>
      <c r="AE62" s="91">
        <f>SUMIFS(tabela_registros[VALOR],tabela_registros[MÊS],$AE$1,tabela_registros[DIA],abrtotal305971[[#Headers],[27]],tabela_registros[REGISTRO],DADOS!$N$4,tabela_registros[TIPO],DADOS!$P$4,tabela_registros[CATEGORIA],despesavariávelconsolidadoabr[[#This Row],[DESPESA VARIÁVEL]])</f>
        <v>0</v>
      </c>
      <c r="AF62" s="91">
        <f>SUMIFS(tabela_registros[VALOR],tabela_registros[MÊS],$AE$1,tabela_registros[DIA],abrtotal305971[[#Headers],[28]],tabela_registros[REGISTRO],DADOS!$N$4,tabela_registros[TIPO],DADOS!$P$4,tabela_registros[CATEGORIA],despesavariávelconsolidadoabr[[#This Row],[DESPESA VARIÁVEL]])</f>
        <v>0</v>
      </c>
      <c r="AG62" s="91">
        <f>SUMIFS(tabela_registros[VALOR],tabela_registros[MÊS],$AE$1,tabela_registros[DIA],abrtotal305971[[#Headers],[29]],tabela_registros[REGISTRO],DADOS!$N$4,tabela_registros[TIPO],DADOS!$P$4,tabela_registros[CATEGORIA],despesavariávelconsolidadoabr[[#This Row],[DESPESA VARIÁVEL]])</f>
        <v>0</v>
      </c>
      <c r="AH62" s="91">
        <f>SUMIFS(tabela_registros[VALOR],tabela_registros[MÊS],$AE$1,tabela_registros[DIA],abrtotal305971[[#Headers],[30]],tabela_registros[REGISTRO],DADOS!$N$4,tabela_registros[TIPO],DADOS!$P$4,tabela_registros[CATEGORIA],despesavariávelconsolidadoabr[[#This Row],[DESPESA VARIÁVEL]])</f>
        <v>0</v>
      </c>
      <c r="AI62" s="101">
        <f>SUMIFS(tabela_registros[VALOR],tabela_registros[MÊS],$AE$1,tabela_registros[DIA],abrtotal305971[[#Headers],[31]],tabela_registros[REGISTRO],DADOS!$N$4,tabela_registros[TIPO],DADOS!$P$4,tabela_registros[CATEGORIA],despesavariávelconsolidadoabr[[#This Row],[DESPESA VARIÁVEL]])</f>
        <v>0</v>
      </c>
      <c r="AJ62" s="97">
        <f>SUM(despesavariávelconsolidadoabr[[#This Row],[1]:[31]])</f>
        <v>0</v>
      </c>
      <c r="AK62" s="28"/>
    </row>
    <row r="63" spans="2:37" ht="18" customHeight="1" thickTop="1" thickBot="1" x14ac:dyDescent="0.3">
      <c r="B63" s="28"/>
      <c r="C63" s="27" t="str">
        <f>DADOS!$T$6</f>
        <v>💄 CUIDADOS PESSOAIS</v>
      </c>
      <c r="D63" s="26" t="str">
        <f>IF(despesavariávelconsolidadoabr[[#This Row],[TOTAL]]=0,"",IF(OR(despesavariávelconsolidadoabr[[#This Row],[TOTAL]]=LARGE($AJ$60:$AJ$72,1),despesavariávelconsolidadoabr[[#This Row],[TOTAL]]=LARGE($AJ$60:$AJ$72,2),despesavariávelconsolidadoabr[[#This Row],[TOTAL]]=LARGE($AJ$60:$AJ$72,3),despesavariávelconsolidadoabr[[#This Row],[TOTAL]]=LARGE($AJ$60:$AJ$72,4),despesavariávelconsolidadoabr[[#This Row],[TOTAL]]=LARGE($AJ$60:$AJ$72,5)),DADOS!$I$8,""))</f>
        <v/>
      </c>
      <c r="E63" s="96">
        <f>SUMIFS(tabela_registros[VALOR],tabela_registros[MÊS],$AE$1,tabela_registros[DIA],abrtotal305971[[#Headers],[1]],tabela_registros[REGISTRO],DADOS!$N$4,tabela_registros[TIPO],DADOS!$P$4,tabela_registros[CATEGORIA],despesavariávelconsolidadoabr[[#This Row],[DESPESA VARIÁVEL]])</f>
        <v>0</v>
      </c>
      <c r="F63" s="91">
        <f>SUMIFS(tabela_registros[VALOR],tabela_registros[MÊS],$AE$1,tabela_registros[DIA],abrtotal305971[[#Headers],[2]],tabela_registros[REGISTRO],DADOS!$N$4,tabela_registros[TIPO],DADOS!$P$4,tabela_registros[CATEGORIA],despesavariávelconsolidadoabr[[#This Row],[DESPESA VARIÁVEL]])</f>
        <v>0</v>
      </c>
      <c r="G63" s="91">
        <f>SUMIFS(tabela_registros[VALOR],tabela_registros[MÊS],$AE$1,tabela_registros[DIA],abrtotal305971[[#Headers],[3]],tabela_registros[REGISTRO],DADOS!$N$4,tabela_registros[TIPO],DADOS!$P$4,tabela_registros[CATEGORIA],despesavariávelconsolidadoabr[[#This Row],[DESPESA VARIÁVEL]])</f>
        <v>0</v>
      </c>
      <c r="H63" s="91">
        <f>SUMIFS(tabela_registros[VALOR],tabela_registros[MÊS],$AE$1,tabela_registros[DIA],abrtotal305971[[#Headers],[4]],tabela_registros[REGISTRO],DADOS!$N$4,tabela_registros[TIPO],DADOS!$P$4,tabela_registros[CATEGORIA],despesavariávelconsolidadoabr[[#This Row],[DESPESA VARIÁVEL]])</f>
        <v>0</v>
      </c>
      <c r="I63" s="91">
        <f>SUMIFS(tabela_registros[VALOR],tabela_registros[MÊS],$AE$1,tabela_registros[DIA],abrtotal305971[[#Headers],[5]],tabela_registros[REGISTRO],DADOS!$N$4,tabela_registros[TIPO],DADOS!$P$4,tabela_registros[CATEGORIA],despesavariávelconsolidadoabr[[#This Row],[DESPESA VARIÁVEL]])</f>
        <v>0</v>
      </c>
      <c r="J63" s="91">
        <f>SUMIFS(tabela_registros[VALOR],tabela_registros[MÊS],$AE$1,tabela_registros[DIA],abrtotal305971[[#Headers],[6]],tabela_registros[REGISTRO],DADOS!$N$4,tabela_registros[TIPO],DADOS!$P$4,tabela_registros[CATEGORIA],despesavariávelconsolidadoabr[[#This Row],[DESPESA VARIÁVEL]])</f>
        <v>0</v>
      </c>
      <c r="K63" s="91">
        <f>SUMIFS(tabela_registros[VALOR],tabela_registros[MÊS],$AE$1,tabela_registros[DIA],abrtotal305971[[#Headers],[7]],tabela_registros[REGISTRO],DADOS!$N$4,tabela_registros[TIPO],DADOS!$P$4,tabela_registros[CATEGORIA],despesavariávelconsolidadoabr[[#This Row],[DESPESA VARIÁVEL]])</f>
        <v>0</v>
      </c>
      <c r="L63" s="91">
        <f>SUMIFS(tabela_registros[VALOR],tabela_registros[MÊS],$AE$1,tabela_registros[DIA],abrtotal305971[[#Headers],[8]],tabela_registros[REGISTRO],DADOS!$N$4,tabela_registros[TIPO],DADOS!$P$4,tabela_registros[CATEGORIA],despesavariávelconsolidadoabr[[#This Row],[DESPESA VARIÁVEL]])</f>
        <v>0</v>
      </c>
      <c r="M63" s="91">
        <f>SUMIFS(tabela_registros[VALOR],tabela_registros[MÊS],$AE$1,tabela_registros[DIA],abrtotal305971[[#Headers],[9]],tabela_registros[REGISTRO],DADOS!$N$4,tabela_registros[TIPO],DADOS!$P$4,tabela_registros[CATEGORIA],despesavariávelconsolidadoabr[[#This Row],[DESPESA VARIÁVEL]])</f>
        <v>0</v>
      </c>
      <c r="N63" s="91">
        <f>SUMIFS(tabela_registros[VALOR],tabela_registros[MÊS],$AE$1,tabela_registros[DIA],abrtotal305971[[#Headers],[10]],tabela_registros[REGISTRO],DADOS!$N$4,tabela_registros[TIPO],DADOS!$P$4,tabela_registros[CATEGORIA],despesavariávelconsolidadoabr[[#This Row],[DESPESA VARIÁVEL]])</f>
        <v>0</v>
      </c>
      <c r="O63" s="91">
        <f>SUMIFS(tabela_registros[VALOR],tabela_registros[MÊS],$AE$1,tabela_registros[DIA],abrtotal305971[[#Headers],[11]],tabela_registros[REGISTRO],DADOS!$N$4,tabela_registros[TIPO],DADOS!$P$4,tabela_registros[CATEGORIA],despesavariávelconsolidadoabr[[#This Row],[DESPESA VARIÁVEL]])</f>
        <v>0</v>
      </c>
      <c r="P63" s="91">
        <f>SUMIFS(tabela_registros[VALOR],tabela_registros[MÊS],$AE$1,tabela_registros[DIA],abrtotal305971[[#Headers],[12]],tabela_registros[REGISTRO],DADOS!$N$4,tabela_registros[TIPO],DADOS!$P$4,tabela_registros[CATEGORIA],despesavariávelconsolidadoabr[[#This Row],[DESPESA VARIÁVEL]])</f>
        <v>0</v>
      </c>
      <c r="Q63" s="91">
        <f>SUMIFS(tabela_registros[VALOR],tabela_registros[MÊS],$AE$1,tabela_registros[DIA],abrtotal305971[[#Headers],[13]],tabela_registros[REGISTRO],DADOS!$N$4,tabela_registros[TIPO],DADOS!$P$4,tabela_registros[CATEGORIA],despesavariávelconsolidadoabr[[#This Row],[DESPESA VARIÁVEL]])</f>
        <v>0</v>
      </c>
      <c r="R63" s="91">
        <f>SUMIFS(tabela_registros[VALOR],tabela_registros[MÊS],$AE$1,tabela_registros[DIA],abrtotal305971[[#Headers],[14]],tabela_registros[REGISTRO],DADOS!$N$4,tabela_registros[TIPO],DADOS!$P$4,tabela_registros[CATEGORIA],despesavariávelconsolidadoabr[[#This Row],[DESPESA VARIÁVEL]])</f>
        <v>0</v>
      </c>
      <c r="S63" s="91">
        <f>SUMIFS(tabela_registros[VALOR],tabela_registros[MÊS],$AE$1,tabela_registros[DIA],abrtotal305971[[#Headers],[15]],tabela_registros[REGISTRO],DADOS!$N$4,tabela_registros[TIPO],DADOS!$P$4,tabela_registros[CATEGORIA],despesavariávelconsolidadoabr[[#This Row],[DESPESA VARIÁVEL]])</f>
        <v>0</v>
      </c>
      <c r="T63" s="91">
        <f>SUMIFS(tabela_registros[VALOR],tabela_registros[MÊS],$AE$1,tabela_registros[DIA],abrtotal305971[[#Headers],[16]],tabela_registros[REGISTRO],DADOS!$N$4,tabela_registros[TIPO],DADOS!$P$4,tabela_registros[CATEGORIA],despesavariávelconsolidadoabr[[#This Row],[DESPESA VARIÁVEL]])</f>
        <v>0</v>
      </c>
      <c r="U63" s="91">
        <f>SUMIFS(tabela_registros[VALOR],tabela_registros[MÊS],$AE$1,tabela_registros[DIA],abrtotal305971[[#Headers],[17]],tabela_registros[REGISTRO],DADOS!$N$4,tabela_registros[TIPO],DADOS!$P$4,tabela_registros[CATEGORIA],despesavariávelconsolidadoabr[[#This Row],[DESPESA VARIÁVEL]])</f>
        <v>0</v>
      </c>
      <c r="V63" s="91">
        <f>SUMIFS(tabela_registros[VALOR],tabela_registros[MÊS],$AE$1,tabela_registros[DIA],abrtotal305971[[#Headers],[18]],tabela_registros[REGISTRO],DADOS!$N$4,tabela_registros[TIPO],DADOS!$P$4,tabela_registros[CATEGORIA],despesavariávelconsolidadoabr[[#This Row],[DESPESA VARIÁVEL]])</f>
        <v>0</v>
      </c>
      <c r="W63" s="91">
        <f>SUMIFS(tabela_registros[VALOR],tabela_registros[MÊS],$AE$1,tabela_registros[DIA],abrtotal305971[[#Headers],[19]],tabela_registros[REGISTRO],DADOS!$N$4,tabela_registros[TIPO],DADOS!$P$4,tabela_registros[CATEGORIA],despesavariávelconsolidadoabr[[#This Row],[DESPESA VARIÁVEL]])</f>
        <v>0</v>
      </c>
      <c r="X63" s="91">
        <f>SUMIFS(tabela_registros[VALOR],tabela_registros[MÊS],$AE$1,tabela_registros[DIA],abrtotal305971[[#Headers],[20]],tabela_registros[REGISTRO],DADOS!$N$4,tabela_registros[TIPO],DADOS!$P$4,tabela_registros[CATEGORIA],despesavariávelconsolidadoabr[[#This Row],[DESPESA VARIÁVEL]])</f>
        <v>0</v>
      </c>
      <c r="Y63" s="91">
        <f>SUMIFS(tabela_registros[VALOR],tabela_registros[MÊS],$AE$1,tabela_registros[DIA],abrtotal305971[[#Headers],[21]],tabela_registros[REGISTRO],DADOS!$N$4,tabela_registros[TIPO],DADOS!$P$4,tabela_registros[CATEGORIA],despesavariávelconsolidadoabr[[#This Row],[DESPESA VARIÁVEL]])</f>
        <v>0</v>
      </c>
      <c r="Z63" s="91">
        <f>SUMIFS(tabela_registros[VALOR],tabela_registros[MÊS],$AE$1,tabela_registros[DIA],abrtotal305971[[#Headers],[22]],tabela_registros[REGISTRO],DADOS!$N$4,tabela_registros[TIPO],DADOS!$P$4,tabela_registros[CATEGORIA],despesavariávelconsolidadoabr[[#This Row],[DESPESA VARIÁVEL]])</f>
        <v>0</v>
      </c>
      <c r="AA63" s="91">
        <f>SUMIFS(tabela_registros[VALOR],tabela_registros[MÊS],$AE$1,tabela_registros[DIA],abrtotal305971[[#Headers],[23]],tabela_registros[REGISTRO],DADOS!$N$4,tabela_registros[TIPO],DADOS!$P$4,tabela_registros[CATEGORIA],despesavariávelconsolidadoabr[[#This Row],[DESPESA VARIÁVEL]])</f>
        <v>0</v>
      </c>
      <c r="AB63" s="91">
        <f>SUMIFS(tabela_registros[VALOR],tabela_registros[MÊS],$AE$1,tabela_registros[DIA],abrtotal305971[[#Headers],[24]],tabela_registros[REGISTRO],DADOS!$N$4,tabela_registros[TIPO],DADOS!$P$4,tabela_registros[CATEGORIA],despesavariávelconsolidadoabr[[#This Row],[DESPESA VARIÁVEL]])</f>
        <v>0</v>
      </c>
      <c r="AC63" s="91">
        <f>SUMIFS(tabela_registros[VALOR],tabela_registros[MÊS],$AE$1,tabela_registros[DIA],abrtotal305971[[#Headers],[25]],tabela_registros[REGISTRO],DADOS!$N$4,tabela_registros[TIPO],DADOS!$P$4,tabela_registros[CATEGORIA],despesavariávelconsolidadoabr[[#This Row],[DESPESA VARIÁVEL]])</f>
        <v>0</v>
      </c>
      <c r="AD63" s="91">
        <f>SUMIFS(tabela_registros[VALOR],tabela_registros[MÊS],$AE$1,tabela_registros[DIA],abrtotal305971[[#Headers],[26]],tabela_registros[REGISTRO],DADOS!$N$4,tabela_registros[TIPO],DADOS!$P$4,tabela_registros[CATEGORIA],despesavariávelconsolidadoabr[[#This Row],[DESPESA VARIÁVEL]])</f>
        <v>0</v>
      </c>
      <c r="AE63" s="91">
        <f>SUMIFS(tabela_registros[VALOR],tabela_registros[MÊS],$AE$1,tabela_registros[DIA],abrtotal305971[[#Headers],[27]],tabela_registros[REGISTRO],DADOS!$N$4,tabela_registros[TIPO],DADOS!$P$4,tabela_registros[CATEGORIA],despesavariávelconsolidadoabr[[#This Row],[DESPESA VARIÁVEL]])</f>
        <v>0</v>
      </c>
      <c r="AF63" s="91">
        <f>SUMIFS(tabela_registros[VALOR],tabela_registros[MÊS],$AE$1,tabela_registros[DIA],abrtotal305971[[#Headers],[28]],tabela_registros[REGISTRO],DADOS!$N$4,tabela_registros[TIPO],DADOS!$P$4,tabela_registros[CATEGORIA],despesavariávelconsolidadoabr[[#This Row],[DESPESA VARIÁVEL]])</f>
        <v>0</v>
      </c>
      <c r="AG63" s="91">
        <f>SUMIFS(tabela_registros[VALOR],tabela_registros[MÊS],$AE$1,tabela_registros[DIA],abrtotal305971[[#Headers],[29]],tabela_registros[REGISTRO],DADOS!$N$4,tabela_registros[TIPO],DADOS!$P$4,tabela_registros[CATEGORIA],despesavariávelconsolidadoabr[[#This Row],[DESPESA VARIÁVEL]])</f>
        <v>0</v>
      </c>
      <c r="AH63" s="91">
        <f>SUMIFS(tabela_registros[VALOR],tabela_registros[MÊS],$AE$1,tabela_registros[DIA],abrtotal305971[[#Headers],[30]],tabela_registros[REGISTRO],DADOS!$N$4,tabela_registros[TIPO],DADOS!$P$4,tabela_registros[CATEGORIA],despesavariávelconsolidadoabr[[#This Row],[DESPESA VARIÁVEL]])</f>
        <v>0</v>
      </c>
      <c r="AI63" s="101">
        <f>SUMIFS(tabela_registros[VALOR],tabela_registros[MÊS],$AE$1,tabela_registros[DIA],abrtotal305971[[#Headers],[31]],tabela_registros[REGISTRO],DADOS!$N$4,tabela_registros[TIPO],DADOS!$P$4,tabela_registros[CATEGORIA],despesavariávelconsolidadoabr[[#This Row],[DESPESA VARIÁVEL]])</f>
        <v>0</v>
      </c>
      <c r="AJ63" s="97">
        <f>SUM(despesavariávelconsolidadoabr[[#This Row],[1]:[31]])</f>
        <v>0</v>
      </c>
      <c r="AK63" s="28"/>
    </row>
    <row r="64" spans="2:37" ht="18" customHeight="1" thickTop="1" thickBot="1" x14ac:dyDescent="0.3">
      <c r="B64" s="28"/>
      <c r="C64" s="27" t="str">
        <f>DADOS!$T$7</f>
        <v>🤝 DOAÇÃO</v>
      </c>
      <c r="D64" s="26" t="str">
        <f>IF(despesavariávelconsolidadoabr[[#This Row],[TOTAL]]=0,"",IF(OR(despesavariávelconsolidadoabr[[#This Row],[TOTAL]]=LARGE($AJ$60:$AJ$72,1),despesavariávelconsolidadoabr[[#This Row],[TOTAL]]=LARGE($AJ$60:$AJ$72,2),despesavariávelconsolidadoabr[[#This Row],[TOTAL]]=LARGE($AJ$60:$AJ$72,3),despesavariávelconsolidadoabr[[#This Row],[TOTAL]]=LARGE($AJ$60:$AJ$72,4),despesavariávelconsolidadoabr[[#This Row],[TOTAL]]=LARGE($AJ$60:$AJ$72,5)),DADOS!$I$8,""))</f>
        <v>💣</v>
      </c>
      <c r="E64" s="96">
        <f>SUMIFS(tabela_registros[VALOR],tabela_registros[MÊS],$AE$1,tabela_registros[DIA],abrtotal305971[[#Headers],[1]],tabela_registros[REGISTRO],DADOS!$N$4,tabela_registros[TIPO],DADOS!$P$4,tabela_registros[CATEGORIA],despesavariávelconsolidadoabr[[#This Row],[DESPESA VARIÁVEL]])</f>
        <v>0</v>
      </c>
      <c r="F64" s="91">
        <f>SUMIFS(tabela_registros[VALOR],tabela_registros[MÊS],$AE$1,tabela_registros[DIA],abrtotal305971[[#Headers],[2]],tabela_registros[REGISTRO],DADOS!$N$4,tabela_registros[TIPO],DADOS!$P$4,tabela_registros[CATEGORIA],despesavariávelconsolidadoabr[[#This Row],[DESPESA VARIÁVEL]])</f>
        <v>0</v>
      </c>
      <c r="G64" s="91">
        <f>SUMIFS(tabela_registros[VALOR],tabela_registros[MÊS],$AE$1,tabela_registros[DIA],abrtotal305971[[#Headers],[3]],tabela_registros[REGISTRO],DADOS!$N$4,tabela_registros[TIPO],DADOS!$P$4,tabela_registros[CATEGORIA],despesavariávelconsolidadoabr[[#This Row],[DESPESA VARIÁVEL]])</f>
        <v>450</v>
      </c>
      <c r="H64" s="91">
        <f>SUMIFS(tabela_registros[VALOR],tabela_registros[MÊS],$AE$1,tabela_registros[DIA],abrtotal305971[[#Headers],[4]],tabela_registros[REGISTRO],DADOS!$N$4,tabela_registros[TIPO],DADOS!$P$4,tabela_registros[CATEGORIA],despesavariávelconsolidadoabr[[#This Row],[DESPESA VARIÁVEL]])</f>
        <v>0</v>
      </c>
      <c r="I64" s="91">
        <f>SUMIFS(tabela_registros[VALOR],tabela_registros[MÊS],$AE$1,tabela_registros[DIA],abrtotal305971[[#Headers],[5]],tabela_registros[REGISTRO],DADOS!$N$4,tabela_registros[TIPO],DADOS!$P$4,tabela_registros[CATEGORIA],despesavariávelconsolidadoabr[[#This Row],[DESPESA VARIÁVEL]])</f>
        <v>0</v>
      </c>
      <c r="J64" s="91">
        <f>SUMIFS(tabela_registros[VALOR],tabela_registros[MÊS],$AE$1,tabela_registros[DIA],abrtotal305971[[#Headers],[6]],tabela_registros[REGISTRO],DADOS!$N$4,tabela_registros[TIPO],DADOS!$P$4,tabela_registros[CATEGORIA],despesavariávelconsolidadoabr[[#This Row],[DESPESA VARIÁVEL]])</f>
        <v>0</v>
      </c>
      <c r="K64" s="91">
        <f>SUMIFS(tabela_registros[VALOR],tabela_registros[MÊS],$AE$1,tabela_registros[DIA],abrtotal305971[[#Headers],[7]],tabela_registros[REGISTRO],DADOS!$N$4,tabela_registros[TIPO],DADOS!$P$4,tabela_registros[CATEGORIA],despesavariávelconsolidadoabr[[#This Row],[DESPESA VARIÁVEL]])</f>
        <v>0</v>
      </c>
      <c r="L64" s="91">
        <f>SUMIFS(tabela_registros[VALOR],tabela_registros[MÊS],$AE$1,tabela_registros[DIA],abrtotal305971[[#Headers],[8]],tabela_registros[REGISTRO],DADOS!$N$4,tabela_registros[TIPO],DADOS!$P$4,tabela_registros[CATEGORIA],despesavariávelconsolidadoabr[[#This Row],[DESPESA VARIÁVEL]])</f>
        <v>0</v>
      </c>
      <c r="M64" s="91">
        <f>SUMIFS(tabela_registros[VALOR],tabela_registros[MÊS],$AE$1,tabela_registros[DIA],abrtotal305971[[#Headers],[9]],tabela_registros[REGISTRO],DADOS!$N$4,tabela_registros[TIPO],DADOS!$P$4,tabela_registros[CATEGORIA],despesavariávelconsolidadoabr[[#This Row],[DESPESA VARIÁVEL]])</f>
        <v>0</v>
      </c>
      <c r="N64" s="91">
        <f>SUMIFS(tabela_registros[VALOR],tabela_registros[MÊS],$AE$1,tabela_registros[DIA],abrtotal305971[[#Headers],[10]],tabela_registros[REGISTRO],DADOS!$N$4,tabela_registros[TIPO],DADOS!$P$4,tabela_registros[CATEGORIA],despesavariávelconsolidadoabr[[#This Row],[DESPESA VARIÁVEL]])</f>
        <v>0</v>
      </c>
      <c r="O64" s="91">
        <f>SUMIFS(tabela_registros[VALOR],tabela_registros[MÊS],$AE$1,tabela_registros[DIA],abrtotal305971[[#Headers],[11]],tabela_registros[REGISTRO],DADOS!$N$4,tabela_registros[TIPO],DADOS!$P$4,tabela_registros[CATEGORIA],despesavariávelconsolidadoabr[[#This Row],[DESPESA VARIÁVEL]])</f>
        <v>0</v>
      </c>
      <c r="P64" s="91">
        <f>SUMIFS(tabela_registros[VALOR],tabela_registros[MÊS],$AE$1,tabela_registros[DIA],abrtotal305971[[#Headers],[12]],tabela_registros[REGISTRO],DADOS!$N$4,tabela_registros[TIPO],DADOS!$P$4,tabela_registros[CATEGORIA],despesavariávelconsolidadoabr[[#This Row],[DESPESA VARIÁVEL]])</f>
        <v>0</v>
      </c>
      <c r="Q64" s="91">
        <f>SUMIFS(tabela_registros[VALOR],tabela_registros[MÊS],$AE$1,tabela_registros[DIA],abrtotal305971[[#Headers],[13]],tabela_registros[REGISTRO],DADOS!$N$4,tabela_registros[TIPO],DADOS!$P$4,tabela_registros[CATEGORIA],despesavariávelconsolidadoabr[[#This Row],[DESPESA VARIÁVEL]])</f>
        <v>0</v>
      </c>
      <c r="R64" s="91">
        <f>SUMIFS(tabela_registros[VALOR],tabela_registros[MÊS],$AE$1,tabela_registros[DIA],abrtotal305971[[#Headers],[14]],tabela_registros[REGISTRO],DADOS!$N$4,tabela_registros[TIPO],DADOS!$P$4,tabela_registros[CATEGORIA],despesavariávelconsolidadoabr[[#This Row],[DESPESA VARIÁVEL]])</f>
        <v>0</v>
      </c>
      <c r="S64" s="91">
        <f>SUMIFS(tabela_registros[VALOR],tabela_registros[MÊS],$AE$1,tabela_registros[DIA],abrtotal305971[[#Headers],[15]],tabela_registros[REGISTRO],DADOS!$N$4,tabela_registros[TIPO],DADOS!$P$4,tabela_registros[CATEGORIA],despesavariávelconsolidadoabr[[#This Row],[DESPESA VARIÁVEL]])</f>
        <v>0</v>
      </c>
      <c r="T64" s="91">
        <f>SUMIFS(tabela_registros[VALOR],tabela_registros[MÊS],$AE$1,tabela_registros[DIA],abrtotal305971[[#Headers],[16]],tabela_registros[REGISTRO],DADOS!$N$4,tabela_registros[TIPO],DADOS!$P$4,tabela_registros[CATEGORIA],despesavariávelconsolidadoabr[[#This Row],[DESPESA VARIÁVEL]])</f>
        <v>0</v>
      </c>
      <c r="U64" s="91">
        <f>SUMIFS(tabela_registros[VALOR],tabela_registros[MÊS],$AE$1,tabela_registros[DIA],abrtotal305971[[#Headers],[17]],tabela_registros[REGISTRO],DADOS!$N$4,tabela_registros[TIPO],DADOS!$P$4,tabela_registros[CATEGORIA],despesavariávelconsolidadoabr[[#This Row],[DESPESA VARIÁVEL]])</f>
        <v>0</v>
      </c>
      <c r="V64" s="91">
        <f>SUMIFS(tabela_registros[VALOR],tabela_registros[MÊS],$AE$1,tabela_registros[DIA],abrtotal305971[[#Headers],[18]],tabela_registros[REGISTRO],DADOS!$N$4,tabela_registros[TIPO],DADOS!$P$4,tabela_registros[CATEGORIA],despesavariávelconsolidadoabr[[#This Row],[DESPESA VARIÁVEL]])</f>
        <v>0</v>
      </c>
      <c r="W64" s="91">
        <f>SUMIFS(tabela_registros[VALOR],tabela_registros[MÊS],$AE$1,tabela_registros[DIA],abrtotal305971[[#Headers],[19]],tabela_registros[REGISTRO],DADOS!$N$4,tabela_registros[TIPO],DADOS!$P$4,tabela_registros[CATEGORIA],despesavariávelconsolidadoabr[[#This Row],[DESPESA VARIÁVEL]])</f>
        <v>0</v>
      </c>
      <c r="X64" s="91">
        <f>SUMIFS(tabela_registros[VALOR],tabela_registros[MÊS],$AE$1,tabela_registros[DIA],abrtotal305971[[#Headers],[20]],tabela_registros[REGISTRO],DADOS!$N$4,tabela_registros[TIPO],DADOS!$P$4,tabela_registros[CATEGORIA],despesavariávelconsolidadoabr[[#This Row],[DESPESA VARIÁVEL]])</f>
        <v>0</v>
      </c>
      <c r="Y64" s="91">
        <f>SUMIFS(tabela_registros[VALOR],tabela_registros[MÊS],$AE$1,tabela_registros[DIA],abrtotal305971[[#Headers],[21]],tabela_registros[REGISTRO],DADOS!$N$4,tabela_registros[TIPO],DADOS!$P$4,tabela_registros[CATEGORIA],despesavariávelconsolidadoabr[[#This Row],[DESPESA VARIÁVEL]])</f>
        <v>0</v>
      </c>
      <c r="Z64" s="91">
        <f>SUMIFS(tabela_registros[VALOR],tabela_registros[MÊS],$AE$1,tabela_registros[DIA],abrtotal305971[[#Headers],[22]],tabela_registros[REGISTRO],DADOS!$N$4,tabela_registros[TIPO],DADOS!$P$4,tabela_registros[CATEGORIA],despesavariávelconsolidadoabr[[#This Row],[DESPESA VARIÁVEL]])</f>
        <v>0</v>
      </c>
      <c r="AA64" s="91">
        <f>SUMIFS(tabela_registros[VALOR],tabela_registros[MÊS],$AE$1,tabela_registros[DIA],abrtotal305971[[#Headers],[23]],tabela_registros[REGISTRO],DADOS!$N$4,tabela_registros[TIPO],DADOS!$P$4,tabela_registros[CATEGORIA],despesavariávelconsolidadoabr[[#This Row],[DESPESA VARIÁVEL]])</f>
        <v>0</v>
      </c>
      <c r="AB64" s="91">
        <f>SUMIFS(tabela_registros[VALOR],tabela_registros[MÊS],$AE$1,tabela_registros[DIA],abrtotal305971[[#Headers],[24]],tabela_registros[REGISTRO],DADOS!$N$4,tabela_registros[TIPO],DADOS!$P$4,tabela_registros[CATEGORIA],despesavariávelconsolidadoabr[[#This Row],[DESPESA VARIÁVEL]])</f>
        <v>0</v>
      </c>
      <c r="AC64" s="91">
        <f>SUMIFS(tabela_registros[VALOR],tabela_registros[MÊS],$AE$1,tabela_registros[DIA],abrtotal305971[[#Headers],[25]],tabela_registros[REGISTRO],DADOS!$N$4,tabela_registros[TIPO],DADOS!$P$4,tabela_registros[CATEGORIA],despesavariávelconsolidadoabr[[#This Row],[DESPESA VARIÁVEL]])</f>
        <v>0</v>
      </c>
      <c r="AD64" s="91">
        <f>SUMIFS(tabela_registros[VALOR],tabela_registros[MÊS],$AE$1,tabela_registros[DIA],abrtotal305971[[#Headers],[26]],tabela_registros[REGISTRO],DADOS!$N$4,tabela_registros[TIPO],DADOS!$P$4,tabela_registros[CATEGORIA],despesavariávelconsolidadoabr[[#This Row],[DESPESA VARIÁVEL]])</f>
        <v>0</v>
      </c>
      <c r="AE64" s="91">
        <f>SUMIFS(tabela_registros[VALOR],tabela_registros[MÊS],$AE$1,tabela_registros[DIA],abrtotal305971[[#Headers],[27]],tabela_registros[REGISTRO],DADOS!$N$4,tabela_registros[TIPO],DADOS!$P$4,tabela_registros[CATEGORIA],despesavariávelconsolidadoabr[[#This Row],[DESPESA VARIÁVEL]])</f>
        <v>0</v>
      </c>
      <c r="AF64" s="91">
        <f>SUMIFS(tabela_registros[VALOR],tabela_registros[MÊS],$AE$1,tabela_registros[DIA],abrtotal305971[[#Headers],[28]],tabela_registros[REGISTRO],DADOS!$N$4,tabela_registros[TIPO],DADOS!$P$4,tabela_registros[CATEGORIA],despesavariávelconsolidadoabr[[#This Row],[DESPESA VARIÁVEL]])</f>
        <v>0</v>
      </c>
      <c r="AG64" s="91">
        <f>SUMIFS(tabela_registros[VALOR],tabela_registros[MÊS],$AE$1,tabela_registros[DIA],abrtotal305971[[#Headers],[29]],tabela_registros[REGISTRO],DADOS!$N$4,tabela_registros[TIPO],DADOS!$P$4,tabela_registros[CATEGORIA],despesavariávelconsolidadoabr[[#This Row],[DESPESA VARIÁVEL]])</f>
        <v>0</v>
      </c>
      <c r="AH64" s="91">
        <f>SUMIFS(tabela_registros[VALOR],tabela_registros[MÊS],$AE$1,tabela_registros[DIA],abrtotal305971[[#Headers],[30]],tabela_registros[REGISTRO],DADOS!$N$4,tabela_registros[TIPO],DADOS!$P$4,tabela_registros[CATEGORIA],despesavariávelconsolidadoabr[[#This Row],[DESPESA VARIÁVEL]])</f>
        <v>0</v>
      </c>
      <c r="AI64" s="101">
        <f>SUMIFS(tabela_registros[VALOR],tabela_registros[MÊS],$AE$1,tabela_registros[DIA],abrtotal305971[[#Headers],[31]],tabela_registros[REGISTRO],DADOS!$N$4,tabela_registros[TIPO],DADOS!$P$4,tabela_registros[CATEGORIA],despesavariávelconsolidadoabr[[#This Row],[DESPESA VARIÁVEL]])</f>
        <v>0</v>
      </c>
      <c r="AJ64" s="97">
        <f>SUM(despesavariávelconsolidadoabr[[#This Row],[1]:[31]])</f>
        <v>450</v>
      </c>
      <c r="AK64" s="28"/>
    </row>
    <row r="65" spans="2:37" ht="18" customHeight="1" thickTop="1" thickBot="1" x14ac:dyDescent="0.3">
      <c r="B65" s="28"/>
      <c r="C65" s="27" t="str">
        <f>DADOS!$T$8</f>
        <v>📖 EDUCAÇÃO</v>
      </c>
      <c r="D65" s="26" t="str">
        <f>IF(despesavariávelconsolidadoabr[[#This Row],[TOTAL]]=0,"",IF(OR(despesavariávelconsolidadoabr[[#This Row],[TOTAL]]=LARGE($AJ$60:$AJ$72,1),despesavariávelconsolidadoabr[[#This Row],[TOTAL]]=LARGE($AJ$60:$AJ$72,2),despesavariávelconsolidadoabr[[#This Row],[TOTAL]]=LARGE($AJ$60:$AJ$72,3),despesavariávelconsolidadoabr[[#This Row],[TOTAL]]=LARGE($AJ$60:$AJ$72,4),despesavariávelconsolidadoabr[[#This Row],[TOTAL]]=LARGE($AJ$60:$AJ$72,5)),DADOS!$I$8,""))</f>
        <v/>
      </c>
      <c r="E65" s="96">
        <f>SUMIFS(tabela_registros[VALOR],tabela_registros[MÊS],$AE$1,tabela_registros[DIA],abrtotal305971[[#Headers],[1]],tabela_registros[REGISTRO],DADOS!$N$4,tabela_registros[TIPO],DADOS!$P$4,tabela_registros[CATEGORIA],despesavariávelconsolidadoabr[[#This Row],[DESPESA VARIÁVEL]])</f>
        <v>0</v>
      </c>
      <c r="F65" s="91">
        <f>SUMIFS(tabela_registros[VALOR],tabela_registros[MÊS],$AE$1,tabela_registros[DIA],abrtotal305971[[#Headers],[2]],tabela_registros[REGISTRO],DADOS!$N$4,tabela_registros[TIPO],DADOS!$P$4,tabela_registros[CATEGORIA],despesavariávelconsolidadoabr[[#This Row],[DESPESA VARIÁVEL]])</f>
        <v>0</v>
      </c>
      <c r="G65" s="91">
        <f>SUMIFS(tabela_registros[VALOR],tabela_registros[MÊS],$AE$1,tabela_registros[DIA],abrtotal305971[[#Headers],[3]],tabela_registros[REGISTRO],DADOS!$N$4,tabela_registros[TIPO],DADOS!$P$4,tabela_registros[CATEGORIA],despesavariávelconsolidadoabr[[#This Row],[DESPESA VARIÁVEL]])</f>
        <v>0</v>
      </c>
      <c r="H65" s="91">
        <f>SUMIFS(tabela_registros[VALOR],tabela_registros[MÊS],$AE$1,tabela_registros[DIA],abrtotal305971[[#Headers],[4]],tabela_registros[REGISTRO],DADOS!$N$4,tabela_registros[TIPO],DADOS!$P$4,tabela_registros[CATEGORIA],despesavariávelconsolidadoabr[[#This Row],[DESPESA VARIÁVEL]])</f>
        <v>0</v>
      </c>
      <c r="I65" s="91">
        <f>SUMIFS(tabela_registros[VALOR],tabela_registros[MÊS],$AE$1,tabela_registros[DIA],abrtotal305971[[#Headers],[5]],tabela_registros[REGISTRO],DADOS!$N$4,tabela_registros[TIPO],DADOS!$P$4,tabela_registros[CATEGORIA],despesavariávelconsolidadoabr[[#This Row],[DESPESA VARIÁVEL]])</f>
        <v>0</v>
      </c>
      <c r="J65" s="91">
        <f>SUMIFS(tabela_registros[VALOR],tabela_registros[MÊS],$AE$1,tabela_registros[DIA],abrtotal305971[[#Headers],[6]],tabela_registros[REGISTRO],DADOS!$N$4,tabela_registros[TIPO],DADOS!$P$4,tabela_registros[CATEGORIA],despesavariávelconsolidadoabr[[#This Row],[DESPESA VARIÁVEL]])</f>
        <v>0</v>
      </c>
      <c r="K65" s="91">
        <f>SUMIFS(tabela_registros[VALOR],tabela_registros[MÊS],$AE$1,tabela_registros[DIA],abrtotal305971[[#Headers],[7]],tabela_registros[REGISTRO],DADOS!$N$4,tabela_registros[TIPO],DADOS!$P$4,tabela_registros[CATEGORIA],despesavariávelconsolidadoabr[[#This Row],[DESPESA VARIÁVEL]])</f>
        <v>0</v>
      </c>
      <c r="L65" s="91">
        <f>SUMIFS(tabela_registros[VALOR],tabela_registros[MÊS],$AE$1,tabela_registros[DIA],abrtotal305971[[#Headers],[8]],tabela_registros[REGISTRO],DADOS!$N$4,tabela_registros[TIPO],DADOS!$P$4,tabela_registros[CATEGORIA],despesavariávelconsolidadoabr[[#This Row],[DESPESA VARIÁVEL]])</f>
        <v>0</v>
      </c>
      <c r="M65" s="91">
        <f>SUMIFS(tabela_registros[VALOR],tabela_registros[MÊS],$AE$1,tabela_registros[DIA],abrtotal305971[[#Headers],[9]],tabela_registros[REGISTRO],DADOS!$N$4,tabela_registros[TIPO],DADOS!$P$4,tabela_registros[CATEGORIA],despesavariávelconsolidadoabr[[#This Row],[DESPESA VARIÁVEL]])</f>
        <v>0</v>
      </c>
      <c r="N65" s="91">
        <f>SUMIFS(tabela_registros[VALOR],tabela_registros[MÊS],$AE$1,tabela_registros[DIA],abrtotal305971[[#Headers],[10]],tabela_registros[REGISTRO],DADOS!$N$4,tabela_registros[TIPO],DADOS!$P$4,tabela_registros[CATEGORIA],despesavariávelconsolidadoabr[[#This Row],[DESPESA VARIÁVEL]])</f>
        <v>0</v>
      </c>
      <c r="O65" s="91">
        <f>SUMIFS(tabela_registros[VALOR],tabela_registros[MÊS],$AE$1,tabela_registros[DIA],abrtotal305971[[#Headers],[11]],tabela_registros[REGISTRO],DADOS!$N$4,tabela_registros[TIPO],DADOS!$P$4,tabela_registros[CATEGORIA],despesavariávelconsolidadoabr[[#This Row],[DESPESA VARIÁVEL]])</f>
        <v>0</v>
      </c>
      <c r="P65" s="91">
        <f>SUMIFS(tabela_registros[VALOR],tabela_registros[MÊS],$AE$1,tabela_registros[DIA],abrtotal305971[[#Headers],[12]],tabela_registros[REGISTRO],DADOS!$N$4,tabela_registros[TIPO],DADOS!$P$4,tabela_registros[CATEGORIA],despesavariávelconsolidadoabr[[#This Row],[DESPESA VARIÁVEL]])</f>
        <v>0</v>
      </c>
      <c r="Q65" s="91">
        <f>SUMIFS(tabela_registros[VALOR],tabela_registros[MÊS],$AE$1,tabela_registros[DIA],abrtotal305971[[#Headers],[13]],tabela_registros[REGISTRO],DADOS!$N$4,tabela_registros[TIPO],DADOS!$P$4,tabela_registros[CATEGORIA],despesavariávelconsolidadoabr[[#This Row],[DESPESA VARIÁVEL]])</f>
        <v>0</v>
      </c>
      <c r="R65" s="91">
        <f>SUMIFS(tabela_registros[VALOR],tabela_registros[MÊS],$AE$1,tabela_registros[DIA],abrtotal305971[[#Headers],[14]],tabela_registros[REGISTRO],DADOS!$N$4,tabela_registros[TIPO],DADOS!$P$4,tabela_registros[CATEGORIA],despesavariávelconsolidadoabr[[#This Row],[DESPESA VARIÁVEL]])</f>
        <v>0</v>
      </c>
      <c r="S65" s="91">
        <f>SUMIFS(tabela_registros[VALOR],tabela_registros[MÊS],$AE$1,tabela_registros[DIA],abrtotal305971[[#Headers],[15]],tabela_registros[REGISTRO],DADOS!$N$4,tabela_registros[TIPO],DADOS!$P$4,tabela_registros[CATEGORIA],despesavariávelconsolidadoabr[[#This Row],[DESPESA VARIÁVEL]])</f>
        <v>0</v>
      </c>
      <c r="T65" s="91">
        <f>SUMIFS(tabela_registros[VALOR],tabela_registros[MÊS],$AE$1,tabela_registros[DIA],abrtotal305971[[#Headers],[16]],tabela_registros[REGISTRO],DADOS!$N$4,tabela_registros[TIPO],DADOS!$P$4,tabela_registros[CATEGORIA],despesavariávelconsolidadoabr[[#This Row],[DESPESA VARIÁVEL]])</f>
        <v>0</v>
      </c>
      <c r="U65" s="91">
        <f>SUMIFS(tabela_registros[VALOR],tabela_registros[MÊS],$AE$1,tabela_registros[DIA],abrtotal305971[[#Headers],[17]],tabela_registros[REGISTRO],DADOS!$N$4,tabela_registros[TIPO],DADOS!$P$4,tabela_registros[CATEGORIA],despesavariávelconsolidadoabr[[#This Row],[DESPESA VARIÁVEL]])</f>
        <v>0</v>
      </c>
      <c r="V65" s="91">
        <f>SUMIFS(tabela_registros[VALOR],tabela_registros[MÊS],$AE$1,tabela_registros[DIA],abrtotal305971[[#Headers],[18]],tabela_registros[REGISTRO],DADOS!$N$4,tabela_registros[TIPO],DADOS!$P$4,tabela_registros[CATEGORIA],despesavariávelconsolidadoabr[[#This Row],[DESPESA VARIÁVEL]])</f>
        <v>0</v>
      </c>
      <c r="W65" s="91">
        <f>SUMIFS(tabela_registros[VALOR],tabela_registros[MÊS],$AE$1,tabela_registros[DIA],abrtotal305971[[#Headers],[19]],tabela_registros[REGISTRO],DADOS!$N$4,tabela_registros[TIPO],DADOS!$P$4,tabela_registros[CATEGORIA],despesavariávelconsolidadoabr[[#This Row],[DESPESA VARIÁVEL]])</f>
        <v>0</v>
      </c>
      <c r="X65" s="91">
        <f>SUMIFS(tabela_registros[VALOR],tabela_registros[MÊS],$AE$1,tabela_registros[DIA],abrtotal305971[[#Headers],[20]],tabela_registros[REGISTRO],DADOS!$N$4,tabela_registros[TIPO],DADOS!$P$4,tabela_registros[CATEGORIA],despesavariávelconsolidadoabr[[#This Row],[DESPESA VARIÁVEL]])</f>
        <v>0</v>
      </c>
      <c r="Y65" s="91">
        <f>SUMIFS(tabela_registros[VALOR],tabela_registros[MÊS],$AE$1,tabela_registros[DIA],abrtotal305971[[#Headers],[21]],tabela_registros[REGISTRO],DADOS!$N$4,tabela_registros[TIPO],DADOS!$P$4,tabela_registros[CATEGORIA],despesavariávelconsolidadoabr[[#This Row],[DESPESA VARIÁVEL]])</f>
        <v>0</v>
      </c>
      <c r="Z65" s="91">
        <f>SUMIFS(tabela_registros[VALOR],tabela_registros[MÊS],$AE$1,tabela_registros[DIA],abrtotal305971[[#Headers],[22]],tabela_registros[REGISTRO],DADOS!$N$4,tabela_registros[TIPO],DADOS!$P$4,tabela_registros[CATEGORIA],despesavariávelconsolidadoabr[[#This Row],[DESPESA VARIÁVEL]])</f>
        <v>0</v>
      </c>
      <c r="AA65" s="91">
        <f>SUMIFS(tabela_registros[VALOR],tabela_registros[MÊS],$AE$1,tabela_registros[DIA],abrtotal305971[[#Headers],[23]],tabela_registros[REGISTRO],DADOS!$N$4,tabela_registros[TIPO],DADOS!$P$4,tabela_registros[CATEGORIA],despesavariávelconsolidadoabr[[#This Row],[DESPESA VARIÁVEL]])</f>
        <v>0</v>
      </c>
      <c r="AB65" s="91">
        <f>SUMIFS(tabela_registros[VALOR],tabela_registros[MÊS],$AE$1,tabela_registros[DIA],abrtotal305971[[#Headers],[24]],tabela_registros[REGISTRO],DADOS!$N$4,tabela_registros[TIPO],DADOS!$P$4,tabela_registros[CATEGORIA],despesavariávelconsolidadoabr[[#This Row],[DESPESA VARIÁVEL]])</f>
        <v>0</v>
      </c>
      <c r="AC65" s="91">
        <f>SUMIFS(tabela_registros[VALOR],tabela_registros[MÊS],$AE$1,tabela_registros[DIA],abrtotal305971[[#Headers],[25]],tabela_registros[REGISTRO],DADOS!$N$4,tabela_registros[TIPO],DADOS!$P$4,tabela_registros[CATEGORIA],despesavariávelconsolidadoabr[[#This Row],[DESPESA VARIÁVEL]])</f>
        <v>0</v>
      </c>
      <c r="AD65" s="91">
        <f>SUMIFS(tabela_registros[VALOR],tabela_registros[MÊS],$AE$1,tabela_registros[DIA],abrtotal305971[[#Headers],[26]],tabela_registros[REGISTRO],DADOS!$N$4,tabela_registros[TIPO],DADOS!$P$4,tabela_registros[CATEGORIA],despesavariávelconsolidadoabr[[#This Row],[DESPESA VARIÁVEL]])</f>
        <v>0</v>
      </c>
      <c r="AE65" s="91">
        <f>SUMIFS(tabela_registros[VALOR],tabela_registros[MÊS],$AE$1,tabela_registros[DIA],abrtotal305971[[#Headers],[27]],tabela_registros[REGISTRO],DADOS!$N$4,tabela_registros[TIPO],DADOS!$P$4,tabela_registros[CATEGORIA],despesavariávelconsolidadoabr[[#This Row],[DESPESA VARIÁVEL]])</f>
        <v>0</v>
      </c>
      <c r="AF65" s="91">
        <f>SUMIFS(tabela_registros[VALOR],tabela_registros[MÊS],$AE$1,tabela_registros[DIA],abrtotal305971[[#Headers],[28]],tabela_registros[REGISTRO],DADOS!$N$4,tabela_registros[TIPO],DADOS!$P$4,tabela_registros[CATEGORIA],despesavariávelconsolidadoabr[[#This Row],[DESPESA VARIÁVEL]])</f>
        <v>0</v>
      </c>
      <c r="AG65" s="91">
        <f>SUMIFS(tabela_registros[VALOR],tabela_registros[MÊS],$AE$1,tabela_registros[DIA],abrtotal305971[[#Headers],[29]],tabela_registros[REGISTRO],DADOS!$N$4,tabela_registros[TIPO],DADOS!$P$4,tabela_registros[CATEGORIA],despesavariávelconsolidadoabr[[#This Row],[DESPESA VARIÁVEL]])</f>
        <v>0</v>
      </c>
      <c r="AH65" s="91">
        <f>SUMIFS(tabela_registros[VALOR],tabela_registros[MÊS],$AE$1,tabela_registros[DIA],abrtotal305971[[#Headers],[30]],tabela_registros[REGISTRO],DADOS!$N$4,tabela_registros[TIPO],DADOS!$P$4,tabela_registros[CATEGORIA],despesavariávelconsolidadoabr[[#This Row],[DESPESA VARIÁVEL]])</f>
        <v>0</v>
      </c>
      <c r="AI65" s="101">
        <f>SUMIFS(tabela_registros[VALOR],tabela_registros[MÊS],$AE$1,tabela_registros[DIA],abrtotal305971[[#Headers],[31]],tabela_registros[REGISTRO],DADOS!$N$4,tabela_registros[TIPO],DADOS!$P$4,tabela_registros[CATEGORIA],despesavariávelconsolidadoabr[[#This Row],[DESPESA VARIÁVEL]])</f>
        <v>0</v>
      </c>
      <c r="AJ65" s="97">
        <f>SUM(despesavariávelconsolidadoabr[[#This Row],[1]:[31]])</f>
        <v>0</v>
      </c>
      <c r="AK65" s="28"/>
    </row>
    <row r="66" spans="2:37" ht="18" customHeight="1" thickTop="1" thickBot="1" x14ac:dyDescent="0.3">
      <c r="B66" s="28"/>
      <c r="C66" s="27" t="str">
        <f>DADOS!$T$9</f>
        <v>🎭 LAZER</v>
      </c>
      <c r="D66" s="26" t="str">
        <f>IF(despesavariávelconsolidadoabr[[#This Row],[TOTAL]]=0,"",IF(OR(despesavariávelconsolidadoabr[[#This Row],[TOTAL]]=LARGE($AJ$60:$AJ$72,1),despesavariávelconsolidadoabr[[#This Row],[TOTAL]]=LARGE($AJ$60:$AJ$72,2),despesavariávelconsolidadoabr[[#This Row],[TOTAL]]=LARGE($AJ$60:$AJ$72,3),despesavariávelconsolidadoabr[[#This Row],[TOTAL]]=LARGE($AJ$60:$AJ$72,4),despesavariávelconsolidadoabr[[#This Row],[TOTAL]]=LARGE($AJ$60:$AJ$72,5)),DADOS!$I$8,""))</f>
        <v/>
      </c>
      <c r="E66" s="96">
        <f>SUMIFS(tabela_registros[VALOR],tabela_registros[MÊS],$AE$1,tabela_registros[DIA],abrtotal305971[[#Headers],[1]],tabela_registros[REGISTRO],DADOS!$N$4,tabela_registros[TIPO],DADOS!$P$4,tabela_registros[CATEGORIA],despesavariávelconsolidadoabr[[#This Row],[DESPESA VARIÁVEL]])</f>
        <v>0</v>
      </c>
      <c r="F66" s="91">
        <f>SUMIFS(tabela_registros[VALOR],tabela_registros[MÊS],$AE$1,tabela_registros[DIA],abrtotal305971[[#Headers],[2]],tabela_registros[REGISTRO],DADOS!$N$4,tabela_registros[TIPO],DADOS!$P$4,tabela_registros[CATEGORIA],despesavariávelconsolidadoabr[[#This Row],[DESPESA VARIÁVEL]])</f>
        <v>0</v>
      </c>
      <c r="G66" s="91">
        <f>SUMIFS(tabela_registros[VALOR],tabela_registros[MÊS],$AE$1,tabela_registros[DIA],abrtotal305971[[#Headers],[3]],tabela_registros[REGISTRO],DADOS!$N$4,tabela_registros[TIPO],DADOS!$P$4,tabela_registros[CATEGORIA],despesavariávelconsolidadoabr[[#This Row],[DESPESA VARIÁVEL]])</f>
        <v>0</v>
      </c>
      <c r="H66" s="91">
        <f>SUMIFS(tabela_registros[VALOR],tabela_registros[MÊS],$AE$1,tabela_registros[DIA],abrtotal305971[[#Headers],[4]],tabela_registros[REGISTRO],DADOS!$N$4,tabela_registros[TIPO],DADOS!$P$4,tabela_registros[CATEGORIA],despesavariávelconsolidadoabr[[#This Row],[DESPESA VARIÁVEL]])</f>
        <v>0</v>
      </c>
      <c r="I66" s="91">
        <f>SUMIFS(tabela_registros[VALOR],tabela_registros[MÊS],$AE$1,tabela_registros[DIA],abrtotal305971[[#Headers],[5]],tabela_registros[REGISTRO],DADOS!$N$4,tabela_registros[TIPO],DADOS!$P$4,tabela_registros[CATEGORIA],despesavariávelconsolidadoabr[[#This Row],[DESPESA VARIÁVEL]])</f>
        <v>0</v>
      </c>
      <c r="J66" s="91">
        <f>SUMIFS(tabela_registros[VALOR],tabela_registros[MÊS],$AE$1,tabela_registros[DIA],abrtotal305971[[#Headers],[6]],tabela_registros[REGISTRO],DADOS!$N$4,tabela_registros[TIPO],DADOS!$P$4,tabela_registros[CATEGORIA],despesavariávelconsolidadoabr[[#This Row],[DESPESA VARIÁVEL]])</f>
        <v>0</v>
      </c>
      <c r="K66" s="91">
        <f>SUMIFS(tabela_registros[VALOR],tabela_registros[MÊS],$AE$1,tabela_registros[DIA],abrtotal305971[[#Headers],[7]],tabela_registros[REGISTRO],DADOS!$N$4,tabela_registros[TIPO],DADOS!$P$4,tabela_registros[CATEGORIA],despesavariávelconsolidadoabr[[#This Row],[DESPESA VARIÁVEL]])</f>
        <v>0</v>
      </c>
      <c r="L66" s="91">
        <f>SUMIFS(tabela_registros[VALOR],tabela_registros[MÊS],$AE$1,tabela_registros[DIA],abrtotal305971[[#Headers],[8]],tabela_registros[REGISTRO],DADOS!$N$4,tabela_registros[TIPO],DADOS!$P$4,tabela_registros[CATEGORIA],despesavariávelconsolidadoabr[[#This Row],[DESPESA VARIÁVEL]])</f>
        <v>0</v>
      </c>
      <c r="M66" s="91">
        <f>SUMIFS(tabela_registros[VALOR],tabela_registros[MÊS],$AE$1,tabela_registros[DIA],abrtotal305971[[#Headers],[9]],tabela_registros[REGISTRO],DADOS!$N$4,tabela_registros[TIPO],DADOS!$P$4,tabela_registros[CATEGORIA],despesavariávelconsolidadoabr[[#This Row],[DESPESA VARIÁVEL]])</f>
        <v>0</v>
      </c>
      <c r="N66" s="91">
        <f>SUMIFS(tabela_registros[VALOR],tabela_registros[MÊS],$AE$1,tabela_registros[DIA],abrtotal305971[[#Headers],[10]],tabela_registros[REGISTRO],DADOS!$N$4,tabela_registros[TIPO],DADOS!$P$4,tabela_registros[CATEGORIA],despesavariávelconsolidadoabr[[#This Row],[DESPESA VARIÁVEL]])</f>
        <v>0</v>
      </c>
      <c r="O66" s="91">
        <f>SUMIFS(tabela_registros[VALOR],tabela_registros[MÊS],$AE$1,tabela_registros[DIA],abrtotal305971[[#Headers],[11]],tabela_registros[REGISTRO],DADOS!$N$4,tabela_registros[TIPO],DADOS!$P$4,tabela_registros[CATEGORIA],despesavariávelconsolidadoabr[[#This Row],[DESPESA VARIÁVEL]])</f>
        <v>0</v>
      </c>
      <c r="P66" s="91">
        <f>SUMIFS(tabela_registros[VALOR],tabela_registros[MÊS],$AE$1,tabela_registros[DIA],abrtotal305971[[#Headers],[12]],tabela_registros[REGISTRO],DADOS!$N$4,tabela_registros[TIPO],DADOS!$P$4,tabela_registros[CATEGORIA],despesavariávelconsolidadoabr[[#This Row],[DESPESA VARIÁVEL]])</f>
        <v>0</v>
      </c>
      <c r="Q66" s="91">
        <f>SUMIFS(tabela_registros[VALOR],tabela_registros[MÊS],$AE$1,tabela_registros[DIA],abrtotal305971[[#Headers],[13]],tabela_registros[REGISTRO],DADOS!$N$4,tabela_registros[TIPO],DADOS!$P$4,tabela_registros[CATEGORIA],despesavariávelconsolidadoabr[[#This Row],[DESPESA VARIÁVEL]])</f>
        <v>0</v>
      </c>
      <c r="R66" s="91">
        <f>SUMIFS(tabela_registros[VALOR],tabela_registros[MÊS],$AE$1,tabela_registros[DIA],abrtotal305971[[#Headers],[14]],tabela_registros[REGISTRO],DADOS!$N$4,tabela_registros[TIPO],DADOS!$P$4,tabela_registros[CATEGORIA],despesavariávelconsolidadoabr[[#This Row],[DESPESA VARIÁVEL]])</f>
        <v>0</v>
      </c>
      <c r="S66" s="91">
        <f>SUMIFS(tabela_registros[VALOR],tabela_registros[MÊS],$AE$1,tabela_registros[DIA],abrtotal305971[[#Headers],[15]],tabela_registros[REGISTRO],DADOS!$N$4,tabela_registros[TIPO],DADOS!$P$4,tabela_registros[CATEGORIA],despesavariávelconsolidadoabr[[#This Row],[DESPESA VARIÁVEL]])</f>
        <v>0</v>
      </c>
      <c r="T66" s="91">
        <f>SUMIFS(tabela_registros[VALOR],tabela_registros[MÊS],$AE$1,tabela_registros[DIA],abrtotal305971[[#Headers],[16]],tabela_registros[REGISTRO],DADOS!$N$4,tabela_registros[TIPO],DADOS!$P$4,tabela_registros[CATEGORIA],despesavariávelconsolidadoabr[[#This Row],[DESPESA VARIÁVEL]])</f>
        <v>0</v>
      </c>
      <c r="U66" s="91">
        <f>SUMIFS(tabela_registros[VALOR],tabela_registros[MÊS],$AE$1,tabela_registros[DIA],abrtotal305971[[#Headers],[17]],tabela_registros[REGISTRO],DADOS!$N$4,tabela_registros[TIPO],DADOS!$P$4,tabela_registros[CATEGORIA],despesavariávelconsolidadoabr[[#This Row],[DESPESA VARIÁVEL]])</f>
        <v>0</v>
      </c>
      <c r="V66" s="91">
        <f>SUMIFS(tabela_registros[VALOR],tabela_registros[MÊS],$AE$1,tabela_registros[DIA],abrtotal305971[[#Headers],[18]],tabela_registros[REGISTRO],DADOS!$N$4,tabela_registros[TIPO],DADOS!$P$4,tabela_registros[CATEGORIA],despesavariávelconsolidadoabr[[#This Row],[DESPESA VARIÁVEL]])</f>
        <v>0</v>
      </c>
      <c r="W66" s="91">
        <f>SUMIFS(tabela_registros[VALOR],tabela_registros[MÊS],$AE$1,tabela_registros[DIA],abrtotal305971[[#Headers],[19]],tabela_registros[REGISTRO],DADOS!$N$4,tabela_registros[TIPO],DADOS!$P$4,tabela_registros[CATEGORIA],despesavariávelconsolidadoabr[[#This Row],[DESPESA VARIÁVEL]])</f>
        <v>0</v>
      </c>
      <c r="X66" s="91">
        <f>SUMIFS(tabela_registros[VALOR],tabela_registros[MÊS],$AE$1,tabela_registros[DIA],abrtotal305971[[#Headers],[20]],tabela_registros[REGISTRO],DADOS!$N$4,tabela_registros[TIPO],DADOS!$P$4,tabela_registros[CATEGORIA],despesavariávelconsolidadoabr[[#This Row],[DESPESA VARIÁVEL]])</f>
        <v>0</v>
      </c>
      <c r="Y66" s="91">
        <f>SUMIFS(tabela_registros[VALOR],tabela_registros[MÊS],$AE$1,tabela_registros[DIA],abrtotal305971[[#Headers],[21]],tabela_registros[REGISTRO],DADOS!$N$4,tabela_registros[TIPO],DADOS!$P$4,tabela_registros[CATEGORIA],despesavariávelconsolidadoabr[[#This Row],[DESPESA VARIÁVEL]])</f>
        <v>0</v>
      </c>
      <c r="Z66" s="91">
        <f>SUMIFS(tabela_registros[VALOR],tabela_registros[MÊS],$AE$1,tabela_registros[DIA],abrtotal305971[[#Headers],[22]],tabela_registros[REGISTRO],DADOS!$N$4,tabela_registros[TIPO],DADOS!$P$4,tabela_registros[CATEGORIA],despesavariávelconsolidadoabr[[#This Row],[DESPESA VARIÁVEL]])</f>
        <v>0</v>
      </c>
      <c r="AA66" s="91">
        <f>SUMIFS(tabela_registros[VALOR],tabela_registros[MÊS],$AE$1,tabela_registros[DIA],abrtotal305971[[#Headers],[23]],tabela_registros[REGISTRO],DADOS!$N$4,tabela_registros[TIPO],DADOS!$P$4,tabela_registros[CATEGORIA],despesavariávelconsolidadoabr[[#This Row],[DESPESA VARIÁVEL]])</f>
        <v>0</v>
      </c>
      <c r="AB66" s="91">
        <f>SUMIFS(tabela_registros[VALOR],tabela_registros[MÊS],$AE$1,tabela_registros[DIA],abrtotal305971[[#Headers],[24]],tabela_registros[REGISTRO],DADOS!$N$4,tabela_registros[TIPO],DADOS!$P$4,tabela_registros[CATEGORIA],despesavariávelconsolidadoabr[[#This Row],[DESPESA VARIÁVEL]])</f>
        <v>0</v>
      </c>
      <c r="AC66" s="91">
        <f>SUMIFS(tabela_registros[VALOR],tabela_registros[MÊS],$AE$1,tabela_registros[DIA],abrtotal305971[[#Headers],[25]],tabela_registros[REGISTRO],DADOS!$N$4,tabela_registros[TIPO],DADOS!$P$4,tabela_registros[CATEGORIA],despesavariávelconsolidadoabr[[#This Row],[DESPESA VARIÁVEL]])</f>
        <v>0</v>
      </c>
      <c r="AD66" s="91">
        <f>SUMIFS(tabela_registros[VALOR],tabela_registros[MÊS],$AE$1,tabela_registros[DIA],abrtotal305971[[#Headers],[26]],tabela_registros[REGISTRO],DADOS!$N$4,tabela_registros[TIPO],DADOS!$P$4,tabela_registros[CATEGORIA],despesavariávelconsolidadoabr[[#This Row],[DESPESA VARIÁVEL]])</f>
        <v>0</v>
      </c>
      <c r="AE66" s="91">
        <f>SUMIFS(tabela_registros[VALOR],tabela_registros[MÊS],$AE$1,tabela_registros[DIA],abrtotal305971[[#Headers],[27]],tabela_registros[REGISTRO],DADOS!$N$4,tabela_registros[TIPO],DADOS!$P$4,tabela_registros[CATEGORIA],despesavariávelconsolidadoabr[[#This Row],[DESPESA VARIÁVEL]])</f>
        <v>0</v>
      </c>
      <c r="AF66" s="91">
        <f>SUMIFS(tabela_registros[VALOR],tabela_registros[MÊS],$AE$1,tabela_registros[DIA],abrtotal305971[[#Headers],[28]],tabela_registros[REGISTRO],DADOS!$N$4,tabela_registros[TIPO],DADOS!$P$4,tabela_registros[CATEGORIA],despesavariávelconsolidadoabr[[#This Row],[DESPESA VARIÁVEL]])</f>
        <v>0</v>
      </c>
      <c r="AG66" s="91">
        <f>SUMIFS(tabela_registros[VALOR],tabela_registros[MÊS],$AE$1,tabela_registros[DIA],abrtotal305971[[#Headers],[29]],tabela_registros[REGISTRO],DADOS!$N$4,tabela_registros[TIPO],DADOS!$P$4,tabela_registros[CATEGORIA],despesavariávelconsolidadoabr[[#This Row],[DESPESA VARIÁVEL]])</f>
        <v>0</v>
      </c>
      <c r="AH66" s="91">
        <f>SUMIFS(tabela_registros[VALOR],tabela_registros[MÊS],$AE$1,tabela_registros[DIA],abrtotal305971[[#Headers],[30]],tabela_registros[REGISTRO],DADOS!$N$4,tabela_registros[TIPO],DADOS!$P$4,tabela_registros[CATEGORIA],despesavariávelconsolidadoabr[[#This Row],[DESPESA VARIÁVEL]])</f>
        <v>0</v>
      </c>
      <c r="AI66" s="101">
        <f>SUMIFS(tabela_registros[VALOR],tabela_registros[MÊS],$AE$1,tabela_registros[DIA],abrtotal305971[[#Headers],[31]],tabela_registros[REGISTRO],DADOS!$N$4,tabela_registros[TIPO],DADOS!$P$4,tabela_registros[CATEGORIA],despesavariávelconsolidadoabr[[#This Row],[DESPESA VARIÁVEL]])</f>
        <v>0</v>
      </c>
      <c r="AJ66" s="97">
        <f>SUM(despesavariávelconsolidadoabr[[#This Row],[1]:[31]])</f>
        <v>0</v>
      </c>
      <c r="AK66" s="28"/>
    </row>
    <row r="67" spans="2:37" ht="18" customHeight="1" thickTop="1" thickBot="1" x14ac:dyDescent="0.3">
      <c r="B67" s="28"/>
      <c r="C67" s="27" t="str">
        <f>DADOS!$T$10</f>
        <v>🛒 MERCADO</v>
      </c>
      <c r="D67" s="26" t="str">
        <f>IF(despesavariávelconsolidadoabr[[#This Row],[TOTAL]]=0,"",IF(OR(despesavariávelconsolidadoabr[[#This Row],[TOTAL]]=LARGE($AJ$60:$AJ$72,1),despesavariávelconsolidadoabr[[#This Row],[TOTAL]]=LARGE($AJ$60:$AJ$72,2),despesavariávelconsolidadoabr[[#This Row],[TOTAL]]=LARGE($AJ$60:$AJ$72,3),despesavariávelconsolidadoabr[[#This Row],[TOTAL]]=LARGE($AJ$60:$AJ$72,4),despesavariávelconsolidadoabr[[#This Row],[TOTAL]]=LARGE($AJ$60:$AJ$72,5)),DADOS!$I$8,""))</f>
        <v/>
      </c>
      <c r="E67" s="96">
        <f>SUMIFS(tabela_registros[VALOR],tabela_registros[MÊS],$AE$1,tabela_registros[DIA],abrtotal305971[[#Headers],[1]],tabela_registros[REGISTRO],DADOS!$N$4,tabela_registros[TIPO],DADOS!$P$4,tabela_registros[CATEGORIA],despesavariávelconsolidadoabr[[#This Row],[DESPESA VARIÁVEL]])</f>
        <v>0</v>
      </c>
      <c r="F67" s="91">
        <f>SUMIFS(tabela_registros[VALOR],tabela_registros[MÊS],$AE$1,tabela_registros[DIA],abrtotal305971[[#Headers],[2]],tabela_registros[REGISTRO],DADOS!$N$4,tabela_registros[TIPO],DADOS!$P$4,tabela_registros[CATEGORIA],despesavariávelconsolidadoabr[[#This Row],[DESPESA VARIÁVEL]])</f>
        <v>0</v>
      </c>
      <c r="G67" s="91">
        <f>SUMIFS(tabela_registros[VALOR],tabela_registros[MÊS],$AE$1,tabela_registros[DIA],abrtotal305971[[#Headers],[3]],tabela_registros[REGISTRO],DADOS!$N$4,tabela_registros[TIPO],DADOS!$P$4,tabela_registros[CATEGORIA],despesavariávelconsolidadoabr[[#This Row],[DESPESA VARIÁVEL]])</f>
        <v>0</v>
      </c>
      <c r="H67" s="91">
        <f>SUMIFS(tabela_registros[VALOR],tabela_registros[MÊS],$AE$1,tabela_registros[DIA],abrtotal305971[[#Headers],[4]],tabela_registros[REGISTRO],DADOS!$N$4,tabela_registros[TIPO],DADOS!$P$4,tabela_registros[CATEGORIA],despesavariávelconsolidadoabr[[#This Row],[DESPESA VARIÁVEL]])</f>
        <v>0</v>
      </c>
      <c r="I67" s="91">
        <f>SUMIFS(tabela_registros[VALOR],tabela_registros[MÊS],$AE$1,tabela_registros[DIA],abrtotal305971[[#Headers],[5]],tabela_registros[REGISTRO],DADOS!$N$4,tabela_registros[TIPO],DADOS!$P$4,tabela_registros[CATEGORIA],despesavariávelconsolidadoabr[[#This Row],[DESPESA VARIÁVEL]])</f>
        <v>0</v>
      </c>
      <c r="J67" s="91">
        <f>SUMIFS(tabela_registros[VALOR],tabela_registros[MÊS],$AE$1,tabela_registros[DIA],abrtotal305971[[#Headers],[6]],tabela_registros[REGISTRO],DADOS!$N$4,tabela_registros[TIPO],DADOS!$P$4,tabela_registros[CATEGORIA],despesavariávelconsolidadoabr[[#This Row],[DESPESA VARIÁVEL]])</f>
        <v>0</v>
      </c>
      <c r="K67" s="91">
        <f>SUMIFS(tabela_registros[VALOR],tabela_registros[MÊS],$AE$1,tabela_registros[DIA],abrtotal305971[[#Headers],[7]],tabela_registros[REGISTRO],DADOS!$N$4,tabela_registros[TIPO],DADOS!$P$4,tabela_registros[CATEGORIA],despesavariávelconsolidadoabr[[#This Row],[DESPESA VARIÁVEL]])</f>
        <v>0</v>
      </c>
      <c r="L67" s="91">
        <f>SUMIFS(tabela_registros[VALOR],tabela_registros[MÊS],$AE$1,tabela_registros[DIA],abrtotal305971[[#Headers],[8]],tabela_registros[REGISTRO],DADOS!$N$4,tabela_registros[TIPO],DADOS!$P$4,tabela_registros[CATEGORIA],despesavariávelconsolidadoabr[[#This Row],[DESPESA VARIÁVEL]])</f>
        <v>0</v>
      </c>
      <c r="M67" s="91">
        <f>SUMIFS(tabela_registros[VALOR],tabela_registros[MÊS],$AE$1,tabela_registros[DIA],abrtotal305971[[#Headers],[9]],tabela_registros[REGISTRO],DADOS!$N$4,tabela_registros[TIPO],DADOS!$P$4,tabela_registros[CATEGORIA],despesavariávelconsolidadoabr[[#This Row],[DESPESA VARIÁVEL]])</f>
        <v>0</v>
      </c>
      <c r="N67" s="91">
        <f>SUMIFS(tabela_registros[VALOR],tabela_registros[MÊS],$AE$1,tabela_registros[DIA],abrtotal305971[[#Headers],[10]],tabela_registros[REGISTRO],DADOS!$N$4,tabela_registros[TIPO],DADOS!$P$4,tabela_registros[CATEGORIA],despesavariávelconsolidadoabr[[#This Row],[DESPESA VARIÁVEL]])</f>
        <v>0</v>
      </c>
      <c r="O67" s="91">
        <f>SUMIFS(tabela_registros[VALOR],tabela_registros[MÊS],$AE$1,tabela_registros[DIA],abrtotal305971[[#Headers],[11]],tabela_registros[REGISTRO],DADOS!$N$4,tabela_registros[TIPO],DADOS!$P$4,tabela_registros[CATEGORIA],despesavariávelconsolidadoabr[[#This Row],[DESPESA VARIÁVEL]])</f>
        <v>0</v>
      </c>
      <c r="P67" s="91">
        <f>SUMIFS(tabela_registros[VALOR],tabela_registros[MÊS],$AE$1,tabela_registros[DIA],abrtotal305971[[#Headers],[12]],tabela_registros[REGISTRO],DADOS!$N$4,tabela_registros[TIPO],DADOS!$P$4,tabela_registros[CATEGORIA],despesavariávelconsolidadoabr[[#This Row],[DESPESA VARIÁVEL]])</f>
        <v>0</v>
      </c>
      <c r="Q67" s="91">
        <f>SUMIFS(tabela_registros[VALOR],tabela_registros[MÊS],$AE$1,tabela_registros[DIA],abrtotal305971[[#Headers],[13]],tabela_registros[REGISTRO],DADOS!$N$4,tabela_registros[TIPO],DADOS!$P$4,tabela_registros[CATEGORIA],despesavariávelconsolidadoabr[[#This Row],[DESPESA VARIÁVEL]])</f>
        <v>0</v>
      </c>
      <c r="R67" s="91">
        <f>SUMIFS(tabela_registros[VALOR],tabela_registros[MÊS],$AE$1,tabela_registros[DIA],abrtotal305971[[#Headers],[14]],tabela_registros[REGISTRO],DADOS!$N$4,tabela_registros[TIPO],DADOS!$P$4,tabela_registros[CATEGORIA],despesavariávelconsolidadoabr[[#This Row],[DESPESA VARIÁVEL]])</f>
        <v>0</v>
      </c>
      <c r="S67" s="91">
        <f>SUMIFS(tabela_registros[VALOR],tabela_registros[MÊS],$AE$1,tabela_registros[DIA],abrtotal305971[[#Headers],[15]],tabela_registros[REGISTRO],DADOS!$N$4,tabela_registros[TIPO],DADOS!$P$4,tabela_registros[CATEGORIA],despesavariávelconsolidadoabr[[#This Row],[DESPESA VARIÁVEL]])</f>
        <v>0</v>
      </c>
      <c r="T67" s="91">
        <f>SUMIFS(tabela_registros[VALOR],tabela_registros[MÊS],$AE$1,tabela_registros[DIA],abrtotal305971[[#Headers],[16]],tabela_registros[REGISTRO],DADOS!$N$4,tabela_registros[TIPO],DADOS!$P$4,tabela_registros[CATEGORIA],despesavariávelconsolidadoabr[[#This Row],[DESPESA VARIÁVEL]])</f>
        <v>0</v>
      </c>
      <c r="U67" s="91">
        <f>SUMIFS(tabela_registros[VALOR],tabela_registros[MÊS],$AE$1,tabela_registros[DIA],abrtotal305971[[#Headers],[17]],tabela_registros[REGISTRO],DADOS!$N$4,tabela_registros[TIPO],DADOS!$P$4,tabela_registros[CATEGORIA],despesavariávelconsolidadoabr[[#This Row],[DESPESA VARIÁVEL]])</f>
        <v>0</v>
      </c>
      <c r="V67" s="91">
        <f>SUMIFS(tabela_registros[VALOR],tabela_registros[MÊS],$AE$1,tabela_registros[DIA],abrtotal305971[[#Headers],[18]],tabela_registros[REGISTRO],DADOS!$N$4,tabela_registros[TIPO],DADOS!$P$4,tabela_registros[CATEGORIA],despesavariávelconsolidadoabr[[#This Row],[DESPESA VARIÁVEL]])</f>
        <v>0</v>
      </c>
      <c r="W67" s="91">
        <f>SUMIFS(tabela_registros[VALOR],tabela_registros[MÊS],$AE$1,tabela_registros[DIA],abrtotal305971[[#Headers],[19]],tabela_registros[REGISTRO],DADOS!$N$4,tabela_registros[TIPO],DADOS!$P$4,tabela_registros[CATEGORIA],despesavariávelconsolidadoabr[[#This Row],[DESPESA VARIÁVEL]])</f>
        <v>0</v>
      </c>
      <c r="X67" s="91">
        <f>SUMIFS(tabela_registros[VALOR],tabela_registros[MÊS],$AE$1,tabela_registros[DIA],abrtotal305971[[#Headers],[20]],tabela_registros[REGISTRO],DADOS!$N$4,tabela_registros[TIPO],DADOS!$P$4,tabela_registros[CATEGORIA],despesavariávelconsolidadoabr[[#This Row],[DESPESA VARIÁVEL]])</f>
        <v>0</v>
      </c>
      <c r="Y67" s="91">
        <f>SUMIFS(tabela_registros[VALOR],tabela_registros[MÊS],$AE$1,tabela_registros[DIA],abrtotal305971[[#Headers],[21]],tabela_registros[REGISTRO],DADOS!$N$4,tabela_registros[TIPO],DADOS!$P$4,tabela_registros[CATEGORIA],despesavariávelconsolidadoabr[[#This Row],[DESPESA VARIÁVEL]])</f>
        <v>0</v>
      </c>
      <c r="Z67" s="91">
        <f>SUMIFS(tabela_registros[VALOR],tabela_registros[MÊS],$AE$1,tabela_registros[DIA],abrtotal305971[[#Headers],[22]],tabela_registros[REGISTRO],DADOS!$N$4,tabela_registros[TIPO],DADOS!$P$4,tabela_registros[CATEGORIA],despesavariávelconsolidadoabr[[#This Row],[DESPESA VARIÁVEL]])</f>
        <v>0</v>
      </c>
      <c r="AA67" s="91">
        <f>SUMIFS(tabela_registros[VALOR],tabela_registros[MÊS],$AE$1,tabela_registros[DIA],abrtotal305971[[#Headers],[23]],tabela_registros[REGISTRO],DADOS!$N$4,tabela_registros[TIPO],DADOS!$P$4,tabela_registros[CATEGORIA],despesavariávelconsolidadoabr[[#This Row],[DESPESA VARIÁVEL]])</f>
        <v>0</v>
      </c>
      <c r="AB67" s="91">
        <f>SUMIFS(tabela_registros[VALOR],tabela_registros[MÊS],$AE$1,tabela_registros[DIA],abrtotal305971[[#Headers],[24]],tabela_registros[REGISTRO],DADOS!$N$4,tabela_registros[TIPO],DADOS!$P$4,tabela_registros[CATEGORIA],despesavariávelconsolidadoabr[[#This Row],[DESPESA VARIÁVEL]])</f>
        <v>0</v>
      </c>
      <c r="AC67" s="91">
        <f>SUMIFS(tabela_registros[VALOR],tabela_registros[MÊS],$AE$1,tabela_registros[DIA],abrtotal305971[[#Headers],[25]],tabela_registros[REGISTRO],DADOS!$N$4,tabela_registros[TIPO],DADOS!$P$4,tabela_registros[CATEGORIA],despesavariávelconsolidadoabr[[#This Row],[DESPESA VARIÁVEL]])</f>
        <v>0</v>
      </c>
      <c r="AD67" s="91">
        <f>SUMIFS(tabela_registros[VALOR],tabela_registros[MÊS],$AE$1,tabela_registros[DIA],abrtotal305971[[#Headers],[26]],tabela_registros[REGISTRO],DADOS!$N$4,tabela_registros[TIPO],DADOS!$P$4,tabela_registros[CATEGORIA],despesavariávelconsolidadoabr[[#This Row],[DESPESA VARIÁVEL]])</f>
        <v>0</v>
      </c>
      <c r="AE67" s="91">
        <f>SUMIFS(tabela_registros[VALOR],tabela_registros[MÊS],$AE$1,tabela_registros[DIA],abrtotal305971[[#Headers],[27]],tabela_registros[REGISTRO],DADOS!$N$4,tabela_registros[TIPO],DADOS!$P$4,tabela_registros[CATEGORIA],despesavariávelconsolidadoabr[[#This Row],[DESPESA VARIÁVEL]])</f>
        <v>0</v>
      </c>
      <c r="AF67" s="91">
        <f>SUMIFS(tabela_registros[VALOR],tabela_registros[MÊS],$AE$1,tabela_registros[DIA],abrtotal305971[[#Headers],[28]],tabela_registros[REGISTRO],DADOS!$N$4,tabela_registros[TIPO],DADOS!$P$4,tabela_registros[CATEGORIA],despesavariávelconsolidadoabr[[#This Row],[DESPESA VARIÁVEL]])</f>
        <v>0</v>
      </c>
      <c r="AG67" s="91">
        <f>SUMIFS(tabela_registros[VALOR],tabela_registros[MÊS],$AE$1,tabela_registros[DIA],abrtotal305971[[#Headers],[29]],tabela_registros[REGISTRO],DADOS!$N$4,tabela_registros[TIPO],DADOS!$P$4,tabela_registros[CATEGORIA],despesavariávelconsolidadoabr[[#This Row],[DESPESA VARIÁVEL]])</f>
        <v>0</v>
      </c>
      <c r="AH67" s="91">
        <f>SUMIFS(tabela_registros[VALOR],tabela_registros[MÊS],$AE$1,tabela_registros[DIA],abrtotal305971[[#Headers],[30]],tabela_registros[REGISTRO],DADOS!$N$4,tabela_registros[TIPO],DADOS!$P$4,tabela_registros[CATEGORIA],despesavariávelconsolidadoabr[[#This Row],[DESPESA VARIÁVEL]])</f>
        <v>0</v>
      </c>
      <c r="AI67" s="101">
        <f>SUMIFS(tabela_registros[VALOR],tabela_registros[MÊS],$AE$1,tabela_registros[DIA],abrtotal305971[[#Headers],[31]],tabela_registros[REGISTRO],DADOS!$N$4,tabela_registros[TIPO],DADOS!$P$4,tabela_registros[CATEGORIA],despesavariávelconsolidadoabr[[#This Row],[DESPESA VARIÁVEL]])</f>
        <v>0</v>
      </c>
      <c r="AJ67" s="97">
        <f>SUM(despesavariávelconsolidadoabr[[#This Row],[1]:[31]])</f>
        <v>0</v>
      </c>
      <c r="AK67" s="28"/>
    </row>
    <row r="68" spans="2:37" ht="18" customHeight="1" thickTop="1" thickBot="1" x14ac:dyDescent="0.3">
      <c r="B68" s="28"/>
      <c r="C68" s="27" t="str">
        <f>DADOS!$T$11</f>
        <v>🎁 PRESENTES</v>
      </c>
      <c r="D68" s="26" t="str">
        <f>IF(despesavariávelconsolidadoabr[[#This Row],[TOTAL]]=0,"",IF(OR(despesavariávelconsolidadoabr[[#This Row],[TOTAL]]=LARGE($AJ$60:$AJ$72,1),despesavariávelconsolidadoabr[[#This Row],[TOTAL]]=LARGE($AJ$60:$AJ$72,2),despesavariávelconsolidadoabr[[#This Row],[TOTAL]]=LARGE($AJ$60:$AJ$72,3),despesavariávelconsolidadoabr[[#This Row],[TOTAL]]=LARGE($AJ$60:$AJ$72,4),despesavariávelconsolidadoabr[[#This Row],[TOTAL]]=LARGE($AJ$60:$AJ$72,5)),DADOS!$I$8,""))</f>
        <v/>
      </c>
      <c r="E68" s="96">
        <f>SUMIFS(tabela_registros[VALOR],tabela_registros[MÊS],$AE$1,tabela_registros[DIA],abrtotal305971[[#Headers],[1]],tabela_registros[REGISTRO],DADOS!$N$4,tabela_registros[TIPO],DADOS!$P$4,tabela_registros[CATEGORIA],despesavariávelconsolidadoabr[[#This Row],[DESPESA VARIÁVEL]])</f>
        <v>0</v>
      </c>
      <c r="F68" s="91">
        <f>SUMIFS(tabela_registros[VALOR],tabela_registros[MÊS],$AE$1,tabela_registros[DIA],abrtotal305971[[#Headers],[2]],tabela_registros[REGISTRO],DADOS!$N$4,tabela_registros[TIPO],DADOS!$P$4,tabela_registros[CATEGORIA],despesavariávelconsolidadoabr[[#This Row],[DESPESA VARIÁVEL]])</f>
        <v>0</v>
      </c>
      <c r="G68" s="91">
        <f>SUMIFS(tabela_registros[VALOR],tabela_registros[MÊS],$AE$1,tabela_registros[DIA],abrtotal305971[[#Headers],[3]],tabela_registros[REGISTRO],DADOS!$N$4,tabela_registros[TIPO],DADOS!$P$4,tabela_registros[CATEGORIA],despesavariávelconsolidadoabr[[#This Row],[DESPESA VARIÁVEL]])</f>
        <v>0</v>
      </c>
      <c r="H68" s="91">
        <f>SUMIFS(tabela_registros[VALOR],tabela_registros[MÊS],$AE$1,tabela_registros[DIA],abrtotal305971[[#Headers],[4]],tabela_registros[REGISTRO],DADOS!$N$4,tabela_registros[TIPO],DADOS!$P$4,tabela_registros[CATEGORIA],despesavariávelconsolidadoabr[[#This Row],[DESPESA VARIÁVEL]])</f>
        <v>0</v>
      </c>
      <c r="I68" s="91">
        <f>SUMIFS(tabela_registros[VALOR],tabela_registros[MÊS],$AE$1,tabela_registros[DIA],abrtotal305971[[#Headers],[5]],tabela_registros[REGISTRO],DADOS!$N$4,tabela_registros[TIPO],DADOS!$P$4,tabela_registros[CATEGORIA],despesavariávelconsolidadoabr[[#This Row],[DESPESA VARIÁVEL]])</f>
        <v>0</v>
      </c>
      <c r="J68" s="91">
        <f>SUMIFS(tabela_registros[VALOR],tabela_registros[MÊS],$AE$1,tabela_registros[DIA],abrtotal305971[[#Headers],[6]],tabela_registros[REGISTRO],DADOS!$N$4,tabela_registros[TIPO],DADOS!$P$4,tabela_registros[CATEGORIA],despesavariávelconsolidadoabr[[#This Row],[DESPESA VARIÁVEL]])</f>
        <v>0</v>
      </c>
      <c r="K68" s="91">
        <f>SUMIFS(tabela_registros[VALOR],tabela_registros[MÊS],$AE$1,tabela_registros[DIA],abrtotal305971[[#Headers],[7]],tabela_registros[REGISTRO],DADOS!$N$4,tabela_registros[TIPO],DADOS!$P$4,tabela_registros[CATEGORIA],despesavariávelconsolidadoabr[[#This Row],[DESPESA VARIÁVEL]])</f>
        <v>0</v>
      </c>
      <c r="L68" s="91">
        <f>SUMIFS(tabela_registros[VALOR],tabela_registros[MÊS],$AE$1,tabela_registros[DIA],abrtotal305971[[#Headers],[8]],tabela_registros[REGISTRO],DADOS!$N$4,tabela_registros[TIPO],DADOS!$P$4,tabela_registros[CATEGORIA],despesavariávelconsolidadoabr[[#This Row],[DESPESA VARIÁVEL]])</f>
        <v>0</v>
      </c>
      <c r="M68" s="91">
        <f>SUMIFS(tabela_registros[VALOR],tabela_registros[MÊS],$AE$1,tabela_registros[DIA],abrtotal305971[[#Headers],[9]],tabela_registros[REGISTRO],DADOS!$N$4,tabela_registros[TIPO],DADOS!$P$4,tabela_registros[CATEGORIA],despesavariávelconsolidadoabr[[#This Row],[DESPESA VARIÁVEL]])</f>
        <v>0</v>
      </c>
      <c r="N68" s="91">
        <f>SUMIFS(tabela_registros[VALOR],tabela_registros[MÊS],$AE$1,tabela_registros[DIA],abrtotal305971[[#Headers],[10]],tabela_registros[REGISTRO],DADOS!$N$4,tabela_registros[TIPO],DADOS!$P$4,tabela_registros[CATEGORIA],despesavariávelconsolidadoabr[[#This Row],[DESPESA VARIÁVEL]])</f>
        <v>0</v>
      </c>
      <c r="O68" s="91">
        <f>SUMIFS(tabela_registros[VALOR],tabela_registros[MÊS],$AE$1,tabela_registros[DIA],abrtotal305971[[#Headers],[11]],tabela_registros[REGISTRO],DADOS!$N$4,tabela_registros[TIPO],DADOS!$P$4,tabela_registros[CATEGORIA],despesavariávelconsolidadoabr[[#This Row],[DESPESA VARIÁVEL]])</f>
        <v>0</v>
      </c>
      <c r="P68" s="91">
        <f>SUMIFS(tabela_registros[VALOR],tabela_registros[MÊS],$AE$1,tabela_registros[DIA],abrtotal305971[[#Headers],[12]],tabela_registros[REGISTRO],DADOS!$N$4,tabela_registros[TIPO],DADOS!$P$4,tabela_registros[CATEGORIA],despesavariávelconsolidadoabr[[#This Row],[DESPESA VARIÁVEL]])</f>
        <v>0</v>
      </c>
      <c r="Q68" s="91">
        <f>SUMIFS(tabela_registros[VALOR],tabela_registros[MÊS],$AE$1,tabela_registros[DIA],abrtotal305971[[#Headers],[13]],tabela_registros[REGISTRO],DADOS!$N$4,tabela_registros[TIPO],DADOS!$P$4,tabela_registros[CATEGORIA],despesavariávelconsolidadoabr[[#This Row],[DESPESA VARIÁVEL]])</f>
        <v>0</v>
      </c>
      <c r="R68" s="91">
        <f>SUMIFS(tabela_registros[VALOR],tabela_registros[MÊS],$AE$1,tabela_registros[DIA],abrtotal305971[[#Headers],[14]],tabela_registros[REGISTRO],DADOS!$N$4,tabela_registros[TIPO],DADOS!$P$4,tabela_registros[CATEGORIA],despesavariávelconsolidadoabr[[#This Row],[DESPESA VARIÁVEL]])</f>
        <v>0</v>
      </c>
      <c r="S68" s="91">
        <f>SUMIFS(tabela_registros[VALOR],tabela_registros[MÊS],$AE$1,tabela_registros[DIA],abrtotal305971[[#Headers],[15]],tabela_registros[REGISTRO],DADOS!$N$4,tabela_registros[TIPO],DADOS!$P$4,tabela_registros[CATEGORIA],despesavariávelconsolidadoabr[[#This Row],[DESPESA VARIÁVEL]])</f>
        <v>0</v>
      </c>
      <c r="T68" s="91">
        <f>SUMIFS(tabela_registros[VALOR],tabela_registros[MÊS],$AE$1,tabela_registros[DIA],abrtotal305971[[#Headers],[16]],tabela_registros[REGISTRO],DADOS!$N$4,tabela_registros[TIPO],DADOS!$P$4,tabela_registros[CATEGORIA],despesavariávelconsolidadoabr[[#This Row],[DESPESA VARIÁVEL]])</f>
        <v>0</v>
      </c>
      <c r="U68" s="91">
        <f>SUMIFS(tabela_registros[VALOR],tabela_registros[MÊS],$AE$1,tabela_registros[DIA],abrtotal305971[[#Headers],[17]],tabela_registros[REGISTRO],DADOS!$N$4,tabela_registros[TIPO],DADOS!$P$4,tabela_registros[CATEGORIA],despesavariávelconsolidadoabr[[#This Row],[DESPESA VARIÁVEL]])</f>
        <v>0</v>
      </c>
      <c r="V68" s="91">
        <f>SUMIFS(tabela_registros[VALOR],tabela_registros[MÊS],$AE$1,tabela_registros[DIA],abrtotal305971[[#Headers],[18]],tabela_registros[REGISTRO],DADOS!$N$4,tabela_registros[TIPO],DADOS!$P$4,tabela_registros[CATEGORIA],despesavariávelconsolidadoabr[[#This Row],[DESPESA VARIÁVEL]])</f>
        <v>0</v>
      </c>
      <c r="W68" s="91">
        <f>SUMIFS(tabela_registros[VALOR],tabela_registros[MÊS],$AE$1,tabela_registros[DIA],abrtotal305971[[#Headers],[19]],tabela_registros[REGISTRO],DADOS!$N$4,tabela_registros[TIPO],DADOS!$P$4,tabela_registros[CATEGORIA],despesavariávelconsolidadoabr[[#This Row],[DESPESA VARIÁVEL]])</f>
        <v>0</v>
      </c>
      <c r="X68" s="91">
        <f>SUMIFS(tabela_registros[VALOR],tabela_registros[MÊS],$AE$1,tabela_registros[DIA],abrtotal305971[[#Headers],[20]],tabela_registros[REGISTRO],DADOS!$N$4,tabela_registros[TIPO],DADOS!$P$4,tabela_registros[CATEGORIA],despesavariávelconsolidadoabr[[#This Row],[DESPESA VARIÁVEL]])</f>
        <v>0</v>
      </c>
      <c r="Y68" s="91">
        <f>SUMIFS(tabela_registros[VALOR],tabela_registros[MÊS],$AE$1,tabela_registros[DIA],abrtotal305971[[#Headers],[21]],tabela_registros[REGISTRO],DADOS!$N$4,tabela_registros[TIPO],DADOS!$P$4,tabela_registros[CATEGORIA],despesavariávelconsolidadoabr[[#This Row],[DESPESA VARIÁVEL]])</f>
        <v>0</v>
      </c>
      <c r="Z68" s="91">
        <f>SUMIFS(tabela_registros[VALOR],tabela_registros[MÊS],$AE$1,tabela_registros[DIA],abrtotal305971[[#Headers],[22]],tabela_registros[REGISTRO],DADOS!$N$4,tabela_registros[TIPO],DADOS!$P$4,tabela_registros[CATEGORIA],despesavariávelconsolidadoabr[[#This Row],[DESPESA VARIÁVEL]])</f>
        <v>0</v>
      </c>
      <c r="AA68" s="91">
        <f>SUMIFS(tabela_registros[VALOR],tabela_registros[MÊS],$AE$1,tabela_registros[DIA],abrtotal305971[[#Headers],[23]],tabela_registros[REGISTRO],DADOS!$N$4,tabela_registros[TIPO],DADOS!$P$4,tabela_registros[CATEGORIA],despesavariávelconsolidadoabr[[#This Row],[DESPESA VARIÁVEL]])</f>
        <v>0</v>
      </c>
      <c r="AB68" s="91">
        <f>SUMIFS(tabela_registros[VALOR],tabela_registros[MÊS],$AE$1,tabela_registros[DIA],abrtotal305971[[#Headers],[24]],tabela_registros[REGISTRO],DADOS!$N$4,tabela_registros[TIPO],DADOS!$P$4,tabela_registros[CATEGORIA],despesavariávelconsolidadoabr[[#This Row],[DESPESA VARIÁVEL]])</f>
        <v>0</v>
      </c>
      <c r="AC68" s="91">
        <f>SUMIFS(tabela_registros[VALOR],tabela_registros[MÊS],$AE$1,tabela_registros[DIA],abrtotal305971[[#Headers],[25]],tabela_registros[REGISTRO],DADOS!$N$4,tabela_registros[TIPO],DADOS!$P$4,tabela_registros[CATEGORIA],despesavariávelconsolidadoabr[[#This Row],[DESPESA VARIÁVEL]])</f>
        <v>0</v>
      </c>
      <c r="AD68" s="91">
        <f>SUMIFS(tabela_registros[VALOR],tabela_registros[MÊS],$AE$1,tabela_registros[DIA],abrtotal305971[[#Headers],[26]],tabela_registros[REGISTRO],DADOS!$N$4,tabela_registros[TIPO],DADOS!$P$4,tabela_registros[CATEGORIA],despesavariávelconsolidadoabr[[#This Row],[DESPESA VARIÁVEL]])</f>
        <v>0</v>
      </c>
      <c r="AE68" s="91">
        <f>SUMIFS(tabela_registros[VALOR],tabela_registros[MÊS],$AE$1,tabela_registros[DIA],abrtotal305971[[#Headers],[27]],tabela_registros[REGISTRO],DADOS!$N$4,tabela_registros[TIPO],DADOS!$P$4,tabela_registros[CATEGORIA],despesavariávelconsolidadoabr[[#This Row],[DESPESA VARIÁVEL]])</f>
        <v>0</v>
      </c>
      <c r="AF68" s="91">
        <f>SUMIFS(tabela_registros[VALOR],tabela_registros[MÊS],$AE$1,tabela_registros[DIA],abrtotal305971[[#Headers],[28]],tabela_registros[REGISTRO],DADOS!$N$4,tabela_registros[TIPO],DADOS!$P$4,tabela_registros[CATEGORIA],despesavariávelconsolidadoabr[[#This Row],[DESPESA VARIÁVEL]])</f>
        <v>0</v>
      </c>
      <c r="AG68" s="91">
        <f>SUMIFS(tabela_registros[VALOR],tabela_registros[MÊS],$AE$1,tabela_registros[DIA],abrtotal305971[[#Headers],[29]],tabela_registros[REGISTRO],DADOS!$N$4,tabela_registros[TIPO],DADOS!$P$4,tabela_registros[CATEGORIA],despesavariávelconsolidadoabr[[#This Row],[DESPESA VARIÁVEL]])</f>
        <v>0</v>
      </c>
      <c r="AH68" s="91">
        <f>SUMIFS(tabela_registros[VALOR],tabela_registros[MÊS],$AE$1,tabela_registros[DIA],abrtotal305971[[#Headers],[30]],tabela_registros[REGISTRO],DADOS!$N$4,tabela_registros[TIPO],DADOS!$P$4,tabela_registros[CATEGORIA],despesavariávelconsolidadoabr[[#This Row],[DESPESA VARIÁVEL]])</f>
        <v>0</v>
      </c>
      <c r="AI68" s="101">
        <f>SUMIFS(tabela_registros[VALOR],tabela_registros[MÊS],$AE$1,tabela_registros[DIA],abrtotal305971[[#Headers],[31]],tabela_registros[REGISTRO],DADOS!$N$4,tabela_registros[TIPO],DADOS!$P$4,tabela_registros[CATEGORIA],despesavariávelconsolidadoabr[[#This Row],[DESPESA VARIÁVEL]])</f>
        <v>0</v>
      </c>
      <c r="AJ68" s="97">
        <f>SUM(despesavariávelconsolidadoabr[[#This Row],[1]:[31]])</f>
        <v>0</v>
      </c>
      <c r="AK68" s="28"/>
    </row>
    <row r="69" spans="2:37" ht="18" customHeight="1" thickTop="1" thickBot="1" x14ac:dyDescent="0.3">
      <c r="B69" s="28"/>
      <c r="C69" s="27" t="str">
        <f>DADOS!$T$12</f>
        <v>💊 SAÚDE</v>
      </c>
      <c r="D69" s="26" t="str">
        <f>IF(despesavariávelconsolidadoabr[[#This Row],[TOTAL]]=0,"",IF(OR(despesavariávelconsolidadoabr[[#This Row],[TOTAL]]=LARGE($AJ$60:$AJ$72,1),despesavariávelconsolidadoabr[[#This Row],[TOTAL]]=LARGE($AJ$60:$AJ$72,2),despesavariávelconsolidadoabr[[#This Row],[TOTAL]]=LARGE($AJ$60:$AJ$72,3),despesavariávelconsolidadoabr[[#This Row],[TOTAL]]=LARGE($AJ$60:$AJ$72,4),despesavariávelconsolidadoabr[[#This Row],[TOTAL]]=LARGE($AJ$60:$AJ$72,5)),DADOS!$I$8,""))</f>
        <v/>
      </c>
      <c r="E69" s="96">
        <f>SUMIFS(tabela_registros[VALOR],tabela_registros[MÊS],$AE$1,tabela_registros[DIA],abrtotal305971[[#Headers],[1]],tabela_registros[REGISTRO],DADOS!$N$4,tabela_registros[TIPO],DADOS!$P$4,tabela_registros[CATEGORIA],despesavariávelconsolidadoabr[[#This Row],[DESPESA VARIÁVEL]])</f>
        <v>0</v>
      </c>
      <c r="F69" s="91">
        <f>SUMIFS(tabela_registros[VALOR],tabela_registros[MÊS],$AE$1,tabela_registros[DIA],abrtotal305971[[#Headers],[2]],tabela_registros[REGISTRO],DADOS!$N$4,tabela_registros[TIPO],DADOS!$P$4,tabela_registros[CATEGORIA],despesavariávelconsolidadoabr[[#This Row],[DESPESA VARIÁVEL]])</f>
        <v>0</v>
      </c>
      <c r="G69" s="91">
        <f>SUMIFS(tabela_registros[VALOR],tabela_registros[MÊS],$AE$1,tabela_registros[DIA],abrtotal305971[[#Headers],[3]],tabela_registros[REGISTRO],DADOS!$N$4,tabela_registros[TIPO],DADOS!$P$4,tabela_registros[CATEGORIA],despesavariávelconsolidadoabr[[#This Row],[DESPESA VARIÁVEL]])</f>
        <v>0</v>
      </c>
      <c r="H69" s="91">
        <f>SUMIFS(tabela_registros[VALOR],tabela_registros[MÊS],$AE$1,tabela_registros[DIA],abrtotal305971[[#Headers],[4]],tabela_registros[REGISTRO],DADOS!$N$4,tabela_registros[TIPO],DADOS!$P$4,tabela_registros[CATEGORIA],despesavariávelconsolidadoabr[[#This Row],[DESPESA VARIÁVEL]])</f>
        <v>0</v>
      </c>
      <c r="I69" s="91">
        <f>SUMIFS(tabela_registros[VALOR],tabela_registros[MÊS],$AE$1,tabela_registros[DIA],abrtotal305971[[#Headers],[5]],tabela_registros[REGISTRO],DADOS!$N$4,tabela_registros[TIPO],DADOS!$P$4,tabela_registros[CATEGORIA],despesavariávelconsolidadoabr[[#This Row],[DESPESA VARIÁVEL]])</f>
        <v>0</v>
      </c>
      <c r="J69" s="91">
        <f>SUMIFS(tabela_registros[VALOR],tabela_registros[MÊS],$AE$1,tabela_registros[DIA],abrtotal305971[[#Headers],[6]],tabela_registros[REGISTRO],DADOS!$N$4,tabela_registros[TIPO],DADOS!$P$4,tabela_registros[CATEGORIA],despesavariávelconsolidadoabr[[#This Row],[DESPESA VARIÁVEL]])</f>
        <v>0</v>
      </c>
      <c r="K69" s="91">
        <f>SUMIFS(tabela_registros[VALOR],tabela_registros[MÊS],$AE$1,tabela_registros[DIA],abrtotal305971[[#Headers],[7]],tabela_registros[REGISTRO],DADOS!$N$4,tabela_registros[TIPO],DADOS!$P$4,tabela_registros[CATEGORIA],despesavariávelconsolidadoabr[[#This Row],[DESPESA VARIÁVEL]])</f>
        <v>0</v>
      </c>
      <c r="L69" s="91">
        <f>SUMIFS(tabela_registros[VALOR],tabela_registros[MÊS],$AE$1,tabela_registros[DIA],abrtotal305971[[#Headers],[8]],tabela_registros[REGISTRO],DADOS!$N$4,tabela_registros[TIPO],DADOS!$P$4,tabela_registros[CATEGORIA],despesavariávelconsolidadoabr[[#This Row],[DESPESA VARIÁVEL]])</f>
        <v>0</v>
      </c>
      <c r="M69" s="91">
        <f>SUMIFS(tabela_registros[VALOR],tabela_registros[MÊS],$AE$1,tabela_registros[DIA],abrtotal305971[[#Headers],[9]],tabela_registros[REGISTRO],DADOS!$N$4,tabela_registros[TIPO],DADOS!$P$4,tabela_registros[CATEGORIA],despesavariávelconsolidadoabr[[#This Row],[DESPESA VARIÁVEL]])</f>
        <v>0</v>
      </c>
      <c r="N69" s="91">
        <f>SUMIFS(tabela_registros[VALOR],tabela_registros[MÊS],$AE$1,tabela_registros[DIA],abrtotal305971[[#Headers],[10]],tabela_registros[REGISTRO],DADOS!$N$4,tabela_registros[TIPO],DADOS!$P$4,tabela_registros[CATEGORIA],despesavariávelconsolidadoabr[[#This Row],[DESPESA VARIÁVEL]])</f>
        <v>0</v>
      </c>
      <c r="O69" s="91">
        <f>SUMIFS(tabela_registros[VALOR],tabela_registros[MÊS],$AE$1,tabela_registros[DIA],abrtotal305971[[#Headers],[11]],tabela_registros[REGISTRO],DADOS!$N$4,tabela_registros[TIPO],DADOS!$P$4,tabela_registros[CATEGORIA],despesavariávelconsolidadoabr[[#This Row],[DESPESA VARIÁVEL]])</f>
        <v>0</v>
      </c>
      <c r="P69" s="91">
        <f>SUMIFS(tabela_registros[VALOR],tabela_registros[MÊS],$AE$1,tabela_registros[DIA],abrtotal305971[[#Headers],[12]],tabela_registros[REGISTRO],DADOS!$N$4,tabela_registros[TIPO],DADOS!$P$4,tabela_registros[CATEGORIA],despesavariávelconsolidadoabr[[#This Row],[DESPESA VARIÁVEL]])</f>
        <v>0</v>
      </c>
      <c r="Q69" s="91">
        <f>SUMIFS(tabela_registros[VALOR],tabela_registros[MÊS],$AE$1,tabela_registros[DIA],abrtotal305971[[#Headers],[13]],tabela_registros[REGISTRO],DADOS!$N$4,tabela_registros[TIPO],DADOS!$P$4,tabela_registros[CATEGORIA],despesavariávelconsolidadoabr[[#This Row],[DESPESA VARIÁVEL]])</f>
        <v>0</v>
      </c>
      <c r="R69" s="91">
        <f>SUMIFS(tabela_registros[VALOR],tabela_registros[MÊS],$AE$1,tabela_registros[DIA],abrtotal305971[[#Headers],[14]],tabela_registros[REGISTRO],DADOS!$N$4,tabela_registros[TIPO],DADOS!$P$4,tabela_registros[CATEGORIA],despesavariávelconsolidadoabr[[#This Row],[DESPESA VARIÁVEL]])</f>
        <v>0</v>
      </c>
      <c r="S69" s="91">
        <f>SUMIFS(tabela_registros[VALOR],tabela_registros[MÊS],$AE$1,tabela_registros[DIA],abrtotal305971[[#Headers],[15]],tabela_registros[REGISTRO],DADOS!$N$4,tabela_registros[TIPO],DADOS!$P$4,tabela_registros[CATEGORIA],despesavariávelconsolidadoabr[[#This Row],[DESPESA VARIÁVEL]])</f>
        <v>0</v>
      </c>
      <c r="T69" s="91">
        <f>SUMIFS(tabela_registros[VALOR],tabela_registros[MÊS],$AE$1,tabela_registros[DIA],abrtotal305971[[#Headers],[16]],tabela_registros[REGISTRO],DADOS!$N$4,tabela_registros[TIPO],DADOS!$P$4,tabela_registros[CATEGORIA],despesavariávelconsolidadoabr[[#This Row],[DESPESA VARIÁVEL]])</f>
        <v>0</v>
      </c>
      <c r="U69" s="91">
        <f>SUMIFS(tabela_registros[VALOR],tabela_registros[MÊS],$AE$1,tabela_registros[DIA],abrtotal305971[[#Headers],[17]],tabela_registros[REGISTRO],DADOS!$N$4,tabela_registros[TIPO],DADOS!$P$4,tabela_registros[CATEGORIA],despesavariávelconsolidadoabr[[#This Row],[DESPESA VARIÁVEL]])</f>
        <v>0</v>
      </c>
      <c r="V69" s="91">
        <f>SUMIFS(tabela_registros[VALOR],tabela_registros[MÊS],$AE$1,tabela_registros[DIA],abrtotal305971[[#Headers],[18]],tabela_registros[REGISTRO],DADOS!$N$4,tabela_registros[TIPO],DADOS!$P$4,tabela_registros[CATEGORIA],despesavariávelconsolidadoabr[[#This Row],[DESPESA VARIÁVEL]])</f>
        <v>0</v>
      </c>
      <c r="W69" s="91">
        <f>SUMIFS(tabela_registros[VALOR],tabela_registros[MÊS],$AE$1,tabela_registros[DIA],abrtotal305971[[#Headers],[19]],tabela_registros[REGISTRO],DADOS!$N$4,tabela_registros[TIPO],DADOS!$P$4,tabela_registros[CATEGORIA],despesavariávelconsolidadoabr[[#This Row],[DESPESA VARIÁVEL]])</f>
        <v>0</v>
      </c>
      <c r="X69" s="91">
        <f>SUMIFS(tabela_registros[VALOR],tabela_registros[MÊS],$AE$1,tabela_registros[DIA],abrtotal305971[[#Headers],[20]],tabela_registros[REGISTRO],DADOS!$N$4,tabela_registros[TIPO],DADOS!$P$4,tabela_registros[CATEGORIA],despesavariávelconsolidadoabr[[#This Row],[DESPESA VARIÁVEL]])</f>
        <v>0</v>
      </c>
      <c r="Y69" s="91">
        <f>SUMIFS(tabela_registros[VALOR],tabela_registros[MÊS],$AE$1,tabela_registros[DIA],abrtotal305971[[#Headers],[21]],tabela_registros[REGISTRO],DADOS!$N$4,tabela_registros[TIPO],DADOS!$P$4,tabela_registros[CATEGORIA],despesavariávelconsolidadoabr[[#This Row],[DESPESA VARIÁVEL]])</f>
        <v>0</v>
      </c>
      <c r="Z69" s="91">
        <f>SUMIFS(tabela_registros[VALOR],tabela_registros[MÊS],$AE$1,tabela_registros[DIA],abrtotal305971[[#Headers],[22]],tabela_registros[REGISTRO],DADOS!$N$4,tabela_registros[TIPO],DADOS!$P$4,tabela_registros[CATEGORIA],despesavariávelconsolidadoabr[[#This Row],[DESPESA VARIÁVEL]])</f>
        <v>0</v>
      </c>
      <c r="AA69" s="91">
        <f>SUMIFS(tabela_registros[VALOR],tabela_registros[MÊS],$AE$1,tabela_registros[DIA],abrtotal305971[[#Headers],[23]],tabela_registros[REGISTRO],DADOS!$N$4,tabela_registros[TIPO],DADOS!$P$4,tabela_registros[CATEGORIA],despesavariávelconsolidadoabr[[#This Row],[DESPESA VARIÁVEL]])</f>
        <v>0</v>
      </c>
      <c r="AB69" s="91">
        <f>SUMIFS(tabela_registros[VALOR],tabela_registros[MÊS],$AE$1,tabela_registros[DIA],abrtotal305971[[#Headers],[24]],tabela_registros[REGISTRO],DADOS!$N$4,tabela_registros[TIPO],DADOS!$P$4,tabela_registros[CATEGORIA],despesavariávelconsolidadoabr[[#This Row],[DESPESA VARIÁVEL]])</f>
        <v>0</v>
      </c>
      <c r="AC69" s="91">
        <f>SUMIFS(tabela_registros[VALOR],tabela_registros[MÊS],$AE$1,tabela_registros[DIA],abrtotal305971[[#Headers],[25]],tabela_registros[REGISTRO],DADOS!$N$4,tabela_registros[TIPO],DADOS!$P$4,tabela_registros[CATEGORIA],despesavariávelconsolidadoabr[[#This Row],[DESPESA VARIÁVEL]])</f>
        <v>0</v>
      </c>
      <c r="AD69" s="91">
        <f>SUMIFS(tabela_registros[VALOR],tabela_registros[MÊS],$AE$1,tabela_registros[DIA],abrtotal305971[[#Headers],[26]],tabela_registros[REGISTRO],DADOS!$N$4,tabela_registros[TIPO],DADOS!$P$4,tabela_registros[CATEGORIA],despesavariávelconsolidadoabr[[#This Row],[DESPESA VARIÁVEL]])</f>
        <v>0</v>
      </c>
      <c r="AE69" s="91">
        <f>SUMIFS(tabela_registros[VALOR],tabela_registros[MÊS],$AE$1,tabela_registros[DIA],abrtotal305971[[#Headers],[27]],tabela_registros[REGISTRO],DADOS!$N$4,tabela_registros[TIPO],DADOS!$P$4,tabela_registros[CATEGORIA],despesavariávelconsolidadoabr[[#This Row],[DESPESA VARIÁVEL]])</f>
        <v>0</v>
      </c>
      <c r="AF69" s="91">
        <f>SUMIFS(tabela_registros[VALOR],tabela_registros[MÊS],$AE$1,tabela_registros[DIA],abrtotal305971[[#Headers],[28]],tabela_registros[REGISTRO],DADOS!$N$4,tabela_registros[TIPO],DADOS!$P$4,tabela_registros[CATEGORIA],despesavariávelconsolidadoabr[[#This Row],[DESPESA VARIÁVEL]])</f>
        <v>0</v>
      </c>
      <c r="AG69" s="91">
        <f>SUMIFS(tabela_registros[VALOR],tabela_registros[MÊS],$AE$1,tabela_registros[DIA],abrtotal305971[[#Headers],[29]],tabela_registros[REGISTRO],DADOS!$N$4,tabela_registros[TIPO],DADOS!$P$4,tabela_registros[CATEGORIA],despesavariávelconsolidadoabr[[#This Row],[DESPESA VARIÁVEL]])</f>
        <v>0</v>
      </c>
      <c r="AH69" s="91">
        <f>SUMIFS(tabela_registros[VALOR],tabela_registros[MÊS],$AE$1,tabela_registros[DIA],abrtotal305971[[#Headers],[30]],tabela_registros[REGISTRO],DADOS!$N$4,tabela_registros[TIPO],DADOS!$P$4,tabela_registros[CATEGORIA],despesavariávelconsolidadoabr[[#This Row],[DESPESA VARIÁVEL]])</f>
        <v>0</v>
      </c>
      <c r="AI69" s="101">
        <f>SUMIFS(tabela_registros[VALOR],tabela_registros[MÊS],$AE$1,tabela_registros[DIA],abrtotal305971[[#Headers],[31]],tabela_registros[REGISTRO],DADOS!$N$4,tabela_registros[TIPO],DADOS!$P$4,tabela_registros[CATEGORIA],despesavariávelconsolidadoabr[[#This Row],[DESPESA VARIÁVEL]])</f>
        <v>0</v>
      </c>
      <c r="AJ69" s="97">
        <f>SUM(despesavariávelconsolidadoabr[[#This Row],[1]:[31]])</f>
        <v>0</v>
      </c>
      <c r="AK69" s="28"/>
    </row>
    <row r="70" spans="2:37" ht="18" customHeight="1" thickTop="1" thickBot="1" x14ac:dyDescent="0.3">
      <c r="B70" s="28"/>
      <c r="C70" s="27" t="str">
        <f>DADOS!$T$13</f>
        <v>🚍 TRANSPORTE</v>
      </c>
      <c r="D70" s="26" t="str">
        <f>IF(despesavariávelconsolidadoabr[[#This Row],[TOTAL]]=0,"",IF(OR(despesavariávelconsolidadoabr[[#This Row],[TOTAL]]=LARGE($AJ$60:$AJ$72,1),despesavariávelconsolidadoabr[[#This Row],[TOTAL]]=LARGE($AJ$60:$AJ$72,2),despesavariávelconsolidadoabr[[#This Row],[TOTAL]]=LARGE($AJ$60:$AJ$72,3),despesavariávelconsolidadoabr[[#This Row],[TOTAL]]=LARGE($AJ$60:$AJ$72,4),despesavariávelconsolidadoabr[[#This Row],[TOTAL]]=LARGE($AJ$60:$AJ$72,5)),DADOS!$I$8,""))</f>
        <v/>
      </c>
      <c r="E70" s="96">
        <f>SUMIFS(tabela_registros[VALOR],tabela_registros[MÊS],$AE$1,tabela_registros[DIA],abrtotal305971[[#Headers],[1]],tabela_registros[REGISTRO],DADOS!$N$4,tabela_registros[TIPO],DADOS!$P$4,tabela_registros[CATEGORIA],despesavariávelconsolidadoabr[[#This Row],[DESPESA VARIÁVEL]])</f>
        <v>0</v>
      </c>
      <c r="F70" s="91">
        <f>SUMIFS(tabela_registros[VALOR],tabela_registros[MÊS],$AE$1,tabela_registros[DIA],abrtotal305971[[#Headers],[2]],tabela_registros[REGISTRO],DADOS!$N$4,tabela_registros[TIPO],DADOS!$P$4,tabela_registros[CATEGORIA],despesavariávelconsolidadoabr[[#This Row],[DESPESA VARIÁVEL]])</f>
        <v>0</v>
      </c>
      <c r="G70" s="91">
        <f>SUMIFS(tabela_registros[VALOR],tabela_registros[MÊS],$AE$1,tabela_registros[DIA],abrtotal305971[[#Headers],[3]],tabela_registros[REGISTRO],DADOS!$N$4,tabela_registros[TIPO],DADOS!$P$4,tabela_registros[CATEGORIA],despesavariávelconsolidadoabr[[#This Row],[DESPESA VARIÁVEL]])</f>
        <v>0</v>
      </c>
      <c r="H70" s="91">
        <f>SUMIFS(tabela_registros[VALOR],tabela_registros[MÊS],$AE$1,tabela_registros[DIA],abrtotal305971[[#Headers],[4]],tabela_registros[REGISTRO],DADOS!$N$4,tabela_registros[TIPO],DADOS!$P$4,tabela_registros[CATEGORIA],despesavariávelconsolidadoabr[[#This Row],[DESPESA VARIÁVEL]])</f>
        <v>0</v>
      </c>
      <c r="I70" s="91">
        <f>SUMIFS(tabela_registros[VALOR],tabela_registros[MÊS],$AE$1,tabela_registros[DIA],abrtotal305971[[#Headers],[5]],tabela_registros[REGISTRO],DADOS!$N$4,tabela_registros[TIPO],DADOS!$P$4,tabela_registros[CATEGORIA],despesavariávelconsolidadoabr[[#This Row],[DESPESA VARIÁVEL]])</f>
        <v>0</v>
      </c>
      <c r="J70" s="91">
        <f>SUMIFS(tabela_registros[VALOR],tabela_registros[MÊS],$AE$1,tabela_registros[DIA],abrtotal305971[[#Headers],[6]],tabela_registros[REGISTRO],DADOS!$N$4,tabela_registros[TIPO],DADOS!$P$4,tabela_registros[CATEGORIA],despesavariávelconsolidadoabr[[#This Row],[DESPESA VARIÁVEL]])</f>
        <v>0</v>
      </c>
      <c r="K70" s="91">
        <f>SUMIFS(tabela_registros[VALOR],tabela_registros[MÊS],$AE$1,tabela_registros[DIA],abrtotal305971[[#Headers],[7]],tabela_registros[REGISTRO],DADOS!$N$4,tabela_registros[TIPO],DADOS!$P$4,tabela_registros[CATEGORIA],despesavariávelconsolidadoabr[[#This Row],[DESPESA VARIÁVEL]])</f>
        <v>0</v>
      </c>
      <c r="L70" s="91">
        <f>SUMIFS(tabela_registros[VALOR],tabela_registros[MÊS],$AE$1,tabela_registros[DIA],abrtotal305971[[#Headers],[8]],tabela_registros[REGISTRO],DADOS!$N$4,tabela_registros[TIPO],DADOS!$P$4,tabela_registros[CATEGORIA],despesavariávelconsolidadoabr[[#This Row],[DESPESA VARIÁVEL]])</f>
        <v>0</v>
      </c>
      <c r="M70" s="91">
        <f>SUMIFS(tabela_registros[VALOR],tabela_registros[MÊS],$AE$1,tabela_registros[DIA],abrtotal305971[[#Headers],[9]],tabela_registros[REGISTRO],DADOS!$N$4,tabela_registros[TIPO],DADOS!$P$4,tabela_registros[CATEGORIA],despesavariávelconsolidadoabr[[#This Row],[DESPESA VARIÁVEL]])</f>
        <v>0</v>
      </c>
      <c r="N70" s="91">
        <f>SUMIFS(tabela_registros[VALOR],tabela_registros[MÊS],$AE$1,tabela_registros[DIA],abrtotal305971[[#Headers],[10]],tabela_registros[REGISTRO],DADOS!$N$4,tabela_registros[TIPO],DADOS!$P$4,tabela_registros[CATEGORIA],despesavariávelconsolidadoabr[[#This Row],[DESPESA VARIÁVEL]])</f>
        <v>0</v>
      </c>
      <c r="O70" s="91">
        <f>SUMIFS(tabela_registros[VALOR],tabela_registros[MÊS],$AE$1,tabela_registros[DIA],abrtotal305971[[#Headers],[11]],tabela_registros[REGISTRO],DADOS!$N$4,tabela_registros[TIPO],DADOS!$P$4,tabela_registros[CATEGORIA],despesavariávelconsolidadoabr[[#This Row],[DESPESA VARIÁVEL]])</f>
        <v>0</v>
      </c>
      <c r="P70" s="91">
        <f>SUMIFS(tabela_registros[VALOR],tabela_registros[MÊS],$AE$1,tabela_registros[DIA],abrtotal305971[[#Headers],[12]],tabela_registros[REGISTRO],DADOS!$N$4,tabela_registros[TIPO],DADOS!$P$4,tabela_registros[CATEGORIA],despesavariávelconsolidadoabr[[#This Row],[DESPESA VARIÁVEL]])</f>
        <v>0</v>
      </c>
      <c r="Q70" s="91">
        <f>SUMIFS(tabela_registros[VALOR],tabela_registros[MÊS],$AE$1,tabela_registros[DIA],abrtotal305971[[#Headers],[13]],tabela_registros[REGISTRO],DADOS!$N$4,tabela_registros[TIPO],DADOS!$P$4,tabela_registros[CATEGORIA],despesavariávelconsolidadoabr[[#This Row],[DESPESA VARIÁVEL]])</f>
        <v>0</v>
      </c>
      <c r="R70" s="91">
        <f>SUMIFS(tabela_registros[VALOR],tabela_registros[MÊS],$AE$1,tabela_registros[DIA],abrtotal305971[[#Headers],[14]],tabela_registros[REGISTRO],DADOS!$N$4,tabela_registros[TIPO],DADOS!$P$4,tabela_registros[CATEGORIA],despesavariávelconsolidadoabr[[#This Row],[DESPESA VARIÁVEL]])</f>
        <v>0</v>
      </c>
      <c r="S70" s="91">
        <f>SUMIFS(tabela_registros[VALOR],tabela_registros[MÊS],$AE$1,tabela_registros[DIA],abrtotal305971[[#Headers],[15]],tabela_registros[REGISTRO],DADOS!$N$4,tabela_registros[TIPO],DADOS!$P$4,tabela_registros[CATEGORIA],despesavariávelconsolidadoabr[[#This Row],[DESPESA VARIÁVEL]])</f>
        <v>0</v>
      </c>
      <c r="T70" s="91">
        <f>SUMIFS(tabela_registros[VALOR],tabela_registros[MÊS],$AE$1,tabela_registros[DIA],abrtotal305971[[#Headers],[16]],tabela_registros[REGISTRO],DADOS!$N$4,tabela_registros[TIPO],DADOS!$P$4,tabela_registros[CATEGORIA],despesavariávelconsolidadoabr[[#This Row],[DESPESA VARIÁVEL]])</f>
        <v>0</v>
      </c>
      <c r="U70" s="91">
        <f>SUMIFS(tabela_registros[VALOR],tabela_registros[MÊS],$AE$1,tabela_registros[DIA],abrtotal305971[[#Headers],[17]],tabela_registros[REGISTRO],DADOS!$N$4,tabela_registros[TIPO],DADOS!$P$4,tabela_registros[CATEGORIA],despesavariávelconsolidadoabr[[#This Row],[DESPESA VARIÁVEL]])</f>
        <v>0</v>
      </c>
      <c r="V70" s="91">
        <f>SUMIFS(tabela_registros[VALOR],tabela_registros[MÊS],$AE$1,tabela_registros[DIA],abrtotal305971[[#Headers],[18]],tabela_registros[REGISTRO],DADOS!$N$4,tabela_registros[TIPO],DADOS!$P$4,tabela_registros[CATEGORIA],despesavariávelconsolidadoabr[[#This Row],[DESPESA VARIÁVEL]])</f>
        <v>0</v>
      </c>
      <c r="W70" s="91">
        <f>SUMIFS(tabela_registros[VALOR],tabela_registros[MÊS],$AE$1,tabela_registros[DIA],abrtotal305971[[#Headers],[19]],tabela_registros[REGISTRO],DADOS!$N$4,tabela_registros[TIPO],DADOS!$P$4,tabela_registros[CATEGORIA],despesavariávelconsolidadoabr[[#This Row],[DESPESA VARIÁVEL]])</f>
        <v>0</v>
      </c>
      <c r="X70" s="91">
        <f>SUMIFS(tabela_registros[VALOR],tabela_registros[MÊS],$AE$1,tabela_registros[DIA],abrtotal305971[[#Headers],[20]],tabela_registros[REGISTRO],DADOS!$N$4,tabela_registros[TIPO],DADOS!$P$4,tabela_registros[CATEGORIA],despesavariávelconsolidadoabr[[#This Row],[DESPESA VARIÁVEL]])</f>
        <v>0</v>
      </c>
      <c r="Y70" s="91">
        <f>SUMIFS(tabela_registros[VALOR],tabela_registros[MÊS],$AE$1,tabela_registros[DIA],abrtotal305971[[#Headers],[21]],tabela_registros[REGISTRO],DADOS!$N$4,tabela_registros[TIPO],DADOS!$P$4,tabela_registros[CATEGORIA],despesavariávelconsolidadoabr[[#This Row],[DESPESA VARIÁVEL]])</f>
        <v>0</v>
      </c>
      <c r="Z70" s="91">
        <f>SUMIFS(tabela_registros[VALOR],tabela_registros[MÊS],$AE$1,tabela_registros[DIA],abrtotal305971[[#Headers],[22]],tabela_registros[REGISTRO],DADOS!$N$4,tabela_registros[TIPO],DADOS!$P$4,tabela_registros[CATEGORIA],despesavariávelconsolidadoabr[[#This Row],[DESPESA VARIÁVEL]])</f>
        <v>0</v>
      </c>
      <c r="AA70" s="91">
        <f>SUMIFS(tabela_registros[VALOR],tabela_registros[MÊS],$AE$1,tabela_registros[DIA],abrtotal305971[[#Headers],[23]],tabela_registros[REGISTRO],DADOS!$N$4,tabela_registros[TIPO],DADOS!$P$4,tabela_registros[CATEGORIA],despesavariávelconsolidadoabr[[#This Row],[DESPESA VARIÁVEL]])</f>
        <v>0</v>
      </c>
      <c r="AB70" s="91">
        <f>SUMIFS(tabela_registros[VALOR],tabela_registros[MÊS],$AE$1,tabela_registros[DIA],abrtotal305971[[#Headers],[24]],tabela_registros[REGISTRO],DADOS!$N$4,tabela_registros[TIPO],DADOS!$P$4,tabela_registros[CATEGORIA],despesavariávelconsolidadoabr[[#This Row],[DESPESA VARIÁVEL]])</f>
        <v>0</v>
      </c>
      <c r="AC70" s="91">
        <f>SUMIFS(tabela_registros[VALOR],tabela_registros[MÊS],$AE$1,tabela_registros[DIA],abrtotal305971[[#Headers],[25]],tabela_registros[REGISTRO],DADOS!$N$4,tabela_registros[TIPO],DADOS!$P$4,tabela_registros[CATEGORIA],despesavariávelconsolidadoabr[[#This Row],[DESPESA VARIÁVEL]])</f>
        <v>0</v>
      </c>
      <c r="AD70" s="91">
        <f>SUMIFS(tabela_registros[VALOR],tabela_registros[MÊS],$AE$1,tabela_registros[DIA],abrtotal305971[[#Headers],[26]],tabela_registros[REGISTRO],DADOS!$N$4,tabela_registros[TIPO],DADOS!$P$4,tabela_registros[CATEGORIA],despesavariávelconsolidadoabr[[#This Row],[DESPESA VARIÁVEL]])</f>
        <v>0</v>
      </c>
      <c r="AE70" s="91">
        <f>SUMIFS(tabela_registros[VALOR],tabela_registros[MÊS],$AE$1,tabela_registros[DIA],abrtotal305971[[#Headers],[27]],tabela_registros[REGISTRO],DADOS!$N$4,tabela_registros[TIPO],DADOS!$P$4,tabela_registros[CATEGORIA],despesavariávelconsolidadoabr[[#This Row],[DESPESA VARIÁVEL]])</f>
        <v>0</v>
      </c>
      <c r="AF70" s="91">
        <f>SUMIFS(tabela_registros[VALOR],tabela_registros[MÊS],$AE$1,tabela_registros[DIA],abrtotal305971[[#Headers],[28]],tabela_registros[REGISTRO],DADOS!$N$4,tabela_registros[TIPO],DADOS!$P$4,tabela_registros[CATEGORIA],despesavariávelconsolidadoabr[[#This Row],[DESPESA VARIÁVEL]])</f>
        <v>0</v>
      </c>
      <c r="AG70" s="91">
        <f>SUMIFS(tabela_registros[VALOR],tabela_registros[MÊS],$AE$1,tabela_registros[DIA],abrtotal305971[[#Headers],[29]],tabela_registros[REGISTRO],DADOS!$N$4,tabela_registros[TIPO],DADOS!$P$4,tabela_registros[CATEGORIA],despesavariávelconsolidadoabr[[#This Row],[DESPESA VARIÁVEL]])</f>
        <v>0</v>
      </c>
      <c r="AH70" s="91">
        <f>SUMIFS(tabela_registros[VALOR],tabela_registros[MÊS],$AE$1,tabela_registros[DIA],abrtotal305971[[#Headers],[30]],tabela_registros[REGISTRO],DADOS!$N$4,tabela_registros[TIPO],DADOS!$P$4,tabela_registros[CATEGORIA],despesavariávelconsolidadoabr[[#This Row],[DESPESA VARIÁVEL]])</f>
        <v>0</v>
      </c>
      <c r="AI70" s="101">
        <f>SUMIFS(tabela_registros[VALOR],tabela_registros[MÊS],$AE$1,tabela_registros[DIA],abrtotal305971[[#Headers],[31]],tabela_registros[REGISTRO],DADOS!$N$4,tabela_registros[TIPO],DADOS!$P$4,tabela_registros[CATEGORIA],despesavariávelconsolidadoabr[[#This Row],[DESPESA VARIÁVEL]])</f>
        <v>0</v>
      </c>
      <c r="AJ70" s="97">
        <f>SUM(despesavariávelconsolidadoabr[[#This Row],[1]:[31]])</f>
        <v>0</v>
      </c>
      <c r="AK70" s="28"/>
    </row>
    <row r="71" spans="2:37" ht="18" customHeight="1" thickTop="1" thickBot="1" x14ac:dyDescent="0.3">
      <c r="B71" s="28"/>
      <c r="C71" s="27" t="str">
        <f>DADOS!$T$14</f>
        <v>🛍️ VESTUÁRIO</v>
      </c>
      <c r="D71" s="26" t="str">
        <f>IF(despesavariávelconsolidadoabr[[#This Row],[TOTAL]]=0,"",IF(OR(despesavariávelconsolidadoabr[[#This Row],[TOTAL]]=LARGE($AJ$60:$AJ$72,1),despesavariávelconsolidadoabr[[#This Row],[TOTAL]]=LARGE($AJ$60:$AJ$72,2),despesavariávelconsolidadoabr[[#This Row],[TOTAL]]=LARGE($AJ$60:$AJ$72,3),despesavariávelconsolidadoabr[[#This Row],[TOTAL]]=LARGE($AJ$60:$AJ$72,4),despesavariávelconsolidadoabr[[#This Row],[TOTAL]]=LARGE($AJ$60:$AJ$72,5)),DADOS!$I$8,""))</f>
        <v/>
      </c>
      <c r="E71" s="96">
        <f>SUMIFS(tabela_registros[VALOR],tabela_registros[MÊS],$AE$1,tabela_registros[DIA],abrtotal305971[[#Headers],[1]],tabela_registros[REGISTRO],DADOS!$N$4,tabela_registros[TIPO],DADOS!$P$4,tabela_registros[CATEGORIA],despesavariávelconsolidadoabr[[#This Row],[DESPESA VARIÁVEL]])</f>
        <v>0</v>
      </c>
      <c r="F71" s="91">
        <f>SUMIFS(tabela_registros[VALOR],tabela_registros[MÊS],$AE$1,tabela_registros[DIA],abrtotal305971[[#Headers],[2]],tabela_registros[REGISTRO],DADOS!$N$4,tabela_registros[TIPO],DADOS!$P$4,tabela_registros[CATEGORIA],despesavariávelconsolidadoabr[[#This Row],[DESPESA VARIÁVEL]])</f>
        <v>0</v>
      </c>
      <c r="G71" s="91">
        <f>SUMIFS(tabela_registros[VALOR],tabela_registros[MÊS],$AE$1,tabela_registros[DIA],abrtotal305971[[#Headers],[3]],tabela_registros[REGISTRO],DADOS!$N$4,tabela_registros[TIPO],DADOS!$P$4,tabela_registros[CATEGORIA],despesavariávelconsolidadoabr[[#This Row],[DESPESA VARIÁVEL]])</f>
        <v>0</v>
      </c>
      <c r="H71" s="91">
        <f>SUMIFS(tabela_registros[VALOR],tabela_registros[MÊS],$AE$1,tabela_registros[DIA],abrtotal305971[[#Headers],[4]],tabela_registros[REGISTRO],DADOS!$N$4,tabela_registros[TIPO],DADOS!$P$4,tabela_registros[CATEGORIA],despesavariávelconsolidadoabr[[#This Row],[DESPESA VARIÁVEL]])</f>
        <v>0</v>
      </c>
      <c r="I71" s="91">
        <f>SUMIFS(tabela_registros[VALOR],tabela_registros[MÊS],$AE$1,tabela_registros[DIA],abrtotal305971[[#Headers],[5]],tabela_registros[REGISTRO],DADOS!$N$4,tabela_registros[TIPO],DADOS!$P$4,tabela_registros[CATEGORIA],despesavariávelconsolidadoabr[[#This Row],[DESPESA VARIÁVEL]])</f>
        <v>0</v>
      </c>
      <c r="J71" s="91">
        <f>SUMIFS(tabela_registros[VALOR],tabela_registros[MÊS],$AE$1,tabela_registros[DIA],abrtotal305971[[#Headers],[6]],tabela_registros[REGISTRO],DADOS!$N$4,tabela_registros[TIPO],DADOS!$P$4,tabela_registros[CATEGORIA],despesavariávelconsolidadoabr[[#This Row],[DESPESA VARIÁVEL]])</f>
        <v>0</v>
      </c>
      <c r="K71" s="91">
        <f>SUMIFS(tabela_registros[VALOR],tabela_registros[MÊS],$AE$1,tabela_registros[DIA],abrtotal305971[[#Headers],[7]],tabela_registros[REGISTRO],DADOS!$N$4,tabela_registros[TIPO],DADOS!$P$4,tabela_registros[CATEGORIA],despesavariávelconsolidadoabr[[#This Row],[DESPESA VARIÁVEL]])</f>
        <v>0</v>
      </c>
      <c r="L71" s="91">
        <f>SUMIFS(tabela_registros[VALOR],tabela_registros[MÊS],$AE$1,tabela_registros[DIA],abrtotal305971[[#Headers],[8]],tabela_registros[REGISTRO],DADOS!$N$4,tabela_registros[TIPO],DADOS!$P$4,tabela_registros[CATEGORIA],despesavariávelconsolidadoabr[[#This Row],[DESPESA VARIÁVEL]])</f>
        <v>0</v>
      </c>
      <c r="M71" s="91">
        <f>SUMIFS(tabela_registros[VALOR],tabela_registros[MÊS],$AE$1,tabela_registros[DIA],abrtotal305971[[#Headers],[9]],tabela_registros[REGISTRO],DADOS!$N$4,tabela_registros[TIPO],DADOS!$P$4,tabela_registros[CATEGORIA],despesavariávelconsolidadoabr[[#This Row],[DESPESA VARIÁVEL]])</f>
        <v>0</v>
      </c>
      <c r="N71" s="91">
        <f>SUMIFS(tabela_registros[VALOR],tabela_registros[MÊS],$AE$1,tabela_registros[DIA],abrtotal305971[[#Headers],[10]],tabela_registros[REGISTRO],DADOS!$N$4,tabela_registros[TIPO],DADOS!$P$4,tabela_registros[CATEGORIA],despesavariávelconsolidadoabr[[#This Row],[DESPESA VARIÁVEL]])</f>
        <v>0</v>
      </c>
      <c r="O71" s="91">
        <f>SUMIFS(tabela_registros[VALOR],tabela_registros[MÊS],$AE$1,tabela_registros[DIA],abrtotal305971[[#Headers],[11]],tabela_registros[REGISTRO],DADOS!$N$4,tabela_registros[TIPO],DADOS!$P$4,tabela_registros[CATEGORIA],despesavariávelconsolidadoabr[[#This Row],[DESPESA VARIÁVEL]])</f>
        <v>0</v>
      </c>
      <c r="P71" s="91">
        <f>SUMIFS(tabela_registros[VALOR],tabela_registros[MÊS],$AE$1,tabela_registros[DIA],abrtotal305971[[#Headers],[12]],tabela_registros[REGISTRO],DADOS!$N$4,tabela_registros[TIPO],DADOS!$P$4,tabela_registros[CATEGORIA],despesavariávelconsolidadoabr[[#This Row],[DESPESA VARIÁVEL]])</f>
        <v>0</v>
      </c>
      <c r="Q71" s="91">
        <f>SUMIFS(tabela_registros[VALOR],tabela_registros[MÊS],$AE$1,tabela_registros[DIA],abrtotal305971[[#Headers],[13]],tabela_registros[REGISTRO],DADOS!$N$4,tabela_registros[TIPO],DADOS!$P$4,tabela_registros[CATEGORIA],despesavariávelconsolidadoabr[[#This Row],[DESPESA VARIÁVEL]])</f>
        <v>0</v>
      </c>
      <c r="R71" s="91">
        <f>SUMIFS(tabela_registros[VALOR],tabela_registros[MÊS],$AE$1,tabela_registros[DIA],abrtotal305971[[#Headers],[14]],tabela_registros[REGISTRO],DADOS!$N$4,tabela_registros[TIPO],DADOS!$P$4,tabela_registros[CATEGORIA],despesavariávelconsolidadoabr[[#This Row],[DESPESA VARIÁVEL]])</f>
        <v>0</v>
      </c>
      <c r="S71" s="91">
        <f>SUMIFS(tabela_registros[VALOR],tabela_registros[MÊS],$AE$1,tabela_registros[DIA],abrtotal305971[[#Headers],[15]],tabela_registros[REGISTRO],DADOS!$N$4,tabela_registros[TIPO],DADOS!$P$4,tabela_registros[CATEGORIA],despesavariávelconsolidadoabr[[#This Row],[DESPESA VARIÁVEL]])</f>
        <v>0</v>
      </c>
      <c r="T71" s="91">
        <f>SUMIFS(tabela_registros[VALOR],tabela_registros[MÊS],$AE$1,tabela_registros[DIA],abrtotal305971[[#Headers],[16]],tabela_registros[REGISTRO],DADOS!$N$4,tabela_registros[TIPO],DADOS!$P$4,tabela_registros[CATEGORIA],despesavariávelconsolidadoabr[[#This Row],[DESPESA VARIÁVEL]])</f>
        <v>0</v>
      </c>
      <c r="U71" s="91">
        <f>SUMIFS(tabela_registros[VALOR],tabela_registros[MÊS],$AE$1,tabela_registros[DIA],abrtotal305971[[#Headers],[17]],tabela_registros[REGISTRO],DADOS!$N$4,tabela_registros[TIPO],DADOS!$P$4,tabela_registros[CATEGORIA],despesavariávelconsolidadoabr[[#This Row],[DESPESA VARIÁVEL]])</f>
        <v>0</v>
      </c>
      <c r="V71" s="91">
        <f>SUMIFS(tabela_registros[VALOR],tabela_registros[MÊS],$AE$1,tabela_registros[DIA],abrtotal305971[[#Headers],[18]],tabela_registros[REGISTRO],DADOS!$N$4,tabela_registros[TIPO],DADOS!$P$4,tabela_registros[CATEGORIA],despesavariávelconsolidadoabr[[#This Row],[DESPESA VARIÁVEL]])</f>
        <v>0</v>
      </c>
      <c r="W71" s="91">
        <f>SUMIFS(tabela_registros[VALOR],tabela_registros[MÊS],$AE$1,tabela_registros[DIA],abrtotal305971[[#Headers],[19]],tabela_registros[REGISTRO],DADOS!$N$4,tabela_registros[TIPO],DADOS!$P$4,tabela_registros[CATEGORIA],despesavariávelconsolidadoabr[[#This Row],[DESPESA VARIÁVEL]])</f>
        <v>0</v>
      </c>
      <c r="X71" s="91">
        <f>SUMIFS(tabela_registros[VALOR],tabela_registros[MÊS],$AE$1,tabela_registros[DIA],abrtotal305971[[#Headers],[20]],tabela_registros[REGISTRO],DADOS!$N$4,tabela_registros[TIPO],DADOS!$P$4,tabela_registros[CATEGORIA],despesavariávelconsolidadoabr[[#This Row],[DESPESA VARIÁVEL]])</f>
        <v>0</v>
      </c>
      <c r="Y71" s="91">
        <f>SUMIFS(tabela_registros[VALOR],tabela_registros[MÊS],$AE$1,tabela_registros[DIA],abrtotal305971[[#Headers],[21]],tabela_registros[REGISTRO],DADOS!$N$4,tabela_registros[TIPO],DADOS!$P$4,tabela_registros[CATEGORIA],despesavariávelconsolidadoabr[[#This Row],[DESPESA VARIÁVEL]])</f>
        <v>0</v>
      </c>
      <c r="Z71" s="91">
        <f>SUMIFS(tabela_registros[VALOR],tabela_registros[MÊS],$AE$1,tabela_registros[DIA],abrtotal305971[[#Headers],[22]],tabela_registros[REGISTRO],DADOS!$N$4,tabela_registros[TIPO],DADOS!$P$4,tabela_registros[CATEGORIA],despesavariávelconsolidadoabr[[#This Row],[DESPESA VARIÁVEL]])</f>
        <v>0</v>
      </c>
      <c r="AA71" s="91">
        <f>SUMIFS(tabela_registros[VALOR],tabela_registros[MÊS],$AE$1,tabela_registros[DIA],abrtotal305971[[#Headers],[23]],tabela_registros[REGISTRO],DADOS!$N$4,tabela_registros[TIPO],DADOS!$P$4,tabela_registros[CATEGORIA],despesavariávelconsolidadoabr[[#This Row],[DESPESA VARIÁVEL]])</f>
        <v>0</v>
      </c>
      <c r="AB71" s="91">
        <f>SUMIFS(tabela_registros[VALOR],tabela_registros[MÊS],$AE$1,tabela_registros[DIA],abrtotal305971[[#Headers],[24]],tabela_registros[REGISTRO],DADOS!$N$4,tabela_registros[TIPO],DADOS!$P$4,tabela_registros[CATEGORIA],despesavariávelconsolidadoabr[[#This Row],[DESPESA VARIÁVEL]])</f>
        <v>0</v>
      </c>
      <c r="AC71" s="91">
        <f>SUMIFS(tabela_registros[VALOR],tabela_registros[MÊS],$AE$1,tabela_registros[DIA],abrtotal305971[[#Headers],[25]],tabela_registros[REGISTRO],DADOS!$N$4,tabela_registros[TIPO],DADOS!$P$4,tabela_registros[CATEGORIA],despesavariávelconsolidadoabr[[#This Row],[DESPESA VARIÁVEL]])</f>
        <v>0</v>
      </c>
      <c r="AD71" s="91">
        <f>SUMIFS(tabela_registros[VALOR],tabela_registros[MÊS],$AE$1,tabela_registros[DIA],abrtotal305971[[#Headers],[26]],tabela_registros[REGISTRO],DADOS!$N$4,tabela_registros[TIPO],DADOS!$P$4,tabela_registros[CATEGORIA],despesavariávelconsolidadoabr[[#This Row],[DESPESA VARIÁVEL]])</f>
        <v>0</v>
      </c>
      <c r="AE71" s="91">
        <f>SUMIFS(tabela_registros[VALOR],tabela_registros[MÊS],$AE$1,tabela_registros[DIA],abrtotal305971[[#Headers],[27]],tabela_registros[REGISTRO],DADOS!$N$4,tabela_registros[TIPO],DADOS!$P$4,tabela_registros[CATEGORIA],despesavariávelconsolidadoabr[[#This Row],[DESPESA VARIÁVEL]])</f>
        <v>0</v>
      </c>
      <c r="AF71" s="91">
        <f>SUMIFS(tabela_registros[VALOR],tabela_registros[MÊS],$AE$1,tabela_registros[DIA],abrtotal305971[[#Headers],[28]],tabela_registros[REGISTRO],DADOS!$N$4,tabela_registros[TIPO],DADOS!$P$4,tabela_registros[CATEGORIA],despesavariávelconsolidadoabr[[#This Row],[DESPESA VARIÁVEL]])</f>
        <v>0</v>
      </c>
      <c r="AG71" s="91">
        <f>SUMIFS(tabela_registros[VALOR],tabela_registros[MÊS],$AE$1,tabela_registros[DIA],abrtotal305971[[#Headers],[29]],tabela_registros[REGISTRO],DADOS!$N$4,tabela_registros[TIPO],DADOS!$P$4,tabela_registros[CATEGORIA],despesavariávelconsolidadoabr[[#This Row],[DESPESA VARIÁVEL]])</f>
        <v>0</v>
      </c>
      <c r="AH71" s="91">
        <f>SUMIFS(tabela_registros[VALOR],tabela_registros[MÊS],$AE$1,tabela_registros[DIA],abrtotal305971[[#Headers],[30]],tabela_registros[REGISTRO],DADOS!$N$4,tabela_registros[TIPO],DADOS!$P$4,tabela_registros[CATEGORIA],despesavariávelconsolidadoabr[[#This Row],[DESPESA VARIÁVEL]])</f>
        <v>0</v>
      </c>
      <c r="AI71" s="101">
        <f>SUMIFS(tabela_registros[VALOR],tabela_registros[MÊS],$AE$1,tabela_registros[DIA],abrtotal305971[[#Headers],[31]],tabela_registros[REGISTRO],DADOS!$N$4,tabela_registros[TIPO],DADOS!$P$4,tabela_registros[CATEGORIA],despesavariávelconsolidadoabr[[#This Row],[DESPESA VARIÁVEL]])</f>
        <v>0</v>
      </c>
      <c r="AJ71" s="97">
        <f>SUM(despesavariávelconsolidadoabr[[#This Row],[1]:[31]])</f>
        <v>0</v>
      </c>
      <c r="AK71" s="28"/>
    </row>
    <row r="72" spans="2:37" ht="18" customHeight="1" thickTop="1" thickBot="1" x14ac:dyDescent="0.3">
      <c r="B72" s="28"/>
      <c r="C72" s="27" t="str">
        <f>DADOS!$T$15</f>
        <v>📎 OUTROS</v>
      </c>
      <c r="D72" s="26" t="str">
        <f>IF(despesavariávelconsolidadoabr[[#This Row],[TOTAL]]=0,"",IF(OR(despesavariávelconsolidadoabr[[#This Row],[TOTAL]]=LARGE($AJ$60:$AJ$72,1),despesavariávelconsolidadoabr[[#This Row],[TOTAL]]=LARGE($AJ$60:$AJ$72,2),despesavariávelconsolidadoabr[[#This Row],[TOTAL]]=LARGE($AJ$60:$AJ$72,3),despesavariávelconsolidadoabr[[#This Row],[TOTAL]]=LARGE($AJ$60:$AJ$72,4),despesavariávelconsolidadoabr[[#This Row],[TOTAL]]=LARGE($AJ$60:$AJ$72,5)),DADOS!$I$8,""))</f>
        <v/>
      </c>
      <c r="E72" s="96">
        <f>SUMIFS(tabela_registros[VALOR],tabela_registros[MÊS],$AE$1,tabela_registros[DIA],abrtotal305971[[#Headers],[1]],tabela_registros[REGISTRO],DADOS!$N$4,tabela_registros[TIPO],DADOS!$P$4,tabela_registros[CATEGORIA],despesavariávelconsolidadoabr[[#This Row],[DESPESA VARIÁVEL]])</f>
        <v>0</v>
      </c>
      <c r="F72" s="91">
        <f>SUMIFS(tabela_registros[VALOR],tabela_registros[MÊS],$AE$1,tabela_registros[DIA],abrtotal305971[[#Headers],[2]],tabela_registros[REGISTRO],DADOS!$N$4,tabela_registros[TIPO],DADOS!$P$4,tabela_registros[CATEGORIA],despesavariávelconsolidadoabr[[#This Row],[DESPESA VARIÁVEL]])</f>
        <v>0</v>
      </c>
      <c r="G72" s="91">
        <f>SUMIFS(tabela_registros[VALOR],tabela_registros[MÊS],$AE$1,tabela_registros[DIA],abrtotal305971[[#Headers],[3]],tabela_registros[REGISTRO],DADOS!$N$4,tabela_registros[TIPO],DADOS!$P$4,tabela_registros[CATEGORIA],despesavariávelconsolidadoabr[[#This Row],[DESPESA VARIÁVEL]])</f>
        <v>0</v>
      </c>
      <c r="H72" s="91">
        <f>SUMIFS(tabela_registros[VALOR],tabela_registros[MÊS],$AE$1,tabela_registros[DIA],abrtotal305971[[#Headers],[4]],tabela_registros[REGISTRO],DADOS!$N$4,tabela_registros[TIPO],DADOS!$P$4,tabela_registros[CATEGORIA],despesavariávelconsolidadoabr[[#This Row],[DESPESA VARIÁVEL]])</f>
        <v>0</v>
      </c>
      <c r="I72" s="91">
        <f>SUMIFS(tabela_registros[VALOR],tabela_registros[MÊS],$AE$1,tabela_registros[DIA],abrtotal305971[[#Headers],[5]],tabela_registros[REGISTRO],DADOS!$N$4,tabela_registros[TIPO],DADOS!$P$4,tabela_registros[CATEGORIA],despesavariávelconsolidadoabr[[#This Row],[DESPESA VARIÁVEL]])</f>
        <v>0</v>
      </c>
      <c r="J72" s="91">
        <f>SUMIFS(tabela_registros[VALOR],tabela_registros[MÊS],$AE$1,tabela_registros[DIA],abrtotal305971[[#Headers],[6]],tabela_registros[REGISTRO],DADOS!$N$4,tabela_registros[TIPO],DADOS!$P$4,tabela_registros[CATEGORIA],despesavariávelconsolidadoabr[[#This Row],[DESPESA VARIÁVEL]])</f>
        <v>0</v>
      </c>
      <c r="K72" s="91">
        <f>SUMIFS(tabela_registros[VALOR],tabela_registros[MÊS],$AE$1,tabela_registros[DIA],abrtotal305971[[#Headers],[7]],tabela_registros[REGISTRO],DADOS!$N$4,tabela_registros[TIPO],DADOS!$P$4,tabela_registros[CATEGORIA],despesavariávelconsolidadoabr[[#This Row],[DESPESA VARIÁVEL]])</f>
        <v>0</v>
      </c>
      <c r="L72" s="91">
        <f>SUMIFS(tabela_registros[VALOR],tabela_registros[MÊS],$AE$1,tabela_registros[DIA],abrtotal305971[[#Headers],[8]],tabela_registros[REGISTRO],DADOS!$N$4,tabela_registros[TIPO],DADOS!$P$4,tabela_registros[CATEGORIA],despesavariávelconsolidadoabr[[#This Row],[DESPESA VARIÁVEL]])</f>
        <v>0</v>
      </c>
      <c r="M72" s="91">
        <f>SUMIFS(tabela_registros[VALOR],tabela_registros[MÊS],$AE$1,tabela_registros[DIA],abrtotal305971[[#Headers],[9]],tabela_registros[REGISTRO],DADOS!$N$4,tabela_registros[TIPO],DADOS!$P$4,tabela_registros[CATEGORIA],despesavariávelconsolidadoabr[[#This Row],[DESPESA VARIÁVEL]])</f>
        <v>0</v>
      </c>
      <c r="N72" s="91">
        <f>SUMIFS(tabela_registros[VALOR],tabela_registros[MÊS],$AE$1,tabela_registros[DIA],abrtotal305971[[#Headers],[10]],tabela_registros[REGISTRO],DADOS!$N$4,tabela_registros[TIPO],DADOS!$P$4,tabela_registros[CATEGORIA],despesavariávelconsolidadoabr[[#This Row],[DESPESA VARIÁVEL]])</f>
        <v>0</v>
      </c>
      <c r="O72" s="91">
        <f>SUMIFS(tabela_registros[VALOR],tabela_registros[MÊS],$AE$1,tabela_registros[DIA],abrtotal305971[[#Headers],[11]],tabela_registros[REGISTRO],DADOS!$N$4,tabela_registros[TIPO],DADOS!$P$4,tabela_registros[CATEGORIA],despesavariávelconsolidadoabr[[#This Row],[DESPESA VARIÁVEL]])</f>
        <v>0</v>
      </c>
      <c r="P72" s="91">
        <f>SUMIFS(tabela_registros[VALOR],tabela_registros[MÊS],$AE$1,tabela_registros[DIA],abrtotal305971[[#Headers],[12]],tabela_registros[REGISTRO],DADOS!$N$4,tabela_registros[TIPO],DADOS!$P$4,tabela_registros[CATEGORIA],despesavariávelconsolidadoabr[[#This Row],[DESPESA VARIÁVEL]])</f>
        <v>0</v>
      </c>
      <c r="Q72" s="91">
        <f>SUMIFS(tabela_registros[VALOR],tabela_registros[MÊS],$AE$1,tabela_registros[DIA],abrtotal305971[[#Headers],[13]],tabela_registros[REGISTRO],DADOS!$N$4,tabela_registros[TIPO],DADOS!$P$4,tabela_registros[CATEGORIA],despesavariávelconsolidadoabr[[#This Row],[DESPESA VARIÁVEL]])</f>
        <v>0</v>
      </c>
      <c r="R72" s="91">
        <f>SUMIFS(tabela_registros[VALOR],tabela_registros[MÊS],$AE$1,tabela_registros[DIA],abrtotal305971[[#Headers],[14]],tabela_registros[REGISTRO],DADOS!$N$4,tabela_registros[TIPO],DADOS!$P$4,tabela_registros[CATEGORIA],despesavariávelconsolidadoabr[[#This Row],[DESPESA VARIÁVEL]])</f>
        <v>0</v>
      </c>
      <c r="S72" s="91">
        <f>SUMIFS(tabela_registros[VALOR],tabela_registros[MÊS],$AE$1,tabela_registros[DIA],abrtotal305971[[#Headers],[15]],tabela_registros[REGISTRO],DADOS!$N$4,tabela_registros[TIPO],DADOS!$P$4,tabela_registros[CATEGORIA],despesavariávelconsolidadoabr[[#This Row],[DESPESA VARIÁVEL]])</f>
        <v>0</v>
      </c>
      <c r="T72" s="91">
        <f>SUMIFS(tabela_registros[VALOR],tabela_registros[MÊS],$AE$1,tabela_registros[DIA],abrtotal305971[[#Headers],[16]],tabela_registros[REGISTRO],DADOS!$N$4,tabela_registros[TIPO],DADOS!$P$4,tabela_registros[CATEGORIA],despesavariávelconsolidadoabr[[#This Row],[DESPESA VARIÁVEL]])</f>
        <v>0</v>
      </c>
      <c r="U72" s="91">
        <f>SUMIFS(tabela_registros[VALOR],tabela_registros[MÊS],$AE$1,tabela_registros[DIA],abrtotal305971[[#Headers],[17]],tabela_registros[REGISTRO],DADOS!$N$4,tabela_registros[TIPO],DADOS!$P$4,tabela_registros[CATEGORIA],despesavariávelconsolidadoabr[[#This Row],[DESPESA VARIÁVEL]])</f>
        <v>0</v>
      </c>
      <c r="V72" s="91">
        <f>SUMIFS(tabela_registros[VALOR],tabela_registros[MÊS],$AE$1,tabela_registros[DIA],abrtotal305971[[#Headers],[18]],tabela_registros[REGISTRO],DADOS!$N$4,tabela_registros[TIPO],DADOS!$P$4,tabela_registros[CATEGORIA],despesavariávelconsolidadoabr[[#This Row],[DESPESA VARIÁVEL]])</f>
        <v>0</v>
      </c>
      <c r="W72" s="91">
        <f>SUMIFS(tabela_registros[VALOR],tabela_registros[MÊS],$AE$1,tabela_registros[DIA],abrtotal305971[[#Headers],[19]],tabela_registros[REGISTRO],DADOS!$N$4,tabela_registros[TIPO],DADOS!$P$4,tabela_registros[CATEGORIA],despesavariávelconsolidadoabr[[#This Row],[DESPESA VARIÁVEL]])</f>
        <v>0</v>
      </c>
      <c r="X72" s="91">
        <f>SUMIFS(tabela_registros[VALOR],tabela_registros[MÊS],$AE$1,tabela_registros[DIA],abrtotal305971[[#Headers],[20]],tabela_registros[REGISTRO],DADOS!$N$4,tabela_registros[TIPO],DADOS!$P$4,tabela_registros[CATEGORIA],despesavariávelconsolidadoabr[[#This Row],[DESPESA VARIÁVEL]])</f>
        <v>0</v>
      </c>
      <c r="Y72" s="91">
        <f>SUMIFS(tabela_registros[VALOR],tabela_registros[MÊS],$AE$1,tabela_registros[DIA],abrtotal305971[[#Headers],[21]],tabela_registros[REGISTRO],DADOS!$N$4,tabela_registros[TIPO],DADOS!$P$4,tabela_registros[CATEGORIA],despesavariávelconsolidadoabr[[#This Row],[DESPESA VARIÁVEL]])</f>
        <v>0</v>
      </c>
      <c r="Z72" s="91">
        <f>SUMIFS(tabela_registros[VALOR],tabela_registros[MÊS],$AE$1,tabela_registros[DIA],abrtotal305971[[#Headers],[22]],tabela_registros[REGISTRO],DADOS!$N$4,tabela_registros[TIPO],DADOS!$P$4,tabela_registros[CATEGORIA],despesavariávelconsolidadoabr[[#This Row],[DESPESA VARIÁVEL]])</f>
        <v>0</v>
      </c>
      <c r="AA72" s="91">
        <f>SUMIFS(tabela_registros[VALOR],tabela_registros[MÊS],$AE$1,tabela_registros[DIA],abrtotal305971[[#Headers],[23]],tabela_registros[REGISTRO],DADOS!$N$4,tabela_registros[TIPO],DADOS!$P$4,tabela_registros[CATEGORIA],despesavariávelconsolidadoabr[[#This Row],[DESPESA VARIÁVEL]])</f>
        <v>0</v>
      </c>
      <c r="AB72" s="91">
        <f>SUMIFS(tabela_registros[VALOR],tabela_registros[MÊS],$AE$1,tabela_registros[DIA],abrtotal305971[[#Headers],[24]],tabela_registros[REGISTRO],DADOS!$N$4,tabela_registros[TIPO],DADOS!$P$4,tabela_registros[CATEGORIA],despesavariávelconsolidadoabr[[#This Row],[DESPESA VARIÁVEL]])</f>
        <v>0</v>
      </c>
      <c r="AC72" s="91">
        <f>SUMIFS(tabela_registros[VALOR],tabela_registros[MÊS],$AE$1,tabela_registros[DIA],abrtotal305971[[#Headers],[25]],tabela_registros[REGISTRO],DADOS!$N$4,tabela_registros[TIPO],DADOS!$P$4,tabela_registros[CATEGORIA],despesavariávelconsolidadoabr[[#This Row],[DESPESA VARIÁVEL]])</f>
        <v>0</v>
      </c>
      <c r="AD72" s="91">
        <f>SUMIFS(tabela_registros[VALOR],tabela_registros[MÊS],$AE$1,tabela_registros[DIA],abrtotal305971[[#Headers],[26]],tabela_registros[REGISTRO],DADOS!$N$4,tabela_registros[TIPO],DADOS!$P$4,tabela_registros[CATEGORIA],despesavariávelconsolidadoabr[[#This Row],[DESPESA VARIÁVEL]])</f>
        <v>0</v>
      </c>
      <c r="AE72" s="91">
        <f>SUMIFS(tabela_registros[VALOR],tabela_registros[MÊS],$AE$1,tabela_registros[DIA],abrtotal305971[[#Headers],[27]],tabela_registros[REGISTRO],DADOS!$N$4,tabela_registros[TIPO],DADOS!$P$4,tabela_registros[CATEGORIA],despesavariávelconsolidadoabr[[#This Row],[DESPESA VARIÁVEL]])</f>
        <v>0</v>
      </c>
      <c r="AF72" s="91">
        <f>SUMIFS(tabela_registros[VALOR],tabela_registros[MÊS],$AE$1,tabela_registros[DIA],abrtotal305971[[#Headers],[28]],tabela_registros[REGISTRO],DADOS!$N$4,tabela_registros[TIPO],DADOS!$P$4,tabela_registros[CATEGORIA],despesavariávelconsolidadoabr[[#This Row],[DESPESA VARIÁVEL]])</f>
        <v>0</v>
      </c>
      <c r="AG72" s="91">
        <f>SUMIFS(tabela_registros[VALOR],tabela_registros[MÊS],$AE$1,tabela_registros[DIA],abrtotal305971[[#Headers],[29]],tabela_registros[REGISTRO],DADOS!$N$4,tabela_registros[TIPO],DADOS!$P$4,tabela_registros[CATEGORIA],despesavariávelconsolidadoabr[[#This Row],[DESPESA VARIÁVEL]])</f>
        <v>0</v>
      </c>
      <c r="AH72" s="91">
        <f>SUMIFS(tabela_registros[VALOR],tabela_registros[MÊS],$AE$1,tabela_registros[DIA],abrtotal305971[[#Headers],[30]],tabela_registros[REGISTRO],DADOS!$N$4,tabela_registros[TIPO],DADOS!$P$4,tabela_registros[CATEGORIA],despesavariávelconsolidadoabr[[#This Row],[DESPESA VARIÁVEL]])</f>
        <v>0</v>
      </c>
      <c r="AI72" s="102">
        <f>SUMIFS(tabela_registros[VALOR],tabela_registros[MÊS],$AE$1,tabela_registros[DIA],abrtotal305971[[#Headers],[31]],tabela_registros[REGISTRO],DADOS!$N$4,tabela_registros[TIPO],DADOS!$P$4,tabela_registros[CATEGORIA],despesavariávelconsolidadoabr[[#This Row],[DESPESA VARIÁVEL]])</f>
        <v>0</v>
      </c>
      <c r="AJ72" s="97">
        <f>SUM(despesavariávelconsolidadoabr[[#This Row],[1]:[31]])</f>
        <v>0</v>
      </c>
      <c r="AK72" s="28"/>
    </row>
    <row r="73" spans="2:37" s="16" customFormat="1" ht="21" customHeight="1" thickTop="1" thickBot="1" x14ac:dyDescent="0.35">
      <c r="B73" s="24"/>
      <c r="C73" s="23" t="s">
        <v>19</v>
      </c>
      <c r="D73" s="41" t="str">
        <f>IF(despesavariávelconsolidadoabr[[#This Row],[TOTAL]]=0,"",IF(OR(despesavariávelconsolidadoabr[[#This Row],[TOTAL]]=SMALL(despesavariávelconsolidadoabr[TOTAL],1),despesavariávelconsolidadoabr[[#This Row],[TOTAL]]=SMALL(despesavariávelconsolidadoabr[TOTAL],2),despesavariávelconsolidadoabr[[#This Row],[TOTAL]]=SMALL(despesavariávelconsolidadoabr[TOTAL],3),despesavariávelconsolidadoabr[[#This Row],[TOTAL]]=SMALL(despesavariávelconsolidadoabr[TOTAL],4),despesavariávelconsolidadoabr[[#This Row],[TOTAL]]=SMALL(despesavariávelconsolidadoabr[TOTAL],5)),DADOS!$I$8,""))</f>
        <v/>
      </c>
      <c r="E73" s="21">
        <f>SUM(E60:E72)</f>
        <v>0</v>
      </c>
      <c r="F73" s="20">
        <f>SUM(F60:F72)+despesavariávelconsolidadoabr[[#This Row],[1]]</f>
        <v>0</v>
      </c>
      <c r="G73" s="20">
        <f>SUM(G60:G72)+despesavariávelconsolidadoabr[[#This Row],[2]]</f>
        <v>450</v>
      </c>
      <c r="H73" s="20">
        <f>SUM(H60:H72)+despesavariávelconsolidadoabr[[#This Row],[3]]</f>
        <v>450</v>
      </c>
      <c r="I73" s="20">
        <f>SUM(I60:I72)+despesavariávelconsolidadoabr[[#This Row],[4]]</f>
        <v>450</v>
      </c>
      <c r="J73" s="20">
        <f>SUM(J60:J72)+despesavariávelconsolidadoabr[[#This Row],[5]]</f>
        <v>450</v>
      </c>
      <c r="K73" s="20">
        <f>SUM(K60:K72)+despesavariávelconsolidadoabr[[#This Row],[6]]</f>
        <v>450</v>
      </c>
      <c r="L73" s="20">
        <f>SUM(L60:L72)+despesavariávelconsolidadoabr[[#This Row],[7]]</f>
        <v>450</v>
      </c>
      <c r="M73" s="20">
        <f>SUM(M60:M72)+despesavariávelconsolidadoabr[[#This Row],[8]]</f>
        <v>450</v>
      </c>
      <c r="N73" s="20">
        <f>SUM(N60:N72)+despesavariávelconsolidadoabr[[#This Row],[9]]</f>
        <v>450</v>
      </c>
      <c r="O73" s="20">
        <f>SUM(O60:O72)+despesavariávelconsolidadoabr[[#This Row],[10]]</f>
        <v>450</v>
      </c>
      <c r="P73" s="20">
        <f>SUM(P60:P72)+despesavariávelconsolidadoabr[[#This Row],[11]]</f>
        <v>450</v>
      </c>
      <c r="Q73" s="20">
        <f>SUM(Q60:Q72)+despesavariávelconsolidadoabr[[#This Row],[12]]</f>
        <v>450</v>
      </c>
      <c r="R73" s="20">
        <f>SUM(R60:R72)+despesavariávelconsolidadoabr[[#This Row],[13]]</f>
        <v>450</v>
      </c>
      <c r="S73" s="20">
        <f>SUM(S60:S72)+despesavariávelconsolidadoabr[[#This Row],[14]]</f>
        <v>450</v>
      </c>
      <c r="T73" s="20">
        <f>SUM(T60:T72)+despesavariávelconsolidadoabr[[#This Row],[15]]</f>
        <v>450</v>
      </c>
      <c r="U73" s="20">
        <f>SUM(U60:U72)+despesavariávelconsolidadoabr[[#This Row],[16]]</f>
        <v>450</v>
      </c>
      <c r="V73" s="20">
        <f>SUM(V60:V72)+despesavariávelconsolidadoabr[[#This Row],[17]]</f>
        <v>450</v>
      </c>
      <c r="W73" s="20">
        <f>SUM(W60:W72)+despesavariávelconsolidadoabr[[#This Row],[18]]</f>
        <v>450</v>
      </c>
      <c r="X73" s="20">
        <f>SUM(X60:X72)+despesavariávelconsolidadoabr[[#This Row],[19]]</f>
        <v>450</v>
      </c>
      <c r="Y73" s="20">
        <f>SUM(Y60:Y72)+despesavariávelconsolidadoabr[[#This Row],[20]]</f>
        <v>450</v>
      </c>
      <c r="Z73" s="20">
        <f>SUM(Z60:Z72)+despesavariávelconsolidadoabr[[#This Row],[21]]</f>
        <v>450</v>
      </c>
      <c r="AA73" s="20">
        <f>SUM(AA60:AA72)+despesavariávelconsolidadoabr[[#This Row],[22]]</f>
        <v>450</v>
      </c>
      <c r="AB73" s="20">
        <f>SUM(AB60:AB72)+despesavariávelconsolidadoabr[[#This Row],[23]]</f>
        <v>450</v>
      </c>
      <c r="AC73" s="20">
        <f>SUM(AC60:AC72)+despesavariávelconsolidadoabr[[#This Row],[24]]</f>
        <v>450</v>
      </c>
      <c r="AD73" s="20">
        <f>SUM(AD60:AD72)+despesavariávelconsolidadoabr[[#This Row],[25]]</f>
        <v>450</v>
      </c>
      <c r="AE73" s="20">
        <f>SUM(AE60:AE72)+despesavariávelconsolidadoabr[[#This Row],[26]]</f>
        <v>450</v>
      </c>
      <c r="AF73" s="20">
        <f>SUM(AF60:AF72)+despesavariávelconsolidadoabr[[#This Row],[27]]</f>
        <v>450</v>
      </c>
      <c r="AG73" s="20">
        <f>SUM(AG60:AG72)+despesavariávelconsolidadoabr[[#This Row],[28]]</f>
        <v>450</v>
      </c>
      <c r="AH73" s="20">
        <f>SUM(AH60:AH72)+despesavariávelconsolidadoabr[[#This Row],[29]]</f>
        <v>450</v>
      </c>
      <c r="AI73" s="19">
        <f>SUM(AI60:AI72)+despesavariávelconsolidadoabr[[#This Row],[30]]</f>
        <v>450</v>
      </c>
      <c r="AJ73" s="18">
        <f>despesavariávelconsolidadoabr[[#This Row],[31]]</f>
        <v>450</v>
      </c>
      <c r="AK73" s="17"/>
    </row>
    <row r="74" spans="2:37" ht="6.75" customHeight="1" thickTop="1" thickBot="1" x14ac:dyDescent="0.3">
      <c r="B74" s="15"/>
      <c r="C74" s="40"/>
      <c r="D74" s="39"/>
      <c r="E74" s="39"/>
      <c r="F74" s="39"/>
      <c r="G74" s="39"/>
      <c r="H74" s="39"/>
      <c r="I74" s="39"/>
      <c r="J74" s="39"/>
      <c r="K74" s="39"/>
      <c r="L74" s="39"/>
      <c r="M74" s="39"/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  <c r="AG74" s="39"/>
      <c r="AH74" s="39"/>
      <c r="AI74" s="38"/>
      <c r="AJ74" s="15"/>
      <c r="AK74" s="10"/>
    </row>
    <row r="75" spans="2:37" ht="12.6" thickTop="1" x14ac:dyDescent="0.25">
      <c r="E75" s="37"/>
      <c r="AI75" s="4"/>
    </row>
    <row r="76" spans="2:37" x14ac:dyDescent="0.25">
      <c r="AI76" s="4"/>
    </row>
    <row r="77" spans="2:37" x14ac:dyDescent="0.25">
      <c r="AI77" s="4"/>
    </row>
    <row r="78" spans="2:37" ht="39.75" customHeight="1" x14ac:dyDescent="0.7">
      <c r="C78" s="36"/>
      <c r="E78" s="240"/>
      <c r="F78" s="240"/>
      <c r="G78" s="240"/>
      <c r="H78" s="240"/>
      <c r="I78" s="240"/>
      <c r="J78" s="240"/>
      <c r="K78" s="240"/>
      <c r="L78" s="240"/>
      <c r="M78" s="240"/>
      <c r="N78" s="240"/>
      <c r="O78" s="240"/>
      <c r="P78" s="240"/>
      <c r="Q78" s="240"/>
      <c r="R78" s="240"/>
      <c r="S78" s="240"/>
      <c r="T78" s="240"/>
      <c r="U78" s="240"/>
      <c r="V78" s="240"/>
      <c r="W78" s="240"/>
      <c r="X78" s="240"/>
      <c r="Y78" s="240"/>
      <c r="Z78" s="240"/>
      <c r="AA78" s="240"/>
      <c r="AB78" s="240"/>
      <c r="AC78" s="240"/>
      <c r="AD78" s="240"/>
      <c r="AE78" s="240"/>
      <c r="AF78" s="240"/>
      <c r="AG78" s="240"/>
      <c r="AH78" s="240"/>
      <c r="AI78" s="240"/>
      <c r="AJ78" s="32" t="s">
        <v>19</v>
      </c>
    </row>
    <row r="79" spans="2:37" ht="12.6" thickBot="1" x14ac:dyDescent="0.3">
      <c r="B79" s="35"/>
      <c r="AI79" s="4"/>
      <c r="AJ79" s="34" t="s">
        <v>202</v>
      </c>
    </row>
    <row r="80" spans="2:37" ht="6.75" customHeight="1" thickTop="1" thickBot="1" x14ac:dyDescent="0.3">
      <c r="B80" s="2"/>
      <c r="C80" s="14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I80" s="13"/>
      <c r="AJ80" s="12"/>
      <c r="AK80" s="33"/>
    </row>
    <row r="81" spans="2:37" ht="13.2" hidden="1" thickTop="1" thickBot="1" x14ac:dyDescent="0.3">
      <c r="B81" s="2"/>
      <c r="C81" s="31" t="s">
        <v>199</v>
      </c>
      <c r="D81" s="30" t="s">
        <v>198</v>
      </c>
      <c r="E81" s="30" t="s">
        <v>197</v>
      </c>
      <c r="F81" s="30" t="s">
        <v>196</v>
      </c>
      <c r="G81" s="30" t="s">
        <v>195</v>
      </c>
      <c r="H81" s="30" t="s">
        <v>194</v>
      </c>
      <c r="I81" s="30" t="s">
        <v>193</v>
      </c>
      <c r="J81" s="30" t="s">
        <v>192</v>
      </c>
      <c r="K81" s="30" t="s">
        <v>191</v>
      </c>
      <c r="L81" s="30" t="s">
        <v>190</v>
      </c>
      <c r="M81" s="30" t="s">
        <v>189</v>
      </c>
      <c r="N81" s="30" t="s">
        <v>188</v>
      </c>
      <c r="O81" s="30" t="s">
        <v>187</v>
      </c>
      <c r="P81" s="30" t="s">
        <v>186</v>
      </c>
      <c r="Q81" s="30" t="s">
        <v>185</v>
      </c>
      <c r="R81" s="30" t="s">
        <v>184</v>
      </c>
      <c r="S81" s="30" t="s">
        <v>183</v>
      </c>
      <c r="T81" s="30" t="s">
        <v>182</v>
      </c>
      <c r="U81" s="30" t="s">
        <v>181</v>
      </c>
      <c r="V81" s="30" t="s">
        <v>180</v>
      </c>
      <c r="W81" s="30" t="s">
        <v>179</v>
      </c>
      <c r="X81" s="30" t="s">
        <v>178</v>
      </c>
      <c r="Y81" s="30" t="s">
        <v>177</v>
      </c>
      <c r="Z81" s="30" t="s">
        <v>176</v>
      </c>
      <c r="AA81" s="30" t="s">
        <v>175</v>
      </c>
      <c r="AB81" s="30" t="s">
        <v>174</v>
      </c>
      <c r="AC81" s="30" t="s">
        <v>173</v>
      </c>
      <c r="AD81" s="30" t="s">
        <v>172</v>
      </c>
      <c r="AE81" s="30" t="s">
        <v>171</v>
      </c>
      <c r="AF81" s="30" t="s">
        <v>170</v>
      </c>
      <c r="AG81" s="30" t="s">
        <v>169</v>
      </c>
      <c r="AH81" s="30" t="s">
        <v>168</v>
      </c>
      <c r="AI81" s="30" t="s">
        <v>167</v>
      </c>
      <c r="AJ81" s="29" t="s">
        <v>166</v>
      </c>
      <c r="AK81" s="2"/>
    </row>
    <row r="82" spans="2:37" ht="19.5" customHeight="1" thickTop="1" thickBot="1" x14ac:dyDescent="0.3">
      <c r="B82" s="28"/>
      <c r="C82" s="27" t="str">
        <f>DADOS!$X$3</f>
        <v>💵 ALUGUEL</v>
      </c>
      <c r="D82" s="26" t="str">
        <f>IF(receitasfixasconsolidadoabr[[#This Row],[TOTAL (R$)]]=0,"",IF(OR(receitasfixasconsolidadoabr[[#This Row],[TOTAL (R$)]]=LARGE($AJ$82:$AJ$86,1),receitasfixasconsolidadoabr[[#This Row],[TOTAL (R$)]]=LARGE($AJ$82:$AJ$86,2)),DADOS!$I$9,""))</f>
        <v>🐄</v>
      </c>
      <c r="E82" s="94">
        <f>SUMIFS(tabela_registros[VALOR],tabela_registros[MÊS],$AE$1,tabela_registros[DIA],receitasfixasconsolidadoabr[[#Headers],[1]],tabela_registros[REGISTRO],DADOS!$N$3,tabela_registros[TIPO],DADOS!$V$3,tabela_registros[CATEGORIA],receitasfixasconsolidadoabr[[#This Row],[ATUAL]])</f>
        <v>0</v>
      </c>
      <c r="F82" s="88">
        <f>SUMIFS(tabela_registros[VALOR],tabela_registros[MÊS],$AE$1,tabela_registros[DIA],receitasfixasconsolidadoabr[[#Headers],[2]],tabela_registros[REGISTRO],DADOS!$N$3,tabela_registros[TIPO],DADOS!$V$3,tabela_registros[CATEGORIA],receitasfixasconsolidadoabr[[#This Row],[ATUAL]])</f>
        <v>158</v>
      </c>
      <c r="G82" s="88">
        <f>SUMIFS(tabela_registros[VALOR],tabela_registros[MÊS],$AE$1,tabela_registros[DIA],receitasfixasconsolidadoabr[[#Headers],[3]],tabela_registros[REGISTRO],DADOS!$N$3,tabela_registros[TIPO],DADOS!$V$3,tabela_registros[CATEGORIA],receitasfixasconsolidadoabr[[#This Row],[ATUAL]])</f>
        <v>0</v>
      </c>
      <c r="H82" s="88">
        <f>SUMIFS(tabela_registros[VALOR],tabela_registros[MÊS],$AE$1,tabela_registros[DIA],receitasfixasconsolidadoabr[[#Headers],[4]],tabela_registros[REGISTRO],DADOS!$N$3,tabela_registros[TIPO],DADOS!$V$3,tabela_registros[CATEGORIA],receitasfixasconsolidadoabr[[#This Row],[ATUAL]])</f>
        <v>0</v>
      </c>
      <c r="I82" s="88">
        <f>SUMIFS(tabela_registros[VALOR],tabela_registros[MÊS],$AE$1,tabela_registros[DIA],receitasfixasconsolidadoabr[[#Headers],[5]],tabela_registros[REGISTRO],DADOS!$N$3,tabela_registros[TIPO],DADOS!$V$3,tabela_registros[CATEGORIA],receitasfixasconsolidadoabr[[#This Row],[ATUAL]])</f>
        <v>0</v>
      </c>
      <c r="J82" s="88">
        <f>SUMIFS(tabela_registros[VALOR],tabela_registros[MÊS],$AE$1,tabela_registros[DIA],receitasfixasconsolidadoabr[[#Headers],[6]],tabela_registros[REGISTRO],DADOS!$N$3,tabela_registros[TIPO],DADOS!$V$3,tabela_registros[CATEGORIA],receitasfixasconsolidadoabr[[#This Row],[ATUAL]])</f>
        <v>0</v>
      </c>
      <c r="K82" s="88">
        <f>SUMIFS(tabela_registros[VALOR],tabela_registros[MÊS],$AE$1,tabela_registros[DIA],receitasfixasconsolidadoabr[[#Headers],[7]],tabela_registros[REGISTRO],DADOS!$N$3,tabela_registros[TIPO],DADOS!$V$3,tabela_registros[CATEGORIA],receitasfixasconsolidadoabr[[#This Row],[ATUAL]])</f>
        <v>0</v>
      </c>
      <c r="L82" s="88">
        <f>SUMIFS(tabela_registros[VALOR],tabela_registros[MÊS],$AE$1,tabela_registros[DIA],receitasfixasconsolidadoabr[[#Headers],[8]],tabela_registros[REGISTRO],DADOS!$N$3,tabela_registros[TIPO],DADOS!$V$3,tabela_registros[CATEGORIA],receitasfixasconsolidadoabr[[#This Row],[ATUAL]])</f>
        <v>0</v>
      </c>
      <c r="M82" s="88">
        <f>SUMIFS(tabela_registros[VALOR],tabela_registros[MÊS],$AE$1,tabela_registros[DIA],receitasfixasconsolidadoabr[[#Headers],[9]],tabela_registros[REGISTRO],DADOS!$N$3,tabela_registros[TIPO],DADOS!$V$3,tabela_registros[CATEGORIA],receitasfixasconsolidadoabr[[#This Row],[ATUAL]])</f>
        <v>0</v>
      </c>
      <c r="N82" s="88">
        <f>SUMIFS(tabela_registros[VALOR],tabela_registros[MÊS],$AE$1,tabela_registros[DIA],receitasfixasconsolidadoabr[[#Headers],[10]],tabela_registros[REGISTRO],DADOS!$N$3,tabela_registros[TIPO],DADOS!$V$3,tabela_registros[CATEGORIA],receitasfixasconsolidadoabr[[#This Row],[ATUAL]])</f>
        <v>0</v>
      </c>
      <c r="O82" s="88">
        <f>SUMIFS(tabela_registros[VALOR],tabela_registros[MÊS],$AE$1,tabela_registros[DIA],receitasfixasconsolidadoabr[[#Headers],[11]],tabela_registros[REGISTRO],DADOS!$N$3,tabela_registros[TIPO],DADOS!$V$3,tabela_registros[CATEGORIA],receitasfixasconsolidadoabr[[#This Row],[ATUAL]])</f>
        <v>0</v>
      </c>
      <c r="P82" s="88">
        <f>SUMIFS(tabela_registros[VALOR],tabela_registros[MÊS],$AE$1,tabela_registros[DIA],receitasfixasconsolidadoabr[[#Headers],[12]],tabela_registros[REGISTRO],DADOS!$N$3,tabela_registros[TIPO],DADOS!$V$3,tabela_registros[CATEGORIA],receitasfixasconsolidadoabr[[#This Row],[ATUAL]])</f>
        <v>0</v>
      </c>
      <c r="Q82" s="88">
        <f>SUMIFS(tabela_registros[VALOR],tabela_registros[MÊS],$AE$1,tabela_registros[DIA],receitasfixasconsolidadoabr[[#Headers],[13]],tabela_registros[REGISTRO],DADOS!$N$3,tabela_registros[TIPO],DADOS!$V$3,tabela_registros[CATEGORIA],receitasfixasconsolidadoabr[[#This Row],[ATUAL]])</f>
        <v>0</v>
      </c>
      <c r="R82" s="88">
        <f>SUMIFS(tabela_registros[VALOR],tabela_registros[MÊS],$AE$1,tabela_registros[DIA],receitasfixasconsolidadoabr[[#Headers],[14]],tabela_registros[REGISTRO],DADOS!$N$3,tabela_registros[TIPO],DADOS!$V$3,tabela_registros[CATEGORIA],receitasfixasconsolidadoabr[[#This Row],[ATUAL]])</f>
        <v>0</v>
      </c>
      <c r="S82" s="88">
        <f>SUMIFS(tabela_registros[VALOR],tabela_registros[MÊS],$AE$1,tabela_registros[DIA],receitasfixasconsolidadoabr[[#Headers],[15]],tabela_registros[REGISTRO],DADOS!$N$3,tabela_registros[TIPO],DADOS!$V$3,tabela_registros[CATEGORIA],receitasfixasconsolidadoabr[[#This Row],[ATUAL]])</f>
        <v>0</v>
      </c>
      <c r="T82" s="88">
        <f>SUMIFS(tabela_registros[VALOR],tabela_registros[MÊS],$AE$1,tabela_registros[DIA],receitasfixasconsolidadoabr[[#Headers],[16]],tabela_registros[REGISTRO],DADOS!$N$3,tabela_registros[TIPO],DADOS!$V$3,tabela_registros[CATEGORIA],receitasfixasconsolidadoabr[[#This Row],[ATUAL]])</f>
        <v>0</v>
      </c>
      <c r="U82" s="88">
        <f>SUMIFS(tabela_registros[VALOR],tabela_registros[MÊS],$AE$1,tabela_registros[DIA],receitasfixasconsolidadoabr[[#Headers],[17]],tabela_registros[REGISTRO],DADOS!$N$3,tabela_registros[TIPO],DADOS!$V$3,tabela_registros[CATEGORIA],receitasfixasconsolidadoabr[[#This Row],[ATUAL]])</f>
        <v>0</v>
      </c>
      <c r="V82" s="88">
        <f>SUMIFS(tabela_registros[VALOR],tabela_registros[MÊS],$AE$1,tabela_registros[DIA],receitasfixasconsolidadoabr[[#Headers],[18]],tabela_registros[REGISTRO],DADOS!$N$3,tabela_registros[TIPO],DADOS!$V$3,tabela_registros[CATEGORIA],receitasfixasconsolidadoabr[[#This Row],[ATUAL]])</f>
        <v>0</v>
      </c>
      <c r="W82" s="88">
        <f>SUMIFS(tabela_registros[VALOR],tabela_registros[MÊS],$AE$1,tabela_registros[DIA],receitasfixasconsolidadoabr[[#Headers],[19]],tabela_registros[REGISTRO],DADOS!$N$3,tabela_registros[TIPO],DADOS!$V$3,tabela_registros[CATEGORIA],receitasfixasconsolidadoabr[[#This Row],[ATUAL]])</f>
        <v>0</v>
      </c>
      <c r="X82" s="88">
        <f>SUMIFS(tabela_registros[VALOR],tabela_registros[MÊS],$AE$1,tabela_registros[DIA],receitasfixasconsolidadoabr[[#Headers],[20]],tabela_registros[REGISTRO],DADOS!$N$3,tabela_registros[TIPO],DADOS!$V$3,tabela_registros[CATEGORIA],receitasfixasconsolidadoabr[[#This Row],[ATUAL]])</f>
        <v>0</v>
      </c>
      <c r="Y82" s="88">
        <f>SUMIFS(tabela_registros[VALOR],tabela_registros[MÊS],$AE$1,tabela_registros[DIA],receitasfixasconsolidadoabr[[#Headers],[21]],tabela_registros[REGISTRO],DADOS!$N$3,tabela_registros[TIPO],DADOS!$V$3,tabela_registros[CATEGORIA],receitasfixasconsolidadoabr[[#This Row],[ATUAL]])</f>
        <v>0</v>
      </c>
      <c r="Z82" s="88">
        <f>SUMIFS(tabela_registros[VALOR],tabela_registros[MÊS],$AE$1,tabela_registros[DIA],receitasfixasconsolidadoabr[[#Headers],[22]],tabela_registros[REGISTRO],DADOS!$N$3,tabela_registros[TIPO],DADOS!$V$3,tabela_registros[CATEGORIA],receitasfixasconsolidadoabr[[#This Row],[ATUAL]])</f>
        <v>0</v>
      </c>
      <c r="AA82" s="88">
        <f>SUMIFS(tabela_registros[VALOR],tabela_registros[MÊS],$AE$1,tabela_registros[DIA],receitasfixasconsolidadoabr[[#Headers],[23]],tabela_registros[REGISTRO],DADOS!$N$3,tabela_registros[TIPO],DADOS!$V$3,tabela_registros[CATEGORIA],receitasfixasconsolidadoabr[[#This Row],[ATUAL]])</f>
        <v>0</v>
      </c>
      <c r="AB82" s="88">
        <f>SUMIFS(tabela_registros[VALOR],tabela_registros[MÊS],$AE$1,tabela_registros[DIA],receitasfixasconsolidadoabr[[#Headers],[24]],tabela_registros[REGISTRO],DADOS!$N$3,tabela_registros[TIPO],DADOS!$V$3,tabela_registros[CATEGORIA],receitasfixasconsolidadoabr[[#This Row],[ATUAL]])</f>
        <v>0</v>
      </c>
      <c r="AC82" s="88">
        <f>SUMIFS(tabela_registros[VALOR],tabela_registros[MÊS],$AE$1,tabela_registros[DIA],receitasfixasconsolidadoabr[[#Headers],[25]],tabela_registros[REGISTRO],DADOS!$N$3,tabela_registros[TIPO],DADOS!$V$3,tabela_registros[CATEGORIA],receitasfixasconsolidadoabr[[#This Row],[ATUAL]])</f>
        <v>0</v>
      </c>
      <c r="AD82" s="88">
        <f>SUMIFS(tabela_registros[VALOR],tabela_registros[MÊS],$AE$1,tabela_registros[DIA],receitasfixasconsolidadoabr[[#Headers],[26]],tabela_registros[REGISTRO],DADOS!$N$3,tabela_registros[TIPO],DADOS!$V$3,tabela_registros[CATEGORIA],receitasfixasconsolidadoabr[[#This Row],[ATUAL]])</f>
        <v>0</v>
      </c>
      <c r="AE82" s="88">
        <f>SUMIFS(tabela_registros[VALOR],tabela_registros[MÊS],$AE$1,tabela_registros[DIA],receitasfixasconsolidadoabr[[#Headers],[27]],tabela_registros[REGISTRO],DADOS!$N$3,tabela_registros[TIPO],DADOS!$V$3,tabela_registros[CATEGORIA],receitasfixasconsolidadoabr[[#This Row],[ATUAL]])</f>
        <v>0</v>
      </c>
      <c r="AF82" s="88">
        <f>SUMIFS(tabela_registros[VALOR],tabela_registros[MÊS],$AE$1,tabela_registros[DIA],receitasfixasconsolidadoabr[[#Headers],[28]],tabela_registros[REGISTRO],DADOS!$N$3,tabela_registros[TIPO],DADOS!$V$3,tabela_registros[CATEGORIA],receitasfixasconsolidadoabr[[#This Row],[ATUAL]])</f>
        <v>0</v>
      </c>
      <c r="AG82" s="88">
        <f>SUMIFS(tabela_registros[VALOR],tabela_registros[MÊS],$AE$1,tabela_registros[DIA],receitasfixasconsolidadoabr[[#Headers],[29]],tabela_registros[REGISTRO],DADOS!$N$3,tabela_registros[TIPO],DADOS!$V$3,tabela_registros[CATEGORIA],receitasfixasconsolidadoabr[[#This Row],[ATUAL]])</f>
        <v>0</v>
      </c>
      <c r="AH82" s="88">
        <f>SUMIFS(tabela_registros[VALOR],tabela_registros[MÊS],$AE$1,tabela_registros[DIA],receitasfixasconsolidadoabr[[#Headers],[30]],tabela_registros[REGISTRO],DADOS!$N$3,tabela_registros[TIPO],DADOS!$V$3,tabela_registros[CATEGORIA],receitasfixasconsolidadoabr[[#This Row],[ATUAL]])</f>
        <v>0</v>
      </c>
      <c r="AI82" s="100">
        <f>SUMIFS(tabela_registros[VALOR],tabela_registros[MÊS],$AE$1,tabela_registros[DIA],receitasfixasconsolidadoabr[[#Headers],[31]],tabela_registros[REGISTRO],DADOS!$N$3,tabela_registros[TIPO],DADOS!$V$3,tabela_registros[CATEGORIA],receitasfixasconsolidadoabr[[#This Row],[ATUAL]])</f>
        <v>0</v>
      </c>
      <c r="AJ82" s="97">
        <f>SUM(receitasfixasconsolidadoabr[[#This Row],[1]:[31]])</f>
        <v>158</v>
      </c>
      <c r="AK82" s="25"/>
    </row>
    <row r="83" spans="2:37" ht="19.5" customHeight="1" thickTop="1" thickBot="1" x14ac:dyDescent="0.3">
      <c r="B83" s="28"/>
      <c r="C83" s="27" t="str">
        <f>DADOS!$X$4</f>
        <v>💸APOSENTADORIA</v>
      </c>
      <c r="D83" s="26" t="str">
        <f>IF(receitasfixasconsolidadoabr[[#This Row],[TOTAL (R$)]]=0,"",IF(OR(receitasfixasconsolidadoabr[[#This Row],[TOTAL (R$)]]=LARGE($AJ$82:$AJ$86,1),receitasfixasconsolidadoabr[[#This Row],[TOTAL (R$)]]=LARGE($AJ$82:$AJ$86,2)),DADOS!$I$9,""))</f>
        <v/>
      </c>
      <c r="E83" s="96">
        <f>SUMIFS(tabela_registros[VALOR],tabela_registros[MÊS],$AE$1,tabela_registros[DIA],receitasfixasconsolidadoabr[[#Headers],[1]],tabela_registros[REGISTRO],DADOS!$N$3,tabela_registros[TIPO],DADOS!$V$3,tabela_registros[CATEGORIA],receitasfixasconsolidadoabr[[#This Row],[ATUAL]])</f>
        <v>0</v>
      </c>
      <c r="F83" s="91">
        <f>SUMIFS(tabela_registros[VALOR],tabela_registros[MÊS],$AE$1,tabela_registros[DIA],receitasfixasconsolidadoabr[[#Headers],[2]],tabela_registros[REGISTRO],DADOS!$N$3,tabela_registros[TIPO],DADOS!$V$3,tabela_registros[CATEGORIA],receitasfixasconsolidadoabr[[#This Row],[ATUAL]])</f>
        <v>0</v>
      </c>
      <c r="G83" s="91">
        <f>SUMIFS(tabela_registros[VALOR],tabela_registros[MÊS],$AE$1,tabela_registros[DIA],receitasfixasconsolidadoabr[[#Headers],[3]],tabela_registros[REGISTRO],DADOS!$N$3,tabela_registros[TIPO],DADOS!$V$3,tabela_registros[CATEGORIA],receitasfixasconsolidadoabr[[#This Row],[ATUAL]])</f>
        <v>0</v>
      </c>
      <c r="H83" s="91">
        <f>SUMIFS(tabela_registros[VALOR],tabela_registros[MÊS],$AE$1,tabela_registros[DIA],receitasfixasconsolidadoabr[[#Headers],[4]],tabela_registros[REGISTRO],DADOS!$N$3,tabela_registros[TIPO],DADOS!$V$3,tabela_registros[CATEGORIA],receitasfixasconsolidadoabr[[#This Row],[ATUAL]])</f>
        <v>0</v>
      </c>
      <c r="I83" s="91">
        <f>SUMIFS(tabela_registros[VALOR],tabela_registros[MÊS],$AE$1,tabela_registros[DIA],receitasfixasconsolidadoabr[[#Headers],[5]],tabela_registros[REGISTRO],DADOS!$N$3,tabela_registros[TIPO],DADOS!$V$3,tabela_registros[CATEGORIA],receitasfixasconsolidadoabr[[#This Row],[ATUAL]])</f>
        <v>0</v>
      </c>
      <c r="J83" s="91">
        <f>SUMIFS(tabela_registros[VALOR],tabela_registros[MÊS],$AE$1,tabela_registros[DIA],receitasfixasconsolidadoabr[[#Headers],[6]],tabela_registros[REGISTRO],DADOS!$N$3,tabela_registros[TIPO],DADOS!$V$3,tabela_registros[CATEGORIA],receitasfixasconsolidadoabr[[#This Row],[ATUAL]])</f>
        <v>0</v>
      </c>
      <c r="K83" s="91">
        <f>SUMIFS(tabela_registros[VALOR],tabela_registros[MÊS],$AE$1,tabela_registros[DIA],receitasfixasconsolidadoabr[[#Headers],[7]],tabela_registros[REGISTRO],DADOS!$N$3,tabela_registros[TIPO],DADOS!$V$3,tabela_registros[CATEGORIA],receitasfixasconsolidadoabr[[#This Row],[ATUAL]])</f>
        <v>0</v>
      </c>
      <c r="L83" s="91">
        <f>SUMIFS(tabela_registros[VALOR],tabela_registros[MÊS],$AE$1,tabela_registros[DIA],receitasfixasconsolidadoabr[[#Headers],[8]],tabela_registros[REGISTRO],DADOS!$N$3,tabela_registros[TIPO],DADOS!$V$3,tabela_registros[CATEGORIA],receitasfixasconsolidadoabr[[#This Row],[ATUAL]])</f>
        <v>0</v>
      </c>
      <c r="M83" s="91">
        <f>SUMIFS(tabela_registros[VALOR],tabela_registros[MÊS],$AE$1,tabela_registros[DIA],receitasfixasconsolidadoabr[[#Headers],[9]],tabela_registros[REGISTRO],DADOS!$N$3,tabela_registros[TIPO],DADOS!$V$3,tabela_registros[CATEGORIA],receitasfixasconsolidadoabr[[#This Row],[ATUAL]])</f>
        <v>0</v>
      </c>
      <c r="N83" s="91">
        <f>SUMIFS(tabela_registros[VALOR],tabela_registros[MÊS],$AE$1,tabela_registros[DIA],receitasfixasconsolidadoabr[[#Headers],[10]],tabela_registros[REGISTRO],DADOS!$N$3,tabela_registros[TIPO],DADOS!$V$3,tabela_registros[CATEGORIA],receitasfixasconsolidadoabr[[#This Row],[ATUAL]])</f>
        <v>0</v>
      </c>
      <c r="O83" s="91">
        <f>SUMIFS(tabela_registros[VALOR],tabela_registros[MÊS],$AE$1,tabela_registros[DIA],receitasfixasconsolidadoabr[[#Headers],[11]],tabela_registros[REGISTRO],DADOS!$N$3,tabela_registros[TIPO],DADOS!$V$3,tabela_registros[CATEGORIA],receitasfixasconsolidadoabr[[#This Row],[ATUAL]])</f>
        <v>0</v>
      </c>
      <c r="P83" s="91">
        <f>SUMIFS(tabela_registros[VALOR],tabela_registros[MÊS],$AE$1,tabela_registros[DIA],receitasfixasconsolidadoabr[[#Headers],[12]],tabela_registros[REGISTRO],DADOS!$N$3,tabela_registros[TIPO],DADOS!$V$3,tabela_registros[CATEGORIA],receitasfixasconsolidadoabr[[#This Row],[ATUAL]])</f>
        <v>0</v>
      </c>
      <c r="Q83" s="91">
        <f>SUMIFS(tabela_registros[VALOR],tabela_registros[MÊS],$AE$1,tabela_registros[DIA],receitasfixasconsolidadoabr[[#Headers],[13]],tabela_registros[REGISTRO],DADOS!$N$3,tabela_registros[TIPO],DADOS!$V$3,tabela_registros[CATEGORIA],receitasfixasconsolidadoabr[[#This Row],[ATUAL]])</f>
        <v>0</v>
      </c>
      <c r="R83" s="91">
        <f>SUMIFS(tabela_registros[VALOR],tabela_registros[MÊS],$AE$1,tabela_registros[DIA],receitasfixasconsolidadoabr[[#Headers],[14]],tabela_registros[REGISTRO],DADOS!$N$3,tabela_registros[TIPO],DADOS!$V$3,tabela_registros[CATEGORIA],receitasfixasconsolidadoabr[[#This Row],[ATUAL]])</f>
        <v>0</v>
      </c>
      <c r="S83" s="91">
        <f>SUMIFS(tabela_registros[VALOR],tabela_registros[MÊS],$AE$1,tabela_registros[DIA],receitasfixasconsolidadoabr[[#Headers],[15]],tabela_registros[REGISTRO],DADOS!$N$3,tabela_registros[TIPO],DADOS!$V$3,tabela_registros[CATEGORIA],receitasfixasconsolidadoabr[[#This Row],[ATUAL]])</f>
        <v>0</v>
      </c>
      <c r="T83" s="91">
        <f>SUMIFS(tabela_registros[VALOR],tabela_registros[MÊS],$AE$1,tabela_registros[DIA],receitasfixasconsolidadoabr[[#Headers],[16]],tabela_registros[REGISTRO],DADOS!$N$3,tabela_registros[TIPO],DADOS!$V$3,tabela_registros[CATEGORIA],receitasfixasconsolidadoabr[[#This Row],[ATUAL]])</f>
        <v>0</v>
      </c>
      <c r="U83" s="91">
        <f>SUMIFS(tabela_registros[VALOR],tabela_registros[MÊS],$AE$1,tabela_registros[DIA],receitasfixasconsolidadoabr[[#Headers],[17]],tabela_registros[REGISTRO],DADOS!$N$3,tabela_registros[TIPO],DADOS!$V$3,tabela_registros[CATEGORIA],receitasfixasconsolidadoabr[[#This Row],[ATUAL]])</f>
        <v>0</v>
      </c>
      <c r="V83" s="91">
        <f>SUMIFS(tabela_registros[VALOR],tabela_registros[MÊS],$AE$1,tabela_registros[DIA],receitasfixasconsolidadoabr[[#Headers],[18]],tabela_registros[REGISTRO],DADOS!$N$3,tabela_registros[TIPO],DADOS!$V$3,tabela_registros[CATEGORIA],receitasfixasconsolidadoabr[[#This Row],[ATUAL]])</f>
        <v>0</v>
      </c>
      <c r="W83" s="91">
        <f>SUMIFS(tabela_registros[VALOR],tabela_registros[MÊS],$AE$1,tabela_registros[DIA],receitasfixasconsolidadoabr[[#Headers],[19]],tabela_registros[REGISTRO],DADOS!$N$3,tabela_registros[TIPO],DADOS!$V$3,tabela_registros[CATEGORIA],receitasfixasconsolidadoabr[[#This Row],[ATUAL]])</f>
        <v>0</v>
      </c>
      <c r="X83" s="91">
        <f>SUMIFS(tabela_registros[VALOR],tabela_registros[MÊS],$AE$1,tabela_registros[DIA],receitasfixasconsolidadoabr[[#Headers],[20]],tabela_registros[REGISTRO],DADOS!$N$3,tabela_registros[TIPO],DADOS!$V$3,tabela_registros[CATEGORIA],receitasfixasconsolidadoabr[[#This Row],[ATUAL]])</f>
        <v>0</v>
      </c>
      <c r="Y83" s="91">
        <f>SUMIFS(tabela_registros[VALOR],tabela_registros[MÊS],$AE$1,tabela_registros[DIA],receitasfixasconsolidadoabr[[#Headers],[21]],tabela_registros[REGISTRO],DADOS!$N$3,tabela_registros[TIPO],DADOS!$V$3,tabela_registros[CATEGORIA],receitasfixasconsolidadoabr[[#This Row],[ATUAL]])</f>
        <v>0</v>
      </c>
      <c r="Z83" s="91">
        <f>SUMIFS(tabela_registros[VALOR],tabela_registros[MÊS],$AE$1,tabela_registros[DIA],receitasfixasconsolidadoabr[[#Headers],[22]],tabela_registros[REGISTRO],DADOS!$N$3,tabela_registros[TIPO],DADOS!$V$3,tabela_registros[CATEGORIA],receitasfixasconsolidadoabr[[#This Row],[ATUAL]])</f>
        <v>0</v>
      </c>
      <c r="AA83" s="91">
        <f>SUMIFS(tabela_registros[VALOR],tabela_registros[MÊS],$AE$1,tabela_registros[DIA],receitasfixasconsolidadoabr[[#Headers],[23]],tabela_registros[REGISTRO],DADOS!$N$3,tabela_registros[TIPO],DADOS!$V$3,tabela_registros[CATEGORIA],receitasfixasconsolidadoabr[[#This Row],[ATUAL]])</f>
        <v>0</v>
      </c>
      <c r="AB83" s="91">
        <f>SUMIFS(tabela_registros[VALOR],tabela_registros[MÊS],$AE$1,tabela_registros[DIA],receitasfixasconsolidadoabr[[#Headers],[24]],tabela_registros[REGISTRO],DADOS!$N$3,tabela_registros[TIPO],DADOS!$V$3,tabela_registros[CATEGORIA],receitasfixasconsolidadoabr[[#This Row],[ATUAL]])</f>
        <v>0</v>
      </c>
      <c r="AC83" s="91">
        <f>SUMIFS(tabela_registros[VALOR],tabela_registros[MÊS],$AE$1,tabela_registros[DIA],receitasfixasconsolidadoabr[[#Headers],[25]],tabela_registros[REGISTRO],DADOS!$N$3,tabela_registros[TIPO],DADOS!$V$3,tabela_registros[CATEGORIA],receitasfixasconsolidadoabr[[#This Row],[ATUAL]])</f>
        <v>0</v>
      </c>
      <c r="AD83" s="91">
        <f>SUMIFS(tabela_registros[VALOR],tabela_registros[MÊS],$AE$1,tabela_registros[DIA],receitasfixasconsolidadoabr[[#Headers],[26]],tabela_registros[REGISTRO],DADOS!$N$3,tabela_registros[TIPO],DADOS!$V$3,tabela_registros[CATEGORIA],receitasfixasconsolidadoabr[[#This Row],[ATUAL]])</f>
        <v>0</v>
      </c>
      <c r="AE83" s="91">
        <f>SUMIFS(tabela_registros[VALOR],tabela_registros[MÊS],$AE$1,tabela_registros[DIA],receitasfixasconsolidadoabr[[#Headers],[27]],tabela_registros[REGISTRO],DADOS!$N$3,tabela_registros[TIPO],DADOS!$V$3,tabela_registros[CATEGORIA],receitasfixasconsolidadoabr[[#This Row],[ATUAL]])</f>
        <v>0</v>
      </c>
      <c r="AF83" s="91">
        <f>SUMIFS(tabela_registros[VALOR],tabela_registros[MÊS],$AE$1,tabela_registros[DIA],receitasfixasconsolidadoabr[[#Headers],[28]],tabela_registros[REGISTRO],DADOS!$N$3,tabela_registros[TIPO],DADOS!$V$3,tabela_registros[CATEGORIA],receitasfixasconsolidadoabr[[#This Row],[ATUAL]])</f>
        <v>0</v>
      </c>
      <c r="AG83" s="91">
        <f>SUMIFS(tabela_registros[VALOR],tabela_registros[MÊS],$AE$1,tabela_registros[DIA],receitasfixasconsolidadoabr[[#Headers],[29]],tabela_registros[REGISTRO],DADOS!$N$3,tabela_registros[TIPO],DADOS!$V$3,tabela_registros[CATEGORIA],receitasfixasconsolidadoabr[[#This Row],[ATUAL]])</f>
        <v>0</v>
      </c>
      <c r="AH83" s="91">
        <f>SUMIFS(tabela_registros[VALOR],tabela_registros[MÊS],$AE$1,tabela_registros[DIA],receitasfixasconsolidadoabr[[#Headers],[30]],tabela_registros[REGISTRO],DADOS!$N$3,tabela_registros[TIPO],DADOS!$V$3,tabela_registros[CATEGORIA],receitasfixasconsolidadoabr[[#This Row],[ATUAL]])</f>
        <v>0</v>
      </c>
      <c r="AI83" s="101">
        <f>SUMIFS(tabela_registros[VALOR],tabela_registros[MÊS],$AE$1,tabela_registros[DIA],receitasfixasconsolidadoabr[[#Headers],[31]],tabela_registros[REGISTRO],DADOS!$N$3,tabela_registros[TIPO],DADOS!$V$3,tabela_registros[CATEGORIA],receitasfixasconsolidadoabr[[#This Row],[ATUAL]])</f>
        <v>0</v>
      </c>
      <c r="AJ83" s="97">
        <f>SUM(receitasfixasconsolidadoabr[[#This Row],[1]:[31]])</f>
        <v>0</v>
      </c>
      <c r="AK83" s="25"/>
    </row>
    <row r="84" spans="2:37" ht="19.5" customHeight="1" thickTop="1" thickBot="1" x14ac:dyDescent="0.3">
      <c r="B84" s="28"/>
      <c r="C84" s="27" t="str">
        <f>DADOS!$X$5</f>
        <v>🎀 MESADA</v>
      </c>
      <c r="D84" s="26" t="str">
        <f>IF(receitasfixasconsolidadoabr[[#This Row],[TOTAL (R$)]]=0,"",IF(OR(receitasfixasconsolidadoabr[[#This Row],[TOTAL (R$)]]=LARGE($AJ$82:$AJ$86,1),receitasfixasconsolidadoabr[[#This Row],[TOTAL (R$)]]=LARGE($AJ$82:$AJ$86,2)),DADOS!$I$9,""))</f>
        <v/>
      </c>
      <c r="E84" s="96">
        <f>SUMIFS(tabela_registros[VALOR],tabela_registros[MÊS],$AE$1,tabela_registros[DIA],receitasfixasconsolidadoabr[[#Headers],[1]],tabela_registros[REGISTRO],DADOS!$N$3,tabela_registros[TIPO],DADOS!$V$3,tabela_registros[CATEGORIA],receitasfixasconsolidadoabr[[#This Row],[ATUAL]])</f>
        <v>0</v>
      </c>
      <c r="F84" s="91">
        <f>SUMIFS(tabela_registros[VALOR],tabela_registros[MÊS],$AE$1,tabela_registros[DIA],receitasfixasconsolidadoabr[[#Headers],[2]],tabela_registros[REGISTRO],DADOS!$N$3,tabela_registros[TIPO],DADOS!$V$3,tabela_registros[CATEGORIA],receitasfixasconsolidadoabr[[#This Row],[ATUAL]])</f>
        <v>0</v>
      </c>
      <c r="G84" s="91">
        <f>SUMIFS(tabela_registros[VALOR],tabela_registros[MÊS],$AE$1,tabela_registros[DIA],receitasfixasconsolidadoabr[[#Headers],[3]],tabela_registros[REGISTRO],DADOS!$N$3,tabela_registros[TIPO],DADOS!$V$3,tabela_registros[CATEGORIA],receitasfixasconsolidadoabr[[#This Row],[ATUAL]])</f>
        <v>0</v>
      </c>
      <c r="H84" s="91">
        <f>SUMIFS(tabela_registros[VALOR],tabela_registros[MÊS],$AE$1,tabela_registros[DIA],receitasfixasconsolidadoabr[[#Headers],[4]],tabela_registros[REGISTRO],DADOS!$N$3,tabela_registros[TIPO],DADOS!$V$3,tabela_registros[CATEGORIA],receitasfixasconsolidadoabr[[#This Row],[ATUAL]])</f>
        <v>0</v>
      </c>
      <c r="I84" s="91">
        <f>SUMIFS(tabela_registros[VALOR],tabela_registros[MÊS],$AE$1,tabela_registros[DIA],receitasfixasconsolidadoabr[[#Headers],[5]],tabela_registros[REGISTRO],DADOS!$N$3,tabela_registros[TIPO],DADOS!$V$3,tabela_registros[CATEGORIA],receitasfixasconsolidadoabr[[#This Row],[ATUAL]])</f>
        <v>0</v>
      </c>
      <c r="J84" s="91">
        <f>SUMIFS(tabela_registros[VALOR],tabela_registros[MÊS],$AE$1,tabela_registros[DIA],receitasfixasconsolidadoabr[[#Headers],[6]],tabela_registros[REGISTRO],DADOS!$N$3,tabela_registros[TIPO],DADOS!$V$3,tabela_registros[CATEGORIA],receitasfixasconsolidadoabr[[#This Row],[ATUAL]])</f>
        <v>0</v>
      </c>
      <c r="K84" s="91">
        <f>SUMIFS(tabela_registros[VALOR],tabela_registros[MÊS],$AE$1,tabela_registros[DIA],receitasfixasconsolidadoabr[[#Headers],[7]],tabela_registros[REGISTRO],DADOS!$N$3,tabela_registros[TIPO],DADOS!$V$3,tabela_registros[CATEGORIA],receitasfixasconsolidadoabr[[#This Row],[ATUAL]])</f>
        <v>0</v>
      </c>
      <c r="L84" s="91">
        <f>SUMIFS(tabela_registros[VALOR],tabela_registros[MÊS],$AE$1,tabela_registros[DIA],receitasfixasconsolidadoabr[[#Headers],[8]],tabela_registros[REGISTRO],DADOS!$N$3,tabela_registros[TIPO],DADOS!$V$3,tabela_registros[CATEGORIA],receitasfixasconsolidadoabr[[#This Row],[ATUAL]])</f>
        <v>0</v>
      </c>
      <c r="M84" s="91">
        <f>SUMIFS(tabela_registros[VALOR],tabela_registros[MÊS],$AE$1,tabela_registros[DIA],receitasfixasconsolidadoabr[[#Headers],[9]],tabela_registros[REGISTRO],DADOS!$N$3,tabela_registros[TIPO],DADOS!$V$3,tabela_registros[CATEGORIA],receitasfixasconsolidadoabr[[#This Row],[ATUAL]])</f>
        <v>0</v>
      </c>
      <c r="N84" s="91">
        <f>SUMIFS(tabela_registros[VALOR],tabela_registros[MÊS],$AE$1,tabela_registros[DIA],receitasfixasconsolidadoabr[[#Headers],[10]],tabela_registros[REGISTRO],DADOS!$N$3,tabela_registros[TIPO],DADOS!$V$3,tabela_registros[CATEGORIA],receitasfixasconsolidadoabr[[#This Row],[ATUAL]])</f>
        <v>0</v>
      </c>
      <c r="O84" s="91">
        <f>SUMIFS(tabela_registros[VALOR],tabela_registros[MÊS],$AE$1,tabela_registros[DIA],receitasfixasconsolidadoabr[[#Headers],[11]],tabela_registros[REGISTRO],DADOS!$N$3,tabela_registros[TIPO],DADOS!$V$3,tabela_registros[CATEGORIA],receitasfixasconsolidadoabr[[#This Row],[ATUAL]])</f>
        <v>0</v>
      </c>
      <c r="P84" s="91">
        <f>SUMIFS(tabela_registros[VALOR],tabela_registros[MÊS],$AE$1,tabela_registros[DIA],receitasfixasconsolidadoabr[[#Headers],[12]],tabela_registros[REGISTRO],DADOS!$N$3,tabela_registros[TIPO],DADOS!$V$3,tabela_registros[CATEGORIA],receitasfixasconsolidadoabr[[#This Row],[ATUAL]])</f>
        <v>0</v>
      </c>
      <c r="Q84" s="91">
        <f>SUMIFS(tabela_registros[VALOR],tabela_registros[MÊS],$AE$1,tabela_registros[DIA],receitasfixasconsolidadoabr[[#Headers],[13]],tabela_registros[REGISTRO],DADOS!$N$3,tabela_registros[TIPO],DADOS!$V$3,tabela_registros[CATEGORIA],receitasfixasconsolidadoabr[[#This Row],[ATUAL]])</f>
        <v>0</v>
      </c>
      <c r="R84" s="91">
        <f>SUMIFS(tabela_registros[VALOR],tabela_registros[MÊS],$AE$1,tabela_registros[DIA],receitasfixasconsolidadoabr[[#Headers],[14]],tabela_registros[REGISTRO],DADOS!$N$3,tabela_registros[TIPO],DADOS!$V$3,tabela_registros[CATEGORIA],receitasfixasconsolidadoabr[[#This Row],[ATUAL]])</f>
        <v>0</v>
      </c>
      <c r="S84" s="91">
        <f>SUMIFS(tabela_registros[VALOR],tabela_registros[MÊS],$AE$1,tabela_registros[DIA],receitasfixasconsolidadoabr[[#Headers],[15]],tabela_registros[REGISTRO],DADOS!$N$3,tabela_registros[TIPO],DADOS!$V$3,tabela_registros[CATEGORIA],receitasfixasconsolidadoabr[[#This Row],[ATUAL]])</f>
        <v>0</v>
      </c>
      <c r="T84" s="91">
        <f>SUMIFS(tabela_registros[VALOR],tabela_registros[MÊS],$AE$1,tabela_registros[DIA],receitasfixasconsolidadoabr[[#Headers],[16]],tabela_registros[REGISTRO],DADOS!$N$3,tabela_registros[TIPO],DADOS!$V$3,tabela_registros[CATEGORIA],receitasfixasconsolidadoabr[[#This Row],[ATUAL]])</f>
        <v>0</v>
      </c>
      <c r="U84" s="91">
        <f>SUMIFS(tabela_registros[VALOR],tabela_registros[MÊS],$AE$1,tabela_registros[DIA],receitasfixasconsolidadoabr[[#Headers],[17]],tabela_registros[REGISTRO],DADOS!$N$3,tabela_registros[TIPO],DADOS!$V$3,tabela_registros[CATEGORIA],receitasfixasconsolidadoabr[[#This Row],[ATUAL]])</f>
        <v>0</v>
      </c>
      <c r="V84" s="91">
        <f>SUMIFS(tabela_registros[VALOR],tabela_registros[MÊS],$AE$1,tabela_registros[DIA],receitasfixasconsolidadoabr[[#Headers],[18]],tabela_registros[REGISTRO],DADOS!$N$3,tabela_registros[TIPO],DADOS!$V$3,tabela_registros[CATEGORIA],receitasfixasconsolidadoabr[[#This Row],[ATUAL]])</f>
        <v>0</v>
      </c>
      <c r="W84" s="91">
        <f>SUMIFS(tabela_registros[VALOR],tabela_registros[MÊS],$AE$1,tabela_registros[DIA],receitasfixasconsolidadoabr[[#Headers],[19]],tabela_registros[REGISTRO],DADOS!$N$3,tabela_registros[TIPO],DADOS!$V$3,tabela_registros[CATEGORIA],receitasfixasconsolidadoabr[[#This Row],[ATUAL]])</f>
        <v>0</v>
      </c>
      <c r="X84" s="91">
        <f>SUMIFS(tabela_registros[VALOR],tabela_registros[MÊS],$AE$1,tabela_registros[DIA],receitasfixasconsolidadoabr[[#Headers],[20]],tabela_registros[REGISTRO],DADOS!$N$3,tabela_registros[TIPO],DADOS!$V$3,tabela_registros[CATEGORIA],receitasfixasconsolidadoabr[[#This Row],[ATUAL]])</f>
        <v>0</v>
      </c>
      <c r="Y84" s="91">
        <f>SUMIFS(tabela_registros[VALOR],tabela_registros[MÊS],$AE$1,tabela_registros[DIA],receitasfixasconsolidadoabr[[#Headers],[21]],tabela_registros[REGISTRO],DADOS!$N$3,tabela_registros[TIPO],DADOS!$V$3,tabela_registros[CATEGORIA],receitasfixasconsolidadoabr[[#This Row],[ATUAL]])</f>
        <v>0</v>
      </c>
      <c r="Z84" s="91">
        <f>SUMIFS(tabela_registros[VALOR],tabela_registros[MÊS],$AE$1,tabela_registros[DIA],receitasfixasconsolidadoabr[[#Headers],[22]],tabela_registros[REGISTRO],DADOS!$N$3,tabela_registros[TIPO],DADOS!$V$3,tabela_registros[CATEGORIA],receitasfixasconsolidadoabr[[#This Row],[ATUAL]])</f>
        <v>0</v>
      </c>
      <c r="AA84" s="91">
        <f>SUMIFS(tabela_registros[VALOR],tabela_registros[MÊS],$AE$1,tabela_registros[DIA],receitasfixasconsolidadoabr[[#Headers],[23]],tabela_registros[REGISTRO],DADOS!$N$3,tabela_registros[TIPO],DADOS!$V$3,tabela_registros[CATEGORIA],receitasfixasconsolidadoabr[[#This Row],[ATUAL]])</f>
        <v>0</v>
      </c>
      <c r="AB84" s="91">
        <f>SUMIFS(tabela_registros[VALOR],tabela_registros[MÊS],$AE$1,tabela_registros[DIA],receitasfixasconsolidadoabr[[#Headers],[24]],tabela_registros[REGISTRO],DADOS!$N$3,tabela_registros[TIPO],DADOS!$V$3,tabela_registros[CATEGORIA],receitasfixasconsolidadoabr[[#This Row],[ATUAL]])</f>
        <v>0</v>
      </c>
      <c r="AC84" s="91">
        <f>SUMIFS(tabela_registros[VALOR],tabela_registros[MÊS],$AE$1,tabela_registros[DIA],receitasfixasconsolidadoabr[[#Headers],[25]],tabela_registros[REGISTRO],DADOS!$N$3,tabela_registros[TIPO],DADOS!$V$3,tabela_registros[CATEGORIA],receitasfixasconsolidadoabr[[#This Row],[ATUAL]])</f>
        <v>0</v>
      </c>
      <c r="AD84" s="91">
        <f>SUMIFS(tabela_registros[VALOR],tabela_registros[MÊS],$AE$1,tabela_registros[DIA],receitasfixasconsolidadoabr[[#Headers],[26]],tabela_registros[REGISTRO],DADOS!$N$3,tabela_registros[TIPO],DADOS!$V$3,tabela_registros[CATEGORIA],receitasfixasconsolidadoabr[[#This Row],[ATUAL]])</f>
        <v>0</v>
      </c>
      <c r="AE84" s="91">
        <f>SUMIFS(tabela_registros[VALOR],tabela_registros[MÊS],$AE$1,tabela_registros[DIA],receitasfixasconsolidadoabr[[#Headers],[27]],tabela_registros[REGISTRO],DADOS!$N$3,tabela_registros[TIPO],DADOS!$V$3,tabela_registros[CATEGORIA],receitasfixasconsolidadoabr[[#This Row],[ATUAL]])</f>
        <v>0</v>
      </c>
      <c r="AF84" s="91">
        <f>SUMIFS(tabela_registros[VALOR],tabela_registros[MÊS],$AE$1,tabela_registros[DIA],receitasfixasconsolidadoabr[[#Headers],[28]],tabela_registros[REGISTRO],DADOS!$N$3,tabela_registros[TIPO],DADOS!$V$3,tabela_registros[CATEGORIA],receitasfixasconsolidadoabr[[#This Row],[ATUAL]])</f>
        <v>0</v>
      </c>
      <c r="AG84" s="91">
        <f>SUMIFS(tabela_registros[VALOR],tabela_registros[MÊS],$AE$1,tabela_registros[DIA],receitasfixasconsolidadoabr[[#Headers],[29]],tabela_registros[REGISTRO],DADOS!$N$3,tabela_registros[TIPO],DADOS!$V$3,tabela_registros[CATEGORIA],receitasfixasconsolidadoabr[[#This Row],[ATUAL]])</f>
        <v>0</v>
      </c>
      <c r="AH84" s="91">
        <f>SUMIFS(tabela_registros[VALOR],tabela_registros[MÊS],$AE$1,tabela_registros[DIA],receitasfixasconsolidadoabr[[#Headers],[30]],tabela_registros[REGISTRO],DADOS!$N$3,tabela_registros[TIPO],DADOS!$V$3,tabela_registros[CATEGORIA],receitasfixasconsolidadoabr[[#This Row],[ATUAL]])</f>
        <v>0</v>
      </c>
      <c r="AI84" s="101">
        <f>SUMIFS(tabela_registros[VALOR],tabela_registros[MÊS],$AE$1,tabela_registros[DIA],receitasfixasconsolidadoabr[[#Headers],[31]],tabela_registros[REGISTRO],DADOS!$N$3,tabela_registros[TIPO],DADOS!$V$3,tabela_registros[CATEGORIA],receitasfixasconsolidadoabr[[#This Row],[ATUAL]])</f>
        <v>0</v>
      </c>
      <c r="AJ84" s="97">
        <f>SUM(receitasfixasconsolidadoabr[[#This Row],[1]:[31]])</f>
        <v>0</v>
      </c>
      <c r="AK84" s="25"/>
    </row>
    <row r="85" spans="2:37" ht="19.5" customHeight="1" thickTop="1" thickBot="1" x14ac:dyDescent="0.3">
      <c r="B85" s="28"/>
      <c r="C85" s="27" t="str">
        <f>DADOS!$X$6</f>
        <v>💰 SALÁRIO</v>
      </c>
      <c r="D85" s="26" t="str">
        <f>IF(receitasfixasconsolidadoabr[[#This Row],[TOTAL (R$)]]=0,"",IF(OR(receitasfixasconsolidadoabr[[#This Row],[TOTAL (R$)]]=LARGE($AJ$82:$AJ$86,1),receitasfixasconsolidadoabr[[#This Row],[TOTAL (R$)]]=LARGE($AJ$82:$AJ$86,2)),DADOS!$I$9,""))</f>
        <v>🐄</v>
      </c>
      <c r="E85" s="96">
        <f>SUMIFS(tabela_registros[VALOR],tabela_registros[MÊS],$AE$1,tabela_registros[DIA],receitasfixasconsolidadoabr[[#Headers],[1]],tabela_registros[REGISTRO],DADOS!$N$3,tabela_registros[TIPO],DADOS!$V$3,tabela_registros[CATEGORIA],receitasfixasconsolidadoabr[[#This Row],[ATUAL]])</f>
        <v>152</v>
      </c>
      <c r="F85" s="91">
        <f>SUMIFS(tabela_registros[VALOR],tabela_registros[MÊS],$AE$1,tabela_registros[DIA],receitasfixasconsolidadoabr[[#Headers],[2]],tabela_registros[REGISTRO],DADOS!$N$3,tabela_registros[TIPO],DADOS!$V$3,tabela_registros[CATEGORIA],receitasfixasconsolidadoabr[[#This Row],[ATUAL]])</f>
        <v>0</v>
      </c>
      <c r="G85" s="91">
        <f>SUMIFS(tabela_registros[VALOR],tabela_registros[MÊS],$AE$1,tabela_registros[DIA],receitasfixasconsolidadoabr[[#Headers],[3]],tabela_registros[REGISTRO],DADOS!$N$3,tabela_registros[TIPO],DADOS!$V$3,tabela_registros[CATEGORIA],receitasfixasconsolidadoabr[[#This Row],[ATUAL]])</f>
        <v>0</v>
      </c>
      <c r="H85" s="91">
        <f>SUMIFS(tabela_registros[VALOR],tabela_registros[MÊS],$AE$1,tabela_registros[DIA],receitasfixasconsolidadoabr[[#Headers],[4]],tabela_registros[REGISTRO],DADOS!$N$3,tabela_registros[TIPO],DADOS!$V$3,tabela_registros[CATEGORIA],receitasfixasconsolidadoabr[[#This Row],[ATUAL]])</f>
        <v>0</v>
      </c>
      <c r="I85" s="91">
        <f>SUMIFS(tabela_registros[VALOR],tabela_registros[MÊS],$AE$1,tabela_registros[DIA],receitasfixasconsolidadoabr[[#Headers],[5]],tabela_registros[REGISTRO],DADOS!$N$3,tabela_registros[TIPO],DADOS!$V$3,tabela_registros[CATEGORIA],receitasfixasconsolidadoabr[[#This Row],[ATUAL]])</f>
        <v>0</v>
      </c>
      <c r="J85" s="91">
        <f>SUMIFS(tabela_registros[VALOR],tabela_registros[MÊS],$AE$1,tabela_registros[DIA],receitasfixasconsolidadoabr[[#Headers],[6]],tabela_registros[REGISTRO],DADOS!$N$3,tabela_registros[TIPO],DADOS!$V$3,tabela_registros[CATEGORIA],receitasfixasconsolidadoabr[[#This Row],[ATUAL]])</f>
        <v>0</v>
      </c>
      <c r="K85" s="91">
        <f>SUMIFS(tabela_registros[VALOR],tabela_registros[MÊS],$AE$1,tabela_registros[DIA],receitasfixasconsolidadoabr[[#Headers],[7]],tabela_registros[REGISTRO],DADOS!$N$3,tabela_registros[TIPO],DADOS!$V$3,tabela_registros[CATEGORIA],receitasfixasconsolidadoabr[[#This Row],[ATUAL]])</f>
        <v>0</v>
      </c>
      <c r="L85" s="91">
        <f>SUMIFS(tabela_registros[VALOR],tabela_registros[MÊS],$AE$1,tabela_registros[DIA],receitasfixasconsolidadoabr[[#Headers],[8]],tabela_registros[REGISTRO],DADOS!$N$3,tabela_registros[TIPO],DADOS!$V$3,tabela_registros[CATEGORIA],receitasfixasconsolidadoabr[[#This Row],[ATUAL]])</f>
        <v>0</v>
      </c>
      <c r="M85" s="91">
        <f>SUMIFS(tabela_registros[VALOR],tabela_registros[MÊS],$AE$1,tabela_registros[DIA],receitasfixasconsolidadoabr[[#Headers],[9]],tabela_registros[REGISTRO],DADOS!$N$3,tabela_registros[TIPO],DADOS!$V$3,tabela_registros[CATEGORIA],receitasfixasconsolidadoabr[[#This Row],[ATUAL]])</f>
        <v>0</v>
      </c>
      <c r="N85" s="91">
        <f>SUMIFS(tabela_registros[VALOR],tabela_registros[MÊS],$AE$1,tabela_registros[DIA],receitasfixasconsolidadoabr[[#Headers],[10]],tabela_registros[REGISTRO],DADOS!$N$3,tabela_registros[TIPO],DADOS!$V$3,tabela_registros[CATEGORIA],receitasfixasconsolidadoabr[[#This Row],[ATUAL]])</f>
        <v>0</v>
      </c>
      <c r="O85" s="91">
        <f>SUMIFS(tabela_registros[VALOR],tabela_registros[MÊS],$AE$1,tabela_registros[DIA],receitasfixasconsolidadoabr[[#Headers],[11]],tabela_registros[REGISTRO],DADOS!$N$3,tabela_registros[TIPO],DADOS!$V$3,tabela_registros[CATEGORIA],receitasfixasconsolidadoabr[[#This Row],[ATUAL]])</f>
        <v>0</v>
      </c>
      <c r="P85" s="91">
        <f>SUMIFS(tabela_registros[VALOR],tabela_registros[MÊS],$AE$1,tabela_registros[DIA],receitasfixasconsolidadoabr[[#Headers],[12]],tabela_registros[REGISTRO],DADOS!$N$3,tabela_registros[TIPO],DADOS!$V$3,tabela_registros[CATEGORIA],receitasfixasconsolidadoabr[[#This Row],[ATUAL]])</f>
        <v>0</v>
      </c>
      <c r="Q85" s="91">
        <f>SUMIFS(tabela_registros[VALOR],tabela_registros[MÊS],$AE$1,tabela_registros[DIA],receitasfixasconsolidadoabr[[#Headers],[13]],tabela_registros[REGISTRO],DADOS!$N$3,tabela_registros[TIPO],DADOS!$V$3,tabela_registros[CATEGORIA],receitasfixasconsolidadoabr[[#This Row],[ATUAL]])</f>
        <v>0</v>
      </c>
      <c r="R85" s="91">
        <f>SUMIFS(tabela_registros[VALOR],tabela_registros[MÊS],$AE$1,tabela_registros[DIA],receitasfixasconsolidadoabr[[#Headers],[14]],tabela_registros[REGISTRO],DADOS!$N$3,tabela_registros[TIPO],DADOS!$V$3,tabela_registros[CATEGORIA],receitasfixasconsolidadoabr[[#This Row],[ATUAL]])</f>
        <v>0</v>
      </c>
      <c r="S85" s="91">
        <f>SUMIFS(tabela_registros[VALOR],tabela_registros[MÊS],$AE$1,tabela_registros[DIA],receitasfixasconsolidadoabr[[#Headers],[15]],tabela_registros[REGISTRO],DADOS!$N$3,tabela_registros[TIPO],DADOS!$V$3,tabela_registros[CATEGORIA],receitasfixasconsolidadoabr[[#This Row],[ATUAL]])</f>
        <v>0</v>
      </c>
      <c r="T85" s="91">
        <f>SUMIFS(tabela_registros[VALOR],tabela_registros[MÊS],$AE$1,tabela_registros[DIA],receitasfixasconsolidadoabr[[#Headers],[16]],tabela_registros[REGISTRO],DADOS!$N$3,tabela_registros[TIPO],DADOS!$V$3,tabela_registros[CATEGORIA],receitasfixasconsolidadoabr[[#This Row],[ATUAL]])</f>
        <v>0</v>
      </c>
      <c r="U85" s="91">
        <f>SUMIFS(tabela_registros[VALOR],tabela_registros[MÊS],$AE$1,tabela_registros[DIA],receitasfixasconsolidadoabr[[#Headers],[17]],tabela_registros[REGISTRO],DADOS!$N$3,tabela_registros[TIPO],DADOS!$V$3,tabela_registros[CATEGORIA],receitasfixasconsolidadoabr[[#This Row],[ATUAL]])</f>
        <v>0</v>
      </c>
      <c r="V85" s="91">
        <f>SUMIFS(tabela_registros[VALOR],tabela_registros[MÊS],$AE$1,tabela_registros[DIA],receitasfixasconsolidadoabr[[#Headers],[18]],tabela_registros[REGISTRO],DADOS!$N$3,tabela_registros[TIPO],DADOS!$V$3,tabela_registros[CATEGORIA],receitasfixasconsolidadoabr[[#This Row],[ATUAL]])</f>
        <v>0</v>
      </c>
      <c r="W85" s="91">
        <f>SUMIFS(tabela_registros[VALOR],tabela_registros[MÊS],$AE$1,tabela_registros[DIA],receitasfixasconsolidadoabr[[#Headers],[19]],tabela_registros[REGISTRO],DADOS!$N$3,tabela_registros[TIPO],DADOS!$V$3,tabela_registros[CATEGORIA],receitasfixasconsolidadoabr[[#This Row],[ATUAL]])</f>
        <v>0</v>
      </c>
      <c r="X85" s="91">
        <f>SUMIFS(tabela_registros[VALOR],tabela_registros[MÊS],$AE$1,tabela_registros[DIA],receitasfixasconsolidadoabr[[#Headers],[20]],tabela_registros[REGISTRO],DADOS!$N$3,tabela_registros[TIPO],DADOS!$V$3,tabela_registros[CATEGORIA],receitasfixasconsolidadoabr[[#This Row],[ATUAL]])</f>
        <v>0</v>
      </c>
      <c r="Y85" s="91">
        <f>SUMIFS(tabela_registros[VALOR],tabela_registros[MÊS],$AE$1,tabela_registros[DIA],receitasfixasconsolidadoabr[[#Headers],[21]],tabela_registros[REGISTRO],DADOS!$N$3,tabela_registros[TIPO],DADOS!$V$3,tabela_registros[CATEGORIA],receitasfixasconsolidadoabr[[#This Row],[ATUAL]])</f>
        <v>0</v>
      </c>
      <c r="Z85" s="91">
        <f>SUMIFS(tabela_registros[VALOR],tabela_registros[MÊS],$AE$1,tabela_registros[DIA],receitasfixasconsolidadoabr[[#Headers],[22]],tabela_registros[REGISTRO],DADOS!$N$3,tabela_registros[TIPO],DADOS!$V$3,tabela_registros[CATEGORIA],receitasfixasconsolidadoabr[[#This Row],[ATUAL]])</f>
        <v>0</v>
      </c>
      <c r="AA85" s="91">
        <f>SUMIFS(tabela_registros[VALOR],tabela_registros[MÊS],$AE$1,tabela_registros[DIA],receitasfixasconsolidadoabr[[#Headers],[23]],tabela_registros[REGISTRO],DADOS!$N$3,tabela_registros[TIPO],DADOS!$V$3,tabela_registros[CATEGORIA],receitasfixasconsolidadoabr[[#This Row],[ATUAL]])</f>
        <v>0</v>
      </c>
      <c r="AB85" s="91">
        <f>SUMIFS(tabela_registros[VALOR],tabela_registros[MÊS],$AE$1,tabela_registros[DIA],receitasfixasconsolidadoabr[[#Headers],[24]],tabela_registros[REGISTRO],DADOS!$N$3,tabela_registros[TIPO],DADOS!$V$3,tabela_registros[CATEGORIA],receitasfixasconsolidadoabr[[#This Row],[ATUAL]])</f>
        <v>0</v>
      </c>
      <c r="AC85" s="91">
        <f>SUMIFS(tabela_registros[VALOR],tabela_registros[MÊS],$AE$1,tabela_registros[DIA],receitasfixasconsolidadoabr[[#Headers],[25]],tabela_registros[REGISTRO],DADOS!$N$3,tabela_registros[TIPO],DADOS!$V$3,tabela_registros[CATEGORIA],receitasfixasconsolidadoabr[[#This Row],[ATUAL]])</f>
        <v>0</v>
      </c>
      <c r="AD85" s="91">
        <f>SUMIFS(tabela_registros[VALOR],tabela_registros[MÊS],$AE$1,tabela_registros[DIA],receitasfixasconsolidadoabr[[#Headers],[26]],tabela_registros[REGISTRO],DADOS!$N$3,tabela_registros[TIPO],DADOS!$V$3,tabela_registros[CATEGORIA],receitasfixasconsolidadoabr[[#This Row],[ATUAL]])</f>
        <v>0</v>
      </c>
      <c r="AE85" s="91">
        <f>SUMIFS(tabela_registros[VALOR],tabela_registros[MÊS],$AE$1,tabela_registros[DIA],receitasfixasconsolidadoabr[[#Headers],[27]],tabela_registros[REGISTRO],DADOS!$N$3,tabela_registros[TIPO],DADOS!$V$3,tabela_registros[CATEGORIA],receitasfixasconsolidadoabr[[#This Row],[ATUAL]])</f>
        <v>0</v>
      </c>
      <c r="AF85" s="91">
        <f>SUMIFS(tabela_registros[VALOR],tabela_registros[MÊS],$AE$1,tabela_registros[DIA],receitasfixasconsolidadoabr[[#Headers],[28]],tabela_registros[REGISTRO],DADOS!$N$3,tabela_registros[TIPO],DADOS!$V$3,tabela_registros[CATEGORIA],receitasfixasconsolidadoabr[[#This Row],[ATUAL]])</f>
        <v>0</v>
      </c>
      <c r="AG85" s="91">
        <f>SUMIFS(tabela_registros[VALOR],tabela_registros[MÊS],$AE$1,tabela_registros[DIA],receitasfixasconsolidadoabr[[#Headers],[29]],tabela_registros[REGISTRO],DADOS!$N$3,tabela_registros[TIPO],DADOS!$V$3,tabela_registros[CATEGORIA],receitasfixasconsolidadoabr[[#This Row],[ATUAL]])</f>
        <v>0</v>
      </c>
      <c r="AH85" s="91">
        <f>SUMIFS(tabela_registros[VALOR],tabela_registros[MÊS],$AE$1,tabela_registros[DIA],receitasfixasconsolidadoabr[[#Headers],[30]],tabela_registros[REGISTRO],DADOS!$N$3,tabela_registros[TIPO],DADOS!$V$3,tabela_registros[CATEGORIA],receitasfixasconsolidadoabr[[#This Row],[ATUAL]])</f>
        <v>0</v>
      </c>
      <c r="AI85" s="101">
        <f>SUMIFS(tabela_registros[VALOR],tabela_registros[MÊS],$AE$1,tabela_registros[DIA],receitasfixasconsolidadoabr[[#Headers],[31]],tabela_registros[REGISTRO],DADOS!$N$3,tabela_registros[TIPO],DADOS!$V$3,tabela_registros[CATEGORIA],receitasfixasconsolidadoabr[[#This Row],[ATUAL]])</f>
        <v>0</v>
      </c>
      <c r="AJ85" s="97">
        <f>SUM(receitasfixasconsolidadoabr[[#This Row],[1]:[31]])</f>
        <v>152</v>
      </c>
      <c r="AK85" s="25"/>
    </row>
    <row r="86" spans="2:37" ht="18" customHeight="1" thickTop="1" thickBot="1" x14ac:dyDescent="0.3">
      <c r="B86" s="28"/>
      <c r="C86" s="27" t="str">
        <f>DADOS!$X$7</f>
        <v>📎 OUTROS</v>
      </c>
      <c r="D86" s="26" t="str">
        <f>IF(receitasfixasconsolidadoabr[[#This Row],[TOTAL (R$)]]=0,"",IF(OR(receitasfixasconsolidadoabr[[#This Row],[TOTAL (R$)]]=LARGE($AJ$82:$AJ$86,1),receitasfixasconsolidadoabr[[#This Row],[TOTAL (R$)]]=LARGE($AJ$82:$AJ$86,2)),DADOS!$I$9,""))</f>
        <v/>
      </c>
      <c r="E86" s="96">
        <f>SUMIFS(tabela_registros[VALOR],tabela_registros[MÊS],$AE$1,tabela_registros[DIA],receitasfixasconsolidadoabr[[#Headers],[1]],tabela_registros[REGISTRO],DADOS!$N$3,tabela_registros[TIPO],DADOS!$V$3,tabela_registros[CATEGORIA],receitasfixasconsolidadoabr[[#This Row],[ATUAL]])</f>
        <v>0</v>
      </c>
      <c r="F86" s="91">
        <f>SUMIFS(tabela_registros[VALOR],tabela_registros[MÊS],$AE$1,tabela_registros[DIA],receitasfixasconsolidadoabr[[#Headers],[2]],tabela_registros[REGISTRO],DADOS!$N$3,tabela_registros[TIPO],DADOS!$V$3,tabela_registros[CATEGORIA],receitasfixasconsolidadoabr[[#This Row],[ATUAL]])</f>
        <v>0</v>
      </c>
      <c r="G86" s="91">
        <f>SUMIFS(tabela_registros[VALOR],tabela_registros[MÊS],$AE$1,tabela_registros[DIA],receitasfixasconsolidadoabr[[#Headers],[3]],tabela_registros[REGISTRO],DADOS!$N$3,tabela_registros[TIPO],DADOS!$V$3,tabela_registros[CATEGORIA],receitasfixasconsolidadoabr[[#This Row],[ATUAL]])</f>
        <v>0</v>
      </c>
      <c r="H86" s="91">
        <f>SUMIFS(tabela_registros[VALOR],tabela_registros[MÊS],$AE$1,tabela_registros[DIA],receitasfixasconsolidadoabr[[#Headers],[4]],tabela_registros[REGISTRO],DADOS!$N$3,tabela_registros[TIPO],DADOS!$V$3,tabela_registros[CATEGORIA],receitasfixasconsolidadoabr[[#This Row],[ATUAL]])</f>
        <v>0</v>
      </c>
      <c r="I86" s="91">
        <f>SUMIFS(tabela_registros[VALOR],tabela_registros[MÊS],$AE$1,tabela_registros[DIA],receitasfixasconsolidadoabr[[#Headers],[5]],tabela_registros[REGISTRO],DADOS!$N$3,tabela_registros[TIPO],DADOS!$V$3,tabela_registros[CATEGORIA],receitasfixasconsolidadoabr[[#This Row],[ATUAL]])</f>
        <v>0</v>
      </c>
      <c r="J86" s="91">
        <f>SUMIFS(tabela_registros[VALOR],tabela_registros[MÊS],$AE$1,tabela_registros[DIA],receitasfixasconsolidadoabr[[#Headers],[6]],tabela_registros[REGISTRO],DADOS!$N$3,tabela_registros[TIPO],DADOS!$V$3,tabela_registros[CATEGORIA],receitasfixasconsolidadoabr[[#This Row],[ATUAL]])</f>
        <v>0</v>
      </c>
      <c r="K86" s="91">
        <f>SUMIFS(tabela_registros[VALOR],tabela_registros[MÊS],$AE$1,tabela_registros[DIA],receitasfixasconsolidadoabr[[#Headers],[7]],tabela_registros[REGISTRO],DADOS!$N$3,tabela_registros[TIPO],DADOS!$V$3,tabela_registros[CATEGORIA],receitasfixasconsolidadoabr[[#This Row],[ATUAL]])</f>
        <v>0</v>
      </c>
      <c r="L86" s="91">
        <f>SUMIFS(tabela_registros[VALOR],tabela_registros[MÊS],$AE$1,tabela_registros[DIA],receitasfixasconsolidadoabr[[#Headers],[8]],tabela_registros[REGISTRO],DADOS!$N$3,tabela_registros[TIPO],DADOS!$V$3,tabela_registros[CATEGORIA],receitasfixasconsolidadoabr[[#This Row],[ATUAL]])</f>
        <v>0</v>
      </c>
      <c r="M86" s="91">
        <f>SUMIFS(tabela_registros[VALOR],tabela_registros[MÊS],$AE$1,tabela_registros[DIA],receitasfixasconsolidadoabr[[#Headers],[9]],tabela_registros[REGISTRO],DADOS!$N$3,tabela_registros[TIPO],DADOS!$V$3,tabela_registros[CATEGORIA],receitasfixasconsolidadoabr[[#This Row],[ATUAL]])</f>
        <v>0</v>
      </c>
      <c r="N86" s="91">
        <f>SUMIFS(tabela_registros[VALOR],tabela_registros[MÊS],$AE$1,tabela_registros[DIA],receitasfixasconsolidadoabr[[#Headers],[10]],tabela_registros[REGISTRO],DADOS!$N$3,tabela_registros[TIPO],DADOS!$V$3,tabela_registros[CATEGORIA],receitasfixasconsolidadoabr[[#This Row],[ATUAL]])</f>
        <v>0</v>
      </c>
      <c r="O86" s="91">
        <f>SUMIFS(tabela_registros[VALOR],tabela_registros[MÊS],$AE$1,tabela_registros[DIA],receitasfixasconsolidadoabr[[#Headers],[11]],tabela_registros[REGISTRO],DADOS!$N$3,tabela_registros[TIPO],DADOS!$V$3,tabela_registros[CATEGORIA],receitasfixasconsolidadoabr[[#This Row],[ATUAL]])</f>
        <v>0</v>
      </c>
      <c r="P86" s="91">
        <f>SUMIFS(tabela_registros[VALOR],tabela_registros[MÊS],$AE$1,tabela_registros[DIA],receitasfixasconsolidadoabr[[#Headers],[12]],tabela_registros[REGISTRO],DADOS!$N$3,tabela_registros[TIPO],DADOS!$V$3,tabela_registros[CATEGORIA],receitasfixasconsolidadoabr[[#This Row],[ATUAL]])</f>
        <v>0</v>
      </c>
      <c r="Q86" s="91">
        <f>SUMIFS(tabela_registros[VALOR],tabela_registros[MÊS],$AE$1,tabela_registros[DIA],receitasfixasconsolidadoabr[[#Headers],[13]],tabela_registros[REGISTRO],DADOS!$N$3,tabela_registros[TIPO],DADOS!$V$3,tabela_registros[CATEGORIA],receitasfixasconsolidadoabr[[#This Row],[ATUAL]])</f>
        <v>0</v>
      </c>
      <c r="R86" s="91">
        <f>SUMIFS(tabela_registros[VALOR],tabela_registros[MÊS],$AE$1,tabela_registros[DIA],receitasfixasconsolidadoabr[[#Headers],[14]],tabela_registros[REGISTRO],DADOS!$N$3,tabela_registros[TIPO],DADOS!$V$3,tabela_registros[CATEGORIA],receitasfixasconsolidadoabr[[#This Row],[ATUAL]])</f>
        <v>0</v>
      </c>
      <c r="S86" s="91">
        <f>SUMIFS(tabela_registros[VALOR],tabela_registros[MÊS],$AE$1,tabela_registros[DIA],receitasfixasconsolidadoabr[[#Headers],[15]],tabela_registros[REGISTRO],DADOS!$N$3,tabela_registros[TIPO],DADOS!$V$3,tabela_registros[CATEGORIA],receitasfixasconsolidadoabr[[#This Row],[ATUAL]])</f>
        <v>0</v>
      </c>
      <c r="T86" s="91">
        <f>SUMIFS(tabela_registros[VALOR],tabela_registros[MÊS],$AE$1,tabela_registros[DIA],receitasfixasconsolidadoabr[[#Headers],[16]],tabela_registros[REGISTRO],DADOS!$N$3,tabela_registros[TIPO],DADOS!$V$3,tabela_registros[CATEGORIA],receitasfixasconsolidadoabr[[#This Row],[ATUAL]])</f>
        <v>0</v>
      </c>
      <c r="U86" s="91">
        <f>SUMIFS(tabela_registros[VALOR],tabela_registros[MÊS],$AE$1,tabela_registros[DIA],receitasfixasconsolidadoabr[[#Headers],[17]],tabela_registros[REGISTRO],DADOS!$N$3,tabela_registros[TIPO],DADOS!$V$3,tabela_registros[CATEGORIA],receitasfixasconsolidadoabr[[#This Row],[ATUAL]])</f>
        <v>0</v>
      </c>
      <c r="V86" s="91">
        <f>SUMIFS(tabela_registros[VALOR],tabela_registros[MÊS],$AE$1,tabela_registros[DIA],receitasfixasconsolidadoabr[[#Headers],[18]],tabela_registros[REGISTRO],DADOS!$N$3,tabela_registros[TIPO],DADOS!$V$3,tabela_registros[CATEGORIA],receitasfixasconsolidadoabr[[#This Row],[ATUAL]])</f>
        <v>0</v>
      </c>
      <c r="W86" s="91">
        <f>SUMIFS(tabela_registros[VALOR],tabela_registros[MÊS],$AE$1,tabela_registros[DIA],receitasfixasconsolidadoabr[[#Headers],[19]],tabela_registros[REGISTRO],DADOS!$N$3,tabela_registros[TIPO],DADOS!$V$3,tabela_registros[CATEGORIA],receitasfixasconsolidadoabr[[#This Row],[ATUAL]])</f>
        <v>0</v>
      </c>
      <c r="X86" s="91">
        <f>SUMIFS(tabela_registros[VALOR],tabela_registros[MÊS],$AE$1,tabela_registros[DIA],receitasfixasconsolidadoabr[[#Headers],[20]],tabela_registros[REGISTRO],DADOS!$N$3,tabela_registros[TIPO],DADOS!$V$3,tabela_registros[CATEGORIA],receitasfixasconsolidadoabr[[#This Row],[ATUAL]])</f>
        <v>0</v>
      </c>
      <c r="Y86" s="91">
        <f>SUMIFS(tabela_registros[VALOR],tabela_registros[MÊS],$AE$1,tabela_registros[DIA],receitasfixasconsolidadoabr[[#Headers],[21]],tabela_registros[REGISTRO],DADOS!$N$3,tabela_registros[TIPO],DADOS!$V$3,tabela_registros[CATEGORIA],receitasfixasconsolidadoabr[[#This Row],[ATUAL]])</f>
        <v>0</v>
      </c>
      <c r="Z86" s="91">
        <f>SUMIFS(tabela_registros[VALOR],tabela_registros[MÊS],$AE$1,tabela_registros[DIA],receitasfixasconsolidadoabr[[#Headers],[22]],tabela_registros[REGISTRO],DADOS!$N$3,tabela_registros[TIPO],DADOS!$V$3,tabela_registros[CATEGORIA],receitasfixasconsolidadoabr[[#This Row],[ATUAL]])</f>
        <v>0</v>
      </c>
      <c r="AA86" s="91">
        <f>SUMIFS(tabela_registros[VALOR],tabela_registros[MÊS],$AE$1,tabela_registros[DIA],receitasfixasconsolidadoabr[[#Headers],[23]],tabela_registros[REGISTRO],DADOS!$N$3,tabela_registros[TIPO],DADOS!$V$3,tabela_registros[CATEGORIA],receitasfixasconsolidadoabr[[#This Row],[ATUAL]])</f>
        <v>0</v>
      </c>
      <c r="AB86" s="91">
        <f>SUMIFS(tabela_registros[VALOR],tabela_registros[MÊS],$AE$1,tabela_registros[DIA],receitasfixasconsolidadoabr[[#Headers],[24]],tabela_registros[REGISTRO],DADOS!$N$3,tabela_registros[TIPO],DADOS!$V$3,tabela_registros[CATEGORIA],receitasfixasconsolidadoabr[[#This Row],[ATUAL]])</f>
        <v>0</v>
      </c>
      <c r="AC86" s="91">
        <f>SUMIFS(tabela_registros[VALOR],tabela_registros[MÊS],$AE$1,tabela_registros[DIA],receitasfixasconsolidadoabr[[#Headers],[25]],tabela_registros[REGISTRO],DADOS!$N$3,tabela_registros[TIPO],DADOS!$V$3,tabela_registros[CATEGORIA],receitasfixasconsolidadoabr[[#This Row],[ATUAL]])</f>
        <v>0</v>
      </c>
      <c r="AD86" s="91">
        <f>SUMIFS(tabela_registros[VALOR],tabela_registros[MÊS],$AE$1,tabela_registros[DIA],receitasfixasconsolidadoabr[[#Headers],[26]],tabela_registros[REGISTRO],DADOS!$N$3,tabela_registros[TIPO],DADOS!$V$3,tabela_registros[CATEGORIA],receitasfixasconsolidadoabr[[#This Row],[ATUAL]])</f>
        <v>0</v>
      </c>
      <c r="AE86" s="91">
        <f>SUMIFS(tabela_registros[VALOR],tabela_registros[MÊS],$AE$1,tabela_registros[DIA],receitasfixasconsolidadoabr[[#Headers],[27]],tabela_registros[REGISTRO],DADOS!$N$3,tabela_registros[TIPO],DADOS!$V$3,tabela_registros[CATEGORIA],receitasfixasconsolidadoabr[[#This Row],[ATUAL]])</f>
        <v>0</v>
      </c>
      <c r="AF86" s="91">
        <f>SUMIFS(tabela_registros[VALOR],tabela_registros[MÊS],$AE$1,tabela_registros[DIA],receitasfixasconsolidadoabr[[#Headers],[28]],tabela_registros[REGISTRO],DADOS!$N$3,tabela_registros[TIPO],DADOS!$V$3,tabela_registros[CATEGORIA],receitasfixasconsolidadoabr[[#This Row],[ATUAL]])</f>
        <v>0</v>
      </c>
      <c r="AG86" s="91">
        <f>SUMIFS(tabela_registros[VALOR],tabela_registros[MÊS],$AE$1,tabela_registros[DIA],receitasfixasconsolidadoabr[[#Headers],[29]],tabela_registros[REGISTRO],DADOS!$N$3,tabela_registros[TIPO],DADOS!$V$3,tabela_registros[CATEGORIA],receitasfixasconsolidadoabr[[#This Row],[ATUAL]])</f>
        <v>0</v>
      </c>
      <c r="AH86" s="91">
        <f>SUMIFS(tabela_registros[VALOR],tabela_registros[MÊS],$AE$1,tabela_registros[DIA],receitasfixasconsolidadoabr[[#Headers],[30]],tabela_registros[REGISTRO],DADOS!$N$3,tabela_registros[TIPO],DADOS!$V$3,tabela_registros[CATEGORIA],receitasfixasconsolidadoabr[[#This Row],[ATUAL]])</f>
        <v>0</v>
      </c>
      <c r="AI86" s="102">
        <f>SUMIFS(tabela_registros[VALOR],tabela_registros[MÊS],$AE$1,tabela_registros[DIA],receitasfixasconsolidadoabr[[#Headers],[31]],tabela_registros[REGISTRO],DADOS!$N$3,tabela_registros[TIPO],DADOS!$V$3,tabela_registros[CATEGORIA],receitasfixasconsolidadoabr[[#This Row],[ATUAL]])</f>
        <v>0</v>
      </c>
      <c r="AJ86" s="97">
        <f>SUM(receitasfixasconsolidadoabr[[#This Row],[1]:[31]])</f>
        <v>0</v>
      </c>
      <c r="AK86" s="25"/>
    </row>
    <row r="87" spans="2:37" s="16" customFormat="1" ht="21" customHeight="1" thickTop="1" thickBot="1" x14ac:dyDescent="0.35">
      <c r="B87" s="24"/>
      <c r="C87" s="23" t="s">
        <v>19</v>
      </c>
      <c r="D87" s="22"/>
      <c r="E87" s="21">
        <f>SUM(E82:E86)</f>
        <v>152</v>
      </c>
      <c r="F87" s="20">
        <f>SUM(F82:F86)+receitasfixasconsolidadoabr[[#This Row],[1]]</f>
        <v>310</v>
      </c>
      <c r="G87" s="20">
        <f>SUM(G82:G86)+receitasfixasconsolidadoabr[[#This Row],[2]]</f>
        <v>310</v>
      </c>
      <c r="H87" s="20">
        <f>SUM(H82:H86)+receitasfixasconsolidadoabr[[#This Row],[3]]</f>
        <v>310</v>
      </c>
      <c r="I87" s="20">
        <f>SUM(I82:I86)+receitasfixasconsolidadoabr[[#This Row],[4]]</f>
        <v>310</v>
      </c>
      <c r="J87" s="20">
        <f>SUM(J82:J86)+receitasfixasconsolidadoabr[[#This Row],[5]]</f>
        <v>310</v>
      </c>
      <c r="K87" s="20">
        <f>SUM(K82:K86)+receitasfixasconsolidadoabr[[#This Row],[6]]</f>
        <v>310</v>
      </c>
      <c r="L87" s="20">
        <f>SUM(L82:L86)+receitasfixasconsolidadoabr[[#This Row],[7]]</f>
        <v>310</v>
      </c>
      <c r="M87" s="20">
        <f>SUM(M82:M86)+receitasfixasconsolidadoabr[[#This Row],[8]]</f>
        <v>310</v>
      </c>
      <c r="N87" s="20">
        <f>SUM(N82:N86)+receitasfixasconsolidadoabr[[#This Row],[9]]</f>
        <v>310</v>
      </c>
      <c r="O87" s="20">
        <f>SUM(O82:O86)+receitasfixasconsolidadoabr[[#This Row],[10]]</f>
        <v>310</v>
      </c>
      <c r="P87" s="20">
        <f>SUM(P82:P86)+receitasfixasconsolidadoabr[[#This Row],[11]]</f>
        <v>310</v>
      </c>
      <c r="Q87" s="20">
        <f>SUM(Q82:Q86)+receitasfixasconsolidadoabr[[#This Row],[12]]</f>
        <v>310</v>
      </c>
      <c r="R87" s="20">
        <f>SUM(R82:R86)+receitasfixasconsolidadoabr[[#This Row],[13]]</f>
        <v>310</v>
      </c>
      <c r="S87" s="20">
        <f>SUM(S82:S86)+receitasfixasconsolidadoabr[[#This Row],[14]]</f>
        <v>310</v>
      </c>
      <c r="T87" s="20">
        <f>SUM(T82:T86)+receitasfixasconsolidadoabr[[#This Row],[15]]</f>
        <v>310</v>
      </c>
      <c r="U87" s="20">
        <f>SUM(U82:U86)+receitasfixasconsolidadoabr[[#This Row],[16]]</f>
        <v>310</v>
      </c>
      <c r="V87" s="20">
        <f>SUM(V82:V86)+receitasfixasconsolidadoabr[[#This Row],[17]]</f>
        <v>310</v>
      </c>
      <c r="W87" s="20">
        <f>SUM(W82:W86)+receitasfixasconsolidadoabr[[#This Row],[18]]</f>
        <v>310</v>
      </c>
      <c r="X87" s="20">
        <f>SUM(X82:X86)+receitasfixasconsolidadoabr[[#This Row],[19]]</f>
        <v>310</v>
      </c>
      <c r="Y87" s="20">
        <f>SUM(Y82:Y86)+receitasfixasconsolidadoabr[[#This Row],[20]]</f>
        <v>310</v>
      </c>
      <c r="Z87" s="20">
        <f>SUM(Z82:Z86)+receitasfixasconsolidadoabr[[#This Row],[21]]</f>
        <v>310</v>
      </c>
      <c r="AA87" s="20">
        <f>SUM(AA82:AA86)+receitasfixasconsolidadoabr[[#This Row],[22]]</f>
        <v>310</v>
      </c>
      <c r="AB87" s="20">
        <f>SUM(AB82:AB86)+receitasfixasconsolidadoabr[[#This Row],[23]]</f>
        <v>310</v>
      </c>
      <c r="AC87" s="20">
        <f>SUM(AC82:AC86)+receitasfixasconsolidadoabr[[#This Row],[24]]</f>
        <v>310</v>
      </c>
      <c r="AD87" s="20">
        <f>SUM(AD82:AD86)+receitasfixasconsolidadoabr[[#This Row],[25]]</f>
        <v>310</v>
      </c>
      <c r="AE87" s="20">
        <f>SUM(AE82:AE86)+receitasfixasconsolidadoabr[[#This Row],[26]]</f>
        <v>310</v>
      </c>
      <c r="AF87" s="20">
        <f>SUM(AF82:AF86)+receitasfixasconsolidadoabr[[#This Row],[27]]</f>
        <v>310</v>
      </c>
      <c r="AG87" s="20">
        <f>SUM(AG82:AG86)+receitasfixasconsolidadoabr[[#This Row],[28]]</f>
        <v>310</v>
      </c>
      <c r="AH87" s="20">
        <f>SUM(AH82:AH86)+receitasfixasconsolidadoabr[[#This Row],[29]]</f>
        <v>310</v>
      </c>
      <c r="AI87" s="19">
        <f>SUM(AI82:AI86)+receitasfixasconsolidadoabr[[#This Row],[30]]</f>
        <v>310</v>
      </c>
      <c r="AJ87" s="18">
        <f>receitasfixasconsolidadoabr[[#This Row],[31]]</f>
        <v>310</v>
      </c>
      <c r="AK87" s="17"/>
    </row>
    <row r="88" spans="2:37" ht="6.75" customHeight="1" thickTop="1" thickBot="1" x14ac:dyDescent="0.3">
      <c r="B88" s="15"/>
      <c r="C88" s="14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2"/>
      <c r="AJ88" s="11"/>
      <c r="AK88" s="10"/>
    </row>
    <row r="89" spans="2:37" ht="12.6" thickTop="1" x14ac:dyDescent="0.25">
      <c r="E89" s="37"/>
      <c r="AI89" s="4"/>
    </row>
    <row r="90" spans="2:37" x14ac:dyDescent="0.25">
      <c r="AI90" s="4"/>
    </row>
    <row r="91" spans="2:37" x14ac:dyDescent="0.25">
      <c r="AI91" s="4"/>
    </row>
    <row r="92" spans="2:37" ht="39.75" customHeight="1" x14ac:dyDescent="0.7">
      <c r="C92" s="36"/>
      <c r="E92" s="240"/>
      <c r="F92" s="240"/>
      <c r="G92" s="240"/>
      <c r="H92" s="240"/>
      <c r="I92" s="240"/>
      <c r="J92" s="240"/>
      <c r="K92" s="240"/>
      <c r="L92" s="240"/>
      <c r="M92" s="240"/>
      <c r="N92" s="240"/>
      <c r="O92" s="240"/>
      <c r="P92" s="240"/>
      <c r="Q92" s="240"/>
      <c r="R92" s="240"/>
      <c r="S92" s="240"/>
      <c r="T92" s="240"/>
      <c r="U92" s="240"/>
      <c r="V92" s="240"/>
      <c r="W92" s="240"/>
      <c r="X92" s="240"/>
      <c r="Y92" s="240"/>
      <c r="Z92" s="240"/>
      <c r="AA92" s="240"/>
      <c r="AB92" s="240"/>
      <c r="AC92" s="240"/>
      <c r="AD92" s="240"/>
      <c r="AE92" s="240"/>
      <c r="AF92" s="240"/>
      <c r="AG92" s="240"/>
      <c r="AH92" s="240"/>
      <c r="AI92" s="240"/>
      <c r="AJ92" s="32" t="s">
        <v>19</v>
      </c>
    </row>
    <row r="93" spans="2:37" ht="12.6" thickBot="1" x14ac:dyDescent="0.3">
      <c r="B93" s="35"/>
      <c r="AI93" s="4"/>
      <c r="AJ93" s="34" t="s">
        <v>202</v>
      </c>
    </row>
    <row r="94" spans="2:37" ht="6.75" customHeight="1" thickTop="1" thickBot="1" x14ac:dyDescent="0.3">
      <c r="B94" s="2"/>
      <c r="C94" s="14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2"/>
      <c r="AK94" s="33"/>
    </row>
    <row r="95" spans="2:37" ht="13.2" hidden="1" thickTop="1" thickBot="1" x14ac:dyDescent="0.3">
      <c r="B95" s="2"/>
      <c r="C95" s="31" t="s">
        <v>199</v>
      </c>
      <c r="D95" s="30" t="s">
        <v>198</v>
      </c>
      <c r="E95" s="30" t="s">
        <v>197</v>
      </c>
      <c r="F95" s="30" t="s">
        <v>196</v>
      </c>
      <c r="G95" s="30" t="s">
        <v>195</v>
      </c>
      <c r="H95" s="30" t="s">
        <v>194</v>
      </c>
      <c r="I95" s="30" t="s">
        <v>193</v>
      </c>
      <c r="J95" s="30" t="s">
        <v>192</v>
      </c>
      <c r="K95" s="30" t="s">
        <v>191</v>
      </c>
      <c r="L95" s="30" t="s">
        <v>190</v>
      </c>
      <c r="M95" s="30" t="s">
        <v>189</v>
      </c>
      <c r="N95" s="30" t="s">
        <v>188</v>
      </c>
      <c r="O95" s="30" t="s">
        <v>187</v>
      </c>
      <c r="P95" s="30" t="s">
        <v>186</v>
      </c>
      <c r="Q95" s="30" t="s">
        <v>185</v>
      </c>
      <c r="R95" s="30" t="s">
        <v>184</v>
      </c>
      <c r="S95" s="30" t="s">
        <v>183</v>
      </c>
      <c r="T95" s="30" t="s">
        <v>182</v>
      </c>
      <c r="U95" s="30" t="s">
        <v>181</v>
      </c>
      <c r="V95" s="30" t="s">
        <v>180</v>
      </c>
      <c r="W95" s="30" t="s">
        <v>179</v>
      </c>
      <c r="X95" s="30" t="s">
        <v>178</v>
      </c>
      <c r="Y95" s="30" t="s">
        <v>177</v>
      </c>
      <c r="Z95" s="30" t="s">
        <v>176</v>
      </c>
      <c r="AA95" s="30" t="s">
        <v>175</v>
      </c>
      <c r="AB95" s="30" t="s">
        <v>174</v>
      </c>
      <c r="AC95" s="30" t="s">
        <v>173</v>
      </c>
      <c r="AD95" s="30" t="s">
        <v>172</v>
      </c>
      <c r="AE95" s="30" t="s">
        <v>171</v>
      </c>
      <c r="AF95" s="30" t="s">
        <v>170</v>
      </c>
      <c r="AG95" s="30" t="s">
        <v>169</v>
      </c>
      <c r="AH95" s="30" t="s">
        <v>168</v>
      </c>
      <c r="AI95" s="30" t="s">
        <v>167</v>
      </c>
      <c r="AJ95" s="29" t="s">
        <v>166</v>
      </c>
      <c r="AK95" s="2"/>
    </row>
    <row r="96" spans="2:37" ht="19.5" customHeight="1" thickTop="1" thickBot="1" x14ac:dyDescent="0.3">
      <c r="B96" s="28"/>
      <c r="C96" s="27" t="str">
        <f>DADOS!$Z$3</f>
        <v>🏅 BÔNUS</v>
      </c>
      <c r="D96" s="26" t="str">
        <f>IF(receitasvariáveisconsolidadoabr[[#This Row],[TOTAL (R$)]]=0,"",IF(OR(receitasvariáveisconsolidadoabr[[#This Row],[TOTAL (R$)]]=LARGE($AJ$96:$AJ$103,1),receitasvariáveisconsolidadoabr[[#This Row],[TOTAL (R$)]]=LARGE($AJ$96:$AJ$103,2)),DADOS!$I$9,""))</f>
        <v/>
      </c>
      <c r="E96" s="96">
        <f>SUMIFS(tabela_registros[VALOR],tabela_registros[MÊS],$AE$1,tabela_registros[DIA],receitasvariáveisconsolidadoabr[[#Headers],[1]],tabela_registros[REGISTRO],DADOS!$N$3,tabela_registros[TIPO],DADOS!$V$4,tabela_registros[CATEGORIA],receitasvariáveisconsolidadoabr[[#This Row],[ATUAL]])</f>
        <v>0</v>
      </c>
      <c r="F96" s="91">
        <f>SUMIFS(tabela_registros[VALOR],tabela_registros[MÊS],$AE$1,tabela_registros[DIA],receitasvariáveisconsolidadoabr[[#Headers],[2]],tabela_registros[REGISTRO],DADOS!$N$3,tabela_registros[TIPO],DADOS!$V$4,tabela_registros[CATEGORIA],receitasvariáveisconsolidadoabr[[#This Row],[ATUAL]])</f>
        <v>0</v>
      </c>
      <c r="G96" s="91">
        <f>SUMIFS(tabela_registros[VALOR],tabela_registros[MÊS],$AE$1,tabela_registros[DIA],receitasvariáveisconsolidadoabr[[#Headers],[3]],tabela_registros[REGISTRO],DADOS!$N$3,tabela_registros[TIPO],DADOS!$V$4,tabela_registros[CATEGORIA],receitasvariáveisconsolidadoabr[[#This Row],[ATUAL]])</f>
        <v>0</v>
      </c>
      <c r="H96" s="91">
        <f>SUMIFS(tabela_registros[VALOR],tabela_registros[MÊS],$AE$1,tabela_registros[DIA],receitasvariáveisconsolidadoabr[[#Headers],[4]],tabela_registros[REGISTRO],DADOS!$N$3,tabela_registros[TIPO],DADOS!$V$4,tabela_registros[CATEGORIA],receitasvariáveisconsolidadoabr[[#This Row],[ATUAL]])</f>
        <v>0</v>
      </c>
      <c r="I96" s="91">
        <f>SUMIFS(tabela_registros[VALOR],tabela_registros[MÊS],$AE$1,tabela_registros[DIA],receitasvariáveisconsolidadoabr[[#Headers],[5]],tabela_registros[REGISTRO],DADOS!$N$3,tabela_registros[TIPO],DADOS!$V$4,tabela_registros[CATEGORIA],receitasvariáveisconsolidadoabr[[#This Row],[ATUAL]])</f>
        <v>0</v>
      </c>
      <c r="J96" s="91">
        <f>SUMIFS(tabela_registros[VALOR],tabela_registros[MÊS],$AE$1,tabela_registros[DIA],receitasvariáveisconsolidadoabr[[#Headers],[6]],tabela_registros[REGISTRO],DADOS!$N$3,tabela_registros[TIPO],DADOS!$V$4,tabela_registros[CATEGORIA],receitasvariáveisconsolidadoabr[[#This Row],[ATUAL]])</f>
        <v>0</v>
      </c>
      <c r="K96" s="91">
        <f>SUMIFS(tabela_registros[VALOR],tabela_registros[MÊS],$AE$1,tabela_registros[DIA],receitasvariáveisconsolidadoabr[[#Headers],[7]],tabela_registros[REGISTRO],DADOS!$N$3,tabela_registros[TIPO],DADOS!$V$4,tabela_registros[CATEGORIA],receitasvariáveisconsolidadoabr[[#This Row],[ATUAL]])</f>
        <v>0</v>
      </c>
      <c r="L96" s="91">
        <f>SUMIFS(tabela_registros[VALOR],tabela_registros[MÊS],$AE$1,tabela_registros[DIA],receitasvariáveisconsolidadoabr[[#Headers],[8]],tabela_registros[REGISTRO],DADOS!$N$3,tabela_registros[TIPO],DADOS!$V$4,tabela_registros[CATEGORIA],receitasvariáveisconsolidadoabr[[#This Row],[ATUAL]])</f>
        <v>0</v>
      </c>
      <c r="M96" s="91">
        <f>SUMIFS(tabela_registros[VALOR],tabela_registros[MÊS],$AE$1,tabela_registros[DIA],receitasvariáveisconsolidadoabr[[#Headers],[9]],tabela_registros[REGISTRO],DADOS!$N$3,tabela_registros[TIPO],DADOS!$V$4,tabela_registros[CATEGORIA],receitasvariáveisconsolidadoabr[[#This Row],[ATUAL]])</f>
        <v>0</v>
      </c>
      <c r="N96" s="91">
        <f>SUMIFS(tabela_registros[VALOR],tabela_registros[MÊS],$AE$1,tabela_registros[DIA],receitasvariáveisconsolidadoabr[[#Headers],[10]],tabela_registros[REGISTRO],DADOS!$N$3,tabela_registros[TIPO],DADOS!$V$4,tabela_registros[CATEGORIA],receitasvariáveisconsolidadoabr[[#This Row],[ATUAL]])</f>
        <v>0</v>
      </c>
      <c r="O96" s="91">
        <f>SUMIFS(tabela_registros[VALOR],tabela_registros[MÊS],$AE$1,tabela_registros[DIA],receitasvariáveisconsolidadoabr[[#Headers],[11]],tabela_registros[REGISTRO],DADOS!$N$3,tabela_registros[TIPO],DADOS!$V$4,tabela_registros[CATEGORIA],receitasvariáveisconsolidadoabr[[#This Row],[ATUAL]])</f>
        <v>0</v>
      </c>
      <c r="P96" s="91">
        <f>SUMIFS(tabela_registros[VALOR],tabela_registros[MÊS],$AE$1,tabela_registros[DIA],receitasvariáveisconsolidadoabr[[#Headers],[12]],tabela_registros[REGISTRO],DADOS!$N$3,tabela_registros[TIPO],DADOS!$V$4,tabela_registros[CATEGORIA],receitasvariáveisconsolidadoabr[[#This Row],[ATUAL]])</f>
        <v>0</v>
      </c>
      <c r="Q96" s="91">
        <f>SUMIFS(tabela_registros[VALOR],tabela_registros[MÊS],$AE$1,tabela_registros[DIA],receitasvariáveisconsolidadoabr[[#Headers],[13]],tabela_registros[REGISTRO],DADOS!$N$3,tabela_registros[TIPO],DADOS!$V$4,tabela_registros[CATEGORIA],receitasvariáveisconsolidadoabr[[#This Row],[ATUAL]])</f>
        <v>0</v>
      </c>
      <c r="R96" s="91">
        <f>SUMIFS(tabela_registros[VALOR],tabela_registros[MÊS],$AE$1,tabela_registros[DIA],receitasvariáveisconsolidadoabr[[#Headers],[14]],tabela_registros[REGISTRO],DADOS!$N$3,tabela_registros[TIPO],DADOS!$V$4,tabela_registros[CATEGORIA],receitasvariáveisconsolidadoabr[[#This Row],[ATUAL]])</f>
        <v>0</v>
      </c>
      <c r="S96" s="91">
        <f>SUMIFS(tabela_registros[VALOR],tabela_registros[MÊS],$AE$1,tabela_registros[DIA],receitasvariáveisconsolidadoabr[[#Headers],[15]],tabela_registros[REGISTRO],DADOS!$N$3,tabela_registros[TIPO],DADOS!$V$4,tabela_registros[CATEGORIA],receitasvariáveisconsolidadoabr[[#This Row],[ATUAL]])</f>
        <v>0</v>
      </c>
      <c r="T96" s="91">
        <f>SUMIFS(tabela_registros[VALOR],tabela_registros[MÊS],$AE$1,tabela_registros[DIA],receitasvariáveisconsolidadoabr[[#Headers],[16]],tabela_registros[REGISTRO],DADOS!$N$3,tabela_registros[TIPO],DADOS!$V$4,tabela_registros[CATEGORIA],receitasvariáveisconsolidadoabr[[#This Row],[ATUAL]])</f>
        <v>0</v>
      </c>
      <c r="U96" s="91">
        <f>SUMIFS(tabela_registros[VALOR],tabela_registros[MÊS],$AE$1,tabela_registros[DIA],receitasvariáveisconsolidadoabr[[#Headers],[17]],tabela_registros[REGISTRO],DADOS!$N$3,tabela_registros[TIPO],DADOS!$V$4,tabela_registros[CATEGORIA],receitasvariáveisconsolidadoabr[[#This Row],[ATUAL]])</f>
        <v>0</v>
      </c>
      <c r="V96" s="91">
        <f>SUMIFS(tabela_registros[VALOR],tabela_registros[MÊS],$AE$1,tabela_registros[DIA],receitasvariáveisconsolidadoabr[[#Headers],[18]],tabela_registros[REGISTRO],DADOS!$N$3,tabela_registros[TIPO],DADOS!$V$4,tabela_registros[CATEGORIA],receitasvariáveisconsolidadoabr[[#This Row],[ATUAL]])</f>
        <v>0</v>
      </c>
      <c r="W96" s="91">
        <f>SUMIFS(tabela_registros[VALOR],tabela_registros[MÊS],$AE$1,tabela_registros[DIA],receitasvariáveisconsolidadoabr[[#Headers],[19]],tabela_registros[REGISTRO],DADOS!$N$3,tabela_registros[TIPO],DADOS!$V$4,tabela_registros[CATEGORIA],receitasvariáveisconsolidadoabr[[#This Row],[ATUAL]])</f>
        <v>0</v>
      </c>
      <c r="X96" s="91">
        <f>SUMIFS(tabela_registros[VALOR],tabela_registros[MÊS],$AE$1,tabela_registros[DIA],receitasvariáveisconsolidadoabr[[#Headers],[20]],tabela_registros[REGISTRO],DADOS!$N$3,tabela_registros[TIPO],DADOS!$V$4,tabela_registros[CATEGORIA],receitasvariáveisconsolidadoabr[[#This Row],[ATUAL]])</f>
        <v>0</v>
      </c>
      <c r="Y96" s="91">
        <f>SUMIFS(tabela_registros[VALOR],tabela_registros[MÊS],$AE$1,tabela_registros[DIA],receitasvariáveisconsolidadoabr[[#Headers],[21]],tabela_registros[REGISTRO],DADOS!$N$3,tabela_registros[TIPO],DADOS!$V$4,tabela_registros[CATEGORIA],receitasvariáveisconsolidadoabr[[#This Row],[ATUAL]])</f>
        <v>0</v>
      </c>
      <c r="Z96" s="91">
        <f>SUMIFS(tabela_registros[VALOR],tabela_registros[MÊS],$AE$1,tabela_registros[DIA],receitasvariáveisconsolidadoabr[[#Headers],[22]],tabela_registros[REGISTRO],DADOS!$N$3,tabela_registros[TIPO],DADOS!$V$4,tabela_registros[CATEGORIA],receitasvariáveisconsolidadoabr[[#This Row],[ATUAL]])</f>
        <v>0</v>
      </c>
      <c r="AA96" s="91">
        <f>SUMIFS(tabela_registros[VALOR],tabela_registros[MÊS],$AE$1,tabela_registros[DIA],receitasvariáveisconsolidadoabr[[#Headers],[23]],tabela_registros[REGISTRO],DADOS!$N$3,tabela_registros[TIPO],DADOS!$V$4,tabela_registros[CATEGORIA],receitasvariáveisconsolidadoabr[[#This Row],[ATUAL]])</f>
        <v>0</v>
      </c>
      <c r="AB96" s="91">
        <f>SUMIFS(tabela_registros[VALOR],tabela_registros[MÊS],$AE$1,tabela_registros[DIA],receitasvariáveisconsolidadoabr[[#Headers],[24]],tabela_registros[REGISTRO],DADOS!$N$3,tabela_registros[TIPO],DADOS!$V$4,tabela_registros[CATEGORIA],receitasvariáveisconsolidadoabr[[#This Row],[ATUAL]])</f>
        <v>0</v>
      </c>
      <c r="AC96" s="91">
        <f>SUMIFS(tabela_registros[VALOR],tabela_registros[MÊS],$AE$1,tabela_registros[DIA],receitasvariáveisconsolidadoabr[[#Headers],[25]],tabela_registros[REGISTRO],DADOS!$N$3,tabela_registros[TIPO],DADOS!$V$4,tabela_registros[CATEGORIA],receitasvariáveisconsolidadoabr[[#This Row],[ATUAL]])</f>
        <v>0</v>
      </c>
      <c r="AD96" s="91">
        <f>SUMIFS(tabela_registros[VALOR],tabela_registros[MÊS],$AE$1,tabela_registros[DIA],receitasvariáveisconsolidadoabr[[#Headers],[26]],tabela_registros[REGISTRO],DADOS!$N$3,tabela_registros[TIPO],DADOS!$V$4,tabela_registros[CATEGORIA],receitasvariáveisconsolidadoabr[[#This Row],[ATUAL]])</f>
        <v>0</v>
      </c>
      <c r="AE96" s="91">
        <f>SUMIFS(tabela_registros[VALOR],tabela_registros[MÊS],$AE$1,tabela_registros[DIA],receitasvariáveisconsolidadoabr[[#Headers],[27]],tabela_registros[REGISTRO],DADOS!$N$3,tabela_registros[TIPO],DADOS!$V$4,tabela_registros[CATEGORIA],receitasvariáveisconsolidadoabr[[#This Row],[ATUAL]])</f>
        <v>0</v>
      </c>
      <c r="AF96" s="91">
        <f>SUMIFS(tabela_registros[VALOR],tabela_registros[MÊS],$AE$1,tabela_registros[DIA],receitasvariáveisconsolidadoabr[[#Headers],[28]],tabela_registros[REGISTRO],DADOS!$N$3,tabela_registros[TIPO],DADOS!$V$4,tabela_registros[CATEGORIA],receitasvariáveisconsolidadoabr[[#This Row],[ATUAL]])</f>
        <v>0</v>
      </c>
      <c r="AG96" s="91">
        <f>SUMIFS(tabela_registros[VALOR],tabela_registros[MÊS],$AE$1,tabela_registros[DIA],receitasvariáveisconsolidadoabr[[#Headers],[29]],tabela_registros[REGISTRO],DADOS!$N$3,tabela_registros[TIPO],DADOS!$V$4,tabela_registros[CATEGORIA],receitasvariáveisconsolidadoabr[[#This Row],[ATUAL]])</f>
        <v>0</v>
      </c>
      <c r="AH96" s="91">
        <f>SUMIFS(tabela_registros[VALOR],tabela_registros[MÊS],$AE$1,tabela_registros[DIA],receitasvariáveisconsolidadoabr[[#Headers],[30]],tabela_registros[REGISTRO],DADOS!$N$3,tabela_registros[TIPO],DADOS!$V$4,tabela_registros[CATEGORIA],receitasvariáveisconsolidadoabr[[#This Row],[ATUAL]])</f>
        <v>0</v>
      </c>
      <c r="AI96" s="101">
        <f>SUMIFS(tabela_registros[VALOR],tabela_registros[MÊS],$AE$1,tabela_registros[DIA],receitasvariáveisconsolidadoabr[[#Headers],[31]],tabela_registros[REGISTRO],DADOS!$N$3,tabela_registros[TIPO],DADOS!$V$4,tabela_registros[CATEGORIA],receitasvariáveisconsolidadoabr[[#This Row],[ATUAL]])</f>
        <v>0</v>
      </c>
      <c r="AJ96" s="97">
        <f>SUM(receitasvariáveisconsolidadoabr[[#This Row],[1]:[31]])</f>
        <v>0</v>
      </c>
      <c r="AK96" s="25"/>
    </row>
    <row r="97" spans="2:37" ht="19.5" customHeight="1" thickTop="1" thickBot="1" x14ac:dyDescent="0.3">
      <c r="B97" s="28"/>
      <c r="C97" s="27" t="str">
        <f>DADOS!$Z$4</f>
        <v>🤑 COMISSÃO</v>
      </c>
      <c r="D97" s="26" t="str">
        <f>IF(receitasvariáveisconsolidadoabr[[#This Row],[TOTAL (R$)]]=0,"",IF(OR(receitasvariáveisconsolidadoabr[[#This Row],[TOTAL (R$)]]=LARGE($AJ$96:$AJ$103,1),receitasvariáveisconsolidadoabr[[#This Row],[TOTAL (R$)]]=LARGE($AJ$96:$AJ$103,2)),DADOS!$I$9,""))</f>
        <v/>
      </c>
      <c r="E97" s="96">
        <f>SUMIFS(tabela_registros[VALOR],tabela_registros[MÊS],$AE$1,tabela_registros[DIA],receitasvariáveisconsolidadoabr[[#Headers],[1]],tabela_registros[REGISTRO],DADOS!$N$3,tabela_registros[TIPO],DADOS!$V$4,tabela_registros[CATEGORIA],receitasvariáveisconsolidadoabr[[#This Row],[ATUAL]])</f>
        <v>0</v>
      </c>
      <c r="F97" s="91">
        <f>SUMIFS(tabela_registros[VALOR],tabela_registros[MÊS],$AE$1,tabela_registros[DIA],receitasvariáveisconsolidadoabr[[#Headers],[2]],tabela_registros[REGISTRO],DADOS!$N$3,tabela_registros[TIPO],DADOS!$V$4,tabela_registros[CATEGORIA],receitasvariáveisconsolidadoabr[[#This Row],[ATUAL]])</f>
        <v>0</v>
      </c>
      <c r="G97" s="91">
        <f>SUMIFS(tabela_registros[VALOR],tabela_registros[MÊS],$AE$1,tabela_registros[DIA],receitasvariáveisconsolidadoabr[[#Headers],[3]],tabela_registros[REGISTRO],DADOS!$N$3,tabela_registros[TIPO],DADOS!$V$4,tabela_registros[CATEGORIA],receitasvariáveisconsolidadoabr[[#This Row],[ATUAL]])</f>
        <v>0</v>
      </c>
      <c r="H97" s="91">
        <f>SUMIFS(tabela_registros[VALOR],tabela_registros[MÊS],$AE$1,tabela_registros[DIA],receitasvariáveisconsolidadoabr[[#Headers],[4]],tabela_registros[REGISTRO],DADOS!$N$3,tabela_registros[TIPO],DADOS!$V$4,tabela_registros[CATEGORIA],receitasvariáveisconsolidadoabr[[#This Row],[ATUAL]])</f>
        <v>0</v>
      </c>
      <c r="I97" s="91">
        <f>SUMIFS(tabela_registros[VALOR],tabela_registros[MÊS],$AE$1,tabela_registros[DIA],receitasvariáveisconsolidadoabr[[#Headers],[5]],tabela_registros[REGISTRO],DADOS!$N$3,tabela_registros[TIPO],DADOS!$V$4,tabela_registros[CATEGORIA],receitasvariáveisconsolidadoabr[[#This Row],[ATUAL]])</f>
        <v>0</v>
      </c>
      <c r="J97" s="91">
        <f>SUMIFS(tabela_registros[VALOR],tabela_registros[MÊS],$AE$1,tabela_registros[DIA],receitasvariáveisconsolidadoabr[[#Headers],[6]],tabela_registros[REGISTRO],DADOS!$N$3,tabela_registros[TIPO],DADOS!$V$4,tabela_registros[CATEGORIA],receitasvariáveisconsolidadoabr[[#This Row],[ATUAL]])</f>
        <v>0</v>
      </c>
      <c r="K97" s="91">
        <f>SUMIFS(tabela_registros[VALOR],tabela_registros[MÊS],$AE$1,tabela_registros[DIA],receitasvariáveisconsolidadoabr[[#Headers],[7]],tabela_registros[REGISTRO],DADOS!$N$3,tabela_registros[TIPO],DADOS!$V$4,tabela_registros[CATEGORIA],receitasvariáveisconsolidadoabr[[#This Row],[ATUAL]])</f>
        <v>0</v>
      </c>
      <c r="L97" s="91">
        <f>SUMIFS(tabela_registros[VALOR],tabela_registros[MÊS],$AE$1,tabela_registros[DIA],receitasvariáveisconsolidadoabr[[#Headers],[8]],tabela_registros[REGISTRO],DADOS!$N$3,tabela_registros[TIPO],DADOS!$V$4,tabela_registros[CATEGORIA],receitasvariáveisconsolidadoabr[[#This Row],[ATUAL]])</f>
        <v>0</v>
      </c>
      <c r="M97" s="91">
        <f>SUMIFS(tabela_registros[VALOR],tabela_registros[MÊS],$AE$1,tabela_registros[DIA],receitasvariáveisconsolidadoabr[[#Headers],[9]],tabela_registros[REGISTRO],DADOS!$N$3,tabela_registros[TIPO],DADOS!$V$4,tabela_registros[CATEGORIA],receitasvariáveisconsolidadoabr[[#This Row],[ATUAL]])</f>
        <v>0</v>
      </c>
      <c r="N97" s="91">
        <f>SUMIFS(tabela_registros[VALOR],tabela_registros[MÊS],$AE$1,tabela_registros[DIA],receitasvariáveisconsolidadoabr[[#Headers],[10]],tabela_registros[REGISTRO],DADOS!$N$3,tabela_registros[TIPO],DADOS!$V$4,tabela_registros[CATEGORIA],receitasvariáveisconsolidadoabr[[#This Row],[ATUAL]])</f>
        <v>0</v>
      </c>
      <c r="O97" s="91">
        <f>SUMIFS(tabela_registros[VALOR],tabela_registros[MÊS],$AE$1,tabela_registros[DIA],receitasvariáveisconsolidadoabr[[#Headers],[11]],tabela_registros[REGISTRO],DADOS!$N$3,tabela_registros[TIPO],DADOS!$V$4,tabela_registros[CATEGORIA],receitasvariáveisconsolidadoabr[[#This Row],[ATUAL]])</f>
        <v>0</v>
      </c>
      <c r="P97" s="91">
        <f>SUMIFS(tabela_registros[VALOR],tabela_registros[MÊS],$AE$1,tabela_registros[DIA],receitasvariáveisconsolidadoabr[[#Headers],[12]],tabela_registros[REGISTRO],DADOS!$N$3,tabela_registros[TIPO],DADOS!$V$4,tabela_registros[CATEGORIA],receitasvariáveisconsolidadoabr[[#This Row],[ATUAL]])</f>
        <v>0</v>
      </c>
      <c r="Q97" s="91">
        <f>SUMIFS(tabela_registros[VALOR],tabela_registros[MÊS],$AE$1,tabela_registros[DIA],receitasvariáveisconsolidadoabr[[#Headers],[13]],tabela_registros[REGISTRO],DADOS!$N$3,tabela_registros[TIPO],DADOS!$V$4,tabela_registros[CATEGORIA],receitasvariáveisconsolidadoabr[[#This Row],[ATUAL]])</f>
        <v>0</v>
      </c>
      <c r="R97" s="91">
        <f>SUMIFS(tabela_registros[VALOR],tabela_registros[MÊS],$AE$1,tabela_registros[DIA],receitasvariáveisconsolidadoabr[[#Headers],[14]],tabela_registros[REGISTRO],DADOS!$N$3,tabela_registros[TIPO],DADOS!$V$4,tabela_registros[CATEGORIA],receitasvariáveisconsolidadoabr[[#This Row],[ATUAL]])</f>
        <v>0</v>
      </c>
      <c r="S97" s="91">
        <f>SUMIFS(tabela_registros[VALOR],tabela_registros[MÊS],$AE$1,tabela_registros[DIA],receitasvariáveisconsolidadoabr[[#Headers],[15]],tabela_registros[REGISTRO],DADOS!$N$3,tabela_registros[TIPO],DADOS!$V$4,tabela_registros[CATEGORIA],receitasvariáveisconsolidadoabr[[#This Row],[ATUAL]])</f>
        <v>0</v>
      </c>
      <c r="T97" s="91">
        <f>SUMIFS(tabela_registros[VALOR],tabela_registros[MÊS],$AE$1,tabela_registros[DIA],receitasvariáveisconsolidadoabr[[#Headers],[16]],tabela_registros[REGISTRO],DADOS!$N$3,tabela_registros[TIPO],DADOS!$V$4,tabela_registros[CATEGORIA],receitasvariáveisconsolidadoabr[[#This Row],[ATUAL]])</f>
        <v>0</v>
      </c>
      <c r="U97" s="91">
        <f>SUMIFS(tabela_registros[VALOR],tabela_registros[MÊS],$AE$1,tabela_registros[DIA],receitasvariáveisconsolidadoabr[[#Headers],[17]],tabela_registros[REGISTRO],DADOS!$N$3,tabela_registros[TIPO],DADOS!$V$4,tabela_registros[CATEGORIA],receitasvariáveisconsolidadoabr[[#This Row],[ATUAL]])</f>
        <v>0</v>
      </c>
      <c r="V97" s="91">
        <f>SUMIFS(tabela_registros[VALOR],tabela_registros[MÊS],$AE$1,tabela_registros[DIA],receitasvariáveisconsolidadoabr[[#Headers],[18]],tabela_registros[REGISTRO],DADOS!$N$3,tabela_registros[TIPO],DADOS!$V$4,tabela_registros[CATEGORIA],receitasvariáveisconsolidadoabr[[#This Row],[ATUAL]])</f>
        <v>0</v>
      </c>
      <c r="W97" s="91">
        <f>SUMIFS(tabela_registros[VALOR],tabela_registros[MÊS],$AE$1,tabela_registros[DIA],receitasvariáveisconsolidadoabr[[#Headers],[19]],tabela_registros[REGISTRO],DADOS!$N$3,tabela_registros[TIPO],DADOS!$V$4,tabela_registros[CATEGORIA],receitasvariáveisconsolidadoabr[[#This Row],[ATUAL]])</f>
        <v>0</v>
      </c>
      <c r="X97" s="91">
        <f>SUMIFS(tabela_registros[VALOR],tabela_registros[MÊS],$AE$1,tabela_registros[DIA],receitasvariáveisconsolidadoabr[[#Headers],[20]],tabela_registros[REGISTRO],DADOS!$N$3,tabela_registros[TIPO],DADOS!$V$4,tabela_registros[CATEGORIA],receitasvariáveisconsolidadoabr[[#This Row],[ATUAL]])</f>
        <v>0</v>
      </c>
      <c r="Y97" s="91">
        <f>SUMIFS(tabela_registros[VALOR],tabela_registros[MÊS],$AE$1,tabela_registros[DIA],receitasvariáveisconsolidadoabr[[#Headers],[21]],tabela_registros[REGISTRO],DADOS!$N$3,tabela_registros[TIPO],DADOS!$V$4,tabela_registros[CATEGORIA],receitasvariáveisconsolidadoabr[[#This Row],[ATUAL]])</f>
        <v>0</v>
      </c>
      <c r="Z97" s="91">
        <f>SUMIFS(tabela_registros[VALOR],tabela_registros[MÊS],$AE$1,tabela_registros[DIA],receitasvariáveisconsolidadoabr[[#Headers],[22]],tabela_registros[REGISTRO],DADOS!$N$3,tabela_registros[TIPO],DADOS!$V$4,tabela_registros[CATEGORIA],receitasvariáveisconsolidadoabr[[#This Row],[ATUAL]])</f>
        <v>0</v>
      </c>
      <c r="AA97" s="91">
        <f>SUMIFS(tabela_registros[VALOR],tabela_registros[MÊS],$AE$1,tabela_registros[DIA],receitasvariáveisconsolidadoabr[[#Headers],[23]],tabela_registros[REGISTRO],DADOS!$N$3,tabela_registros[TIPO],DADOS!$V$4,tabela_registros[CATEGORIA],receitasvariáveisconsolidadoabr[[#This Row],[ATUAL]])</f>
        <v>0</v>
      </c>
      <c r="AB97" s="91">
        <f>SUMIFS(tabela_registros[VALOR],tabela_registros[MÊS],$AE$1,tabela_registros[DIA],receitasvariáveisconsolidadoabr[[#Headers],[24]],tabela_registros[REGISTRO],DADOS!$N$3,tabela_registros[TIPO],DADOS!$V$4,tabela_registros[CATEGORIA],receitasvariáveisconsolidadoabr[[#This Row],[ATUAL]])</f>
        <v>0</v>
      </c>
      <c r="AC97" s="91">
        <f>SUMIFS(tabela_registros[VALOR],tabela_registros[MÊS],$AE$1,tabela_registros[DIA],receitasvariáveisconsolidadoabr[[#Headers],[25]],tabela_registros[REGISTRO],DADOS!$N$3,tabela_registros[TIPO],DADOS!$V$4,tabela_registros[CATEGORIA],receitasvariáveisconsolidadoabr[[#This Row],[ATUAL]])</f>
        <v>0</v>
      </c>
      <c r="AD97" s="91">
        <f>SUMIFS(tabela_registros[VALOR],tabela_registros[MÊS],$AE$1,tabela_registros[DIA],receitasvariáveisconsolidadoabr[[#Headers],[26]],tabela_registros[REGISTRO],DADOS!$N$3,tabela_registros[TIPO],DADOS!$V$4,tabela_registros[CATEGORIA],receitasvariáveisconsolidadoabr[[#This Row],[ATUAL]])</f>
        <v>0</v>
      </c>
      <c r="AE97" s="91">
        <f>SUMIFS(tabela_registros[VALOR],tabela_registros[MÊS],$AE$1,tabela_registros[DIA],receitasvariáveisconsolidadoabr[[#Headers],[27]],tabela_registros[REGISTRO],DADOS!$N$3,tabela_registros[TIPO],DADOS!$V$4,tabela_registros[CATEGORIA],receitasvariáveisconsolidadoabr[[#This Row],[ATUAL]])</f>
        <v>0</v>
      </c>
      <c r="AF97" s="91">
        <f>SUMIFS(tabela_registros[VALOR],tabela_registros[MÊS],$AE$1,tabela_registros[DIA],receitasvariáveisconsolidadoabr[[#Headers],[28]],tabela_registros[REGISTRO],DADOS!$N$3,tabela_registros[TIPO],DADOS!$V$4,tabela_registros[CATEGORIA],receitasvariáveisconsolidadoabr[[#This Row],[ATUAL]])</f>
        <v>0</v>
      </c>
      <c r="AG97" s="91">
        <f>SUMIFS(tabela_registros[VALOR],tabela_registros[MÊS],$AE$1,tabela_registros[DIA],receitasvariáveisconsolidadoabr[[#Headers],[29]],tabela_registros[REGISTRO],DADOS!$N$3,tabela_registros[TIPO],DADOS!$V$4,tabela_registros[CATEGORIA],receitasvariáveisconsolidadoabr[[#This Row],[ATUAL]])</f>
        <v>0</v>
      </c>
      <c r="AH97" s="91">
        <f>SUMIFS(tabela_registros[VALOR],tabela_registros[MÊS],$AE$1,tabela_registros[DIA],receitasvariáveisconsolidadoabr[[#Headers],[30]],tabela_registros[REGISTRO],DADOS!$N$3,tabela_registros[TIPO],DADOS!$V$4,tabela_registros[CATEGORIA],receitasvariáveisconsolidadoabr[[#This Row],[ATUAL]])</f>
        <v>0</v>
      </c>
      <c r="AI97" s="101">
        <f>SUMIFS(tabela_registros[VALOR],tabela_registros[MÊS],$AE$1,tabela_registros[DIA],receitasvariáveisconsolidadoabr[[#Headers],[31]],tabela_registros[REGISTRO],DADOS!$N$3,tabela_registros[TIPO],DADOS!$V$4,tabela_registros[CATEGORIA],receitasvariáveisconsolidadoabr[[#This Row],[ATUAL]])</f>
        <v>0</v>
      </c>
      <c r="AJ97" s="97">
        <f>SUM(receitasvariáveisconsolidadoabr[[#This Row],[1]:[31]])</f>
        <v>0</v>
      </c>
      <c r="AK97" s="25"/>
    </row>
    <row r="98" spans="2:37" ht="19.5" customHeight="1" thickTop="1" thickBot="1" x14ac:dyDescent="0.3">
      <c r="B98" s="28"/>
      <c r="C98" s="27" t="str">
        <f>DADOS!$Z$5</f>
        <v>🎗️ HERANÇA</v>
      </c>
      <c r="D98" s="26" t="str">
        <f>IF(receitasvariáveisconsolidadoabr[[#This Row],[TOTAL (R$)]]=0,"",IF(OR(receitasvariáveisconsolidadoabr[[#This Row],[TOTAL (R$)]]=LARGE($AJ$96:$AJ$103,1),receitasvariáveisconsolidadoabr[[#This Row],[TOTAL (R$)]]=LARGE($AJ$96:$AJ$103,2)),DADOS!$I$9,""))</f>
        <v/>
      </c>
      <c r="E98" s="96">
        <f>SUMIFS(tabela_registros[VALOR],tabela_registros[MÊS],$AE$1,tabela_registros[DIA],receitasvariáveisconsolidadoabr[[#Headers],[1]],tabela_registros[REGISTRO],DADOS!$N$3,tabela_registros[TIPO],DADOS!$V$4,tabela_registros[CATEGORIA],receitasvariáveisconsolidadoabr[[#This Row],[ATUAL]])</f>
        <v>0</v>
      </c>
      <c r="F98" s="91">
        <f>SUMIFS(tabela_registros[VALOR],tabela_registros[MÊS],$AE$1,tabela_registros[DIA],receitasvariáveisconsolidadoabr[[#Headers],[2]],tabela_registros[REGISTRO],DADOS!$N$3,tabela_registros[TIPO],DADOS!$V$4,tabela_registros[CATEGORIA],receitasvariáveisconsolidadoabr[[#This Row],[ATUAL]])</f>
        <v>0</v>
      </c>
      <c r="G98" s="91">
        <f>SUMIFS(tabela_registros[VALOR],tabela_registros[MÊS],$AE$1,tabela_registros[DIA],receitasvariáveisconsolidadoabr[[#Headers],[3]],tabela_registros[REGISTRO],DADOS!$N$3,tabela_registros[TIPO],DADOS!$V$4,tabela_registros[CATEGORIA],receitasvariáveisconsolidadoabr[[#This Row],[ATUAL]])</f>
        <v>0</v>
      </c>
      <c r="H98" s="91">
        <f>SUMIFS(tabela_registros[VALOR],tabela_registros[MÊS],$AE$1,tabela_registros[DIA],receitasvariáveisconsolidadoabr[[#Headers],[4]],tabela_registros[REGISTRO],DADOS!$N$3,tabela_registros[TIPO],DADOS!$V$4,tabela_registros[CATEGORIA],receitasvariáveisconsolidadoabr[[#This Row],[ATUAL]])</f>
        <v>0</v>
      </c>
      <c r="I98" s="91">
        <f>SUMIFS(tabela_registros[VALOR],tabela_registros[MÊS],$AE$1,tabela_registros[DIA],receitasvariáveisconsolidadoabr[[#Headers],[5]],tabela_registros[REGISTRO],DADOS!$N$3,tabela_registros[TIPO],DADOS!$V$4,tabela_registros[CATEGORIA],receitasvariáveisconsolidadoabr[[#This Row],[ATUAL]])</f>
        <v>0</v>
      </c>
      <c r="J98" s="91">
        <f>SUMIFS(tabela_registros[VALOR],tabela_registros[MÊS],$AE$1,tabela_registros[DIA],receitasvariáveisconsolidadoabr[[#Headers],[6]],tabela_registros[REGISTRO],DADOS!$N$3,tabela_registros[TIPO],DADOS!$V$4,tabela_registros[CATEGORIA],receitasvariáveisconsolidadoabr[[#This Row],[ATUAL]])</f>
        <v>0</v>
      </c>
      <c r="K98" s="91">
        <f>SUMIFS(tabela_registros[VALOR],tabela_registros[MÊS],$AE$1,tabela_registros[DIA],receitasvariáveisconsolidadoabr[[#Headers],[7]],tabela_registros[REGISTRO],DADOS!$N$3,tabela_registros[TIPO],DADOS!$V$4,tabela_registros[CATEGORIA],receitasvariáveisconsolidadoabr[[#This Row],[ATUAL]])</f>
        <v>0</v>
      </c>
      <c r="L98" s="91">
        <f>SUMIFS(tabela_registros[VALOR],tabela_registros[MÊS],$AE$1,tabela_registros[DIA],receitasvariáveisconsolidadoabr[[#Headers],[8]],tabela_registros[REGISTRO],DADOS!$N$3,tabela_registros[TIPO],DADOS!$V$4,tabela_registros[CATEGORIA],receitasvariáveisconsolidadoabr[[#This Row],[ATUAL]])</f>
        <v>0</v>
      </c>
      <c r="M98" s="91">
        <f>SUMIFS(tabela_registros[VALOR],tabela_registros[MÊS],$AE$1,tabela_registros[DIA],receitasvariáveisconsolidadoabr[[#Headers],[9]],tabela_registros[REGISTRO],DADOS!$N$3,tabela_registros[TIPO],DADOS!$V$4,tabela_registros[CATEGORIA],receitasvariáveisconsolidadoabr[[#This Row],[ATUAL]])</f>
        <v>0</v>
      </c>
      <c r="N98" s="91">
        <f>SUMIFS(tabela_registros[VALOR],tabela_registros[MÊS],$AE$1,tabela_registros[DIA],receitasvariáveisconsolidadoabr[[#Headers],[10]],tabela_registros[REGISTRO],DADOS!$N$3,tabela_registros[TIPO],DADOS!$V$4,tabela_registros[CATEGORIA],receitasvariáveisconsolidadoabr[[#This Row],[ATUAL]])</f>
        <v>0</v>
      </c>
      <c r="O98" s="91">
        <f>SUMIFS(tabela_registros[VALOR],tabela_registros[MÊS],$AE$1,tabela_registros[DIA],receitasvariáveisconsolidadoabr[[#Headers],[11]],tabela_registros[REGISTRO],DADOS!$N$3,tabela_registros[TIPO],DADOS!$V$4,tabela_registros[CATEGORIA],receitasvariáveisconsolidadoabr[[#This Row],[ATUAL]])</f>
        <v>0</v>
      </c>
      <c r="P98" s="91">
        <f>SUMIFS(tabela_registros[VALOR],tabela_registros[MÊS],$AE$1,tabela_registros[DIA],receitasvariáveisconsolidadoabr[[#Headers],[12]],tabela_registros[REGISTRO],DADOS!$N$3,tabela_registros[TIPO],DADOS!$V$4,tabela_registros[CATEGORIA],receitasvariáveisconsolidadoabr[[#This Row],[ATUAL]])</f>
        <v>0</v>
      </c>
      <c r="Q98" s="91">
        <f>SUMIFS(tabela_registros[VALOR],tabela_registros[MÊS],$AE$1,tabela_registros[DIA],receitasvariáveisconsolidadoabr[[#Headers],[13]],tabela_registros[REGISTRO],DADOS!$N$3,tabela_registros[TIPO],DADOS!$V$4,tabela_registros[CATEGORIA],receitasvariáveisconsolidadoabr[[#This Row],[ATUAL]])</f>
        <v>0</v>
      </c>
      <c r="R98" s="91">
        <f>SUMIFS(tabela_registros[VALOR],tabela_registros[MÊS],$AE$1,tabela_registros[DIA],receitasvariáveisconsolidadoabr[[#Headers],[14]],tabela_registros[REGISTRO],DADOS!$N$3,tabela_registros[TIPO],DADOS!$V$4,tabela_registros[CATEGORIA],receitasvariáveisconsolidadoabr[[#This Row],[ATUAL]])</f>
        <v>0</v>
      </c>
      <c r="S98" s="91">
        <f>SUMIFS(tabela_registros[VALOR],tabela_registros[MÊS],$AE$1,tabela_registros[DIA],receitasvariáveisconsolidadoabr[[#Headers],[15]],tabela_registros[REGISTRO],DADOS!$N$3,tabela_registros[TIPO],DADOS!$V$4,tabela_registros[CATEGORIA],receitasvariáveisconsolidadoabr[[#This Row],[ATUAL]])</f>
        <v>0</v>
      </c>
      <c r="T98" s="91">
        <f>SUMIFS(tabela_registros[VALOR],tabela_registros[MÊS],$AE$1,tabela_registros[DIA],receitasvariáveisconsolidadoabr[[#Headers],[16]],tabela_registros[REGISTRO],DADOS!$N$3,tabela_registros[TIPO],DADOS!$V$4,tabela_registros[CATEGORIA],receitasvariáveisconsolidadoabr[[#This Row],[ATUAL]])</f>
        <v>0</v>
      </c>
      <c r="U98" s="91">
        <f>SUMIFS(tabela_registros[VALOR],tabela_registros[MÊS],$AE$1,tabela_registros[DIA],receitasvariáveisconsolidadoabr[[#Headers],[17]],tabela_registros[REGISTRO],DADOS!$N$3,tabela_registros[TIPO],DADOS!$V$4,tabela_registros[CATEGORIA],receitasvariáveisconsolidadoabr[[#This Row],[ATUAL]])</f>
        <v>0</v>
      </c>
      <c r="V98" s="91">
        <f>SUMIFS(tabela_registros[VALOR],tabela_registros[MÊS],$AE$1,tabela_registros[DIA],receitasvariáveisconsolidadoabr[[#Headers],[18]],tabela_registros[REGISTRO],DADOS!$N$3,tabela_registros[TIPO],DADOS!$V$4,tabela_registros[CATEGORIA],receitasvariáveisconsolidadoabr[[#This Row],[ATUAL]])</f>
        <v>0</v>
      </c>
      <c r="W98" s="91">
        <f>SUMIFS(tabela_registros[VALOR],tabela_registros[MÊS],$AE$1,tabela_registros[DIA],receitasvariáveisconsolidadoabr[[#Headers],[19]],tabela_registros[REGISTRO],DADOS!$N$3,tabela_registros[TIPO],DADOS!$V$4,tabela_registros[CATEGORIA],receitasvariáveisconsolidadoabr[[#This Row],[ATUAL]])</f>
        <v>0</v>
      </c>
      <c r="X98" s="91">
        <f>SUMIFS(tabela_registros[VALOR],tabela_registros[MÊS],$AE$1,tabela_registros[DIA],receitasvariáveisconsolidadoabr[[#Headers],[20]],tabela_registros[REGISTRO],DADOS!$N$3,tabela_registros[TIPO],DADOS!$V$4,tabela_registros[CATEGORIA],receitasvariáveisconsolidadoabr[[#This Row],[ATUAL]])</f>
        <v>0</v>
      </c>
      <c r="Y98" s="91">
        <f>SUMIFS(tabela_registros[VALOR],tabela_registros[MÊS],$AE$1,tabela_registros[DIA],receitasvariáveisconsolidadoabr[[#Headers],[21]],tabela_registros[REGISTRO],DADOS!$N$3,tabela_registros[TIPO],DADOS!$V$4,tabela_registros[CATEGORIA],receitasvariáveisconsolidadoabr[[#This Row],[ATUAL]])</f>
        <v>0</v>
      </c>
      <c r="Z98" s="91">
        <f>SUMIFS(tabela_registros[VALOR],tabela_registros[MÊS],$AE$1,tabela_registros[DIA],receitasvariáveisconsolidadoabr[[#Headers],[22]],tabela_registros[REGISTRO],DADOS!$N$3,tabela_registros[TIPO],DADOS!$V$4,tabela_registros[CATEGORIA],receitasvariáveisconsolidadoabr[[#This Row],[ATUAL]])</f>
        <v>0</v>
      </c>
      <c r="AA98" s="91">
        <f>SUMIFS(tabela_registros[VALOR],tabela_registros[MÊS],$AE$1,tabela_registros[DIA],receitasvariáveisconsolidadoabr[[#Headers],[23]],tabela_registros[REGISTRO],DADOS!$N$3,tabela_registros[TIPO],DADOS!$V$4,tabela_registros[CATEGORIA],receitasvariáveisconsolidadoabr[[#This Row],[ATUAL]])</f>
        <v>0</v>
      </c>
      <c r="AB98" s="91">
        <f>SUMIFS(tabela_registros[VALOR],tabela_registros[MÊS],$AE$1,tabela_registros[DIA],receitasvariáveisconsolidadoabr[[#Headers],[24]],tabela_registros[REGISTRO],DADOS!$N$3,tabela_registros[TIPO],DADOS!$V$4,tabela_registros[CATEGORIA],receitasvariáveisconsolidadoabr[[#This Row],[ATUAL]])</f>
        <v>0</v>
      </c>
      <c r="AC98" s="91">
        <f>SUMIFS(tabela_registros[VALOR],tabela_registros[MÊS],$AE$1,tabela_registros[DIA],receitasvariáveisconsolidadoabr[[#Headers],[25]],tabela_registros[REGISTRO],DADOS!$N$3,tabela_registros[TIPO],DADOS!$V$4,tabela_registros[CATEGORIA],receitasvariáveisconsolidadoabr[[#This Row],[ATUAL]])</f>
        <v>0</v>
      </c>
      <c r="AD98" s="91">
        <f>SUMIFS(tabela_registros[VALOR],tabela_registros[MÊS],$AE$1,tabela_registros[DIA],receitasvariáveisconsolidadoabr[[#Headers],[26]],tabela_registros[REGISTRO],DADOS!$N$3,tabela_registros[TIPO],DADOS!$V$4,tabela_registros[CATEGORIA],receitasvariáveisconsolidadoabr[[#This Row],[ATUAL]])</f>
        <v>0</v>
      </c>
      <c r="AE98" s="91">
        <f>SUMIFS(tabela_registros[VALOR],tabela_registros[MÊS],$AE$1,tabela_registros[DIA],receitasvariáveisconsolidadoabr[[#Headers],[27]],tabela_registros[REGISTRO],DADOS!$N$3,tabela_registros[TIPO],DADOS!$V$4,tabela_registros[CATEGORIA],receitasvariáveisconsolidadoabr[[#This Row],[ATUAL]])</f>
        <v>0</v>
      </c>
      <c r="AF98" s="91">
        <f>SUMIFS(tabela_registros[VALOR],tabela_registros[MÊS],$AE$1,tabela_registros[DIA],receitasvariáveisconsolidadoabr[[#Headers],[28]],tabela_registros[REGISTRO],DADOS!$N$3,tabela_registros[TIPO],DADOS!$V$4,tabela_registros[CATEGORIA],receitasvariáveisconsolidadoabr[[#This Row],[ATUAL]])</f>
        <v>0</v>
      </c>
      <c r="AG98" s="91">
        <f>SUMIFS(tabela_registros[VALOR],tabela_registros[MÊS],$AE$1,tabela_registros[DIA],receitasvariáveisconsolidadoabr[[#Headers],[29]],tabela_registros[REGISTRO],DADOS!$N$3,tabela_registros[TIPO],DADOS!$V$4,tabela_registros[CATEGORIA],receitasvariáveisconsolidadoabr[[#This Row],[ATUAL]])</f>
        <v>0</v>
      </c>
      <c r="AH98" s="91">
        <f>SUMIFS(tabela_registros[VALOR],tabela_registros[MÊS],$AE$1,tabela_registros[DIA],receitasvariáveisconsolidadoabr[[#Headers],[30]],tabela_registros[REGISTRO],DADOS!$N$3,tabela_registros[TIPO],DADOS!$V$4,tabela_registros[CATEGORIA],receitasvariáveisconsolidadoabr[[#This Row],[ATUAL]])</f>
        <v>0</v>
      </c>
      <c r="AI98" s="101">
        <f>SUMIFS(tabela_registros[VALOR],tabela_registros[MÊS],$AE$1,tabela_registros[DIA],receitasvariáveisconsolidadoabr[[#Headers],[31]],tabela_registros[REGISTRO],DADOS!$N$3,tabela_registros[TIPO],DADOS!$V$4,tabela_registros[CATEGORIA],receitasvariáveisconsolidadoabr[[#This Row],[ATUAL]])</f>
        <v>0</v>
      </c>
      <c r="AJ98" s="97">
        <f>SUM(receitasvariáveisconsolidadoabr[[#This Row],[1]:[31]])</f>
        <v>0</v>
      </c>
      <c r="AK98" s="25"/>
    </row>
    <row r="99" spans="2:37" ht="19.5" customHeight="1" thickTop="1" thickBot="1" x14ac:dyDescent="0.3">
      <c r="B99" s="28"/>
      <c r="C99" s="27" t="str">
        <f>DADOS!$Z$6</f>
        <v>💲 INVESTIMENTOS</v>
      </c>
      <c r="D99" s="26" t="str">
        <f>IF(receitasvariáveisconsolidadoabr[[#This Row],[TOTAL (R$)]]=0,"",IF(OR(receitasvariáveisconsolidadoabr[[#This Row],[TOTAL (R$)]]=LARGE($AJ$96:$AJ$103,1),receitasvariáveisconsolidadoabr[[#This Row],[TOTAL (R$)]]=LARGE($AJ$96:$AJ$103,2)),DADOS!$I$9,""))</f>
        <v/>
      </c>
      <c r="E99" s="96">
        <f>SUMIFS(tabela_registros[VALOR],tabela_registros[MÊS],$AE$1,tabela_registros[DIA],receitasvariáveisconsolidadoabr[[#Headers],[1]],tabela_registros[REGISTRO],DADOS!$N$3,tabela_registros[TIPO],DADOS!$V$4,tabela_registros[CATEGORIA],receitasvariáveisconsolidadoabr[[#This Row],[ATUAL]])</f>
        <v>0</v>
      </c>
      <c r="F99" s="91">
        <f>SUMIFS(tabela_registros[VALOR],tabela_registros[MÊS],$AE$1,tabela_registros[DIA],receitasvariáveisconsolidadoabr[[#Headers],[2]],tabela_registros[REGISTRO],DADOS!$N$3,tabela_registros[TIPO],DADOS!$V$4,tabela_registros[CATEGORIA],receitasvariáveisconsolidadoabr[[#This Row],[ATUAL]])</f>
        <v>0</v>
      </c>
      <c r="G99" s="91">
        <f>SUMIFS(tabela_registros[VALOR],tabela_registros[MÊS],$AE$1,tabela_registros[DIA],receitasvariáveisconsolidadoabr[[#Headers],[3]],tabela_registros[REGISTRO],DADOS!$N$3,tabela_registros[TIPO],DADOS!$V$4,tabela_registros[CATEGORIA],receitasvariáveisconsolidadoabr[[#This Row],[ATUAL]])</f>
        <v>0</v>
      </c>
      <c r="H99" s="91">
        <f>SUMIFS(tabela_registros[VALOR],tabela_registros[MÊS],$AE$1,tabela_registros[DIA],receitasvariáveisconsolidadoabr[[#Headers],[4]],tabela_registros[REGISTRO],DADOS!$N$3,tabela_registros[TIPO],DADOS!$V$4,tabela_registros[CATEGORIA],receitasvariáveisconsolidadoabr[[#This Row],[ATUAL]])</f>
        <v>0</v>
      </c>
      <c r="I99" s="91">
        <f>SUMIFS(tabela_registros[VALOR],tabela_registros[MÊS],$AE$1,tabela_registros[DIA],receitasvariáveisconsolidadoabr[[#Headers],[5]],tabela_registros[REGISTRO],DADOS!$N$3,tabela_registros[TIPO],DADOS!$V$4,tabela_registros[CATEGORIA],receitasvariáveisconsolidadoabr[[#This Row],[ATUAL]])</f>
        <v>0</v>
      </c>
      <c r="J99" s="91">
        <f>SUMIFS(tabela_registros[VALOR],tabela_registros[MÊS],$AE$1,tabela_registros[DIA],receitasvariáveisconsolidadoabr[[#Headers],[6]],tabela_registros[REGISTRO],DADOS!$N$3,tabela_registros[TIPO],DADOS!$V$4,tabela_registros[CATEGORIA],receitasvariáveisconsolidadoabr[[#This Row],[ATUAL]])</f>
        <v>0</v>
      </c>
      <c r="K99" s="91">
        <f>SUMIFS(tabela_registros[VALOR],tabela_registros[MÊS],$AE$1,tabela_registros[DIA],receitasvariáveisconsolidadoabr[[#Headers],[7]],tabela_registros[REGISTRO],DADOS!$N$3,tabela_registros[TIPO],DADOS!$V$4,tabela_registros[CATEGORIA],receitasvariáveisconsolidadoabr[[#This Row],[ATUAL]])</f>
        <v>0</v>
      </c>
      <c r="L99" s="91">
        <f>SUMIFS(tabela_registros[VALOR],tabela_registros[MÊS],$AE$1,tabela_registros[DIA],receitasvariáveisconsolidadoabr[[#Headers],[8]],tabela_registros[REGISTRO],DADOS!$N$3,tabela_registros[TIPO],DADOS!$V$4,tabela_registros[CATEGORIA],receitasvariáveisconsolidadoabr[[#This Row],[ATUAL]])</f>
        <v>0</v>
      </c>
      <c r="M99" s="91">
        <f>SUMIFS(tabela_registros[VALOR],tabela_registros[MÊS],$AE$1,tabela_registros[DIA],receitasvariáveisconsolidadoabr[[#Headers],[9]],tabela_registros[REGISTRO],DADOS!$N$3,tabela_registros[TIPO],DADOS!$V$4,tabela_registros[CATEGORIA],receitasvariáveisconsolidadoabr[[#This Row],[ATUAL]])</f>
        <v>0</v>
      </c>
      <c r="N99" s="91">
        <f>SUMIFS(tabela_registros[VALOR],tabela_registros[MÊS],$AE$1,tabela_registros[DIA],receitasvariáveisconsolidadoabr[[#Headers],[10]],tabela_registros[REGISTRO],DADOS!$N$3,tabela_registros[TIPO],DADOS!$V$4,tabela_registros[CATEGORIA],receitasvariáveisconsolidadoabr[[#This Row],[ATUAL]])</f>
        <v>0</v>
      </c>
      <c r="O99" s="91">
        <f>SUMIFS(tabela_registros[VALOR],tabela_registros[MÊS],$AE$1,tabela_registros[DIA],receitasvariáveisconsolidadoabr[[#Headers],[11]],tabela_registros[REGISTRO],DADOS!$N$3,tabela_registros[TIPO],DADOS!$V$4,tabela_registros[CATEGORIA],receitasvariáveisconsolidadoabr[[#This Row],[ATUAL]])</f>
        <v>0</v>
      </c>
      <c r="P99" s="91">
        <f>SUMIFS(tabela_registros[VALOR],tabela_registros[MÊS],$AE$1,tabela_registros[DIA],receitasvariáveisconsolidadoabr[[#Headers],[12]],tabela_registros[REGISTRO],DADOS!$N$3,tabela_registros[TIPO],DADOS!$V$4,tabela_registros[CATEGORIA],receitasvariáveisconsolidadoabr[[#This Row],[ATUAL]])</f>
        <v>0</v>
      </c>
      <c r="Q99" s="91">
        <f>SUMIFS(tabela_registros[VALOR],tabela_registros[MÊS],$AE$1,tabela_registros[DIA],receitasvariáveisconsolidadoabr[[#Headers],[13]],tabela_registros[REGISTRO],DADOS!$N$3,tabela_registros[TIPO],DADOS!$V$4,tabela_registros[CATEGORIA],receitasvariáveisconsolidadoabr[[#This Row],[ATUAL]])</f>
        <v>0</v>
      </c>
      <c r="R99" s="91">
        <f>SUMIFS(tabela_registros[VALOR],tabela_registros[MÊS],$AE$1,tabela_registros[DIA],receitasvariáveisconsolidadoabr[[#Headers],[14]],tabela_registros[REGISTRO],DADOS!$N$3,tabela_registros[TIPO],DADOS!$V$4,tabela_registros[CATEGORIA],receitasvariáveisconsolidadoabr[[#This Row],[ATUAL]])</f>
        <v>0</v>
      </c>
      <c r="S99" s="91">
        <f>SUMIFS(tabela_registros[VALOR],tabela_registros[MÊS],$AE$1,tabela_registros[DIA],receitasvariáveisconsolidadoabr[[#Headers],[15]],tabela_registros[REGISTRO],DADOS!$N$3,tabela_registros[TIPO],DADOS!$V$4,tabela_registros[CATEGORIA],receitasvariáveisconsolidadoabr[[#This Row],[ATUAL]])</f>
        <v>0</v>
      </c>
      <c r="T99" s="91">
        <f>SUMIFS(tabela_registros[VALOR],tabela_registros[MÊS],$AE$1,tabela_registros[DIA],receitasvariáveisconsolidadoabr[[#Headers],[16]],tabela_registros[REGISTRO],DADOS!$N$3,tabela_registros[TIPO],DADOS!$V$4,tabela_registros[CATEGORIA],receitasvariáveisconsolidadoabr[[#This Row],[ATUAL]])</f>
        <v>0</v>
      </c>
      <c r="U99" s="91">
        <f>SUMIFS(tabela_registros[VALOR],tabela_registros[MÊS],$AE$1,tabela_registros[DIA],receitasvariáveisconsolidadoabr[[#Headers],[17]],tabela_registros[REGISTRO],DADOS!$N$3,tabela_registros[TIPO],DADOS!$V$4,tabela_registros[CATEGORIA],receitasvariáveisconsolidadoabr[[#This Row],[ATUAL]])</f>
        <v>0</v>
      </c>
      <c r="V99" s="91">
        <f>SUMIFS(tabela_registros[VALOR],tabela_registros[MÊS],$AE$1,tabela_registros[DIA],receitasvariáveisconsolidadoabr[[#Headers],[18]],tabela_registros[REGISTRO],DADOS!$N$3,tabela_registros[TIPO],DADOS!$V$4,tabela_registros[CATEGORIA],receitasvariáveisconsolidadoabr[[#This Row],[ATUAL]])</f>
        <v>0</v>
      </c>
      <c r="W99" s="91">
        <f>SUMIFS(tabela_registros[VALOR],tabela_registros[MÊS],$AE$1,tabela_registros[DIA],receitasvariáveisconsolidadoabr[[#Headers],[19]],tabela_registros[REGISTRO],DADOS!$N$3,tabela_registros[TIPO],DADOS!$V$4,tabela_registros[CATEGORIA],receitasvariáveisconsolidadoabr[[#This Row],[ATUAL]])</f>
        <v>0</v>
      </c>
      <c r="X99" s="91">
        <f>SUMIFS(tabela_registros[VALOR],tabela_registros[MÊS],$AE$1,tabela_registros[DIA],receitasvariáveisconsolidadoabr[[#Headers],[20]],tabela_registros[REGISTRO],DADOS!$N$3,tabela_registros[TIPO],DADOS!$V$4,tabela_registros[CATEGORIA],receitasvariáveisconsolidadoabr[[#This Row],[ATUAL]])</f>
        <v>0</v>
      </c>
      <c r="Y99" s="91">
        <f>SUMIFS(tabela_registros[VALOR],tabela_registros[MÊS],$AE$1,tabela_registros[DIA],receitasvariáveisconsolidadoabr[[#Headers],[21]],tabela_registros[REGISTRO],DADOS!$N$3,tabela_registros[TIPO],DADOS!$V$4,tabela_registros[CATEGORIA],receitasvariáveisconsolidadoabr[[#This Row],[ATUAL]])</f>
        <v>0</v>
      </c>
      <c r="Z99" s="91">
        <f>SUMIFS(tabela_registros[VALOR],tabela_registros[MÊS],$AE$1,tabela_registros[DIA],receitasvariáveisconsolidadoabr[[#Headers],[22]],tabela_registros[REGISTRO],DADOS!$N$3,tabela_registros[TIPO],DADOS!$V$4,tabela_registros[CATEGORIA],receitasvariáveisconsolidadoabr[[#This Row],[ATUAL]])</f>
        <v>0</v>
      </c>
      <c r="AA99" s="91">
        <f>SUMIFS(tabela_registros[VALOR],tabela_registros[MÊS],$AE$1,tabela_registros[DIA],receitasvariáveisconsolidadoabr[[#Headers],[23]],tabela_registros[REGISTRO],DADOS!$N$3,tabela_registros[TIPO],DADOS!$V$4,tabela_registros[CATEGORIA],receitasvariáveisconsolidadoabr[[#This Row],[ATUAL]])</f>
        <v>0</v>
      </c>
      <c r="AB99" s="91">
        <f>SUMIFS(tabela_registros[VALOR],tabela_registros[MÊS],$AE$1,tabela_registros[DIA],receitasvariáveisconsolidadoabr[[#Headers],[24]],tabela_registros[REGISTRO],DADOS!$N$3,tabela_registros[TIPO],DADOS!$V$4,tabela_registros[CATEGORIA],receitasvariáveisconsolidadoabr[[#This Row],[ATUAL]])</f>
        <v>0</v>
      </c>
      <c r="AC99" s="91">
        <f>SUMIFS(tabela_registros[VALOR],tabela_registros[MÊS],$AE$1,tabela_registros[DIA],receitasvariáveisconsolidadoabr[[#Headers],[25]],tabela_registros[REGISTRO],DADOS!$N$3,tabela_registros[TIPO],DADOS!$V$4,tabela_registros[CATEGORIA],receitasvariáveisconsolidadoabr[[#This Row],[ATUAL]])</f>
        <v>0</v>
      </c>
      <c r="AD99" s="91">
        <f>SUMIFS(tabela_registros[VALOR],tabela_registros[MÊS],$AE$1,tabela_registros[DIA],receitasvariáveisconsolidadoabr[[#Headers],[26]],tabela_registros[REGISTRO],DADOS!$N$3,tabela_registros[TIPO],DADOS!$V$4,tabela_registros[CATEGORIA],receitasvariáveisconsolidadoabr[[#This Row],[ATUAL]])</f>
        <v>0</v>
      </c>
      <c r="AE99" s="91">
        <f>SUMIFS(tabela_registros[VALOR],tabela_registros[MÊS],$AE$1,tabela_registros[DIA],receitasvariáveisconsolidadoabr[[#Headers],[27]],tabela_registros[REGISTRO],DADOS!$N$3,tabela_registros[TIPO],DADOS!$V$4,tabela_registros[CATEGORIA],receitasvariáveisconsolidadoabr[[#This Row],[ATUAL]])</f>
        <v>0</v>
      </c>
      <c r="AF99" s="91">
        <f>SUMIFS(tabela_registros[VALOR],tabela_registros[MÊS],$AE$1,tabela_registros[DIA],receitasvariáveisconsolidadoabr[[#Headers],[28]],tabela_registros[REGISTRO],DADOS!$N$3,tabela_registros[TIPO],DADOS!$V$4,tabela_registros[CATEGORIA],receitasvariáveisconsolidadoabr[[#This Row],[ATUAL]])</f>
        <v>0</v>
      </c>
      <c r="AG99" s="91">
        <f>SUMIFS(tabela_registros[VALOR],tabela_registros[MÊS],$AE$1,tabela_registros[DIA],receitasvariáveisconsolidadoabr[[#Headers],[29]],tabela_registros[REGISTRO],DADOS!$N$3,tabela_registros[TIPO],DADOS!$V$4,tabela_registros[CATEGORIA],receitasvariáveisconsolidadoabr[[#This Row],[ATUAL]])</f>
        <v>0</v>
      </c>
      <c r="AH99" s="91">
        <f>SUMIFS(tabela_registros[VALOR],tabela_registros[MÊS],$AE$1,tabela_registros[DIA],receitasvariáveisconsolidadoabr[[#Headers],[30]],tabela_registros[REGISTRO],DADOS!$N$3,tabela_registros[TIPO],DADOS!$V$4,tabela_registros[CATEGORIA],receitasvariáveisconsolidadoabr[[#This Row],[ATUAL]])</f>
        <v>0</v>
      </c>
      <c r="AI99" s="101">
        <f>SUMIFS(tabela_registros[VALOR],tabela_registros[MÊS],$AE$1,tabela_registros[DIA],receitasvariáveisconsolidadoabr[[#Headers],[31]],tabela_registros[REGISTRO],DADOS!$N$3,tabela_registros[TIPO],DADOS!$V$4,tabela_registros[CATEGORIA],receitasvariáveisconsolidadoabr[[#This Row],[ATUAL]])</f>
        <v>0</v>
      </c>
      <c r="AJ99" s="97">
        <f>SUM(receitasvariáveisconsolidadoabr[[#This Row],[1]:[31]])</f>
        <v>0</v>
      </c>
      <c r="AK99" s="25"/>
    </row>
    <row r="100" spans="2:37" ht="19.5" customHeight="1" thickTop="1" thickBot="1" x14ac:dyDescent="0.3">
      <c r="B100" s="28"/>
      <c r="C100" s="27" t="str">
        <f>DADOS!$Z$7</f>
        <v>🧾 NOTA DE SERVIÇO</v>
      </c>
      <c r="D100" s="26" t="str">
        <f>IF(receitasvariáveisconsolidadoabr[[#This Row],[TOTAL (R$)]]=0,"",IF(OR(receitasvariáveisconsolidadoabr[[#This Row],[TOTAL (R$)]]=LARGE($AJ$96:$AJ$103,1),receitasvariáveisconsolidadoabr[[#This Row],[TOTAL (R$)]]=LARGE($AJ$96:$AJ$103,2)),DADOS!$I$9,""))</f>
        <v/>
      </c>
      <c r="E100" s="96">
        <f>SUMIFS(tabela_registros[VALOR],tabela_registros[MÊS],$AE$1,tabela_registros[DIA],receitasvariáveisconsolidadoabr[[#Headers],[1]],tabela_registros[REGISTRO],DADOS!$N$3,tabela_registros[TIPO],DADOS!$V$4,tabela_registros[CATEGORIA],receitasvariáveisconsolidadoabr[[#This Row],[ATUAL]])</f>
        <v>0</v>
      </c>
      <c r="F100" s="91">
        <f>SUMIFS(tabela_registros[VALOR],tabela_registros[MÊS],$AE$1,tabela_registros[DIA],receitasvariáveisconsolidadoabr[[#Headers],[2]],tabela_registros[REGISTRO],DADOS!$N$3,tabela_registros[TIPO],DADOS!$V$4,tabela_registros[CATEGORIA],receitasvariáveisconsolidadoabr[[#This Row],[ATUAL]])</f>
        <v>0</v>
      </c>
      <c r="G100" s="91">
        <f>SUMIFS(tabela_registros[VALOR],tabela_registros[MÊS],$AE$1,tabela_registros[DIA],receitasvariáveisconsolidadoabr[[#Headers],[3]],tabela_registros[REGISTRO],DADOS!$N$3,tabela_registros[TIPO],DADOS!$V$4,tabela_registros[CATEGORIA],receitasvariáveisconsolidadoabr[[#This Row],[ATUAL]])</f>
        <v>0</v>
      </c>
      <c r="H100" s="91">
        <f>SUMIFS(tabela_registros[VALOR],tabela_registros[MÊS],$AE$1,tabela_registros[DIA],receitasvariáveisconsolidadoabr[[#Headers],[4]],tabela_registros[REGISTRO],DADOS!$N$3,tabela_registros[TIPO],DADOS!$V$4,tabela_registros[CATEGORIA],receitasvariáveisconsolidadoabr[[#This Row],[ATUAL]])</f>
        <v>0</v>
      </c>
      <c r="I100" s="91">
        <f>SUMIFS(tabela_registros[VALOR],tabela_registros[MÊS],$AE$1,tabela_registros[DIA],receitasvariáveisconsolidadoabr[[#Headers],[5]],tabela_registros[REGISTRO],DADOS!$N$3,tabela_registros[TIPO],DADOS!$V$4,tabela_registros[CATEGORIA],receitasvariáveisconsolidadoabr[[#This Row],[ATUAL]])</f>
        <v>0</v>
      </c>
      <c r="J100" s="91">
        <f>SUMIFS(tabela_registros[VALOR],tabela_registros[MÊS],$AE$1,tabela_registros[DIA],receitasvariáveisconsolidadoabr[[#Headers],[6]],tabela_registros[REGISTRO],DADOS!$N$3,tabela_registros[TIPO],DADOS!$V$4,tabela_registros[CATEGORIA],receitasvariáveisconsolidadoabr[[#This Row],[ATUAL]])</f>
        <v>0</v>
      </c>
      <c r="K100" s="91">
        <f>SUMIFS(tabela_registros[VALOR],tabela_registros[MÊS],$AE$1,tabela_registros[DIA],receitasvariáveisconsolidadoabr[[#Headers],[7]],tabela_registros[REGISTRO],DADOS!$N$3,tabela_registros[TIPO],DADOS!$V$4,tabela_registros[CATEGORIA],receitasvariáveisconsolidadoabr[[#This Row],[ATUAL]])</f>
        <v>0</v>
      </c>
      <c r="L100" s="91">
        <f>SUMIFS(tabela_registros[VALOR],tabela_registros[MÊS],$AE$1,tabela_registros[DIA],receitasvariáveisconsolidadoabr[[#Headers],[8]],tabela_registros[REGISTRO],DADOS!$N$3,tabela_registros[TIPO],DADOS!$V$4,tabela_registros[CATEGORIA],receitasvariáveisconsolidadoabr[[#This Row],[ATUAL]])</f>
        <v>0</v>
      </c>
      <c r="M100" s="91">
        <f>SUMIFS(tabela_registros[VALOR],tabela_registros[MÊS],$AE$1,tabela_registros[DIA],receitasvariáveisconsolidadoabr[[#Headers],[9]],tabela_registros[REGISTRO],DADOS!$N$3,tabela_registros[TIPO],DADOS!$V$4,tabela_registros[CATEGORIA],receitasvariáveisconsolidadoabr[[#This Row],[ATUAL]])</f>
        <v>0</v>
      </c>
      <c r="N100" s="91">
        <f>SUMIFS(tabela_registros[VALOR],tabela_registros[MÊS],$AE$1,tabela_registros[DIA],receitasvariáveisconsolidadoabr[[#Headers],[10]],tabela_registros[REGISTRO],DADOS!$N$3,tabela_registros[TIPO],DADOS!$V$4,tabela_registros[CATEGORIA],receitasvariáveisconsolidadoabr[[#This Row],[ATUAL]])</f>
        <v>0</v>
      </c>
      <c r="O100" s="91">
        <f>SUMIFS(tabela_registros[VALOR],tabela_registros[MÊS],$AE$1,tabela_registros[DIA],receitasvariáveisconsolidadoabr[[#Headers],[11]],tabela_registros[REGISTRO],DADOS!$N$3,tabela_registros[TIPO],DADOS!$V$4,tabela_registros[CATEGORIA],receitasvariáveisconsolidadoabr[[#This Row],[ATUAL]])</f>
        <v>0</v>
      </c>
      <c r="P100" s="91">
        <f>SUMIFS(tabela_registros[VALOR],tabela_registros[MÊS],$AE$1,tabela_registros[DIA],receitasvariáveisconsolidadoabr[[#Headers],[12]],tabela_registros[REGISTRO],DADOS!$N$3,tabela_registros[TIPO],DADOS!$V$4,tabela_registros[CATEGORIA],receitasvariáveisconsolidadoabr[[#This Row],[ATUAL]])</f>
        <v>0</v>
      </c>
      <c r="Q100" s="91">
        <f>SUMIFS(tabela_registros[VALOR],tabela_registros[MÊS],$AE$1,tabela_registros[DIA],receitasvariáveisconsolidadoabr[[#Headers],[13]],tabela_registros[REGISTRO],DADOS!$N$3,tabela_registros[TIPO],DADOS!$V$4,tabela_registros[CATEGORIA],receitasvariáveisconsolidadoabr[[#This Row],[ATUAL]])</f>
        <v>0</v>
      </c>
      <c r="R100" s="91">
        <f>SUMIFS(tabela_registros[VALOR],tabela_registros[MÊS],$AE$1,tabela_registros[DIA],receitasvariáveisconsolidadoabr[[#Headers],[14]],tabela_registros[REGISTRO],DADOS!$N$3,tabela_registros[TIPO],DADOS!$V$4,tabela_registros[CATEGORIA],receitasvariáveisconsolidadoabr[[#This Row],[ATUAL]])</f>
        <v>0</v>
      </c>
      <c r="S100" s="91">
        <f>SUMIFS(tabela_registros[VALOR],tabela_registros[MÊS],$AE$1,tabela_registros[DIA],receitasvariáveisconsolidadoabr[[#Headers],[15]],tabela_registros[REGISTRO],DADOS!$N$3,tabela_registros[TIPO],DADOS!$V$4,tabela_registros[CATEGORIA],receitasvariáveisconsolidadoabr[[#This Row],[ATUAL]])</f>
        <v>0</v>
      </c>
      <c r="T100" s="91">
        <f>SUMIFS(tabela_registros[VALOR],tabela_registros[MÊS],$AE$1,tabela_registros[DIA],receitasvariáveisconsolidadoabr[[#Headers],[16]],tabela_registros[REGISTRO],DADOS!$N$3,tabela_registros[TIPO],DADOS!$V$4,tabela_registros[CATEGORIA],receitasvariáveisconsolidadoabr[[#This Row],[ATUAL]])</f>
        <v>0</v>
      </c>
      <c r="U100" s="91">
        <f>SUMIFS(tabela_registros[VALOR],tabela_registros[MÊS],$AE$1,tabela_registros[DIA],receitasvariáveisconsolidadoabr[[#Headers],[17]],tabela_registros[REGISTRO],DADOS!$N$3,tabela_registros[TIPO],DADOS!$V$4,tabela_registros[CATEGORIA],receitasvariáveisconsolidadoabr[[#This Row],[ATUAL]])</f>
        <v>0</v>
      </c>
      <c r="V100" s="91">
        <f>SUMIFS(tabela_registros[VALOR],tabela_registros[MÊS],$AE$1,tabela_registros[DIA],receitasvariáveisconsolidadoabr[[#Headers],[18]],tabela_registros[REGISTRO],DADOS!$N$3,tabela_registros[TIPO],DADOS!$V$4,tabela_registros[CATEGORIA],receitasvariáveisconsolidadoabr[[#This Row],[ATUAL]])</f>
        <v>0</v>
      </c>
      <c r="W100" s="91">
        <f>SUMIFS(tabela_registros[VALOR],tabela_registros[MÊS],$AE$1,tabela_registros[DIA],receitasvariáveisconsolidadoabr[[#Headers],[19]],tabela_registros[REGISTRO],DADOS!$N$3,tabela_registros[TIPO],DADOS!$V$4,tabela_registros[CATEGORIA],receitasvariáveisconsolidadoabr[[#This Row],[ATUAL]])</f>
        <v>0</v>
      </c>
      <c r="X100" s="91">
        <f>SUMIFS(tabela_registros[VALOR],tabela_registros[MÊS],$AE$1,tabela_registros[DIA],receitasvariáveisconsolidadoabr[[#Headers],[20]],tabela_registros[REGISTRO],DADOS!$N$3,tabela_registros[TIPO],DADOS!$V$4,tabela_registros[CATEGORIA],receitasvariáveisconsolidadoabr[[#This Row],[ATUAL]])</f>
        <v>0</v>
      </c>
      <c r="Y100" s="91">
        <f>SUMIFS(tabela_registros[VALOR],tabela_registros[MÊS],$AE$1,tabela_registros[DIA],receitasvariáveisconsolidadoabr[[#Headers],[21]],tabela_registros[REGISTRO],DADOS!$N$3,tabela_registros[TIPO],DADOS!$V$4,tabela_registros[CATEGORIA],receitasvariáveisconsolidadoabr[[#This Row],[ATUAL]])</f>
        <v>0</v>
      </c>
      <c r="Z100" s="91">
        <f>SUMIFS(tabela_registros[VALOR],tabela_registros[MÊS],$AE$1,tabela_registros[DIA],receitasvariáveisconsolidadoabr[[#Headers],[22]],tabela_registros[REGISTRO],DADOS!$N$3,tabela_registros[TIPO],DADOS!$V$4,tabela_registros[CATEGORIA],receitasvariáveisconsolidadoabr[[#This Row],[ATUAL]])</f>
        <v>0</v>
      </c>
      <c r="AA100" s="91">
        <f>SUMIFS(tabela_registros[VALOR],tabela_registros[MÊS],$AE$1,tabela_registros[DIA],receitasvariáveisconsolidadoabr[[#Headers],[23]],tabela_registros[REGISTRO],DADOS!$N$3,tabela_registros[TIPO],DADOS!$V$4,tabela_registros[CATEGORIA],receitasvariáveisconsolidadoabr[[#This Row],[ATUAL]])</f>
        <v>0</v>
      </c>
      <c r="AB100" s="91">
        <f>SUMIFS(tabela_registros[VALOR],tabela_registros[MÊS],$AE$1,tabela_registros[DIA],receitasvariáveisconsolidadoabr[[#Headers],[24]],tabela_registros[REGISTRO],DADOS!$N$3,tabela_registros[TIPO],DADOS!$V$4,tabela_registros[CATEGORIA],receitasvariáveisconsolidadoabr[[#This Row],[ATUAL]])</f>
        <v>0</v>
      </c>
      <c r="AC100" s="91">
        <f>SUMIFS(tabela_registros[VALOR],tabela_registros[MÊS],$AE$1,tabela_registros[DIA],receitasvariáveisconsolidadoabr[[#Headers],[25]],tabela_registros[REGISTRO],DADOS!$N$3,tabela_registros[TIPO],DADOS!$V$4,tabela_registros[CATEGORIA],receitasvariáveisconsolidadoabr[[#This Row],[ATUAL]])</f>
        <v>0</v>
      </c>
      <c r="AD100" s="91">
        <f>SUMIFS(tabela_registros[VALOR],tabela_registros[MÊS],$AE$1,tabela_registros[DIA],receitasvariáveisconsolidadoabr[[#Headers],[26]],tabela_registros[REGISTRO],DADOS!$N$3,tabela_registros[TIPO],DADOS!$V$4,tabela_registros[CATEGORIA],receitasvariáveisconsolidadoabr[[#This Row],[ATUAL]])</f>
        <v>0</v>
      </c>
      <c r="AE100" s="91">
        <f>SUMIFS(tabela_registros[VALOR],tabela_registros[MÊS],$AE$1,tabela_registros[DIA],receitasvariáveisconsolidadoabr[[#Headers],[27]],tabela_registros[REGISTRO],DADOS!$N$3,tabela_registros[TIPO],DADOS!$V$4,tabela_registros[CATEGORIA],receitasvariáveisconsolidadoabr[[#This Row],[ATUAL]])</f>
        <v>0</v>
      </c>
      <c r="AF100" s="91">
        <f>SUMIFS(tabela_registros[VALOR],tabela_registros[MÊS],$AE$1,tabela_registros[DIA],receitasvariáveisconsolidadoabr[[#Headers],[28]],tabela_registros[REGISTRO],DADOS!$N$3,tabela_registros[TIPO],DADOS!$V$4,tabela_registros[CATEGORIA],receitasvariáveisconsolidadoabr[[#This Row],[ATUAL]])</f>
        <v>0</v>
      </c>
      <c r="AG100" s="91">
        <f>SUMIFS(tabela_registros[VALOR],tabela_registros[MÊS],$AE$1,tabela_registros[DIA],receitasvariáveisconsolidadoabr[[#Headers],[29]],tabela_registros[REGISTRO],DADOS!$N$3,tabela_registros[TIPO],DADOS!$V$4,tabela_registros[CATEGORIA],receitasvariáveisconsolidadoabr[[#This Row],[ATUAL]])</f>
        <v>0</v>
      </c>
      <c r="AH100" s="91">
        <f>SUMIFS(tabela_registros[VALOR],tabela_registros[MÊS],$AE$1,tabela_registros[DIA],receitasvariáveisconsolidadoabr[[#Headers],[30]],tabela_registros[REGISTRO],DADOS!$N$3,tabela_registros[TIPO],DADOS!$V$4,tabela_registros[CATEGORIA],receitasvariáveisconsolidadoabr[[#This Row],[ATUAL]])</f>
        <v>0</v>
      </c>
      <c r="AI100" s="101">
        <f>SUMIFS(tabela_registros[VALOR],tabela_registros[MÊS],$AE$1,tabela_registros[DIA],receitasvariáveisconsolidadoabr[[#Headers],[31]],tabela_registros[REGISTRO],DADOS!$N$3,tabela_registros[TIPO],DADOS!$V$4,tabela_registros[CATEGORIA],receitasvariáveisconsolidadoabr[[#This Row],[ATUAL]])</f>
        <v>0</v>
      </c>
      <c r="AJ100" s="97">
        <f>SUM(receitasvariáveisconsolidadoabr[[#This Row],[1]:[31]])</f>
        <v>0</v>
      </c>
      <c r="AK100" s="25"/>
    </row>
    <row r="101" spans="2:37" ht="19.5" customHeight="1" thickTop="1" thickBot="1" x14ac:dyDescent="0.3">
      <c r="B101" s="28"/>
      <c r="C101" s="27" t="str">
        <f>DADOS!$Z$8</f>
        <v>🎁 PRESENTE</v>
      </c>
      <c r="D101" s="26" t="str">
        <f>IF(receitasvariáveisconsolidadoabr[[#This Row],[TOTAL (R$)]]=0,"",IF(OR(receitasvariáveisconsolidadoabr[[#This Row],[TOTAL (R$)]]=LARGE($AJ$96:$AJ$103,1),receitasvariáveisconsolidadoabr[[#This Row],[TOTAL (R$)]]=LARGE($AJ$96:$AJ$103,2)),DADOS!$I$9,""))</f>
        <v/>
      </c>
      <c r="E101" s="96">
        <f>SUMIFS(tabela_registros[VALOR],tabela_registros[MÊS],$AE$1,tabela_registros[DIA],receitasvariáveisconsolidadoabr[[#Headers],[1]],tabela_registros[REGISTRO],DADOS!$N$3,tabela_registros[TIPO],DADOS!$V$4,tabela_registros[CATEGORIA],receitasvariáveisconsolidadoabr[[#This Row],[ATUAL]])</f>
        <v>0</v>
      </c>
      <c r="F101" s="91">
        <f>SUMIFS(tabela_registros[VALOR],tabela_registros[MÊS],$AE$1,tabela_registros[DIA],receitasvariáveisconsolidadoabr[[#Headers],[2]],tabela_registros[REGISTRO],DADOS!$N$3,tabela_registros[TIPO],DADOS!$V$4,tabela_registros[CATEGORIA],receitasvariáveisconsolidadoabr[[#This Row],[ATUAL]])</f>
        <v>0</v>
      </c>
      <c r="G101" s="91">
        <f>SUMIFS(tabela_registros[VALOR],tabela_registros[MÊS],$AE$1,tabela_registros[DIA],receitasvariáveisconsolidadoabr[[#Headers],[3]],tabela_registros[REGISTRO],DADOS!$N$3,tabela_registros[TIPO],DADOS!$V$4,tabela_registros[CATEGORIA],receitasvariáveisconsolidadoabr[[#This Row],[ATUAL]])</f>
        <v>0</v>
      </c>
      <c r="H101" s="91">
        <f>SUMIFS(tabela_registros[VALOR],tabela_registros[MÊS],$AE$1,tabela_registros[DIA],receitasvariáveisconsolidadoabr[[#Headers],[4]],tabela_registros[REGISTRO],DADOS!$N$3,tabela_registros[TIPO],DADOS!$V$4,tabela_registros[CATEGORIA],receitasvariáveisconsolidadoabr[[#This Row],[ATUAL]])</f>
        <v>0</v>
      </c>
      <c r="I101" s="91">
        <f>SUMIFS(tabela_registros[VALOR],tabela_registros[MÊS],$AE$1,tabela_registros[DIA],receitasvariáveisconsolidadoabr[[#Headers],[5]],tabela_registros[REGISTRO],DADOS!$N$3,tabela_registros[TIPO],DADOS!$V$4,tabela_registros[CATEGORIA],receitasvariáveisconsolidadoabr[[#This Row],[ATUAL]])</f>
        <v>0</v>
      </c>
      <c r="J101" s="91">
        <f>SUMIFS(tabela_registros[VALOR],tabela_registros[MÊS],$AE$1,tabela_registros[DIA],receitasvariáveisconsolidadoabr[[#Headers],[6]],tabela_registros[REGISTRO],DADOS!$N$3,tabela_registros[TIPO],DADOS!$V$4,tabela_registros[CATEGORIA],receitasvariáveisconsolidadoabr[[#This Row],[ATUAL]])</f>
        <v>0</v>
      </c>
      <c r="K101" s="91">
        <f>SUMIFS(tabela_registros[VALOR],tabela_registros[MÊS],$AE$1,tabela_registros[DIA],receitasvariáveisconsolidadoabr[[#Headers],[7]],tabela_registros[REGISTRO],DADOS!$N$3,tabela_registros[TIPO],DADOS!$V$4,tabela_registros[CATEGORIA],receitasvariáveisconsolidadoabr[[#This Row],[ATUAL]])</f>
        <v>0</v>
      </c>
      <c r="L101" s="91">
        <f>SUMIFS(tabela_registros[VALOR],tabela_registros[MÊS],$AE$1,tabela_registros[DIA],receitasvariáveisconsolidadoabr[[#Headers],[8]],tabela_registros[REGISTRO],DADOS!$N$3,tabela_registros[TIPO],DADOS!$V$4,tabela_registros[CATEGORIA],receitasvariáveisconsolidadoabr[[#This Row],[ATUAL]])</f>
        <v>0</v>
      </c>
      <c r="M101" s="91">
        <f>SUMIFS(tabela_registros[VALOR],tabela_registros[MÊS],$AE$1,tabela_registros[DIA],receitasvariáveisconsolidadoabr[[#Headers],[9]],tabela_registros[REGISTRO],DADOS!$N$3,tabela_registros[TIPO],DADOS!$V$4,tabela_registros[CATEGORIA],receitasvariáveisconsolidadoabr[[#This Row],[ATUAL]])</f>
        <v>0</v>
      </c>
      <c r="N101" s="91">
        <f>SUMIFS(tabela_registros[VALOR],tabela_registros[MÊS],$AE$1,tabela_registros[DIA],receitasvariáveisconsolidadoabr[[#Headers],[10]],tabela_registros[REGISTRO],DADOS!$N$3,tabela_registros[TIPO],DADOS!$V$4,tabela_registros[CATEGORIA],receitasvariáveisconsolidadoabr[[#This Row],[ATUAL]])</f>
        <v>0</v>
      </c>
      <c r="O101" s="91">
        <f>SUMIFS(tabela_registros[VALOR],tabela_registros[MÊS],$AE$1,tabela_registros[DIA],receitasvariáveisconsolidadoabr[[#Headers],[11]],tabela_registros[REGISTRO],DADOS!$N$3,tabela_registros[TIPO],DADOS!$V$4,tabela_registros[CATEGORIA],receitasvariáveisconsolidadoabr[[#This Row],[ATUAL]])</f>
        <v>0</v>
      </c>
      <c r="P101" s="91">
        <f>SUMIFS(tabela_registros[VALOR],tabela_registros[MÊS],$AE$1,tabela_registros[DIA],receitasvariáveisconsolidadoabr[[#Headers],[12]],tabela_registros[REGISTRO],DADOS!$N$3,tabela_registros[TIPO],DADOS!$V$4,tabela_registros[CATEGORIA],receitasvariáveisconsolidadoabr[[#This Row],[ATUAL]])</f>
        <v>0</v>
      </c>
      <c r="Q101" s="91">
        <f>SUMIFS(tabela_registros[VALOR],tabela_registros[MÊS],$AE$1,tabela_registros[DIA],receitasvariáveisconsolidadoabr[[#Headers],[13]],tabela_registros[REGISTRO],DADOS!$N$3,tabela_registros[TIPO],DADOS!$V$4,tabela_registros[CATEGORIA],receitasvariáveisconsolidadoabr[[#This Row],[ATUAL]])</f>
        <v>0</v>
      </c>
      <c r="R101" s="91">
        <f>SUMIFS(tabela_registros[VALOR],tabela_registros[MÊS],$AE$1,tabela_registros[DIA],receitasvariáveisconsolidadoabr[[#Headers],[14]],tabela_registros[REGISTRO],DADOS!$N$3,tabela_registros[TIPO],DADOS!$V$4,tabela_registros[CATEGORIA],receitasvariáveisconsolidadoabr[[#This Row],[ATUAL]])</f>
        <v>0</v>
      </c>
      <c r="S101" s="91">
        <f>SUMIFS(tabela_registros[VALOR],tabela_registros[MÊS],$AE$1,tabela_registros[DIA],receitasvariáveisconsolidadoabr[[#Headers],[15]],tabela_registros[REGISTRO],DADOS!$N$3,tabela_registros[TIPO],DADOS!$V$4,tabela_registros[CATEGORIA],receitasvariáveisconsolidadoabr[[#This Row],[ATUAL]])</f>
        <v>0</v>
      </c>
      <c r="T101" s="91">
        <f>SUMIFS(tabela_registros[VALOR],tabela_registros[MÊS],$AE$1,tabela_registros[DIA],receitasvariáveisconsolidadoabr[[#Headers],[16]],tabela_registros[REGISTRO],DADOS!$N$3,tabela_registros[TIPO],DADOS!$V$4,tabela_registros[CATEGORIA],receitasvariáveisconsolidadoabr[[#This Row],[ATUAL]])</f>
        <v>0</v>
      </c>
      <c r="U101" s="91">
        <f>SUMIFS(tabela_registros[VALOR],tabela_registros[MÊS],$AE$1,tabela_registros[DIA],receitasvariáveisconsolidadoabr[[#Headers],[17]],tabela_registros[REGISTRO],DADOS!$N$3,tabela_registros[TIPO],DADOS!$V$4,tabela_registros[CATEGORIA],receitasvariáveisconsolidadoabr[[#This Row],[ATUAL]])</f>
        <v>0</v>
      </c>
      <c r="V101" s="91">
        <f>SUMIFS(tabela_registros[VALOR],tabela_registros[MÊS],$AE$1,tabela_registros[DIA],receitasvariáveisconsolidadoabr[[#Headers],[18]],tabela_registros[REGISTRO],DADOS!$N$3,tabela_registros[TIPO],DADOS!$V$4,tabela_registros[CATEGORIA],receitasvariáveisconsolidadoabr[[#This Row],[ATUAL]])</f>
        <v>0</v>
      </c>
      <c r="W101" s="91">
        <f>SUMIFS(tabela_registros[VALOR],tabela_registros[MÊS],$AE$1,tabela_registros[DIA],receitasvariáveisconsolidadoabr[[#Headers],[19]],tabela_registros[REGISTRO],DADOS!$N$3,tabela_registros[TIPO],DADOS!$V$4,tabela_registros[CATEGORIA],receitasvariáveisconsolidadoabr[[#This Row],[ATUAL]])</f>
        <v>0</v>
      </c>
      <c r="X101" s="91">
        <f>SUMIFS(tabela_registros[VALOR],tabela_registros[MÊS],$AE$1,tabela_registros[DIA],receitasvariáveisconsolidadoabr[[#Headers],[20]],tabela_registros[REGISTRO],DADOS!$N$3,tabela_registros[TIPO],DADOS!$V$4,tabela_registros[CATEGORIA],receitasvariáveisconsolidadoabr[[#This Row],[ATUAL]])</f>
        <v>0</v>
      </c>
      <c r="Y101" s="91">
        <f>SUMIFS(tabela_registros[VALOR],tabela_registros[MÊS],$AE$1,tabela_registros[DIA],receitasvariáveisconsolidadoabr[[#Headers],[21]],tabela_registros[REGISTRO],DADOS!$N$3,tabela_registros[TIPO],DADOS!$V$4,tabela_registros[CATEGORIA],receitasvariáveisconsolidadoabr[[#This Row],[ATUAL]])</f>
        <v>0</v>
      </c>
      <c r="Z101" s="91">
        <f>SUMIFS(tabela_registros[VALOR],tabela_registros[MÊS],$AE$1,tabela_registros[DIA],receitasvariáveisconsolidadoabr[[#Headers],[22]],tabela_registros[REGISTRO],DADOS!$N$3,tabela_registros[TIPO],DADOS!$V$4,tabela_registros[CATEGORIA],receitasvariáveisconsolidadoabr[[#This Row],[ATUAL]])</f>
        <v>0</v>
      </c>
      <c r="AA101" s="91">
        <f>SUMIFS(tabela_registros[VALOR],tabela_registros[MÊS],$AE$1,tabela_registros[DIA],receitasvariáveisconsolidadoabr[[#Headers],[23]],tabela_registros[REGISTRO],DADOS!$N$3,tabela_registros[TIPO],DADOS!$V$4,tabela_registros[CATEGORIA],receitasvariáveisconsolidadoabr[[#This Row],[ATUAL]])</f>
        <v>0</v>
      </c>
      <c r="AB101" s="91">
        <f>SUMIFS(tabela_registros[VALOR],tabela_registros[MÊS],$AE$1,tabela_registros[DIA],receitasvariáveisconsolidadoabr[[#Headers],[24]],tabela_registros[REGISTRO],DADOS!$N$3,tabela_registros[TIPO],DADOS!$V$4,tabela_registros[CATEGORIA],receitasvariáveisconsolidadoabr[[#This Row],[ATUAL]])</f>
        <v>0</v>
      </c>
      <c r="AC101" s="91">
        <f>SUMIFS(tabela_registros[VALOR],tabela_registros[MÊS],$AE$1,tabela_registros[DIA],receitasvariáveisconsolidadoabr[[#Headers],[25]],tabela_registros[REGISTRO],DADOS!$N$3,tabela_registros[TIPO],DADOS!$V$4,tabela_registros[CATEGORIA],receitasvariáveisconsolidadoabr[[#This Row],[ATUAL]])</f>
        <v>0</v>
      </c>
      <c r="AD101" s="91">
        <f>SUMIFS(tabela_registros[VALOR],tabela_registros[MÊS],$AE$1,tabela_registros[DIA],receitasvariáveisconsolidadoabr[[#Headers],[26]],tabela_registros[REGISTRO],DADOS!$N$3,tabela_registros[TIPO],DADOS!$V$4,tabela_registros[CATEGORIA],receitasvariáveisconsolidadoabr[[#This Row],[ATUAL]])</f>
        <v>0</v>
      </c>
      <c r="AE101" s="91">
        <f>SUMIFS(tabela_registros[VALOR],tabela_registros[MÊS],$AE$1,tabela_registros[DIA],receitasvariáveisconsolidadoabr[[#Headers],[27]],tabela_registros[REGISTRO],DADOS!$N$3,tabela_registros[TIPO],DADOS!$V$4,tabela_registros[CATEGORIA],receitasvariáveisconsolidadoabr[[#This Row],[ATUAL]])</f>
        <v>0</v>
      </c>
      <c r="AF101" s="91">
        <f>SUMIFS(tabela_registros[VALOR],tabela_registros[MÊS],$AE$1,tabela_registros[DIA],receitasvariáveisconsolidadoabr[[#Headers],[28]],tabela_registros[REGISTRO],DADOS!$N$3,tabela_registros[TIPO],DADOS!$V$4,tabela_registros[CATEGORIA],receitasvariáveisconsolidadoabr[[#This Row],[ATUAL]])</f>
        <v>0</v>
      </c>
      <c r="AG101" s="91">
        <f>SUMIFS(tabela_registros[VALOR],tabela_registros[MÊS],$AE$1,tabela_registros[DIA],receitasvariáveisconsolidadoabr[[#Headers],[29]],tabela_registros[REGISTRO],DADOS!$N$3,tabela_registros[TIPO],DADOS!$V$4,tabela_registros[CATEGORIA],receitasvariáveisconsolidadoabr[[#This Row],[ATUAL]])</f>
        <v>0</v>
      </c>
      <c r="AH101" s="91">
        <f>SUMIFS(tabela_registros[VALOR],tabela_registros[MÊS],$AE$1,tabela_registros[DIA],receitasvariáveisconsolidadoabr[[#Headers],[30]],tabela_registros[REGISTRO],DADOS!$N$3,tabela_registros[TIPO],DADOS!$V$4,tabela_registros[CATEGORIA],receitasvariáveisconsolidadoabr[[#This Row],[ATUAL]])</f>
        <v>0</v>
      </c>
      <c r="AI101" s="101">
        <f>SUMIFS(tabela_registros[VALOR],tabela_registros[MÊS],$AE$1,tabela_registros[DIA],receitasvariáveisconsolidadoabr[[#Headers],[31]],tabela_registros[REGISTRO],DADOS!$N$3,tabela_registros[TIPO],DADOS!$V$4,tabela_registros[CATEGORIA],receitasvariáveisconsolidadoabr[[#This Row],[ATUAL]])</f>
        <v>0</v>
      </c>
      <c r="AJ101" s="97">
        <f>SUM(receitasvariáveisconsolidadoabr[[#This Row],[1]:[31]])</f>
        <v>0</v>
      </c>
      <c r="AK101" s="25"/>
    </row>
    <row r="102" spans="2:37" ht="19.5" customHeight="1" thickTop="1" thickBot="1" x14ac:dyDescent="0.3">
      <c r="B102" s="28"/>
      <c r="C102" s="27" t="str">
        <f>DADOS!$Z$9</f>
        <v>👷‍♀️ TRABALHO TEMPORÁRIO</v>
      </c>
      <c r="D102" s="26" t="str">
        <f>IF(receitasvariáveisconsolidadoabr[[#This Row],[TOTAL (R$)]]=0,"",IF(OR(receitasvariáveisconsolidadoabr[[#This Row],[TOTAL (R$)]]=LARGE($AJ$96:$AJ$103,1),receitasvariáveisconsolidadoabr[[#This Row],[TOTAL (R$)]]=LARGE($AJ$96:$AJ$103,2)),DADOS!$I$9,""))</f>
        <v/>
      </c>
      <c r="E102" s="96">
        <f>SUMIFS(tabela_registros[VALOR],tabela_registros[MÊS],$AE$1,tabela_registros[DIA],receitasvariáveisconsolidadoabr[[#Headers],[1]],tabela_registros[REGISTRO],DADOS!$N$3,tabela_registros[TIPO],DADOS!$V$4,tabela_registros[CATEGORIA],receitasvariáveisconsolidadoabr[[#This Row],[ATUAL]])</f>
        <v>0</v>
      </c>
      <c r="F102" s="91">
        <f>SUMIFS(tabela_registros[VALOR],tabela_registros[MÊS],$AE$1,tabela_registros[DIA],receitasvariáveisconsolidadoabr[[#Headers],[2]],tabela_registros[REGISTRO],DADOS!$N$3,tabela_registros[TIPO],DADOS!$V$4,tabela_registros[CATEGORIA],receitasvariáveisconsolidadoabr[[#This Row],[ATUAL]])</f>
        <v>0</v>
      </c>
      <c r="G102" s="91">
        <f>SUMIFS(tabela_registros[VALOR],tabela_registros[MÊS],$AE$1,tabela_registros[DIA],receitasvariáveisconsolidadoabr[[#Headers],[3]],tabela_registros[REGISTRO],DADOS!$N$3,tabela_registros[TIPO],DADOS!$V$4,tabela_registros[CATEGORIA],receitasvariáveisconsolidadoabr[[#This Row],[ATUAL]])</f>
        <v>0</v>
      </c>
      <c r="H102" s="91">
        <f>SUMIFS(tabela_registros[VALOR],tabela_registros[MÊS],$AE$1,tabela_registros[DIA],receitasvariáveisconsolidadoabr[[#Headers],[4]],tabela_registros[REGISTRO],DADOS!$N$3,tabela_registros[TIPO],DADOS!$V$4,tabela_registros[CATEGORIA],receitasvariáveisconsolidadoabr[[#This Row],[ATUAL]])</f>
        <v>0</v>
      </c>
      <c r="I102" s="91">
        <f>SUMIFS(tabela_registros[VALOR],tabela_registros[MÊS],$AE$1,tabela_registros[DIA],receitasvariáveisconsolidadoabr[[#Headers],[5]],tabela_registros[REGISTRO],DADOS!$N$3,tabela_registros[TIPO],DADOS!$V$4,tabela_registros[CATEGORIA],receitasvariáveisconsolidadoabr[[#This Row],[ATUAL]])</f>
        <v>0</v>
      </c>
      <c r="J102" s="91">
        <f>SUMIFS(tabela_registros[VALOR],tabela_registros[MÊS],$AE$1,tabela_registros[DIA],receitasvariáveisconsolidadoabr[[#Headers],[6]],tabela_registros[REGISTRO],DADOS!$N$3,tabela_registros[TIPO],DADOS!$V$4,tabela_registros[CATEGORIA],receitasvariáveisconsolidadoabr[[#This Row],[ATUAL]])</f>
        <v>0</v>
      </c>
      <c r="K102" s="91">
        <f>SUMIFS(tabela_registros[VALOR],tabela_registros[MÊS],$AE$1,tabela_registros[DIA],receitasvariáveisconsolidadoabr[[#Headers],[7]],tabela_registros[REGISTRO],DADOS!$N$3,tabela_registros[TIPO],DADOS!$V$4,tabela_registros[CATEGORIA],receitasvariáveisconsolidadoabr[[#This Row],[ATUAL]])</f>
        <v>0</v>
      </c>
      <c r="L102" s="91">
        <f>SUMIFS(tabela_registros[VALOR],tabela_registros[MÊS],$AE$1,tabela_registros[DIA],receitasvariáveisconsolidadoabr[[#Headers],[8]],tabela_registros[REGISTRO],DADOS!$N$3,tabela_registros[TIPO],DADOS!$V$4,tabela_registros[CATEGORIA],receitasvariáveisconsolidadoabr[[#This Row],[ATUAL]])</f>
        <v>0</v>
      </c>
      <c r="M102" s="91">
        <f>SUMIFS(tabela_registros[VALOR],tabela_registros[MÊS],$AE$1,tabela_registros[DIA],receitasvariáveisconsolidadoabr[[#Headers],[9]],tabela_registros[REGISTRO],DADOS!$N$3,tabela_registros[TIPO],DADOS!$V$4,tabela_registros[CATEGORIA],receitasvariáveisconsolidadoabr[[#This Row],[ATUAL]])</f>
        <v>0</v>
      </c>
      <c r="N102" s="91">
        <f>SUMIFS(tabela_registros[VALOR],tabela_registros[MÊS],$AE$1,tabela_registros[DIA],receitasvariáveisconsolidadoabr[[#Headers],[10]],tabela_registros[REGISTRO],DADOS!$N$3,tabela_registros[TIPO],DADOS!$V$4,tabela_registros[CATEGORIA],receitasvariáveisconsolidadoabr[[#This Row],[ATUAL]])</f>
        <v>0</v>
      </c>
      <c r="O102" s="91">
        <f>SUMIFS(tabela_registros[VALOR],tabela_registros[MÊS],$AE$1,tabela_registros[DIA],receitasvariáveisconsolidadoabr[[#Headers],[11]],tabela_registros[REGISTRO],DADOS!$N$3,tabela_registros[TIPO],DADOS!$V$4,tabela_registros[CATEGORIA],receitasvariáveisconsolidadoabr[[#This Row],[ATUAL]])</f>
        <v>0</v>
      </c>
      <c r="P102" s="91">
        <f>SUMIFS(tabela_registros[VALOR],tabela_registros[MÊS],$AE$1,tabela_registros[DIA],receitasvariáveisconsolidadoabr[[#Headers],[12]],tabela_registros[REGISTRO],DADOS!$N$3,tabela_registros[TIPO],DADOS!$V$4,tabela_registros[CATEGORIA],receitasvariáveisconsolidadoabr[[#This Row],[ATUAL]])</f>
        <v>0</v>
      </c>
      <c r="Q102" s="91">
        <f>SUMIFS(tabela_registros[VALOR],tabela_registros[MÊS],$AE$1,tabela_registros[DIA],receitasvariáveisconsolidadoabr[[#Headers],[13]],tabela_registros[REGISTRO],DADOS!$N$3,tabela_registros[TIPO],DADOS!$V$4,tabela_registros[CATEGORIA],receitasvariáveisconsolidadoabr[[#This Row],[ATUAL]])</f>
        <v>0</v>
      </c>
      <c r="R102" s="91">
        <f>SUMIFS(tabela_registros[VALOR],tabela_registros[MÊS],$AE$1,tabela_registros[DIA],receitasvariáveisconsolidadoabr[[#Headers],[14]],tabela_registros[REGISTRO],DADOS!$N$3,tabela_registros[TIPO],DADOS!$V$4,tabela_registros[CATEGORIA],receitasvariáveisconsolidadoabr[[#This Row],[ATUAL]])</f>
        <v>0</v>
      </c>
      <c r="S102" s="91">
        <f>SUMIFS(tabela_registros[VALOR],tabela_registros[MÊS],$AE$1,tabela_registros[DIA],receitasvariáveisconsolidadoabr[[#Headers],[15]],tabela_registros[REGISTRO],DADOS!$N$3,tabela_registros[TIPO],DADOS!$V$4,tabela_registros[CATEGORIA],receitasvariáveisconsolidadoabr[[#This Row],[ATUAL]])</f>
        <v>0</v>
      </c>
      <c r="T102" s="91">
        <f>SUMIFS(tabela_registros[VALOR],tabela_registros[MÊS],$AE$1,tabela_registros[DIA],receitasvariáveisconsolidadoabr[[#Headers],[16]],tabela_registros[REGISTRO],DADOS!$N$3,tabela_registros[TIPO],DADOS!$V$4,tabela_registros[CATEGORIA],receitasvariáveisconsolidadoabr[[#This Row],[ATUAL]])</f>
        <v>0</v>
      </c>
      <c r="U102" s="91">
        <f>SUMIFS(tabela_registros[VALOR],tabela_registros[MÊS],$AE$1,tabela_registros[DIA],receitasvariáveisconsolidadoabr[[#Headers],[17]],tabela_registros[REGISTRO],DADOS!$N$3,tabela_registros[TIPO],DADOS!$V$4,tabela_registros[CATEGORIA],receitasvariáveisconsolidadoabr[[#This Row],[ATUAL]])</f>
        <v>0</v>
      </c>
      <c r="V102" s="91">
        <f>SUMIFS(tabela_registros[VALOR],tabela_registros[MÊS],$AE$1,tabela_registros[DIA],receitasvariáveisconsolidadoabr[[#Headers],[18]],tabela_registros[REGISTRO],DADOS!$N$3,tabela_registros[TIPO],DADOS!$V$4,tabela_registros[CATEGORIA],receitasvariáveisconsolidadoabr[[#This Row],[ATUAL]])</f>
        <v>0</v>
      </c>
      <c r="W102" s="91">
        <f>SUMIFS(tabela_registros[VALOR],tabela_registros[MÊS],$AE$1,tabela_registros[DIA],receitasvariáveisconsolidadoabr[[#Headers],[19]],tabela_registros[REGISTRO],DADOS!$N$3,tabela_registros[TIPO],DADOS!$V$4,tabela_registros[CATEGORIA],receitasvariáveisconsolidadoabr[[#This Row],[ATUAL]])</f>
        <v>0</v>
      </c>
      <c r="X102" s="91">
        <f>SUMIFS(tabela_registros[VALOR],tabela_registros[MÊS],$AE$1,tabela_registros[DIA],receitasvariáveisconsolidadoabr[[#Headers],[20]],tabela_registros[REGISTRO],DADOS!$N$3,tabela_registros[TIPO],DADOS!$V$4,tabela_registros[CATEGORIA],receitasvariáveisconsolidadoabr[[#This Row],[ATUAL]])</f>
        <v>0</v>
      </c>
      <c r="Y102" s="91">
        <f>SUMIFS(tabela_registros[VALOR],tabela_registros[MÊS],$AE$1,tabela_registros[DIA],receitasvariáveisconsolidadoabr[[#Headers],[21]],tabela_registros[REGISTRO],DADOS!$N$3,tabela_registros[TIPO],DADOS!$V$4,tabela_registros[CATEGORIA],receitasvariáveisconsolidadoabr[[#This Row],[ATUAL]])</f>
        <v>0</v>
      </c>
      <c r="Z102" s="91">
        <f>SUMIFS(tabela_registros[VALOR],tabela_registros[MÊS],$AE$1,tabela_registros[DIA],receitasvariáveisconsolidadoabr[[#Headers],[22]],tabela_registros[REGISTRO],DADOS!$N$3,tabela_registros[TIPO],DADOS!$V$4,tabela_registros[CATEGORIA],receitasvariáveisconsolidadoabr[[#This Row],[ATUAL]])</f>
        <v>0</v>
      </c>
      <c r="AA102" s="91">
        <f>SUMIFS(tabela_registros[VALOR],tabela_registros[MÊS],$AE$1,tabela_registros[DIA],receitasvariáveisconsolidadoabr[[#Headers],[23]],tabela_registros[REGISTRO],DADOS!$N$3,tabela_registros[TIPO],DADOS!$V$4,tabela_registros[CATEGORIA],receitasvariáveisconsolidadoabr[[#This Row],[ATUAL]])</f>
        <v>0</v>
      </c>
      <c r="AB102" s="91">
        <f>SUMIFS(tabela_registros[VALOR],tabela_registros[MÊS],$AE$1,tabela_registros[DIA],receitasvariáveisconsolidadoabr[[#Headers],[24]],tabela_registros[REGISTRO],DADOS!$N$3,tabela_registros[TIPO],DADOS!$V$4,tabela_registros[CATEGORIA],receitasvariáveisconsolidadoabr[[#This Row],[ATUAL]])</f>
        <v>0</v>
      </c>
      <c r="AC102" s="91">
        <f>SUMIFS(tabela_registros[VALOR],tabela_registros[MÊS],$AE$1,tabela_registros[DIA],receitasvariáveisconsolidadoabr[[#Headers],[25]],tabela_registros[REGISTRO],DADOS!$N$3,tabela_registros[TIPO],DADOS!$V$4,tabela_registros[CATEGORIA],receitasvariáveisconsolidadoabr[[#This Row],[ATUAL]])</f>
        <v>0</v>
      </c>
      <c r="AD102" s="91">
        <f>SUMIFS(tabela_registros[VALOR],tabela_registros[MÊS],$AE$1,tabela_registros[DIA],receitasvariáveisconsolidadoabr[[#Headers],[26]],tabela_registros[REGISTRO],DADOS!$N$3,tabela_registros[TIPO],DADOS!$V$4,tabela_registros[CATEGORIA],receitasvariáveisconsolidadoabr[[#This Row],[ATUAL]])</f>
        <v>0</v>
      </c>
      <c r="AE102" s="91">
        <f>SUMIFS(tabela_registros[VALOR],tabela_registros[MÊS],$AE$1,tabela_registros[DIA],receitasvariáveisconsolidadoabr[[#Headers],[27]],tabela_registros[REGISTRO],DADOS!$N$3,tabela_registros[TIPO],DADOS!$V$4,tabela_registros[CATEGORIA],receitasvariáveisconsolidadoabr[[#This Row],[ATUAL]])</f>
        <v>0</v>
      </c>
      <c r="AF102" s="91">
        <f>SUMIFS(tabela_registros[VALOR],tabela_registros[MÊS],$AE$1,tabela_registros[DIA],receitasvariáveisconsolidadoabr[[#Headers],[28]],tabela_registros[REGISTRO],DADOS!$N$3,tabela_registros[TIPO],DADOS!$V$4,tabela_registros[CATEGORIA],receitasvariáveisconsolidadoabr[[#This Row],[ATUAL]])</f>
        <v>0</v>
      </c>
      <c r="AG102" s="91">
        <f>SUMIFS(tabela_registros[VALOR],tabela_registros[MÊS],$AE$1,tabela_registros[DIA],receitasvariáveisconsolidadoabr[[#Headers],[29]],tabela_registros[REGISTRO],DADOS!$N$3,tabela_registros[TIPO],DADOS!$V$4,tabela_registros[CATEGORIA],receitasvariáveisconsolidadoabr[[#This Row],[ATUAL]])</f>
        <v>0</v>
      </c>
      <c r="AH102" s="91">
        <f>SUMIFS(tabela_registros[VALOR],tabela_registros[MÊS],$AE$1,tabela_registros[DIA],receitasvariáveisconsolidadoabr[[#Headers],[30]],tabela_registros[REGISTRO],DADOS!$N$3,tabela_registros[TIPO],DADOS!$V$4,tabela_registros[CATEGORIA],receitasvariáveisconsolidadoabr[[#This Row],[ATUAL]])</f>
        <v>0</v>
      </c>
      <c r="AI102" s="101">
        <f>SUMIFS(tabela_registros[VALOR],tabela_registros[MÊS],$AE$1,tabela_registros[DIA],receitasvariáveisconsolidadoabr[[#Headers],[31]],tabela_registros[REGISTRO],DADOS!$N$3,tabela_registros[TIPO],DADOS!$V$4,tabela_registros[CATEGORIA],receitasvariáveisconsolidadoabr[[#This Row],[ATUAL]])</f>
        <v>0</v>
      </c>
      <c r="AJ102" s="97">
        <f>SUM(receitasvariáveisconsolidadoabr[[#This Row],[1]:[31]])</f>
        <v>0</v>
      </c>
      <c r="AK102" s="25"/>
    </row>
    <row r="103" spans="2:37" ht="18" customHeight="1" thickTop="1" thickBot="1" x14ac:dyDescent="0.3">
      <c r="B103" s="28"/>
      <c r="C103" s="27" t="str">
        <f>DADOS!$Z$10</f>
        <v>📎 OUTROS</v>
      </c>
      <c r="D103" s="26" t="str">
        <f>IF(receitasvariáveisconsolidadoabr[[#This Row],[TOTAL (R$)]]=0,"",IF(OR(receitasvariáveisconsolidadoabr[[#This Row],[TOTAL (R$)]]=LARGE($AJ$96:$AJ$103,1),receitasvariáveisconsolidadoabr[[#This Row],[TOTAL (R$)]]=LARGE($AJ$96:$AJ$103,2)),DADOS!$I$9,""))</f>
        <v/>
      </c>
      <c r="E103" s="96">
        <f>SUMIFS(tabela_registros[VALOR],tabela_registros[MÊS],$AE$1,tabela_registros[DIA],receitasvariáveisconsolidadoabr[[#Headers],[1]],tabela_registros[REGISTRO],DADOS!$N$3,tabela_registros[TIPO],DADOS!$V$4,tabela_registros[CATEGORIA],receitasvariáveisconsolidadoabr[[#This Row],[ATUAL]])</f>
        <v>0</v>
      </c>
      <c r="F103" s="91">
        <f>SUMIFS(tabela_registros[VALOR],tabela_registros[MÊS],$AE$1,tabela_registros[DIA],receitasvariáveisconsolidadoabr[[#Headers],[2]],tabela_registros[REGISTRO],DADOS!$N$3,tabela_registros[TIPO],DADOS!$V$4,tabela_registros[CATEGORIA],receitasvariáveisconsolidadoabr[[#This Row],[ATUAL]])</f>
        <v>0</v>
      </c>
      <c r="G103" s="91">
        <f>SUMIFS(tabela_registros[VALOR],tabela_registros[MÊS],$AE$1,tabela_registros[DIA],receitasvariáveisconsolidadoabr[[#Headers],[3]],tabela_registros[REGISTRO],DADOS!$N$3,tabela_registros[TIPO],DADOS!$V$4,tabela_registros[CATEGORIA],receitasvariáveisconsolidadoabr[[#This Row],[ATUAL]])</f>
        <v>0</v>
      </c>
      <c r="H103" s="91">
        <f>SUMIFS(tabela_registros[VALOR],tabela_registros[MÊS],$AE$1,tabela_registros[DIA],receitasvariáveisconsolidadoabr[[#Headers],[4]],tabela_registros[REGISTRO],DADOS!$N$3,tabela_registros[TIPO],DADOS!$V$4,tabela_registros[CATEGORIA],receitasvariáveisconsolidadoabr[[#This Row],[ATUAL]])</f>
        <v>0</v>
      </c>
      <c r="I103" s="91">
        <f>SUMIFS(tabela_registros[VALOR],tabela_registros[MÊS],$AE$1,tabela_registros[DIA],receitasvariáveisconsolidadoabr[[#Headers],[5]],tabela_registros[REGISTRO],DADOS!$N$3,tabela_registros[TIPO],DADOS!$V$4,tabela_registros[CATEGORIA],receitasvariáveisconsolidadoabr[[#This Row],[ATUAL]])</f>
        <v>0</v>
      </c>
      <c r="J103" s="91">
        <f>SUMIFS(tabela_registros[VALOR],tabela_registros[MÊS],$AE$1,tabela_registros[DIA],receitasvariáveisconsolidadoabr[[#Headers],[6]],tabela_registros[REGISTRO],DADOS!$N$3,tabela_registros[TIPO],DADOS!$V$4,tabela_registros[CATEGORIA],receitasvariáveisconsolidadoabr[[#This Row],[ATUAL]])</f>
        <v>0</v>
      </c>
      <c r="K103" s="91">
        <f>SUMIFS(tabela_registros[VALOR],tabela_registros[MÊS],$AE$1,tabela_registros[DIA],receitasvariáveisconsolidadoabr[[#Headers],[7]],tabela_registros[REGISTRO],DADOS!$N$3,tabela_registros[TIPO],DADOS!$V$4,tabela_registros[CATEGORIA],receitasvariáveisconsolidadoabr[[#This Row],[ATUAL]])</f>
        <v>0</v>
      </c>
      <c r="L103" s="91">
        <f>SUMIFS(tabela_registros[VALOR],tabela_registros[MÊS],$AE$1,tabela_registros[DIA],receitasvariáveisconsolidadoabr[[#Headers],[8]],tabela_registros[REGISTRO],DADOS!$N$3,tabela_registros[TIPO],DADOS!$V$4,tabela_registros[CATEGORIA],receitasvariáveisconsolidadoabr[[#This Row],[ATUAL]])</f>
        <v>0</v>
      </c>
      <c r="M103" s="91">
        <f>SUMIFS(tabela_registros[VALOR],tabela_registros[MÊS],$AE$1,tabela_registros[DIA],receitasvariáveisconsolidadoabr[[#Headers],[9]],tabela_registros[REGISTRO],DADOS!$N$3,tabela_registros[TIPO],DADOS!$V$4,tabela_registros[CATEGORIA],receitasvariáveisconsolidadoabr[[#This Row],[ATUAL]])</f>
        <v>0</v>
      </c>
      <c r="N103" s="91">
        <f>SUMIFS(tabela_registros[VALOR],tabela_registros[MÊS],$AE$1,tabela_registros[DIA],receitasvariáveisconsolidadoabr[[#Headers],[10]],tabela_registros[REGISTRO],DADOS!$N$3,tabela_registros[TIPO],DADOS!$V$4,tabela_registros[CATEGORIA],receitasvariáveisconsolidadoabr[[#This Row],[ATUAL]])</f>
        <v>0</v>
      </c>
      <c r="O103" s="91">
        <f>SUMIFS(tabela_registros[VALOR],tabela_registros[MÊS],$AE$1,tabela_registros[DIA],receitasvariáveisconsolidadoabr[[#Headers],[11]],tabela_registros[REGISTRO],DADOS!$N$3,tabela_registros[TIPO],DADOS!$V$4,tabela_registros[CATEGORIA],receitasvariáveisconsolidadoabr[[#This Row],[ATUAL]])</f>
        <v>0</v>
      </c>
      <c r="P103" s="91">
        <f>SUMIFS(tabela_registros[VALOR],tabela_registros[MÊS],$AE$1,tabela_registros[DIA],receitasvariáveisconsolidadoabr[[#Headers],[12]],tabela_registros[REGISTRO],DADOS!$N$3,tabela_registros[TIPO],DADOS!$V$4,tabela_registros[CATEGORIA],receitasvariáveisconsolidadoabr[[#This Row],[ATUAL]])</f>
        <v>0</v>
      </c>
      <c r="Q103" s="91">
        <f>SUMIFS(tabela_registros[VALOR],tabela_registros[MÊS],$AE$1,tabela_registros[DIA],receitasvariáveisconsolidadoabr[[#Headers],[13]],tabela_registros[REGISTRO],DADOS!$N$3,tabela_registros[TIPO],DADOS!$V$4,tabela_registros[CATEGORIA],receitasvariáveisconsolidadoabr[[#This Row],[ATUAL]])</f>
        <v>0</v>
      </c>
      <c r="R103" s="91">
        <f>SUMIFS(tabela_registros[VALOR],tabela_registros[MÊS],$AE$1,tabela_registros[DIA],receitasvariáveisconsolidadoabr[[#Headers],[14]],tabela_registros[REGISTRO],DADOS!$N$3,tabela_registros[TIPO],DADOS!$V$4,tabela_registros[CATEGORIA],receitasvariáveisconsolidadoabr[[#This Row],[ATUAL]])</f>
        <v>0</v>
      </c>
      <c r="S103" s="91">
        <f>SUMIFS(tabela_registros[VALOR],tabela_registros[MÊS],$AE$1,tabela_registros[DIA],receitasvariáveisconsolidadoabr[[#Headers],[15]],tabela_registros[REGISTRO],DADOS!$N$3,tabela_registros[TIPO],DADOS!$V$4,tabela_registros[CATEGORIA],receitasvariáveisconsolidadoabr[[#This Row],[ATUAL]])</f>
        <v>0</v>
      </c>
      <c r="T103" s="91">
        <f>SUMIFS(tabela_registros[VALOR],tabela_registros[MÊS],$AE$1,tabela_registros[DIA],receitasvariáveisconsolidadoabr[[#Headers],[16]],tabela_registros[REGISTRO],DADOS!$N$3,tabela_registros[TIPO],DADOS!$V$4,tabela_registros[CATEGORIA],receitasvariáveisconsolidadoabr[[#This Row],[ATUAL]])</f>
        <v>0</v>
      </c>
      <c r="U103" s="91">
        <f>SUMIFS(tabela_registros[VALOR],tabela_registros[MÊS],$AE$1,tabela_registros[DIA],receitasvariáveisconsolidadoabr[[#Headers],[17]],tabela_registros[REGISTRO],DADOS!$N$3,tabela_registros[TIPO],DADOS!$V$4,tabela_registros[CATEGORIA],receitasvariáveisconsolidadoabr[[#This Row],[ATUAL]])</f>
        <v>0</v>
      </c>
      <c r="V103" s="91">
        <f>SUMIFS(tabela_registros[VALOR],tabela_registros[MÊS],$AE$1,tabela_registros[DIA],receitasvariáveisconsolidadoabr[[#Headers],[18]],tabela_registros[REGISTRO],DADOS!$N$3,tabela_registros[TIPO],DADOS!$V$4,tabela_registros[CATEGORIA],receitasvariáveisconsolidadoabr[[#This Row],[ATUAL]])</f>
        <v>0</v>
      </c>
      <c r="W103" s="91">
        <f>SUMIFS(tabela_registros[VALOR],tabela_registros[MÊS],$AE$1,tabela_registros[DIA],receitasvariáveisconsolidadoabr[[#Headers],[19]],tabela_registros[REGISTRO],DADOS!$N$3,tabela_registros[TIPO],DADOS!$V$4,tabela_registros[CATEGORIA],receitasvariáveisconsolidadoabr[[#This Row],[ATUAL]])</f>
        <v>0</v>
      </c>
      <c r="X103" s="91">
        <f>SUMIFS(tabela_registros[VALOR],tabela_registros[MÊS],$AE$1,tabela_registros[DIA],receitasvariáveisconsolidadoabr[[#Headers],[20]],tabela_registros[REGISTRO],DADOS!$N$3,tabela_registros[TIPO],DADOS!$V$4,tabela_registros[CATEGORIA],receitasvariáveisconsolidadoabr[[#This Row],[ATUAL]])</f>
        <v>0</v>
      </c>
      <c r="Y103" s="91">
        <f>SUMIFS(tabela_registros[VALOR],tabela_registros[MÊS],$AE$1,tabela_registros[DIA],receitasvariáveisconsolidadoabr[[#Headers],[21]],tabela_registros[REGISTRO],DADOS!$N$3,tabela_registros[TIPO],DADOS!$V$4,tabela_registros[CATEGORIA],receitasvariáveisconsolidadoabr[[#This Row],[ATUAL]])</f>
        <v>0</v>
      </c>
      <c r="Z103" s="91">
        <f>SUMIFS(tabela_registros[VALOR],tabela_registros[MÊS],$AE$1,tabela_registros[DIA],receitasvariáveisconsolidadoabr[[#Headers],[22]],tabela_registros[REGISTRO],DADOS!$N$3,tabela_registros[TIPO],DADOS!$V$4,tabela_registros[CATEGORIA],receitasvariáveisconsolidadoabr[[#This Row],[ATUAL]])</f>
        <v>0</v>
      </c>
      <c r="AA103" s="91">
        <f>SUMIFS(tabela_registros[VALOR],tabela_registros[MÊS],$AE$1,tabela_registros[DIA],receitasvariáveisconsolidadoabr[[#Headers],[23]],tabela_registros[REGISTRO],DADOS!$N$3,tabela_registros[TIPO],DADOS!$V$4,tabela_registros[CATEGORIA],receitasvariáveisconsolidadoabr[[#This Row],[ATUAL]])</f>
        <v>0</v>
      </c>
      <c r="AB103" s="91">
        <f>SUMIFS(tabela_registros[VALOR],tabela_registros[MÊS],$AE$1,tabela_registros[DIA],receitasvariáveisconsolidadoabr[[#Headers],[24]],tabela_registros[REGISTRO],DADOS!$N$3,tabela_registros[TIPO],DADOS!$V$4,tabela_registros[CATEGORIA],receitasvariáveisconsolidadoabr[[#This Row],[ATUAL]])</f>
        <v>0</v>
      </c>
      <c r="AC103" s="91">
        <f>SUMIFS(tabela_registros[VALOR],tabela_registros[MÊS],$AE$1,tabela_registros[DIA],receitasvariáveisconsolidadoabr[[#Headers],[25]],tabela_registros[REGISTRO],DADOS!$N$3,tabela_registros[TIPO],DADOS!$V$4,tabela_registros[CATEGORIA],receitasvariáveisconsolidadoabr[[#This Row],[ATUAL]])</f>
        <v>0</v>
      </c>
      <c r="AD103" s="91">
        <f>SUMIFS(tabela_registros[VALOR],tabela_registros[MÊS],$AE$1,tabela_registros[DIA],receitasvariáveisconsolidadoabr[[#Headers],[26]],tabela_registros[REGISTRO],DADOS!$N$3,tabela_registros[TIPO],DADOS!$V$4,tabela_registros[CATEGORIA],receitasvariáveisconsolidadoabr[[#This Row],[ATUAL]])</f>
        <v>0</v>
      </c>
      <c r="AE103" s="91">
        <f>SUMIFS(tabela_registros[VALOR],tabela_registros[MÊS],$AE$1,tabela_registros[DIA],receitasvariáveisconsolidadoabr[[#Headers],[27]],tabela_registros[REGISTRO],DADOS!$N$3,tabela_registros[TIPO],DADOS!$V$4,tabela_registros[CATEGORIA],receitasvariáveisconsolidadoabr[[#This Row],[ATUAL]])</f>
        <v>0</v>
      </c>
      <c r="AF103" s="91">
        <f>SUMIFS(tabela_registros[VALOR],tabela_registros[MÊS],$AE$1,tabela_registros[DIA],receitasvariáveisconsolidadoabr[[#Headers],[28]],tabela_registros[REGISTRO],DADOS!$N$3,tabela_registros[TIPO],DADOS!$V$4,tabela_registros[CATEGORIA],receitasvariáveisconsolidadoabr[[#This Row],[ATUAL]])</f>
        <v>0</v>
      </c>
      <c r="AG103" s="91">
        <f>SUMIFS(tabela_registros[VALOR],tabela_registros[MÊS],$AE$1,tabela_registros[DIA],receitasvariáveisconsolidadoabr[[#Headers],[29]],tabela_registros[REGISTRO],DADOS!$N$3,tabela_registros[TIPO],DADOS!$V$4,tabela_registros[CATEGORIA],receitasvariáveisconsolidadoabr[[#This Row],[ATUAL]])</f>
        <v>0</v>
      </c>
      <c r="AH103" s="91">
        <f>SUMIFS(tabela_registros[VALOR],tabela_registros[MÊS],$AE$1,tabela_registros[DIA],receitasvariáveisconsolidadoabr[[#Headers],[30]],tabela_registros[REGISTRO],DADOS!$N$3,tabela_registros[TIPO],DADOS!$V$4,tabela_registros[CATEGORIA],receitasvariáveisconsolidadoabr[[#This Row],[ATUAL]])</f>
        <v>0</v>
      </c>
      <c r="AI103" s="102">
        <f>SUMIFS(tabela_registros[VALOR],tabela_registros[MÊS],$AE$1,tabela_registros[DIA],receitasvariáveisconsolidadoabr[[#Headers],[31]],tabela_registros[REGISTRO],DADOS!$N$3,tabela_registros[TIPO],DADOS!$V$4,tabela_registros[CATEGORIA],receitasvariáveisconsolidadoabr[[#This Row],[ATUAL]])</f>
        <v>0</v>
      </c>
      <c r="AJ103" s="97">
        <f>SUM(receitasvariáveisconsolidadoabr[[#This Row],[1]:[31]])</f>
        <v>0</v>
      </c>
      <c r="AK103" s="25"/>
    </row>
    <row r="104" spans="2:37" s="16" customFormat="1" ht="21" customHeight="1" thickTop="1" thickBot="1" x14ac:dyDescent="0.35">
      <c r="B104" s="24"/>
      <c r="C104" s="23" t="s">
        <v>19</v>
      </c>
      <c r="D104" s="22"/>
      <c r="E104" s="21">
        <f>SUM(E96:E103)</f>
        <v>0</v>
      </c>
      <c r="F104" s="20">
        <f>SUM(F96:F103)+receitasvariáveisconsolidadoabr[[#This Row],[1]]</f>
        <v>0</v>
      </c>
      <c r="G104" s="20">
        <f>SUM(G96:G103)+receitasvariáveisconsolidadoabr[[#This Row],[2]]</f>
        <v>0</v>
      </c>
      <c r="H104" s="20">
        <f>SUM(H96:H103)+receitasvariáveisconsolidadoabr[[#This Row],[3]]</f>
        <v>0</v>
      </c>
      <c r="I104" s="20">
        <f>SUM(I96:I103)+receitasvariáveisconsolidadoabr[[#This Row],[4]]</f>
        <v>0</v>
      </c>
      <c r="J104" s="20">
        <f>SUM(J96:J103)+receitasvariáveisconsolidadoabr[[#This Row],[5]]</f>
        <v>0</v>
      </c>
      <c r="K104" s="20">
        <f>SUM(K96:K103)+receitasvariáveisconsolidadoabr[[#This Row],[6]]</f>
        <v>0</v>
      </c>
      <c r="L104" s="20">
        <f>SUM(L96:L103)+receitasvariáveisconsolidadoabr[[#This Row],[7]]</f>
        <v>0</v>
      </c>
      <c r="M104" s="20">
        <f>SUM(M96:M103)+receitasvariáveisconsolidadoabr[[#This Row],[8]]</f>
        <v>0</v>
      </c>
      <c r="N104" s="20">
        <f>SUM(N96:N103)+receitasvariáveisconsolidadoabr[[#This Row],[9]]</f>
        <v>0</v>
      </c>
      <c r="O104" s="20">
        <f>SUM(O96:O103)+receitasvariáveisconsolidadoabr[[#This Row],[10]]</f>
        <v>0</v>
      </c>
      <c r="P104" s="20">
        <f>SUM(P96:P103)+receitasvariáveisconsolidadoabr[[#This Row],[11]]</f>
        <v>0</v>
      </c>
      <c r="Q104" s="20">
        <f>SUM(Q96:Q103)+receitasvariáveisconsolidadoabr[[#This Row],[12]]</f>
        <v>0</v>
      </c>
      <c r="R104" s="20">
        <f>SUM(R96:R103)+receitasvariáveisconsolidadoabr[[#This Row],[13]]</f>
        <v>0</v>
      </c>
      <c r="S104" s="20">
        <f>SUM(S96:S103)+receitasvariáveisconsolidadoabr[[#This Row],[14]]</f>
        <v>0</v>
      </c>
      <c r="T104" s="20">
        <f>SUM(T96:T103)+receitasvariáveisconsolidadoabr[[#This Row],[15]]</f>
        <v>0</v>
      </c>
      <c r="U104" s="20">
        <f>SUM(U96:U103)+receitasvariáveisconsolidadoabr[[#This Row],[16]]</f>
        <v>0</v>
      </c>
      <c r="V104" s="20">
        <f>SUM(V96:V103)+receitasvariáveisconsolidadoabr[[#This Row],[17]]</f>
        <v>0</v>
      </c>
      <c r="W104" s="20">
        <f>SUM(W96:W103)+receitasvariáveisconsolidadoabr[[#This Row],[18]]</f>
        <v>0</v>
      </c>
      <c r="X104" s="20">
        <f>SUM(X96:X103)+receitasvariáveisconsolidadoabr[[#This Row],[19]]</f>
        <v>0</v>
      </c>
      <c r="Y104" s="20">
        <f>SUM(Y96:Y103)+receitasvariáveisconsolidadoabr[[#This Row],[20]]</f>
        <v>0</v>
      </c>
      <c r="Z104" s="20">
        <f>SUM(Z96:Z103)+receitasvariáveisconsolidadoabr[[#This Row],[21]]</f>
        <v>0</v>
      </c>
      <c r="AA104" s="20">
        <f>SUM(AA96:AA103)+receitasvariáveisconsolidadoabr[[#This Row],[22]]</f>
        <v>0</v>
      </c>
      <c r="AB104" s="20">
        <f>SUM(AB96:AB103)+receitasvariáveisconsolidadoabr[[#This Row],[23]]</f>
        <v>0</v>
      </c>
      <c r="AC104" s="20">
        <f>SUM(AC96:AC103)+receitasvariáveisconsolidadoabr[[#This Row],[24]]</f>
        <v>0</v>
      </c>
      <c r="AD104" s="20">
        <f>SUM(AD96:AD103)+receitasvariáveisconsolidadoabr[[#This Row],[25]]</f>
        <v>0</v>
      </c>
      <c r="AE104" s="20">
        <f>SUM(AE96:AE103)+receitasvariáveisconsolidadoabr[[#This Row],[26]]</f>
        <v>0</v>
      </c>
      <c r="AF104" s="20">
        <f>SUM(AF96:AF103)+receitasvariáveisconsolidadoabr[[#This Row],[27]]</f>
        <v>0</v>
      </c>
      <c r="AG104" s="20">
        <f>SUM(AG96:AG103)+receitasvariáveisconsolidadoabr[[#This Row],[28]]</f>
        <v>0</v>
      </c>
      <c r="AH104" s="20">
        <f>SUM(AH96:AH103)+receitasvariáveisconsolidadoabr[[#This Row],[29]]</f>
        <v>0</v>
      </c>
      <c r="AI104" s="19">
        <f>SUM(AI96:AI103)+receitasvariáveisconsolidadoabr[[#This Row],[30]]</f>
        <v>0</v>
      </c>
      <c r="AJ104" s="18">
        <f>receitasvariáveisconsolidadoabr[[#This Row],[31]]</f>
        <v>0</v>
      </c>
      <c r="AK104" s="17"/>
    </row>
    <row r="105" spans="2:37" ht="6.75" customHeight="1" thickTop="1" thickBot="1" x14ac:dyDescent="0.3">
      <c r="B105" s="15"/>
      <c r="C105" s="14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2"/>
      <c r="AJ105" s="11"/>
      <c r="AK105" s="10"/>
    </row>
    <row r="106" spans="2:37" ht="12.6" thickTop="1" x14ac:dyDescent="0.25">
      <c r="E106" s="37"/>
      <c r="AI106" s="4"/>
    </row>
    <row r="107" spans="2:37" x14ac:dyDescent="0.25">
      <c r="AI107" s="4"/>
    </row>
    <row r="108" spans="2:37" x14ac:dyDescent="0.25">
      <c r="AI108" s="4"/>
    </row>
    <row r="109" spans="2:37" ht="39.75" customHeight="1" x14ac:dyDescent="0.7">
      <c r="C109" s="36"/>
      <c r="E109" s="240"/>
      <c r="F109" s="240"/>
      <c r="G109" s="240"/>
      <c r="H109" s="240"/>
      <c r="I109" s="240"/>
      <c r="J109" s="240"/>
      <c r="K109" s="240"/>
      <c r="L109" s="240"/>
      <c r="M109" s="240"/>
      <c r="N109" s="240"/>
      <c r="O109" s="240"/>
      <c r="P109" s="240"/>
      <c r="Q109" s="240"/>
      <c r="R109" s="240"/>
      <c r="S109" s="240"/>
      <c r="T109" s="240"/>
      <c r="U109" s="240"/>
      <c r="V109" s="240"/>
      <c r="W109" s="240"/>
      <c r="X109" s="240"/>
      <c r="Y109" s="240"/>
      <c r="Z109" s="240"/>
      <c r="AA109" s="240"/>
      <c r="AB109" s="240"/>
      <c r="AC109" s="240"/>
      <c r="AD109" s="240"/>
      <c r="AE109" s="240"/>
      <c r="AF109" s="240"/>
      <c r="AG109" s="240"/>
      <c r="AH109" s="240"/>
      <c r="AI109" s="240"/>
      <c r="AJ109" s="32" t="s">
        <v>19</v>
      </c>
    </row>
    <row r="110" spans="2:37" ht="12.6" thickBot="1" x14ac:dyDescent="0.3">
      <c r="B110" s="35"/>
      <c r="AI110" s="4"/>
      <c r="AJ110" s="34" t="s">
        <v>202</v>
      </c>
    </row>
    <row r="111" spans="2:37" ht="6.75" customHeight="1" thickTop="1" thickBot="1" x14ac:dyDescent="0.3">
      <c r="B111" s="2"/>
      <c r="C111" s="14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2"/>
      <c r="AK111" s="33"/>
    </row>
    <row r="112" spans="2:37" ht="13.2" hidden="1" thickTop="1" thickBot="1" x14ac:dyDescent="0.3">
      <c r="B112" s="2"/>
      <c r="C112" s="31" t="s">
        <v>199</v>
      </c>
      <c r="D112" s="30" t="s">
        <v>198</v>
      </c>
      <c r="E112" s="30" t="s">
        <v>197</v>
      </c>
      <c r="F112" s="30" t="s">
        <v>196</v>
      </c>
      <c r="G112" s="30" t="s">
        <v>195</v>
      </c>
      <c r="H112" s="30" t="s">
        <v>194</v>
      </c>
      <c r="I112" s="30" t="s">
        <v>193</v>
      </c>
      <c r="J112" s="30" t="s">
        <v>192</v>
      </c>
      <c r="K112" s="30" t="s">
        <v>191</v>
      </c>
      <c r="L112" s="30" t="s">
        <v>190</v>
      </c>
      <c r="M112" s="30" t="s">
        <v>189</v>
      </c>
      <c r="N112" s="30" t="s">
        <v>188</v>
      </c>
      <c r="O112" s="30" t="s">
        <v>187</v>
      </c>
      <c r="P112" s="30" t="s">
        <v>186</v>
      </c>
      <c r="Q112" s="30" t="s">
        <v>185</v>
      </c>
      <c r="R112" s="30" t="s">
        <v>184</v>
      </c>
      <c r="S112" s="30" t="s">
        <v>183</v>
      </c>
      <c r="T112" s="30" t="s">
        <v>182</v>
      </c>
      <c r="U112" s="30" t="s">
        <v>181</v>
      </c>
      <c r="V112" s="30" t="s">
        <v>180</v>
      </c>
      <c r="W112" s="30" t="s">
        <v>179</v>
      </c>
      <c r="X112" s="30" t="s">
        <v>178</v>
      </c>
      <c r="Y112" s="30" t="s">
        <v>177</v>
      </c>
      <c r="Z112" s="30" t="s">
        <v>176</v>
      </c>
      <c r="AA112" s="30" t="s">
        <v>175</v>
      </c>
      <c r="AB112" s="30" t="s">
        <v>174</v>
      </c>
      <c r="AC112" s="30" t="s">
        <v>173</v>
      </c>
      <c r="AD112" s="30" t="s">
        <v>172</v>
      </c>
      <c r="AE112" s="30" t="s">
        <v>171</v>
      </c>
      <c r="AF112" s="30" t="s">
        <v>170</v>
      </c>
      <c r="AG112" s="30" t="s">
        <v>169</v>
      </c>
      <c r="AH112" s="30" t="s">
        <v>168</v>
      </c>
      <c r="AI112" s="30" t="s">
        <v>167</v>
      </c>
      <c r="AJ112" s="29" t="s">
        <v>166</v>
      </c>
      <c r="AK112" s="2"/>
    </row>
    <row r="113" spans="2:37" ht="19.5" customHeight="1" thickTop="1" thickBot="1" x14ac:dyDescent="0.3">
      <c r="B113" s="28"/>
      <c r="C113" s="27" t="str">
        <f>DADOS!$AD$3</f>
        <v>📝 CDB</v>
      </c>
      <c r="D113" s="26" t="str">
        <f>IF(investirrendafixaconsolidadoabr[[#This Row],[TOTAL (R$)]]=0,"",IF(OR(investirrendafixaconsolidadoabr[[#This Row],[TOTAL (R$)]]=LARGE($AJ$113:$AJ$122,1),investirrendafixaconsolidadoabr[[#This Row],[TOTAL (R$)]]=LARGE($AJ$113:$AJ$122,2)),DADOS!$I$10,""))</f>
        <v/>
      </c>
      <c r="E113" s="96">
        <f>SUMIFS(tabela_registros[VALOR],tabela_registros[MÊS],$AE$1,tabela_registros[DIA],investirrendafixaconsolidadoabr[[#Headers],[1]],tabela_registros[REGISTRO],DADOS!$N$5,tabela_registros[TIPO],DADOS!$AB$3,tabela_registros[CATEGORIA],investirrendafixaconsolidadoabr[[#This Row],[ATUAL]])</f>
        <v>0</v>
      </c>
      <c r="F113" s="91">
        <f>SUMIFS(tabela_registros[VALOR],tabela_registros[MÊS],$AE$1,tabela_registros[DIA],investirrendafixaconsolidadoabr[[#Headers],[2]],tabela_registros[REGISTRO],DADOS!$N$5,tabela_registros[TIPO],DADOS!$AB$3,tabela_registros[CATEGORIA],investirrendafixaconsolidadoabr[[#This Row],[ATUAL]])</f>
        <v>0</v>
      </c>
      <c r="G113" s="91">
        <f>SUMIFS(tabela_registros[VALOR],tabela_registros[MÊS],$AE$1,tabela_registros[DIA],investirrendafixaconsolidadoabr[[#Headers],[3]],tabela_registros[REGISTRO],DADOS!$N$5,tabela_registros[TIPO],DADOS!$AB$3,tabela_registros[CATEGORIA],investirrendafixaconsolidadoabr[[#This Row],[ATUAL]])</f>
        <v>0</v>
      </c>
      <c r="H113" s="91">
        <f>SUMIFS(tabela_registros[VALOR],tabela_registros[MÊS],$AE$1,tabela_registros[DIA],investirrendafixaconsolidadoabr[[#Headers],[4]],tabela_registros[REGISTRO],DADOS!$N$5,tabela_registros[TIPO],DADOS!$AB$3,tabela_registros[CATEGORIA],investirrendafixaconsolidadoabr[[#This Row],[ATUAL]])</f>
        <v>0</v>
      </c>
      <c r="I113" s="91">
        <f>SUMIFS(tabela_registros[VALOR],tabela_registros[MÊS],$AE$1,tabela_registros[DIA],investirrendafixaconsolidadoabr[[#Headers],[5]],tabela_registros[REGISTRO],DADOS!$N$5,tabela_registros[TIPO],DADOS!$AB$3,tabela_registros[CATEGORIA],investirrendafixaconsolidadoabr[[#This Row],[ATUAL]])</f>
        <v>0</v>
      </c>
      <c r="J113" s="91">
        <f>SUMIFS(tabela_registros[VALOR],tabela_registros[MÊS],$AE$1,tabela_registros[DIA],investirrendafixaconsolidadoabr[[#Headers],[6]],tabela_registros[REGISTRO],DADOS!$N$5,tabela_registros[TIPO],DADOS!$AB$3,tabela_registros[CATEGORIA],investirrendafixaconsolidadoabr[[#This Row],[ATUAL]])</f>
        <v>0</v>
      </c>
      <c r="K113" s="91">
        <f>SUMIFS(tabela_registros[VALOR],tabela_registros[MÊS],$AE$1,tabela_registros[DIA],investirrendafixaconsolidadoabr[[#Headers],[7]],tabela_registros[REGISTRO],DADOS!$N$5,tabela_registros[TIPO],DADOS!$AB$3,tabela_registros[CATEGORIA],investirrendafixaconsolidadoabr[[#This Row],[ATUAL]])</f>
        <v>0</v>
      </c>
      <c r="L113" s="91">
        <f>SUMIFS(tabela_registros[VALOR],tabela_registros[MÊS],$AE$1,tabela_registros[DIA],investirrendafixaconsolidadoabr[[#Headers],[8]],tabela_registros[REGISTRO],DADOS!$N$5,tabela_registros[TIPO],DADOS!$AB$3,tabela_registros[CATEGORIA],investirrendafixaconsolidadoabr[[#This Row],[ATUAL]])</f>
        <v>0</v>
      </c>
      <c r="M113" s="91">
        <f>SUMIFS(tabela_registros[VALOR],tabela_registros[MÊS],$AE$1,tabela_registros[DIA],investirrendafixaconsolidadoabr[[#Headers],[9]],tabela_registros[REGISTRO],DADOS!$N$5,tabela_registros[TIPO],DADOS!$AB$3,tabela_registros[CATEGORIA],investirrendafixaconsolidadoabr[[#This Row],[ATUAL]])</f>
        <v>0</v>
      </c>
      <c r="N113" s="91">
        <f>SUMIFS(tabela_registros[VALOR],tabela_registros[MÊS],$AE$1,tabela_registros[DIA],investirrendafixaconsolidadoabr[[#Headers],[10]],tabela_registros[REGISTRO],DADOS!$N$5,tabela_registros[TIPO],DADOS!$AB$3,tabela_registros[CATEGORIA],investirrendafixaconsolidadoabr[[#This Row],[ATUAL]])</f>
        <v>0</v>
      </c>
      <c r="O113" s="91">
        <f>SUMIFS(tabela_registros[VALOR],tabela_registros[MÊS],$AE$1,tabela_registros[DIA],investirrendafixaconsolidadoabr[[#Headers],[11]],tabela_registros[REGISTRO],DADOS!$N$5,tabela_registros[TIPO],DADOS!$AB$3,tabela_registros[CATEGORIA],investirrendafixaconsolidadoabr[[#This Row],[ATUAL]])</f>
        <v>0</v>
      </c>
      <c r="P113" s="91">
        <f>SUMIFS(tabela_registros[VALOR],tabela_registros[MÊS],$AE$1,tabela_registros[DIA],investirrendafixaconsolidadoabr[[#Headers],[12]],tabela_registros[REGISTRO],DADOS!$N$5,tabela_registros[TIPO],DADOS!$AB$3,tabela_registros[CATEGORIA],investirrendafixaconsolidadoabr[[#This Row],[ATUAL]])</f>
        <v>0</v>
      </c>
      <c r="Q113" s="91">
        <f>SUMIFS(tabela_registros[VALOR],tabela_registros[MÊS],$AE$1,tabela_registros[DIA],investirrendafixaconsolidadoabr[[#Headers],[13]],tabela_registros[REGISTRO],DADOS!$N$5,tabela_registros[TIPO],DADOS!$AB$3,tabela_registros[CATEGORIA],investirrendafixaconsolidadoabr[[#This Row],[ATUAL]])</f>
        <v>0</v>
      </c>
      <c r="R113" s="91">
        <f>SUMIFS(tabela_registros[VALOR],tabela_registros[MÊS],$AE$1,tabela_registros[DIA],investirrendafixaconsolidadoabr[[#Headers],[14]],tabela_registros[REGISTRO],DADOS!$N$5,tabela_registros[TIPO],DADOS!$AB$3,tabela_registros[CATEGORIA],investirrendafixaconsolidadoabr[[#This Row],[ATUAL]])</f>
        <v>0</v>
      </c>
      <c r="S113" s="91">
        <f>SUMIFS(tabela_registros[VALOR],tabela_registros[MÊS],$AE$1,tabela_registros[DIA],investirrendafixaconsolidadoabr[[#Headers],[15]],tabela_registros[REGISTRO],DADOS!$N$5,tabela_registros[TIPO],DADOS!$AB$3,tabela_registros[CATEGORIA],investirrendafixaconsolidadoabr[[#This Row],[ATUAL]])</f>
        <v>0</v>
      </c>
      <c r="T113" s="91">
        <f>SUMIFS(tabela_registros[VALOR],tabela_registros[MÊS],$AE$1,tabela_registros[DIA],investirrendafixaconsolidadoabr[[#Headers],[16]],tabela_registros[REGISTRO],DADOS!$N$5,tabela_registros[TIPO],DADOS!$AB$3,tabela_registros[CATEGORIA],investirrendafixaconsolidadoabr[[#This Row],[ATUAL]])</f>
        <v>0</v>
      </c>
      <c r="U113" s="91">
        <f>SUMIFS(tabela_registros[VALOR],tabela_registros[MÊS],$AE$1,tabela_registros[DIA],investirrendafixaconsolidadoabr[[#Headers],[17]],tabela_registros[REGISTRO],DADOS!$N$5,tabela_registros[TIPO],DADOS!$AB$3,tabela_registros[CATEGORIA],investirrendafixaconsolidadoabr[[#This Row],[ATUAL]])</f>
        <v>0</v>
      </c>
      <c r="V113" s="91">
        <f>SUMIFS(tabela_registros[VALOR],tabela_registros[MÊS],$AE$1,tabela_registros[DIA],investirrendafixaconsolidadoabr[[#Headers],[18]],tabela_registros[REGISTRO],DADOS!$N$5,tabela_registros[TIPO],DADOS!$AB$3,tabela_registros[CATEGORIA],investirrendafixaconsolidadoabr[[#This Row],[ATUAL]])</f>
        <v>0</v>
      </c>
      <c r="W113" s="91">
        <f>SUMIFS(tabela_registros[VALOR],tabela_registros[MÊS],$AE$1,tabela_registros[DIA],investirrendafixaconsolidadoabr[[#Headers],[19]],tabela_registros[REGISTRO],DADOS!$N$5,tabela_registros[TIPO],DADOS!$AB$3,tabela_registros[CATEGORIA],investirrendafixaconsolidadoabr[[#This Row],[ATUAL]])</f>
        <v>0</v>
      </c>
      <c r="X113" s="91">
        <f>SUMIFS(tabela_registros[VALOR],tabela_registros[MÊS],$AE$1,tabela_registros[DIA],investirrendafixaconsolidadoabr[[#Headers],[20]],tabela_registros[REGISTRO],DADOS!$N$5,tabela_registros[TIPO],DADOS!$AB$3,tabela_registros[CATEGORIA],investirrendafixaconsolidadoabr[[#This Row],[ATUAL]])</f>
        <v>0</v>
      </c>
      <c r="Y113" s="91">
        <f>SUMIFS(tabela_registros[VALOR],tabela_registros[MÊS],$AE$1,tabela_registros[DIA],investirrendafixaconsolidadoabr[[#Headers],[21]],tabela_registros[REGISTRO],DADOS!$N$5,tabela_registros[TIPO],DADOS!$AB$3,tabela_registros[CATEGORIA],investirrendafixaconsolidadoabr[[#This Row],[ATUAL]])</f>
        <v>0</v>
      </c>
      <c r="Z113" s="91">
        <f>SUMIFS(tabela_registros[VALOR],tabela_registros[MÊS],$AE$1,tabela_registros[DIA],investirrendafixaconsolidadoabr[[#Headers],[22]],tabela_registros[REGISTRO],DADOS!$N$5,tabela_registros[TIPO],DADOS!$AB$3,tabela_registros[CATEGORIA],investirrendafixaconsolidadoabr[[#This Row],[ATUAL]])</f>
        <v>0</v>
      </c>
      <c r="AA113" s="91">
        <f>SUMIFS(tabela_registros[VALOR],tabela_registros[MÊS],$AE$1,tabela_registros[DIA],investirrendafixaconsolidadoabr[[#Headers],[23]],tabela_registros[REGISTRO],DADOS!$N$5,tabela_registros[TIPO],DADOS!$AB$3,tabela_registros[CATEGORIA],investirrendafixaconsolidadoabr[[#This Row],[ATUAL]])</f>
        <v>0</v>
      </c>
      <c r="AB113" s="91">
        <f>SUMIFS(tabela_registros[VALOR],tabela_registros[MÊS],$AE$1,tabela_registros[DIA],investirrendafixaconsolidadoabr[[#Headers],[24]],tabela_registros[REGISTRO],DADOS!$N$5,tabela_registros[TIPO],DADOS!$AB$3,tabela_registros[CATEGORIA],investirrendafixaconsolidadoabr[[#This Row],[ATUAL]])</f>
        <v>0</v>
      </c>
      <c r="AC113" s="91">
        <f>SUMIFS(tabela_registros[VALOR],tabela_registros[MÊS],$AE$1,tabela_registros[DIA],investirrendafixaconsolidadoabr[[#Headers],[25]],tabela_registros[REGISTRO],DADOS!$N$5,tabela_registros[TIPO],DADOS!$AB$3,tabela_registros[CATEGORIA],investirrendafixaconsolidadoabr[[#This Row],[ATUAL]])</f>
        <v>0</v>
      </c>
      <c r="AD113" s="91">
        <f>SUMIFS(tabela_registros[VALOR],tabela_registros[MÊS],$AE$1,tabela_registros[DIA],investirrendafixaconsolidadoabr[[#Headers],[26]],tabela_registros[REGISTRO],DADOS!$N$5,tabela_registros[TIPO],DADOS!$AB$3,tabela_registros[CATEGORIA],investirrendafixaconsolidadoabr[[#This Row],[ATUAL]])</f>
        <v>0</v>
      </c>
      <c r="AE113" s="91">
        <f>SUMIFS(tabela_registros[VALOR],tabela_registros[MÊS],$AE$1,tabela_registros[DIA],investirrendafixaconsolidadoabr[[#Headers],[27]],tabela_registros[REGISTRO],DADOS!$N$5,tabela_registros[TIPO],DADOS!$AB$3,tabela_registros[CATEGORIA],investirrendafixaconsolidadoabr[[#This Row],[ATUAL]])</f>
        <v>0</v>
      </c>
      <c r="AF113" s="91">
        <f>SUMIFS(tabela_registros[VALOR],tabela_registros[MÊS],$AE$1,tabela_registros[DIA],investirrendafixaconsolidadoabr[[#Headers],[28]],tabela_registros[REGISTRO],DADOS!$N$5,tabela_registros[TIPO],DADOS!$AB$3,tabela_registros[CATEGORIA],investirrendafixaconsolidadoabr[[#This Row],[ATUAL]])</f>
        <v>0</v>
      </c>
      <c r="AG113" s="91">
        <f>SUMIFS(tabela_registros[VALOR],tabela_registros[MÊS],$AE$1,tabela_registros[DIA],investirrendafixaconsolidadoabr[[#Headers],[29]],tabela_registros[REGISTRO],DADOS!$N$5,tabela_registros[TIPO],DADOS!$AB$3,tabela_registros[CATEGORIA],investirrendafixaconsolidadoabr[[#This Row],[ATUAL]])</f>
        <v>0</v>
      </c>
      <c r="AH113" s="91">
        <f>SUMIFS(tabela_registros[VALOR],tabela_registros[MÊS],$AE$1,tabela_registros[DIA],investirrendafixaconsolidadoabr[[#Headers],[30]],tabela_registros[REGISTRO],DADOS!$N$5,tabela_registros[TIPO],DADOS!$AB$3,tabela_registros[CATEGORIA],investirrendafixaconsolidadoabr[[#This Row],[ATUAL]])</f>
        <v>0</v>
      </c>
      <c r="AI113" s="101">
        <f>SUMIFS(tabela_registros[VALOR],tabela_registros[MÊS],$AE$1,tabela_registros[DIA],investirrendafixaconsolidadoabr[[#Headers],[31]],tabela_registros[REGISTRO],DADOS!$N$5,tabela_registros[TIPO],DADOS!$AB$3,tabela_registros[CATEGORIA],investirrendafixaconsolidadoabr[[#This Row],[ATUAL]])</f>
        <v>0</v>
      </c>
      <c r="AJ113" s="97">
        <f>SUM(investirrendafixaconsolidadoabr[[#This Row],[1]:[31]])</f>
        <v>0</v>
      </c>
      <c r="AK113" s="25"/>
    </row>
    <row r="114" spans="2:37" ht="19.5" customHeight="1" thickTop="1" thickBot="1" x14ac:dyDescent="0.3">
      <c r="B114" s="28"/>
      <c r="C114" s="27" t="str">
        <f>DADOS!$AD$4</f>
        <v>📝 CRA</v>
      </c>
      <c r="D114" s="26" t="str">
        <f>IF(investirrendafixaconsolidadoabr[[#This Row],[TOTAL (R$)]]=0,"",IF(OR(investirrendafixaconsolidadoabr[[#This Row],[TOTAL (R$)]]=LARGE($AJ$113:$AJ$122,1),investirrendafixaconsolidadoabr[[#This Row],[TOTAL (R$)]]=LARGE($AJ$113:$AJ$122,2)),DADOS!$I$10,""))</f>
        <v/>
      </c>
      <c r="E114" s="96">
        <f>SUMIFS(tabela_registros[VALOR],tabela_registros[MÊS],$AE$1,tabela_registros[DIA],investirrendafixaconsolidadoabr[[#Headers],[1]],tabela_registros[REGISTRO],DADOS!$N$5,tabela_registros[TIPO],DADOS!$AB$3,tabela_registros[CATEGORIA],investirrendafixaconsolidadoabr[[#This Row],[ATUAL]])</f>
        <v>0</v>
      </c>
      <c r="F114" s="91">
        <f>SUMIFS(tabela_registros[VALOR],tabela_registros[MÊS],$AE$1,tabela_registros[DIA],investirrendafixaconsolidadoabr[[#Headers],[2]],tabela_registros[REGISTRO],DADOS!$N$5,tabela_registros[TIPO],DADOS!$AB$3,tabela_registros[CATEGORIA],investirrendafixaconsolidadoabr[[#This Row],[ATUAL]])</f>
        <v>0</v>
      </c>
      <c r="G114" s="91">
        <f>SUMIFS(tabela_registros[VALOR],tabela_registros[MÊS],$AE$1,tabela_registros[DIA],investirrendafixaconsolidadoabr[[#Headers],[3]],tabela_registros[REGISTRO],DADOS!$N$5,tabela_registros[TIPO],DADOS!$AB$3,tabela_registros[CATEGORIA],investirrendafixaconsolidadoabr[[#This Row],[ATUAL]])</f>
        <v>0</v>
      </c>
      <c r="H114" s="91">
        <f>SUMIFS(tabela_registros[VALOR],tabela_registros[MÊS],$AE$1,tabela_registros[DIA],investirrendafixaconsolidadoabr[[#Headers],[4]],tabela_registros[REGISTRO],DADOS!$N$5,tabela_registros[TIPO],DADOS!$AB$3,tabela_registros[CATEGORIA],investirrendafixaconsolidadoabr[[#This Row],[ATUAL]])</f>
        <v>0</v>
      </c>
      <c r="I114" s="91">
        <f>SUMIFS(tabela_registros[VALOR],tabela_registros[MÊS],$AE$1,tabela_registros[DIA],investirrendafixaconsolidadoabr[[#Headers],[5]],tabela_registros[REGISTRO],DADOS!$N$5,tabela_registros[TIPO],DADOS!$AB$3,tabela_registros[CATEGORIA],investirrendafixaconsolidadoabr[[#This Row],[ATUAL]])</f>
        <v>0</v>
      </c>
      <c r="J114" s="91">
        <f>SUMIFS(tabela_registros[VALOR],tabela_registros[MÊS],$AE$1,tabela_registros[DIA],investirrendafixaconsolidadoabr[[#Headers],[6]],tabela_registros[REGISTRO],DADOS!$N$5,tabela_registros[TIPO],DADOS!$AB$3,tabela_registros[CATEGORIA],investirrendafixaconsolidadoabr[[#This Row],[ATUAL]])</f>
        <v>0</v>
      </c>
      <c r="K114" s="91">
        <f>SUMIFS(tabela_registros[VALOR],tabela_registros[MÊS],$AE$1,tabela_registros[DIA],investirrendafixaconsolidadoabr[[#Headers],[7]],tabela_registros[REGISTRO],DADOS!$N$5,tabela_registros[TIPO],DADOS!$AB$3,tabela_registros[CATEGORIA],investirrendafixaconsolidadoabr[[#This Row],[ATUAL]])</f>
        <v>0</v>
      </c>
      <c r="L114" s="91">
        <f>SUMIFS(tabela_registros[VALOR],tabela_registros[MÊS],$AE$1,tabela_registros[DIA],investirrendafixaconsolidadoabr[[#Headers],[8]],tabela_registros[REGISTRO],DADOS!$N$5,tabela_registros[TIPO],DADOS!$AB$3,tabela_registros[CATEGORIA],investirrendafixaconsolidadoabr[[#This Row],[ATUAL]])</f>
        <v>0</v>
      </c>
      <c r="M114" s="91">
        <f>SUMIFS(tabela_registros[VALOR],tabela_registros[MÊS],$AE$1,tabela_registros[DIA],investirrendafixaconsolidadoabr[[#Headers],[9]],tabela_registros[REGISTRO],DADOS!$N$5,tabela_registros[TIPO],DADOS!$AB$3,tabela_registros[CATEGORIA],investirrendafixaconsolidadoabr[[#This Row],[ATUAL]])</f>
        <v>0</v>
      </c>
      <c r="N114" s="91">
        <f>SUMIFS(tabela_registros[VALOR],tabela_registros[MÊS],$AE$1,tabela_registros[DIA],investirrendafixaconsolidadoabr[[#Headers],[10]],tabela_registros[REGISTRO],DADOS!$N$5,tabela_registros[TIPO],DADOS!$AB$3,tabela_registros[CATEGORIA],investirrendafixaconsolidadoabr[[#This Row],[ATUAL]])</f>
        <v>0</v>
      </c>
      <c r="O114" s="91">
        <f>SUMIFS(tabela_registros[VALOR],tabela_registros[MÊS],$AE$1,tabela_registros[DIA],investirrendafixaconsolidadoabr[[#Headers],[11]],tabela_registros[REGISTRO],DADOS!$N$5,tabela_registros[TIPO],DADOS!$AB$3,tabela_registros[CATEGORIA],investirrendafixaconsolidadoabr[[#This Row],[ATUAL]])</f>
        <v>0</v>
      </c>
      <c r="P114" s="91">
        <f>SUMIFS(tabela_registros[VALOR],tabela_registros[MÊS],$AE$1,tabela_registros[DIA],investirrendafixaconsolidadoabr[[#Headers],[12]],tabela_registros[REGISTRO],DADOS!$N$5,tabela_registros[TIPO],DADOS!$AB$3,tabela_registros[CATEGORIA],investirrendafixaconsolidadoabr[[#This Row],[ATUAL]])</f>
        <v>0</v>
      </c>
      <c r="Q114" s="91">
        <f>SUMIFS(tabela_registros[VALOR],tabela_registros[MÊS],$AE$1,tabela_registros[DIA],investirrendafixaconsolidadoabr[[#Headers],[13]],tabela_registros[REGISTRO],DADOS!$N$5,tabela_registros[TIPO],DADOS!$AB$3,tabela_registros[CATEGORIA],investirrendafixaconsolidadoabr[[#This Row],[ATUAL]])</f>
        <v>0</v>
      </c>
      <c r="R114" s="91">
        <f>SUMIFS(tabela_registros[VALOR],tabela_registros[MÊS],$AE$1,tabela_registros[DIA],investirrendafixaconsolidadoabr[[#Headers],[14]],tabela_registros[REGISTRO],DADOS!$N$5,tabela_registros[TIPO],DADOS!$AB$3,tabela_registros[CATEGORIA],investirrendafixaconsolidadoabr[[#This Row],[ATUAL]])</f>
        <v>0</v>
      </c>
      <c r="S114" s="91">
        <f>SUMIFS(tabela_registros[VALOR],tabela_registros[MÊS],$AE$1,tabela_registros[DIA],investirrendafixaconsolidadoabr[[#Headers],[15]],tabela_registros[REGISTRO],DADOS!$N$5,tabela_registros[TIPO],DADOS!$AB$3,tabela_registros[CATEGORIA],investirrendafixaconsolidadoabr[[#This Row],[ATUAL]])</f>
        <v>0</v>
      </c>
      <c r="T114" s="91">
        <f>SUMIFS(tabela_registros[VALOR],tabela_registros[MÊS],$AE$1,tabela_registros[DIA],investirrendafixaconsolidadoabr[[#Headers],[16]],tabela_registros[REGISTRO],DADOS!$N$5,tabela_registros[TIPO],DADOS!$AB$3,tabela_registros[CATEGORIA],investirrendafixaconsolidadoabr[[#This Row],[ATUAL]])</f>
        <v>0</v>
      </c>
      <c r="U114" s="91">
        <f>SUMIFS(tabela_registros[VALOR],tabela_registros[MÊS],$AE$1,tabela_registros[DIA],investirrendafixaconsolidadoabr[[#Headers],[17]],tabela_registros[REGISTRO],DADOS!$N$5,tabela_registros[TIPO],DADOS!$AB$3,tabela_registros[CATEGORIA],investirrendafixaconsolidadoabr[[#This Row],[ATUAL]])</f>
        <v>0</v>
      </c>
      <c r="V114" s="91">
        <f>SUMIFS(tabela_registros[VALOR],tabela_registros[MÊS],$AE$1,tabela_registros[DIA],investirrendafixaconsolidadoabr[[#Headers],[18]],tabela_registros[REGISTRO],DADOS!$N$5,tabela_registros[TIPO],DADOS!$AB$3,tabela_registros[CATEGORIA],investirrendafixaconsolidadoabr[[#This Row],[ATUAL]])</f>
        <v>0</v>
      </c>
      <c r="W114" s="91">
        <f>SUMIFS(tabela_registros[VALOR],tabela_registros[MÊS],$AE$1,tabela_registros[DIA],investirrendafixaconsolidadoabr[[#Headers],[19]],tabela_registros[REGISTRO],DADOS!$N$5,tabela_registros[TIPO],DADOS!$AB$3,tabela_registros[CATEGORIA],investirrendafixaconsolidadoabr[[#This Row],[ATUAL]])</f>
        <v>0</v>
      </c>
      <c r="X114" s="91">
        <f>SUMIFS(tabela_registros[VALOR],tabela_registros[MÊS],$AE$1,tabela_registros[DIA],investirrendafixaconsolidadoabr[[#Headers],[20]],tabela_registros[REGISTRO],DADOS!$N$5,tabela_registros[TIPO],DADOS!$AB$3,tabela_registros[CATEGORIA],investirrendafixaconsolidadoabr[[#This Row],[ATUAL]])</f>
        <v>0</v>
      </c>
      <c r="Y114" s="91">
        <f>SUMIFS(tabela_registros[VALOR],tabela_registros[MÊS],$AE$1,tabela_registros[DIA],investirrendafixaconsolidadoabr[[#Headers],[21]],tabela_registros[REGISTRO],DADOS!$N$5,tabela_registros[TIPO],DADOS!$AB$3,tabela_registros[CATEGORIA],investirrendafixaconsolidadoabr[[#This Row],[ATUAL]])</f>
        <v>0</v>
      </c>
      <c r="Z114" s="91">
        <f>SUMIFS(tabela_registros[VALOR],tabela_registros[MÊS],$AE$1,tabela_registros[DIA],investirrendafixaconsolidadoabr[[#Headers],[22]],tabela_registros[REGISTRO],DADOS!$N$5,tabela_registros[TIPO],DADOS!$AB$3,tabela_registros[CATEGORIA],investirrendafixaconsolidadoabr[[#This Row],[ATUAL]])</f>
        <v>0</v>
      </c>
      <c r="AA114" s="91">
        <f>SUMIFS(tabela_registros[VALOR],tabela_registros[MÊS],$AE$1,tabela_registros[DIA],investirrendafixaconsolidadoabr[[#Headers],[23]],tabela_registros[REGISTRO],DADOS!$N$5,tabela_registros[TIPO],DADOS!$AB$3,tabela_registros[CATEGORIA],investirrendafixaconsolidadoabr[[#This Row],[ATUAL]])</f>
        <v>0</v>
      </c>
      <c r="AB114" s="91">
        <f>SUMIFS(tabela_registros[VALOR],tabela_registros[MÊS],$AE$1,tabela_registros[DIA],investirrendafixaconsolidadoabr[[#Headers],[24]],tabela_registros[REGISTRO],DADOS!$N$5,tabela_registros[TIPO],DADOS!$AB$3,tabela_registros[CATEGORIA],investirrendafixaconsolidadoabr[[#This Row],[ATUAL]])</f>
        <v>0</v>
      </c>
      <c r="AC114" s="91">
        <f>SUMIFS(tabela_registros[VALOR],tabela_registros[MÊS],$AE$1,tabela_registros[DIA],investirrendafixaconsolidadoabr[[#Headers],[25]],tabela_registros[REGISTRO],DADOS!$N$5,tabela_registros[TIPO],DADOS!$AB$3,tabela_registros[CATEGORIA],investirrendafixaconsolidadoabr[[#This Row],[ATUAL]])</f>
        <v>0</v>
      </c>
      <c r="AD114" s="91">
        <f>SUMIFS(tabela_registros[VALOR],tabela_registros[MÊS],$AE$1,tabela_registros[DIA],investirrendafixaconsolidadoabr[[#Headers],[26]],tabela_registros[REGISTRO],DADOS!$N$5,tabela_registros[TIPO],DADOS!$AB$3,tabela_registros[CATEGORIA],investirrendafixaconsolidadoabr[[#This Row],[ATUAL]])</f>
        <v>0</v>
      </c>
      <c r="AE114" s="91">
        <f>SUMIFS(tabela_registros[VALOR],tabela_registros[MÊS],$AE$1,tabela_registros[DIA],investirrendafixaconsolidadoabr[[#Headers],[27]],tabela_registros[REGISTRO],DADOS!$N$5,tabela_registros[TIPO],DADOS!$AB$3,tabela_registros[CATEGORIA],investirrendafixaconsolidadoabr[[#This Row],[ATUAL]])</f>
        <v>0</v>
      </c>
      <c r="AF114" s="91">
        <f>SUMIFS(tabela_registros[VALOR],tabela_registros[MÊS],$AE$1,tabela_registros[DIA],investirrendafixaconsolidadoabr[[#Headers],[28]],tabela_registros[REGISTRO],DADOS!$N$5,tabela_registros[TIPO],DADOS!$AB$3,tabela_registros[CATEGORIA],investirrendafixaconsolidadoabr[[#This Row],[ATUAL]])</f>
        <v>0</v>
      </c>
      <c r="AG114" s="91">
        <f>SUMIFS(tabela_registros[VALOR],tabela_registros[MÊS],$AE$1,tabela_registros[DIA],investirrendafixaconsolidadoabr[[#Headers],[29]],tabela_registros[REGISTRO],DADOS!$N$5,tabela_registros[TIPO],DADOS!$AB$3,tabela_registros[CATEGORIA],investirrendafixaconsolidadoabr[[#This Row],[ATUAL]])</f>
        <v>0</v>
      </c>
      <c r="AH114" s="91">
        <f>SUMIFS(tabela_registros[VALOR],tabela_registros[MÊS],$AE$1,tabela_registros[DIA],investirrendafixaconsolidadoabr[[#Headers],[30]],tabela_registros[REGISTRO],DADOS!$N$5,tabela_registros[TIPO],DADOS!$AB$3,tabela_registros[CATEGORIA],investirrendafixaconsolidadoabr[[#This Row],[ATUAL]])</f>
        <v>0</v>
      </c>
      <c r="AI114" s="101">
        <f>SUMIFS(tabela_registros[VALOR],tabela_registros[MÊS],$AE$1,tabela_registros[DIA],investirrendafixaconsolidadoabr[[#Headers],[31]],tabela_registros[REGISTRO],DADOS!$N$5,tabela_registros[TIPO],DADOS!$AB$3,tabela_registros[CATEGORIA],investirrendafixaconsolidadoabr[[#This Row],[ATUAL]])</f>
        <v>0</v>
      </c>
      <c r="AJ114" s="97">
        <f>SUM(investirrendafixaconsolidadoabr[[#This Row],[1]:[31]])</f>
        <v>0</v>
      </c>
      <c r="AK114" s="25"/>
    </row>
    <row r="115" spans="2:37" ht="19.5" customHeight="1" thickTop="1" thickBot="1" x14ac:dyDescent="0.3">
      <c r="B115" s="28"/>
      <c r="C115" s="27" t="str">
        <f>DADOS!$AD$5</f>
        <v>📝 CRI</v>
      </c>
      <c r="D115" s="26" t="str">
        <f>IF(investirrendafixaconsolidadoabr[[#This Row],[TOTAL (R$)]]=0,"",IF(OR(investirrendafixaconsolidadoabr[[#This Row],[TOTAL (R$)]]=LARGE($AJ$113:$AJ$122,1),investirrendafixaconsolidadoabr[[#This Row],[TOTAL (R$)]]=LARGE($AJ$113:$AJ$122,2)),DADOS!$I$10,""))</f>
        <v/>
      </c>
      <c r="E115" s="96">
        <f>SUMIFS(tabela_registros[VALOR],tabela_registros[MÊS],$AE$1,tabela_registros[DIA],investirrendafixaconsolidadoabr[[#Headers],[1]],tabela_registros[REGISTRO],DADOS!$N$5,tabela_registros[TIPO],DADOS!$AB$3,tabela_registros[CATEGORIA],investirrendafixaconsolidadoabr[[#This Row],[ATUAL]])</f>
        <v>0</v>
      </c>
      <c r="F115" s="91">
        <f>SUMIFS(tabela_registros[VALOR],tabela_registros[MÊS],$AE$1,tabela_registros[DIA],investirrendafixaconsolidadoabr[[#Headers],[2]],tabela_registros[REGISTRO],DADOS!$N$5,tabela_registros[TIPO],DADOS!$AB$3,tabela_registros[CATEGORIA],investirrendafixaconsolidadoabr[[#This Row],[ATUAL]])</f>
        <v>0</v>
      </c>
      <c r="G115" s="91">
        <f>SUMIFS(tabela_registros[VALOR],tabela_registros[MÊS],$AE$1,tabela_registros[DIA],investirrendafixaconsolidadoabr[[#Headers],[3]],tabela_registros[REGISTRO],DADOS!$N$5,tabela_registros[TIPO],DADOS!$AB$3,tabela_registros[CATEGORIA],investirrendafixaconsolidadoabr[[#This Row],[ATUAL]])</f>
        <v>0</v>
      </c>
      <c r="H115" s="91">
        <f>SUMIFS(tabela_registros[VALOR],tabela_registros[MÊS],$AE$1,tabela_registros[DIA],investirrendafixaconsolidadoabr[[#Headers],[4]],tabela_registros[REGISTRO],DADOS!$N$5,tabela_registros[TIPO],DADOS!$AB$3,tabela_registros[CATEGORIA],investirrendafixaconsolidadoabr[[#This Row],[ATUAL]])</f>
        <v>0</v>
      </c>
      <c r="I115" s="91">
        <f>SUMIFS(tabela_registros[VALOR],tabela_registros[MÊS],$AE$1,tabela_registros[DIA],investirrendafixaconsolidadoabr[[#Headers],[5]],tabela_registros[REGISTRO],DADOS!$N$5,tabela_registros[TIPO],DADOS!$AB$3,tabela_registros[CATEGORIA],investirrendafixaconsolidadoabr[[#This Row],[ATUAL]])</f>
        <v>0</v>
      </c>
      <c r="J115" s="91">
        <f>SUMIFS(tabela_registros[VALOR],tabela_registros[MÊS],$AE$1,tabela_registros[DIA],investirrendafixaconsolidadoabr[[#Headers],[6]],tabela_registros[REGISTRO],DADOS!$N$5,tabela_registros[TIPO],DADOS!$AB$3,tabela_registros[CATEGORIA],investirrendafixaconsolidadoabr[[#This Row],[ATUAL]])</f>
        <v>0</v>
      </c>
      <c r="K115" s="91">
        <f>SUMIFS(tabela_registros[VALOR],tabela_registros[MÊS],$AE$1,tabela_registros[DIA],investirrendafixaconsolidadoabr[[#Headers],[7]],tabela_registros[REGISTRO],DADOS!$N$5,tabela_registros[TIPO],DADOS!$AB$3,tabela_registros[CATEGORIA],investirrendafixaconsolidadoabr[[#This Row],[ATUAL]])</f>
        <v>0</v>
      </c>
      <c r="L115" s="91">
        <f>SUMIFS(tabela_registros[VALOR],tabela_registros[MÊS],$AE$1,tabela_registros[DIA],investirrendafixaconsolidadoabr[[#Headers],[8]],tabela_registros[REGISTRO],DADOS!$N$5,tabela_registros[TIPO],DADOS!$AB$3,tabela_registros[CATEGORIA],investirrendafixaconsolidadoabr[[#This Row],[ATUAL]])</f>
        <v>0</v>
      </c>
      <c r="M115" s="91">
        <f>SUMIFS(tabela_registros[VALOR],tabela_registros[MÊS],$AE$1,tabela_registros[DIA],investirrendafixaconsolidadoabr[[#Headers],[9]],tabela_registros[REGISTRO],DADOS!$N$5,tabela_registros[TIPO],DADOS!$AB$3,tabela_registros[CATEGORIA],investirrendafixaconsolidadoabr[[#This Row],[ATUAL]])</f>
        <v>0</v>
      </c>
      <c r="N115" s="91">
        <f>SUMIFS(tabela_registros[VALOR],tabela_registros[MÊS],$AE$1,tabela_registros[DIA],investirrendafixaconsolidadoabr[[#Headers],[10]],tabela_registros[REGISTRO],DADOS!$N$5,tabela_registros[TIPO],DADOS!$AB$3,tabela_registros[CATEGORIA],investirrendafixaconsolidadoabr[[#This Row],[ATUAL]])</f>
        <v>0</v>
      </c>
      <c r="O115" s="91">
        <f>SUMIFS(tabela_registros[VALOR],tabela_registros[MÊS],$AE$1,tabela_registros[DIA],investirrendafixaconsolidadoabr[[#Headers],[11]],tabela_registros[REGISTRO],DADOS!$N$5,tabela_registros[TIPO],DADOS!$AB$3,tabela_registros[CATEGORIA],investirrendafixaconsolidadoabr[[#This Row],[ATUAL]])</f>
        <v>0</v>
      </c>
      <c r="P115" s="91">
        <f>SUMIFS(tabela_registros[VALOR],tabela_registros[MÊS],$AE$1,tabela_registros[DIA],investirrendafixaconsolidadoabr[[#Headers],[12]],tabela_registros[REGISTRO],DADOS!$N$5,tabela_registros[TIPO],DADOS!$AB$3,tabela_registros[CATEGORIA],investirrendafixaconsolidadoabr[[#This Row],[ATUAL]])</f>
        <v>0</v>
      </c>
      <c r="Q115" s="91">
        <f>SUMIFS(tabela_registros[VALOR],tabela_registros[MÊS],$AE$1,tabela_registros[DIA],investirrendafixaconsolidadoabr[[#Headers],[13]],tabela_registros[REGISTRO],DADOS!$N$5,tabela_registros[TIPO],DADOS!$AB$3,tabela_registros[CATEGORIA],investirrendafixaconsolidadoabr[[#This Row],[ATUAL]])</f>
        <v>0</v>
      </c>
      <c r="R115" s="91">
        <f>SUMIFS(tabela_registros[VALOR],tabela_registros[MÊS],$AE$1,tabela_registros[DIA],investirrendafixaconsolidadoabr[[#Headers],[14]],tabela_registros[REGISTRO],DADOS!$N$5,tabela_registros[TIPO],DADOS!$AB$3,tabela_registros[CATEGORIA],investirrendafixaconsolidadoabr[[#This Row],[ATUAL]])</f>
        <v>0</v>
      </c>
      <c r="S115" s="91">
        <f>SUMIFS(tabela_registros[VALOR],tabela_registros[MÊS],$AE$1,tabela_registros[DIA],investirrendafixaconsolidadoabr[[#Headers],[15]],tabela_registros[REGISTRO],DADOS!$N$5,tabela_registros[TIPO],DADOS!$AB$3,tabela_registros[CATEGORIA],investirrendafixaconsolidadoabr[[#This Row],[ATUAL]])</f>
        <v>0</v>
      </c>
      <c r="T115" s="91">
        <f>SUMIFS(tabela_registros[VALOR],tabela_registros[MÊS],$AE$1,tabela_registros[DIA],investirrendafixaconsolidadoabr[[#Headers],[16]],tabela_registros[REGISTRO],DADOS!$N$5,tabela_registros[TIPO],DADOS!$AB$3,tabela_registros[CATEGORIA],investirrendafixaconsolidadoabr[[#This Row],[ATUAL]])</f>
        <v>0</v>
      </c>
      <c r="U115" s="91">
        <f>SUMIFS(tabela_registros[VALOR],tabela_registros[MÊS],$AE$1,tabela_registros[DIA],investirrendafixaconsolidadoabr[[#Headers],[17]],tabela_registros[REGISTRO],DADOS!$N$5,tabela_registros[TIPO],DADOS!$AB$3,tabela_registros[CATEGORIA],investirrendafixaconsolidadoabr[[#This Row],[ATUAL]])</f>
        <v>0</v>
      </c>
      <c r="V115" s="91">
        <f>SUMIFS(tabela_registros[VALOR],tabela_registros[MÊS],$AE$1,tabela_registros[DIA],investirrendafixaconsolidadoabr[[#Headers],[18]],tabela_registros[REGISTRO],DADOS!$N$5,tabela_registros[TIPO],DADOS!$AB$3,tabela_registros[CATEGORIA],investirrendafixaconsolidadoabr[[#This Row],[ATUAL]])</f>
        <v>0</v>
      </c>
      <c r="W115" s="91">
        <f>SUMIFS(tabela_registros[VALOR],tabela_registros[MÊS],$AE$1,tabela_registros[DIA],investirrendafixaconsolidadoabr[[#Headers],[19]],tabela_registros[REGISTRO],DADOS!$N$5,tabela_registros[TIPO],DADOS!$AB$3,tabela_registros[CATEGORIA],investirrendafixaconsolidadoabr[[#This Row],[ATUAL]])</f>
        <v>0</v>
      </c>
      <c r="X115" s="91">
        <f>SUMIFS(tabela_registros[VALOR],tabela_registros[MÊS],$AE$1,tabela_registros[DIA],investirrendafixaconsolidadoabr[[#Headers],[20]],tabela_registros[REGISTRO],DADOS!$N$5,tabela_registros[TIPO],DADOS!$AB$3,tabela_registros[CATEGORIA],investirrendafixaconsolidadoabr[[#This Row],[ATUAL]])</f>
        <v>0</v>
      </c>
      <c r="Y115" s="91">
        <f>SUMIFS(tabela_registros[VALOR],tabela_registros[MÊS],$AE$1,tabela_registros[DIA],investirrendafixaconsolidadoabr[[#Headers],[21]],tabela_registros[REGISTRO],DADOS!$N$5,tabela_registros[TIPO],DADOS!$AB$3,tabela_registros[CATEGORIA],investirrendafixaconsolidadoabr[[#This Row],[ATUAL]])</f>
        <v>0</v>
      </c>
      <c r="Z115" s="91">
        <f>SUMIFS(tabela_registros[VALOR],tabela_registros[MÊS],$AE$1,tabela_registros[DIA],investirrendafixaconsolidadoabr[[#Headers],[22]],tabela_registros[REGISTRO],DADOS!$N$5,tabela_registros[TIPO],DADOS!$AB$3,tabela_registros[CATEGORIA],investirrendafixaconsolidadoabr[[#This Row],[ATUAL]])</f>
        <v>0</v>
      </c>
      <c r="AA115" s="91">
        <f>SUMIFS(tabela_registros[VALOR],tabela_registros[MÊS],$AE$1,tabela_registros[DIA],investirrendafixaconsolidadoabr[[#Headers],[23]],tabela_registros[REGISTRO],DADOS!$N$5,tabela_registros[TIPO],DADOS!$AB$3,tabela_registros[CATEGORIA],investirrendafixaconsolidadoabr[[#This Row],[ATUAL]])</f>
        <v>0</v>
      </c>
      <c r="AB115" s="91">
        <f>SUMIFS(tabela_registros[VALOR],tabela_registros[MÊS],$AE$1,tabela_registros[DIA],investirrendafixaconsolidadoabr[[#Headers],[24]],tabela_registros[REGISTRO],DADOS!$N$5,tabela_registros[TIPO],DADOS!$AB$3,tabela_registros[CATEGORIA],investirrendafixaconsolidadoabr[[#This Row],[ATUAL]])</f>
        <v>0</v>
      </c>
      <c r="AC115" s="91">
        <f>SUMIFS(tabela_registros[VALOR],tabela_registros[MÊS],$AE$1,tabela_registros[DIA],investirrendafixaconsolidadoabr[[#Headers],[25]],tabela_registros[REGISTRO],DADOS!$N$5,tabela_registros[TIPO],DADOS!$AB$3,tabela_registros[CATEGORIA],investirrendafixaconsolidadoabr[[#This Row],[ATUAL]])</f>
        <v>0</v>
      </c>
      <c r="AD115" s="91">
        <f>SUMIFS(tabela_registros[VALOR],tabela_registros[MÊS],$AE$1,tabela_registros[DIA],investirrendafixaconsolidadoabr[[#Headers],[26]],tabela_registros[REGISTRO],DADOS!$N$5,tabela_registros[TIPO],DADOS!$AB$3,tabela_registros[CATEGORIA],investirrendafixaconsolidadoabr[[#This Row],[ATUAL]])</f>
        <v>0</v>
      </c>
      <c r="AE115" s="91">
        <f>SUMIFS(tabela_registros[VALOR],tabela_registros[MÊS],$AE$1,tabela_registros[DIA],investirrendafixaconsolidadoabr[[#Headers],[27]],tabela_registros[REGISTRO],DADOS!$N$5,tabela_registros[TIPO],DADOS!$AB$3,tabela_registros[CATEGORIA],investirrendafixaconsolidadoabr[[#This Row],[ATUAL]])</f>
        <v>0</v>
      </c>
      <c r="AF115" s="91">
        <f>SUMIFS(tabela_registros[VALOR],tabela_registros[MÊS],$AE$1,tabela_registros[DIA],investirrendafixaconsolidadoabr[[#Headers],[28]],tabela_registros[REGISTRO],DADOS!$N$5,tabela_registros[TIPO],DADOS!$AB$3,tabela_registros[CATEGORIA],investirrendafixaconsolidadoabr[[#This Row],[ATUAL]])</f>
        <v>0</v>
      </c>
      <c r="AG115" s="91">
        <f>SUMIFS(tabela_registros[VALOR],tabela_registros[MÊS],$AE$1,tabela_registros[DIA],investirrendafixaconsolidadoabr[[#Headers],[29]],tabela_registros[REGISTRO],DADOS!$N$5,tabela_registros[TIPO],DADOS!$AB$3,tabela_registros[CATEGORIA],investirrendafixaconsolidadoabr[[#This Row],[ATUAL]])</f>
        <v>0</v>
      </c>
      <c r="AH115" s="91">
        <f>SUMIFS(tabela_registros[VALOR],tabela_registros[MÊS],$AE$1,tabela_registros[DIA],investirrendafixaconsolidadoabr[[#Headers],[30]],tabela_registros[REGISTRO],DADOS!$N$5,tabela_registros[TIPO],DADOS!$AB$3,tabela_registros[CATEGORIA],investirrendafixaconsolidadoabr[[#This Row],[ATUAL]])</f>
        <v>0</v>
      </c>
      <c r="AI115" s="101">
        <f>SUMIFS(tabela_registros[VALOR],tabela_registros[MÊS],$AE$1,tabela_registros[DIA],investirrendafixaconsolidadoabr[[#Headers],[31]],tabela_registros[REGISTRO],DADOS!$N$5,tabela_registros[TIPO],DADOS!$AB$3,tabela_registros[CATEGORIA],investirrendafixaconsolidadoabr[[#This Row],[ATUAL]])</f>
        <v>0</v>
      </c>
      <c r="AJ115" s="97">
        <f>SUM(investirrendafixaconsolidadoabr[[#This Row],[1]:[31]])</f>
        <v>0</v>
      </c>
      <c r="AK115" s="25"/>
    </row>
    <row r="116" spans="2:37" ht="19.5" customHeight="1" thickTop="1" thickBot="1" x14ac:dyDescent="0.3">
      <c r="B116" s="28"/>
      <c r="C116" s="27" t="str">
        <f>DADOS!$AD$6</f>
        <v>📝 DEBÊNTURE</v>
      </c>
      <c r="D116" s="26" t="str">
        <f>IF(investirrendafixaconsolidadoabr[[#This Row],[TOTAL (R$)]]=0,"",IF(OR(investirrendafixaconsolidadoabr[[#This Row],[TOTAL (R$)]]=LARGE($AJ$113:$AJ$122,1),investirrendafixaconsolidadoabr[[#This Row],[TOTAL (R$)]]=LARGE($AJ$113:$AJ$122,2)),DADOS!$I$10,""))</f>
        <v/>
      </c>
      <c r="E116" s="96">
        <f>SUMIFS(tabela_registros[VALOR],tabela_registros[MÊS],$AE$1,tabela_registros[DIA],investirrendafixaconsolidadoabr[[#Headers],[1]],tabela_registros[REGISTRO],DADOS!$N$5,tabela_registros[TIPO],DADOS!$AB$3,tabela_registros[CATEGORIA],investirrendafixaconsolidadoabr[[#This Row],[ATUAL]])</f>
        <v>0</v>
      </c>
      <c r="F116" s="91">
        <f>SUMIFS(tabela_registros[VALOR],tabela_registros[MÊS],$AE$1,tabela_registros[DIA],investirrendafixaconsolidadoabr[[#Headers],[2]],tabela_registros[REGISTRO],DADOS!$N$5,tabela_registros[TIPO],DADOS!$AB$3,tabela_registros[CATEGORIA],investirrendafixaconsolidadoabr[[#This Row],[ATUAL]])</f>
        <v>0</v>
      </c>
      <c r="G116" s="91">
        <f>SUMIFS(tabela_registros[VALOR],tabela_registros[MÊS],$AE$1,tabela_registros[DIA],investirrendafixaconsolidadoabr[[#Headers],[3]],tabela_registros[REGISTRO],DADOS!$N$5,tabela_registros[TIPO],DADOS!$AB$3,tabela_registros[CATEGORIA],investirrendafixaconsolidadoabr[[#This Row],[ATUAL]])</f>
        <v>0</v>
      </c>
      <c r="H116" s="91">
        <f>SUMIFS(tabela_registros[VALOR],tabela_registros[MÊS],$AE$1,tabela_registros[DIA],investirrendafixaconsolidadoabr[[#Headers],[4]],tabela_registros[REGISTRO],DADOS!$N$5,tabela_registros[TIPO],DADOS!$AB$3,tabela_registros[CATEGORIA],investirrendafixaconsolidadoabr[[#This Row],[ATUAL]])</f>
        <v>0</v>
      </c>
      <c r="I116" s="91">
        <f>SUMIFS(tabela_registros[VALOR],tabela_registros[MÊS],$AE$1,tabela_registros[DIA],investirrendafixaconsolidadoabr[[#Headers],[5]],tabela_registros[REGISTRO],DADOS!$N$5,tabela_registros[TIPO],DADOS!$AB$3,tabela_registros[CATEGORIA],investirrendafixaconsolidadoabr[[#This Row],[ATUAL]])</f>
        <v>0</v>
      </c>
      <c r="J116" s="91">
        <f>SUMIFS(tabela_registros[VALOR],tabela_registros[MÊS],$AE$1,tabela_registros[DIA],investirrendafixaconsolidadoabr[[#Headers],[6]],tabela_registros[REGISTRO],DADOS!$N$5,tabela_registros[TIPO],DADOS!$AB$3,tabela_registros[CATEGORIA],investirrendafixaconsolidadoabr[[#This Row],[ATUAL]])</f>
        <v>0</v>
      </c>
      <c r="K116" s="91">
        <f>SUMIFS(tabela_registros[VALOR],tabela_registros[MÊS],$AE$1,tabela_registros[DIA],investirrendafixaconsolidadoabr[[#Headers],[7]],tabela_registros[REGISTRO],DADOS!$N$5,tabela_registros[TIPO],DADOS!$AB$3,tabela_registros[CATEGORIA],investirrendafixaconsolidadoabr[[#This Row],[ATUAL]])</f>
        <v>0</v>
      </c>
      <c r="L116" s="91">
        <f>SUMIFS(tabela_registros[VALOR],tabela_registros[MÊS],$AE$1,tabela_registros[DIA],investirrendafixaconsolidadoabr[[#Headers],[8]],tabela_registros[REGISTRO],DADOS!$N$5,tabela_registros[TIPO],DADOS!$AB$3,tabela_registros[CATEGORIA],investirrendafixaconsolidadoabr[[#This Row],[ATUAL]])</f>
        <v>0</v>
      </c>
      <c r="M116" s="91">
        <f>SUMIFS(tabela_registros[VALOR],tabela_registros[MÊS],$AE$1,tabela_registros[DIA],investirrendafixaconsolidadoabr[[#Headers],[9]],tabela_registros[REGISTRO],DADOS!$N$5,tabela_registros[TIPO],DADOS!$AB$3,tabela_registros[CATEGORIA],investirrendafixaconsolidadoabr[[#This Row],[ATUAL]])</f>
        <v>0</v>
      </c>
      <c r="N116" s="91">
        <f>SUMIFS(tabela_registros[VALOR],tabela_registros[MÊS],$AE$1,tabela_registros[DIA],investirrendafixaconsolidadoabr[[#Headers],[10]],tabela_registros[REGISTRO],DADOS!$N$5,tabela_registros[TIPO],DADOS!$AB$3,tabela_registros[CATEGORIA],investirrendafixaconsolidadoabr[[#This Row],[ATUAL]])</f>
        <v>0</v>
      </c>
      <c r="O116" s="91">
        <f>SUMIFS(tabela_registros[VALOR],tabela_registros[MÊS],$AE$1,tabela_registros[DIA],investirrendafixaconsolidadoabr[[#Headers],[11]],tabela_registros[REGISTRO],DADOS!$N$5,tabela_registros[TIPO],DADOS!$AB$3,tabela_registros[CATEGORIA],investirrendafixaconsolidadoabr[[#This Row],[ATUAL]])</f>
        <v>0</v>
      </c>
      <c r="P116" s="91">
        <f>SUMIFS(tabela_registros[VALOR],tabela_registros[MÊS],$AE$1,tabela_registros[DIA],investirrendafixaconsolidadoabr[[#Headers],[12]],tabela_registros[REGISTRO],DADOS!$N$5,tabela_registros[TIPO],DADOS!$AB$3,tabela_registros[CATEGORIA],investirrendafixaconsolidadoabr[[#This Row],[ATUAL]])</f>
        <v>0</v>
      </c>
      <c r="Q116" s="91">
        <f>SUMIFS(tabela_registros[VALOR],tabela_registros[MÊS],$AE$1,tabela_registros[DIA],investirrendafixaconsolidadoabr[[#Headers],[13]],tabela_registros[REGISTRO],DADOS!$N$5,tabela_registros[TIPO],DADOS!$AB$3,tabela_registros[CATEGORIA],investirrendafixaconsolidadoabr[[#This Row],[ATUAL]])</f>
        <v>0</v>
      </c>
      <c r="R116" s="91">
        <f>SUMIFS(tabela_registros[VALOR],tabela_registros[MÊS],$AE$1,tabela_registros[DIA],investirrendafixaconsolidadoabr[[#Headers],[14]],tabela_registros[REGISTRO],DADOS!$N$5,tabela_registros[TIPO],DADOS!$AB$3,tabela_registros[CATEGORIA],investirrendafixaconsolidadoabr[[#This Row],[ATUAL]])</f>
        <v>0</v>
      </c>
      <c r="S116" s="91">
        <f>SUMIFS(tabela_registros[VALOR],tabela_registros[MÊS],$AE$1,tabela_registros[DIA],investirrendafixaconsolidadoabr[[#Headers],[15]],tabela_registros[REGISTRO],DADOS!$N$5,tabela_registros[TIPO],DADOS!$AB$3,tabela_registros[CATEGORIA],investirrendafixaconsolidadoabr[[#This Row],[ATUAL]])</f>
        <v>0</v>
      </c>
      <c r="T116" s="91">
        <f>SUMIFS(tabela_registros[VALOR],tabela_registros[MÊS],$AE$1,tabela_registros[DIA],investirrendafixaconsolidadoabr[[#Headers],[16]],tabela_registros[REGISTRO],DADOS!$N$5,tabela_registros[TIPO],DADOS!$AB$3,tabela_registros[CATEGORIA],investirrendafixaconsolidadoabr[[#This Row],[ATUAL]])</f>
        <v>0</v>
      </c>
      <c r="U116" s="91">
        <f>SUMIFS(tabela_registros[VALOR],tabela_registros[MÊS],$AE$1,tabela_registros[DIA],investirrendafixaconsolidadoabr[[#Headers],[17]],tabela_registros[REGISTRO],DADOS!$N$5,tabela_registros[TIPO],DADOS!$AB$3,tabela_registros[CATEGORIA],investirrendafixaconsolidadoabr[[#This Row],[ATUAL]])</f>
        <v>0</v>
      </c>
      <c r="V116" s="91">
        <f>SUMIFS(tabela_registros[VALOR],tabela_registros[MÊS],$AE$1,tabela_registros[DIA],investirrendafixaconsolidadoabr[[#Headers],[18]],tabela_registros[REGISTRO],DADOS!$N$5,tabela_registros[TIPO],DADOS!$AB$3,tabela_registros[CATEGORIA],investirrendafixaconsolidadoabr[[#This Row],[ATUAL]])</f>
        <v>0</v>
      </c>
      <c r="W116" s="91">
        <f>SUMIFS(tabela_registros[VALOR],tabela_registros[MÊS],$AE$1,tabela_registros[DIA],investirrendafixaconsolidadoabr[[#Headers],[19]],tabela_registros[REGISTRO],DADOS!$N$5,tabela_registros[TIPO],DADOS!$AB$3,tabela_registros[CATEGORIA],investirrendafixaconsolidadoabr[[#This Row],[ATUAL]])</f>
        <v>0</v>
      </c>
      <c r="X116" s="91">
        <f>SUMIFS(tabela_registros[VALOR],tabela_registros[MÊS],$AE$1,tabela_registros[DIA],investirrendafixaconsolidadoabr[[#Headers],[20]],tabela_registros[REGISTRO],DADOS!$N$5,tabela_registros[TIPO],DADOS!$AB$3,tabela_registros[CATEGORIA],investirrendafixaconsolidadoabr[[#This Row],[ATUAL]])</f>
        <v>0</v>
      </c>
      <c r="Y116" s="91">
        <f>SUMIFS(tabela_registros[VALOR],tabela_registros[MÊS],$AE$1,tabela_registros[DIA],investirrendafixaconsolidadoabr[[#Headers],[21]],tabela_registros[REGISTRO],DADOS!$N$5,tabela_registros[TIPO],DADOS!$AB$3,tabela_registros[CATEGORIA],investirrendafixaconsolidadoabr[[#This Row],[ATUAL]])</f>
        <v>0</v>
      </c>
      <c r="Z116" s="91">
        <f>SUMIFS(tabela_registros[VALOR],tabela_registros[MÊS],$AE$1,tabela_registros[DIA],investirrendafixaconsolidadoabr[[#Headers],[22]],tabela_registros[REGISTRO],DADOS!$N$5,tabela_registros[TIPO],DADOS!$AB$3,tabela_registros[CATEGORIA],investirrendafixaconsolidadoabr[[#This Row],[ATUAL]])</f>
        <v>0</v>
      </c>
      <c r="AA116" s="91">
        <f>SUMIFS(tabela_registros[VALOR],tabela_registros[MÊS],$AE$1,tabela_registros[DIA],investirrendafixaconsolidadoabr[[#Headers],[23]],tabela_registros[REGISTRO],DADOS!$N$5,tabela_registros[TIPO],DADOS!$AB$3,tabela_registros[CATEGORIA],investirrendafixaconsolidadoabr[[#This Row],[ATUAL]])</f>
        <v>0</v>
      </c>
      <c r="AB116" s="91">
        <f>SUMIFS(tabela_registros[VALOR],tabela_registros[MÊS],$AE$1,tabela_registros[DIA],investirrendafixaconsolidadoabr[[#Headers],[24]],tabela_registros[REGISTRO],DADOS!$N$5,tabela_registros[TIPO],DADOS!$AB$3,tabela_registros[CATEGORIA],investirrendafixaconsolidadoabr[[#This Row],[ATUAL]])</f>
        <v>0</v>
      </c>
      <c r="AC116" s="91">
        <f>SUMIFS(tabela_registros[VALOR],tabela_registros[MÊS],$AE$1,tabela_registros[DIA],investirrendafixaconsolidadoabr[[#Headers],[25]],tabela_registros[REGISTRO],DADOS!$N$5,tabela_registros[TIPO],DADOS!$AB$3,tabela_registros[CATEGORIA],investirrendafixaconsolidadoabr[[#This Row],[ATUAL]])</f>
        <v>0</v>
      </c>
      <c r="AD116" s="91">
        <f>SUMIFS(tabela_registros[VALOR],tabela_registros[MÊS],$AE$1,tabela_registros[DIA],investirrendafixaconsolidadoabr[[#Headers],[26]],tabela_registros[REGISTRO],DADOS!$N$5,tabela_registros[TIPO],DADOS!$AB$3,tabela_registros[CATEGORIA],investirrendafixaconsolidadoabr[[#This Row],[ATUAL]])</f>
        <v>0</v>
      </c>
      <c r="AE116" s="91">
        <f>SUMIFS(tabela_registros[VALOR],tabela_registros[MÊS],$AE$1,tabela_registros[DIA],investirrendafixaconsolidadoabr[[#Headers],[27]],tabela_registros[REGISTRO],DADOS!$N$5,tabela_registros[TIPO],DADOS!$AB$3,tabela_registros[CATEGORIA],investirrendafixaconsolidadoabr[[#This Row],[ATUAL]])</f>
        <v>0</v>
      </c>
      <c r="AF116" s="91">
        <f>SUMIFS(tabela_registros[VALOR],tabela_registros[MÊS],$AE$1,tabela_registros[DIA],investirrendafixaconsolidadoabr[[#Headers],[28]],tabela_registros[REGISTRO],DADOS!$N$5,tabela_registros[TIPO],DADOS!$AB$3,tabela_registros[CATEGORIA],investirrendafixaconsolidadoabr[[#This Row],[ATUAL]])</f>
        <v>0</v>
      </c>
      <c r="AG116" s="91">
        <f>SUMIFS(tabela_registros[VALOR],tabela_registros[MÊS],$AE$1,tabela_registros[DIA],investirrendafixaconsolidadoabr[[#Headers],[29]],tabela_registros[REGISTRO],DADOS!$N$5,tabela_registros[TIPO],DADOS!$AB$3,tabela_registros[CATEGORIA],investirrendafixaconsolidadoabr[[#This Row],[ATUAL]])</f>
        <v>0</v>
      </c>
      <c r="AH116" s="91">
        <f>SUMIFS(tabela_registros[VALOR],tabela_registros[MÊS],$AE$1,tabela_registros[DIA],investirrendafixaconsolidadoabr[[#Headers],[30]],tabela_registros[REGISTRO],DADOS!$N$5,tabela_registros[TIPO],DADOS!$AB$3,tabela_registros[CATEGORIA],investirrendafixaconsolidadoabr[[#This Row],[ATUAL]])</f>
        <v>0</v>
      </c>
      <c r="AI116" s="101">
        <f>SUMIFS(tabela_registros[VALOR],tabela_registros[MÊS],$AE$1,tabela_registros[DIA],investirrendafixaconsolidadoabr[[#Headers],[31]],tabela_registros[REGISTRO],DADOS!$N$5,tabela_registros[TIPO],DADOS!$AB$3,tabela_registros[CATEGORIA],investirrendafixaconsolidadoabr[[#This Row],[ATUAL]])</f>
        <v>0</v>
      </c>
      <c r="AJ116" s="97">
        <f>SUM(investirrendafixaconsolidadoabr[[#This Row],[1]:[31]])</f>
        <v>0</v>
      </c>
      <c r="AK116" s="25"/>
    </row>
    <row r="117" spans="2:37" ht="19.5" customHeight="1" thickTop="1" thickBot="1" x14ac:dyDescent="0.3">
      <c r="B117" s="28"/>
      <c r="C117" s="27" t="str">
        <f>DADOS!$AD$7</f>
        <v>📝 EXTERIOR</v>
      </c>
      <c r="D117" s="26" t="str">
        <f>IF(investirrendafixaconsolidadoabr[[#This Row],[TOTAL (R$)]]=0,"",IF(OR(investirrendafixaconsolidadoabr[[#This Row],[TOTAL (R$)]]=LARGE($AJ$113:$AJ$122,1),investirrendafixaconsolidadoabr[[#This Row],[TOTAL (R$)]]=LARGE($AJ$113:$AJ$122,2)),DADOS!$I$10,""))</f>
        <v/>
      </c>
      <c r="E117" s="96">
        <f>SUMIFS(tabela_registros[VALOR],tabela_registros[MÊS],$AE$1,tabela_registros[DIA],investirrendafixaconsolidadoabr[[#Headers],[1]],tabela_registros[REGISTRO],DADOS!$N$5,tabela_registros[TIPO],DADOS!$AB$3,tabela_registros[CATEGORIA],investirrendafixaconsolidadoabr[[#This Row],[ATUAL]])</f>
        <v>0</v>
      </c>
      <c r="F117" s="91">
        <f>SUMIFS(tabela_registros[VALOR],tabela_registros[MÊS],$AE$1,tabela_registros[DIA],investirrendafixaconsolidadoabr[[#Headers],[2]],tabela_registros[REGISTRO],DADOS!$N$5,tabela_registros[TIPO],DADOS!$AB$3,tabela_registros[CATEGORIA],investirrendafixaconsolidadoabr[[#This Row],[ATUAL]])</f>
        <v>0</v>
      </c>
      <c r="G117" s="91">
        <f>SUMIFS(tabela_registros[VALOR],tabela_registros[MÊS],$AE$1,tabela_registros[DIA],investirrendafixaconsolidadoabr[[#Headers],[3]],tabela_registros[REGISTRO],DADOS!$N$5,tabela_registros[TIPO],DADOS!$AB$3,tabela_registros[CATEGORIA],investirrendafixaconsolidadoabr[[#This Row],[ATUAL]])</f>
        <v>0</v>
      </c>
      <c r="H117" s="91">
        <f>SUMIFS(tabela_registros[VALOR],tabela_registros[MÊS],$AE$1,tabela_registros[DIA],investirrendafixaconsolidadoabr[[#Headers],[4]],tabela_registros[REGISTRO],DADOS!$N$5,tabela_registros[TIPO],DADOS!$AB$3,tabela_registros[CATEGORIA],investirrendafixaconsolidadoabr[[#This Row],[ATUAL]])</f>
        <v>0</v>
      </c>
      <c r="I117" s="91">
        <f>SUMIFS(tabela_registros[VALOR],tabela_registros[MÊS],$AE$1,tabela_registros[DIA],investirrendafixaconsolidadoabr[[#Headers],[5]],tabela_registros[REGISTRO],DADOS!$N$5,tabela_registros[TIPO],DADOS!$AB$3,tabela_registros[CATEGORIA],investirrendafixaconsolidadoabr[[#This Row],[ATUAL]])</f>
        <v>0</v>
      </c>
      <c r="J117" s="91">
        <f>SUMIFS(tabela_registros[VALOR],tabela_registros[MÊS],$AE$1,tabela_registros[DIA],investirrendafixaconsolidadoabr[[#Headers],[6]],tabela_registros[REGISTRO],DADOS!$N$5,tabela_registros[TIPO],DADOS!$AB$3,tabela_registros[CATEGORIA],investirrendafixaconsolidadoabr[[#This Row],[ATUAL]])</f>
        <v>0</v>
      </c>
      <c r="K117" s="91">
        <f>SUMIFS(tabela_registros[VALOR],tabela_registros[MÊS],$AE$1,tabela_registros[DIA],investirrendafixaconsolidadoabr[[#Headers],[7]],tabela_registros[REGISTRO],DADOS!$N$5,tabela_registros[TIPO],DADOS!$AB$3,tabela_registros[CATEGORIA],investirrendafixaconsolidadoabr[[#This Row],[ATUAL]])</f>
        <v>0</v>
      </c>
      <c r="L117" s="91">
        <f>SUMIFS(tabela_registros[VALOR],tabela_registros[MÊS],$AE$1,tabela_registros[DIA],investirrendafixaconsolidadoabr[[#Headers],[8]],tabela_registros[REGISTRO],DADOS!$N$5,tabela_registros[TIPO],DADOS!$AB$3,tabela_registros[CATEGORIA],investirrendafixaconsolidadoabr[[#This Row],[ATUAL]])</f>
        <v>0</v>
      </c>
      <c r="M117" s="91">
        <f>SUMIFS(tabela_registros[VALOR],tabela_registros[MÊS],$AE$1,tabela_registros[DIA],investirrendafixaconsolidadoabr[[#Headers],[9]],tabela_registros[REGISTRO],DADOS!$N$5,tabela_registros[TIPO],DADOS!$AB$3,tabela_registros[CATEGORIA],investirrendafixaconsolidadoabr[[#This Row],[ATUAL]])</f>
        <v>0</v>
      </c>
      <c r="N117" s="91">
        <f>SUMIFS(tabela_registros[VALOR],tabela_registros[MÊS],$AE$1,tabela_registros[DIA],investirrendafixaconsolidadoabr[[#Headers],[10]],tabela_registros[REGISTRO],DADOS!$N$5,tabela_registros[TIPO],DADOS!$AB$3,tabela_registros[CATEGORIA],investirrendafixaconsolidadoabr[[#This Row],[ATUAL]])</f>
        <v>0</v>
      </c>
      <c r="O117" s="91">
        <f>SUMIFS(tabela_registros[VALOR],tabela_registros[MÊS],$AE$1,tabela_registros[DIA],investirrendafixaconsolidadoabr[[#Headers],[11]],tabela_registros[REGISTRO],DADOS!$N$5,tabela_registros[TIPO],DADOS!$AB$3,tabela_registros[CATEGORIA],investirrendafixaconsolidadoabr[[#This Row],[ATUAL]])</f>
        <v>0</v>
      </c>
      <c r="P117" s="91">
        <f>SUMIFS(tabela_registros[VALOR],tabela_registros[MÊS],$AE$1,tabela_registros[DIA],investirrendafixaconsolidadoabr[[#Headers],[12]],tabela_registros[REGISTRO],DADOS!$N$5,tabela_registros[TIPO],DADOS!$AB$3,tabela_registros[CATEGORIA],investirrendafixaconsolidadoabr[[#This Row],[ATUAL]])</f>
        <v>0</v>
      </c>
      <c r="Q117" s="91">
        <f>SUMIFS(tabela_registros[VALOR],tabela_registros[MÊS],$AE$1,tabela_registros[DIA],investirrendafixaconsolidadoabr[[#Headers],[13]],tabela_registros[REGISTRO],DADOS!$N$5,tabela_registros[TIPO],DADOS!$AB$3,tabela_registros[CATEGORIA],investirrendafixaconsolidadoabr[[#This Row],[ATUAL]])</f>
        <v>0</v>
      </c>
      <c r="R117" s="91">
        <f>SUMIFS(tabela_registros[VALOR],tabela_registros[MÊS],$AE$1,tabela_registros[DIA],investirrendafixaconsolidadoabr[[#Headers],[14]],tabela_registros[REGISTRO],DADOS!$N$5,tabela_registros[TIPO],DADOS!$AB$3,tabela_registros[CATEGORIA],investirrendafixaconsolidadoabr[[#This Row],[ATUAL]])</f>
        <v>0</v>
      </c>
      <c r="S117" s="91">
        <f>SUMIFS(tabela_registros[VALOR],tabela_registros[MÊS],$AE$1,tabela_registros[DIA],investirrendafixaconsolidadoabr[[#Headers],[15]],tabela_registros[REGISTRO],DADOS!$N$5,tabela_registros[TIPO],DADOS!$AB$3,tabela_registros[CATEGORIA],investirrendafixaconsolidadoabr[[#This Row],[ATUAL]])</f>
        <v>0</v>
      </c>
      <c r="T117" s="91">
        <f>SUMIFS(tabela_registros[VALOR],tabela_registros[MÊS],$AE$1,tabela_registros[DIA],investirrendafixaconsolidadoabr[[#Headers],[16]],tabela_registros[REGISTRO],DADOS!$N$5,tabela_registros[TIPO],DADOS!$AB$3,tabela_registros[CATEGORIA],investirrendafixaconsolidadoabr[[#This Row],[ATUAL]])</f>
        <v>0</v>
      </c>
      <c r="U117" s="91">
        <f>SUMIFS(tabela_registros[VALOR],tabela_registros[MÊS],$AE$1,tabela_registros[DIA],investirrendafixaconsolidadoabr[[#Headers],[17]],tabela_registros[REGISTRO],DADOS!$N$5,tabela_registros[TIPO],DADOS!$AB$3,tabela_registros[CATEGORIA],investirrendafixaconsolidadoabr[[#This Row],[ATUAL]])</f>
        <v>0</v>
      </c>
      <c r="V117" s="91">
        <f>SUMIFS(tabela_registros[VALOR],tabela_registros[MÊS],$AE$1,tabela_registros[DIA],investirrendafixaconsolidadoabr[[#Headers],[18]],tabela_registros[REGISTRO],DADOS!$N$5,tabela_registros[TIPO],DADOS!$AB$3,tabela_registros[CATEGORIA],investirrendafixaconsolidadoabr[[#This Row],[ATUAL]])</f>
        <v>0</v>
      </c>
      <c r="W117" s="91">
        <f>SUMIFS(tabela_registros[VALOR],tabela_registros[MÊS],$AE$1,tabela_registros[DIA],investirrendafixaconsolidadoabr[[#Headers],[19]],tabela_registros[REGISTRO],DADOS!$N$5,tabela_registros[TIPO],DADOS!$AB$3,tabela_registros[CATEGORIA],investirrendafixaconsolidadoabr[[#This Row],[ATUAL]])</f>
        <v>0</v>
      </c>
      <c r="X117" s="91">
        <f>SUMIFS(tabela_registros[VALOR],tabela_registros[MÊS],$AE$1,tabela_registros[DIA],investirrendafixaconsolidadoabr[[#Headers],[20]],tabela_registros[REGISTRO],DADOS!$N$5,tabela_registros[TIPO],DADOS!$AB$3,tabela_registros[CATEGORIA],investirrendafixaconsolidadoabr[[#This Row],[ATUAL]])</f>
        <v>0</v>
      </c>
      <c r="Y117" s="91">
        <f>SUMIFS(tabela_registros[VALOR],tabela_registros[MÊS],$AE$1,tabela_registros[DIA],investirrendafixaconsolidadoabr[[#Headers],[21]],tabela_registros[REGISTRO],DADOS!$N$5,tabela_registros[TIPO],DADOS!$AB$3,tabela_registros[CATEGORIA],investirrendafixaconsolidadoabr[[#This Row],[ATUAL]])</f>
        <v>0</v>
      </c>
      <c r="Z117" s="91">
        <f>SUMIFS(tabela_registros[VALOR],tabela_registros[MÊS],$AE$1,tabela_registros[DIA],investirrendafixaconsolidadoabr[[#Headers],[22]],tabela_registros[REGISTRO],DADOS!$N$5,tabela_registros[TIPO],DADOS!$AB$3,tabela_registros[CATEGORIA],investirrendafixaconsolidadoabr[[#This Row],[ATUAL]])</f>
        <v>0</v>
      </c>
      <c r="AA117" s="91">
        <f>SUMIFS(tabela_registros[VALOR],tabela_registros[MÊS],$AE$1,tabela_registros[DIA],investirrendafixaconsolidadoabr[[#Headers],[23]],tabela_registros[REGISTRO],DADOS!$N$5,tabela_registros[TIPO],DADOS!$AB$3,tabela_registros[CATEGORIA],investirrendafixaconsolidadoabr[[#This Row],[ATUAL]])</f>
        <v>0</v>
      </c>
      <c r="AB117" s="91">
        <f>SUMIFS(tabela_registros[VALOR],tabela_registros[MÊS],$AE$1,tabela_registros[DIA],investirrendafixaconsolidadoabr[[#Headers],[24]],tabela_registros[REGISTRO],DADOS!$N$5,tabela_registros[TIPO],DADOS!$AB$3,tabela_registros[CATEGORIA],investirrendafixaconsolidadoabr[[#This Row],[ATUAL]])</f>
        <v>0</v>
      </c>
      <c r="AC117" s="91">
        <f>SUMIFS(tabela_registros[VALOR],tabela_registros[MÊS],$AE$1,tabela_registros[DIA],investirrendafixaconsolidadoabr[[#Headers],[25]],tabela_registros[REGISTRO],DADOS!$N$5,tabela_registros[TIPO],DADOS!$AB$3,tabela_registros[CATEGORIA],investirrendafixaconsolidadoabr[[#This Row],[ATUAL]])</f>
        <v>0</v>
      </c>
      <c r="AD117" s="91">
        <f>SUMIFS(tabela_registros[VALOR],tabela_registros[MÊS],$AE$1,tabela_registros[DIA],investirrendafixaconsolidadoabr[[#Headers],[26]],tabela_registros[REGISTRO],DADOS!$N$5,tabela_registros[TIPO],DADOS!$AB$3,tabela_registros[CATEGORIA],investirrendafixaconsolidadoabr[[#This Row],[ATUAL]])</f>
        <v>0</v>
      </c>
      <c r="AE117" s="91">
        <f>SUMIFS(tabela_registros[VALOR],tabela_registros[MÊS],$AE$1,tabela_registros[DIA],investirrendafixaconsolidadoabr[[#Headers],[27]],tabela_registros[REGISTRO],DADOS!$N$5,tabela_registros[TIPO],DADOS!$AB$3,tabela_registros[CATEGORIA],investirrendafixaconsolidadoabr[[#This Row],[ATUAL]])</f>
        <v>0</v>
      </c>
      <c r="AF117" s="91">
        <f>SUMIFS(tabela_registros[VALOR],tabela_registros[MÊS],$AE$1,tabela_registros[DIA],investirrendafixaconsolidadoabr[[#Headers],[28]],tabela_registros[REGISTRO],DADOS!$N$5,tabela_registros[TIPO],DADOS!$AB$3,tabela_registros[CATEGORIA],investirrendafixaconsolidadoabr[[#This Row],[ATUAL]])</f>
        <v>0</v>
      </c>
      <c r="AG117" s="91">
        <f>SUMIFS(tabela_registros[VALOR],tabela_registros[MÊS],$AE$1,tabela_registros[DIA],investirrendafixaconsolidadoabr[[#Headers],[29]],tabela_registros[REGISTRO],DADOS!$N$5,tabela_registros[TIPO],DADOS!$AB$3,tabela_registros[CATEGORIA],investirrendafixaconsolidadoabr[[#This Row],[ATUAL]])</f>
        <v>0</v>
      </c>
      <c r="AH117" s="91">
        <f>SUMIFS(tabela_registros[VALOR],tabela_registros[MÊS],$AE$1,tabela_registros[DIA],investirrendafixaconsolidadoabr[[#Headers],[30]],tabela_registros[REGISTRO],DADOS!$N$5,tabela_registros[TIPO],DADOS!$AB$3,tabela_registros[CATEGORIA],investirrendafixaconsolidadoabr[[#This Row],[ATUAL]])</f>
        <v>0</v>
      </c>
      <c r="AI117" s="101">
        <f>SUMIFS(tabela_registros[VALOR],tabela_registros[MÊS],$AE$1,tabela_registros[DIA],investirrendafixaconsolidadoabr[[#Headers],[31]],tabela_registros[REGISTRO],DADOS!$N$5,tabela_registros[TIPO],DADOS!$AB$3,tabela_registros[CATEGORIA],investirrendafixaconsolidadoabr[[#This Row],[ATUAL]])</f>
        <v>0</v>
      </c>
      <c r="AJ117" s="97">
        <f>SUM(investirrendafixaconsolidadoabr[[#This Row],[1]:[31]])</f>
        <v>0</v>
      </c>
      <c r="AK117" s="25"/>
    </row>
    <row r="118" spans="2:37" ht="19.5" customHeight="1" thickTop="1" thickBot="1" x14ac:dyDescent="0.3">
      <c r="B118" s="28"/>
      <c r="C118" s="27" t="str">
        <f>DADOS!$AD$8</f>
        <v>📝 LC</v>
      </c>
      <c r="D118" s="26" t="str">
        <f>IF(investirrendafixaconsolidadoabr[[#This Row],[TOTAL (R$)]]=0,"",IF(OR(investirrendafixaconsolidadoabr[[#This Row],[TOTAL (R$)]]=LARGE($AJ$113:$AJ$122,1),investirrendafixaconsolidadoabr[[#This Row],[TOTAL (R$)]]=LARGE($AJ$113:$AJ$122,2)),DADOS!$I$10,""))</f>
        <v/>
      </c>
      <c r="E118" s="96">
        <f>SUMIFS(tabela_registros[VALOR],tabela_registros[MÊS],$AE$1,tabela_registros[DIA],investirrendafixaconsolidadoabr[[#Headers],[1]],tabela_registros[REGISTRO],DADOS!$N$5,tabela_registros[TIPO],DADOS!$AB$3,tabela_registros[CATEGORIA],investirrendafixaconsolidadoabr[[#This Row],[ATUAL]])</f>
        <v>0</v>
      </c>
      <c r="F118" s="91">
        <f>SUMIFS(tabela_registros[VALOR],tabela_registros[MÊS],$AE$1,tabela_registros[DIA],investirrendafixaconsolidadoabr[[#Headers],[2]],tabela_registros[REGISTRO],DADOS!$N$5,tabela_registros[TIPO],DADOS!$AB$3,tabela_registros[CATEGORIA],investirrendafixaconsolidadoabr[[#This Row],[ATUAL]])</f>
        <v>0</v>
      </c>
      <c r="G118" s="91">
        <f>SUMIFS(tabela_registros[VALOR],tabela_registros[MÊS],$AE$1,tabela_registros[DIA],investirrendafixaconsolidadoabr[[#Headers],[3]],tabela_registros[REGISTRO],DADOS!$N$5,tabela_registros[TIPO],DADOS!$AB$3,tabela_registros[CATEGORIA],investirrendafixaconsolidadoabr[[#This Row],[ATUAL]])</f>
        <v>0</v>
      </c>
      <c r="H118" s="91">
        <f>SUMIFS(tabela_registros[VALOR],tabela_registros[MÊS],$AE$1,tabela_registros[DIA],investirrendafixaconsolidadoabr[[#Headers],[4]],tabela_registros[REGISTRO],DADOS!$N$5,tabela_registros[TIPO],DADOS!$AB$3,tabela_registros[CATEGORIA],investirrendafixaconsolidadoabr[[#This Row],[ATUAL]])</f>
        <v>0</v>
      </c>
      <c r="I118" s="91">
        <f>SUMIFS(tabela_registros[VALOR],tabela_registros[MÊS],$AE$1,tabela_registros[DIA],investirrendafixaconsolidadoabr[[#Headers],[5]],tabela_registros[REGISTRO],DADOS!$N$5,tabela_registros[TIPO],DADOS!$AB$3,tabela_registros[CATEGORIA],investirrendafixaconsolidadoabr[[#This Row],[ATUAL]])</f>
        <v>0</v>
      </c>
      <c r="J118" s="91">
        <f>SUMIFS(tabela_registros[VALOR],tabela_registros[MÊS],$AE$1,tabela_registros[DIA],investirrendafixaconsolidadoabr[[#Headers],[6]],tabela_registros[REGISTRO],DADOS!$N$5,tabela_registros[TIPO],DADOS!$AB$3,tabela_registros[CATEGORIA],investirrendafixaconsolidadoabr[[#This Row],[ATUAL]])</f>
        <v>0</v>
      </c>
      <c r="K118" s="91">
        <f>SUMIFS(tabela_registros[VALOR],tabela_registros[MÊS],$AE$1,tabela_registros[DIA],investirrendafixaconsolidadoabr[[#Headers],[7]],tabela_registros[REGISTRO],DADOS!$N$5,tabela_registros[TIPO],DADOS!$AB$3,tabela_registros[CATEGORIA],investirrendafixaconsolidadoabr[[#This Row],[ATUAL]])</f>
        <v>0</v>
      </c>
      <c r="L118" s="91">
        <f>SUMIFS(tabela_registros[VALOR],tabela_registros[MÊS],$AE$1,tabela_registros[DIA],investirrendafixaconsolidadoabr[[#Headers],[8]],tabela_registros[REGISTRO],DADOS!$N$5,tabela_registros[TIPO],DADOS!$AB$3,tabela_registros[CATEGORIA],investirrendafixaconsolidadoabr[[#This Row],[ATUAL]])</f>
        <v>0</v>
      </c>
      <c r="M118" s="91">
        <f>SUMIFS(tabela_registros[VALOR],tabela_registros[MÊS],$AE$1,tabela_registros[DIA],investirrendafixaconsolidadoabr[[#Headers],[9]],tabela_registros[REGISTRO],DADOS!$N$5,tabela_registros[TIPO],DADOS!$AB$3,tabela_registros[CATEGORIA],investirrendafixaconsolidadoabr[[#This Row],[ATUAL]])</f>
        <v>0</v>
      </c>
      <c r="N118" s="91">
        <f>SUMIFS(tabela_registros[VALOR],tabela_registros[MÊS],$AE$1,tabela_registros[DIA],investirrendafixaconsolidadoabr[[#Headers],[10]],tabela_registros[REGISTRO],DADOS!$N$5,tabela_registros[TIPO],DADOS!$AB$3,tabela_registros[CATEGORIA],investirrendafixaconsolidadoabr[[#This Row],[ATUAL]])</f>
        <v>0</v>
      </c>
      <c r="O118" s="91">
        <f>SUMIFS(tabela_registros[VALOR],tabela_registros[MÊS],$AE$1,tabela_registros[DIA],investirrendafixaconsolidadoabr[[#Headers],[11]],tabela_registros[REGISTRO],DADOS!$N$5,tabela_registros[TIPO],DADOS!$AB$3,tabela_registros[CATEGORIA],investirrendafixaconsolidadoabr[[#This Row],[ATUAL]])</f>
        <v>0</v>
      </c>
      <c r="P118" s="91">
        <f>SUMIFS(tabela_registros[VALOR],tabela_registros[MÊS],$AE$1,tabela_registros[DIA],investirrendafixaconsolidadoabr[[#Headers],[12]],tabela_registros[REGISTRO],DADOS!$N$5,tabela_registros[TIPO],DADOS!$AB$3,tabela_registros[CATEGORIA],investirrendafixaconsolidadoabr[[#This Row],[ATUAL]])</f>
        <v>0</v>
      </c>
      <c r="Q118" s="91">
        <f>SUMIFS(tabela_registros[VALOR],tabela_registros[MÊS],$AE$1,tabela_registros[DIA],investirrendafixaconsolidadoabr[[#Headers],[13]],tabela_registros[REGISTRO],DADOS!$N$5,tabela_registros[TIPO],DADOS!$AB$3,tabela_registros[CATEGORIA],investirrendafixaconsolidadoabr[[#This Row],[ATUAL]])</f>
        <v>0</v>
      </c>
      <c r="R118" s="91">
        <f>SUMIFS(tabela_registros[VALOR],tabela_registros[MÊS],$AE$1,tabela_registros[DIA],investirrendafixaconsolidadoabr[[#Headers],[14]],tabela_registros[REGISTRO],DADOS!$N$5,tabela_registros[TIPO],DADOS!$AB$3,tabela_registros[CATEGORIA],investirrendafixaconsolidadoabr[[#This Row],[ATUAL]])</f>
        <v>0</v>
      </c>
      <c r="S118" s="91">
        <f>SUMIFS(tabela_registros[VALOR],tabela_registros[MÊS],$AE$1,tabela_registros[DIA],investirrendafixaconsolidadoabr[[#Headers],[15]],tabela_registros[REGISTRO],DADOS!$N$5,tabela_registros[TIPO],DADOS!$AB$3,tabela_registros[CATEGORIA],investirrendafixaconsolidadoabr[[#This Row],[ATUAL]])</f>
        <v>0</v>
      </c>
      <c r="T118" s="91">
        <f>SUMIFS(tabela_registros[VALOR],tabela_registros[MÊS],$AE$1,tabela_registros[DIA],investirrendafixaconsolidadoabr[[#Headers],[16]],tabela_registros[REGISTRO],DADOS!$N$5,tabela_registros[TIPO],DADOS!$AB$3,tabela_registros[CATEGORIA],investirrendafixaconsolidadoabr[[#This Row],[ATUAL]])</f>
        <v>0</v>
      </c>
      <c r="U118" s="91">
        <f>SUMIFS(tabela_registros[VALOR],tabela_registros[MÊS],$AE$1,tabela_registros[DIA],investirrendafixaconsolidadoabr[[#Headers],[17]],tabela_registros[REGISTRO],DADOS!$N$5,tabela_registros[TIPO],DADOS!$AB$3,tabela_registros[CATEGORIA],investirrendafixaconsolidadoabr[[#This Row],[ATUAL]])</f>
        <v>0</v>
      </c>
      <c r="V118" s="91">
        <f>SUMIFS(tabela_registros[VALOR],tabela_registros[MÊS],$AE$1,tabela_registros[DIA],investirrendafixaconsolidadoabr[[#Headers],[18]],tabela_registros[REGISTRO],DADOS!$N$5,tabela_registros[TIPO],DADOS!$AB$3,tabela_registros[CATEGORIA],investirrendafixaconsolidadoabr[[#This Row],[ATUAL]])</f>
        <v>0</v>
      </c>
      <c r="W118" s="91">
        <f>SUMIFS(tabela_registros[VALOR],tabela_registros[MÊS],$AE$1,tabela_registros[DIA],investirrendafixaconsolidadoabr[[#Headers],[19]],tabela_registros[REGISTRO],DADOS!$N$5,tabela_registros[TIPO],DADOS!$AB$3,tabela_registros[CATEGORIA],investirrendafixaconsolidadoabr[[#This Row],[ATUAL]])</f>
        <v>0</v>
      </c>
      <c r="X118" s="91">
        <f>SUMIFS(tabela_registros[VALOR],tabela_registros[MÊS],$AE$1,tabela_registros[DIA],investirrendafixaconsolidadoabr[[#Headers],[20]],tabela_registros[REGISTRO],DADOS!$N$5,tabela_registros[TIPO],DADOS!$AB$3,tabela_registros[CATEGORIA],investirrendafixaconsolidadoabr[[#This Row],[ATUAL]])</f>
        <v>0</v>
      </c>
      <c r="Y118" s="91">
        <f>SUMIFS(tabela_registros[VALOR],tabela_registros[MÊS],$AE$1,tabela_registros[DIA],investirrendafixaconsolidadoabr[[#Headers],[21]],tabela_registros[REGISTRO],DADOS!$N$5,tabela_registros[TIPO],DADOS!$AB$3,tabela_registros[CATEGORIA],investirrendafixaconsolidadoabr[[#This Row],[ATUAL]])</f>
        <v>0</v>
      </c>
      <c r="Z118" s="91">
        <f>SUMIFS(tabela_registros[VALOR],tabela_registros[MÊS],$AE$1,tabela_registros[DIA],investirrendafixaconsolidadoabr[[#Headers],[22]],tabela_registros[REGISTRO],DADOS!$N$5,tabela_registros[TIPO],DADOS!$AB$3,tabela_registros[CATEGORIA],investirrendafixaconsolidadoabr[[#This Row],[ATUAL]])</f>
        <v>0</v>
      </c>
      <c r="AA118" s="91">
        <f>SUMIFS(tabela_registros[VALOR],tabela_registros[MÊS],$AE$1,tabela_registros[DIA],investirrendafixaconsolidadoabr[[#Headers],[23]],tabela_registros[REGISTRO],DADOS!$N$5,tabela_registros[TIPO],DADOS!$AB$3,tabela_registros[CATEGORIA],investirrendafixaconsolidadoabr[[#This Row],[ATUAL]])</f>
        <v>0</v>
      </c>
      <c r="AB118" s="91">
        <f>SUMIFS(tabela_registros[VALOR],tabela_registros[MÊS],$AE$1,tabela_registros[DIA],investirrendafixaconsolidadoabr[[#Headers],[24]],tabela_registros[REGISTRO],DADOS!$N$5,tabela_registros[TIPO],DADOS!$AB$3,tabela_registros[CATEGORIA],investirrendafixaconsolidadoabr[[#This Row],[ATUAL]])</f>
        <v>0</v>
      </c>
      <c r="AC118" s="91">
        <f>SUMIFS(tabela_registros[VALOR],tabela_registros[MÊS],$AE$1,tabela_registros[DIA],investirrendafixaconsolidadoabr[[#Headers],[25]],tabela_registros[REGISTRO],DADOS!$N$5,tabela_registros[TIPO],DADOS!$AB$3,tabela_registros[CATEGORIA],investirrendafixaconsolidadoabr[[#This Row],[ATUAL]])</f>
        <v>0</v>
      </c>
      <c r="AD118" s="91">
        <f>SUMIFS(tabela_registros[VALOR],tabela_registros[MÊS],$AE$1,tabela_registros[DIA],investirrendafixaconsolidadoabr[[#Headers],[26]],tabela_registros[REGISTRO],DADOS!$N$5,tabela_registros[TIPO],DADOS!$AB$3,tabela_registros[CATEGORIA],investirrendafixaconsolidadoabr[[#This Row],[ATUAL]])</f>
        <v>0</v>
      </c>
      <c r="AE118" s="91">
        <f>SUMIFS(tabela_registros[VALOR],tabela_registros[MÊS],$AE$1,tabela_registros[DIA],investirrendafixaconsolidadoabr[[#Headers],[27]],tabela_registros[REGISTRO],DADOS!$N$5,tabela_registros[TIPO],DADOS!$AB$3,tabela_registros[CATEGORIA],investirrendafixaconsolidadoabr[[#This Row],[ATUAL]])</f>
        <v>0</v>
      </c>
      <c r="AF118" s="91">
        <f>SUMIFS(tabela_registros[VALOR],tabela_registros[MÊS],$AE$1,tabela_registros[DIA],investirrendafixaconsolidadoabr[[#Headers],[28]],tabela_registros[REGISTRO],DADOS!$N$5,tabela_registros[TIPO],DADOS!$AB$3,tabela_registros[CATEGORIA],investirrendafixaconsolidadoabr[[#This Row],[ATUAL]])</f>
        <v>0</v>
      </c>
      <c r="AG118" s="91">
        <f>SUMIFS(tabela_registros[VALOR],tabela_registros[MÊS],$AE$1,tabela_registros[DIA],investirrendafixaconsolidadoabr[[#Headers],[29]],tabela_registros[REGISTRO],DADOS!$N$5,tabela_registros[TIPO],DADOS!$AB$3,tabela_registros[CATEGORIA],investirrendafixaconsolidadoabr[[#This Row],[ATUAL]])</f>
        <v>0</v>
      </c>
      <c r="AH118" s="91">
        <f>SUMIFS(tabela_registros[VALOR],tabela_registros[MÊS],$AE$1,tabela_registros[DIA],investirrendafixaconsolidadoabr[[#Headers],[30]],tabela_registros[REGISTRO],DADOS!$N$5,tabela_registros[TIPO],DADOS!$AB$3,tabela_registros[CATEGORIA],investirrendafixaconsolidadoabr[[#This Row],[ATUAL]])</f>
        <v>0</v>
      </c>
      <c r="AI118" s="101">
        <f>SUMIFS(tabela_registros[VALOR],tabela_registros[MÊS],$AE$1,tabela_registros[DIA],investirrendafixaconsolidadoabr[[#Headers],[31]],tabela_registros[REGISTRO],DADOS!$N$5,tabela_registros[TIPO],DADOS!$AB$3,tabela_registros[CATEGORIA],investirrendafixaconsolidadoabr[[#This Row],[ATUAL]])</f>
        <v>0</v>
      </c>
      <c r="AJ118" s="97">
        <f>SUM(investirrendafixaconsolidadoabr[[#This Row],[1]:[31]])</f>
        <v>0</v>
      </c>
      <c r="AK118" s="25"/>
    </row>
    <row r="119" spans="2:37" ht="19.5" customHeight="1" thickTop="1" thickBot="1" x14ac:dyDescent="0.3">
      <c r="B119" s="28"/>
      <c r="C119" s="27" t="str">
        <f>DADOS!$AD$9</f>
        <v>📝 LCA</v>
      </c>
      <c r="D119" s="26" t="str">
        <f>IF(investirrendafixaconsolidadoabr[[#This Row],[TOTAL (R$)]]=0,"",IF(OR(investirrendafixaconsolidadoabr[[#This Row],[TOTAL (R$)]]=LARGE($AJ$113:$AJ$122,1),investirrendafixaconsolidadoabr[[#This Row],[TOTAL (R$)]]=LARGE($AJ$113:$AJ$122,2)),DADOS!$I$10,""))</f>
        <v/>
      </c>
      <c r="E119" s="96">
        <f>SUMIFS(tabela_registros[VALOR],tabela_registros[MÊS],$AE$1,tabela_registros[DIA],investirrendafixaconsolidadoabr[[#Headers],[1]],tabela_registros[REGISTRO],DADOS!$N$5,tabela_registros[TIPO],DADOS!$AB$3,tabela_registros[CATEGORIA],investirrendafixaconsolidadoabr[[#This Row],[ATUAL]])</f>
        <v>0</v>
      </c>
      <c r="F119" s="91">
        <f>SUMIFS(tabela_registros[VALOR],tabela_registros[MÊS],$AE$1,tabela_registros[DIA],investirrendafixaconsolidadoabr[[#Headers],[2]],tabela_registros[REGISTRO],DADOS!$N$5,tabela_registros[TIPO],DADOS!$AB$3,tabela_registros[CATEGORIA],investirrendafixaconsolidadoabr[[#This Row],[ATUAL]])</f>
        <v>0</v>
      </c>
      <c r="G119" s="91">
        <f>SUMIFS(tabela_registros[VALOR],tabela_registros[MÊS],$AE$1,tabela_registros[DIA],investirrendafixaconsolidadoabr[[#Headers],[3]],tabela_registros[REGISTRO],DADOS!$N$5,tabela_registros[TIPO],DADOS!$AB$3,tabela_registros[CATEGORIA],investirrendafixaconsolidadoabr[[#This Row],[ATUAL]])</f>
        <v>0</v>
      </c>
      <c r="H119" s="91">
        <f>SUMIFS(tabela_registros[VALOR],tabela_registros[MÊS],$AE$1,tabela_registros[DIA],investirrendafixaconsolidadoabr[[#Headers],[4]],tabela_registros[REGISTRO],DADOS!$N$5,tabela_registros[TIPO],DADOS!$AB$3,tabela_registros[CATEGORIA],investirrendafixaconsolidadoabr[[#This Row],[ATUAL]])</f>
        <v>0</v>
      </c>
      <c r="I119" s="91">
        <f>SUMIFS(tabela_registros[VALOR],tabela_registros[MÊS],$AE$1,tabela_registros[DIA],investirrendafixaconsolidadoabr[[#Headers],[5]],tabela_registros[REGISTRO],DADOS!$N$5,tabela_registros[TIPO],DADOS!$AB$3,tabela_registros[CATEGORIA],investirrendafixaconsolidadoabr[[#This Row],[ATUAL]])</f>
        <v>0</v>
      </c>
      <c r="J119" s="91">
        <f>SUMIFS(tabela_registros[VALOR],tabela_registros[MÊS],$AE$1,tabela_registros[DIA],investirrendafixaconsolidadoabr[[#Headers],[6]],tabela_registros[REGISTRO],DADOS!$N$5,tabela_registros[TIPO],DADOS!$AB$3,tabela_registros[CATEGORIA],investirrendafixaconsolidadoabr[[#This Row],[ATUAL]])</f>
        <v>0</v>
      </c>
      <c r="K119" s="91">
        <f>SUMIFS(tabela_registros[VALOR],tabela_registros[MÊS],$AE$1,tabela_registros[DIA],investirrendafixaconsolidadoabr[[#Headers],[7]],tabela_registros[REGISTRO],DADOS!$N$5,tabela_registros[TIPO],DADOS!$AB$3,tabela_registros[CATEGORIA],investirrendafixaconsolidadoabr[[#This Row],[ATUAL]])</f>
        <v>0</v>
      </c>
      <c r="L119" s="91">
        <f>SUMIFS(tabela_registros[VALOR],tabela_registros[MÊS],$AE$1,tabela_registros[DIA],investirrendafixaconsolidadoabr[[#Headers],[8]],tabela_registros[REGISTRO],DADOS!$N$5,tabela_registros[TIPO],DADOS!$AB$3,tabela_registros[CATEGORIA],investirrendafixaconsolidadoabr[[#This Row],[ATUAL]])</f>
        <v>0</v>
      </c>
      <c r="M119" s="91">
        <f>SUMIFS(tabela_registros[VALOR],tabela_registros[MÊS],$AE$1,tabela_registros[DIA],investirrendafixaconsolidadoabr[[#Headers],[9]],tabela_registros[REGISTRO],DADOS!$N$5,tabela_registros[TIPO],DADOS!$AB$3,tabela_registros[CATEGORIA],investirrendafixaconsolidadoabr[[#This Row],[ATUAL]])</f>
        <v>0</v>
      </c>
      <c r="N119" s="91">
        <f>SUMIFS(tabela_registros[VALOR],tabela_registros[MÊS],$AE$1,tabela_registros[DIA],investirrendafixaconsolidadoabr[[#Headers],[10]],tabela_registros[REGISTRO],DADOS!$N$5,tabela_registros[TIPO],DADOS!$AB$3,tabela_registros[CATEGORIA],investirrendafixaconsolidadoabr[[#This Row],[ATUAL]])</f>
        <v>0</v>
      </c>
      <c r="O119" s="91">
        <f>SUMIFS(tabela_registros[VALOR],tabela_registros[MÊS],$AE$1,tabela_registros[DIA],investirrendafixaconsolidadoabr[[#Headers],[11]],tabela_registros[REGISTRO],DADOS!$N$5,tabela_registros[TIPO],DADOS!$AB$3,tabela_registros[CATEGORIA],investirrendafixaconsolidadoabr[[#This Row],[ATUAL]])</f>
        <v>0</v>
      </c>
      <c r="P119" s="91">
        <f>SUMIFS(tabela_registros[VALOR],tabela_registros[MÊS],$AE$1,tabela_registros[DIA],investirrendafixaconsolidadoabr[[#Headers],[12]],tabela_registros[REGISTRO],DADOS!$N$5,tabela_registros[TIPO],DADOS!$AB$3,tabela_registros[CATEGORIA],investirrendafixaconsolidadoabr[[#This Row],[ATUAL]])</f>
        <v>0</v>
      </c>
      <c r="Q119" s="91">
        <f>SUMIFS(tabela_registros[VALOR],tabela_registros[MÊS],$AE$1,tabela_registros[DIA],investirrendafixaconsolidadoabr[[#Headers],[13]],tabela_registros[REGISTRO],DADOS!$N$5,tabela_registros[TIPO],DADOS!$AB$3,tabela_registros[CATEGORIA],investirrendafixaconsolidadoabr[[#This Row],[ATUAL]])</f>
        <v>0</v>
      </c>
      <c r="R119" s="91">
        <f>SUMIFS(tabela_registros[VALOR],tabela_registros[MÊS],$AE$1,tabela_registros[DIA],investirrendafixaconsolidadoabr[[#Headers],[14]],tabela_registros[REGISTRO],DADOS!$N$5,tabela_registros[TIPO],DADOS!$AB$3,tabela_registros[CATEGORIA],investirrendafixaconsolidadoabr[[#This Row],[ATUAL]])</f>
        <v>0</v>
      </c>
      <c r="S119" s="91">
        <f>SUMIFS(tabela_registros[VALOR],tabela_registros[MÊS],$AE$1,tabela_registros[DIA],investirrendafixaconsolidadoabr[[#Headers],[15]],tabela_registros[REGISTRO],DADOS!$N$5,tabela_registros[TIPO],DADOS!$AB$3,tabela_registros[CATEGORIA],investirrendafixaconsolidadoabr[[#This Row],[ATUAL]])</f>
        <v>0</v>
      </c>
      <c r="T119" s="91">
        <f>SUMIFS(tabela_registros[VALOR],tabela_registros[MÊS],$AE$1,tabela_registros[DIA],investirrendafixaconsolidadoabr[[#Headers],[16]],tabela_registros[REGISTRO],DADOS!$N$5,tabela_registros[TIPO],DADOS!$AB$3,tabela_registros[CATEGORIA],investirrendafixaconsolidadoabr[[#This Row],[ATUAL]])</f>
        <v>0</v>
      </c>
      <c r="U119" s="91">
        <f>SUMIFS(tabela_registros[VALOR],tabela_registros[MÊS],$AE$1,tabela_registros[DIA],investirrendafixaconsolidadoabr[[#Headers],[17]],tabela_registros[REGISTRO],DADOS!$N$5,tabela_registros[TIPO],DADOS!$AB$3,tabela_registros[CATEGORIA],investirrendafixaconsolidadoabr[[#This Row],[ATUAL]])</f>
        <v>0</v>
      </c>
      <c r="V119" s="91">
        <f>SUMIFS(tabela_registros[VALOR],tabela_registros[MÊS],$AE$1,tabela_registros[DIA],investirrendafixaconsolidadoabr[[#Headers],[18]],tabela_registros[REGISTRO],DADOS!$N$5,tabela_registros[TIPO],DADOS!$AB$3,tabela_registros[CATEGORIA],investirrendafixaconsolidadoabr[[#This Row],[ATUAL]])</f>
        <v>0</v>
      </c>
      <c r="W119" s="91">
        <f>SUMIFS(tabela_registros[VALOR],tabela_registros[MÊS],$AE$1,tabela_registros[DIA],investirrendafixaconsolidadoabr[[#Headers],[19]],tabela_registros[REGISTRO],DADOS!$N$5,tabela_registros[TIPO],DADOS!$AB$3,tabela_registros[CATEGORIA],investirrendafixaconsolidadoabr[[#This Row],[ATUAL]])</f>
        <v>0</v>
      </c>
      <c r="X119" s="91">
        <f>SUMIFS(tabela_registros[VALOR],tabela_registros[MÊS],$AE$1,tabela_registros[DIA],investirrendafixaconsolidadoabr[[#Headers],[20]],tabela_registros[REGISTRO],DADOS!$N$5,tabela_registros[TIPO],DADOS!$AB$3,tabela_registros[CATEGORIA],investirrendafixaconsolidadoabr[[#This Row],[ATUAL]])</f>
        <v>0</v>
      </c>
      <c r="Y119" s="91">
        <f>SUMIFS(tabela_registros[VALOR],tabela_registros[MÊS],$AE$1,tabela_registros[DIA],investirrendafixaconsolidadoabr[[#Headers],[21]],tabela_registros[REGISTRO],DADOS!$N$5,tabela_registros[TIPO],DADOS!$AB$3,tabela_registros[CATEGORIA],investirrendafixaconsolidadoabr[[#This Row],[ATUAL]])</f>
        <v>0</v>
      </c>
      <c r="Z119" s="91">
        <f>SUMIFS(tabela_registros[VALOR],tabela_registros[MÊS],$AE$1,tabela_registros[DIA],investirrendafixaconsolidadoabr[[#Headers],[22]],tabela_registros[REGISTRO],DADOS!$N$5,tabela_registros[TIPO],DADOS!$AB$3,tabela_registros[CATEGORIA],investirrendafixaconsolidadoabr[[#This Row],[ATUAL]])</f>
        <v>0</v>
      </c>
      <c r="AA119" s="91">
        <f>SUMIFS(tabela_registros[VALOR],tabela_registros[MÊS],$AE$1,tabela_registros[DIA],investirrendafixaconsolidadoabr[[#Headers],[23]],tabela_registros[REGISTRO],DADOS!$N$5,tabela_registros[TIPO],DADOS!$AB$3,tabela_registros[CATEGORIA],investirrendafixaconsolidadoabr[[#This Row],[ATUAL]])</f>
        <v>0</v>
      </c>
      <c r="AB119" s="91">
        <f>SUMIFS(tabela_registros[VALOR],tabela_registros[MÊS],$AE$1,tabela_registros[DIA],investirrendafixaconsolidadoabr[[#Headers],[24]],tabela_registros[REGISTRO],DADOS!$N$5,tabela_registros[TIPO],DADOS!$AB$3,tabela_registros[CATEGORIA],investirrendafixaconsolidadoabr[[#This Row],[ATUAL]])</f>
        <v>0</v>
      </c>
      <c r="AC119" s="91">
        <f>SUMIFS(tabela_registros[VALOR],tabela_registros[MÊS],$AE$1,tabela_registros[DIA],investirrendafixaconsolidadoabr[[#Headers],[25]],tabela_registros[REGISTRO],DADOS!$N$5,tabela_registros[TIPO],DADOS!$AB$3,tabela_registros[CATEGORIA],investirrendafixaconsolidadoabr[[#This Row],[ATUAL]])</f>
        <v>0</v>
      </c>
      <c r="AD119" s="91">
        <f>SUMIFS(tabela_registros[VALOR],tabela_registros[MÊS],$AE$1,tabela_registros[DIA],investirrendafixaconsolidadoabr[[#Headers],[26]],tabela_registros[REGISTRO],DADOS!$N$5,tabela_registros[TIPO],DADOS!$AB$3,tabela_registros[CATEGORIA],investirrendafixaconsolidadoabr[[#This Row],[ATUAL]])</f>
        <v>0</v>
      </c>
      <c r="AE119" s="91">
        <f>SUMIFS(tabela_registros[VALOR],tabela_registros[MÊS],$AE$1,tabela_registros[DIA],investirrendafixaconsolidadoabr[[#Headers],[27]],tabela_registros[REGISTRO],DADOS!$N$5,tabela_registros[TIPO],DADOS!$AB$3,tabela_registros[CATEGORIA],investirrendafixaconsolidadoabr[[#This Row],[ATUAL]])</f>
        <v>0</v>
      </c>
      <c r="AF119" s="91">
        <f>SUMIFS(tabela_registros[VALOR],tabela_registros[MÊS],$AE$1,tabela_registros[DIA],investirrendafixaconsolidadoabr[[#Headers],[28]],tabela_registros[REGISTRO],DADOS!$N$5,tabela_registros[TIPO],DADOS!$AB$3,tabela_registros[CATEGORIA],investirrendafixaconsolidadoabr[[#This Row],[ATUAL]])</f>
        <v>0</v>
      </c>
      <c r="AG119" s="91">
        <f>SUMIFS(tabela_registros[VALOR],tabela_registros[MÊS],$AE$1,tabela_registros[DIA],investirrendafixaconsolidadoabr[[#Headers],[29]],tabela_registros[REGISTRO],DADOS!$N$5,tabela_registros[TIPO],DADOS!$AB$3,tabela_registros[CATEGORIA],investirrendafixaconsolidadoabr[[#This Row],[ATUAL]])</f>
        <v>0</v>
      </c>
      <c r="AH119" s="91">
        <f>SUMIFS(tabela_registros[VALOR],tabela_registros[MÊS],$AE$1,tabela_registros[DIA],investirrendafixaconsolidadoabr[[#Headers],[30]],tabela_registros[REGISTRO],DADOS!$N$5,tabela_registros[TIPO],DADOS!$AB$3,tabela_registros[CATEGORIA],investirrendafixaconsolidadoabr[[#This Row],[ATUAL]])</f>
        <v>0</v>
      </c>
      <c r="AI119" s="101">
        <f>SUMIFS(tabela_registros[VALOR],tabela_registros[MÊS],$AE$1,tabela_registros[DIA],investirrendafixaconsolidadoabr[[#Headers],[31]],tabela_registros[REGISTRO],DADOS!$N$5,tabela_registros[TIPO],DADOS!$AB$3,tabela_registros[CATEGORIA],investirrendafixaconsolidadoabr[[#This Row],[ATUAL]])</f>
        <v>0</v>
      </c>
      <c r="AJ119" s="97">
        <f>SUM(investirrendafixaconsolidadoabr[[#This Row],[1]:[31]])</f>
        <v>0</v>
      </c>
      <c r="AK119" s="25"/>
    </row>
    <row r="120" spans="2:37" ht="19.5" customHeight="1" thickTop="1" thickBot="1" x14ac:dyDescent="0.3">
      <c r="B120" s="28"/>
      <c r="C120" s="27" t="str">
        <f>DADOS!$AD$10</f>
        <v>📝 LCI</v>
      </c>
      <c r="D120" s="26" t="str">
        <f>IF(investirrendafixaconsolidadoabr[[#This Row],[TOTAL (R$)]]=0,"",IF(OR(investirrendafixaconsolidadoabr[[#This Row],[TOTAL (R$)]]=LARGE($AJ$113:$AJ$122,1),investirrendafixaconsolidadoabr[[#This Row],[TOTAL (R$)]]=LARGE($AJ$113:$AJ$122,2)),DADOS!$I$10,""))</f>
        <v/>
      </c>
      <c r="E120" s="96">
        <f>SUMIFS(tabela_registros[VALOR],tabela_registros[MÊS],$AE$1,tabela_registros[DIA],investirrendafixaconsolidadoabr[[#Headers],[1]],tabela_registros[REGISTRO],DADOS!$N$5,tabela_registros[TIPO],DADOS!$AB$3,tabela_registros[CATEGORIA],investirrendafixaconsolidadoabr[[#This Row],[ATUAL]])</f>
        <v>0</v>
      </c>
      <c r="F120" s="91">
        <f>SUMIFS(tabela_registros[VALOR],tabela_registros[MÊS],$AE$1,tabela_registros[DIA],investirrendafixaconsolidadoabr[[#Headers],[2]],tabela_registros[REGISTRO],DADOS!$N$5,tabela_registros[TIPO],DADOS!$AB$3,tabela_registros[CATEGORIA],investirrendafixaconsolidadoabr[[#This Row],[ATUAL]])</f>
        <v>0</v>
      </c>
      <c r="G120" s="91">
        <f>SUMIFS(tabela_registros[VALOR],tabela_registros[MÊS],$AE$1,tabela_registros[DIA],investirrendafixaconsolidadoabr[[#Headers],[3]],tabela_registros[REGISTRO],DADOS!$N$5,tabela_registros[TIPO],DADOS!$AB$3,tabela_registros[CATEGORIA],investirrendafixaconsolidadoabr[[#This Row],[ATUAL]])</f>
        <v>0</v>
      </c>
      <c r="H120" s="91">
        <f>SUMIFS(tabela_registros[VALOR],tabela_registros[MÊS],$AE$1,tabela_registros[DIA],investirrendafixaconsolidadoabr[[#Headers],[4]],tabela_registros[REGISTRO],DADOS!$N$5,tabela_registros[TIPO],DADOS!$AB$3,tabela_registros[CATEGORIA],investirrendafixaconsolidadoabr[[#This Row],[ATUAL]])</f>
        <v>0</v>
      </c>
      <c r="I120" s="91">
        <f>SUMIFS(tabela_registros[VALOR],tabela_registros[MÊS],$AE$1,tabela_registros[DIA],investirrendafixaconsolidadoabr[[#Headers],[5]],tabela_registros[REGISTRO],DADOS!$N$5,tabela_registros[TIPO],DADOS!$AB$3,tabela_registros[CATEGORIA],investirrendafixaconsolidadoabr[[#This Row],[ATUAL]])</f>
        <v>0</v>
      </c>
      <c r="J120" s="91">
        <f>SUMIFS(tabela_registros[VALOR],tabela_registros[MÊS],$AE$1,tabela_registros[DIA],investirrendafixaconsolidadoabr[[#Headers],[6]],tabela_registros[REGISTRO],DADOS!$N$5,tabela_registros[TIPO],DADOS!$AB$3,tabela_registros[CATEGORIA],investirrendafixaconsolidadoabr[[#This Row],[ATUAL]])</f>
        <v>0</v>
      </c>
      <c r="K120" s="91">
        <f>SUMIFS(tabela_registros[VALOR],tabela_registros[MÊS],$AE$1,tabela_registros[DIA],investirrendafixaconsolidadoabr[[#Headers],[7]],tabela_registros[REGISTRO],DADOS!$N$5,tabela_registros[TIPO],DADOS!$AB$3,tabela_registros[CATEGORIA],investirrendafixaconsolidadoabr[[#This Row],[ATUAL]])</f>
        <v>0</v>
      </c>
      <c r="L120" s="91">
        <f>SUMIFS(tabela_registros[VALOR],tabela_registros[MÊS],$AE$1,tabela_registros[DIA],investirrendafixaconsolidadoabr[[#Headers],[8]],tabela_registros[REGISTRO],DADOS!$N$5,tabela_registros[TIPO],DADOS!$AB$3,tabela_registros[CATEGORIA],investirrendafixaconsolidadoabr[[#This Row],[ATUAL]])</f>
        <v>0</v>
      </c>
      <c r="M120" s="91">
        <f>SUMIFS(tabela_registros[VALOR],tabela_registros[MÊS],$AE$1,tabela_registros[DIA],investirrendafixaconsolidadoabr[[#Headers],[9]],tabela_registros[REGISTRO],DADOS!$N$5,tabela_registros[TIPO],DADOS!$AB$3,tabela_registros[CATEGORIA],investirrendafixaconsolidadoabr[[#This Row],[ATUAL]])</f>
        <v>0</v>
      </c>
      <c r="N120" s="91">
        <f>SUMIFS(tabela_registros[VALOR],tabela_registros[MÊS],$AE$1,tabela_registros[DIA],investirrendafixaconsolidadoabr[[#Headers],[10]],tabela_registros[REGISTRO],DADOS!$N$5,tabela_registros[TIPO],DADOS!$AB$3,tabela_registros[CATEGORIA],investirrendafixaconsolidadoabr[[#This Row],[ATUAL]])</f>
        <v>0</v>
      </c>
      <c r="O120" s="91">
        <f>SUMIFS(tabela_registros[VALOR],tabela_registros[MÊS],$AE$1,tabela_registros[DIA],investirrendafixaconsolidadoabr[[#Headers],[11]],tabela_registros[REGISTRO],DADOS!$N$5,tabela_registros[TIPO],DADOS!$AB$3,tabela_registros[CATEGORIA],investirrendafixaconsolidadoabr[[#This Row],[ATUAL]])</f>
        <v>0</v>
      </c>
      <c r="P120" s="91">
        <f>SUMIFS(tabela_registros[VALOR],tabela_registros[MÊS],$AE$1,tabela_registros[DIA],investirrendafixaconsolidadoabr[[#Headers],[12]],tabela_registros[REGISTRO],DADOS!$N$5,tabela_registros[TIPO],DADOS!$AB$3,tabela_registros[CATEGORIA],investirrendafixaconsolidadoabr[[#This Row],[ATUAL]])</f>
        <v>0</v>
      </c>
      <c r="Q120" s="91">
        <f>SUMIFS(tabela_registros[VALOR],tabela_registros[MÊS],$AE$1,tabela_registros[DIA],investirrendafixaconsolidadoabr[[#Headers],[13]],tabela_registros[REGISTRO],DADOS!$N$5,tabela_registros[TIPO],DADOS!$AB$3,tabela_registros[CATEGORIA],investirrendafixaconsolidadoabr[[#This Row],[ATUAL]])</f>
        <v>0</v>
      </c>
      <c r="R120" s="91">
        <f>SUMIFS(tabela_registros[VALOR],tabela_registros[MÊS],$AE$1,tabela_registros[DIA],investirrendafixaconsolidadoabr[[#Headers],[14]],tabela_registros[REGISTRO],DADOS!$N$5,tabela_registros[TIPO],DADOS!$AB$3,tabela_registros[CATEGORIA],investirrendafixaconsolidadoabr[[#This Row],[ATUAL]])</f>
        <v>0</v>
      </c>
      <c r="S120" s="91">
        <f>SUMIFS(tabela_registros[VALOR],tabela_registros[MÊS],$AE$1,tabela_registros[DIA],investirrendafixaconsolidadoabr[[#Headers],[15]],tabela_registros[REGISTRO],DADOS!$N$5,tabela_registros[TIPO],DADOS!$AB$3,tabela_registros[CATEGORIA],investirrendafixaconsolidadoabr[[#This Row],[ATUAL]])</f>
        <v>0</v>
      </c>
      <c r="T120" s="91">
        <f>SUMIFS(tabela_registros[VALOR],tabela_registros[MÊS],$AE$1,tabela_registros[DIA],investirrendafixaconsolidadoabr[[#Headers],[16]],tabela_registros[REGISTRO],DADOS!$N$5,tabela_registros[TIPO],DADOS!$AB$3,tabela_registros[CATEGORIA],investirrendafixaconsolidadoabr[[#This Row],[ATUAL]])</f>
        <v>0</v>
      </c>
      <c r="U120" s="91">
        <f>SUMIFS(tabela_registros[VALOR],tabela_registros[MÊS],$AE$1,tabela_registros[DIA],investirrendafixaconsolidadoabr[[#Headers],[17]],tabela_registros[REGISTRO],DADOS!$N$5,tabela_registros[TIPO],DADOS!$AB$3,tabela_registros[CATEGORIA],investirrendafixaconsolidadoabr[[#This Row],[ATUAL]])</f>
        <v>0</v>
      </c>
      <c r="V120" s="91">
        <f>SUMIFS(tabela_registros[VALOR],tabela_registros[MÊS],$AE$1,tabela_registros[DIA],investirrendafixaconsolidadoabr[[#Headers],[18]],tabela_registros[REGISTRO],DADOS!$N$5,tabela_registros[TIPO],DADOS!$AB$3,tabela_registros[CATEGORIA],investirrendafixaconsolidadoabr[[#This Row],[ATUAL]])</f>
        <v>0</v>
      </c>
      <c r="W120" s="91">
        <f>SUMIFS(tabela_registros[VALOR],tabela_registros[MÊS],$AE$1,tabela_registros[DIA],investirrendafixaconsolidadoabr[[#Headers],[19]],tabela_registros[REGISTRO],DADOS!$N$5,tabela_registros[TIPO],DADOS!$AB$3,tabela_registros[CATEGORIA],investirrendafixaconsolidadoabr[[#This Row],[ATUAL]])</f>
        <v>0</v>
      </c>
      <c r="X120" s="91">
        <f>SUMIFS(tabela_registros[VALOR],tabela_registros[MÊS],$AE$1,tabela_registros[DIA],investirrendafixaconsolidadoabr[[#Headers],[20]],tabela_registros[REGISTRO],DADOS!$N$5,tabela_registros[TIPO],DADOS!$AB$3,tabela_registros[CATEGORIA],investirrendafixaconsolidadoabr[[#This Row],[ATUAL]])</f>
        <v>0</v>
      </c>
      <c r="Y120" s="91">
        <f>SUMIFS(tabela_registros[VALOR],tabela_registros[MÊS],$AE$1,tabela_registros[DIA],investirrendafixaconsolidadoabr[[#Headers],[21]],tabela_registros[REGISTRO],DADOS!$N$5,tabela_registros[TIPO],DADOS!$AB$3,tabela_registros[CATEGORIA],investirrendafixaconsolidadoabr[[#This Row],[ATUAL]])</f>
        <v>0</v>
      </c>
      <c r="Z120" s="91">
        <f>SUMIFS(tabela_registros[VALOR],tabela_registros[MÊS],$AE$1,tabela_registros[DIA],investirrendafixaconsolidadoabr[[#Headers],[22]],tabela_registros[REGISTRO],DADOS!$N$5,tabela_registros[TIPO],DADOS!$AB$3,tabela_registros[CATEGORIA],investirrendafixaconsolidadoabr[[#This Row],[ATUAL]])</f>
        <v>0</v>
      </c>
      <c r="AA120" s="91">
        <f>SUMIFS(tabela_registros[VALOR],tabela_registros[MÊS],$AE$1,tabela_registros[DIA],investirrendafixaconsolidadoabr[[#Headers],[23]],tabela_registros[REGISTRO],DADOS!$N$5,tabela_registros[TIPO],DADOS!$AB$3,tabela_registros[CATEGORIA],investirrendafixaconsolidadoabr[[#This Row],[ATUAL]])</f>
        <v>0</v>
      </c>
      <c r="AB120" s="91">
        <f>SUMIFS(tabela_registros[VALOR],tabela_registros[MÊS],$AE$1,tabela_registros[DIA],investirrendafixaconsolidadoabr[[#Headers],[24]],tabela_registros[REGISTRO],DADOS!$N$5,tabela_registros[TIPO],DADOS!$AB$3,tabela_registros[CATEGORIA],investirrendafixaconsolidadoabr[[#This Row],[ATUAL]])</f>
        <v>0</v>
      </c>
      <c r="AC120" s="91">
        <f>SUMIFS(tabela_registros[VALOR],tabela_registros[MÊS],$AE$1,tabela_registros[DIA],investirrendafixaconsolidadoabr[[#Headers],[25]],tabela_registros[REGISTRO],DADOS!$N$5,tabela_registros[TIPO],DADOS!$AB$3,tabela_registros[CATEGORIA],investirrendafixaconsolidadoabr[[#This Row],[ATUAL]])</f>
        <v>0</v>
      </c>
      <c r="AD120" s="91">
        <f>SUMIFS(tabela_registros[VALOR],tabela_registros[MÊS],$AE$1,tabela_registros[DIA],investirrendafixaconsolidadoabr[[#Headers],[26]],tabela_registros[REGISTRO],DADOS!$N$5,tabela_registros[TIPO],DADOS!$AB$3,tabela_registros[CATEGORIA],investirrendafixaconsolidadoabr[[#This Row],[ATUAL]])</f>
        <v>0</v>
      </c>
      <c r="AE120" s="91">
        <f>SUMIFS(tabela_registros[VALOR],tabela_registros[MÊS],$AE$1,tabela_registros[DIA],investirrendafixaconsolidadoabr[[#Headers],[27]],tabela_registros[REGISTRO],DADOS!$N$5,tabela_registros[TIPO],DADOS!$AB$3,tabela_registros[CATEGORIA],investirrendafixaconsolidadoabr[[#This Row],[ATUAL]])</f>
        <v>0</v>
      </c>
      <c r="AF120" s="91">
        <f>SUMIFS(tabela_registros[VALOR],tabela_registros[MÊS],$AE$1,tabela_registros[DIA],investirrendafixaconsolidadoabr[[#Headers],[28]],tabela_registros[REGISTRO],DADOS!$N$5,tabela_registros[TIPO],DADOS!$AB$3,tabela_registros[CATEGORIA],investirrendafixaconsolidadoabr[[#This Row],[ATUAL]])</f>
        <v>0</v>
      </c>
      <c r="AG120" s="91">
        <f>SUMIFS(tabela_registros[VALOR],tabela_registros[MÊS],$AE$1,tabela_registros[DIA],investirrendafixaconsolidadoabr[[#Headers],[29]],tabela_registros[REGISTRO],DADOS!$N$5,tabela_registros[TIPO],DADOS!$AB$3,tabela_registros[CATEGORIA],investirrendafixaconsolidadoabr[[#This Row],[ATUAL]])</f>
        <v>0</v>
      </c>
      <c r="AH120" s="91">
        <f>SUMIFS(tabela_registros[VALOR],tabela_registros[MÊS],$AE$1,tabela_registros[DIA],investirrendafixaconsolidadoabr[[#Headers],[30]],tabela_registros[REGISTRO],DADOS!$N$5,tabela_registros[TIPO],DADOS!$AB$3,tabela_registros[CATEGORIA],investirrendafixaconsolidadoabr[[#This Row],[ATUAL]])</f>
        <v>0</v>
      </c>
      <c r="AI120" s="101">
        <f>SUMIFS(tabela_registros[VALOR],tabela_registros[MÊS],$AE$1,tabela_registros[DIA],investirrendafixaconsolidadoabr[[#Headers],[31]],tabela_registros[REGISTRO],DADOS!$N$5,tabela_registros[TIPO],DADOS!$AB$3,tabela_registros[CATEGORIA],investirrendafixaconsolidadoabr[[#This Row],[ATUAL]])</f>
        <v>0</v>
      </c>
      <c r="AJ120" s="97">
        <f>SUM(investirrendafixaconsolidadoabr[[#This Row],[1]:[31]])</f>
        <v>0</v>
      </c>
      <c r="AK120" s="25"/>
    </row>
    <row r="121" spans="2:37" ht="19.5" customHeight="1" thickTop="1" thickBot="1" x14ac:dyDescent="0.3">
      <c r="B121" s="28"/>
      <c r="C121" s="27" t="str">
        <f>DADOS!$AD$11</f>
        <v>📝 TESOURO DIRETO</v>
      </c>
      <c r="D121" s="26" t="str">
        <f>IF(investirrendafixaconsolidadoabr[[#This Row],[TOTAL (R$)]]=0,"",IF(OR(investirrendafixaconsolidadoabr[[#This Row],[TOTAL (R$)]]=LARGE($AJ$113:$AJ$122,1),investirrendafixaconsolidadoabr[[#This Row],[TOTAL (R$)]]=LARGE($AJ$113:$AJ$122,2)),DADOS!$I$10,""))</f>
        <v/>
      </c>
      <c r="E121" s="96">
        <f>SUMIFS(tabela_registros[VALOR],tabela_registros[MÊS],$AE$1,tabela_registros[DIA],investirrendafixaconsolidadoabr[[#Headers],[1]],tabela_registros[REGISTRO],DADOS!$N$5,tabela_registros[TIPO],DADOS!$AB$3,tabela_registros[CATEGORIA],investirrendafixaconsolidadoabr[[#This Row],[ATUAL]])</f>
        <v>0</v>
      </c>
      <c r="F121" s="91">
        <f>SUMIFS(tabela_registros[VALOR],tabela_registros[MÊS],$AE$1,tabela_registros[DIA],investirrendafixaconsolidadoabr[[#Headers],[2]],tabela_registros[REGISTRO],DADOS!$N$5,tabela_registros[TIPO],DADOS!$AB$3,tabela_registros[CATEGORIA],investirrendafixaconsolidadoabr[[#This Row],[ATUAL]])</f>
        <v>0</v>
      </c>
      <c r="G121" s="91">
        <f>SUMIFS(tabela_registros[VALOR],tabela_registros[MÊS],$AE$1,tabela_registros[DIA],investirrendafixaconsolidadoabr[[#Headers],[3]],tabela_registros[REGISTRO],DADOS!$N$5,tabela_registros[TIPO],DADOS!$AB$3,tabela_registros[CATEGORIA],investirrendafixaconsolidadoabr[[#This Row],[ATUAL]])</f>
        <v>0</v>
      </c>
      <c r="H121" s="91">
        <f>SUMIFS(tabela_registros[VALOR],tabela_registros[MÊS],$AE$1,tabela_registros[DIA],investirrendafixaconsolidadoabr[[#Headers],[4]],tabela_registros[REGISTRO],DADOS!$N$5,tabela_registros[TIPO],DADOS!$AB$3,tabela_registros[CATEGORIA],investirrendafixaconsolidadoabr[[#This Row],[ATUAL]])</f>
        <v>0</v>
      </c>
      <c r="I121" s="91">
        <f>SUMIFS(tabela_registros[VALOR],tabela_registros[MÊS],$AE$1,tabela_registros[DIA],investirrendafixaconsolidadoabr[[#Headers],[5]],tabela_registros[REGISTRO],DADOS!$N$5,tabela_registros[TIPO],DADOS!$AB$3,tabela_registros[CATEGORIA],investirrendafixaconsolidadoabr[[#This Row],[ATUAL]])</f>
        <v>0</v>
      </c>
      <c r="J121" s="91">
        <f>SUMIFS(tabela_registros[VALOR],tabela_registros[MÊS],$AE$1,tabela_registros[DIA],investirrendafixaconsolidadoabr[[#Headers],[6]],tabela_registros[REGISTRO],DADOS!$N$5,tabela_registros[TIPO],DADOS!$AB$3,tabela_registros[CATEGORIA],investirrendafixaconsolidadoabr[[#This Row],[ATUAL]])</f>
        <v>0</v>
      </c>
      <c r="K121" s="91">
        <f>SUMIFS(tabela_registros[VALOR],tabela_registros[MÊS],$AE$1,tabela_registros[DIA],investirrendafixaconsolidadoabr[[#Headers],[7]],tabela_registros[REGISTRO],DADOS!$N$5,tabela_registros[TIPO],DADOS!$AB$3,tabela_registros[CATEGORIA],investirrendafixaconsolidadoabr[[#This Row],[ATUAL]])</f>
        <v>0</v>
      </c>
      <c r="L121" s="91">
        <f>SUMIFS(tabela_registros[VALOR],tabela_registros[MÊS],$AE$1,tabela_registros[DIA],investirrendafixaconsolidadoabr[[#Headers],[8]],tabela_registros[REGISTRO],DADOS!$N$5,tabela_registros[TIPO],DADOS!$AB$3,tabela_registros[CATEGORIA],investirrendafixaconsolidadoabr[[#This Row],[ATUAL]])</f>
        <v>0</v>
      </c>
      <c r="M121" s="91">
        <f>SUMIFS(tabela_registros[VALOR],tabela_registros[MÊS],$AE$1,tabela_registros[DIA],investirrendafixaconsolidadoabr[[#Headers],[9]],tabela_registros[REGISTRO],DADOS!$N$5,tabela_registros[TIPO],DADOS!$AB$3,tabela_registros[CATEGORIA],investirrendafixaconsolidadoabr[[#This Row],[ATUAL]])</f>
        <v>0</v>
      </c>
      <c r="N121" s="91">
        <f>SUMIFS(tabela_registros[VALOR],tabela_registros[MÊS],$AE$1,tabela_registros[DIA],investirrendafixaconsolidadoabr[[#Headers],[10]],tabela_registros[REGISTRO],DADOS!$N$5,tabela_registros[TIPO],DADOS!$AB$3,tabela_registros[CATEGORIA],investirrendafixaconsolidadoabr[[#This Row],[ATUAL]])</f>
        <v>0</v>
      </c>
      <c r="O121" s="91">
        <f>SUMIFS(tabela_registros[VALOR],tabela_registros[MÊS],$AE$1,tabela_registros[DIA],investirrendafixaconsolidadoabr[[#Headers],[11]],tabela_registros[REGISTRO],DADOS!$N$5,tabela_registros[TIPO],DADOS!$AB$3,tabela_registros[CATEGORIA],investirrendafixaconsolidadoabr[[#This Row],[ATUAL]])</f>
        <v>0</v>
      </c>
      <c r="P121" s="91">
        <f>SUMIFS(tabela_registros[VALOR],tabela_registros[MÊS],$AE$1,tabela_registros[DIA],investirrendafixaconsolidadoabr[[#Headers],[12]],tabela_registros[REGISTRO],DADOS!$N$5,tabela_registros[TIPO],DADOS!$AB$3,tabela_registros[CATEGORIA],investirrendafixaconsolidadoabr[[#This Row],[ATUAL]])</f>
        <v>0</v>
      </c>
      <c r="Q121" s="91">
        <f>SUMIFS(tabela_registros[VALOR],tabela_registros[MÊS],$AE$1,tabela_registros[DIA],investirrendafixaconsolidadoabr[[#Headers],[13]],tabela_registros[REGISTRO],DADOS!$N$5,tabela_registros[TIPO],DADOS!$AB$3,tabela_registros[CATEGORIA],investirrendafixaconsolidadoabr[[#This Row],[ATUAL]])</f>
        <v>0</v>
      </c>
      <c r="R121" s="91">
        <f>SUMIFS(tabela_registros[VALOR],tabela_registros[MÊS],$AE$1,tabela_registros[DIA],investirrendafixaconsolidadoabr[[#Headers],[14]],tabela_registros[REGISTRO],DADOS!$N$5,tabela_registros[TIPO],DADOS!$AB$3,tabela_registros[CATEGORIA],investirrendafixaconsolidadoabr[[#This Row],[ATUAL]])</f>
        <v>0</v>
      </c>
      <c r="S121" s="91">
        <f>SUMIFS(tabela_registros[VALOR],tabela_registros[MÊS],$AE$1,tabela_registros[DIA],investirrendafixaconsolidadoabr[[#Headers],[15]],tabela_registros[REGISTRO],DADOS!$N$5,tabela_registros[TIPO],DADOS!$AB$3,tabela_registros[CATEGORIA],investirrendafixaconsolidadoabr[[#This Row],[ATUAL]])</f>
        <v>0</v>
      </c>
      <c r="T121" s="91">
        <f>SUMIFS(tabela_registros[VALOR],tabela_registros[MÊS],$AE$1,tabela_registros[DIA],investirrendafixaconsolidadoabr[[#Headers],[16]],tabela_registros[REGISTRO],DADOS!$N$5,tabela_registros[TIPO],DADOS!$AB$3,tabela_registros[CATEGORIA],investirrendafixaconsolidadoabr[[#This Row],[ATUAL]])</f>
        <v>0</v>
      </c>
      <c r="U121" s="91">
        <f>SUMIFS(tabela_registros[VALOR],tabela_registros[MÊS],$AE$1,tabela_registros[DIA],investirrendafixaconsolidadoabr[[#Headers],[17]],tabela_registros[REGISTRO],DADOS!$N$5,tabela_registros[TIPO],DADOS!$AB$3,tabela_registros[CATEGORIA],investirrendafixaconsolidadoabr[[#This Row],[ATUAL]])</f>
        <v>0</v>
      </c>
      <c r="V121" s="91">
        <f>SUMIFS(tabela_registros[VALOR],tabela_registros[MÊS],$AE$1,tabela_registros[DIA],investirrendafixaconsolidadoabr[[#Headers],[18]],tabela_registros[REGISTRO],DADOS!$N$5,tabela_registros[TIPO],DADOS!$AB$3,tabela_registros[CATEGORIA],investirrendafixaconsolidadoabr[[#This Row],[ATUAL]])</f>
        <v>0</v>
      </c>
      <c r="W121" s="91">
        <f>SUMIFS(tabela_registros[VALOR],tabela_registros[MÊS],$AE$1,tabela_registros[DIA],investirrendafixaconsolidadoabr[[#Headers],[19]],tabela_registros[REGISTRO],DADOS!$N$5,tabela_registros[TIPO],DADOS!$AB$3,tabela_registros[CATEGORIA],investirrendafixaconsolidadoabr[[#This Row],[ATUAL]])</f>
        <v>0</v>
      </c>
      <c r="X121" s="91">
        <f>SUMIFS(tabela_registros[VALOR],tabela_registros[MÊS],$AE$1,tabela_registros[DIA],investirrendafixaconsolidadoabr[[#Headers],[20]],tabela_registros[REGISTRO],DADOS!$N$5,tabela_registros[TIPO],DADOS!$AB$3,tabela_registros[CATEGORIA],investirrendafixaconsolidadoabr[[#This Row],[ATUAL]])</f>
        <v>0</v>
      </c>
      <c r="Y121" s="91">
        <f>SUMIFS(tabela_registros[VALOR],tabela_registros[MÊS],$AE$1,tabela_registros[DIA],investirrendafixaconsolidadoabr[[#Headers],[21]],tabela_registros[REGISTRO],DADOS!$N$5,tabela_registros[TIPO],DADOS!$AB$3,tabela_registros[CATEGORIA],investirrendafixaconsolidadoabr[[#This Row],[ATUAL]])</f>
        <v>0</v>
      </c>
      <c r="Z121" s="91">
        <f>SUMIFS(tabela_registros[VALOR],tabela_registros[MÊS],$AE$1,tabela_registros[DIA],investirrendafixaconsolidadoabr[[#Headers],[22]],tabela_registros[REGISTRO],DADOS!$N$5,tabela_registros[TIPO],DADOS!$AB$3,tabela_registros[CATEGORIA],investirrendafixaconsolidadoabr[[#This Row],[ATUAL]])</f>
        <v>0</v>
      </c>
      <c r="AA121" s="91">
        <f>SUMIFS(tabela_registros[VALOR],tabela_registros[MÊS],$AE$1,tabela_registros[DIA],investirrendafixaconsolidadoabr[[#Headers],[23]],tabela_registros[REGISTRO],DADOS!$N$5,tabela_registros[TIPO],DADOS!$AB$3,tabela_registros[CATEGORIA],investirrendafixaconsolidadoabr[[#This Row],[ATUAL]])</f>
        <v>0</v>
      </c>
      <c r="AB121" s="91">
        <f>SUMIFS(tabela_registros[VALOR],tabela_registros[MÊS],$AE$1,tabela_registros[DIA],investirrendafixaconsolidadoabr[[#Headers],[24]],tabela_registros[REGISTRO],DADOS!$N$5,tabela_registros[TIPO],DADOS!$AB$3,tabela_registros[CATEGORIA],investirrendafixaconsolidadoabr[[#This Row],[ATUAL]])</f>
        <v>0</v>
      </c>
      <c r="AC121" s="91">
        <f>SUMIFS(tabela_registros[VALOR],tabela_registros[MÊS],$AE$1,tabela_registros[DIA],investirrendafixaconsolidadoabr[[#Headers],[25]],tabela_registros[REGISTRO],DADOS!$N$5,tabela_registros[TIPO],DADOS!$AB$3,tabela_registros[CATEGORIA],investirrendafixaconsolidadoabr[[#This Row],[ATUAL]])</f>
        <v>0</v>
      </c>
      <c r="AD121" s="91">
        <f>SUMIFS(tabela_registros[VALOR],tabela_registros[MÊS],$AE$1,tabela_registros[DIA],investirrendafixaconsolidadoabr[[#Headers],[26]],tabela_registros[REGISTRO],DADOS!$N$5,tabela_registros[TIPO],DADOS!$AB$3,tabela_registros[CATEGORIA],investirrendafixaconsolidadoabr[[#This Row],[ATUAL]])</f>
        <v>0</v>
      </c>
      <c r="AE121" s="91">
        <f>SUMIFS(tabela_registros[VALOR],tabela_registros[MÊS],$AE$1,tabela_registros[DIA],investirrendafixaconsolidadoabr[[#Headers],[27]],tabela_registros[REGISTRO],DADOS!$N$5,tabela_registros[TIPO],DADOS!$AB$3,tabela_registros[CATEGORIA],investirrendafixaconsolidadoabr[[#This Row],[ATUAL]])</f>
        <v>0</v>
      </c>
      <c r="AF121" s="91">
        <f>SUMIFS(tabela_registros[VALOR],tabela_registros[MÊS],$AE$1,tabela_registros[DIA],investirrendafixaconsolidadoabr[[#Headers],[28]],tabela_registros[REGISTRO],DADOS!$N$5,tabela_registros[TIPO],DADOS!$AB$3,tabela_registros[CATEGORIA],investirrendafixaconsolidadoabr[[#This Row],[ATUAL]])</f>
        <v>0</v>
      </c>
      <c r="AG121" s="91">
        <f>SUMIFS(tabela_registros[VALOR],tabela_registros[MÊS],$AE$1,tabela_registros[DIA],investirrendafixaconsolidadoabr[[#Headers],[29]],tabela_registros[REGISTRO],DADOS!$N$5,tabela_registros[TIPO],DADOS!$AB$3,tabela_registros[CATEGORIA],investirrendafixaconsolidadoabr[[#This Row],[ATUAL]])</f>
        <v>0</v>
      </c>
      <c r="AH121" s="91">
        <f>SUMIFS(tabela_registros[VALOR],tabela_registros[MÊS],$AE$1,tabela_registros[DIA],investirrendafixaconsolidadoabr[[#Headers],[30]],tabela_registros[REGISTRO],DADOS!$N$5,tabela_registros[TIPO],DADOS!$AB$3,tabela_registros[CATEGORIA],investirrendafixaconsolidadoabr[[#This Row],[ATUAL]])</f>
        <v>0</v>
      </c>
      <c r="AI121" s="101">
        <f>SUMIFS(tabela_registros[VALOR],tabela_registros[MÊS],$AE$1,tabela_registros[DIA],investirrendafixaconsolidadoabr[[#Headers],[31]],tabela_registros[REGISTRO],DADOS!$N$5,tabela_registros[TIPO],DADOS!$AB$3,tabela_registros[CATEGORIA],investirrendafixaconsolidadoabr[[#This Row],[ATUAL]])</f>
        <v>0</v>
      </c>
      <c r="AJ121" s="97">
        <f>SUM(investirrendafixaconsolidadoabr[[#This Row],[1]:[31]])</f>
        <v>0</v>
      </c>
      <c r="AK121" s="25"/>
    </row>
    <row r="122" spans="2:37" ht="19.5" customHeight="1" thickTop="1" thickBot="1" x14ac:dyDescent="0.3">
      <c r="B122" s="28"/>
      <c r="C122" s="27" t="str">
        <f>DADOS!$AD$12</f>
        <v>📎 OUTROS</v>
      </c>
      <c r="D122" s="26" t="str">
        <f>IF(investirrendafixaconsolidadoabr[[#This Row],[TOTAL (R$)]]=0,"",IF(OR(investirrendafixaconsolidadoabr[[#This Row],[TOTAL (R$)]]=LARGE($AJ$113:$AJ$122,1),investirrendafixaconsolidadoabr[[#This Row],[TOTAL (R$)]]=LARGE($AJ$113:$AJ$122,2)),DADOS!$I$10,""))</f>
        <v/>
      </c>
      <c r="E122" s="96">
        <f>SUMIFS(tabela_registros[VALOR],tabela_registros[MÊS],$AE$1,tabela_registros[DIA],investirrendafixaconsolidadoabr[[#Headers],[1]],tabela_registros[REGISTRO],DADOS!$N$5,tabela_registros[TIPO],DADOS!$AB$3,tabela_registros[CATEGORIA],investirrendafixaconsolidadoabr[[#This Row],[ATUAL]])</f>
        <v>0</v>
      </c>
      <c r="F122" s="91">
        <f>SUMIFS(tabela_registros[VALOR],tabela_registros[MÊS],$AE$1,tabela_registros[DIA],investirrendafixaconsolidadoabr[[#Headers],[2]],tabela_registros[REGISTRO],DADOS!$N$5,tabela_registros[TIPO],DADOS!$AB$3,tabela_registros[CATEGORIA],investirrendafixaconsolidadoabr[[#This Row],[ATUAL]])</f>
        <v>0</v>
      </c>
      <c r="G122" s="91">
        <f>SUMIFS(tabela_registros[VALOR],tabela_registros[MÊS],$AE$1,tabela_registros[DIA],investirrendafixaconsolidadoabr[[#Headers],[3]],tabela_registros[REGISTRO],DADOS!$N$5,tabela_registros[TIPO],DADOS!$AB$3,tabela_registros[CATEGORIA],investirrendafixaconsolidadoabr[[#This Row],[ATUAL]])</f>
        <v>0</v>
      </c>
      <c r="H122" s="91">
        <f>SUMIFS(tabela_registros[VALOR],tabela_registros[MÊS],$AE$1,tabela_registros[DIA],investirrendafixaconsolidadoabr[[#Headers],[4]],tabela_registros[REGISTRO],DADOS!$N$5,tabela_registros[TIPO],DADOS!$AB$3,tabela_registros[CATEGORIA],investirrendafixaconsolidadoabr[[#This Row],[ATUAL]])</f>
        <v>0</v>
      </c>
      <c r="I122" s="91">
        <f>SUMIFS(tabela_registros[VALOR],tabela_registros[MÊS],$AE$1,tabela_registros[DIA],investirrendafixaconsolidadoabr[[#Headers],[5]],tabela_registros[REGISTRO],DADOS!$N$5,tabela_registros[TIPO],DADOS!$AB$3,tabela_registros[CATEGORIA],investirrendafixaconsolidadoabr[[#This Row],[ATUAL]])</f>
        <v>0</v>
      </c>
      <c r="J122" s="91">
        <f>SUMIFS(tabela_registros[VALOR],tabela_registros[MÊS],$AE$1,tabela_registros[DIA],investirrendafixaconsolidadoabr[[#Headers],[6]],tabela_registros[REGISTRO],DADOS!$N$5,tabela_registros[TIPO],DADOS!$AB$3,tabela_registros[CATEGORIA],investirrendafixaconsolidadoabr[[#This Row],[ATUAL]])</f>
        <v>0</v>
      </c>
      <c r="K122" s="91">
        <f>SUMIFS(tabela_registros[VALOR],tabela_registros[MÊS],$AE$1,tabela_registros[DIA],investirrendafixaconsolidadoabr[[#Headers],[7]],tabela_registros[REGISTRO],DADOS!$N$5,tabela_registros[TIPO],DADOS!$AB$3,tabela_registros[CATEGORIA],investirrendafixaconsolidadoabr[[#This Row],[ATUAL]])</f>
        <v>0</v>
      </c>
      <c r="L122" s="91">
        <f>SUMIFS(tabela_registros[VALOR],tabela_registros[MÊS],$AE$1,tabela_registros[DIA],investirrendafixaconsolidadoabr[[#Headers],[8]],tabela_registros[REGISTRO],DADOS!$N$5,tabela_registros[TIPO],DADOS!$AB$3,tabela_registros[CATEGORIA],investirrendafixaconsolidadoabr[[#This Row],[ATUAL]])</f>
        <v>0</v>
      </c>
      <c r="M122" s="91">
        <f>SUMIFS(tabela_registros[VALOR],tabela_registros[MÊS],$AE$1,tabela_registros[DIA],investirrendafixaconsolidadoabr[[#Headers],[9]],tabela_registros[REGISTRO],DADOS!$N$5,tabela_registros[TIPO],DADOS!$AB$3,tabela_registros[CATEGORIA],investirrendafixaconsolidadoabr[[#This Row],[ATUAL]])</f>
        <v>0</v>
      </c>
      <c r="N122" s="91">
        <f>SUMIFS(tabela_registros[VALOR],tabela_registros[MÊS],$AE$1,tabela_registros[DIA],investirrendafixaconsolidadoabr[[#Headers],[10]],tabela_registros[REGISTRO],DADOS!$N$5,tabela_registros[TIPO],DADOS!$AB$3,tabela_registros[CATEGORIA],investirrendafixaconsolidadoabr[[#This Row],[ATUAL]])</f>
        <v>0</v>
      </c>
      <c r="O122" s="91">
        <f>SUMIFS(tabela_registros[VALOR],tabela_registros[MÊS],$AE$1,tabela_registros[DIA],investirrendafixaconsolidadoabr[[#Headers],[11]],tabela_registros[REGISTRO],DADOS!$N$5,tabela_registros[TIPO],DADOS!$AB$3,tabela_registros[CATEGORIA],investirrendafixaconsolidadoabr[[#This Row],[ATUAL]])</f>
        <v>0</v>
      </c>
      <c r="P122" s="91">
        <f>SUMIFS(tabela_registros[VALOR],tabela_registros[MÊS],$AE$1,tabela_registros[DIA],investirrendafixaconsolidadoabr[[#Headers],[12]],tabela_registros[REGISTRO],DADOS!$N$5,tabela_registros[TIPO],DADOS!$AB$3,tabela_registros[CATEGORIA],investirrendafixaconsolidadoabr[[#This Row],[ATUAL]])</f>
        <v>0</v>
      </c>
      <c r="Q122" s="91">
        <f>SUMIFS(tabela_registros[VALOR],tabela_registros[MÊS],$AE$1,tabela_registros[DIA],investirrendafixaconsolidadoabr[[#Headers],[13]],tabela_registros[REGISTRO],DADOS!$N$5,tabela_registros[TIPO],DADOS!$AB$3,tabela_registros[CATEGORIA],investirrendafixaconsolidadoabr[[#This Row],[ATUAL]])</f>
        <v>0</v>
      </c>
      <c r="R122" s="91">
        <f>SUMIFS(tabela_registros[VALOR],tabela_registros[MÊS],$AE$1,tabela_registros[DIA],investirrendafixaconsolidadoabr[[#Headers],[14]],tabela_registros[REGISTRO],DADOS!$N$5,tabela_registros[TIPO],DADOS!$AB$3,tabela_registros[CATEGORIA],investirrendafixaconsolidadoabr[[#This Row],[ATUAL]])</f>
        <v>0</v>
      </c>
      <c r="S122" s="91">
        <f>SUMIFS(tabela_registros[VALOR],tabela_registros[MÊS],$AE$1,tabela_registros[DIA],investirrendafixaconsolidadoabr[[#Headers],[15]],tabela_registros[REGISTRO],DADOS!$N$5,tabela_registros[TIPO],DADOS!$AB$3,tabela_registros[CATEGORIA],investirrendafixaconsolidadoabr[[#This Row],[ATUAL]])</f>
        <v>0</v>
      </c>
      <c r="T122" s="91">
        <f>SUMIFS(tabela_registros[VALOR],tabela_registros[MÊS],$AE$1,tabela_registros[DIA],investirrendafixaconsolidadoabr[[#Headers],[16]],tabela_registros[REGISTRO],DADOS!$N$5,tabela_registros[TIPO],DADOS!$AB$3,tabela_registros[CATEGORIA],investirrendafixaconsolidadoabr[[#This Row],[ATUAL]])</f>
        <v>0</v>
      </c>
      <c r="U122" s="91">
        <f>SUMIFS(tabela_registros[VALOR],tabela_registros[MÊS],$AE$1,tabela_registros[DIA],investirrendafixaconsolidadoabr[[#Headers],[17]],tabela_registros[REGISTRO],DADOS!$N$5,tabela_registros[TIPO],DADOS!$AB$3,tabela_registros[CATEGORIA],investirrendafixaconsolidadoabr[[#This Row],[ATUAL]])</f>
        <v>0</v>
      </c>
      <c r="V122" s="91">
        <f>SUMIFS(tabela_registros[VALOR],tabela_registros[MÊS],$AE$1,tabela_registros[DIA],investirrendafixaconsolidadoabr[[#Headers],[18]],tabela_registros[REGISTRO],DADOS!$N$5,tabela_registros[TIPO],DADOS!$AB$3,tabela_registros[CATEGORIA],investirrendafixaconsolidadoabr[[#This Row],[ATUAL]])</f>
        <v>0</v>
      </c>
      <c r="W122" s="91">
        <f>SUMIFS(tabela_registros[VALOR],tabela_registros[MÊS],$AE$1,tabela_registros[DIA],investirrendafixaconsolidadoabr[[#Headers],[19]],tabela_registros[REGISTRO],DADOS!$N$5,tabela_registros[TIPO],DADOS!$AB$3,tabela_registros[CATEGORIA],investirrendafixaconsolidadoabr[[#This Row],[ATUAL]])</f>
        <v>0</v>
      </c>
      <c r="X122" s="91">
        <f>SUMIFS(tabela_registros[VALOR],tabela_registros[MÊS],$AE$1,tabela_registros[DIA],investirrendafixaconsolidadoabr[[#Headers],[20]],tabela_registros[REGISTRO],DADOS!$N$5,tabela_registros[TIPO],DADOS!$AB$3,tabela_registros[CATEGORIA],investirrendafixaconsolidadoabr[[#This Row],[ATUAL]])</f>
        <v>0</v>
      </c>
      <c r="Y122" s="91">
        <f>SUMIFS(tabela_registros[VALOR],tabela_registros[MÊS],$AE$1,tabela_registros[DIA],investirrendafixaconsolidadoabr[[#Headers],[21]],tabela_registros[REGISTRO],DADOS!$N$5,tabela_registros[TIPO],DADOS!$AB$3,tabela_registros[CATEGORIA],investirrendafixaconsolidadoabr[[#This Row],[ATUAL]])</f>
        <v>0</v>
      </c>
      <c r="Z122" s="91">
        <f>SUMIFS(tabela_registros[VALOR],tabela_registros[MÊS],$AE$1,tabela_registros[DIA],investirrendafixaconsolidadoabr[[#Headers],[22]],tabela_registros[REGISTRO],DADOS!$N$5,tabela_registros[TIPO],DADOS!$AB$3,tabela_registros[CATEGORIA],investirrendafixaconsolidadoabr[[#This Row],[ATUAL]])</f>
        <v>0</v>
      </c>
      <c r="AA122" s="91">
        <f>SUMIFS(tabela_registros[VALOR],tabela_registros[MÊS],$AE$1,tabela_registros[DIA],investirrendafixaconsolidadoabr[[#Headers],[23]],tabela_registros[REGISTRO],DADOS!$N$5,tabela_registros[TIPO],DADOS!$AB$3,tabela_registros[CATEGORIA],investirrendafixaconsolidadoabr[[#This Row],[ATUAL]])</f>
        <v>0</v>
      </c>
      <c r="AB122" s="91">
        <f>SUMIFS(tabela_registros[VALOR],tabela_registros[MÊS],$AE$1,tabela_registros[DIA],investirrendafixaconsolidadoabr[[#Headers],[24]],tabela_registros[REGISTRO],DADOS!$N$5,tabela_registros[TIPO],DADOS!$AB$3,tabela_registros[CATEGORIA],investirrendafixaconsolidadoabr[[#This Row],[ATUAL]])</f>
        <v>0</v>
      </c>
      <c r="AC122" s="91">
        <f>SUMIFS(tabela_registros[VALOR],tabela_registros[MÊS],$AE$1,tabela_registros[DIA],investirrendafixaconsolidadoabr[[#Headers],[25]],tabela_registros[REGISTRO],DADOS!$N$5,tabela_registros[TIPO],DADOS!$AB$3,tabela_registros[CATEGORIA],investirrendafixaconsolidadoabr[[#This Row],[ATUAL]])</f>
        <v>0</v>
      </c>
      <c r="AD122" s="91">
        <f>SUMIFS(tabela_registros[VALOR],tabela_registros[MÊS],$AE$1,tabela_registros[DIA],investirrendafixaconsolidadoabr[[#Headers],[26]],tabela_registros[REGISTRO],DADOS!$N$5,tabela_registros[TIPO],DADOS!$AB$3,tabela_registros[CATEGORIA],investirrendafixaconsolidadoabr[[#This Row],[ATUAL]])</f>
        <v>0</v>
      </c>
      <c r="AE122" s="91">
        <f>SUMIFS(tabela_registros[VALOR],tabela_registros[MÊS],$AE$1,tabela_registros[DIA],investirrendafixaconsolidadoabr[[#Headers],[27]],tabela_registros[REGISTRO],DADOS!$N$5,tabela_registros[TIPO],DADOS!$AB$3,tabela_registros[CATEGORIA],investirrendafixaconsolidadoabr[[#This Row],[ATUAL]])</f>
        <v>0</v>
      </c>
      <c r="AF122" s="91">
        <f>SUMIFS(tabela_registros[VALOR],tabela_registros[MÊS],$AE$1,tabela_registros[DIA],investirrendafixaconsolidadoabr[[#Headers],[28]],tabela_registros[REGISTRO],DADOS!$N$5,tabela_registros[TIPO],DADOS!$AB$3,tabela_registros[CATEGORIA],investirrendafixaconsolidadoabr[[#This Row],[ATUAL]])</f>
        <v>0</v>
      </c>
      <c r="AG122" s="91">
        <f>SUMIFS(tabela_registros[VALOR],tabela_registros[MÊS],$AE$1,tabela_registros[DIA],investirrendafixaconsolidadoabr[[#Headers],[29]],tabela_registros[REGISTRO],DADOS!$N$5,tabela_registros[TIPO],DADOS!$AB$3,tabela_registros[CATEGORIA],investirrendafixaconsolidadoabr[[#This Row],[ATUAL]])</f>
        <v>0</v>
      </c>
      <c r="AH122" s="91">
        <f>SUMIFS(tabela_registros[VALOR],tabela_registros[MÊS],$AE$1,tabela_registros[DIA],investirrendafixaconsolidadoabr[[#Headers],[30]],tabela_registros[REGISTRO],DADOS!$N$5,tabela_registros[TIPO],DADOS!$AB$3,tabela_registros[CATEGORIA],investirrendafixaconsolidadoabr[[#This Row],[ATUAL]])</f>
        <v>0</v>
      </c>
      <c r="AI122" s="102">
        <f>SUMIFS(tabela_registros[VALOR],tabela_registros[MÊS],$AE$1,tabela_registros[DIA],investirrendafixaconsolidadoabr[[#Headers],[31]],tabela_registros[REGISTRO],DADOS!$N$5,tabela_registros[TIPO],DADOS!$AB$3,tabela_registros[CATEGORIA],investirrendafixaconsolidadoabr[[#This Row],[ATUAL]])</f>
        <v>0</v>
      </c>
      <c r="AJ122" s="97">
        <f>SUM(investirrendafixaconsolidadoabr[[#This Row],[1]:[31]])</f>
        <v>0</v>
      </c>
      <c r="AK122" s="25"/>
    </row>
    <row r="123" spans="2:37" s="16" customFormat="1" ht="21" customHeight="1" thickTop="1" thickBot="1" x14ac:dyDescent="0.35">
      <c r="B123" s="24"/>
      <c r="C123" s="23" t="s">
        <v>19</v>
      </c>
      <c r="D123" s="22"/>
      <c r="E123" s="21">
        <f>SUM(E113:E122)</f>
        <v>0</v>
      </c>
      <c r="F123" s="20">
        <f>SUM(F113:F122)+investirrendafixaconsolidadoabr[[#This Row],[1]]</f>
        <v>0</v>
      </c>
      <c r="G123" s="20">
        <f>SUM(G113:G122)+investirrendafixaconsolidadoabr[[#This Row],[2]]</f>
        <v>0</v>
      </c>
      <c r="H123" s="20">
        <f>SUM(H113:H122)+investirrendafixaconsolidadoabr[[#This Row],[3]]</f>
        <v>0</v>
      </c>
      <c r="I123" s="20">
        <f>SUM(I113:I122)+investirrendafixaconsolidadoabr[[#This Row],[4]]</f>
        <v>0</v>
      </c>
      <c r="J123" s="20">
        <f>SUM(J113:J122)+investirrendafixaconsolidadoabr[[#This Row],[5]]</f>
        <v>0</v>
      </c>
      <c r="K123" s="20">
        <f>SUM(K113:K122)+investirrendafixaconsolidadoabr[[#This Row],[6]]</f>
        <v>0</v>
      </c>
      <c r="L123" s="20">
        <f>SUM(L113:L122)+investirrendafixaconsolidadoabr[[#This Row],[7]]</f>
        <v>0</v>
      </c>
      <c r="M123" s="20">
        <f>SUM(M113:M122)+investirrendafixaconsolidadoabr[[#This Row],[8]]</f>
        <v>0</v>
      </c>
      <c r="N123" s="20">
        <f>SUM(N113:N122)+investirrendafixaconsolidadoabr[[#This Row],[9]]</f>
        <v>0</v>
      </c>
      <c r="O123" s="20">
        <f>SUM(O113:O122)+investirrendafixaconsolidadoabr[[#This Row],[10]]</f>
        <v>0</v>
      </c>
      <c r="P123" s="20">
        <f>SUM(P113:P122)+investirrendafixaconsolidadoabr[[#This Row],[11]]</f>
        <v>0</v>
      </c>
      <c r="Q123" s="20">
        <f>SUM(Q113:Q122)+investirrendafixaconsolidadoabr[[#This Row],[12]]</f>
        <v>0</v>
      </c>
      <c r="R123" s="20">
        <f>SUM(R113:R122)+investirrendafixaconsolidadoabr[[#This Row],[13]]</f>
        <v>0</v>
      </c>
      <c r="S123" s="20">
        <f>SUM(S113:S122)+investirrendafixaconsolidadoabr[[#This Row],[14]]</f>
        <v>0</v>
      </c>
      <c r="T123" s="20">
        <f>SUM(T113:T122)+investirrendafixaconsolidadoabr[[#This Row],[15]]</f>
        <v>0</v>
      </c>
      <c r="U123" s="20">
        <f>SUM(U113:U122)+investirrendafixaconsolidadoabr[[#This Row],[16]]</f>
        <v>0</v>
      </c>
      <c r="V123" s="20">
        <f>SUM(V113:V122)+investirrendafixaconsolidadoabr[[#This Row],[17]]</f>
        <v>0</v>
      </c>
      <c r="W123" s="20">
        <f>SUM(W113:W122)+investirrendafixaconsolidadoabr[[#This Row],[18]]</f>
        <v>0</v>
      </c>
      <c r="X123" s="20">
        <f>SUM(X113:X122)+investirrendafixaconsolidadoabr[[#This Row],[19]]</f>
        <v>0</v>
      </c>
      <c r="Y123" s="20">
        <f>SUM(Y113:Y122)+investirrendafixaconsolidadoabr[[#This Row],[20]]</f>
        <v>0</v>
      </c>
      <c r="Z123" s="20">
        <f>SUM(Z113:Z122)+investirrendafixaconsolidadoabr[[#This Row],[21]]</f>
        <v>0</v>
      </c>
      <c r="AA123" s="20">
        <f>SUM(AA113:AA122)+investirrendafixaconsolidadoabr[[#This Row],[22]]</f>
        <v>0</v>
      </c>
      <c r="AB123" s="20">
        <f>SUM(AB113:AB122)+investirrendafixaconsolidadoabr[[#This Row],[23]]</f>
        <v>0</v>
      </c>
      <c r="AC123" s="20">
        <f>SUM(AC113:AC122)+investirrendafixaconsolidadoabr[[#This Row],[24]]</f>
        <v>0</v>
      </c>
      <c r="AD123" s="20">
        <f>SUM(AD113:AD122)+investirrendafixaconsolidadoabr[[#This Row],[25]]</f>
        <v>0</v>
      </c>
      <c r="AE123" s="20">
        <f>SUM(AE113:AE122)+investirrendafixaconsolidadoabr[[#This Row],[26]]</f>
        <v>0</v>
      </c>
      <c r="AF123" s="20">
        <f>SUM(AF113:AF122)+investirrendafixaconsolidadoabr[[#This Row],[27]]</f>
        <v>0</v>
      </c>
      <c r="AG123" s="20">
        <f>SUM(AG113:AG122)+investirrendafixaconsolidadoabr[[#This Row],[28]]</f>
        <v>0</v>
      </c>
      <c r="AH123" s="20">
        <f>SUM(AH113:AH122)+investirrendafixaconsolidadoabr[[#This Row],[29]]</f>
        <v>0</v>
      </c>
      <c r="AI123" s="19">
        <f>SUM(AI113:AI122)+investirrendafixaconsolidadoabr[[#This Row],[30]]</f>
        <v>0</v>
      </c>
      <c r="AJ123" s="18">
        <f>investirrendafixaconsolidadoabr[[#This Row],[31]]</f>
        <v>0</v>
      </c>
      <c r="AK123" s="17"/>
    </row>
    <row r="124" spans="2:37" ht="6.75" customHeight="1" thickTop="1" thickBot="1" x14ac:dyDescent="0.3">
      <c r="B124" s="15"/>
      <c r="C124" s="14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  <c r="AI124" s="12"/>
      <c r="AJ124" s="11"/>
      <c r="AK124" s="10"/>
    </row>
    <row r="125" spans="2:37" ht="12.6" thickTop="1" x14ac:dyDescent="0.25">
      <c r="E125" s="37"/>
      <c r="AI125" s="4"/>
    </row>
    <row r="126" spans="2:37" x14ac:dyDescent="0.25">
      <c r="AI126" s="4"/>
    </row>
    <row r="127" spans="2:37" x14ac:dyDescent="0.25">
      <c r="AI127" s="4"/>
    </row>
    <row r="128" spans="2:37" ht="39.75" customHeight="1" x14ac:dyDescent="0.7">
      <c r="C128" s="36"/>
      <c r="E128" s="240"/>
      <c r="F128" s="240"/>
      <c r="G128" s="240"/>
      <c r="H128" s="240"/>
      <c r="I128" s="240"/>
      <c r="J128" s="240"/>
      <c r="K128" s="240"/>
      <c r="L128" s="240"/>
      <c r="M128" s="240"/>
      <c r="N128" s="240"/>
      <c r="O128" s="240"/>
      <c r="P128" s="240"/>
      <c r="Q128" s="240"/>
      <c r="R128" s="240"/>
      <c r="S128" s="240"/>
      <c r="T128" s="240"/>
      <c r="U128" s="240"/>
      <c r="V128" s="240"/>
      <c r="W128" s="240"/>
      <c r="X128" s="240"/>
      <c r="Y128" s="240"/>
      <c r="Z128" s="240"/>
      <c r="AA128" s="240"/>
      <c r="AB128" s="240"/>
      <c r="AC128" s="240"/>
      <c r="AD128" s="240"/>
      <c r="AE128" s="240"/>
      <c r="AF128" s="240"/>
      <c r="AG128" s="240"/>
      <c r="AH128" s="240"/>
      <c r="AI128" s="240"/>
      <c r="AJ128" s="32" t="s">
        <v>19</v>
      </c>
    </row>
    <row r="129" spans="2:37" ht="12.6" thickBot="1" x14ac:dyDescent="0.3">
      <c r="B129" s="35"/>
      <c r="AI129" s="4"/>
      <c r="AJ129" s="34" t="s">
        <v>202</v>
      </c>
    </row>
    <row r="130" spans="2:37" ht="6.75" customHeight="1" thickTop="1" thickBot="1" x14ac:dyDescent="0.3">
      <c r="B130" s="2"/>
      <c r="C130" s="14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  <c r="AA130" s="13"/>
      <c r="AB130" s="13"/>
      <c r="AC130" s="13"/>
      <c r="AD130" s="13"/>
      <c r="AE130" s="13"/>
      <c r="AF130" s="13"/>
      <c r="AG130" s="13"/>
      <c r="AH130" s="13"/>
      <c r="AI130" s="13"/>
      <c r="AJ130" s="12"/>
      <c r="AK130" s="33"/>
    </row>
    <row r="131" spans="2:37" ht="13.2" hidden="1" thickTop="1" thickBot="1" x14ac:dyDescent="0.3">
      <c r="B131" s="2"/>
      <c r="C131" s="31" t="s">
        <v>199</v>
      </c>
      <c r="D131" s="30" t="s">
        <v>198</v>
      </c>
      <c r="E131" s="30" t="s">
        <v>197</v>
      </c>
      <c r="F131" s="30" t="s">
        <v>196</v>
      </c>
      <c r="G131" s="30" t="s">
        <v>195</v>
      </c>
      <c r="H131" s="30" t="s">
        <v>194</v>
      </c>
      <c r="I131" s="30" t="s">
        <v>193</v>
      </c>
      <c r="J131" s="30" t="s">
        <v>192</v>
      </c>
      <c r="K131" s="30" t="s">
        <v>191</v>
      </c>
      <c r="L131" s="30" t="s">
        <v>190</v>
      </c>
      <c r="M131" s="30" t="s">
        <v>189</v>
      </c>
      <c r="N131" s="30" t="s">
        <v>188</v>
      </c>
      <c r="O131" s="30" t="s">
        <v>187</v>
      </c>
      <c r="P131" s="30" t="s">
        <v>186</v>
      </c>
      <c r="Q131" s="30" t="s">
        <v>185</v>
      </c>
      <c r="R131" s="30" t="s">
        <v>184</v>
      </c>
      <c r="S131" s="30" t="s">
        <v>183</v>
      </c>
      <c r="T131" s="30" t="s">
        <v>182</v>
      </c>
      <c r="U131" s="30" t="s">
        <v>181</v>
      </c>
      <c r="V131" s="30" t="s">
        <v>180</v>
      </c>
      <c r="W131" s="30" t="s">
        <v>179</v>
      </c>
      <c r="X131" s="30" t="s">
        <v>178</v>
      </c>
      <c r="Y131" s="30" t="s">
        <v>177</v>
      </c>
      <c r="Z131" s="30" t="s">
        <v>176</v>
      </c>
      <c r="AA131" s="30" t="s">
        <v>175</v>
      </c>
      <c r="AB131" s="30" t="s">
        <v>174</v>
      </c>
      <c r="AC131" s="30" t="s">
        <v>173</v>
      </c>
      <c r="AD131" s="30" t="s">
        <v>172</v>
      </c>
      <c r="AE131" s="30" t="s">
        <v>171</v>
      </c>
      <c r="AF131" s="30" t="s">
        <v>170</v>
      </c>
      <c r="AG131" s="30" t="s">
        <v>169</v>
      </c>
      <c r="AH131" s="30" t="s">
        <v>168</v>
      </c>
      <c r="AI131" s="30" t="s">
        <v>167</v>
      </c>
      <c r="AJ131" s="29" t="s">
        <v>166</v>
      </c>
      <c r="AK131" s="2"/>
    </row>
    <row r="132" spans="2:37" ht="19.5" customHeight="1" thickTop="1" thickBot="1" x14ac:dyDescent="0.3">
      <c r="B132" s="28"/>
      <c r="C132" s="27" t="str">
        <f>DADOS!$AF$3</f>
        <v>📝 AÇÃO</v>
      </c>
      <c r="D132" s="26" t="str">
        <f>IF(investirrendavariávelconsolidadoabr[[#This Row],[TOTAL (R$)]]=0,"",IF(OR(investirrendavariávelconsolidadoabr[[#This Row],[TOTAL (R$)]]=LARGE($AJ$132:$AJ$141,1),investirrendavariávelconsolidadoabr[[#This Row],[TOTAL (R$)]]=LARGE($AJ$132:$AJ$141,2)),DADOS!$I$10,""))</f>
        <v/>
      </c>
      <c r="E132" s="96">
        <f>SUMIFS(tabela_registros[VALOR],tabela_registros[MÊS],$AE$1,tabela_registros[DIA],investirrendavariávelconsolidadoabr[[#Headers],[1]],tabela_registros[REGISTRO],DADOS!$N$5,tabela_registros[TIPO],DADOS!$AB$4,tabela_registros[CATEGORIA],investirrendavariávelconsolidadoabr[[#This Row],[ATUAL]])</f>
        <v>0</v>
      </c>
      <c r="F132" s="91">
        <f>SUMIFS(tabela_registros[VALOR],tabela_registros[MÊS],$AE$1,tabela_registros[DIA],investirrendavariávelconsolidadoabr[[#Headers],[2]],tabela_registros[REGISTRO],DADOS!$N$5,tabela_registros[TIPO],DADOS!$AB$4,tabela_registros[CATEGORIA],investirrendavariávelconsolidadoabr[[#This Row],[ATUAL]])</f>
        <v>0</v>
      </c>
      <c r="G132" s="91">
        <f>SUMIFS(tabela_registros[VALOR],tabela_registros[MÊS],$AE$1,tabela_registros[DIA],investirrendavariávelconsolidadoabr[[#Headers],[3]],tabela_registros[REGISTRO],DADOS!$N$5,tabela_registros[TIPO],DADOS!$AB$4,tabela_registros[CATEGORIA],investirrendavariávelconsolidadoabr[[#This Row],[ATUAL]])</f>
        <v>0</v>
      </c>
      <c r="H132" s="91">
        <f>SUMIFS(tabela_registros[VALOR],tabela_registros[MÊS],$AE$1,tabela_registros[DIA],investirrendavariávelconsolidadoabr[[#Headers],[4]],tabela_registros[REGISTRO],DADOS!$N$5,tabela_registros[TIPO],DADOS!$AB$4,tabela_registros[CATEGORIA],investirrendavariávelconsolidadoabr[[#This Row],[ATUAL]])</f>
        <v>0</v>
      </c>
      <c r="I132" s="91">
        <f>SUMIFS(tabela_registros[VALOR],tabela_registros[MÊS],$AE$1,tabela_registros[DIA],investirrendavariávelconsolidadoabr[[#Headers],[5]],tabela_registros[REGISTRO],DADOS!$N$5,tabela_registros[TIPO],DADOS!$AB$4,tabela_registros[CATEGORIA],investirrendavariávelconsolidadoabr[[#This Row],[ATUAL]])</f>
        <v>0</v>
      </c>
      <c r="J132" s="91">
        <f>SUMIFS(tabela_registros[VALOR],tabela_registros[MÊS],$AE$1,tabela_registros[DIA],investirrendavariávelconsolidadoabr[[#Headers],[6]],tabela_registros[REGISTRO],DADOS!$N$5,tabela_registros[TIPO],DADOS!$AB$4,tabela_registros[CATEGORIA],investirrendavariávelconsolidadoabr[[#This Row],[ATUAL]])</f>
        <v>0</v>
      </c>
      <c r="K132" s="91">
        <f>SUMIFS(tabela_registros[VALOR],tabela_registros[MÊS],$AE$1,tabela_registros[DIA],investirrendavariávelconsolidadoabr[[#Headers],[7]],tabela_registros[REGISTRO],DADOS!$N$5,tabela_registros[TIPO],DADOS!$AB$4,tabela_registros[CATEGORIA],investirrendavariávelconsolidadoabr[[#This Row],[ATUAL]])</f>
        <v>0</v>
      </c>
      <c r="L132" s="91">
        <f>SUMIFS(tabela_registros[VALOR],tabela_registros[MÊS],$AE$1,tabela_registros[DIA],investirrendavariávelconsolidadoabr[[#Headers],[8]],tabela_registros[REGISTRO],DADOS!$N$5,tabela_registros[TIPO],DADOS!$AB$4,tabela_registros[CATEGORIA],investirrendavariávelconsolidadoabr[[#This Row],[ATUAL]])</f>
        <v>0</v>
      </c>
      <c r="M132" s="91">
        <f>SUMIFS(tabela_registros[VALOR],tabela_registros[MÊS],$AE$1,tabela_registros[DIA],investirrendavariávelconsolidadoabr[[#Headers],[9]],tabela_registros[REGISTRO],DADOS!$N$5,tabela_registros[TIPO],DADOS!$AB$4,tabela_registros[CATEGORIA],investirrendavariávelconsolidadoabr[[#This Row],[ATUAL]])</f>
        <v>0</v>
      </c>
      <c r="N132" s="91">
        <f>SUMIFS(tabela_registros[VALOR],tabela_registros[MÊS],$AE$1,tabela_registros[DIA],investirrendavariávelconsolidadoabr[[#Headers],[10]],tabela_registros[REGISTRO],DADOS!$N$5,tabela_registros[TIPO],DADOS!$AB$4,tabela_registros[CATEGORIA],investirrendavariávelconsolidadoabr[[#This Row],[ATUAL]])</f>
        <v>0</v>
      </c>
      <c r="O132" s="91">
        <f>SUMIFS(tabela_registros[VALOR],tabela_registros[MÊS],$AE$1,tabela_registros[DIA],investirrendavariávelconsolidadoabr[[#Headers],[11]],tabela_registros[REGISTRO],DADOS!$N$5,tabela_registros[TIPO],DADOS!$AB$4,tabela_registros[CATEGORIA],investirrendavariávelconsolidadoabr[[#This Row],[ATUAL]])</f>
        <v>0</v>
      </c>
      <c r="P132" s="91">
        <f>SUMIFS(tabela_registros[VALOR],tabela_registros[MÊS],$AE$1,tabela_registros[DIA],investirrendavariávelconsolidadoabr[[#Headers],[12]],tabela_registros[REGISTRO],DADOS!$N$5,tabela_registros[TIPO],DADOS!$AB$4,tabela_registros[CATEGORIA],investirrendavariávelconsolidadoabr[[#This Row],[ATUAL]])</f>
        <v>0</v>
      </c>
      <c r="Q132" s="91">
        <f>SUMIFS(tabela_registros[VALOR],tabela_registros[MÊS],$AE$1,tabela_registros[DIA],investirrendavariávelconsolidadoabr[[#Headers],[13]],tabela_registros[REGISTRO],DADOS!$N$5,tabela_registros[TIPO],DADOS!$AB$4,tabela_registros[CATEGORIA],investirrendavariávelconsolidadoabr[[#This Row],[ATUAL]])</f>
        <v>0</v>
      </c>
      <c r="R132" s="91">
        <f>SUMIFS(tabela_registros[VALOR],tabela_registros[MÊS],$AE$1,tabela_registros[DIA],investirrendavariávelconsolidadoabr[[#Headers],[14]],tabela_registros[REGISTRO],DADOS!$N$5,tabela_registros[TIPO],DADOS!$AB$4,tabela_registros[CATEGORIA],investirrendavariávelconsolidadoabr[[#This Row],[ATUAL]])</f>
        <v>0</v>
      </c>
      <c r="S132" s="91">
        <f>SUMIFS(tabela_registros[VALOR],tabela_registros[MÊS],$AE$1,tabela_registros[DIA],investirrendavariávelconsolidadoabr[[#Headers],[15]],tabela_registros[REGISTRO],DADOS!$N$5,tabela_registros[TIPO],DADOS!$AB$4,tabela_registros[CATEGORIA],investirrendavariávelconsolidadoabr[[#This Row],[ATUAL]])</f>
        <v>0</v>
      </c>
      <c r="T132" s="91">
        <f>SUMIFS(tabela_registros[VALOR],tabela_registros[MÊS],$AE$1,tabela_registros[DIA],investirrendavariávelconsolidadoabr[[#Headers],[16]],tabela_registros[REGISTRO],DADOS!$N$5,tabela_registros[TIPO],DADOS!$AB$4,tabela_registros[CATEGORIA],investirrendavariávelconsolidadoabr[[#This Row],[ATUAL]])</f>
        <v>0</v>
      </c>
      <c r="U132" s="91">
        <f>SUMIFS(tabela_registros[VALOR],tabela_registros[MÊS],$AE$1,tabela_registros[DIA],investirrendavariávelconsolidadoabr[[#Headers],[17]],tabela_registros[REGISTRO],DADOS!$N$5,tabela_registros[TIPO],DADOS!$AB$4,tabela_registros[CATEGORIA],investirrendavariávelconsolidadoabr[[#This Row],[ATUAL]])</f>
        <v>0</v>
      </c>
      <c r="V132" s="91">
        <f>SUMIFS(tabela_registros[VALOR],tabela_registros[MÊS],$AE$1,tabela_registros[DIA],investirrendavariávelconsolidadoabr[[#Headers],[18]],tabela_registros[REGISTRO],DADOS!$N$5,tabela_registros[TIPO],DADOS!$AB$4,tabela_registros[CATEGORIA],investirrendavariávelconsolidadoabr[[#This Row],[ATUAL]])</f>
        <v>0</v>
      </c>
      <c r="W132" s="91">
        <f>SUMIFS(tabela_registros[VALOR],tabela_registros[MÊS],$AE$1,tabela_registros[DIA],investirrendavariávelconsolidadoabr[[#Headers],[19]],tabela_registros[REGISTRO],DADOS!$N$5,tabela_registros[TIPO],DADOS!$AB$4,tabela_registros[CATEGORIA],investirrendavariávelconsolidadoabr[[#This Row],[ATUAL]])</f>
        <v>0</v>
      </c>
      <c r="X132" s="91">
        <f>SUMIFS(tabela_registros[VALOR],tabela_registros[MÊS],$AE$1,tabela_registros[DIA],investirrendavariávelconsolidadoabr[[#Headers],[20]],tabela_registros[REGISTRO],DADOS!$N$5,tabela_registros[TIPO],DADOS!$AB$4,tabela_registros[CATEGORIA],investirrendavariávelconsolidadoabr[[#This Row],[ATUAL]])</f>
        <v>0</v>
      </c>
      <c r="Y132" s="91">
        <f>SUMIFS(tabela_registros[VALOR],tabela_registros[MÊS],$AE$1,tabela_registros[DIA],investirrendavariávelconsolidadoabr[[#Headers],[21]],tabela_registros[REGISTRO],DADOS!$N$5,tabela_registros[TIPO],DADOS!$AB$4,tabela_registros[CATEGORIA],investirrendavariávelconsolidadoabr[[#This Row],[ATUAL]])</f>
        <v>0</v>
      </c>
      <c r="Z132" s="91">
        <f>SUMIFS(tabela_registros[VALOR],tabela_registros[MÊS],$AE$1,tabela_registros[DIA],investirrendavariávelconsolidadoabr[[#Headers],[22]],tabela_registros[REGISTRO],DADOS!$N$5,tabela_registros[TIPO],DADOS!$AB$4,tabela_registros[CATEGORIA],investirrendavariávelconsolidadoabr[[#This Row],[ATUAL]])</f>
        <v>0</v>
      </c>
      <c r="AA132" s="91">
        <f>SUMIFS(tabela_registros[VALOR],tabela_registros[MÊS],$AE$1,tabela_registros[DIA],investirrendavariávelconsolidadoabr[[#Headers],[23]],tabela_registros[REGISTRO],DADOS!$N$5,tabela_registros[TIPO],DADOS!$AB$4,tabela_registros[CATEGORIA],investirrendavariávelconsolidadoabr[[#This Row],[ATUAL]])</f>
        <v>0</v>
      </c>
      <c r="AB132" s="91">
        <f>SUMIFS(tabela_registros[VALOR],tabela_registros[MÊS],$AE$1,tabela_registros[DIA],investirrendavariávelconsolidadoabr[[#Headers],[24]],tabela_registros[REGISTRO],DADOS!$N$5,tabela_registros[TIPO],DADOS!$AB$4,tabela_registros[CATEGORIA],investirrendavariávelconsolidadoabr[[#This Row],[ATUAL]])</f>
        <v>0</v>
      </c>
      <c r="AC132" s="91">
        <f>SUMIFS(tabela_registros[VALOR],tabela_registros[MÊS],$AE$1,tabela_registros[DIA],investirrendavariávelconsolidadoabr[[#Headers],[25]],tabela_registros[REGISTRO],DADOS!$N$5,tabela_registros[TIPO],DADOS!$AB$4,tabela_registros[CATEGORIA],investirrendavariávelconsolidadoabr[[#This Row],[ATUAL]])</f>
        <v>0</v>
      </c>
      <c r="AD132" s="91">
        <f>SUMIFS(tabela_registros[VALOR],tabela_registros[MÊS],$AE$1,tabela_registros[DIA],investirrendavariávelconsolidadoabr[[#Headers],[26]],tabela_registros[REGISTRO],DADOS!$N$5,tabela_registros[TIPO],DADOS!$AB$4,tabela_registros[CATEGORIA],investirrendavariávelconsolidadoabr[[#This Row],[ATUAL]])</f>
        <v>0</v>
      </c>
      <c r="AE132" s="91">
        <f>SUMIFS(tabela_registros[VALOR],tabela_registros[MÊS],$AE$1,tabela_registros[DIA],investirrendavariávelconsolidadoabr[[#Headers],[27]],tabela_registros[REGISTRO],DADOS!$N$5,tabela_registros[TIPO],DADOS!$AB$4,tabela_registros[CATEGORIA],investirrendavariávelconsolidadoabr[[#This Row],[ATUAL]])</f>
        <v>0</v>
      </c>
      <c r="AF132" s="91">
        <f>SUMIFS(tabela_registros[VALOR],tabela_registros[MÊS],$AE$1,tabela_registros[DIA],investirrendavariávelconsolidadoabr[[#Headers],[28]],tabela_registros[REGISTRO],DADOS!$N$5,tabela_registros[TIPO],DADOS!$AB$4,tabela_registros[CATEGORIA],investirrendavariávelconsolidadoabr[[#This Row],[ATUAL]])</f>
        <v>0</v>
      </c>
      <c r="AG132" s="91">
        <f>SUMIFS(tabela_registros[VALOR],tabela_registros[MÊS],$AE$1,tabela_registros[DIA],investirrendavariávelconsolidadoabr[[#Headers],[29]],tabela_registros[REGISTRO],DADOS!$N$5,tabela_registros[TIPO],DADOS!$AB$4,tabela_registros[CATEGORIA],investirrendavariávelconsolidadoabr[[#This Row],[ATUAL]])</f>
        <v>0</v>
      </c>
      <c r="AH132" s="91">
        <f>SUMIFS(tabela_registros[VALOR],tabela_registros[MÊS],$AE$1,tabela_registros[DIA],investirrendavariávelconsolidadoabr[[#Headers],[30]],tabela_registros[REGISTRO],DADOS!$N$5,tabela_registros[TIPO],DADOS!$AB$4,tabela_registros[CATEGORIA],investirrendavariávelconsolidadoabr[[#This Row],[ATUAL]])</f>
        <v>0</v>
      </c>
      <c r="AI132" s="101">
        <f>SUMIFS(tabela_registros[VALOR],tabela_registros[MÊS],$AE$1,tabela_registros[DIA],investirrendavariávelconsolidadoabr[[#Headers],[31]],tabela_registros[REGISTRO],DADOS!$N$5,tabela_registros[TIPO],DADOS!$AB$4,tabela_registros[CATEGORIA],investirrendavariávelconsolidadoabr[[#This Row],[ATUAL]])</f>
        <v>0</v>
      </c>
      <c r="AJ132" s="97">
        <f>SUM(investirrendavariávelconsolidadoabr[[#This Row],[1]:[31]])</f>
        <v>0</v>
      </c>
      <c r="AK132" s="25"/>
    </row>
    <row r="133" spans="2:37" ht="19.5" customHeight="1" thickTop="1" thickBot="1" x14ac:dyDescent="0.3">
      <c r="B133" s="28"/>
      <c r="C133" s="27" t="str">
        <f>DADOS!$AF$4</f>
        <v>📝 COMÓDITE</v>
      </c>
      <c r="D133" s="26" t="str">
        <f>IF(investirrendavariávelconsolidadoabr[[#This Row],[TOTAL (R$)]]=0,"",IF(OR(investirrendavariávelconsolidadoabr[[#This Row],[TOTAL (R$)]]=LARGE($AJ$132:$AJ$141,1),investirrendavariávelconsolidadoabr[[#This Row],[TOTAL (R$)]]=LARGE($AJ$132:$AJ$141,2)),DADOS!$I$10,""))</f>
        <v/>
      </c>
      <c r="E133" s="96">
        <f>SUMIFS(tabela_registros[VALOR],tabela_registros[MÊS],$AE$1,tabela_registros[DIA],investirrendavariávelconsolidadoabr[[#Headers],[1]],tabela_registros[REGISTRO],DADOS!$N$5,tabela_registros[TIPO],DADOS!$AB$4,tabela_registros[CATEGORIA],investirrendavariávelconsolidadoabr[[#This Row],[ATUAL]])</f>
        <v>0</v>
      </c>
      <c r="F133" s="91">
        <f>SUMIFS(tabela_registros[VALOR],tabela_registros[MÊS],$AE$1,tabela_registros[DIA],investirrendavariávelconsolidadoabr[[#Headers],[2]],tabela_registros[REGISTRO],DADOS!$N$5,tabela_registros[TIPO],DADOS!$AB$4,tabela_registros[CATEGORIA],investirrendavariávelconsolidadoabr[[#This Row],[ATUAL]])</f>
        <v>0</v>
      </c>
      <c r="G133" s="91">
        <f>SUMIFS(tabela_registros[VALOR],tabela_registros[MÊS],$AE$1,tabela_registros[DIA],investirrendavariávelconsolidadoabr[[#Headers],[3]],tabela_registros[REGISTRO],DADOS!$N$5,tabela_registros[TIPO],DADOS!$AB$4,tabela_registros[CATEGORIA],investirrendavariávelconsolidadoabr[[#This Row],[ATUAL]])</f>
        <v>0</v>
      </c>
      <c r="H133" s="91">
        <f>SUMIFS(tabela_registros[VALOR],tabela_registros[MÊS],$AE$1,tabela_registros[DIA],investirrendavariávelconsolidadoabr[[#Headers],[4]],tabela_registros[REGISTRO],DADOS!$N$5,tabela_registros[TIPO],DADOS!$AB$4,tabela_registros[CATEGORIA],investirrendavariávelconsolidadoabr[[#This Row],[ATUAL]])</f>
        <v>0</v>
      </c>
      <c r="I133" s="91">
        <f>SUMIFS(tabela_registros[VALOR],tabela_registros[MÊS],$AE$1,tabela_registros[DIA],investirrendavariávelconsolidadoabr[[#Headers],[5]],tabela_registros[REGISTRO],DADOS!$N$5,tabela_registros[TIPO],DADOS!$AB$4,tabela_registros[CATEGORIA],investirrendavariávelconsolidadoabr[[#This Row],[ATUAL]])</f>
        <v>0</v>
      </c>
      <c r="J133" s="91">
        <f>SUMIFS(tabela_registros[VALOR],tabela_registros[MÊS],$AE$1,tabela_registros[DIA],investirrendavariávelconsolidadoabr[[#Headers],[6]],tabela_registros[REGISTRO],DADOS!$N$5,tabela_registros[TIPO],DADOS!$AB$4,tabela_registros[CATEGORIA],investirrendavariávelconsolidadoabr[[#This Row],[ATUAL]])</f>
        <v>0</v>
      </c>
      <c r="K133" s="91">
        <f>SUMIFS(tabela_registros[VALOR],tabela_registros[MÊS],$AE$1,tabela_registros[DIA],investirrendavariávelconsolidadoabr[[#Headers],[7]],tabela_registros[REGISTRO],DADOS!$N$5,tabela_registros[TIPO],DADOS!$AB$4,tabela_registros[CATEGORIA],investirrendavariávelconsolidadoabr[[#This Row],[ATUAL]])</f>
        <v>0</v>
      </c>
      <c r="L133" s="91">
        <f>SUMIFS(tabela_registros[VALOR],tabela_registros[MÊS],$AE$1,tabela_registros[DIA],investirrendavariávelconsolidadoabr[[#Headers],[8]],tabela_registros[REGISTRO],DADOS!$N$5,tabela_registros[TIPO],DADOS!$AB$4,tabela_registros[CATEGORIA],investirrendavariávelconsolidadoabr[[#This Row],[ATUAL]])</f>
        <v>0</v>
      </c>
      <c r="M133" s="91">
        <f>SUMIFS(tabela_registros[VALOR],tabela_registros[MÊS],$AE$1,tabela_registros[DIA],investirrendavariávelconsolidadoabr[[#Headers],[9]],tabela_registros[REGISTRO],DADOS!$N$5,tabela_registros[TIPO],DADOS!$AB$4,tabela_registros[CATEGORIA],investirrendavariávelconsolidadoabr[[#This Row],[ATUAL]])</f>
        <v>0</v>
      </c>
      <c r="N133" s="91">
        <f>SUMIFS(tabela_registros[VALOR],tabela_registros[MÊS],$AE$1,tabela_registros[DIA],investirrendavariávelconsolidadoabr[[#Headers],[10]],tabela_registros[REGISTRO],DADOS!$N$5,tabela_registros[TIPO],DADOS!$AB$4,tabela_registros[CATEGORIA],investirrendavariávelconsolidadoabr[[#This Row],[ATUAL]])</f>
        <v>0</v>
      </c>
      <c r="O133" s="91">
        <f>SUMIFS(tabela_registros[VALOR],tabela_registros[MÊS],$AE$1,tabela_registros[DIA],investirrendavariávelconsolidadoabr[[#Headers],[11]],tabela_registros[REGISTRO],DADOS!$N$5,tabela_registros[TIPO],DADOS!$AB$4,tabela_registros[CATEGORIA],investirrendavariávelconsolidadoabr[[#This Row],[ATUAL]])</f>
        <v>0</v>
      </c>
      <c r="P133" s="91">
        <f>SUMIFS(tabela_registros[VALOR],tabela_registros[MÊS],$AE$1,tabela_registros[DIA],investirrendavariávelconsolidadoabr[[#Headers],[12]],tabela_registros[REGISTRO],DADOS!$N$5,tabela_registros[TIPO],DADOS!$AB$4,tabela_registros[CATEGORIA],investirrendavariávelconsolidadoabr[[#This Row],[ATUAL]])</f>
        <v>0</v>
      </c>
      <c r="Q133" s="91">
        <f>SUMIFS(tabela_registros[VALOR],tabela_registros[MÊS],$AE$1,tabela_registros[DIA],investirrendavariávelconsolidadoabr[[#Headers],[13]],tabela_registros[REGISTRO],DADOS!$N$5,tabela_registros[TIPO],DADOS!$AB$4,tabela_registros[CATEGORIA],investirrendavariávelconsolidadoabr[[#This Row],[ATUAL]])</f>
        <v>0</v>
      </c>
      <c r="R133" s="91">
        <f>SUMIFS(tabela_registros[VALOR],tabela_registros[MÊS],$AE$1,tabela_registros[DIA],investirrendavariávelconsolidadoabr[[#Headers],[14]],tabela_registros[REGISTRO],DADOS!$N$5,tabela_registros[TIPO],DADOS!$AB$4,tabela_registros[CATEGORIA],investirrendavariávelconsolidadoabr[[#This Row],[ATUAL]])</f>
        <v>0</v>
      </c>
      <c r="S133" s="91">
        <f>SUMIFS(tabela_registros[VALOR],tabela_registros[MÊS],$AE$1,tabela_registros[DIA],investirrendavariávelconsolidadoabr[[#Headers],[15]],tabela_registros[REGISTRO],DADOS!$N$5,tabela_registros[TIPO],DADOS!$AB$4,tabela_registros[CATEGORIA],investirrendavariávelconsolidadoabr[[#This Row],[ATUAL]])</f>
        <v>0</v>
      </c>
      <c r="T133" s="91">
        <f>SUMIFS(tabela_registros[VALOR],tabela_registros[MÊS],$AE$1,tabela_registros[DIA],investirrendavariávelconsolidadoabr[[#Headers],[16]],tabela_registros[REGISTRO],DADOS!$N$5,tabela_registros[TIPO],DADOS!$AB$4,tabela_registros[CATEGORIA],investirrendavariávelconsolidadoabr[[#This Row],[ATUAL]])</f>
        <v>0</v>
      </c>
      <c r="U133" s="91">
        <f>SUMIFS(tabela_registros[VALOR],tabela_registros[MÊS],$AE$1,tabela_registros[DIA],investirrendavariávelconsolidadoabr[[#Headers],[17]],tabela_registros[REGISTRO],DADOS!$N$5,tabela_registros[TIPO],DADOS!$AB$4,tabela_registros[CATEGORIA],investirrendavariávelconsolidadoabr[[#This Row],[ATUAL]])</f>
        <v>0</v>
      </c>
      <c r="V133" s="91">
        <f>SUMIFS(tabela_registros[VALOR],tabela_registros[MÊS],$AE$1,tabela_registros[DIA],investirrendavariávelconsolidadoabr[[#Headers],[18]],tabela_registros[REGISTRO],DADOS!$N$5,tabela_registros[TIPO],DADOS!$AB$4,tabela_registros[CATEGORIA],investirrendavariávelconsolidadoabr[[#This Row],[ATUAL]])</f>
        <v>0</v>
      </c>
      <c r="W133" s="91">
        <f>SUMIFS(tabela_registros[VALOR],tabela_registros[MÊS],$AE$1,tabela_registros[DIA],investirrendavariávelconsolidadoabr[[#Headers],[19]],tabela_registros[REGISTRO],DADOS!$N$5,tabela_registros[TIPO],DADOS!$AB$4,tabela_registros[CATEGORIA],investirrendavariávelconsolidadoabr[[#This Row],[ATUAL]])</f>
        <v>0</v>
      </c>
      <c r="X133" s="91">
        <f>SUMIFS(tabela_registros[VALOR],tabela_registros[MÊS],$AE$1,tabela_registros[DIA],investirrendavariávelconsolidadoabr[[#Headers],[20]],tabela_registros[REGISTRO],DADOS!$N$5,tabela_registros[TIPO],DADOS!$AB$4,tabela_registros[CATEGORIA],investirrendavariávelconsolidadoabr[[#This Row],[ATUAL]])</f>
        <v>0</v>
      </c>
      <c r="Y133" s="91">
        <f>SUMIFS(tabela_registros[VALOR],tabela_registros[MÊS],$AE$1,tabela_registros[DIA],investirrendavariávelconsolidadoabr[[#Headers],[21]],tabela_registros[REGISTRO],DADOS!$N$5,tabela_registros[TIPO],DADOS!$AB$4,tabela_registros[CATEGORIA],investirrendavariávelconsolidadoabr[[#This Row],[ATUAL]])</f>
        <v>0</v>
      </c>
      <c r="Z133" s="91">
        <f>SUMIFS(tabela_registros[VALOR],tabela_registros[MÊS],$AE$1,tabela_registros[DIA],investirrendavariávelconsolidadoabr[[#Headers],[22]],tabela_registros[REGISTRO],DADOS!$N$5,tabela_registros[TIPO],DADOS!$AB$4,tabela_registros[CATEGORIA],investirrendavariávelconsolidadoabr[[#This Row],[ATUAL]])</f>
        <v>0</v>
      </c>
      <c r="AA133" s="91">
        <f>SUMIFS(tabela_registros[VALOR],tabela_registros[MÊS],$AE$1,tabela_registros[DIA],investirrendavariávelconsolidadoabr[[#Headers],[23]],tabela_registros[REGISTRO],DADOS!$N$5,tabela_registros[TIPO],DADOS!$AB$4,tabela_registros[CATEGORIA],investirrendavariávelconsolidadoabr[[#This Row],[ATUAL]])</f>
        <v>0</v>
      </c>
      <c r="AB133" s="91">
        <f>SUMIFS(tabela_registros[VALOR],tabela_registros[MÊS],$AE$1,tabela_registros[DIA],investirrendavariávelconsolidadoabr[[#Headers],[24]],tabela_registros[REGISTRO],DADOS!$N$5,tabela_registros[TIPO],DADOS!$AB$4,tabela_registros[CATEGORIA],investirrendavariávelconsolidadoabr[[#This Row],[ATUAL]])</f>
        <v>0</v>
      </c>
      <c r="AC133" s="91">
        <f>SUMIFS(tabela_registros[VALOR],tabela_registros[MÊS],$AE$1,tabela_registros[DIA],investirrendavariávelconsolidadoabr[[#Headers],[25]],tabela_registros[REGISTRO],DADOS!$N$5,tabela_registros[TIPO],DADOS!$AB$4,tabela_registros[CATEGORIA],investirrendavariávelconsolidadoabr[[#This Row],[ATUAL]])</f>
        <v>0</v>
      </c>
      <c r="AD133" s="91">
        <f>SUMIFS(tabela_registros[VALOR],tabela_registros[MÊS],$AE$1,tabela_registros[DIA],investirrendavariávelconsolidadoabr[[#Headers],[26]],tabela_registros[REGISTRO],DADOS!$N$5,tabela_registros[TIPO],DADOS!$AB$4,tabela_registros[CATEGORIA],investirrendavariávelconsolidadoabr[[#This Row],[ATUAL]])</f>
        <v>0</v>
      </c>
      <c r="AE133" s="91">
        <f>SUMIFS(tabela_registros[VALOR],tabela_registros[MÊS],$AE$1,tabela_registros[DIA],investirrendavariávelconsolidadoabr[[#Headers],[27]],tabela_registros[REGISTRO],DADOS!$N$5,tabela_registros[TIPO],DADOS!$AB$4,tabela_registros[CATEGORIA],investirrendavariávelconsolidadoabr[[#This Row],[ATUAL]])</f>
        <v>0</v>
      </c>
      <c r="AF133" s="91">
        <f>SUMIFS(tabela_registros[VALOR],tabela_registros[MÊS],$AE$1,tabela_registros[DIA],investirrendavariávelconsolidadoabr[[#Headers],[28]],tabela_registros[REGISTRO],DADOS!$N$5,tabela_registros[TIPO],DADOS!$AB$4,tabela_registros[CATEGORIA],investirrendavariávelconsolidadoabr[[#This Row],[ATUAL]])</f>
        <v>0</v>
      </c>
      <c r="AG133" s="91">
        <f>SUMIFS(tabela_registros[VALOR],tabela_registros[MÊS],$AE$1,tabela_registros[DIA],investirrendavariávelconsolidadoabr[[#Headers],[29]],tabela_registros[REGISTRO],DADOS!$N$5,tabela_registros[TIPO],DADOS!$AB$4,tabela_registros[CATEGORIA],investirrendavariávelconsolidadoabr[[#This Row],[ATUAL]])</f>
        <v>0</v>
      </c>
      <c r="AH133" s="91">
        <f>SUMIFS(tabela_registros[VALOR],tabela_registros[MÊS],$AE$1,tabela_registros[DIA],investirrendavariávelconsolidadoabr[[#Headers],[30]],tabela_registros[REGISTRO],DADOS!$N$5,tabela_registros[TIPO],DADOS!$AB$4,tabela_registros[CATEGORIA],investirrendavariávelconsolidadoabr[[#This Row],[ATUAL]])</f>
        <v>0</v>
      </c>
      <c r="AI133" s="101">
        <f>SUMIFS(tabela_registros[VALOR],tabela_registros[MÊS],$AE$1,tabela_registros[DIA],investirrendavariávelconsolidadoabr[[#Headers],[31]],tabela_registros[REGISTRO],DADOS!$N$5,tabela_registros[TIPO],DADOS!$AB$4,tabela_registros[CATEGORIA],investirrendavariávelconsolidadoabr[[#This Row],[ATUAL]])</f>
        <v>0</v>
      </c>
      <c r="AJ133" s="97">
        <f>SUM(investirrendavariávelconsolidadoabr[[#This Row],[1]:[31]])</f>
        <v>0</v>
      </c>
      <c r="AK133" s="25"/>
    </row>
    <row r="134" spans="2:37" ht="19.5" customHeight="1" thickTop="1" thickBot="1" x14ac:dyDescent="0.3">
      <c r="B134" s="28"/>
      <c r="C134" s="27" t="str">
        <f>DADOS!$AF$5</f>
        <v>📝 CONTRATO DE FUTUROS</v>
      </c>
      <c r="D134" s="26" t="str">
        <f>IF(investirrendavariávelconsolidadoabr[[#This Row],[TOTAL (R$)]]=0,"",IF(OR(investirrendavariávelconsolidadoabr[[#This Row],[TOTAL (R$)]]=LARGE($AJ$132:$AJ$141,1),investirrendavariávelconsolidadoabr[[#This Row],[TOTAL (R$)]]=LARGE($AJ$132:$AJ$141,2)),DADOS!$I$10,""))</f>
        <v/>
      </c>
      <c r="E134" s="96">
        <f>SUMIFS(tabela_registros[VALOR],tabela_registros[MÊS],$AE$1,tabela_registros[DIA],investirrendavariávelconsolidadoabr[[#Headers],[1]],tabela_registros[REGISTRO],DADOS!$N$5,tabela_registros[TIPO],DADOS!$AB$4,tabela_registros[CATEGORIA],investirrendavariávelconsolidadoabr[[#This Row],[ATUAL]])</f>
        <v>0</v>
      </c>
      <c r="F134" s="91">
        <f>SUMIFS(tabela_registros[VALOR],tabela_registros[MÊS],$AE$1,tabela_registros[DIA],investirrendavariávelconsolidadoabr[[#Headers],[2]],tabela_registros[REGISTRO],DADOS!$N$5,tabela_registros[TIPO],DADOS!$AB$4,tabela_registros[CATEGORIA],investirrendavariávelconsolidadoabr[[#This Row],[ATUAL]])</f>
        <v>0</v>
      </c>
      <c r="G134" s="91">
        <f>SUMIFS(tabela_registros[VALOR],tabela_registros[MÊS],$AE$1,tabela_registros[DIA],investirrendavariávelconsolidadoabr[[#Headers],[3]],tabela_registros[REGISTRO],DADOS!$N$5,tabela_registros[TIPO],DADOS!$AB$4,tabela_registros[CATEGORIA],investirrendavariávelconsolidadoabr[[#This Row],[ATUAL]])</f>
        <v>0</v>
      </c>
      <c r="H134" s="91">
        <f>SUMIFS(tabela_registros[VALOR],tabela_registros[MÊS],$AE$1,tabela_registros[DIA],investirrendavariávelconsolidadoabr[[#Headers],[4]],tabela_registros[REGISTRO],DADOS!$N$5,tabela_registros[TIPO],DADOS!$AB$4,tabela_registros[CATEGORIA],investirrendavariávelconsolidadoabr[[#This Row],[ATUAL]])</f>
        <v>0</v>
      </c>
      <c r="I134" s="91">
        <f>SUMIFS(tabela_registros[VALOR],tabela_registros[MÊS],$AE$1,tabela_registros[DIA],investirrendavariávelconsolidadoabr[[#Headers],[5]],tabela_registros[REGISTRO],DADOS!$N$5,tabela_registros[TIPO],DADOS!$AB$4,tabela_registros[CATEGORIA],investirrendavariávelconsolidadoabr[[#This Row],[ATUAL]])</f>
        <v>0</v>
      </c>
      <c r="J134" s="91">
        <f>SUMIFS(tabela_registros[VALOR],tabela_registros[MÊS],$AE$1,tabela_registros[DIA],investirrendavariávelconsolidadoabr[[#Headers],[6]],tabela_registros[REGISTRO],DADOS!$N$5,tabela_registros[TIPO],DADOS!$AB$4,tabela_registros[CATEGORIA],investirrendavariávelconsolidadoabr[[#This Row],[ATUAL]])</f>
        <v>0</v>
      </c>
      <c r="K134" s="91">
        <f>SUMIFS(tabela_registros[VALOR],tabela_registros[MÊS],$AE$1,tabela_registros[DIA],investirrendavariávelconsolidadoabr[[#Headers],[7]],tabela_registros[REGISTRO],DADOS!$N$5,tabela_registros[TIPO],DADOS!$AB$4,tabela_registros[CATEGORIA],investirrendavariávelconsolidadoabr[[#This Row],[ATUAL]])</f>
        <v>0</v>
      </c>
      <c r="L134" s="91">
        <f>SUMIFS(tabela_registros[VALOR],tabela_registros[MÊS],$AE$1,tabela_registros[DIA],investirrendavariávelconsolidadoabr[[#Headers],[8]],tabela_registros[REGISTRO],DADOS!$N$5,tabela_registros[TIPO],DADOS!$AB$4,tabela_registros[CATEGORIA],investirrendavariávelconsolidadoabr[[#This Row],[ATUAL]])</f>
        <v>0</v>
      </c>
      <c r="M134" s="91">
        <f>SUMIFS(tabela_registros[VALOR],tabela_registros[MÊS],$AE$1,tabela_registros[DIA],investirrendavariávelconsolidadoabr[[#Headers],[9]],tabela_registros[REGISTRO],DADOS!$N$5,tabela_registros[TIPO],DADOS!$AB$4,tabela_registros[CATEGORIA],investirrendavariávelconsolidadoabr[[#This Row],[ATUAL]])</f>
        <v>0</v>
      </c>
      <c r="N134" s="91">
        <f>SUMIFS(tabela_registros[VALOR],tabela_registros[MÊS],$AE$1,tabela_registros[DIA],investirrendavariávelconsolidadoabr[[#Headers],[10]],tabela_registros[REGISTRO],DADOS!$N$5,tabela_registros[TIPO],DADOS!$AB$4,tabela_registros[CATEGORIA],investirrendavariávelconsolidadoabr[[#This Row],[ATUAL]])</f>
        <v>0</v>
      </c>
      <c r="O134" s="91">
        <f>SUMIFS(tabela_registros[VALOR],tabela_registros[MÊS],$AE$1,tabela_registros[DIA],investirrendavariávelconsolidadoabr[[#Headers],[11]],tabela_registros[REGISTRO],DADOS!$N$5,tabela_registros[TIPO],DADOS!$AB$4,tabela_registros[CATEGORIA],investirrendavariávelconsolidadoabr[[#This Row],[ATUAL]])</f>
        <v>0</v>
      </c>
      <c r="P134" s="91">
        <f>SUMIFS(tabela_registros[VALOR],tabela_registros[MÊS],$AE$1,tabela_registros[DIA],investirrendavariávelconsolidadoabr[[#Headers],[12]],tabela_registros[REGISTRO],DADOS!$N$5,tabela_registros[TIPO],DADOS!$AB$4,tabela_registros[CATEGORIA],investirrendavariávelconsolidadoabr[[#This Row],[ATUAL]])</f>
        <v>0</v>
      </c>
      <c r="Q134" s="91">
        <f>SUMIFS(tabela_registros[VALOR],tabela_registros[MÊS],$AE$1,tabela_registros[DIA],investirrendavariávelconsolidadoabr[[#Headers],[13]],tabela_registros[REGISTRO],DADOS!$N$5,tabela_registros[TIPO],DADOS!$AB$4,tabela_registros[CATEGORIA],investirrendavariávelconsolidadoabr[[#This Row],[ATUAL]])</f>
        <v>0</v>
      </c>
      <c r="R134" s="91">
        <f>SUMIFS(tabela_registros[VALOR],tabela_registros[MÊS],$AE$1,tabela_registros[DIA],investirrendavariávelconsolidadoabr[[#Headers],[14]],tabela_registros[REGISTRO],DADOS!$N$5,tabela_registros[TIPO],DADOS!$AB$4,tabela_registros[CATEGORIA],investirrendavariávelconsolidadoabr[[#This Row],[ATUAL]])</f>
        <v>0</v>
      </c>
      <c r="S134" s="91">
        <f>SUMIFS(tabela_registros[VALOR],tabela_registros[MÊS],$AE$1,tabela_registros[DIA],investirrendavariávelconsolidadoabr[[#Headers],[15]],tabela_registros[REGISTRO],DADOS!$N$5,tabela_registros[TIPO],DADOS!$AB$4,tabela_registros[CATEGORIA],investirrendavariávelconsolidadoabr[[#This Row],[ATUAL]])</f>
        <v>0</v>
      </c>
      <c r="T134" s="91">
        <f>SUMIFS(tabela_registros[VALOR],tabela_registros[MÊS],$AE$1,tabela_registros[DIA],investirrendavariávelconsolidadoabr[[#Headers],[16]],tabela_registros[REGISTRO],DADOS!$N$5,tabela_registros[TIPO],DADOS!$AB$4,tabela_registros[CATEGORIA],investirrendavariávelconsolidadoabr[[#This Row],[ATUAL]])</f>
        <v>0</v>
      </c>
      <c r="U134" s="91">
        <f>SUMIFS(tabela_registros[VALOR],tabela_registros[MÊS],$AE$1,tabela_registros[DIA],investirrendavariávelconsolidadoabr[[#Headers],[17]],tabela_registros[REGISTRO],DADOS!$N$5,tabela_registros[TIPO],DADOS!$AB$4,tabela_registros[CATEGORIA],investirrendavariávelconsolidadoabr[[#This Row],[ATUAL]])</f>
        <v>0</v>
      </c>
      <c r="V134" s="91">
        <f>SUMIFS(tabela_registros[VALOR],tabela_registros[MÊS],$AE$1,tabela_registros[DIA],investirrendavariávelconsolidadoabr[[#Headers],[18]],tabela_registros[REGISTRO],DADOS!$N$5,tabela_registros[TIPO],DADOS!$AB$4,tabela_registros[CATEGORIA],investirrendavariávelconsolidadoabr[[#This Row],[ATUAL]])</f>
        <v>0</v>
      </c>
      <c r="W134" s="91">
        <f>SUMIFS(tabela_registros[VALOR],tabela_registros[MÊS],$AE$1,tabela_registros[DIA],investirrendavariávelconsolidadoabr[[#Headers],[19]],tabela_registros[REGISTRO],DADOS!$N$5,tabela_registros[TIPO],DADOS!$AB$4,tabela_registros[CATEGORIA],investirrendavariávelconsolidadoabr[[#This Row],[ATUAL]])</f>
        <v>0</v>
      </c>
      <c r="X134" s="91">
        <f>SUMIFS(tabela_registros[VALOR],tabela_registros[MÊS],$AE$1,tabela_registros[DIA],investirrendavariávelconsolidadoabr[[#Headers],[20]],tabela_registros[REGISTRO],DADOS!$N$5,tabela_registros[TIPO],DADOS!$AB$4,tabela_registros[CATEGORIA],investirrendavariávelconsolidadoabr[[#This Row],[ATUAL]])</f>
        <v>0</v>
      </c>
      <c r="Y134" s="91">
        <f>SUMIFS(tabela_registros[VALOR],tabela_registros[MÊS],$AE$1,tabela_registros[DIA],investirrendavariávelconsolidadoabr[[#Headers],[21]],tabela_registros[REGISTRO],DADOS!$N$5,tabela_registros[TIPO],DADOS!$AB$4,tabela_registros[CATEGORIA],investirrendavariávelconsolidadoabr[[#This Row],[ATUAL]])</f>
        <v>0</v>
      </c>
      <c r="Z134" s="91">
        <f>SUMIFS(tabela_registros[VALOR],tabela_registros[MÊS],$AE$1,tabela_registros[DIA],investirrendavariávelconsolidadoabr[[#Headers],[22]],tabela_registros[REGISTRO],DADOS!$N$5,tabela_registros[TIPO],DADOS!$AB$4,tabela_registros[CATEGORIA],investirrendavariávelconsolidadoabr[[#This Row],[ATUAL]])</f>
        <v>0</v>
      </c>
      <c r="AA134" s="91">
        <f>SUMIFS(tabela_registros[VALOR],tabela_registros[MÊS],$AE$1,tabela_registros[DIA],investirrendavariávelconsolidadoabr[[#Headers],[23]],tabela_registros[REGISTRO],DADOS!$N$5,tabela_registros[TIPO],DADOS!$AB$4,tabela_registros[CATEGORIA],investirrendavariávelconsolidadoabr[[#This Row],[ATUAL]])</f>
        <v>0</v>
      </c>
      <c r="AB134" s="91">
        <f>SUMIFS(tabela_registros[VALOR],tabela_registros[MÊS],$AE$1,tabela_registros[DIA],investirrendavariávelconsolidadoabr[[#Headers],[24]],tabela_registros[REGISTRO],DADOS!$N$5,tabela_registros[TIPO],DADOS!$AB$4,tabela_registros[CATEGORIA],investirrendavariávelconsolidadoabr[[#This Row],[ATUAL]])</f>
        <v>0</v>
      </c>
      <c r="AC134" s="91">
        <f>SUMIFS(tabela_registros[VALOR],tabela_registros[MÊS],$AE$1,tabela_registros[DIA],investirrendavariávelconsolidadoabr[[#Headers],[25]],tabela_registros[REGISTRO],DADOS!$N$5,tabela_registros[TIPO],DADOS!$AB$4,tabela_registros[CATEGORIA],investirrendavariávelconsolidadoabr[[#This Row],[ATUAL]])</f>
        <v>0</v>
      </c>
      <c r="AD134" s="91">
        <f>SUMIFS(tabela_registros[VALOR],tabela_registros[MÊS],$AE$1,tabela_registros[DIA],investirrendavariávelconsolidadoabr[[#Headers],[26]],tabela_registros[REGISTRO],DADOS!$N$5,tabela_registros[TIPO],DADOS!$AB$4,tabela_registros[CATEGORIA],investirrendavariávelconsolidadoabr[[#This Row],[ATUAL]])</f>
        <v>0</v>
      </c>
      <c r="AE134" s="91">
        <f>SUMIFS(tabela_registros[VALOR],tabela_registros[MÊS],$AE$1,tabela_registros[DIA],investirrendavariávelconsolidadoabr[[#Headers],[27]],tabela_registros[REGISTRO],DADOS!$N$5,tabela_registros[TIPO],DADOS!$AB$4,tabela_registros[CATEGORIA],investirrendavariávelconsolidadoabr[[#This Row],[ATUAL]])</f>
        <v>0</v>
      </c>
      <c r="AF134" s="91">
        <f>SUMIFS(tabela_registros[VALOR],tabela_registros[MÊS],$AE$1,tabela_registros[DIA],investirrendavariávelconsolidadoabr[[#Headers],[28]],tabela_registros[REGISTRO],DADOS!$N$5,tabela_registros[TIPO],DADOS!$AB$4,tabela_registros[CATEGORIA],investirrendavariávelconsolidadoabr[[#This Row],[ATUAL]])</f>
        <v>0</v>
      </c>
      <c r="AG134" s="91">
        <f>SUMIFS(tabela_registros[VALOR],tabela_registros[MÊS],$AE$1,tabela_registros[DIA],investirrendavariávelconsolidadoabr[[#Headers],[29]],tabela_registros[REGISTRO],DADOS!$N$5,tabela_registros[TIPO],DADOS!$AB$4,tabela_registros[CATEGORIA],investirrendavariávelconsolidadoabr[[#This Row],[ATUAL]])</f>
        <v>0</v>
      </c>
      <c r="AH134" s="91">
        <f>SUMIFS(tabela_registros[VALOR],tabela_registros[MÊS],$AE$1,tabela_registros[DIA],investirrendavariávelconsolidadoabr[[#Headers],[30]],tabela_registros[REGISTRO],DADOS!$N$5,tabela_registros[TIPO],DADOS!$AB$4,tabela_registros[CATEGORIA],investirrendavariávelconsolidadoabr[[#This Row],[ATUAL]])</f>
        <v>0</v>
      </c>
      <c r="AI134" s="101">
        <f>SUMIFS(tabela_registros[VALOR],tabela_registros[MÊS],$AE$1,tabela_registros[DIA],investirrendavariávelconsolidadoabr[[#Headers],[31]],tabela_registros[REGISTRO],DADOS!$N$5,tabela_registros[TIPO],DADOS!$AB$4,tabela_registros[CATEGORIA],investirrendavariávelconsolidadoabr[[#This Row],[ATUAL]])</f>
        <v>0</v>
      </c>
      <c r="AJ134" s="97">
        <f>SUM(investirrendavariávelconsolidadoabr[[#This Row],[1]:[31]])</f>
        <v>0</v>
      </c>
      <c r="AK134" s="25"/>
    </row>
    <row r="135" spans="2:37" ht="19.5" customHeight="1" thickTop="1" thickBot="1" x14ac:dyDescent="0.3">
      <c r="B135" s="28"/>
      <c r="C135" s="27" t="str">
        <f>DADOS!$AF$6</f>
        <v>📝 CONTRATO DE OPÇÕES</v>
      </c>
      <c r="D135" s="26" t="str">
        <f>IF(investirrendavariávelconsolidadoabr[[#This Row],[TOTAL (R$)]]=0,"",IF(OR(investirrendavariávelconsolidadoabr[[#This Row],[TOTAL (R$)]]=LARGE($AJ$132:$AJ$141,1),investirrendavariávelconsolidadoabr[[#This Row],[TOTAL (R$)]]=LARGE($AJ$132:$AJ$141,2)),DADOS!$I$10,""))</f>
        <v/>
      </c>
      <c r="E135" s="96">
        <f>SUMIFS(tabela_registros[VALOR],tabela_registros[MÊS],$AE$1,tabela_registros[DIA],investirrendavariávelconsolidadoabr[[#Headers],[1]],tabela_registros[REGISTRO],DADOS!$N$5,tabela_registros[TIPO],DADOS!$AB$4,tabela_registros[CATEGORIA],investirrendavariávelconsolidadoabr[[#This Row],[ATUAL]])</f>
        <v>0</v>
      </c>
      <c r="F135" s="91">
        <f>SUMIFS(tabela_registros[VALOR],tabela_registros[MÊS],$AE$1,tabela_registros[DIA],investirrendavariávelconsolidadoabr[[#Headers],[2]],tabela_registros[REGISTRO],DADOS!$N$5,tabela_registros[TIPO],DADOS!$AB$4,tabela_registros[CATEGORIA],investirrendavariávelconsolidadoabr[[#This Row],[ATUAL]])</f>
        <v>0</v>
      </c>
      <c r="G135" s="91">
        <f>SUMIFS(tabela_registros[VALOR],tabela_registros[MÊS],$AE$1,tabela_registros[DIA],investirrendavariávelconsolidadoabr[[#Headers],[3]],tabela_registros[REGISTRO],DADOS!$N$5,tabela_registros[TIPO],DADOS!$AB$4,tabela_registros[CATEGORIA],investirrendavariávelconsolidadoabr[[#This Row],[ATUAL]])</f>
        <v>0</v>
      </c>
      <c r="H135" s="91">
        <f>SUMIFS(tabela_registros[VALOR],tabela_registros[MÊS],$AE$1,tabela_registros[DIA],investirrendavariávelconsolidadoabr[[#Headers],[4]],tabela_registros[REGISTRO],DADOS!$N$5,tabela_registros[TIPO],DADOS!$AB$4,tabela_registros[CATEGORIA],investirrendavariávelconsolidadoabr[[#This Row],[ATUAL]])</f>
        <v>0</v>
      </c>
      <c r="I135" s="91">
        <f>SUMIFS(tabela_registros[VALOR],tabela_registros[MÊS],$AE$1,tabela_registros[DIA],investirrendavariávelconsolidadoabr[[#Headers],[5]],tabela_registros[REGISTRO],DADOS!$N$5,tabela_registros[TIPO],DADOS!$AB$4,tabela_registros[CATEGORIA],investirrendavariávelconsolidadoabr[[#This Row],[ATUAL]])</f>
        <v>0</v>
      </c>
      <c r="J135" s="91">
        <f>SUMIFS(tabela_registros[VALOR],tabela_registros[MÊS],$AE$1,tabela_registros[DIA],investirrendavariávelconsolidadoabr[[#Headers],[6]],tabela_registros[REGISTRO],DADOS!$N$5,tabela_registros[TIPO],DADOS!$AB$4,tabela_registros[CATEGORIA],investirrendavariávelconsolidadoabr[[#This Row],[ATUAL]])</f>
        <v>0</v>
      </c>
      <c r="K135" s="91">
        <f>SUMIFS(tabela_registros[VALOR],tabela_registros[MÊS],$AE$1,tabela_registros[DIA],investirrendavariávelconsolidadoabr[[#Headers],[7]],tabela_registros[REGISTRO],DADOS!$N$5,tabela_registros[TIPO],DADOS!$AB$4,tabela_registros[CATEGORIA],investirrendavariávelconsolidadoabr[[#This Row],[ATUAL]])</f>
        <v>0</v>
      </c>
      <c r="L135" s="91">
        <f>SUMIFS(tabela_registros[VALOR],tabela_registros[MÊS],$AE$1,tabela_registros[DIA],investirrendavariávelconsolidadoabr[[#Headers],[8]],tabela_registros[REGISTRO],DADOS!$N$5,tabela_registros[TIPO],DADOS!$AB$4,tabela_registros[CATEGORIA],investirrendavariávelconsolidadoabr[[#This Row],[ATUAL]])</f>
        <v>0</v>
      </c>
      <c r="M135" s="91">
        <f>SUMIFS(tabela_registros[VALOR],tabela_registros[MÊS],$AE$1,tabela_registros[DIA],investirrendavariávelconsolidadoabr[[#Headers],[9]],tabela_registros[REGISTRO],DADOS!$N$5,tabela_registros[TIPO],DADOS!$AB$4,tabela_registros[CATEGORIA],investirrendavariávelconsolidadoabr[[#This Row],[ATUAL]])</f>
        <v>0</v>
      </c>
      <c r="N135" s="91">
        <f>SUMIFS(tabela_registros[VALOR],tabela_registros[MÊS],$AE$1,tabela_registros[DIA],investirrendavariávelconsolidadoabr[[#Headers],[10]],tabela_registros[REGISTRO],DADOS!$N$5,tabela_registros[TIPO],DADOS!$AB$4,tabela_registros[CATEGORIA],investirrendavariávelconsolidadoabr[[#This Row],[ATUAL]])</f>
        <v>0</v>
      </c>
      <c r="O135" s="91">
        <f>SUMIFS(tabela_registros[VALOR],tabela_registros[MÊS],$AE$1,tabela_registros[DIA],investirrendavariávelconsolidadoabr[[#Headers],[11]],tabela_registros[REGISTRO],DADOS!$N$5,tabela_registros[TIPO],DADOS!$AB$4,tabela_registros[CATEGORIA],investirrendavariávelconsolidadoabr[[#This Row],[ATUAL]])</f>
        <v>0</v>
      </c>
      <c r="P135" s="91">
        <f>SUMIFS(tabela_registros[VALOR],tabela_registros[MÊS],$AE$1,tabela_registros[DIA],investirrendavariávelconsolidadoabr[[#Headers],[12]],tabela_registros[REGISTRO],DADOS!$N$5,tabela_registros[TIPO],DADOS!$AB$4,tabela_registros[CATEGORIA],investirrendavariávelconsolidadoabr[[#This Row],[ATUAL]])</f>
        <v>0</v>
      </c>
      <c r="Q135" s="91">
        <f>SUMIFS(tabela_registros[VALOR],tabela_registros[MÊS],$AE$1,tabela_registros[DIA],investirrendavariávelconsolidadoabr[[#Headers],[13]],tabela_registros[REGISTRO],DADOS!$N$5,tabela_registros[TIPO],DADOS!$AB$4,tabela_registros[CATEGORIA],investirrendavariávelconsolidadoabr[[#This Row],[ATUAL]])</f>
        <v>0</v>
      </c>
      <c r="R135" s="91">
        <f>SUMIFS(tabela_registros[VALOR],tabela_registros[MÊS],$AE$1,tabela_registros[DIA],investirrendavariávelconsolidadoabr[[#Headers],[14]],tabela_registros[REGISTRO],DADOS!$N$5,tabela_registros[TIPO],DADOS!$AB$4,tabela_registros[CATEGORIA],investirrendavariávelconsolidadoabr[[#This Row],[ATUAL]])</f>
        <v>0</v>
      </c>
      <c r="S135" s="91">
        <f>SUMIFS(tabela_registros[VALOR],tabela_registros[MÊS],$AE$1,tabela_registros[DIA],investirrendavariávelconsolidadoabr[[#Headers],[15]],tabela_registros[REGISTRO],DADOS!$N$5,tabela_registros[TIPO],DADOS!$AB$4,tabela_registros[CATEGORIA],investirrendavariávelconsolidadoabr[[#This Row],[ATUAL]])</f>
        <v>0</v>
      </c>
      <c r="T135" s="91">
        <f>SUMIFS(tabela_registros[VALOR],tabela_registros[MÊS],$AE$1,tabela_registros[DIA],investirrendavariávelconsolidadoabr[[#Headers],[16]],tabela_registros[REGISTRO],DADOS!$N$5,tabela_registros[TIPO],DADOS!$AB$4,tabela_registros[CATEGORIA],investirrendavariávelconsolidadoabr[[#This Row],[ATUAL]])</f>
        <v>0</v>
      </c>
      <c r="U135" s="91">
        <f>SUMIFS(tabela_registros[VALOR],tabela_registros[MÊS],$AE$1,tabela_registros[DIA],investirrendavariávelconsolidadoabr[[#Headers],[17]],tabela_registros[REGISTRO],DADOS!$N$5,tabela_registros[TIPO],DADOS!$AB$4,tabela_registros[CATEGORIA],investirrendavariávelconsolidadoabr[[#This Row],[ATUAL]])</f>
        <v>0</v>
      </c>
      <c r="V135" s="91">
        <f>SUMIFS(tabela_registros[VALOR],tabela_registros[MÊS],$AE$1,tabela_registros[DIA],investirrendavariávelconsolidadoabr[[#Headers],[18]],tabela_registros[REGISTRO],DADOS!$N$5,tabela_registros[TIPO],DADOS!$AB$4,tabela_registros[CATEGORIA],investirrendavariávelconsolidadoabr[[#This Row],[ATUAL]])</f>
        <v>0</v>
      </c>
      <c r="W135" s="91">
        <f>SUMIFS(tabela_registros[VALOR],tabela_registros[MÊS],$AE$1,tabela_registros[DIA],investirrendavariávelconsolidadoabr[[#Headers],[19]],tabela_registros[REGISTRO],DADOS!$N$5,tabela_registros[TIPO],DADOS!$AB$4,tabela_registros[CATEGORIA],investirrendavariávelconsolidadoabr[[#This Row],[ATUAL]])</f>
        <v>0</v>
      </c>
      <c r="X135" s="91">
        <f>SUMIFS(tabela_registros[VALOR],tabela_registros[MÊS],$AE$1,tabela_registros[DIA],investirrendavariávelconsolidadoabr[[#Headers],[20]],tabela_registros[REGISTRO],DADOS!$N$5,tabela_registros[TIPO],DADOS!$AB$4,tabela_registros[CATEGORIA],investirrendavariávelconsolidadoabr[[#This Row],[ATUAL]])</f>
        <v>0</v>
      </c>
      <c r="Y135" s="91">
        <f>SUMIFS(tabela_registros[VALOR],tabela_registros[MÊS],$AE$1,tabela_registros[DIA],investirrendavariávelconsolidadoabr[[#Headers],[21]],tabela_registros[REGISTRO],DADOS!$N$5,tabela_registros[TIPO],DADOS!$AB$4,tabela_registros[CATEGORIA],investirrendavariávelconsolidadoabr[[#This Row],[ATUAL]])</f>
        <v>0</v>
      </c>
      <c r="Z135" s="91">
        <f>SUMIFS(tabela_registros[VALOR],tabela_registros[MÊS],$AE$1,tabela_registros[DIA],investirrendavariávelconsolidadoabr[[#Headers],[22]],tabela_registros[REGISTRO],DADOS!$N$5,tabela_registros[TIPO],DADOS!$AB$4,tabela_registros[CATEGORIA],investirrendavariávelconsolidadoabr[[#This Row],[ATUAL]])</f>
        <v>0</v>
      </c>
      <c r="AA135" s="91">
        <f>SUMIFS(tabela_registros[VALOR],tabela_registros[MÊS],$AE$1,tabela_registros[DIA],investirrendavariávelconsolidadoabr[[#Headers],[23]],tabela_registros[REGISTRO],DADOS!$N$5,tabela_registros[TIPO],DADOS!$AB$4,tabela_registros[CATEGORIA],investirrendavariávelconsolidadoabr[[#This Row],[ATUAL]])</f>
        <v>0</v>
      </c>
      <c r="AB135" s="91">
        <f>SUMIFS(tabela_registros[VALOR],tabela_registros[MÊS],$AE$1,tabela_registros[DIA],investirrendavariávelconsolidadoabr[[#Headers],[24]],tabela_registros[REGISTRO],DADOS!$N$5,tabela_registros[TIPO],DADOS!$AB$4,tabela_registros[CATEGORIA],investirrendavariávelconsolidadoabr[[#This Row],[ATUAL]])</f>
        <v>0</v>
      </c>
      <c r="AC135" s="91">
        <f>SUMIFS(tabela_registros[VALOR],tabela_registros[MÊS],$AE$1,tabela_registros[DIA],investirrendavariávelconsolidadoabr[[#Headers],[25]],tabela_registros[REGISTRO],DADOS!$N$5,tabela_registros[TIPO],DADOS!$AB$4,tabela_registros[CATEGORIA],investirrendavariávelconsolidadoabr[[#This Row],[ATUAL]])</f>
        <v>0</v>
      </c>
      <c r="AD135" s="91">
        <f>SUMIFS(tabela_registros[VALOR],tabela_registros[MÊS],$AE$1,tabela_registros[DIA],investirrendavariávelconsolidadoabr[[#Headers],[26]],tabela_registros[REGISTRO],DADOS!$N$5,tabela_registros[TIPO],DADOS!$AB$4,tabela_registros[CATEGORIA],investirrendavariávelconsolidadoabr[[#This Row],[ATUAL]])</f>
        <v>0</v>
      </c>
      <c r="AE135" s="91">
        <f>SUMIFS(tabela_registros[VALOR],tabela_registros[MÊS],$AE$1,tabela_registros[DIA],investirrendavariávelconsolidadoabr[[#Headers],[27]],tabela_registros[REGISTRO],DADOS!$N$5,tabela_registros[TIPO],DADOS!$AB$4,tabela_registros[CATEGORIA],investirrendavariávelconsolidadoabr[[#This Row],[ATUAL]])</f>
        <v>0</v>
      </c>
      <c r="AF135" s="91">
        <f>SUMIFS(tabela_registros[VALOR],tabela_registros[MÊS],$AE$1,tabela_registros[DIA],investirrendavariávelconsolidadoabr[[#Headers],[28]],tabela_registros[REGISTRO],DADOS!$N$5,tabela_registros[TIPO],DADOS!$AB$4,tabela_registros[CATEGORIA],investirrendavariávelconsolidadoabr[[#This Row],[ATUAL]])</f>
        <v>0</v>
      </c>
      <c r="AG135" s="91">
        <f>SUMIFS(tabela_registros[VALOR],tabela_registros[MÊS],$AE$1,tabela_registros[DIA],investirrendavariávelconsolidadoabr[[#Headers],[29]],tabela_registros[REGISTRO],DADOS!$N$5,tabela_registros[TIPO],DADOS!$AB$4,tabela_registros[CATEGORIA],investirrendavariávelconsolidadoabr[[#This Row],[ATUAL]])</f>
        <v>0</v>
      </c>
      <c r="AH135" s="91">
        <f>SUMIFS(tabela_registros[VALOR],tabela_registros[MÊS],$AE$1,tabela_registros[DIA],investirrendavariávelconsolidadoabr[[#Headers],[30]],tabela_registros[REGISTRO],DADOS!$N$5,tabela_registros[TIPO],DADOS!$AB$4,tabela_registros[CATEGORIA],investirrendavariávelconsolidadoabr[[#This Row],[ATUAL]])</f>
        <v>0</v>
      </c>
      <c r="AI135" s="101">
        <f>SUMIFS(tabela_registros[VALOR],tabela_registros[MÊS],$AE$1,tabela_registros[DIA],investirrendavariávelconsolidadoabr[[#Headers],[31]],tabela_registros[REGISTRO],DADOS!$N$5,tabela_registros[TIPO],DADOS!$AB$4,tabela_registros[CATEGORIA],investirrendavariávelconsolidadoabr[[#This Row],[ATUAL]])</f>
        <v>0</v>
      </c>
      <c r="AJ135" s="97">
        <f>SUM(investirrendavariávelconsolidadoabr[[#This Row],[1]:[31]])</f>
        <v>0</v>
      </c>
      <c r="AK135" s="25"/>
    </row>
    <row r="136" spans="2:37" ht="19.5" customHeight="1" thickTop="1" thickBot="1" x14ac:dyDescent="0.3">
      <c r="B136" s="28"/>
      <c r="C136" s="27" t="str">
        <f>DADOS!$AF$7</f>
        <v>📝 CRIPTOMOEDA</v>
      </c>
      <c r="D136" s="26" t="str">
        <f>IF(investirrendavariávelconsolidadoabr[[#This Row],[TOTAL (R$)]]=0,"",IF(OR(investirrendavariávelconsolidadoabr[[#This Row],[TOTAL (R$)]]=LARGE($AJ$132:$AJ$141,1),investirrendavariávelconsolidadoabr[[#This Row],[TOTAL (R$)]]=LARGE($AJ$132:$AJ$141,2)),DADOS!$I$10,""))</f>
        <v/>
      </c>
      <c r="E136" s="96">
        <f>SUMIFS(tabela_registros[VALOR],tabela_registros[MÊS],$AE$1,tabela_registros[DIA],investirrendavariávelconsolidadoabr[[#Headers],[1]],tabela_registros[REGISTRO],DADOS!$N$5,tabela_registros[TIPO],DADOS!$AB$4,tabela_registros[CATEGORIA],investirrendavariávelconsolidadoabr[[#This Row],[ATUAL]])</f>
        <v>0</v>
      </c>
      <c r="F136" s="91">
        <f>SUMIFS(tabela_registros[VALOR],tabela_registros[MÊS],$AE$1,tabela_registros[DIA],investirrendavariávelconsolidadoabr[[#Headers],[2]],tabela_registros[REGISTRO],DADOS!$N$5,tabela_registros[TIPO],DADOS!$AB$4,tabela_registros[CATEGORIA],investirrendavariávelconsolidadoabr[[#This Row],[ATUAL]])</f>
        <v>0</v>
      </c>
      <c r="G136" s="91">
        <f>SUMIFS(tabela_registros[VALOR],tabela_registros[MÊS],$AE$1,tabela_registros[DIA],investirrendavariávelconsolidadoabr[[#Headers],[3]],tabela_registros[REGISTRO],DADOS!$N$5,tabela_registros[TIPO],DADOS!$AB$4,tabela_registros[CATEGORIA],investirrendavariávelconsolidadoabr[[#This Row],[ATUAL]])</f>
        <v>0</v>
      </c>
      <c r="H136" s="91">
        <f>SUMIFS(tabela_registros[VALOR],tabela_registros[MÊS],$AE$1,tabela_registros[DIA],investirrendavariávelconsolidadoabr[[#Headers],[4]],tabela_registros[REGISTRO],DADOS!$N$5,tabela_registros[TIPO],DADOS!$AB$4,tabela_registros[CATEGORIA],investirrendavariávelconsolidadoabr[[#This Row],[ATUAL]])</f>
        <v>0</v>
      </c>
      <c r="I136" s="91">
        <f>SUMIFS(tabela_registros[VALOR],tabela_registros[MÊS],$AE$1,tabela_registros[DIA],investirrendavariávelconsolidadoabr[[#Headers],[5]],tabela_registros[REGISTRO],DADOS!$N$5,tabela_registros[TIPO],DADOS!$AB$4,tabela_registros[CATEGORIA],investirrendavariávelconsolidadoabr[[#This Row],[ATUAL]])</f>
        <v>0</v>
      </c>
      <c r="J136" s="91">
        <f>SUMIFS(tabela_registros[VALOR],tabela_registros[MÊS],$AE$1,tabela_registros[DIA],investirrendavariávelconsolidadoabr[[#Headers],[6]],tabela_registros[REGISTRO],DADOS!$N$5,tabela_registros[TIPO],DADOS!$AB$4,tabela_registros[CATEGORIA],investirrendavariávelconsolidadoabr[[#This Row],[ATUAL]])</f>
        <v>0</v>
      </c>
      <c r="K136" s="91">
        <f>SUMIFS(tabela_registros[VALOR],tabela_registros[MÊS],$AE$1,tabela_registros[DIA],investirrendavariávelconsolidadoabr[[#Headers],[7]],tabela_registros[REGISTRO],DADOS!$N$5,tabela_registros[TIPO],DADOS!$AB$4,tabela_registros[CATEGORIA],investirrendavariávelconsolidadoabr[[#This Row],[ATUAL]])</f>
        <v>0</v>
      </c>
      <c r="L136" s="91">
        <f>SUMIFS(tabela_registros[VALOR],tabela_registros[MÊS],$AE$1,tabela_registros[DIA],investirrendavariávelconsolidadoabr[[#Headers],[8]],tabela_registros[REGISTRO],DADOS!$N$5,tabela_registros[TIPO],DADOS!$AB$4,tabela_registros[CATEGORIA],investirrendavariávelconsolidadoabr[[#This Row],[ATUAL]])</f>
        <v>0</v>
      </c>
      <c r="M136" s="91">
        <f>SUMIFS(tabela_registros[VALOR],tabela_registros[MÊS],$AE$1,tabela_registros[DIA],investirrendavariávelconsolidadoabr[[#Headers],[9]],tabela_registros[REGISTRO],DADOS!$N$5,tabela_registros[TIPO],DADOS!$AB$4,tabela_registros[CATEGORIA],investirrendavariávelconsolidadoabr[[#This Row],[ATUAL]])</f>
        <v>0</v>
      </c>
      <c r="N136" s="91">
        <f>SUMIFS(tabela_registros[VALOR],tabela_registros[MÊS],$AE$1,tabela_registros[DIA],investirrendavariávelconsolidadoabr[[#Headers],[10]],tabela_registros[REGISTRO],DADOS!$N$5,tabela_registros[TIPO],DADOS!$AB$4,tabela_registros[CATEGORIA],investirrendavariávelconsolidadoabr[[#This Row],[ATUAL]])</f>
        <v>0</v>
      </c>
      <c r="O136" s="91">
        <f>SUMIFS(tabela_registros[VALOR],tabela_registros[MÊS],$AE$1,tabela_registros[DIA],investirrendavariávelconsolidadoabr[[#Headers],[11]],tabela_registros[REGISTRO],DADOS!$N$5,tabela_registros[TIPO],DADOS!$AB$4,tabela_registros[CATEGORIA],investirrendavariávelconsolidadoabr[[#This Row],[ATUAL]])</f>
        <v>0</v>
      </c>
      <c r="P136" s="91">
        <f>SUMIFS(tabela_registros[VALOR],tabela_registros[MÊS],$AE$1,tabela_registros[DIA],investirrendavariávelconsolidadoabr[[#Headers],[12]],tabela_registros[REGISTRO],DADOS!$N$5,tabela_registros[TIPO],DADOS!$AB$4,tabela_registros[CATEGORIA],investirrendavariávelconsolidadoabr[[#This Row],[ATUAL]])</f>
        <v>0</v>
      </c>
      <c r="Q136" s="91">
        <f>SUMIFS(tabela_registros[VALOR],tabela_registros[MÊS],$AE$1,tabela_registros[DIA],investirrendavariávelconsolidadoabr[[#Headers],[13]],tabela_registros[REGISTRO],DADOS!$N$5,tabela_registros[TIPO],DADOS!$AB$4,tabela_registros[CATEGORIA],investirrendavariávelconsolidadoabr[[#This Row],[ATUAL]])</f>
        <v>0</v>
      </c>
      <c r="R136" s="91">
        <f>SUMIFS(tabela_registros[VALOR],tabela_registros[MÊS],$AE$1,tabela_registros[DIA],investirrendavariávelconsolidadoabr[[#Headers],[14]],tabela_registros[REGISTRO],DADOS!$N$5,tabela_registros[TIPO],DADOS!$AB$4,tabela_registros[CATEGORIA],investirrendavariávelconsolidadoabr[[#This Row],[ATUAL]])</f>
        <v>0</v>
      </c>
      <c r="S136" s="91">
        <f>SUMIFS(tabela_registros[VALOR],tabela_registros[MÊS],$AE$1,tabela_registros[DIA],investirrendavariávelconsolidadoabr[[#Headers],[15]],tabela_registros[REGISTRO],DADOS!$N$5,tabela_registros[TIPO],DADOS!$AB$4,tabela_registros[CATEGORIA],investirrendavariávelconsolidadoabr[[#This Row],[ATUAL]])</f>
        <v>0</v>
      </c>
      <c r="T136" s="91">
        <f>SUMIFS(tabela_registros[VALOR],tabela_registros[MÊS],$AE$1,tabela_registros[DIA],investirrendavariávelconsolidadoabr[[#Headers],[16]],tabela_registros[REGISTRO],DADOS!$N$5,tabela_registros[TIPO],DADOS!$AB$4,tabela_registros[CATEGORIA],investirrendavariávelconsolidadoabr[[#This Row],[ATUAL]])</f>
        <v>0</v>
      </c>
      <c r="U136" s="91">
        <f>SUMIFS(tabela_registros[VALOR],tabela_registros[MÊS],$AE$1,tabela_registros[DIA],investirrendavariávelconsolidadoabr[[#Headers],[17]],tabela_registros[REGISTRO],DADOS!$N$5,tabela_registros[TIPO],DADOS!$AB$4,tabela_registros[CATEGORIA],investirrendavariávelconsolidadoabr[[#This Row],[ATUAL]])</f>
        <v>0</v>
      </c>
      <c r="V136" s="91">
        <f>SUMIFS(tabela_registros[VALOR],tabela_registros[MÊS],$AE$1,tabela_registros[DIA],investirrendavariávelconsolidadoabr[[#Headers],[18]],tabela_registros[REGISTRO],DADOS!$N$5,tabela_registros[TIPO],DADOS!$AB$4,tabela_registros[CATEGORIA],investirrendavariávelconsolidadoabr[[#This Row],[ATUAL]])</f>
        <v>0</v>
      </c>
      <c r="W136" s="91">
        <f>SUMIFS(tabela_registros[VALOR],tabela_registros[MÊS],$AE$1,tabela_registros[DIA],investirrendavariávelconsolidadoabr[[#Headers],[19]],tabela_registros[REGISTRO],DADOS!$N$5,tabela_registros[TIPO],DADOS!$AB$4,tabela_registros[CATEGORIA],investirrendavariávelconsolidadoabr[[#This Row],[ATUAL]])</f>
        <v>0</v>
      </c>
      <c r="X136" s="91">
        <f>SUMIFS(tabela_registros[VALOR],tabela_registros[MÊS],$AE$1,tabela_registros[DIA],investirrendavariávelconsolidadoabr[[#Headers],[20]],tabela_registros[REGISTRO],DADOS!$N$5,tabela_registros[TIPO],DADOS!$AB$4,tabela_registros[CATEGORIA],investirrendavariávelconsolidadoabr[[#This Row],[ATUAL]])</f>
        <v>0</v>
      </c>
      <c r="Y136" s="91">
        <f>SUMIFS(tabela_registros[VALOR],tabela_registros[MÊS],$AE$1,tabela_registros[DIA],investirrendavariávelconsolidadoabr[[#Headers],[21]],tabela_registros[REGISTRO],DADOS!$N$5,tabela_registros[TIPO],DADOS!$AB$4,tabela_registros[CATEGORIA],investirrendavariávelconsolidadoabr[[#This Row],[ATUAL]])</f>
        <v>0</v>
      </c>
      <c r="Z136" s="91">
        <f>SUMIFS(tabela_registros[VALOR],tabela_registros[MÊS],$AE$1,tabela_registros[DIA],investirrendavariávelconsolidadoabr[[#Headers],[22]],tabela_registros[REGISTRO],DADOS!$N$5,tabela_registros[TIPO],DADOS!$AB$4,tabela_registros[CATEGORIA],investirrendavariávelconsolidadoabr[[#This Row],[ATUAL]])</f>
        <v>0</v>
      </c>
      <c r="AA136" s="91">
        <f>SUMIFS(tabela_registros[VALOR],tabela_registros[MÊS],$AE$1,tabela_registros[DIA],investirrendavariávelconsolidadoabr[[#Headers],[23]],tabela_registros[REGISTRO],DADOS!$N$5,tabela_registros[TIPO],DADOS!$AB$4,tabela_registros[CATEGORIA],investirrendavariávelconsolidadoabr[[#This Row],[ATUAL]])</f>
        <v>0</v>
      </c>
      <c r="AB136" s="91">
        <f>SUMIFS(tabela_registros[VALOR],tabela_registros[MÊS],$AE$1,tabela_registros[DIA],investirrendavariávelconsolidadoabr[[#Headers],[24]],tabela_registros[REGISTRO],DADOS!$N$5,tabela_registros[TIPO],DADOS!$AB$4,tabela_registros[CATEGORIA],investirrendavariávelconsolidadoabr[[#This Row],[ATUAL]])</f>
        <v>0</v>
      </c>
      <c r="AC136" s="91">
        <f>SUMIFS(tabela_registros[VALOR],tabela_registros[MÊS],$AE$1,tabela_registros[DIA],investirrendavariávelconsolidadoabr[[#Headers],[25]],tabela_registros[REGISTRO],DADOS!$N$5,tabela_registros[TIPO],DADOS!$AB$4,tabela_registros[CATEGORIA],investirrendavariávelconsolidadoabr[[#This Row],[ATUAL]])</f>
        <v>0</v>
      </c>
      <c r="AD136" s="91">
        <f>SUMIFS(tabela_registros[VALOR],tabela_registros[MÊS],$AE$1,tabela_registros[DIA],investirrendavariávelconsolidadoabr[[#Headers],[26]],tabela_registros[REGISTRO],DADOS!$N$5,tabela_registros[TIPO],DADOS!$AB$4,tabela_registros[CATEGORIA],investirrendavariávelconsolidadoabr[[#This Row],[ATUAL]])</f>
        <v>0</v>
      </c>
      <c r="AE136" s="91">
        <f>SUMIFS(tabela_registros[VALOR],tabela_registros[MÊS],$AE$1,tabela_registros[DIA],investirrendavariávelconsolidadoabr[[#Headers],[27]],tabela_registros[REGISTRO],DADOS!$N$5,tabela_registros[TIPO],DADOS!$AB$4,tabela_registros[CATEGORIA],investirrendavariávelconsolidadoabr[[#This Row],[ATUAL]])</f>
        <v>0</v>
      </c>
      <c r="AF136" s="91">
        <f>SUMIFS(tabela_registros[VALOR],tabela_registros[MÊS],$AE$1,tabela_registros[DIA],investirrendavariávelconsolidadoabr[[#Headers],[28]],tabela_registros[REGISTRO],DADOS!$N$5,tabela_registros[TIPO],DADOS!$AB$4,tabela_registros[CATEGORIA],investirrendavariávelconsolidadoabr[[#This Row],[ATUAL]])</f>
        <v>0</v>
      </c>
      <c r="AG136" s="91">
        <f>SUMIFS(tabela_registros[VALOR],tabela_registros[MÊS],$AE$1,tabela_registros[DIA],investirrendavariávelconsolidadoabr[[#Headers],[29]],tabela_registros[REGISTRO],DADOS!$N$5,tabela_registros[TIPO],DADOS!$AB$4,tabela_registros[CATEGORIA],investirrendavariávelconsolidadoabr[[#This Row],[ATUAL]])</f>
        <v>0</v>
      </c>
      <c r="AH136" s="91">
        <f>SUMIFS(tabela_registros[VALOR],tabela_registros[MÊS],$AE$1,tabela_registros[DIA],investirrendavariávelconsolidadoabr[[#Headers],[30]],tabela_registros[REGISTRO],DADOS!$N$5,tabela_registros[TIPO],DADOS!$AB$4,tabela_registros[CATEGORIA],investirrendavariávelconsolidadoabr[[#This Row],[ATUAL]])</f>
        <v>0</v>
      </c>
      <c r="AI136" s="101">
        <f>SUMIFS(tabela_registros[VALOR],tabela_registros[MÊS],$AE$1,tabela_registros[DIA],investirrendavariávelconsolidadoabr[[#Headers],[31]],tabela_registros[REGISTRO],DADOS!$N$5,tabela_registros[TIPO],DADOS!$AB$4,tabela_registros[CATEGORIA],investirrendavariávelconsolidadoabr[[#This Row],[ATUAL]])</f>
        <v>0</v>
      </c>
      <c r="AJ136" s="97">
        <f>SUM(investirrendavariávelconsolidadoabr[[#This Row],[1]:[31]])</f>
        <v>0</v>
      </c>
      <c r="AK136" s="25"/>
    </row>
    <row r="137" spans="2:37" ht="19.5" customHeight="1" thickTop="1" thickBot="1" x14ac:dyDescent="0.3">
      <c r="B137" s="28"/>
      <c r="C137" s="27" t="str">
        <f>DADOS!$AF$8</f>
        <v>📝 ETF</v>
      </c>
      <c r="D137" s="26" t="str">
        <f>IF(investirrendavariávelconsolidadoabr[[#This Row],[TOTAL (R$)]]=0,"",IF(OR(investirrendavariávelconsolidadoabr[[#This Row],[TOTAL (R$)]]=LARGE($AJ$132:$AJ$141,1),investirrendavariávelconsolidadoabr[[#This Row],[TOTAL (R$)]]=LARGE($AJ$132:$AJ$141,2)),DADOS!$I$10,""))</f>
        <v/>
      </c>
      <c r="E137" s="96">
        <f>SUMIFS(tabela_registros[VALOR],tabela_registros[MÊS],$AE$1,tabela_registros[DIA],investirrendavariávelconsolidadoabr[[#Headers],[1]],tabela_registros[REGISTRO],DADOS!$N$5,tabela_registros[TIPO],DADOS!$AB$4,tabela_registros[CATEGORIA],investirrendavariávelconsolidadoabr[[#This Row],[ATUAL]])</f>
        <v>0</v>
      </c>
      <c r="F137" s="91">
        <f>SUMIFS(tabela_registros[VALOR],tabela_registros[MÊS],$AE$1,tabela_registros[DIA],investirrendavariávelconsolidadoabr[[#Headers],[2]],tabela_registros[REGISTRO],DADOS!$N$5,tabela_registros[TIPO],DADOS!$AB$4,tabela_registros[CATEGORIA],investirrendavariávelconsolidadoabr[[#This Row],[ATUAL]])</f>
        <v>0</v>
      </c>
      <c r="G137" s="91">
        <f>SUMIFS(tabela_registros[VALOR],tabela_registros[MÊS],$AE$1,tabela_registros[DIA],investirrendavariávelconsolidadoabr[[#Headers],[3]],tabela_registros[REGISTRO],DADOS!$N$5,tabela_registros[TIPO],DADOS!$AB$4,tabela_registros[CATEGORIA],investirrendavariávelconsolidadoabr[[#This Row],[ATUAL]])</f>
        <v>0</v>
      </c>
      <c r="H137" s="91">
        <f>SUMIFS(tabela_registros[VALOR],tabela_registros[MÊS],$AE$1,tabela_registros[DIA],investirrendavariávelconsolidadoabr[[#Headers],[4]],tabela_registros[REGISTRO],DADOS!$N$5,tabela_registros[TIPO],DADOS!$AB$4,tabela_registros[CATEGORIA],investirrendavariávelconsolidadoabr[[#This Row],[ATUAL]])</f>
        <v>0</v>
      </c>
      <c r="I137" s="91">
        <f>SUMIFS(tabela_registros[VALOR],tabela_registros[MÊS],$AE$1,tabela_registros[DIA],investirrendavariávelconsolidadoabr[[#Headers],[5]],tabela_registros[REGISTRO],DADOS!$N$5,tabela_registros[TIPO],DADOS!$AB$4,tabela_registros[CATEGORIA],investirrendavariávelconsolidadoabr[[#This Row],[ATUAL]])</f>
        <v>0</v>
      </c>
      <c r="J137" s="91">
        <f>SUMIFS(tabela_registros[VALOR],tabela_registros[MÊS],$AE$1,tabela_registros[DIA],investirrendavariávelconsolidadoabr[[#Headers],[6]],tabela_registros[REGISTRO],DADOS!$N$5,tabela_registros[TIPO],DADOS!$AB$4,tabela_registros[CATEGORIA],investirrendavariávelconsolidadoabr[[#This Row],[ATUAL]])</f>
        <v>0</v>
      </c>
      <c r="K137" s="91">
        <f>SUMIFS(tabela_registros[VALOR],tabela_registros[MÊS],$AE$1,tabela_registros[DIA],investirrendavariávelconsolidadoabr[[#Headers],[7]],tabela_registros[REGISTRO],DADOS!$N$5,tabela_registros[TIPO],DADOS!$AB$4,tabela_registros[CATEGORIA],investirrendavariávelconsolidadoabr[[#This Row],[ATUAL]])</f>
        <v>0</v>
      </c>
      <c r="L137" s="91">
        <f>SUMIFS(tabela_registros[VALOR],tabela_registros[MÊS],$AE$1,tabela_registros[DIA],investirrendavariávelconsolidadoabr[[#Headers],[8]],tabela_registros[REGISTRO],DADOS!$N$5,tabela_registros[TIPO],DADOS!$AB$4,tabela_registros[CATEGORIA],investirrendavariávelconsolidadoabr[[#This Row],[ATUAL]])</f>
        <v>0</v>
      </c>
      <c r="M137" s="91">
        <f>SUMIFS(tabela_registros[VALOR],tabela_registros[MÊS],$AE$1,tabela_registros[DIA],investirrendavariávelconsolidadoabr[[#Headers],[9]],tabela_registros[REGISTRO],DADOS!$N$5,tabela_registros[TIPO],DADOS!$AB$4,tabela_registros[CATEGORIA],investirrendavariávelconsolidadoabr[[#This Row],[ATUAL]])</f>
        <v>0</v>
      </c>
      <c r="N137" s="91">
        <f>SUMIFS(tabela_registros[VALOR],tabela_registros[MÊS],$AE$1,tabela_registros[DIA],investirrendavariávelconsolidadoabr[[#Headers],[10]],tabela_registros[REGISTRO],DADOS!$N$5,tabela_registros[TIPO],DADOS!$AB$4,tabela_registros[CATEGORIA],investirrendavariávelconsolidadoabr[[#This Row],[ATUAL]])</f>
        <v>0</v>
      </c>
      <c r="O137" s="91">
        <f>SUMIFS(tabela_registros[VALOR],tabela_registros[MÊS],$AE$1,tabela_registros[DIA],investirrendavariávelconsolidadoabr[[#Headers],[11]],tabela_registros[REGISTRO],DADOS!$N$5,tabela_registros[TIPO],DADOS!$AB$4,tabela_registros[CATEGORIA],investirrendavariávelconsolidadoabr[[#This Row],[ATUAL]])</f>
        <v>0</v>
      </c>
      <c r="P137" s="91">
        <f>SUMIFS(tabela_registros[VALOR],tabela_registros[MÊS],$AE$1,tabela_registros[DIA],investirrendavariávelconsolidadoabr[[#Headers],[12]],tabela_registros[REGISTRO],DADOS!$N$5,tabela_registros[TIPO],DADOS!$AB$4,tabela_registros[CATEGORIA],investirrendavariávelconsolidadoabr[[#This Row],[ATUAL]])</f>
        <v>0</v>
      </c>
      <c r="Q137" s="91">
        <f>SUMIFS(tabela_registros[VALOR],tabela_registros[MÊS],$AE$1,tabela_registros[DIA],investirrendavariávelconsolidadoabr[[#Headers],[13]],tabela_registros[REGISTRO],DADOS!$N$5,tabela_registros[TIPO],DADOS!$AB$4,tabela_registros[CATEGORIA],investirrendavariávelconsolidadoabr[[#This Row],[ATUAL]])</f>
        <v>0</v>
      </c>
      <c r="R137" s="91">
        <f>SUMIFS(tabela_registros[VALOR],tabela_registros[MÊS],$AE$1,tabela_registros[DIA],investirrendavariávelconsolidadoabr[[#Headers],[14]],tabela_registros[REGISTRO],DADOS!$N$5,tabela_registros[TIPO],DADOS!$AB$4,tabela_registros[CATEGORIA],investirrendavariávelconsolidadoabr[[#This Row],[ATUAL]])</f>
        <v>0</v>
      </c>
      <c r="S137" s="91">
        <f>SUMIFS(tabela_registros[VALOR],tabela_registros[MÊS],$AE$1,tabela_registros[DIA],investirrendavariávelconsolidadoabr[[#Headers],[15]],tabela_registros[REGISTRO],DADOS!$N$5,tabela_registros[TIPO],DADOS!$AB$4,tabela_registros[CATEGORIA],investirrendavariávelconsolidadoabr[[#This Row],[ATUAL]])</f>
        <v>0</v>
      </c>
      <c r="T137" s="91">
        <f>SUMIFS(tabela_registros[VALOR],tabela_registros[MÊS],$AE$1,tabela_registros[DIA],investirrendavariávelconsolidadoabr[[#Headers],[16]],tabela_registros[REGISTRO],DADOS!$N$5,tabela_registros[TIPO],DADOS!$AB$4,tabela_registros[CATEGORIA],investirrendavariávelconsolidadoabr[[#This Row],[ATUAL]])</f>
        <v>0</v>
      </c>
      <c r="U137" s="91">
        <f>SUMIFS(tabela_registros[VALOR],tabela_registros[MÊS],$AE$1,tabela_registros[DIA],investirrendavariávelconsolidadoabr[[#Headers],[17]],tabela_registros[REGISTRO],DADOS!$N$5,tabela_registros[TIPO],DADOS!$AB$4,tabela_registros[CATEGORIA],investirrendavariávelconsolidadoabr[[#This Row],[ATUAL]])</f>
        <v>0</v>
      </c>
      <c r="V137" s="91">
        <f>SUMIFS(tabela_registros[VALOR],tabela_registros[MÊS],$AE$1,tabela_registros[DIA],investirrendavariávelconsolidadoabr[[#Headers],[18]],tabela_registros[REGISTRO],DADOS!$N$5,tabela_registros[TIPO],DADOS!$AB$4,tabela_registros[CATEGORIA],investirrendavariávelconsolidadoabr[[#This Row],[ATUAL]])</f>
        <v>0</v>
      </c>
      <c r="W137" s="91">
        <f>SUMIFS(tabela_registros[VALOR],tabela_registros[MÊS],$AE$1,tabela_registros[DIA],investirrendavariávelconsolidadoabr[[#Headers],[19]],tabela_registros[REGISTRO],DADOS!$N$5,tabela_registros[TIPO],DADOS!$AB$4,tabela_registros[CATEGORIA],investirrendavariávelconsolidadoabr[[#This Row],[ATUAL]])</f>
        <v>0</v>
      </c>
      <c r="X137" s="91">
        <f>SUMIFS(tabela_registros[VALOR],tabela_registros[MÊS],$AE$1,tabela_registros[DIA],investirrendavariávelconsolidadoabr[[#Headers],[20]],tabela_registros[REGISTRO],DADOS!$N$5,tabela_registros[TIPO],DADOS!$AB$4,tabela_registros[CATEGORIA],investirrendavariávelconsolidadoabr[[#This Row],[ATUAL]])</f>
        <v>0</v>
      </c>
      <c r="Y137" s="91">
        <f>SUMIFS(tabela_registros[VALOR],tabela_registros[MÊS],$AE$1,tabela_registros[DIA],investirrendavariávelconsolidadoabr[[#Headers],[21]],tabela_registros[REGISTRO],DADOS!$N$5,tabela_registros[TIPO],DADOS!$AB$4,tabela_registros[CATEGORIA],investirrendavariávelconsolidadoabr[[#This Row],[ATUAL]])</f>
        <v>0</v>
      </c>
      <c r="Z137" s="91">
        <f>SUMIFS(tabela_registros[VALOR],tabela_registros[MÊS],$AE$1,tabela_registros[DIA],investirrendavariávelconsolidadoabr[[#Headers],[22]],tabela_registros[REGISTRO],DADOS!$N$5,tabela_registros[TIPO],DADOS!$AB$4,tabela_registros[CATEGORIA],investirrendavariávelconsolidadoabr[[#This Row],[ATUAL]])</f>
        <v>0</v>
      </c>
      <c r="AA137" s="91">
        <f>SUMIFS(tabela_registros[VALOR],tabela_registros[MÊS],$AE$1,tabela_registros[DIA],investirrendavariávelconsolidadoabr[[#Headers],[23]],tabela_registros[REGISTRO],DADOS!$N$5,tabela_registros[TIPO],DADOS!$AB$4,tabela_registros[CATEGORIA],investirrendavariávelconsolidadoabr[[#This Row],[ATUAL]])</f>
        <v>0</v>
      </c>
      <c r="AB137" s="91">
        <f>SUMIFS(tabela_registros[VALOR],tabela_registros[MÊS],$AE$1,tabela_registros[DIA],investirrendavariávelconsolidadoabr[[#Headers],[24]],tabela_registros[REGISTRO],DADOS!$N$5,tabela_registros[TIPO],DADOS!$AB$4,tabela_registros[CATEGORIA],investirrendavariávelconsolidadoabr[[#This Row],[ATUAL]])</f>
        <v>0</v>
      </c>
      <c r="AC137" s="91">
        <f>SUMIFS(tabela_registros[VALOR],tabela_registros[MÊS],$AE$1,tabela_registros[DIA],investirrendavariávelconsolidadoabr[[#Headers],[25]],tabela_registros[REGISTRO],DADOS!$N$5,tabela_registros[TIPO],DADOS!$AB$4,tabela_registros[CATEGORIA],investirrendavariávelconsolidadoabr[[#This Row],[ATUAL]])</f>
        <v>0</v>
      </c>
      <c r="AD137" s="91">
        <f>SUMIFS(tabela_registros[VALOR],tabela_registros[MÊS],$AE$1,tabela_registros[DIA],investirrendavariávelconsolidadoabr[[#Headers],[26]],tabela_registros[REGISTRO],DADOS!$N$5,tabela_registros[TIPO],DADOS!$AB$4,tabela_registros[CATEGORIA],investirrendavariávelconsolidadoabr[[#This Row],[ATUAL]])</f>
        <v>0</v>
      </c>
      <c r="AE137" s="91">
        <f>SUMIFS(tabela_registros[VALOR],tabela_registros[MÊS],$AE$1,tabela_registros[DIA],investirrendavariávelconsolidadoabr[[#Headers],[27]],tabela_registros[REGISTRO],DADOS!$N$5,tabela_registros[TIPO],DADOS!$AB$4,tabela_registros[CATEGORIA],investirrendavariávelconsolidadoabr[[#This Row],[ATUAL]])</f>
        <v>0</v>
      </c>
      <c r="AF137" s="91">
        <f>SUMIFS(tabela_registros[VALOR],tabela_registros[MÊS],$AE$1,tabela_registros[DIA],investirrendavariávelconsolidadoabr[[#Headers],[28]],tabela_registros[REGISTRO],DADOS!$N$5,tabela_registros[TIPO],DADOS!$AB$4,tabela_registros[CATEGORIA],investirrendavariávelconsolidadoabr[[#This Row],[ATUAL]])</f>
        <v>0</v>
      </c>
      <c r="AG137" s="91">
        <f>SUMIFS(tabela_registros[VALOR],tabela_registros[MÊS],$AE$1,tabela_registros[DIA],investirrendavariávelconsolidadoabr[[#Headers],[29]],tabela_registros[REGISTRO],DADOS!$N$5,tabela_registros[TIPO],DADOS!$AB$4,tabela_registros[CATEGORIA],investirrendavariávelconsolidadoabr[[#This Row],[ATUAL]])</f>
        <v>0</v>
      </c>
      <c r="AH137" s="91">
        <f>SUMIFS(tabela_registros[VALOR],tabela_registros[MÊS],$AE$1,tabela_registros[DIA],investirrendavariávelconsolidadoabr[[#Headers],[30]],tabela_registros[REGISTRO],DADOS!$N$5,tabela_registros[TIPO],DADOS!$AB$4,tabela_registros[CATEGORIA],investirrendavariávelconsolidadoabr[[#This Row],[ATUAL]])</f>
        <v>0</v>
      </c>
      <c r="AI137" s="101">
        <f>SUMIFS(tabela_registros[VALOR],tabela_registros[MÊS],$AE$1,tabela_registros[DIA],investirrendavariávelconsolidadoabr[[#Headers],[31]],tabela_registros[REGISTRO],DADOS!$N$5,tabela_registros[TIPO],DADOS!$AB$4,tabela_registros[CATEGORIA],investirrendavariávelconsolidadoabr[[#This Row],[ATUAL]])</f>
        <v>0</v>
      </c>
      <c r="AJ137" s="97">
        <f>SUM(investirrendavariávelconsolidadoabr[[#This Row],[1]:[31]])</f>
        <v>0</v>
      </c>
      <c r="AK137" s="25"/>
    </row>
    <row r="138" spans="2:37" ht="19.5" customHeight="1" thickTop="1" thickBot="1" x14ac:dyDescent="0.3">
      <c r="B138" s="28"/>
      <c r="C138" s="27" t="str">
        <f>DADOS!$AF$9</f>
        <v>📝 EXTERIOR</v>
      </c>
      <c r="D138" s="26" t="str">
        <f>IF(investirrendavariávelconsolidadoabr[[#This Row],[TOTAL (R$)]]=0,"",IF(OR(investirrendavariávelconsolidadoabr[[#This Row],[TOTAL (R$)]]=LARGE($AJ$132:$AJ$141,1),investirrendavariávelconsolidadoabr[[#This Row],[TOTAL (R$)]]=LARGE($AJ$132:$AJ$141,2)),DADOS!$I$10,""))</f>
        <v/>
      </c>
      <c r="E138" s="96">
        <f>SUMIFS(tabela_registros[VALOR],tabela_registros[MÊS],$AE$1,tabela_registros[DIA],investirrendavariávelconsolidadoabr[[#Headers],[1]],tabela_registros[REGISTRO],DADOS!$N$5,tabela_registros[TIPO],DADOS!$AB$4,tabela_registros[CATEGORIA],investirrendavariávelconsolidadoabr[[#This Row],[ATUAL]])</f>
        <v>0</v>
      </c>
      <c r="F138" s="91">
        <f>SUMIFS(tabela_registros[VALOR],tabela_registros[MÊS],$AE$1,tabela_registros[DIA],investirrendavariávelconsolidadoabr[[#Headers],[2]],tabela_registros[REGISTRO],DADOS!$N$5,tabela_registros[TIPO],DADOS!$AB$4,tabela_registros[CATEGORIA],investirrendavariávelconsolidadoabr[[#This Row],[ATUAL]])</f>
        <v>0</v>
      </c>
      <c r="G138" s="91">
        <f>SUMIFS(tabela_registros[VALOR],tabela_registros[MÊS],$AE$1,tabela_registros[DIA],investirrendavariávelconsolidadoabr[[#Headers],[3]],tabela_registros[REGISTRO],DADOS!$N$5,tabela_registros[TIPO],DADOS!$AB$4,tabela_registros[CATEGORIA],investirrendavariávelconsolidadoabr[[#This Row],[ATUAL]])</f>
        <v>0</v>
      </c>
      <c r="H138" s="91">
        <f>SUMIFS(tabela_registros[VALOR],tabela_registros[MÊS],$AE$1,tabela_registros[DIA],investirrendavariávelconsolidadoabr[[#Headers],[4]],tabela_registros[REGISTRO],DADOS!$N$5,tabela_registros[TIPO],DADOS!$AB$4,tabela_registros[CATEGORIA],investirrendavariávelconsolidadoabr[[#This Row],[ATUAL]])</f>
        <v>0</v>
      </c>
      <c r="I138" s="91">
        <f>SUMIFS(tabela_registros[VALOR],tabela_registros[MÊS],$AE$1,tabela_registros[DIA],investirrendavariávelconsolidadoabr[[#Headers],[5]],tabela_registros[REGISTRO],DADOS!$N$5,tabela_registros[TIPO],DADOS!$AB$4,tabela_registros[CATEGORIA],investirrendavariávelconsolidadoabr[[#This Row],[ATUAL]])</f>
        <v>0</v>
      </c>
      <c r="J138" s="91">
        <f>SUMIFS(tabela_registros[VALOR],tabela_registros[MÊS],$AE$1,tabela_registros[DIA],investirrendavariávelconsolidadoabr[[#Headers],[6]],tabela_registros[REGISTRO],DADOS!$N$5,tabela_registros[TIPO],DADOS!$AB$4,tabela_registros[CATEGORIA],investirrendavariávelconsolidadoabr[[#This Row],[ATUAL]])</f>
        <v>0</v>
      </c>
      <c r="K138" s="91">
        <f>SUMIFS(tabela_registros[VALOR],tabela_registros[MÊS],$AE$1,tabela_registros[DIA],investirrendavariávelconsolidadoabr[[#Headers],[7]],tabela_registros[REGISTRO],DADOS!$N$5,tabela_registros[TIPO],DADOS!$AB$4,tabela_registros[CATEGORIA],investirrendavariávelconsolidadoabr[[#This Row],[ATUAL]])</f>
        <v>0</v>
      </c>
      <c r="L138" s="91">
        <f>SUMIFS(tabela_registros[VALOR],tabela_registros[MÊS],$AE$1,tabela_registros[DIA],investirrendavariávelconsolidadoabr[[#Headers],[8]],tabela_registros[REGISTRO],DADOS!$N$5,tabela_registros[TIPO],DADOS!$AB$4,tabela_registros[CATEGORIA],investirrendavariávelconsolidadoabr[[#This Row],[ATUAL]])</f>
        <v>0</v>
      </c>
      <c r="M138" s="91">
        <f>SUMIFS(tabela_registros[VALOR],tabela_registros[MÊS],$AE$1,tabela_registros[DIA],investirrendavariávelconsolidadoabr[[#Headers],[9]],tabela_registros[REGISTRO],DADOS!$N$5,tabela_registros[TIPO],DADOS!$AB$4,tabela_registros[CATEGORIA],investirrendavariávelconsolidadoabr[[#This Row],[ATUAL]])</f>
        <v>0</v>
      </c>
      <c r="N138" s="91">
        <f>SUMIFS(tabela_registros[VALOR],tabela_registros[MÊS],$AE$1,tabela_registros[DIA],investirrendavariávelconsolidadoabr[[#Headers],[10]],tabela_registros[REGISTRO],DADOS!$N$5,tabela_registros[TIPO],DADOS!$AB$4,tabela_registros[CATEGORIA],investirrendavariávelconsolidadoabr[[#This Row],[ATUAL]])</f>
        <v>0</v>
      </c>
      <c r="O138" s="91">
        <f>SUMIFS(tabela_registros[VALOR],tabela_registros[MÊS],$AE$1,tabela_registros[DIA],investirrendavariávelconsolidadoabr[[#Headers],[11]],tabela_registros[REGISTRO],DADOS!$N$5,tabela_registros[TIPO],DADOS!$AB$4,tabela_registros[CATEGORIA],investirrendavariávelconsolidadoabr[[#This Row],[ATUAL]])</f>
        <v>0</v>
      </c>
      <c r="P138" s="91">
        <f>SUMIFS(tabela_registros[VALOR],tabela_registros[MÊS],$AE$1,tabela_registros[DIA],investirrendavariávelconsolidadoabr[[#Headers],[12]],tabela_registros[REGISTRO],DADOS!$N$5,tabela_registros[TIPO],DADOS!$AB$4,tabela_registros[CATEGORIA],investirrendavariávelconsolidadoabr[[#This Row],[ATUAL]])</f>
        <v>0</v>
      </c>
      <c r="Q138" s="91">
        <f>SUMIFS(tabela_registros[VALOR],tabela_registros[MÊS],$AE$1,tabela_registros[DIA],investirrendavariávelconsolidadoabr[[#Headers],[13]],tabela_registros[REGISTRO],DADOS!$N$5,tabela_registros[TIPO],DADOS!$AB$4,tabela_registros[CATEGORIA],investirrendavariávelconsolidadoabr[[#This Row],[ATUAL]])</f>
        <v>0</v>
      </c>
      <c r="R138" s="91">
        <f>SUMIFS(tabela_registros[VALOR],tabela_registros[MÊS],$AE$1,tabela_registros[DIA],investirrendavariávelconsolidadoabr[[#Headers],[14]],tabela_registros[REGISTRO],DADOS!$N$5,tabela_registros[TIPO],DADOS!$AB$4,tabela_registros[CATEGORIA],investirrendavariávelconsolidadoabr[[#This Row],[ATUAL]])</f>
        <v>0</v>
      </c>
      <c r="S138" s="91">
        <f>SUMIFS(tabela_registros[VALOR],tabela_registros[MÊS],$AE$1,tabela_registros[DIA],investirrendavariávelconsolidadoabr[[#Headers],[15]],tabela_registros[REGISTRO],DADOS!$N$5,tabela_registros[TIPO],DADOS!$AB$4,tabela_registros[CATEGORIA],investirrendavariávelconsolidadoabr[[#This Row],[ATUAL]])</f>
        <v>0</v>
      </c>
      <c r="T138" s="91">
        <f>SUMIFS(tabela_registros[VALOR],tabela_registros[MÊS],$AE$1,tabela_registros[DIA],investirrendavariávelconsolidadoabr[[#Headers],[16]],tabela_registros[REGISTRO],DADOS!$N$5,tabela_registros[TIPO],DADOS!$AB$4,tabela_registros[CATEGORIA],investirrendavariávelconsolidadoabr[[#This Row],[ATUAL]])</f>
        <v>0</v>
      </c>
      <c r="U138" s="91">
        <f>SUMIFS(tabela_registros[VALOR],tabela_registros[MÊS],$AE$1,tabela_registros[DIA],investirrendavariávelconsolidadoabr[[#Headers],[17]],tabela_registros[REGISTRO],DADOS!$N$5,tabela_registros[TIPO],DADOS!$AB$4,tabela_registros[CATEGORIA],investirrendavariávelconsolidadoabr[[#This Row],[ATUAL]])</f>
        <v>0</v>
      </c>
      <c r="V138" s="91">
        <f>SUMIFS(tabela_registros[VALOR],tabela_registros[MÊS],$AE$1,tabela_registros[DIA],investirrendavariávelconsolidadoabr[[#Headers],[18]],tabela_registros[REGISTRO],DADOS!$N$5,tabela_registros[TIPO],DADOS!$AB$4,tabela_registros[CATEGORIA],investirrendavariávelconsolidadoabr[[#This Row],[ATUAL]])</f>
        <v>0</v>
      </c>
      <c r="W138" s="91">
        <f>SUMIFS(tabela_registros[VALOR],tabela_registros[MÊS],$AE$1,tabela_registros[DIA],investirrendavariávelconsolidadoabr[[#Headers],[19]],tabela_registros[REGISTRO],DADOS!$N$5,tabela_registros[TIPO],DADOS!$AB$4,tabela_registros[CATEGORIA],investirrendavariávelconsolidadoabr[[#This Row],[ATUAL]])</f>
        <v>0</v>
      </c>
      <c r="X138" s="91">
        <f>SUMIFS(tabela_registros[VALOR],tabela_registros[MÊS],$AE$1,tabela_registros[DIA],investirrendavariávelconsolidadoabr[[#Headers],[20]],tabela_registros[REGISTRO],DADOS!$N$5,tabela_registros[TIPO],DADOS!$AB$4,tabela_registros[CATEGORIA],investirrendavariávelconsolidadoabr[[#This Row],[ATUAL]])</f>
        <v>0</v>
      </c>
      <c r="Y138" s="91">
        <f>SUMIFS(tabela_registros[VALOR],tabela_registros[MÊS],$AE$1,tabela_registros[DIA],investirrendavariávelconsolidadoabr[[#Headers],[21]],tabela_registros[REGISTRO],DADOS!$N$5,tabela_registros[TIPO],DADOS!$AB$4,tabela_registros[CATEGORIA],investirrendavariávelconsolidadoabr[[#This Row],[ATUAL]])</f>
        <v>0</v>
      </c>
      <c r="Z138" s="91">
        <f>SUMIFS(tabela_registros[VALOR],tabela_registros[MÊS],$AE$1,tabela_registros[DIA],investirrendavariávelconsolidadoabr[[#Headers],[22]],tabela_registros[REGISTRO],DADOS!$N$5,tabela_registros[TIPO],DADOS!$AB$4,tabela_registros[CATEGORIA],investirrendavariávelconsolidadoabr[[#This Row],[ATUAL]])</f>
        <v>0</v>
      </c>
      <c r="AA138" s="91">
        <f>SUMIFS(tabela_registros[VALOR],tabela_registros[MÊS],$AE$1,tabela_registros[DIA],investirrendavariávelconsolidadoabr[[#Headers],[23]],tabela_registros[REGISTRO],DADOS!$N$5,tabela_registros[TIPO],DADOS!$AB$4,tabela_registros[CATEGORIA],investirrendavariávelconsolidadoabr[[#This Row],[ATUAL]])</f>
        <v>0</v>
      </c>
      <c r="AB138" s="91">
        <f>SUMIFS(tabela_registros[VALOR],tabela_registros[MÊS],$AE$1,tabela_registros[DIA],investirrendavariávelconsolidadoabr[[#Headers],[24]],tabela_registros[REGISTRO],DADOS!$N$5,tabela_registros[TIPO],DADOS!$AB$4,tabela_registros[CATEGORIA],investirrendavariávelconsolidadoabr[[#This Row],[ATUAL]])</f>
        <v>0</v>
      </c>
      <c r="AC138" s="91">
        <f>SUMIFS(tabela_registros[VALOR],tabela_registros[MÊS],$AE$1,tabela_registros[DIA],investirrendavariávelconsolidadoabr[[#Headers],[25]],tabela_registros[REGISTRO],DADOS!$N$5,tabela_registros[TIPO],DADOS!$AB$4,tabela_registros[CATEGORIA],investirrendavariávelconsolidadoabr[[#This Row],[ATUAL]])</f>
        <v>0</v>
      </c>
      <c r="AD138" s="91">
        <f>SUMIFS(tabela_registros[VALOR],tabela_registros[MÊS],$AE$1,tabela_registros[DIA],investirrendavariávelconsolidadoabr[[#Headers],[26]],tabela_registros[REGISTRO],DADOS!$N$5,tabela_registros[TIPO],DADOS!$AB$4,tabela_registros[CATEGORIA],investirrendavariávelconsolidadoabr[[#This Row],[ATUAL]])</f>
        <v>0</v>
      </c>
      <c r="AE138" s="91">
        <f>SUMIFS(tabela_registros[VALOR],tabela_registros[MÊS],$AE$1,tabela_registros[DIA],investirrendavariávelconsolidadoabr[[#Headers],[27]],tabela_registros[REGISTRO],DADOS!$N$5,tabela_registros[TIPO],DADOS!$AB$4,tabela_registros[CATEGORIA],investirrendavariávelconsolidadoabr[[#This Row],[ATUAL]])</f>
        <v>0</v>
      </c>
      <c r="AF138" s="91">
        <f>SUMIFS(tabela_registros[VALOR],tabela_registros[MÊS],$AE$1,tabela_registros[DIA],investirrendavariávelconsolidadoabr[[#Headers],[28]],tabela_registros[REGISTRO],DADOS!$N$5,tabela_registros[TIPO],DADOS!$AB$4,tabela_registros[CATEGORIA],investirrendavariávelconsolidadoabr[[#This Row],[ATUAL]])</f>
        <v>0</v>
      </c>
      <c r="AG138" s="91">
        <f>SUMIFS(tabela_registros[VALOR],tabela_registros[MÊS],$AE$1,tabela_registros[DIA],investirrendavariávelconsolidadoabr[[#Headers],[29]],tabela_registros[REGISTRO],DADOS!$N$5,tabela_registros[TIPO],DADOS!$AB$4,tabela_registros[CATEGORIA],investirrendavariávelconsolidadoabr[[#This Row],[ATUAL]])</f>
        <v>0</v>
      </c>
      <c r="AH138" s="91">
        <f>SUMIFS(tabela_registros[VALOR],tabela_registros[MÊS],$AE$1,tabela_registros[DIA],investirrendavariávelconsolidadoabr[[#Headers],[30]],tabela_registros[REGISTRO],DADOS!$N$5,tabela_registros[TIPO],DADOS!$AB$4,tabela_registros[CATEGORIA],investirrendavariávelconsolidadoabr[[#This Row],[ATUAL]])</f>
        <v>0</v>
      </c>
      <c r="AI138" s="101">
        <f>SUMIFS(tabela_registros[VALOR],tabela_registros[MÊS],$AE$1,tabela_registros[DIA],investirrendavariávelconsolidadoabr[[#Headers],[31]],tabela_registros[REGISTRO],DADOS!$N$5,tabela_registros[TIPO],DADOS!$AB$4,tabela_registros[CATEGORIA],investirrendavariávelconsolidadoabr[[#This Row],[ATUAL]])</f>
        <v>0</v>
      </c>
      <c r="AJ138" s="97">
        <f>SUM(investirrendavariávelconsolidadoabr[[#This Row],[1]:[31]])</f>
        <v>0</v>
      </c>
      <c r="AK138" s="25"/>
    </row>
    <row r="139" spans="2:37" ht="19.5" customHeight="1" thickTop="1" thickBot="1" x14ac:dyDescent="0.3">
      <c r="B139" s="28"/>
      <c r="C139" s="27" t="str">
        <f>DADOS!$AF$10</f>
        <v>📝 FII</v>
      </c>
      <c r="D139" s="26" t="str">
        <f>IF(investirrendavariávelconsolidadoabr[[#This Row],[TOTAL (R$)]]=0,"",IF(OR(investirrendavariávelconsolidadoabr[[#This Row],[TOTAL (R$)]]=LARGE($AJ$132:$AJ$141,1),investirrendavariávelconsolidadoabr[[#This Row],[TOTAL (R$)]]=LARGE($AJ$132:$AJ$141,2)),DADOS!$I$10,""))</f>
        <v/>
      </c>
      <c r="E139" s="96">
        <f>SUMIFS(tabela_registros[VALOR],tabela_registros[MÊS],$AE$1,tabela_registros[DIA],investirrendavariávelconsolidadoabr[[#Headers],[1]],tabela_registros[REGISTRO],DADOS!$N$5,tabela_registros[TIPO],DADOS!$AB$4,tabela_registros[CATEGORIA],investirrendavariávelconsolidadoabr[[#This Row],[ATUAL]])</f>
        <v>0</v>
      </c>
      <c r="F139" s="91">
        <f>SUMIFS(tabela_registros[VALOR],tabela_registros[MÊS],$AE$1,tabela_registros[DIA],investirrendavariávelconsolidadoabr[[#Headers],[2]],tabela_registros[REGISTRO],DADOS!$N$5,tabela_registros[TIPO],DADOS!$AB$4,tabela_registros[CATEGORIA],investirrendavariávelconsolidadoabr[[#This Row],[ATUAL]])</f>
        <v>0</v>
      </c>
      <c r="G139" s="91">
        <f>SUMIFS(tabela_registros[VALOR],tabela_registros[MÊS],$AE$1,tabela_registros[DIA],investirrendavariávelconsolidadoabr[[#Headers],[3]],tabela_registros[REGISTRO],DADOS!$N$5,tabela_registros[TIPO],DADOS!$AB$4,tabela_registros[CATEGORIA],investirrendavariávelconsolidadoabr[[#This Row],[ATUAL]])</f>
        <v>0</v>
      </c>
      <c r="H139" s="91">
        <f>SUMIFS(tabela_registros[VALOR],tabela_registros[MÊS],$AE$1,tabela_registros[DIA],investirrendavariávelconsolidadoabr[[#Headers],[4]],tabela_registros[REGISTRO],DADOS!$N$5,tabela_registros[TIPO],DADOS!$AB$4,tabela_registros[CATEGORIA],investirrendavariávelconsolidadoabr[[#This Row],[ATUAL]])</f>
        <v>0</v>
      </c>
      <c r="I139" s="91">
        <f>SUMIFS(tabela_registros[VALOR],tabela_registros[MÊS],$AE$1,tabela_registros[DIA],investirrendavariávelconsolidadoabr[[#Headers],[5]],tabela_registros[REGISTRO],DADOS!$N$5,tabela_registros[TIPO],DADOS!$AB$4,tabela_registros[CATEGORIA],investirrendavariávelconsolidadoabr[[#This Row],[ATUAL]])</f>
        <v>0</v>
      </c>
      <c r="J139" s="91">
        <f>SUMIFS(tabela_registros[VALOR],tabela_registros[MÊS],$AE$1,tabela_registros[DIA],investirrendavariávelconsolidadoabr[[#Headers],[6]],tabela_registros[REGISTRO],DADOS!$N$5,tabela_registros[TIPO],DADOS!$AB$4,tabela_registros[CATEGORIA],investirrendavariávelconsolidadoabr[[#This Row],[ATUAL]])</f>
        <v>0</v>
      </c>
      <c r="K139" s="91">
        <f>SUMIFS(tabela_registros[VALOR],tabela_registros[MÊS],$AE$1,tabela_registros[DIA],investirrendavariávelconsolidadoabr[[#Headers],[7]],tabela_registros[REGISTRO],DADOS!$N$5,tabela_registros[TIPO],DADOS!$AB$4,tabela_registros[CATEGORIA],investirrendavariávelconsolidadoabr[[#This Row],[ATUAL]])</f>
        <v>0</v>
      </c>
      <c r="L139" s="91">
        <f>SUMIFS(tabela_registros[VALOR],tabela_registros[MÊS],$AE$1,tabela_registros[DIA],investirrendavariávelconsolidadoabr[[#Headers],[8]],tabela_registros[REGISTRO],DADOS!$N$5,tabela_registros[TIPO],DADOS!$AB$4,tabela_registros[CATEGORIA],investirrendavariávelconsolidadoabr[[#This Row],[ATUAL]])</f>
        <v>0</v>
      </c>
      <c r="M139" s="91">
        <f>SUMIFS(tabela_registros[VALOR],tabela_registros[MÊS],$AE$1,tabela_registros[DIA],investirrendavariávelconsolidadoabr[[#Headers],[9]],tabela_registros[REGISTRO],DADOS!$N$5,tabela_registros[TIPO],DADOS!$AB$4,tabela_registros[CATEGORIA],investirrendavariávelconsolidadoabr[[#This Row],[ATUAL]])</f>
        <v>0</v>
      </c>
      <c r="N139" s="91">
        <f>SUMIFS(tabela_registros[VALOR],tabela_registros[MÊS],$AE$1,tabela_registros[DIA],investirrendavariávelconsolidadoabr[[#Headers],[10]],tabela_registros[REGISTRO],DADOS!$N$5,tabela_registros[TIPO],DADOS!$AB$4,tabela_registros[CATEGORIA],investirrendavariávelconsolidadoabr[[#This Row],[ATUAL]])</f>
        <v>0</v>
      </c>
      <c r="O139" s="91">
        <f>SUMIFS(tabela_registros[VALOR],tabela_registros[MÊS],$AE$1,tabela_registros[DIA],investirrendavariávelconsolidadoabr[[#Headers],[11]],tabela_registros[REGISTRO],DADOS!$N$5,tabela_registros[TIPO],DADOS!$AB$4,tabela_registros[CATEGORIA],investirrendavariávelconsolidadoabr[[#This Row],[ATUAL]])</f>
        <v>0</v>
      </c>
      <c r="P139" s="91">
        <f>SUMIFS(tabela_registros[VALOR],tabela_registros[MÊS],$AE$1,tabela_registros[DIA],investirrendavariávelconsolidadoabr[[#Headers],[12]],tabela_registros[REGISTRO],DADOS!$N$5,tabela_registros[TIPO],DADOS!$AB$4,tabela_registros[CATEGORIA],investirrendavariávelconsolidadoabr[[#This Row],[ATUAL]])</f>
        <v>0</v>
      </c>
      <c r="Q139" s="91">
        <f>SUMIFS(tabela_registros[VALOR],tabela_registros[MÊS],$AE$1,tabela_registros[DIA],investirrendavariávelconsolidadoabr[[#Headers],[13]],tabela_registros[REGISTRO],DADOS!$N$5,tabela_registros[TIPO],DADOS!$AB$4,tabela_registros[CATEGORIA],investirrendavariávelconsolidadoabr[[#This Row],[ATUAL]])</f>
        <v>0</v>
      </c>
      <c r="R139" s="91">
        <f>SUMIFS(tabela_registros[VALOR],tabela_registros[MÊS],$AE$1,tabela_registros[DIA],investirrendavariávelconsolidadoabr[[#Headers],[14]],tabela_registros[REGISTRO],DADOS!$N$5,tabela_registros[TIPO],DADOS!$AB$4,tabela_registros[CATEGORIA],investirrendavariávelconsolidadoabr[[#This Row],[ATUAL]])</f>
        <v>0</v>
      </c>
      <c r="S139" s="91">
        <f>SUMIFS(tabela_registros[VALOR],tabela_registros[MÊS],$AE$1,tabela_registros[DIA],investirrendavariávelconsolidadoabr[[#Headers],[15]],tabela_registros[REGISTRO],DADOS!$N$5,tabela_registros[TIPO],DADOS!$AB$4,tabela_registros[CATEGORIA],investirrendavariávelconsolidadoabr[[#This Row],[ATUAL]])</f>
        <v>0</v>
      </c>
      <c r="T139" s="91">
        <f>SUMIFS(tabela_registros[VALOR],tabela_registros[MÊS],$AE$1,tabela_registros[DIA],investirrendavariávelconsolidadoabr[[#Headers],[16]],tabela_registros[REGISTRO],DADOS!$N$5,tabela_registros[TIPO],DADOS!$AB$4,tabela_registros[CATEGORIA],investirrendavariávelconsolidadoabr[[#This Row],[ATUAL]])</f>
        <v>0</v>
      </c>
      <c r="U139" s="91">
        <f>SUMIFS(tabela_registros[VALOR],tabela_registros[MÊS],$AE$1,tabela_registros[DIA],investirrendavariávelconsolidadoabr[[#Headers],[17]],tabela_registros[REGISTRO],DADOS!$N$5,tabela_registros[TIPO],DADOS!$AB$4,tabela_registros[CATEGORIA],investirrendavariávelconsolidadoabr[[#This Row],[ATUAL]])</f>
        <v>0</v>
      </c>
      <c r="V139" s="91">
        <f>SUMIFS(tabela_registros[VALOR],tabela_registros[MÊS],$AE$1,tabela_registros[DIA],investirrendavariávelconsolidadoabr[[#Headers],[18]],tabela_registros[REGISTRO],DADOS!$N$5,tabela_registros[TIPO],DADOS!$AB$4,tabela_registros[CATEGORIA],investirrendavariávelconsolidadoabr[[#This Row],[ATUAL]])</f>
        <v>0</v>
      </c>
      <c r="W139" s="91">
        <f>SUMIFS(tabela_registros[VALOR],tabela_registros[MÊS],$AE$1,tabela_registros[DIA],investirrendavariávelconsolidadoabr[[#Headers],[19]],tabela_registros[REGISTRO],DADOS!$N$5,tabela_registros[TIPO],DADOS!$AB$4,tabela_registros[CATEGORIA],investirrendavariávelconsolidadoabr[[#This Row],[ATUAL]])</f>
        <v>0</v>
      </c>
      <c r="X139" s="91">
        <f>SUMIFS(tabela_registros[VALOR],tabela_registros[MÊS],$AE$1,tabela_registros[DIA],investirrendavariávelconsolidadoabr[[#Headers],[20]],tabela_registros[REGISTRO],DADOS!$N$5,tabela_registros[TIPO],DADOS!$AB$4,tabela_registros[CATEGORIA],investirrendavariávelconsolidadoabr[[#This Row],[ATUAL]])</f>
        <v>0</v>
      </c>
      <c r="Y139" s="91">
        <f>SUMIFS(tabela_registros[VALOR],tabela_registros[MÊS],$AE$1,tabela_registros[DIA],investirrendavariávelconsolidadoabr[[#Headers],[21]],tabela_registros[REGISTRO],DADOS!$N$5,tabela_registros[TIPO],DADOS!$AB$4,tabela_registros[CATEGORIA],investirrendavariávelconsolidadoabr[[#This Row],[ATUAL]])</f>
        <v>0</v>
      </c>
      <c r="Z139" s="91">
        <f>SUMIFS(tabela_registros[VALOR],tabela_registros[MÊS],$AE$1,tabela_registros[DIA],investirrendavariávelconsolidadoabr[[#Headers],[22]],tabela_registros[REGISTRO],DADOS!$N$5,tabela_registros[TIPO],DADOS!$AB$4,tabela_registros[CATEGORIA],investirrendavariávelconsolidadoabr[[#This Row],[ATUAL]])</f>
        <v>0</v>
      </c>
      <c r="AA139" s="91">
        <f>SUMIFS(tabela_registros[VALOR],tabela_registros[MÊS],$AE$1,tabela_registros[DIA],investirrendavariávelconsolidadoabr[[#Headers],[23]],tabela_registros[REGISTRO],DADOS!$N$5,tabela_registros[TIPO],DADOS!$AB$4,tabela_registros[CATEGORIA],investirrendavariávelconsolidadoabr[[#This Row],[ATUAL]])</f>
        <v>0</v>
      </c>
      <c r="AB139" s="91">
        <f>SUMIFS(tabela_registros[VALOR],tabela_registros[MÊS],$AE$1,tabela_registros[DIA],investirrendavariávelconsolidadoabr[[#Headers],[24]],tabela_registros[REGISTRO],DADOS!$N$5,tabela_registros[TIPO],DADOS!$AB$4,tabela_registros[CATEGORIA],investirrendavariávelconsolidadoabr[[#This Row],[ATUAL]])</f>
        <v>0</v>
      </c>
      <c r="AC139" s="91">
        <f>SUMIFS(tabela_registros[VALOR],tabela_registros[MÊS],$AE$1,tabela_registros[DIA],investirrendavariávelconsolidadoabr[[#Headers],[25]],tabela_registros[REGISTRO],DADOS!$N$5,tabela_registros[TIPO],DADOS!$AB$4,tabela_registros[CATEGORIA],investirrendavariávelconsolidadoabr[[#This Row],[ATUAL]])</f>
        <v>0</v>
      </c>
      <c r="AD139" s="91">
        <f>SUMIFS(tabela_registros[VALOR],tabela_registros[MÊS],$AE$1,tabela_registros[DIA],investirrendavariávelconsolidadoabr[[#Headers],[26]],tabela_registros[REGISTRO],DADOS!$N$5,tabela_registros[TIPO],DADOS!$AB$4,tabela_registros[CATEGORIA],investirrendavariávelconsolidadoabr[[#This Row],[ATUAL]])</f>
        <v>0</v>
      </c>
      <c r="AE139" s="91">
        <f>SUMIFS(tabela_registros[VALOR],tabela_registros[MÊS],$AE$1,tabela_registros[DIA],investirrendavariávelconsolidadoabr[[#Headers],[27]],tabela_registros[REGISTRO],DADOS!$N$5,tabela_registros[TIPO],DADOS!$AB$4,tabela_registros[CATEGORIA],investirrendavariávelconsolidadoabr[[#This Row],[ATUAL]])</f>
        <v>0</v>
      </c>
      <c r="AF139" s="91">
        <f>SUMIFS(tabela_registros[VALOR],tabela_registros[MÊS],$AE$1,tabela_registros[DIA],investirrendavariávelconsolidadoabr[[#Headers],[28]],tabela_registros[REGISTRO],DADOS!$N$5,tabela_registros[TIPO],DADOS!$AB$4,tabela_registros[CATEGORIA],investirrendavariávelconsolidadoabr[[#This Row],[ATUAL]])</f>
        <v>0</v>
      </c>
      <c r="AG139" s="91">
        <f>SUMIFS(tabela_registros[VALOR],tabela_registros[MÊS],$AE$1,tabela_registros[DIA],investirrendavariávelconsolidadoabr[[#Headers],[29]],tabela_registros[REGISTRO],DADOS!$N$5,tabela_registros[TIPO],DADOS!$AB$4,tabela_registros[CATEGORIA],investirrendavariávelconsolidadoabr[[#This Row],[ATUAL]])</f>
        <v>0</v>
      </c>
      <c r="AH139" s="91">
        <f>SUMIFS(tabela_registros[VALOR],tabela_registros[MÊS],$AE$1,tabela_registros[DIA],investirrendavariávelconsolidadoabr[[#Headers],[30]],tabela_registros[REGISTRO],DADOS!$N$5,tabela_registros[TIPO],DADOS!$AB$4,tabela_registros[CATEGORIA],investirrendavariávelconsolidadoabr[[#This Row],[ATUAL]])</f>
        <v>0</v>
      </c>
      <c r="AI139" s="101">
        <f>SUMIFS(tabela_registros[VALOR],tabela_registros[MÊS],$AE$1,tabela_registros[DIA],investirrendavariávelconsolidadoabr[[#Headers],[31]],tabela_registros[REGISTRO],DADOS!$N$5,tabela_registros[TIPO],DADOS!$AB$4,tabela_registros[CATEGORIA],investirrendavariávelconsolidadoabr[[#This Row],[ATUAL]])</f>
        <v>0</v>
      </c>
      <c r="AJ139" s="97">
        <f>SUM(investirrendavariávelconsolidadoabr[[#This Row],[1]:[31]])</f>
        <v>0</v>
      </c>
      <c r="AK139" s="25"/>
    </row>
    <row r="140" spans="2:37" ht="19.5" customHeight="1" thickTop="1" thickBot="1" x14ac:dyDescent="0.3">
      <c r="B140" s="28"/>
      <c r="C140" s="27" t="str">
        <f>DADOS!$AF$11</f>
        <v>📝 MOEDA</v>
      </c>
      <c r="D140" s="26" t="str">
        <f>IF(investirrendavariávelconsolidadoabr[[#This Row],[TOTAL (R$)]]=0,"",IF(OR(investirrendavariávelconsolidadoabr[[#This Row],[TOTAL (R$)]]=LARGE($AJ$132:$AJ$141,1),investirrendavariávelconsolidadoabr[[#This Row],[TOTAL (R$)]]=LARGE($AJ$132:$AJ$141,2)),DADOS!$I$10,""))</f>
        <v/>
      </c>
      <c r="E140" s="96">
        <f>SUMIFS(tabela_registros[VALOR],tabela_registros[MÊS],$AE$1,tabela_registros[DIA],investirrendavariávelconsolidadoabr[[#Headers],[1]],tabela_registros[REGISTRO],DADOS!$N$5,tabela_registros[TIPO],DADOS!$AB$4,tabela_registros[CATEGORIA],investirrendavariávelconsolidadoabr[[#This Row],[ATUAL]])</f>
        <v>0</v>
      </c>
      <c r="F140" s="91">
        <f>SUMIFS(tabela_registros[VALOR],tabela_registros[MÊS],$AE$1,tabela_registros[DIA],investirrendavariávelconsolidadoabr[[#Headers],[2]],tabela_registros[REGISTRO],DADOS!$N$5,tabela_registros[TIPO],DADOS!$AB$4,tabela_registros[CATEGORIA],investirrendavariávelconsolidadoabr[[#This Row],[ATUAL]])</f>
        <v>0</v>
      </c>
      <c r="G140" s="91">
        <f>SUMIFS(tabela_registros[VALOR],tabela_registros[MÊS],$AE$1,tabela_registros[DIA],investirrendavariávelconsolidadoabr[[#Headers],[3]],tabela_registros[REGISTRO],DADOS!$N$5,tabela_registros[TIPO],DADOS!$AB$4,tabela_registros[CATEGORIA],investirrendavariávelconsolidadoabr[[#This Row],[ATUAL]])</f>
        <v>0</v>
      </c>
      <c r="H140" s="91">
        <f>SUMIFS(tabela_registros[VALOR],tabela_registros[MÊS],$AE$1,tabela_registros[DIA],investirrendavariávelconsolidadoabr[[#Headers],[4]],tabela_registros[REGISTRO],DADOS!$N$5,tabela_registros[TIPO],DADOS!$AB$4,tabela_registros[CATEGORIA],investirrendavariávelconsolidadoabr[[#This Row],[ATUAL]])</f>
        <v>0</v>
      </c>
      <c r="I140" s="91">
        <f>SUMIFS(tabela_registros[VALOR],tabela_registros[MÊS],$AE$1,tabela_registros[DIA],investirrendavariávelconsolidadoabr[[#Headers],[5]],tabela_registros[REGISTRO],DADOS!$N$5,tabela_registros[TIPO],DADOS!$AB$4,tabela_registros[CATEGORIA],investirrendavariávelconsolidadoabr[[#This Row],[ATUAL]])</f>
        <v>0</v>
      </c>
      <c r="J140" s="91">
        <f>SUMIFS(tabela_registros[VALOR],tabela_registros[MÊS],$AE$1,tabela_registros[DIA],investirrendavariávelconsolidadoabr[[#Headers],[6]],tabela_registros[REGISTRO],DADOS!$N$5,tabela_registros[TIPO],DADOS!$AB$4,tabela_registros[CATEGORIA],investirrendavariávelconsolidadoabr[[#This Row],[ATUAL]])</f>
        <v>0</v>
      </c>
      <c r="K140" s="91">
        <f>SUMIFS(tabela_registros[VALOR],tabela_registros[MÊS],$AE$1,tabela_registros[DIA],investirrendavariávelconsolidadoabr[[#Headers],[7]],tabela_registros[REGISTRO],DADOS!$N$5,tabela_registros[TIPO],DADOS!$AB$4,tabela_registros[CATEGORIA],investirrendavariávelconsolidadoabr[[#This Row],[ATUAL]])</f>
        <v>0</v>
      </c>
      <c r="L140" s="91">
        <f>SUMIFS(tabela_registros[VALOR],tabela_registros[MÊS],$AE$1,tabela_registros[DIA],investirrendavariávelconsolidadoabr[[#Headers],[8]],tabela_registros[REGISTRO],DADOS!$N$5,tabela_registros[TIPO],DADOS!$AB$4,tabela_registros[CATEGORIA],investirrendavariávelconsolidadoabr[[#This Row],[ATUAL]])</f>
        <v>0</v>
      </c>
      <c r="M140" s="91">
        <f>SUMIFS(tabela_registros[VALOR],tabela_registros[MÊS],$AE$1,tabela_registros[DIA],investirrendavariávelconsolidadoabr[[#Headers],[9]],tabela_registros[REGISTRO],DADOS!$N$5,tabela_registros[TIPO],DADOS!$AB$4,tabela_registros[CATEGORIA],investirrendavariávelconsolidadoabr[[#This Row],[ATUAL]])</f>
        <v>0</v>
      </c>
      <c r="N140" s="91">
        <f>SUMIFS(tabela_registros[VALOR],tabela_registros[MÊS],$AE$1,tabela_registros[DIA],investirrendavariávelconsolidadoabr[[#Headers],[10]],tabela_registros[REGISTRO],DADOS!$N$5,tabela_registros[TIPO],DADOS!$AB$4,tabela_registros[CATEGORIA],investirrendavariávelconsolidadoabr[[#This Row],[ATUAL]])</f>
        <v>0</v>
      </c>
      <c r="O140" s="91">
        <f>SUMIFS(tabela_registros[VALOR],tabela_registros[MÊS],$AE$1,tabela_registros[DIA],investirrendavariávelconsolidadoabr[[#Headers],[11]],tabela_registros[REGISTRO],DADOS!$N$5,tabela_registros[TIPO],DADOS!$AB$4,tabela_registros[CATEGORIA],investirrendavariávelconsolidadoabr[[#This Row],[ATUAL]])</f>
        <v>0</v>
      </c>
      <c r="P140" s="91">
        <f>SUMIFS(tabela_registros[VALOR],tabela_registros[MÊS],$AE$1,tabela_registros[DIA],investirrendavariávelconsolidadoabr[[#Headers],[12]],tabela_registros[REGISTRO],DADOS!$N$5,tabela_registros[TIPO],DADOS!$AB$4,tabela_registros[CATEGORIA],investirrendavariávelconsolidadoabr[[#This Row],[ATUAL]])</f>
        <v>0</v>
      </c>
      <c r="Q140" s="91">
        <f>SUMIFS(tabela_registros[VALOR],tabela_registros[MÊS],$AE$1,tabela_registros[DIA],investirrendavariávelconsolidadoabr[[#Headers],[13]],tabela_registros[REGISTRO],DADOS!$N$5,tabela_registros[TIPO],DADOS!$AB$4,tabela_registros[CATEGORIA],investirrendavariávelconsolidadoabr[[#This Row],[ATUAL]])</f>
        <v>0</v>
      </c>
      <c r="R140" s="91">
        <f>SUMIFS(tabela_registros[VALOR],tabela_registros[MÊS],$AE$1,tabela_registros[DIA],investirrendavariávelconsolidadoabr[[#Headers],[14]],tabela_registros[REGISTRO],DADOS!$N$5,tabela_registros[TIPO],DADOS!$AB$4,tabela_registros[CATEGORIA],investirrendavariávelconsolidadoabr[[#This Row],[ATUAL]])</f>
        <v>0</v>
      </c>
      <c r="S140" s="91">
        <f>SUMIFS(tabela_registros[VALOR],tabela_registros[MÊS],$AE$1,tabela_registros[DIA],investirrendavariávelconsolidadoabr[[#Headers],[15]],tabela_registros[REGISTRO],DADOS!$N$5,tabela_registros[TIPO],DADOS!$AB$4,tabela_registros[CATEGORIA],investirrendavariávelconsolidadoabr[[#This Row],[ATUAL]])</f>
        <v>0</v>
      </c>
      <c r="T140" s="91">
        <f>SUMIFS(tabela_registros[VALOR],tabela_registros[MÊS],$AE$1,tabela_registros[DIA],investirrendavariávelconsolidadoabr[[#Headers],[16]],tabela_registros[REGISTRO],DADOS!$N$5,tabela_registros[TIPO],DADOS!$AB$4,tabela_registros[CATEGORIA],investirrendavariávelconsolidadoabr[[#This Row],[ATUAL]])</f>
        <v>0</v>
      </c>
      <c r="U140" s="91">
        <f>SUMIFS(tabela_registros[VALOR],tabela_registros[MÊS],$AE$1,tabela_registros[DIA],investirrendavariávelconsolidadoabr[[#Headers],[17]],tabela_registros[REGISTRO],DADOS!$N$5,tabela_registros[TIPO],DADOS!$AB$4,tabela_registros[CATEGORIA],investirrendavariávelconsolidadoabr[[#This Row],[ATUAL]])</f>
        <v>0</v>
      </c>
      <c r="V140" s="91">
        <f>SUMIFS(tabela_registros[VALOR],tabela_registros[MÊS],$AE$1,tabela_registros[DIA],investirrendavariávelconsolidadoabr[[#Headers],[18]],tabela_registros[REGISTRO],DADOS!$N$5,tabela_registros[TIPO],DADOS!$AB$4,tabela_registros[CATEGORIA],investirrendavariávelconsolidadoabr[[#This Row],[ATUAL]])</f>
        <v>0</v>
      </c>
      <c r="W140" s="91">
        <f>SUMIFS(tabela_registros[VALOR],tabela_registros[MÊS],$AE$1,tabela_registros[DIA],investirrendavariávelconsolidadoabr[[#Headers],[19]],tabela_registros[REGISTRO],DADOS!$N$5,tabela_registros[TIPO],DADOS!$AB$4,tabela_registros[CATEGORIA],investirrendavariávelconsolidadoabr[[#This Row],[ATUAL]])</f>
        <v>0</v>
      </c>
      <c r="X140" s="91">
        <f>SUMIFS(tabela_registros[VALOR],tabela_registros[MÊS],$AE$1,tabela_registros[DIA],investirrendavariávelconsolidadoabr[[#Headers],[20]],tabela_registros[REGISTRO],DADOS!$N$5,tabela_registros[TIPO],DADOS!$AB$4,tabela_registros[CATEGORIA],investirrendavariávelconsolidadoabr[[#This Row],[ATUAL]])</f>
        <v>0</v>
      </c>
      <c r="Y140" s="91">
        <f>SUMIFS(tabela_registros[VALOR],tabela_registros[MÊS],$AE$1,tabela_registros[DIA],investirrendavariávelconsolidadoabr[[#Headers],[21]],tabela_registros[REGISTRO],DADOS!$N$5,tabela_registros[TIPO],DADOS!$AB$4,tabela_registros[CATEGORIA],investirrendavariávelconsolidadoabr[[#This Row],[ATUAL]])</f>
        <v>0</v>
      </c>
      <c r="Z140" s="91">
        <f>SUMIFS(tabela_registros[VALOR],tabela_registros[MÊS],$AE$1,tabela_registros[DIA],investirrendavariávelconsolidadoabr[[#Headers],[22]],tabela_registros[REGISTRO],DADOS!$N$5,tabela_registros[TIPO],DADOS!$AB$4,tabela_registros[CATEGORIA],investirrendavariávelconsolidadoabr[[#This Row],[ATUAL]])</f>
        <v>0</v>
      </c>
      <c r="AA140" s="91">
        <f>SUMIFS(tabela_registros[VALOR],tabela_registros[MÊS],$AE$1,tabela_registros[DIA],investirrendavariávelconsolidadoabr[[#Headers],[23]],tabela_registros[REGISTRO],DADOS!$N$5,tabela_registros[TIPO],DADOS!$AB$4,tabela_registros[CATEGORIA],investirrendavariávelconsolidadoabr[[#This Row],[ATUAL]])</f>
        <v>0</v>
      </c>
      <c r="AB140" s="91">
        <f>SUMIFS(tabela_registros[VALOR],tabela_registros[MÊS],$AE$1,tabela_registros[DIA],investirrendavariávelconsolidadoabr[[#Headers],[24]],tabela_registros[REGISTRO],DADOS!$N$5,tabela_registros[TIPO],DADOS!$AB$4,tabela_registros[CATEGORIA],investirrendavariávelconsolidadoabr[[#This Row],[ATUAL]])</f>
        <v>0</v>
      </c>
      <c r="AC140" s="91">
        <f>SUMIFS(tabela_registros[VALOR],tabela_registros[MÊS],$AE$1,tabela_registros[DIA],investirrendavariávelconsolidadoabr[[#Headers],[25]],tabela_registros[REGISTRO],DADOS!$N$5,tabela_registros[TIPO],DADOS!$AB$4,tabela_registros[CATEGORIA],investirrendavariávelconsolidadoabr[[#This Row],[ATUAL]])</f>
        <v>0</v>
      </c>
      <c r="AD140" s="91">
        <f>SUMIFS(tabela_registros[VALOR],tabela_registros[MÊS],$AE$1,tabela_registros[DIA],investirrendavariávelconsolidadoabr[[#Headers],[26]],tabela_registros[REGISTRO],DADOS!$N$5,tabela_registros[TIPO],DADOS!$AB$4,tabela_registros[CATEGORIA],investirrendavariávelconsolidadoabr[[#This Row],[ATUAL]])</f>
        <v>0</v>
      </c>
      <c r="AE140" s="91">
        <f>SUMIFS(tabela_registros[VALOR],tabela_registros[MÊS],$AE$1,tabela_registros[DIA],investirrendavariávelconsolidadoabr[[#Headers],[27]],tabela_registros[REGISTRO],DADOS!$N$5,tabela_registros[TIPO],DADOS!$AB$4,tabela_registros[CATEGORIA],investirrendavariávelconsolidadoabr[[#This Row],[ATUAL]])</f>
        <v>0</v>
      </c>
      <c r="AF140" s="91">
        <f>SUMIFS(tabela_registros[VALOR],tabela_registros[MÊS],$AE$1,tabela_registros[DIA],investirrendavariávelconsolidadoabr[[#Headers],[28]],tabela_registros[REGISTRO],DADOS!$N$5,tabela_registros[TIPO],DADOS!$AB$4,tabela_registros[CATEGORIA],investirrendavariávelconsolidadoabr[[#This Row],[ATUAL]])</f>
        <v>0</v>
      </c>
      <c r="AG140" s="91">
        <f>SUMIFS(tabela_registros[VALOR],tabela_registros[MÊS],$AE$1,tabela_registros[DIA],investirrendavariávelconsolidadoabr[[#Headers],[29]],tabela_registros[REGISTRO],DADOS!$N$5,tabela_registros[TIPO],DADOS!$AB$4,tabela_registros[CATEGORIA],investirrendavariávelconsolidadoabr[[#This Row],[ATUAL]])</f>
        <v>0</v>
      </c>
      <c r="AH140" s="91">
        <f>SUMIFS(tabela_registros[VALOR],tabela_registros[MÊS],$AE$1,tabela_registros[DIA],investirrendavariávelconsolidadoabr[[#Headers],[30]],tabela_registros[REGISTRO],DADOS!$N$5,tabela_registros[TIPO],DADOS!$AB$4,tabela_registros[CATEGORIA],investirrendavariávelconsolidadoabr[[#This Row],[ATUAL]])</f>
        <v>0</v>
      </c>
      <c r="AI140" s="101">
        <f>SUMIFS(tabela_registros[VALOR],tabela_registros[MÊS],$AE$1,tabela_registros[DIA],investirrendavariávelconsolidadoabr[[#Headers],[31]],tabela_registros[REGISTRO],DADOS!$N$5,tabela_registros[TIPO],DADOS!$AB$4,tabela_registros[CATEGORIA],investirrendavariávelconsolidadoabr[[#This Row],[ATUAL]])</f>
        <v>0</v>
      </c>
      <c r="AJ140" s="97">
        <f>SUM(investirrendavariávelconsolidadoabr[[#This Row],[1]:[31]])</f>
        <v>0</v>
      </c>
      <c r="AK140" s="25"/>
    </row>
    <row r="141" spans="2:37" ht="19.5" customHeight="1" thickTop="1" thickBot="1" x14ac:dyDescent="0.3">
      <c r="B141" s="28"/>
      <c r="C141" s="27" t="str">
        <f>DADOS!$AF$12</f>
        <v>📎 OUTROS</v>
      </c>
      <c r="D141" s="26" t="str">
        <f>IF(investirrendavariávelconsolidadoabr[[#This Row],[TOTAL (R$)]]=0,"",IF(OR(investirrendavariávelconsolidadoabr[[#This Row],[TOTAL (R$)]]=LARGE($AJ$132:$AJ$141,1),investirrendavariávelconsolidadoabr[[#This Row],[TOTAL (R$)]]=LARGE($AJ$132:$AJ$141,2)),DADOS!$I$10,""))</f>
        <v/>
      </c>
      <c r="E141" s="96">
        <f>SUMIFS(tabela_registros[VALOR],tabela_registros[MÊS],$AE$1,tabela_registros[DIA],investirrendavariávelconsolidadoabr[[#Headers],[1]],tabela_registros[REGISTRO],DADOS!$N$5,tabela_registros[TIPO],DADOS!$AB$4,tabela_registros[CATEGORIA],investirrendavariávelconsolidadoabr[[#This Row],[ATUAL]])</f>
        <v>0</v>
      </c>
      <c r="F141" s="91">
        <f>SUMIFS(tabela_registros[VALOR],tabela_registros[MÊS],$AE$1,tabela_registros[DIA],investirrendavariávelconsolidadoabr[[#Headers],[2]],tabela_registros[REGISTRO],DADOS!$N$5,tabela_registros[TIPO],DADOS!$AB$4,tabela_registros[CATEGORIA],investirrendavariávelconsolidadoabr[[#This Row],[ATUAL]])</f>
        <v>0</v>
      </c>
      <c r="G141" s="91">
        <f>SUMIFS(tabela_registros[VALOR],tabela_registros[MÊS],$AE$1,tabela_registros[DIA],investirrendavariávelconsolidadoabr[[#Headers],[3]],tabela_registros[REGISTRO],DADOS!$N$5,tabela_registros[TIPO],DADOS!$AB$4,tabela_registros[CATEGORIA],investirrendavariávelconsolidadoabr[[#This Row],[ATUAL]])</f>
        <v>0</v>
      </c>
      <c r="H141" s="91">
        <f>SUMIFS(tabela_registros[VALOR],tabela_registros[MÊS],$AE$1,tabela_registros[DIA],investirrendavariávelconsolidadoabr[[#Headers],[4]],tabela_registros[REGISTRO],DADOS!$N$5,tabela_registros[TIPO],DADOS!$AB$4,tabela_registros[CATEGORIA],investirrendavariávelconsolidadoabr[[#This Row],[ATUAL]])</f>
        <v>0</v>
      </c>
      <c r="I141" s="91">
        <f>SUMIFS(tabela_registros[VALOR],tabela_registros[MÊS],$AE$1,tabela_registros[DIA],investirrendavariávelconsolidadoabr[[#Headers],[5]],tabela_registros[REGISTRO],DADOS!$N$5,tabela_registros[TIPO],DADOS!$AB$4,tabela_registros[CATEGORIA],investirrendavariávelconsolidadoabr[[#This Row],[ATUAL]])</f>
        <v>0</v>
      </c>
      <c r="J141" s="91">
        <f>SUMIFS(tabela_registros[VALOR],tabela_registros[MÊS],$AE$1,tabela_registros[DIA],investirrendavariávelconsolidadoabr[[#Headers],[6]],tabela_registros[REGISTRO],DADOS!$N$5,tabela_registros[TIPO],DADOS!$AB$4,tabela_registros[CATEGORIA],investirrendavariávelconsolidadoabr[[#This Row],[ATUAL]])</f>
        <v>0</v>
      </c>
      <c r="K141" s="91">
        <f>SUMIFS(tabela_registros[VALOR],tabela_registros[MÊS],$AE$1,tabela_registros[DIA],investirrendavariávelconsolidadoabr[[#Headers],[7]],tabela_registros[REGISTRO],DADOS!$N$5,tabela_registros[TIPO],DADOS!$AB$4,tabela_registros[CATEGORIA],investirrendavariávelconsolidadoabr[[#This Row],[ATUAL]])</f>
        <v>0</v>
      </c>
      <c r="L141" s="91">
        <f>SUMIFS(tabela_registros[VALOR],tabela_registros[MÊS],$AE$1,tabela_registros[DIA],investirrendavariávelconsolidadoabr[[#Headers],[8]],tabela_registros[REGISTRO],DADOS!$N$5,tabela_registros[TIPO],DADOS!$AB$4,tabela_registros[CATEGORIA],investirrendavariávelconsolidadoabr[[#This Row],[ATUAL]])</f>
        <v>0</v>
      </c>
      <c r="M141" s="91">
        <f>SUMIFS(tabela_registros[VALOR],tabela_registros[MÊS],$AE$1,tabela_registros[DIA],investirrendavariávelconsolidadoabr[[#Headers],[9]],tabela_registros[REGISTRO],DADOS!$N$5,tabela_registros[TIPO],DADOS!$AB$4,tabela_registros[CATEGORIA],investirrendavariávelconsolidadoabr[[#This Row],[ATUAL]])</f>
        <v>0</v>
      </c>
      <c r="N141" s="91">
        <f>SUMIFS(tabela_registros[VALOR],tabela_registros[MÊS],$AE$1,tabela_registros[DIA],investirrendavariávelconsolidadoabr[[#Headers],[10]],tabela_registros[REGISTRO],DADOS!$N$5,tabela_registros[TIPO],DADOS!$AB$4,tabela_registros[CATEGORIA],investirrendavariávelconsolidadoabr[[#This Row],[ATUAL]])</f>
        <v>0</v>
      </c>
      <c r="O141" s="91">
        <f>SUMIFS(tabela_registros[VALOR],tabela_registros[MÊS],$AE$1,tabela_registros[DIA],investirrendavariávelconsolidadoabr[[#Headers],[11]],tabela_registros[REGISTRO],DADOS!$N$5,tabela_registros[TIPO],DADOS!$AB$4,tabela_registros[CATEGORIA],investirrendavariávelconsolidadoabr[[#This Row],[ATUAL]])</f>
        <v>0</v>
      </c>
      <c r="P141" s="91">
        <f>SUMIFS(tabela_registros[VALOR],tabela_registros[MÊS],$AE$1,tabela_registros[DIA],investirrendavariávelconsolidadoabr[[#Headers],[12]],tabela_registros[REGISTRO],DADOS!$N$5,tabela_registros[TIPO],DADOS!$AB$4,tabela_registros[CATEGORIA],investirrendavariávelconsolidadoabr[[#This Row],[ATUAL]])</f>
        <v>0</v>
      </c>
      <c r="Q141" s="91">
        <f>SUMIFS(tabela_registros[VALOR],tabela_registros[MÊS],$AE$1,tabela_registros[DIA],investirrendavariávelconsolidadoabr[[#Headers],[13]],tabela_registros[REGISTRO],DADOS!$N$5,tabela_registros[TIPO],DADOS!$AB$4,tabela_registros[CATEGORIA],investirrendavariávelconsolidadoabr[[#This Row],[ATUAL]])</f>
        <v>0</v>
      </c>
      <c r="R141" s="91">
        <f>SUMIFS(tabela_registros[VALOR],tabela_registros[MÊS],$AE$1,tabela_registros[DIA],investirrendavariávelconsolidadoabr[[#Headers],[14]],tabela_registros[REGISTRO],DADOS!$N$5,tabela_registros[TIPO],DADOS!$AB$4,tabela_registros[CATEGORIA],investirrendavariávelconsolidadoabr[[#This Row],[ATUAL]])</f>
        <v>0</v>
      </c>
      <c r="S141" s="91">
        <f>SUMIFS(tabela_registros[VALOR],tabela_registros[MÊS],$AE$1,tabela_registros[DIA],investirrendavariávelconsolidadoabr[[#Headers],[15]],tabela_registros[REGISTRO],DADOS!$N$5,tabela_registros[TIPO],DADOS!$AB$4,tabela_registros[CATEGORIA],investirrendavariávelconsolidadoabr[[#This Row],[ATUAL]])</f>
        <v>0</v>
      </c>
      <c r="T141" s="91">
        <f>SUMIFS(tabela_registros[VALOR],tabela_registros[MÊS],$AE$1,tabela_registros[DIA],investirrendavariávelconsolidadoabr[[#Headers],[16]],tabela_registros[REGISTRO],DADOS!$N$5,tabela_registros[TIPO],DADOS!$AB$4,tabela_registros[CATEGORIA],investirrendavariávelconsolidadoabr[[#This Row],[ATUAL]])</f>
        <v>0</v>
      </c>
      <c r="U141" s="91">
        <f>SUMIFS(tabela_registros[VALOR],tabela_registros[MÊS],$AE$1,tabela_registros[DIA],investirrendavariávelconsolidadoabr[[#Headers],[17]],tabela_registros[REGISTRO],DADOS!$N$5,tabela_registros[TIPO],DADOS!$AB$4,tabela_registros[CATEGORIA],investirrendavariávelconsolidadoabr[[#This Row],[ATUAL]])</f>
        <v>0</v>
      </c>
      <c r="V141" s="91">
        <f>SUMIFS(tabela_registros[VALOR],tabela_registros[MÊS],$AE$1,tabela_registros[DIA],investirrendavariávelconsolidadoabr[[#Headers],[18]],tabela_registros[REGISTRO],DADOS!$N$5,tabela_registros[TIPO],DADOS!$AB$4,tabela_registros[CATEGORIA],investirrendavariávelconsolidadoabr[[#This Row],[ATUAL]])</f>
        <v>0</v>
      </c>
      <c r="W141" s="91">
        <f>SUMIFS(tabela_registros[VALOR],tabela_registros[MÊS],$AE$1,tabela_registros[DIA],investirrendavariávelconsolidadoabr[[#Headers],[19]],tabela_registros[REGISTRO],DADOS!$N$5,tabela_registros[TIPO],DADOS!$AB$4,tabela_registros[CATEGORIA],investirrendavariávelconsolidadoabr[[#This Row],[ATUAL]])</f>
        <v>0</v>
      </c>
      <c r="X141" s="91">
        <f>SUMIFS(tabela_registros[VALOR],tabela_registros[MÊS],$AE$1,tabela_registros[DIA],investirrendavariávelconsolidadoabr[[#Headers],[20]],tabela_registros[REGISTRO],DADOS!$N$5,tabela_registros[TIPO],DADOS!$AB$4,tabela_registros[CATEGORIA],investirrendavariávelconsolidadoabr[[#This Row],[ATUAL]])</f>
        <v>0</v>
      </c>
      <c r="Y141" s="91">
        <f>SUMIFS(tabela_registros[VALOR],tabela_registros[MÊS],$AE$1,tabela_registros[DIA],investirrendavariávelconsolidadoabr[[#Headers],[21]],tabela_registros[REGISTRO],DADOS!$N$5,tabela_registros[TIPO],DADOS!$AB$4,tabela_registros[CATEGORIA],investirrendavariávelconsolidadoabr[[#This Row],[ATUAL]])</f>
        <v>0</v>
      </c>
      <c r="Z141" s="91">
        <f>SUMIFS(tabela_registros[VALOR],tabela_registros[MÊS],$AE$1,tabela_registros[DIA],investirrendavariávelconsolidadoabr[[#Headers],[22]],tabela_registros[REGISTRO],DADOS!$N$5,tabela_registros[TIPO],DADOS!$AB$4,tabela_registros[CATEGORIA],investirrendavariávelconsolidadoabr[[#This Row],[ATUAL]])</f>
        <v>0</v>
      </c>
      <c r="AA141" s="91">
        <f>SUMIFS(tabela_registros[VALOR],tabela_registros[MÊS],$AE$1,tabela_registros[DIA],investirrendavariávelconsolidadoabr[[#Headers],[23]],tabela_registros[REGISTRO],DADOS!$N$5,tabela_registros[TIPO],DADOS!$AB$4,tabela_registros[CATEGORIA],investirrendavariávelconsolidadoabr[[#This Row],[ATUAL]])</f>
        <v>0</v>
      </c>
      <c r="AB141" s="91">
        <f>SUMIFS(tabela_registros[VALOR],tabela_registros[MÊS],$AE$1,tabela_registros[DIA],investirrendavariávelconsolidadoabr[[#Headers],[24]],tabela_registros[REGISTRO],DADOS!$N$5,tabela_registros[TIPO],DADOS!$AB$4,tabela_registros[CATEGORIA],investirrendavariávelconsolidadoabr[[#This Row],[ATUAL]])</f>
        <v>0</v>
      </c>
      <c r="AC141" s="91">
        <f>SUMIFS(tabela_registros[VALOR],tabela_registros[MÊS],$AE$1,tabela_registros[DIA],investirrendavariávelconsolidadoabr[[#Headers],[25]],tabela_registros[REGISTRO],DADOS!$N$5,tabela_registros[TIPO],DADOS!$AB$4,tabela_registros[CATEGORIA],investirrendavariávelconsolidadoabr[[#This Row],[ATUAL]])</f>
        <v>0</v>
      </c>
      <c r="AD141" s="91">
        <f>SUMIFS(tabela_registros[VALOR],tabela_registros[MÊS],$AE$1,tabela_registros[DIA],investirrendavariávelconsolidadoabr[[#Headers],[26]],tabela_registros[REGISTRO],DADOS!$N$5,tabela_registros[TIPO],DADOS!$AB$4,tabela_registros[CATEGORIA],investirrendavariávelconsolidadoabr[[#This Row],[ATUAL]])</f>
        <v>0</v>
      </c>
      <c r="AE141" s="91">
        <f>SUMIFS(tabela_registros[VALOR],tabela_registros[MÊS],$AE$1,tabela_registros[DIA],investirrendavariávelconsolidadoabr[[#Headers],[27]],tabela_registros[REGISTRO],DADOS!$N$5,tabela_registros[TIPO],DADOS!$AB$4,tabela_registros[CATEGORIA],investirrendavariávelconsolidadoabr[[#This Row],[ATUAL]])</f>
        <v>0</v>
      </c>
      <c r="AF141" s="91">
        <f>SUMIFS(tabela_registros[VALOR],tabela_registros[MÊS],$AE$1,tabela_registros[DIA],investirrendavariávelconsolidadoabr[[#Headers],[28]],tabela_registros[REGISTRO],DADOS!$N$5,tabela_registros[TIPO],DADOS!$AB$4,tabela_registros[CATEGORIA],investirrendavariávelconsolidadoabr[[#This Row],[ATUAL]])</f>
        <v>0</v>
      </c>
      <c r="AG141" s="91">
        <f>SUMIFS(tabela_registros[VALOR],tabela_registros[MÊS],$AE$1,tabela_registros[DIA],investirrendavariávelconsolidadoabr[[#Headers],[29]],tabela_registros[REGISTRO],DADOS!$N$5,tabela_registros[TIPO],DADOS!$AB$4,tabela_registros[CATEGORIA],investirrendavariávelconsolidadoabr[[#This Row],[ATUAL]])</f>
        <v>0</v>
      </c>
      <c r="AH141" s="91">
        <f>SUMIFS(tabela_registros[VALOR],tabela_registros[MÊS],$AE$1,tabela_registros[DIA],investirrendavariávelconsolidadoabr[[#Headers],[30]],tabela_registros[REGISTRO],DADOS!$N$5,tabela_registros[TIPO],DADOS!$AB$4,tabela_registros[CATEGORIA],investirrendavariávelconsolidadoabr[[#This Row],[ATUAL]])</f>
        <v>0</v>
      </c>
      <c r="AI141" s="102">
        <f>SUMIFS(tabela_registros[VALOR],tabela_registros[MÊS],$AE$1,tabela_registros[DIA],investirrendavariávelconsolidadoabr[[#Headers],[31]],tabela_registros[REGISTRO],DADOS!$N$5,tabela_registros[TIPO],DADOS!$AB$4,tabela_registros[CATEGORIA],investirrendavariávelconsolidadoabr[[#This Row],[ATUAL]])</f>
        <v>0</v>
      </c>
      <c r="AJ141" s="97">
        <f>SUM(investirrendavariávelconsolidadoabr[[#This Row],[1]:[31]])</f>
        <v>0</v>
      </c>
      <c r="AK141" s="25"/>
    </row>
    <row r="142" spans="2:37" s="16" customFormat="1" ht="21" customHeight="1" thickTop="1" thickBot="1" x14ac:dyDescent="0.35">
      <c r="B142" s="24"/>
      <c r="C142" s="23" t="s">
        <v>19</v>
      </c>
      <c r="D142" s="22"/>
      <c r="E142" s="21">
        <f>SUM(E132:E141)</f>
        <v>0</v>
      </c>
      <c r="F142" s="20">
        <f>SUM(F132:F141)+investirrendavariávelconsolidadoabr[[#This Row],[1]]</f>
        <v>0</v>
      </c>
      <c r="G142" s="20">
        <f>SUM(G132:G141)+investirrendavariávelconsolidadoabr[[#This Row],[2]]</f>
        <v>0</v>
      </c>
      <c r="H142" s="20">
        <f>SUM(H132:H141)+investirrendavariávelconsolidadoabr[[#This Row],[3]]</f>
        <v>0</v>
      </c>
      <c r="I142" s="20">
        <f>SUM(I132:I141)+investirrendavariávelconsolidadoabr[[#This Row],[4]]</f>
        <v>0</v>
      </c>
      <c r="J142" s="20">
        <f>SUM(J132:J141)+investirrendavariávelconsolidadoabr[[#This Row],[5]]</f>
        <v>0</v>
      </c>
      <c r="K142" s="20">
        <f>SUM(K132:K141)+investirrendavariávelconsolidadoabr[[#This Row],[6]]</f>
        <v>0</v>
      </c>
      <c r="L142" s="20">
        <f>SUM(L132:L141)+investirrendavariávelconsolidadoabr[[#This Row],[7]]</f>
        <v>0</v>
      </c>
      <c r="M142" s="20">
        <f>SUM(M132:M141)+investirrendavariávelconsolidadoabr[[#This Row],[8]]</f>
        <v>0</v>
      </c>
      <c r="N142" s="20">
        <f>SUM(N132:N141)+investirrendavariávelconsolidadoabr[[#This Row],[9]]</f>
        <v>0</v>
      </c>
      <c r="O142" s="20">
        <f>SUM(O132:O141)+investirrendavariávelconsolidadoabr[[#This Row],[10]]</f>
        <v>0</v>
      </c>
      <c r="P142" s="20">
        <f>SUM(P132:P141)+investirrendavariávelconsolidadoabr[[#This Row],[11]]</f>
        <v>0</v>
      </c>
      <c r="Q142" s="20">
        <f>SUM(Q132:Q141)+investirrendavariávelconsolidadoabr[[#This Row],[12]]</f>
        <v>0</v>
      </c>
      <c r="R142" s="20">
        <f>SUM(R132:R141)+investirrendavariávelconsolidadoabr[[#This Row],[13]]</f>
        <v>0</v>
      </c>
      <c r="S142" s="20">
        <f>SUM(S132:S141)+investirrendavariávelconsolidadoabr[[#This Row],[14]]</f>
        <v>0</v>
      </c>
      <c r="T142" s="20">
        <f>SUM(T132:T141)+investirrendavariávelconsolidadoabr[[#This Row],[15]]</f>
        <v>0</v>
      </c>
      <c r="U142" s="20">
        <f>SUM(U132:U141)+investirrendavariávelconsolidadoabr[[#This Row],[16]]</f>
        <v>0</v>
      </c>
      <c r="V142" s="20">
        <f>SUM(V132:V141)+investirrendavariávelconsolidadoabr[[#This Row],[17]]</f>
        <v>0</v>
      </c>
      <c r="W142" s="20">
        <f>SUM(W132:W141)+investirrendavariávelconsolidadoabr[[#This Row],[18]]</f>
        <v>0</v>
      </c>
      <c r="X142" s="20">
        <f>SUM(X132:X141)+investirrendavariávelconsolidadoabr[[#This Row],[19]]</f>
        <v>0</v>
      </c>
      <c r="Y142" s="20">
        <f>SUM(Y132:Y141)+investirrendavariávelconsolidadoabr[[#This Row],[20]]</f>
        <v>0</v>
      </c>
      <c r="Z142" s="20">
        <f>SUM(Z132:Z141)+investirrendavariávelconsolidadoabr[[#This Row],[21]]</f>
        <v>0</v>
      </c>
      <c r="AA142" s="20">
        <f>SUM(AA132:AA141)+investirrendavariávelconsolidadoabr[[#This Row],[22]]</f>
        <v>0</v>
      </c>
      <c r="AB142" s="20">
        <f>SUM(AB132:AB141)+investirrendavariávelconsolidadoabr[[#This Row],[23]]</f>
        <v>0</v>
      </c>
      <c r="AC142" s="20">
        <f>SUM(AC132:AC141)+investirrendavariávelconsolidadoabr[[#This Row],[24]]</f>
        <v>0</v>
      </c>
      <c r="AD142" s="20">
        <f>SUM(AD132:AD141)+investirrendavariávelconsolidadoabr[[#This Row],[25]]</f>
        <v>0</v>
      </c>
      <c r="AE142" s="20">
        <f>SUM(AE132:AE141)+investirrendavariávelconsolidadoabr[[#This Row],[26]]</f>
        <v>0</v>
      </c>
      <c r="AF142" s="20">
        <f>SUM(AF132:AF141)+investirrendavariávelconsolidadoabr[[#This Row],[27]]</f>
        <v>0</v>
      </c>
      <c r="AG142" s="20">
        <f>SUM(AG132:AG141)+investirrendavariávelconsolidadoabr[[#This Row],[28]]</f>
        <v>0</v>
      </c>
      <c r="AH142" s="20">
        <f>SUM(AH132:AH141)+investirrendavariávelconsolidadoabr[[#This Row],[29]]</f>
        <v>0</v>
      </c>
      <c r="AI142" s="19">
        <f>SUM(AI132:AI141)+investirrendavariávelconsolidadoabr[[#This Row],[30]]</f>
        <v>0</v>
      </c>
      <c r="AJ142" s="18">
        <f>investirrendavariávelconsolidadoabr[[#This Row],[31]]</f>
        <v>0</v>
      </c>
      <c r="AK142" s="17"/>
    </row>
    <row r="143" spans="2:37" ht="6.75" customHeight="1" thickTop="1" thickBot="1" x14ac:dyDescent="0.3">
      <c r="B143" s="15"/>
      <c r="C143" s="14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  <c r="AE143" s="13"/>
      <c r="AF143" s="13"/>
      <c r="AG143" s="13"/>
      <c r="AH143" s="13"/>
      <c r="AI143" s="12"/>
      <c r="AJ143" s="11"/>
      <c r="AK143" s="10"/>
    </row>
    <row r="144" spans="2:37" ht="12.6" thickTop="1" x14ac:dyDescent="0.25">
      <c r="E144" s="37"/>
      <c r="AI144" s="4"/>
    </row>
    <row r="145" spans="2:37" x14ac:dyDescent="0.25">
      <c r="AI145" s="4"/>
    </row>
    <row r="146" spans="2:37" x14ac:dyDescent="0.25">
      <c r="AI146" s="4"/>
    </row>
    <row r="147" spans="2:37" ht="39.75" customHeight="1" x14ac:dyDescent="0.7">
      <c r="C147" s="36"/>
      <c r="E147" s="240"/>
      <c r="F147" s="240"/>
      <c r="G147" s="240"/>
      <c r="H147" s="240"/>
      <c r="I147" s="240"/>
      <c r="J147" s="240"/>
      <c r="K147" s="240"/>
      <c r="L147" s="240"/>
      <c r="M147" s="240"/>
      <c r="N147" s="240"/>
      <c r="O147" s="240"/>
      <c r="P147" s="240"/>
      <c r="Q147" s="240"/>
      <c r="R147" s="240"/>
      <c r="S147" s="240"/>
      <c r="T147" s="240"/>
      <c r="U147" s="240"/>
      <c r="V147" s="240"/>
      <c r="W147" s="240"/>
      <c r="X147" s="240"/>
      <c r="Y147" s="240"/>
      <c r="Z147" s="240"/>
      <c r="AA147" s="240"/>
      <c r="AB147" s="240"/>
      <c r="AC147" s="240"/>
      <c r="AD147" s="240"/>
      <c r="AE147" s="240"/>
      <c r="AF147" s="240"/>
      <c r="AG147" s="240"/>
      <c r="AH147" s="240"/>
      <c r="AI147" s="240"/>
      <c r="AJ147" s="32" t="s">
        <v>19</v>
      </c>
    </row>
    <row r="148" spans="2:37" ht="12.6" thickBot="1" x14ac:dyDescent="0.3">
      <c r="B148" s="35"/>
      <c r="AI148" s="4"/>
      <c r="AJ148" s="34" t="s">
        <v>202</v>
      </c>
    </row>
    <row r="149" spans="2:37" ht="6.75" customHeight="1" thickTop="1" thickBot="1" x14ac:dyDescent="0.3">
      <c r="B149" s="2"/>
      <c r="C149" s="14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F149" s="13"/>
      <c r="AG149" s="13"/>
      <c r="AH149" s="13"/>
      <c r="AI149" s="13"/>
      <c r="AJ149" s="12"/>
      <c r="AK149" s="33"/>
    </row>
    <row r="150" spans="2:37" ht="13.2" hidden="1" thickTop="1" thickBot="1" x14ac:dyDescent="0.3">
      <c r="B150" s="2"/>
      <c r="C150" s="31" t="s">
        <v>199</v>
      </c>
      <c r="D150" s="30" t="s">
        <v>198</v>
      </c>
      <c r="E150" s="30" t="s">
        <v>197</v>
      </c>
      <c r="F150" s="30" t="s">
        <v>196</v>
      </c>
      <c r="G150" s="30" t="s">
        <v>195</v>
      </c>
      <c r="H150" s="30" t="s">
        <v>194</v>
      </c>
      <c r="I150" s="30" t="s">
        <v>193</v>
      </c>
      <c r="J150" s="30" t="s">
        <v>192</v>
      </c>
      <c r="K150" s="30" t="s">
        <v>191</v>
      </c>
      <c r="L150" s="30" t="s">
        <v>190</v>
      </c>
      <c r="M150" s="30" t="s">
        <v>189</v>
      </c>
      <c r="N150" s="30" t="s">
        <v>188</v>
      </c>
      <c r="O150" s="30" t="s">
        <v>187</v>
      </c>
      <c r="P150" s="30" t="s">
        <v>186</v>
      </c>
      <c r="Q150" s="30" t="s">
        <v>185</v>
      </c>
      <c r="R150" s="30" t="s">
        <v>184</v>
      </c>
      <c r="S150" s="30" t="s">
        <v>183</v>
      </c>
      <c r="T150" s="30" t="s">
        <v>182</v>
      </c>
      <c r="U150" s="30" t="s">
        <v>181</v>
      </c>
      <c r="V150" s="30" t="s">
        <v>180</v>
      </c>
      <c r="W150" s="30" t="s">
        <v>179</v>
      </c>
      <c r="X150" s="30" t="s">
        <v>178</v>
      </c>
      <c r="Y150" s="30" t="s">
        <v>177</v>
      </c>
      <c r="Z150" s="30" t="s">
        <v>176</v>
      </c>
      <c r="AA150" s="30" t="s">
        <v>175</v>
      </c>
      <c r="AB150" s="30" t="s">
        <v>174</v>
      </c>
      <c r="AC150" s="30" t="s">
        <v>173</v>
      </c>
      <c r="AD150" s="30" t="s">
        <v>172</v>
      </c>
      <c r="AE150" s="30" t="s">
        <v>171</v>
      </c>
      <c r="AF150" s="30" t="s">
        <v>170</v>
      </c>
      <c r="AG150" s="30" t="s">
        <v>169</v>
      </c>
      <c r="AH150" s="30" t="s">
        <v>168</v>
      </c>
      <c r="AI150" s="30" t="s">
        <v>167</v>
      </c>
      <c r="AJ150" s="29" t="s">
        <v>166</v>
      </c>
      <c r="AK150" s="2"/>
    </row>
    <row r="151" spans="2:37" ht="19.5" customHeight="1" thickTop="1" thickBot="1" x14ac:dyDescent="0.3">
      <c r="B151" s="28"/>
      <c r="C151" s="27" t="str">
        <f>DADOS!$AH$3</f>
        <v>📝 COE</v>
      </c>
      <c r="D151" s="26" t="str">
        <f>IF(investiroutrosconsolidadoabr[[#This Row],[TOTAL (R$)]]=0,"",IF(OR(investiroutrosconsolidadoabr[[#This Row],[TOTAL (R$)]]=LARGE($AJ$151:$AJ$158,1),investiroutrosconsolidadoabr[[#This Row],[TOTAL (R$)]]=LARGE($AJ$151:$AJ$158,2)),DADOS!$I$10,""))</f>
        <v/>
      </c>
      <c r="E151" s="96">
        <f>SUMIFS(tabela_registros[VALOR],tabela_registros[MÊS],$AE$1,tabela_registros[DIA],investiroutrosconsolidadoabr[[#Headers],[1]],tabela_registros[REGISTRO],DADOS!$N$5,tabela_registros[TIPO],DADOS!$AB$5,tabela_registros[CATEGORIA],investiroutrosconsolidadoabr[[#This Row],[ATUAL]])</f>
        <v>0</v>
      </c>
      <c r="F151" s="91">
        <f>SUMIFS(tabela_registros[VALOR],tabela_registros[MÊS],$AE$1,tabela_registros[DIA],investiroutrosconsolidadoabr[[#Headers],[2]],tabela_registros[REGISTRO],DADOS!$N$5,tabela_registros[TIPO],DADOS!$AB$5,tabela_registros[CATEGORIA],investiroutrosconsolidadoabr[[#This Row],[ATUAL]])</f>
        <v>0</v>
      </c>
      <c r="G151" s="91">
        <f>SUMIFS(tabela_registros[VALOR],tabela_registros[MÊS],$AE$1,tabela_registros[DIA],investiroutrosconsolidadoabr[[#Headers],[3]],tabela_registros[REGISTRO],DADOS!$N$5,tabela_registros[TIPO],DADOS!$AB$5,tabela_registros[CATEGORIA],investiroutrosconsolidadoabr[[#This Row],[ATUAL]])</f>
        <v>0</v>
      </c>
      <c r="H151" s="91">
        <f>SUMIFS(tabela_registros[VALOR],tabela_registros[MÊS],$AE$1,tabela_registros[DIA],investiroutrosconsolidadoabr[[#Headers],[4]],tabela_registros[REGISTRO],DADOS!$N$5,tabela_registros[TIPO],DADOS!$AB$5,tabela_registros[CATEGORIA],investiroutrosconsolidadoabr[[#This Row],[ATUAL]])</f>
        <v>0</v>
      </c>
      <c r="I151" s="91">
        <f>SUMIFS(tabela_registros[VALOR],tabela_registros[MÊS],$AE$1,tabela_registros[DIA],investiroutrosconsolidadoabr[[#Headers],[5]],tabela_registros[REGISTRO],DADOS!$N$5,tabela_registros[TIPO],DADOS!$AB$5,tabela_registros[CATEGORIA],investiroutrosconsolidadoabr[[#This Row],[ATUAL]])</f>
        <v>0</v>
      </c>
      <c r="J151" s="91">
        <f>SUMIFS(tabela_registros[VALOR],tabela_registros[MÊS],$AE$1,tabela_registros[DIA],investiroutrosconsolidadoabr[[#Headers],[6]],tabela_registros[REGISTRO],DADOS!$N$5,tabela_registros[TIPO],DADOS!$AB$5,tabela_registros[CATEGORIA],investiroutrosconsolidadoabr[[#This Row],[ATUAL]])</f>
        <v>0</v>
      </c>
      <c r="K151" s="91">
        <f>SUMIFS(tabela_registros[VALOR],tabela_registros[MÊS],$AE$1,tabela_registros[DIA],investiroutrosconsolidadoabr[[#Headers],[7]],tabela_registros[REGISTRO],DADOS!$N$5,tabela_registros[TIPO],DADOS!$AB$5,tabela_registros[CATEGORIA],investiroutrosconsolidadoabr[[#This Row],[ATUAL]])</f>
        <v>0</v>
      </c>
      <c r="L151" s="91">
        <f>SUMIFS(tabela_registros[VALOR],tabela_registros[MÊS],$AE$1,tabela_registros[DIA],investiroutrosconsolidadoabr[[#Headers],[8]],tabela_registros[REGISTRO],DADOS!$N$5,tabela_registros[TIPO],DADOS!$AB$5,tabela_registros[CATEGORIA],investiroutrosconsolidadoabr[[#This Row],[ATUAL]])</f>
        <v>0</v>
      </c>
      <c r="M151" s="91">
        <f>SUMIFS(tabela_registros[VALOR],tabela_registros[MÊS],$AE$1,tabela_registros[DIA],investiroutrosconsolidadoabr[[#Headers],[9]],tabela_registros[REGISTRO],DADOS!$N$5,tabela_registros[TIPO],DADOS!$AB$5,tabela_registros[CATEGORIA],investiroutrosconsolidadoabr[[#This Row],[ATUAL]])</f>
        <v>0</v>
      </c>
      <c r="N151" s="91">
        <f>SUMIFS(tabela_registros[VALOR],tabela_registros[MÊS],$AE$1,tabela_registros[DIA],investiroutrosconsolidadoabr[[#Headers],[10]],tabela_registros[REGISTRO],DADOS!$N$5,tabela_registros[TIPO],DADOS!$AB$5,tabela_registros[CATEGORIA],investiroutrosconsolidadoabr[[#This Row],[ATUAL]])</f>
        <v>0</v>
      </c>
      <c r="O151" s="91">
        <f>SUMIFS(tabela_registros[VALOR],tabela_registros[MÊS],$AE$1,tabela_registros[DIA],investiroutrosconsolidadoabr[[#Headers],[11]],tabela_registros[REGISTRO],DADOS!$N$5,tabela_registros[TIPO],DADOS!$AB$5,tabela_registros[CATEGORIA],investiroutrosconsolidadoabr[[#This Row],[ATUAL]])</f>
        <v>0</v>
      </c>
      <c r="P151" s="91">
        <f>SUMIFS(tabela_registros[VALOR],tabela_registros[MÊS],$AE$1,tabela_registros[DIA],investiroutrosconsolidadoabr[[#Headers],[12]],tabela_registros[REGISTRO],DADOS!$N$5,tabela_registros[TIPO],DADOS!$AB$5,tabela_registros[CATEGORIA],investiroutrosconsolidadoabr[[#This Row],[ATUAL]])</f>
        <v>0</v>
      </c>
      <c r="Q151" s="91">
        <f>SUMIFS(tabela_registros[VALOR],tabela_registros[MÊS],$AE$1,tabela_registros[DIA],investiroutrosconsolidadoabr[[#Headers],[13]],tabela_registros[REGISTRO],DADOS!$N$5,tabela_registros[TIPO],DADOS!$AB$5,tabela_registros[CATEGORIA],investiroutrosconsolidadoabr[[#This Row],[ATUAL]])</f>
        <v>0</v>
      </c>
      <c r="R151" s="91">
        <f>SUMIFS(tabela_registros[VALOR],tabela_registros[MÊS],$AE$1,tabela_registros[DIA],investiroutrosconsolidadoabr[[#Headers],[14]],tabela_registros[REGISTRO],DADOS!$N$5,tabela_registros[TIPO],DADOS!$AB$5,tabela_registros[CATEGORIA],investiroutrosconsolidadoabr[[#This Row],[ATUAL]])</f>
        <v>0</v>
      </c>
      <c r="S151" s="91">
        <f>SUMIFS(tabela_registros[VALOR],tabela_registros[MÊS],$AE$1,tabela_registros[DIA],investiroutrosconsolidadoabr[[#Headers],[15]],tabela_registros[REGISTRO],DADOS!$N$5,tabela_registros[TIPO],DADOS!$AB$5,tabela_registros[CATEGORIA],investiroutrosconsolidadoabr[[#This Row],[ATUAL]])</f>
        <v>0</v>
      </c>
      <c r="T151" s="91">
        <f>SUMIFS(tabela_registros[VALOR],tabela_registros[MÊS],$AE$1,tabela_registros[DIA],investiroutrosconsolidadoabr[[#Headers],[16]],tabela_registros[REGISTRO],DADOS!$N$5,tabela_registros[TIPO],DADOS!$AB$5,tabela_registros[CATEGORIA],investiroutrosconsolidadoabr[[#This Row],[ATUAL]])</f>
        <v>0</v>
      </c>
      <c r="U151" s="91">
        <f>SUMIFS(tabela_registros[VALOR],tabela_registros[MÊS],$AE$1,tabela_registros[DIA],investiroutrosconsolidadoabr[[#Headers],[17]],tabela_registros[REGISTRO],DADOS!$N$5,tabela_registros[TIPO],DADOS!$AB$5,tabela_registros[CATEGORIA],investiroutrosconsolidadoabr[[#This Row],[ATUAL]])</f>
        <v>0</v>
      </c>
      <c r="V151" s="91">
        <f>SUMIFS(tabela_registros[VALOR],tabela_registros[MÊS],$AE$1,tabela_registros[DIA],investiroutrosconsolidadoabr[[#Headers],[18]],tabela_registros[REGISTRO],DADOS!$N$5,tabela_registros[TIPO],DADOS!$AB$5,tabela_registros[CATEGORIA],investiroutrosconsolidadoabr[[#This Row],[ATUAL]])</f>
        <v>0</v>
      </c>
      <c r="W151" s="91">
        <f>SUMIFS(tabela_registros[VALOR],tabela_registros[MÊS],$AE$1,tabela_registros[DIA],investiroutrosconsolidadoabr[[#Headers],[19]],tabela_registros[REGISTRO],DADOS!$N$5,tabela_registros[TIPO],DADOS!$AB$5,tabela_registros[CATEGORIA],investiroutrosconsolidadoabr[[#This Row],[ATUAL]])</f>
        <v>0</v>
      </c>
      <c r="X151" s="91">
        <f>SUMIFS(tabela_registros[VALOR],tabela_registros[MÊS],$AE$1,tabela_registros[DIA],investiroutrosconsolidadoabr[[#Headers],[20]],tabela_registros[REGISTRO],DADOS!$N$5,tabela_registros[TIPO],DADOS!$AB$5,tabela_registros[CATEGORIA],investiroutrosconsolidadoabr[[#This Row],[ATUAL]])</f>
        <v>0</v>
      </c>
      <c r="Y151" s="91">
        <f>SUMIFS(tabela_registros[VALOR],tabela_registros[MÊS],$AE$1,tabela_registros[DIA],investiroutrosconsolidadoabr[[#Headers],[21]],tabela_registros[REGISTRO],DADOS!$N$5,tabela_registros[TIPO],DADOS!$AB$5,tabela_registros[CATEGORIA],investiroutrosconsolidadoabr[[#This Row],[ATUAL]])</f>
        <v>0</v>
      </c>
      <c r="Z151" s="91">
        <f>SUMIFS(tabela_registros[VALOR],tabela_registros[MÊS],$AE$1,tabela_registros[DIA],investiroutrosconsolidadoabr[[#Headers],[22]],tabela_registros[REGISTRO],DADOS!$N$5,tabela_registros[TIPO],DADOS!$AB$5,tabela_registros[CATEGORIA],investiroutrosconsolidadoabr[[#This Row],[ATUAL]])</f>
        <v>0</v>
      </c>
      <c r="AA151" s="91">
        <f>SUMIFS(tabela_registros[VALOR],tabela_registros[MÊS],$AE$1,tabela_registros[DIA],investiroutrosconsolidadoabr[[#Headers],[23]],tabela_registros[REGISTRO],DADOS!$N$5,tabela_registros[TIPO],DADOS!$AB$5,tabela_registros[CATEGORIA],investiroutrosconsolidadoabr[[#This Row],[ATUAL]])</f>
        <v>0</v>
      </c>
      <c r="AB151" s="91">
        <f>SUMIFS(tabela_registros[VALOR],tabela_registros[MÊS],$AE$1,tabela_registros[DIA],investiroutrosconsolidadoabr[[#Headers],[24]],tabela_registros[REGISTRO],DADOS!$N$5,tabela_registros[TIPO],DADOS!$AB$5,tabela_registros[CATEGORIA],investiroutrosconsolidadoabr[[#This Row],[ATUAL]])</f>
        <v>0</v>
      </c>
      <c r="AC151" s="91">
        <f>SUMIFS(tabela_registros[VALOR],tabela_registros[MÊS],$AE$1,tabela_registros[DIA],investiroutrosconsolidadoabr[[#Headers],[25]],tabela_registros[REGISTRO],DADOS!$N$5,tabela_registros[TIPO],DADOS!$AB$5,tabela_registros[CATEGORIA],investiroutrosconsolidadoabr[[#This Row],[ATUAL]])</f>
        <v>0</v>
      </c>
      <c r="AD151" s="91">
        <f>SUMIFS(tabela_registros[VALOR],tabela_registros[MÊS],$AE$1,tabela_registros[DIA],investiroutrosconsolidadoabr[[#Headers],[26]],tabela_registros[REGISTRO],DADOS!$N$5,tabela_registros[TIPO],DADOS!$AB$5,tabela_registros[CATEGORIA],investiroutrosconsolidadoabr[[#This Row],[ATUAL]])</f>
        <v>0</v>
      </c>
      <c r="AE151" s="91">
        <f>SUMIFS(tabela_registros[VALOR],tabela_registros[MÊS],$AE$1,tabela_registros[DIA],investiroutrosconsolidadoabr[[#Headers],[27]],tabela_registros[REGISTRO],DADOS!$N$5,tabela_registros[TIPO],DADOS!$AB$5,tabela_registros[CATEGORIA],investiroutrosconsolidadoabr[[#This Row],[ATUAL]])</f>
        <v>0</v>
      </c>
      <c r="AF151" s="91">
        <f>SUMIFS(tabela_registros[VALOR],tabela_registros[MÊS],$AE$1,tabela_registros[DIA],investiroutrosconsolidadoabr[[#Headers],[28]],tabela_registros[REGISTRO],DADOS!$N$5,tabela_registros[TIPO],DADOS!$AB$5,tabela_registros[CATEGORIA],investiroutrosconsolidadoabr[[#This Row],[ATUAL]])</f>
        <v>0</v>
      </c>
      <c r="AG151" s="91">
        <f>SUMIFS(tabela_registros[VALOR],tabela_registros[MÊS],$AE$1,tabela_registros[DIA],investiroutrosconsolidadoabr[[#Headers],[29]],tabela_registros[REGISTRO],DADOS!$N$5,tabela_registros[TIPO],DADOS!$AB$5,tabela_registros[CATEGORIA],investiroutrosconsolidadoabr[[#This Row],[ATUAL]])</f>
        <v>0</v>
      </c>
      <c r="AH151" s="91">
        <f>SUMIFS(tabela_registros[VALOR],tabela_registros[MÊS],$AE$1,tabela_registros[DIA],investiroutrosconsolidadoabr[[#Headers],[30]],tabela_registros[REGISTRO],DADOS!$N$5,tabela_registros[TIPO],DADOS!$AB$5,tabela_registros[CATEGORIA],investiroutrosconsolidadoabr[[#This Row],[ATUAL]])</f>
        <v>0</v>
      </c>
      <c r="AI151" s="101">
        <f>SUMIFS(tabela_registros[VALOR],tabela_registros[MÊS],$AE$1,tabela_registros[DIA],investiroutrosconsolidadoabr[[#Headers],[31]],tabela_registros[REGISTRO],DADOS!$N$5,tabela_registros[TIPO],DADOS!$AB$5,tabela_registros[CATEGORIA],investiroutrosconsolidadoabr[[#This Row],[ATUAL]])</f>
        <v>0</v>
      </c>
      <c r="AJ151" s="97">
        <f>SUM(investiroutrosconsolidadoabr[[#This Row],[1]:[31]])</f>
        <v>0</v>
      </c>
      <c r="AK151" s="25"/>
    </row>
    <row r="152" spans="2:37" ht="19.5" customHeight="1" thickTop="1" thickBot="1" x14ac:dyDescent="0.3">
      <c r="B152" s="28"/>
      <c r="C152" s="27" t="str">
        <f>DADOS!$AH$4</f>
        <v>📝 FOREX</v>
      </c>
      <c r="D152" s="26" t="str">
        <f>IF(investiroutrosconsolidadoabr[[#This Row],[TOTAL (R$)]]=0,"",IF(OR(investiroutrosconsolidadoabr[[#This Row],[TOTAL (R$)]]=LARGE($AJ$151:$AJ$158,1),investiroutrosconsolidadoabr[[#This Row],[TOTAL (R$)]]=LARGE($AJ$151:$AJ$158,2)),DADOS!$I$10,""))</f>
        <v/>
      </c>
      <c r="E152" s="96">
        <f>SUMIFS(tabela_registros[VALOR],tabela_registros[MÊS],$AE$1,tabela_registros[DIA],investiroutrosconsolidadoabr[[#Headers],[1]],tabela_registros[REGISTRO],DADOS!$N$5,tabela_registros[TIPO],DADOS!$AB$5,tabela_registros[CATEGORIA],investiroutrosconsolidadoabr[[#This Row],[ATUAL]])</f>
        <v>0</v>
      </c>
      <c r="F152" s="91">
        <f>SUMIFS(tabela_registros[VALOR],tabela_registros[MÊS],$AE$1,tabela_registros[DIA],investiroutrosconsolidadoabr[[#Headers],[2]],tabela_registros[REGISTRO],DADOS!$N$5,tabela_registros[TIPO],DADOS!$AB$5,tabela_registros[CATEGORIA],investiroutrosconsolidadoabr[[#This Row],[ATUAL]])</f>
        <v>0</v>
      </c>
      <c r="G152" s="91">
        <f>SUMIFS(tabela_registros[VALOR],tabela_registros[MÊS],$AE$1,tabela_registros[DIA],investiroutrosconsolidadoabr[[#Headers],[3]],tabela_registros[REGISTRO],DADOS!$N$5,tabela_registros[TIPO],DADOS!$AB$5,tabela_registros[CATEGORIA],investiroutrosconsolidadoabr[[#This Row],[ATUAL]])</f>
        <v>0</v>
      </c>
      <c r="H152" s="91">
        <f>SUMIFS(tabela_registros[VALOR],tabela_registros[MÊS],$AE$1,tabela_registros[DIA],investiroutrosconsolidadoabr[[#Headers],[4]],tabela_registros[REGISTRO],DADOS!$N$5,tabela_registros[TIPO],DADOS!$AB$5,tabela_registros[CATEGORIA],investiroutrosconsolidadoabr[[#This Row],[ATUAL]])</f>
        <v>0</v>
      </c>
      <c r="I152" s="91">
        <f>SUMIFS(tabela_registros[VALOR],tabela_registros[MÊS],$AE$1,tabela_registros[DIA],investiroutrosconsolidadoabr[[#Headers],[5]],tabela_registros[REGISTRO],DADOS!$N$5,tabela_registros[TIPO],DADOS!$AB$5,tabela_registros[CATEGORIA],investiroutrosconsolidadoabr[[#This Row],[ATUAL]])</f>
        <v>0</v>
      </c>
      <c r="J152" s="91">
        <f>SUMIFS(tabela_registros[VALOR],tabela_registros[MÊS],$AE$1,tabela_registros[DIA],investiroutrosconsolidadoabr[[#Headers],[6]],tabela_registros[REGISTRO],DADOS!$N$5,tabela_registros[TIPO],DADOS!$AB$5,tabela_registros[CATEGORIA],investiroutrosconsolidadoabr[[#This Row],[ATUAL]])</f>
        <v>0</v>
      </c>
      <c r="K152" s="91">
        <f>SUMIFS(tabela_registros[VALOR],tabela_registros[MÊS],$AE$1,tabela_registros[DIA],investiroutrosconsolidadoabr[[#Headers],[7]],tabela_registros[REGISTRO],DADOS!$N$5,tabela_registros[TIPO],DADOS!$AB$5,tabela_registros[CATEGORIA],investiroutrosconsolidadoabr[[#This Row],[ATUAL]])</f>
        <v>0</v>
      </c>
      <c r="L152" s="91">
        <f>SUMIFS(tabela_registros[VALOR],tabela_registros[MÊS],$AE$1,tabela_registros[DIA],investiroutrosconsolidadoabr[[#Headers],[8]],tabela_registros[REGISTRO],DADOS!$N$5,tabela_registros[TIPO],DADOS!$AB$5,tabela_registros[CATEGORIA],investiroutrosconsolidadoabr[[#This Row],[ATUAL]])</f>
        <v>0</v>
      </c>
      <c r="M152" s="91">
        <f>SUMIFS(tabela_registros[VALOR],tabela_registros[MÊS],$AE$1,tabela_registros[DIA],investiroutrosconsolidadoabr[[#Headers],[9]],tabela_registros[REGISTRO],DADOS!$N$5,tabela_registros[TIPO],DADOS!$AB$5,tabela_registros[CATEGORIA],investiroutrosconsolidadoabr[[#This Row],[ATUAL]])</f>
        <v>0</v>
      </c>
      <c r="N152" s="91">
        <f>SUMIFS(tabela_registros[VALOR],tabela_registros[MÊS],$AE$1,tabela_registros[DIA],investiroutrosconsolidadoabr[[#Headers],[10]],tabela_registros[REGISTRO],DADOS!$N$5,tabela_registros[TIPO],DADOS!$AB$5,tabela_registros[CATEGORIA],investiroutrosconsolidadoabr[[#This Row],[ATUAL]])</f>
        <v>0</v>
      </c>
      <c r="O152" s="91">
        <f>SUMIFS(tabela_registros[VALOR],tabela_registros[MÊS],$AE$1,tabela_registros[DIA],investiroutrosconsolidadoabr[[#Headers],[11]],tabela_registros[REGISTRO],DADOS!$N$5,tabela_registros[TIPO],DADOS!$AB$5,tabela_registros[CATEGORIA],investiroutrosconsolidadoabr[[#This Row],[ATUAL]])</f>
        <v>0</v>
      </c>
      <c r="P152" s="91">
        <f>SUMIFS(tabela_registros[VALOR],tabela_registros[MÊS],$AE$1,tabela_registros[DIA],investiroutrosconsolidadoabr[[#Headers],[12]],tabela_registros[REGISTRO],DADOS!$N$5,tabela_registros[TIPO],DADOS!$AB$5,tabela_registros[CATEGORIA],investiroutrosconsolidadoabr[[#This Row],[ATUAL]])</f>
        <v>0</v>
      </c>
      <c r="Q152" s="91">
        <f>SUMIFS(tabela_registros[VALOR],tabela_registros[MÊS],$AE$1,tabela_registros[DIA],investiroutrosconsolidadoabr[[#Headers],[13]],tabela_registros[REGISTRO],DADOS!$N$5,tabela_registros[TIPO],DADOS!$AB$5,tabela_registros[CATEGORIA],investiroutrosconsolidadoabr[[#This Row],[ATUAL]])</f>
        <v>0</v>
      </c>
      <c r="R152" s="91">
        <f>SUMIFS(tabela_registros[VALOR],tabela_registros[MÊS],$AE$1,tabela_registros[DIA],investiroutrosconsolidadoabr[[#Headers],[14]],tabela_registros[REGISTRO],DADOS!$N$5,tabela_registros[TIPO],DADOS!$AB$5,tabela_registros[CATEGORIA],investiroutrosconsolidadoabr[[#This Row],[ATUAL]])</f>
        <v>0</v>
      </c>
      <c r="S152" s="91">
        <f>SUMIFS(tabela_registros[VALOR],tabela_registros[MÊS],$AE$1,tabela_registros[DIA],investiroutrosconsolidadoabr[[#Headers],[15]],tabela_registros[REGISTRO],DADOS!$N$5,tabela_registros[TIPO],DADOS!$AB$5,tabela_registros[CATEGORIA],investiroutrosconsolidadoabr[[#This Row],[ATUAL]])</f>
        <v>0</v>
      </c>
      <c r="T152" s="91">
        <f>SUMIFS(tabela_registros[VALOR],tabela_registros[MÊS],$AE$1,tabela_registros[DIA],investiroutrosconsolidadoabr[[#Headers],[16]],tabela_registros[REGISTRO],DADOS!$N$5,tabela_registros[TIPO],DADOS!$AB$5,tabela_registros[CATEGORIA],investiroutrosconsolidadoabr[[#This Row],[ATUAL]])</f>
        <v>0</v>
      </c>
      <c r="U152" s="91">
        <f>SUMIFS(tabela_registros[VALOR],tabela_registros[MÊS],$AE$1,tabela_registros[DIA],investiroutrosconsolidadoabr[[#Headers],[17]],tabela_registros[REGISTRO],DADOS!$N$5,tabela_registros[TIPO],DADOS!$AB$5,tabela_registros[CATEGORIA],investiroutrosconsolidadoabr[[#This Row],[ATUAL]])</f>
        <v>0</v>
      </c>
      <c r="V152" s="91">
        <f>SUMIFS(tabela_registros[VALOR],tabela_registros[MÊS],$AE$1,tabela_registros[DIA],investiroutrosconsolidadoabr[[#Headers],[18]],tabela_registros[REGISTRO],DADOS!$N$5,tabela_registros[TIPO],DADOS!$AB$5,tabela_registros[CATEGORIA],investiroutrosconsolidadoabr[[#This Row],[ATUAL]])</f>
        <v>0</v>
      </c>
      <c r="W152" s="91">
        <f>SUMIFS(tabela_registros[VALOR],tabela_registros[MÊS],$AE$1,tabela_registros[DIA],investiroutrosconsolidadoabr[[#Headers],[19]],tabela_registros[REGISTRO],DADOS!$N$5,tabela_registros[TIPO],DADOS!$AB$5,tabela_registros[CATEGORIA],investiroutrosconsolidadoabr[[#This Row],[ATUAL]])</f>
        <v>0</v>
      </c>
      <c r="X152" s="91">
        <f>SUMIFS(tabela_registros[VALOR],tabela_registros[MÊS],$AE$1,tabela_registros[DIA],investiroutrosconsolidadoabr[[#Headers],[20]],tabela_registros[REGISTRO],DADOS!$N$5,tabela_registros[TIPO],DADOS!$AB$5,tabela_registros[CATEGORIA],investiroutrosconsolidadoabr[[#This Row],[ATUAL]])</f>
        <v>0</v>
      </c>
      <c r="Y152" s="91">
        <f>SUMIFS(tabela_registros[VALOR],tabela_registros[MÊS],$AE$1,tabela_registros[DIA],investiroutrosconsolidadoabr[[#Headers],[21]],tabela_registros[REGISTRO],DADOS!$N$5,tabela_registros[TIPO],DADOS!$AB$5,tabela_registros[CATEGORIA],investiroutrosconsolidadoabr[[#This Row],[ATUAL]])</f>
        <v>0</v>
      </c>
      <c r="Z152" s="91">
        <f>SUMIFS(tabela_registros[VALOR],tabela_registros[MÊS],$AE$1,tabela_registros[DIA],investiroutrosconsolidadoabr[[#Headers],[22]],tabela_registros[REGISTRO],DADOS!$N$5,tabela_registros[TIPO],DADOS!$AB$5,tabela_registros[CATEGORIA],investiroutrosconsolidadoabr[[#This Row],[ATUAL]])</f>
        <v>0</v>
      </c>
      <c r="AA152" s="91">
        <f>SUMIFS(tabela_registros[VALOR],tabela_registros[MÊS],$AE$1,tabela_registros[DIA],investiroutrosconsolidadoabr[[#Headers],[23]],tabela_registros[REGISTRO],DADOS!$N$5,tabela_registros[TIPO],DADOS!$AB$5,tabela_registros[CATEGORIA],investiroutrosconsolidadoabr[[#This Row],[ATUAL]])</f>
        <v>0</v>
      </c>
      <c r="AB152" s="91">
        <f>SUMIFS(tabela_registros[VALOR],tabela_registros[MÊS],$AE$1,tabela_registros[DIA],investiroutrosconsolidadoabr[[#Headers],[24]],tabela_registros[REGISTRO],DADOS!$N$5,tabela_registros[TIPO],DADOS!$AB$5,tabela_registros[CATEGORIA],investiroutrosconsolidadoabr[[#This Row],[ATUAL]])</f>
        <v>0</v>
      </c>
      <c r="AC152" s="91">
        <f>SUMIFS(tabela_registros[VALOR],tabela_registros[MÊS],$AE$1,tabela_registros[DIA],investiroutrosconsolidadoabr[[#Headers],[25]],tabela_registros[REGISTRO],DADOS!$N$5,tabela_registros[TIPO],DADOS!$AB$5,tabela_registros[CATEGORIA],investiroutrosconsolidadoabr[[#This Row],[ATUAL]])</f>
        <v>0</v>
      </c>
      <c r="AD152" s="91">
        <f>SUMIFS(tabela_registros[VALOR],tabela_registros[MÊS],$AE$1,tabela_registros[DIA],investiroutrosconsolidadoabr[[#Headers],[26]],tabela_registros[REGISTRO],DADOS!$N$5,tabela_registros[TIPO],DADOS!$AB$5,tabela_registros[CATEGORIA],investiroutrosconsolidadoabr[[#This Row],[ATUAL]])</f>
        <v>0</v>
      </c>
      <c r="AE152" s="91">
        <f>SUMIFS(tabela_registros[VALOR],tabela_registros[MÊS],$AE$1,tabela_registros[DIA],investiroutrosconsolidadoabr[[#Headers],[27]],tabela_registros[REGISTRO],DADOS!$N$5,tabela_registros[TIPO],DADOS!$AB$5,tabela_registros[CATEGORIA],investiroutrosconsolidadoabr[[#This Row],[ATUAL]])</f>
        <v>0</v>
      </c>
      <c r="AF152" s="91">
        <f>SUMIFS(tabela_registros[VALOR],tabela_registros[MÊS],$AE$1,tabela_registros[DIA],investiroutrosconsolidadoabr[[#Headers],[28]],tabela_registros[REGISTRO],DADOS!$N$5,tabela_registros[TIPO],DADOS!$AB$5,tabela_registros[CATEGORIA],investiroutrosconsolidadoabr[[#This Row],[ATUAL]])</f>
        <v>0</v>
      </c>
      <c r="AG152" s="91">
        <f>SUMIFS(tabela_registros[VALOR],tabela_registros[MÊS],$AE$1,tabela_registros[DIA],investiroutrosconsolidadoabr[[#Headers],[29]],tabela_registros[REGISTRO],DADOS!$N$5,tabela_registros[TIPO],DADOS!$AB$5,tabela_registros[CATEGORIA],investiroutrosconsolidadoabr[[#This Row],[ATUAL]])</f>
        <v>0</v>
      </c>
      <c r="AH152" s="91">
        <f>SUMIFS(tabela_registros[VALOR],tabela_registros[MÊS],$AE$1,tabela_registros[DIA],investiroutrosconsolidadoabr[[#Headers],[30]],tabela_registros[REGISTRO],DADOS!$N$5,tabela_registros[TIPO],DADOS!$AB$5,tabela_registros[CATEGORIA],investiroutrosconsolidadoabr[[#This Row],[ATUAL]])</f>
        <v>0</v>
      </c>
      <c r="AI152" s="101">
        <f>SUMIFS(tabela_registros[VALOR],tabela_registros[MÊS],$AE$1,tabela_registros[DIA],investiroutrosconsolidadoabr[[#Headers],[31]],tabela_registros[REGISTRO],DADOS!$N$5,tabela_registros[TIPO],DADOS!$AB$5,tabela_registros[CATEGORIA],investiroutrosconsolidadoabr[[#This Row],[ATUAL]])</f>
        <v>0</v>
      </c>
      <c r="AJ152" s="97">
        <f>SUM(investiroutrosconsolidadoabr[[#This Row],[1]:[31]])</f>
        <v>0</v>
      </c>
      <c r="AK152" s="25"/>
    </row>
    <row r="153" spans="2:37" ht="19.5" customHeight="1" thickTop="1" thickBot="1" x14ac:dyDescent="0.3">
      <c r="B153" s="28"/>
      <c r="C153" s="27" t="str">
        <f>DADOS!$AH$5</f>
        <v>📝 FUNDO DE INVESTIMENTO</v>
      </c>
      <c r="D153" s="26" t="str">
        <f>IF(investiroutrosconsolidadoabr[[#This Row],[TOTAL (R$)]]=0,"",IF(OR(investiroutrosconsolidadoabr[[#This Row],[TOTAL (R$)]]=LARGE($AJ$151:$AJ$158,1),investiroutrosconsolidadoabr[[#This Row],[TOTAL (R$)]]=LARGE($AJ$151:$AJ$158,2)),DADOS!$I$10,""))</f>
        <v/>
      </c>
      <c r="E153" s="96">
        <f>SUMIFS(tabela_registros[VALOR],tabela_registros[MÊS],$AE$1,tabela_registros[DIA],investiroutrosconsolidadoabr[[#Headers],[1]],tabela_registros[REGISTRO],DADOS!$N$5,tabela_registros[TIPO],DADOS!$AB$5,tabela_registros[CATEGORIA],investiroutrosconsolidadoabr[[#This Row],[ATUAL]])</f>
        <v>0</v>
      </c>
      <c r="F153" s="91">
        <f>SUMIFS(tabela_registros[VALOR],tabela_registros[MÊS],$AE$1,tabela_registros[DIA],investiroutrosconsolidadoabr[[#Headers],[2]],tabela_registros[REGISTRO],DADOS!$N$5,tabela_registros[TIPO],DADOS!$AB$5,tabela_registros[CATEGORIA],investiroutrosconsolidadoabr[[#This Row],[ATUAL]])</f>
        <v>0</v>
      </c>
      <c r="G153" s="91">
        <f>SUMIFS(tabela_registros[VALOR],tabela_registros[MÊS],$AE$1,tabela_registros[DIA],investiroutrosconsolidadoabr[[#Headers],[3]],tabela_registros[REGISTRO],DADOS!$N$5,tabela_registros[TIPO],DADOS!$AB$5,tabela_registros[CATEGORIA],investiroutrosconsolidadoabr[[#This Row],[ATUAL]])</f>
        <v>0</v>
      </c>
      <c r="H153" s="91">
        <f>SUMIFS(tabela_registros[VALOR],tabela_registros[MÊS],$AE$1,tabela_registros[DIA],investiroutrosconsolidadoabr[[#Headers],[4]],tabela_registros[REGISTRO],DADOS!$N$5,tabela_registros[TIPO],DADOS!$AB$5,tabela_registros[CATEGORIA],investiroutrosconsolidadoabr[[#This Row],[ATUAL]])</f>
        <v>0</v>
      </c>
      <c r="I153" s="91">
        <f>SUMIFS(tabela_registros[VALOR],tabela_registros[MÊS],$AE$1,tabela_registros[DIA],investiroutrosconsolidadoabr[[#Headers],[5]],tabela_registros[REGISTRO],DADOS!$N$5,tabela_registros[TIPO],DADOS!$AB$5,tabela_registros[CATEGORIA],investiroutrosconsolidadoabr[[#This Row],[ATUAL]])</f>
        <v>0</v>
      </c>
      <c r="J153" s="91">
        <f>SUMIFS(tabela_registros[VALOR],tabela_registros[MÊS],$AE$1,tabela_registros[DIA],investiroutrosconsolidadoabr[[#Headers],[6]],tabela_registros[REGISTRO],DADOS!$N$5,tabela_registros[TIPO],DADOS!$AB$5,tabela_registros[CATEGORIA],investiroutrosconsolidadoabr[[#This Row],[ATUAL]])</f>
        <v>0</v>
      </c>
      <c r="K153" s="91">
        <f>SUMIFS(tabela_registros[VALOR],tabela_registros[MÊS],$AE$1,tabela_registros[DIA],investiroutrosconsolidadoabr[[#Headers],[7]],tabela_registros[REGISTRO],DADOS!$N$5,tabela_registros[TIPO],DADOS!$AB$5,tabela_registros[CATEGORIA],investiroutrosconsolidadoabr[[#This Row],[ATUAL]])</f>
        <v>0</v>
      </c>
      <c r="L153" s="91">
        <f>SUMIFS(tabela_registros[VALOR],tabela_registros[MÊS],$AE$1,tabela_registros[DIA],investiroutrosconsolidadoabr[[#Headers],[8]],tabela_registros[REGISTRO],DADOS!$N$5,tabela_registros[TIPO],DADOS!$AB$5,tabela_registros[CATEGORIA],investiroutrosconsolidadoabr[[#This Row],[ATUAL]])</f>
        <v>0</v>
      </c>
      <c r="M153" s="91">
        <f>SUMIFS(tabela_registros[VALOR],tabela_registros[MÊS],$AE$1,tabela_registros[DIA],investiroutrosconsolidadoabr[[#Headers],[9]],tabela_registros[REGISTRO],DADOS!$N$5,tabela_registros[TIPO],DADOS!$AB$5,tabela_registros[CATEGORIA],investiroutrosconsolidadoabr[[#This Row],[ATUAL]])</f>
        <v>0</v>
      </c>
      <c r="N153" s="91">
        <f>SUMIFS(tabela_registros[VALOR],tabela_registros[MÊS],$AE$1,tabela_registros[DIA],investiroutrosconsolidadoabr[[#Headers],[10]],tabela_registros[REGISTRO],DADOS!$N$5,tabela_registros[TIPO],DADOS!$AB$5,tabela_registros[CATEGORIA],investiroutrosconsolidadoabr[[#This Row],[ATUAL]])</f>
        <v>0</v>
      </c>
      <c r="O153" s="91">
        <f>SUMIFS(tabela_registros[VALOR],tabela_registros[MÊS],$AE$1,tabela_registros[DIA],investiroutrosconsolidadoabr[[#Headers],[11]],tabela_registros[REGISTRO],DADOS!$N$5,tabela_registros[TIPO],DADOS!$AB$5,tabela_registros[CATEGORIA],investiroutrosconsolidadoabr[[#This Row],[ATUAL]])</f>
        <v>0</v>
      </c>
      <c r="P153" s="91">
        <f>SUMIFS(tabela_registros[VALOR],tabela_registros[MÊS],$AE$1,tabela_registros[DIA],investiroutrosconsolidadoabr[[#Headers],[12]],tabela_registros[REGISTRO],DADOS!$N$5,tabela_registros[TIPO],DADOS!$AB$5,tabela_registros[CATEGORIA],investiroutrosconsolidadoabr[[#This Row],[ATUAL]])</f>
        <v>0</v>
      </c>
      <c r="Q153" s="91">
        <f>SUMIFS(tabela_registros[VALOR],tabela_registros[MÊS],$AE$1,tabela_registros[DIA],investiroutrosconsolidadoabr[[#Headers],[13]],tabela_registros[REGISTRO],DADOS!$N$5,tabela_registros[TIPO],DADOS!$AB$5,tabela_registros[CATEGORIA],investiroutrosconsolidadoabr[[#This Row],[ATUAL]])</f>
        <v>0</v>
      </c>
      <c r="R153" s="91">
        <f>SUMIFS(tabela_registros[VALOR],tabela_registros[MÊS],$AE$1,tabela_registros[DIA],investiroutrosconsolidadoabr[[#Headers],[14]],tabela_registros[REGISTRO],DADOS!$N$5,tabela_registros[TIPO],DADOS!$AB$5,tabela_registros[CATEGORIA],investiroutrosconsolidadoabr[[#This Row],[ATUAL]])</f>
        <v>0</v>
      </c>
      <c r="S153" s="91">
        <f>SUMIFS(tabela_registros[VALOR],tabela_registros[MÊS],$AE$1,tabela_registros[DIA],investiroutrosconsolidadoabr[[#Headers],[15]],tabela_registros[REGISTRO],DADOS!$N$5,tabela_registros[TIPO],DADOS!$AB$5,tabela_registros[CATEGORIA],investiroutrosconsolidadoabr[[#This Row],[ATUAL]])</f>
        <v>0</v>
      </c>
      <c r="T153" s="91">
        <f>SUMIFS(tabela_registros[VALOR],tabela_registros[MÊS],$AE$1,tabela_registros[DIA],investiroutrosconsolidadoabr[[#Headers],[16]],tabela_registros[REGISTRO],DADOS!$N$5,tabela_registros[TIPO],DADOS!$AB$5,tabela_registros[CATEGORIA],investiroutrosconsolidadoabr[[#This Row],[ATUAL]])</f>
        <v>0</v>
      </c>
      <c r="U153" s="91">
        <f>SUMIFS(tabela_registros[VALOR],tabela_registros[MÊS],$AE$1,tabela_registros[DIA],investiroutrosconsolidadoabr[[#Headers],[17]],tabela_registros[REGISTRO],DADOS!$N$5,tabela_registros[TIPO],DADOS!$AB$5,tabela_registros[CATEGORIA],investiroutrosconsolidadoabr[[#This Row],[ATUAL]])</f>
        <v>0</v>
      </c>
      <c r="V153" s="91">
        <f>SUMIFS(tabela_registros[VALOR],tabela_registros[MÊS],$AE$1,tabela_registros[DIA],investiroutrosconsolidadoabr[[#Headers],[18]],tabela_registros[REGISTRO],DADOS!$N$5,tabela_registros[TIPO],DADOS!$AB$5,tabela_registros[CATEGORIA],investiroutrosconsolidadoabr[[#This Row],[ATUAL]])</f>
        <v>0</v>
      </c>
      <c r="W153" s="91">
        <f>SUMIFS(tabela_registros[VALOR],tabela_registros[MÊS],$AE$1,tabela_registros[DIA],investiroutrosconsolidadoabr[[#Headers],[19]],tabela_registros[REGISTRO],DADOS!$N$5,tabela_registros[TIPO],DADOS!$AB$5,tabela_registros[CATEGORIA],investiroutrosconsolidadoabr[[#This Row],[ATUAL]])</f>
        <v>0</v>
      </c>
      <c r="X153" s="91">
        <f>SUMIFS(tabela_registros[VALOR],tabela_registros[MÊS],$AE$1,tabela_registros[DIA],investiroutrosconsolidadoabr[[#Headers],[20]],tabela_registros[REGISTRO],DADOS!$N$5,tabela_registros[TIPO],DADOS!$AB$5,tabela_registros[CATEGORIA],investiroutrosconsolidadoabr[[#This Row],[ATUAL]])</f>
        <v>0</v>
      </c>
      <c r="Y153" s="91">
        <f>SUMIFS(tabela_registros[VALOR],tabela_registros[MÊS],$AE$1,tabela_registros[DIA],investiroutrosconsolidadoabr[[#Headers],[21]],tabela_registros[REGISTRO],DADOS!$N$5,tabela_registros[TIPO],DADOS!$AB$5,tabela_registros[CATEGORIA],investiroutrosconsolidadoabr[[#This Row],[ATUAL]])</f>
        <v>0</v>
      </c>
      <c r="Z153" s="91">
        <f>SUMIFS(tabela_registros[VALOR],tabela_registros[MÊS],$AE$1,tabela_registros[DIA],investiroutrosconsolidadoabr[[#Headers],[22]],tabela_registros[REGISTRO],DADOS!$N$5,tabela_registros[TIPO],DADOS!$AB$5,tabela_registros[CATEGORIA],investiroutrosconsolidadoabr[[#This Row],[ATUAL]])</f>
        <v>0</v>
      </c>
      <c r="AA153" s="91">
        <f>SUMIFS(tabela_registros[VALOR],tabela_registros[MÊS],$AE$1,tabela_registros[DIA],investiroutrosconsolidadoabr[[#Headers],[23]],tabela_registros[REGISTRO],DADOS!$N$5,tabela_registros[TIPO],DADOS!$AB$5,tabela_registros[CATEGORIA],investiroutrosconsolidadoabr[[#This Row],[ATUAL]])</f>
        <v>0</v>
      </c>
      <c r="AB153" s="91">
        <f>SUMIFS(tabela_registros[VALOR],tabela_registros[MÊS],$AE$1,tabela_registros[DIA],investiroutrosconsolidadoabr[[#Headers],[24]],tabela_registros[REGISTRO],DADOS!$N$5,tabela_registros[TIPO],DADOS!$AB$5,tabela_registros[CATEGORIA],investiroutrosconsolidadoabr[[#This Row],[ATUAL]])</f>
        <v>0</v>
      </c>
      <c r="AC153" s="91">
        <f>SUMIFS(tabela_registros[VALOR],tabela_registros[MÊS],$AE$1,tabela_registros[DIA],investiroutrosconsolidadoabr[[#Headers],[25]],tabela_registros[REGISTRO],DADOS!$N$5,tabela_registros[TIPO],DADOS!$AB$5,tabela_registros[CATEGORIA],investiroutrosconsolidadoabr[[#This Row],[ATUAL]])</f>
        <v>0</v>
      </c>
      <c r="AD153" s="91">
        <f>SUMIFS(tabela_registros[VALOR],tabela_registros[MÊS],$AE$1,tabela_registros[DIA],investiroutrosconsolidadoabr[[#Headers],[26]],tabela_registros[REGISTRO],DADOS!$N$5,tabela_registros[TIPO],DADOS!$AB$5,tabela_registros[CATEGORIA],investiroutrosconsolidadoabr[[#This Row],[ATUAL]])</f>
        <v>0</v>
      </c>
      <c r="AE153" s="91">
        <f>SUMIFS(tabela_registros[VALOR],tabela_registros[MÊS],$AE$1,tabela_registros[DIA],investiroutrosconsolidadoabr[[#Headers],[27]],tabela_registros[REGISTRO],DADOS!$N$5,tabela_registros[TIPO],DADOS!$AB$5,tabela_registros[CATEGORIA],investiroutrosconsolidadoabr[[#This Row],[ATUAL]])</f>
        <v>0</v>
      </c>
      <c r="AF153" s="91">
        <f>SUMIFS(tabela_registros[VALOR],tabela_registros[MÊS],$AE$1,tabela_registros[DIA],investiroutrosconsolidadoabr[[#Headers],[28]],tabela_registros[REGISTRO],DADOS!$N$5,tabela_registros[TIPO],DADOS!$AB$5,tabela_registros[CATEGORIA],investiroutrosconsolidadoabr[[#This Row],[ATUAL]])</f>
        <v>0</v>
      </c>
      <c r="AG153" s="91">
        <f>SUMIFS(tabela_registros[VALOR],tabela_registros[MÊS],$AE$1,tabela_registros[DIA],investiroutrosconsolidadoabr[[#Headers],[29]],tabela_registros[REGISTRO],DADOS!$N$5,tabela_registros[TIPO],DADOS!$AB$5,tabela_registros[CATEGORIA],investiroutrosconsolidadoabr[[#This Row],[ATUAL]])</f>
        <v>0</v>
      </c>
      <c r="AH153" s="91">
        <f>SUMIFS(tabela_registros[VALOR],tabela_registros[MÊS],$AE$1,tabela_registros[DIA],investiroutrosconsolidadoabr[[#Headers],[30]],tabela_registros[REGISTRO],DADOS!$N$5,tabela_registros[TIPO],DADOS!$AB$5,tabela_registros[CATEGORIA],investiroutrosconsolidadoabr[[#This Row],[ATUAL]])</f>
        <v>0</v>
      </c>
      <c r="AI153" s="101">
        <f>SUMIFS(tabela_registros[VALOR],tabela_registros[MÊS],$AE$1,tabela_registros[DIA],investiroutrosconsolidadoabr[[#Headers],[31]],tabela_registros[REGISTRO],DADOS!$N$5,tabela_registros[TIPO],DADOS!$AB$5,tabela_registros[CATEGORIA],investiroutrosconsolidadoabr[[#This Row],[ATUAL]])</f>
        <v>0</v>
      </c>
      <c r="AJ153" s="97">
        <f>SUM(investiroutrosconsolidadoabr[[#This Row],[1]:[31]])</f>
        <v>0</v>
      </c>
      <c r="AK153" s="25"/>
    </row>
    <row r="154" spans="2:37" ht="19.5" customHeight="1" thickTop="1" thickBot="1" x14ac:dyDescent="0.3">
      <c r="B154" s="28"/>
      <c r="C154" s="27" t="str">
        <f>DADOS!$AH$6</f>
        <v>📝 NOVA EMPRESA</v>
      </c>
      <c r="D154" s="26" t="str">
        <f>IF(investiroutrosconsolidadoabr[[#This Row],[TOTAL (R$)]]=0,"",IF(OR(investiroutrosconsolidadoabr[[#This Row],[TOTAL (R$)]]=LARGE($AJ$151:$AJ$158,1),investiroutrosconsolidadoabr[[#This Row],[TOTAL (R$)]]=LARGE($AJ$151:$AJ$158,2)),DADOS!$I$10,""))</f>
        <v/>
      </c>
      <c r="E154" s="96">
        <f>SUMIFS(tabela_registros[VALOR],tabela_registros[MÊS],$AE$1,tabela_registros[DIA],investiroutrosconsolidadoabr[[#Headers],[1]],tabela_registros[REGISTRO],DADOS!$N$5,tabela_registros[TIPO],DADOS!$AB$5,tabela_registros[CATEGORIA],investiroutrosconsolidadoabr[[#This Row],[ATUAL]])</f>
        <v>0</v>
      </c>
      <c r="F154" s="91">
        <f>SUMIFS(tabela_registros[VALOR],tabela_registros[MÊS],$AE$1,tabela_registros[DIA],investiroutrosconsolidadoabr[[#Headers],[2]],tabela_registros[REGISTRO],DADOS!$N$5,tabela_registros[TIPO],DADOS!$AB$5,tabela_registros[CATEGORIA],investiroutrosconsolidadoabr[[#This Row],[ATUAL]])</f>
        <v>0</v>
      </c>
      <c r="G154" s="91">
        <f>SUMIFS(tabela_registros[VALOR],tabela_registros[MÊS],$AE$1,tabela_registros[DIA],investiroutrosconsolidadoabr[[#Headers],[3]],tabela_registros[REGISTRO],DADOS!$N$5,tabela_registros[TIPO],DADOS!$AB$5,tabela_registros[CATEGORIA],investiroutrosconsolidadoabr[[#This Row],[ATUAL]])</f>
        <v>0</v>
      </c>
      <c r="H154" s="91">
        <f>SUMIFS(tabela_registros[VALOR],tabela_registros[MÊS],$AE$1,tabela_registros[DIA],investiroutrosconsolidadoabr[[#Headers],[4]],tabela_registros[REGISTRO],DADOS!$N$5,tabela_registros[TIPO],DADOS!$AB$5,tabela_registros[CATEGORIA],investiroutrosconsolidadoabr[[#This Row],[ATUAL]])</f>
        <v>0</v>
      </c>
      <c r="I154" s="91">
        <f>SUMIFS(tabela_registros[VALOR],tabela_registros[MÊS],$AE$1,tabela_registros[DIA],investiroutrosconsolidadoabr[[#Headers],[5]],tabela_registros[REGISTRO],DADOS!$N$5,tabela_registros[TIPO],DADOS!$AB$5,tabela_registros[CATEGORIA],investiroutrosconsolidadoabr[[#This Row],[ATUAL]])</f>
        <v>0</v>
      </c>
      <c r="J154" s="91">
        <f>SUMIFS(tabela_registros[VALOR],tabela_registros[MÊS],$AE$1,tabela_registros[DIA],investiroutrosconsolidadoabr[[#Headers],[6]],tabela_registros[REGISTRO],DADOS!$N$5,tabela_registros[TIPO],DADOS!$AB$5,tabela_registros[CATEGORIA],investiroutrosconsolidadoabr[[#This Row],[ATUAL]])</f>
        <v>0</v>
      </c>
      <c r="K154" s="91">
        <f>SUMIFS(tabela_registros[VALOR],tabela_registros[MÊS],$AE$1,tabela_registros[DIA],investiroutrosconsolidadoabr[[#Headers],[7]],tabela_registros[REGISTRO],DADOS!$N$5,tabela_registros[TIPO],DADOS!$AB$5,tabela_registros[CATEGORIA],investiroutrosconsolidadoabr[[#This Row],[ATUAL]])</f>
        <v>0</v>
      </c>
      <c r="L154" s="91">
        <f>SUMIFS(tabela_registros[VALOR],tabela_registros[MÊS],$AE$1,tabela_registros[DIA],investiroutrosconsolidadoabr[[#Headers],[8]],tabela_registros[REGISTRO],DADOS!$N$5,tabela_registros[TIPO],DADOS!$AB$5,tabela_registros[CATEGORIA],investiroutrosconsolidadoabr[[#This Row],[ATUAL]])</f>
        <v>0</v>
      </c>
      <c r="M154" s="91">
        <f>SUMIFS(tabela_registros[VALOR],tabela_registros[MÊS],$AE$1,tabela_registros[DIA],investiroutrosconsolidadoabr[[#Headers],[9]],tabela_registros[REGISTRO],DADOS!$N$5,tabela_registros[TIPO],DADOS!$AB$5,tabela_registros[CATEGORIA],investiroutrosconsolidadoabr[[#This Row],[ATUAL]])</f>
        <v>0</v>
      </c>
      <c r="N154" s="91">
        <f>SUMIFS(tabela_registros[VALOR],tabela_registros[MÊS],$AE$1,tabela_registros[DIA],investiroutrosconsolidadoabr[[#Headers],[10]],tabela_registros[REGISTRO],DADOS!$N$5,tabela_registros[TIPO],DADOS!$AB$5,tabela_registros[CATEGORIA],investiroutrosconsolidadoabr[[#This Row],[ATUAL]])</f>
        <v>0</v>
      </c>
      <c r="O154" s="91">
        <f>SUMIFS(tabela_registros[VALOR],tabela_registros[MÊS],$AE$1,tabela_registros[DIA],investiroutrosconsolidadoabr[[#Headers],[11]],tabela_registros[REGISTRO],DADOS!$N$5,tabela_registros[TIPO],DADOS!$AB$5,tabela_registros[CATEGORIA],investiroutrosconsolidadoabr[[#This Row],[ATUAL]])</f>
        <v>0</v>
      </c>
      <c r="P154" s="91">
        <f>SUMIFS(tabela_registros[VALOR],tabela_registros[MÊS],$AE$1,tabela_registros[DIA],investiroutrosconsolidadoabr[[#Headers],[12]],tabela_registros[REGISTRO],DADOS!$N$5,tabela_registros[TIPO],DADOS!$AB$5,tabela_registros[CATEGORIA],investiroutrosconsolidadoabr[[#This Row],[ATUAL]])</f>
        <v>0</v>
      </c>
      <c r="Q154" s="91">
        <f>SUMIFS(tabela_registros[VALOR],tabela_registros[MÊS],$AE$1,tabela_registros[DIA],investiroutrosconsolidadoabr[[#Headers],[13]],tabela_registros[REGISTRO],DADOS!$N$5,tabela_registros[TIPO],DADOS!$AB$5,tabela_registros[CATEGORIA],investiroutrosconsolidadoabr[[#This Row],[ATUAL]])</f>
        <v>0</v>
      </c>
      <c r="R154" s="91">
        <f>SUMIFS(tabela_registros[VALOR],tabela_registros[MÊS],$AE$1,tabela_registros[DIA],investiroutrosconsolidadoabr[[#Headers],[14]],tabela_registros[REGISTRO],DADOS!$N$5,tabela_registros[TIPO],DADOS!$AB$5,tabela_registros[CATEGORIA],investiroutrosconsolidadoabr[[#This Row],[ATUAL]])</f>
        <v>0</v>
      </c>
      <c r="S154" s="91">
        <f>SUMIFS(tabela_registros[VALOR],tabela_registros[MÊS],$AE$1,tabela_registros[DIA],investiroutrosconsolidadoabr[[#Headers],[15]],tabela_registros[REGISTRO],DADOS!$N$5,tabela_registros[TIPO],DADOS!$AB$5,tabela_registros[CATEGORIA],investiroutrosconsolidadoabr[[#This Row],[ATUAL]])</f>
        <v>0</v>
      </c>
      <c r="T154" s="91">
        <f>SUMIFS(tabela_registros[VALOR],tabela_registros[MÊS],$AE$1,tabela_registros[DIA],investiroutrosconsolidadoabr[[#Headers],[16]],tabela_registros[REGISTRO],DADOS!$N$5,tabela_registros[TIPO],DADOS!$AB$5,tabela_registros[CATEGORIA],investiroutrosconsolidadoabr[[#This Row],[ATUAL]])</f>
        <v>0</v>
      </c>
      <c r="U154" s="91">
        <f>SUMIFS(tabela_registros[VALOR],tabela_registros[MÊS],$AE$1,tabela_registros[DIA],investiroutrosconsolidadoabr[[#Headers],[17]],tabela_registros[REGISTRO],DADOS!$N$5,tabela_registros[TIPO],DADOS!$AB$5,tabela_registros[CATEGORIA],investiroutrosconsolidadoabr[[#This Row],[ATUAL]])</f>
        <v>0</v>
      </c>
      <c r="V154" s="91">
        <f>SUMIFS(tabela_registros[VALOR],tabela_registros[MÊS],$AE$1,tabela_registros[DIA],investiroutrosconsolidadoabr[[#Headers],[18]],tabela_registros[REGISTRO],DADOS!$N$5,tabela_registros[TIPO],DADOS!$AB$5,tabela_registros[CATEGORIA],investiroutrosconsolidadoabr[[#This Row],[ATUAL]])</f>
        <v>0</v>
      </c>
      <c r="W154" s="91">
        <f>SUMIFS(tabela_registros[VALOR],tabela_registros[MÊS],$AE$1,tabela_registros[DIA],investiroutrosconsolidadoabr[[#Headers],[19]],tabela_registros[REGISTRO],DADOS!$N$5,tabela_registros[TIPO],DADOS!$AB$5,tabela_registros[CATEGORIA],investiroutrosconsolidadoabr[[#This Row],[ATUAL]])</f>
        <v>0</v>
      </c>
      <c r="X154" s="91">
        <f>SUMIFS(tabela_registros[VALOR],tabela_registros[MÊS],$AE$1,tabela_registros[DIA],investiroutrosconsolidadoabr[[#Headers],[20]],tabela_registros[REGISTRO],DADOS!$N$5,tabela_registros[TIPO],DADOS!$AB$5,tabela_registros[CATEGORIA],investiroutrosconsolidadoabr[[#This Row],[ATUAL]])</f>
        <v>0</v>
      </c>
      <c r="Y154" s="91">
        <f>SUMIFS(tabela_registros[VALOR],tabela_registros[MÊS],$AE$1,tabela_registros[DIA],investiroutrosconsolidadoabr[[#Headers],[21]],tabela_registros[REGISTRO],DADOS!$N$5,tabela_registros[TIPO],DADOS!$AB$5,tabela_registros[CATEGORIA],investiroutrosconsolidadoabr[[#This Row],[ATUAL]])</f>
        <v>0</v>
      </c>
      <c r="Z154" s="91">
        <f>SUMIFS(tabela_registros[VALOR],tabela_registros[MÊS],$AE$1,tabela_registros[DIA],investiroutrosconsolidadoabr[[#Headers],[22]],tabela_registros[REGISTRO],DADOS!$N$5,tabela_registros[TIPO],DADOS!$AB$5,tabela_registros[CATEGORIA],investiroutrosconsolidadoabr[[#This Row],[ATUAL]])</f>
        <v>0</v>
      </c>
      <c r="AA154" s="91">
        <f>SUMIFS(tabela_registros[VALOR],tabela_registros[MÊS],$AE$1,tabela_registros[DIA],investiroutrosconsolidadoabr[[#Headers],[23]],tabela_registros[REGISTRO],DADOS!$N$5,tabela_registros[TIPO],DADOS!$AB$5,tabela_registros[CATEGORIA],investiroutrosconsolidadoabr[[#This Row],[ATUAL]])</f>
        <v>0</v>
      </c>
      <c r="AB154" s="91">
        <f>SUMIFS(tabela_registros[VALOR],tabela_registros[MÊS],$AE$1,tabela_registros[DIA],investiroutrosconsolidadoabr[[#Headers],[24]],tabela_registros[REGISTRO],DADOS!$N$5,tabela_registros[TIPO],DADOS!$AB$5,tabela_registros[CATEGORIA],investiroutrosconsolidadoabr[[#This Row],[ATUAL]])</f>
        <v>0</v>
      </c>
      <c r="AC154" s="91">
        <f>SUMIFS(tabela_registros[VALOR],tabela_registros[MÊS],$AE$1,tabela_registros[DIA],investiroutrosconsolidadoabr[[#Headers],[25]],tabela_registros[REGISTRO],DADOS!$N$5,tabela_registros[TIPO],DADOS!$AB$5,tabela_registros[CATEGORIA],investiroutrosconsolidadoabr[[#This Row],[ATUAL]])</f>
        <v>0</v>
      </c>
      <c r="AD154" s="91">
        <f>SUMIFS(tabela_registros[VALOR],tabela_registros[MÊS],$AE$1,tabela_registros[DIA],investiroutrosconsolidadoabr[[#Headers],[26]],tabela_registros[REGISTRO],DADOS!$N$5,tabela_registros[TIPO],DADOS!$AB$5,tabela_registros[CATEGORIA],investiroutrosconsolidadoabr[[#This Row],[ATUAL]])</f>
        <v>0</v>
      </c>
      <c r="AE154" s="91">
        <f>SUMIFS(tabela_registros[VALOR],tabela_registros[MÊS],$AE$1,tabela_registros[DIA],investiroutrosconsolidadoabr[[#Headers],[27]],tabela_registros[REGISTRO],DADOS!$N$5,tabela_registros[TIPO],DADOS!$AB$5,tabela_registros[CATEGORIA],investiroutrosconsolidadoabr[[#This Row],[ATUAL]])</f>
        <v>0</v>
      </c>
      <c r="AF154" s="91">
        <f>SUMIFS(tabela_registros[VALOR],tabela_registros[MÊS],$AE$1,tabela_registros[DIA],investiroutrosconsolidadoabr[[#Headers],[28]],tabela_registros[REGISTRO],DADOS!$N$5,tabela_registros[TIPO],DADOS!$AB$5,tabela_registros[CATEGORIA],investiroutrosconsolidadoabr[[#This Row],[ATUAL]])</f>
        <v>0</v>
      </c>
      <c r="AG154" s="91">
        <f>SUMIFS(tabela_registros[VALOR],tabela_registros[MÊS],$AE$1,tabela_registros[DIA],investiroutrosconsolidadoabr[[#Headers],[29]],tabela_registros[REGISTRO],DADOS!$N$5,tabela_registros[TIPO],DADOS!$AB$5,tabela_registros[CATEGORIA],investiroutrosconsolidadoabr[[#This Row],[ATUAL]])</f>
        <v>0</v>
      </c>
      <c r="AH154" s="91">
        <f>SUMIFS(tabela_registros[VALOR],tabela_registros[MÊS],$AE$1,tabela_registros[DIA],investiroutrosconsolidadoabr[[#Headers],[30]],tabela_registros[REGISTRO],DADOS!$N$5,tabela_registros[TIPO],DADOS!$AB$5,tabela_registros[CATEGORIA],investiroutrosconsolidadoabr[[#This Row],[ATUAL]])</f>
        <v>0</v>
      </c>
      <c r="AI154" s="101">
        <f>SUMIFS(tabela_registros[VALOR],tabela_registros[MÊS],$AE$1,tabela_registros[DIA],investiroutrosconsolidadoabr[[#Headers],[31]],tabela_registros[REGISTRO],DADOS!$N$5,tabela_registros[TIPO],DADOS!$AB$5,tabela_registros[CATEGORIA],investiroutrosconsolidadoabr[[#This Row],[ATUAL]])</f>
        <v>0</v>
      </c>
      <c r="AJ154" s="97">
        <f>SUM(investiroutrosconsolidadoabr[[#This Row],[1]:[31]])</f>
        <v>0</v>
      </c>
      <c r="AK154" s="25"/>
    </row>
    <row r="155" spans="2:37" ht="19.5" customHeight="1" thickTop="1" thickBot="1" x14ac:dyDescent="0.3">
      <c r="B155" s="28"/>
      <c r="C155" s="27" t="str">
        <f>DADOS!$AH$7</f>
        <v>📝 PEER TO COMPANY</v>
      </c>
      <c r="D155" s="26" t="str">
        <f>IF(investiroutrosconsolidadoabr[[#This Row],[TOTAL (R$)]]=0,"",IF(OR(investiroutrosconsolidadoabr[[#This Row],[TOTAL (R$)]]=LARGE($AJ$151:$AJ$158,1),investiroutrosconsolidadoabr[[#This Row],[TOTAL (R$)]]=LARGE($AJ$151:$AJ$158,2)),DADOS!$I$10,""))</f>
        <v/>
      </c>
      <c r="E155" s="96">
        <f>SUMIFS(tabela_registros[VALOR],tabela_registros[MÊS],$AE$1,tabela_registros[DIA],investiroutrosconsolidadoabr[[#Headers],[1]],tabela_registros[REGISTRO],DADOS!$N$5,tabela_registros[TIPO],DADOS!$AB$5,tabela_registros[CATEGORIA],investiroutrosconsolidadoabr[[#This Row],[ATUAL]])</f>
        <v>0</v>
      </c>
      <c r="F155" s="91">
        <f>SUMIFS(tabela_registros[VALOR],tabela_registros[MÊS],$AE$1,tabela_registros[DIA],investiroutrosconsolidadoabr[[#Headers],[2]],tabela_registros[REGISTRO],DADOS!$N$5,tabela_registros[TIPO],DADOS!$AB$5,tabela_registros[CATEGORIA],investiroutrosconsolidadoabr[[#This Row],[ATUAL]])</f>
        <v>0</v>
      </c>
      <c r="G155" s="91">
        <f>SUMIFS(tabela_registros[VALOR],tabela_registros[MÊS],$AE$1,tabela_registros[DIA],investiroutrosconsolidadoabr[[#Headers],[3]],tabela_registros[REGISTRO],DADOS!$N$5,tabela_registros[TIPO],DADOS!$AB$5,tabela_registros[CATEGORIA],investiroutrosconsolidadoabr[[#This Row],[ATUAL]])</f>
        <v>0</v>
      </c>
      <c r="H155" s="91">
        <f>SUMIFS(tabela_registros[VALOR],tabela_registros[MÊS],$AE$1,tabela_registros[DIA],investiroutrosconsolidadoabr[[#Headers],[4]],tabela_registros[REGISTRO],DADOS!$N$5,tabela_registros[TIPO],DADOS!$AB$5,tabela_registros[CATEGORIA],investiroutrosconsolidadoabr[[#This Row],[ATUAL]])</f>
        <v>0</v>
      </c>
      <c r="I155" s="91">
        <f>SUMIFS(tabela_registros[VALOR],tabela_registros[MÊS],$AE$1,tabela_registros[DIA],investiroutrosconsolidadoabr[[#Headers],[5]],tabela_registros[REGISTRO],DADOS!$N$5,tabela_registros[TIPO],DADOS!$AB$5,tabela_registros[CATEGORIA],investiroutrosconsolidadoabr[[#This Row],[ATUAL]])</f>
        <v>0</v>
      </c>
      <c r="J155" s="91">
        <f>SUMIFS(tabela_registros[VALOR],tabela_registros[MÊS],$AE$1,tabela_registros[DIA],investiroutrosconsolidadoabr[[#Headers],[6]],tabela_registros[REGISTRO],DADOS!$N$5,tabela_registros[TIPO],DADOS!$AB$5,tabela_registros[CATEGORIA],investiroutrosconsolidadoabr[[#This Row],[ATUAL]])</f>
        <v>0</v>
      </c>
      <c r="K155" s="91">
        <f>SUMIFS(tabela_registros[VALOR],tabela_registros[MÊS],$AE$1,tabela_registros[DIA],investiroutrosconsolidadoabr[[#Headers],[7]],tabela_registros[REGISTRO],DADOS!$N$5,tabela_registros[TIPO],DADOS!$AB$5,tabela_registros[CATEGORIA],investiroutrosconsolidadoabr[[#This Row],[ATUAL]])</f>
        <v>0</v>
      </c>
      <c r="L155" s="91">
        <f>SUMIFS(tabela_registros[VALOR],tabela_registros[MÊS],$AE$1,tabela_registros[DIA],investiroutrosconsolidadoabr[[#Headers],[8]],tabela_registros[REGISTRO],DADOS!$N$5,tabela_registros[TIPO],DADOS!$AB$5,tabela_registros[CATEGORIA],investiroutrosconsolidadoabr[[#This Row],[ATUAL]])</f>
        <v>0</v>
      </c>
      <c r="M155" s="91">
        <f>SUMIFS(tabela_registros[VALOR],tabela_registros[MÊS],$AE$1,tabela_registros[DIA],investiroutrosconsolidadoabr[[#Headers],[9]],tabela_registros[REGISTRO],DADOS!$N$5,tabela_registros[TIPO],DADOS!$AB$5,tabela_registros[CATEGORIA],investiroutrosconsolidadoabr[[#This Row],[ATUAL]])</f>
        <v>0</v>
      </c>
      <c r="N155" s="91">
        <f>SUMIFS(tabela_registros[VALOR],tabela_registros[MÊS],$AE$1,tabela_registros[DIA],investiroutrosconsolidadoabr[[#Headers],[10]],tabela_registros[REGISTRO],DADOS!$N$5,tabela_registros[TIPO],DADOS!$AB$5,tabela_registros[CATEGORIA],investiroutrosconsolidadoabr[[#This Row],[ATUAL]])</f>
        <v>0</v>
      </c>
      <c r="O155" s="91">
        <f>SUMIFS(tabela_registros[VALOR],tabela_registros[MÊS],$AE$1,tabela_registros[DIA],investiroutrosconsolidadoabr[[#Headers],[11]],tabela_registros[REGISTRO],DADOS!$N$5,tabela_registros[TIPO],DADOS!$AB$5,tabela_registros[CATEGORIA],investiroutrosconsolidadoabr[[#This Row],[ATUAL]])</f>
        <v>0</v>
      </c>
      <c r="P155" s="91">
        <f>SUMIFS(tabela_registros[VALOR],tabela_registros[MÊS],$AE$1,tabela_registros[DIA],investiroutrosconsolidadoabr[[#Headers],[12]],tabela_registros[REGISTRO],DADOS!$N$5,tabela_registros[TIPO],DADOS!$AB$5,tabela_registros[CATEGORIA],investiroutrosconsolidadoabr[[#This Row],[ATUAL]])</f>
        <v>0</v>
      </c>
      <c r="Q155" s="91">
        <f>SUMIFS(tabela_registros[VALOR],tabela_registros[MÊS],$AE$1,tabela_registros[DIA],investiroutrosconsolidadoabr[[#Headers],[13]],tabela_registros[REGISTRO],DADOS!$N$5,tabela_registros[TIPO],DADOS!$AB$5,tabela_registros[CATEGORIA],investiroutrosconsolidadoabr[[#This Row],[ATUAL]])</f>
        <v>0</v>
      </c>
      <c r="R155" s="91">
        <f>SUMIFS(tabela_registros[VALOR],tabela_registros[MÊS],$AE$1,tabela_registros[DIA],investiroutrosconsolidadoabr[[#Headers],[14]],tabela_registros[REGISTRO],DADOS!$N$5,tabela_registros[TIPO],DADOS!$AB$5,tabela_registros[CATEGORIA],investiroutrosconsolidadoabr[[#This Row],[ATUAL]])</f>
        <v>0</v>
      </c>
      <c r="S155" s="91">
        <f>SUMIFS(tabela_registros[VALOR],tabela_registros[MÊS],$AE$1,tabela_registros[DIA],investiroutrosconsolidadoabr[[#Headers],[15]],tabela_registros[REGISTRO],DADOS!$N$5,tabela_registros[TIPO],DADOS!$AB$5,tabela_registros[CATEGORIA],investiroutrosconsolidadoabr[[#This Row],[ATUAL]])</f>
        <v>0</v>
      </c>
      <c r="T155" s="91">
        <f>SUMIFS(tabela_registros[VALOR],tabela_registros[MÊS],$AE$1,tabela_registros[DIA],investiroutrosconsolidadoabr[[#Headers],[16]],tabela_registros[REGISTRO],DADOS!$N$5,tabela_registros[TIPO],DADOS!$AB$5,tabela_registros[CATEGORIA],investiroutrosconsolidadoabr[[#This Row],[ATUAL]])</f>
        <v>0</v>
      </c>
      <c r="U155" s="91">
        <f>SUMIFS(tabela_registros[VALOR],tabela_registros[MÊS],$AE$1,tabela_registros[DIA],investiroutrosconsolidadoabr[[#Headers],[17]],tabela_registros[REGISTRO],DADOS!$N$5,tabela_registros[TIPO],DADOS!$AB$5,tabela_registros[CATEGORIA],investiroutrosconsolidadoabr[[#This Row],[ATUAL]])</f>
        <v>0</v>
      </c>
      <c r="V155" s="91">
        <f>SUMIFS(tabela_registros[VALOR],tabela_registros[MÊS],$AE$1,tabela_registros[DIA],investiroutrosconsolidadoabr[[#Headers],[18]],tabela_registros[REGISTRO],DADOS!$N$5,tabela_registros[TIPO],DADOS!$AB$5,tabela_registros[CATEGORIA],investiroutrosconsolidadoabr[[#This Row],[ATUAL]])</f>
        <v>0</v>
      </c>
      <c r="W155" s="91">
        <f>SUMIFS(tabela_registros[VALOR],tabela_registros[MÊS],$AE$1,tabela_registros[DIA],investiroutrosconsolidadoabr[[#Headers],[19]],tabela_registros[REGISTRO],DADOS!$N$5,tabela_registros[TIPO],DADOS!$AB$5,tabela_registros[CATEGORIA],investiroutrosconsolidadoabr[[#This Row],[ATUAL]])</f>
        <v>0</v>
      </c>
      <c r="X155" s="91">
        <f>SUMIFS(tabela_registros[VALOR],tabela_registros[MÊS],$AE$1,tabela_registros[DIA],investiroutrosconsolidadoabr[[#Headers],[20]],tabela_registros[REGISTRO],DADOS!$N$5,tabela_registros[TIPO],DADOS!$AB$5,tabela_registros[CATEGORIA],investiroutrosconsolidadoabr[[#This Row],[ATUAL]])</f>
        <v>0</v>
      </c>
      <c r="Y155" s="91">
        <f>SUMIFS(tabela_registros[VALOR],tabela_registros[MÊS],$AE$1,tabela_registros[DIA],investiroutrosconsolidadoabr[[#Headers],[21]],tabela_registros[REGISTRO],DADOS!$N$5,tabela_registros[TIPO],DADOS!$AB$5,tabela_registros[CATEGORIA],investiroutrosconsolidadoabr[[#This Row],[ATUAL]])</f>
        <v>0</v>
      </c>
      <c r="Z155" s="91">
        <f>SUMIFS(tabela_registros[VALOR],tabela_registros[MÊS],$AE$1,tabela_registros[DIA],investiroutrosconsolidadoabr[[#Headers],[22]],tabela_registros[REGISTRO],DADOS!$N$5,tabela_registros[TIPO],DADOS!$AB$5,tabela_registros[CATEGORIA],investiroutrosconsolidadoabr[[#This Row],[ATUAL]])</f>
        <v>0</v>
      </c>
      <c r="AA155" s="91">
        <f>SUMIFS(tabela_registros[VALOR],tabela_registros[MÊS],$AE$1,tabela_registros[DIA],investiroutrosconsolidadoabr[[#Headers],[23]],tabela_registros[REGISTRO],DADOS!$N$5,tabela_registros[TIPO],DADOS!$AB$5,tabela_registros[CATEGORIA],investiroutrosconsolidadoabr[[#This Row],[ATUAL]])</f>
        <v>0</v>
      </c>
      <c r="AB155" s="91">
        <f>SUMIFS(tabela_registros[VALOR],tabela_registros[MÊS],$AE$1,tabela_registros[DIA],investiroutrosconsolidadoabr[[#Headers],[24]],tabela_registros[REGISTRO],DADOS!$N$5,tabela_registros[TIPO],DADOS!$AB$5,tabela_registros[CATEGORIA],investiroutrosconsolidadoabr[[#This Row],[ATUAL]])</f>
        <v>0</v>
      </c>
      <c r="AC155" s="91">
        <f>SUMIFS(tabela_registros[VALOR],tabela_registros[MÊS],$AE$1,tabela_registros[DIA],investiroutrosconsolidadoabr[[#Headers],[25]],tabela_registros[REGISTRO],DADOS!$N$5,tabela_registros[TIPO],DADOS!$AB$5,tabela_registros[CATEGORIA],investiroutrosconsolidadoabr[[#This Row],[ATUAL]])</f>
        <v>0</v>
      </c>
      <c r="AD155" s="91">
        <f>SUMIFS(tabela_registros[VALOR],tabela_registros[MÊS],$AE$1,tabela_registros[DIA],investiroutrosconsolidadoabr[[#Headers],[26]],tabela_registros[REGISTRO],DADOS!$N$5,tabela_registros[TIPO],DADOS!$AB$5,tabela_registros[CATEGORIA],investiroutrosconsolidadoabr[[#This Row],[ATUAL]])</f>
        <v>0</v>
      </c>
      <c r="AE155" s="91">
        <f>SUMIFS(tabela_registros[VALOR],tabela_registros[MÊS],$AE$1,tabela_registros[DIA],investiroutrosconsolidadoabr[[#Headers],[27]],tabela_registros[REGISTRO],DADOS!$N$5,tabela_registros[TIPO],DADOS!$AB$5,tabela_registros[CATEGORIA],investiroutrosconsolidadoabr[[#This Row],[ATUAL]])</f>
        <v>0</v>
      </c>
      <c r="AF155" s="91">
        <f>SUMIFS(tabela_registros[VALOR],tabela_registros[MÊS],$AE$1,tabela_registros[DIA],investiroutrosconsolidadoabr[[#Headers],[28]],tabela_registros[REGISTRO],DADOS!$N$5,tabela_registros[TIPO],DADOS!$AB$5,tabela_registros[CATEGORIA],investiroutrosconsolidadoabr[[#This Row],[ATUAL]])</f>
        <v>0</v>
      </c>
      <c r="AG155" s="91">
        <f>SUMIFS(tabela_registros[VALOR],tabela_registros[MÊS],$AE$1,tabela_registros[DIA],investiroutrosconsolidadoabr[[#Headers],[29]],tabela_registros[REGISTRO],DADOS!$N$5,tabela_registros[TIPO],DADOS!$AB$5,tabela_registros[CATEGORIA],investiroutrosconsolidadoabr[[#This Row],[ATUAL]])</f>
        <v>0</v>
      </c>
      <c r="AH155" s="91">
        <f>SUMIFS(tabela_registros[VALOR],tabela_registros[MÊS],$AE$1,tabela_registros[DIA],investiroutrosconsolidadoabr[[#Headers],[30]],tabela_registros[REGISTRO],DADOS!$N$5,tabela_registros[TIPO],DADOS!$AB$5,tabela_registros[CATEGORIA],investiroutrosconsolidadoabr[[#This Row],[ATUAL]])</f>
        <v>0</v>
      </c>
      <c r="AI155" s="101">
        <f>SUMIFS(tabela_registros[VALOR],tabela_registros[MÊS],$AE$1,tabela_registros[DIA],investiroutrosconsolidadoabr[[#Headers],[31]],tabela_registros[REGISTRO],DADOS!$N$5,tabela_registros[TIPO],DADOS!$AB$5,tabela_registros[CATEGORIA],investiroutrosconsolidadoabr[[#This Row],[ATUAL]])</f>
        <v>0</v>
      </c>
      <c r="AJ155" s="97">
        <f>SUM(investiroutrosconsolidadoabr[[#This Row],[1]:[31]])</f>
        <v>0</v>
      </c>
      <c r="AK155" s="25"/>
    </row>
    <row r="156" spans="2:37" ht="19.5" customHeight="1" thickTop="1" thickBot="1" x14ac:dyDescent="0.3">
      <c r="B156" s="28"/>
      <c r="C156" s="27" t="str">
        <f>DADOS!$AH$8</f>
        <v>📝 PEER TO PEER</v>
      </c>
      <c r="D156" s="26" t="str">
        <f>IF(investiroutrosconsolidadoabr[[#This Row],[TOTAL (R$)]]=0,"",IF(OR(investiroutrosconsolidadoabr[[#This Row],[TOTAL (R$)]]=LARGE($AJ$151:$AJ$158,1),investiroutrosconsolidadoabr[[#This Row],[TOTAL (R$)]]=LARGE($AJ$151:$AJ$158,2)),DADOS!$I$10,""))</f>
        <v/>
      </c>
      <c r="E156" s="96">
        <f>SUMIFS(tabela_registros[VALOR],tabela_registros[MÊS],$AE$1,tabela_registros[DIA],investiroutrosconsolidadoabr[[#Headers],[1]],tabela_registros[REGISTRO],DADOS!$N$5,tabela_registros[TIPO],DADOS!$AB$5,tabela_registros[CATEGORIA],investiroutrosconsolidadoabr[[#This Row],[ATUAL]])</f>
        <v>0</v>
      </c>
      <c r="F156" s="91">
        <f>SUMIFS(tabela_registros[VALOR],tabela_registros[MÊS],$AE$1,tabela_registros[DIA],investiroutrosconsolidadoabr[[#Headers],[2]],tabela_registros[REGISTRO],DADOS!$N$5,tabela_registros[TIPO],DADOS!$AB$5,tabela_registros[CATEGORIA],investiroutrosconsolidadoabr[[#This Row],[ATUAL]])</f>
        <v>0</v>
      </c>
      <c r="G156" s="91">
        <f>SUMIFS(tabela_registros[VALOR],tabela_registros[MÊS],$AE$1,tabela_registros[DIA],investiroutrosconsolidadoabr[[#Headers],[3]],tabela_registros[REGISTRO],DADOS!$N$5,tabela_registros[TIPO],DADOS!$AB$5,tabela_registros[CATEGORIA],investiroutrosconsolidadoabr[[#This Row],[ATUAL]])</f>
        <v>0</v>
      </c>
      <c r="H156" s="91">
        <f>SUMIFS(tabela_registros[VALOR],tabela_registros[MÊS],$AE$1,tabela_registros[DIA],investiroutrosconsolidadoabr[[#Headers],[4]],tabela_registros[REGISTRO],DADOS!$N$5,tabela_registros[TIPO],DADOS!$AB$5,tabela_registros[CATEGORIA],investiroutrosconsolidadoabr[[#This Row],[ATUAL]])</f>
        <v>0</v>
      </c>
      <c r="I156" s="91">
        <f>SUMIFS(tabela_registros[VALOR],tabela_registros[MÊS],$AE$1,tabela_registros[DIA],investiroutrosconsolidadoabr[[#Headers],[5]],tabela_registros[REGISTRO],DADOS!$N$5,tabela_registros[TIPO],DADOS!$AB$5,tabela_registros[CATEGORIA],investiroutrosconsolidadoabr[[#This Row],[ATUAL]])</f>
        <v>0</v>
      </c>
      <c r="J156" s="91">
        <f>SUMIFS(tabela_registros[VALOR],tabela_registros[MÊS],$AE$1,tabela_registros[DIA],investiroutrosconsolidadoabr[[#Headers],[6]],tabela_registros[REGISTRO],DADOS!$N$5,tabela_registros[TIPO],DADOS!$AB$5,tabela_registros[CATEGORIA],investiroutrosconsolidadoabr[[#This Row],[ATUAL]])</f>
        <v>0</v>
      </c>
      <c r="K156" s="91">
        <f>SUMIFS(tabela_registros[VALOR],tabela_registros[MÊS],$AE$1,tabela_registros[DIA],investiroutrosconsolidadoabr[[#Headers],[7]],tabela_registros[REGISTRO],DADOS!$N$5,tabela_registros[TIPO],DADOS!$AB$5,tabela_registros[CATEGORIA],investiroutrosconsolidadoabr[[#This Row],[ATUAL]])</f>
        <v>0</v>
      </c>
      <c r="L156" s="91">
        <f>SUMIFS(tabela_registros[VALOR],tabela_registros[MÊS],$AE$1,tabela_registros[DIA],investiroutrosconsolidadoabr[[#Headers],[8]],tabela_registros[REGISTRO],DADOS!$N$5,tabela_registros[TIPO],DADOS!$AB$5,tabela_registros[CATEGORIA],investiroutrosconsolidadoabr[[#This Row],[ATUAL]])</f>
        <v>0</v>
      </c>
      <c r="M156" s="91">
        <f>SUMIFS(tabela_registros[VALOR],tabela_registros[MÊS],$AE$1,tabela_registros[DIA],investiroutrosconsolidadoabr[[#Headers],[9]],tabela_registros[REGISTRO],DADOS!$N$5,tabela_registros[TIPO],DADOS!$AB$5,tabela_registros[CATEGORIA],investiroutrosconsolidadoabr[[#This Row],[ATUAL]])</f>
        <v>0</v>
      </c>
      <c r="N156" s="91">
        <f>SUMIFS(tabela_registros[VALOR],tabela_registros[MÊS],$AE$1,tabela_registros[DIA],investiroutrosconsolidadoabr[[#Headers],[10]],tabela_registros[REGISTRO],DADOS!$N$5,tabela_registros[TIPO],DADOS!$AB$5,tabela_registros[CATEGORIA],investiroutrosconsolidadoabr[[#This Row],[ATUAL]])</f>
        <v>0</v>
      </c>
      <c r="O156" s="91">
        <f>SUMIFS(tabela_registros[VALOR],tabela_registros[MÊS],$AE$1,tabela_registros[DIA],investiroutrosconsolidadoabr[[#Headers],[11]],tabela_registros[REGISTRO],DADOS!$N$5,tabela_registros[TIPO],DADOS!$AB$5,tabela_registros[CATEGORIA],investiroutrosconsolidadoabr[[#This Row],[ATUAL]])</f>
        <v>0</v>
      </c>
      <c r="P156" s="91">
        <f>SUMIFS(tabela_registros[VALOR],tabela_registros[MÊS],$AE$1,tabela_registros[DIA],investiroutrosconsolidadoabr[[#Headers],[12]],tabela_registros[REGISTRO],DADOS!$N$5,tabela_registros[TIPO],DADOS!$AB$5,tabela_registros[CATEGORIA],investiroutrosconsolidadoabr[[#This Row],[ATUAL]])</f>
        <v>0</v>
      </c>
      <c r="Q156" s="91">
        <f>SUMIFS(tabela_registros[VALOR],tabela_registros[MÊS],$AE$1,tabela_registros[DIA],investiroutrosconsolidadoabr[[#Headers],[13]],tabela_registros[REGISTRO],DADOS!$N$5,tabela_registros[TIPO],DADOS!$AB$5,tabela_registros[CATEGORIA],investiroutrosconsolidadoabr[[#This Row],[ATUAL]])</f>
        <v>0</v>
      </c>
      <c r="R156" s="91">
        <f>SUMIFS(tabela_registros[VALOR],tabela_registros[MÊS],$AE$1,tabela_registros[DIA],investiroutrosconsolidadoabr[[#Headers],[14]],tabela_registros[REGISTRO],DADOS!$N$5,tabela_registros[TIPO],DADOS!$AB$5,tabela_registros[CATEGORIA],investiroutrosconsolidadoabr[[#This Row],[ATUAL]])</f>
        <v>0</v>
      </c>
      <c r="S156" s="91">
        <f>SUMIFS(tabela_registros[VALOR],tabela_registros[MÊS],$AE$1,tabela_registros[DIA],investiroutrosconsolidadoabr[[#Headers],[15]],tabela_registros[REGISTRO],DADOS!$N$5,tabela_registros[TIPO],DADOS!$AB$5,tabela_registros[CATEGORIA],investiroutrosconsolidadoabr[[#This Row],[ATUAL]])</f>
        <v>0</v>
      </c>
      <c r="T156" s="91">
        <f>SUMIFS(tabela_registros[VALOR],tabela_registros[MÊS],$AE$1,tabela_registros[DIA],investiroutrosconsolidadoabr[[#Headers],[16]],tabela_registros[REGISTRO],DADOS!$N$5,tabela_registros[TIPO],DADOS!$AB$5,tabela_registros[CATEGORIA],investiroutrosconsolidadoabr[[#This Row],[ATUAL]])</f>
        <v>0</v>
      </c>
      <c r="U156" s="91">
        <f>SUMIFS(tabela_registros[VALOR],tabela_registros[MÊS],$AE$1,tabela_registros[DIA],investiroutrosconsolidadoabr[[#Headers],[17]],tabela_registros[REGISTRO],DADOS!$N$5,tabela_registros[TIPO],DADOS!$AB$5,tabela_registros[CATEGORIA],investiroutrosconsolidadoabr[[#This Row],[ATUAL]])</f>
        <v>0</v>
      </c>
      <c r="V156" s="91">
        <f>SUMIFS(tabela_registros[VALOR],tabela_registros[MÊS],$AE$1,tabela_registros[DIA],investiroutrosconsolidadoabr[[#Headers],[18]],tabela_registros[REGISTRO],DADOS!$N$5,tabela_registros[TIPO],DADOS!$AB$5,tabela_registros[CATEGORIA],investiroutrosconsolidadoabr[[#This Row],[ATUAL]])</f>
        <v>0</v>
      </c>
      <c r="W156" s="91">
        <f>SUMIFS(tabela_registros[VALOR],tabela_registros[MÊS],$AE$1,tabela_registros[DIA],investiroutrosconsolidadoabr[[#Headers],[19]],tabela_registros[REGISTRO],DADOS!$N$5,tabela_registros[TIPO],DADOS!$AB$5,tabela_registros[CATEGORIA],investiroutrosconsolidadoabr[[#This Row],[ATUAL]])</f>
        <v>0</v>
      </c>
      <c r="X156" s="91">
        <f>SUMIFS(tabela_registros[VALOR],tabela_registros[MÊS],$AE$1,tabela_registros[DIA],investiroutrosconsolidadoabr[[#Headers],[20]],tabela_registros[REGISTRO],DADOS!$N$5,tabela_registros[TIPO],DADOS!$AB$5,tabela_registros[CATEGORIA],investiroutrosconsolidadoabr[[#This Row],[ATUAL]])</f>
        <v>0</v>
      </c>
      <c r="Y156" s="91">
        <f>SUMIFS(tabela_registros[VALOR],tabela_registros[MÊS],$AE$1,tabela_registros[DIA],investiroutrosconsolidadoabr[[#Headers],[21]],tabela_registros[REGISTRO],DADOS!$N$5,tabela_registros[TIPO],DADOS!$AB$5,tabela_registros[CATEGORIA],investiroutrosconsolidadoabr[[#This Row],[ATUAL]])</f>
        <v>0</v>
      </c>
      <c r="Z156" s="91">
        <f>SUMIFS(tabela_registros[VALOR],tabela_registros[MÊS],$AE$1,tabela_registros[DIA],investiroutrosconsolidadoabr[[#Headers],[22]],tabela_registros[REGISTRO],DADOS!$N$5,tabela_registros[TIPO],DADOS!$AB$5,tabela_registros[CATEGORIA],investiroutrosconsolidadoabr[[#This Row],[ATUAL]])</f>
        <v>0</v>
      </c>
      <c r="AA156" s="91">
        <f>SUMIFS(tabela_registros[VALOR],tabela_registros[MÊS],$AE$1,tabela_registros[DIA],investiroutrosconsolidadoabr[[#Headers],[23]],tabela_registros[REGISTRO],DADOS!$N$5,tabela_registros[TIPO],DADOS!$AB$5,tabela_registros[CATEGORIA],investiroutrosconsolidadoabr[[#This Row],[ATUAL]])</f>
        <v>0</v>
      </c>
      <c r="AB156" s="91">
        <f>SUMIFS(tabela_registros[VALOR],tabela_registros[MÊS],$AE$1,tabela_registros[DIA],investiroutrosconsolidadoabr[[#Headers],[24]],tabela_registros[REGISTRO],DADOS!$N$5,tabela_registros[TIPO],DADOS!$AB$5,tabela_registros[CATEGORIA],investiroutrosconsolidadoabr[[#This Row],[ATUAL]])</f>
        <v>0</v>
      </c>
      <c r="AC156" s="91">
        <f>SUMIFS(tabela_registros[VALOR],tabela_registros[MÊS],$AE$1,tabela_registros[DIA],investiroutrosconsolidadoabr[[#Headers],[25]],tabela_registros[REGISTRO],DADOS!$N$5,tabela_registros[TIPO],DADOS!$AB$5,tabela_registros[CATEGORIA],investiroutrosconsolidadoabr[[#This Row],[ATUAL]])</f>
        <v>0</v>
      </c>
      <c r="AD156" s="91">
        <f>SUMIFS(tabela_registros[VALOR],tabela_registros[MÊS],$AE$1,tabela_registros[DIA],investiroutrosconsolidadoabr[[#Headers],[26]],tabela_registros[REGISTRO],DADOS!$N$5,tabela_registros[TIPO],DADOS!$AB$5,tabela_registros[CATEGORIA],investiroutrosconsolidadoabr[[#This Row],[ATUAL]])</f>
        <v>0</v>
      </c>
      <c r="AE156" s="91">
        <f>SUMIFS(tabela_registros[VALOR],tabela_registros[MÊS],$AE$1,tabela_registros[DIA],investiroutrosconsolidadoabr[[#Headers],[27]],tabela_registros[REGISTRO],DADOS!$N$5,tabela_registros[TIPO],DADOS!$AB$5,tabela_registros[CATEGORIA],investiroutrosconsolidadoabr[[#This Row],[ATUAL]])</f>
        <v>0</v>
      </c>
      <c r="AF156" s="91">
        <f>SUMIFS(tabela_registros[VALOR],tabela_registros[MÊS],$AE$1,tabela_registros[DIA],investiroutrosconsolidadoabr[[#Headers],[28]],tabela_registros[REGISTRO],DADOS!$N$5,tabela_registros[TIPO],DADOS!$AB$5,tabela_registros[CATEGORIA],investiroutrosconsolidadoabr[[#This Row],[ATUAL]])</f>
        <v>0</v>
      </c>
      <c r="AG156" s="91">
        <f>SUMIFS(tabela_registros[VALOR],tabela_registros[MÊS],$AE$1,tabela_registros[DIA],investiroutrosconsolidadoabr[[#Headers],[29]],tabela_registros[REGISTRO],DADOS!$N$5,tabela_registros[TIPO],DADOS!$AB$5,tabela_registros[CATEGORIA],investiroutrosconsolidadoabr[[#This Row],[ATUAL]])</f>
        <v>0</v>
      </c>
      <c r="AH156" s="91">
        <f>SUMIFS(tabela_registros[VALOR],tabela_registros[MÊS],$AE$1,tabela_registros[DIA],investiroutrosconsolidadoabr[[#Headers],[30]],tabela_registros[REGISTRO],DADOS!$N$5,tabela_registros[TIPO],DADOS!$AB$5,tabela_registros[CATEGORIA],investiroutrosconsolidadoabr[[#This Row],[ATUAL]])</f>
        <v>0</v>
      </c>
      <c r="AI156" s="101">
        <f>SUMIFS(tabela_registros[VALOR],tabela_registros[MÊS],$AE$1,tabela_registros[DIA],investiroutrosconsolidadoabr[[#Headers],[31]],tabela_registros[REGISTRO],DADOS!$N$5,tabela_registros[TIPO],DADOS!$AB$5,tabela_registros[CATEGORIA],investiroutrosconsolidadoabr[[#This Row],[ATUAL]])</f>
        <v>0</v>
      </c>
      <c r="AJ156" s="97">
        <f>SUM(investiroutrosconsolidadoabr[[#This Row],[1]:[31]])</f>
        <v>0</v>
      </c>
      <c r="AK156" s="25"/>
    </row>
    <row r="157" spans="2:37" ht="19.5" customHeight="1" thickTop="1" thickBot="1" x14ac:dyDescent="0.3">
      <c r="B157" s="28"/>
      <c r="C157" s="27" t="str">
        <f>DADOS!$AH$9</f>
        <v>📝 PREVIDÊNCIA PRIVADA</v>
      </c>
      <c r="D157" s="26" t="str">
        <f>IF(investiroutrosconsolidadoabr[[#This Row],[TOTAL (R$)]]=0,"",IF(OR(investiroutrosconsolidadoabr[[#This Row],[TOTAL (R$)]]=LARGE($AJ$151:$AJ$158,1),investiroutrosconsolidadoabr[[#This Row],[TOTAL (R$)]]=LARGE($AJ$151:$AJ$158,2)),DADOS!$I$10,""))</f>
        <v/>
      </c>
      <c r="E157" s="96">
        <f>SUMIFS(tabela_registros[VALOR],tabela_registros[MÊS],$AE$1,tabela_registros[DIA],investiroutrosconsolidadoabr[[#Headers],[1]],tabela_registros[REGISTRO],DADOS!$N$5,tabela_registros[TIPO],DADOS!$AB$5,tabela_registros[CATEGORIA],investiroutrosconsolidadoabr[[#This Row],[ATUAL]])</f>
        <v>0</v>
      </c>
      <c r="F157" s="91">
        <f>SUMIFS(tabela_registros[VALOR],tabela_registros[MÊS],$AE$1,tabela_registros[DIA],investiroutrosconsolidadoabr[[#Headers],[2]],tabela_registros[REGISTRO],DADOS!$N$5,tabela_registros[TIPO],DADOS!$AB$5,tabela_registros[CATEGORIA],investiroutrosconsolidadoabr[[#This Row],[ATUAL]])</f>
        <v>0</v>
      </c>
      <c r="G157" s="91">
        <f>SUMIFS(tabela_registros[VALOR],tabela_registros[MÊS],$AE$1,tabela_registros[DIA],investiroutrosconsolidadoabr[[#Headers],[3]],tabela_registros[REGISTRO],DADOS!$N$5,tabela_registros[TIPO],DADOS!$AB$5,tabela_registros[CATEGORIA],investiroutrosconsolidadoabr[[#This Row],[ATUAL]])</f>
        <v>0</v>
      </c>
      <c r="H157" s="91">
        <f>SUMIFS(tabela_registros[VALOR],tabela_registros[MÊS],$AE$1,tabela_registros[DIA],investiroutrosconsolidadoabr[[#Headers],[4]],tabela_registros[REGISTRO],DADOS!$N$5,tabela_registros[TIPO],DADOS!$AB$5,tabela_registros[CATEGORIA],investiroutrosconsolidadoabr[[#This Row],[ATUAL]])</f>
        <v>0</v>
      </c>
      <c r="I157" s="91">
        <f>SUMIFS(tabela_registros[VALOR],tabela_registros[MÊS],$AE$1,tabela_registros[DIA],investiroutrosconsolidadoabr[[#Headers],[5]],tabela_registros[REGISTRO],DADOS!$N$5,tabela_registros[TIPO],DADOS!$AB$5,tabela_registros[CATEGORIA],investiroutrosconsolidadoabr[[#This Row],[ATUAL]])</f>
        <v>0</v>
      </c>
      <c r="J157" s="91">
        <f>SUMIFS(tabela_registros[VALOR],tabela_registros[MÊS],$AE$1,tabela_registros[DIA],investiroutrosconsolidadoabr[[#Headers],[6]],tabela_registros[REGISTRO],DADOS!$N$5,tabela_registros[TIPO],DADOS!$AB$5,tabela_registros[CATEGORIA],investiroutrosconsolidadoabr[[#This Row],[ATUAL]])</f>
        <v>0</v>
      </c>
      <c r="K157" s="91">
        <f>SUMIFS(tabela_registros[VALOR],tabela_registros[MÊS],$AE$1,tabela_registros[DIA],investiroutrosconsolidadoabr[[#Headers],[7]],tabela_registros[REGISTRO],DADOS!$N$5,tabela_registros[TIPO],DADOS!$AB$5,tabela_registros[CATEGORIA],investiroutrosconsolidadoabr[[#This Row],[ATUAL]])</f>
        <v>0</v>
      </c>
      <c r="L157" s="91">
        <f>SUMIFS(tabela_registros[VALOR],tabela_registros[MÊS],$AE$1,tabela_registros[DIA],investiroutrosconsolidadoabr[[#Headers],[8]],tabela_registros[REGISTRO],DADOS!$N$5,tabela_registros[TIPO],DADOS!$AB$5,tabela_registros[CATEGORIA],investiroutrosconsolidadoabr[[#This Row],[ATUAL]])</f>
        <v>0</v>
      </c>
      <c r="M157" s="91">
        <f>SUMIFS(tabela_registros[VALOR],tabela_registros[MÊS],$AE$1,tabela_registros[DIA],investiroutrosconsolidadoabr[[#Headers],[9]],tabela_registros[REGISTRO],DADOS!$N$5,tabela_registros[TIPO],DADOS!$AB$5,tabela_registros[CATEGORIA],investiroutrosconsolidadoabr[[#This Row],[ATUAL]])</f>
        <v>0</v>
      </c>
      <c r="N157" s="91">
        <f>SUMIFS(tabela_registros[VALOR],tabela_registros[MÊS],$AE$1,tabela_registros[DIA],investiroutrosconsolidadoabr[[#Headers],[10]],tabela_registros[REGISTRO],DADOS!$N$5,tabela_registros[TIPO],DADOS!$AB$5,tabela_registros[CATEGORIA],investiroutrosconsolidadoabr[[#This Row],[ATUAL]])</f>
        <v>0</v>
      </c>
      <c r="O157" s="91">
        <f>SUMIFS(tabela_registros[VALOR],tabela_registros[MÊS],$AE$1,tabela_registros[DIA],investiroutrosconsolidadoabr[[#Headers],[11]],tabela_registros[REGISTRO],DADOS!$N$5,tabela_registros[TIPO],DADOS!$AB$5,tabela_registros[CATEGORIA],investiroutrosconsolidadoabr[[#This Row],[ATUAL]])</f>
        <v>0</v>
      </c>
      <c r="P157" s="91">
        <f>SUMIFS(tabela_registros[VALOR],tabela_registros[MÊS],$AE$1,tabela_registros[DIA],investiroutrosconsolidadoabr[[#Headers],[12]],tabela_registros[REGISTRO],DADOS!$N$5,tabela_registros[TIPO],DADOS!$AB$5,tabela_registros[CATEGORIA],investiroutrosconsolidadoabr[[#This Row],[ATUAL]])</f>
        <v>0</v>
      </c>
      <c r="Q157" s="91">
        <f>SUMIFS(tabela_registros[VALOR],tabela_registros[MÊS],$AE$1,tabela_registros[DIA],investiroutrosconsolidadoabr[[#Headers],[13]],tabela_registros[REGISTRO],DADOS!$N$5,tabela_registros[TIPO],DADOS!$AB$5,tabela_registros[CATEGORIA],investiroutrosconsolidadoabr[[#This Row],[ATUAL]])</f>
        <v>0</v>
      </c>
      <c r="R157" s="91">
        <f>SUMIFS(tabela_registros[VALOR],tabela_registros[MÊS],$AE$1,tabela_registros[DIA],investiroutrosconsolidadoabr[[#Headers],[14]],tabela_registros[REGISTRO],DADOS!$N$5,tabela_registros[TIPO],DADOS!$AB$5,tabela_registros[CATEGORIA],investiroutrosconsolidadoabr[[#This Row],[ATUAL]])</f>
        <v>0</v>
      </c>
      <c r="S157" s="91">
        <f>SUMIFS(tabela_registros[VALOR],tabela_registros[MÊS],$AE$1,tabela_registros[DIA],investiroutrosconsolidadoabr[[#Headers],[15]],tabela_registros[REGISTRO],DADOS!$N$5,tabela_registros[TIPO],DADOS!$AB$5,tabela_registros[CATEGORIA],investiroutrosconsolidadoabr[[#This Row],[ATUAL]])</f>
        <v>0</v>
      </c>
      <c r="T157" s="91">
        <f>SUMIFS(tabela_registros[VALOR],tabela_registros[MÊS],$AE$1,tabela_registros[DIA],investiroutrosconsolidadoabr[[#Headers],[16]],tabela_registros[REGISTRO],DADOS!$N$5,tabela_registros[TIPO],DADOS!$AB$5,tabela_registros[CATEGORIA],investiroutrosconsolidadoabr[[#This Row],[ATUAL]])</f>
        <v>0</v>
      </c>
      <c r="U157" s="91">
        <f>SUMIFS(tabela_registros[VALOR],tabela_registros[MÊS],$AE$1,tabela_registros[DIA],investiroutrosconsolidadoabr[[#Headers],[17]],tabela_registros[REGISTRO],DADOS!$N$5,tabela_registros[TIPO],DADOS!$AB$5,tabela_registros[CATEGORIA],investiroutrosconsolidadoabr[[#This Row],[ATUAL]])</f>
        <v>0</v>
      </c>
      <c r="V157" s="91">
        <f>SUMIFS(tabela_registros[VALOR],tabela_registros[MÊS],$AE$1,tabela_registros[DIA],investiroutrosconsolidadoabr[[#Headers],[18]],tabela_registros[REGISTRO],DADOS!$N$5,tabela_registros[TIPO],DADOS!$AB$5,tabela_registros[CATEGORIA],investiroutrosconsolidadoabr[[#This Row],[ATUAL]])</f>
        <v>0</v>
      </c>
      <c r="W157" s="91">
        <f>SUMIFS(tabela_registros[VALOR],tabela_registros[MÊS],$AE$1,tabela_registros[DIA],investiroutrosconsolidadoabr[[#Headers],[19]],tabela_registros[REGISTRO],DADOS!$N$5,tabela_registros[TIPO],DADOS!$AB$5,tabela_registros[CATEGORIA],investiroutrosconsolidadoabr[[#This Row],[ATUAL]])</f>
        <v>0</v>
      </c>
      <c r="X157" s="91">
        <f>SUMIFS(tabela_registros[VALOR],tabela_registros[MÊS],$AE$1,tabela_registros[DIA],investiroutrosconsolidadoabr[[#Headers],[20]],tabela_registros[REGISTRO],DADOS!$N$5,tabela_registros[TIPO],DADOS!$AB$5,tabela_registros[CATEGORIA],investiroutrosconsolidadoabr[[#This Row],[ATUAL]])</f>
        <v>0</v>
      </c>
      <c r="Y157" s="91">
        <f>SUMIFS(tabela_registros[VALOR],tabela_registros[MÊS],$AE$1,tabela_registros[DIA],investiroutrosconsolidadoabr[[#Headers],[21]],tabela_registros[REGISTRO],DADOS!$N$5,tabela_registros[TIPO],DADOS!$AB$5,tabela_registros[CATEGORIA],investiroutrosconsolidadoabr[[#This Row],[ATUAL]])</f>
        <v>0</v>
      </c>
      <c r="Z157" s="91">
        <f>SUMIFS(tabela_registros[VALOR],tabela_registros[MÊS],$AE$1,tabela_registros[DIA],investiroutrosconsolidadoabr[[#Headers],[22]],tabela_registros[REGISTRO],DADOS!$N$5,tabela_registros[TIPO],DADOS!$AB$5,tabela_registros[CATEGORIA],investiroutrosconsolidadoabr[[#This Row],[ATUAL]])</f>
        <v>0</v>
      </c>
      <c r="AA157" s="91">
        <f>SUMIFS(tabela_registros[VALOR],tabela_registros[MÊS],$AE$1,tabela_registros[DIA],investiroutrosconsolidadoabr[[#Headers],[23]],tabela_registros[REGISTRO],DADOS!$N$5,tabela_registros[TIPO],DADOS!$AB$5,tabela_registros[CATEGORIA],investiroutrosconsolidadoabr[[#This Row],[ATUAL]])</f>
        <v>0</v>
      </c>
      <c r="AB157" s="91">
        <f>SUMIFS(tabela_registros[VALOR],tabela_registros[MÊS],$AE$1,tabela_registros[DIA],investiroutrosconsolidadoabr[[#Headers],[24]],tabela_registros[REGISTRO],DADOS!$N$5,tabela_registros[TIPO],DADOS!$AB$5,tabela_registros[CATEGORIA],investiroutrosconsolidadoabr[[#This Row],[ATUAL]])</f>
        <v>0</v>
      </c>
      <c r="AC157" s="91">
        <f>SUMIFS(tabela_registros[VALOR],tabela_registros[MÊS],$AE$1,tabela_registros[DIA],investiroutrosconsolidadoabr[[#Headers],[25]],tabela_registros[REGISTRO],DADOS!$N$5,tabela_registros[TIPO],DADOS!$AB$5,tabela_registros[CATEGORIA],investiroutrosconsolidadoabr[[#This Row],[ATUAL]])</f>
        <v>0</v>
      </c>
      <c r="AD157" s="91">
        <f>SUMIFS(tabela_registros[VALOR],tabela_registros[MÊS],$AE$1,tabela_registros[DIA],investiroutrosconsolidadoabr[[#Headers],[26]],tabela_registros[REGISTRO],DADOS!$N$5,tabela_registros[TIPO],DADOS!$AB$5,tabela_registros[CATEGORIA],investiroutrosconsolidadoabr[[#This Row],[ATUAL]])</f>
        <v>0</v>
      </c>
      <c r="AE157" s="91">
        <f>SUMIFS(tabela_registros[VALOR],tabela_registros[MÊS],$AE$1,tabela_registros[DIA],investiroutrosconsolidadoabr[[#Headers],[27]],tabela_registros[REGISTRO],DADOS!$N$5,tabela_registros[TIPO],DADOS!$AB$5,tabela_registros[CATEGORIA],investiroutrosconsolidadoabr[[#This Row],[ATUAL]])</f>
        <v>0</v>
      </c>
      <c r="AF157" s="91">
        <f>SUMIFS(tabela_registros[VALOR],tabela_registros[MÊS],$AE$1,tabela_registros[DIA],investiroutrosconsolidadoabr[[#Headers],[28]],tabela_registros[REGISTRO],DADOS!$N$5,tabela_registros[TIPO],DADOS!$AB$5,tabela_registros[CATEGORIA],investiroutrosconsolidadoabr[[#This Row],[ATUAL]])</f>
        <v>0</v>
      </c>
      <c r="AG157" s="91">
        <f>SUMIFS(tabela_registros[VALOR],tabela_registros[MÊS],$AE$1,tabela_registros[DIA],investiroutrosconsolidadoabr[[#Headers],[29]],tabela_registros[REGISTRO],DADOS!$N$5,tabela_registros[TIPO],DADOS!$AB$5,tabela_registros[CATEGORIA],investiroutrosconsolidadoabr[[#This Row],[ATUAL]])</f>
        <v>0</v>
      </c>
      <c r="AH157" s="91">
        <f>SUMIFS(tabela_registros[VALOR],tabela_registros[MÊS],$AE$1,tabela_registros[DIA],investiroutrosconsolidadoabr[[#Headers],[30]],tabela_registros[REGISTRO],DADOS!$N$5,tabela_registros[TIPO],DADOS!$AB$5,tabela_registros[CATEGORIA],investiroutrosconsolidadoabr[[#This Row],[ATUAL]])</f>
        <v>0</v>
      </c>
      <c r="AI157" s="101">
        <f>SUMIFS(tabela_registros[VALOR],tabela_registros[MÊS],$AE$1,tabela_registros[DIA],investiroutrosconsolidadoabr[[#Headers],[31]],tabela_registros[REGISTRO],DADOS!$N$5,tabela_registros[TIPO],DADOS!$AB$5,tabela_registros[CATEGORIA],investiroutrosconsolidadoabr[[#This Row],[ATUAL]])</f>
        <v>0</v>
      </c>
      <c r="AJ157" s="97">
        <f>SUM(investiroutrosconsolidadoabr[[#This Row],[1]:[31]])</f>
        <v>0</v>
      </c>
      <c r="AK157" s="25"/>
    </row>
    <row r="158" spans="2:37" ht="19.5" customHeight="1" thickTop="1" thickBot="1" x14ac:dyDescent="0.3">
      <c r="B158" s="28"/>
      <c r="C158" s="27" t="str">
        <f>DADOS!$AH$10</f>
        <v>📎 OUTROS</v>
      </c>
      <c r="D158" s="26" t="str">
        <f>IF(investiroutrosconsolidadoabr[[#This Row],[TOTAL (R$)]]=0,"",IF(OR(investiroutrosconsolidadoabr[[#This Row],[TOTAL (R$)]]=LARGE($AJ$151:$AJ$158,1),investiroutrosconsolidadoabr[[#This Row],[TOTAL (R$)]]=LARGE($AJ$151:$AJ$158,2)),DADOS!$I$10,""))</f>
        <v/>
      </c>
      <c r="E158" s="96">
        <f>SUMIFS(tabela_registros[VALOR],tabela_registros[MÊS],$AE$1,tabela_registros[DIA],investiroutrosconsolidadoabr[[#Headers],[1]],tabela_registros[REGISTRO],DADOS!$N$5,tabela_registros[TIPO],DADOS!$AB$5,tabela_registros[CATEGORIA],investiroutrosconsolidadoabr[[#This Row],[ATUAL]])</f>
        <v>0</v>
      </c>
      <c r="F158" s="91">
        <f>SUMIFS(tabela_registros[VALOR],tabela_registros[MÊS],$AE$1,tabela_registros[DIA],investiroutrosconsolidadoabr[[#Headers],[2]],tabela_registros[REGISTRO],DADOS!$N$5,tabela_registros[TIPO],DADOS!$AB$5,tabela_registros[CATEGORIA],investiroutrosconsolidadoabr[[#This Row],[ATUAL]])</f>
        <v>0</v>
      </c>
      <c r="G158" s="91">
        <f>SUMIFS(tabela_registros[VALOR],tabela_registros[MÊS],$AE$1,tabela_registros[DIA],investiroutrosconsolidadoabr[[#Headers],[3]],tabela_registros[REGISTRO],DADOS!$N$5,tabela_registros[TIPO],DADOS!$AB$5,tabela_registros[CATEGORIA],investiroutrosconsolidadoabr[[#This Row],[ATUAL]])</f>
        <v>0</v>
      </c>
      <c r="H158" s="91">
        <f>SUMIFS(tabela_registros[VALOR],tabela_registros[MÊS],$AE$1,tabela_registros[DIA],investiroutrosconsolidadoabr[[#Headers],[4]],tabela_registros[REGISTRO],DADOS!$N$5,tabela_registros[TIPO],DADOS!$AB$5,tabela_registros[CATEGORIA],investiroutrosconsolidadoabr[[#This Row],[ATUAL]])</f>
        <v>0</v>
      </c>
      <c r="I158" s="91">
        <f>SUMIFS(tabela_registros[VALOR],tabela_registros[MÊS],$AE$1,tabela_registros[DIA],investiroutrosconsolidadoabr[[#Headers],[5]],tabela_registros[REGISTRO],DADOS!$N$5,tabela_registros[TIPO],DADOS!$AB$5,tabela_registros[CATEGORIA],investiroutrosconsolidadoabr[[#This Row],[ATUAL]])</f>
        <v>0</v>
      </c>
      <c r="J158" s="91">
        <f>SUMIFS(tabela_registros[VALOR],tabela_registros[MÊS],$AE$1,tabela_registros[DIA],investiroutrosconsolidadoabr[[#Headers],[6]],tabela_registros[REGISTRO],DADOS!$N$5,tabela_registros[TIPO],DADOS!$AB$5,tabela_registros[CATEGORIA],investiroutrosconsolidadoabr[[#This Row],[ATUAL]])</f>
        <v>0</v>
      </c>
      <c r="K158" s="91">
        <f>SUMIFS(tabela_registros[VALOR],tabela_registros[MÊS],$AE$1,tabela_registros[DIA],investiroutrosconsolidadoabr[[#Headers],[7]],tabela_registros[REGISTRO],DADOS!$N$5,tabela_registros[TIPO],DADOS!$AB$5,tabela_registros[CATEGORIA],investiroutrosconsolidadoabr[[#This Row],[ATUAL]])</f>
        <v>0</v>
      </c>
      <c r="L158" s="91">
        <f>SUMIFS(tabela_registros[VALOR],tabela_registros[MÊS],$AE$1,tabela_registros[DIA],investiroutrosconsolidadoabr[[#Headers],[8]],tabela_registros[REGISTRO],DADOS!$N$5,tabela_registros[TIPO],DADOS!$AB$5,tabela_registros[CATEGORIA],investiroutrosconsolidadoabr[[#This Row],[ATUAL]])</f>
        <v>0</v>
      </c>
      <c r="M158" s="91">
        <f>SUMIFS(tabela_registros[VALOR],tabela_registros[MÊS],$AE$1,tabela_registros[DIA],investiroutrosconsolidadoabr[[#Headers],[9]],tabela_registros[REGISTRO],DADOS!$N$5,tabela_registros[TIPO],DADOS!$AB$5,tabela_registros[CATEGORIA],investiroutrosconsolidadoabr[[#This Row],[ATUAL]])</f>
        <v>0</v>
      </c>
      <c r="N158" s="91">
        <f>SUMIFS(tabela_registros[VALOR],tabela_registros[MÊS],$AE$1,tabela_registros[DIA],investiroutrosconsolidadoabr[[#Headers],[10]],tabela_registros[REGISTRO],DADOS!$N$5,tabela_registros[TIPO],DADOS!$AB$5,tabela_registros[CATEGORIA],investiroutrosconsolidadoabr[[#This Row],[ATUAL]])</f>
        <v>0</v>
      </c>
      <c r="O158" s="91">
        <f>SUMIFS(tabela_registros[VALOR],tabela_registros[MÊS],$AE$1,tabela_registros[DIA],investiroutrosconsolidadoabr[[#Headers],[11]],tabela_registros[REGISTRO],DADOS!$N$5,tabela_registros[TIPO],DADOS!$AB$5,tabela_registros[CATEGORIA],investiroutrosconsolidadoabr[[#This Row],[ATUAL]])</f>
        <v>0</v>
      </c>
      <c r="P158" s="91">
        <f>SUMIFS(tabela_registros[VALOR],tabela_registros[MÊS],$AE$1,tabela_registros[DIA],investiroutrosconsolidadoabr[[#Headers],[12]],tabela_registros[REGISTRO],DADOS!$N$5,tabela_registros[TIPO],DADOS!$AB$5,tabela_registros[CATEGORIA],investiroutrosconsolidadoabr[[#This Row],[ATUAL]])</f>
        <v>0</v>
      </c>
      <c r="Q158" s="91">
        <f>SUMIFS(tabela_registros[VALOR],tabela_registros[MÊS],$AE$1,tabela_registros[DIA],investiroutrosconsolidadoabr[[#Headers],[13]],tabela_registros[REGISTRO],DADOS!$N$5,tabela_registros[TIPO],DADOS!$AB$5,tabela_registros[CATEGORIA],investiroutrosconsolidadoabr[[#This Row],[ATUAL]])</f>
        <v>0</v>
      </c>
      <c r="R158" s="91">
        <f>SUMIFS(tabela_registros[VALOR],tabela_registros[MÊS],$AE$1,tabela_registros[DIA],investiroutrosconsolidadoabr[[#Headers],[14]],tabela_registros[REGISTRO],DADOS!$N$5,tabela_registros[TIPO],DADOS!$AB$5,tabela_registros[CATEGORIA],investiroutrosconsolidadoabr[[#This Row],[ATUAL]])</f>
        <v>0</v>
      </c>
      <c r="S158" s="91">
        <f>SUMIFS(tabela_registros[VALOR],tabela_registros[MÊS],$AE$1,tabela_registros[DIA],investiroutrosconsolidadoabr[[#Headers],[15]],tabela_registros[REGISTRO],DADOS!$N$5,tabela_registros[TIPO],DADOS!$AB$5,tabela_registros[CATEGORIA],investiroutrosconsolidadoabr[[#This Row],[ATUAL]])</f>
        <v>0</v>
      </c>
      <c r="T158" s="91">
        <f>SUMIFS(tabela_registros[VALOR],tabela_registros[MÊS],$AE$1,tabela_registros[DIA],investiroutrosconsolidadoabr[[#Headers],[16]],tabela_registros[REGISTRO],DADOS!$N$5,tabela_registros[TIPO],DADOS!$AB$5,tabela_registros[CATEGORIA],investiroutrosconsolidadoabr[[#This Row],[ATUAL]])</f>
        <v>0</v>
      </c>
      <c r="U158" s="91">
        <f>SUMIFS(tabela_registros[VALOR],tabela_registros[MÊS],$AE$1,tabela_registros[DIA],investiroutrosconsolidadoabr[[#Headers],[17]],tabela_registros[REGISTRO],DADOS!$N$5,tabela_registros[TIPO],DADOS!$AB$5,tabela_registros[CATEGORIA],investiroutrosconsolidadoabr[[#This Row],[ATUAL]])</f>
        <v>0</v>
      </c>
      <c r="V158" s="91">
        <f>SUMIFS(tabela_registros[VALOR],tabela_registros[MÊS],$AE$1,tabela_registros[DIA],investiroutrosconsolidadoabr[[#Headers],[18]],tabela_registros[REGISTRO],DADOS!$N$5,tabela_registros[TIPO],DADOS!$AB$5,tabela_registros[CATEGORIA],investiroutrosconsolidadoabr[[#This Row],[ATUAL]])</f>
        <v>0</v>
      </c>
      <c r="W158" s="91">
        <f>SUMIFS(tabela_registros[VALOR],tabela_registros[MÊS],$AE$1,tabela_registros[DIA],investiroutrosconsolidadoabr[[#Headers],[19]],tabela_registros[REGISTRO],DADOS!$N$5,tabela_registros[TIPO],DADOS!$AB$5,tabela_registros[CATEGORIA],investiroutrosconsolidadoabr[[#This Row],[ATUAL]])</f>
        <v>0</v>
      </c>
      <c r="X158" s="91">
        <f>SUMIFS(tabela_registros[VALOR],tabela_registros[MÊS],$AE$1,tabela_registros[DIA],investiroutrosconsolidadoabr[[#Headers],[20]],tabela_registros[REGISTRO],DADOS!$N$5,tabela_registros[TIPO],DADOS!$AB$5,tabela_registros[CATEGORIA],investiroutrosconsolidadoabr[[#This Row],[ATUAL]])</f>
        <v>0</v>
      </c>
      <c r="Y158" s="91">
        <f>SUMIFS(tabela_registros[VALOR],tabela_registros[MÊS],$AE$1,tabela_registros[DIA],investiroutrosconsolidadoabr[[#Headers],[21]],tabela_registros[REGISTRO],DADOS!$N$5,tabela_registros[TIPO],DADOS!$AB$5,tabela_registros[CATEGORIA],investiroutrosconsolidadoabr[[#This Row],[ATUAL]])</f>
        <v>0</v>
      </c>
      <c r="Z158" s="91">
        <f>SUMIFS(tabela_registros[VALOR],tabela_registros[MÊS],$AE$1,tabela_registros[DIA],investiroutrosconsolidadoabr[[#Headers],[22]],tabela_registros[REGISTRO],DADOS!$N$5,tabela_registros[TIPO],DADOS!$AB$5,tabela_registros[CATEGORIA],investiroutrosconsolidadoabr[[#This Row],[ATUAL]])</f>
        <v>0</v>
      </c>
      <c r="AA158" s="91">
        <f>SUMIFS(tabela_registros[VALOR],tabela_registros[MÊS],$AE$1,tabela_registros[DIA],investiroutrosconsolidadoabr[[#Headers],[23]],tabela_registros[REGISTRO],DADOS!$N$5,tabela_registros[TIPO],DADOS!$AB$5,tabela_registros[CATEGORIA],investiroutrosconsolidadoabr[[#This Row],[ATUAL]])</f>
        <v>0</v>
      </c>
      <c r="AB158" s="91">
        <f>SUMIFS(tabela_registros[VALOR],tabela_registros[MÊS],$AE$1,tabela_registros[DIA],investiroutrosconsolidadoabr[[#Headers],[24]],tabela_registros[REGISTRO],DADOS!$N$5,tabela_registros[TIPO],DADOS!$AB$5,tabela_registros[CATEGORIA],investiroutrosconsolidadoabr[[#This Row],[ATUAL]])</f>
        <v>0</v>
      </c>
      <c r="AC158" s="91">
        <f>SUMIFS(tabela_registros[VALOR],tabela_registros[MÊS],$AE$1,tabela_registros[DIA],investiroutrosconsolidadoabr[[#Headers],[25]],tabela_registros[REGISTRO],DADOS!$N$5,tabela_registros[TIPO],DADOS!$AB$5,tabela_registros[CATEGORIA],investiroutrosconsolidadoabr[[#This Row],[ATUAL]])</f>
        <v>0</v>
      </c>
      <c r="AD158" s="91">
        <f>SUMIFS(tabela_registros[VALOR],tabela_registros[MÊS],$AE$1,tabela_registros[DIA],investiroutrosconsolidadoabr[[#Headers],[26]],tabela_registros[REGISTRO],DADOS!$N$5,tabela_registros[TIPO],DADOS!$AB$5,tabela_registros[CATEGORIA],investiroutrosconsolidadoabr[[#This Row],[ATUAL]])</f>
        <v>0</v>
      </c>
      <c r="AE158" s="91">
        <f>SUMIFS(tabela_registros[VALOR],tabela_registros[MÊS],$AE$1,tabela_registros[DIA],investiroutrosconsolidadoabr[[#Headers],[27]],tabela_registros[REGISTRO],DADOS!$N$5,tabela_registros[TIPO],DADOS!$AB$5,tabela_registros[CATEGORIA],investiroutrosconsolidadoabr[[#This Row],[ATUAL]])</f>
        <v>0</v>
      </c>
      <c r="AF158" s="91">
        <f>SUMIFS(tabela_registros[VALOR],tabela_registros[MÊS],$AE$1,tabela_registros[DIA],investiroutrosconsolidadoabr[[#Headers],[28]],tabela_registros[REGISTRO],DADOS!$N$5,tabela_registros[TIPO],DADOS!$AB$5,tabela_registros[CATEGORIA],investiroutrosconsolidadoabr[[#This Row],[ATUAL]])</f>
        <v>0</v>
      </c>
      <c r="AG158" s="91">
        <f>SUMIFS(tabela_registros[VALOR],tabela_registros[MÊS],$AE$1,tabela_registros[DIA],investiroutrosconsolidadoabr[[#Headers],[29]],tabela_registros[REGISTRO],DADOS!$N$5,tabela_registros[TIPO],DADOS!$AB$5,tabela_registros[CATEGORIA],investiroutrosconsolidadoabr[[#This Row],[ATUAL]])</f>
        <v>0</v>
      </c>
      <c r="AH158" s="91">
        <f>SUMIFS(tabela_registros[VALOR],tabela_registros[MÊS],$AE$1,tabela_registros[DIA],investiroutrosconsolidadoabr[[#Headers],[30]],tabela_registros[REGISTRO],DADOS!$N$5,tabela_registros[TIPO],DADOS!$AB$5,tabela_registros[CATEGORIA],investiroutrosconsolidadoabr[[#This Row],[ATUAL]])</f>
        <v>0</v>
      </c>
      <c r="AI158" s="102">
        <f>SUMIFS(tabela_registros[VALOR],tabela_registros[MÊS],$AE$1,tabela_registros[DIA],investiroutrosconsolidadoabr[[#Headers],[31]],tabela_registros[REGISTRO],DADOS!$N$5,tabela_registros[TIPO],DADOS!$AB$5,tabela_registros[CATEGORIA],investiroutrosconsolidadoabr[[#This Row],[ATUAL]])</f>
        <v>0</v>
      </c>
      <c r="AJ158" s="97">
        <f>SUM(investiroutrosconsolidadoabr[[#This Row],[1]:[31]])</f>
        <v>0</v>
      </c>
      <c r="AK158" s="25"/>
    </row>
    <row r="159" spans="2:37" s="16" customFormat="1" ht="21" customHeight="1" thickTop="1" thickBot="1" x14ac:dyDescent="0.35">
      <c r="B159" s="24"/>
      <c r="C159" s="23" t="s">
        <v>19</v>
      </c>
      <c r="D159" s="22"/>
      <c r="E159" s="21">
        <f>SUM(E151:E158)</f>
        <v>0</v>
      </c>
      <c r="F159" s="20">
        <f>SUM(F151:F158)+investiroutrosconsolidadoabr[[#This Row],[1]]</f>
        <v>0</v>
      </c>
      <c r="G159" s="20">
        <f>SUM(G151:G158)+investiroutrosconsolidadoabr[[#This Row],[2]]</f>
        <v>0</v>
      </c>
      <c r="H159" s="20">
        <f>SUM(H151:H158)+investiroutrosconsolidadoabr[[#This Row],[3]]</f>
        <v>0</v>
      </c>
      <c r="I159" s="20">
        <f>SUM(I151:I158)+investiroutrosconsolidadoabr[[#This Row],[4]]</f>
        <v>0</v>
      </c>
      <c r="J159" s="20">
        <f>SUM(J151:J158)+investiroutrosconsolidadoabr[[#This Row],[5]]</f>
        <v>0</v>
      </c>
      <c r="K159" s="20">
        <f>SUM(K151:K158)+investiroutrosconsolidadoabr[[#This Row],[6]]</f>
        <v>0</v>
      </c>
      <c r="L159" s="20">
        <f>SUM(L151:L158)+investiroutrosconsolidadoabr[[#This Row],[7]]</f>
        <v>0</v>
      </c>
      <c r="M159" s="20">
        <f>SUM(M151:M158)+investiroutrosconsolidadoabr[[#This Row],[8]]</f>
        <v>0</v>
      </c>
      <c r="N159" s="20">
        <f>SUM(N151:N158)+investiroutrosconsolidadoabr[[#This Row],[9]]</f>
        <v>0</v>
      </c>
      <c r="O159" s="20">
        <f>SUM(O151:O158)+investiroutrosconsolidadoabr[[#This Row],[10]]</f>
        <v>0</v>
      </c>
      <c r="P159" s="20">
        <f>SUM(P151:P158)+investiroutrosconsolidadoabr[[#This Row],[11]]</f>
        <v>0</v>
      </c>
      <c r="Q159" s="20">
        <f>SUM(Q151:Q158)+investiroutrosconsolidadoabr[[#This Row],[12]]</f>
        <v>0</v>
      </c>
      <c r="R159" s="20">
        <f>SUM(R151:R158)+investiroutrosconsolidadoabr[[#This Row],[13]]</f>
        <v>0</v>
      </c>
      <c r="S159" s="20">
        <f>SUM(S151:S158)+investiroutrosconsolidadoabr[[#This Row],[14]]</f>
        <v>0</v>
      </c>
      <c r="T159" s="20">
        <f>SUM(T151:T158)+investiroutrosconsolidadoabr[[#This Row],[15]]</f>
        <v>0</v>
      </c>
      <c r="U159" s="20">
        <f>SUM(U151:U158)+investiroutrosconsolidadoabr[[#This Row],[16]]</f>
        <v>0</v>
      </c>
      <c r="V159" s="20">
        <f>SUM(V151:V158)+investiroutrosconsolidadoabr[[#This Row],[17]]</f>
        <v>0</v>
      </c>
      <c r="W159" s="20">
        <f>SUM(W151:W158)+investiroutrosconsolidadoabr[[#This Row],[18]]</f>
        <v>0</v>
      </c>
      <c r="X159" s="20">
        <f>SUM(X151:X158)+investiroutrosconsolidadoabr[[#This Row],[19]]</f>
        <v>0</v>
      </c>
      <c r="Y159" s="20">
        <f>SUM(Y151:Y158)+investiroutrosconsolidadoabr[[#This Row],[20]]</f>
        <v>0</v>
      </c>
      <c r="Z159" s="20">
        <f>SUM(Z151:Z158)+investiroutrosconsolidadoabr[[#This Row],[21]]</f>
        <v>0</v>
      </c>
      <c r="AA159" s="20">
        <f>SUM(AA151:AA158)+investiroutrosconsolidadoabr[[#This Row],[22]]</f>
        <v>0</v>
      </c>
      <c r="AB159" s="20">
        <f>SUM(AB151:AB158)+investiroutrosconsolidadoabr[[#This Row],[23]]</f>
        <v>0</v>
      </c>
      <c r="AC159" s="20">
        <f>SUM(AC151:AC158)+investiroutrosconsolidadoabr[[#This Row],[24]]</f>
        <v>0</v>
      </c>
      <c r="AD159" s="20">
        <f>SUM(AD151:AD158)+investiroutrosconsolidadoabr[[#This Row],[25]]</f>
        <v>0</v>
      </c>
      <c r="AE159" s="20">
        <f>SUM(AE151:AE158)+investiroutrosconsolidadoabr[[#This Row],[26]]</f>
        <v>0</v>
      </c>
      <c r="AF159" s="20">
        <f>SUM(AF151:AF158)+investiroutrosconsolidadoabr[[#This Row],[27]]</f>
        <v>0</v>
      </c>
      <c r="AG159" s="20">
        <f>SUM(AG151:AG158)+investiroutrosconsolidadoabr[[#This Row],[28]]</f>
        <v>0</v>
      </c>
      <c r="AH159" s="20">
        <f>SUM(AH151:AH158)+investiroutrosconsolidadoabr[[#This Row],[29]]</f>
        <v>0</v>
      </c>
      <c r="AI159" s="19">
        <f>SUM(AI151:AI158)+investiroutrosconsolidadoabr[[#This Row],[30]]</f>
        <v>0</v>
      </c>
      <c r="AJ159" s="18">
        <f>investiroutrosconsolidadoabr[[#This Row],[31]]</f>
        <v>0</v>
      </c>
      <c r="AK159" s="17"/>
    </row>
    <row r="160" spans="2:37" ht="6.75" customHeight="1" thickTop="1" thickBot="1" x14ac:dyDescent="0.3">
      <c r="B160" s="15"/>
      <c r="C160" s="14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  <c r="AA160" s="13"/>
      <c r="AB160" s="13"/>
      <c r="AC160" s="13"/>
      <c r="AD160" s="13"/>
      <c r="AE160" s="13"/>
      <c r="AF160" s="13"/>
      <c r="AG160" s="13"/>
      <c r="AH160" s="13"/>
      <c r="AI160" s="12"/>
      <c r="AJ160" s="11"/>
      <c r="AK160" s="10"/>
    </row>
    <row r="161" spans="2:37" ht="12.6" thickTop="1" x14ac:dyDescent="0.25">
      <c r="E161" s="37"/>
      <c r="AI161" s="4"/>
    </row>
    <row r="162" spans="2:37" x14ac:dyDescent="0.25">
      <c r="AI162" s="4"/>
    </row>
    <row r="163" spans="2:37" x14ac:dyDescent="0.25">
      <c r="AI163" s="4"/>
    </row>
    <row r="164" spans="2:37" ht="39.75" customHeight="1" x14ac:dyDescent="0.7">
      <c r="C164" s="36"/>
      <c r="E164" s="240"/>
      <c r="F164" s="240"/>
      <c r="G164" s="240"/>
      <c r="H164" s="240"/>
      <c r="I164" s="240"/>
      <c r="J164" s="240"/>
      <c r="K164" s="240"/>
      <c r="L164" s="240"/>
      <c r="M164" s="240"/>
      <c r="N164" s="240"/>
      <c r="O164" s="240"/>
      <c r="P164" s="240"/>
      <c r="Q164" s="240"/>
      <c r="R164" s="240"/>
      <c r="S164" s="240"/>
      <c r="T164" s="240"/>
      <c r="U164" s="240"/>
      <c r="V164" s="240"/>
      <c r="W164" s="240"/>
      <c r="X164" s="240"/>
      <c r="Y164" s="240"/>
      <c r="Z164" s="240"/>
      <c r="AA164" s="240"/>
      <c r="AB164" s="240"/>
      <c r="AC164" s="240"/>
      <c r="AD164" s="240"/>
      <c r="AE164" s="240"/>
      <c r="AF164" s="240"/>
      <c r="AG164" s="240"/>
      <c r="AH164" s="240"/>
      <c r="AI164" s="240"/>
      <c r="AJ164" s="32" t="s">
        <v>19</v>
      </c>
    </row>
    <row r="165" spans="2:37" ht="12.6" thickBot="1" x14ac:dyDescent="0.3">
      <c r="B165" s="35"/>
      <c r="AI165" s="4"/>
      <c r="AJ165" s="34" t="s">
        <v>202</v>
      </c>
    </row>
    <row r="166" spans="2:37" ht="6.75" customHeight="1" thickTop="1" thickBot="1" x14ac:dyDescent="0.3">
      <c r="B166" s="2"/>
      <c r="C166" s="14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F166" s="13"/>
      <c r="AG166" s="13"/>
      <c r="AH166" s="13"/>
      <c r="AI166" s="13"/>
      <c r="AJ166" s="12"/>
      <c r="AK166" s="33"/>
    </row>
    <row r="167" spans="2:37" ht="13.2" hidden="1" thickTop="1" thickBot="1" x14ac:dyDescent="0.3">
      <c r="B167" s="2"/>
      <c r="C167" s="31" t="s">
        <v>199</v>
      </c>
      <c r="D167" s="30" t="s">
        <v>198</v>
      </c>
      <c r="E167" s="30" t="s">
        <v>197</v>
      </c>
      <c r="F167" s="30" t="s">
        <v>196</v>
      </c>
      <c r="G167" s="30" t="s">
        <v>195</v>
      </c>
      <c r="H167" s="30" t="s">
        <v>194</v>
      </c>
      <c r="I167" s="30" t="s">
        <v>193</v>
      </c>
      <c r="J167" s="30" t="s">
        <v>192</v>
      </c>
      <c r="K167" s="30" t="s">
        <v>191</v>
      </c>
      <c r="L167" s="30" t="s">
        <v>190</v>
      </c>
      <c r="M167" s="30" t="s">
        <v>189</v>
      </c>
      <c r="N167" s="30" t="s">
        <v>188</v>
      </c>
      <c r="O167" s="30" t="s">
        <v>187</v>
      </c>
      <c r="P167" s="30" t="s">
        <v>186</v>
      </c>
      <c r="Q167" s="30" t="s">
        <v>185</v>
      </c>
      <c r="R167" s="30" t="s">
        <v>184</v>
      </c>
      <c r="S167" s="30" t="s">
        <v>183</v>
      </c>
      <c r="T167" s="30" t="s">
        <v>182</v>
      </c>
      <c r="U167" s="30" t="s">
        <v>181</v>
      </c>
      <c r="V167" s="30" t="s">
        <v>180</v>
      </c>
      <c r="W167" s="30" t="s">
        <v>179</v>
      </c>
      <c r="X167" s="30" t="s">
        <v>178</v>
      </c>
      <c r="Y167" s="30" t="s">
        <v>177</v>
      </c>
      <c r="Z167" s="30" t="s">
        <v>176</v>
      </c>
      <c r="AA167" s="30" t="s">
        <v>175</v>
      </c>
      <c r="AB167" s="30" t="s">
        <v>174</v>
      </c>
      <c r="AC167" s="30" t="s">
        <v>173</v>
      </c>
      <c r="AD167" s="30" t="s">
        <v>172</v>
      </c>
      <c r="AE167" s="30" t="s">
        <v>171</v>
      </c>
      <c r="AF167" s="30" t="s">
        <v>170</v>
      </c>
      <c r="AG167" s="30" t="s">
        <v>169</v>
      </c>
      <c r="AH167" s="30" t="s">
        <v>168</v>
      </c>
      <c r="AI167" s="30" t="s">
        <v>167</v>
      </c>
      <c r="AJ167" s="29" t="s">
        <v>166</v>
      </c>
      <c r="AK167" s="2"/>
    </row>
    <row r="168" spans="2:37" ht="19.5" customHeight="1" thickTop="1" thickBot="1" x14ac:dyDescent="0.3">
      <c r="B168" s="28"/>
      <c r="C168" s="27" t="str">
        <f>DADOS!$AL$3</f>
        <v>📝 CDB</v>
      </c>
      <c r="D168" s="26" t="str">
        <f>IF(reservafixaconsolidadoabr[[#This Row],[TOTAL (R$)]]=0,"",IF(OR(reservafixaconsolidadoabr[[#This Row],[TOTAL (R$)]]=LARGE($AJ$168:$AJ$177,1),reservafixaconsolidadoabr[[#This Row],[TOTAL (R$)]]=LARGE($AJ$168:$AJ$177,2)),DADOS!$I$11,""))</f>
        <v/>
      </c>
      <c r="E168" s="96">
        <f>SUMIFS(tabela_registros[VALOR],tabela_registros[MÊS],$AE$1,tabela_registros[DIA],reservafixaconsolidadoabr[[#Headers],[1]],tabela_registros[REGISTRO],DADOS!$N$6,tabela_registros[TIPO],DADOS!$AJ$3,tabela_registros[CATEGORIA],reservafixaconsolidadoabr[[#This Row],[ATUAL]])</f>
        <v>0</v>
      </c>
      <c r="F168" s="91">
        <f>SUMIFS(tabela_registros[VALOR],tabela_registros[MÊS],$AE$1,tabela_registros[DIA],reservafixaconsolidadoabr[[#Headers],[2]],tabela_registros[REGISTRO],DADOS!$N$6,tabela_registros[TIPO],DADOS!$AJ$3,tabela_registros[CATEGORIA],reservafixaconsolidadoabr[[#This Row],[ATUAL]])</f>
        <v>0</v>
      </c>
      <c r="G168" s="91">
        <f>SUMIFS(tabela_registros[VALOR],tabela_registros[MÊS],$AE$1,tabela_registros[DIA],reservafixaconsolidadoabr[[#Headers],[3]],tabela_registros[REGISTRO],DADOS!$N$6,tabela_registros[TIPO],DADOS!$AJ$3,tabela_registros[CATEGORIA],reservafixaconsolidadoabr[[#This Row],[ATUAL]])</f>
        <v>0</v>
      </c>
      <c r="H168" s="91">
        <f>SUMIFS(tabela_registros[VALOR],tabela_registros[MÊS],$AE$1,tabela_registros[DIA],reservafixaconsolidadoabr[[#Headers],[4]],tabela_registros[REGISTRO],DADOS!$N$6,tabela_registros[TIPO],DADOS!$AJ$3,tabela_registros[CATEGORIA],reservafixaconsolidadoabr[[#This Row],[ATUAL]])</f>
        <v>0</v>
      </c>
      <c r="I168" s="91">
        <f>SUMIFS(tabela_registros[VALOR],tabela_registros[MÊS],$AE$1,tabela_registros[DIA],reservafixaconsolidadoabr[[#Headers],[5]],tabela_registros[REGISTRO],DADOS!$N$6,tabela_registros[TIPO],DADOS!$AJ$3,tabela_registros[CATEGORIA],reservafixaconsolidadoabr[[#This Row],[ATUAL]])</f>
        <v>0</v>
      </c>
      <c r="J168" s="91">
        <f>SUMIFS(tabela_registros[VALOR],tabela_registros[MÊS],$AE$1,tabela_registros[DIA],reservafixaconsolidadoabr[[#Headers],[6]],tabela_registros[REGISTRO],DADOS!$N$6,tabela_registros[TIPO],DADOS!$AJ$3,tabela_registros[CATEGORIA],reservafixaconsolidadoabr[[#This Row],[ATUAL]])</f>
        <v>0</v>
      </c>
      <c r="K168" s="91">
        <f>SUMIFS(tabela_registros[VALOR],tabela_registros[MÊS],$AE$1,tabela_registros[DIA],reservafixaconsolidadoabr[[#Headers],[7]],tabela_registros[REGISTRO],DADOS!$N$6,tabela_registros[TIPO],DADOS!$AJ$3,tabela_registros[CATEGORIA],reservafixaconsolidadoabr[[#This Row],[ATUAL]])</f>
        <v>0</v>
      </c>
      <c r="L168" s="91">
        <f>SUMIFS(tabela_registros[VALOR],tabela_registros[MÊS],$AE$1,tabela_registros[DIA],reservafixaconsolidadoabr[[#Headers],[8]],tabela_registros[REGISTRO],DADOS!$N$6,tabela_registros[TIPO],DADOS!$AJ$3,tabela_registros[CATEGORIA],reservafixaconsolidadoabr[[#This Row],[ATUAL]])</f>
        <v>0</v>
      </c>
      <c r="M168" s="91">
        <f>SUMIFS(tabela_registros[VALOR],tabela_registros[MÊS],$AE$1,tabela_registros[DIA],reservafixaconsolidadoabr[[#Headers],[9]],tabela_registros[REGISTRO],DADOS!$N$6,tabela_registros[TIPO],DADOS!$AJ$3,tabela_registros[CATEGORIA],reservafixaconsolidadoabr[[#This Row],[ATUAL]])</f>
        <v>0</v>
      </c>
      <c r="N168" s="91">
        <f>SUMIFS(tabela_registros[VALOR],tabela_registros[MÊS],$AE$1,tabela_registros[DIA],reservafixaconsolidadoabr[[#Headers],[10]],tabela_registros[REGISTRO],DADOS!$N$6,tabela_registros[TIPO],DADOS!$AJ$3,tabela_registros[CATEGORIA],reservafixaconsolidadoabr[[#This Row],[ATUAL]])</f>
        <v>0</v>
      </c>
      <c r="O168" s="91">
        <f>SUMIFS(tabela_registros[VALOR],tabela_registros[MÊS],$AE$1,tabela_registros[DIA],reservafixaconsolidadoabr[[#Headers],[11]],tabela_registros[REGISTRO],DADOS!$N$6,tabela_registros[TIPO],DADOS!$AJ$3,tabela_registros[CATEGORIA],reservafixaconsolidadoabr[[#This Row],[ATUAL]])</f>
        <v>0</v>
      </c>
      <c r="P168" s="91">
        <f>SUMIFS(tabela_registros[VALOR],tabela_registros[MÊS],$AE$1,tabela_registros[DIA],reservafixaconsolidadoabr[[#Headers],[12]],tabela_registros[REGISTRO],DADOS!$N$6,tabela_registros[TIPO],DADOS!$AJ$3,tabela_registros[CATEGORIA],reservafixaconsolidadoabr[[#This Row],[ATUAL]])</f>
        <v>0</v>
      </c>
      <c r="Q168" s="91">
        <f>SUMIFS(tabela_registros[VALOR],tabela_registros[MÊS],$AE$1,tabela_registros[DIA],reservafixaconsolidadoabr[[#Headers],[13]],tabela_registros[REGISTRO],DADOS!$N$6,tabela_registros[TIPO],DADOS!$AJ$3,tabela_registros[CATEGORIA],reservafixaconsolidadoabr[[#This Row],[ATUAL]])</f>
        <v>0</v>
      </c>
      <c r="R168" s="91">
        <f>SUMIFS(tabela_registros[VALOR],tabela_registros[MÊS],$AE$1,tabela_registros[DIA],reservafixaconsolidadoabr[[#Headers],[14]],tabela_registros[REGISTRO],DADOS!$N$6,tabela_registros[TIPO],DADOS!$AJ$3,tabela_registros[CATEGORIA],reservafixaconsolidadoabr[[#This Row],[ATUAL]])</f>
        <v>0</v>
      </c>
      <c r="S168" s="91">
        <f>SUMIFS(tabela_registros[VALOR],tabela_registros[MÊS],$AE$1,tabela_registros[DIA],reservafixaconsolidadoabr[[#Headers],[15]],tabela_registros[REGISTRO],DADOS!$N$6,tabela_registros[TIPO],DADOS!$AJ$3,tabela_registros[CATEGORIA],reservafixaconsolidadoabr[[#This Row],[ATUAL]])</f>
        <v>0</v>
      </c>
      <c r="T168" s="91">
        <f>SUMIFS(tabela_registros[VALOR],tabela_registros[MÊS],$AE$1,tabela_registros[DIA],reservafixaconsolidadoabr[[#Headers],[16]],tabela_registros[REGISTRO],DADOS!$N$6,tabela_registros[TIPO],DADOS!$AJ$3,tabela_registros[CATEGORIA],reservafixaconsolidadoabr[[#This Row],[ATUAL]])</f>
        <v>0</v>
      </c>
      <c r="U168" s="91">
        <f>SUMIFS(tabela_registros[VALOR],tabela_registros[MÊS],$AE$1,tabela_registros[DIA],reservafixaconsolidadoabr[[#Headers],[17]],tabela_registros[REGISTRO],DADOS!$N$6,tabela_registros[TIPO],DADOS!$AJ$3,tabela_registros[CATEGORIA],reservafixaconsolidadoabr[[#This Row],[ATUAL]])</f>
        <v>0</v>
      </c>
      <c r="V168" s="91">
        <f>SUMIFS(tabela_registros[VALOR],tabela_registros[MÊS],$AE$1,tabela_registros[DIA],reservafixaconsolidadoabr[[#Headers],[18]],tabela_registros[REGISTRO],DADOS!$N$6,tabela_registros[TIPO],DADOS!$AJ$3,tabela_registros[CATEGORIA],reservafixaconsolidadoabr[[#This Row],[ATUAL]])</f>
        <v>0</v>
      </c>
      <c r="W168" s="91">
        <f>SUMIFS(tabela_registros[VALOR],tabela_registros[MÊS],$AE$1,tabela_registros[DIA],reservafixaconsolidadoabr[[#Headers],[19]],tabela_registros[REGISTRO],DADOS!$N$6,tabela_registros[TIPO],DADOS!$AJ$3,tabela_registros[CATEGORIA],reservafixaconsolidadoabr[[#This Row],[ATUAL]])</f>
        <v>0</v>
      </c>
      <c r="X168" s="91">
        <f>SUMIFS(tabela_registros[VALOR],tabela_registros[MÊS],$AE$1,tabela_registros[DIA],reservafixaconsolidadoabr[[#Headers],[20]],tabela_registros[REGISTRO],DADOS!$N$6,tabela_registros[TIPO],DADOS!$AJ$3,tabela_registros[CATEGORIA],reservafixaconsolidadoabr[[#This Row],[ATUAL]])</f>
        <v>0</v>
      </c>
      <c r="Y168" s="91">
        <f>SUMIFS(tabela_registros[VALOR],tabela_registros[MÊS],$AE$1,tabela_registros[DIA],reservafixaconsolidadoabr[[#Headers],[21]],tabela_registros[REGISTRO],DADOS!$N$6,tabela_registros[TIPO],DADOS!$AJ$3,tabela_registros[CATEGORIA],reservafixaconsolidadoabr[[#This Row],[ATUAL]])</f>
        <v>0</v>
      </c>
      <c r="Z168" s="91">
        <f>SUMIFS(tabela_registros[VALOR],tabela_registros[MÊS],$AE$1,tabela_registros[DIA],reservafixaconsolidadoabr[[#Headers],[22]],tabela_registros[REGISTRO],DADOS!$N$6,tabela_registros[TIPO],DADOS!$AJ$3,tabela_registros[CATEGORIA],reservafixaconsolidadoabr[[#This Row],[ATUAL]])</f>
        <v>0</v>
      </c>
      <c r="AA168" s="91">
        <f>SUMIFS(tabela_registros[VALOR],tabela_registros[MÊS],$AE$1,tabela_registros[DIA],reservafixaconsolidadoabr[[#Headers],[23]],tabela_registros[REGISTRO],DADOS!$N$6,tabela_registros[TIPO],DADOS!$AJ$3,tabela_registros[CATEGORIA],reservafixaconsolidadoabr[[#This Row],[ATUAL]])</f>
        <v>0</v>
      </c>
      <c r="AB168" s="91">
        <f>SUMIFS(tabela_registros[VALOR],tabela_registros[MÊS],$AE$1,tabela_registros[DIA],reservafixaconsolidadoabr[[#Headers],[24]],tabela_registros[REGISTRO],DADOS!$N$6,tabela_registros[TIPO],DADOS!$AJ$3,tabela_registros[CATEGORIA],reservafixaconsolidadoabr[[#This Row],[ATUAL]])</f>
        <v>0</v>
      </c>
      <c r="AC168" s="91">
        <f>SUMIFS(tabela_registros[VALOR],tabela_registros[MÊS],$AE$1,tabela_registros[DIA],reservafixaconsolidadoabr[[#Headers],[25]],tabela_registros[REGISTRO],DADOS!$N$6,tabela_registros[TIPO],DADOS!$AJ$3,tabela_registros[CATEGORIA],reservafixaconsolidadoabr[[#This Row],[ATUAL]])</f>
        <v>0</v>
      </c>
      <c r="AD168" s="91">
        <f>SUMIFS(tabela_registros[VALOR],tabela_registros[MÊS],$AE$1,tabela_registros[DIA],reservafixaconsolidadoabr[[#Headers],[26]],tabela_registros[REGISTRO],DADOS!$N$6,tabela_registros[TIPO],DADOS!$AJ$3,tabela_registros[CATEGORIA],reservafixaconsolidadoabr[[#This Row],[ATUAL]])</f>
        <v>0</v>
      </c>
      <c r="AE168" s="91">
        <f>SUMIFS(tabela_registros[VALOR],tabela_registros[MÊS],$AE$1,tabela_registros[DIA],reservafixaconsolidadoabr[[#Headers],[27]],tabela_registros[REGISTRO],DADOS!$N$6,tabela_registros[TIPO],DADOS!$AJ$3,tabela_registros[CATEGORIA],reservafixaconsolidadoabr[[#This Row],[ATUAL]])</f>
        <v>0</v>
      </c>
      <c r="AF168" s="91">
        <f>SUMIFS(tabela_registros[VALOR],tabela_registros[MÊS],$AE$1,tabela_registros[DIA],reservafixaconsolidadoabr[[#Headers],[28]],tabela_registros[REGISTRO],DADOS!$N$6,tabela_registros[TIPO],DADOS!$AJ$3,tabela_registros[CATEGORIA],reservafixaconsolidadoabr[[#This Row],[ATUAL]])</f>
        <v>0</v>
      </c>
      <c r="AG168" s="91">
        <f>SUMIFS(tabela_registros[VALOR],tabela_registros[MÊS],$AE$1,tabela_registros[DIA],reservafixaconsolidadoabr[[#Headers],[29]],tabela_registros[REGISTRO],DADOS!$N$6,tabela_registros[TIPO],DADOS!$AJ$3,tabela_registros[CATEGORIA],reservafixaconsolidadoabr[[#This Row],[ATUAL]])</f>
        <v>0</v>
      </c>
      <c r="AH168" s="91">
        <f>SUMIFS(tabela_registros[VALOR],tabela_registros[MÊS],$AE$1,tabela_registros[DIA],reservafixaconsolidadoabr[[#Headers],[30]],tabela_registros[REGISTRO],DADOS!$N$6,tabela_registros[TIPO],DADOS!$AJ$3,tabela_registros[CATEGORIA],reservafixaconsolidadoabr[[#This Row],[ATUAL]])</f>
        <v>0</v>
      </c>
      <c r="AI168" s="101">
        <f>SUMIFS(tabela_registros[VALOR],tabela_registros[MÊS],$AE$1,tabela_registros[DIA],reservafixaconsolidadoabr[[#Headers],[31]],tabela_registros[REGISTRO],DADOS!$N$6,tabela_registros[TIPO],DADOS!$AJ$3,tabela_registros[CATEGORIA],reservafixaconsolidadoabr[[#This Row],[ATUAL]])</f>
        <v>0</v>
      </c>
      <c r="AJ168" s="97">
        <f>SUM(reservafixaconsolidadoabr[[#This Row],[1]:[31]])</f>
        <v>0</v>
      </c>
      <c r="AK168" s="25"/>
    </row>
    <row r="169" spans="2:37" ht="19.5" customHeight="1" thickTop="1" thickBot="1" x14ac:dyDescent="0.3">
      <c r="B169" s="28"/>
      <c r="C169" s="27" t="str">
        <f>DADOS!$AL$4</f>
        <v>📝 CRA</v>
      </c>
      <c r="D169" s="26" t="str">
        <f>IF(reservafixaconsolidadoabr[[#This Row],[TOTAL (R$)]]=0,"",IF(OR(reservafixaconsolidadoabr[[#This Row],[TOTAL (R$)]]=LARGE($AJ$168:$AJ$177,1),reservafixaconsolidadoabr[[#This Row],[TOTAL (R$)]]=LARGE($AJ$168:$AJ$177,2)),DADOS!$I$11,""))</f>
        <v/>
      </c>
      <c r="E169" s="96">
        <f>SUMIFS(tabela_registros[VALOR],tabela_registros[MÊS],$AE$1,tabela_registros[DIA],reservafixaconsolidadoabr[[#Headers],[1]],tabela_registros[REGISTRO],DADOS!$N$6,tabela_registros[TIPO],DADOS!$AJ$3,tabela_registros[CATEGORIA],reservafixaconsolidadoabr[[#This Row],[ATUAL]])</f>
        <v>0</v>
      </c>
      <c r="F169" s="91">
        <f>SUMIFS(tabela_registros[VALOR],tabela_registros[MÊS],$AE$1,tabela_registros[DIA],reservafixaconsolidadoabr[[#Headers],[2]],tabela_registros[REGISTRO],DADOS!$N$6,tabela_registros[TIPO],DADOS!$AJ$3,tabela_registros[CATEGORIA],reservafixaconsolidadoabr[[#This Row],[ATUAL]])</f>
        <v>0</v>
      </c>
      <c r="G169" s="91">
        <f>SUMIFS(tabela_registros[VALOR],tabela_registros[MÊS],$AE$1,tabela_registros[DIA],reservafixaconsolidadoabr[[#Headers],[3]],tabela_registros[REGISTRO],DADOS!$N$6,tabela_registros[TIPO],DADOS!$AJ$3,tabela_registros[CATEGORIA],reservafixaconsolidadoabr[[#This Row],[ATUAL]])</f>
        <v>0</v>
      </c>
      <c r="H169" s="91">
        <f>SUMIFS(tabela_registros[VALOR],tabela_registros[MÊS],$AE$1,tabela_registros[DIA],reservafixaconsolidadoabr[[#Headers],[4]],tabela_registros[REGISTRO],DADOS!$N$6,tabela_registros[TIPO],DADOS!$AJ$3,tabela_registros[CATEGORIA],reservafixaconsolidadoabr[[#This Row],[ATUAL]])</f>
        <v>0</v>
      </c>
      <c r="I169" s="91">
        <f>SUMIFS(tabela_registros[VALOR],tabela_registros[MÊS],$AE$1,tabela_registros[DIA],reservafixaconsolidadoabr[[#Headers],[5]],tabela_registros[REGISTRO],DADOS!$N$6,tabela_registros[TIPO],DADOS!$AJ$3,tabela_registros[CATEGORIA],reservafixaconsolidadoabr[[#This Row],[ATUAL]])</f>
        <v>0</v>
      </c>
      <c r="J169" s="91">
        <f>SUMIFS(tabela_registros[VALOR],tabela_registros[MÊS],$AE$1,tabela_registros[DIA],reservafixaconsolidadoabr[[#Headers],[6]],tabela_registros[REGISTRO],DADOS!$N$6,tabela_registros[TIPO],DADOS!$AJ$3,tabela_registros[CATEGORIA],reservafixaconsolidadoabr[[#This Row],[ATUAL]])</f>
        <v>0</v>
      </c>
      <c r="K169" s="91">
        <f>SUMIFS(tabela_registros[VALOR],tabela_registros[MÊS],$AE$1,tabela_registros[DIA],reservafixaconsolidadoabr[[#Headers],[7]],tabela_registros[REGISTRO],DADOS!$N$6,tabela_registros[TIPO],DADOS!$AJ$3,tabela_registros[CATEGORIA],reservafixaconsolidadoabr[[#This Row],[ATUAL]])</f>
        <v>0</v>
      </c>
      <c r="L169" s="91">
        <f>SUMIFS(tabela_registros[VALOR],tabela_registros[MÊS],$AE$1,tabela_registros[DIA],reservafixaconsolidadoabr[[#Headers],[8]],tabela_registros[REGISTRO],DADOS!$N$6,tabela_registros[TIPO],DADOS!$AJ$3,tabela_registros[CATEGORIA],reservafixaconsolidadoabr[[#This Row],[ATUAL]])</f>
        <v>0</v>
      </c>
      <c r="M169" s="91">
        <f>SUMIFS(tabela_registros[VALOR],tabela_registros[MÊS],$AE$1,tabela_registros[DIA],reservafixaconsolidadoabr[[#Headers],[9]],tabela_registros[REGISTRO],DADOS!$N$6,tabela_registros[TIPO],DADOS!$AJ$3,tabela_registros[CATEGORIA],reservafixaconsolidadoabr[[#This Row],[ATUAL]])</f>
        <v>0</v>
      </c>
      <c r="N169" s="91">
        <f>SUMIFS(tabela_registros[VALOR],tabela_registros[MÊS],$AE$1,tabela_registros[DIA],reservafixaconsolidadoabr[[#Headers],[10]],tabela_registros[REGISTRO],DADOS!$N$6,tabela_registros[TIPO],DADOS!$AJ$3,tabela_registros[CATEGORIA],reservafixaconsolidadoabr[[#This Row],[ATUAL]])</f>
        <v>0</v>
      </c>
      <c r="O169" s="91">
        <f>SUMIFS(tabela_registros[VALOR],tabela_registros[MÊS],$AE$1,tabela_registros[DIA],reservafixaconsolidadoabr[[#Headers],[11]],tabela_registros[REGISTRO],DADOS!$N$6,tabela_registros[TIPO],DADOS!$AJ$3,tabela_registros[CATEGORIA],reservafixaconsolidadoabr[[#This Row],[ATUAL]])</f>
        <v>0</v>
      </c>
      <c r="P169" s="91">
        <f>SUMIFS(tabela_registros[VALOR],tabela_registros[MÊS],$AE$1,tabela_registros[DIA],reservafixaconsolidadoabr[[#Headers],[12]],tabela_registros[REGISTRO],DADOS!$N$6,tabela_registros[TIPO],DADOS!$AJ$3,tabela_registros[CATEGORIA],reservafixaconsolidadoabr[[#This Row],[ATUAL]])</f>
        <v>0</v>
      </c>
      <c r="Q169" s="91">
        <f>SUMIFS(tabela_registros[VALOR],tabela_registros[MÊS],$AE$1,tabela_registros[DIA],reservafixaconsolidadoabr[[#Headers],[13]],tabela_registros[REGISTRO],DADOS!$N$6,tabela_registros[TIPO],DADOS!$AJ$3,tabela_registros[CATEGORIA],reservafixaconsolidadoabr[[#This Row],[ATUAL]])</f>
        <v>0</v>
      </c>
      <c r="R169" s="91">
        <f>SUMIFS(tabela_registros[VALOR],tabela_registros[MÊS],$AE$1,tabela_registros[DIA],reservafixaconsolidadoabr[[#Headers],[14]],tabela_registros[REGISTRO],DADOS!$N$6,tabela_registros[TIPO],DADOS!$AJ$3,tabela_registros[CATEGORIA],reservafixaconsolidadoabr[[#This Row],[ATUAL]])</f>
        <v>0</v>
      </c>
      <c r="S169" s="91">
        <f>SUMIFS(tabela_registros[VALOR],tabela_registros[MÊS],$AE$1,tabela_registros[DIA],reservafixaconsolidadoabr[[#Headers],[15]],tabela_registros[REGISTRO],DADOS!$N$6,tabela_registros[TIPO],DADOS!$AJ$3,tabela_registros[CATEGORIA],reservafixaconsolidadoabr[[#This Row],[ATUAL]])</f>
        <v>0</v>
      </c>
      <c r="T169" s="91">
        <f>SUMIFS(tabela_registros[VALOR],tabela_registros[MÊS],$AE$1,tabela_registros[DIA],reservafixaconsolidadoabr[[#Headers],[16]],tabela_registros[REGISTRO],DADOS!$N$6,tabela_registros[TIPO],DADOS!$AJ$3,tabela_registros[CATEGORIA],reservafixaconsolidadoabr[[#This Row],[ATUAL]])</f>
        <v>0</v>
      </c>
      <c r="U169" s="91">
        <f>SUMIFS(tabela_registros[VALOR],tabela_registros[MÊS],$AE$1,tabela_registros[DIA],reservafixaconsolidadoabr[[#Headers],[17]],tabela_registros[REGISTRO],DADOS!$N$6,tabela_registros[TIPO],DADOS!$AJ$3,tabela_registros[CATEGORIA],reservafixaconsolidadoabr[[#This Row],[ATUAL]])</f>
        <v>0</v>
      </c>
      <c r="V169" s="91">
        <f>SUMIFS(tabela_registros[VALOR],tabela_registros[MÊS],$AE$1,tabela_registros[DIA],reservafixaconsolidadoabr[[#Headers],[18]],tabela_registros[REGISTRO],DADOS!$N$6,tabela_registros[TIPO],DADOS!$AJ$3,tabela_registros[CATEGORIA],reservafixaconsolidadoabr[[#This Row],[ATUAL]])</f>
        <v>0</v>
      </c>
      <c r="W169" s="91">
        <f>SUMIFS(tabela_registros[VALOR],tabela_registros[MÊS],$AE$1,tabela_registros[DIA],reservafixaconsolidadoabr[[#Headers],[19]],tabela_registros[REGISTRO],DADOS!$N$6,tabela_registros[TIPO],DADOS!$AJ$3,tabela_registros[CATEGORIA],reservafixaconsolidadoabr[[#This Row],[ATUAL]])</f>
        <v>0</v>
      </c>
      <c r="X169" s="91">
        <f>SUMIFS(tabela_registros[VALOR],tabela_registros[MÊS],$AE$1,tabela_registros[DIA],reservafixaconsolidadoabr[[#Headers],[20]],tabela_registros[REGISTRO],DADOS!$N$6,tabela_registros[TIPO],DADOS!$AJ$3,tabela_registros[CATEGORIA],reservafixaconsolidadoabr[[#This Row],[ATUAL]])</f>
        <v>0</v>
      </c>
      <c r="Y169" s="91">
        <f>SUMIFS(tabela_registros[VALOR],tabela_registros[MÊS],$AE$1,tabela_registros[DIA],reservafixaconsolidadoabr[[#Headers],[21]],tabela_registros[REGISTRO],DADOS!$N$6,tabela_registros[TIPO],DADOS!$AJ$3,tabela_registros[CATEGORIA],reservafixaconsolidadoabr[[#This Row],[ATUAL]])</f>
        <v>0</v>
      </c>
      <c r="Z169" s="91">
        <f>SUMIFS(tabela_registros[VALOR],tabela_registros[MÊS],$AE$1,tabela_registros[DIA],reservafixaconsolidadoabr[[#Headers],[22]],tabela_registros[REGISTRO],DADOS!$N$6,tabela_registros[TIPO],DADOS!$AJ$3,tabela_registros[CATEGORIA],reservafixaconsolidadoabr[[#This Row],[ATUAL]])</f>
        <v>0</v>
      </c>
      <c r="AA169" s="91">
        <f>SUMIFS(tabela_registros[VALOR],tabela_registros[MÊS],$AE$1,tabela_registros[DIA],reservafixaconsolidadoabr[[#Headers],[23]],tabela_registros[REGISTRO],DADOS!$N$6,tabela_registros[TIPO],DADOS!$AJ$3,tabela_registros[CATEGORIA],reservafixaconsolidadoabr[[#This Row],[ATUAL]])</f>
        <v>0</v>
      </c>
      <c r="AB169" s="91">
        <f>SUMIFS(tabela_registros[VALOR],tabela_registros[MÊS],$AE$1,tabela_registros[DIA],reservafixaconsolidadoabr[[#Headers],[24]],tabela_registros[REGISTRO],DADOS!$N$6,tabela_registros[TIPO],DADOS!$AJ$3,tabela_registros[CATEGORIA],reservafixaconsolidadoabr[[#This Row],[ATUAL]])</f>
        <v>0</v>
      </c>
      <c r="AC169" s="91">
        <f>SUMIFS(tabela_registros[VALOR],tabela_registros[MÊS],$AE$1,tabela_registros[DIA],reservafixaconsolidadoabr[[#Headers],[25]],tabela_registros[REGISTRO],DADOS!$N$6,tabela_registros[TIPO],DADOS!$AJ$3,tabela_registros[CATEGORIA],reservafixaconsolidadoabr[[#This Row],[ATUAL]])</f>
        <v>0</v>
      </c>
      <c r="AD169" s="91">
        <f>SUMIFS(tabela_registros[VALOR],tabela_registros[MÊS],$AE$1,tabela_registros[DIA],reservafixaconsolidadoabr[[#Headers],[26]],tabela_registros[REGISTRO],DADOS!$N$6,tabela_registros[TIPO],DADOS!$AJ$3,tabela_registros[CATEGORIA],reservafixaconsolidadoabr[[#This Row],[ATUAL]])</f>
        <v>0</v>
      </c>
      <c r="AE169" s="91">
        <f>SUMIFS(tabela_registros[VALOR],tabela_registros[MÊS],$AE$1,tabela_registros[DIA],reservafixaconsolidadoabr[[#Headers],[27]],tabela_registros[REGISTRO],DADOS!$N$6,tabela_registros[TIPO],DADOS!$AJ$3,tabela_registros[CATEGORIA],reservafixaconsolidadoabr[[#This Row],[ATUAL]])</f>
        <v>0</v>
      </c>
      <c r="AF169" s="91">
        <f>SUMIFS(tabela_registros[VALOR],tabela_registros[MÊS],$AE$1,tabela_registros[DIA],reservafixaconsolidadoabr[[#Headers],[28]],tabela_registros[REGISTRO],DADOS!$N$6,tabela_registros[TIPO],DADOS!$AJ$3,tabela_registros[CATEGORIA],reservafixaconsolidadoabr[[#This Row],[ATUAL]])</f>
        <v>0</v>
      </c>
      <c r="AG169" s="91">
        <f>SUMIFS(tabela_registros[VALOR],tabela_registros[MÊS],$AE$1,tabela_registros[DIA],reservafixaconsolidadoabr[[#Headers],[29]],tabela_registros[REGISTRO],DADOS!$N$6,tabela_registros[TIPO],DADOS!$AJ$3,tabela_registros[CATEGORIA],reservafixaconsolidadoabr[[#This Row],[ATUAL]])</f>
        <v>0</v>
      </c>
      <c r="AH169" s="91">
        <f>SUMIFS(tabela_registros[VALOR],tabela_registros[MÊS],$AE$1,tabela_registros[DIA],reservafixaconsolidadoabr[[#Headers],[30]],tabela_registros[REGISTRO],DADOS!$N$6,tabela_registros[TIPO],DADOS!$AJ$3,tabela_registros[CATEGORIA],reservafixaconsolidadoabr[[#This Row],[ATUAL]])</f>
        <v>0</v>
      </c>
      <c r="AI169" s="101">
        <f>SUMIFS(tabela_registros[VALOR],tabela_registros[MÊS],$AE$1,tabela_registros[DIA],reservafixaconsolidadoabr[[#Headers],[31]],tabela_registros[REGISTRO],DADOS!$N$6,tabela_registros[TIPO],DADOS!$AJ$3,tabela_registros[CATEGORIA],reservafixaconsolidadoabr[[#This Row],[ATUAL]])</f>
        <v>0</v>
      </c>
      <c r="AJ169" s="97">
        <f>SUM(reservafixaconsolidadoabr[[#This Row],[1]:[31]])</f>
        <v>0</v>
      </c>
      <c r="AK169" s="25"/>
    </row>
    <row r="170" spans="2:37" ht="19.5" customHeight="1" thickTop="1" thickBot="1" x14ac:dyDescent="0.3">
      <c r="B170" s="28"/>
      <c r="C170" s="27" t="str">
        <f>DADOS!$AL$5</f>
        <v>📝 CRI</v>
      </c>
      <c r="D170" s="26" t="str">
        <f>IF(reservafixaconsolidadoabr[[#This Row],[TOTAL (R$)]]=0,"",IF(OR(reservafixaconsolidadoabr[[#This Row],[TOTAL (R$)]]=LARGE($AJ$168:$AJ$177,1),reservafixaconsolidadoabr[[#This Row],[TOTAL (R$)]]=LARGE($AJ$168:$AJ$177,2)),DADOS!$I$11,""))</f>
        <v/>
      </c>
      <c r="E170" s="96">
        <f>SUMIFS(tabela_registros[VALOR],tabela_registros[MÊS],$AE$1,tabela_registros[DIA],reservafixaconsolidadoabr[[#Headers],[1]],tabela_registros[REGISTRO],DADOS!$N$6,tabela_registros[TIPO],DADOS!$AJ$3,tabela_registros[CATEGORIA],reservafixaconsolidadoabr[[#This Row],[ATUAL]])</f>
        <v>0</v>
      </c>
      <c r="F170" s="91">
        <f>SUMIFS(tabela_registros[VALOR],tabela_registros[MÊS],$AE$1,tabela_registros[DIA],reservafixaconsolidadoabr[[#Headers],[2]],tabela_registros[REGISTRO],DADOS!$N$6,tabela_registros[TIPO],DADOS!$AJ$3,tabela_registros[CATEGORIA],reservafixaconsolidadoabr[[#This Row],[ATUAL]])</f>
        <v>0</v>
      </c>
      <c r="G170" s="91">
        <f>SUMIFS(tabela_registros[VALOR],tabela_registros[MÊS],$AE$1,tabela_registros[DIA],reservafixaconsolidadoabr[[#Headers],[3]],tabela_registros[REGISTRO],DADOS!$N$6,tabela_registros[TIPO],DADOS!$AJ$3,tabela_registros[CATEGORIA],reservafixaconsolidadoabr[[#This Row],[ATUAL]])</f>
        <v>0</v>
      </c>
      <c r="H170" s="91">
        <f>SUMIFS(tabela_registros[VALOR],tabela_registros[MÊS],$AE$1,tabela_registros[DIA],reservafixaconsolidadoabr[[#Headers],[4]],tabela_registros[REGISTRO],DADOS!$N$6,tabela_registros[TIPO],DADOS!$AJ$3,tabela_registros[CATEGORIA],reservafixaconsolidadoabr[[#This Row],[ATUAL]])</f>
        <v>0</v>
      </c>
      <c r="I170" s="91">
        <f>SUMIFS(tabela_registros[VALOR],tabela_registros[MÊS],$AE$1,tabela_registros[DIA],reservafixaconsolidadoabr[[#Headers],[5]],tabela_registros[REGISTRO],DADOS!$N$6,tabela_registros[TIPO],DADOS!$AJ$3,tabela_registros[CATEGORIA],reservafixaconsolidadoabr[[#This Row],[ATUAL]])</f>
        <v>0</v>
      </c>
      <c r="J170" s="91">
        <f>SUMIFS(tabela_registros[VALOR],tabela_registros[MÊS],$AE$1,tabela_registros[DIA],reservafixaconsolidadoabr[[#Headers],[6]],tabela_registros[REGISTRO],DADOS!$N$6,tabela_registros[TIPO],DADOS!$AJ$3,tabela_registros[CATEGORIA],reservafixaconsolidadoabr[[#This Row],[ATUAL]])</f>
        <v>0</v>
      </c>
      <c r="K170" s="91">
        <f>SUMIFS(tabela_registros[VALOR],tabela_registros[MÊS],$AE$1,tabela_registros[DIA],reservafixaconsolidadoabr[[#Headers],[7]],tabela_registros[REGISTRO],DADOS!$N$6,tabela_registros[TIPO],DADOS!$AJ$3,tabela_registros[CATEGORIA],reservafixaconsolidadoabr[[#This Row],[ATUAL]])</f>
        <v>0</v>
      </c>
      <c r="L170" s="91">
        <f>SUMIFS(tabela_registros[VALOR],tabela_registros[MÊS],$AE$1,tabela_registros[DIA],reservafixaconsolidadoabr[[#Headers],[8]],tabela_registros[REGISTRO],DADOS!$N$6,tabela_registros[TIPO],DADOS!$AJ$3,tabela_registros[CATEGORIA],reservafixaconsolidadoabr[[#This Row],[ATUAL]])</f>
        <v>0</v>
      </c>
      <c r="M170" s="91">
        <f>SUMIFS(tabela_registros[VALOR],tabela_registros[MÊS],$AE$1,tabela_registros[DIA],reservafixaconsolidadoabr[[#Headers],[9]],tabela_registros[REGISTRO],DADOS!$N$6,tabela_registros[TIPO],DADOS!$AJ$3,tabela_registros[CATEGORIA],reservafixaconsolidadoabr[[#This Row],[ATUAL]])</f>
        <v>0</v>
      </c>
      <c r="N170" s="91">
        <f>SUMIFS(tabela_registros[VALOR],tabela_registros[MÊS],$AE$1,tabela_registros[DIA],reservafixaconsolidadoabr[[#Headers],[10]],tabela_registros[REGISTRO],DADOS!$N$6,tabela_registros[TIPO],DADOS!$AJ$3,tabela_registros[CATEGORIA],reservafixaconsolidadoabr[[#This Row],[ATUAL]])</f>
        <v>0</v>
      </c>
      <c r="O170" s="91">
        <f>SUMIFS(tabela_registros[VALOR],tabela_registros[MÊS],$AE$1,tabela_registros[DIA],reservafixaconsolidadoabr[[#Headers],[11]],tabela_registros[REGISTRO],DADOS!$N$6,tabela_registros[TIPO],DADOS!$AJ$3,tabela_registros[CATEGORIA],reservafixaconsolidadoabr[[#This Row],[ATUAL]])</f>
        <v>0</v>
      </c>
      <c r="P170" s="91">
        <f>SUMIFS(tabela_registros[VALOR],tabela_registros[MÊS],$AE$1,tabela_registros[DIA],reservafixaconsolidadoabr[[#Headers],[12]],tabela_registros[REGISTRO],DADOS!$N$6,tabela_registros[TIPO],DADOS!$AJ$3,tabela_registros[CATEGORIA],reservafixaconsolidadoabr[[#This Row],[ATUAL]])</f>
        <v>0</v>
      </c>
      <c r="Q170" s="91">
        <f>SUMIFS(tabela_registros[VALOR],tabela_registros[MÊS],$AE$1,tabela_registros[DIA],reservafixaconsolidadoabr[[#Headers],[13]],tabela_registros[REGISTRO],DADOS!$N$6,tabela_registros[TIPO],DADOS!$AJ$3,tabela_registros[CATEGORIA],reservafixaconsolidadoabr[[#This Row],[ATUAL]])</f>
        <v>0</v>
      </c>
      <c r="R170" s="91">
        <f>SUMIFS(tabela_registros[VALOR],tabela_registros[MÊS],$AE$1,tabela_registros[DIA],reservafixaconsolidadoabr[[#Headers],[14]],tabela_registros[REGISTRO],DADOS!$N$6,tabela_registros[TIPO],DADOS!$AJ$3,tabela_registros[CATEGORIA],reservafixaconsolidadoabr[[#This Row],[ATUAL]])</f>
        <v>0</v>
      </c>
      <c r="S170" s="91">
        <f>SUMIFS(tabela_registros[VALOR],tabela_registros[MÊS],$AE$1,tabela_registros[DIA],reservafixaconsolidadoabr[[#Headers],[15]],tabela_registros[REGISTRO],DADOS!$N$6,tabela_registros[TIPO],DADOS!$AJ$3,tabela_registros[CATEGORIA],reservafixaconsolidadoabr[[#This Row],[ATUAL]])</f>
        <v>0</v>
      </c>
      <c r="T170" s="91">
        <f>SUMIFS(tabela_registros[VALOR],tabela_registros[MÊS],$AE$1,tabela_registros[DIA],reservafixaconsolidadoabr[[#Headers],[16]],tabela_registros[REGISTRO],DADOS!$N$6,tabela_registros[TIPO],DADOS!$AJ$3,tabela_registros[CATEGORIA],reservafixaconsolidadoabr[[#This Row],[ATUAL]])</f>
        <v>0</v>
      </c>
      <c r="U170" s="91">
        <f>SUMIFS(tabela_registros[VALOR],tabela_registros[MÊS],$AE$1,tabela_registros[DIA],reservafixaconsolidadoabr[[#Headers],[17]],tabela_registros[REGISTRO],DADOS!$N$6,tabela_registros[TIPO],DADOS!$AJ$3,tabela_registros[CATEGORIA],reservafixaconsolidadoabr[[#This Row],[ATUAL]])</f>
        <v>0</v>
      </c>
      <c r="V170" s="91">
        <f>SUMIFS(tabela_registros[VALOR],tabela_registros[MÊS],$AE$1,tabela_registros[DIA],reservafixaconsolidadoabr[[#Headers],[18]],tabela_registros[REGISTRO],DADOS!$N$6,tabela_registros[TIPO],DADOS!$AJ$3,tabela_registros[CATEGORIA],reservafixaconsolidadoabr[[#This Row],[ATUAL]])</f>
        <v>0</v>
      </c>
      <c r="W170" s="91">
        <f>SUMIFS(tabela_registros[VALOR],tabela_registros[MÊS],$AE$1,tabela_registros[DIA],reservafixaconsolidadoabr[[#Headers],[19]],tabela_registros[REGISTRO],DADOS!$N$6,tabela_registros[TIPO],DADOS!$AJ$3,tabela_registros[CATEGORIA],reservafixaconsolidadoabr[[#This Row],[ATUAL]])</f>
        <v>0</v>
      </c>
      <c r="X170" s="91">
        <f>SUMIFS(tabela_registros[VALOR],tabela_registros[MÊS],$AE$1,tabela_registros[DIA],reservafixaconsolidadoabr[[#Headers],[20]],tabela_registros[REGISTRO],DADOS!$N$6,tabela_registros[TIPO],DADOS!$AJ$3,tabela_registros[CATEGORIA],reservafixaconsolidadoabr[[#This Row],[ATUAL]])</f>
        <v>0</v>
      </c>
      <c r="Y170" s="91">
        <f>SUMIFS(tabela_registros[VALOR],tabela_registros[MÊS],$AE$1,tabela_registros[DIA],reservafixaconsolidadoabr[[#Headers],[21]],tabela_registros[REGISTRO],DADOS!$N$6,tabela_registros[TIPO],DADOS!$AJ$3,tabela_registros[CATEGORIA],reservafixaconsolidadoabr[[#This Row],[ATUAL]])</f>
        <v>0</v>
      </c>
      <c r="Z170" s="91">
        <f>SUMIFS(tabela_registros[VALOR],tabela_registros[MÊS],$AE$1,tabela_registros[DIA],reservafixaconsolidadoabr[[#Headers],[22]],tabela_registros[REGISTRO],DADOS!$N$6,tabela_registros[TIPO],DADOS!$AJ$3,tabela_registros[CATEGORIA],reservafixaconsolidadoabr[[#This Row],[ATUAL]])</f>
        <v>0</v>
      </c>
      <c r="AA170" s="91">
        <f>SUMIFS(tabela_registros[VALOR],tabela_registros[MÊS],$AE$1,tabela_registros[DIA],reservafixaconsolidadoabr[[#Headers],[23]],tabela_registros[REGISTRO],DADOS!$N$6,tabela_registros[TIPO],DADOS!$AJ$3,tabela_registros[CATEGORIA],reservafixaconsolidadoabr[[#This Row],[ATUAL]])</f>
        <v>0</v>
      </c>
      <c r="AB170" s="91">
        <f>SUMIFS(tabela_registros[VALOR],tabela_registros[MÊS],$AE$1,tabela_registros[DIA],reservafixaconsolidadoabr[[#Headers],[24]],tabela_registros[REGISTRO],DADOS!$N$6,tabela_registros[TIPO],DADOS!$AJ$3,tabela_registros[CATEGORIA],reservafixaconsolidadoabr[[#This Row],[ATUAL]])</f>
        <v>0</v>
      </c>
      <c r="AC170" s="91">
        <f>SUMIFS(tabela_registros[VALOR],tabela_registros[MÊS],$AE$1,tabela_registros[DIA],reservafixaconsolidadoabr[[#Headers],[25]],tabela_registros[REGISTRO],DADOS!$N$6,tabela_registros[TIPO],DADOS!$AJ$3,tabela_registros[CATEGORIA],reservafixaconsolidadoabr[[#This Row],[ATUAL]])</f>
        <v>0</v>
      </c>
      <c r="AD170" s="91">
        <f>SUMIFS(tabela_registros[VALOR],tabela_registros[MÊS],$AE$1,tabela_registros[DIA],reservafixaconsolidadoabr[[#Headers],[26]],tabela_registros[REGISTRO],DADOS!$N$6,tabela_registros[TIPO],DADOS!$AJ$3,tabela_registros[CATEGORIA],reservafixaconsolidadoabr[[#This Row],[ATUAL]])</f>
        <v>0</v>
      </c>
      <c r="AE170" s="91">
        <f>SUMIFS(tabela_registros[VALOR],tabela_registros[MÊS],$AE$1,tabela_registros[DIA],reservafixaconsolidadoabr[[#Headers],[27]],tabela_registros[REGISTRO],DADOS!$N$6,tabela_registros[TIPO],DADOS!$AJ$3,tabela_registros[CATEGORIA],reservafixaconsolidadoabr[[#This Row],[ATUAL]])</f>
        <v>0</v>
      </c>
      <c r="AF170" s="91">
        <f>SUMIFS(tabela_registros[VALOR],tabela_registros[MÊS],$AE$1,tabela_registros[DIA],reservafixaconsolidadoabr[[#Headers],[28]],tabela_registros[REGISTRO],DADOS!$N$6,tabela_registros[TIPO],DADOS!$AJ$3,tabela_registros[CATEGORIA],reservafixaconsolidadoabr[[#This Row],[ATUAL]])</f>
        <v>0</v>
      </c>
      <c r="AG170" s="91">
        <f>SUMIFS(tabela_registros[VALOR],tabela_registros[MÊS],$AE$1,tabela_registros[DIA],reservafixaconsolidadoabr[[#Headers],[29]],tabela_registros[REGISTRO],DADOS!$N$6,tabela_registros[TIPO],DADOS!$AJ$3,tabela_registros[CATEGORIA],reservafixaconsolidadoabr[[#This Row],[ATUAL]])</f>
        <v>0</v>
      </c>
      <c r="AH170" s="91">
        <f>SUMIFS(tabela_registros[VALOR],tabela_registros[MÊS],$AE$1,tabela_registros[DIA],reservafixaconsolidadoabr[[#Headers],[30]],tabela_registros[REGISTRO],DADOS!$N$6,tabela_registros[TIPO],DADOS!$AJ$3,tabela_registros[CATEGORIA],reservafixaconsolidadoabr[[#This Row],[ATUAL]])</f>
        <v>0</v>
      </c>
      <c r="AI170" s="101">
        <f>SUMIFS(tabela_registros[VALOR],tabela_registros[MÊS],$AE$1,tabela_registros[DIA],reservafixaconsolidadoabr[[#Headers],[31]],tabela_registros[REGISTRO],DADOS!$N$6,tabela_registros[TIPO],DADOS!$AJ$3,tabela_registros[CATEGORIA],reservafixaconsolidadoabr[[#This Row],[ATUAL]])</f>
        <v>0</v>
      </c>
      <c r="AJ170" s="97">
        <f>SUM(reservafixaconsolidadoabr[[#This Row],[1]:[31]])</f>
        <v>0</v>
      </c>
      <c r="AK170" s="25"/>
    </row>
    <row r="171" spans="2:37" ht="19.5" customHeight="1" thickTop="1" thickBot="1" x14ac:dyDescent="0.3">
      <c r="B171" s="28"/>
      <c r="C171" s="27" t="str">
        <f>DADOS!$AL$6</f>
        <v>📝 DEBÊNTURE</v>
      </c>
      <c r="D171" s="26" t="str">
        <f>IF(reservafixaconsolidadoabr[[#This Row],[TOTAL (R$)]]=0,"",IF(OR(reservafixaconsolidadoabr[[#This Row],[TOTAL (R$)]]=LARGE($AJ$168:$AJ$177,1),reservafixaconsolidadoabr[[#This Row],[TOTAL (R$)]]=LARGE($AJ$168:$AJ$177,2)),DADOS!$I$11,""))</f>
        <v/>
      </c>
      <c r="E171" s="96">
        <f>SUMIFS(tabela_registros[VALOR],tabela_registros[MÊS],$AE$1,tabela_registros[DIA],reservafixaconsolidadoabr[[#Headers],[1]],tabela_registros[REGISTRO],DADOS!$N$6,tabela_registros[TIPO],DADOS!$AJ$3,tabela_registros[CATEGORIA],reservafixaconsolidadoabr[[#This Row],[ATUAL]])</f>
        <v>0</v>
      </c>
      <c r="F171" s="91">
        <f>SUMIFS(tabela_registros[VALOR],tabela_registros[MÊS],$AE$1,tabela_registros[DIA],reservafixaconsolidadoabr[[#Headers],[2]],tabela_registros[REGISTRO],DADOS!$N$6,tabela_registros[TIPO],DADOS!$AJ$3,tabela_registros[CATEGORIA],reservafixaconsolidadoabr[[#This Row],[ATUAL]])</f>
        <v>0</v>
      </c>
      <c r="G171" s="91">
        <f>SUMIFS(tabela_registros[VALOR],tabela_registros[MÊS],$AE$1,tabela_registros[DIA],reservafixaconsolidadoabr[[#Headers],[3]],tabela_registros[REGISTRO],DADOS!$N$6,tabela_registros[TIPO],DADOS!$AJ$3,tabela_registros[CATEGORIA],reservafixaconsolidadoabr[[#This Row],[ATUAL]])</f>
        <v>0</v>
      </c>
      <c r="H171" s="91">
        <f>SUMIFS(tabela_registros[VALOR],tabela_registros[MÊS],$AE$1,tabela_registros[DIA],reservafixaconsolidadoabr[[#Headers],[4]],tabela_registros[REGISTRO],DADOS!$N$6,tabela_registros[TIPO],DADOS!$AJ$3,tabela_registros[CATEGORIA],reservafixaconsolidadoabr[[#This Row],[ATUAL]])</f>
        <v>0</v>
      </c>
      <c r="I171" s="91">
        <f>SUMIFS(tabela_registros[VALOR],tabela_registros[MÊS],$AE$1,tabela_registros[DIA],reservafixaconsolidadoabr[[#Headers],[5]],tabela_registros[REGISTRO],DADOS!$N$6,tabela_registros[TIPO],DADOS!$AJ$3,tabela_registros[CATEGORIA],reservafixaconsolidadoabr[[#This Row],[ATUAL]])</f>
        <v>0</v>
      </c>
      <c r="J171" s="91">
        <f>SUMIFS(tabela_registros[VALOR],tabela_registros[MÊS],$AE$1,tabela_registros[DIA],reservafixaconsolidadoabr[[#Headers],[6]],tabela_registros[REGISTRO],DADOS!$N$6,tabela_registros[TIPO],DADOS!$AJ$3,tabela_registros[CATEGORIA],reservafixaconsolidadoabr[[#This Row],[ATUAL]])</f>
        <v>0</v>
      </c>
      <c r="K171" s="91">
        <f>SUMIFS(tabela_registros[VALOR],tabela_registros[MÊS],$AE$1,tabela_registros[DIA],reservafixaconsolidadoabr[[#Headers],[7]],tabela_registros[REGISTRO],DADOS!$N$6,tabela_registros[TIPO],DADOS!$AJ$3,tabela_registros[CATEGORIA],reservafixaconsolidadoabr[[#This Row],[ATUAL]])</f>
        <v>0</v>
      </c>
      <c r="L171" s="91">
        <f>SUMIFS(tabela_registros[VALOR],tabela_registros[MÊS],$AE$1,tabela_registros[DIA],reservafixaconsolidadoabr[[#Headers],[8]],tabela_registros[REGISTRO],DADOS!$N$6,tabela_registros[TIPO],DADOS!$AJ$3,tabela_registros[CATEGORIA],reservafixaconsolidadoabr[[#This Row],[ATUAL]])</f>
        <v>0</v>
      </c>
      <c r="M171" s="91">
        <f>SUMIFS(tabela_registros[VALOR],tabela_registros[MÊS],$AE$1,tabela_registros[DIA],reservafixaconsolidadoabr[[#Headers],[9]],tabela_registros[REGISTRO],DADOS!$N$6,tabela_registros[TIPO],DADOS!$AJ$3,tabela_registros[CATEGORIA],reservafixaconsolidadoabr[[#This Row],[ATUAL]])</f>
        <v>0</v>
      </c>
      <c r="N171" s="91">
        <f>SUMIFS(tabela_registros[VALOR],tabela_registros[MÊS],$AE$1,tabela_registros[DIA],reservafixaconsolidadoabr[[#Headers],[10]],tabela_registros[REGISTRO],DADOS!$N$6,tabela_registros[TIPO],DADOS!$AJ$3,tabela_registros[CATEGORIA],reservafixaconsolidadoabr[[#This Row],[ATUAL]])</f>
        <v>0</v>
      </c>
      <c r="O171" s="91">
        <f>SUMIFS(tabela_registros[VALOR],tabela_registros[MÊS],$AE$1,tabela_registros[DIA],reservafixaconsolidadoabr[[#Headers],[11]],tabela_registros[REGISTRO],DADOS!$N$6,tabela_registros[TIPO],DADOS!$AJ$3,tabela_registros[CATEGORIA],reservafixaconsolidadoabr[[#This Row],[ATUAL]])</f>
        <v>0</v>
      </c>
      <c r="P171" s="91">
        <f>SUMIFS(tabela_registros[VALOR],tabela_registros[MÊS],$AE$1,tabela_registros[DIA],reservafixaconsolidadoabr[[#Headers],[12]],tabela_registros[REGISTRO],DADOS!$N$6,tabela_registros[TIPO],DADOS!$AJ$3,tabela_registros[CATEGORIA],reservafixaconsolidadoabr[[#This Row],[ATUAL]])</f>
        <v>0</v>
      </c>
      <c r="Q171" s="91">
        <f>SUMIFS(tabela_registros[VALOR],tabela_registros[MÊS],$AE$1,tabela_registros[DIA],reservafixaconsolidadoabr[[#Headers],[13]],tabela_registros[REGISTRO],DADOS!$N$6,tabela_registros[TIPO],DADOS!$AJ$3,tabela_registros[CATEGORIA],reservafixaconsolidadoabr[[#This Row],[ATUAL]])</f>
        <v>0</v>
      </c>
      <c r="R171" s="91">
        <f>SUMIFS(tabela_registros[VALOR],tabela_registros[MÊS],$AE$1,tabela_registros[DIA],reservafixaconsolidadoabr[[#Headers],[14]],tabela_registros[REGISTRO],DADOS!$N$6,tabela_registros[TIPO],DADOS!$AJ$3,tabela_registros[CATEGORIA],reservafixaconsolidadoabr[[#This Row],[ATUAL]])</f>
        <v>0</v>
      </c>
      <c r="S171" s="91">
        <f>SUMIFS(tabela_registros[VALOR],tabela_registros[MÊS],$AE$1,tabela_registros[DIA],reservafixaconsolidadoabr[[#Headers],[15]],tabela_registros[REGISTRO],DADOS!$N$6,tabela_registros[TIPO],DADOS!$AJ$3,tabela_registros[CATEGORIA],reservafixaconsolidadoabr[[#This Row],[ATUAL]])</f>
        <v>0</v>
      </c>
      <c r="T171" s="91">
        <f>SUMIFS(tabela_registros[VALOR],tabela_registros[MÊS],$AE$1,tabela_registros[DIA],reservafixaconsolidadoabr[[#Headers],[16]],tabela_registros[REGISTRO],DADOS!$N$6,tabela_registros[TIPO],DADOS!$AJ$3,tabela_registros[CATEGORIA],reservafixaconsolidadoabr[[#This Row],[ATUAL]])</f>
        <v>0</v>
      </c>
      <c r="U171" s="91">
        <f>SUMIFS(tabela_registros[VALOR],tabela_registros[MÊS],$AE$1,tabela_registros[DIA],reservafixaconsolidadoabr[[#Headers],[17]],tabela_registros[REGISTRO],DADOS!$N$6,tabela_registros[TIPO],DADOS!$AJ$3,tabela_registros[CATEGORIA],reservafixaconsolidadoabr[[#This Row],[ATUAL]])</f>
        <v>0</v>
      </c>
      <c r="V171" s="91">
        <f>SUMIFS(tabela_registros[VALOR],tabela_registros[MÊS],$AE$1,tabela_registros[DIA],reservafixaconsolidadoabr[[#Headers],[18]],tabela_registros[REGISTRO],DADOS!$N$6,tabela_registros[TIPO],DADOS!$AJ$3,tabela_registros[CATEGORIA],reservafixaconsolidadoabr[[#This Row],[ATUAL]])</f>
        <v>0</v>
      </c>
      <c r="W171" s="91">
        <f>SUMIFS(tabela_registros[VALOR],tabela_registros[MÊS],$AE$1,tabela_registros[DIA],reservafixaconsolidadoabr[[#Headers],[19]],tabela_registros[REGISTRO],DADOS!$N$6,tabela_registros[TIPO],DADOS!$AJ$3,tabela_registros[CATEGORIA],reservafixaconsolidadoabr[[#This Row],[ATUAL]])</f>
        <v>0</v>
      </c>
      <c r="X171" s="91">
        <f>SUMIFS(tabela_registros[VALOR],tabela_registros[MÊS],$AE$1,tabela_registros[DIA],reservafixaconsolidadoabr[[#Headers],[20]],tabela_registros[REGISTRO],DADOS!$N$6,tabela_registros[TIPO],DADOS!$AJ$3,tabela_registros[CATEGORIA],reservafixaconsolidadoabr[[#This Row],[ATUAL]])</f>
        <v>0</v>
      </c>
      <c r="Y171" s="91">
        <f>SUMIFS(tabela_registros[VALOR],tabela_registros[MÊS],$AE$1,tabela_registros[DIA],reservafixaconsolidadoabr[[#Headers],[21]],tabela_registros[REGISTRO],DADOS!$N$6,tabela_registros[TIPO],DADOS!$AJ$3,tabela_registros[CATEGORIA],reservafixaconsolidadoabr[[#This Row],[ATUAL]])</f>
        <v>0</v>
      </c>
      <c r="Z171" s="91">
        <f>SUMIFS(tabela_registros[VALOR],tabela_registros[MÊS],$AE$1,tabela_registros[DIA],reservafixaconsolidadoabr[[#Headers],[22]],tabela_registros[REGISTRO],DADOS!$N$6,tabela_registros[TIPO],DADOS!$AJ$3,tabela_registros[CATEGORIA],reservafixaconsolidadoabr[[#This Row],[ATUAL]])</f>
        <v>0</v>
      </c>
      <c r="AA171" s="91">
        <f>SUMIFS(tabela_registros[VALOR],tabela_registros[MÊS],$AE$1,tabela_registros[DIA],reservafixaconsolidadoabr[[#Headers],[23]],tabela_registros[REGISTRO],DADOS!$N$6,tabela_registros[TIPO],DADOS!$AJ$3,tabela_registros[CATEGORIA],reservafixaconsolidadoabr[[#This Row],[ATUAL]])</f>
        <v>0</v>
      </c>
      <c r="AB171" s="91">
        <f>SUMIFS(tabela_registros[VALOR],tabela_registros[MÊS],$AE$1,tabela_registros[DIA],reservafixaconsolidadoabr[[#Headers],[24]],tabela_registros[REGISTRO],DADOS!$N$6,tabela_registros[TIPO],DADOS!$AJ$3,tabela_registros[CATEGORIA],reservafixaconsolidadoabr[[#This Row],[ATUAL]])</f>
        <v>0</v>
      </c>
      <c r="AC171" s="91">
        <f>SUMIFS(tabela_registros[VALOR],tabela_registros[MÊS],$AE$1,tabela_registros[DIA],reservafixaconsolidadoabr[[#Headers],[25]],tabela_registros[REGISTRO],DADOS!$N$6,tabela_registros[TIPO],DADOS!$AJ$3,tabela_registros[CATEGORIA],reservafixaconsolidadoabr[[#This Row],[ATUAL]])</f>
        <v>0</v>
      </c>
      <c r="AD171" s="91">
        <f>SUMIFS(tabela_registros[VALOR],tabela_registros[MÊS],$AE$1,tabela_registros[DIA],reservafixaconsolidadoabr[[#Headers],[26]],tabela_registros[REGISTRO],DADOS!$N$6,tabela_registros[TIPO],DADOS!$AJ$3,tabela_registros[CATEGORIA],reservafixaconsolidadoabr[[#This Row],[ATUAL]])</f>
        <v>0</v>
      </c>
      <c r="AE171" s="91">
        <f>SUMIFS(tabela_registros[VALOR],tabela_registros[MÊS],$AE$1,tabela_registros[DIA],reservafixaconsolidadoabr[[#Headers],[27]],tabela_registros[REGISTRO],DADOS!$N$6,tabela_registros[TIPO],DADOS!$AJ$3,tabela_registros[CATEGORIA],reservafixaconsolidadoabr[[#This Row],[ATUAL]])</f>
        <v>0</v>
      </c>
      <c r="AF171" s="91">
        <f>SUMIFS(tabela_registros[VALOR],tabela_registros[MÊS],$AE$1,tabela_registros[DIA],reservafixaconsolidadoabr[[#Headers],[28]],tabela_registros[REGISTRO],DADOS!$N$6,tabela_registros[TIPO],DADOS!$AJ$3,tabela_registros[CATEGORIA],reservafixaconsolidadoabr[[#This Row],[ATUAL]])</f>
        <v>0</v>
      </c>
      <c r="AG171" s="91">
        <f>SUMIFS(tabela_registros[VALOR],tabela_registros[MÊS],$AE$1,tabela_registros[DIA],reservafixaconsolidadoabr[[#Headers],[29]],tabela_registros[REGISTRO],DADOS!$N$6,tabela_registros[TIPO],DADOS!$AJ$3,tabela_registros[CATEGORIA],reservafixaconsolidadoabr[[#This Row],[ATUAL]])</f>
        <v>0</v>
      </c>
      <c r="AH171" s="91">
        <f>SUMIFS(tabela_registros[VALOR],tabela_registros[MÊS],$AE$1,tabela_registros[DIA],reservafixaconsolidadoabr[[#Headers],[30]],tabela_registros[REGISTRO],DADOS!$N$6,tabela_registros[TIPO],DADOS!$AJ$3,tabela_registros[CATEGORIA],reservafixaconsolidadoabr[[#This Row],[ATUAL]])</f>
        <v>0</v>
      </c>
      <c r="AI171" s="101">
        <f>SUMIFS(tabela_registros[VALOR],tabela_registros[MÊS],$AE$1,tabela_registros[DIA],reservafixaconsolidadoabr[[#Headers],[31]],tabela_registros[REGISTRO],DADOS!$N$6,tabela_registros[TIPO],DADOS!$AJ$3,tabela_registros[CATEGORIA],reservafixaconsolidadoabr[[#This Row],[ATUAL]])</f>
        <v>0</v>
      </c>
      <c r="AJ171" s="97">
        <f>SUM(reservafixaconsolidadoabr[[#This Row],[1]:[31]])</f>
        <v>0</v>
      </c>
      <c r="AK171" s="25"/>
    </row>
    <row r="172" spans="2:37" ht="19.5" customHeight="1" thickTop="1" thickBot="1" x14ac:dyDescent="0.3">
      <c r="B172" s="28"/>
      <c r="C172" s="27" t="str">
        <f>DADOS!$AL$7</f>
        <v>📝 EXTERIOR</v>
      </c>
      <c r="D172" s="26" t="str">
        <f>IF(reservafixaconsolidadoabr[[#This Row],[TOTAL (R$)]]=0,"",IF(OR(reservafixaconsolidadoabr[[#This Row],[TOTAL (R$)]]=LARGE($AJ$168:$AJ$177,1),reservafixaconsolidadoabr[[#This Row],[TOTAL (R$)]]=LARGE($AJ$168:$AJ$177,2)),DADOS!$I$11,""))</f>
        <v/>
      </c>
      <c r="E172" s="96">
        <f>SUMIFS(tabela_registros[VALOR],tabela_registros[MÊS],$AE$1,tabela_registros[DIA],reservafixaconsolidadoabr[[#Headers],[1]],tabela_registros[REGISTRO],DADOS!$N$6,tabela_registros[TIPO],DADOS!$AJ$3,tabela_registros[CATEGORIA],reservafixaconsolidadoabr[[#This Row],[ATUAL]])</f>
        <v>0</v>
      </c>
      <c r="F172" s="91">
        <f>SUMIFS(tabela_registros[VALOR],tabela_registros[MÊS],$AE$1,tabela_registros[DIA],reservafixaconsolidadoabr[[#Headers],[2]],tabela_registros[REGISTRO],DADOS!$N$6,tabela_registros[TIPO],DADOS!$AJ$3,tabela_registros[CATEGORIA],reservafixaconsolidadoabr[[#This Row],[ATUAL]])</f>
        <v>0</v>
      </c>
      <c r="G172" s="91">
        <f>SUMIFS(tabela_registros[VALOR],tabela_registros[MÊS],$AE$1,tabela_registros[DIA],reservafixaconsolidadoabr[[#Headers],[3]],tabela_registros[REGISTRO],DADOS!$N$6,tabela_registros[TIPO],DADOS!$AJ$3,tabela_registros[CATEGORIA],reservafixaconsolidadoabr[[#This Row],[ATUAL]])</f>
        <v>0</v>
      </c>
      <c r="H172" s="91">
        <f>SUMIFS(tabela_registros[VALOR],tabela_registros[MÊS],$AE$1,tabela_registros[DIA],reservafixaconsolidadoabr[[#Headers],[4]],tabela_registros[REGISTRO],DADOS!$N$6,tabela_registros[TIPO],DADOS!$AJ$3,tabela_registros[CATEGORIA],reservafixaconsolidadoabr[[#This Row],[ATUAL]])</f>
        <v>0</v>
      </c>
      <c r="I172" s="91">
        <f>SUMIFS(tabela_registros[VALOR],tabela_registros[MÊS],$AE$1,tabela_registros[DIA],reservafixaconsolidadoabr[[#Headers],[5]],tabela_registros[REGISTRO],DADOS!$N$6,tabela_registros[TIPO],DADOS!$AJ$3,tabela_registros[CATEGORIA],reservafixaconsolidadoabr[[#This Row],[ATUAL]])</f>
        <v>0</v>
      </c>
      <c r="J172" s="91">
        <f>SUMIFS(tabela_registros[VALOR],tabela_registros[MÊS],$AE$1,tabela_registros[DIA],reservafixaconsolidadoabr[[#Headers],[6]],tabela_registros[REGISTRO],DADOS!$N$6,tabela_registros[TIPO],DADOS!$AJ$3,tabela_registros[CATEGORIA],reservafixaconsolidadoabr[[#This Row],[ATUAL]])</f>
        <v>0</v>
      </c>
      <c r="K172" s="91">
        <f>SUMIFS(tabela_registros[VALOR],tabela_registros[MÊS],$AE$1,tabela_registros[DIA],reservafixaconsolidadoabr[[#Headers],[7]],tabela_registros[REGISTRO],DADOS!$N$6,tabela_registros[TIPO],DADOS!$AJ$3,tabela_registros[CATEGORIA],reservafixaconsolidadoabr[[#This Row],[ATUAL]])</f>
        <v>0</v>
      </c>
      <c r="L172" s="91">
        <f>SUMIFS(tabela_registros[VALOR],tabela_registros[MÊS],$AE$1,tabela_registros[DIA],reservafixaconsolidadoabr[[#Headers],[8]],tabela_registros[REGISTRO],DADOS!$N$6,tabela_registros[TIPO],DADOS!$AJ$3,tabela_registros[CATEGORIA],reservafixaconsolidadoabr[[#This Row],[ATUAL]])</f>
        <v>0</v>
      </c>
      <c r="M172" s="91">
        <f>SUMIFS(tabela_registros[VALOR],tabela_registros[MÊS],$AE$1,tabela_registros[DIA],reservafixaconsolidadoabr[[#Headers],[9]],tabela_registros[REGISTRO],DADOS!$N$6,tabela_registros[TIPO],DADOS!$AJ$3,tabela_registros[CATEGORIA],reservafixaconsolidadoabr[[#This Row],[ATUAL]])</f>
        <v>0</v>
      </c>
      <c r="N172" s="91">
        <f>SUMIFS(tabela_registros[VALOR],tabela_registros[MÊS],$AE$1,tabela_registros[DIA],reservafixaconsolidadoabr[[#Headers],[10]],tabela_registros[REGISTRO],DADOS!$N$6,tabela_registros[TIPO],DADOS!$AJ$3,tabela_registros[CATEGORIA],reservafixaconsolidadoabr[[#This Row],[ATUAL]])</f>
        <v>0</v>
      </c>
      <c r="O172" s="91">
        <f>SUMIFS(tabela_registros[VALOR],tabela_registros[MÊS],$AE$1,tabela_registros[DIA],reservafixaconsolidadoabr[[#Headers],[11]],tabela_registros[REGISTRO],DADOS!$N$6,tabela_registros[TIPO],DADOS!$AJ$3,tabela_registros[CATEGORIA],reservafixaconsolidadoabr[[#This Row],[ATUAL]])</f>
        <v>0</v>
      </c>
      <c r="P172" s="91">
        <f>SUMIFS(tabela_registros[VALOR],tabela_registros[MÊS],$AE$1,tabela_registros[DIA],reservafixaconsolidadoabr[[#Headers],[12]],tabela_registros[REGISTRO],DADOS!$N$6,tabela_registros[TIPO],DADOS!$AJ$3,tabela_registros[CATEGORIA],reservafixaconsolidadoabr[[#This Row],[ATUAL]])</f>
        <v>0</v>
      </c>
      <c r="Q172" s="91">
        <f>SUMIFS(tabela_registros[VALOR],tabela_registros[MÊS],$AE$1,tabela_registros[DIA],reservafixaconsolidadoabr[[#Headers],[13]],tabela_registros[REGISTRO],DADOS!$N$6,tabela_registros[TIPO],DADOS!$AJ$3,tabela_registros[CATEGORIA],reservafixaconsolidadoabr[[#This Row],[ATUAL]])</f>
        <v>0</v>
      </c>
      <c r="R172" s="91">
        <f>SUMIFS(tabela_registros[VALOR],tabela_registros[MÊS],$AE$1,tabela_registros[DIA],reservafixaconsolidadoabr[[#Headers],[14]],tabela_registros[REGISTRO],DADOS!$N$6,tabela_registros[TIPO],DADOS!$AJ$3,tabela_registros[CATEGORIA],reservafixaconsolidadoabr[[#This Row],[ATUAL]])</f>
        <v>0</v>
      </c>
      <c r="S172" s="91">
        <f>SUMIFS(tabela_registros[VALOR],tabela_registros[MÊS],$AE$1,tabela_registros[DIA],reservafixaconsolidadoabr[[#Headers],[15]],tabela_registros[REGISTRO],DADOS!$N$6,tabela_registros[TIPO],DADOS!$AJ$3,tabela_registros[CATEGORIA],reservafixaconsolidadoabr[[#This Row],[ATUAL]])</f>
        <v>0</v>
      </c>
      <c r="T172" s="91">
        <f>SUMIFS(tabela_registros[VALOR],tabela_registros[MÊS],$AE$1,tabela_registros[DIA],reservafixaconsolidadoabr[[#Headers],[16]],tabela_registros[REGISTRO],DADOS!$N$6,tabela_registros[TIPO],DADOS!$AJ$3,tabela_registros[CATEGORIA],reservafixaconsolidadoabr[[#This Row],[ATUAL]])</f>
        <v>0</v>
      </c>
      <c r="U172" s="91">
        <f>SUMIFS(tabela_registros[VALOR],tabela_registros[MÊS],$AE$1,tabela_registros[DIA],reservafixaconsolidadoabr[[#Headers],[17]],tabela_registros[REGISTRO],DADOS!$N$6,tabela_registros[TIPO],DADOS!$AJ$3,tabela_registros[CATEGORIA],reservafixaconsolidadoabr[[#This Row],[ATUAL]])</f>
        <v>0</v>
      </c>
      <c r="V172" s="91">
        <f>SUMIFS(tabela_registros[VALOR],tabela_registros[MÊS],$AE$1,tabela_registros[DIA],reservafixaconsolidadoabr[[#Headers],[18]],tabela_registros[REGISTRO],DADOS!$N$6,tabela_registros[TIPO],DADOS!$AJ$3,tabela_registros[CATEGORIA],reservafixaconsolidadoabr[[#This Row],[ATUAL]])</f>
        <v>0</v>
      </c>
      <c r="W172" s="91">
        <f>SUMIFS(tabela_registros[VALOR],tabela_registros[MÊS],$AE$1,tabela_registros[DIA],reservafixaconsolidadoabr[[#Headers],[19]],tabela_registros[REGISTRO],DADOS!$N$6,tabela_registros[TIPO],DADOS!$AJ$3,tabela_registros[CATEGORIA],reservafixaconsolidadoabr[[#This Row],[ATUAL]])</f>
        <v>0</v>
      </c>
      <c r="X172" s="91">
        <f>SUMIFS(tabela_registros[VALOR],tabela_registros[MÊS],$AE$1,tabela_registros[DIA],reservafixaconsolidadoabr[[#Headers],[20]],tabela_registros[REGISTRO],DADOS!$N$6,tabela_registros[TIPO],DADOS!$AJ$3,tabela_registros[CATEGORIA],reservafixaconsolidadoabr[[#This Row],[ATUAL]])</f>
        <v>0</v>
      </c>
      <c r="Y172" s="91">
        <f>SUMIFS(tabela_registros[VALOR],tabela_registros[MÊS],$AE$1,tabela_registros[DIA],reservafixaconsolidadoabr[[#Headers],[21]],tabela_registros[REGISTRO],DADOS!$N$6,tabela_registros[TIPO],DADOS!$AJ$3,tabela_registros[CATEGORIA],reservafixaconsolidadoabr[[#This Row],[ATUAL]])</f>
        <v>0</v>
      </c>
      <c r="Z172" s="91">
        <f>SUMIFS(tabela_registros[VALOR],tabela_registros[MÊS],$AE$1,tabela_registros[DIA],reservafixaconsolidadoabr[[#Headers],[22]],tabela_registros[REGISTRO],DADOS!$N$6,tabela_registros[TIPO],DADOS!$AJ$3,tabela_registros[CATEGORIA],reservafixaconsolidadoabr[[#This Row],[ATUAL]])</f>
        <v>0</v>
      </c>
      <c r="AA172" s="91">
        <f>SUMIFS(tabela_registros[VALOR],tabela_registros[MÊS],$AE$1,tabela_registros[DIA],reservafixaconsolidadoabr[[#Headers],[23]],tabela_registros[REGISTRO],DADOS!$N$6,tabela_registros[TIPO],DADOS!$AJ$3,tabela_registros[CATEGORIA],reservafixaconsolidadoabr[[#This Row],[ATUAL]])</f>
        <v>0</v>
      </c>
      <c r="AB172" s="91">
        <f>SUMIFS(tabela_registros[VALOR],tabela_registros[MÊS],$AE$1,tabela_registros[DIA],reservafixaconsolidadoabr[[#Headers],[24]],tabela_registros[REGISTRO],DADOS!$N$6,tabela_registros[TIPO],DADOS!$AJ$3,tabela_registros[CATEGORIA],reservafixaconsolidadoabr[[#This Row],[ATUAL]])</f>
        <v>0</v>
      </c>
      <c r="AC172" s="91">
        <f>SUMIFS(tabela_registros[VALOR],tabela_registros[MÊS],$AE$1,tabela_registros[DIA],reservafixaconsolidadoabr[[#Headers],[25]],tabela_registros[REGISTRO],DADOS!$N$6,tabela_registros[TIPO],DADOS!$AJ$3,tabela_registros[CATEGORIA],reservafixaconsolidadoabr[[#This Row],[ATUAL]])</f>
        <v>0</v>
      </c>
      <c r="AD172" s="91">
        <f>SUMIFS(tabela_registros[VALOR],tabela_registros[MÊS],$AE$1,tabela_registros[DIA],reservafixaconsolidadoabr[[#Headers],[26]],tabela_registros[REGISTRO],DADOS!$N$6,tabela_registros[TIPO],DADOS!$AJ$3,tabela_registros[CATEGORIA],reservafixaconsolidadoabr[[#This Row],[ATUAL]])</f>
        <v>0</v>
      </c>
      <c r="AE172" s="91">
        <f>SUMIFS(tabela_registros[VALOR],tabela_registros[MÊS],$AE$1,tabela_registros[DIA],reservafixaconsolidadoabr[[#Headers],[27]],tabela_registros[REGISTRO],DADOS!$N$6,tabela_registros[TIPO],DADOS!$AJ$3,tabela_registros[CATEGORIA],reservafixaconsolidadoabr[[#This Row],[ATUAL]])</f>
        <v>0</v>
      </c>
      <c r="AF172" s="91">
        <f>SUMIFS(tabela_registros[VALOR],tabela_registros[MÊS],$AE$1,tabela_registros[DIA],reservafixaconsolidadoabr[[#Headers],[28]],tabela_registros[REGISTRO],DADOS!$N$6,tabela_registros[TIPO],DADOS!$AJ$3,tabela_registros[CATEGORIA],reservafixaconsolidadoabr[[#This Row],[ATUAL]])</f>
        <v>0</v>
      </c>
      <c r="AG172" s="91">
        <f>SUMIFS(tabela_registros[VALOR],tabela_registros[MÊS],$AE$1,tabela_registros[DIA],reservafixaconsolidadoabr[[#Headers],[29]],tabela_registros[REGISTRO],DADOS!$N$6,tabela_registros[TIPO],DADOS!$AJ$3,tabela_registros[CATEGORIA],reservafixaconsolidadoabr[[#This Row],[ATUAL]])</f>
        <v>0</v>
      </c>
      <c r="AH172" s="91">
        <f>SUMIFS(tabela_registros[VALOR],tabela_registros[MÊS],$AE$1,tabela_registros[DIA],reservafixaconsolidadoabr[[#Headers],[30]],tabela_registros[REGISTRO],DADOS!$N$6,tabela_registros[TIPO],DADOS!$AJ$3,tabela_registros[CATEGORIA],reservafixaconsolidadoabr[[#This Row],[ATUAL]])</f>
        <v>0</v>
      </c>
      <c r="AI172" s="101">
        <f>SUMIFS(tabela_registros[VALOR],tabela_registros[MÊS],$AE$1,tabela_registros[DIA],reservafixaconsolidadoabr[[#Headers],[31]],tabela_registros[REGISTRO],DADOS!$N$6,tabela_registros[TIPO],DADOS!$AJ$3,tabela_registros[CATEGORIA],reservafixaconsolidadoabr[[#This Row],[ATUAL]])</f>
        <v>0</v>
      </c>
      <c r="AJ172" s="97">
        <f>SUM(reservafixaconsolidadoabr[[#This Row],[1]:[31]])</f>
        <v>0</v>
      </c>
      <c r="AK172" s="25"/>
    </row>
    <row r="173" spans="2:37" ht="19.5" customHeight="1" thickTop="1" thickBot="1" x14ac:dyDescent="0.3">
      <c r="B173" s="28"/>
      <c r="C173" s="27" t="str">
        <f>DADOS!$AL$8</f>
        <v>📝 LC</v>
      </c>
      <c r="D173" s="26" t="str">
        <f>IF(reservafixaconsolidadoabr[[#This Row],[TOTAL (R$)]]=0,"",IF(OR(reservafixaconsolidadoabr[[#This Row],[TOTAL (R$)]]=LARGE($AJ$168:$AJ$177,1),reservafixaconsolidadoabr[[#This Row],[TOTAL (R$)]]=LARGE($AJ$168:$AJ$177,2)),DADOS!$I$11,""))</f>
        <v/>
      </c>
      <c r="E173" s="96">
        <f>SUMIFS(tabela_registros[VALOR],tabela_registros[MÊS],$AE$1,tabela_registros[DIA],reservafixaconsolidadoabr[[#Headers],[1]],tabela_registros[REGISTRO],DADOS!$N$6,tabela_registros[TIPO],DADOS!$AJ$3,tabela_registros[CATEGORIA],reservafixaconsolidadoabr[[#This Row],[ATUAL]])</f>
        <v>0</v>
      </c>
      <c r="F173" s="91">
        <f>SUMIFS(tabela_registros[VALOR],tabela_registros[MÊS],$AE$1,tabela_registros[DIA],reservafixaconsolidadoabr[[#Headers],[2]],tabela_registros[REGISTRO],DADOS!$N$6,tabela_registros[TIPO],DADOS!$AJ$3,tabela_registros[CATEGORIA],reservafixaconsolidadoabr[[#This Row],[ATUAL]])</f>
        <v>0</v>
      </c>
      <c r="G173" s="91">
        <f>SUMIFS(tabela_registros[VALOR],tabela_registros[MÊS],$AE$1,tabela_registros[DIA],reservafixaconsolidadoabr[[#Headers],[3]],tabela_registros[REGISTRO],DADOS!$N$6,tabela_registros[TIPO],DADOS!$AJ$3,tabela_registros[CATEGORIA],reservafixaconsolidadoabr[[#This Row],[ATUAL]])</f>
        <v>0</v>
      </c>
      <c r="H173" s="91">
        <f>SUMIFS(tabela_registros[VALOR],tabela_registros[MÊS],$AE$1,tabela_registros[DIA],reservafixaconsolidadoabr[[#Headers],[4]],tabela_registros[REGISTRO],DADOS!$N$6,tabela_registros[TIPO],DADOS!$AJ$3,tabela_registros[CATEGORIA],reservafixaconsolidadoabr[[#This Row],[ATUAL]])</f>
        <v>0</v>
      </c>
      <c r="I173" s="91">
        <f>SUMIFS(tabela_registros[VALOR],tabela_registros[MÊS],$AE$1,tabela_registros[DIA],reservafixaconsolidadoabr[[#Headers],[5]],tabela_registros[REGISTRO],DADOS!$N$6,tabela_registros[TIPO],DADOS!$AJ$3,tabela_registros[CATEGORIA],reservafixaconsolidadoabr[[#This Row],[ATUAL]])</f>
        <v>0</v>
      </c>
      <c r="J173" s="91">
        <f>SUMIFS(tabela_registros[VALOR],tabela_registros[MÊS],$AE$1,tabela_registros[DIA],reservafixaconsolidadoabr[[#Headers],[6]],tabela_registros[REGISTRO],DADOS!$N$6,tabela_registros[TIPO],DADOS!$AJ$3,tabela_registros[CATEGORIA],reservafixaconsolidadoabr[[#This Row],[ATUAL]])</f>
        <v>0</v>
      </c>
      <c r="K173" s="91">
        <f>SUMIFS(tabela_registros[VALOR],tabela_registros[MÊS],$AE$1,tabela_registros[DIA],reservafixaconsolidadoabr[[#Headers],[7]],tabela_registros[REGISTRO],DADOS!$N$6,tabela_registros[TIPO],DADOS!$AJ$3,tabela_registros[CATEGORIA],reservafixaconsolidadoabr[[#This Row],[ATUAL]])</f>
        <v>0</v>
      </c>
      <c r="L173" s="91">
        <f>SUMIFS(tabela_registros[VALOR],tabela_registros[MÊS],$AE$1,tabela_registros[DIA],reservafixaconsolidadoabr[[#Headers],[8]],tabela_registros[REGISTRO],DADOS!$N$6,tabela_registros[TIPO],DADOS!$AJ$3,tabela_registros[CATEGORIA],reservafixaconsolidadoabr[[#This Row],[ATUAL]])</f>
        <v>0</v>
      </c>
      <c r="M173" s="91">
        <f>SUMIFS(tabela_registros[VALOR],tabela_registros[MÊS],$AE$1,tabela_registros[DIA],reservafixaconsolidadoabr[[#Headers],[9]],tabela_registros[REGISTRO],DADOS!$N$6,tabela_registros[TIPO],DADOS!$AJ$3,tabela_registros[CATEGORIA],reservafixaconsolidadoabr[[#This Row],[ATUAL]])</f>
        <v>0</v>
      </c>
      <c r="N173" s="91">
        <f>SUMIFS(tabela_registros[VALOR],tabela_registros[MÊS],$AE$1,tabela_registros[DIA],reservafixaconsolidadoabr[[#Headers],[10]],tabela_registros[REGISTRO],DADOS!$N$6,tabela_registros[TIPO],DADOS!$AJ$3,tabela_registros[CATEGORIA],reservafixaconsolidadoabr[[#This Row],[ATUAL]])</f>
        <v>0</v>
      </c>
      <c r="O173" s="91">
        <f>SUMIFS(tabela_registros[VALOR],tabela_registros[MÊS],$AE$1,tabela_registros[DIA],reservafixaconsolidadoabr[[#Headers],[11]],tabela_registros[REGISTRO],DADOS!$N$6,tabela_registros[TIPO],DADOS!$AJ$3,tabela_registros[CATEGORIA],reservafixaconsolidadoabr[[#This Row],[ATUAL]])</f>
        <v>0</v>
      </c>
      <c r="P173" s="91">
        <f>SUMIFS(tabela_registros[VALOR],tabela_registros[MÊS],$AE$1,tabela_registros[DIA],reservafixaconsolidadoabr[[#Headers],[12]],tabela_registros[REGISTRO],DADOS!$N$6,tabela_registros[TIPO],DADOS!$AJ$3,tabela_registros[CATEGORIA],reservafixaconsolidadoabr[[#This Row],[ATUAL]])</f>
        <v>0</v>
      </c>
      <c r="Q173" s="91">
        <f>SUMIFS(tabela_registros[VALOR],tabela_registros[MÊS],$AE$1,tabela_registros[DIA],reservafixaconsolidadoabr[[#Headers],[13]],tabela_registros[REGISTRO],DADOS!$N$6,tabela_registros[TIPO],DADOS!$AJ$3,tabela_registros[CATEGORIA],reservafixaconsolidadoabr[[#This Row],[ATUAL]])</f>
        <v>0</v>
      </c>
      <c r="R173" s="91">
        <f>SUMIFS(tabela_registros[VALOR],tabela_registros[MÊS],$AE$1,tabela_registros[DIA],reservafixaconsolidadoabr[[#Headers],[14]],tabela_registros[REGISTRO],DADOS!$N$6,tabela_registros[TIPO],DADOS!$AJ$3,tabela_registros[CATEGORIA],reservafixaconsolidadoabr[[#This Row],[ATUAL]])</f>
        <v>0</v>
      </c>
      <c r="S173" s="91">
        <f>SUMIFS(tabela_registros[VALOR],tabela_registros[MÊS],$AE$1,tabela_registros[DIA],reservafixaconsolidadoabr[[#Headers],[15]],tabela_registros[REGISTRO],DADOS!$N$6,tabela_registros[TIPO],DADOS!$AJ$3,tabela_registros[CATEGORIA],reservafixaconsolidadoabr[[#This Row],[ATUAL]])</f>
        <v>0</v>
      </c>
      <c r="T173" s="91">
        <f>SUMIFS(tabela_registros[VALOR],tabela_registros[MÊS],$AE$1,tabela_registros[DIA],reservafixaconsolidadoabr[[#Headers],[16]],tabela_registros[REGISTRO],DADOS!$N$6,tabela_registros[TIPO],DADOS!$AJ$3,tabela_registros[CATEGORIA],reservafixaconsolidadoabr[[#This Row],[ATUAL]])</f>
        <v>0</v>
      </c>
      <c r="U173" s="91">
        <f>SUMIFS(tabela_registros[VALOR],tabela_registros[MÊS],$AE$1,tabela_registros[DIA],reservafixaconsolidadoabr[[#Headers],[17]],tabela_registros[REGISTRO],DADOS!$N$6,tabela_registros[TIPO],DADOS!$AJ$3,tabela_registros[CATEGORIA],reservafixaconsolidadoabr[[#This Row],[ATUAL]])</f>
        <v>0</v>
      </c>
      <c r="V173" s="91">
        <f>SUMIFS(tabela_registros[VALOR],tabela_registros[MÊS],$AE$1,tabela_registros[DIA],reservafixaconsolidadoabr[[#Headers],[18]],tabela_registros[REGISTRO],DADOS!$N$6,tabela_registros[TIPO],DADOS!$AJ$3,tabela_registros[CATEGORIA],reservafixaconsolidadoabr[[#This Row],[ATUAL]])</f>
        <v>0</v>
      </c>
      <c r="W173" s="91">
        <f>SUMIFS(tabela_registros[VALOR],tabela_registros[MÊS],$AE$1,tabela_registros[DIA],reservafixaconsolidadoabr[[#Headers],[19]],tabela_registros[REGISTRO],DADOS!$N$6,tabela_registros[TIPO],DADOS!$AJ$3,tabela_registros[CATEGORIA],reservafixaconsolidadoabr[[#This Row],[ATUAL]])</f>
        <v>0</v>
      </c>
      <c r="X173" s="91">
        <f>SUMIFS(tabela_registros[VALOR],tabela_registros[MÊS],$AE$1,tabela_registros[DIA],reservafixaconsolidadoabr[[#Headers],[20]],tabela_registros[REGISTRO],DADOS!$N$6,tabela_registros[TIPO],DADOS!$AJ$3,tabela_registros[CATEGORIA],reservafixaconsolidadoabr[[#This Row],[ATUAL]])</f>
        <v>0</v>
      </c>
      <c r="Y173" s="91">
        <f>SUMIFS(tabela_registros[VALOR],tabela_registros[MÊS],$AE$1,tabela_registros[DIA],reservafixaconsolidadoabr[[#Headers],[21]],tabela_registros[REGISTRO],DADOS!$N$6,tabela_registros[TIPO],DADOS!$AJ$3,tabela_registros[CATEGORIA],reservafixaconsolidadoabr[[#This Row],[ATUAL]])</f>
        <v>0</v>
      </c>
      <c r="Z173" s="91">
        <f>SUMIFS(tabela_registros[VALOR],tabela_registros[MÊS],$AE$1,tabela_registros[DIA],reservafixaconsolidadoabr[[#Headers],[22]],tabela_registros[REGISTRO],DADOS!$N$6,tabela_registros[TIPO],DADOS!$AJ$3,tabela_registros[CATEGORIA],reservafixaconsolidadoabr[[#This Row],[ATUAL]])</f>
        <v>0</v>
      </c>
      <c r="AA173" s="91">
        <f>SUMIFS(tabela_registros[VALOR],tabela_registros[MÊS],$AE$1,tabela_registros[DIA],reservafixaconsolidadoabr[[#Headers],[23]],tabela_registros[REGISTRO],DADOS!$N$6,tabela_registros[TIPO],DADOS!$AJ$3,tabela_registros[CATEGORIA],reservafixaconsolidadoabr[[#This Row],[ATUAL]])</f>
        <v>0</v>
      </c>
      <c r="AB173" s="91">
        <f>SUMIFS(tabela_registros[VALOR],tabela_registros[MÊS],$AE$1,tabela_registros[DIA],reservafixaconsolidadoabr[[#Headers],[24]],tabela_registros[REGISTRO],DADOS!$N$6,tabela_registros[TIPO],DADOS!$AJ$3,tabela_registros[CATEGORIA],reservafixaconsolidadoabr[[#This Row],[ATUAL]])</f>
        <v>0</v>
      </c>
      <c r="AC173" s="91">
        <f>SUMIFS(tabela_registros[VALOR],tabela_registros[MÊS],$AE$1,tabela_registros[DIA],reservafixaconsolidadoabr[[#Headers],[25]],tabela_registros[REGISTRO],DADOS!$N$6,tabela_registros[TIPO],DADOS!$AJ$3,tabela_registros[CATEGORIA],reservafixaconsolidadoabr[[#This Row],[ATUAL]])</f>
        <v>0</v>
      </c>
      <c r="AD173" s="91">
        <f>SUMIFS(tabela_registros[VALOR],tabela_registros[MÊS],$AE$1,tabela_registros[DIA],reservafixaconsolidadoabr[[#Headers],[26]],tabela_registros[REGISTRO],DADOS!$N$6,tabela_registros[TIPO],DADOS!$AJ$3,tabela_registros[CATEGORIA],reservafixaconsolidadoabr[[#This Row],[ATUAL]])</f>
        <v>0</v>
      </c>
      <c r="AE173" s="91">
        <f>SUMIFS(tabela_registros[VALOR],tabela_registros[MÊS],$AE$1,tabela_registros[DIA],reservafixaconsolidadoabr[[#Headers],[27]],tabela_registros[REGISTRO],DADOS!$N$6,tabela_registros[TIPO],DADOS!$AJ$3,tabela_registros[CATEGORIA],reservafixaconsolidadoabr[[#This Row],[ATUAL]])</f>
        <v>0</v>
      </c>
      <c r="AF173" s="91">
        <f>SUMIFS(tabela_registros[VALOR],tabela_registros[MÊS],$AE$1,tabela_registros[DIA],reservafixaconsolidadoabr[[#Headers],[28]],tabela_registros[REGISTRO],DADOS!$N$6,tabela_registros[TIPO],DADOS!$AJ$3,tabela_registros[CATEGORIA],reservafixaconsolidadoabr[[#This Row],[ATUAL]])</f>
        <v>0</v>
      </c>
      <c r="AG173" s="91">
        <f>SUMIFS(tabela_registros[VALOR],tabela_registros[MÊS],$AE$1,tabela_registros[DIA],reservafixaconsolidadoabr[[#Headers],[29]],tabela_registros[REGISTRO],DADOS!$N$6,tabela_registros[TIPO],DADOS!$AJ$3,tabela_registros[CATEGORIA],reservafixaconsolidadoabr[[#This Row],[ATUAL]])</f>
        <v>0</v>
      </c>
      <c r="AH173" s="91">
        <f>SUMIFS(tabela_registros[VALOR],tabela_registros[MÊS],$AE$1,tabela_registros[DIA],reservafixaconsolidadoabr[[#Headers],[30]],tabela_registros[REGISTRO],DADOS!$N$6,tabela_registros[TIPO],DADOS!$AJ$3,tabela_registros[CATEGORIA],reservafixaconsolidadoabr[[#This Row],[ATUAL]])</f>
        <v>0</v>
      </c>
      <c r="AI173" s="101">
        <f>SUMIFS(tabela_registros[VALOR],tabela_registros[MÊS],$AE$1,tabela_registros[DIA],reservafixaconsolidadoabr[[#Headers],[31]],tabela_registros[REGISTRO],DADOS!$N$6,tabela_registros[TIPO],DADOS!$AJ$3,tabela_registros[CATEGORIA],reservafixaconsolidadoabr[[#This Row],[ATUAL]])</f>
        <v>0</v>
      </c>
      <c r="AJ173" s="97">
        <f>SUM(reservafixaconsolidadoabr[[#This Row],[1]:[31]])</f>
        <v>0</v>
      </c>
      <c r="AK173" s="25"/>
    </row>
    <row r="174" spans="2:37" ht="19.5" customHeight="1" thickTop="1" thickBot="1" x14ac:dyDescent="0.3">
      <c r="B174" s="28"/>
      <c r="C174" s="27" t="str">
        <f>DADOS!$AL$9</f>
        <v>📝 LCA</v>
      </c>
      <c r="D174" s="26" t="str">
        <f>IF(reservafixaconsolidadoabr[[#This Row],[TOTAL (R$)]]=0,"",IF(OR(reservafixaconsolidadoabr[[#This Row],[TOTAL (R$)]]=LARGE($AJ$168:$AJ$177,1),reservafixaconsolidadoabr[[#This Row],[TOTAL (R$)]]=LARGE($AJ$168:$AJ$177,2)),DADOS!$I$11,""))</f>
        <v/>
      </c>
      <c r="E174" s="96">
        <f>SUMIFS(tabela_registros[VALOR],tabela_registros[MÊS],$AE$1,tabela_registros[DIA],reservafixaconsolidadoabr[[#Headers],[1]],tabela_registros[REGISTRO],DADOS!$N$6,tabela_registros[TIPO],DADOS!$AJ$3,tabela_registros[CATEGORIA],reservafixaconsolidadoabr[[#This Row],[ATUAL]])</f>
        <v>0</v>
      </c>
      <c r="F174" s="91">
        <f>SUMIFS(tabela_registros[VALOR],tabela_registros[MÊS],$AE$1,tabela_registros[DIA],reservafixaconsolidadoabr[[#Headers],[2]],tabela_registros[REGISTRO],DADOS!$N$6,tabela_registros[TIPO],DADOS!$AJ$3,tabela_registros[CATEGORIA],reservafixaconsolidadoabr[[#This Row],[ATUAL]])</f>
        <v>0</v>
      </c>
      <c r="G174" s="91">
        <f>SUMIFS(tabela_registros[VALOR],tabela_registros[MÊS],$AE$1,tabela_registros[DIA],reservafixaconsolidadoabr[[#Headers],[3]],tabela_registros[REGISTRO],DADOS!$N$6,tabela_registros[TIPO],DADOS!$AJ$3,tabela_registros[CATEGORIA],reservafixaconsolidadoabr[[#This Row],[ATUAL]])</f>
        <v>0</v>
      </c>
      <c r="H174" s="91">
        <f>SUMIFS(tabela_registros[VALOR],tabela_registros[MÊS],$AE$1,tabela_registros[DIA],reservafixaconsolidadoabr[[#Headers],[4]],tabela_registros[REGISTRO],DADOS!$N$6,tabela_registros[TIPO],DADOS!$AJ$3,tabela_registros[CATEGORIA],reservafixaconsolidadoabr[[#This Row],[ATUAL]])</f>
        <v>0</v>
      </c>
      <c r="I174" s="91">
        <f>SUMIFS(tabela_registros[VALOR],tabela_registros[MÊS],$AE$1,tabela_registros[DIA],reservafixaconsolidadoabr[[#Headers],[5]],tabela_registros[REGISTRO],DADOS!$N$6,tabela_registros[TIPO],DADOS!$AJ$3,tabela_registros[CATEGORIA],reservafixaconsolidadoabr[[#This Row],[ATUAL]])</f>
        <v>0</v>
      </c>
      <c r="J174" s="91">
        <f>SUMIFS(tabela_registros[VALOR],tabela_registros[MÊS],$AE$1,tabela_registros[DIA],reservafixaconsolidadoabr[[#Headers],[6]],tabela_registros[REGISTRO],DADOS!$N$6,tabela_registros[TIPO],DADOS!$AJ$3,tabela_registros[CATEGORIA],reservafixaconsolidadoabr[[#This Row],[ATUAL]])</f>
        <v>0</v>
      </c>
      <c r="K174" s="91">
        <f>SUMIFS(tabela_registros[VALOR],tabela_registros[MÊS],$AE$1,tabela_registros[DIA],reservafixaconsolidadoabr[[#Headers],[7]],tabela_registros[REGISTRO],DADOS!$N$6,tabela_registros[TIPO],DADOS!$AJ$3,tabela_registros[CATEGORIA],reservafixaconsolidadoabr[[#This Row],[ATUAL]])</f>
        <v>0</v>
      </c>
      <c r="L174" s="91">
        <f>SUMIFS(tabela_registros[VALOR],tabela_registros[MÊS],$AE$1,tabela_registros[DIA],reservafixaconsolidadoabr[[#Headers],[8]],tabela_registros[REGISTRO],DADOS!$N$6,tabela_registros[TIPO],DADOS!$AJ$3,tabela_registros[CATEGORIA],reservafixaconsolidadoabr[[#This Row],[ATUAL]])</f>
        <v>0</v>
      </c>
      <c r="M174" s="91">
        <f>SUMIFS(tabela_registros[VALOR],tabela_registros[MÊS],$AE$1,tabela_registros[DIA],reservafixaconsolidadoabr[[#Headers],[9]],tabela_registros[REGISTRO],DADOS!$N$6,tabela_registros[TIPO],DADOS!$AJ$3,tabela_registros[CATEGORIA],reservafixaconsolidadoabr[[#This Row],[ATUAL]])</f>
        <v>0</v>
      </c>
      <c r="N174" s="91">
        <f>SUMIFS(tabela_registros[VALOR],tabela_registros[MÊS],$AE$1,tabela_registros[DIA],reservafixaconsolidadoabr[[#Headers],[10]],tabela_registros[REGISTRO],DADOS!$N$6,tabela_registros[TIPO],DADOS!$AJ$3,tabela_registros[CATEGORIA],reservafixaconsolidadoabr[[#This Row],[ATUAL]])</f>
        <v>0</v>
      </c>
      <c r="O174" s="91">
        <f>SUMIFS(tabela_registros[VALOR],tabela_registros[MÊS],$AE$1,tabela_registros[DIA],reservafixaconsolidadoabr[[#Headers],[11]],tabela_registros[REGISTRO],DADOS!$N$6,tabela_registros[TIPO],DADOS!$AJ$3,tabela_registros[CATEGORIA],reservafixaconsolidadoabr[[#This Row],[ATUAL]])</f>
        <v>0</v>
      </c>
      <c r="P174" s="91">
        <f>SUMIFS(tabela_registros[VALOR],tabela_registros[MÊS],$AE$1,tabela_registros[DIA],reservafixaconsolidadoabr[[#Headers],[12]],tabela_registros[REGISTRO],DADOS!$N$6,tabela_registros[TIPO],DADOS!$AJ$3,tabela_registros[CATEGORIA],reservafixaconsolidadoabr[[#This Row],[ATUAL]])</f>
        <v>0</v>
      </c>
      <c r="Q174" s="91">
        <f>SUMIFS(tabela_registros[VALOR],tabela_registros[MÊS],$AE$1,tabela_registros[DIA],reservafixaconsolidadoabr[[#Headers],[13]],tabela_registros[REGISTRO],DADOS!$N$6,tabela_registros[TIPO],DADOS!$AJ$3,tabela_registros[CATEGORIA],reservafixaconsolidadoabr[[#This Row],[ATUAL]])</f>
        <v>0</v>
      </c>
      <c r="R174" s="91">
        <f>SUMIFS(tabela_registros[VALOR],tabela_registros[MÊS],$AE$1,tabela_registros[DIA],reservafixaconsolidadoabr[[#Headers],[14]],tabela_registros[REGISTRO],DADOS!$N$6,tabela_registros[TIPO],DADOS!$AJ$3,tabela_registros[CATEGORIA],reservafixaconsolidadoabr[[#This Row],[ATUAL]])</f>
        <v>0</v>
      </c>
      <c r="S174" s="91">
        <f>SUMIFS(tabela_registros[VALOR],tabela_registros[MÊS],$AE$1,tabela_registros[DIA],reservafixaconsolidadoabr[[#Headers],[15]],tabela_registros[REGISTRO],DADOS!$N$6,tabela_registros[TIPO],DADOS!$AJ$3,tabela_registros[CATEGORIA],reservafixaconsolidadoabr[[#This Row],[ATUAL]])</f>
        <v>0</v>
      </c>
      <c r="T174" s="91">
        <f>SUMIFS(tabela_registros[VALOR],tabela_registros[MÊS],$AE$1,tabela_registros[DIA],reservafixaconsolidadoabr[[#Headers],[16]],tabela_registros[REGISTRO],DADOS!$N$6,tabela_registros[TIPO],DADOS!$AJ$3,tabela_registros[CATEGORIA],reservafixaconsolidadoabr[[#This Row],[ATUAL]])</f>
        <v>0</v>
      </c>
      <c r="U174" s="91">
        <f>SUMIFS(tabela_registros[VALOR],tabela_registros[MÊS],$AE$1,tabela_registros[DIA],reservafixaconsolidadoabr[[#Headers],[17]],tabela_registros[REGISTRO],DADOS!$N$6,tabela_registros[TIPO],DADOS!$AJ$3,tabela_registros[CATEGORIA],reservafixaconsolidadoabr[[#This Row],[ATUAL]])</f>
        <v>0</v>
      </c>
      <c r="V174" s="91">
        <f>SUMIFS(tabela_registros[VALOR],tabela_registros[MÊS],$AE$1,tabela_registros[DIA],reservafixaconsolidadoabr[[#Headers],[18]],tabela_registros[REGISTRO],DADOS!$N$6,tabela_registros[TIPO],DADOS!$AJ$3,tabela_registros[CATEGORIA],reservafixaconsolidadoabr[[#This Row],[ATUAL]])</f>
        <v>0</v>
      </c>
      <c r="W174" s="91">
        <f>SUMIFS(tabela_registros[VALOR],tabela_registros[MÊS],$AE$1,tabela_registros[DIA],reservafixaconsolidadoabr[[#Headers],[19]],tabela_registros[REGISTRO],DADOS!$N$6,tabela_registros[TIPO],DADOS!$AJ$3,tabela_registros[CATEGORIA],reservafixaconsolidadoabr[[#This Row],[ATUAL]])</f>
        <v>0</v>
      </c>
      <c r="X174" s="91">
        <f>SUMIFS(tabela_registros[VALOR],tabela_registros[MÊS],$AE$1,tabela_registros[DIA],reservafixaconsolidadoabr[[#Headers],[20]],tabela_registros[REGISTRO],DADOS!$N$6,tabela_registros[TIPO],DADOS!$AJ$3,tabela_registros[CATEGORIA],reservafixaconsolidadoabr[[#This Row],[ATUAL]])</f>
        <v>0</v>
      </c>
      <c r="Y174" s="91">
        <f>SUMIFS(tabela_registros[VALOR],tabela_registros[MÊS],$AE$1,tabela_registros[DIA],reservafixaconsolidadoabr[[#Headers],[21]],tabela_registros[REGISTRO],DADOS!$N$6,tabela_registros[TIPO],DADOS!$AJ$3,tabela_registros[CATEGORIA],reservafixaconsolidadoabr[[#This Row],[ATUAL]])</f>
        <v>0</v>
      </c>
      <c r="Z174" s="91">
        <f>SUMIFS(tabela_registros[VALOR],tabela_registros[MÊS],$AE$1,tabela_registros[DIA],reservafixaconsolidadoabr[[#Headers],[22]],tabela_registros[REGISTRO],DADOS!$N$6,tabela_registros[TIPO],DADOS!$AJ$3,tabela_registros[CATEGORIA],reservafixaconsolidadoabr[[#This Row],[ATUAL]])</f>
        <v>0</v>
      </c>
      <c r="AA174" s="91">
        <f>SUMIFS(tabela_registros[VALOR],tabela_registros[MÊS],$AE$1,tabela_registros[DIA],reservafixaconsolidadoabr[[#Headers],[23]],tabela_registros[REGISTRO],DADOS!$N$6,tabela_registros[TIPO],DADOS!$AJ$3,tabela_registros[CATEGORIA],reservafixaconsolidadoabr[[#This Row],[ATUAL]])</f>
        <v>0</v>
      </c>
      <c r="AB174" s="91">
        <f>SUMIFS(tabela_registros[VALOR],tabela_registros[MÊS],$AE$1,tabela_registros[DIA],reservafixaconsolidadoabr[[#Headers],[24]],tabela_registros[REGISTRO],DADOS!$N$6,tabela_registros[TIPO],DADOS!$AJ$3,tabela_registros[CATEGORIA],reservafixaconsolidadoabr[[#This Row],[ATUAL]])</f>
        <v>0</v>
      </c>
      <c r="AC174" s="91">
        <f>SUMIFS(tabela_registros[VALOR],tabela_registros[MÊS],$AE$1,tabela_registros[DIA],reservafixaconsolidadoabr[[#Headers],[25]],tabela_registros[REGISTRO],DADOS!$N$6,tabela_registros[TIPO],DADOS!$AJ$3,tabela_registros[CATEGORIA],reservafixaconsolidadoabr[[#This Row],[ATUAL]])</f>
        <v>0</v>
      </c>
      <c r="AD174" s="91">
        <f>SUMIFS(tabela_registros[VALOR],tabela_registros[MÊS],$AE$1,tabela_registros[DIA],reservafixaconsolidadoabr[[#Headers],[26]],tabela_registros[REGISTRO],DADOS!$N$6,tabela_registros[TIPO],DADOS!$AJ$3,tabela_registros[CATEGORIA],reservafixaconsolidadoabr[[#This Row],[ATUAL]])</f>
        <v>0</v>
      </c>
      <c r="AE174" s="91">
        <f>SUMIFS(tabela_registros[VALOR],tabela_registros[MÊS],$AE$1,tabela_registros[DIA],reservafixaconsolidadoabr[[#Headers],[27]],tabela_registros[REGISTRO],DADOS!$N$6,tabela_registros[TIPO],DADOS!$AJ$3,tabela_registros[CATEGORIA],reservafixaconsolidadoabr[[#This Row],[ATUAL]])</f>
        <v>0</v>
      </c>
      <c r="AF174" s="91">
        <f>SUMIFS(tabela_registros[VALOR],tabela_registros[MÊS],$AE$1,tabela_registros[DIA],reservafixaconsolidadoabr[[#Headers],[28]],tabela_registros[REGISTRO],DADOS!$N$6,tabela_registros[TIPO],DADOS!$AJ$3,tabela_registros[CATEGORIA],reservafixaconsolidadoabr[[#This Row],[ATUAL]])</f>
        <v>0</v>
      </c>
      <c r="AG174" s="91">
        <f>SUMIFS(tabela_registros[VALOR],tabela_registros[MÊS],$AE$1,tabela_registros[DIA],reservafixaconsolidadoabr[[#Headers],[29]],tabela_registros[REGISTRO],DADOS!$N$6,tabela_registros[TIPO],DADOS!$AJ$3,tabela_registros[CATEGORIA],reservafixaconsolidadoabr[[#This Row],[ATUAL]])</f>
        <v>0</v>
      </c>
      <c r="AH174" s="91">
        <f>SUMIFS(tabela_registros[VALOR],tabela_registros[MÊS],$AE$1,tabela_registros[DIA],reservafixaconsolidadoabr[[#Headers],[30]],tabela_registros[REGISTRO],DADOS!$N$6,tabela_registros[TIPO],DADOS!$AJ$3,tabela_registros[CATEGORIA],reservafixaconsolidadoabr[[#This Row],[ATUAL]])</f>
        <v>0</v>
      </c>
      <c r="AI174" s="101">
        <f>SUMIFS(tabela_registros[VALOR],tabela_registros[MÊS],$AE$1,tabela_registros[DIA],reservafixaconsolidadoabr[[#Headers],[31]],tabela_registros[REGISTRO],DADOS!$N$6,tabela_registros[TIPO],DADOS!$AJ$3,tabela_registros[CATEGORIA],reservafixaconsolidadoabr[[#This Row],[ATUAL]])</f>
        <v>0</v>
      </c>
      <c r="AJ174" s="97">
        <f>SUM(reservafixaconsolidadoabr[[#This Row],[1]:[31]])</f>
        <v>0</v>
      </c>
      <c r="AK174" s="25"/>
    </row>
    <row r="175" spans="2:37" ht="19.5" customHeight="1" thickTop="1" thickBot="1" x14ac:dyDescent="0.3">
      <c r="B175" s="28"/>
      <c r="C175" s="27" t="str">
        <f>DADOS!$AL$10</f>
        <v>📝 LCI</v>
      </c>
      <c r="D175" s="26" t="str">
        <f>IF(reservafixaconsolidadoabr[[#This Row],[TOTAL (R$)]]=0,"",IF(OR(reservafixaconsolidadoabr[[#This Row],[TOTAL (R$)]]=LARGE($AJ$168:$AJ$177,1),reservafixaconsolidadoabr[[#This Row],[TOTAL (R$)]]=LARGE($AJ$168:$AJ$177,2)),DADOS!$I$11,""))</f>
        <v/>
      </c>
      <c r="E175" s="96">
        <f>SUMIFS(tabela_registros[VALOR],tabela_registros[MÊS],$AE$1,tabela_registros[DIA],reservafixaconsolidadoabr[[#Headers],[1]],tabela_registros[REGISTRO],DADOS!$N$6,tabela_registros[TIPO],DADOS!$AJ$3,tabela_registros[CATEGORIA],reservafixaconsolidadoabr[[#This Row],[ATUAL]])</f>
        <v>0</v>
      </c>
      <c r="F175" s="91">
        <f>SUMIFS(tabela_registros[VALOR],tabela_registros[MÊS],$AE$1,tabela_registros[DIA],reservafixaconsolidadoabr[[#Headers],[2]],tabela_registros[REGISTRO],DADOS!$N$6,tabela_registros[TIPO],DADOS!$AJ$3,tabela_registros[CATEGORIA],reservafixaconsolidadoabr[[#This Row],[ATUAL]])</f>
        <v>0</v>
      </c>
      <c r="G175" s="91">
        <f>SUMIFS(tabela_registros[VALOR],tabela_registros[MÊS],$AE$1,tabela_registros[DIA],reservafixaconsolidadoabr[[#Headers],[3]],tabela_registros[REGISTRO],DADOS!$N$6,tabela_registros[TIPO],DADOS!$AJ$3,tabela_registros[CATEGORIA],reservafixaconsolidadoabr[[#This Row],[ATUAL]])</f>
        <v>0</v>
      </c>
      <c r="H175" s="91">
        <f>SUMIFS(tabela_registros[VALOR],tabela_registros[MÊS],$AE$1,tabela_registros[DIA],reservafixaconsolidadoabr[[#Headers],[4]],tabela_registros[REGISTRO],DADOS!$N$6,tabela_registros[TIPO],DADOS!$AJ$3,tabela_registros[CATEGORIA],reservafixaconsolidadoabr[[#This Row],[ATUAL]])</f>
        <v>0</v>
      </c>
      <c r="I175" s="91">
        <f>SUMIFS(tabela_registros[VALOR],tabela_registros[MÊS],$AE$1,tabela_registros[DIA],reservafixaconsolidadoabr[[#Headers],[5]],tabela_registros[REGISTRO],DADOS!$N$6,tabela_registros[TIPO],DADOS!$AJ$3,tabela_registros[CATEGORIA],reservafixaconsolidadoabr[[#This Row],[ATUAL]])</f>
        <v>0</v>
      </c>
      <c r="J175" s="91">
        <f>SUMIFS(tabela_registros[VALOR],tabela_registros[MÊS],$AE$1,tabela_registros[DIA],reservafixaconsolidadoabr[[#Headers],[6]],tabela_registros[REGISTRO],DADOS!$N$6,tabela_registros[TIPO],DADOS!$AJ$3,tabela_registros[CATEGORIA],reservafixaconsolidadoabr[[#This Row],[ATUAL]])</f>
        <v>0</v>
      </c>
      <c r="K175" s="91">
        <f>SUMIFS(tabela_registros[VALOR],tabela_registros[MÊS],$AE$1,tabela_registros[DIA],reservafixaconsolidadoabr[[#Headers],[7]],tabela_registros[REGISTRO],DADOS!$N$6,tabela_registros[TIPO],DADOS!$AJ$3,tabela_registros[CATEGORIA],reservafixaconsolidadoabr[[#This Row],[ATUAL]])</f>
        <v>0</v>
      </c>
      <c r="L175" s="91">
        <f>SUMIFS(tabela_registros[VALOR],tabela_registros[MÊS],$AE$1,tabela_registros[DIA],reservafixaconsolidadoabr[[#Headers],[8]],tabela_registros[REGISTRO],DADOS!$N$6,tabela_registros[TIPO],DADOS!$AJ$3,tabela_registros[CATEGORIA],reservafixaconsolidadoabr[[#This Row],[ATUAL]])</f>
        <v>0</v>
      </c>
      <c r="M175" s="91">
        <f>SUMIFS(tabela_registros[VALOR],tabela_registros[MÊS],$AE$1,tabela_registros[DIA],reservafixaconsolidadoabr[[#Headers],[9]],tabela_registros[REGISTRO],DADOS!$N$6,tabela_registros[TIPO],DADOS!$AJ$3,tabela_registros[CATEGORIA],reservafixaconsolidadoabr[[#This Row],[ATUAL]])</f>
        <v>0</v>
      </c>
      <c r="N175" s="91">
        <f>SUMIFS(tabela_registros[VALOR],tabela_registros[MÊS],$AE$1,tabela_registros[DIA],reservafixaconsolidadoabr[[#Headers],[10]],tabela_registros[REGISTRO],DADOS!$N$6,tabela_registros[TIPO],DADOS!$AJ$3,tabela_registros[CATEGORIA],reservafixaconsolidadoabr[[#This Row],[ATUAL]])</f>
        <v>0</v>
      </c>
      <c r="O175" s="91">
        <f>SUMIFS(tabela_registros[VALOR],tabela_registros[MÊS],$AE$1,tabela_registros[DIA],reservafixaconsolidadoabr[[#Headers],[11]],tabela_registros[REGISTRO],DADOS!$N$6,tabela_registros[TIPO],DADOS!$AJ$3,tabela_registros[CATEGORIA],reservafixaconsolidadoabr[[#This Row],[ATUAL]])</f>
        <v>0</v>
      </c>
      <c r="P175" s="91">
        <f>SUMIFS(tabela_registros[VALOR],tabela_registros[MÊS],$AE$1,tabela_registros[DIA],reservafixaconsolidadoabr[[#Headers],[12]],tabela_registros[REGISTRO],DADOS!$N$6,tabela_registros[TIPO],DADOS!$AJ$3,tabela_registros[CATEGORIA],reservafixaconsolidadoabr[[#This Row],[ATUAL]])</f>
        <v>0</v>
      </c>
      <c r="Q175" s="91">
        <f>SUMIFS(tabela_registros[VALOR],tabela_registros[MÊS],$AE$1,tabela_registros[DIA],reservafixaconsolidadoabr[[#Headers],[13]],tabela_registros[REGISTRO],DADOS!$N$6,tabela_registros[TIPO],DADOS!$AJ$3,tabela_registros[CATEGORIA],reservafixaconsolidadoabr[[#This Row],[ATUAL]])</f>
        <v>0</v>
      </c>
      <c r="R175" s="91">
        <f>SUMIFS(tabela_registros[VALOR],tabela_registros[MÊS],$AE$1,tabela_registros[DIA],reservafixaconsolidadoabr[[#Headers],[14]],tabela_registros[REGISTRO],DADOS!$N$6,tabela_registros[TIPO],DADOS!$AJ$3,tabela_registros[CATEGORIA],reservafixaconsolidadoabr[[#This Row],[ATUAL]])</f>
        <v>0</v>
      </c>
      <c r="S175" s="91">
        <f>SUMIFS(tabela_registros[VALOR],tabela_registros[MÊS],$AE$1,tabela_registros[DIA],reservafixaconsolidadoabr[[#Headers],[15]],tabela_registros[REGISTRO],DADOS!$N$6,tabela_registros[TIPO],DADOS!$AJ$3,tabela_registros[CATEGORIA],reservafixaconsolidadoabr[[#This Row],[ATUAL]])</f>
        <v>0</v>
      </c>
      <c r="T175" s="91">
        <f>SUMIFS(tabela_registros[VALOR],tabela_registros[MÊS],$AE$1,tabela_registros[DIA],reservafixaconsolidadoabr[[#Headers],[16]],tabela_registros[REGISTRO],DADOS!$N$6,tabela_registros[TIPO],DADOS!$AJ$3,tabela_registros[CATEGORIA],reservafixaconsolidadoabr[[#This Row],[ATUAL]])</f>
        <v>0</v>
      </c>
      <c r="U175" s="91">
        <f>SUMIFS(tabela_registros[VALOR],tabela_registros[MÊS],$AE$1,tabela_registros[DIA],reservafixaconsolidadoabr[[#Headers],[17]],tabela_registros[REGISTRO],DADOS!$N$6,tabela_registros[TIPO],DADOS!$AJ$3,tabela_registros[CATEGORIA],reservafixaconsolidadoabr[[#This Row],[ATUAL]])</f>
        <v>0</v>
      </c>
      <c r="V175" s="91">
        <f>SUMIFS(tabela_registros[VALOR],tabela_registros[MÊS],$AE$1,tabela_registros[DIA],reservafixaconsolidadoabr[[#Headers],[18]],tabela_registros[REGISTRO],DADOS!$N$6,tabela_registros[TIPO],DADOS!$AJ$3,tabela_registros[CATEGORIA],reservafixaconsolidadoabr[[#This Row],[ATUAL]])</f>
        <v>0</v>
      </c>
      <c r="W175" s="91">
        <f>SUMIFS(tabela_registros[VALOR],tabela_registros[MÊS],$AE$1,tabela_registros[DIA],reservafixaconsolidadoabr[[#Headers],[19]],tabela_registros[REGISTRO],DADOS!$N$6,tabela_registros[TIPO],DADOS!$AJ$3,tabela_registros[CATEGORIA],reservafixaconsolidadoabr[[#This Row],[ATUAL]])</f>
        <v>0</v>
      </c>
      <c r="X175" s="91">
        <f>SUMIFS(tabela_registros[VALOR],tabela_registros[MÊS],$AE$1,tabela_registros[DIA],reservafixaconsolidadoabr[[#Headers],[20]],tabela_registros[REGISTRO],DADOS!$N$6,tabela_registros[TIPO],DADOS!$AJ$3,tabela_registros[CATEGORIA],reservafixaconsolidadoabr[[#This Row],[ATUAL]])</f>
        <v>0</v>
      </c>
      <c r="Y175" s="91">
        <f>SUMIFS(tabela_registros[VALOR],tabela_registros[MÊS],$AE$1,tabela_registros[DIA],reservafixaconsolidadoabr[[#Headers],[21]],tabela_registros[REGISTRO],DADOS!$N$6,tabela_registros[TIPO],DADOS!$AJ$3,tabela_registros[CATEGORIA],reservafixaconsolidadoabr[[#This Row],[ATUAL]])</f>
        <v>0</v>
      </c>
      <c r="Z175" s="91">
        <f>SUMIFS(tabela_registros[VALOR],tabela_registros[MÊS],$AE$1,tabela_registros[DIA],reservafixaconsolidadoabr[[#Headers],[22]],tabela_registros[REGISTRO],DADOS!$N$6,tabela_registros[TIPO],DADOS!$AJ$3,tabela_registros[CATEGORIA],reservafixaconsolidadoabr[[#This Row],[ATUAL]])</f>
        <v>0</v>
      </c>
      <c r="AA175" s="91">
        <f>SUMIFS(tabela_registros[VALOR],tabela_registros[MÊS],$AE$1,tabela_registros[DIA],reservafixaconsolidadoabr[[#Headers],[23]],tabela_registros[REGISTRO],DADOS!$N$6,tabela_registros[TIPO],DADOS!$AJ$3,tabela_registros[CATEGORIA],reservafixaconsolidadoabr[[#This Row],[ATUAL]])</f>
        <v>0</v>
      </c>
      <c r="AB175" s="91">
        <f>SUMIFS(tabela_registros[VALOR],tabela_registros[MÊS],$AE$1,tabela_registros[DIA],reservafixaconsolidadoabr[[#Headers],[24]],tabela_registros[REGISTRO],DADOS!$N$6,tabela_registros[TIPO],DADOS!$AJ$3,tabela_registros[CATEGORIA],reservafixaconsolidadoabr[[#This Row],[ATUAL]])</f>
        <v>0</v>
      </c>
      <c r="AC175" s="91">
        <f>SUMIFS(tabela_registros[VALOR],tabela_registros[MÊS],$AE$1,tabela_registros[DIA],reservafixaconsolidadoabr[[#Headers],[25]],tabela_registros[REGISTRO],DADOS!$N$6,tabela_registros[TIPO],DADOS!$AJ$3,tabela_registros[CATEGORIA],reservafixaconsolidadoabr[[#This Row],[ATUAL]])</f>
        <v>0</v>
      </c>
      <c r="AD175" s="91">
        <f>SUMIFS(tabela_registros[VALOR],tabela_registros[MÊS],$AE$1,tabela_registros[DIA],reservafixaconsolidadoabr[[#Headers],[26]],tabela_registros[REGISTRO],DADOS!$N$6,tabela_registros[TIPO],DADOS!$AJ$3,tabela_registros[CATEGORIA],reservafixaconsolidadoabr[[#This Row],[ATUAL]])</f>
        <v>0</v>
      </c>
      <c r="AE175" s="91">
        <f>SUMIFS(tabela_registros[VALOR],tabela_registros[MÊS],$AE$1,tabela_registros[DIA],reservafixaconsolidadoabr[[#Headers],[27]],tabela_registros[REGISTRO],DADOS!$N$6,tabela_registros[TIPO],DADOS!$AJ$3,tabela_registros[CATEGORIA],reservafixaconsolidadoabr[[#This Row],[ATUAL]])</f>
        <v>0</v>
      </c>
      <c r="AF175" s="91">
        <f>SUMIFS(tabela_registros[VALOR],tabela_registros[MÊS],$AE$1,tabela_registros[DIA],reservafixaconsolidadoabr[[#Headers],[28]],tabela_registros[REGISTRO],DADOS!$N$6,tabela_registros[TIPO],DADOS!$AJ$3,tabela_registros[CATEGORIA],reservafixaconsolidadoabr[[#This Row],[ATUAL]])</f>
        <v>0</v>
      </c>
      <c r="AG175" s="91">
        <f>SUMIFS(tabela_registros[VALOR],tabela_registros[MÊS],$AE$1,tabela_registros[DIA],reservafixaconsolidadoabr[[#Headers],[29]],tabela_registros[REGISTRO],DADOS!$N$6,tabela_registros[TIPO],DADOS!$AJ$3,tabela_registros[CATEGORIA],reservafixaconsolidadoabr[[#This Row],[ATUAL]])</f>
        <v>0</v>
      </c>
      <c r="AH175" s="91">
        <f>SUMIFS(tabela_registros[VALOR],tabela_registros[MÊS],$AE$1,tabela_registros[DIA],reservafixaconsolidadoabr[[#Headers],[30]],tabela_registros[REGISTRO],DADOS!$N$6,tabela_registros[TIPO],DADOS!$AJ$3,tabela_registros[CATEGORIA],reservafixaconsolidadoabr[[#This Row],[ATUAL]])</f>
        <v>0</v>
      </c>
      <c r="AI175" s="101">
        <f>SUMIFS(tabela_registros[VALOR],tabela_registros[MÊS],$AE$1,tabela_registros[DIA],reservafixaconsolidadoabr[[#Headers],[31]],tabela_registros[REGISTRO],DADOS!$N$6,tabela_registros[TIPO],DADOS!$AJ$3,tabela_registros[CATEGORIA],reservafixaconsolidadoabr[[#This Row],[ATUAL]])</f>
        <v>0</v>
      </c>
      <c r="AJ175" s="97">
        <f>SUM(reservafixaconsolidadoabr[[#This Row],[1]:[31]])</f>
        <v>0</v>
      </c>
      <c r="AK175" s="25"/>
    </row>
    <row r="176" spans="2:37" ht="19.5" customHeight="1" thickTop="1" thickBot="1" x14ac:dyDescent="0.3">
      <c r="B176" s="28"/>
      <c r="C176" s="27" t="str">
        <f>DADOS!$AL$11</f>
        <v>📝 TESOURO DIRETO</v>
      </c>
      <c r="D176" s="26" t="str">
        <f>IF(reservafixaconsolidadoabr[[#This Row],[TOTAL (R$)]]=0,"",IF(OR(reservafixaconsolidadoabr[[#This Row],[TOTAL (R$)]]=LARGE($AJ$168:$AJ$177,1),reservafixaconsolidadoabr[[#This Row],[TOTAL (R$)]]=LARGE($AJ$168:$AJ$177,2)),DADOS!$I$11,""))</f>
        <v/>
      </c>
      <c r="E176" s="96">
        <f>SUMIFS(tabela_registros[VALOR],tabela_registros[MÊS],$AE$1,tabela_registros[DIA],reservafixaconsolidadoabr[[#Headers],[1]],tabela_registros[REGISTRO],DADOS!$N$6,tabela_registros[TIPO],DADOS!$AJ$3,tabela_registros[CATEGORIA],reservafixaconsolidadoabr[[#This Row],[ATUAL]])</f>
        <v>0</v>
      </c>
      <c r="F176" s="91">
        <f>SUMIFS(tabela_registros[VALOR],tabela_registros[MÊS],$AE$1,tabela_registros[DIA],reservafixaconsolidadoabr[[#Headers],[2]],tabela_registros[REGISTRO],DADOS!$N$6,tabela_registros[TIPO],DADOS!$AJ$3,tabela_registros[CATEGORIA],reservafixaconsolidadoabr[[#This Row],[ATUAL]])</f>
        <v>0</v>
      </c>
      <c r="G176" s="91">
        <f>SUMIFS(tabela_registros[VALOR],tabela_registros[MÊS],$AE$1,tabela_registros[DIA],reservafixaconsolidadoabr[[#Headers],[3]],tabela_registros[REGISTRO],DADOS!$N$6,tabela_registros[TIPO],DADOS!$AJ$3,tabela_registros[CATEGORIA],reservafixaconsolidadoabr[[#This Row],[ATUAL]])</f>
        <v>0</v>
      </c>
      <c r="H176" s="91">
        <f>SUMIFS(tabela_registros[VALOR],tabela_registros[MÊS],$AE$1,tabela_registros[DIA],reservafixaconsolidadoabr[[#Headers],[4]],tabela_registros[REGISTRO],DADOS!$N$6,tabela_registros[TIPO],DADOS!$AJ$3,tabela_registros[CATEGORIA],reservafixaconsolidadoabr[[#This Row],[ATUAL]])</f>
        <v>0</v>
      </c>
      <c r="I176" s="91">
        <f>SUMIFS(tabela_registros[VALOR],tabela_registros[MÊS],$AE$1,tabela_registros[DIA],reservafixaconsolidadoabr[[#Headers],[5]],tabela_registros[REGISTRO],DADOS!$N$6,tabela_registros[TIPO],DADOS!$AJ$3,tabela_registros[CATEGORIA],reservafixaconsolidadoabr[[#This Row],[ATUAL]])</f>
        <v>0</v>
      </c>
      <c r="J176" s="91">
        <f>SUMIFS(tabela_registros[VALOR],tabela_registros[MÊS],$AE$1,tabela_registros[DIA],reservafixaconsolidadoabr[[#Headers],[6]],tabela_registros[REGISTRO],DADOS!$N$6,tabela_registros[TIPO],DADOS!$AJ$3,tabela_registros[CATEGORIA],reservafixaconsolidadoabr[[#This Row],[ATUAL]])</f>
        <v>0</v>
      </c>
      <c r="K176" s="91">
        <f>SUMIFS(tabela_registros[VALOR],tabela_registros[MÊS],$AE$1,tabela_registros[DIA],reservafixaconsolidadoabr[[#Headers],[7]],tabela_registros[REGISTRO],DADOS!$N$6,tabela_registros[TIPO],DADOS!$AJ$3,tabela_registros[CATEGORIA],reservafixaconsolidadoabr[[#This Row],[ATUAL]])</f>
        <v>0</v>
      </c>
      <c r="L176" s="91">
        <f>SUMIFS(tabela_registros[VALOR],tabela_registros[MÊS],$AE$1,tabela_registros[DIA],reservafixaconsolidadoabr[[#Headers],[8]],tabela_registros[REGISTRO],DADOS!$N$6,tabela_registros[TIPO],DADOS!$AJ$3,tabela_registros[CATEGORIA],reservafixaconsolidadoabr[[#This Row],[ATUAL]])</f>
        <v>0</v>
      </c>
      <c r="M176" s="91">
        <f>SUMIFS(tabela_registros[VALOR],tabela_registros[MÊS],$AE$1,tabela_registros[DIA],reservafixaconsolidadoabr[[#Headers],[9]],tabela_registros[REGISTRO],DADOS!$N$6,tabela_registros[TIPO],DADOS!$AJ$3,tabela_registros[CATEGORIA],reservafixaconsolidadoabr[[#This Row],[ATUAL]])</f>
        <v>0</v>
      </c>
      <c r="N176" s="91">
        <f>SUMIFS(tabela_registros[VALOR],tabela_registros[MÊS],$AE$1,tabela_registros[DIA],reservafixaconsolidadoabr[[#Headers],[10]],tabela_registros[REGISTRO],DADOS!$N$6,tabela_registros[TIPO],DADOS!$AJ$3,tabela_registros[CATEGORIA],reservafixaconsolidadoabr[[#This Row],[ATUAL]])</f>
        <v>0</v>
      </c>
      <c r="O176" s="91">
        <f>SUMIFS(tabela_registros[VALOR],tabela_registros[MÊS],$AE$1,tabela_registros[DIA],reservafixaconsolidadoabr[[#Headers],[11]],tabela_registros[REGISTRO],DADOS!$N$6,tabela_registros[TIPO],DADOS!$AJ$3,tabela_registros[CATEGORIA],reservafixaconsolidadoabr[[#This Row],[ATUAL]])</f>
        <v>0</v>
      </c>
      <c r="P176" s="91">
        <f>SUMIFS(tabela_registros[VALOR],tabela_registros[MÊS],$AE$1,tabela_registros[DIA],reservafixaconsolidadoabr[[#Headers],[12]],tabela_registros[REGISTRO],DADOS!$N$6,tabela_registros[TIPO],DADOS!$AJ$3,tabela_registros[CATEGORIA],reservafixaconsolidadoabr[[#This Row],[ATUAL]])</f>
        <v>0</v>
      </c>
      <c r="Q176" s="91">
        <f>SUMIFS(tabela_registros[VALOR],tabela_registros[MÊS],$AE$1,tabela_registros[DIA],reservafixaconsolidadoabr[[#Headers],[13]],tabela_registros[REGISTRO],DADOS!$N$6,tabela_registros[TIPO],DADOS!$AJ$3,tabela_registros[CATEGORIA],reservafixaconsolidadoabr[[#This Row],[ATUAL]])</f>
        <v>0</v>
      </c>
      <c r="R176" s="91">
        <f>SUMIFS(tabela_registros[VALOR],tabela_registros[MÊS],$AE$1,tabela_registros[DIA],reservafixaconsolidadoabr[[#Headers],[14]],tabela_registros[REGISTRO],DADOS!$N$6,tabela_registros[TIPO],DADOS!$AJ$3,tabela_registros[CATEGORIA],reservafixaconsolidadoabr[[#This Row],[ATUAL]])</f>
        <v>0</v>
      </c>
      <c r="S176" s="91">
        <f>SUMIFS(tabela_registros[VALOR],tabela_registros[MÊS],$AE$1,tabela_registros[DIA],reservafixaconsolidadoabr[[#Headers],[15]],tabela_registros[REGISTRO],DADOS!$N$6,tabela_registros[TIPO],DADOS!$AJ$3,tabela_registros[CATEGORIA],reservafixaconsolidadoabr[[#This Row],[ATUAL]])</f>
        <v>0</v>
      </c>
      <c r="T176" s="91">
        <f>SUMIFS(tabela_registros[VALOR],tabela_registros[MÊS],$AE$1,tabela_registros[DIA],reservafixaconsolidadoabr[[#Headers],[16]],tabela_registros[REGISTRO],DADOS!$N$6,tabela_registros[TIPO],DADOS!$AJ$3,tabela_registros[CATEGORIA],reservafixaconsolidadoabr[[#This Row],[ATUAL]])</f>
        <v>0</v>
      </c>
      <c r="U176" s="91">
        <f>SUMIFS(tabela_registros[VALOR],tabela_registros[MÊS],$AE$1,tabela_registros[DIA],reservafixaconsolidadoabr[[#Headers],[17]],tabela_registros[REGISTRO],DADOS!$N$6,tabela_registros[TIPO],DADOS!$AJ$3,tabela_registros[CATEGORIA],reservafixaconsolidadoabr[[#This Row],[ATUAL]])</f>
        <v>0</v>
      </c>
      <c r="V176" s="91">
        <f>SUMIFS(tabela_registros[VALOR],tabela_registros[MÊS],$AE$1,tabela_registros[DIA],reservafixaconsolidadoabr[[#Headers],[18]],tabela_registros[REGISTRO],DADOS!$N$6,tabela_registros[TIPO],DADOS!$AJ$3,tabela_registros[CATEGORIA],reservafixaconsolidadoabr[[#This Row],[ATUAL]])</f>
        <v>0</v>
      </c>
      <c r="W176" s="91">
        <f>SUMIFS(tabela_registros[VALOR],tabela_registros[MÊS],$AE$1,tabela_registros[DIA],reservafixaconsolidadoabr[[#Headers],[19]],tabela_registros[REGISTRO],DADOS!$N$6,tabela_registros[TIPO],DADOS!$AJ$3,tabela_registros[CATEGORIA],reservafixaconsolidadoabr[[#This Row],[ATUAL]])</f>
        <v>0</v>
      </c>
      <c r="X176" s="91">
        <f>SUMIFS(tabela_registros[VALOR],tabela_registros[MÊS],$AE$1,tabela_registros[DIA],reservafixaconsolidadoabr[[#Headers],[20]],tabela_registros[REGISTRO],DADOS!$N$6,tabela_registros[TIPO],DADOS!$AJ$3,tabela_registros[CATEGORIA],reservafixaconsolidadoabr[[#This Row],[ATUAL]])</f>
        <v>0</v>
      </c>
      <c r="Y176" s="91">
        <f>SUMIFS(tabela_registros[VALOR],tabela_registros[MÊS],$AE$1,tabela_registros[DIA],reservafixaconsolidadoabr[[#Headers],[21]],tabela_registros[REGISTRO],DADOS!$N$6,tabela_registros[TIPO],DADOS!$AJ$3,tabela_registros[CATEGORIA],reservafixaconsolidadoabr[[#This Row],[ATUAL]])</f>
        <v>0</v>
      </c>
      <c r="Z176" s="91">
        <f>SUMIFS(tabela_registros[VALOR],tabela_registros[MÊS],$AE$1,tabela_registros[DIA],reservafixaconsolidadoabr[[#Headers],[22]],tabela_registros[REGISTRO],DADOS!$N$6,tabela_registros[TIPO],DADOS!$AJ$3,tabela_registros[CATEGORIA],reservafixaconsolidadoabr[[#This Row],[ATUAL]])</f>
        <v>0</v>
      </c>
      <c r="AA176" s="91">
        <f>SUMIFS(tabela_registros[VALOR],tabela_registros[MÊS],$AE$1,tabela_registros[DIA],reservafixaconsolidadoabr[[#Headers],[23]],tabela_registros[REGISTRO],DADOS!$N$6,tabela_registros[TIPO],DADOS!$AJ$3,tabela_registros[CATEGORIA],reservafixaconsolidadoabr[[#This Row],[ATUAL]])</f>
        <v>0</v>
      </c>
      <c r="AB176" s="91">
        <f>SUMIFS(tabela_registros[VALOR],tabela_registros[MÊS],$AE$1,tabela_registros[DIA],reservafixaconsolidadoabr[[#Headers],[24]],tabela_registros[REGISTRO],DADOS!$N$6,tabela_registros[TIPO],DADOS!$AJ$3,tabela_registros[CATEGORIA],reservafixaconsolidadoabr[[#This Row],[ATUAL]])</f>
        <v>0</v>
      </c>
      <c r="AC176" s="91">
        <f>SUMIFS(tabela_registros[VALOR],tabela_registros[MÊS],$AE$1,tabela_registros[DIA],reservafixaconsolidadoabr[[#Headers],[25]],tabela_registros[REGISTRO],DADOS!$N$6,tabela_registros[TIPO],DADOS!$AJ$3,tabela_registros[CATEGORIA],reservafixaconsolidadoabr[[#This Row],[ATUAL]])</f>
        <v>0</v>
      </c>
      <c r="AD176" s="91">
        <f>SUMIFS(tabela_registros[VALOR],tabela_registros[MÊS],$AE$1,tabela_registros[DIA],reservafixaconsolidadoabr[[#Headers],[26]],tabela_registros[REGISTRO],DADOS!$N$6,tabela_registros[TIPO],DADOS!$AJ$3,tabela_registros[CATEGORIA],reservafixaconsolidadoabr[[#This Row],[ATUAL]])</f>
        <v>0</v>
      </c>
      <c r="AE176" s="91">
        <f>SUMIFS(tabela_registros[VALOR],tabela_registros[MÊS],$AE$1,tabela_registros[DIA],reservafixaconsolidadoabr[[#Headers],[27]],tabela_registros[REGISTRO],DADOS!$N$6,tabela_registros[TIPO],DADOS!$AJ$3,tabela_registros[CATEGORIA],reservafixaconsolidadoabr[[#This Row],[ATUAL]])</f>
        <v>0</v>
      </c>
      <c r="AF176" s="91">
        <f>SUMIFS(tabela_registros[VALOR],tabela_registros[MÊS],$AE$1,tabela_registros[DIA],reservafixaconsolidadoabr[[#Headers],[28]],tabela_registros[REGISTRO],DADOS!$N$6,tabela_registros[TIPO],DADOS!$AJ$3,tabela_registros[CATEGORIA],reservafixaconsolidadoabr[[#This Row],[ATUAL]])</f>
        <v>0</v>
      </c>
      <c r="AG176" s="91">
        <f>SUMIFS(tabela_registros[VALOR],tabela_registros[MÊS],$AE$1,tabela_registros[DIA],reservafixaconsolidadoabr[[#Headers],[29]],tabela_registros[REGISTRO],DADOS!$N$6,tabela_registros[TIPO],DADOS!$AJ$3,tabela_registros[CATEGORIA],reservafixaconsolidadoabr[[#This Row],[ATUAL]])</f>
        <v>0</v>
      </c>
      <c r="AH176" s="91">
        <f>SUMIFS(tabela_registros[VALOR],tabela_registros[MÊS],$AE$1,tabela_registros[DIA],reservafixaconsolidadoabr[[#Headers],[30]],tabela_registros[REGISTRO],DADOS!$N$6,tabela_registros[TIPO],DADOS!$AJ$3,tabela_registros[CATEGORIA],reservafixaconsolidadoabr[[#This Row],[ATUAL]])</f>
        <v>0</v>
      </c>
      <c r="AI176" s="101">
        <f>SUMIFS(tabela_registros[VALOR],tabela_registros[MÊS],$AE$1,tabela_registros[DIA],reservafixaconsolidadoabr[[#Headers],[31]],tabela_registros[REGISTRO],DADOS!$N$6,tabela_registros[TIPO],DADOS!$AJ$3,tabela_registros[CATEGORIA],reservafixaconsolidadoabr[[#This Row],[ATUAL]])</f>
        <v>0</v>
      </c>
      <c r="AJ176" s="97">
        <f>SUM(reservafixaconsolidadoabr[[#This Row],[1]:[31]])</f>
        <v>0</v>
      </c>
      <c r="AK176" s="25"/>
    </row>
    <row r="177" spans="2:37" ht="19.5" customHeight="1" thickTop="1" thickBot="1" x14ac:dyDescent="0.3">
      <c r="B177" s="28"/>
      <c r="C177" s="27" t="str">
        <f>DADOS!$AL$12</f>
        <v>📎 OUTROS</v>
      </c>
      <c r="D177" s="26" t="str">
        <f>IF(reservafixaconsolidadoabr[[#This Row],[TOTAL (R$)]]=0,"",IF(OR(reservafixaconsolidadoabr[[#This Row],[TOTAL (R$)]]=LARGE($AJ$168:$AJ$177,1),reservafixaconsolidadoabr[[#This Row],[TOTAL (R$)]]=LARGE($AJ$168:$AJ$177,2)),DADOS!$I$11,""))</f>
        <v/>
      </c>
      <c r="E177" s="96">
        <f>SUMIFS(tabela_registros[VALOR],tabela_registros[MÊS],$AE$1,tabela_registros[DIA],reservafixaconsolidadoabr[[#Headers],[1]],tabela_registros[REGISTRO],DADOS!$N$6,tabela_registros[TIPO],DADOS!$AJ$3,tabela_registros[CATEGORIA],reservafixaconsolidadoabr[[#This Row],[ATUAL]])</f>
        <v>0</v>
      </c>
      <c r="F177" s="91">
        <f>SUMIFS(tabela_registros[VALOR],tabela_registros[MÊS],$AE$1,tabela_registros[DIA],reservafixaconsolidadoabr[[#Headers],[2]],tabela_registros[REGISTRO],DADOS!$N$6,tabela_registros[TIPO],DADOS!$AJ$3,tabela_registros[CATEGORIA],reservafixaconsolidadoabr[[#This Row],[ATUAL]])</f>
        <v>0</v>
      </c>
      <c r="G177" s="91">
        <f>SUMIFS(tabela_registros[VALOR],tabela_registros[MÊS],$AE$1,tabela_registros[DIA],reservafixaconsolidadoabr[[#Headers],[3]],tabela_registros[REGISTRO],DADOS!$N$6,tabela_registros[TIPO],DADOS!$AJ$3,tabela_registros[CATEGORIA],reservafixaconsolidadoabr[[#This Row],[ATUAL]])</f>
        <v>0</v>
      </c>
      <c r="H177" s="91">
        <f>SUMIFS(tabela_registros[VALOR],tabela_registros[MÊS],$AE$1,tabela_registros[DIA],reservafixaconsolidadoabr[[#Headers],[4]],tabela_registros[REGISTRO],DADOS!$N$6,tabela_registros[TIPO],DADOS!$AJ$3,tabela_registros[CATEGORIA],reservafixaconsolidadoabr[[#This Row],[ATUAL]])</f>
        <v>0</v>
      </c>
      <c r="I177" s="91">
        <f>SUMIFS(tabela_registros[VALOR],tabela_registros[MÊS],$AE$1,tabela_registros[DIA],reservafixaconsolidadoabr[[#Headers],[5]],tabela_registros[REGISTRO],DADOS!$N$6,tabela_registros[TIPO],DADOS!$AJ$3,tabela_registros[CATEGORIA],reservafixaconsolidadoabr[[#This Row],[ATUAL]])</f>
        <v>0</v>
      </c>
      <c r="J177" s="91">
        <f>SUMIFS(tabela_registros[VALOR],tabela_registros[MÊS],$AE$1,tabela_registros[DIA],reservafixaconsolidadoabr[[#Headers],[6]],tabela_registros[REGISTRO],DADOS!$N$6,tabela_registros[TIPO],DADOS!$AJ$3,tabela_registros[CATEGORIA],reservafixaconsolidadoabr[[#This Row],[ATUAL]])</f>
        <v>0</v>
      </c>
      <c r="K177" s="91">
        <f>SUMIFS(tabela_registros[VALOR],tabela_registros[MÊS],$AE$1,tabela_registros[DIA],reservafixaconsolidadoabr[[#Headers],[7]],tabela_registros[REGISTRO],DADOS!$N$6,tabela_registros[TIPO],DADOS!$AJ$3,tabela_registros[CATEGORIA],reservafixaconsolidadoabr[[#This Row],[ATUAL]])</f>
        <v>0</v>
      </c>
      <c r="L177" s="91">
        <f>SUMIFS(tabela_registros[VALOR],tabela_registros[MÊS],$AE$1,tabela_registros[DIA],reservafixaconsolidadoabr[[#Headers],[8]],tabela_registros[REGISTRO],DADOS!$N$6,tabela_registros[TIPO],DADOS!$AJ$3,tabela_registros[CATEGORIA],reservafixaconsolidadoabr[[#This Row],[ATUAL]])</f>
        <v>0</v>
      </c>
      <c r="M177" s="91">
        <f>SUMIFS(tabela_registros[VALOR],tabela_registros[MÊS],$AE$1,tabela_registros[DIA],reservafixaconsolidadoabr[[#Headers],[9]],tabela_registros[REGISTRO],DADOS!$N$6,tabela_registros[TIPO],DADOS!$AJ$3,tabela_registros[CATEGORIA],reservafixaconsolidadoabr[[#This Row],[ATUAL]])</f>
        <v>0</v>
      </c>
      <c r="N177" s="91">
        <f>SUMIFS(tabela_registros[VALOR],tabela_registros[MÊS],$AE$1,tabela_registros[DIA],reservafixaconsolidadoabr[[#Headers],[10]],tabela_registros[REGISTRO],DADOS!$N$6,tabela_registros[TIPO],DADOS!$AJ$3,tabela_registros[CATEGORIA],reservafixaconsolidadoabr[[#This Row],[ATUAL]])</f>
        <v>0</v>
      </c>
      <c r="O177" s="91">
        <f>SUMIFS(tabela_registros[VALOR],tabela_registros[MÊS],$AE$1,tabela_registros[DIA],reservafixaconsolidadoabr[[#Headers],[11]],tabela_registros[REGISTRO],DADOS!$N$6,tabela_registros[TIPO],DADOS!$AJ$3,tabela_registros[CATEGORIA],reservafixaconsolidadoabr[[#This Row],[ATUAL]])</f>
        <v>0</v>
      </c>
      <c r="P177" s="91">
        <f>SUMIFS(tabela_registros[VALOR],tabela_registros[MÊS],$AE$1,tabela_registros[DIA],reservafixaconsolidadoabr[[#Headers],[12]],tabela_registros[REGISTRO],DADOS!$N$6,tabela_registros[TIPO],DADOS!$AJ$3,tabela_registros[CATEGORIA],reservafixaconsolidadoabr[[#This Row],[ATUAL]])</f>
        <v>0</v>
      </c>
      <c r="Q177" s="91">
        <f>SUMIFS(tabela_registros[VALOR],tabela_registros[MÊS],$AE$1,tabela_registros[DIA],reservafixaconsolidadoabr[[#Headers],[13]],tabela_registros[REGISTRO],DADOS!$N$6,tabela_registros[TIPO],DADOS!$AJ$3,tabela_registros[CATEGORIA],reservafixaconsolidadoabr[[#This Row],[ATUAL]])</f>
        <v>0</v>
      </c>
      <c r="R177" s="91">
        <f>SUMIFS(tabela_registros[VALOR],tabela_registros[MÊS],$AE$1,tabela_registros[DIA],reservafixaconsolidadoabr[[#Headers],[14]],tabela_registros[REGISTRO],DADOS!$N$6,tabela_registros[TIPO],DADOS!$AJ$3,tabela_registros[CATEGORIA],reservafixaconsolidadoabr[[#This Row],[ATUAL]])</f>
        <v>0</v>
      </c>
      <c r="S177" s="91">
        <f>SUMIFS(tabela_registros[VALOR],tabela_registros[MÊS],$AE$1,tabela_registros[DIA],reservafixaconsolidadoabr[[#Headers],[15]],tabela_registros[REGISTRO],DADOS!$N$6,tabela_registros[TIPO],DADOS!$AJ$3,tabela_registros[CATEGORIA],reservafixaconsolidadoabr[[#This Row],[ATUAL]])</f>
        <v>0</v>
      </c>
      <c r="T177" s="91">
        <f>SUMIFS(tabela_registros[VALOR],tabela_registros[MÊS],$AE$1,tabela_registros[DIA],reservafixaconsolidadoabr[[#Headers],[16]],tabela_registros[REGISTRO],DADOS!$N$6,tabela_registros[TIPO],DADOS!$AJ$3,tabela_registros[CATEGORIA],reservafixaconsolidadoabr[[#This Row],[ATUAL]])</f>
        <v>0</v>
      </c>
      <c r="U177" s="91">
        <f>SUMIFS(tabela_registros[VALOR],tabela_registros[MÊS],$AE$1,tabela_registros[DIA],reservafixaconsolidadoabr[[#Headers],[17]],tabela_registros[REGISTRO],DADOS!$N$6,tabela_registros[TIPO],DADOS!$AJ$3,tabela_registros[CATEGORIA],reservafixaconsolidadoabr[[#This Row],[ATUAL]])</f>
        <v>0</v>
      </c>
      <c r="V177" s="91">
        <f>SUMIFS(tabela_registros[VALOR],tabela_registros[MÊS],$AE$1,tabela_registros[DIA],reservafixaconsolidadoabr[[#Headers],[18]],tabela_registros[REGISTRO],DADOS!$N$6,tabela_registros[TIPO],DADOS!$AJ$3,tabela_registros[CATEGORIA],reservafixaconsolidadoabr[[#This Row],[ATUAL]])</f>
        <v>0</v>
      </c>
      <c r="W177" s="91">
        <f>SUMIFS(tabela_registros[VALOR],tabela_registros[MÊS],$AE$1,tabela_registros[DIA],reservafixaconsolidadoabr[[#Headers],[19]],tabela_registros[REGISTRO],DADOS!$N$6,tabela_registros[TIPO],DADOS!$AJ$3,tabela_registros[CATEGORIA],reservafixaconsolidadoabr[[#This Row],[ATUAL]])</f>
        <v>0</v>
      </c>
      <c r="X177" s="91">
        <f>SUMIFS(tabela_registros[VALOR],tabela_registros[MÊS],$AE$1,tabela_registros[DIA],reservafixaconsolidadoabr[[#Headers],[20]],tabela_registros[REGISTRO],DADOS!$N$6,tabela_registros[TIPO],DADOS!$AJ$3,tabela_registros[CATEGORIA],reservafixaconsolidadoabr[[#This Row],[ATUAL]])</f>
        <v>0</v>
      </c>
      <c r="Y177" s="91">
        <f>SUMIFS(tabela_registros[VALOR],tabela_registros[MÊS],$AE$1,tabela_registros[DIA],reservafixaconsolidadoabr[[#Headers],[21]],tabela_registros[REGISTRO],DADOS!$N$6,tabela_registros[TIPO],DADOS!$AJ$3,tabela_registros[CATEGORIA],reservafixaconsolidadoabr[[#This Row],[ATUAL]])</f>
        <v>0</v>
      </c>
      <c r="Z177" s="91">
        <f>SUMIFS(tabela_registros[VALOR],tabela_registros[MÊS],$AE$1,tabela_registros[DIA],reservafixaconsolidadoabr[[#Headers],[22]],tabela_registros[REGISTRO],DADOS!$N$6,tabela_registros[TIPO],DADOS!$AJ$3,tabela_registros[CATEGORIA],reservafixaconsolidadoabr[[#This Row],[ATUAL]])</f>
        <v>0</v>
      </c>
      <c r="AA177" s="91">
        <f>SUMIFS(tabela_registros[VALOR],tabela_registros[MÊS],$AE$1,tabela_registros[DIA],reservafixaconsolidadoabr[[#Headers],[23]],tabela_registros[REGISTRO],DADOS!$N$6,tabela_registros[TIPO],DADOS!$AJ$3,tabela_registros[CATEGORIA],reservafixaconsolidadoabr[[#This Row],[ATUAL]])</f>
        <v>0</v>
      </c>
      <c r="AB177" s="91">
        <f>SUMIFS(tabela_registros[VALOR],tabela_registros[MÊS],$AE$1,tabela_registros[DIA],reservafixaconsolidadoabr[[#Headers],[24]],tabela_registros[REGISTRO],DADOS!$N$6,tabela_registros[TIPO],DADOS!$AJ$3,tabela_registros[CATEGORIA],reservafixaconsolidadoabr[[#This Row],[ATUAL]])</f>
        <v>0</v>
      </c>
      <c r="AC177" s="91">
        <f>SUMIFS(tabela_registros[VALOR],tabela_registros[MÊS],$AE$1,tabela_registros[DIA],reservafixaconsolidadoabr[[#Headers],[25]],tabela_registros[REGISTRO],DADOS!$N$6,tabela_registros[TIPO],DADOS!$AJ$3,tabela_registros[CATEGORIA],reservafixaconsolidadoabr[[#This Row],[ATUAL]])</f>
        <v>0</v>
      </c>
      <c r="AD177" s="91">
        <f>SUMIFS(tabela_registros[VALOR],tabela_registros[MÊS],$AE$1,tabela_registros[DIA],reservafixaconsolidadoabr[[#Headers],[26]],tabela_registros[REGISTRO],DADOS!$N$6,tabela_registros[TIPO],DADOS!$AJ$3,tabela_registros[CATEGORIA],reservafixaconsolidadoabr[[#This Row],[ATUAL]])</f>
        <v>0</v>
      </c>
      <c r="AE177" s="91">
        <f>SUMIFS(tabela_registros[VALOR],tabela_registros[MÊS],$AE$1,tabela_registros[DIA],reservafixaconsolidadoabr[[#Headers],[27]],tabela_registros[REGISTRO],DADOS!$N$6,tabela_registros[TIPO],DADOS!$AJ$3,tabela_registros[CATEGORIA],reservafixaconsolidadoabr[[#This Row],[ATUAL]])</f>
        <v>0</v>
      </c>
      <c r="AF177" s="91">
        <f>SUMIFS(tabela_registros[VALOR],tabela_registros[MÊS],$AE$1,tabela_registros[DIA],reservafixaconsolidadoabr[[#Headers],[28]],tabela_registros[REGISTRO],DADOS!$N$6,tabela_registros[TIPO],DADOS!$AJ$3,tabela_registros[CATEGORIA],reservafixaconsolidadoabr[[#This Row],[ATUAL]])</f>
        <v>0</v>
      </c>
      <c r="AG177" s="91">
        <f>SUMIFS(tabela_registros[VALOR],tabela_registros[MÊS],$AE$1,tabela_registros[DIA],reservafixaconsolidadoabr[[#Headers],[29]],tabela_registros[REGISTRO],DADOS!$N$6,tabela_registros[TIPO],DADOS!$AJ$3,tabela_registros[CATEGORIA],reservafixaconsolidadoabr[[#This Row],[ATUAL]])</f>
        <v>0</v>
      </c>
      <c r="AH177" s="91">
        <f>SUMIFS(tabela_registros[VALOR],tabela_registros[MÊS],$AE$1,tabela_registros[DIA],reservafixaconsolidadoabr[[#Headers],[30]],tabela_registros[REGISTRO],DADOS!$N$6,tabela_registros[TIPO],DADOS!$AJ$3,tabela_registros[CATEGORIA],reservafixaconsolidadoabr[[#This Row],[ATUAL]])</f>
        <v>0</v>
      </c>
      <c r="AI177" s="102">
        <f>SUMIFS(tabela_registros[VALOR],tabela_registros[MÊS],$AE$1,tabela_registros[DIA],reservafixaconsolidadoabr[[#Headers],[31]],tabela_registros[REGISTRO],DADOS!$N$6,tabela_registros[TIPO],DADOS!$AJ$3,tabela_registros[CATEGORIA],reservafixaconsolidadoabr[[#This Row],[ATUAL]])</f>
        <v>0</v>
      </c>
      <c r="AJ177" s="97">
        <f>SUM(reservafixaconsolidadoabr[[#This Row],[1]:[31]])</f>
        <v>0</v>
      </c>
      <c r="AK177" s="25"/>
    </row>
    <row r="178" spans="2:37" s="16" customFormat="1" ht="21" customHeight="1" thickTop="1" thickBot="1" x14ac:dyDescent="0.35">
      <c r="B178" s="24"/>
      <c r="C178" s="23" t="s">
        <v>19</v>
      </c>
      <c r="D178" s="22"/>
      <c r="E178" s="21">
        <f>SUM(E168:E177)</f>
        <v>0</v>
      </c>
      <c r="F178" s="20">
        <f>SUM(F168:F177)+reservafixaconsolidadoabr[[#This Row],[1]]</f>
        <v>0</v>
      </c>
      <c r="G178" s="20">
        <f>SUM(G168:G177)+reservafixaconsolidadoabr[[#This Row],[2]]</f>
        <v>0</v>
      </c>
      <c r="H178" s="20">
        <f>SUM(H168:H177)+reservafixaconsolidadoabr[[#This Row],[3]]</f>
        <v>0</v>
      </c>
      <c r="I178" s="20">
        <f>SUM(I168:I177)+reservafixaconsolidadoabr[[#This Row],[4]]</f>
        <v>0</v>
      </c>
      <c r="J178" s="20">
        <f>SUM(J168:J177)+reservafixaconsolidadoabr[[#This Row],[5]]</f>
        <v>0</v>
      </c>
      <c r="K178" s="20">
        <f>SUM(K168:K177)+reservafixaconsolidadoabr[[#This Row],[6]]</f>
        <v>0</v>
      </c>
      <c r="L178" s="20">
        <f>SUM(L168:L177)+reservafixaconsolidadoabr[[#This Row],[7]]</f>
        <v>0</v>
      </c>
      <c r="M178" s="20">
        <f>SUM(M168:M177)+reservafixaconsolidadoabr[[#This Row],[8]]</f>
        <v>0</v>
      </c>
      <c r="N178" s="20">
        <f>SUM(N168:N177)+reservafixaconsolidadoabr[[#This Row],[9]]</f>
        <v>0</v>
      </c>
      <c r="O178" s="20">
        <f>SUM(O168:O177)+reservafixaconsolidadoabr[[#This Row],[10]]</f>
        <v>0</v>
      </c>
      <c r="P178" s="20">
        <f>SUM(P168:P177)+reservafixaconsolidadoabr[[#This Row],[11]]</f>
        <v>0</v>
      </c>
      <c r="Q178" s="20">
        <f>SUM(Q168:Q177)+reservafixaconsolidadoabr[[#This Row],[12]]</f>
        <v>0</v>
      </c>
      <c r="R178" s="20">
        <f>SUM(R168:R177)+reservafixaconsolidadoabr[[#This Row],[13]]</f>
        <v>0</v>
      </c>
      <c r="S178" s="20">
        <f>SUM(S168:S177)+reservafixaconsolidadoabr[[#This Row],[14]]</f>
        <v>0</v>
      </c>
      <c r="T178" s="20">
        <f>SUM(T168:T177)+reservafixaconsolidadoabr[[#This Row],[15]]</f>
        <v>0</v>
      </c>
      <c r="U178" s="20">
        <f>SUM(U168:U177)+reservafixaconsolidadoabr[[#This Row],[16]]</f>
        <v>0</v>
      </c>
      <c r="V178" s="20">
        <f>SUM(V168:V177)+reservafixaconsolidadoabr[[#This Row],[17]]</f>
        <v>0</v>
      </c>
      <c r="W178" s="20">
        <f>SUM(W168:W177)+reservafixaconsolidadoabr[[#This Row],[18]]</f>
        <v>0</v>
      </c>
      <c r="X178" s="20">
        <f>SUM(X168:X177)+reservafixaconsolidadoabr[[#This Row],[19]]</f>
        <v>0</v>
      </c>
      <c r="Y178" s="20">
        <f>SUM(Y168:Y177)+reservafixaconsolidadoabr[[#This Row],[20]]</f>
        <v>0</v>
      </c>
      <c r="Z178" s="20">
        <f>SUM(Z168:Z177)+reservafixaconsolidadoabr[[#This Row],[21]]</f>
        <v>0</v>
      </c>
      <c r="AA178" s="20">
        <f>SUM(AA168:AA177)+reservafixaconsolidadoabr[[#This Row],[22]]</f>
        <v>0</v>
      </c>
      <c r="AB178" s="20">
        <f>SUM(AB168:AB177)+reservafixaconsolidadoabr[[#This Row],[23]]</f>
        <v>0</v>
      </c>
      <c r="AC178" s="20">
        <f>SUM(AC168:AC177)+reservafixaconsolidadoabr[[#This Row],[24]]</f>
        <v>0</v>
      </c>
      <c r="AD178" s="20">
        <f>SUM(AD168:AD177)+reservafixaconsolidadoabr[[#This Row],[25]]</f>
        <v>0</v>
      </c>
      <c r="AE178" s="20">
        <f>SUM(AE168:AE177)+reservafixaconsolidadoabr[[#This Row],[26]]</f>
        <v>0</v>
      </c>
      <c r="AF178" s="20">
        <f>SUM(AF168:AF177)+reservafixaconsolidadoabr[[#This Row],[27]]</f>
        <v>0</v>
      </c>
      <c r="AG178" s="20">
        <f>SUM(AG168:AG177)+reservafixaconsolidadoabr[[#This Row],[28]]</f>
        <v>0</v>
      </c>
      <c r="AH178" s="20">
        <f>SUM(AH168:AH177)+reservafixaconsolidadoabr[[#This Row],[29]]</f>
        <v>0</v>
      </c>
      <c r="AI178" s="19">
        <f>SUM(AI168:AI177)+reservafixaconsolidadoabr[[#This Row],[30]]</f>
        <v>0</v>
      </c>
      <c r="AJ178" s="18">
        <f>reservafixaconsolidadoabr[[#This Row],[31]]</f>
        <v>0</v>
      </c>
      <c r="AK178" s="17"/>
    </row>
    <row r="179" spans="2:37" ht="6.75" customHeight="1" thickTop="1" thickBot="1" x14ac:dyDescent="0.3">
      <c r="B179" s="15"/>
      <c r="C179" s="14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3"/>
      <c r="AF179" s="13"/>
      <c r="AG179" s="13"/>
      <c r="AH179" s="13"/>
      <c r="AI179" s="12"/>
      <c r="AJ179" s="11"/>
      <c r="AK179" s="10"/>
    </row>
    <row r="180" spans="2:37" ht="12.6" thickTop="1" x14ac:dyDescent="0.25">
      <c r="E180" s="37"/>
      <c r="AI180" s="4"/>
    </row>
    <row r="181" spans="2:37" x14ac:dyDescent="0.25">
      <c r="AI181" s="4"/>
    </row>
    <row r="182" spans="2:37" x14ac:dyDescent="0.25">
      <c r="AI182" s="4"/>
    </row>
    <row r="183" spans="2:37" ht="39.75" customHeight="1" x14ac:dyDescent="0.7">
      <c r="C183" s="36"/>
      <c r="E183" s="240"/>
      <c r="F183" s="240"/>
      <c r="G183" s="240"/>
      <c r="H183" s="240"/>
      <c r="I183" s="240"/>
      <c r="J183" s="240"/>
      <c r="K183" s="240"/>
      <c r="L183" s="240"/>
      <c r="M183" s="240"/>
      <c r="N183" s="240"/>
      <c r="O183" s="240"/>
      <c r="P183" s="240"/>
      <c r="Q183" s="240"/>
      <c r="R183" s="240"/>
      <c r="S183" s="240"/>
      <c r="T183" s="240"/>
      <c r="U183" s="240"/>
      <c r="V183" s="240"/>
      <c r="W183" s="240"/>
      <c r="X183" s="240"/>
      <c r="Y183" s="240"/>
      <c r="Z183" s="240"/>
      <c r="AA183" s="240"/>
      <c r="AB183" s="240"/>
      <c r="AC183" s="240"/>
      <c r="AD183" s="240"/>
      <c r="AE183" s="240"/>
      <c r="AF183" s="240"/>
      <c r="AG183" s="240"/>
      <c r="AH183" s="240"/>
      <c r="AI183" s="240"/>
      <c r="AJ183" s="32" t="s">
        <v>19</v>
      </c>
    </row>
    <row r="184" spans="2:37" ht="12.6" thickBot="1" x14ac:dyDescent="0.3">
      <c r="B184" s="35"/>
      <c r="AI184" s="4"/>
      <c r="AJ184" s="34" t="s">
        <v>202</v>
      </c>
    </row>
    <row r="185" spans="2:37" ht="6.75" customHeight="1" thickTop="1" thickBot="1" x14ac:dyDescent="0.3">
      <c r="B185" s="2"/>
      <c r="C185" s="14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  <c r="AF185" s="13"/>
      <c r="AG185" s="13"/>
      <c r="AH185" s="13"/>
      <c r="AI185" s="13"/>
      <c r="AJ185" s="12"/>
      <c r="AK185" s="33"/>
    </row>
    <row r="186" spans="2:37" ht="13.2" hidden="1" thickTop="1" thickBot="1" x14ac:dyDescent="0.3">
      <c r="B186" s="2"/>
      <c r="C186" s="31" t="s">
        <v>199</v>
      </c>
      <c r="D186" s="30" t="s">
        <v>198</v>
      </c>
      <c r="E186" s="30" t="s">
        <v>197</v>
      </c>
      <c r="F186" s="30" t="s">
        <v>196</v>
      </c>
      <c r="G186" s="30" t="s">
        <v>195</v>
      </c>
      <c r="H186" s="30" t="s">
        <v>194</v>
      </c>
      <c r="I186" s="30" t="s">
        <v>193</v>
      </c>
      <c r="J186" s="30" t="s">
        <v>192</v>
      </c>
      <c r="K186" s="30" t="s">
        <v>191</v>
      </c>
      <c r="L186" s="30" t="s">
        <v>190</v>
      </c>
      <c r="M186" s="30" t="s">
        <v>189</v>
      </c>
      <c r="N186" s="30" t="s">
        <v>188</v>
      </c>
      <c r="O186" s="30" t="s">
        <v>187</v>
      </c>
      <c r="P186" s="30" t="s">
        <v>186</v>
      </c>
      <c r="Q186" s="30" t="s">
        <v>185</v>
      </c>
      <c r="R186" s="30" t="s">
        <v>184</v>
      </c>
      <c r="S186" s="30" t="s">
        <v>183</v>
      </c>
      <c r="T186" s="30" t="s">
        <v>182</v>
      </c>
      <c r="U186" s="30" t="s">
        <v>181</v>
      </c>
      <c r="V186" s="30" t="s">
        <v>180</v>
      </c>
      <c r="W186" s="30" t="s">
        <v>179</v>
      </c>
      <c r="X186" s="30" t="s">
        <v>178</v>
      </c>
      <c r="Y186" s="30" t="s">
        <v>177</v>
      </c>
      <c r="Z186" s="30" t="s">
        <v>176</v>
      </c>
      <c r="AA186" s="30" t="s">
        <v>175</v>
      </c>
      <c r="AB186" s="30" t="s">
        <v>174</v>
      </c>
      <c r="AC186" s="30" t="s">
        <v>173</v>
      </c>
      <c r="AD186" s="30" t="s">
        <v>172</v>
      </c>
      <c r="AE186" s="30" t="s">
        <v>171</v>
      </c>
      <c r="AF186" s="30" t="s">
        <v>170</v>
      </c>
      <c r="AG186" s="30" t="s">
        <v>169</v>
      </c>
      <c r="AH186" s="30" t="s">
        <v>168</v>
      </c>
      <c r="AI186" s="30" t="s">
        <v>167</v>
      </c>
      <c r="AJ186" s="29" t="s">
        <v>166</v>
      </c>
      <c r="AK186" s="2"/>
    </row>
    <row r="187" spans="2:37" ht="19.5" customHeight="1" thickTop="1" thickBot="1" x14ac:dyDescent="0.3">
      <c r="B187" s="28"/>
      <c r="C187" s="27" t="str">
        <f>DADOS!$AN$3</f>
        <v>📝 AÇÃO</v>
      </c>
      <c r="D187" s="26" t="str">
        <f>IF(reservavariáveisconsolidadoabr[[#This Row],[TOTAL (R$)]]=0,"",IF(OR(reservavariáveisconsolidadoabr[[#This Row],[TOTAL (R$)]]=LARGE($AJ$187:$AJ$196,1),reservavariáveisconsolidadoabr[[#This Row],[TOTAL (R$)]]=LARGE($AJ$187:$AJ$196,2)),DADOS!$I$11,""))</f>
        <v/>
      </c>
      <c r="E187" s="96">
        <f>SUMIFS(tabela_registros[VALOR],tabela_registros[MÊS],$AE$1,tabela_registros[DIA],reservavariáveisconsolidadoabr[[#Headers],[1]],tabela_registros[REGISTRO],DADOS!$N$6,tabela_registros[TIPO],DADOS!$AJ$4,tabela_registros[CATEGORIA],reservavariáveisconsolidadoabr[[#This Row],[ATUAL]])</f>
        <v>0</v>
      </c>
      <c r="F187" s="91">
        <f>SUMIFS(tabela_registros[VALOR],tabela_registros[MÊS],$AE$1,tabela_registros[DIA],reservavariáveisconsolidadoabr[[#Headers],[2]],tabela_registros[REGISTRO],DADOS!$N$6,tabela_registros[TIPO],DADOS!$AJ$4,tabela_registros[CATEGORIA],reservavariáveisconsolidadoabr[[#This Row],[ATUAL]])</f>
        <v>0</v>
      </c>
      <c r="G187" s="91">
        <f>SUMIFS(tabela_registros[VALOR],tabela_registros[MÊS],$AE$1,tabela_registros[DIA],reservavariáveisconsolidadoabr[[#Headers],[3]],tabela_registros[REGISTRO],DADOS!$N$6,tabela_registros[TIPO],DADOS!$AJ$4,tabela_registros[CATEGORIA],reservavariáveisconsolidadoabr[[#This Row],[ATUAL]])</f>
        <v>0</v>
      </c>
      <c r="H187" s="91">
        <f>SUMIFS(tabela_registros[VALOR],tabela_registros[MÊS],$AE$1,tabela_registros[DIA],reservavariáveisconsolidadoabr[[#Headers],[4]],tabela_registros[REGISTRO],DADOS!$N$6,tabela_registros[TIPO],DADOS!$AJ$4,tabela_registros[CATEGORIA],reservavariáveisconsolidadoabr[[#This Row],[ATUAL]])</f>
        <v>0</v>
      </c>
      <c r="I187" s="91">
        <f>SUMIFS(tabela_registros[VALOR],tabela_registros[MÊS],$AE$1,tabela_registros[DIA],reservavariáveisconsolidadoabr[[#Headers],[5]],tabela_registros[REGISTRO],DADOS!$N$6,tabela_registros[TIPO],DADOS!$AJ$4,tabela_registros[CATEGORIA],reservavariáveisconsolidadoabr[[#This Row],[ATUAL]])</f>
        <v>0</v>
      </c>
      <c r="J187" s="91">
        <f>SUMIFS(tabela_registros[VALOR],tabela_registros[MÊS],$AE$1,tabela_registros[DIA],reservavariáveisconsolidadoabr[[#Headers],[6]],tabela_registros[REGISTRO],DADOS!$N$6,tabela_registros[TIPO],DADOS!$AJ$4,tabela_registros[CATEGORIA],reservavariáveisconsolidadoabr[[#This Row],[ATUAL]])</f>
        <v>0</v>
      </c>
      <c r="K187" s="91">
        <f>SUMIFS(tabela_registros[VALOR],tabela_registros[MÊS],$AE$1,tabela_registros[DIA],reservavariáveisconsolidadoabr[[#Headers],[7]],tabela_registros[REGISTRO],DADOS!$N$6,tabela_registros[TIPO],DADOS!$AJ$4,tabela_registros[CATEGORIA],reservavariáveisconsolidadoabr[[#This Row],[ATUAL]])</f>
        <v>0</v>
      </c>
      <c r="L187" s="91">
        <f>SUMIFS(tabela_registros[VALOR],tabela_registros[MÊS],$AE$1,tabela_registros[DIA],reservavariáveisconsolidadoabr[[#Headers],[8]],tabela_registros[REGISTRO],DADOS!$N$6,tabela_registros[TIPO],DADOS!$AJ$4,tabela_registros[CATEGORIA],reservavariáveisconsolidadoabr[[#This Row],[ATUAL]])</f>
        <v>0</v>
      </c>
      <c r="M187" s="91">
        <f>SUMIFS(tabela_registros[VALOR],tabela_registros[MÊS],$AE$1,tabela_registros[DIA],reservavariáveisconsolidadoabr[[#Headers],[9]],tabela_registros[REGISTRO],DADOS!$N$6,tabela_registros[TIPO],DADOS!$AJ$4,tabela_registros[CATEGORIA],reservavariáveisconsolidadoabr[[#This Row],[ATUAL]])</f>
        <v>0</v>
      </c>
      <c r="N187" s="91">
        <f>SUMIFS(tabela_registros[VALOR],tabela_registros[MÊS],$AE$1,tabela_registros[DIA],reservavariáveisconsolidadoabr[[#Headers],[10]],tabela_registros[REGISTRO],DADOS!$N$6,tabela_registros[TIPO],DADOS!$AJ$4,tabela_registros[CATEGORIA],reservavariáveisconsolidadoabr[[#This Row],[ATUAL]])</f>
        <v>0</v>
      </c>
      <c r="O187" s="91">
        <f>SUMIFS(tabela_registros[VALOR],tabela_registros[MÊS],$AE$1,tabela_registros[DIA],reservavariáveisconsolidadoabr[[#Headers],[11]],tabela_registros[REGISTRO],DADOS!$N$6,tabela_registros[TIPO],DADOS!$AJ$4,tabela_registros[CATEGORIA],reservavariáveisconsolidadoabr[[#This Row],[ATUAL]])</f>
        <v>0</v>
      </c>
      <c r="P187" s="91">
        <f>SUMIFS(tabela_registros[VALOR],tabela_registros[MÊS],$AE$1,tabela_registros[DIA],reservavariáveisconsolidadoabr[[#Headers],[12]],tabela_registros[REGISTRO],DADOS!$N$6,tabela_registros[TIPO],DADOS!$AJ$4,tabela_registros[CATEGORIA],reservavariáveisconsolidadoabr[[#This Row],[ATUAL]])</f>
        <v>0</v>
      </c>
      <c r="Q187" s="91">
        <f>SUMIFS(tabela_registros[VALOR],tabela_registros[MÊS],$AE$1,tabela_registros[DIA],reservavariáveisconsolidadoabr[[#Headers],[13]],tabela_registros[REGISTRO],DADOS!$N$6,tabela_registros[TIPO],DADOS!$AJ$4,tabela_registros[CATEGORIA],reservavariáveisconsolidadoabr[[#This Row],[ATUAL]])</f>
        <v>0</v>
      </c>
      <c r="R187" s="91">
        <f>SUMIFS(tabela_registros[VALOR],tabela_registros[MÊS],$AE$1,tabela_registros[DIA],reservavariáveisconsolidadoabr[[#Headers],[14]],tabela_registros[REGISTRO],DADOS!$N$6,tabela_registros[TIPO],DADOS!$AJ$4,tabela_registros[CATEGORIA],reservavariáveisconsolidadoabr[[#This Row],[ATUAL]])</f>
        <v>0</v>
      </c>
      <c r="S187" s="91">
        <f>SUMIFS(tabela_registros[VALOR],tabela_registros[MÊS],$AE$1,tabela_registros[DIA],reservavariáveisconsolidadoabr[[#Headers],[15]],tabela_registros[REGISTRO],DADOS!$N$6,tabela_registros[TIPO],DADOS!$AJ$4,tabela_registros[CATEGORIA],reservavariáveisconsolidadoabr[[#This Row],[ATUAL]])</f>
        <v>0</v>
      </c>
      <c r="T187" s="91">
        <f>SUMIFS(tabela_registros[VALOR],tabela_registros[MÊS],$AE$1,tabela_registros[DIA],reservavariáveisconsolidadoabr[[#Headers],[16]],tabela_registros[REGISTRO],DADOS!$N$6,tabela_registros[TIPO],DADOS!$AJ$4,tabela_registros[CATEGORIA],reservavariáveisconsolidadoabr[[#This Row],[ATUAL]])</f>
        <v>0</v>
      </c>
      <c r="U187" s="91">
        <f>SUMIFS(tabela_registros[VALOR],tabela_registros[MÊS],$AE$1,tabela_registros[DIA],reservavariáveisconsolidadoabr[[#Headers],[17]],tabela_registros[REGISTRO],DADOS!$N$6,tabela_registros[TIPO],DADOS!$AJ$4,tabela_registros[CATEGORIA],reservavariáveisconsolidadoabr[[#This Row],[ATUAL]])</f>
        <v>0</v>
      </c>
      <c r="V187" s="91">
        <f>SUMIFS(tabela_registros[VALOR],tabela_registros[MÊS],$AE$1,tabela_registros[DIA],reservavariáveisconsolidadoabr[[#Headers],[18]],tabela_registros[REGISTRO],DADOS!$N$6,tabela_registros[TIPO],DADOS!$AJ$4,tabela_registros[CATEGORIA],reservavariáveisconsolidadoabr[[#This Row],[ATUAL]])</f>
        <v>0</v>
      </c>
      <c r="W187" s="91">
        <f>SUMIFS(tabela_registros[VALOR],tabela_registros[MÊS],$AE$1,tabela_registros[DIA],reservavariáveisconsolidadoabr[[#Headers],[19]],tabela_registros[REGISTRO],DADOS!$N$6,tabela_registros[TIPO],DADOS!$AJ$4,tabela_registros[CATEGORIA],reservavariáveisconsolidadoabr[[#This Row],[ATUAL]])</f>
        <v>0</v>
      </c>
      <c r="X187" s="91">
        <f>SUMIFS(tabela_registros[VALOR],tabela_registros[MÊS],$AE$1,tabela_registros[DIA],reservavariáveisconsolidadoabr[[#Headers],[20]],tabela_registros[REGISTRO],DADOS!$N$6,tabela_registros[TIPO],DADOS!$AJ$4,tabela_registros[CATEGORIA],reservavariáveisconsolidadoabr[[#This Row],[ATUAL]])</f>
        <v>0</v>
      </c>
      <c r="Y187" s="91">
        <f>SUMIFS(tabela_registros[VALOR],tabela_registros[MÊS],$AE$1,tabela_registros[DIA],reservavariáveisconsolidadoabr[[#Headers],[21]],tabela_registros[REGISTRO],DADOS!$N$6,tabela_registros[TIPO],DADOS!$AJ$4,tabela_registros[CATEGORIA],reservavariáveisconsolidadoabr[[#This Row],[ATUAL]])</f>
        <v>0</v>
      </c>
      <c r="Z187" s="91">
        <f>SUMIFS(tabela_registros[VALOR],tabela_registros[MÊS],$AE$1,tabela_registros[DIA],reservavariáveisconsolidadoabr[[#Headers],[22]],tabela_registros[REGISTRO],DADOS!$N$6,tabela_registros[TIPO],DADOS!$AJ$4,tabela_registros[CATEGORIA],reservavariáveisconsolidadoabr[[#This Row],[ATUAL]])</f>
        <v>0</v>
      </c>
      <c r="AA187" s="91">
        <f>SUMIFS(tabela_registros[VALOR],tabela_registros[MÊS],$AE$1,tabela_registros[DIA],reservavariáveisconsolidadoabr[[#Headers],[23]],tabela_registros[REGISTRO],DADOS!$N$6,tabela_registros[TIPO],DADOS!$AJ$4,tabela_registros[CATEGORIA],reservavariáveisconsolidadoabr[[#This Row],[ATUAL]])</f>
        <v>0</v>
      </c>
      <c r="AB187" s="91">
        <f>SUMIFS(tabela_registros[VALOR],tabela_registros[MÊS],$AE$1,tabela_registros[DIA],reservavariáveisconsolidadoabr[[#Headers],[24]],tabela_registros[REGISTRO],DADOS!$N$6,tabela_registros[TIPO],DADOS!$AJ$4,tabela_registros[CATEGORIA],reservavariáveisconsolidadoabr[[#This Row],[ATUAL]])</f>
        <v>0</v>
      </c>
      <c r="AC187" s="91">
        <f>SUMIFS(tabela_registros[VALOR],tabela_registros[MÊS],$AE$1,tabela_registros[DIA],reservavariáveisconsolidadoabr[[#Headers],[25]],tabela_registros[REGISTRO],DADOS!$N$6,tabela_registros[TIPO],DADOS!$AJ$4,tabela_registros[CATEGORIA],reservavariáveisconsolidadoabr[[#This Row],[ATUAL]])</f>
        <v>0</v>
      </c>
      <c r="AD187" s="91">
        <f>SUMIFS(tabela_registros[VALOR],tabela_registros[MÊS],$AE$1,tabela_registros[DIA],reservavariáveisconsolidadoabr[[#Headers],[26]],tabela_registros[REGISTRO],DADOS!$N$6,tabela_registros[TIPO],DADOS!$AJ$4,tabela_registros[CATEGORIA],reservavariáveisconsolidadoabr[[#This Row],[ATUAL]])</f>
        <v>0</v>
      </c>
      <c r="AE187" s="91">
        <f>SUMIFS(tabela_registros[VALOR],tabela_registros[MÊS],$AE$1,tabela_registros[DIA],reservavariáveisconsolidadoabr[[#Headers],[27]],tabela_registros[REGISTRO],DADOS!$N$6,tabela_registros[TIPO],DADOS!$AJ$4,tabela_registros[CATEGORIA],reservavariáveisconsolidadoabr[[#This Row],[ATUAL]])</f>
        <v>0</v>
      </c>
      <c r="AF187" s="91">
        <f>SUMIFS(tabela_registros[VALOR],tabela_registros[MÊS],$AE$1,tabela_registros[DIA],reservavariáveisconsolidadoabr[[#Headers],[28]],tabela_registros[REGISTRO],DADOS!$N$6,tabela_registros[TIPO],DADOS!$AJ$4,tabela_registros[CATEGORIA],reservavariáveisconsolidadoabr[[#This Row],[ATUAL]])</f>
        <v>0</v>
      </c>
      <c r="AG187" s="91">
        <f>SUMIFS(tabela_registros[VALOR],tabela_registros[MÊS],$AE$1,tabela_registros[DIA],reservavariáveisconsolidadoabr[[#Headers],[29]],tabela_registros[REGISTRO],DADOS!$N$6,tabela_registros[TIPO],DADOS!$AJ$4,tabela_registros[CATEGORIA],reservavariáveisconsolidadoabr[[#This Row],[ATUAL]])</f>
        <v>0</v>
      </c>
      <c r="AH187" s="91">
        <f>SUMIFS(tabela_registros[VALOR],tabela_registros[MÊS],$AE$1,tabela_registros[DIA],reservavariáveisconsolidadoabr[[#Headers],[30]],tabela_registros[REGISTRO],DADOS!$N$6,tabela_registros[TIPO],DADOS!$AJ$4,tabela_registros[CATEGORIA],reservavariáveisconsolidadoabr[[#This Row],[ATUAL]])</f>
        <v>0</v>
      </c>
      <c r="AI187" s="101">
        <f>SUMIFS(tabela_registros[VALOR],tabela_registros[MÊS],$AE$1,tabela_registros[DIA],reservavariáveisconsolidadoabr[[#Headers],[31]],tabela_registros[REGISTRO],DADOS!$N$6,tabela_registros[TIPO],DADOS!$AJ$4,tabela_registros[CATEGORIA],reservavariáveisconsolidadoabr[[#This Row],[ATUAL]])</f>
        <v>0</v>
      </c>
      <c r="AJ187" s="97">
        <f>SUM(reservavariáveisconsolidadoabr[[#This Row],[1]:[31]])</f>
        <v>0</v>
      </c>
      <c r="AK187" s="25"/>
    </row>
    <row r="188" spans="2:37" ht="19.5" customHeight="1" thickTop="1" thickBot="1" x14ac:dyDescent="0.3">
      <c r="B188" s="28"/>
      <c r="C188" s="27" t="str">
        <f>DADOS!$AN$4</f>
        <v>📝 COMÓDITE</v>
      </c>
      <c r="D188" s="26" t="str">
        <f>IF(reservavariáveisconsolidadoabr[[#This Row],[TOTAL (R$)]]=0,"",IF(OR(reservavariáveisconsolidadoabr[[#This Row],[TOTAL (R$)]]=LARGE($AJ$187:$AJ$196,1),reservavariáveisconsolidadoabr[[#This Row],[TOTAL (R$)]]=LARGE($AJ$187:$AJ$196,2)),DADOS!$I$11,""))</f>
        <v/>
      </c>
      <c r="E188" s="96">
        <f>SUMIFS(tabela_registros[VALOR],tabela_registros[MÊS],$AE$1,tabela_registros[DIA],reservavariáveisconsolidadoabr[[#Headers],[1]],tabela_registros[REGISTRO],DADOS!$N$6,tabela_registros[TIPO],DADOS!$AJ$4,tabela_registros[CATEGORIA],reservavariáveisconsolidadoabr[[#This Row],[ATUAL]])</f>
        <v>0</v>
      </c>
      <c r="F188" s="91">
        <f>SUMIFS(tabela_registros[VALOR],tabela_registros[MÊS],$AE$1,tabela_registros[DIA],reservavariáveisconsolidadoabr[[#Headers],[2]],tabela_registros[REGISTRO],DADOS!$N$6,tabela_registros[TIPO],DADOS!$AJ$4,tabela_registros[CATEGORIA],reservavariáveisconsolidadoabr[[#This Row],[ATUAL]])</f>
        <v>0</v>
      </c>
      <c r="G188" s="91">
        <f>SUMIFS(tabela_registros[VALOR],tabela_registros[MÊS],$AE$1,tabela_registros[DIA],reservavariáveisconsolidadoabr[[#Headers],[3]],tabela_registros[REGISTRO],DADOS!$N$6,tabela_registros[TIPO],DADOS!$AJ$4,tabela_registros[CATEGORIA],reservavariáveisconsolidadoabr[[#This Row],[ATUAL]])</f>
        <v>0</v>
      </c>
      <c r="H188" s="91">
        <f>SUMIFS(tabela_registros[VALOR],tabela_registros[MÊS],$AE$1,tabela_registros[DIA],reservavariáveisconsolidadoabr[[#Headers],[4]],tabela_registros[REGISTRO],DADOS!$N$6,tabela_registros[TIPO],DADOS!$AJ$4,tabela_registros[CATEGORIA],reservavariáveisconsolidadoabr[[#This Row],[ATUAL]])</f>
        <v>0</v>
      </c>
      <c r="I188" s="91">
        <f>SUMIFS(tabela_registros[VALOR],tabela_registros[MÊS],$AE$1,tabela_registros[DIA],reservavariáveisconsolidadoabr[[#Headers],[5]],tabela_registros[REGISTRO],DADOS!$N$6,tabela_registros[TIPO],DADOS!$AJ$4,tabela_registros[CATEGORIA],reservavariáveisconsolidadoabr[[#This Row],[ATUAL]])</f>
        <v>0</v>
      </c>
      <c r="J188" s="91">
        <f>SUMIFS(tabela_registros[VALOR],tabela_registros[MÊS],$AE$1,tabela_registros[DIA],reservavariáveisconsolidadoabr[[#Headers],[6]],tabela_registros[REGISTRO],DADOS!$N$6,tabela_registros[TIPO],DADOS!$AJ$4,tabela_registros[CATEGORIA],reservavariáveisconsolidadoabr[[#This Row],[ATUAL]])</f>
        <v>0</v>
      </c>
      <c r="K188" s="91">
        <f>SUMIFS(tabela_registros[VALOR],tabela_registros[MÊS],$AE$1,tabela_registros[DIA],reservavariáveisconsolidadoabr[[#Headers],[7]],tabela_registros[REGISTRO],DADOS!$N$6,tabela_registros[TIPO],DADOS!$AJ$4,tabela_registros[CATEGORIA],reservavariáveisconsolidadoabr[[#This Row],[ATUAL]])</f>
        <v>0</v>
      </c>
      <c r="L188" s="91">
        <f>SUMIFS(tabela_registros[VALOR],tabela_registros[MÊS],$AE$1,tabela_registros[DIA],reservavariáveisconsolidadoabr[[#Headers],[8]],tabela_registros[REGISTRO],DADOS!$N$6,tabela_registros[TIPO],DADOS!$AJ$4,tabela_registros[CATEGORIA],reservavariáveisconsolidadoabr[[#This Row],[ATUAL]])</f>
        <v>0</v>
      </c>
      <c r="M188" s="91">
        <f>SUMIFS(tabela_registros[VALOR],tabela_registros[MÊS],$AE$1,tabela_registros[DIA],reservavariáveisconsolidadoabr[[#Headers],[9]],tabela_registros[REGISTRO],DADOS!$N$6,tabela_registros[TIPO],DADOS!$AJ$4,tabela_registros[CATEGORIA],reservavariáveisconsolidadoabr[[#This Row],[ATUAL]])</f>
        <v>0</v>
      </c>
      <c r="N188" s="91">
        <f>SUMIFS(tabela_registros[VALOR],tabela_registros[MÊS],$AE$1,tabela_registros[DIA],reservavariáveisconsolidadoabr[[#Headers],[10]],tabela_registros[REGISTRO],DADOS!$N$6,tabela_registros[TIPO],DADOS!$AJ$4,tabela_registros[CATEGORIA],reservavariáveisconsolidadoabr[[#This Row],[ATUAL]])</f>
        <v>0</v>
      </c>
      <c r="O188" s="91">
        <f>SUMIFS(tabela_registros[VALOR],tabela_registros[MÊS],$AE$1,tabela_registros[DIA],reservavariáveisconsolidadoabr[[#Headers],[11]],tabela_registros[REGISTRO],DADOS!$N$6,tabela_registros[TIPO],DADOS!$AJ$4,tabela_registros[CATEGORIA],reservavariáveisconsolidadoabr[[#This Row],[ATUAL]])</f>
        <v>0</v>
      </c>
      <c r="P188" s="91">
        <f>SUMIFS(tabela_registros[VALOR],tabela_registros[MÊS],$AE$1,tabela_registros[DIA],reservavariáveisconsolidadoabr[[#Headers],[12]],tabela_registros[REGISTRO],DADOS!$N$6,tabela_registros[TIPO],DADOS!$AJ$4,tabela_registros[CATEGORIA],reservavariáveisconsolidadoabr[[#This Row],[ATUAL]])</f>
        <v>0</v>
      </c>
      <c r="Q188" s="91">
        <f>SUMIFS(tabela_registros[VALOR],tabela_registros[MÊS],$AE$1,tabela_registros[DIA],reservavariáveisconsolidadoabr[[#Headers],[13]],tabela_registros[REGISTRO],DADOS!$N$6,tabela_registros[TIPO],DADOS!$AJ$4,tabela_registros[CATEGORIA],reservavariáveisconsolidadoabr[[#This Row],[ATUAL]])</f>
        <v>0</v>
      </c>
      <c r="R188" s="91">
        <f>SUMIFS(tabela_registros[VALOR],tabela_registros[MÊS],$AE$1,tabela_registros[DIA],reservavariáveisconsolidadoabr[[#Headers],[14]],tabela_registros[REGISTRO],DADOS!$N$6,tabela_registros[TIPO],DADOS!$AJ$4,tabela_registros[CATEGORIA],reservavariáveisconsolidadoabr[[#This Row],[ATUAL]])</f>
        <v>0</v>
      </c>
      <c r="S188" s="91">
        <f>SUMIFS(tabela_registros[VALOR],tabela_registros[MÊS],$AE$1,tabela_registros[DIA],reservavariáveisconsolidadoabr[[#Headers],[15]],tabela_registros[REGISTRO],DADOS!$N$6,tabela_registros[TIPO],DADOS!$AJ$4,tabela_registros[CATEGORIA],reservavariáveisconsolidadoabr[[#This Row],[ATUAL]])</f>
        <v>0</v>
      </c>
      <c r="T188" s="91">
        <f>SUMIFS(tabela_registros[VALOR],tabela_registros[MÊS],$AE$1,tabela_registros[DIA],reservavariáveisconsolidadoabr[[#Headers],[16]],tabela_registros[REGISTRO],DADOS!$N$6,tabela_registros[TIPO],DADOS!$AJ$4,tabela_registros[CATEGORIA],reservavariáveisconsolidadoabr[[#This Row],[ATUAL]])</f>
        <v>0</v>
      </c>
      <c r="U188" s="91">
        <f>SUMIFS(tabela_registros[VALOR],tabela_registros[MÊS],$AE$1,tabela_registros[DIA],reservavariáveisconsolidadoabr[[#Headers],[17]],tabela_registros[REGISTRO],DADOS!$N$6,tabela_registros[TIPO],DADOS!$AJ$4,tabela_registros[CATEGORIA],reservavariáveisconsolidadoabr[[#This Row],[ATUAL]])</f>
        <v>0</v>
      </c>
      <c r="V188" s="91">
        <f>SUMIFS(tabela_registros[VALOR],tabela_registros[MÊS],$AE$1,tabela_registros[DIA],reservavariáveisconsolidadoabr[[#Headers],[18]],tabela_registros[REGISTRO],DADOS!$N$6,tabela_registros[TIPO],DADOS!$AJ$4,tabela_registros[CATEGORIA],reservavariáveisconsolidadoabr[[#This Row],[ATUAL]])</f>
        <v>0</v>
      </c>
      <c r="W188" s="91">
        <f>SUMIFS(tabela_registros[VALOR],tabela_registros[MÊS],$AE$1,tabela_registros[DIA],reservavariáveisconsolidadoabr[[#Headers],[19]],tabela_registros[REGISTRO],DADOS!$N$6,tabela_registros[TIPO],DADOS!$AJ$4,tabela_registros[CATEGORIA],reservavariáveisconsolidadoabr[[#This Row],[ATUAL]])</f>
        <v>0</v>
      </c>
      <c r="X188" s="91">
        <f>SUMIFS(tabela_registros[VALOR],tabela_registros[MÊS],$AE$1,tabela_registros[DIA],reservavariáveisconsolidadoabr[[#Headers],[20]],tabela_registros[REGISTRO],DADOS!$N$6,tabela_registros[TIPO],DADOS!$AJ$4,tabela_registros[CATEGORIA],reservavariáveisconsolidadoabr[[#This Row],[ATUAL]])</f>
        <v>0</v>
      </c>
      <c r="Y188" s="91">
        <f>SUMIFS(tabela_registros[VALOR],tabela_registros[MÊS],$AE$1,tabela_registros[DIA],reservavariáveisconsolidadoabr[[#Headers],[21]],tabela_registros[REGISTRO],DADOS!$N$6,tabela_registros[TIPO],DADOS!$AJ$4,tabela_registros[CATEGORIA],reservavariáveisconsolidadoabr[[#This Row],[ATUAL]])</f>
        <v>0</v>
      </c>
      <c r="Z188" s="91">
        <f>SUMIFS(tabela_registros[VALOR],tabela_registros[MÊS],$AE$1,tabela_registros[DIA],reservavariáveisconsolidadoabr[[#Headers],[22]],tabela_registros[REGISTRO],DADOS!$N$6,tabela_registros[TIPO],DADOS!$AJ$4,tabela_registros[CATEGORIA],reservavariáveisconsolidadoabr[[#This Row],[ATUAL]])</f>
        <v>0</v>
      </c>
      <c r="AA188" s="91">
        <f>SUMIFS(tabela_registros[VALOR],tabela_registros[MÊS],$AE$1,tabela_registros[DIA],reservavariáveisconsolidadoabr[[#Headers],[23]],tabela_registros[REGISTRO],DADOS!$N$6,tabela_registros[TIPO],DADOS!$AJ$4,tabela_registros[CATEGORIA],reservavariáveisconsolidadoabr[[#This Row],[ATUAL]])</f>
        <v>0</v>
      </c>
      <c r="AB188" s="91">
        <f>SUMIFS(tabela_registros[VALOR],tabela_registros[MÊS],$AE$1,tabela_registros[DIA],reservavariáveisconsolidadoabr[[#Headers],[24]],tabela_registros[REGISTRO],DADOS!$N$6,tabela_registros[TIPO],DADOS!$AJ$4,tabela_registros[CATEGORIA],reservavariáveisconsolidadoabr[[#This Row],[ATUAL]])</f>
        <v>0</v>
      </c>
      <c r="AC188" s="91">
        <f>SUMIFS(tabela_registros[VALOR],tabela_registros[MÊS],$AE$1,tabela_registros[DIA],reservavariáveisconsolidadoabr[[#Headers],[25]],tabela_registros[REGISTRO],DADOS!$N$6,tabela_registros[TIPO],DADOS!$AJ$4,tabela_registros[CATEGORIA],reservavariáveisconsolidadoabr[[#This Row],[ATUAL]])</f>
        <v>0</v>
      </c>
      <c r="AD188" s="91">
        <f>SUMIFS(tabela_registros[VALOR],tabela_registros[MÊS],$AE$1,tabela_registros[DIA],reservavariáveisconsolidadoabr[[#Headers],[26]],tabela_registros[REGISTRO],DADOS!$N$6,tabela_registros[TIPO],DADOS!$AJ$4,tabela_registros[CATEGORIA],reservavariáveisconsolidadoabr[[#This Row],[ATUAL]])</f>
        <v>0</v>
      </c>
      <c r="AE188" s="91">
        <f>SUMIFS(tabela_registros[VALOR],tabela_registros[MÊS],$AE$1,tabela_registros[DIA],reservavariáveisconsolidadoabr[[#Headers],[27]],tabela_registros[REGISTRO],DADOS!$N$6,tabela_registros[TIPO],DADOS!$AJ$4,tabela_registros[CATEGORIA],reservavariáveisconsolidadoabr[[#This Row],[ATUAL]])</f>
        <v>0</v>
      </c>
      <c r="AF188" s="91">
        <f>SUMIFS(tabela_registros[VALOR],tabela_registros[MÊS],$AE$1,tabela_registros[DIA],reservavariáveisconsolidadoabr[[#Headers],[28]],tabela_registros[REGISTRO],DADOS!$N$6,tabela_registros[TIPO],DADOS!$AJ$4,tabela_registros[CATEGORIA],reservavariáveisconsolidadoabr[[#This Row],[ATUAL]])</f>
        <v>0</v>
      </c>
      <c r="AG188" s="91">
        <f>SUMIFS(tabela_registros[VALOR],tabela_registros[MÊS],$AE$1,tabela_registros[DIA],reservavariáveisconsolidadoabr[[#Headers],[29]],tabela_registros[REGISTRO],DADOS!$N$6,tabela_registros[TIPO],DADOS!$AJ$4,tabela_registros[CATEGORIA],reservavariáveisconsolidadoabr[[#This Row],[ATUAL]])</f>
        <v>0</v>
      </c>
      <c r="AH188" s="91">
        <f>SUMIFS(tabela_registros[VALOR],tabela_registros[MÊS],$AE$1,tabela_registros[DIA],reservavariáveisconsolidadoabr[[#Headers],[30]],tabela_registros[REGISTRO],DADOS!$N$6,tabela_registros[TIPO],DADOS!$AJ$4,tabela_registros[CATEGORIA],reservavariáveisconsolidadoabr[[#This Row],[ATUAL]])</f>
        <v>0</v>
      </c>
      <c r="AI188" s="101">
        <f>SUMIFS(tabela_registros[VALOR],tabela_registros[MÊS],$AE$1,tabela_registros[DIA],reservavariáveisconsolidadoabr[[#Headers],[31]],tabela_registros[REGISTRO],DADOS!$N$6,tabela_registros[TIPO],DADOS!$AJ$4,tabela_registros[CATEGORIA],reservavariáveisconsolidadoabr[[#This Row],[ATUAL]])</f>
        <v>0</v>
      </c>
      <c r="AJ188" s="97">
        <f>SUM(reservavariáveisconsolidadoabr[[#This Row],[1]:[31]])</f>
        <v>0</v>
      </c>
      <c r="AK188" s="25"/>
    </row>
    <row r="189" spans="2:37" ht="19.5" customHeight="1" thickTop="1" thickBot="1" x14ac:dyDescent="0.3">
      <c r="B189" s="28"/>
      <c r="C189" s="27" t="str">
        <f>DADOS!$AN$5</f>
        <v>📝 CONTRATO DE FUTUROS</v>
      </c>
      <c r="D189" s="26" t="str">
        <f>IF(reservavariáveisconsolidadoabr[[#This Row],[TOTAL (R$)]]=0,"",IF(OR(reservavariáveisconsolidadoabr[[#This Row],[TOTAL (R$)]]=LARGE($AJ$187:$AJ$196,1),reservavariáveisconsolidadoabr[[#This Row],[TOTAL (R$)]]=LARGE($AJ$187:$AJ$196,2)),DADOS!$I$11,""))</f>
        <v/>
      </c>
      <c r="E189" s="96">
        <f>SUMIFS(tabela_registros[VALOR],tabela_registros[MÊS],$AE$1,tabela_registros[DIA],reservavariáveisconsolidadoabr[[#Headers],[1]],tabela_registros[REGISTRO],DADOS!$N$6,tabela_registros[TIPO],DADOS!$AJ$4,tabela_registros[CATEGORIA],reservavariáveisconsolidadoabr[[#This Row],[ATUAL]])</f>
        <v>0</v>
      </c>
      <c r="F189" s="91">
        <f>SUMIFS(tabela_registros[VALOR],tabela_registros[MÊS],$AE$1,tabela_registros[DIA],reservavariáveisconsolidadoabr[[#Headers],[2]],tabela_registros[REGISTRO],DADOS!$N$6,tabela_registros[TIPO],DADOS!$AJ$4,tabela_registros[CATEGORIA],reservavariáveisconsolidadoabr[[#This Row],[ATUAL]])</f>
        <v>0</v>
      </c>
      <c r="G189" s="91">
        <f>SUMIFS(tabela_registros[VALOR],tabela_registros[MÊS],$AE$1,tabela_registros[DIA],reservavariáveisconsolidadoabr[[#Headers],[3]],tabela_registros[REGISTRO],DADOS!$N$6,tabela_registros[TIPO],DADOS!$AJ$4,tabela_registros[CATEGORIA],reservavariáveisconsolidadoabr[[#This Row],[ATUAL]])</f>
        <v>0</v>
      </c>
      <c r="H189" s="91">
        <f>SUMIFS(tabela_registros[VALOR],tabela_registros[MÊS],$AE$1,tabela_registros[DIA],reservavariáveisconsolidadoabr[[#Headers],[4]],tabela_registros[REGISTRO],DADOS!$N$6,tabela_registros[TIPO],DADOS!$AJ$4,tabela_registros[CATEGORIA],reservavariáveisconsolidadoabr[[#This Row],[ATUAL]])</f>
        <v>0</v>
      </c>
      <c r="I189" s="91">
        <f>SUMIFS(tabela_registros[VALOR],tabela_registros[MÊS],$AE$1,tabela_registros[DIA],reservavariáveisconsolidadoabr[[#Headers],[5]],tabela_registros[REGISTRO],DADOS!$N$6,tabela_registros[TIPO],DADOS!$AJ$4,tabela_registros[CATEGORIA],reservavariáveisconsolidadoabr[[#This Row],[ATUAL]])</f>
        <v>0</v>
      </c>
      <c r="J189" s="91">
        <f>SUMIFS(tabela_registros[VALOR],tabela_registros[MÊS],$AE$1,tabela_registros[DIA],reservavariáveisconsolidadoabr[[#Headers],[6]],tabela_registros[REGISTRO],DADOS!$N$6,tabela_registros[TIPO],DADOS!$AJ$4,tabela_registros[CATEGORIA],reservavariáveisconsolidadoabr[[#This Row],[ATUAL]])</f>
        <v>0</v>
      </c>
      <c r="K189" s="91">
        <f>SUMIFS(tabela_registros[VALOR],tabela_registros[MÊS],$AE$1,tabela_registros[DIA],reservavariáveisconsolidadoabr[[#Headers],[7]],tabela_registros[REGISTRO],DADOS!$N$6,tabela_registros[TIPO],DADOS!$AJ$4,tabela_registros[CATEGORIA],reservavariáveisconsolidadoabr[[#This Row],[ATUAL]])</f>
        <v>0</v>
      </c>
      <c r="L189" s="91">
        <f>SUMIFS(tabela_registros[VALOR],tabela_registros[MÊS],$AE$1,tabela_registros[DIA],reservavariáveisconsolidadoabr[[#Headers],[8]],tabela_registros[REGISTRO],DADOS!$N$6,tabela_registros[TIPO],DADOS!$AJ$4,tabela_registros[CATEGORIA],reservavariáveisconsolidadoabr[[#This Row],[ATUAL]])</f>
        <v>0</v>
      </c>
      <c r="M189" s="91">
        <f>SUMIFS(tabela_registros[VALOR],tabela_registros[MÊS],$AE$1,tabela_registros[DIA],reservavariáveisconsolidadoabr[[#Headers],[9]],tabela_registros[REGISTRO],DADOS!$N$6,tabela_registros[TIPO],DADOS!$AJ$4,tabela_registros[CATEGORIA],reservavariáveisconsolidadoabr[[#This Row],[ATUAL]])</f>
        <v>0</v>
      </c>
      <c r="N189" s="91">
        <f>SUMIFS(tabela_registros[VALOR],tabela_registros[MÊS],$AE$1,tabela_registros[DIA],reservavariáveisconsolidadoabr[[#Headers],[10]],tabela_registros[REGISTRO],DADOS!$N$6,tabela_registros[TIPO],DADOS!$AJ$4,tabela_registros[CATEGORIA],reservavariáveisconsolidadoabr[[#This Row],[ATUAL]])</f>
        <v>0</v>
      </c>
      <c r="O189" s="91">
        <f>SUMIFS(tabela_registros[VALOR],tabela_registros[MÊS],$AE$1,tabela_registros[DIA],reservavariáveisconsolidadoabr[[#Headers],[11]],tabela_registros[REGISTRO],DADOS!$N$6,tabela_registros[TIPO],DADOS!$AJ$4,tabela_registros[CATEGORIA],reservavariáveisconsolidadoabr[[#This Row],[ATUAL]])</f>
        <v>0</v>
      </c>
      <c r="P189" s="91">
        <f>SUMIFS(tabela_registros[VALOR],tabela_registros[MÊS],$AE$1,tabela_registros[DIA],reservavariáveisconsolidadoabr[[#Headers],[12]],tabela_registros[REGISTRO],DADOS!$N$6,tabela_registros[TIPO],DADOS!$AJ$4,tabela_registros[CATEGORIA],reservavariáveisconsolidadoabr[[#This Row],[ATUAL]])</f>
        <v>0</v>
      </c>
      <c r="Q189" s="91">
        <f>SUMIFS(tabela_registros[VALOR],tabela_registros[MÊS],$AE$1,tabela_registros[DIA],reservavariáveisconsolidadoabr[[#Headers],[13]],tabela_registros[REGISTRO],DADOS!$N$6,tabela_registros[TIPO],DADOS!$AJ$4,tabela_registros[CATEGORIA],reservavariáveisconsolidadoabr[[#This Row],[ATUAL]])</f>
        <v>0</v>
      </c>
      <c r="R189" s="91">
        <f>SUMIFS(tabela_registros[VALOR],tabela_registros[MÊS],$AE$1,tabela_registros[DIA],reservavariáveisconsolidadoabr[[#Headers],[14]],tabela_registros[REGISTRO],DADOS!$N$6,tabela_registros[TIPO],DADOS!$AJ$4,tabela_registros[CATEGORIA],reservavariáveisconsolidadoabr[[#This Row],[ATUAL]])</f>
        <v>0</v>
      </c>
      <c r="S189" s="91">
        <f>SUMIFS(tabela_registros[VALOR],tabela_registros[MÊS],$AE$1,tabela_registros[DIA],reservavariáveisconsolidadoabr[[#Headers],[15]],tabela_registros[REGISTRO],DADOS!$N$6,tabela_registros[TIPO],DADOS!$AJ$4,tabela_registros[CATEGORIA],reservavariáveisconsolidadoabr[[#This Row],[ATUAL]])</f>
        <v>0</v>
      </c>
      <c r="T189" s="91">
        <f>SUMIFS(tabela_registros[VALOR],tabela_registros[MÊS],$AE$1,tabela_registros[DIA],reservavariáveisconsolidadoabr[[#Headers],[16]],tabela_registros[REGISTRO],DADOS!$N$6,tabela_registros[TIPO],DADOS!$AJ$4,tabela_registros[CATEGORIA],reservavariáveisconsolidadoabr[[#This Row],[ATUAL]])</f>
        <v>0</v>
      </c>
      <c r="U189" s="91">
        <f>SUMIFS(tabela_registros[VALOR],tabela_registros[MÊS],$AE$1,tabela_registros[DIA],reservavariáveisconsolidadoabr[[#Headers],[17]],tabela_registros[REGISTRO],DADOS!$N$6,tabela_registros[TIPO],DADOS!$AJ$4,tabela_registros[CATEGORIA],reservavariáveisconsolidadoabr[[#This Row],[ATUAL]])</f>
        <v>0</v>
      </c>
      <c r="V189" s="91">
        <f>SUMIFS(tabela_registros[VALOR],tabela_registros[MÊS],$AE$1,tabela_registros[DIA],reservavariáveisconsolidadoabr[[#Headers],[18]],tabela_registros[REGISTRO],DADOS!$N$6,tabela_registros[TIPO],DADOS!$AJ$4,tabela_registros[CATEGORIA],reservavariáveisconsolidadoabr[[#This Row],[ATUAL]])</f>
        <v>0</v>
      </c>
      <c r="W189" s="91">
        <f>SUMIFS(tabela_registros[VALOR],tabela_registros[MÊS],$AE$1,tabela_registros[DIA],reservavariáveisconsolidadoabr[[#Headers],[19]],tabela_registros[REGISTRO],DADOS!$N$6,tabela_registros[TIPO],DADOS!$AJ$4,tabela_registros[CATEGORIA],reservavariáveisconsolidadoabr[[#This Row],[ATUAL]])</f>
        <v>0</v>
      </c>
      <c r="X189" s="91">
        <f>SUMIFS(tabela_registros[VALOR],tabela_registros[MÊS],$AE$1,tabela_registros[DIA],reservavariáveisconsolidadoabr[[#Headers],[20]],tabela_registros[REGISTRO],DADOS!$N$6,tabela_registros[TIPO],DADOS!$AJ$4,tabela_registros[CATEGORIA],reservavariáveisconsolidadoabr[[#This Row],[ATUAL]])</f>
        <v>0</v>
      </c>
      <c r="Y189" s="91">
        <f>SUMIFS(tabela_registros[VALOR],tabela_registros[MÊS],$AE$1,tabela_registros[DIA],reservavariáveisconsolidadoabr[[#Headers],[21]],tabela_registros[REGISTRO],DADOS!$N$6,tabela_registros[TIPO],DADOS!$AJ$4,tabela_registros[CATEGORIA],reservavariáveisconsolidadoabr[[#This Row],[ATUAL]])</f>
        <v>0</v>
      </c>
      <c r="Z189" s="91">
        <f>SUMIFS(tabela_registros[VALOR],tabela_registros[MÊS],$AE$1,tabela_registros[DIA],reservavariáveisconsolidadoabr[[#Headers],[22]],tabela_registros[REGISTRO],DADOS!$N$6,tabela_registros[TIPO],DADOS!$AJ$4,tabela_registros[CATEGORIA],reservavariáveisconsolidadoabr[[#This Row],[ATUAL]])</f>
        <v>0</v>
      </c>
      <c r="AA189" s="91">
        <f>SUMIFS(tabela_registros[VALOR],tabela_registros[MÊS],$AE$1,tabela_registros[DIA],reservavariáveisconsolidadoabr[[#Headers],[23]],tabela_registros[REGISTRO],DADOS!$N$6,tabela_registros[TIPO],DADOS!$AJ$4,tabela_registros[CATEGORIA],reservavariáveisconsolidadoabr[[#This Row],[ATUAL]])</f>
        <v>0</v>
      </c>
      <c r="AB189" s="91">
        <f>SUMIFS(tabela_registros[VALOR],tabela_registros[MÊS],$AE$1,tabela_registros[DIA],reservavariáveisconsolidadoabr[[#Headers],[24]],tabela_registros[REGISTRO],DADOS!$N$6,tabela_registros[TIPO],DADOS!$AJ$4,tabela_registros[CATEGORIA],reservavariáveisconsolidadoabr[[#This Row],[ATUAL]])</f>
        <v>0</v>
      </c>
      <c r="AC189" s="91">
        <f>SUMIFS(tabela_registros[VALOR],tabela_registros[MÊS],$AE$1,tabela_registros[DIA],reservavariáveisconsolidadoabr[[#Headers],[25]],tabela_registros[REGISTRO],DADOS!$N$6,tabela_registros[TIPO],DADOS!$AJ$4,tabela_registros[CATEGORIA],reservavariáveisconsolidadoabr[[#This Row],[ATUAL]])</f>
        <v>0</v>
      </c>
      <c r="AD189" s="91">
        <f>SUMIFS(tabela_registros[VALOR],tabela_registros[MÊS],$AE$1,tabela_registros[DIA],reservavariáveisconsolidadoabr[[#Headers],[26]],tabela_registros[REGISTRO],DADOS!$N$6,tabela_registros[TIPO],DADOS!$AJ$4,tabela_registros[CATEGORIA],reservavariáveisconsolidadoabr[[#This Row],[ATUAL]])</f>
        <v>0</v>
      </c>
      <c r="AE189" s="91">
        <f>SUMIFS(tabela_registros[VALOR],tabela_registros[MÊS],$AE$1,tabela_registros[DIA],reservavariáveisconsolidadoabr[[#Headers],[27]],tabela_registros[REGISTRO],DADOS!$N$6,tabela_registros[TIPO],DADOS!$AJ$4,tabela_registros[CATEGORIA],reservavariáveisconsolidadoabr[[#This Row],[ATUAL]])</f>
        <v>0</v>
      </c>
      <c r="AF189" s="91">
        <f>SUMIFS(tabela_registros[VALOR],tabela_registros[MÊS],$AE$1,tabela_registros[DIA],reservavariáveisconsolidadoabr[[#Headers],[28]],tabela_registros[REGISTRO],DADOS!$N$6,tabela_registros[TIPO],DADOS!$AJ$4,tabela_registros[CATEGORIA],reservavariáveisconsolidadoabr[[#This Row],[ATUAL]])</f>
        <v>0</v>
      </c>
      <c r="AG189" s="91">
        <f>SUMIFS(tabela_registros[VALOR],tabela_registros[MÊS],$AE$1,tabela_registros[DIA],reservavariáveisconsolidadoabr[[#Headers],[29]],tabela_registros[REGISTRO],DADOS!$N$6,tabela_registros[TIPO],DADOS!$AJ$4,tabela_registros[CATEGORIA],reservavariáveisconsolidadoabr[[#This Row],[ATUAL]])</f>
        <v>0</v>
      </c>
      <c r="AH189" s="91">
        <f>SUMIFS(tabela_registros[VALOR],tabela_registros[MÊS],$AE$1,tabela_registros[DIA],reservavariáveisconsolidadoabr[[#Headers],[30]],tabela_registros[REGISTRO],DADOS!$N$6,tabela_registros[TIPO],DADOS!$AJ$4,tabela_registros[CATEGORIA],reservavariáveisconsolidadoabr[[#This Row],[ATUAL]])</f>
        <v>0</v>
      </c>
      <c r="AI189" s="101">
        <f>SUMIFS(tabela_registros[VALOR],tabela_registros[MÊS],$AE$1,tabela_registros[DIA],reservavariáveisconsolidadoabr[[#Headers],[31]],tabela_registros[REGISTRO],DADOS!$N$6,tabela_registros[TIPO],DADOS!$AJ$4,tabela_registros[CATEGORIA],reservavariáveisconsolidadoabr[[#This Row],[ATUAL]])</f>
        <v>0</v>
      </c>
      <c r="AJ189" s="97">
        <f>SUM(reservavariáveisconsolidadoabr[[#This Row],[1]:[31]])</f>
        <v>0</v>
      </c>
      <c r="AK189" s="25"/>
    </row>
    <row r="190" spans="2:37" ht="19.5" customHeight="1" thickTop="1" thickBot="1" x14ac:dyDescent="0.3">
      <c r="B190" s="28"/>
      <c r="C190" s="27" t="str">
        <f>DADOS!$AN$6</f>
        <v>📝 CONTRATO DE OPÇÕES</v>
      </c>
      <c r="D190" s="26" t="str">
        <f>IF(reservavariáveisconsolidadoabr[[#This Row],[TOTAL (R$)]]=0,"",IF(OR(reservavariáveisconsolidadoabr[[#This Row],[TOTAL (R$)]]=LARGE($AJ$187:$AJ$196,1),reservavariáveisconsolidadoabr[[#This Row],[TOTAL (R$)]]=LARGE($AJ$187:$AJ$196,2)),DADOS!$I$11,""))</f>
        <v/>
      </c>
      <c r="E190" s="96">
        <f>SUMIFS(tabela_registros[VALOR],tabela_registros[MÊS],$AE$1,tabela_registros[DIA],reservavariáveisconsolidadoabr[[#Headers],[1]],tabela_registros[REGISTRO],DADOS!$N$6,tabela_registros[TIPO],DADOS!$AJ$4,tabela_registros[CATEGORIA],reservavariáveisconsolidadoabr[[#This Row],[ATUAL]])</f>
        <v>0</v>
      </c>
      <c r="F190" s="91">
        <f>SUMIFS(tabela_registros[VALOR],tabela_registros[MÊS],$AE$1,tabela_registros[DIA],reservavariáveisconsolidadoabr[[#Headers],[2]],tabela_registros[REGISTRO],DADOS!$N$6,tabela_registros[TIPO],DADOS!$AJ$4,tabela_registros[CATEGORIA],reservavariáveisconsolidadoabr[[#This Row],[ATUAL]])</f>
        <v>0</v>
      </c>
      <c r="G190" s="91">
        <f>SUMIFS(tabela_registros[VALOR],tabela_registros[MÊS],$AE$1,tabela_registros[DIA],reservavariáveisconsolidadoabr[[#Headers],[3]],tabela_registros[REGISTRO],DADOS!$N$6,tabela_registros[TIPO],DADOS!$AJ$4,tabela_registros[CATEGORIA],reservavariáveisconsolidadoabr[[#This Row],[ATUAL]])</f>
        <v>0</v>
      </c>
      <c r="H190" s="91">
        <f>SUMIFS(tabela_registros[VALOR],tabela_registros[MÊS],$AE$1,tabela_registros[DIA],reservavariáveisconsolidadoabr[[#Headers],[4]],tabela_registros[REGISTRO],DADOS!$N$6,tabela_registros[TIPO],DADOS!$AJ$4,tabela_registros[CATEGORIA],reservavariáveisconsolidadoabr[[#This Row],[ATUAL]])</f>
        <v>0</v>
      </c>
      <c r="I190" s="91">
        <f>SUMIFS(tabela_registros[VALOR],tabela_registros[MÊS],$AE$1,tabela_registros[DIA],reservavariáveisconsolidadoabr[[#Headers],[5]],tabela_registros[REGISTRO],DADOS!$N$6,tabela_registros[TIPO],DADOS!$AJ$4,tabela_registros[CATEGORIA],reservavariáveisconsolidadoabr[[#This Row],[ATUAL]])</f>
        <v>0</v>
      </c>
      <c r="J190" s="91">
        <f>SUMIFS(tabela_registros[VALOR],tabela_registros[MÊS],$AE$1,tabela_registros[DIA],reservavariáveisconsolidadoabr[[#Headers],[6]],tabela_registros[REGISTRO],DADOS!$N$6,tabela_registros[TIPO],DADOS!$AJ$4,tabela_registros[CATEGORIA],reservavariáveisconsolidadoabr[[#This Row],[ATUAL]])</f>
        <v>0</v>
      </c>
      <c r="K190" s="91">
        <f>SUMIFS(tabela_registros[VALOR],tabela_registros[MÊS],$AE$1,tabela_registros[DIA],reservavariáveisconsolidadoabr[[#Headers],[7]],tabela_registros[REGISTRO],DADOS!$N$6,tabela_registros[TIPO],DADOS!$AJ$4,tabela_registros[CATEGORIA],reservavariáveisconsolidadoabr[[#This Row],[ATUAL]])</f>
        <v>0</v>
      </c>
      <c r="L190" s="91">
        <f>SUMIFS(tabela_registros[VALOR],tabela_registros[MÊS],$AE$1,tabela_registros[DIA],reservavariáveisconsolidadoabr[[#Headers],[8]],tabela_registros[REGISTRO],DADOS!$N$6,tabela_registros[TIPO],DADOS!$AJ$4,tabela_registros[CATEGORIA],reservavariáveisconsolidadoabr[[#This Row],[ATUAL]])</f>
        <v>0</v>
      </c>
      <c r="M190" s="91">
        <f>SUMIFS(tabela_registros[VALOR],tabela_registros[MÊS],$AE$1,tabela_registros[DIA],reservavariáveisconsolidadoabr[[#Headers],[9]],tabela_registros[REGISTRO],DADOS!$N$6,tabela_registros[TIPO],DADOS!$AJ$4,tabela_registros[CATEGORIA],reservavariáveisconsolidadoabr[[#This Row],[ATUAL]])</f>
        <v>0</v>
      </c>
      <c r="N190" s="91">
        <f>SUMIFS(tabela_registros[VALOR],tabela_registros[MÊS],$AE$1,tabela_registros[DIA],reservavariáveisconsolidadoabr[[#Headers],[10]],tabela_registros[REGISTRO],DADOS!$N$6,tabela_registros[TIPO],DADOS!$AJ$4,tabela_registros[CATEGORIA],reservavariáveisconsolidadoabr[[#This Row],[ATUAL]])</f>
        <v>0</v>
      </c>
      <c r="O190" s="91">
        <f>SUMIFS(tabela_registros[VALOR],tabela_registros[MÊS],$AE$1,tabela_registros[DIA],reservavariáveisconsolidadoabr[[#Headers],[11]],tabela_registros[REGISTRO],DADOS!$N$6,tabela_registros[TIPO],DADOS!$AJ$4,tabela_registros[CATEGORIA],reservavariáveisconsolidadoabr[[#This Row],[ATUAL]])</f>
        <v>0</v>
      </c>
      <c r="P190" s="91">
        <f>SUMIFS(tabela_registros[VALOR],tabela_registros[MÊS],$AE$1,tabela_registros[DIA],reservavariáveisconsolidadoabr[[#Headers],[12]],tabela_registros[REGISTRO],DADOS!$N$6,tabela_registros[TIPO],DADOS!$AJ$4,tabela_registros[CATEGORIA],reservavariáveisconsolidadoabr[[#This Row],[ATUAL]])</f>
        <v>0</v>
      </c>
      <c r="Q190" s="91">
        <f>SUMIFS(tabela_registros[VALOR],tabela_registros[MÊS],$AE$1,tabela_registros[DIA],reservavariáveisconsolidadoabr[[#Headers],[13]],tabela_registros[REGISTRO],DADOS!$N$6,tabela_registros[TIPO],DADOS!$AJ$4,tabela_registros[CATEGORIA],reservavariáveisconsolidadoabr[[#This Row],[ATUAL]])</f>
        <v>0</v>
      </c>
      <c r="R190" s="91">
        <f>SUMIFS(tabela_registros[VALOR],tabela_registros[MÊS],$AE$1,tabela_registros[DIA],reservavariáveisconsolidadoabr[[#Headers],[14]],tabela_registros[REGISTRO],DADOS!$N$6,tabela_registros[TIPO],DADOS!$AJ$4,tabela_registros[CATEGORIA],reservavariáveisconsolidadoabr[[#This Row],[ATUAL]])</f>
        <v>0</v>
      </c>
      <c r="S190" s="91">
        <f>SUMIFS(tabela_registros[VALOR],tabela_registros[MÊS],$AE$1,tabela_registros[DIA],reservavariáveisconsolidadoabr[[#Headers],[15]],tabela_registros[REGISTRO],DADOS!$N$6,tabela_registros[TIPO],DADOS!$AJ$4,tabela_registros[CATEGORIA],reservavariáveisconsolidadoabr[[#This Row],[ATUAL]])</f>
        <v>0</v>
      </c>
      <c r="T190" s="91">
        <f>SUMIFS(tabela_registros[VALOR],tabela_registros[MÊS],$AE$1,tabela_registros[DIA],reservavariáveisconsolidadoabr[[#Headers],[16]],tabela_registros[REGISTRO],DADOS!$N$6,tabela_registros[TIPO],DADOS!$AJ$4,tabela_registros[CATEGORIA],reservavariáveisconsolidadoabr[[#This Row],[ATUAL]])</f>
        <v>0</v>
      </c>
      <c r="U190" s="91">
        <f>SUMIFS(tabela_registros[VALOR],tabela_registros[MÊS],$AE$1,tabela_registros[DIA],reservavariáveisconsolidadoabr[[#Headers],[17]],tabela_registros[REGISTRO],DADOS!$N$6,tabela_registros[TIPO],DADOS!$AJ$4,tabela_registros[CATEGORIA],reservavariáveisconsolidadoabr[[#This Row],[ATUAL]])</f>
        <v>0</v>
      </c>
      <c r="V190" s="91">
        <f>SUMIFS(tabela_registros[VALOR],tabela_registros[MÊS],$AE$1,tabela_registros[DIA],reservavariáveisconsolidadoabr[[#Headers],[18]],tabela_registros[REGISTRO],DADOS!$N$6,tabela_registros[TIPO],DADOS!$AJ$4,tabela_registros[CATEGORIA],reservavariáveisconsolidadoabr[[#This Row],[ATUAL]])</f>
        <v>0</v>
      </c>
      <c r="W190" s="91">
        <f>SUMIFS(tabela_registros[VALOR],tabela_registros[MÊS],$AE$1,tabela_registros[DIA],reservavariáveisconsolidadoabr[[#Headers],[19]],tabela_registros[REGISTRO],DADOS!$N$6,tabela_registros[TIPO],DADOS!$AJ$4,tabela_registros[CATEGORIA],reservavariáveisconsolidadoabr[[#This Row],[ATUAL]])</f>
        <v>0</v>
      </c>
      <c r="X190" s="91">
        <f>SUMIFS(tabela_registros[VALOR],tabela_registros[MÊS],$AE$1,tabela_registros[DIA],reservavariáveisconsolidadoabr[[#Headers],[20]],tabela_registros[REGISTRO],DADOS!$N$6,tabela_registros[TIPO],DADOS!$AJ$4,tabela_registros[CATEGORIA],reservavariáveisconsolidadoabr[[#This Row],[ATUAL]])</f>
        <v>0</v>
      </c>
      <c r="Y190" s="91">
        <f>SUMIFS(tabela_registros[VALOR],tabela_registros[MÊS],$AE$1,tabela_registros[DIA],reservavariáveisconsolidadoabr[[#Headers],[21]],tabela_registros[REGISTRO],DADOS!$N$6,tabela_registros[TIPO],DADOS!$AJ$4,tabela_registros[CATEGORIA],reservavariáveisconsolidadoabr[[#This Row],[ATUAL]])</f>
        <v>0</v>
      </c>
      <c r="Z190" s="91">
        <f>SUMIFS(tabela_registros[VALOR],tabela_registros[MÊS],$AE$1,tabela_registros[DIA],reservavariáveisconsolidadoabr[[#Headers],[22]],tabela_registros[REGISTRO],DADOS!$N$6,tabela_registros[TIPO],DADOS!$AJ$4,tabela_registros[CATEGORIA],reservavariáveisconsolidadoabr[[#This Row],[ATUAL]])</f>
        <v>0</v>
      </c>
      <c r="AA190" s="91">
        <f>SUMIFS(tabela_registros[VALOR],tabela_registros[MÊS],$AE$1,tabela_registros[DIA],reservavariáveisconsolidadoabr[[#Headers],[23]],tabela_registros[REGISTRO],DADOS!$N$6,tabela_registros[TIPO],DADOS!$AJ$4,tabela_registros[CATEGORIA],reservavariáveisconsolidadoabr[[#This Row],[ATUAL]])</f>
        <v>0</v>
      </c>
      <c r="AB190" s="91">
        <f>SUMIFS(tabela_registros[VALOR],tabela_registros[MÊS],$AE$1,tabela_registros[DIA],reservavariáveisconsolidadoabr[[#Headers],[24]],tabela_registros[REGISTRO],DADOS!$N$6,tabela_registros[TIPO],DADOS!$AJ$4,tabela_registros[CATEGORIA],reservavariáveisconsolidadoabr[[#This Row],[ATUAL]])</f>
        <v>0</v>
      </c>
      <c r="AC190" s="91">
        <f>SUMIFS(tabela_registros[VALOR],tabela_registros[MÊS],$AE$1,tabela_registros[DIA],reservavariáveisconsolidadoabr[[#Headers],[25]],tabela_registros[REGISTRO],DADOS!$N$6,tabela_registros[TIPO],DADOS!$AJ$4,tabela_registros[CATEGORIA],reservavariáveisconsolidadoabr[[#This Row],[ATUAL]])</f>
        <v>0</v>
      </c>
      <c r="AD190" s="91">
        <f>SUMIFS(tabela_registros[VALOR],tabela_registros[MÊS],$AE$1,tabela_registros[DIA],reservavariáveisconsolidadoabr[[#Headers],[26]],tabela_registros[REGISTRO],DADOS!$N$6,tabela_registros[TIPO],DADOS!$AJ$4,tabela_registros[CATEGORIA],reservavariáveisconsolidadoabr[[#This Row],[ATUAL]])</f>
        <v>0</v>
      </c>
      <c r="AE190" s="91">
        <f>SUMIFS(tabela_registros[VALOR],tabela_registros[MÊS],$AE$1,tabela_registros[DIA],reservavariáveisconsolidadoabr[[#Headers],[27]],tabela_registros[REGISTRO],DADOS!$N$6,tabela_registros[TIPO],DADOS!$AJ$4,tabela_registros[CATEGORIA],reservavariáveisconsolidadoabr[[#This Row],[ATUAL]])</f>
        <v>0</v>
      </c>
      <c r="AF190" s="91">
        <f>SUMIFS(tabela_registros[VALOR],tabela_registros[MÊS],$AE$1,tabela_registros[DIA],reservavariáveisconsolidadoabr[[#Headers],[28]],tabela_registros[REGISTRO],DADOS!$N$6,tabela_registros[TIPO],DADOS!$AJ$4,tabela_registros[CATEGORIA],reservavariáveisconsolidadoabr[[#This Row],[ATUAL]])</f>
        <v>0</v>
      </c>
      <c r="AG190" s="91">
        <f>SUMIFS(tabela_registros[VALOR],tabela_registros[MÊS],$AE$1,tabela_registros[DIA],reservavariáveisconsolidadoabr[[#Headers],[29]],tabela_registros[REGISTRO],DADOS!$N$6,tabela_registros[TIPO],DADOS!$AJ$4,tabela_registros[CATEGORIA],reservavariáveisconsolidadoabr[[#This Row],[ATUAL]])</f>
        <v>0</v>
      </c>
      <c r="AH190" s="91">
        <f>SUMIFS(tabela_registros[VALOR],tabela_registros[MÊS],$AE$1,tabela_registros[DIA],reservavariáveisconsolidadoabr[[#Headers],[30]],tabela_registros[REGISTRO],DADOS!$N$6,tabela_registros[TIPO],DADOS!$AJ$4,tabela_registros[CATEGORIA],reservavariáveisconsolidadoabr[[#This Row],[ATUAL]])</f>
        <v>0</v>
      </c>
      <c r="AI190" s="101">
        <f>SUMIFS(tabela_registros[VALOR],tabela_registros[MÊS],$AE$1,tabela_registros[DIA],reservavariáveisconsolidadoabr[[#Headers],[31]],tabela_registros[REGISTRO],DADOS!$N$6,tabela_registros[TIPO],DADOS!$AJ$4,tabela_registros[CATEGORIA],reservavariáveisconsolidadoabr[[#This Row],[ATUAL]])</f>
        <v>0</v>
      </c>
      <c r="AJ190" s="97">
        <f>SUM(reservavariáveisconsolidadoabr[[#This Row],[1]:[31]])</f>
        <v>0</v>
      </c>
      <c r="AK190" s="25"/>
    </row>
    <row r="191" spans="2:37" ht="19.5" customHeight="1" thickTop="1" thickBot="1" x14ac:dyDescent="0.3">
      <c r="B191" s="28"/>
      <c r="C191" s="27" t="str">
        <f>DADOS!$AN$7</f>
        <v>📝 CRIPTOMOEDA</v>
      </c>
      <c r="D191" s="26" t="str">
        <f>IF(reservavariáveisconsolidadoabr[[#This Row],[TOTAL (R$)]]=0,"",IF(OR(reservavariáveisconsolidadoabr[[#This Row],[TOTAL (R$)]]=LARGE($AJ$187:$AJ$196,1),reservavariáveisconsolidadoabr[[#This Row],[TOTAL (R$)]]=LARGE($AJ$187:$AJ$196,2)),DADOS!$I$11,""))</f>
        <v/>
      </c>
      <c r="E191" s="96">
        <f>SUMIFS(tabela_registros[VALOR],tabela_registros[MÊS],$AE$1,tabela_registros[DIA],reservavariáveisconsolidadoabr[[#Headers],[1]],tabela_registros[REGISTRO],DADOS!$N$6,tabela_registros[TIPO],DADOS!$AJ$4,tabela_registros[CATEGORIA],reservavariáveisconsolidadoabr[[#This Row],[ATUAL]])</f>
        <v>0</v>
      </c>
      <c r="F191" s="91">
        <f>SUMIFS(tabela_registros[VALOR],tabela_registros[MÊS],$AE$1,tabela_registros[DIA],reservavariáveisconsolidadoabr[[#Headers],[2]],tabela_registros[REGISTRO],DADOS!$N$6,tabela_registros[TIPO],DADOS!$AJ$4,tabela_registros[CATEGORIA],reservavariáveisconsolidadoabr[[#This Row],[ATUAL]])</f>
        <v>0</v>
      </c>
      <c r="G191" s="91">
        <f>SUMIFS(tabela_registros[VALOR],tabela_registros[MÊS],$AE$1,tabela_registros[DIA],reservavariáveisconsolidadoabr[[#Headers],[3]],tabela_registros[REGISTRO],DADOS!$N$6,tabela_registros[TIPO],DADOS!$AJ$4,tabela_registros[CATEGORIA],reservavariáveisconsolidadoabr[[#This Row],[ATUAL]])</f>
        <v>0</v>
      </c>
      <c r="H191" s="91">
        <f>SUMIFS(tabela_registros[VALOR],tabela_registros[MÊS],$AE$1,tabela_registros[DIA],reservavariáveisconsolidadoabr[[#Headers],[4]],tabela_registros[REGISTRO],DADOS!$N$6,tabela_registros[TIPO],DADOS!$AJ$4,tabela_registros[CATEGORIA],reservavariáveisconsolidadoabr[[#This Row],[ATUAL]])</f>
        <v>0</v>
      </c>
      <c r="I191" s="91">
        <f>SUMIFS(tabela_registros[VALOR],tabela_registros[MÊS],$AE$1,tabela_registros[DIA],reservavariáveisconsolidadoabr[[#Headers],[5]],tabela_registros[REGISTRO],DADOS!$N$6,tabela_registros[TIPO],DADOS!$AJ$4,tabela_registros[CATEGORIA],reservavariáveisconsolidadoabr[[#This Row],[ATUAL]])</f>
        <v>0</v>
      </c>
      <c r="J191" s="91">
        <f>SUMIFS(tabela_registros[VALOR],tabela_registros[MÊS],$AE$1,tabela_registros[DIA],reservavariáveisconsolidadoabr[[#Headers],[6]],tabela_registros[REGISTRO],DADOS!$N$6,tabela_registros[TIPO],DADOS!$AJ$4,tabela_registros[CATEGORIA],reservavariáveisconsolidadoabr[[#This Row],[ATUAL]])</f>
        <v>0</v>
      </c>
      <c r="K191" s="91">
        <f>SUMIFS(tabela_registros[VALOR],tabela_registros[MÊS],$AE$1,tabela_registros[DIA],reservavariáveisconsolidadoabr[[#Headers],[7]],tabela_registros[REGISTRO],DADOS!$N$6,tabela_registros[TIPO],DADOS!$AJ$4,tabela_registros[CATEGORIA],reservavariáveisconsolidadoabr[[#This Row],[ATUAL]])</f>
        <v>0</v>
      </c>
      <c r="L191" s="91">
        <f>SUMIFS(tabela_registros[VALOR],tabela_registros[MÊS],$AE$1,tabela_registros[DIA],reservavariáveisconsolidadoabr[[#Headers],[8]],tabela_registros[REGISTRO],DADOS!$N$6,tabela_registros[TIPO],DADOS!$AJ$4,tabela_registros[CATEGORIA],reservavariáveisconsolidadoabr[[#This Row],[ATUAL]])</f>
        <v>0</v>
      </c>
      <c r="M191" s="91">
        <f>SUMIFS(tabela_registros[VALOR],tabela_registros[MÊS],$AE$1,tabela_registros[DIA],reservavariáveisconsolidadoabr[[#Headers],[9]],tabela_registros[REGISTRO],DADOS!$N$6,tabela_registros[TIPO],DADOS!$AJ$4,tabela_registros[CATEGORIA],reservavariáveisconsolidadoabr[[#This Row],[ATUAL]])</f>
        <v>0</v>
      </c>
      <c r="N191" s="91">
        <f>SUMIFS(tabela_registros[VALOR],tabela_registros[MÊS],$AE$1,tabela_registros[DIA],reservavariáveisconsolidadoabr[[#Headers],[10]],tabela_registros[REGISTRO],DADOS!$N$6,tabela_registros[TIPO],DADOS!$AJ$4,tabela_registros[CATEGORIA],reservavariáveisconsolidadoabr[[#This Row],[ATUAL]])</f>
        <v>0</v>
      </c>
      <c r="O191" s="91">
        <f>SUMIFS(tabela_registros[VALOR],tabela_registros[MÊS],$AE$1,tabela_registros[DIA],reservavariáveisconsolidadoabr[[#Headers],[11]],tabela_registros[REGISTRO],DADOS!$N$6,tabela_registros[TIPO],DADOS!$AJ$4,tabela_registros[CATEGORIA],reservavariáveisconsolidadoabr[[#This Row],[ATUAL]])</f>
        <v>0</v>
      </c>
      <c r="P191" s="91">
        <f>SUMIFS(tabela_registros[VALOR],tabela_registros[MÊS],$AE$1,tabela_registros[DIA],reservavariáveisconsolidadoabr[[#Headers],[12]],tabela_registros[REGISTRO],DADOS!$N$6,tabela_registros[TIPO],DADOS!$AJ$4,tabela_registros[CATEGORIA],reservavariáveisconsolidadoabr[[#This Row],[ATUAL]])</f>
        <v>0</v>
      </c>
      <c r="Q191" s="91">
        <f>SUMIFS(tabela_registros[VALOR],tabela_registros[MÊS],$AE$1,tabela_registros[DIA],reservavariáveisconsolidadoabr[[#Headers],[13]],tabela_registros[REGISTRO],DADOS!$N$6,tabela_registros[TIPO],DADOS!$AJ$4,tabela_registros[CATEGORIA],reservavariáveisconsolidadoabr[[#This Row],[ATUAL]])</f>
        <v>0</v>
      </c>
      <c r="R191" s="91">
        <f>SUMIFS(tabela_registros[VALOR],tabela_registros[MÊS],$AE$1,tabela_registros[DIA],reservavariáveisconsolidadoabr[[#Headers],[14]],tabela_registros[REGISTRO],DADOS!$N$6,tabela_registros[TIPO],DADOS!$AJ$4,tabela_registros[CATEGORIA],reservavariáveisconsolidadoabr[[#This Row],[ATUAL]])</f>
        <v>0</v>
      </c>
      <c r="S191" s="91">
        <f>SUMIFS(tabela_registros[VALOR],tabela_registros[MÊS],$AE$1,tabela_registros[DIA],reservavariáveisconsolidadoabr[[#Headers],[15]],tabela_registros[REGISTRO],DADOS!$N$6,tabela_registros[TIPO],DADOS!$AJ$4,tabela_registros[CATEGORIA],reservavariáveisconsolidadoabr[[#This Row],[ATUAL]])</f>
        <v>0</v>
      </c>
      <c r="T191" s="91">
        <f>SUMIFS(tabela_registros[VALOR],tabela_registros[MÊS],$AE$1,tabela_registros[DIA],reservavariáveisconsolidadoabr[[#Headers],[16]],tabela_registros[REGISTRO],DADOS!$N$6,tabela_registros[TIPO],DADOS!$AJ$4,tabela_registros[CATEGORIA],reservavariáveisconsolidadoabr[[#This Row],[ATUAL]])</f>
        <v>0</v>
      </c>
      <c r="U191" s="91">
        <f>SUMIFS(tabela_registros[VALOR],tabela_registros[MÊS],$AE$1,tabela_registros[DIA],reservavariáveisconsolidadoabr[[#Headers],[17]],tabela_registros[REGISTRO],DADOS!$N$6,tabela_registros[TIPO],DADOS!$AJ$4,tabela_registros[CATEGORIA],reservavariáveisconsolidadoabr[[#This Row],[ATUAL]])</f>
        <v>0</v>
      </c>
      <c r="V191" s="91">
        <f>SUMIFS(tabela_registros[VALOR],tabela_registros[MÊS],$AE$1,tabela_registros[DIA],reservavariáveisconsolidadoabr[[#Headers],[18]],tabela_registros[REGISTRO],DADOS!$N$6,tabela_registros[TIPO],DADOS!$AJ$4,tabela_registros[CATEGORIA],reservavariáveisconsolidadoabr[[#This Row],[ATUAL]])</f>
        <v>0</v>
      </c>
      <c r="W191" s="91">
        <f>SUMIFS(tabela_registros[VALOR],tabela_registros[MÊS],$AE$1,tabela_registros[DIA],reservavariáveisconsolidadoabr[[#Headers],[19]],tabela_registros[REGISTRO],DADOS!$N$6,tabela_registros[TIPO],DADOS!$AJ$4,tabela_registros[CATEGORIA],reservavariáveisconsolidadoabr[[#This Row],[ATUAL]])</f>
        <v>0</v>
      </c>
      <c r="X191" s="91">
        <f>SUMIFS(tabela_registros[VALOR],tabela_registros[MÊS],$AE$1,tabela_registros[DIA],reservavariáveisconsolidadoabr[[#Headers],[20]],tabela_registros[REGISTRO],DADOS!$N$6,tabela_registros[TIPO],DADOS!$AJ$4,tabela_registros[CATEGORIA],reservavariáveisconsolidadoabr[[#This Row],[ATUAL]])</f>
        <v>0</v>
      </c>
      <c r="Y191" s="91">
        <f>SUMIFS(tabela_registros[VALOR],tabela_registros[MÊS],$AE$1,tabela_registros[DIA],reservavariáveisconsolidadoabr[[#Headers],[21]],tabela_registros[REGISTRO],DADOS!$N$6,tabela_registros[TIPO],DADOS!$AJ$4,tabela_registros[CATEGORIA],reservavariáveisconsolidadoabr[[#This Row],[ATUAL]])</f>
        <v>0</v>
      </c>
      <c r="Z191" s="91">
        <f>SUMIFS(tabela_registros[VALOR],tabela_registros[MÊS],$AE$1,tabela_registros[DIA],reservavariáveisconsolidadoabr[[#Headers],[22]],tabela_registros[REGISTRO],DADOS!$N$6,tabela_registros[TIPO],DADOS!$AJ$4,tabela_registros[CATEGORIA],reservavariáveisconsolidadoabr[[#This Row],[ATUAL]])</f>
        <v>0</v>
      </c>
      <c r="AA191" s="91">
        <f>SUMIFS(tabela_registros[VALOR],tabela_registros[MÊS],$AE$1,tabela_registros[DIA],reservavariáveisconsolidadoabr[[#Headers],[23]],tabela_registros[REGISTRO],DADOS!$N$6,tabela_registros[TIPO],DADOS!$AJ$4,tabela_registros[CATEGORIA],reservavariáveisconsolidadoabr[[#This Row],[ATUAL]])</f>
        <v>0</v>
      </c>
      <c r="AB191" s="91">
        <f>SUMIFS(tabela_registros[VALOR],tabela_registros[MÊS],$AE$1,tabela_registros[DIA],reservavariáveisconsolidadoabr[[#Headers],[24]],tabela_registros[REGISTRO],DADOS!$N$6,tabela_registros[TIPO],DADOS!$AJ$4,tabela_registros[CATEGORIA],reservavariáveisconsolidadoabr[[#This Row],[ATUAL]])</f>
        <v>0</v>
      </c>
      <c r="AC191" s="91">
        <f>SUMIFS(tabela_registros[VALOR],tabela_registros[MÊS],$AE$1,tabela_registros[DIA],reservavariáveisconsolidadoabr[[#Headers],[25]],tabela_registros[REGISTRO],DADOS!$N$6,tabela_registros[TIPO],DADOS!$AJ$4,tabela_registros[CATEGORIA],reservavariáveisconsolidadoabr[[#This Row],[ATUAL]])</f>
        <v>0</v>
      </c>
      <c r="AD191" s="91">
        <f>SUMIFS(tabela_registros[VALOR],tabela_registros[MÊS],$AE$1,tabela_registros[DIA],reservavariáveisconsolidadoabr[[#Headers],[26]],tabela_registros[REGISTRO],DADOS!$N$6,tabela_registros[TIPO],DADOS!$AJ$4,tabela_registros[CATEGORIA],reservavariáveisconsolidadoabr[[#This Row],[ATUAL]])</f>
        <v>0</v>
      </c>
      <c r="AE191" s="91">
        <f>SUMIFS(tabela_registros[VALOR],tabela_registros[MÊS],$AE$1,tabela_registros[DIA],reservavariáveisconsolidadoabr[[#Headers],[27]],tabela_registros[REGISTRO],DADOS!$N$6,tabela_registros[TIPO],DADOS!$AJ$4,tabela_registros[CATEGORIA],reservavariáveisconsolidadoabr[[#This Row],[ATUAL]])</f>
        <v>0</v>
      </c>
      <c r="AF191" s="91">
        <f>SUMIFS(tabela_registros[VALOR],tabela_registros[MÊS],$AE$1,tabela_registros[DIA],reservavariáveisconsolidadoabr[[#Headers],[28]],tabela_registros[REGISTRO],DADOS!$N$6,tabela_registros[TIPO],DADOS!$AJ$4,tabela_registros[CATEGORIA],reservavariáveisconsolidadoabr[[#This Row],[ATUAL]])</f>
        <v>0</v>
      </c>
      <c r="AG191" s="91">
        <f>SUMIFS(tabela_registros[VALOR],tabela_registros[MÊS],$AE$1,tabela_registros[DIA],reservavariáveisconsolidadoabr[[#Headers],[29]],tabela_registros[REGISTRO],DADOS!$N$6,tabela_registros[TIPO],DADOS!$AJ$4,tabela_registros[CATEGORIA],reservavariáveisconsolidadoabr[[#This Row],[ATUAL]])</f>
        <v>0</v>
      </c>
      <c r="AH191" s="91">
        <f>SUMIFS(tabela_registros[VALOR],tabela_registros[MÊS],$AE$1,tabela_registros[DIA],reservavariáveisconsolidadoabr[[#Headers],[30]],tabela_registros[REGISTRO],DADOS!$N$6,tabela_registros[TIPO],DADOS!$AJ$4,tabela_registros[CATEGORIA],reservavariáveisconsolidadoabr[[#This Row],[ATUAL]])</f>
        <v>0</v>
      </c>
      <c r="AI191" s="101">
        <f>SUMIFS(tabela_registros[VALOR],tabela_registros[MÊS],$AE$1,tabela_registros[DIA],reservavariáveisconsolidadoabr[[#Headers],[31]],tabela_registros[REGISTRO],DADOS!$N$6,tabela_registros[TIPO],DADOS!$AJ$4,tabela_registros[CATEGORIA],reservavariáveisconsolidadoabr[[#This Row],[ATUAL]])</f>
        <v>0</v>
      </c>
      <c r="AJ191" s="97">
        <f>SUM(reservavariáveisconsolidadoabr[[#This Row],[1]:[31]])</f>
        <v>0</v>
      </c>
      <c r="AK191" s="25"/>
    </row>
    <row r="192" spans="2:37" ht="19.5" customHeight="1" thickTop="1" thickBot="1" x14ac:dyDescent="0.3">
      <c r="B192" s="28"/>
      <c r="C192" s="27" t="str">
        <f>DADOS!$AN$8</f>
        <v>📝 ETF</v>
      </c>
      <c r="D192" s="26" t="str">
        <f>IF(reservavariáveisconsolidadoabr[[#This Row],[TOTAL (R$)]]=0,"",IF(OR(reservavariáveisconsolidadoabr[[#This Row],[TOTAL (R$)]]=LARGE($AJ$187:$AJ$196,1),reservavariáveisconsolidadoabr[[#This Row],[TOTAL (R$)]]=LARGE($AJ$187:$AJ$196,2)),DADOS!$I$11,""))</f>
        <v/>
      </c>
      <c r="E192" s="96">
        <f>SUMIFS(tabela_registros[VALOR],tabela_registros[MÊS],$AE$1,tabela_registros[DIA],reservavariáveisconsolidadoabr[[#Headers],[1]],tabela_registros[REGISTRO],DADOS!$N$6,tabela_registros[TIPO],DADOS!$AJ$4,tabela_registros[CATEGORIA],reservavariáveisconsolidadoabr[[#This Row],[ATUAL]])</f>
        <v>0</v>
      </c>
      <c r="F192" s="91">
        <f>SUMIFS(tabela_registros[VALOR],tabela_registros[MÊS],$AE$1,tabela_registros[DIA],reservavariáveisconsolidadoabr[[#Headers],[2]],tabela_registros[REGISTRO],DADOS!$N$6,tabela_registros[TIPO],DADOS!$AJ$4,tabela_registros[CATEGORIA],reservavariáveisconsolidadoabr[[#This Row],[ATUAL]])</f>
        <v>0</v>
      </c>
      <c r="G192" s="91">
        <f>SUMIFS(tabela_registros[VALOR],tabela_registros[MÊS],$AE$1,tabela_registros[DIA],reservavariáveisconsolidadoabr[[#Headers],[3]],tabela_registros[REGISTRO],DADOS!$N$6,tabela_registros[TIPO],DADOS!$AJ$4,tabela_registros[CATEGORIA],reservavariáveisconsolidadoabr[[#This Row],[ATUAL]])</f>
        <v>0</v>
      </c>
      <c r="H192" s="91">
        <f>SUMIFS(tabela_registros[VALOR],tabela_registros[MÊS],$AE$1,tabela_registros[DIA],reservavariáveisconsolidadoabr[[#Headers],[4]],tabela_registros[REGISTRO],DADOS!$N$6,tabela_registros[TIPO],DADOS!$AJ$4,tabela_registros[CATEGORIA],reservavariáveisconsolidadoabr[[#This Row],[ATUAL]])</f>
        <v>0</v>
      </c>
      <c r="I192" s="91">
        <f>SUMIFS(tabela_registros[VALOR],tabela_registros[MÊS],$AE$1,tabela_registros[DIA],reservavariáveisconsolidadoabr[[#Headers],[5]],tabela_registros[REGISTRO],DADOS!$N$6,tabela_registros[TIPO],DADOS!$AJ$4,tabela_registros[CATEGORIA],reservavariáveisconsolidadoabr[[#This Row],[ATUAL]])</f>
        <v>0</v>
      </c>
      <c r="J192" s="91">
        <f>SUMIFS(tabela_registros[VALOR],tabela_registros[MÊS],$AE$1,tabela_registros[DIA],reservavariáveisconsolidadoabr[[#Headers],[6]],tabela_registros[REGISTRO],DADOS!$N$6,tabela_registros[TIPO],DADOS!$AJ$4,tabela_registros[CATEGORIA],reservavariáveisconsolidadoabr[[#This Row],[ATUAL]])</f>
        <v>0</v>
      </c>
      <c r="K192" s="91">
        <f>SUMIFS(tabela_registros[VALOR],tabela_registros[MÊS],$AE$1,tabela_registros[DIA],reservavariáveisconsolidadoabr[[#Headers],[7]],tabela_registros[REGISTRO],DADOS!$N$6,tabela_registros[TIPO],DADOS!$AJ$4,tabela_registros[CATEGORIA],reservavariáveisconsolidadoabr[[#This Row],[ATUAL]])</f>
        <v>0</v>
      </c>
      <c r="L192" s="91">
        <f>SUMIFS(tabela_registros[VALOR],tabela_registros[MÊS],$AE$1,tabela_registros[DIA],reservavariáveisconsolidadoabr[[#Headers],[8]],tabela_registros[REGISTRO],DADOS!$N$6,tabela_registros[TIPO],DADOS!$AJ$4,tabela_registros[CATEGORIA],reservavariáveisconsolidadoabr[[#This Row],[ATUAL]])</f>
        <v>0</v>
      </c>
      <c r="M192" s="91">
        <f>SUMIFS(tabela_registros[VALOR],tabela_registros[MÊS],$AE$1,tabela_registros[DIA],reservavariáveisconsolidadoabr[[#Headers],[9]],tabela_registros[REGISTRO],DADOS!$N$6,tabela_registros[TIPO],DADOS!$AJ$4,tabela_registros[CATEGORIA],reservavariáveisconsolidadoabr[[#This Row],[ATUAL]])</f>
        <v>0</v>
      </c>
      <c r="N192" s="91">
        <f>SUMIFS(tabela_registros[VALOR],tabela_registros[MÊS],$AE$1,tabela_registros[DIA],reservavariáveisconsolidadoabr[[#Headers],[10]],tabela_registros[REGISTRO],DADOS!$N$6,tabela_registros[TIPO],DADOS!$AJ$4,tabela_registros[CATEGORIA],reservavariáveisconsolidadoabr[[#This Row],[ATUAL]])</f>
        <v>0</v>
      </c>
      <c r="O192" s="91">
        <f>SUMIFS(tabela_registros[VALOR],tabela_registros[MÊS],$AE$1,tabela_registros[DIA],reservavariáveisconsolidadoabr[[#Headers],[11]],tabela_registros[REGISTRO],DADOS!$N$6,tabela_registros[TIPO],DADOS!$AJ$4,tabela_registros[CATEGORIA],reservavariáveisconsolidadoabr[[#This Row],[ATUAL]])</f>
        <v>0</v>
      </c>
      <c r="P192" s="91">
        <f>SUMIFS(tabela_registros[VALOR],tabela_registros[MÊS],$AE$1,tabela_registros[DIA],reservavariáveisconsolidadoabr[[#Headers],[12]],tabela_registros[REGISTRO],DADOS!$N$6,tabela_registros[TIPO],DADOS!$AJ$4,tabela_registros[CATEGORIA],reservavariáveisconsolidadoabr[[#This Row],[ATUAL]])</f>
        <v>0</v>
      </c>
      <c r="Q192" s="91">
        <f>SUMIFS(tabela_registros[VALOR],tabela_registros[MÊS],$AE$1,tabela_registros[DIA],reservavariáveisconsolidadoabr[[#Headers],[13]],tabela_registros[REGISTRO],DADOS!$N$6,tabela_registros[TIPO],DADOS!$AJ$4,tabela_registros[CATEGORIA],reservavariáveisconsolidadoabr[[#This Row],[ATUAL]])</f>
        <v>0</v>
      </c>
      <c r="R192" s="91">
        <f>SUMIFS(tabela_registros[VALOR],tabela_registros[MÊS],$AE$1,tabela_registros[DIA],reservavariáveisconsolidadoabr[[#Headers],[14]],tabela_registros[REGISTRO],DADOS!$N$6,tabela_registros[TIPO],DADOS!$AJ$4,tabela_registros[CATEGORIA],reservavariáveisconsolidadoabr[[#This Row],[ATUAL]])</f>
        <v>0</v>
      </c>
      <c r="S192" s="91">
        <f>SUMIFS(tabela_registros[VALOR],tabela_registros[MÊS],$AE$1,tabela_registros[DIA],reservavariáveisconsolidadoabr[[#Headers],[15]],tabela_registros[REGISTRO],DADOS!$N$6,tabela_registros[TIPO],DADOS!$AJ$4,tabela_registros[CATEGORIA],reservavariáveisconsolidadoabr[[#This Row],[ATUAL]])</f>
        <v>0</v>
      </c>
      <c r="T192" s="91">
        <f>SUMIFS(tabela_registros[VALOR],tabela_registros[MÊS],$AE$1,tabela_registros[DIA],reservavariáveisconsolidadoabr[[#Headers],[16]],tabela_registros[REGISTRO],DADOS!$N$6,tabela_registros[TIPO],DADOS!$AJ$4,tabela_registros[CATEGORIA],reservavariáveisconsolidadoabr[[#This Row],[ATUAL]])</f>
        <v>0</v>
      </c>
      <c r="U192" s="91">
        <f>SUMIFS(tabela_registros[VALOR],tabela_registros[MÊS],$AE$1,tabela_registros[DIA],reservavariáveisconsolidadoabr[[#Headers],[17]],tabela_registros[REGISTRO],DADOS!$N$6,tabela_registros[TIPO],DADOS!$AJ$4,tabela_registros[CATEGORIA],reservavariáveisconsolidadoabr[[#This Row],[ATUAL]])</f>
        <v>0</v>
      </c>
      <c r="V192" s="91">
        <f>SUMIFS(tabela_registros[VALOR],tabela_registros[MÊS],$AE$1,tabela_registros[DIA],reservavariáveisconsolidadoabr[[#Headers],[18]],tabela_registros[REGISTRO],DADOS!$N$6,tabela_registros[TIPO],DADOS!$AJ$4,tabela_registros[CATEGORIA],reservavariáveisconsolidadoabr[[#This Row],[ATUAL]])</f>
        <v>0</v>
      </c>
      <c r="W192" s="91">
        <f>SUMIFS(tabela_registros[VALOR],tabela_registros[MÊS],$AE$1,tabela_registros[DIA],reservavariáveisconsolidadoabr[[#Headers],[19]],tabela_registros[REGISTRO],DADOS!$N$6,tabela_registros[TIPO],DADOS!$AJ$4,tabela_registros[CATEGORIA],reservavariáveisconsolidadoabr[[#This Row],[ATUAL]])</f>
        <v>0</v>
      </c>
      <c r="X192" s="91">
        <f>SUMIFS(tabela_registros[VALOR],tabela_registros[MÊS],$AE$1,tabela_registros[DIA],reservavariáveisconsolidadoabr[[#Headers],[20]],tabela_registros[REGISTRO],DADOS!$N$6,tabela_registros[TIPO],DADOS!$AJ$4,tabela_registros[CATEGORIA],reservavariáveisconsolidadoabr[[#This Row],[ATUAL]])</f>
        <v>0</v>
      </c>
      <c r="Y192" s="91">
        <f>SUMIFS(tabela_registros[VALOR],tabela_registros[MÊS],$AE$1,tabela_registros[DIA],reservavariáveisconsolidadoabr[[#Headers],[21]],tabela_registros[REGISTRO],DADOS!$N$6,tabela_registros[TIPO],DADOS!$AJ$4,tabela_registros[CATEGORIA],reservavariáveisconsolidadoabr[[#This Row],[ATUAL]])</f>
        <v>0</v>
      </c>
      <c r="Z192" s="91">
        <f>SUMIFS(tabela_registros[VALOR],tabela_registros[MÊS],$AE$1,tabela_registros[DIA],reservavariáveisconsolidadoabr[[#Headers],[22]],tabela_registros[REGISTRO],DADOS!$N$6,tabela_registros[TIPO],DADOS!$AJ$4,tabela_registros[CATEGORIA],reservavariáveisconsolidadoabr[[#This Row],[ATUAL]])</f>
        <v>0</v>
      </c>
      <c r="AA192" s="91">
        <f>SUMIFS(tabela_registros[VALOR],tabela_registros[MÊS],$AE$1,tabela_registros[DIA],reservavariáveisconsolidadoabr[[#Headers],[23]],tabela_registros[REGISTRO],DADOS!$N$6,tabela_registros[TIPO],DADOS!$AJ$4,tabela_registros[CATEGORIA],reservavariáveisconsolidadoabr[[#This Row],[ATUAL]])</f>
        <v>0</v>
      </c>
      <c r="AB192" s="91">
        <f>SUMIFS(tabela_registros[VALOR],tabela_registros[MÊS],$AE$1,tabela_registros[DIA],reservavariáveisconsolidadoabr[[#Headers],[24]],tabela_registros[REGISTRO],DADOS!$N$6,tabela_registros[TIPO],DADOS!$AJ$4,tabela_registros[CATEGORIA],reservavariáveisconsolidadoabr[[#This Row],[ATUAL]])</f>
        <v>0</v>
      </c>
      <c r="AC192" s="91">
        <f>SUMIFS(tabela_registros[VALOR],tabela_registros[MÊS],$AE$1,tabela_registros[DIA],reservavariáveisconsolidadoabr[[#Headers],[25]],tabela_registros[REGISTRO],DADOS!$N$6,tabela_registros[TIPO],DADOS!$AJ$4,tabela_registros[CATEGORIA],reservavariáveisconsolidadoabr[[#This Row],[ATUAL]])</f>
        <v>0</v>
      </c>
      <c r="AD192" s="91">
        <f>SUMIFS(tabela_registros[VALOR],tabela_registros[MÊS],$AE$1,tabela_registros[DIA],reservavariáveisconsolidadoabr[[#Headers],[26]],tabela_registros[REGISTRO],DADOS!$N$6,tabela_registros[TIPO],DADOS!$AJ$4,tabela_registros[CATEGORIA],reservavariáveisconsolidadoabr[[#This Row],[ATUAL]])</f>
        <v>0</v>
      </c>
      <c r="AE192" s="91">
        <f>SUMIFS(tabela_registros[VALOR],tabela_registros[MÊS],$AE$1,tabela_registros[DIA],reservavariáveisconsolidadoabr[[#Headers],[27]],tabela_registros[REGISTRO],DADOS!$N$6,tabela_registros[TIPO],DADOS!$AJ$4,tabela_registros[CATEGORIA],reservavariáveisconsolidadoabr[[#This Row],[ATUAL]])</f>
        <v>0</v>
      </c>
      <c r="AF192" s="91">
        <f>SUMIFS(tabela_registros[VALOR],tabela_registros[MÊS],$AE$1,tabela_registros[DIA],reservavariáveisconsolidadoabr[[#Headers],[28]],tabela_registros[REGISTRO],DADOS!$N$6,tabela_registros[TIPO],DADOS!$AJ$4,tabela_registros[CATEGORIA],reservavariáveisconsolidadoabr[[#This Row],[ATUAL]])</f>
        <v>0</v>
      </c>
      <c r="AG192" s="91">
        <f>SUMIFS(tabela_registros[VALOR],tabela_registros[MÊS],$AE$1,tabela_registros[DIA],reservavariáveisconsolidadoabr[[#Headers],[29]],tabela_registros[REGISTRO],DADOS!$N$6,tabela_registros[TIPO],DADOS!$AJ$4,tabela_registros[CATEGORIA],reservavariáveisconsolidadoabr[[#This Row],[ATUAL]])</f>
        <v>0</v>
      </c>
      <c r="AH192" s="91">
        <f>SUMIFS(tabela_registros[VALOR],tabela_registros[MÊS],$AE$1,tabela_registros[DIA],reservavariáveisconsolidadoabr[[#Headers],[30]],tabela_registros[REGISTRO],DADOS!$N$6,tabela_registros[TIPO],DADOS!$AJ$4,tabela_registros[CATEGORIA],reservavariáveisconsolidadoabr[[#This Row],[ATUAL]])</f>
        <v>0</v>
      </c>
      <c r="AI192" s="101">
        <f>SUMIFS(tabela_registros[VALOR],tabela_registros[MÊS],$AE$1,tabela_registros[DIA],reservavariáveisconsolidadoabr[[#Headers],[31]],tabela_registros[REGISTRO],DADOS!$N$6,tabela_registros[TIPO],DADOS!$AJ$4,tabela_registros[CATEGORIA],reservavariáveisconsolidadoabr[[#This Row],[ATUAL]])</f>
        <v>0</v>
      </c>
      <c r="AJ192" s="97">
        <f>SUM(reservavariáveisconsolidadoabr[[#This Row],[1]:[31]])</f>
        <v>0</v>
      </c>
      <c r="AK192" s="25"/>
    </row>
    <row r="193" spans="2:37" ht="19.5" customHeight="1" thickTop="1" thickBot="1" x14ac:dyDescent="0.3">
      <c r="B193" s="28"/>
      <c r="C193" s="27" t="str">
        <f>DADOS!$AN$9</f>
        <v>📝 EXTERIOR</v>
      </c>
      <c r="D193" s="26" t="str">
        <f>IF(reservavariáveisconsolidadoabr[[#This Row],[TOTAL (R$)]]=0,"",IF(OR(reservavariáveisconsolidadoabr[[#This Row],[TOTAL (R$)]]=LARGE($AJ$187:$AJ$196,1),reservavariáveisconsolidadoabr[[#This Row],[TOTAL (R$)]]=LARGE($AJ$187:$AJ$196,2)),DADOS!$I$11,""))</f>
        <v/>
      </c>
      <c r="E193" s="96">
        <f>SUMIFS(tabela_registros[VALOR],tabela_registros[MÊS],$AE$1,tabela_registros[DIA],reservavariáveisconsolidadoabr[[#Headers],[1]],tabela_registros[REGISTRO],DADOS!$N$6,tabela_registros[TIPO],DADOS!$AJ$4,tabela_registros[CATEGORIA],reservavariáveisconsolidadoabr[[#This Row],[ATUAL]])</f>
        <v>0</v>
      </c>
      <c r="F193" s="91">
        <f>SUMIFS(tabela_registros[VALOR],tabela_registros[MÊS],$AE$1,tabela_registros[DIA],reservavariáveisconsolidadoabr[[#Headers],[2]],tabela_registros[REGISTRO],DADOS!$N$6,tabela_registros[TIPO],DADOS!$AJ$4,tabela_registros[CATEGORIA],reservavariáveisconsolidadoabr[[#This Row],[ATUAL]])</f>
        <v>0</v>
      </c>
      <c r="G193" s="91">
        <f>SUMIFS(tabela_registros[VALOR],tabela_registros[MÊS],$AE$1,tabela_registros[DIA],reservavariáveisconsolidadoabr[[#Headers],[3]],tabela_registros[REGISTRO],DADOS!$N$6,tabela_registros[TIPO],DADOS!$AJ$4,tabela_registros[CATEGORIA],reservavariáveisconsolidadoabr[[#This Row],[ATUAL]])</f>
        <v>0</v>
      </c>
      <c r="H193" s="91">
        <f>SUMIFS(tabela_registros[VALOR],tabela_registros[MÊS],$AE$1,tabela_registros[DIA],reservavariáveisconsolidadoabr[[#Headers],[4]],tabela_registros[REGISTRO],DADOS!$N$6,tabela_registros[TIPO],DADOS!$AJ$4,tabela_registros[CATEGORIA],reservavariáveisconsolidadoabr[[#This Row],[ATUAL]])</f>
        <v>0</v>
      </c>
      <c r="I193" s="91">
        <f>SUMIFS(tabela_registros[VALOR],tabela_registros[MÊS],$AE$1,tabela_registros[DIA],reservavariáveisconsolidadoabr[[#Headers],[5]],tabela_registros[REGISTRO],DADOS!$N$6,tabela_registros[TIPO],DADOS!$AJ$4,tabela_registros[CATEGORIA],reservavariáveisconsolidadoabr[[#This Row],[ATUAL]])</f>
        <v>0</v>
      </c>
      <c r="J193" s="91">
        <f>SUMIFS(tabela_registros[VALOR],tabela_registros[MÊS],$AE$1,tabela_registros[DIA],reservavariáveisconsolidadoabr[[#Headers],[6]],tabela_registros[REGISTRO],DADOS!$N$6,tabela_registros[TIPO],DADOS!$AJ$4,tabela_registros[CATEGORIA],reservavariáveisconsolidadoabr[[#This Row],[ATUAL]])</f>
        <v>0</v>
      </c>
      <c r="K193" s="91">
        <f>SUMIFS(tabela_registros[VALOR],tabela_registros[MÊS],$AE$1,tabela_registros[DIA],reservavariáveisconsolidadoabr[[#Headers],[7]],tabela_registros[REGISTRO],DADOS!$N$6,tabela_registros[TIPO],DADOS!$AJ$4,tabela_registros[CATEGORIA],reservavariáveisconsolidadoabr[[#This Row],[ATUAL]])</f>
        <v>0</v>
      </c>
      <c r="L193" s="91">
        <f>SUMIFS(tabela_registros[VALOR],tabela_registros[MÊS],$AE$1,tabela_registros[DIA],reservavariáveisconsolidadoabr[[#Headers],[8]],tabela_registros[REGISTRO],DADOS!$N$6,tabela_registros[TIPO],DADOS!$AJ$4,tabela_registros[CATEGORIA],reservavariáveisconsolidadoabr[[#This Row],[ATUAL]])</f>
        <v>0</v>
      </c>
      <c r="M193" s="91">
        <f>SUMIFS(tabela_registros[VALOR],tabela_registros[MÊS],$AE$1,tabela_registros[DIA],reservavariáveisconsolidadoabr[[#Headers],[9]],tabela_registros[REGISTRO],DADOS!$N$6,tabela_registros[TIPO],DADOS!$AJ$4,tabela_registros[CATEGORIA],reservavariáveisconsolidadoabr[[#This Row],[ATUAL]])</f>
        <v>0</v>
      </c>
      <c r="N193" s="91">
        <f>SUMIFS(tabela_registros[VALOR],tabela_registros[MÊS],$AE$1,tabela_registros[DIA],reservavariáveisconsolidadoabr[[#Headers],[10]],tabela_registros[REGISTRO],DADOS!$N$6,tabela_registros[TIPO],DADOS!$AJ$4,tabela_registros[CATEGORIA],reservavariáveisconsolidadoabr[[#This Row],[ATUAL]])</f>
        <v>0</v>
      </c>
      <c r="O193" s="91">
        <f>SUMIFS(tabela_registros[VALOR],tabela_registros[MÊS],$AE$1,tabela_registros[DIA],reservavariáveisconsolidadoabr[[#Headers],[11]],tabela_registros[REGISTRO],DADOS!$N$6,tabela_registros[TIPO],DADOS!$AJ$4,tabela_registros[CATEGORIA],reservavariáveisconsolidadoabr[[#This Row],[ATUAL]])</f>
        <v>0</v>
      </c>
      <c r="P193" s="91">
        <f>SUMIFS(tabela_registros[VALOR],tabela_registros[MÊS],$AE$1,tabela_registros[DIA],reservavariáveisconsolidadoabr[[#Headers],[12]],tabela_registros[REGISTRO],DADOS!$N$6,tabela_registros[TIPO],DADOS!$AJ$4,tabela_registros[CATEGORIA],reservavariáveisconsolidadoabr[[#This Row],[ATUAL]])</f>
        <v>0</v>
      </c>
      <c r="Q193" s="91">
        <f>SUMIFS(tabela_registros[VALOR],tabela_registros[MÊS],$AE$1,tabela_registros[DIA],reservavariáveisconsolidadoabr[[#Headers],[13]],tabela_registros[REGISTRO],DADOS!$N$6,tabela_registros[TIPO],DADOS!$AJ$4,tabela_registros[CATEGORIA],reservavariáveisconsolidadoabr[[#This Row],[ATUAL]])</f>
        <v>0</v>
      </c>
      <c r="R193" s="91">
        <f>SUMIFS(tabela_registros[VALOR],tabela_registros[MÊS],$AE$1,tabela_registros[DIA],reservavariáveisconsolidadoabr[[#Headers],[14]],tabela_registros[REGISTRO],DADOS!$N$6,tabela_registros[TIPO],DADOS!$AJ$4,tabela_registros[CATEGORIA],reservavariáveisconsolidadoabr[[#This Row],[ATUAL]])</f>
        <v>0</v>
      </c>
      <c r="S193" s="91">
        <f>SUMIFS(tabela_registros[VALOR],tabela_registros[MÊS],$AE$1,tabela_registros[DIA],reservavariáveisconsolidadoabr[[#Headers],[15]],tabela_registros[REGISTRO],DADOS!$N$6,tabela_registros[TIPO],DADOS!$AJ$4,tabela_registros[CATEGORIA],reservavariáveisconsolidadoabr[[#This Row],[ATUAL]])</f>
        <v>0</v>
      </c>
      <c r="T193" s="91">
        <f>SUMIFS(tabela_registros[VALOR],tabela_registros[MÊS],$AE$1,tabela_registros[DIA],reservavariáveisconsolidadoabr[[#Headers],[16]],tabela_registros[REGISTRO],DADOS!$N$6,tabela_registros[TIPO],DADOS!$AJ$4,tabela_registros[CATEGORIA],reservavariáveisconsolidadoabr[[#This Row],[ATUAL]])</f>
        <v>0</v>
      </c>
      <c r="U193" s="91">
        <f>SUMIFS(tabela_registros[VALOR],tabela_registros[MÊS],$AE$1,tabela_registros[DIA],reservavariáveisconsolidadoabr[[#Headers],[17]],tabela_registros[REGISTRO],DADOS!$N$6,tabela_registros[TIPO],DADOS!$AJ$4,tabela_registros[CATEGORIA],reservavariáveisconsolidadoabr[[#This Row],[ATUAL]])</f>
        <v>0</v>
      </c>
      <c r="V193" s="91">
        <f>SUMIFS(tabela_registros[VALOR],tabela_registros[MÊS],$AE$1,tabela_registros[DIA],reservavariáveisconsolidadoabr[[#Headers],[18]],tabela_registros[REGISTRO],DADOS!$N$6,tabela_registros[TIPO],DADOS!$AJ$4,tabela_registros[CATEGORIA],reservavariáveisconsolidadoabr[[#This Row],[ATUAL]])</f>
        <v>0</v>
      </c>
      <c r="W193" s="91">
        <f>SUMIFS(tabela_registros[VALOR],tabela_registros[MÊS],$AE$1,tabela_registros[DIA],reservavariáveisconsolidadoabr[[#Headers],[19]],tabela_registros[REGISTRO],DADOS!$N$6,tabela_registros[TIPO],DADOS!$AJ$4,tabela_registros[CATEGORIA],reservavariáveisconsolidadoabr[[#This Row],[ATUAL]])</f>
        <v>0</v>
      </c>
      <c r="X193" s="91">
        <f>SUMIFS(tabela_registros[VALOR],tabela_registros[MÊS],$AE$1,tabela_registros[DIA],reservavariáveisconsolidadoabr[[#Headers],[20]],tabela_registros[REGISTRO],DADOS!$N$6,tabela_registros[TIPO],DADOS!$AJ$4,tabela_registros[CATEGORIA],reservavariáveisconsolidadoabr[[#This Row],[ATUAL]])</f>
        <v>0</v>
      </c>
      <c r="Y193" s="91">
        <f>SUMIFS(tabela_registros[VALOR],tabela_registros[MÊS],$AE$1,tabela_registros[DIA],reservavariáveisconsolidadoabr[[#Headers],[21]],tabela_registros[REGISTRO],DADOS!$N$6,tabela_registros[TIPO],DADOS!$AJ$4,tabela_registros[CATEGORIA],reservavariáveisconsolidadoabr[[#This Row],[ATUAL]])</f>
        <v>0</v>
      </c>
      <c r="Z193" s="91">
        <f>SUMIFS(tabela_registros[VALOR],tabela_registros[MÊS],$AE$1,tabela_registros[DIA],reservavariáveisconsolidadoabr[[#Headers],[22]],tabela_registros[REGISTRO],DADOS!$N$6,tabela_registros[TIPO],DADOS!$AJ$4,tabela_registros[CATEGORIA],reservavariáveisconsolidadoabr[[#This Row],[ATUAL]])</f>
        <v>0</v>
      </c>
      <c r="AA193" s="91">
        <f>SUMIFS(tabela_registros[VALOR],tabela_registros[MÊS],$AE$1,tabela_registros[DIA],reservavariáveisconsolidadoabr[[#Headers],[23]],tabela_registros[REGISTRO],DADOS!$N$6,tabela_registros[TIPO],DADOS!$AJ$4,tabela_registros[CATEGORIA],reservavariáveisconsolidadoabr[[#This Row],[ATUAL]])</f>
        <v>0</v>
      </c>
      <c r="AB193" s="91">
        <f>SUMIFS(tabela_registros[VALOR],tabela_registros[MÊS],$AE$1,tabela_registros[DIA],reservavariáveisconsolidadoabr[[#Headers],[24]],tabela_registros[REGISTRO],DADOS!$N$6,tabela_registros[TIPO],DADOS!$AJ$4,tabela_registros[CATEGORIA],reservavariáveisconsolidadoabr[[#This Row],[ATUAL]])</f>
        <v>0</v>
      </c>
      <c r="AC193" s="91">
        <f>SUMIFS(tabela_registros[VALOR],tabela_registros[MÊS],$AE$1,tabela_registros[DIA],reservavariáveisconsolidadoabr[[#Headers],[25]],tabela_registros[REGISTRO],DADOS!$N$6,tabela_registros[TIPO],DADOS!$AJ$4,tabela_registros[CATEGORIA],reservavariáveisconsolidadoabr[[#This Row],[ATUAL]])</f>
        <v>0</v>
      </c>
      <c r="AD193" s="91">
        <f>SUMIFS(tabela_registros[VALOR],tabela_registros[MÊS],$AE$1,tabela_registros[DIA],reservavariáveisconsolidadoabr[[#Headers],[26]],tabela_registros[REGISTRO],DADOS!$N$6,tabela_registros[TIPO],DADOS!$AJ$4,tabela_registros[CATEGORIA],reservavariáveisconsolidadoabr[[#This Row],[ATUAL]])</f>
        <v>0</v>
      </c>
      <c r="AE193" s="91">
        <f>SUMIFS(tabela_registros[VALOR],tabela_registros[MÊS],$AE$1,tabela_registros[DIA],reservavariáveisconsolidadoabr[[#Headers],[27]],tabela_registros[REGISTRO],DADOS!$N$6,tabela_registros[TIPO],DADOS!$AJ$4,tabela_registros[CATEGORIA],reservavariáveisconsolidadoabr[[#This Row],[ATUAL]])</f>
        <v>0</v>
      </c>
      <c r="AF193" s="91">
        <f>SUMIFS(tabela_registros[VALOR],tabela_registros[MÊS],$AE$1,tabela_registros[DIA],reservavariáveisconsolidadoabr[[#Headers],[28]],tabela_registros[REGISTRO],DADOS!$N$6,tabela_registros[TIPO],DADOS!$AJ$4,tabela_registros[CATEGORIA],reservavariáveisconsolidadoabr[[#This Row],[ATUAL]])</f>
        <v>0</v>
      </c>
      <c r="AG193" s="91">
        <f>SUMIFS(tabela_registros[VALOR],tabela_registros[MÊS],$AE$1,tabela_registros[DIA],reservavariáveisconsolidadoabr[[#Headers],[29]],tabela_registros[REGISTRO],DADOS!$N$6,tabela_registros[TIPO],DADOS!$AJ$4,tabela_registros[CATEGORIA],reservavariáveisconsolidadoabr[[#This Row],[ATUAL]])</f>
        <v>0</v>
      </c>
      <c r="AH193" s="91">
        <f>SUMIFS(tabela_registros[VALOR],tabela_registros[MÊS],$AE$1,tabela_registros[DIA],reservavariáveisconsolidadoabr[[#Headers],[30]],tabela_registros[REGISTRO],DADOS!$N$6,tabela_registros[TIPO],DADOS!$AJ$4,tabela_registros[CATEGORIA],reservavariáveisconsolidadoabr[[#This Row],[ATUAL]])</f>
        <v>0</v>
      </c>
      <c r="AI193" s="101">
        <f>SUMIFS(tabela_registros[VALOR],tabela_registros[MÊS],$AE$1,tabela_registros[DIA],reservavariáveisconsolidadoabr[[#Headers],[31]],tabela_registros[REGISTRO],DADOS!$N$6,tabela_registros[TIPO],DADOS!$AJ$4,tabela_registros[CATEGORIA],reservavariáveisconsolidadoabr[[#This Row],[ATUAL]])</f>
        <v>0</v>
      </c>
      <c r="AJ193" s="97">
        <f>SUM(reservavariáveisconsolidadoabr[[#This Row],[1]:[31]])</f>
        <v>0</v>
      </c>
      <c r="AK193" s="25"/>
    </row>
    <row r="194" spans="2:37" ht="19.5" customHeight="1" thickTop="1" thickBot="1" x14ac:dyDescent="0.3">
      <c r="B194" s="28"/>
      <c r="C194" s="27" t="str">
        <f>DADOS!$AN$10</f>
        <v>📝 FII</v>
      </c>
      <c r="D194" s="26" t="str">
        <f>IF(reservavariáveisconsolidadoabr[[#This Row],[TOTAL (R$)]]=0,"",IF(OR(reservavariáveisconsolidadoabr[[#This Row],[TOTAL (R$)]]=LARGE($AJ$187:$AJ$196,1),reservavariáveisconsolidadoabr[[#This Row],[TOTAL (R$)]]=LARGE($AJ$187:$AJ$196,2)),DADOS!$I$11,""))</f>
        <v/>
      </c>
      <c r="E194" s="96">
        <f>SUMIFS(tabela_registros[VALOR],tabela_registros[MÊS],$AE$1,tabela_registros[DIA],reservavariáveisconsolidadoabr[[#Headers],[1]],tabela_registros[REGISTRO],DADOS!$N$6,tabela_registros[TIPO],DADOS!$AJ$4,tabela_registros[CATEGORIA],reservavariáveisconsolidadoabr[[#This Row],[ATUAL]])</f>
        <v>0</v>
      </c>
      <c r="F194" s="91">
        <f>SUMIFS(tabela_registros[VALOR],tabela_registros[MÊS],$AE$1,tabela_registros[DIA],reservavariáveisconsolidadoabr[[#Headers],[2]],tabela_registros[REGISTRO],DADOS!$N$6,tabela_registros[TIPO],DADOS!$AJ$4,tabela_registros[CATEGORIA],reservavariáveisconsolidadoabr[[#This Row],[ATUAL]])</f>
        <v>0</v>
      </c>
      <c r="G194" s="91">
        <f>SUMIFS(tabela_registros[VALOR],tabela_registros[MÊS],$AE$1,tabela_registros[DIA],reservavariáveisconsolidadoabr[[#Headers],[3]],tabela_registros[REGISTRO],DADOS!$N$6,tabela_registros[TIPO],DADOS!$AJ$4,tabela_registros[CATEGORIA],reservavariáveisconsolidadoabr[[#This Row],[ATUAL]])</f>
        <v>0</v>
      </c>
      <c r="H194" s="91">
        <f>SUMIFS(tabela_registros[VALOR],tabela_registros[MÊS],$AE$1,tabela_registros[DIA],reservavariáveisconsolidadoabr[[#Headers],[4]],tabela_registros[REGISTRO],DADOS!$N$6,tabela_registros[TIPO],DADOS!$AJ$4,tabela_registros[CATEGORIA],reservavariáveisconsolidadoabr[[#This Row],[ATUAL]])</f>
        <v>0</v>
      </c>
      <c r="I194" s="91">
        <f>SUMIFS(tabela_registros[VALOR],tabela_registros[MÊS],$AE$1,tabela_registros[DIA],reservavariáveisconsolidadoabr[[#Headers],[5]],tabela_registros[REGISTRO],DADOS!$N$6,tabela_registros[TIPO],DADOS!$AJ$4,tabela_registros[CATEGORIA],reservavariáveisconsolidadoabr[[#This Row],[ATUAL]])</f>
        <v>0</v>
      </c>
      <c r="J194" s="91">
        <f>SUMIFS(tabela_registros[VALOR],tabela_registros[MÊS],$AE$1,tabela_registros[DIA],reservavariáveisconsolidadoabr[[#Headers],[6]],tabela_registros[REGISTRO],DADOS!$N$6,tabela_registros[TIPO],DADOS!$AJ$4,tabela_registros[CATEGORIA],reservavariáveisconsolidadoabr[[#This Row],[ATUAL]])</f>
        <v>0</v>
      </c>
      <c r="K194" s="91">
        <f>SUMIFS(tabela_registros[VALOR],tabela_registros[MÊS],$AE$1,tabela_registros[DIA],reservavariáveisconsolidadoabr[[#Headers],[7]],tabela_registros[REGISTRO],DADOS!$N$6,tabela_registros[TIPO],DADOS!$AJ$4,tabela_registros[CATEGORIA],reservavariáveisconsolidadoabr[[#This Row],[ATUAL]])</f>
        <v>0</v>
      </c>
      <c r="L194" s="91">
        <f>SUMIFS(tabela_registros[VALOR],tabela_registros[MÊS],$AE$1,tabela_registros[DIA],reservavariáveisconsolidadoabr[[#Headers],[8]],tabela_registros[REGISTRO],DADOS!$N$6,tabela_registros[TIPO],DADOS!$AJ$4,tabela_registros[CATEGORIA],reservavariáveisconsolidadoabr[[#This Row],[ATUAL]])</f>
        <v>0</v>
      </c>
      <c r="M194" s="91">
        <f>SUMIFS(tabela_registros[VALOR],tabela_registros[MÊS],$AE$1,tabela_registros[DIA],reservavariáveisconsolidadoabr[[#Headers],[9]],tabela_registros[REGISTRO],DADOS!$N$6,tabela_registros[TIPO],DADOS!$AJ$4,tabela_registros[CATEGORIA],reservavariáveisconsolidadoabr[[#This Row],[ATUAL]])</f>
        <v>0</v>
      </c>
      <c r="N194" s="91">
        <f>SUMIFS(tabela_registros[VALOR],tabela_registros[MÊS],$AE$1,tabela_registros[DIA],reservavariáveisconsolidadoabr[[#Headers],[10]],tabela_registros[REGISTRO],DADOS!$N$6,tabela_registros[TIPO],DADOS!$AJ$4,tabela_registros[CATEGORIA],reservavariáveisconsolidadoabr[[#This Row],[ATUAL]])</f>
        <v>0</v>
      </c>
      <c r="O194" s="91">
        <f>SUMIFS(tabela_registros[VALOR],tabela_registros[MÊS],$AE$1,tabela_registros[DIA],reservavariáveisconsolidadoabr[[#Headers],[11]],tabela_registros[REGISTRO],DADOS!$N$6,tabela_registros[TIPO],DADOS!$AJ$4,tabela_registros[CATEGORIA],reservavariáveisconsolidadoabr[[#This Row],[ATUAL]])</f>
        <v>0</v>
      </c>
      <c r="P194" s="91">
        <f>SUMIFS(tabela_registros[VALOR],tabela_registros[MÊS],$AE$1,tabela_registros[DIA],reservavariáveisconsolidadoabr[[#Headers],[12]],tabela_registros[REGISTRO],DADOS!$N$6,tabela_registros[TIPO],DADOS!$AJ$4,tabela_registros[CATEGORIA],reservavariáveisconsolidadoabr[[#This Row],[ATUAL]])</f>
        <v>0</v>
      </c>
      <c r="Q194" s="91">
        <f>SUMIFS(tabela_registros[VALOR],tabela_registros[MÊS],$AE$1,tabela_registros[DIA],reservavariáveisconsolidadoabr[[#Headers],[13]],tabela_registros[REGISTRO],DADOS!$N$6,tabela_registros[TIPO],DADOS!$AJ$4,tabela_registros[CATEGORIA],reservavariáveisconsolidadoabr[[#This Row],[ATUAL]])</f>
        <v>0</v>
      </c>
      <c r="R194" s="91">
        <f>SUMIFS(tabela_registros[VALOR],tabela_registros[MÊS],$AE$1,tabela_registros[DIA],reservavariáveisconsolidadoabr[[#Headers],[14]],tabela_registros[REGISTRO],DADOS!$N$6,tabela_registros[TIPO],DADOS!$AJ$4,tabela_registros[CATEGORIA],reservavariáveisconsolidadoabr[[#This Row],[ATUAL]])</f>
        <v>0</v>
      </c>
      <c r="S194" s="91">
        <f>SUMIFS(tabela_registros[VALOR],tabela_registros[MÊS],$AE$1,tabela_registros[DIA],reservavariáveisconsolidadoabr[[#Headers],[15]],tabela_registros[REGISTRO],DADOS!$N$6,tabela_registros[TIPO],DADOS!$AJ$4,tabela_registros[CATEGORIA],reservavariáveisconsolidadoabr[[#This Row],[ATUAL]])</f>
        <v>0</v>
      </c>
      <c r="T194" s="91">
        <f>SUMIFS(tabela_registros[VALOR],tabela_registros[MÊS],$AE$1,tabela_registros[DIA],reservavariáveisconsolidadoabr[[#Headers],[16]],tabela_registros[REGISTRO],DADOS!$N$6,tabela_registros[TIPO],DADOS!$AJ$4,tabela_registros[CATEGORIA],reservavariáveisconsolidadoabr[[#This Row],[ATUAL]])</f>
        <v>0</v>
      </c>
      <c r="U194" s="91">
        <f>SUMIFS(tabela_registros[VALOR],tabela_registros[MÊS],$AE$1,tabela_registros[DIA],reservavariáveisconsolidadoabr[[#Headers],[17]],tabela_registros[REGISTRO],DADOS!$N$6,tabela_registros[TIPO],DADOS!$AJ$4,tabela_registros[CATEGORIA],reservavariáveisconsolidadoabr[[#This Row],[ATUAL]])</f>
        <v>0</v>
      </c>
      <c r="V194" s="91">
        <f>SUMIFS(tabela_registros[VALOR],tabela_registros[MÊS],$AE$1,tabela_registros[DIA],reservavariáveisconsolidadoabr[[#Headers],[18]],tabela_registros[REGISTRO],DADOS!$N$6,tabela_registros[TIPO],DADOS!$AJ$4,tabela_registros[CATEGORIA],reservavariáveisconsolidadoabr[[#This Row],[ATUAL]])</f>
        <v>0</v>
      </c>
      <c r="W194" s="91">
        <f>SUMIFS(tabela_registros[VALOR],tabela_registros[MÊS],$AE$1,tabela_registros[DIA],reservavariáveisconsolidadoabr[[#Headers],[19]],tabela_registros[REGISTRO],DADOS!$N$6,tabela_registros[TIPO],DADOS!$AJ$4,tabela_registros[CATEGORIA],reservavariáveisconsolidadoabr[[#This Row],[ATUAL]])</f>
        <v>0</v>
      </c>
      <c r="X194" s="91">
        <f>SUMIFS(tabela_registros[VALOR],tabela_registros[MÊS],$AE$1,tabela_registros[DIA],reservavariáveisconsolidadoabr[[#Headers],[20]],tabela_registros[REGISTRO],DADOS!$N$6,tabela_registros[TIPO],DADOS!$AJ$4,tabela_registros[CATEGORIA],reservavariáveisconsolidadoabr[[#This Row],[ATUAL]])</f>
        <v>0</v>
      </c>
      <c r="Y194" s="91">
        <f>SUMIFS(tabela_registros[VALOR],tabela_registros[MÊS],$AE$1,tabela_registros[DIA],reservavariáveisconsolidadoabr[[#Headers],[21]],tabela_registros[REGISTRO],DADOS!$N$6,tabela_registros[TIPO],DADOS!$AJ$4,tabela_registros[CATEGORIA],reservavariáveisconsolidadoabr[[#This Row],[ATUAL]])</f>
        <v>0</v>
      </c>
      <c r="Z194" s="91">
        <f>SUMIFS(tabela_registros[VALOR],tabela_registros[MÊS],$AE$1,tabela_registros[DIA],reservavariáveisconsolidadoabr[[#Headers],[22]],tabela_registros[REGISTRO],DADOS!$N$6,tabela_registros[TIPO],DADOS!$AJ$4,tabela_registros[CATEGORIA],reservavariáveisconsolidadoabr[[#This Row],[ATUAL]])</f>
        <v>0</v>
      </c>
      <c r="AA194" s="91">
        <f>SUMIFS(tabela_registros[VALOR],tabela_registros[MÊS],$AE$1,tabela_registros[DIA],reservavariáveisconsolidadoabr[[#Headers],[23]],tabela_registros[REGISTRO],DADOS!$N$6,tabela_registros[TIPO],DADOS!$AJ$4,tabela_registros[CATEGORIA],reservavariáveisconsolidadoabr[[#This Row],[ATUAL]])</f>
        <v>0</v>
      </c>
      <c r="AB194" s="91">
        <f>SUMIFS(tabela_registros[VALOR],tabela_registros[MÊS],$AE$1,tabela_registros[DIA],reservavariáveisconsolidadoabr[[#Headers],[24]],tabela_registros[REGISTRO],DADOS!$N$6,tabela_registros[TIPO],DADOS!$AJ$4,tabela_registros[CATEGORIA],reservavariáveisconsolidadoabr[[#This Row],[ATUAL]])</f>
        <v>0</v>
      </c>
      <c r="AC194" s="91">
        <f>SUMIFS(tabela_registros[VALOR],tabela_registros[MÊS],$AE$1,tabela_registros[DIA],reservavariáveisconsolidadoabr[[#Headers],[25]],tabela_registros[REGISTRO],DADOS!$N$6,tabela_registros[TIPO],DADOS!$AJ$4,tabela_registros[CATEGORIA],reservavariáveisconsolidadoabr[[#This Row],[ATUAL]])</f>
        <v>0</v>
      </c>
      <c r="AD194" s="91">
        <f>SUMIFS(tabela_registros[VALOR],tabela_registros[MÊS],$AE$1,tabela_registros[DIA],reservavariáveisconsolidadoabr[[#Headers],[26]],tabela_registros[REGISTRO],DADOS!$N$6,tabela_registros[TIPO],DADOS!$AJ$4,tabela_registros[CATEGORIA],reservavariáveisconsolidadoabr[[#This Row],[ATUAL]])</f>
        <v>0</v>
      </c>
      <c r="AE194" s="91">
        <f>SUMIFS(tabela_registros[VALOR],tabela_registros[MÊS],$AE$1,tabela_registros[DIA],reservavariáveisconsolidadoabr[[#Headers],[27]],tabela_registros[REGISTRO],DADOS!$N$6,tabela_registros[TIPO],DADOS!$AJ$4,tabela_registros[CATEGORIA],reservavariáveisconsolidadoabr[[#This Row],[ATUAL]])</f>
        <v>0</v>
      </c>
      <c r="AF194" s="91">
        <f>SUMIFS(tabela_registros[VALOR],tabela_registros[MÊS],$AE$1,tabela_registros[DIA],reservavariáveisconsolidadoabr[[#Headers],[28]],tabela_registros[REGISTRO],DADOS!$N$6,tabela_registros[TIPO],DADOS!$AJ$4,tabela_registros[CATEGORIA],reservavariáveisconsolidadoabr[[#This Row],[ATUAL]])</f>
        <v>0</v>
      </c>
      <c r="AG194" s="91">
        <f>SUMIFS(tabela_registros[VALOR],tabela_registros[MÊS],$AE$1,tabela_registros[DIA],reservavariáveisconsolidadoabr[[#Headers],[29]],tabela_registros[REGISTRO],DADOS!$N$6,tabela_registros[TIPO],DADOS!$AJ$4,tabela_registros[CATEGORIA],reservavariáveisconsolidadoabr[[#This Row],[ATUAL]])</f>
        <v>0</v>
      </c>
      <c r="AH194" s="91">
        <f>SUMIFS(tabela_registros[VALOR],tabela_registros[MÊS],$AE$1,tabela_registros[DIA],reservavariáveisconsolidadoabr[[#Headers],[30]],tabela_registros[REGISTRO],DADOS!$N$6,tabela_registros[TIPO],DADOS!$AJ$4,tabela_registros[CATEGORIA],reservavariáveisconsolidadoabr[[#This Row],[ATUAL]])</f>
        <v>0</v>
      </c>
      <c r="AI194" s="101">
        <f>SUMIFS(tabela_registros[VALOR],tabela_registros[MÊS],$AE$1,tabela_registros[DIA],reservavariáveisconsolidadoabr[[#Headers],[31]],tabela_registros[REGISTRO],DADOS!$N$6,tabela_registros[TIPO],DADOS!$AJ$4,tabela_registros[CATEGORIA],reservavariáveisconsolidadoabr[[#This Row],[ATUAL]])</f>
        <v>0</v>
      </c>
      <c r="AJ194" s="97">
        <f>SUM(reservavariáveisconsolidadoabr[[#This Row],[1]:[31]])</f>
        <v>0</v>
      </c>
      <c r="AK194" s="25"/>
    </row>
    <row r="195" spans="2:37" ht="19.5" customHeight="1" thickTop="1" thickBot="1" x14ac:dyDescent="0.3">
      <c r="B195" s="28"/>
      <c r="C195" s="27" t="str">
        <f>DADOS!$AN$11</f>
        <v>📝 MOEDA</v>
      </c>
      <c r="D195" s="26" t="str">
        <f>IF(reservavariáveisconsolidadoabr[[#This Row],[TOTAL (R$)]]=0,"",IF(OR(reservavariáveisconsolidadoabr[[#This Row],[TOTAL (R$)]]=LARGE($AJ$187:$AJ$196,1),reservavariáveisconsolidadoabr[[#This Row],[TOTAL (R$)]]=LARGE($AJ$187:$AJ$196,2)),DADOS!$I$11,""))</f>
        <v/>
      </c>
      <c r="E195" s="96">
        <f>SUMIFS(tabela_registros[VALOR],tabela_registros[MÊS],$AE$1,tabela_registros[DIA],reservavariáveisconsolidadoabr[[#Headers],[1]],tabela_registros[REGISTRO],DADOS!$N$6,tabela_registros[TIPO],DADOS!$AJ$4,tabela_registros[CATEGORIA],reservavariáveisconsolidadoabr[[#This Row],[ATUAL]])</f>
        <v>0</v>
      </c>
      <c r="F195" s="91">
        <f>SUMIFS(tabela_registros[VALOR],tabela_registros[MÊS],$AE$1,tabela_registros[DIA],reservavariáveisconsolidadoabr[[#Headers],[2]],tabela_registros[REGISTRO],DADOS!$N$6,tabela_registros[TIPO],DADOS!$AJ$4,tabela_registros[CATEGORIA],reservavariáveisconsolidadoabr[[#This Row],[ATUAL]])</f>
        <v>0</v>
      </c>
      <c r="G195" s="91">
        <f>SUMIFS(tabela_registros[VALOR],tabela_registros[MÊS],$AE$1,tabela_registros[DIA],reservavariáveisconsolidadoabr[[#Headers],[3]],tabela_registros[REGISTRO],DADOS!$N$6,tabela_registros[TIPO],DADOS!$AJ$4,tabela_registros[CATEGORIA],reservavariáveisconsolidadoabr[[#This Row],[ATUAL]])</f>
        <v>0</v>
      </c>
      <c r="H195" s="91">
        <f>SUMIFS(tabela_registros[VALOR],tabela_registros[MÊS],$AE$1,tabela_registros[DIA],reservavariáveisconsolidadoabr[[#Headers],[4]],tabela_registros[REGISTRO],DADOS!$N$6,tabela_registros[TIPO],DADOS!$AJ$4,tabela_registros[CATEGORIA],reservavariáveisconsolidadoabr[[#This Row],[ATUAL]])</f>
        <v>0</v>
      </c>
      <c r="I195" s="91">
        <f>SUMIFS(tabela_registros[VALOR],tabela_registros[MÊS],$AE$1,tabela_registros[DIA],reservavariáveisconsolidadoabr[[#Headers],[5]],tabela_registros[REGISTRO],DADOS!$N$6,tabela_registros[TIPO],DADOS!$AJ$4,tabela_registros[CATEGORIA],reservavariáveisconsolidadoabr[[#This Row],[ATUAL]])</f>
        <v>0</v>
      </c>
      <c r="J195" s="91">
        <f>SUMIFS(tabela_registros[VALOR],tabela_registros[MÊS],$AE$1,tabela_registros[DIA],reservavariáveisconsolidadoabr[[#Headers],[6]],tabela_registros[REGISTRO],DADOS!$N$6,tabela_registros[TIPO],DADOS!$AJ$4,tabela_registros[CATEGORIA],reservavariáveisconsolidadoabr[[#This Row],[ATUAL]])</f>
        <v>0</v>
      </c>
      <c r="K195" s="91">
        <f>SUMIFS(tabela_registros[VALOR],tabela_registros[MÊS],$AE$1,tabela_registros[DIA],reservavariáveisconsolidadoabr[[#Headers],[7]],tabela_registros[REGISTRO],DADOS!$N$6,tabela_registros[TIPO],DADOS!$AJ$4,tabela_registros[CATEGORIA],reservavariáveisconsolidadoabr[[#This Row],[ATUAL]])</f>
        <v>0</v>
      </c>
      <c r="L195" s="91">
        <f>SUMIFS(tabela_registros[VALOR],tabela_registros[MÊS],$AE$1,tabela_registros[DIA],reservavariáveisconsolidadoabr[[#Headers],[8]],tabela_registros[REGISTRO],DADOS!$N$6,tabela_registros[TIPO],DADOS!$AJ$4,tabela_registros[CATEGORIA],reservavariáveisconsolidadoabr[[#This Row],[ATUAL]])</f>
        <v>0</v>
      </c>
      <c r="M195" s="91">
        <f>SUMIFS(tabela_registros[VALOR],tabela_registros[MÊS],$AE$1,tabela_registros[DIA],reservavariáveisconsolidadoabr[[#Headers],[9]],tabela_registros[REGISTRO],DADOS!$N$6,tabela_registros[TIPO],DADOS!$AJ$4,tabela_registros[CATEGORIA],reservavariáveisconsolidadoabr[[#This Row],[ATUAL]])</f>
        <v>0</v>
      </c>
      <c r="N195" s="91">
        <f>SUMIFS(tabela_registros[VALOR],tabela_registros[MÊS],$AE$1,tabela_registros[DIA],reservavariáveisconsolidadoabr[[#Headers],[10]],tabela_registros[REGISTRO],DADOS!$N$6,tabela_registros[TIPO],DADOS!$AJ$4,tabela_registros[CATEGORIA],reservavariáveisconsolidadoabr[[#This Row],[ATUAL]])</f>
        <v>0</v>
      </c>
      <c r="O195" s="91">
        <f>SUMIFS(tabela_registros[VALOR],tabela_registros[MÊS],$AE$1,tabela_registros[DIA],reservavariáveisconsolidadoabr[[#Headers],[11]],tabela_registros[REGISTRO],DADOS!$N$6,tabela_registros[TIPO],DADOS!$AJ$4,tabela_registros[CATEGORIA],reservavariáveisconsolidadoabr[[#This Row],[ATUAL]])</f>
        <v>0</v>
      </c>
      <c r="P195" s="91">
        <f>SUMIFS(tabela_registros[VALOR],tabela_registros[MÊS],$AE$1,tabela_registros[DIA],reservavariáveisconsolidadoabr[[#Headers],[12]],tabela_registros[REGISTRO],DADOS!$N$6,tabela_registros[TIPO],DADOS!$AJ$4,tabela_registros[CATEGORIA],reservavariáveisconsolidadoabr[[#This Row],[ATUAL]])</f>
        <v>0</v>
      </c>
      <c r="Q195" s="91">
        <f>SUMIFS(tabela_registros[VALOR],tabela_registros[MÊS],$AE$1,tabela_registros[DIA],reservavariáveisconsolidadoabr[[#Headers],[13]],tabela_registros[REGISTRO],DADOS!$N$6,tabela_registros[TIPO],DADOS!$AJ$4,tabela_registros[CATEGORIA],reservavariáveisconsolidadoabr[[#This Row],[ATUAL]])</f>
        <v>0</v>
      </c>
      <c r="R195" s="91">
        <f>SUMIFS(tabela_registros[VALOR],tabela_registros[MÊS],$AE$1,tabela_registros[DIA],reservavariáveisconsolidadoabr[[#Headers],[14]],tabela_registros[REGISTRO],DADOS!$N$6,tabela_registros[TIPO],DADOS!$AJ$4,tabela_registros[CATEGORIA],reservavariáveisconsolidadoabr[[#This Row],[ATUAL]])</f>
        <v>0</v>
      </c>
      <c r="S195" s="91">
        <f>SUMIFS(tabela_registros[VALOR],tabela_registros[MÊS],$AE$1,tabela_registros[DIA],reservavariáveisconsolidadoabr[[#Headers],[15]],tabela_registros[REGISTRO],DADOS!$N$6,tabela_registros[TIPO],DADOS!$AJ$4,tabela_registros[CATEGORIA],reservavariáveisconsolidadoabr[[#This Row],[ATUAL]])</f>
        <v>0</v>
      </c>
      <c r="T195" s="91">
        <f>SUMIFS(tabela_registros[VALOR],tabela_registros[MÊS],$AE$1,tabela_registros[DIA],reservavariáveisconsolidadoabr[[#Headers],[16]],tabela_registros[REGISTRO],DADOS!$N$6,tabela_registros[TIPO],DADOS!$AJ$4,tabela_registros[CATEGORIA],reservavariáveisconsolidadoabr[[#This Row],[ATUAL]])</f>
        <v>0</v>
      </c>
      <c r="U195" s="91">
        <f>SUMIFS(tabela_registros[VALOR],tabela_registros[MÊS],$AE$1,tabela_registros[DIA],reservavariáveisconsolidadoabr[[#Headers],[17]],tabela_registros[REGISTRO],DADOS!$N$6,tabela_registros[TIPO],DADOS!$AJ$4,tabela_registros[CATEGORIA],reservavariáveisconsolidadoabr[[#This Row],[ATUAL]])</f>
        <v>0</v>
      </c>
      <c r="V195" s="91">
        <f>SUMIFS(tabela_registros[VALOR],tabela_registros[MÊS],$AE$1,tabela_registros[DIA],reservavariáveisconsolidadoabr[[#Headers],[18]],tabela_registros[REGISTRO],DADOS!$N$6,tabela_registros[TIPO],DADOS!$AJ$4,tabela_registros[CATEGORIA],reservavariáveisconsolidadoabr[[#This Row],[ATUAL]])</f>
        <v>0</v>
      </c>
      <c r="W195" s="91">
        <f>SUMIFS(tabela_registros[VALOR],tabela_registros[MÊS],$AE$1,tabela_registros[DIA],reservavariáveisconsolidadoabr[[#Headers],[19]],tabela_registros[REGISTRO],DADOS!$N$6,tabela_registros[TIPO],DADOS!$AJ$4,tabela_registros[CATEGORIA],reservavariáveisconsolidadoabr[[#This Row],[ATUAL]])</f>
        <v>0</v>
      </c>
      <c r="X195" s="91">
        <f>SUMIFS(tabela_registros[VALOR],tabela_registros[MÊS],$AE$1,tabela_registros[DIA],reservavariáveisconsolidadoabr[[#Headers],[20]],tabela_registros[REGISTRO],DADOS!$N$6,tabela_registros[TIPO],DADOS!$AJ$4,tabela_registros[CATEGORIA],reservavariáveisconsolidadoabr[[#This Row],[ATUAL]])</f>
        <v>0</v>
      </c>
      <c r="Y195" s="91">
        <f>SUMIFS(tabela_registros[VALOR],tabela_registros[MÊS],$AE$1,tabela_registros[DIA],reservavariáveisconsolidadoabr[[#Headers],[21]],tabela_registros[REGISTRO],DADOS!$N$6,tabela_registros[TIPO],DADOS!$AJ$4,tabela_registros[CATEGORIA],reservavariáveisconsolidadoabr[[#This Row],[ATUAL]])</f>
        <v>0</v>
      </c>
      <c r="Z195" s="91">
        <f>SUMIFS(tabela_registros[VALOR],tabela_registros[MÊS],$AE$1,tabela_registros[DIA],reservavariáveisconsolidadoabr[[#Headers],[22]],tabela_registros[REGISTRO],DADOS!$N$6,tabela_registros[TIPO],DADOS!$AJ$4,tabela_registros[CATEGORIA],reservavariáveisconsolidadoabr[[#This Row],[ATUAL]])</f>
        <v>0</v>
      </c>
      <c r="AA195" s="91">
        <f>SUMIFS(tabela_registros[VALOR],tabela_registros[MÊS],$AE$1,tabela_registros[DIA],reservavariáveisconsolidadoabr[[#Headers],[23]],tabela_registros[REGISTRO],DADOS!$N$6,tabela_registros[TIPO],DADOS!$AJ$4,tabela_registros[CATEGORIA],reservavariáveisconsolidadoabr[[#This Row],[ATUAL]])</f>
        <v>0</v>
      </c>
      <c r="AB195" s="91">
        <f>SUMIFS(tabela_registros[VALOR],tabela_registros[MÊS],$AE$1,tabela_registros[DIA],reservavariáveisconsolidadoabr[[#Headers],[24]],tabela_registros[REGISTRO],DADOS!$N$6,tabela_registros[TIPO],DADOS!$AJ$4,tabela_registros[CATEGORIA],reservavariáveisconsolidadoabr[[#This Row],[ATUAL]])</f>
        <v>0</v>
      </c>
      <c r="AC195" s="91">
        <f>SUMIFS(tabela_registros[VALOR],tabela_registros[MÊS],$AE$1,tabela_registros[DIA],reservavariáveisconsolidadoabr[[#Headers],[25]],tabela_registros[REGISTRO],DADOS!$N$6,tabela_registros[TIPO],DADOS!$AJ$4,tabela_registros[CATEGORIA],reservavariáveisconsolidadoabr[[#This Row],[ATUAL]])</f>
        <v>0</v>
      </c>
      <c r="AD195" s="91">
        <f>SUMIFS(tabela_registros[VALOR],tabela_registros[MÊS],$AE$1,tabela_registros[DIA],reservavariáveisconsolidadoabr[[#Headers],[26]],tabela_registros[REGISTRO],DADOS!$N$6,tabela_registros[TIPO],DADOS!$AJ$4,tabela_registros[CATEGORIA],reservavariáveisconsolidadoabr[[#This Row],[ATUAL]])</f>
        <v>0</v>
      </c>
      <c r="AE195" s="91">
        <f>SUMIFS(tabela_registros[VALOR],tabela_registros[MÊS],$AE$1,tabela_registros[DIA],reservavariáveisconsolidadoabr[[#Headers],[27]],tabela_registros[REGISTRO],DADOS!$N$6,tabela_registros[TIPO],DADOS!$AJ$4,tabela_registros[CATEGORIA],reservavariáveisconsolidadoabr[[#This Row],[ATUAL]])</f>
        <v>0</v>
      </c>
      <c r="AF195" s="91">
        <f>SUMIFS(tabela_registros[VALOR],tabela_registros[MÊS],$AE$1,tabela_registros[DIA],reservavariáveisconsolidadoabr[[#Headers],[28]],tabela_registros[REGISTRO],DADOS!$N$6,tabela_registros[TIPO],DADOS!$AJ$4,tabela_registros[CATEGORIA],reservavariáveisconsolidadoabr[[#This Row],[ATUAL]])</f>
        <v>0</v>
      </c>
      <c r="AG195" s="91">
        <f>SUMIFS(tabela_registros[VALOR],tabela_registros[MÊS],$AE$1,tabela_registros[DIA],reservavariáveisconsolidadoabr[[#Headers],[29]],tabela_registros[REGISTRO],DADOS!$N$6,tabela_registros[TIPO],DADOS!$AJ$4,tabela_registros[CATEGORIA],reservavariáveisconsolidadoabr[[#This Row],[ATUAL]])</f>
        <v>0</v>
      </c>
      <c r="AH195" s="91">
        <f>SUMIFS(tabela_registros[VALOR],tabela_registros[MÊS],$AE$1,tabela_registros[DIA],reservavariáveisconsolidadoabr[[#Headers],[30]],tabela_registros[REGISTRO],DADOS!$N$6,tabela_registros[TIPO],DADOS!$AJ$4,tabela_registros[CATEGORIA],reservavariáveisconsolidadoabr[[#This Row],[ATUAL]])</f>
        <v>0</v>
      </c>
      <c r="AI195" s="101">
        <f>SUMIFS(tabela_registros[VALOR],tabela_registros[MÊS],$AE$1,tabela_registros[DIA],reservavariáveisconsolidadoabr[[#Headers],[31]],tabela_registros[REGISTRO],DADOS!$N$6,tabela_registros[TIPO],DADOS!$AJ$4,tabela_registros[CATEGORIA],reservavariáveisconsolidadoabr[[#This Row],[ATUAL]])</f>
        <v>0</v>
      </c>
      <c r="AJ195" s="97">
        <f>SUM(reservavariáveisconsolidadoabr[[#This Row],[1]:[31]])</f>
        <v>0</v>
      </c>
      <c r="AK195" s="25"/>
    </row>
    <row r="196" spans="2:37" ht="19.5" customHeight="1" thickTop="1" thickBot="1" x14ac:dyDescent="0.3">
      <c r="B196" s="28"/>
      <c r="C196" s="27" t="str">
        <f>DADOS!$AN$12</f>
        <v>📎 OUTROS</v>
      </c>
      <c r="D196" s="26" t="str">
        <f>IF(reservavariáveisconsolidadoabr[[#This Row],[TOTAL (R$)]]=0,"",IF(OR(reservavariáveisconsolidadoabr[[#This Row],[TOTAL (R$)]]=LARGE($AJ$187:$AJ$196,1),reservavariáveisconsolidadoabr[[#This Row],[TOTAL (R$)]]=LARGE($AJ$187:$AJ$196,2)),DADOS!$I$11,""))</f>
        <v/>
      </c>
      <c r="E196" s="96">
        <f>SUMIFS(tabela_registros[VALOR],tabela_registros[MÊS],$AE$1,tabela_registros[DIA],reservavariáveisconsolidadoabr[[#Headers],[1]],tabela_registros[REGISTRO],DADOS!$N$6,tabela_registros[TIPO],DADOS!$AJ$4,tabela_registros[CATEGORIA],reservavariáveisconsolidadoabr[[#This Row],[ATUAL]])</f>
        <v>0</v>
      </c>
      <c r="F196" s="91">
        <f>SUMIFS(tabela_registros[VALOR],tabela_registros[MÊS],$AE$1,tabela_registros[DIA],reservavariáveisconsolidadoabr[[#Headers],[2]],tabela_registros[REGISTRO],DADOS!$N$6,tabela_registros[TIPO],DADOS!$AJ$4,tabela_registros[CATEGORIA],reservavariáveisconsolidadoabr[[#This Row],[ATUAL]])</f>
        <v>0</v>
      </c>
      <c r="G196" s="91">
        <f>SUMIFS(tabela_registros[VALOR],tabela_registros[MÊS],$AE$1,tabela_registros[DIA],reservavariáveisconsolidadoabr[[#Headers],[3]],tabela_registros[REGISTRO],DADOS!$N$6,tabela_registros[TIPO],DADOS!$AJ$4,tabela_registros[CATEGORIA],reservavariáveisconsolidadoabr[[#This Row],[ATUAL]])</f>
        <v>0</v>
      </c>
      <c r="H196" s="91">
        <f>SUMIFS(tabela_registros[VALOR],tabela_registros[MÊS],$AE$1,tabela_registros[DIA],reservavariáveisconsolidadoabr[[#Headers],[4]],tabela_registros[REGISTRO],DADOS!$N$6,tabela_registros[TIPO],DADOS!$AJ$4,tabela_registros[CATEGORIA],reservavariáveisconsolidadoabr[[#This Row],[ATUAL]])</f>
        <v>0</v>
      </c>
      <c r="I196" s="91">
        <f>SUMIFS(tabela_registros[VALOR],tabela_registros[MÊS],$AE$1,tabela_registros[DIA],reservavariáveisconsolidadoabr[[#Headers],[5]],tabela_registros[REGISTRO],DADOS!$N$6,tabela_registros[TIPO],DADOS!$AJ$4,tabela_registros[CATEGORIA],reservavariáveisconsolidadoabr[[#This Row],[ATUAL]])</f>
        <v>0</v>
      </c>
      <c r="J196" s="91">
        <f>SUMIFS(tabela_registros[VALOR],tabela_registros[MÊS],$AE$1,tabela_registros[DIA],reservavariáveisconsolidadoabr[[#Headers],[6]],tabela_registros[REGISTRO],DADOS!$N$6,tabela_registros[TIPO],DADOS!$AJ$4,tabela_registros[CATEGORIA],reservavariáveisconsolidadoabr[[#This Row],[ATUAL]])</f>
        <v>0</v>
      </c>
      <c r="K196" s="91">
        <f>SUMIFS(tabela_registros[VALOR],tabela_registros[MÊS],$AE$1,tabela_registros[DIA],reservavariáveisconsolidadoabr[[#Headers],[7]],tabela_registros[REGISTRO],DADOS!$N$6,tabela_registros[TIPO],DADOS!$AJ$4,tabela_registros[CATEGORIA],reservavariáveisconsolidadoabr[[#This Row],[ATUAL]])</f>
        <v>0</v>
      </c>
      <c r="L196" s="91">
        <f>SUMIFS(tabela_registros[VALOR],tabela_registros[MÊS],$AE$1,tabela_registros[DIA],reservavariáveisconsolidadoabr[[#Headers],[8]],tabela_registros[REGISTRO],DADOS!$N$6,tabela_registros[TIPO],DADOS!$AJ$4,tabela_registros[CATEGORIA],reservavariáveisconsolidadoabr[[#This Row],[ATUAL]])</f>
        <v>0</v>
      </c>
      <c r="M196" s="91">
        <f>SUMIFS(tabela_registros[VALOR],tabela_registros[MÊS],$AE$1,tabela_registros[DIA],reservavariáveisconsolidadoabr[[#Headers],[9]],tabela_registros[REGISTRO],DADOS!$N$6,tabela_registros[TIPO],DADOS!$AJ$4,tabela_registros[CATEGORIA],reservavariáveisconsolidadoabr[[#This Row],[ATUAL]])</f>
        <v>0</v>
      </c>
      <c r="N196" s="91">
        <f>SUMIFS(tabela_registros[VALOR],tabela_registros[MÊS],$AE$1,tabela_registros[DIA],reservavariáveisconsolidadoabr[[#Headers],[10]],tabela_registros[REGISTRO],DADOS!$N$6,tabela_registros[TIPO],DADOS!$AJ$4,tabela_registros[CATEGORIA],reservavariáveisconsolidadoabr[[#This Row],[ATUAL]])</f>
        <v>0</v>
      </c>
      <c r="O196" s="91">
        <f>SUMIFS(tabela_registros[VALOR],tabela_registros[MÊS],$AE$1,tabela_registros[DIA],reservavariáveisconsolidadoabr[[#Headers],[11]],tabela_registros[REGISTRO],DADOS!$N$6,tabela_registros[TIPO],DADOS!$AJ$4,tabela_registros[CATEGORIA],reservavariáveisconsolidadoabr[[#This Row],[ATUAL]])</f>
        <v>0</v>
      </c>
      <c r="P196" s="91">
        <f>SUMIFS(tabela_registros[VALOR],tabela_registros[MÊS],$AE$1,tabela_registros[DIA],reservavariáveisconsolidadoabr[[#Headers],[12]],tabela_registros[REGISTRO],DADOS!$N$6,tabela_registros[TIPO],DADOS!$AJ$4,tabela_registros[CATEGORIA],reservavariáveisconsolidadoabr[[#This Row],[ATUAL]])</f>
        <v>0</v>
      </c>
      <c r="Q196" s="91">
        <f>SUMIFS(tabela_registros[VALOR],tabela_registros[MÊS],$AE$1,tabela_registros[DIA],reservavariáveisconsolidadoabr[[#Headers],[13]],tabela_registros[REGISTRO],DADOS!$N$6,tabela_registros[TIPO],DADOS!$AJ$4,tabela_registros[CATEGORIA],reservavariáveisconsolidadoabr[[#This Row],[ATUAL]])</f>
        <v>0</v>
      </c>
      <c r="R196" s="91">
        <f>SUMIFS(tabela_registros[VALOR],tabela_registros[MÊS],$AE$1,tabela_registros[DIA],reservavariáveisconsolidadoabr[[#Headers],[14]],tabela_registros[REGISTRO],DADOS!$N$6,tabela_registros[TIPO],DADOS!$AJ$4,tabela_registros[CATEGORIA],reservavariáveisconsolidadoabr[[#This Row],[ATUAL]])</f>
        <v>0</v>
      </c>
      <c r="S196" s="91">
        <f>SUMIFS(tabela_registros[VALOR],tabela_registros[MÊS],$AE$1,tabela_registros[DIA],reservavariáveisconsolidadoabr[[#Headers],[15]],tabela_registros[REGISTRO],DADOS!$N$6,tabela_registros[TIPO],DADOS!$AJ$4,tabela_registros[CATEGORIA],reservavariáveisconsolidadoabr[[#This Row],[ATUAL]])</f>
        <v>0</v>
      </c>
      <c r="T196" s="91">
        <f>SUMIFS(tabela_registros[VALOR],tabela_registros[MÊS],$AE$1,tabela_registros[DIA],reservavariáveisconsolidadoabr[[#Headers],[16]],tabela_registros[REGISTRO],DADOS!$N$6,tabela_registros[TIPO],DADOS!$AJ$4,tabela_registros[CATEGORIA],reservavariáveisconsolidadoabr[[#This Row],[ATUAL]])</f>
        <v>0</v>
      </c>
      <c r="U196" s="91">
        <f>SUMIFS(tabela_registros[VALOR],tabela_registros[MÊS],$AE$1,tabela_registros[DIA],reservavariáveisconsolidadoabr[[#Headers],[17]],tabela_registros[REGISTRO],DADOS!$N$6,tabela_registros[TIPO],DADOS!$AJ$4,tabela_registros[CATEGORIA],reservavariáveisconsolidadoabr[[#This Row],[ATUAL]])</f>
        <v>0</v>
      </c>
      <c r="V196" s="91">
        <f>SUMIFS(tabela_registros[VALOR],tabela_registros[MÊS],$AE$1,tabela_registros[DIA],reservavariáveisconsolidadoabr[[#Headers],[18]],tabela_registros[REGISTRO],DADOS!$N$6,tabela_registros[TIPO],DADOS!$AJ$4,tabela_registros[CATEGORIA],reservavariáveisconsolidadoabr[[#This Row],[ATUAL]])</f>
        <v>0</v>
      </c>
      <c r="W196" s="91">
        <f>SUMIFS(tabela_registros[VALOR],tabela_registros[MÊS],$AE$1,tabela_registros[DIA],reservavariáveisconsolidadoabr[[#Headers],[19]],tabela_registros[REGISTRO],DADOS!$N$6,tabela_registros[TIPO],DADOS!$AJ$4,tabela_registros[CATEGORIA],reservavariáveisconsolidadoabr[[#This Row],[ATUAL]])</f>
        <v>0</v>
      </c>
      <c r="X196" s="91">
        <f>SUMIFS(tabela_registros[VALOR],tabela_registros[MÊS],$AE$1,tabela_registros[DIA],reservavariáveisconsolidadoabr[[#Headers],[20]],tabela_registros[REGISTRO],DADOS!$N$6,tabela_registros[TIPO],DADOS!$AJ$4,tabela_registros[CATEGORIA],reservavariáveisconsolidadoabr[[#This Row],[ATUAL]])</f>
        <v>0</v>
      </c>
      <c r="Y196" s="91">
        <f>SUMIFS(tabela_registros[VALOR],tabela_registros[MÊS],$AE$1,tabela_registros[DIA],reservavariáveisconsolidadoabr[[#Headers],[21]],tabela_registros[REGISTRO],DADOS!$N$6,tabela_registros[TIPO],DADOS!$AJ$4,tabela_registros[CATEGORIA],reservavariáveisconsolidadoabr[[#This Row],[ATUAL]])</f>
        <v>0</v>
      </c>
      <c r="Z196" s="91">
        <f>SUMIFS(tabela_registros[VALOR],tabela_registros[MÊS],$AE$1,tabela_registros[DIA],reservavariáveisconsolidadoabr[[#Headers],[22]],tabela_registros[REGISTRO],DADOS!$N$6,tabela_registros[TIPO],DADOS!$AJ$4,tabela_registros[CATEGORIA],reservavariáveisconsolidadoabr[[#This Row],[ATUAL]])</f>
        <v>0</v>
      </c>
      <c r="AA196" s="91">
        <f>SUMIFS(tabela_registros[VALOR],tabela_registros[MÊS],$AE$1,tabela_registros[DIA],reservavariáveisconsolidadoabr[[#Headers],[23]],tabela_registros[REGISTRO],DADOS!$N$6,tabela_registros[TIPO],DADOS!$AJ$4,tabela_registros[CATEGORIA],reservavariáveisconsolidadoabr[[#This Row],[ATUAL]])</f>
        <v>0</v>
      </c>
      <c r="AB196" s="91">
        <f>SUMIFS(tabela_registros[VALOR],tabela_registros[MÊS],$AE$1,tabela_registros[DIA],reservavariáveisconsolidadoabr[[#Headers],[24]],tabela_registros[REGISTRO],DADOS!$N$6,tabela_registros[TIPO],DADOS!$AJ$4,tabela_registros[CATEGORIA],reservavariáveisconsolidadoabr[[#This Row],[ATUAL]])</f>
        <v>0</v>
      </c>
      <c r="AC196" s="91">
        <f>SUMIFS(tabela_registros[VALOR],tabela_registros[MÊS],$AE$1,tabela_registros[DIA],reservavariáveisconsolidadoabr[[#Headers],[25]],tabela_registros[REGISTRO],DADOS!$N$6,tabela_registros[TIPO],DADOS!$AJ$4,tabela_registros[CATEGORIA],reservavariáveisconsolidadoabr[[#This Row],[ATUAL]])</f>
        <v>0</v>
      </c>
      <c r="AD196" s="91">
        <f>SUMIFS(tabela_registros[VALOR],tabela_registros[MÊS],$AE$1,tabela_registros[DIA],reservavariáveisconsolidadoabr[[#Headers],[26]],tabela_registros[REGISTRO],DADOS!$N$6,tabela_registros[TIPO],DADOS!$AJ$4,tabela_registros[CATEGORIA],reservavariáveisconsolidadoabr[[#This Row],[ATUAL]])</f>
        <v>0</v>
      </c>
      <c r="AE196" s="91">
        <f>SUMIFS(tabela_registros[VALOR],tabela_registros[MÊS],$AE$1,tabela_registros[DIA],reservavariáveisconsolidadoabr[[#Headers],[27]],tabela_registros[REGISTRO],DADOS!$N$6,tabela_registros[TIPO],DADOS!$AJ$4,tabela_registros[CATEGORIA],reservavariáveisconsolidadoabr[[#This Row],[ATUAL]])</f>
        <v>0</v>
      </c>
      <c r="AF196" s="91">
        <f>SUMIFS(tabela_registros[VALOR],tabela_registros[MÊS],$AE$1,tabela_registros[DIA],reservavariáveisconsolidadoabr[[#Headers],[28]],tabela_registros[REGISTRO],DADOS!$N$6,tabela_registros[TIPO],DADOS!$AJ$4,tabela_registros[CATEGORIA],reservavariáveisconsolidadoabr[[#This Row],[ATUAL]])</f>
        <v>0</v>
      </c>
      <c r="AG196" s="91">
        <f>SUMIFS(tabela_registros[VALOR],tabela_registros[MÊS],$AE$1,tabela_registros[DIA],reservavariáveisconsolidadoabr[[#Headers],[29]],tabela_registros[REGISTRO],DADOS!$N$6,tabela_registros[TIPO],DADOS!$AJ$4,tabela_registros[CATEGORIA],reservavariáveisconsolidadoabr[[#This Row],[ATUAL]])</f>
        <v>0</v>
      </c>
      <c r="AH196" s="91">
        <f>SUMIFS(tabela_registros[VALOR],tabela_registros[MÊS],$AE$1,tabela_registros[DIA],reservavariáveisconsolidadoabr[[#Headers],[30]],tabela_registros[REGISTRO],DADOS!$N$6,tabela_registros[TIPO],DADOS!$AJ$4,tabela_registros[CATEGORIA],reservavariáveisconsolidadoabr[[#This Row],[ATUAL]])</f>
        <v>0</v>
      </c>
      <c r="AI196" s="102">
        <f>SUMIFS(tabela_registros[VALOR],tabela_registros[MÊS],$AE$1,tabela_registros[DIA],reservavariáveisconsolidadoabr[[#Headers],[31]],tabela_registros[REGISTRO],DADOS!$N$6,tabela_registros[TIPO],DADOS!$AJ$4,tabela_registros[CATEGORIA],reservavariáveisconsolidadoabr[[#This Row],[ATUAL]])</f>
        <v>0</v>
      </c>
      <c r="AJ196" s="97">
        <f>SUM(reservavariáveisconsolidadoabr[[#This Row],[1]:[31]])</f>
        <v>0</v>
      </c>
      <c r="AK196" s="25"/>
    </row>
    <row r="197" spans="2:37" s="16" customFormat="1" ht="21" customHeight="1" thickTop="1" thickBot="1" x14ac:dyDescent="0.35">
      <c r="B197" s="24"/>
      <c r="C197" s="23" t="s">
        <v>19</v>
      </c>
      <c r="D197" s="22"/>
      <c r="E197" s="21">
        <f>SUM(E187:E196)</f>
        <v>0</v>
      </c>
      <c r="F197" s="20">
        <f>SUM(F187:F196)+reservavariáveisconsolidadoabr[[#This Row],[1]]</f>
        <v>0</v>
      </c>
      <c r="G197" s="20">
        <f>SUM(G187:G196)+reservavariáveisconsolidadoabr[[#This Row],[2]]</f>
        <v>0</v>
      </c>
      <c r="H197" s="20">
        <f>SUM(H187:H196)+reservavariáveisconsolidadoabr[[#This Row],[3]]</f>
        <v>0</v>
      </c>
      <c r="I197" s="20">
        <f>SUM(I187:I196)+reservavariáveisconsolidadoabr[[#This Row],[4]]</f>
        <v>0</v>
      </c>
      <c r="J197" s="20">
        <f>SUM(J187:J196)+reservavariáveisconsolidadoabr[[#This Row],[5]]</f>
        <v>0</v>
      </c>
      <c r="K197" s="20">
        <f>SUM(K187:K196)+reservavariáveisconsolidadoabr[[#This Row],[6]]</f>
        <v>0</v>
      </c>
      <c r="L197" s="20">
        <f>SUM(L187:L196)+reservavariáveisconsolidadoabr[[#This Row],[7]]</f>
        <v>0</v>
      </c>
      <c r="M197" s="20">
        <f>SUM(M187:M196)+reservavariáveisconsolidadoabr[[#This Row],[8]]</f>
        <v>0</v>
      </c>
      <c r="N197" s="20">
        <f>SUM(N187:N196)+reservavariáveisconsolidadoabr[[#This Row],[9]]</f>
        <v>0</v>
      </c>
      <c r="O197" s="20">
        <f>SUM(O187:O196)+reservavariáveisconsolidadoabr[[#This Row],[10]]</f>
        <v>0</v>
      </c>
      <c r="P197" s="20">
        <f>SUM(P187:P196)+reservavariáveisconsolidadoabr[[#This Row],[11]]</f>
        <v>0</v>
      </c>
      <c r="Q197" s="20">
        <f>SUM(Q187:Q196)+reservavariáveisconsolidadoabr[[#This Row],[12]]</f>
        <v>0</v>
      </c>
      <c r="R197" s="20">
        <f>SUM(R187:R196)+reservavariáveisconsolidadoabr[[#This Row],[13]]</f>
        <v>0</v>
      </c>
      <c r="S197" s="20">
        <f>SUM(S187:S196)+reservavariáveisconsolidadoabr[[#This Row],[14]]</f>
        <v>0</v>
      </c>
      <c r="T197" s="20">
        <f>SUM(T187:T196)+reservavariáveisconsolidadoabr[[#This Row],[15]]</f>
        <v>0</v>
      </c>
      <c r="U197" s="20">
        <f>SUM(U187:U196)+reservavariáveisconsolidadoabr[[#This Row],[16]]</f>
        <v>0</v>
      </c>
      <c r="V197" s="20">
        <f>SUM(V187:V196)+reservavariáveisconsolidadoabr[[#This Row],[17]]</f>
        <v>0</v>
      </c>
      <c r="W197" s="20">
        <f>SUM(W187:W196)+reservavariáveisconsolidadoabr[[#This Row],[18]]</f>
        <v>0</v>
      </c>
      <c r="X197" s="20">
        <f>SUM(X187:X196)+reservavariáveisconsolidadoabr[[#This Row],[19]]</f>
        <v>0</v>
      </c>
      <c r="Y197" s="20">
        <f>SUM(Y187:Y196)+reservavariáveisconsolidadoabr[[#This Row],[20]]</f>
        <v>0</v>
      </c>
      <c r="Z197" s="20">
        <f>SUM(Z187:Z196)+reservavariáveisconsolidadoabr[[#This Row],[21]]</f>
        <v>0</v>
      </c>
      <c r="AA197" s="20">
        <f>SUM(AA187:AA196)+reservavariáveisconsolidadoabr[[#This Row],[22]]</f>
        <v>0</v>
      </c>
      <c r="AB197" s="20">
        <f>SUM(AB187:AB196)+reservavariáveisconsolidadoabr[[#This Row],[23]]</f>
        <v>0</v>
      </c>
      <c r="AC197" s="20">
        <f>SUM(AC187:AC196)+reservavariáveisconsolidadoabr[[#This Row],[24]]</f>
        <v>0</v>
      </c>
      <c r="AD197" s="20">
        <f>SUM(AD187:AD196)+reservavariáveisconsolidadoabr[[#This Row],[25]]</f>
        <v>0</v>
      </c>
      <c r="AE197" s="20">
        <f>SUM(AE187:AE196)+reservavariáveisconsolidadoabr[[#This Row],[26]]</f>
        <v>0</v>
      </c>
      <c r="AF197" s="20">
        <f>SUM(AF187:AF196)+reservavariáveisconsolidadoabr[[#This Row],[27]]</f>
        <v>0</v>
      </c>
      <c r="AG197" s="20">
        <f>SUM(AG187:AG196)+reservavariáveisconsolidadoabr[[#This Row],[28]]</f>
        <v>0</v>
      </c>
      <c r="AH197" s="20">
        <f>SUM(AH187:AH196)+reservavariáveisconsolidadoabr[[#This Row],[29]]</f>
        <v>0</v>
      </c>
      <c r="AI197" s="19">
        <f>SUM(AI187:AI196)+reservavariáveisconsolidadoabr[[#This Row],[30]]</f>
        <v>0</v>
      </c>
      <c r="AJ197" s="18">
        <f>reservavariáveisconsolidadoabr[[#This Row],[31]]</f>
        <v>0</v>
      </c>
      <c r="AK197" s="17"/>
    </row>
    <row r="198" spans="2:37" ht="6.75" customHeight="1" thickTop="1" thickBot="1" x14ac:dyDescent="0.3">
      <c r="B198" s="15"/>
      <c r="C198" s="14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  <c r="AC198" s="13"/>
      <c r="AD198" s="13"/>
      <c r="AE198" s="13"/>
      <c r="AF198" s="13"/>
      <c r="AG198" s="13"/>
      <c r="AH198" s="13"/>
      <c r="AI198" s="12"/>
      <c r="AJ198" s="11"/>
      <c r="AK198" s="10"/>
    </row>
    <row r="199" spans="2:37" ht="12.6" thickTop="1" x14ac:dyDescent="0.25">
      <c r="E199" s="37"/>
      <c r="AI199" s="4"/>
    </row>
    <row r="200" spans="2:37" x14ac:dyDescent="0.25">
      <c r="AI200" s="4"/>
    </row>
    <row r="201" spans="2:37" x14ac:dyDescent="0.25">
      <c r="AI201" s="4"/>
    </row>
    <row r="202" spans="2:37" ht="39.75" customHeight="1" x14ac:dyDescent="0.7">
      <c r="C202" s="36"/>
      <c r="E202" s="240"/>
      <c r="F202" s="240"/>
      <c r="G202" s="240"/>
      <c r="H202" s="240"/>
      <c r="I202" s="240"/>
      <c r="J202" s="240"/>
      <c r="K202" s="240"/>
      <c r="L202" s="240"/>
      <c r="M202" s="240"/>
      <c r="N202" s="240"/>
      <c r="O202" s="240"/>
      <c r="P202" s="240"/>
      <c r="Q202" s="240"/>
      <c r="R202" s="240"/>
      <c r="S202" s="240"/>
      <c r="T202" s="240"/>
      <c r="U202" s="240"/>
      <c r="V202" s="240"/>
      <c r="W202" s="240"/>
      <c r="X202" s="240"/>
      <c r="Y202" s="240"/>
      <c r="Z202" s="240"/>
      <c r="AA202" s="240"/>
      <c r="AB202" s="240"/>
      <c r="AC202" s="240"/>
      <c r="AD202" s="240"/>
      <c r="AE202" s="240"/>
      <c r="AF202" s="240"/>
      <c r="AG202" s="240"/>
      <c r="AH202" s="240"/>
      <c r="AI202" s="240"/>
      <c r="AJ202" s="32" t="s">
        <v>19</v>
      </c>
    </row>
    <row r="203" spans="2:37" ht="12.6" thickBot="1" x14ac:dyDescent="0.3">
      <c r="B203" s="35"/>
      <c r="AI203" s="4"/>
      <c r="AJ203" s="34" t="s">
        <v>202</v>
      </c>
    </row>
    <row r="204" spans="2:37" ht="6.75" customHeight="1" thickTop="1" thickBot="1" x14ac:dyDescent="0.3">
      <c r="B204" s="2"/>
      <c r="C204" s="14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3"/>
      <c r="AD204" s="13"/>
      <c r="AE204" s="13"/>
      <c r="AF204" s="13"/>
      <c r="AG204" s="13"/>
      <c r="AH204" s="13"/>
      <c r="AI204" s="13"/>
      <c r="AJ204" s="12"/>
      <c r="AK204" s="33"/>
    </row>
    <row r="205" spans="2:37" ht="13.2" hidden="1" thickTop="1" thickBot="1" x14ac:dyDescent="0.3">
      <c r="B205" s="2"/>
      <c r="C205" s="31" t="s">
        <v>199</v>
      </c>
      <c r="D205" s="30" t="s">
        <v>198</v>
      </c>
      <c r="E205" s="30" t="s">
        <v>197</v>
      </c>
      <c r="F205" s="30" t="s">
        <v>196</v>
      </c>
      <c r="G205" s="30" t="s">
        <v>195</v>
      </c>
      <c r="H205" s="30" t="s">
        <v>194</v>
      </c>
      <c r="I205" s="30" t="s">
        <v>193</v>
      </c>
      <c r="J205" s="30" t="s">
        <v>192</v>
      </c>
      <c r="K205" s="30" t="s">
        <v>191</v>
      </c>
      <c r="L205" s="30" t="s">
        <v>190</v>
      </c>
      <c r="M205" s="30" t="s">
        <v>189</v>
      </c>
      <c r="N205" s="30" t="s">
        <v>188</v>
      </c>
      <c r="O205" s="30" t="s">
        <v>187</v>
      </c>
      <c r="P205" s="30" t="s">
        <v>186</v>
      </c>
      <c r="Q205" s="30" t="s">
        <v>185</v>
      </c>
      <c r="R205" s="30" t="s">
        <v>184</v>
      </c>
      <c r="S205" s="30" t="s">
        <v>183</v>
      </c>
      <c r="T205" s="30" t="s">
        <v>182</v>
      </c>
      <c r="U205" s="30" t="s">
        <v>181</v>
      </c>
      <c r="V205" s="30" t="s">
        <v>180</v>
      </c>
      <c r="W205" s="30" t="s">
        <v>179</v>
      </c>
      <c r="X205" s="30" t="s">
        <v>178</v>
      </c>
      <c r="Y205" s="30" t="s">
        <v>177</v>
      </c>
      <c r="Z205" s="30" t="s">
        <v>176</v>
      </c>
      <c r="AA205" s="30" t="s">
        <v>175</v>
      </c>
      <c r="AB205" s="30" t="s">
        <v>174</v>
      </c>
      <c r="AC205" s="30" t="s">
        <v>173</v>
      </c>
      <c r="AD205" s="30" t="s">
        <v>172</v>
      </c>
      <c r="AE205" s="30" t="s">
        <v>171</v>
      </c>
      <c r="AF205" s="30" t="s">
        <v>170</v>
      </c>
      <c r="AG205" s="30" t="s">
        <v>169</v>
      </c>
      <c r="AH205" s="30" t="s">
        <v>168</v>
      </c>
      <c r="AI205" s="30" t="s">
        <v>167</v>
      </c>
      <c r="AJ205" s="29" t="s">
        <v>166</v>
      </c>
      <c r="AK205" s="2"/>
    </row>
    <row r="206" spans="2:37" ht="19.5" customHeight="1" thickTop="1" thickBot="1" x14ac:dyDescent="0.3">
      <c r="B206" s="28"/>
      <c r="C206" s="27" t="str">
        <f>DADOS!$AP$3</f>
        <v>📝 COE</v>
      </c>
      <c r="D206" s="26" t="str">
        <f>IF(reservaoutrosconsolidadoabr[[#This Row],[TOTAL (R$)]]=0,"",IF(OR(reservaoutrosconsolidadoabr[[#This Row],[TOTAL (R$)]]=LARGE($AJ$206:$AJ$213,1),reservaoutrosconsolidadoabr[[#This Row],[TOTAL (R$)]]=LARGE($AJ$206:$AJ$213,2)),DADOS!$I$11,""))</f>
        <v/>
      </c>
      <c r="E206" s="96">
        <f>SUMIFS(tabela_registros[VALOR],tabela_registros[MÊS],$AE$1,tabela_registros[DIA],reservaoutrosconsolidadoabr[[#Headers],[1]],tabela_registros[REGISTRO],DADOS!$N$6,tabela_registros[TIPO],DADOS!$AJ$5,tabela_registros[CATEGORIA],reservaoutrosconsolidadoabr[[#This Row],[ATUAL]])</f>
        <v>0</v>
      </c>
      <c r="F206" s="91">
        <f>SUMIFS(tabela_registros[VALOR],tabela_registros[MÊS],$AE$1,tabela_registros[DIA],reservaoutrosconsolidadoabr[[#Headers],[2]],tabela_registros[REGISTRO],DADOS!$N$6,tabela_registros[TIPO],DADOS!$AJ$5,tabela_registros[CATEGORIA],reservaoutrosconsolidadoabr[[#This Row],[ATUAL]])</f>
        <v>0</v>
      </c>
      <c r="G206" s="91">
        <f>SUMIFS(tabela_registros[VALOR],tabela_registros[MÊS],$AE$1,tabela_registros[DIA],reservaoutrosconsolidadoabr[[#Headers],[3]],tabela_registros[REGISTRO],DADOS!$N$6,tabela_registros[TIPO],DADOS!$AJ$5,tabela_registros[CATEGORIA],reservaoutrosconsolidadoabr[[#This Row],[ATUAL]])</f>
        <v>0</v>
      </c>
      <c r="H206" s="91">
        <f>SUMIFS(tabela_registros[VALOR],tabela_registros[MÊS],$AE$1,tabela_registros[DIA],reservaoutrosconsolidadoabr[[#Headers],[4]],tabela_registros[REGISTRO],DADOS!$N$6,tabela_registros[TIPO],DADOS!$AJ$5,tabela_registros[CATEGORIA],reservaoutrosconsolidadoabr[[#This Row],[ATUAL]])</f>
        <v>0</v>
      </c>
      <c r="I206" s="91">
        <f>SUMIFS(tabela_registros[VALOR],tabela_registros[MÊS],$AE$1,tabela_registros[DIA],reservaoutrosconsolidadoabr[[#Headers],[5]],tabela_registros[REGISTRO],DADOS!$N$6,tabela_registros[TIPO],DADOS!$AJ$5,tabela_registros[CATEGORIA],reservaoutrosconsolidadoabr[[#This Row],[ATUAL]])</f>
        <v>0</v>
      </c>
      <c r="J206" s="91">
        <f>SUMIFS(tabela_registros[VALOR],tabela_registros[MÊS],$AE$1,tabela_registros[DIA],reservaoutrosconsolidadoabr[[#Headers],[6]],tabela_registros[REGISTRO],DADOS!$N$6,tabela_registros[TIPO],DADOS!$AJ$5,tabela_registros[CATEGORIA],reservaoutrosconsolidadoabr[[#This Row],[ATUAL]])</f>
        <v>0</v>
      </c>
      <c r="K206" s="91">
        <f>SUMIFS(tabela_registros[VALOR],tabela_registros[MÊS],$AE$1,tabela_registros[DIA],reservaoutrosconsolidadoabr[[#Headers],[7]],tabela_registros[REGISTRO],DADOS!$N$6,tabela_registros[TIPO],DADOS!$AJ$5,tabela_registros[CATEGORIA],reservaoutrosconsolidadoabr[[#This Row],[ATUAL]])</f>
        <v>0</v>
      </c>
      <c r="L206" s="91">
        <f>SUMIFS(tabela_registros[VALOR],tabela_registros[MÊS],$AE$1,tabela_registros[DIA],reservaoutrosconsolidadoabr[[#Headers],[8]],tabela_registros[REGISTRO],DADOS!$N$6,tabela_registros[TIPO],DADOS!$AJ$5,tabela_registros[CATEGORIA],reservaoutrosconsolidadoabr[[#This Row],[ATUAL]])</f>
        <v>0</v>
      </c>
      <c r="M206" s="91">
        <f>SUMIFS(tabela_registros[VALOR],tabela_registros[MÊS],$AE$1,tabela_registros[DIA],reservaoutrosconsolidadoabr[[#Headers],[9]],tabela_registros[REGISTRO],DADOS!$N$6,tabela_registros[TIPO],DADOS!$AJ$5,tabela_registros[CATEGORIA],reservaoutrosconsolidadoabr[[#This Row],[ATUAL]])</f>
        <v>0</v>
      </c>
      <c r="N206" s="91">
        <f>SUMIFS(tabela_registros[VALOR],tabela_registros[MÊS],$AE$1,tabela_registros[DIA],reservaoutrosconsolidadoabr[[#Headers],[10]],tabela_registros[REGISTRO],DADOS!$N$6,tabela_registros[TIPO],DADOS!$AJ$5,tabela_registros[CATEGORIA],reservaoutrosconsolidadoabr[[#This Row],[ATUAL]])</f>
        <v>0</v>
      </c>
      <c r="O206" s="91">
        <f>SUMIFS(tabela_registros[VALOR],tabela_registros[MÊS],$AE$1,tabela_registros[DIA],reservaoutrosconsolidadoabr[[#Headers],[11]],tabela_registros[REGISTRO],DADOS!$N$6,tabela_registros[TIPO],DADOS!$AJ$5,tabela_registros[CATEGORIA],reservaoutrosconsolidadoabr[[#This Row],[ATUAL]])</f>
        <v>0</v>
      </c>
      <c r="P206" s="91">
        <f>SUMIFS(tabela_registros[VALOR],tabela_registros[MÊS],$AE$1,tabela_registros[DIA],reservaoutrosconsolidadoabr[[#Headers],[12]],tabela_registros[REGISTRO],DADOS!$N$6,tabela_registros[TIPO],DADOS!$AJ$5,tabela_registros[CATEGORIA],reservaoutrosconsolidadoabr[[#This Row],[ATUAL]])</f>
        <v>0</v>
      </c>
      <c r="Q206" s="91">
        <f>SUMIFS(tabela_registros[VALOR],tabela_registros[MÊS],$AE$1,tabela_registros[DIA],reservaoutrosconsolidadoabr[[#Headers],[13]],tabela_registros[REGISTRO],DADOS!$N$6,tabela_registros[TIPO],DADOS!$AJ$5,tabela_registros[CATEGORIA],reservaoutrosconsolidadoabr[[#This Row],[ATUAL]])</f>
        <v>0</v>
      </c>
      <c r="R206" s="91">
        <f>SUMIFS(tabela_registros[VALOR],tabela_registros[MÊS],$AE$1,tabela_registros[DIA],reservaoutrosconsolidadoabr[[#Headers],[14]],tabela_registros[REGISTRO],DADOS!$N$6,tabela_registros[TIPO],DADOS!$AJ$5,tabela_registros[CATEGORIA],reservaoutrosconsolidadoabr[[#This Row],[ATUAL]])</f>
        <v>0</v>
      </c>
      <c r="S206" s="91">
        <f>SUMIFS(tabela_registros[VALOR],tabela_registros[MÊS],$AE$1,tabela_registros[DIA],reservaoutrosconsolidadoabr[[#Headers],[15]],tabela_registros[REGISTRO],DADOS!$N$6,tabela_registros[TIPO],DADOS!$AJ$5,tabela_registros[CATEGORIA],reservaoutrosconsolidadoabr[[#This Row],[ATUAL]])</f>
        <v>0</v>
      </c>
      <c r="T206" s="91">
        <f>SUMIFS(tabela_registros[VALOR],tabela_registros[MÊS],$AE$1,tabela_registros[DIA],reservaoutrosconsolidadoabr[[#Headers],[16]],tabela_registros[REGISTRO],DADOS!$N$6,tabela_registros[TIPO],DADOS!$AJ$5,tabela_registros[CATEGORIA],reservaoutrosconsolidadoabr[[#This Row],[ATUAL]])</f>
        <v>0</v>
      </c>
      <c r="U206" s="91">
        <f>SUMIFS(tabela_registros[VALOR],tabela_registros[MÊS],$AE$1,tabela_registros[DIA],reservaoutrosconsolidadoabr[[#Headers],[17]],tabela_registros[REGISTRO],DADOS!$N$6,tabela_registros[TIPO],DADOS!$AJ$5,tabela_registros[CATEGORIA],reservaoutrosconsolidadoabr[[#This Row],[ATUAL]])</f>
        <v>0</v>
      </c>
      <c r="V206" s="91">
        <f>SUMIFS(tabela_registros[VALOR],tabela_registros[MÊS],$AE$1,tabela_registros[DIA],reservaoutrosconsolidadoabr[[#Headers],[18]],tabela_registros[REGISTRO],DADOS!$N$6,tabela_registros[TIPO],DADOS!$AJ$5,tabela_registros[CATEGORIA],reservaoutrosconsolidadoabr[[#This Row],[ATUAL]])</f>
        <v>0</v>
      </c>
      <c r="W206" s="91">
        <f>SUMIFS(tabela_registros[VALOR],tabela_registros[MÊS],$AE$1,tabela_registros[DIA],reservaoutrosconsolidadoabr[[#Headers],[19]],tabela_registros[REGISTRO],DADOS!$N$6,tabela_registros[TIPO],DADOS!$AJ$5,tabela_registros[CATEGORIA],reservaoutrosconsolidadoabr[[#This Row],[ATUAL]])</f>
        <v>0</v>
      </c>
      <c r="X206" s="91">
        <f>SUMIFS(tabela_registros[VALOR],tabela_registros[MÊS],$AE$1,tabela_registros[DIA],reservaoutrosconsolidadoabr[[#Headers],[20]],tabela_registros[REGISTRO],DADOS!$N$6,tabela_registros[TIPO],DADOS!$AJ$5,tabela_registros[CATEGORIA],reservaoutrosconsolidadoabr[[#This Row],[ATUAL]])</f>
        <v>0</v>
      </c>
      <c r="Y206" s="91">
        <f>SUMIFS(tabela_registros[VALOR],tabela_registros[MÊS],$AE$1,tabela_registros[DIA],reservaoutrosconsolidadoabr[[#Headers],[21]],tabela_registros[REGISTRO],DADOS!$N$6,tabela_registros[TIPO],DADOS!$AJ$5,tabela_registros[CATEGORIA],reservaoutrosconsolidadoabr[[#This Row],[ATUAL]])</f>
        <v>0</v>
      </c>
      <c r="Z206" s="91">
        <f>SUMIFS(tabela_registros[VALOR],tabela_registros[MÊS],$AE$1,tabela_registros[DIA],reservaoutrosconsolidadoabr[[#Headers],[22]],tabela_registros[REGISTRO],DADOS!$N$6,tabela_registros[TIPO],DADOS!$AJ$5,tabela_registros[CATEGORIA],reservaoutrosconsolidadoabr[[#This Row],[ATUAL]])</f>
        <v>0</v>
      </c>
      <c r="AA206" s="91">
        <f>SUMIFS(tabela_registros[VALOR],tabela_registros[MÊS],$AE$1,tabela_registros[DIA],reservaoutrosconsolidadoabr[[#Headers],[23]],tabela_registros[REGISTRO],DADOS!$N$6,tabela_registros[TIPO],DADOS!$AJ$5,tabela_registros[CATEGORIA],reservaoutrosconsolidadoabr[[#This Row],[ATUAL]])</f>
        <v>0</v>
      </c>
      <c r="AB206" s="91">
        <f>SUMIFS(tabela_registros[VALOR],tabela_registros[MÊS],$AE$1,tabela_registros[DIA],reservaoutrosconsolidadoabr[[#Headers],[24]],tabela_registros[REGISTRO],DADOS!$N$6,tabela_registros[TIPO],DADOS!$AJ$5,tabela_registros[CATEGORIA],reservaoutrosconsolidadoabr[[#This Row],[ATUAL]])</f>
        <v>0</v>
      </c>
      <c r="AC206" s="91">
        <f>SUMIFS(tabela_registros[VALOR],tabela_registros[MÊS],$AE$1,tabela_registros[DIA],reservaoutrosconsolidadoabr[[#Headers],[25]],tabela_registros[REGISTRO],DADOS!$N$6,tabela_registros[TIPO],DADOS!$AJ$5,tabela_registros[CATEGORIA],reservaoutrosconsolidadoabr[[#This Row],[ATUAL]])</f>
        <v>0</v>
      </c>
      <c r="AD206" s="91">
        <f>SUMIFS(tabela_registros[VALOR],tabela_registros[MÊS],$AE$1,tabela_registros[DIA],reservaoutrosconsolidadoabr[[#Headers],[26]],tabela_registros[REGISTRO],DADOS!$N$6,tabela_registros[TIPO],DADOS!$AJ$5,tabela_registros[CATEGORIA],reservaoutrosconsolidadoabr[[#This Row],[ATUAL]])</f>
        <v>0</v>
      </c>
      <c r="AE206" s="91">
        <f>SUMIFS(tabela_registros[VALOR],tabela_registros[MÊS],$AE$1,tabela_registros[DIA],reservaoutrosconsolidadoabr[[#Headers],[27]],tabela_registros[REGISTRO],DADOS!$N$6,tabela_registros[TIPO],DADOS!$AJ$5,tabela_registros[CATEGORIA],reservaoutrosconsolidadoabr[[#This Row],[ATUAL]])</f>
        <v>0</v>
      </c>
      <c r="AF206" s="91">
        <f>SUMIFS(tabela_registros[VALOR],tabela_registros[MÊS],$AE$1,tabela_registros[DIA],reservaoutrosconsolidadoabr[[#Headers],[28]],tabela_registros[REGISTRO],DADOS!$N$6,tabela_registros[TIPO],DADOS!$AJ$5,tabela_registros[CATEGORIA],reservaoutrosconsolidadoabr[[#This Row],[ATUAL]])</f>
        <v>0</v>
      </c>
      <c r="AG206" s="91">
        <f>SUMIFS(tabela_registros[VALOR],tabela_registros[MÊS],$AE$1,tabela_registros[DIA],reservaoutrosconsolidadoabr[[#Headers],[29]],tabela_registros[REGISTRO],DADOS!$N$6,tabela_registros[TIPO],DADOS!$AJ$5,tabela_registros[CATEGORIA],reservaoutrosconsolidadoabr[[#This Row],[ATUAL]])</f>
        <v>0</v>
      </c>
      <c r="AH206" s="91">
        <f>SUMIFS(tabela_registros[VALOR],tabela_registros[MÊS],$AE$1,tabela_registros[DIA],reservaoutrosconsolidadoabr[[#Headers],[30]],tabela_registros[REGISTRO],DADOS!$N$6,tabela_registros[TIPO],DADOS!$AJ$5,tabela_registros[CATEGORIA],reservaoutrosconsolidadoabr[[#This Row],[ATUAL]])</f>
        <v>0</v>
      </c>
      <c r="AI206" s="101">
        <f>SUMIFS(tabela_registros[VALOR],tabela_registros[MÊS],$AE$1,tabela_registros[DIA],reservaoutrosconsolidadoabr[[#Headers],[31]],tabela_registros[REGISTRO],DADOS!$N$6,tabela_registros[TIPO],DADOS!$AJ$5,tabela_registros[CATEGORIA],reservaoutrosconsolidadoabr[[#This Row],[ATUAL]])</f>
        <v>0</v>
      </c>
      <c r="AJ206" s="97">
        <f>SUM(reservaoutrosconsolidadoabr[[#This Row],[1]:[31]])</f>
        <v>0</v>
      </c>
      <c r="AK206" s="25"/>
    </row>
    <row r="207" spans="2:37" ht="19.5" customHeight="1" thickTop="1" thickBot="1" x14ac:dyDescent="0.3">
      <c r="B207" s="28"/>
      <c r="C207" s="27" t="str">
        <f>DADOS!$AP$4</f>
        <v>📝 FOREX</v>
      </c>
      <c r="D207" s="26" t="str">
        <f>IF(reservaoutrosconsolidadoabr[[#This Row],[TOTAL (R$)]]=0,"",IF(OR(reservaoutrosconsolidadoabr[[#This Row],[TOTAL (R$)]]=LARGE($AJ$206:$AJ$213,1),reservaoutrosconsolidadoabr[[#This Row],[TOTAL (R$)]]=LARGE($AJ$206:$AJ$213,2)),DADOS!$I$11,""))</f>
        <v/>
      </c>
      <c r="E207" s="96">
        <f>SUMIFS(tabela_registros[VALOR],tabela_registros[MÊS],$AE$1,tabela_registros[DIA],reservaoutrosconsolidadoabr[[#Headers],[1]],tabela_registros[REGISTRO],DADOS!$N$6,tabela_registros[TIPO],DADOS!$AJ$5,tabela_registros[CATEGORIA],reservaoutrosconsolidadoabr[[#This Row],[ATUAL]])</f>
        <v>0</v>
      </c>
      <c r="F207" s="91">
        <f>SUMIFS(tabela_registros[VALOR],tabela_registros[MÊS],$AE$1,tabela_registros[DIA],reservaoutrosconsolidadoabr[[#Headers],[2]],tabela_registros[REGISTRO],DADOS!$N$6,tabela_registros[TIPO],DADOS!$AJ$5,tabela_registros[CATEGORIA],reservaoutrosconsolidadoabr[[#This Row],[ATUAL]])</f>
        <v>0</v>
      </c>
      <c r="G207" s="91">
        <f>SUMIFS(tabela_registros[VALOR],tabela_registros[MÊS],$AE$1,tabela_registros[DIA],reservaoutrosconsolidadoabr[[#Headers],[3]],tabela_registros[REGISTRO],DADOS!$N$6,tabela_registros[TIPO],DADOS!$AJ$5,tabela_registros[CATEGORIA],reservaoutrosconsolidadoabr[[#This Row],[ATUAL]])</f>
        <v>0</v>
      </c>
      <c r="H207" s="91">
        <f>SUMIFS(tabela_registros[VALOR],tabela_registros[MÊS],$AE$1,tabela_registros[DIA],reservaoutrosconsolidadoabr[[#Headers],[4]],tabela_registros[REGISTRO],DADOS!$N$6,tabela_registros[TIPO],DADOS!$AJ$5,tabela_registros[CATEGORIA],reservaoutrosconsolidadoabr[[#This Row],[ATUAL]])</f>
        <v>0</v>
      </c>
      <c r="I207" s="91">
        <f>SUMIFS(tabela_registros[VALOR],tabela_registros[MÊS],$AE$1,tabela_registros[DIA],reservaoutrosconsolidadoabr[[#Headers],[5]],tabela_registros[REGISTRO],DADOS!$N$6,tabela_registros[TIPO],DADOS!$AJ$5,tabela_registros[CATEGORIA],reservaoutrosconsolidadoabr[[#This Row],[ATUAL]])</f>
        <v>0</v>
      </c>
      <c r="J207" s="91">
        <f>SUMIFS(tabela_registros[VALOR],tabela_registros[MÊS],$AE$1,tabela_registros[DIA],reservaoutrosconsolidadoabr[[#Headers],[6]],tabela_registros[REGISTRO],DADOS!$N$6,tabela_registros[TIPO],DADOS!$AJ$5,tabela_registros[CATEGORIA],reservaoutrosconsolidadoabr[[#This Row],[ATUAL]])</f>
        <v>0</v>
      </c>
      <c r="K207" s="91">
        <f>SUMIFS(tabela_registros[VALOR],tabela_registros[MÊS],$AE$1,tabela_registros[DIA],reservaoutrosconsolidadoabr[[#Headers],[7]],tabela_registros[REGISTRO],DADOS!$N$6,tabela_registros[TIPO],DADOS!$AJ$5,tabela_registros[CATEGORIA],reservaoutrosconsolidadoabr[[#This Row],[ATUAL]])</f>
        <v>0</v>
      </c>
      <c r="L207" s="91">
        <f>SUMIFS(tabela_registros[VALOR],tabela_registros[MÊS],$AE$1,tabela_registros[DIA],reservaoutrosconsolidadoabr[[#Headers],[8]],tabela_registros[REGISTRO],DADOS!$N$6,tabela_registros[TIPO],DADOS!$AJ$5,tabela_registros[CATEGORIA],reservaoutrosconsolidadoabr[[#This Row],[ATUAL]])</f>
        <v>0</v>
      </c>
      <c r="M207" s="91">
        <f>SUMIFS(tabela_registros[VALOR],tabela_registros[MÊS],$AE$1,tabela_registros[DIA],reservaoutrosconsolidadoabr[[#Headers],[9]],tabela_registros[REGISTRO],DADOS!$N$6,tabela_registros[TIPO],DADOS!$AJ$5,tabela_registros[CATEGORIA],reservaoutrosconsolidadoabr[[#This Row],[ATUAL]])</f>
        <v>0</v>
      </c>
      <c r="N207" s="91">
        <f>SUMIFS(tabela_registros[VALOR],tabela_registros[MÊS],$AE$1,tabela_registros[DIA],reservaoutrosconsolidadoabr[[#Headers],[10]],tabela_registros[REGISTRO],DADOS!$N$6,tabela_registros[TIPO],DADOS!$AJ$5,tabela_registros[CATEGORIA],reservaoutrosconsolidadoabr[[#This Row],[ATUAL]])</f>
        <v>0</v>
      </c>
      <c r="O207" s="91">
        <f>SUMIFS(tabela_registros[VALOR],tabela_registros[MÊS],$AE$1,tabela_registros[DIA],reservaoutrosconsolidadoabr[[#Headers],[11]],tabela_registros[REGISTRO],DADOS!$N$6,tabela_registros[TIPO],DADOS!$AJ$5,tabela_registros[CATEGORIA],reservaoutrosconsolidadoabr[[#This Row],[ATUAL]])</f>
        <v>0</v>
      </c>
      <c r="P207" s="91">
        <f>SUMIFS(tabela_registros[VALOR],tabela_registros[MÊS],$AE$1,tabela_registros[DIA],reservaoutrosconsolidadoabr[[#Headers],[12]],tabela_registros[REGISTRO],DADOS!$N$6,tabela_registros[TIPO],DADOS!$AJ$5,tabela_registros[CATEGORIA],reservaoutrosconsolidadoabr[[#This Row],[ATUAL]])</f>
        <v>0</v>
      </c>
      <c r="Q207" s="91">
        <f>SUMIFS(tabela_registros[VALOR],tabela_registros[MÊS],$AE$1,tabela_registros[DIA],reservaoutrosconsolidadoabr[[#Headers],[13]],tabela_registros[REGISTRO],DADOS!$N$6,tabela_registros[TIPO],DADOS!$AJ$5,tabela_registros[CATEGORIA],reservaoutrosconsolidadoabr[[#This Row],[ATUAL]])</f>
        <v>0</v>
      </c>
      <c r="R207" s="91">
        <f>SUMIFS(tabela_registros[VALOR],tabela_registros[MÊS],$AE$1,tabela_registros[DIA],reservaoutrosconsolidadoabr[[#Headers],[14]],tabela_registros[REGISTRO],DADOS!$N$6,tabela_registros[TIPO],DADOS!$AJ$5,tabela_registros[CATEGORIA],reservaoutrosconsolidadoabr[[#This Row],[ATUAL]])</f>
        <v>0</v>
      </c>
      <c r="S207" s="91">
        <f>SUMIFS(tabela_registros[VALOR],tabela_registros[MÊS],$AE$1,tabela_registros[DIA],reservaoutrosconsolidadoabr[[#Headers],[15]],tabela_registros[REGISTRO],DADOS!$N$6,tabela_registros[TIPO],DADOS!$AJ$5,tabela_registros[CATEGORIA],reservaoutrosconsolidadoabr[[#This Row],[ATUAL]])</f>
        <v>0</v>
      </c>
      <c r="T207" s="91">
        <f>SUMIFS(tabela_registros[VALOR],tabela_registros[MÊS],$AE$1,tabela_registros[DIA],reservaoutrosconsolidadoabr[[#Headers],[16]],tabela_registros[REGISTRO],DADOS!$N$6,tabela_registros[TIPO],DADOS!$AJ$5,tabela_registros[CATEGORIA],reservaoutrosconsolidadoabr[[#This Row],[ATUAL]])</f>
        <v>0</v>
      </c>
      <c r="U207" s="91">
        <f>SUMIFS(tabela_registros[VALOR],tabela_registros[MÊS],$AE$1,tabela_registros[DIA],reservaoutrosconsolidadoabr[[#Headers],[17]],tabela_registros[REGISTRO],DADOS!$N$6,tabela_registros[TIPO],DADOS!$AJ$5,tabela_registros[CATEGORIA],reservaoutrosconsolidadoabr[[#This Row],[ATUAL]])</f>
        <v>0</v>
      </c>
      <c r="V207" s="91">
        <f>SUMIFS(tabela_registros[VALOR],tabela_registros[MÊS],$AE$1,tabela_registros[DIA],reservaoutrosconsolidadoabr[[#Headers],[18]],tabela_registros[REGISTRO],DADOS!$N$6,tabela_registros[TIPO],DADOS!$AJ$5,tabela_registros[CATEGORIA],reservaoutrosconsolidadoabr[[#This Row],[ATUAL]])</f>
        <v>0</v>
      </c>
      <c r="W207" s="91">
        <f>SUMIFS(tabela_registros[VALOR],tabela_registros[MÊS],$AE$1,tabela_registros[DIA],reservaoutrosconsolidadoabr[[#Headers],[19]],tabela_registros[REGISTRO],DADOS!$N$6,tabela_registros[TIPO],DADOS!$AJ$5,tabela_registros[CATEGORIA],reservaoutrosconsolidadoabr[[#This Row],[ATUAL]])</f>
        <v>0</v>
      </c>
      <c r="X207" s="91">
        <f>SUMIFS(tabela_registros[VALOR],tabela_registros[MÊS],$AE$1,tabela_registros[DIA],reservaoutrosconsolidadoabr[[#Headers],[20]],tabela_registros[REGISTRO],DADOS!$N$6,tabela_registros[TIPO],DADOS!$AJ$5,tabela_registros[CATEGORIA],reservaoutrosconsolidadoabr[[#This Row],[ATUAL]])</f>
        <v>0</v>
      </c>
      <c r="Y207" s="91">
        <f>SUMIFS(tabela_registros[VALOR],tabela_registros[MÊS],$AE$1,tabela_registros[DIA],reservaoutrosconsolidadoabr[[#Headers],[21]],tabela_registros[REGISTRO],DADOS!$N$6,tabela_registros[TIPO],DADOS!$AJ$5,tabela_registros[CATEGORIA],reservaoutrosconsolidadoabr[[#This Row],[ATUAL]])</f>
        <v>0</v>
      </c>
      <c r="Z207" s="91">
        <f>SUMIFS(tabela_registros[VALOR],tabela_registros[MÊS],$AE$1,tabela_registros[DIA],reservaoutrosconsolidadoabr[[#Headers],[22]],tabela_registros[REGISTRO],DADOS!$N$6,tabela_registros[TIPO],DADOS!$AJ$5,tabela_registros[CATEGORIA],reservaoutrosconsolidadoabr[[#This Row],[ATUAL]])</f>
        <v>0</v>
      </c>
      <c r="AA207" s="91">
        <f>SUMIFS(tabela_registros[VALOR],tabela_registros[MÊS],$AE$1,tabela_registros[DIA],reservaoutrosconsolidadoabr[[#Headers],[23]],tabela_registros[REGISTRO],DADOS!$N$6,tabela_registros[TIPO],DADOS!$AJ$5,tabela_registros[CATEGORIA],reservaoutrosconsolidadoabr[[#This Row],[ATUAL]])</f>
        <v>0</v>
      </c>
      <c r="AB207" s="91">
        <f>SUMIFS(tabela_registros[VALOR],tabela_registros[MÊS],$AE$1,tabela_registros[DIA],reservaoutrosconsolidadoabr[[#Headers],[24]],tabela_registros[REGISTRO],DADOS!$N$6,tabela_registros[TIPO],DADOS!$AJ$5,tabela_registros[CATEGORIA],reservaoutrosconsolidadoabr[[#This Row],[ATUAL]])</f>
        <v>0</v>
      </c>
      <c r="AC207" s="91">
        <f>SUMIFS(tabela_registros[VALOR],tabela_registros[MÊS],$AE$1,tabela_registros[DIA],reservaoutrosconsolidadoabr[[#Headers],[25]],tabela_registros[REGISTRO],DADOS!$N$6,tabela_registros[TIPO],DADOS!$AJ$5,tabela_registros[CATEGORIA],reservaoutrosconsolidadoabr[[#This Row],[ATUAL]])</f>
        <v>0</v>
      </c>
      <c r="AD207" s="91">
        <f>SUMIFS(tabela_registros[VALOR],tabela_registros[MÊS],$AE$1,tabela_registros[DIA],reservaoutrosconsolidadoabr[[#Headers],[26]],tabela_registros[REGISTRO],DADOS!$N$6,tabela_registros[TIPO],DADOS!$AJ$5,tabela_registros[CATEGORIA],reservaoutrosconsolidadoabr[[#This Row],[ATUAL]])</f>
        <v>0</v>
      </c>
      <c r="AE207" s="91">
        <f>SUMIFS(tabela_registros[VALOR],tabela_registros[MÊS],$AE$1,tabela_registros[DIA],reservaoutrosconsolidadoabr[[#Headers],[27]],tabela_registros[REGISTRO],DADOS!$N$6,tabela_registros[TIPO],DADOS!$AJ$5,tabela_registros[CATEGORIA],reservaoutrosconsolidadoabr[[#This Row],[ATUAL]])</f>
        <v>0</v>
      </c>
      <c r="AF207" s="91">
        <f>SUMIFS(tabela_registros[VALOR],tabela_registros[MÊS],$AE$1,tabela_registros[DIA],reservaoutrosconsolidadoabr[[#Headers],[28]],tabela_registros[REGISTRO],DADOS!$N$6,tabela_registros[TIPO],DADOS!$AJ$5,tabela_registros[CATEGORIA],reservaoutrosconsolidadoabr[[#This Row],[ATUAL]])</f>
        <v>0</v>
      </c>
      <c r="AG207" s="91">
        <f>SUMIFS(tabela_registros[VALOR],tabela_registros[MÊS],$AE$1,tabela_registros[DIA],reservaoutrosconsolidadoabr[[#Headers],[29]],tabela_registros[REGISTRO],DADOS!$N$6,tabela_registros[TIPO],DADOS!$AJ$5,tabela_registros[CATEGORIA],reservaoutrosconsolidadoabr[[#This Row],[ATUAL]])</f>
        <v>0</v>
      </c>
      <c r="AH207" s="91">
        <f>SUMIFS(tabela_registros[VALOR],tabela_registros[MÊS],$AE$1,tabela_registros[DIA],reservaoutrosconsolidadoabr[[#Headers],[30]],tabela_registros[REGISTRO],DADOS!$N$6,tabela_registros[TIPO],DADOS!$AJ$5,tabela_registros[CATEGORIA],reservaoutrosconsolidadoabr[[#This Row],[ATUAL]])</f>
        <v>0</v>
      </c>
      <c r="AI207" s="101">
        <f>SUMIFS(tabela_registros[VALOR],tabela_registros[MÊS],$AE$1,tabela_registros[DIA],reservaoutrosconsolidadoabr[[#Headers],[31]],tabela_registros[REGISTRO],DADOS!$N$6,tabela_registros[TIPO],DADOS!$AJ$5,tabela_registros[CATEGORIA],reservaoutrosconsolidadoabr[[#This Row],[ATUAL]])</f>
        <v>0</v>
      </c>
      <c r="AJ207" s="97">
        <f>SUM(reservaoutrosconsolidadoabr[[#This Row],[1]:[31]])</f>
        <v>0</v>
      </c>
      <c r="AK207" s="25"/>
    </row>
    <row r="208" spans="2:37" ht="19.5" customHeight="1" thickTop="1" thickBot="1" x14ac:dyDescent="0.3">
      <c r="B208" s="28"/>
      <c r="C208" s="27" t="str">
        <f>DADOS!$AP$5</f>
        <v>📝 FUNDO DE INVESTIMENTO</v>
      </c>
      <c r="D208" s="26" t="str">
        <f>IF(reservaoutrosconsolidadoabr[[#This Row],[TOTAL (R$)]]=0,"",IF(OR(reservaoutrosconsolidadoabr[[#This Row],[TOTAL (R$)]]=LARGE($AJ$206:$AJ$213,1),reservaoutrosconsolidadoabr[[#This Row],[TOTAL (R$)]]=LARGE($AJ$206:$AJ$213,2)),DADOS!$I$11,""))</f>
        <v/>
      </c>
      <c r="E208" s="96">
        <f>SUMIFS(tabela_registros[VALOR],tabela_registros[MÊS],$AE$1,tabela_registros[DIA],reservaoutrosconsolidadoabr[[#Headers],[1]],tabela_registros[REGISTRO],DADOS!$N$6,tabela_registros[TIPO],DADOS!$AJ$5,tabela_registros[CATEGORIA],reservaoutrosconsolidadoabr[[#This Row],[ATUAL]])</f>
        <v>0</v>
      </c>
      <c r="F208" s="91">
        <f>SUMIFS(tabela_registros[VALOR],tabela_registros[MÊS],$AE$1,tabela_registros[DIA],reservaoutrosconsolidadoabr[[#Headers],[2]],tabela_registros[REGISTRO],DADOS!$N$6,tabela_registros[TIPO],DADOS!$AJ$5,tabela_registros[CATEGORIA],reservaoutrosconsolidadoabr[[#This Row],[ATUAL]])</f>
        <v>0</v>
      </c>
      <c r="G208" s="91">
        <f>SUMIFS(tabela_registros[VALOR],tabela_registros[MÊS],$AE$1,tabela_registros[DIA],reservaoutrosconsolidadoabr[[#Headers],[3]],tabela_registros[REGISTRO],DADOS!$N$6,tabela_registros[TIPO],DADOS!$AJ$5,tabela_registros[CATEGORIA],reservaoutrosconsolidadoabr[[#This Row],[ATUAL]])</f>
        <v>0</v>
      </c>
      <c r="H208" s="91">
        <f>SUMIFS(tabela_registros[VALOR],tabela_registros[MÊS],$AE$1,tabela_registros[DIA],reservaoutrosconsolidadoabr[[#Headers],[4]],tabela_registros[REGISTRO],DADOS!$N$6,tabela_registros[TIPO],DADOS!$AJ$5,tabela_registros[CATEGORIA],reservaoutrosconsolidadoabr[[#This Row],[ATUAL]])</f>
        <v>0</v>
      </c>
      <c r="I208" s="91">
        <f>SUMIFS(tabela_registros[VALOR],tabela_registros[MÊS],$AE$1,tabela_registros[DIA],reservaoutrosconsolidadoabr[[#Headers],[5]],tabela_registros[REGISTRO],DADOS!$N$6,tabela_registros[TIPO],DADOS!$AJ$5,tabela_registros[CATEGORIA],reservaoutrosconsolidadoabr[[#This Row],[ATUAL]])</f>
        <v>0</v>
      </c>
      <c r="J208" s="91">
        <f>SUMIFS(tabela_registros[VALOR],tabela_registros[MÊS],$AE$1,tabela_registros[DIA],reservaoutrosconsolidadoabr[[#Headers],[6]],tabela_registros[REGISTRO],DADOS!$N$6,tabela_registros[TIPO],DADOS!$AJ$5,tabela_registros[CATEGORIA],reservaoutrosconsolidadoabr[[#This Row],[ATUAL]])</f>
        <v>0</v>
      </c>
      <c r="K208" s="91">
        <f>SUMIFS(tabela_registros[VALOR],tabela_registros[MÊS],$AE$1,tabela_registros[DIA],reservaoutrosconsolidadoabr[[#Headers],[7]],tabela_registros[REGISTRO],DADOS!$N$6,tabela_registros[TIPO],DADOS!$AJ$5,tabela_registros[CATEGORIA],reservaoutrosconsolidadoabr[[#This Row],[ATUAL]])</f>
        <v>0</v>
      </c>
      <c r="L208" s="91">
        <f>SUMIFS(tabela_registros[VALOR],tabela_registros[MÊS],$AE$1,tabela_registros[DIA],reservaoutrosconsolidadoabr[[#Headers],[8]],tabela_registros[REGISTRO],DADOS!$N$6,tabela_registros[TIPO],DADOS!$AJ$5,tabela_registros[CATEGORIA],reservaoutrosconsolidadoabr[[#This Row],[ATUAL]])</f>
        <v>0</v>
      </c>
      <c r="M208" s="91">
        <f>SUMIFS(tabela_registros[VALOR],tabela_registros[MÊS],$AE$1,tabela_registros[DIA],reservaoutrosconsolidadoabr[[#Headers],[9]],tabela_registros[REGISTRO],DADOS!$N$6,tabela_registros[TIPO],DADOS!$AJ$5,tabela_registros[CATEGORIA],reservaoutrosconsolidadoabr[[#This Row],[ATUAL]])</f>
        <v>0</v>
      </c>
      <c r="N208" s="91">
        <f>SUMIFS(tabela_registros[VALOR],tabela_registros[MÊS],$AE$1,tabela_registros[DIA],reservaoutrosconsolidadoabr[[#Headers],[10]],tabela_registros[REGISTRO],DADOS!$N$6,tabela_registros[TIPO],DADOS!$AJ$5,tabela_registros[CATEGORIA],reservaoutrosconsolidadoabr[[#This Row],[ATUAL]])</f>
        <v>0</v>
      </c>
      <c r="O208" s="91">
        <f>SUMIFS(tabela_registros[VALOR],tabela_registros[MÊS],$AE$1,tabela_registros[DIA],reservaoutrosconsolidadoabr[[#Headers],[11]],tabela_registros[REGISTRO],DADOS!$N$6,tabela_registros[TIPO],DADOS!$AJ$5,tabela_registros[CATEGORIA],reservaoutrosconsolidadoabr[[#This Row],[ATUAL]])</f>
        <v>0</v>
      </c>
      <c r="P208" s="91">
        <f>SUMIFS(tabela_registros[VALOR],tabela_registros[MÊS],$AE$1,tabela_registros[DIA],reservaoutrosconsolidadoabr[[#Headers],[12]],tabela_registros[REGISTRO],DADOS!$N$6,tabela_registros[TIPO],DADOS!$AJ$5,tabela_registros[CATEGORIA],reservaoutrosconsolidadoabr[[#This Row],[ATUAL]])</f>
        <v>0</v>
      </c>
      <c r="Q208" s="91">
        <f>SUMIFS(tabela_registros[VALOR],tabela_registros[MÊS],$AE$1,tabela_registros[DIA],reservaoutrosconsolidadoabr[[#Headers],[13]],tabela_registros[REGISTRO],DADOS!$N$6,tabela_registros[TIPO],DADOS!$AJ$5,tabela_registros[CATEGORIA],reservaoutrosconsolidadoabr[[#This Row],[ATUAL]])</f>
        <v>0</v>
      </c>
      <c r="R208" s="91">
        <f>SUMIFS(tabela_registros[VALOR],tabela_registros[MÊS],$AE$1,tabela_registros[DIA],reservaoutrosconsolidadoabr[[#Headers],[14]],tabela_registros[REGISTRO],DADOS!$N$6,tabela_registros[TIPO],DADOS!$AJ$5,tabela_registros[CATEGORIA],reservaoutrosconsolidadoabr[[#This Row],[ATUAL]])</f>
        <v>0</v>
      </c>
      <c r="S208" s="91">
        <f>SUMIFS(tabela_registros[VALOR],tabela_registros[MÊS],$AE$1,tabela_registros[DIA],reservaoutrosconsolidadoabr[[#Headers],[15]],tabela_registros[REGISTRO],DADOS!$N$6,tabela_registros[TIPO],DADOS!$AJ$5,tabela_registros[CATEGORIA],reservaoutrosconsolidadoabr[[#This Row],[ATUAL]])</f>
        <v>0</v>
      </c>
      <c r="T208" s="91">
        <f>SUMIFS(tabela_registros[VALOR],tabela_registros[MÊS],$AE$1,tabela_registros[DIA],reservaoutrosconsolidadoabr[[#Headers],[16]],tabela_registros[REGISTRO],DADOS!$N$6,tabela_registros[TIPO],DADOS!$AJ$5,tabela_registros[CATEGORIA],reservaoutrosconsolidadoabr[[#This Row],[ATUAL]])</f>
        <v>0</v>
      </c>
      <c r="U208" s="91">
        <f>SUMIFS(tabela_registros[VALOR],tabela_registros[MÊS],$AE$1,tabela_registros[DIA],reservaoutrosconsolidadoabr[[#Headers],[17]],tabela_registros[REGISTRO],DADOS!$N$6,tabela_registros[TIPO],DADOS!$AJ$5,tabela_registros[CATEGORIA],reservaoutrosconsolidadoabr[[#This Row],[ATUAL]])</f>
        <v>0</v>
      </c>
      <c r="V208" s="91">
        <f>SUMIFS(tabela_registros[VALOR],tabela_registros[MÊS],$AE$1,tabela_registros[DIA],reservaoutrosconsolidadoabr[[#Headers],[18]],tabela_registros[REGISTRO],DADOS!$N$6,tabela_registros[TIPO],DADOS!$AJ$5,tabela_registros[CATEGORIA],reservaoutrosconsolidadoabr[[#This Row],[ATUAL]])</f>
        <v>0</v>
      </c>
      <c r="W208" s="91">
        <f>SUMIFS(tabela_registros[VALOR],tabela_registros[MÊS],$AE$1,tabela_registros[DIA],reservaoutrosconsolidadoabr[[#Headers],[19]],tabela_registros[REGISTRO],DADOS!$N$6,tabela_registros[TIPO],DADOS!$AJ$5,tabela_registros[CATEGORIA],reservaoutrosconsolidadoabr[[#This Row],[ATUAL]])</f>
        <v>0</v>
      </c>
      <c r="X208" s="91">
        <f>SUMIFS(tabela_registros[VALOR],tabela_registros[MÊS],$AE$1,tabela_registros[DIA],reservaoutrosconsolidadoabr[[#Headers],[20]],tabela_registros[REGISTRO],DADOS!$N$6,tabela_registros[TIPO],DADOS!$AJ$5,tabela_registros[CATEGORIA],reservaoutrosconsolidadoabr[[#This Row],[ATUAL]])</f>
        <v>0</v>
      </c>
      <c r="Y208" s="91">
        <f>SUMIFS(tabela_registros[VALOR],tabela_registros[MÊS],$AE$1,tabela_registros[DIA],reservaoutrosconsolidadoabr[[#Headers],[21]],tabela_registros[REGISTRO],DADOS!$N$6,tabela_registros[TIPO],DADOS!$AJ$5,tabela_registros[CATEGORIA],reservaoutrosconsolidadoabr[[#This Row],[ATUAL]])</f>
        <v>0</v>
      </c>
      <c r="Z208" s="91">
        <f>SUMIFS(tabela_registros[VALOR],tabela_registros[MÊS],$AE$1,tabela_registros[DIA],reservaoutrosconsolidadoabr[[#Headers],[22]],tabela_registros[REGISTRO],DADOS!$N$6,tabela_registros[TIPO],DADOS!$AJ$5,tabela_registros[CATEGORIA],reservaoutrosconsolidadoabr[[#This Row],[ATUAL]])</f>
        <v>0</v>
      </c>
      <c r="AA208" s="91">
        <f>SUMIFS(tabela_registros[VALOR],tabela_registros[MÊS],$AE$1,tabela_registros[DIA],reservaoutrosconsolidadoabr[[#Headers],[23]],tabela_registros[REGISTRO],DADOS!$N$6,tabela_registros[TIPO],DADOS!$AJ$5,tabela_registros[CATEGORIA],reservaoutrosconsolidadoabr[[#This Row],[ATUAL]])</f>
        <v>0</v>
      </c>
      <c r="AB208" s="91">
        <f>SUMIFS(tabela_registros[VALOR],tabela_registros[MÊS],$AE$1,tabela_registros[DIA],reservaoutrosconsolidadoabr[[#Headers],[24]],tabela_registros[REGISTRO],DADOS!$N$6,tabela_registros[TIPO],DADOS!$AJ$5,tabela_registros[CATEGORIA],reservaoutrosconsolidadoabr[[#This Row],[ATUAL]])</f>
        <v>0</v>
      </c>
      <c r="AC208" s="91">
        <f>SUMIFS(tabela_registros[VALOR],tabela_registros[MÊS],$AE$1,tabela_registros[DIA],reservaoutrosconsolidadoabr[[#Headers],[25]],tabela_registros[REGISTRO],DADOS!$N$6,tabela_registros[TIPO],DADOS!$AJ$5,tabela_registros[CATEGORIA],reservaoutrosconsolidadoabr[[#This Row],[ATUAL]])</f>
        <v>0</v>
      </c>
      <c r="AD208" s="91">
        <f>SUMIFS(tabela_registros[VALOR],tabela_registros[MÊS],$AE$1,tabela_registros[DIA],reservaoutrosconsolidadoabr[[#Headers],[26]],tabela_registros[REGISTRO],DADOS!$N$6,tabela_registros[TIPO],DADOS!$AJ$5,tabela_registros[CATEGORIA],reservaoutrosconsolidadoabr[[#This Row],[ATUAL]])</f>
        <v>0</v>
      </c>
      <c r="AE208" s="91">
        <f>SUMIFS(tabela_registros[VALOR],tabela_registros[MÊS],$AE$1,tabela_registros[DIA],reservaoutrosconsolidadoabr[[#Headers],[27]],tabela_registros[REGISTRO],DADOS!$N$6,tabela_registros[TIPO],DADOS!$AJ$5,tabela_registros[CATEGORIA],reservaoutrosconsolidadoabr[[#This Row],[ATUAL]])</f>
        <v>0</v>
      </c>
      <c r="AF208" s="91">
        <f>SUMIFS(tabela_registros[VALOR],tabela_registros[MÊS],$AE$1,tabela_registros[DIA],reservaoutrosconsolidadoabr[[#Headers],[28]],tabela_registros[REGISTRO],DADOS!$N$6,tabela_registros[TIPO],DADOS!$AJ$5,tabela_registros[CATEGORIA],reservaoutrosconsolidadoabr[[#This Row],[ATUAL]])</f>
        <v>0</v>
      </c>
      <c r="AG208" s="91">
        <f>SUMIFS(tabela_registros[VALOR],tabela_registros[MÊS],$AE$1,tabela_registros[DIA],reservaoutrosconsolidadoabr[[#Headers],[29]],tabela_registros[REGISTRO],DADOS!$N$6,tabela_registros[TIPO],DADOS!$AJ$5,tabela_registros[CATEGORIA],reservaoutrosconsolidadoabr[[#This Row],[ATUAL]])</f>
        <v>0</v>
      </c>
      <c r="AH208" s="91">
        <f>SUMIFS(tabela_registros[VALOR],tabela_registros[MÊS],$AE$1,tabela_registros[DIA],reservaoutrosconsolidadoabr[[#Headers],[30]],tabela_registros[REGISTRO],DADOS!$N$6,tabela_registros[TIPO],DADOS!$AJ$5,tabela_registros[CATEGORIA],reservaoutrosconsolidadoabr[[#This Row],[ATUAL]])</f>
        <v>0</v>
      </c>
      <c r="AI208" s="101">
        <f>SUMIFS(tabela_registros[VALOR],tabela_registros[MÊS],$AE$1,tabela_registros[DIA],reservaoutrosconsolidadoabr[[#Headers],[31]],tabela_registros[REGISTRO],DADOS!$N$6,tabela_registros[TIPO],DADOS!$AJ$5,tabela_registros[CATEGORIA],reservaoutrosconsolidadoabr[[#This Row],[ATUAL]])</f>
        <v>0</v>
      </c>
      <c r="AJ208" s="97">
        <f>SUM(reservaoutrosconsolidadoabr[[#This Row],[1]:[31]])</f>
        <v>0</v>
      </c>
      <c r="AK208" s="25"/>
    </row>
    <row r="209" spans="2:37" ht="19.5" customHeight="1" thickTop="1" thickBot="1" x14ac:dyDescent="0.3">
      <c r="B209" s="28"/>
      <c r="C209" s="27" t="str">
        <f>DADOS!$AP$6</f>
        <v>📝 NOVA EMPRESA</v>
      </c>
      <c r="D209" s="26" t="str">
        <f>IF(reservaoutrosconsolidadoabr[[#This Row],[TOTAL (R$)]]=0,"",IF(OR(reservaoutrosconsolidadoabr[[#This Row],[TOTAL (R$)]]=LARGE($AJ$206:$AJ$213,1),reservaoutrosconsolidadoabr[[#This Row],[TOTAL (R$)]]=LARGE($AJ$206:$AJ$213,2)),DADOS!$I$11,""))</f>
        <v/>
      </c>
      <c r="E209" s="96">
        <f>SUMIFS(tabela_registros[VALOR],tabela_registros[MÊS],$AE$1,tabela_registros[DIA],reservaoutrosconsolidadoabr[[#Headers],[1]],tabela_registros[REGISTRO],DADOS!$N$6,tabela_registros[TIPO],DADOS!$AJ$5,tabela_registros[CATEGORIA],reservaoutrosconsolidadoabr[[#This Row],[ATUAL]])</f>
        <v>0</v>
      </c>
      <c r="F209" s="91">
        <f>SUMIFS(tabela_registros[VALOR],tabela_registros[MÊS],$AE$1,tabela_registros[DIA],reservaoutrosconsolidadoabr[[#Headers],[2]],tabela_registros[REGISTRO],DADOS!$N$6,tabela_registros[TIPO],DADOS!$AJ$5,tabela_registros[CATEGORIA],reservaoutrosconsolidadoabr[[#This Row],[ATUAL]])</f>
        <v>0</v>
      </c>
      <c r="G209" s="91">
        <f>SUMIFS(tabela_registros[VALOR],tabela_registros[MÊS],$AE$1,tabela_registros[DIA],reservaoutrosconsolidadoabr[[#Headers],[3]],tabela_registros[REGISTRO],DADOS!$N$6,tabela_registros[TIPO],DADOS!$AJ$5,tabela_registros[CATEGORIA],reservaoutrosconsolidadoabr[[#This Row],[ATUAL]])</f>
        <v>0</v>
      </c>
      <c r="H209" s="91">
        <f>SUMIFS(tabela_registros[VALOR],tabela_registros[MÊS],$AE$1,tabela_registros[DIA],reservaoutrosconsolidadoabr[[#Headers],[4]],tabela_registros[REGISTRO],DADOS!$N$6,tabela_registros[TIPO],DADOS!$AJ$5,tabela_registros[CATEGORIA],reservaoutrosconsolidadoabr[[#This Row],[ATUAL]])</f>
        <v>0</v>
      </c>
      <c r="I209" s="91">
        <f>SUMIFS(tabela_registros[VALOR],tabela_registros[MÊS],$AE$1,tabela_registros[DIA],reservaoutrosconsolidadoabr[[#Headers],[5]],tabela_registros[REGISTRO],DADOS!$N$6,tabela_registros[TIPO],DADOS!$AJ$5,tabela_registros[CATEGORIA],reservaoutrosconsolidadoabr[[#This Row],[ATUAL]])</f>
        <v>0</v>
      </c>
      <c r="J209" s="91">
        <f>SUMIFS(tabela_registros[VALOR],tabela_registros[MÊS],$AE$1,tabela_registros[DIA],reservaoutrosconsolidadoabr[[#Headers],[6]],tabela_registros[REGISTRO],DADOS!$N$6,tabela_registros[TIPO],DADOS!$AJ$5,tabela_registros[CATEGORIA],reservaoutrosconsolidadoabr[[#This Row],[ATUAL]])</f>
        <v>0</v>
      </c>
      <c r="K209" s="91">
        <f>SUMIFS(tabela_registros[VALOR],tabela_registros[MÊS],$AE$1,tabela_registros[DIA],reservaoutrosconsolidadoabr[[#Headers],[7]],tabela_registros[REGISTRO],DADOS!$N$6,tabela_registros[TIPO],DADOS!$AJ$5,tabela_registros[CATEGORIA],reservaoutrosconsolidadoabr[[#This Row],[ATUAL]])</f>
        <v>0</v>
      </c>
      <c r="L209" s="91">
        <f>SUMIFS(tabela_registros[VALOR],tabela_registros[MÊS],$AE$1,tabela_registros[DIA],reservaoutrosconsolidadoabr[[#Headers],[8]],tabela_registros[REGISTRO],DADOS!$N$6,tabela_registros[TIPO],DADOS!$AJ$5,tabela_registros[CATEGORIA],reservaoutrosconsolidadoabr[[#This Row],[ATUAL]])</f>
        <v>0</v>
      </c>
      <c r="M209" s="91">
        <f>SUMIFS(tabela_registros[VALOR],tabela_registros[MÊS],$AE$1,tabela_registros[DIA],reservaoutrosconsolidadoabr[[#Headers],[9]],tabela_registros[REGISTRO],DADOS!$N$6,tabela_registros[TIPO],DADOS!$AJ$5,tabela_registros[CATEGORIA],reservaoutrosconsolidadoabr[[#This Row],[ATUAL]])</f>
        <v>0</v>
      </c>
      <c r="N209" s="91">
        <f>SUMIFS(tabela_registros[VALOR],tabela_registros[MÊS],$AE$1,tabela_registros[DIA],reservaoutrosconsolidadoabr[[#Headers],[10]],tabela_registros[REGISTRO],DADOS!$N$6,tabela_registros[TIPO],DADOS!$AJ$5,tabela_registros[CATEGORIA],reservaoutrosconsolidadoabr[[#This Row],[ATUAL]])</f>
        <v>0</v>
      </c>
      <c r="O209" s="91">
        <f>SUMIFS(tabela_registros[VALOR],tabela_registros[MÊS],$AE$1,tabela_registros[DIA],reservaoutrosconsolidadoabr[[#Headers],[11]],tabela_registros[REGISTRO],DADOS!$N$6,tabela_registros[TIPO],DADOS!$AJ$5,tabela_registros[CATEGORIA],reservaoutrosconsolidadoabr[[#This Row],[ATUAL]])</f>
        <v>0</v>
      </c>
      <c r="P209" s="91">
        <f>SUMIFS(tabela_registros[VALOR],tabela_registros[MÊS],$AE$1,tabela_registros[DIA],reservaoutrosconsolidadoabr[[#Headers],[12]],tabela_registros[REGISTRO],DADOS!$N$6,tabela_registros[TIPO],DADOS!$AJ$5,tabela_registros[CATEGORIA],reservaoutrosconsolidadoabr[[#This Row],[ATUAL]])</f>
        <v>0</v>
      </c>
      <c r="Q209" s="91">
        <f>SUMIFS(tabela_registros[VALOR],tabela_registros[MÊS],$AE$1,tabela_registros[DIA],reservaoutrosconsolidadoabr[[#Headers],[13]],tabela_registros[REGISTRO],DADOS!$N$6,tabela_registros[TIPO],DADOS!$AJ$5,tabela_registros[CATEGORIA],reservaoutrosconsolidadoabr[[#This Row],[ATUAL]])</f>
        <v>0</v>
      </c>
      <c r="R209" s="91">
        <f>SUMIFS(tabela_registros[VALOR],tabela_registros[MÊS],$AE$1,tabela_registros[DIA],reservaoutrosconsolidadoabr[[#Headers],[14]],tabela_registros[REGISTRO],DADOS!$N$6,tabela_registros[TIPO],DADOS!$AJ$5,tabela_registros[CATEGORIA],reservaoutrosconsolidadoabr[[#This Row],[ATUAL]])</f>
        <v>0</v>
      </c>
      <c r="S209" s="91">
        <f>SUMIFS(tabela_registros[VALOR],tabela_registros[MÊS],$AE$1,tabela_registros[DIA],reservaoutrosconsolidadoabr[[#Headers],[15]],tabela_registros[REGISTRO],DADOS!$N$6,tabela_registros[TIPO],DADOS!$AJ$5,tabela_registros[CATEGORIA],reservaoutrosconsolidadoabr[[#This Row],[ATUAL]])</f>
        <v>0</v>
      </c>
      <c r="T209" s="91">
        <f>SUMIFS(tabela_registros[VALOR],tabela_registros[MÊS],$AE$1,tabela_registros[DIA],reservaoutrosconsolidadoabr[[#Headers],[16]],tabela_registros[REGISTRO],DADOS!$N$6,tabela_registros[TIPO],DADOS!$AJ$5,tabela_registros[CATEGORIA],reservaoutrosconsolidadoabr[[#This Row],[ATUAL]])</f>
        <v>0</v>
      </c>
      <c r="U209" s="91">
        <f>SUMIFS(tabela_registros[VALOR],tabela_registros[MÊS],$AE$1,tabela_registros[DIA],reservaoutrosconsolidadoabr[[#Headers],[17]],tabela_registros[REGISTRO],DADOS!$N$6,tabela_registros[TIPO],DADOS!$AJ$5,tabela_registros[CATEGORIA],reservaoutrosconsolidadoabr[[#This Row],[ATUAL]])</f>
        <v>0</v>
      </c>
      <c r="V209" s="91">
        <f>SUMIFS(tabela_registros[VALOR],tabela_registros[MÊS],$AE$1,tabela_registros[DIA],reservaoutrosconsolidadoabr[[#Headers],[18]],tabela_registros[REGISTRO],DADOS!$N$6,tabela_registros[TIPO],DADOS!$AJ$5,tabela_registros[CATEGORIA],reservaoutrosconsolidadoabr[[#This Row],[ATUAL]])</f>
        <v>0</v>
      </c>
      <c r="W209" s="91">
        <f>SUMIFS(tabela_registros[VALOR],tabela_registros[MÊS],$AE$1,tabela_registros[DIA],reservaoutrosconsolidadoabr[[#Headers],[19]],tabela_registros[REGISTRO],DADOS!$N$6,tabela_registros[TIPO],DADOS!$AJ$5,tabela_registros[CATEGORIA],reservaoutrosconsolidadoabr[[#This Row],[ATUAL]])</f>
        <v>0</v>
      </c>
      <c r="X209" s="91">
        <f>SUMIFS(tabela_registros[VALOR],tabela_registros[MÊS],$AE$1,tabela_registros[DIA],reservaoutrosconsolidadoabr[[#Headers],[20]],tabela_registros[REGISTRO],DADOS!$N$6,tabela_registros[TIPO],DADOS!$AJ$5,tabela_registros[CATEGORIA],reservaoutrosconsolidadoabr[[#This Row],[ATUAL]])</f>
        <v>0</v>
      </c>
      <c r="Y209" s="91">
        <f>SUMIFS(tabela_registros[VALOR],tabela_registros[MÊS],$AE$1,tabela_registros[DIA],reservaoutrosconsolidadoabr[[#Headers],[21]],tabela_registros[REGISTRO],DADOS!$N$6,tabela_registros[TIPO],DADOS!$AJ$5,tabela_registros[CATEGORIA],reservaoutrosconsolidadoabr[[#This Row],[ATUAL]])</f>
        <v>0</v>
      </c>
      <c r="Z209" s="91">
        <f>SUMIFS(tabela_registros[VALOR],tabela_registros[MÊS],$AE$1,tabela_registros[DIA],reservaoutrosconsolidadoabr[[#Headers],[22]],tabela_registros[REGISTRO],DADOS!$N$6,tabela_registros[TIPO],DADOS!$AJ$5,tabela_registros[CATEGORIA],reservaoutrosconsolidadoabr[[#This Row],[ATUAL]])</f>
        <v>0</v>
      </c>
      <c r="AA209" s="91">
        <f>SUMIFS(tabela_registros[VALOR],tabela_registros[MÊS],$AE$1,tabela_registros[DIA],reservaoutrosconsolidadoabr[[#Headers],[23]],tabela_registros[REGISTRO],DADOS!$N$6,tabela_registros[TIPO],DADOS!$AJ$5,tabela_registros[CATEGORIA],reservaoutrosconsolidadoabr[[#This Row],[ATUAL]])</f>
        <v>0</v>
      </c>
      <c r="AB209" s="91">
        <f>SUMIFS(tabela_registros[VALOR],tabela_registros[MÊS],$AE$1,tabela_registros[DIA],reservaoutrosconsolidadoabr[[#Headers],[24]],tabela_registros[REGISTRO],DADOS!$N$6,tabela_registros[TIPO],DADOS!$AJ$5,tabela_registros[CATEGORIA],reservaoutrosconsolidadoabr[[#This Row],[ATUAL]])</f>
        <v>0</v>
      </c>
      <c r="AC209" s="91">
        <f>SUMIFS(tabela_registros[VALOR],tabela_registros[MÊS],$AE$1,tabela_registros[DIA],reservaoutrosconsolidadoabr[[#Headers],[25]],tabela_registros[REGISTRO],DADOS!$N$6,tabela_registros[TIPO],DADOS!$AJ$5,tabela_registros[CATEGORIA],reservaoutrosconsolidadoabr[[#This Row],[ATUAL]])</f>
        <v>0</v>
      </c>
      <c r="AD209" s="91">
        <f>SUMIFS(tabela_registros[VALOR],tabela_registros[MÊS],$AE$1,tabela_registros[DIA],reservaoutrosconsolidadoabr[[#Headers],[26]],tabela_registros[REGISTRO],DADOS!$N$6,tabela_registros[TIPO],DADOS!$AJ$5,tabela_registros[CATEGORIA],reservaoutrosconsolidadoabr[[#This Row],[ATUAL]])</f>
        <v>0</v>
      </c>
      <c r="AE209" s="91">
        <f>SUMIFS(tabela_registros[VALOR],tabela_registros[MÊS],$AE$1,tabela_registros[DIA],reservaoutrosconsolidadoabr[[#Headers],[27]],tabela_registros[REGISTRO],DADOS!$N$6,tabela_registros[TIPO],DADOS!$AJ$5,tabela_registros[CATEGORIA],reservaoutrosconsolidadoabr[[#This Row],[ATUAL]])</f>
        <v>0</v>
      </c>
      <c r="AF209" s="91">
        <f>SUMIFS(tabela_registros[VALOR],tabela_registros[MÊS],$AE$1,tabela_registros[DIA],reservaoutrosconsolidadoabr[[#Headers],[28]],tabela_registros[REGISTRO],DADOS!$N$6,tabela_registros[TIPO],DADOS!$AJ$5,tabela_registros[CATEGORIA],reservaoutrosconsolidadoabr[[#This Row],[ATUAL]])</f>
        <v>0</v>
      </c>
      <c r="AG209" s="91">
        <f>SUMIFS(tabela_registros[VALOR],tabela_registros[MÊS],$AE$1,tabela_registros[DIA],reservaoutrosconsolidadoabr[[#Headers],[29]],tabela_registros[REGISTRO],DADOS!$N$6,tabela_registros[TIPO],DADOS!$AJ$5,tabela_registros[CATEGORIA],reservaoutrosconsolidadoabr[[#This Row],[ATUAL]])</f>
        <v>0</v>
      </c>
      <c r="AH209" s="91">
        <f>SUMIFS(tabela_registros[VALOR],tabela_registros[MÊS],$AE$1,tabela_registros[DIA],reservaoutrosconsolidadoabr[[#Headers],[30]],tabela_registros[REGISTRO],DADOS!$N$6,tabela_registros[TIPO],DADOS!$AJ$5,tabela_registros[CATEGORIA],reservaoutrosconsolidadoabr[[#This Row],[ATUAL]])</f>
        <v>0</v>
      </c>
      <c r="AI209" s="101">
        <f>SUMIFS(tabela_registros[VALOR],tabela_registros[MÊS],$AE$1,tabela_registros[DIA],reservaoutrosconsolidadoabr[[#Headers],[31]],tabela_registros[REGISTRO],DADOS!$N$6,tabela_registros[TIPO],DADOS!$AJ$5,tabela_registros[CATEGORIA],reservaoutrosconsolidadoabr[[#This Row],[ATUAL]])</f>
        <v>0</v>
      </c>
      <c r="AJ209" s="97">
        <f>SUM(reservaoutrosconsolidadoabr[[#This Row],[1]:[31]])</f>
        <v>0</v>
      </c>
      <c r="AK209" s="25"/>
    </row>
    <row r="210" spans="2:37" ht="19.5" customHeight="1" thickTop="1" thickBot="1" x14ac:dyDescent="0.3">
      <c r="B210" s="28"/>
      <c r="C210" s="27" t="str">
        <f>DADOS!$AP$7</f>
        <v>📝 PEER TO COMPANY</v>
      </c>
      <c r="D210" s="26" t="str">
        <f>IF(reservaoutrosconsolidadoabr[[#This Row],[TOTAL (R$)]]=0,"",IF(OR(reservaoutrosconsolidadoabr[[#This Row],[TOTAL (R$)]]=LARGE($AJ$206:$AJ$213,1),reservaoutrosconsolidadoabr[[#This Row],[TOTAL (R$)]]=LARGE($AJ$206:$AJ$213,2)),DADOS!$I$11,""))</f>
        <v/>
      </c>
      <c r="E210" s="96">
        <f>SUMIFS(tabela_registros[VALOR],tabela_registros[MÊS],$AE$1,tabela_registros[DIA],reservaoutrosconsolidadoabr[[#Headers],[1]],tabela_registros[REGISTRO],DADOS!$N$6,tabela_registros[TIPO],DADOS!$AJ$5,tabela_registros[CATEGORIA],reservaoutrosconsolidadoabr[[#This Row],[ATUAL]])</f>
        <v>0</v>
      </c>
      <c r="F210" s="91">
        <f>SUMIFS(tabela_registros[VALOR],tabela_registros[MÊS],$AE$1,tabela_registros[DIA],reservaoutrosconsolidadoabr[[#Headers],[2]],tabela_registros[REGISTRO],DADOS!$N$6,tabela_registros[TIPO],DADOS!$AJ$5,tabela_registros[CATEGORIA],reservaoutrosconsolidadoabr[[#This Row],[ATUAL]])</f>
        <v>0</v>
      </c>
      <c r="G210" s="91">
        <f>SUMIFS(tabela_registros[VALOR],tabela_registros[MÊS],$AE$1,tabela_registros[DIA],reservaoutrosconsolidadoabr[[#Headers],[3]],tabela_registros[REGISTRO],DADOS!$N$6,tabela_registros[TIPO],DADOS!$AJ$5,tabela_registros[CATEGORIA],reservaoutrosconsolidadoabr[[#This Row],[ATUAL]])</f>
        <v>0</v>
      </c>
      <c r="H210" s="91">
        <f>SUMIFS(tabela_registros[VALOR],tabela_registros[MÊS],$AE$1,tabela_registros[DIA],reservaoutrosconsolidadoabr[[#Headers],[4]],tabela_registros[REGISTRO],DADOS!$N$6,tabela_registros[TIPO],DADOS!$AJ$5,tabela_registros[CATEGORIA],reservaoutrosconsolidadoabr[[#This Row],[ATUAL]])</f>
        <v>0</v>
      </c>
      <c r="I210" s="91">
        <f>SUMIFS(tabela_registros[VALOR],tabela_registros[MÊS],$AE$1,tabela_registros[DIA],reservaoutrosconsolidadoabr[[#Headers],[5]],tabela_registros[REGISTRO],DADOS!$N$6,tabela_registros[TIPO],DADOS!$AJ$5,tabela_registros[CATEGORIA],reservaoutrosconsolidadoabr[[#This Row],[ATUAL]])</f>
        <v>0</v>
      </c>
      <c r="J210" s="91">
        <f>SUMIFS(tabela_registros[VALOR],tabela_registros[MÊS],$AE$1,tabela_registros[DIA],reservaoutrosconsolidadoabr[[#Headers],[6]],tabela_registros[REGISTRO],DADOS!$N$6,tabela_registros[TIPO],DADOS!$AJ$5,tabela_registros[CATEGORIA],reservaoutrosconsolidadoabr[[#This Row],[ATUAL]])</f>
        <v>0</v>
      </c>
      <c r="K210" s="91">
        <f>SUMIFS(tabela_registros[VALOR],tabela_registros[MÊS],$AE$1,tabela_registros[DIA],reservaoutrosconsolidadoabr[[#Headers],[7]],tabela_registros[REGISTRO],DADOS!$N$6,tabela_registros[TIPO],DADOS!$AJ$5,tabela_registros[CATEGORIA],reservaoutrosconsolidadoabr[[#This Row],[ATUAL]])</f>
        <v>0</v>
      </c>
      <c r="L210" s="91">
        <f>SUMIFS(tabela_registros[VALOR],tabela_registros[MÊS],$AE$1,tabela_registros[DIA],reservaoutrosconsolidadoabr[[#Headers],[8]],tabela_registros[REGISTRO],DADOS!$N$6,tabela_registros[TIPO],DADOS!$AJ$5,tabela_registros[CATEGORIA],reservaoutrosconsolidadoabr[[#This Row],[ATUAL]])</f>
        <v>0</v>
      </c>
      <c r="M210" s="91">
        <f>SUMIFS(tabela_registros[VALOR],tabela_registros[MÊS],$AE$1,tabela_registros[DIA],reservaoutrosconsolidadoabr[[#Headers],[9]],tabela_registros[REGISTRO],DADOS!$N$6,tabela_registros[TIPO],DADOS!$AJ$5,tabela_registros[CATEGORIA],reservaoutrosconsolidadoabr[[#This Row],[ATUAL]])</f>
        <v>0</v>
      </c>
      <c r="N210" s="91">
        <f>SUMIFS(tabela_registros[VALOR],tabela_registros[MÊS],$AE$1,tabela_registros[DIA],reservaoutrosconsolidadoabr[[#Headers],[10]],tabela_registros[REGISTRO],DADOS!$N$6,tabela_registros[TIPO],DADOS!$AJ$5,tabela_registros[CATEGORIA],reservaoutrosconsolidadoabr[[#This Row],[ATUAL]])</f>
        <v>0</v>
      </c>
      <c r="O210" s="91">
        <f>SUMIFS(tabela_registros[VALOR],tabela_registros[MÊS],$AE$1,tabela_registros[DIA],reservaoutrosconsolidadoabr[[#Headers],[11]],tabela_registros[REGISTRO],DADOS!$N$6,tabela_registros[TIPO],DADOS!$AJ$5,tabela_registros[CATEGORIA],reservaoutrosconsolidadoabr[[#This Row],[ATUAL]])</f>
        <v>0</v>
      </c>
      <c r="P210" s="91">
        <f>SUMIFS(tabela_registros[VALOR],tabela_registros[MÊS],$AE$1,tabela_registros[DIA],reservaoutrosconsolidadoabr[[#Headers],[12]],tabela_registros[REGISTRO],DADOS!$N$6,tabela_registros[TIPO],DADOS!$AJ$5,tabela_registros[CATEGORIA],reservaoutrosconsolidadoabr[[#This Row],[ATUAL]])</f>
        <v>0</v>
      </c>
      <c r="Q210" s="91">
        <f>SUMIFS(tabela_registros[VALOR],tabela_registros[MÊS],$AE$1,tabela_registros[DIA],reservaoutrosconsolidadoabr[[#Headers],[13]],tabela_registros[REGISTRO],DADOS!$N$6,tabela_registros[TIPO],DADOS!$AJ$5,tabela_registros[CATEGORIA],reservaoutrosconsolidadoabr[[#This Row],[ATUAL]])</f>
        <v>0</v>
      </c>
      <c r="R210" s="91">
        <f>SUMIFS(tabela_registros[VALOR],tabela_registros[MÊS],$AE$1,tabela_registros[DIA],reservaoutrosconsolidadoabr[[#Headers],[14]],tabela_registros[REGISTRO],DADOS!$N$6,tabela_registros[TIPO],DADOS!$AJ$5,tabela_registros[CATEGORIA],reservaoutrosconsolidadoabr[[#This Row],[ATUAL]])</f>
        <v>0</v>
      </c>
      <c r="S210" s="91">
        <f>SUMIFS(tabela_registros[VALOR],tabela_registros[MÊS],$AE$1,tabela_registros[DIA],reservaoutrosconsolidadoabr[[#Headers],[15]],tabela_registros[REGISTRO],DADOS!$N$6,tabela_registros[TIPO],DADOS!$AJ$5,tabela_registros[CATEGORIA],reservaoutrosconsolidadoabr[[#This Row],[ATUAL]])</f>
        <v>0</v>
      </c>
      <c r="T210" s="91">
        <f>SUMIFS(tabela_registros[VALOR],tabela_registros[MÊS],$AE$1,tabela_registros[DIA],reservaoutrosconsolidadoabr[[#Headers],[16]],tabela_registros[REGISTRO],DADOS!$N$6,tabela_registros[TIPO],DADOS!$AJ$5,tabela_registros[CATEGORIA],reservaoutrosconsolidadoabr[[#This Row],[ATUAL]])</f>
        <v>0</v>
      </c>
      <c r="U210" s="91">
        <f>SUMIFS(tabela_registros[VALOR],tabela_registros[MÊS],$AE$1,tabela_registros[DIA],reservaoutrosconsolidadoabr[[#Headers],[17]],tabela_registros[REGISTRO],DADOS!$N$6,tabela_registros[TIPO],DADOS!$AJ$5,tabela_registros[CATEGORIA],reservaoutrosconsolidadoabr[[#This Row],[ATUAL]])</f>
        <v>0</v>
      </c>
      <c r="V210" s="91">
        <f>SUMIFS(tabela_registros[VALOR],tabela_registros[MÊS],$AE$1,tabela_registros[DIA],reservaoutrosconsolidadoabr[[#Headers],[18]],tabela_registros[REGISTRO],DADOS!$N$6,tabela_registros[TIPO],DADOS!$AJ$5,tabela_registros[CATEGORIA],reservaoutrosconsolidadoabr[[#This Row],[ATUAL]])</f>
        <v>0</v>
      </c>
      <c r="W210" s="91">
        <f>SUMIFS(tabela_registros[VALOR],tabela_registros[MÊS],$AE$1,tabela_registros[DIA],reservaoutrosconsolidadoabr[[#Headers],[19]],tabela_registros[REGISTRO],DADOS!$N$6,tabela_registros[TIPO],DADOS!$AJ$5,tabela_registros[CATEGORIA],reservaoutrosconsolidadoabr[[#This Row],[ATUAL]])</f>
        <v>0</v>
      </c>
      <c r="X210" s="91">
        <f>SUMIFS(tabela_registros[VALOR],tabela_registros[MÊS],$AE$1,tabela_registros[DIA],reservaoutrosconsolidadoabr[[#Headers],[20]],tabela_registros[REGISTRO],DADOS!$N$6,tabela_registros[TIPO],DADOS!$AJ$5,tabela_registros[CATEGORIA],reservaoutrosconsolidadoabr[[#This Row],[ATUAL]])</f>
        <v>0</v>
      </c>
      <c r="Y210" s="91">
        <f>SUMIFS(tabela_registros[VALOR],tabela_registros[MÊS],$AE$1,tabela_registros[DIA],reservaoutrosconsolidadoabr[[#Headers],[21]],tabela_registros[REGISTRO],DADOS!$N$6,tabela_registros[TIPO],DADOS!$AJ$5,tabela_registros[CATEGORIA],reservaoutrosconsolidadoabr[[#This Row],[ATUAL]])</f>
        <v>0</v>
      </c>
      <c r="Z210" s="91">
        <f>SUMIFS(tabela_registros[VALOR],tabela_registros[MÊS],$AE$1,tabela_registros[DIA],reservaoutrosconsolidadoabr[[#Headers],[22]],tabela_registros[REGISTRO],DADOS!$N$6,tabela_registros[TIPO],DADOS!$AJ$5,tabela_registros[CATEGORIA],reservaoutrosconsolidadoabr[[#This Row],[ATUAL]])</f>
        <v>0</v>
      </c>
      <c r="AA210" s="91">
        <f>SUMIFS(tabela_registros[VALOR],tabela_registros[MÊS],$AE$1,tabela_registros[DIA],reservaoutrosconsolidadoabr[[#Headers],[23]],tabela_registros[REGISTRO],DADOS!$N$6,tabela_registros[TIPO],DADOS!$AJ$5,tabela_registros[CATEGORIA],reservaoutrosconsolidadoabr[[#This Row],[ATUAL]])</f>
        <v>0</v>
      </c>
      <c r="AB210" s="91">
        <f>SUMIFS(tabela_registros[VALOR],tabela_registros[MÊS],$AE$1,tabela_registros[DIA],reservaoutrosconsolidadoabr[[#Headers],[24]],tabela_registros[REGISTRO],DADOS!$N$6,tabela_registros[TIPO],DADOS!$AJ$5,tabela_registros[CATEGORIA],reservaoutrosconsolidadoabr[[#This Row],[ATUAL]])</f>
        <v>0</v>
      </c>
      <c r="AC210" s="91">
        <f>SUMIFS(tabela_registros[VALOR],tabela_registros[MÊS],$AE$1,tabela_registros[DIA],reservaoutrosconsolidadoabr[[#Headers],[25]],tabela_registros[REGISTRO],DADOS!$N$6,tabela_registros[TIPO],DADOS!$AJ$5,tabela_registros[CATEGORIA],reservaoutrosconsolidadoabr[[#This Row],[ATUAL]])</f>
        <v>0</v>
      </c>
      <c r="AD210" s="91">
        <f>SUMIFS(tabela_registros[VALOR],tabela_registros[MÊS],$AE$1,tabela_registros[DIA],reservaoutrosconsolidadoabr[[#Headers],[26]],tabela_registros[REGISTRO],DADOS!$N$6,tabela_registros[TIPO],DADOS!$AJ$5,tabela_registros[CATEGORIA],reservaoutrosconsolidadoabr[[#This Row],[ATUAL]])</f>
        <v>0</v>
      </c>
      <c r="AE210" s="91">
        <f>SUMIFS(tabela_registros[VALOR],tabela_registros[MÊS],$AE$1,tabela_registros[DIA],reservaoutrosconsolidadoabr[[#Headers],[27]],tabela_registros[REGISTRO],DADOS!$N$6,tabela_registros[TIPO],DADOS!$AJ$5,tabela_registros[CATEGORIA],reservaoutrosconsolidadoabr[[#This Row],[ATUAL]])</f>
        <v>0</v>
      </c>
      <c r="AF210" s="91">
        <f>SUMIFS(tabela_registros[VALOR],tabela_registros[MÊS],$AE$1,tabela_registros[DIA],reservaoutrosconsolidadoabr[[#Headers],[28]],tabela_registros[REGISTRO],DADOS!$N$6,tabela_registros[TIPO],DADOS!$AJ$5,tabela_registros[CATEGORIA],reservaoutrosconsolidadoabr[[#This Row],[ATUAL]])</f>
        <v>0</v>
      </c>
      <c r="AG210" s="91">
        <f>SUMIFS(tabela_registros[VALOR],tabela_registros[MÊS],$AE$1,tabela_registros[DIA],reservaoutrosconsolidadoabr[[#Headers],[29]],tabela_registros[REGISTRO],DADOS!$N$6,tabela_registros[TIPO],DADOS!$AJ$5,tabela_registros[CATEGORIA],reservaoutrosconsolidadoabr[[#This Row],[ATUAL]])</f>
        <v>0</v>
      </c>
      <c r="AH210" s="91">
        <f>SUMIFS(tabela_registros[VALOR],tabela_registros[MÊS],$AE$1,tabela_registros[DIA],reservaoutrosconsolidadoabr[[#Headers],[30]],tabela_registros[REGISTRO],DADOS!$N$6,tabela_registros[TIPO],DADOS!$AJ$5,tabela_registros[CATEGORIA],reservaoutrosconsolidadoabr[[#This Row],[ATUAL]])</f>
        <v>0</v>
      </c>
      <c r="AI210" s="101">
        <f>SUMIFS(tabela_registros[VALOR],tabela_registros[MÊS],$AE$1,tabela_registros[DIA],reservaoutrosconsolidadoabr[[#Headers],[31]],tabela_registros[REGISTRO],DADOS!$N$6,tabela_registros[TIPO],DADOS!$AJ$5,tabela_registros[CATEGORIA],reservaoutrosconsolidadoabr[[#This Row],[ATUAL]])</f>
        <v>0</v>
      </c>
      <c r="AJ210" s="97">
        <f>SUM(reservaoutrosconsolidadoabr[[#This Row],[1]:[31]])</f>
        <v>0</v>
      </c>
      <c r="AK210" s="25"/>
    </row>
    <row r="211" spans="2:37" ht="19.5" customHeight="1" thickTop="1" thickBot="1" x14ac:dyDescent="0.3">
      <c r="B211" s="28"/>
      <c r="C211" s="27" t="str">
        <f>DADOS!$AP$8</f>
        <v>📝 PEER TO PEER</v>
      </c>
      <c r="D211" s="26" t="str">
        <f>IF(reservaoutrosconsolidadoabr[[#This Row],[TOTAL (R$)]]=0,"",IF(OR(reservaoutrosconsolidadoabr[[#This Row],[TOTAL (R$)]]=LARGE($AJ$206:$AJ$213,1),reservaoutrosconsolidadoabr[[#This Row],[TOTAL (R$)]]=LARGE($AJ$206:$AJ$213,2)),DADOS!$I$11,""))</f>
        <v/>
      </c>
      <c r="E211" s="96">
        <f>SUMIFS(tabela_registros[VALOR],tabela_registros[MÊS],$AE$1,tabela_registros[DIA],reservaoutrosconsolidadoabr[[#Headers],[1]],tabela_registros[REGISTRO],DADOS!$N$6,tabela_registros[TIPO],DADOS!$AJ$5,tabela_registros[CATEGORIA],reservaoutrosconsolidadoabr[[#This Row],[ATUAL]])</f>
        <v>0</v>
      </c>
      <c r="F211" s="91">
        <f>SUMIFS(tabela_registros[VALOR],tabela_registros[MÊS],$AE$1,tabela_registros[DIA],reservaoutrosconsolidadoabr[[#Headers],[2]],tabela_registros[REGISTRO],DADOS!$N$6,tabela_registros[TIPO],DADOS!$AJ$5,tabela_registros[CATEGORIA],reservaoutrosconsolidadoabr[[#This Row],[ATUAL]])</f>
        <v>0</v>
      </c>
      <c r="G211" s="91">
        <f>SUMIFS(tabela_registros[VALOR],tabela_registros[MÊS],$AE$1,tabela_registros[DIA],reservaoutrosconsolidadoabr[[#Headers],[3]],tabela_registros[REGISTRO],DADOS!$N$6,tabela_registros[TIPO],DADOS!$AJ$5,tabela_registros[CATEGORIA],reservaoutrosconsolidadoabr[[#This Row],[ATUAL]])</f>
        <v>0</v>
      </c>
      <c r="H211" s="91">
        <f>SUMIFS(tabela_registros[VALOR],tabela_registros[MÊS],$AE$1,tabela_registros[DIA],reservaoutrosconsolidadoabr[[#Headers],[4]],tabela_registros[REGISTRO],DADOS!$N$6,tabela_registros[TIPO],DADOS!$AJ$5,tabela_registros[CATEGORIA],reservaoutrosconsolidadoabr[[#This Row],[ATUAL]])</f>
        <v>0</v>
      </c>
      <c r="I211" s="91">
        <f>SUMIFS(tabela_registros[VALOR],tabela_registros[MÊS],$AE$1,tabela_registros[DIA],reservaoutrosconsolidadoabr[[#Headers],[5]],tabela_registros[REGISTRO],DADOS!$N$6,tabela_registros[TIPO],DADOS!$AJ$5,tabela_registros[CATEGORIA],reservaoutrosconsolidadoabr[[#This Row],[ATUAL]])</f>
        <v>0</v>
      </c>
      <c r="J211" s="91">
        <f>SUMIFS(tabela_registros[VALOR],tabela_registros[MÊS],$AE$1,tabela_registros[DIA],reservaoutrosconsolidadoabr[[#Headers],[6]],tabela_registros[REGISTRO],DADOS!$N$6,tabela_registros[TIPO],DADOS!$AJ$5,tabela_registros[CATEGORIA],reservaoutrosconsolidadoabr[[#This Row],[ATUAL]])</f>
        <v>0</v>
      </c>
      <c r="K211" s="91">
        <f>SUMIFS(tabela_registros[VALOR],tabela_registros[MÊS],$AE$1,tabela_registros[DIA],reservaoutrosconsolidadoabr[[#Headers],[7]],tabela_registros[REGISTRO],DADOS!$N$6,tabela_registros[TIPO],DADOS!$AJ$5,tabela_registros[CATEGORIA],reservaoutrosconsolidadoabr[[#This Row],[ATUAL]])</f>
        <v>0</v>
      </c>
      <c r="L211" s="91">
        <f>SUMIFS(tabela_registros[VALOR],tabela_registros[MÊS],$AE$1,tabela_registros[DIA],reservaoutrosconsolidadoabr[[#Headers],[8]],tabela_registros[REGISTRO],DADOS!$N$6,tabela_registros[TIPO],DADOS!$AJ$5,tabela_registros[CATEGORIA],reservaoutrosconsolidadoabr[[#This Row],[ATUAL]])</f>
        <v>0</v>
      </c>
      <c r="M211" s="91">
        <f>SUMIFS(tabela_registros[VALOR],tabela_registros[MÊS],$AE$1,tabela_registros[DIA],reservaoutrosconsolidadoabr[[#Headers],[9]],tabela_registros[REGISTRO],DADOS!$N$6,tabela_registros[TIPO],DADOS!$AJ$5,tabela_registros[CATEGORIA],reservaoutrosconsolidadoabr[[#This Row],[ATUAL]])</f>
        <v>0</v>
      </c>
      <c r="N211" s="91">
        <f>SUMIFS(tabela_registros[VALOR],tabela_registros[MÊS],$AE$1,tabela_registros[DIA],reservaoutrosconsolidadoabr[[#Headers],[10]],tabela_registros[REGISTRO],DADOS!$N$6,tabela_registros[TIPO],DADOS!$AJ$5,tabela_registros[CATEGORIA],reservaoutrosconsolidadoabr[[#This Row],[ATUAL]])</f>
        <v>0</v>
      </c>
      <c r="O211" s="91">
        <f>SUMIFS(tabela_registros[VALOR],tabela_registros[MÊS],$AE$1,tabela_registros[DIA],reservaoutrosconsolidadoabr[[#Headers],[11]],tabela_registros[REGISTRO],DADOS!$N$6,tabela_registros[TIPO],DADOS!$AJ$5,tabela_registros[CATEGORIA],reservaoutrosconsolidadoabr[[#This Row],[ATUAL]])</f>
        <v>0</v>
      </c>
      <c r="P211" s="91">
        <f>SUMIFS(tabela_registros[VALOR],tabela_registros[MÊS],$AE$1,tabela_registros[DIA],reservaoutrosconsolidadoabr[[#Headers],[12]],tabela_registros[REGISTRO],DADOS!$N$6,tabela_registros[TIPO],DADOS!$AJ$5,tabela_registros[CATEGORIA],reservaoutrosconsolidadoabr[[#This Row],[ATUAL]])</f>
        <v>0</v>
      </c>
      <c r="Q211" s="91">
        <f>SUMIFS(tabela_registros[VALOR],tabela_registros[MÊS],$AE$1,tabela_registros[DIA],reservaoutrosconsolidadoabr[[#Headers],[13]],tabela_registros[REGISTRO],DADOS!$N$6,tabela_registros[TIPO],DADOS!$AJ$5,tabela_registros[CATEGORIA],reservaoutrosconsolidadoabr[[#This Row],[ATUAL]])</f>
        <v>0</v>
      </c>
      <c r="R211" s="91">
        <f>SUMIFS(tabela_registros[VALOR],tabela_registros[MÊS],$AE$1,tabela_registros[DIA],reservaoutrosconsolidadoabr[[#Headers],[14]],tabela_registros[REGISTRO],DADOS!$N$6,tabela_registros[TIPO],DADOS!$AJ$5,tabela_registros[CATEGORIA],reservaoutrosconsolidadoabr[[#This Row],[ATUAL]])</f>
        <v>0</v>
      </c>
      <c r="S211" s="91">
        <f>SUMIFS(tabela_registros[VALOR],tabela_registros[MÊS],$AE$1,tabela_registros[DIA],reservaoutrosconsolidadoabr[[#Headers],[15]],tabela_registros[REGISTRO],DADOS!$N$6,tabela_registros[TIPO],DADOS!$AJ$5,tabela_registros[CATEGORIA],reservaoutrosconsolidadoabr[[#This Row],[ATUAL]])</f>
        <v>0</v>
      </c>
      <c r="T211" s="91">
        <f>SUMIFS(tabela_registros[VALOR],tabela_registros[MÊS],$AE$1,tabela_registros[DIA],reservaoutrosconsolidadoabr[[#Headers],[16]],tabela_registros[REGISTRO],DADOS!$N$6,tabela_registros[TIPO],DADOS!$AJ$5,tabela_registros[CATEGORIA],reservaoutrosconsolidadoabr[[#This Row],[ATUAL]])</f>
        <v>0</v>
      </c>
      <c r="U211" s="91">
        <f>SUMIFS(tabela_registros[VALOR],tabela_registros[MÊS],$AE$1,tabela_registros[DIA],reservaoutrosconsolidadoabr[[#Headers],[17]],tabela_registros[REGISTRO],DADOS!$N$6,tabela_registros[TIPO],DADOS!$AJ$5,tabela_registros[CATEGORIA],reservaoutrosconsolidadoabr[[#This Row],[ATUAL]])</f>
        <v>0</v>
      </c>
      <c r="V211" s="91">
        <f>SUMIFS(tabela_registros[VALOR],tabela_registros[MÊS],$AE$1,tabela_registros[DIA],reservaoutrosconsolidadoabr[[#Headers],[18]],tabela_registros[REGISTRO],DADOS!$N$6,tabela_registros[TIPO],DADOS!$AJ$5,tabela_registros[CATEGORIA],reservaoutrosconsolidadoabr[[#This Row],[ATUAL]])</f>
        <v>0</v>
      </c>
      <c r="W211" s="91">
        <f>SUMIFS(tabela_registros[VALOR],tabela_registros[MÊS],$AE$1,tabela_registros[DIA],reservaoutrosconsolidadoabr[[#Headers],[19]],tabela_registros[REGISTRO],DADOS!$N$6,tabela_registros[TIPO],DADOS!$AJ$5,tabela_registros[CATEGORIA],reservaoutrosconsolidadoabr[[#This Row],[ATUAL]])</f>
        <v>0</v>
      </c>
      <c r="X211" s="91">
        <f>SUMIFS(tabela_registros[VALOR],tabela_registros[MÊS],$AE$1,tabela_registros[DIA],reservaoutrosconsolidadoabr[[#Headers],[20]],tabela_registros[REGISTRO],DADOS!$N$6,tabela_registros[TIPO],DADOS!$AJ$5,tabela_registros[CATEGORIA],reservaoutrosconsolidadoabr[[#This Row],[ATUAL]])</f>
        <v>0</v>
      </c>
      <c r="Y211" s="91">
        <f>SUMIFS(tabela_registros[VALOR],tabela_registros[MÊS],$AE$1,tabela_registros[DIA],reservaoutrosconsolidadoabr[[#Headers],[21]],tabela_registros[REGISTRO],DADOS!$N$6,tabela_registros[TIPO],DADOS!$AJ$5,tabela_registros[CATEGORIA],reservaoutrosconsolidadoabr[[#This Row],[ATUAL]])</f>
        <v>0</v>
      </c>
      <c r="Z211" s="91">
        <f>SUMIFS(tabela_registros[VALOR],tabela_registros[MÊS],$AE$1,tabela_registros[DIA],reservaoutrosconsolidadoabr[[#Headers],[22]],tabela_registros[REGISTRO],DADOS!$N$6,tabela_registros[TIPO],DADOS!$AJ$5,tabela_registros[CATEGORIA],reservaoutrosconsolidadoabr[[#This Row],[ATUAL]])</f>
        <v>0</v>
      </c>
      <c r="AA211" s="91">
        <f>SUMIFS(tabela_registros[VALOR],tabela_registros[MÊS],$AE$1,tabela_registros[DIA],reservaoutrosconsolidadoabr[[#Headers],[23]],tabela_registros[REGISTRO],DADOS!$N$6,tabela_registros[TIPO],DADOS!$AJ$5,tabela_registros[CATEGORIA],reservaoutrosconsolidadoabr[[#This Row],[ATUAL]])</f>
        <v>0</v>
      </c>
      <c r="AB211" s="91">
        <f>SUMIFS(tabela_registros[VALOR],tabela_registros[MÊS],$AE$1,tabela_registros[DIA],reservaoutrosconsolidadoabr[[#Headers],[24]],tabela_registros[REGISTRO],DADOS!$N$6,tabela_registros[TIPO],DADOS!$AJ$5,tabela_registros[CATEGORIA],reservaoutrosconsolidadoabr[[#This Row],[ATUAL]])</f>
        <v>0</v>
      </c>
      <c r="AC211" s="91">
        <f>SUMIFS(tabela_registros[VALOR],tabela_registros[MÊS],$AE$1,tabela_registros[DIA],reservaoutrosconsolidadoabr[[#Headers],[25]],tabela_registros[REGISTRO],DADOS!$N$6,tabela_registros[TIPO],DADOS!$AJ$5,tabela_registros[CATEGORIA],reservaoutrosconsolidadoabr[[#This Row],[ATUAL]])</f>
        <v>0</v>
      </c>
      <c r="AD211" s="91">
        <f>SUMIFS(tabela_registros[VALOR],tabela_registros[MÊS],$AE$1,tabela_registros[DIA],reservaoutrosconsolidadoabr[[#Headers],[26]],tabela_registros[REGISTRO],DADOS!$N$6,tabela_registros[TIPO],DADOS!$AJ$5,tabela_registros[CATEGORIA],reservaoutrosconsolidadoabr[[#This Row],[ATUAL]])</f>
        <v>0</v>
      </c>
      <c r="AE211" s="91">
        <f>SUMIFS(tabela_registros[VALOR],tabela_registros[MÊS],$AE$1,tabela_registros[DIA],reservaoutrosconsolidadoabr[[#Headers],[27]],tabela_registros[REGISTRO],DADOS!$N$6,tabela_registros[TIPO],DADOS!$AJ$5,tabela_registros[CATEGORIA],reservaoutrosconsolidadoabr[[#This Row],[ATUAL]])</f>
        <v>0</v>
      </c>
      <c r="AF211" s="91">
        <f>SUMIFS(tabela_registros[VALOR],tabela_registros[MÊS],$AE$1,tabela_registros[DIA],reservaoutrosconsolidadoabr[[#Headers],[28]],tabela_registros[REGISTRO],DADOS!$N$6,tabela_registros[TIPO],DADOS!$AJ$5,tabela_registros[CATEGORIA],reservaoutrosconsolidadoabr[[#This Row],[ATUAL]])</f>
        <v>0</v>
      </c>
      <c r="AG211" s="91">
        <f>SUMIFS(tabela_registros[VALOR],tabela_registros[MÊS],$AE$1,tabela_registros[DIA],reservaoutrosconsolidadoabr[[#Headers],[29]],tabela_registros[REGISTRO],DADOS!$N$6,tabela_registros[TIPO],DADOS!$AJ$5,tabela_registros[CATEGORIA],reservaoutrosconsolidadoabr[[#This Row],[ATUAL]])</f>
        <v>0</v>
      </c>
      <c r="AH211" s="91">
        <f>SUMIFS(tabela_registros[VALOR],tabela_registros[MÊS],$AE$1,tabela_registros[DIA],reservaoutrosconsolidadoabr[[#Headers],[30]],tabela_registros[REGISTRO],DADOS!$N$6,tabela_registros[TIPO],DADOS!$AJ$5,tabela_registros[CATEGORIA],reservaoutrosconsolidadoabr[[#This Row],[ATUAL]])</f>
        <v>0</v>
      </c>
      <c r="AI211" s="101">
        <f>SUMIFS(tabela_registros[VALOR],tabela_registros[MÊS],$AE$1,tabela_registros[DIA],reservaoutrosconsolidadoabr[[#Headers],[31]],tabela_registros[REGISTRO],DADOS!$N$6,tabela_registros[TIPO],DADOS!$AJ$5,tabela_registros[CATEGORIA],reservaoutrosconsolidadoabr[[#This Row],[ATUAL]])</f>
        <v>0</v>
      </c>
      <c r="AJ211" s="97">
        <f>SUM(reservaoutrosconsolidadoabr[[#This Row],[1]:[31]])</f>
        <v>0</v>
      </c>
      <c r="AK211" s="25"/>
    </row>
    <row r="212" spans="2:37" ht="19.5" customHeight="1" thickTop="1" thickBot="1" x14ac:dyDescent="0.3">
      <c r="B212" s="28"/>
      <c r="C212" s="27" t="str">
        <f>DADOS!$AP$9</f>
        <v>📝 PREVIDÊNCIA PRIVADA</v>
      </c>
      <c r="D212" s="26" t="str">
        <f>IF(reservaoutrosconsolidadoabr[[#This Row],[TOTAL (R$)]]=0,"",IF(OR(reservaoutrosconsolidadoabr[[#This Row],[TOTAL (R$)]]=LARGE($AJ$206:$AJ$213,1),reservaoutrosconsolidadoabr[[#This Row],[TOTAL (R$)]]=LARGE($AJ$206:$AJ$213,2)),DADOS!$I$11,""))</f>
        <v/>
      </c>
      <c r="E212" s="96">
        <f>SUMIFS(tabela_registros[VALOR],tabela_registros[MÊS],$AE$1,tabela_registros[DIA],reservaoutrosconsolidadoabr[[#Headers],[1]],tabela_registros[REGISTRO],DADOS!$N$6,tabela_registros[TIPO],DADOS!$AJ$5,tabela_registros[CATEGORIA],reservaoutrosconsolidadoabr[[#This Row],[ATUAL]])</f>
        <v>0</v>
      </c>
      <c r="F212" s="91">
        <f>SUMIFS(tabela_registros[VALOR],tabela_registros[MÊS],$AE$1,tabela_registros[DIA],reservaoutrosconsolidadoabr[[#Headers],[2]],tabela_registros[REGISTRO],DADOS!$N$6,tabela_registros[TIPO],DADOS!$AJ$5,tabela_registros[CATEGORIA],reservaoutrosconsolidadoabr[[#This Row],[ATUAL]])</f>
        <v>0</v>
      </c>
      <c r="G212" s="91">
        <f>SUMIFS(tabela_registros[VALOR],tabela_registros[MÊS],$AE$1,tabela_registros[DIA],reservaoutrosconsolidadoabr[[#Headers],[3]],tabela_registros[REGISTRO],DADOS!$N$6,tabela_registros[TIPO],DADOS!$AJ$5,tabela_registros[CATEGORIA],reservaoutrosconsolidadoabr[[#This Row],[ATUAL]])</f>
        <v>0</v>
      </c>
      <c r="H212" s="91">
        <f>SUMIFS(tabela_registros[VALOR],tabela_registros[MÊS],$AE$1,tabela_registros[DIA],reservaoutrosconsolidadoabr[[#Headers],[4]],tabela_registros[REGISTRO],DADOS!$N$6,tabela_registros[TIPO],DADOS!$AJ$5,tabela_registros[CATEGORIA],reservaoutrosconsolidadoabr[[#This Row],[ATUAL]])</f>
        <v>0</v>
      </c>
      <c r="I212" s="91">
        <f>SUMIFS(tabela_registros[VALOR],tabela_registros[MÊS],$AE$1,tabela_registros[DIA],reservaoutrosconsolidadoabr[[#Headers],[5]],tabela_registros[REGISTRO],DADOS!$N$6,tabela_registros[TIPO],DADOS!$AJ$5,tabela_registros[CATEGORIA],reservaoutrosconsolidadoabr[[#This Row],[ATUAL]])</f>
        <v>0</v>
      </c>
      <c r="J212" s="91">
        <f>SUMIFS(tabela_registros[VALOR],tabela_registros[MÊS],$AE$1,tabela_registros[DIA],reservaoutrosconsolidadoabr[[#Headers],[6]],tabela_registros[REGISTRO],DADOS!$N$6,tabela_registros[TIPO],DADOS!$AJ$5,tabela_registros[CATEGORIA],reservaoutrosconsolidadoabr[[#This Row],[ATUAL]])</f>
        <v>0</v>
      </c>
      <c r="K212" s="91">
        <f>SUMIFS(tabela_registros[VALOR],tabela_registros[MÊS],$AE$1,tabela_registros[DIA],reservaoutrosconsolidadoabr[[#Headers],[7]],tabela_registros[REGISTRO],DADOS!$N$6,tabela_registros[TIPO],DADOS!$AJ$5,tabela_registros[CATEGORIA],reservaoutrosconsolidadoabr[[#This Row],[ATUAL]])</f>
        <v>0</v>
      </c>
      <c r="L212" s="91">
        <f>SUMIFS(tabela_registros[VALOR],tabela_registros[MÊS],$AE$1,tabela_registros[DIA],reservaoutrosconsolidadoabr[[#Headers],[8]],tabela_registros[REGISTRO],DADOS!$N$6,tabela_registros[TIPO],DADOS!$AJ$5,tabela_registros[CATEGORIA],reservaoutrosconsolidadoabr[[#This Row],[ATUAL]])</f>
        <v>0</v>
      </c>
      <c r="M212" s="91">
        <f>SUMIFS(tabela_registros[VALOR],tabela_registros[MÊS],$AE$1,tabela_registros[DIA],reservaoutrosconsolidadoabr[[#Headers],[9]],tabela_registros[REGISTRO],DADOS!$N$6,tabela_registros[TIPO],DADOS!$AJ$5,tabela_registros[CATEGORIA],reservaoutrosconsolidadoabr[[#This Row],[ATUAL]])</f>
        <v>0</v>
      </c>
      <c r="N212" s="91">
        <f>SUMIFS(tabela_registros[VALOR],tabela_registros[MÊS],$AE$1,tabela_registros[DIA],reservaoutrosconsolidadoabr[[#Headers],[10]],tabela_registros[REGISTRO],DADOS!$N$6,tabela_registros[TIPO],DADOS!$AJ$5,tabela_registros[CATEGORIA],reservaoutrosconsolidadoabr[[#This Row],[ATUAL]])</f>
        <v>0</v>
      </c>
      <c r="O212" s="91">
        <f>SUMIFS(tabela_registros[VALOR],tabela_registros[MÊS],$AE$1,tabela_registros[DIA],reservaoutrosconsolidadoabr[[#Headers],[11]],tabela_registros[REGISTRO],DADOS!$N$6,tabela_registros[TIPO],DADOS!$AJ$5,tabela_registros[CATEGORIA],reservaoutrosconsolidadoabr[[#This Row],[ATUAL]])</f>
        <v>0</v>
      </c>
      <c r="P212" s="91">
        <f>SUMIFS(tabela_registros[VALOR],tabela_registros[MÊS],$AE$1,tabela_registros[DIA],reservaoutrosconsolidadoabr[[#Headers],[12]],tabela_registros[REGISTRO],DADOS!$N$6,tabela_registros[TIPO],DADOS!$AJ$5,tabela_registros[CATEGORIA],reservaoutrosconsolidadoabr[[#This Row],[ATUAL]])</f>
        <v>0</v>
      </c>
      <c r="Q212" s="91">
        <f>SUMIFS(tabela_registros[VALOR],tabela_registros[MÊS],$AE$1,tabela_registros[DIA],reservaoutrosconsolidadoabr[[#Headers],[13]],tabela_registros[REGISTRO],DADOS!$N$6,tabela_registros[TIPO],DADOS!$AJ$5,tabela_registros[CATEGORIA],reservaoutrosconsolidadoabr[[#This Row],[ATUAL]])</f>
        <v>0</v>
      </c>
      <c r="R212" s="91">
        <f>SUMIFS(tabela_registros[VALOR],tabela_registros[MÊS],$AE$1,tabela_registros[DIA],reservaoutrosconsolidadoabr[[#Headers],[14]],tabela_registros[REGISTRO],DADOS!$N$6,tabela_registros[TIPO],DADOS!$AJ$5,tabela_registros[CATEGORIA],reservaoutrosconsolidadoabr[[#This Row],[ATUAL]])</f>
        <v>0</v>
      </c>
      <c r="S212" s="91">
        <f>SUMIFS(tabela_registros[VALOR],tabela_registros[MÊS],$AE$1,tabela_registros[DIA],reservaoutrosconsolidadoabr[[#Headers],[15]],tabela_registros[REGISTRO],DADOS!$N$6,tabela_registros[TIPO],DADOS!$AJ$5,tabela_registros[CATEGORIA],reservaoutrosconsolidadoabr[[#This Row],[ATUAL]])</f>
        <v>0</v>
      </c>
      <c r="T212" s="91">
        <f>SUMIFS(tabela_registros[VALOR],tabela_registros[MÊS],$AE$1,tabela_registros[DIA],reservaoutrosconsolidadoabr[[#Headers],[16]],tabela_registros[REGISTRO],DADOS!$N$6,tabela_registros[TIPO],DADOS!$AJ$5,tabela_registros[CATEGORIA],reservaoutrosconsolidadoabr[[#This Row],[ATUAL]])</f>
        <v>0</v>
      </c>
      <c r="U212" s="91">
        <f>SUMIFS(tabela_registros[VALOR],tabela_registros[MÊS],$AE$1,tabela_registros[DIA],reservaoutrosconsolidadoabr[[#Headers],[17]],tabela_registros[REGISTRO],DADOS!$N$6,tabela_registros[TIPO],DADOS!$AJ$5,tabela_registros[CATEGORIA],reservaoutrosconsolidadoabr[[#This Row],[ATUAL]])</f>
        <v>0</v>
      </c>
      <c r="V212" s="91">
        <f>SUMIFS(tabela_registros[VALOR],tabela_registros[MÊS],$AE$1,tabela_registros[DIA],reservaoutrosconsolidadoabr[[#Headers],[18]],tabela_registros[REGISTRO],DADOS!$N$6,tabela_registros[TIPO],DADOS!$AJ$5,tabela_registros[CATEGORIA],reservaoutrosconsolidadoabr[[#This Row],[ATUAL]])</f>
        <v>0</v>
      </c>
      <c r="W212" s="91">
        <f>SUMIFS(tabela_registros[VALOR],tabela_registros[MÊS],$AE$1,tabela_registros[DIA],reservaoutrosconsolidadoabr[[#Headers],[19]],tabela_registros[REGISTRO],DADOS!$N$6,tabela_registros[TIPO],DADOS!$AJ$5,tabela_registros[CATEGORIA],reservaoutrosconsolidadoabr[[#This Row],[ATUAL]])</f>
        <v>0</v>
      </c>
      <c r="X212" s="91">
        <f>SUMIFS(tabela_registros[VALOR],tabela_registros[MÊS],$AE$1,tabela_registros[DIA],reservaoutrosconsolidadoabr[[#Headers],[20]],tabela_registros[REGISTRO],DADOS!$N$6,tabela_registros[TIPO],DADOS!$AJ$5,tabela_registros[CATEGORIA],reservaoutrosconsolidadoabr[[#This Row],[ATUAL]])</f>
        <v>0</v>
      </c>
      <c r="Y212" s="91">
        <f>SUMIFS(tabela_registros[VALOR],tabela_registros[MÊS],$AE$1,tabela_registros[DIA],reservaoutrosconsolidadoabr[[#Headers],[21]],tabela_registros[REGISTRO],DADOS!$N$6,tabela_registros[TIPO],DADOS!$AJ$5,tabela_registros[CATEGORIA],reservaoutrosconsolidadoabr[[#This Row],[ATUAL]])</f>
        <v>0</v>
      </c>
      <c r="Z212" s="91">
        <f>SUMIFS(tabela_registros[VALOR],tabela_registros[MÊS],$AE$1,tabela_registros[DIA],reservaoutrosconsolidadoabr[[#Headers],[22]],tabela_registros[REGISTRO],DADOS!$N$6,tabela_registros[TIPO],DADOS!$AJ$5,tabela_registros[CATEGORIA],reservaoutrosconsolidadoabr[[#This Row],[ATUAL]])</f>
        <v>0</v>
      </c>
      <c r="AA212" s="91">
        <f>SUMIFS(tabela_registros[VALOR],tabela_registros[MÊS],$AE$1,tabela_registros[DIA],reservaoutrosconsolidadoabr[[#Headers],[23]],tabela_registros[REGISTRO],DADOS!$N$6,tabela_registros[TIPO],DADOS!$AJ$5,tabela_registros[CATEGORIA],reservaoutrosconsolidadoabr[[#This Row],[ATUAL]])</f>
        <v>0</v>
      </c>
      <c r="AB212" s="91">
        <f>SUMIFS(tabela_registros[VALOR],tabela_registros[MÊS],$AE$1,tabela_registros[DIA],reservaoutrosconsolidadoabr[[#Headers],[24]],tabela_registros[REGISTRO],DADOS!$N$6,tabela_registros[TIPO],DADOS!$AJ$5,tabela_registros[CATEGORIA],reservaoutrosconsolidadoabr[[#This Row],[ATUAL]])</f>
        <v>0</v>
      </c>
      <c r="AC212" s="91">
        <f>SUMIFS(tabela_registros[VALOR],tabela_registros[MÊS],$AE$1,tabela_registros[DIA],reservaoutrosconsolidadoabr[[#Headers],[25]],tabela_registros[REGISTRO],DADOS!$N$6,tabela_registros[TIPO],DADOS!$AJ$5,tabela_registros[CATEGORIA],reservaoutrosconsolidadoabr[[#This Row],[ATUAL]])</f>
        <v>0</v>
      </c>
      <c r="AD212" s="91">
        <f>SUMIFS(tabela_registros[VALOR],tabela_registros[MÊS],$AE$1,tabela_registros[DIA],reservaoutrosconsolidadoabr[[#Headers],[26]],tabela_registros[REGISTRO],DADOS!$N$6,tabela_registros[TIPO],DADOS!$AJ$5,tabela_registros[CATEGORIA],reservaoutrosconsolidadoabr[[#This Row],[ATUAL]])</f>
        <v>0</v>
      </c>
      <c r="AE212" s="91">
        <f>SUMIFS(tabela_registros[VALOR],tabela_registros[MÊS],$AE$1,tabela_registros[DIA],reservaoutrosconsolidadoabr[[#Headers],[27]],tabela_registros[REGISTRO],DADOS!$N$6,tabela_registros[TIPO],DADOS!$AJ$5,tabela_registros[CATEGORIA],reservaoutrosconsolidadoabr[[#This Row],[ATUAL]])</f>
        <v>0</v>
      </c>
      <c r="AF212" s="91">
        <f>SUMIFS(tabela_registros[VALOR],tabela_registros[MÊS],$AE$1,tabela_registros[DIA],reservaoutrosconsolidadoabr[[#Headers],[28]],tabela_registros[REGISTRO],DADOS!$N$6,tabela_registros[TIPO],DADOS!$AJ$5,tabela_registros[CATEGORIA],reservaoutrosconsolidadoabr[[#This Row],[ATUAL]])</f>
        <v>0</v>
      </c>
      <c r="AG212" s="91">
        <f>SUMIFS(tabela_registros[VALOR],tabela_registros[MÊS],$AE$1,tabela_registros[DIA],reservaoutrosconsolidadoabr[[#Headers],[29]],tabela_registros[REGISTRO],DADOS!$N$6,tabela_registros[TIPO],DADOS!$AJ$5,tabela_registros[CATEGORIA],reservaoutrosconsolidadoabr[[#This Row],[ATUAL]])</f>
        <v>0</v>
      </c>
      <c r="AH212" s="91">
        <f>SUMIFS(tabela_registros[VALOR],tabela_registros[MÊS],$AE$1,tabela_registros[DIA],reservaoutrosconsolidadoabr[[#Headers],[30]],tabela_registros[REGISTRO],DADOS!$N$6,tabela_registros[TIPO],DADOS!$AJ$5,tabela_registros[CATEGORIA],reservaoutrosconsolidadoabr[[#This Row],[ATUAL]])</f>
        <v>0</v>
      </c>
      <c r="AI212" s="101">
        <f>SUMIFS(tabela_registros[VALOR],tabela_registros[MÊS],$AE$1,tabela_registros[DIA],reservaoutrosconsolidadoabr[[#Headers],[31]],tabela_registros[REGISTRO],DADOS!$N$6,tabela_registros[TIPO],DADOS!$AJ$5,tabela_registros[CATEGORIA],reservaoutrosconsolidadoabr[[#This Row],[ATUAL]])</f>
        <v>0</v>
      </c>
      <c r="AJ212" s="97">
        <f>SUM(reservaoutrosconsolidadoabr[[#This Row],[1]:[31]])</f>
        <v>0</v>
      </c>
      <c r="AK212" s="25"/>
    </row>
    <row r="213" spans="2:37" ht="19.5" customHeight="1" thickTop="1" thickBot="1" x14ac:dyDescent="0.3">
      <c r="B213" s="28"/>
      <c r="C213" s="27" t="str">
        <f>DADOS!$AP$10</f>
        <v>📎 OUTROS</v>
      </c>
      <c r="D213" s="26" t="str">
        <f>IF(reservaoutrosconsolidadoabr[[#This Row],[TOTAL (R$)]]=0,"",IF(OR(reservaoutrosconsolidadoabr[[#This Row],[TOTAL (R$)]]=LARGE($AJ$206:$AJ$213,1),reservaoutrosconsolidadoabr[[#This Row],[TOTAL (R$)]]=LARGE($AJ$206:$AJ$213,2)),DADOS!$I$11,""))</f>
        <v/>
      </c>
      <c r="E213" s="96">
        <f>SUMIFS(tabela_registros[VALOR],tabela_registros[MÊS],$AE$1,tabela_registros[DIA],reservaoutrosconsolidadoabr[[#Headers],[1]],tabela_registros[REGISTRO],DADOS!$N$6,tabela_registros[TIPO],DADOS!$AJ$5,tabela_registros[CATEGORIA],reservaoutrosconsolidadoabr[[#This Row],[ATUAL]])</f>
        <v>0</v>
      </c>
      <c r="F213" s="91">
        <f>SUMIFS(tabela_registros[VALOR],tabela_registros[MÊS],$AE$1,tabela_registros[DIA],reservaoutrosconsolidadoabr[[#Headers],[2]],tabela_registros[REGISTRO],DADOS!$N$6,tabela_registros[TIPO],DADOS!$AJ$5,tabela_registros[CATEGORIA],reservaoutrosconsolidadoabr[[#This Row],[ATUAL]])</f>
        <v>0</v>
      </c>
      <c r="G213" s="91">
        <f>SUMIFS(tabela_registros[VALOR],tabela_registros[MÊS],$AE$1,tabela_registros[DIA],reservaoutrosconsolidadoabr[[#Headers],[3]],tabela_registros[REGISTRO],DADOS!$N$6,tabela_registros[TIPO],DADOS!$AJ$5,tabela_registros[CATEGORIA],reservaoutrosconsolidadoabr[[#This Row],[ATUAL]])</f>
        <v>0</v>
      </c>
      <c r="H213" s="91">
        <f>SUMIFS(tabela_registros[VALOR],tabela_registros[MÊS],$AE$1,tabela_registros[DIA],reservaoutrosconsolidadoabr[[#Headers],[4]],tabela_registros[REGISTRO],DADOS!$N$6,tabela_registros[TIPO],DADOS!$AJ$5,tabela_registros[CATEGORIA],reservaoutrosconsolidadoabr[[#This Row],[ATUAL]])</f>
        <v>0</v>
      </c>
      <c r="I213" s="91">
        <f>SUMIFS(tabela_registros[VALOR],tabela_registros[MÊS],$AE$1,tabela_registros[DIA],reservaoutrosconsolidadoabr[[#Headers],[5]],tabela_registros[REGISTRO],DADOS!$N$6,tabela_registros[TIPO],DADOS!$AJ$5,tabela_registros[CATEGORIA],reservaoutrosconsolidadoabr[[#This Row],[ATUAL]])</f>
        <v>0</v>
      </c>
      <c r="J213" s="91">
        <f>SUMIFS(tabela_registros[VALOR],tabela_registros[MÊS],$AE$1,tabela_registros[DIA],reservaoutrosconsolidadoabr[[#Headers],[6]],tabela_registros[REGISTRO],DADOS!$N$6,tabela_registros[TIPO],DADOS!$AJ$5,tabela_registros[CATEGORIA],reservaoutrosconsolidadoabr[[#This Row],[ATUAL]])</f>
        <v>0</v>
      </c>
      <c r="K213" s="91">
        <f>SUMIFS(tabela_registros[VALOR],tabela_registros[MÊS],$AE$1,tabela_registros[DIA],reservaoutrosconsolidadoabr[[#Headers],[7]],tabela_registros[REGISTRO],DADOS!$N$6,tabela_registros[TIPO],DADOS!$AJ$5,tabela_registros[CATEGORIA],reservaoutrosconsolidadoabr[[#This Row],[ATUAL]])</f>
        <v>0</v>
      </c>
      <c r="L213" s="91">
        <f>SUMIFS(tabela_registros[VALOR],tabela_registros[MÊS],$AE$1,tabela_registros[DIA],reservaoutrosconsolidadoabr[[#Headers],[8]],tabela_registros[REGISTRO],DADOS!$N$6,tabela_registros[TIPO],DADOS!$AJ$5,tabela_registros[CATEGORIA],reservaoutrosconsolidadoabr[[#This Row],[ATUAL]])</f>
        <v>0</v>
      </c>
      <c r="M213" s="91">
        <f>SUMIFS(tabela_registros[VALOR],tabela_registros[MÊS],$AE$1,tabela_registros[DIA],reservaoutrosconsolidadoabr[[#Headers],[9]],tabela_registros[REGISTRO],DADOS!$N$6,tabela_registros[TIPO],DADOS!$AJ$5,tabela_registros[CATEGORIA],reservaoutrosconsolidadoabr[[#This Row],[ATUAL]])</f>
        <v>0</v>
      </c>
      <c r="N213" s="91">
        <f>SUMIFS(tabela_registros[VALOR],tabela_registros[MÊS],$AE$1,tabela_registros[DIA],reservaoutrosconsolidadoabr[[#Headers],[10]],tabela_registros[REGISTRO],DADOS!$N$6,tabela_registros[TIPO],DADOS!$AJ$5,tabela_registros[CATEGORIA],reservaoutrosconsolidadoabr[[#This Row],[ATUAL]])</f>
        <v>0</v>
      </c>
      <c r="O213" s="91">
        <f>SUMIFS(tabela_registros[VALOR],tabela_registros[MÊS],$AE$1,tabela_registros[DIA],reservaoutrosconsolidadoabr[[#Headers],[11]],tabela_registros[REGISTRO],DADOS!$N$6,tabela_registros[TIPO],DADOS!$AJ$5,tabela_registros[CATEGORIA],reservaoutrosconsolidadoabr[[#This Row],[ATUAL]])</f>
        <v>0</v>
      </c>
      <c r="P213" s="91">
        <f>SUMIFS(tabela_registros[VALOR],tabela_registros[MÊS],$AE$1,tabela_registros[DIA],reservaoutrosconsolidadoabr[[#Headers],[12]],tabela_registros[REGISTRO],DADOS!$N$6,tabela_registros[TIPO],DADOS!$AJ$5,tabela_registros[CATEGORIA],reservaoutrosconsolidadoabr[[#This Row],[ATUAL]])</f>
        <v>0</v>
      </c>
      <c r="Q213" s="91">
        <f>SUMIFS(tabela_registros[VALOR],tabela_registros[MÊS],$AE$1,tabela_registros[DIA],reservaoutrosconsolidadoabr[[#Headers],[13]],tabela_registros[REGISTRO],DADOS!$N$6,tabela_registros[TIPO],DADOS!$AJ$5,tabela_registros[CATEGORIA],reservaoutrosconsolidadoabr[[#This Row],[ATUAL]])</f>
        <v>0</v>
      </c>
      <c r="R213" s="91">
        <f>SUMIFS(tabela_registros[VALOR],tabela_registros[MÊS],$AE$1,tabela_registros[DIA],reservaoutrosconsolidadoabr[[#Headers],[14]],tabela_registros[REGISTRO],DADOS!$N$6,tabela_registros[TIPO],DADOS!$AJ$5,tabela_registros[CATEGORIA],reservaoutrosconsolidadoabr[[#This Row],[ATUAL]])</f>
        <v>0</v>
      </c>
      <c r="S213" s="91">
        <f>SUMIFS(tabela_registros[VALOR],tabela_registros[MÊS],$AE$1,tabela_registros[DIA],reservaoutrosconsolidadoabr[[#Headers],[15]],tabela_registros[REGISTRO],DADOS!$N$6,tabela_registros[TIPO],DADOS!$AJ$5,tabela_registros[CATEGORIA],reservaoutrosconsolidadoabr[[#This Row],[ATUAL]])</f>
        <v>0</v>
      </c>
      <c r="T213" s="91">
        <f>SUMIFS(tabela_registros[VALOR],tabela_registros[MÊS],$AE$1,tabela_registros[DIA],reservaoutrosconsolidadoabr[[#Headers],[16]],tabela_registros[REGISTRO],DADOS!$N$6,tabela_registros[TIPO],DADOS!$AJ$5,tabela_registros[CATEGORIA],reservaoutrosconsolidadoabr[[#This Row],[ATUAL]])</f>
        <v>0</v>
      </c>
      <c r="U213" s="91">
        <f>SUMIFS(tabela_registros[VALOR],tabela_registros[MÊS],$AE$1,tabela_registros[DIA],reservaoutrosconsolidadoabr[[#Headers],[17]],tabela_registros[REGISTRO],DADOS!$N$6,tabela_registros[TIPO],DADOS!$AJ$5,tabela_registros[CATEGORIA],reservaoutrosconsolidadoabr[[#This Row],[ATUAL]])</f>
        <v>0</v>
      </c>
      <c r="V213" s="91">
        <f>SUMIFS(tabela_registros[VALOR],tabela_registros[MÊS],$AE$1,tabela_registros[DIA],reservaoutrosconsolidadoabr[[#Headers],[18]],tabela_registros[REGISTRO],DADOS!$N$6,tabela_registros[TIPO],DADOS!$AJ$5,tabela_registros[CATEGORIA],reservaoutrosconsolidadoabr[[#This Row],[ATUAL]])</f>
        <v>0</v>
      </c>
      <c r="W213" s="91">
        <f>SUMIFS(tabela_registros[VALOR],tabela_registros[MÊS],$AE$1,tabela_registros[DIA],reservaoutrosconsolidadoabr[[#Headers],[19]],tabela_registros[REGISTRO],DADOS!$N$6,tabela_registros[TIPO],DADOS!$AJ$5,tabela_registros[CATEGORIA],reservaoutrosconsolidadoabr[[#This Row],[ATUAL]])</f>
        <v>0</v>
      </c>
      <c r="X213" s="91">
        <f>SUMIFS(tabela_registros[VALOR],tabela_registros[MÊS],$AE$1,tabela_registros[DIA],reservaoutrosconsolidadoabr[[#Headers],[20]],tabela_registros[REGISTRO],DADOS!$N$6,tabela_registros[TIPO],DADOS!$AJ$5,tabela_registros[CATEGORIA],reservaoutrosconsolidadoabr[[#This Row],[ATUAL]])</f>
        <v>0</v>
      </c>
      <c r="Y213" s="91">
        <f>SUMIFS(tabela_registros[VALOR],tabela_registros[MÊS],$AE$1,tabela_registros[DIA],reservaoutrosconsolidadoabr[[#Headers],[21]],tabela_registros[REGISTRO],DADOS!$N$6,tabela_registros[TIPO],DADOS!$AJ$5,tabela_registros[CATEGORIA],reservaoutrosconsolidadoabr[[#This Row],[ATUAL]])</f>
        <v>0</v>
      </c>
      <c r="Z213" s="91">
        <f>SUMIFS(tabela_registros[VALOR],tabela_registros[MÊS],$AE$1,tabela_registros[DIA],reservaoutrosconsolidadoabr[[#Headers],[22]],tabela_registros[REGISTRO],DADOS!$N$6,tabela_registros[TIPO],DADOS!$AJ$5,tabela_registros[CATEGORIA],reservaoutrosconsolidadoabr[[#This Row],[ATUAL]])</f>
        <v>0</v>
      </c>
      <c r="AA213" s="91">
        <f>SUMIFS(tabela_registros[VALOR],tabela_registros[MÊS],$AE$1,tabela_registros[DIA],reservaoutrosconsolidadoabr[[#Headers],[23]],tabela_registros[REGISTRO],DADOS!$N$6,tabela_registros[TIPO],DADOS!$AJ$5,tabela_registros[CATEGORIA],reservaoutrosconsolidadoabr[[#This Row],[ATUAL]])</f>
        <v>0</v>
      </c>
      <c r="AB213" s="91">
        <f>SUMIFS(tabela_registros[VALOR],tabela_registros[MÊS],$AE$1,tabela_registros[DIA],reservaoutrosconsolidadoabr[[#Headers],[24]],tabela_registros[REGISTRO],DADOS!$N$6,tabela_registros[TIPO],DADOS!$AJ$5,tabela_registros[CATEGORIA],reservaoutrosconsolidadoabr[[#This Row],[ATUAL]])</f>
        <v>0</v>
      </c>
      <c r="AC213" s="91">
        <f>SUMIFS(tabela_registros[VALOR],tabela_registros[MÊS],$AE$1,tabela_registros[DIA],reservaoutrosconsolidadoabr[[#Headers],[25]],tabela_registros[REGISTRO],DADOS!$N$6,tabela_registros[TIPO],DADOS!$AJ$5,tabela_registros[CATEGORIA],reservaoutrosconsolidadoabr[[#This Row],[ATUAL]])</f>
        <v>0</v>
      </c>
      <c r="AD213" s="91">
        <f>SUMIFS(tabela_registros[VALOR],tabela_registros[MÊS],$AE$1,tabela_registros[DIA],reservaoutrosconsolidadoabr[[#Headers],[26]],tabela_registros[REGISTRO],DADOS!$N$6,tabela_registros[TIPO],DADOS!$AJ$5,tabela_registros[CATEGORIA],reservaoutrosconsolidadoabr[[#This Row],[ATUAL]])</f>
        <v>0</v>
      </c>
      <c r="AE213" s="91">
        <f>SUMIFS(tabela_registros[VALOR],tabela_registros[MÊS],$AE$1,tabela_registros[DIA],reservaoutrosconsolidadoabr[[#Headers],[27]],tabela_registros[REGISTRO],DADOS!$N$6,tabela_registros[TIPO],DADOS!$AJ$5,tabela_registros[CATEGORIA],reservaoutrosconsolidadoabr[[#This Row],[ATUAL]])</f>
        <v>0</v>
      </c>
      <c r="AF213" s="91">
        <f>SUMIFS(tabela_registros[VALOR],tabela_registros[MÊS],$AE$1,tabela_registros[DIA],reservaoutrosconsolidadoabr[[#Headers],[28]],tabela_registros[REGISTRO],DADOS!$N$6,tabela_registros[TIPO],DADOS!$AJ$5,tabela_registros[CATEGORIA],reservaoutrosconsolidadoabr[[#This Row],[ATUAL]])</f>
        <v>0</v>
      </c>
      <c r="AG213" s="91">
        <f>SUMIFS(tabela_registros[VALOR],tabela_registros[MÊS],$AE$1,tabela_registros[DIA],reservaoutrosconsolidadoabr[[#Headers],[29]],tabela_registros[REGISTRO],DADOS!$N$6,tabela_registros[TIPO],DADOS!$AJ$5,tabela_registros[CATEGORIA],reservaoutrosconsolidadoabr[[#This Row],[ATUAL]])</f>
        <v>0</v>
      </c>
      <c r="AH213" s="91">
        <f>SUMIFS(tabela_registros[VALOR],tabela_registros[MÊS],$AE$1,tabela_registros[DIA],reservaoutrosconsolidadoabr[[#Headers],[30]],tabela_registros[REGISTRO],DADOS!$N$6,tabela_registros[TIPO],DADOS!$AJ$5,tabela_registros[CATEGORIA],reservaoutrosconsolidadoabr[[#This Row],[ATUAL]])</f>
        <v>0</v>
      </c>
      <c r="AI213" s="102">
        <f>SUMIFS(tabela_registros[VALOR],tabela_registros[MÊS],$AE$1,tabela_registros[DIA],reservaoutrosconsolidadoabr[[#Headers],[31]],tabela_registros[REGISTRO],DADOS!$N$6,tabela_registros[TIPO],DADOS!$AJ$5,tabela_registros[CATEGORIA],reservaoutrosconsolidadoabr[[#This Row],[ATUAL]])</f>
        <v>0</v>
      </c>
      <c r="AJ213" s="97">
        <f>SUM(reservaoutrosconsolidadoabr[[#This Row],[1]:[31]])</f>
        <v>0</v>
      </c>
      <c r="AK213" s="25"/>
    </row>
    <row r="214" spans="2:37" s="16" customFormat="1" ht="21" customHeight="1" thickTop="1" thickBot="1" x14ac:dyDescent="0.35">
      <c r="B214" s="24"/>
      <c r="C214" s="23" t="s">
        <v>19</v>
      </c>
      <c r="D214" s="22"/>
      <c r="E214" s="21">
        <f>SUM(E206:E213)</f>
        <v>0</v>
      </c>
      <c r="F214" s="20">
        <f>SUM(F206:F213)+reservaoutrosconsolidadoabr[[#This Row],[1]]</f>
        <v>0</v>
      </c>
      <c r="G214" s="20">
        <f>SUM(G206:G213)+reservaoutrosconsolidadoabr[[#This Row],[2]]</f>
        <v>0</v>
      </c>
      <c r="H214" s="20">
        <f>SUM(H206:H213)+reservaoutrosconsolidadoabr[[#This Row],[3]]</f>
        <v>0</v>
      </c>
      <c r="I214" s="20">
        <f>SUM(I206:I213)+reservaoutrosconsolidadoabr[[#This Row],[4]]</f>
        <v>0</v>
      </c>
      <c r="J214" s="20">
        <f>SUM(J206:J213)+reservaoutrosconsolidadoabr[[#This Row],[5]]</f>
        <v>0</v>
      </c>
      <c r="K214" s="20">
        <f>SUM(K206:K213)+reservaoutrosconsolidadoabr[[#This Row],[6]]</f>
        <v>0</v>
      </c>
      <c r="L214" s="20">
        <f>SUM(L206:L213)+reservaoutrosconsolidadoabr[[#This Row],[7]]</f>
        <v>0</v>
      </c>
      <c r="M214" s="20">
        <f>SUM(M206:M213)+reservaoutrosconsolidadoabr[[#This Row],[8]]</f>
        <v>0</v>
      </c>
      <c r="N214" s="20">
        <f>SUM(N206:N213)+reservaoutrosconsolidadoabr[[#This Row],[9]]</f>
        <v>0</v>
      </c>
      <c r="O214" s="20">
        <f>SUM(O206:O213)+reservaoutrosconsolidadoabr[[#This Row],[10]]</f>
        <v>0</v>
      </c>
      <c r="P214" s="20">
        <f>SUM(P206:P213)+reservaoutrosconsolidadoabr[[#This Row],[11]]</f>
        <v>0</v>
      </c>
      <c r="Q214" s="20">
        <f>SUM(Q206:Q213)+reservaoutrosconsolidadoabr[[#This Row],[12]]</f>
        <v>0</v>
      </c>
      <c r="R214" s="20">
        <f>SUM(R206:R213)+reservaoutrosconsolidadoabr[[#This Row],[13]]</f>
        <v>0</v>
      </c>
      <c r="S214" s="20">
        <f>SUM(S206:S213)+reservaoutrosconsolidadoabr[[#This Row],[14]]</f>
        <v>0</v>
      </c>
      <c r="T214" s="20">
        <f>SUM(T206:T213)+reservaoutrosconsolidadoabr[[#This Row],[15]]</f>
        <v>0</v>
      </c>
      <c r="U214" s="20">
        <f>SUM(U206:U213)+reservaoutrosconsolidadoabr[[#This Row],[16]]</f>
        <v>0</v>
      </c>
      <c r="V214" s="20">
        <f>SUM(V206:V213)+reservaoutrosconsolidadoabr[[#This Row],[17]]</f>
        <v>0</v>
      </c>
      <c r="W214" s="20">
        <f>SUM(W206:W213)+reservaoutrosconsolidadoabr[[#This Row],[18]]</f>
        <v>0</v>
      </c>
      <c r="X214" s="20">
        <f>SUM(X206:X213)+reservaoutrosconsolidadoabr[[#This Row],[19]]</f>
        <v>0</v>
      </c>
      <c r="Y214" s="20">
        <f>SUM(Y206:Y213)+reservaoutrosconsolidadoabr[[#This Row],[20]]</f>
        <v>0</v>
      </c>
      <c r="Z214" s="20">
        <f>SUM(Z206:Z213)+reservaoutrosconsolidadoabr[[#This Row],[21]]</f>
        <v>0</v>
      </c>
      <c r="AA214" s="20">
        <f>SUM(AA206:AA213)+reservaoutrosconsolidadoabr[[#This Row],[22]]</f>
        <v>0</v>
      </c>
      <c r="AB214" s="20">
        <f>SUM(AB206:AB213)+reservaoutrosconsolidadoabr[[#This Row],[23]]</f>
        <v>0</v>
      </c>
      <c r="AC214" s="20">
        <f>SUM(AC206:AC213)+reservaoutrosconsolidadoabr[[#This Row],[24]]</f>
        <v>0</v>
      </c>
      <c r="AD214" s="20">
        <f>SUM(AD206:AD213)+reservaoutrosconsolidadoabr[[#This Row],[25]]</f>
        <v>0</v>
      </c>
      <c r="AE214" s="20">
        <f>SUM(AE206:AE213)+reservaoutrosconsolidadoabr[[#This Row],[26]]</f>
        <v>0</v>
      </c>
      <c r="AF214" s="20">
        <f>SUM(AF206:AF213)+reservaoutrosconsolidadoabr[[#This Row],[27]]</f>
        <v>0</v>
      </c>
      <c r="AG214" s="20">
        <f>SUM(AG206:AG213)+reservaoutrosconsolidadoabr[[#This Row],[28]]</f>
        <v>0</v>
      </c>
      <c r="AH214" s="20">
        <f>SUM(AH206:AH213)+reservaoutrosconsolidadoabr[[#This Row],[29]]</f>
        <v>0</v>
      </c>
      <c r="AI214" s="19">
        <f>SUM(AI206:AI213)+reservaoutrosconsolidadoabr[[#This Row],[30]]</f>
        <v>0</v>
      </c>
      <c r="AJ214" s="18">
        <f>reservaoutrosconsolidadoabr[[#This Row],[31]]</f>
        <v>0</v>
      </c>
      <c r="AK214" s="17"/>
    </row>
    <row r="215" spans="2:37" ht="6.75" customHeight="1" thickTop="1" thickBot="1" x14ac:dyDescent="0.3">
      <c r="B215" s="15"/>
      <c r="C215" s="14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3"/>
      <c r="AE215" s="13"/>
      <c r="AF215" s="13"/>
      <c r="AG215" s="13"/>
      <c r="AH215" s="13"/>
      <c r="AI215" s="12"/>
      <c r="AJ215" s="11"/>
      <c r="AK215" s="10"/>
    </row>
    <row r="216" spans="2:37" ht="12.6" thickTop="1" x14ac:dyDescent="0.25"/>
    <row r="217" spans="2:37" x14ac:dyDescent="0.25"/>
  </sheetData>
  <sheetProtection algorithmName="SHA-512" hashValue="Zlz98W45ZmXxo/rp+MT7WkkJaEpqnXsGX0FU8lrBPrHbxmDzW/VMSA02IPvqmbTY1De31EuZ3GcHUCJhACcnhQ==" saltValue="vdJ0LBYOYqIIiLCB47CRNw==" spinCount="100000" sheet="1" objects="1" scenarios="1" selectLockedCells="1" selectUnlockedCells="1"/>
  <mergeCells count="26">
    <mergeCell ref="E202:AI202"/>
    <mergeCell ref="E10:AI10"/>
    <mergeCell ref="E21:AI21"/>
    <mergeCell ref="E33:AI33"/>
    <mergeCell ref="E56:AI56"/>
    <mergeCell ref="E78:AI78"/>
    <mergeCell ref="E92:AI92"/>
    <mergeCell ref="E109:AI109"/>
    <mergeCell ref="E128:AI128"/>
    <mergeCell ref="E147:AI147"/>
    <mergeCell ref="E164:AI164"/>
    <mergeCell ref="E183:AI183"/>
    <mergeCell ref="Z3:AA4"/>
    <mergeCell ref="AC3:AD4"/>
    <mergeCell ref="AF3:AG4"/>
    <mergeCell ref="E4:G4"/>
    <mergeCell ref="I4:K4"/>
    <mergeCell ref="M4:O4"/>
    <mergeCell ref="Q4:S4"/>
    <mergeCell ref="U4:W4"/>
    <mergeCell ref="U3:W3"/>
    <mergeCell ref="C2:C6"/>
    <mergeCell ref="E3:G3"/>
    <mergeCell ref="I3:K3"/>
    <mergeCell ref="M3:O3"/>
    <mergeCell ref="Q3:S3"/>
  </mergeCells>
  <hyperlinks>
    <hyperlink ref="Z3:AA4" location="'🔒'!A1" display="REGISTROS" xr:uid="{D15E3196-577D-485F-922D-1BC720F893FD}"/>
    <hyperlink ref="AF3:AG4" location="ANUAL!A1" display="ANUAL" xr:uid="{1B12A4B3-F3D9-4331-8FF2-3DC32D0F477D}"/>
    <hyperlink ref="AC3:AD4" location="'📈'!A1" display="RADAR" xr:uid="{66CF59C0-F5D3-4246-9877-7B7973512439}"/>
  </hyperlinks>
  <pageMargins left="0.511811024" right="0.511811024" top="0.78740157499999996" bottom="0.78740157499999996" header="0.31496062000000002" footer="0.31496062000000002"/>
  <ignoredErrors>
    <ignoredError sqref="E6:AH6" numberStoredAsText="1"/>
    <ignoredError sqref="AJ16:AJ27 D37:AJ214" calculatedColumn="1"/>
  </ignoredErrors>
  <drawing r:id="rId1"/>
  <tableParts count="12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</tableParts>
  <extLst>
    <ext xmlns:x14="http://schemas.microsoft.com/office/spreadsheetml/2009/9/main" uri="{05C60535-1F16-4fd2-B633-F4F36F0B64E0}">
      <x14:sparklineGroups xmlns:xm="http://schemas.microsoft.com/office/excel/2006/main">
        <x14:sparklineGroup manualMax="0" type="column" displayEmptyCellsAs="gap" high="1" negative="1" maxAxisType="group" xr2:uid="{D65D24D4-CA74-4075-B7E6-C21FA6102A0C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'4'!E16:AI16</xm:f>
              <xm:sqref>E10</xm:sqref>
            </x14:sparkline>
          </x14:sparklines>
        </x14:sparklineGroup>
        <x14:sparklineGroup manualMax="0" manualMin="0" type="column" displayEmptyCellsAs="gap" high="1" low="1" negative="1" minAxisType="custom" maxAxisType="group" xr2:uid="{9CB59879-DA54-4784-818D-633CFD7C169A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'4'!E214:AI214</xm:f>
              <xm:sqref>E202</xm:sqref>
            </x14:sparkline>
          </x14:sparklines>
        </x14:sparklineGroup>
        <x14:sparklineGroup manualMax="0" manualMin="0" type="column" displayEmptyCellsAs="gap" high="1" low="1" negative="1" minAxisType="custom" maxAxisType="group" xr2:uid="{BEA27A44-2D68-4330-9ACD-143D90ECDB0F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'4'!E197:AI197</xm:f>
              <xm:sqref>E183</xm:sqref>
            </x14:sparkline>
          </x14:sparklines>
        </x14:sparklineGroup>
        <x14:sparklineGroup manualMax="0" manualMin="0" type="column" displayEmptyCellsAs="gap" high="1" low="1" negative="1" minAxisType="custom" maxAxisType="group" xr2:uid="{94B7F627-5BFA-4598-BF00-5F0502225EC1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'4'!E178:AI178</xm:f>
              <xm:sqref>E164</xm:sqref>
            </x14:sparkline>
          </x14:sparklines>
        </x14:sparklineGroup>
        <x14:sparklineGroup manualMax="0" manualMin="0" type="column" displayEmptyCellsAs="gap" high="1" low="1" negative="1" minAxisType="custom" maxAxisType="group" xr2:uid="{1A172D4D-FABB-44E2-9FC5-AD73E1A19825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'4'!E159:AI159</xm:f>
              <xm:sqref>E147</xm:sqref>
            </x14:sparkline>
          </x14:sparklines>
        </x14:sparklineGroup>
        <x14:sparklineGroup manualMax="0" manualMin="0" type="column" displayEmptyCellsAs="gap" high="1" low="1" negative="1" minAxisType="custom" maxAxisType="group" xr2:uid="{36566B20-FDCB-495A-A2CA-4A3EC6C5AE98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'4'!E142:AI142</xm:f>
              <xm:sqref>E128</xm:sqref>
            </x14:sparkline>
          </x14:sparklines>
        </x14:sparklineGroup>
        <x14:sparklineGroup manualMax="0" manualMin="0" type="column" displayEmptyCellsAs="gap" high="1" low="1" negative="1" minAxisType="custom" maxAxisType="group" xr2:uid="{55CE0557-37F5-4D82-8D27-0C47DE3D4A10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'4'!E123:AI123</xm:f>
              <xm:sqref>E109</xm:sqref>
            </x14:sparkline>
          </x14:sparklines>
        </x14:sparklineGroup>
        <x14:sparklineGroup manualMax="0" manualMin="0" type="column" displayEmptyCellsAs="gap" high="1" low="1" negative="1" minAxisType="custom" maxAxisType="group" xr2:uid="{8AB129C7-99AA-406A-A9A9-680D70EABB4B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'4'!E104:AI104</xm:f>
              <xm:sqref>E92</xm:sqref>
            </x14:sparkline>
          </x14:sparklines>
        </x14:sparklineGroup>
        <x14:sparklineGroup manualMax="0" manualMin="0" type="column" displayEmptyCellsAs="gap" high="1" low="1" negative="1" minAxisType="custom" maxAxisType="group" xr2:uid="{DB9DA125-CB5E-4913-B4B3-EEB0A4049093}">
          <x14:colorSeries rgb="FFC00000"/>
          <x14:colorNegative rgb="FFC00000"/>
          <x14:colorAxis rgb="FF000000"/>
          <x14:colorMarkers rgb="FF0070C0"/>
          <x14:colorFirst rgb="FFFFC000"/>
          <x14:colorLast rgb="FFFFC000"/>
          <x14:colorHigh rgb="FFFF0000"/>
          <x14:colorLow rgb="FFFFC000"/>
          <x14:sparklines>
            <x14:sparkline>
              <xm:f>'4'!E51:AI51</xm:f>
              <xm:sqref>E33</xm:sqref>
            </x14:sparkline>
          </x14:sparklines>
        </x14:sparklineGroup>
        <x14:sparklineGroup manualMax="0" manualMin="0" type="column" displayEmptyCellsAs="gap" high="1" low="1" negative="1" minAxisType="custom" maxAxisType="group" xr2:uid="{2E46F5BD-D15A-4263-9498-DCD26DB2D872}">
          <x14:colorSeries rgb="FFC00000"/>
          <x14:colorNegative rgb="FFC00000"/>
          <x14:colorAxis rgb="FF000000"/>
          <x14:colorMarkers rgb="FF0070C0"/>
          <x14:colorFirst rgb="FFFFC000"/>
          <x14:colorLast rgb="FFFFC000"/>
          <x14:colorHigh rgb="FFFF0000"/>
          <x14:colorLow rgb="FFFFC000"/>
          <x14:sparklines>
            <x14:sparkline>
              <xm:f>'4'!E73:AI73</xm:f>
              <xm:sqref>E56</xm:sqref>
            </x14:sparkline>
          </x14:sparklines>
        </x14:sparklineGroup>
        <x14:sparklineGroup manualMax="0" manualMin="0" type="column" displayEmptyCellsAs="gap" high="1" low="1" negative="1" minAxisType="custom" maxAxisType="group" xr2:uid="{434A8F58-A259-40B1-8071-AE505C5D1097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'4'!E87:AI87</xm:f>
              <xm:sqref>E78</xm:sqref>
            </x14:sparkline>
          </x14:sparklines>
        </x14:sparklineGroup>
        <x14:sparklineGroup manualMax="0" manualMin="0" type="column" displayEmptyCellsAs="gap" high="1" low="1" negative="1" minAxisType="custom" maxAxisType="group" xr2:uid="{206777F8-BE21-4268-88A7-CF91884607A0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'4'!E27:AI27</xm:f>
              <xm:sqref>E21</xm:sqref>
            </x14:sparkline>
          </x14:sparklines>
        </x14:sparklineGroup>
      </x14:sparklineGroup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3BD34D-6037-4345-8872-6369C8C81F5F}">
  <sheetPr codeName="Planilha9">
    <tabColor rgb="FFFFEBAB"/>
  </sheetPr>
  <dimension ref="A1:AL217"/>
  <sheetViews>
    <sheetView showGridLines="0" showRowColHeaders="0" showZeros="0" zoomScale="85" zoomScaleNormal="85" workbookViewId="0">
      <pane xSplit="3" ySplit="6" topLeftCell="D7" activePane="bottomRight" state="frozen"/>
      <selection activeCell="D24" sqref="D24"/>
      <selection pane="topRight" activeCell="D24" sqref="D24"/>
      <selection pane="bottomLeft" activeCell="D24" sqref="D24"/>
      <selection pane="bottomRight" activeCell="D24" sqref="D24"/>
    </sheetView>
  </sheetViews>
  <sheetFormatPr defaultColWidth="0" defaultRowHeight="12" zeroHeight="1" x14ac:dyDescent="0.25"/>
  <cols>
    <col min="1" max="1" width="2.109375" style="4" customWidth="1"/>
    <col min="2" max="2" width="1.5546875" style="4" customWidth="1"/>
    <col min="3" max="3" width="29.33203125" style="4" bestFit="1" customWidth="1"/>
    <col min="4" max="4" width="4.6640625" style="4" customWidth="1"/>
    <col min="5" max="34" width="5.5546875" style="4" customWidth="1"/>
    <col min="35" max="35" width="5.5546875" style="9" customWidth="1"/>
    <col min="36" max="36" width="9.5546875" style="4" customWidth="1"/>
    <col min="37" max="37" width="1.5546875" style="4" customWidth="1"/>
    <col min="38" max="38" width="2" style="4" customWidth="1"/>
    <col min="39" max="16384" width="2.109375" style="4" hidden="1"/>
  </cols>
  <sheetData>
    <row r="1" spans="1:38" ht="29.25" hidden="1" customHeight="1" thickBot="1" x14ac:dyDescent="0.3">
      <c r="A1" s="80"/>
      <c r="B1" s="80"/>
      <c r="C1" s="80"/>
      <c r="D1" s="79"/>
      <c r="AD1" s="4" t="s">
        <v>215</v>
      </c>
      <c r="AE1" s="78">
        <v>5</v>
      </c>
      <c r="AH1" s="4" t="s">
        <v>214</v>
      </c>
      <c r="AI1" s="75">
        <f>IF('⚙️'!$Q$3=$AE$1,'⚙️'!$F$13,0)</f>
        <v>0</v>
      </c>
      <c r="AK1" s="75"/>
    </row>
    <row r="2" spans="1:38" ht="15.75" customHeight="1" thickTop="1" thickBot="1" x14ac:dyDescent="0.3">
      <c r="A2" s="77"/>
      <c r="B2" s="77"/>
      <c r="C2" s="245" t="s">
        <v>79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71"/>
      <c r="U2" s="71"/>
      <c r="V2" s="71"/>
      <c r="W2" s="71"/>
      <c r="X2" s="71"/>
      <c r="Y2" s="71"/>
      <c r="Z2" s="71"/>
      <c r="AA2" s="71"/>
      <c r="AB2" s="71"/>
      <c r="AC2" s="76"/>
      <c r="AD2" s="64"/>
      <c r="AE2" s="64"/>
      <c r="AF2" s="64"/>
      <c r="AG2" s="64"/>
      <c r="AH2" s="64"/>
      <c r="AI2" s="64"/>
      <c r="AJ2" s="64"/>
      <c r="AK2" s="64"/>
      <c r="AL2" s="64"/>
    </row>
    <row r="3" spans="1:38" s="73" customFormat="1" ht="18" customHeight="1" thickTop="1" thickBot="1" x14ac:dyDescent="0.3">
      <c r="A3" s="72"/>
      <c r="B3" s="72"/>
      <c r="C3" s="246"/>
      <c r="D3" s="2"/>
      <c r="E3" s="243" t="s">
        <v>211</v>
      </c>
      <c r="F3" s="243"/>
      <c r="G3" s="243"/>
      <c r="H3" s="71"/>
      <c r="I3" s="243" t="s">
        <v>210</v>
      </c>
      <c r="J3" s="243"/>
      <c r="K3" s="243"/>
      <c r="L3" s="71"/>
      <c r="M3" s="243" t="s">
        <v>209</v>
      </c>
      <c r="N3" s="243"/>
      <c r="O3" s="243"/>
      <c r="P3" s="71"/>
      <c r="Q3" s="243" t="s">
        <v>208</v>
      </c>
      <c r="R3" s="243"/>
      <c r="S3" s="243"/>
      <c r="T3" s="71"/>
      <c r="U3" s="243" t="s">
        <v>207</v>
      </c>
      <c r="V3" s="243"/>
      <c r="W3" s="243"/>
      <c r="X3" s="71"/>
      <c r="Y3" s="71"/>
      <c r="Z3" s="252" t="s">
        <v>23</v>
      </c>
      <c r="AA3" s="253"/>
      <c r="AB3" s="64"/>
      <c r="AC3" s="252" t="s">
        <v>24</v>
      </c>
      <c r="AD3" s="253"/>
      <c r="AE3" s="64"/>
      <c r="AF3" s="252" t="s">
        <v>22</v>
      </c>
      <c r="AG3" s="253"/>
      <c r="AH3" s="74"/>
      <c r="AI3" s="74"/>
      <c r="AJ3" s="74"/>
      <c r="AK3" s="64"/>
      <c r="AL3" s="64"/>
    </row>
    <row r="4" spans="1:38" s="73" customFormat="1" ht="18" customHeight="1" thickTop="1" thickBot="1" x14ac:dyDescent="0.3">
      <c r="A4" s="72"/>
      <c r="B4" s="72"/>
      <c r="C4" s="246"/>
      <c r="D4" s="2"/>
      <c r="E4" s="242">
        <f>$AJ$16</f>
        <v>556</v>
      </c>
      <c r="F4" s="242"/>
      <c r="G4" s="242"/>
      <c r="H4" s="71"/>
      <c r="I4" s="242">
        <f>$AJ$14</f>
        <v>556</v>
      </c>
      <c r="J4" s="242"/>
      <c r="K4" s="242"/>
      <c r="L4" s="71"/>
      <c r="M4" s="242">
        <f>$AJ$15</f>
        <v>0</v>
      </c>
      <c r="N4" s="242"/>
      <c r="O4" s="242"/>
      <c r="P4" s="71"/>
      <c r="Q4" s="242">
        <f>$AJ$25</f>
        <v>0</v>
      </c>
      <c r="R4" s="242"/>
      <c r="S4" s="242"/>
      <c r="T4" s="71"/>
      <c r="U4" s="242">
        <f>$AJ$26</f>
        <v>0</v>
      </c>
      <c r="V4" s="242"/>
      <c r="W4" s="242"/>
      <c r="X4" s="71"/>
      <c r="Y4" s="71"/>
      <c r="Z4" s="254"/>
      <c r="AA4" s="255"/>
      <c r="AB4" s="64"/>
      <c r="AC4" s="254"/>
      <c r="AD4" s="255"/>
      <c r="AE4" s="64"/>
      <c r="AF4" s="254"/>
      <c r="AG4" s="255"/>
      <c r="AH4" s="74"/>
      <c r="AI4" s="74"/>
      <c r="AJ4" s="74"/>
      <c r="AK4" s="64"/>
      <c r="AL4" s="64"/>
    </row>
    <row r="5" spans="1:38" ht="11.25" customHeight="1" thickTop="1" thickBot="1" x14ac:dyDescent="0.3">
      <c r="A5" s="72"/>
      <c r="B5" s="72"/>
      <c r="C5" s="246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71"/>
      <c r="Y5" s="2"/>
      <c r="Z5" s="2"/>
      <c r="AA5" s="71"/>
      <c r="AB5" s="71"/>
      <c r="AC5" s="70"/>
      <c r="AD5" s="69"/>
      <c r="AE5" s="69"/>
      <c r="AF5" s="69"/>
      <c r="AG5" s="69"/>
      <c r="AH5" s="69"/>
      <c r="AI5" s="69"/>
      <c r="AJ5" s="64"/>
      <c r="AK5" s="64"/>
      <c r="AL5" s="64"/>
    </row>
    <row r="6" spans="1:38" ht="13.5" customHeight="1" thickTop="1" thickBot="1" x14ac:dyDescent="0.3">
      <c r="A6" s="68"/>
      <c r="B6" s="68"/>
      <c r="C6" s="247"/>
      <c r="D6" s="15"/>
      <c r="E6" s="67" t="s">
        <v>197</v>
      </c>
      <c r="F6" s="67" t="s">
        <v>196</v>
      </c>
      <c r="G6" s="66" t="s">
        <v>195</v>
      </c>
      <c r="H6" s="66" t="s">
        <v>194</v>
      </c>
      <c r="I6" s="66" t="s">
        <v>193</v>
      </c>
      <c r="J6" s="66" t="s">
        <v>192</v>
      </c>
      <c r="K6" s="66" t="s">
        <v>191</v>
      </c>
      <c r="L6" s="66" t="s">
        <v>190</v>
      </c>
      <c r="M6" s="66" t="s">
        <v>189</v>
      </c>
      <c r="N6" s="66" t="s">
        <v>188</v>
      </c>
      <c r="O6" s="66" t="s">
        <v>187</v>
      </c>
      <c r="P6" s="66" t="s">
        <v>186</v>
      </c>
      <c r="Q6" s="66" t="s">
        <v>185</v>
      </c>
      <c r="R6" s="66" t="s">
        <v>184</v>
      </c>
      <c r="S6" s="66" t="s">
        <v>183</v>
      </c>
      <c r="T6" s="66" t="s">
        <v>182</v>
      </c>
      <c r="U6" s="66" t="s">
        <v>181</v>
      </c>
      <c r="V6" s="66" t="s">
        <v>180</v>
      </c>
      <c r="W6" s="66" t="s">
        <v>179</v>
      </c>
      <c r="X6" s="66" t="s">
        <v>178</v>
      </c>
      <c r="Y6" s="66" t="s">
        <v>177</v>
      </c>
      <c r="Z6" s="66" t="s">
        <v>176</v>
      </c>
      <c r="AA6" s="66" t="s">
        <v>175</v>
      </c>
      <c r="AB6" s="66" t="s">
        <v>174</v>
      </c>
      <c r="AC6" s="66" t="s">
        <v>173</v>
      </c>
      <c r="AD6" s="66" t="s">
        <v>172</v>
      </c>
      <c r="AE6" s="66" t="s">
        <v>171</v>
      </c>
      <c r="AF6" s="66" t="s">
        <v>170</v>
      </c>
      <c r="AG6" s="66" t="s">
        <v>169</v>
      </c>
      <c r="AH6" s="66" t="s">
        <v>168</v>
      </c>
      <c r="AI6" s="65" t="s">
        <v>167</v>
      </c>
      <c r="AJ6" s="64"/>
      <c r="AK6" s="64"/>
      <c r="AL6" s="64"/>
    </row>
    <row r="7" spans="1:38" ht="12.6" thickTop="1" x14ac:dyDescent="0.25">
      <c r="E7" s="37"/>
      <c r="AI7" s="4"/>
    </row>
    <row r="8" spans="1:38" x14ac:dyDescent="0.25">
      <c r="AI8" s="4"/>
    </row>
    <row r="9" spans="1:38" x14ac:dyDescent="0.25">
      <c r="AI9" s="4"/>
    </row>
    <row r="10" spans="1:38" ht="39.75" customHeight="1" x14ac:dyDescent="0.7">
      <c r="C10" s="36"/>
      <c r="E10" s="240"/>
      <c r="F10" s="240"/>
      <c r="G10" s="240"/>
      <c r="H10" s="240"/>
      <c r="I10" s="240"/>
      <c r="J10" s="240"/>
      <c r="K10" s="240"/>
      <c r="L10" s="240"/>
      <c r="M10" s="240"/>
      <c r="N10" s="240"/>
      <c r="O10" s="240"/>
      <c r="P10" s="240"/>
      <c r="Q10" s="240"/>
      <c r="R10" s="240"/>
      <c r="S10" s="240"/>
      <c r="T10" s="240"/>
      <c r="U10" s="240"/>
      <c r="V10" s="240"/>
      <c r="W10" s="240"/>
      <c r="X10" s="240"/>
      <c r="Y10" s="240"/>
      <c r="Z10" s="240"/>
      <c r="AA10" s="240"/>
      <c r="AB10" s="240"/>
      <c r="AC10" s="240"/>
      <c r="AD10" s="240"/>
      <c r="AE10" s="240"/>
      <c r="AF10" s="240"/>
      <c r="AG10" s="240"/>
      <c r="AH10" s="240"/>
      <c r="AI10" s="240"/>
      <c r="AJ10" s="32" t="s">
        <v>19</v>
      </c>
    </row>
    <row r="11" spans="1:38" ht="12.6" thickBot="1" x14ac:dyDescent="0.3">
      <c r="AI11" s="4"/>
      <c r="AJ11" s="34" t="s">
        <v>202</v>
      </c>
    </row>
    <row r="12" spans="1:38" ht="6.75" customHeight="1" thickTop="1" thickBot="1" x14ac:dyDescent="0.3">
      <c r="B12" s="49"/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49"/>
      <c r="X12" s="49"/>
      <c r="Y12" s="49"/>
      <c r="Z12" s="49"/>
      <c r="AA12" s="49"/>
      <c r="AB12" s="49"/>
      <c r="AC12" s="49"/>
      <c r="AD12" s="49"/>
      <c r="AE12" s="49"/>
      <c r="AF12" s="49"/>
      <c r="AG12" s="49"/>
      <c r="AH12" s="49"/>
      <c r="AI12" s="49"/>
      <c r="AJ12" s="50"/>
      <c r="AK12" s="49"/>
    </row>
    <row r="13" spans="1:38" ht="13.2" hidden="1" thickTop="1" thickBot="1" x14ac:dyDescent="0.3">
      <c r="B13" s="2"/>
      <c r="C13" s="31" t="s">
        <v>199</v>
      </c>
      <c r="D13" s="30" t="s">
        <v>198</v>
      </c>
      <c r="E13" s="30" t="s">
        <v>197</v>
      </c>
      <c r="F13" s="30" t="s">
        <v>196</v>
      </c>
      <c r="G13" s="30" t="s">
        <v>195</v>
      </c>
      <c r="H13" s="30" t="s">
        <v>194</v>
      </c>
      <c r="I13" s="30" t="s">
        <v>193</v>
      </c>
      <c r="J13" s="30" t="s">
        <v>192</v>
      </c>
      <c r="K13" s="30" t="s">
        <v>191</v>
      </c>
      <c r="L13" s="30" t="s">
        <v>190</v>
      </c>
      <c r="M13" s="30" t="s">
        <v>189</v>
      </c>
      <c r="N13" s="30" t="s">
        <v>188</v>
      </c>
      <c r="O13" s="30" t="s">
        <v>187</v>
      </c>
      <c r="P13" s="30" t="s">
        <v>186</v>
      </c>
      <c r="Q13" s="30" t="s">
        <v>185</v>
      </c>
      <c r="R13" s="30" t="s">
        <v>184</v>
      </c>
      <c r="S13" s="30" t="s">
        <v>183</v>
      </c>
      <c r="T13" s="30" t="s">
        <v>182</v>
      </c>
      <c r="U13" s="30" t="s">
        <v>181</v>
      </c>
      <c r="V13" s="30" t="s">
        <v>180</v>
      </c>
      <c r="W13" s="30" t="s">
        <v>179</v>
      </c>
      <c r="X13" s="30" t="s">
        <v>178</v>
      </c>
      <c r="Y13" s="30" t="s">
        <v>177</v>
      </c>
      <c r="Z13" s="30" t="s">
        <v>176</v>
      </c>
      <c r="AA13" s="30" t="s">
        <v>175</v>
      </c>
      <c r="AB13" s="30" t="s">
        <v>174</v>
      </c>
      <c r="AC13" s="30" t="s">
        <v>173</v>
      </c>
      <c r="AD13" s="30" t="s">
        <v>172</v>
      </c>
      <c r="AE13" s="30" t="s">
        <v>171</v>
      </c>
      <c r="AF13" s="30" t="s">
        <v>170</v>
      </c>
      <c r="AG13" s="30" t="s">
        <v>169</v>
      </c>
      <c r="AH13" s="30" t="s">
        <v>168</v>
      </c>
      <c r="AI13" s="30" t="s">
        <v>167</v>
      </c>
      <c r="AJ13" s="29" t="s">
        <v>166</v>
      </c>
      <c r="AK13" s="49"/>
    </row>
    <row r="14" spans="1:38" ht="19.5" customHeight="1" thickTop="1" thickBot="1" x14ac:dyDescent="0.3">
      <c r="B14" s="49"/>
      <c r="C14" s="61" t="s">
        <v>206</v>
      </c>
      <c r="D14" s="60"/>
      <c r="E14" s="88">
        <f>SUMIFS(tabela_registros[VALOR],tabela_registros[MÊS],$AE$1,tabela_registros[DIA],maitotal30597183[[#Headers],[1]],tabela_registros[REGISTRO],DADOS!$N$3)</f>
        <v>0</v>
      </c>
      <c r="F14" s="88">
        <f>SUMIFS(tabela_registros[VALOR],tabela_registros[MÊS],$AE$1,tabela_registros[DIA],maitotal30597183[[#Headers],[2]],tabela_registros[REGISTRO],DADOS!$N$3)</f>
        <v>0</v>
      </c>
      <c r="G14" s="88">
        <f>SUMIFS(tabela_registros[VALOR],tabela_registros[MÊS],$AE$1,tabela_registros[DIA],maitotal30597183[[#Headers],[3]],tabela_registros[REGISTRO],DADOS!$N$3)</f>
        <v>326</v>
      </c>
      <c r="H14" s="88">
        <f>SUMIFS(tabela_registros[VALOR],tabela_registros[MÊS],$AE$1,tabela_registros[DIA],maitotal30597183[[#Headers],[4]],tabela_registros[REGISTRO],DADOS!$N$3)</f>
        <v>0</v>
      </c>
      <c r="I14" s="88">
        <f>SUMIFS(tabela_registros[VALOR],tabela_registros[MÊS],$AE$1,tabela_registros[DIA],maitotal30597183[[#Headers],[5]],tabela_registros[REGISTRO],DADOS!$N$3)</f>
        <v>0</v>
      </c>
      <c r="J14" s="88">
        <f>SUMIFS(tabela_registros[VALOR],tabela_registros[MÊS],$AE$1,tabela_registros[DIA],maitotal30597183[[#Headers],[6]],tabela_registros[REGISTRO],DADOS!$N$3)</f>
        <v>0</v>
      </c>
      <c r="K14" s="88">
        <f>SUMIFS(tabela_registros[VALOR],tabela_registros[MÊS],$AE$1,tabela_registros[DIA],maitotal30597183[[#Headers],[7]],tabela_registros[REGISTRO],DADOS!$N$3)</f>
        <v>0</v>
      </c>
      <c r="L14" s="88">
        <f>SUMIFS(tabela_registros[VALOR],tabela_registros[MÊS],$AE$1,tabela_registros[DIA],maitotal30597183[[#Headers],[8]],tabela_registros[REGISTRO],DADOS!$N$3)</f>
        <v>0</v>
      </c>
      <c r="M14" s="88">
        <f>SUMIFS(tabela_registros[VALOR],tabela_registros[MÊS],$AE$1,tabela_registros[DIA],maitotal30597183[[#Headers],[9]],tabela_registros[REGISTRO],DADOS!$N$3)</f>
        <v>0</v>
      </c>
      <c r="N14" s="88">
        <f>SUMIFS(tabela_registros[VALOR],tabela_registros[MÊS],$AE$1,tabela_registros[DIA],maitotal30597183[[#Headers],[10]],tabela_registros[REGISTRO],DADOS!$N$3)</f>
        <v>0</v>
      </c>
      <c r="O14" s="88">
        <f>SUMIFS(tabela_registros[VALOR],tabela_registros[MÊS],$AE$1,tabela_registros[DIA],maitotal30597183[[#Headers],[11]],tabela_registros[REGISTRO],DADOS!$N$3)</f>
        <v>0</v>
      </c>
      <c r="P14" s="88">
        <f>SUMIFS(tabela_registros[VALOR],tabela_registros[MÊS],$AE$1,tabela_registros[DIA],maitotal30597183[[#Headers],[12]],tabela_registros[REGISTRO],DADOS!$N$3)</f>
        <v>0</v>
      </c>
      <c r="Q14" s="88">
        <f>SUMIFS(tabela_registros[VALOR],tabela_registros[MÊS],$AE$1,tabela_registros[DIA],maitotal30597183[[#Headers],[13]],tabela_registros[REGISTRO],DADOS!$N$3)</f>
        <v>0</v>
      </c>
      <c r="R14" s="88">
        <f>SUMIFS(tabela_registros[VALOR],tabela_registros[MÊS],$AE$1,tabela_registros[DIA],maitotal30597183[[#Headers],[14]],tabela_registros[REGISTRO],DADOS!$N$3)</f>
        <v>0</v>
      </c>
      <c r="S14" s="88">
        <f>SUMIFS(tabela_registros[VALOR],tabela_registros[MÊS],$AE$1,tabela_registros[DIA],maitotal30597183[[#Headers],[15]],tabela_registros[REGISTRO],DADOS!$N$3)</f>
        <v>0</v>
      </c>
      <c r="T14" s="88">
        <f>SUMIFS(tabela_registros[VALOR],tabela_registros[MÊS],$AE$1,tabela_registros[DIA],maitotal30597183[[#Headers],[16]],tabela_registros[REGISTRO],DADOS!$N$3)</f>
        <v>230</v>
      </c>
      <c r="U14" s="88">
        <f>SUMIFS(tabela_registros[VALOR],tabela_registros[MÊS],$AE$1,tabela_registros[DIA],maitotal30597183[[#Headers],[17]],tabela_registros[REGISTRO],DADOS!$N$3)</f>
        <v>0</v>
      </c>
      <c r="V14" s="88">
        <f>SUMIFS(tabela_registros[VALOR],tabela_registros[MÊS],$AE$1,tabela_registros[DIA],maitotal30597183[[#Headers],[18]],tabela_registros[REGISTRO],DADOS!$N$3)</f>
        <v>0</v>
      </c>
      <c r="W14" s="88">
        <f>SUMIFS(tabela_registros[VALOR],tabela_registros[MÊS],$AE$1,tabela_registros[DIA],maitotal30597183[[#Headers],[19]],tabela_registros[REGISTRO],DADOS!$N$3)</f>
        <v>0</v>
      </c>
      <c r="X14" s="88">
        <f>SUMIFS(tabela_registros[VALOR],tabela_registros[MÊS],$AE$1,tabela_registros[DIA],maitotal30597183[[#Headers],[20]],tabela_registros[REGISTRO],DADOS!$N$3)</f>
        <v>0</v>
      </c>
      <c r="Y14" s="88">
        <f>SUMIFS(tabela_registros[VALOR],tabela_registros[MÊS],$AE$1,tabela_registros[DIA],maitotal30597183[[#Headers],[21]],tabela_registros[REGISTRO],DADOS!$N$3)</f>
        <v>0</v>
      </c>
      <c r="Z14" s="88">
        <f>SUMIFS(tabela_registros[VALOR],tabela_registros[MÊS],$AE$1,tabela_registros[DIA],maitotal30597183[[#Headers],[22]],tabela_registros[REGISTRO],DADOS!$N$3)</f>
        <v>0</v>
      </c>
      <c r="AA14" s="88">
        <f>SUMIFS(tabela_registros[VALOR],tabela_registros[MÊS],$AE$1,tabela_registros[DIA],maitotal30597183[[#Headers],[23]],tabela_registros[REGISTRO],DADOS!$N$3)</f>
        <v>0</v>
      </c>
      <c r="AB14" s="88">
        <f>SUMIFS(tabela_registros[VALOR],tabela_registros[MÊS],$AE$1,tabela_registros[DIA],maitotal30597183[[#Headers],[24]],tabela_registros[REGISTRO],DADOS!$N$3)</f>
        <v>0</v>
      </c>
      <c r="AC14" s="88">
        <f>SUMIFS(tabela_registros[VALOR],tabela_registros[MÊS],$AE$1,tabela_registros[DIA],maitotal30597183[[#Headers],[25]],tabela_registros[REGISTRO],DADOS!$N$3)</f>
        <v>0</v>
      </c>
      <c r="AD14" s="88">
        <f>SUMIFS(tabela_registros[VALOR],tabela_registros[MÊS],$AE$1,tabela_registros[DIA],maitotal30597183[[#Headers],[26]],tabela_registros[REGISTRO],DADOS!$N$3)</f>
        <v>0</v>
      </c>
      <c r="AE14" s="88">
        <f>SUMIFS(tabela_registros[VALOR],tabela_registros[MÊS],$AE$1,tabela_registros[DIA],maitotal30597183[[#Headers],[27]],tabela_registros[REGISTRO],DADOS!$N$3)</f>
        <v>0</v>
      </c>
      <c r="AF14" s="88">
        <f>SUMIFS(tabela_registros[VALOR],tabela_registros[MÊS],$AE$1,tabela_registros[DIA],maitotal30597183[[#Headers],[28]],tabela_registros[REGISTRO],DADOS!$N$3)</f>
        <v>0</v>
      </c>
      <c r="AG14" s="88">
        <f>SUMIFS(tabela_registros[VALOR],tabela_registros[MÊS],$AE$1,tabela_registros[DIA],maitotal30597183[[#Headers],[29]],tabela_registros[REGISTRO],DADOS!$N$3)</f>
        <v>0</v>
      </c>
      <c r="AH14" s="88">
        <f>SUMIFS(tabela_registros[VALOR],tabela_registros[MÊS],$AE$1,tabela_registros[DIA],maitotal30597183[[#Headers],[30]],tabela_registros[REGISTRO],DADOS!$N$3)</f>
        <v>0</v>
      </c>
      <c r="AI14" s="89">
        <f>SUMIFS(tabela_registros[VALOR],tabela_registros[MÊS],$AE$1,tabela_registros[DIA],maitotal30597183[[#Headers],[31]],tabela_registros[REGISTRO],DADOS!$N$3)</f>
        <v>0</v>
      </c>
      <c r="AJ14" s="90">
        <f>SUM(maitotal30597183[[#This Row],[1]:[31]])</f>
        <v>556</v>
      </c>
      <c r="AK14" s="49"/>
    </row>
    <row r="15" spans="1:38" ht="18" customHeight="1" thickTop="1" thickBot="1" x14ac:dyDescent="0.3">
      <c r="B15" s="49"/>
      <c r="C15" s="61" t="s">
        <v>205</v>
      </c>
      <c r="D15" s="60"/>
      <c r="E15" s="91">
        <f>SUMIFS(tabela_registros[VALOR],tabela_registros[MÊS],$AE$1,tabela_registros[DIA],maitotal30597183[[#Headers],[1]],tabela_registros[REGISTRO],DADOS!$N$4)</f>
        <v>0</v>
      </c>
      <c r="F15" s="91">
        <f>SUMIFS(tabela_registros[VALOR],tabela_registros[MÊS],$AE$1,tabela_registros[DIA],maitotal30597183[[#Headers],[2]],tabela_registros[REGISTRO],DADOS!$N$4)</f>
        <v>0</v>
      </c>
      <c r="G15" s="91">
        <f>SUMIFS(tabela_registros[VALOR],tabela_registros[MÊS],$AE$1,tabela_registros[DIA],maitotal30597183[[#Headers],[3]],tabela_registros[REGISTRO],DADOS!$N$4)</f>
        <v>0</v>
      </c>
      <c r="H15" s="91">
        <f>SUMIFS(tabela_registros[VALOR],tabela_registros[MÊS],$AE$1,tabela_registros[DIA],maitotal30597183[[#Headers],[4]],tabela_registros[REGISTRO],DADOS!$N$4)</f>
        <v>0</v>
      </c>
      <c r="I15" s="91">
        <f>SUMIFS(tabela_registros[VALOR],tabela_registros[MÊS],$AE$1,tabela_registros[DIA],maitotal30597183[[#Headers],[5]],tabela_registros[REGISTRO],DADOS!$N$4)</f>
        <v>0</v>
      </c>
      <c r="J15" s="91">
        <f>SUMIFS(tabela_registros[VALOR],tabela_registros[MÊS],$AE$1,tabela_registros[DIA],maitotal30597183[[#Headers],[6]],tabela_registros[REGISTRO],DADOS!$N$4)</f>
        <v>0</v>
      </c>
      <c r="K15" s="91">
        <f>SUMIFS(tabela_registros[VALOR],tabela_registros[MÊS],$AE$1,tabela_registros[DIA],maitotal30597183[[#Headers],[7]],tabela_registros[REGISTRO],DADOS!$N$4)</f>
        <v>0</v>
      </c>
      <c r="L15" s="91">
        <f>SUMIFS(tabela_registros[VALOR],tabela_registros[MÊS],$AE$1,tabela_registros[DIA],maitotal30597183[[#Headers],[8]],tabela_registros[REGISTRO],DADOS!$N$4)</f>
        <v>0</v>
      </c>
      <c r="M15" s="91">
        <f>SUMIFS(tabela_registros[VALOR],tabela_registros[MÊS],$AE$1,tabela_registros[DIA],maitotal30597183[[#Headers],[9]],tabela_registros[REGISTRO],DADOS!$N$4)</f>
        <v>0</v>
      </c>
      <c r="N15" s="91">
        <f>SUMIFS(tabela_registros[VALOR],tabela_registros[MÊS],$AE$1,tabela_registros[DIA],maitotal30597183[[#Headers],[10]],tabela_registros[REGISTRO],DADOS!$N$4)</f>
        <v>0</v>
      </c>
      <c r="O15" s="91">
        <f>SUMIFS(tabela_registros[VALOR],tabela_registros[MÊS],$AE$1,tabela_registros[DIA],maitotal30597183[[#Headers],[11]],tabela_registros[REGISTRO],DADOS!$N$4)</f>
        <v>0</v>
      </c>
      <c r="P15" s="91">
        <f>SUMIFS(tabela_registros[VALOR],tabela_registros[MÊS],$AE$1,tabela_registros[DIA],maitotal30597183[[#Headers],[12]],tabela_registros[REGISTRO],DADOS!$N$4)</f>
        <v>0</v>
      </c>
      <c r="Q15" s="91">
        <f>SUMIFS(tabela_registros[VALOR],tabela_registros[MÊS],$AE$1,tabela_registros[DIA],maitotal30597183[[#Headers],[13]],tabela_registros[REGISTRO],DADOS!$N$4)</f>
        <v>0</v>
      </c>
      <c r="R15" s="91">
        <f>SUMIFS(tabela_registros[VALOR],tabela_registros[MÊS],$AE$1,tabela_registros[DIA],maitotal30597183[[#Headers],[14]],tabela_registros[REGISTRO],DADOS!$N$4)</f>
        <v>0</v>
      </c>
      <c r="S15" s="91">
        <f>SUMIFS(tabela_registros[VALOR],tabela_registros[MÊS],$AE$1,tabela_registros[DIA],maitotal30597183[[#Headers],[15]],tabela_registros[REGISTRO],DADOS!$N$4)</f>
        <v>0</v>
      </c>
      <c r="T15" s="91">
        <f>SUMIFS(tabela_registros[VALOR],tabela_registros[MÊS],$AE$1,tabela_registros[DIA],maitotal30597183[[#Headers],[16]],tabela_registros[REGISTRO],DADOS!$N$4)</f>
        <v>0</v>
      </c>
      <c r="U15" s="91">
        <f>SUMIFS(tabela_registros[VALOR],tabela_registros[MÊS],$AE$1,tabela_registros[DIA],maitotal30597183[[#Headers],[17]],tabela_registros[REGISTRO],DADOS!$N$4)</f>
        <v>0</v>
      </c>
      <c r="V15" s="91">
        <f>SUMIFS(tabela_registros[VALOR],tabela_registros[MÊS],$AE$1,tabela_registros[DIA],maitotal30597183[[#Headers],[18]],tabela_registros[REGISTRO],DADOS!$N$4)</f>
        <v>0</v>
      </c>
      <c r="W15" s="91">
        <f>SUMIFS(tabela_registros[VALOR],tabela_registros[MÊS],$AE$1,tabela_registros[DIA],maitotal30597183[[#Headers],[19]],tabela_registros[REGISTRO],DADOS!$N$4)</f>
        <v>0</v>
      </c>
      <c r="X15" s="91">
        <f>SUMIFS(tabela_registros[VALOR],tabela_registros[MÊS],$AE$1,tabela_registros[DIA],maitotal30597183[[#Headers],[20]],tabela_registros[REGISTRO],DADOS!$N$4)</f>
        <v>0</v>
      </c>
      <c r="Y15" s="91">
        <f>SUMIFS(tabela_registros[VALOR],tabela_registros[MÊS],$AE$1,tabela_registros[DIA],maitotal30597183[[#Headers],[21]],tabela_registros[REGISTRO],DADOS!$N$4)</f>
        <v>0</v>
      </c>
      <c r="Z15" s="91">
        <f>SUMIFS(tabela_registros[VALOR],tabela_registros[MÊS],$AE$1,tabela_registros[DIA],maitotal30597183[[#Headers],[22]],tabela_registros[REGISTRO],DADOS!$N$4)</f>
        <v>0</v>
      </c>
      <c r="AA15" s="91">
        <f>SUMIFS(tabela_registros[VALOR],tabela_registros[MÊS],$AE$1,tabela_registros[DIA],maitotal30597183[[#Headers],[23]],tabela_registros[REGISTRO],DADOS!$N$4)</f>
        <v>0</v>
      </c>
      <c r="AB15" s="91">
        <f>SUMIFS(tabela_registros[VALOR],tabela_registros[MÊS],$AE$1,tabela_registros[DIA],maitotal30597183[[#Headers],[24]],tabela_registros[REGISTRO],DADOS!$N$4)</f>
        <v>0</v>
      </c>
      <c r="AC15" s="91">
        <f>SUMIFS(tabela_registros[VALOR],tabela_registros[MÊS],$AE$1,tabela_registros[DIA],maitotal30597183[[#Headers],[25]],tabela_registros[REGISTRO],DADOS!$N$4)</f>
        <v>0</v>
      </c>
      <c r="AD15" s="91">
        <f>SUMIFS(tabela_registros[VALOR],tabela_registros[MÊS],$AE$1,tabela_registros[DIA],maitotal30597183[[#Headers],[26]],tabela_registros[REGISTRO],DADOS!$N$4)</f>
        <v>0</v>
      </c>
      <c r="AE15" s="91">
        <f>SUMIFS(tabela_registros[VALOR],tabela_registros[MÊS],$AE$1,tabela_registros[DIA],maitotal30597183[[#Headers],[27]],tabela_registros[REGISTRO],DADOS!$N$4)</f>
        <v>0</v>
      </c>
      <c r="AF15" s="91">
        <f>SUMIFS(tabela_registros[VALOR],tabela_registros[MÊS],$AE$1,tabela_registros[DIA],maitotal30597183[[#Headers],[28]],tabela_registros[REGISTRO],DADOS!$N$4)</f>
        <v>0</v>
      </c>
      <c r="AG15" s="91">
        <f>SUMIFS(tabela_registros[VALOR],tabela_registros[MÊS],$AE$1,tabela_registros[DIA],maitotal30597183[[#Headers],[29]],tabela_registros[REGISTRO],DADOS!$N$4)</f>
        <v>0</v>
      </c>
      <c r="AH15" s="91">
        <f>SUMIFS(tabela_registros[VALOR],tabela_registros[MÊS],$AE$1,tabela_registros[DIA],maitotal30597183[[#Headers],[30]],tabela_registros[REGISTRO],DADOS!$N$4)</f>
        <v>0</v>
      </c>
      <c r="AI15" s="92">
        <f>SUMIFS(tabela_registros[VALOR],tabela_registros[MÊS],$AE$1,tabela_registros[DIA],maitotal30597183[[#Headers],[31]],tabela_registros[REGISTRO],DADOS!$N$4)</f>
        <v>0</v>
      </c>
      <c r="AJ15" s="93">
        <f>SUM(maitotal30597183[[#This Row],[1]:[31]])</f>
        <v>0</v>
      </c>
      <c r="AK15" s="49"/>
    </row>
    <row r="16" spans="1:38" s="16" customFormat="1" ht="21" customHeight="1" thickTop="1" thickBot="1" x14ac:dyDescent="0.35">
      <c r="B16" s="52"/>
      <c r="C16" s="57" t="s">
        <v>204</v>
      </c>
      <c r="D16" s="63"/>
      <c r="E16" s="55">
        <f>(E14-E15)+AI1</f>
        <v>0</v>
      </c>
      <c r="F16" s="54">
        <f>maitotal30597183[[#This Row],[1]]+(F14-F15)</f>
        <v>0</v>
      </c>
      <c r="G16" s="54">
        <f>maitotal30597183[[#This Row],[2]]+(G14-G15)</f>
        <v>326</v>
      </c>
      <c r="H16" s="54">
        <f>maitotal30597183[[#This Row],[3]]+(H14-H15)</f>
        <v>326</v>
      </c>
      <c r="I16" s="54">
        <f>maitotal30597183[[#This Row],[4]]+(I14-I15)</f>
        <v>326</v>
      </c>
      <c r="J16" s="54">
        <f>maitotal30597183[[#This Row],[5]]+(J14-J15)</f>
        <v>326</v>
      </c>
      <c r="K16" s="54">
        <f>maitotal30597183[[#This Row],[6]]+(K14-K15)</f>
        <v>326</v>
      </c>
      <c r="L16" s="54">
        <f>maitotal30597183[[#This Row],[7]]+(L14-L15)</f>
        <v>326</v>
      </c>
      <c r="M16" s="54">
        <f>maitotal30597183[[#This Row],[8]]+(M14-M15)</f>
        <v>326</v>
      </c>
      <c r="N16" s="54">
        <f>maitotal30597183[[#This Row],[9]]+(N14-N15)</f>
        <v>326</v>
      </c>
      <c r="O16" s="54">
        <f>maitotal30597183[[#This Row],[10]]+(O14-O15)</f>
        <v>326</v>
      </c>
      <c r="P16" s="54">
        <f>maitotal30597183[[#This Row],[11]]+(P14-P15)</f>
        <v>326</v>
      </c>
      <c r="Q16" s="54">
        <f>maitotal30597183[[#This Row],[12]]+(Q14-Q15)</f>
        <v>326</v>
      </c>
      <c r="R16" s="54">
        <f>maitotal30597183[[#This Row],[13]]+(R14-R15)</f>
        <v>326</v>
      </c>
      <c r="S16" s="54">
        <f>maitotal30597183[[#This Row],[14]]+(S14-S15)</f>
        <v>326</v>
      </c>
      <c r="T16" s="54">
        <f>maitotal30597183[[#This Row],[15]]+(T14-T15)</f>
        <v>556</v>
      </c>
      <c r="U16" s="54">
        <f>maitotal30597183[[#This Row],[16]]+(U14-U15)</f>
        <v>556</v>
      </c>
      <c r="V16" s="54">
        <f>maitotal30597183[[#This Row],[17]]+(V14-V15)</f>
        <v>556</v>
      </c>
      <c r="W16" s="54">
        <f>maitotal30597183[[#This Row],[18]]+(W14-W15)</f>
        <v>556</v>
      </c>
      <c r="X16" s="54">
        <f>maitotal30597183[[#This Row],[19]]+(X14-X15)</f>
        <v>556</v>
      </c>
      <c r="Y16" s="54">
        <f>maitotal30597183[[#This Row],[20]]+(Y14-Y15)</f>
        <v>556</v>
      </c>
      <c r="Z16" s="54">
        <f>maitotal30597183[[#This Row],[21]]+(Z14-Z15)</f>
        <v>556</v>
      </c>
      <c r="AA16" s="54">
        <f>maitotal30597183[[#This Row],[22]]+(AA14-AA15)</f>
        <v>556</v>
      </c>
      <c r="AB16" s="54">
        <f>maitotal30597183[[#This Row],[23]]+(AB14-AB15)</f>
        <v>556</v>
      </c>
      <c r="AC16" s="54">
        <f>maitotal30597183[[#This Row],[24]]+(AC14-AC15)</f>
        <v>556</v>
      </c>
      <c r="AD16" s="54">
        <f>maitotal30597183[[#This Row],[25]]+(AD14-AD15)</f>
        <v>556</v>
      </c>
      <c r="AE16" s="54">
        <f>maitotal30597183[[#This Row],[26]]+(AE14-AE15)</f>
        <v>556</v>
      </c>
      <c r="AF16" s="54">
        <f>maitotal30597183[[#This Row],[27]]+(AF14-AF15)</f>
        <v>556</v>
      </c>
      <c r="AG16" s="54">
        <f>maitotal30597183[[#This Row],[28]]+(AG14-AG15)</f>
        <v>556</v>
      </c>
      <c r="AH16" s="54">
        <f>maitotal30597183[[#This Row],[29]]+(AH14-AH15)</f>
        <v>556</v>
      </c>
      <c r="AI16" s="62">
        <f>maitotal30597183[[#This Row],[30]]+(AI14-AI15)</f>
        <v>556</v>
      </c>
      <c r="AJ16" s="53">
        <f>maitotal30597183[[#This Row],[31]]</f>
        <v>556</v>
      </c>
      <c r="AK16" s="52"/>
    </row>
    <row r="17" spans="1:37" ht="6.75" customHeight="1" thickTop="1" thickBot="1" x14ac:dyDescent="0.3">
      <c r="B17" s="49"/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49"/>
      <c r="X17" s="49"/>
      <c r="Y17" s="49"/>
      <c r="Z17" s="49"/>
      <c r="AA17" s="49"/>
      <c r="AB17" s="49"/>
      <c r="AC17" s="49"/>
      <c r="AD17" s="49"/>
      <c r="AE17" s="49"/>
      <c r="AF17" s="49"/>
      <c r="AG17" s="49"/>
      <c r="AH17" s="49"/>
      <c r="AI17" s="50"/>
      <c r="AJ17" s="49"/>
      <c r="AK17" s="49"/>
    </row>
    <row r="18" spans="1:37" ht="12.6" thickTop="1" x14ac:dyDescent="0.25">
      <c r="C18" s="46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  <c r="AH18" s="47"/>
      <c r="AI18" s="47"/>
    </row>
    <row r="19" spans="1:37" x14ac:dyDescent="0.25">
      <c r="C19" s="46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  <c r="AA19" s="47"/>
      <c r="AB19" s="47"/>
      <c r="AC19" s="47"/>
      <c r="AD19" s="47"/>
      <c r="AE19" s="47"/>
      <c r="AF19" s="47"/>
      <c r="AG19" s="47"/>
      <c r="AH19" s="47"/>
      <c r="AI19" s="47"/>
    </row>
    <row r="20" spans="1:37" x14ac:dyDescent="0.25">
      <c r="A20" s="46"/>
      <c r="B20" s="46"/>
      <c r="C20" s="46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  <c r="AA20" s="47"/>
      <c r="AB20" s="47"/>
      <c r="AC20" s="47"/>
      <c r="AD20" s="47"/>
      <c r="AE20" s="47"/>
      <c r="AF20" s="47"/>
      <c r="AG20" s="47"/>
      <c r="AH20" s="47"/>
      <c r="AI20" s="47"/>
    </row>
    <row r="21" spans="1:37" ht="39.75" customHeight="1" x14ac:dyDescent="0.25">
      <c r="A21" s="46"/>
      <c r="B21" s="46"/>
      <c r="C21" s="46"/>
      <c r="E21" s="240"/>
      <c r="F21" s="240"/>
      <c r="G21" s="240"/>
      <c r="H21" s="240"/>
      <c r="I21" s="240"/>
      <c r="J21" s="240"/>
      <c r="K21" s="240"/>
      <c r="L21" s="240"/>
      <c r="M21" s="240"/>
      <c r="N21" s="240"/>
      <c r="O21" s="240"/>
      <c r="P21" s="240"/>
      <c r="Q21" s="240"/>
      <c r="R21" s="240"/>
      <c r="S21" s="240"/>
      <c r="T21" s="240"/>
      <c r="U21" s="240"/>
      <c r="V21" s="240"/>
      <c r="W21" s="240"/>
      <c r="X21" s="240"/>
      <c r="Y21" s="240"/>
      <c r="Z21" s="240"/>
      <c r="AA21" s="240"/>
      <c r="AB21" s="240"/>
      <c r="AC21" s="240"/>
      <c r="AD21" s="240"/>
      <c r="AE21" s="240"/>
      <c r="AF21" s="240"/>
      <c r="AG21" s="240"/>
      <c r="AH21" s="240"/>
      <c r="AI21" s="240"/>
      <c r="AJ21" s="32" t="s">
        <v>19</v>
      </c>
    </row>
    <row r="22" spans="1:37" ht="11.25" customHeight="1" thickBot="1" x14ac:dyDescent="0.75">
      <c r="C22" s="36"/>
      <c r="AI22" s="4"/>
      <c r="AJ22" s="34" t="s">
        <v>202</v>
      </c>
    </row>
    <row r="23" spans="1:37" ht="6.75" customHeight="1" thickTop="1" thickBot="1" x14ac:dyDescent="0.3">
      <c r="B23" s="49"/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49"/>
      <c r="X23" s="49"/>
      <c r="Y23" s="49"/>
      <c r="Z23" s="49"/>
      <c r="AA23" s="49"/>
      <c r="AB23" s="49"/>
      <c r="AC23" s="49"/>
      <c r="AD23" s="49"/>
      <c r="AE23" s="49"/>
      <c r="AF23" s="49"/>
      <c r="AG23" s="49"/>
      <c r="AH23" s="49"/>
      <c r="AI23" s="49"/>
      <c r="AJ23" s="50"/>
      <c r="AK23" s="49"/>
    </row>
    <row r="24" spans="1:37" ht="13.2" hidden="1" thickTop="1" thickBot="1" x14ac:dyDescent="0.3">
      <c r="B24" s="2"/>
      <c r="C24" s="30" t="s">
        <v>199</v>
      </c>
      <c r="D24" s="49" t="s">
        <v>198</v>
      </c>
      <c r="E24" s="30" t="s">
        <v>197</v>
      </c>
      <c r="F24" s="30" t="s">
        <v>196</v>
      </c>
      <c r="G24" s="30" t="s">
        <v>195</v>
      </c>
      <c r="H24" s="30" t="s">
        <v>194</v>
      </c>
      <c r="I24" s="30" t="s">
        <v>193</v>
      </c>
      <c r="J24" s="30" t="s">
        <v>192</v>
      </c>
      <c r="K24" s="30" t="s">
        <v>191</v>
      </c>
      <c r="L24" s="30" t="s">
        <v>190</v>
      </c>
      <c r="M24" s="30" t="s">
        <v>189</v>
      </c>
      <c r="N24" s="30" t="s">
        <v>188</v>
      </c>
      <c r="O24" s="30" t="s">
        <v>187</v>
      </c>
      <c r="P24" s="30" t="s">
        <v>186</v>
      </c>
      <c r="Q24" s="30" t="s">
        <v>185</v>
      </c>
      <c r="R24" s="30" t="s">
        <v>184</v>
      </c>
      <c r="S24" s="30" t="s">
        <v>183</v>
      </c>
      <c r="T24" s="30" t="s">
        <v>182</v>
      </c>
      <c r="U24" s="30" t="s">
        <v>181</v>
      </c>
      <c r="V24" s="30" t="s">
        <v>180</v>
      </c>
      <c r="W24" s="30" t="s">
        <v>179</v>
      </c>
      <c r="X24" s="30" t="s">
        <v>178</v>
      </c>
      <c r="Y24" s="30" t="s">
        <v>177</v>
      </c>
      <c r="Z24" s="30" t="s">
        <v>176</v>
      </c>
      <c r="AA24" s="30" t="s">
        <v>175</v>
      </c>
      <c r="AB24" s="30" t="s">
        <v>174</v>
      </c>
      <c r="AC24" s="30" t="s">
        <v>173</v>
      </c>
      <c r="AD24" s="30" t="s">
        <v>172</v>
      </c>
      <c r="AE24" s="30" t="s">
        <v>171</v>
      </c>
      <c r="AF24" s="30" t="s">
        <v>170</v>
      </c>
      <c r="AG24" s="30" t="s">
        <v>169</v>
      </c>
      <c r="AH24" s="30" t="s">
        <v>168</v>
      </c>
      <c r="AI24" s="30" t="s">
        <v>167</v>
      </c>
      <c r="AJ24" s="29" t="s">
        <v>166</v>
      </c>
      <c r="AK24" s="49"/>
    </row>
    <row r="25" spans="1:37" ht="19.5" customHeight="1" thickTop="1" thickBot="1" x14ac:dyDescent="0.3">
      <c r="B25" s="49"/>
      <c r="C25" s="61" t="s">
        <v>7</v>
      </c>
      <c r="D25" s="60"/>
      <c r="E25" s="88">
        <f>SUMIFS(tabela_registros[VALOR],tabela_registros[MÊS],$AE$1,tabela_registros[DIA],maitotal30597183[[#Headers],[1]],tabela_registros[REGISTRO],DADOS!$N$5)</f>
        <v>0</v>
      </c>
      <c r="F25" s="88">
        <f>SUMIFS(tabela_registros[VALOR],tabela_registros[MÊS],$AE$1,tabela_registros[DIA],maitotal30597183[[#Headers],[2]],tabela_registros[REGISTRO],DADOS!$N$5)</f>
        <v>0</v>
      </c>
      <c r="G25" s="88">
        <f>SUMIFS(tabela_registros[VALOR],tabela_registros[MÊS],$AE$1,tabela_registros[DIA],maitotal30597183[[#Headers],[3]],tabela_registros[REGISTRO],DADOS!$N$5)</f>
        <v>0</v>
      </c>
      <c r="H25" s="88">
        <f>SUMIFS(tabela_registros[VALOR],tabela_registros[MÊS],$AE$1,tabela_registros[DIA],maitotal30597183[[#Headers],[4]],tabela_registros[REGISTRO],DADOS!$N$5)</f>
        <v>0</v>
      </c>
      <c r="I25" s="88">
        <f>SUMIFS(tabela_registros[VALOR],tabela_registros[MÊS],$AE$1,tabela_registros[DIA],maitotal30597183[[#Headers],[5]],tabela_registros[REGISTRO],DADOS!$N$5)</f>
        <v>0</v>
      </c>
      <c r="J25" s="88">
        <f>SUMIFS(tabela_registros[VALOR],tabela_registros[MÊS],$AE$1,tabela_registros[DIA],maitotal30597183[[#Headers],[6]],tabela_registros[REGISTRO],DADOS!$N$5)</f>
        <v>0</v>
      </c>
      <c r="K25" s="88">
        <f>SUMIFS(tabela_registros[VALOR],tabela_registros[MÊS],$AE$1,tabela_registros[DIA],maitotal30597183[[#Headers],[7]],tabela_registros[REGISTRO],DADOS!$N$5)</f>
        <v>0</v>
      </c>
      <c r="L25" s="88">
        <f>SUMIFS(tabela_registros[VALOR],tabela_registros[MÊS],$AE$1,tabela_registros[DIA],maitotal30597183[[#Headers],[8]],tabela_registros[REGISTRO],DADOS!$N$5)</f>
        <v>0</v>
      </c>
      <c r="M25" s="88">
        <f>SUMIFS(tabela_registros[VALOR],tabela_registros[MÊS],$AE$1,tabela_registros[DIA],maitotal30597183[[#Headers],[9]],tabela_registros[REGISTRO],DADOS!$N$5)</f>
        <v>0</v>
      </c>
      <c r="N25" s="88">
        <f>SUMIFS(tabela_registros[VALOR],tabela_registros[MÊS],$AE$1,tabela_registros[DIA],maitotal30597183[[#Headers],[10]],tabela_registros[REGISTRO],DADOS!$N$5)</f>
        <v>0</v>
      </c>
      <c r="O25" s="88">
        <f>SUMIFS(tabela_registros[VALOR],tabela_registros[MÊS],$AE$1,tabela_registros[DIA],maitotal30597183[[#Headers],[11]],tabela_registros[REGISTRO],DADOS!$N$5)</f>
        <v>0</v>
      </c>
      <c r="P25" s="88">
        <f>SUMIFS(tabela_registros[VALOR],tabela_registros[MÊS],$AE$1,tabela_registros[DIA],maitotal30597183[[#Headers],[12]],tabela_registros[REGISTRO],DADOS!$N$5)</f>
        <v>0</v>
      </c>
      <c r="Q25" s="88">
        <f>SUMIFS(tabela_registros[VALOR],tabela_registros[MÊS],$AE$1,tabela_registros[DIA],maitotal30597183[[#Headers],[13]],tabela_registros[REGISTRO],DADOS!$N$5)</f>
        <v>0</v>
      </c>
      <c r="R25" s="88">
        <f>SUMIFS(tabela_registros[VALOR],tabela_registros[MÊS],$AE$1,tabela_registros[DIA],maitotal30597183[[#Headers],[14]],tabela_registros[REGISTRO],DADOS!$N$5)</f>
        <v>0</v>
      </c>
      <c r="S25" s="88">
        <f>SUMIFS(tabela_registros[VALOR],tabela_registros[MÊS],$AE$1,tabela_registros[DIA],maitotal30597183[[#Headers],[15]],tabela_registros[REGISTRO],DADOS!$N$5)</f>
        <v>0</v>
      </c>
      <c r="T25" s="88">
        <f>SUMIFS(tabela_registros[VALOR],tabela_registros[MÊS],$AE$1,tabela_registros[DIA],maitotal30597183[[#Headers],[16]],tabela_registros[REGISTRO],DADOS!$N$5)</f>
        <v>0</v>
      </c>
      <c r="U25" s="88">
        <f>SUMIFS(tabela_registros[VALOR],tabela_registros[MÊS],$AE$1,tabela_registros[DIA],maitotal30597183[[#Headers],[17]],tabela_registros[REGISTRO],DADOS!$N$5)</f>
        <v>0</v>
      </c>
      <c r="V25" s="88">
        <f>SUMIFS(tabela_registros[VALOR],tabela_registros[MÊS],$AE$1,tabela_registros[DIA],maitotal30597183[[#Headers],[18]],tabela_registros[REGISTRO],DADOS!$N$5)</f>
        <v>0</v>
      </c>
      <c r="W25" s="88">
        <f>SUMIFS(tabela_registros[VALOR],tabela_registros[MÊS],$AE$1,tabela_registros[DIA],maitotal30597183[[#Headers],[19]],tabela_registros[REGISTRO],DADOS!$N$5)</f>
        <v>0</v>
      </c>
      <c r="X25" s="88">
        <f>SUMIFS(tabela_registros[VALOR],tabela_registros[MÊS],$AE$1,tabela_registros[DIA],maitotal30597183[[#Headers],[20]],tabela_registros[REGISTRO],DADOS!$N$5)</f>
        <v>0</v>
      </c>
      <c r="Y25" s="88">
        <f>SUMIFS(tabela_registros[VALOR],tabela_registros[MÊS],$AE$1,tabela_registros[DIA],maitotal30597183[[#Headers],[21]],tabela_registros[REGISTRO],DADOS!$N$5)</f>
        <v>0</v>
      </c>
      <c r="Z25" s="88">
        <f>SUMIFS(tabela_registros[VALOR],tabela_registros[MÊS],$AE$1,tabela_registros[DIA],maitotal30597183[[#Headers],[22]],tabela_registros[REGISTRO],DADOS!$N$5)</f>
        <v>0</v>
      </c>
      <c r="AA25" s="88">
        <f>SUMIFS(tabela_registros[VALOR],tabela_registros[MÊS],$AE$1,tabela_registros[DIA],maitotal30597183[[#Headers],[23]],tabela_registros[REGISTRO],DADOS!$N$5)</f>
        <v>0</v>
      </c>
      <c r="AB25" s="88">
        <f>SUMIFS(tabela_registros[VALOR],tabela_registros[MÊS],$AE$1,tabela_registros[DIA],maitotal30597183[[#Headers],[24]],tabela_registros[REGISTRO],DADOS!$N$5)</f>
        <v>0</v>
      </c>
      <c r="AC25" s="88">
        <f>SUMIFS(tabela_registros[VALOR],tabela_registros[MÊS],$AE$1,tabela_registros[DIA],maitotal30597183[[#Headers],[25]],tabela_registros[REGISTRO],DADOS!$N$5)</f>
        <v>0</v>
      </c>
      <c r="AD25" s="88">
        <f>SUMIFS(tabela_registros[VALOR],tabela_registros[MÊS],$AE$1,tabela_registros[DIA],maitotal30597183[[#Headers],[26]],tabela_registros[REGISTRO],DADOS!$N$5)</f>
        <v>0</v>
      </c>
      <c r="AE25" s="88">
        <f>SUMIFS(tabela_registros[VALOR],tabela_registros[MÊS],$AE$1,tabela_registros[DIA],maitotal30597183[[#Headers],[27]],tabela_registros[REGISTRO],DADOS!$N$5)</f>
        <v>0</v>
      </c>
      <c r="AF25" s="88">
        <f>SUMIFS(tabela_registros[VALOR],tabela_registros[MÊS],$AE$1,tabela_registros[DIA],maitotal30597183[[#Headers],[28]],tabela_registros[REGISTRO],DADOS!$N$5)</f>
        <v>0</v>
      </c>
      <c r="AG25" s="88">
        <f>SUMIFS(tabela_registros[VALOR],tabela_registros[MÊS],$AE$1,tabela_registros[DIA],maitotal30597183[[#Headers],[29]],tabela_registros[REGISTRO],DADOS!$N$5)</f>
        <v>0</v>
      </c>
      <c r="AH25" s="88">
        <f>SUMIFS(tabela_registros[VALOR],tabela_registros[MÊS],$AE$1,tabela_registros[DIA],maitotal30597183[[#Headers],[30]],tabela_registros[REGISTRO],DADOS!$N$5)</f>
        <v>0</v>
      </c>
      <c r="AI25" s="89">
        <f>SUMIFS(tabela_registros[VALOR],tabela_registros[MÊS],$AE$1,tabela_registros[DIA],maitotal30597183[[#Headers],[31]],tabela_registros[REGISTRO],DADOS!$N$5)</f>
        <v>0</v>
      </c>
      <c r="AJ25" s="90">
        <f>SUM(E25:AI25)</f>
        <v>0</v>
      </c>
      <c r="AK25" s="49"/>
    </row>
    <row r="26" spans="1:37" ht="18" customHeight="1" thickTop="1" thickBot="1" x14ac:dyDescent="0.3">
      <c r="B26" s="49"/>
      <c r="C26" s="59" t="s">
        <v>8</v>
      </c>
      <c r="D26" s="58"/>
      <c r="E26" s="91">
        <f>SUMIFS(tabela_registros[VALOR],tabela_registros[MÊS],$AE$1,tabela_registros[DIA],maitotal30597183[[#Headers],[1]],tabela_registros[REGISTRO],DADOS!$N$6)</f>
        <v>0</v>
      </c>
      <c r="F26" s="91">
        <f>SUMIFS(tabela_registros[VALOR],tabela_registros[MÊS],$AE$1,tabela_registros[DIA],maitotal30597183[[#Headers],[2]],tabela_registros[REGISTRO],DADOS!$N$6)</f>
        <v>0</v>
      </c>
      <c r="G26" s="91">
        <f>SUMIFS(tabela_registros[VALOR],tabela_registros[MÊS],$AE$1,tabela_registros[DIA],maitotal30597183[[#Headers],[3]],tabela_registros[REGISTRO],DADOS!$N$6)</f>
        <v>0</v>
      </c>
      <c r="H26" s="91">
        <f>SUMIFS(tabela_registros[VALOR],tabela_registros[MÊS],$AE$1,tabela_registros[DIA],maitotal30597183[[#Headers],[4]],tabela_registros[REGISTRO],DADOS!$N$6)</f>
        <v>0</v>
      </c>
      <c r="I26" s="91">
        <f>SUMIFS(tabela_registros[VALOR],tabela_registros[MÊS],$AE$1,tabela_registros[DIA],maitotal30597183[[#Headers],[5]],tabela_registros[REGISTRO],DADOS!$N$6)</f>
        <v>0</v>
      </c>
      <c r="J26" s="91">
        <f>SUMIFS(tabela_registros[VALOR],tabela_registros[MÊS],$AE$1,tabela_registros[DIA],maitotal30597183[[#Headers],[6]],tabela_registros[REGISTRO],DADOS!$N$6)</f>
        <v>0</v>
      </c>
      <c r="K26" s="91">
        <f>SUMIFS(tabela_registros[VALOR],tabela_registros[MÊS],$AE$1,tabela_registros[DIA],maitotal30597183[[#Headers],[7]],tabela_registros[REGISTRO],DADOS!$N$6)</f>
        <v>0</v>
      </c>
      <c r="L26" s="91">
        <f>SUMIFS(tabela_registros[VALOR],tabela_registros[MÊS],$AE$1,tabela_registros[DIA],maitotal30597183[[#Headers],[8]],tabela_registros[REGISTRO],DADOS!$N$6)</f>
        <v>0</v>
      </c>
      <c r="M26" s="91">
        <f>SUMIFS(tabela_registros[VALOR],tabela_registros[MÊS],$AE$1,tabela_registros[DIA],maitotal30597183[[#Headers],[9]],tabela_registros[REGISTRO],DADOS!$N$6)</f>
        <v>0</v>
      </c>
      <c r="N26" s="91">
        <f>SUMIFS(tabela_registros[VALOR],tabela_registros[MÊS],$AE$1,tabela_registros[DIA],maitotal30597183[[#Headers],[10]],tabela_registros[REGISTRO],DADOS!$N$6)</f>
        <v>0</v>
      </c>
      <c r="O26" s="91">
        <f>SUMIFS(tabela_registros[VALOR],tabela_registros[MÊS],$AE$1,tabela_registros[DIA],maitotal30597183[[#Headers],[11]],tabela_registros[REGISTRO],DADOS!$N$6)</f>
        <v>0</v>
      </c>
      <c r="P26" s="91">
        <f>SUMIFS(tabela_registros[VALOR],tabela_registros[MÊS],$AE$1,tabela_registros[DIA],maitotal30597183[[#Headers],[12]],tabela_registros[REGISTRO],DADOS!$N$6)</f>
        <v>0</v>
      </c>
      <c r="Q26" s="91">
        <f>SUMIFS(tabela_registros[VALOR],tabela_registros[MÊS],$AE$1,tabela_registros[DIA],maitotal30597183[[#Headers],[13]],tabela_registros[REGISTRO],DADOS!$N$6)</f>
        <v>0</v>
      </c>
      <c r="R26" s="91">
        <f>SUMIFS(tabela_registros[VALOR],tabela_registros[MÊS],$AE$1,tabela_registros[DIA],maitotal30597183[[#Headers],[14]],tabela_registros[REGISTRO],DADOS!$N$6)</f>
        <v>0</v>
      </c>
      <c r="S26" s="91">
        <f>SUMIFS(tabela_registros[VALOR],tabela_registros[MÊS],$AE$1,tabela_registros[DIA],maitotal30597183[[#Headers],[15]],tabela_registros[REGISTRO],DADOS!$N$6)</f>
        <v>0</v>
      </c>
      <c r="T26" s="91">
        <f>SUMIFS(tabela_registros[VALOR],tabela_registros[MÊS],$AE$1,tabela_registros[DIA],maitotal30597183[[#Headers],[16]],tabela_registros[REGISTRO],DADOS!$N$6)</f>
        <v>0</v>
      </c>
      <c r="U26" s="91">
        <f>SUMIFS(tabela_registros[VALOR],tabela_registros[MÊS],$AE$1,tabela_registros[DIA],maitotal30597183[[#Headers],[17]],tabela_registros[REGISTRO],DADOS!$N$6)</f>
        <v>0</v>
      </c>
      <c r="V26" s="91">
        <f>SUMIFS(tabela_registros[VALOR],tabela_registros[MÊS],$AE$1,tabela_registros[DIA],maitotal30597183[[#Headers],[18]],tabela_registros[REGISTRO],DADOS!$N$6)</f>
        <v>0</v>
      </c>
      <c r="W26" s="91">
        <f>SUMIFS(tabela_registros[VALOR],tabela_registros[MÊS],$AE$1,tabela_registros[DIA],maitotal30597183[[#Headers],[19]],tabela_registros[REGISTRO],DADOS!$N$6)</f>
        <v>0</v>
      </c>
      <c r="X26" s="91">
        <f>SUMIFS(tabela_registros[VALOR],tabela_registros[MÊS],$AE$1,tabela_registros[DIA],maitotal30597183[[#Headers],[20]],tabela_registros[REGISTRO],DADOS!$N$6)</f>
        <v>0</v>
      </c>
      <c r="Y26" s="91">
        <f>SUMIFS(tabela_registros[VALOR],tabela_registros[MÊS],$AE$1,tabela_registros[DIA],maitotal30597183[[#Headers],[21]],tabela_registros[REGISTRO],DADOS!$N$6)</f>
        <v>0</v>
      </c>
      <c r="Z26" s="91">
        <f>SUMIFS(tabela_registros[VALOR],tabela_registros[MÊS],$AE$1,tabela_registros[DIA],maitotal30597183[[#Headers],[22]],tabela_registros[REGISTRO],DADOS!$N$6)</f>
        <v>0</v>
      </c>
      <c r="AA26" s="91">
        <f>SUMIFS(tabela_registros[VALOR],tabela_registros[MÊS],$AE$1,tabela_registros[DIA],maitotal30597183[[#Headers],[23]],tabela_registros[REGISTRO],DADOS!$N$6)</f>
        <v>0</v>
      </c>
      <c r="AB26" s="91">
        <f>SUMIFS(tabela_registros[VALOR],tabela_registros[MÊS],$AE$1,tabela_registros[DIA],maitotal30597183[[#Headers],[24]],tabela_registros[REGISTRO],DADOS!$N$6)</f>
        <v>0</v>
      </c>
      <c r="AC26" s="91">
        <f>SUMIFS(tabela_registros[VALOR],tabela_registros[MÊS],$AE$1,tabela_registros[DIA],maitotal30597183[[#Headers],[25]],tabela_registros[REGISTRO],DADOS!$N$6)</f>
        <v>0</v>
      </c>
      <c r="AD26" s="91">
        <f>SUMIFS(tabela_registros[VALOR],tabela_registros[MÊS],$AE$1,tabela_registros[DIA],maitotal30597183[[#Headers],[26]],tabela_registros[REGISTRO],DADOS!$N$6)</f>
        <v>0</v>
      </c>
      <c r="AE26" s="91">
        <f>SUMIFS(tabela_registros[VALOR],tabela_registros[MÊS],$AE$1,tabela_registros[DIA],maitotal30597183[[#Headers],[27]],tabela_registros[REGISTRO],DADOS!$N$6)</f>
        <v>0</v>
      </c>
      <c r="AF26" s="91">
        <f>SUMIFS(tabela_registros[VALOR],tabela_registros[MÊS],$AE$1,tabela_registros[DIA],maitotal30597183[[#Headers],[28]],tabela_registros[REGISTRO],DADOS!$N$6)</f>
        <v>0</v>
      </c>
      <c r="AG26" s="91">
        <f>SUMIFS(tabela_registros[VALOR],tabela_registros[MÊS],$AE$1,tabela_registros[DIA],maitotal30597183[[#Headers],[29]],tabela_registros[REGISTRO],DADOS!$N$6)</f>
        <v>0</v>
      </c>
      <c r="AH26" s="91">
        <f>SUMIFS(tabela_registros[VALOR],tabela_registros[MÊS],$AE$1,tabela_registros[DIA],maitotal30597183[[#Headers],[30]],tabela_registros[REGISTRO],DADOS!$N$6)</f>
        <v>0</v>
      </c>
      <c r="AI26" s="92">
        <f>SUMIFS(tabela_registros[VALOR],tabela_registros[MÊS],$AE$1,tabela_registros[DIA],maitotal30597183[[#Headers],[31]],tabela_registros[REGISTRO],DADOS!$N$6)</f>
        <v>0</v>
      </c>
      <c r="AJ26" s="93">
        <f>SUM(E26:AI26)</f>
        <v>0</v>
      </c>
      <c r="AK26" s="49"/>
    </row>
    <row r="27" spans="1:37" s="16" customFormat="1" ht="21" customHeight="1" thickTop="1" thickBot="1" x14ac:dyDescent="0.35">
      <c r="B27" s="52"/>
      <c r="C27" s="57" t="s">
        <v>19</v>
      </c>
      <c r="D27" s="56"/>
      <c r="E27" s="55">
        <f>SUM(E25:E26)</f>
        <v>0</v>
      </c>
      <c r="F27" s="54">
        <f>SUM(F25:F26)+maiinvestir21587082[[#This Row],[1]]</f>
        <v>0</v>
      </c>
      <c r="G27" s="54">
        <f>SUM(G25:G26)+maiinvestir21587082[[#This Row],[2]]</f>
        <v>0</v>
      </c>
      <c r="H27" s="54">
        <f>SUM(H25:H26)+maiinvestir21587082[[#This Row],[3]]</f>
        <v>0</v>
      </c>
      <c r="I27" s="54">
        <f>SUM(I25:I26)+maiinvestir21587082[[#This Row],[4]]</f>
        <v>0</v>
      </c>
      <c r="J27" s="54">
        <f>SUM(J25:J26)+maiinvestir21587082[[#This Row],[5]]</f>
        <v>0</v>
      </c>
      <c r="K27" s="54">
        <f>SUM(K25:K26)+maiinvestir21587082[[#This Row],[6]]</f>
        <v>0</v>
      </c>
      <c r="L27" s="54">
        <f>SUM(L25:L26)+maiinvestir21587082[[#This Row],[7]]</f>
        <v>0</v>
      </c>
      <c r="M27" s="54">
        <f>SUM(M25:M26)+maiinvestir21587082[[#This Row],[8]]</f>
        <v>0</v>
      </c>
      <c r="N27" s="54">
        <f>SUM(N25:N26)+maiinvestir21587082[[#This Row],[9]]</f>
        <v>0</v>
      </c>
      <c r="O27" s="54">
        <f>SUM(O25:O26)+maiinvestir21587082[[#This Row],[10]]</f>
        <v>0</v>
      </c>
      <c r="P27" s="54">
        <f>SUM(P25:P26)+maiinvestir21587082[[#This Row],[11]]</f>
        <v>0</v>
      </c>
      <c r="Q27" s="54">
        <f>SUM(Q25:Q26)+maiinvestir21587082[[#This Row],[12]]</f>
        <v>0</v>
      </c>
      <c r="R27" s="54">
        <f>SUM(R25:R26)+maiinvestir21587082[[#This Row],[13]]</f>
        <v>0</v>
      </c>
      <c r="S27" s="54">
        <f>SUM(S25:S26)+maiinvestir21587082[[#This Row],[14]]</f>
        <v>0</v>
      </c>
      <c r="T27" s="54">
        <f>SUM(T25:T26)+maiinvestir21587082[[#This Row],[15]]</f>
        <v>0</v>
      </c>
      <c r="U27" s="54">
        <f>SUM(U25:U26)+maiinvestir21587082[[#This Row],[16]]</f>
        <v>0</v>
      </c>
      <c r="V27" s="54">
        <f>SUM(V25:V26)+maiinvestir21587082[[#This Row],[17]]</f>
        <v>0</v>
      </c>
      <c r="W27" s="54">
        <f>SUM(W25:W26)+maiinvestir21587082[[#This Row],[18]]</f>
        <v>0</v>
      </c>
      <c r="X27" s="54">
        <f>SUM(X25:X26)+maiinvestir21587082[[#This Row],[19]]</f>
        <v>0</v>
      </c>
      <c r="Y27" s="54">
        <f>SUM(Y25:Y26)+maiinvestir21587082[[#This Row],[20]]</f>
        <v>0</v>
      </c>
      <c r="Z27" s="54">
        <f>SUM(Z25:Z26)+maiinvestir21587082[[#This Row],[21]]</f>
        <v>0</v>
      </c>
      <c r="AA27" s="54">
        <f>SUM(AA25:AA26)+maiinvestir21587082[[#This Row],[22]]</f>
        <v>0</v>
      </c>
      <c r="AB27" s="54">
        <f>SUM(AB25:AB26)+maiinvestir21587082[[#This Row],[23]]</f>
        <v>0</v>
      </c>
      <c r="AC27" s="54">
        <f>SUM(AC25:AC26)+maiinvestir21587082[[#This Row],[24]]</f>
        <v>0</v>
      </c>
      <c r="AD27" s="54">
        <f>SUM(AD25:AD26)+maiinvestir21587082[[#This Row],[25]]</f>
        <v>0</v>
      </c>
      <c r="AE27" s="54">
        <f>SUM(AE25:AE26)+maiinvestir21587082[[#This Row],[26]]</f>
        <v>0</v>
      </c>
      <c r="AF27" s="54">
        <f>SUM(AF25:AF26)+maiinvestir21587082[[#This Row],[27]]</f>
        <v>0</v>
      </c>
      <c r="AG27" s="54">
        <f>SUM(AG25:AG26)+maiinvestir21587082[[#This Row],[28]]</f>
        <v>0</v>
      </c>
      <c r="AH27" s="54">
        <f>SUM(AH25:AH26)+maiinvestir21587082[[#This Row],[29]]</f>
        <v>0</v>
      </c>
      <c r="AI27" s="62">
        <f>SUM(AI25:AI26)+maiinvestir21587082[[#This Row],[30]]</f>
        <v>0</v>
      </c>
      <c r="AJ27" s="53">
        <f>maiinvestir21587082[[#This Row],[31]]</f>
        <v>0</v>
      </c>
      <c r="AK27" s="52"/>
    </row>
    <row r="28" spans="1:37" ht="6.75" hidden="1" customHeight="1" thickTop="1" thickBot="1" x14ac:dyDescent="0.35">
      <c r="B28" s="49"/>
      <c r="C28" t="s">
        <v>204</v>
      </c>
      <c r="D28"/>
      <c r="E28" s="51">
        <f>SUBTOTAL(109,maiinvestir21587082[1])</f>
        <v>0</v>
      </c>
      <c r="F28" s="51">
        <f>SUBTOTAL(109,maiinvestir21587082[2])</f>
        <v>0</v>
      </c>
      <c r="G28" s="51">
        <f>SUBTOTAL(109,maiinvestir21587082[3])</f>
        <v>0</v>
      </c>
      <c r="H28" s="51">
        <f>SUBTOTAL(109,maiinvestir21587082[4])</f>
        <v>0</v>
      </c>
      <c r="I28" s="51">
        <f>SUBTOTAL(109,maiinvestir21587082[5])</f>
        <v>0</v>
      </c>
      <c r="J28" s="51">
        <f>SUBTOTAL(109,maiinvestir21587082[6])</f>
        <v>0</v>
      </c>
      <c r="K28" s="51">
        <f>SUBTOTAL(109,maiinvestir21587082[7])</f>
        <v>0</v>
      </c>
      <c r="L28" s="51">
        <f>SUBTOTAL(109,maiinvestir21587082[8])</f>
        <v>0</v>
      </c>
      <c r="M28" s="51">
        <f>SUBTOTAL(109,maiinvestir21587082[9])</f>
        <v>0</v>
      </c>
      <c r="N28" s="51">
        <f>SUBTOTAL(109,maiinvestir21587082[10])</f>
        <v>0</v>
      </c>
      <c r="O28" s="51">
        <f>SUBTOTAL(109,maiinvestir21587082[11])</f>
        <v>0</v>
      </c>
      <c r="P28" s="51">
        <f>SUBTOTAL(109,maiinvestir21587082[12])</f>
        <v>0</v>
      </c>
      <c r="Q28" s="51">
        <f>SUBTOTAL(109,maiinvestir21587082[13])</f>
        <v>0</v>
      </c>
      <c r="R28" s="51">
        <f>SUBTOTAL(109,maiinvestir21587082[14])</f>
        <v>0</v>
      </c>
      <c r="S28" s="51">
        <f>SUBTOTAL(109,maiinvestir21587082[15])</f>
        <v>0</v>
      </c>
      <c r="T28" s="51">
        <f>SUBTOTAL(109,maiinvestir21587082[16])</f>
        <v>0</v>
      </c>
      <c r="U28" s="51">
        <f>SUBTOTAL(109,maiinvestir21587082[17])</f>
        <v>0</v>
      </c>
      <c r="V28" s="51">
        <f>SUBTOTAL(109,maiinvestir21587082[18])</f>
        <v>0</v>
      </c>
      <c r="W28" s="51">
        <f>SUBTOTAL(109,maiinvestir21587082[19])</f>
        <v>0</v>
      </c>
      <c r="X28" s="51">
        <f>SUBTOTAL(109,maiinvestir21587082[20])</f>
        <v>0</v>
      </c>
      <c r="Y28" s="51">
        <f>SUBTOTAL(109,maiinvestir21587082[21])</f>
        <v>0</v>
      </c>
      <c r="Z28" s="51">
        <f>SUBTOTAL(109,maiinvestir21587082[22])</f>
        <v>0</v>
      </c>
      <c r="AA28" s="51">
        <f>SUBTOTAL(109,maiinvestir21587082[23])</f>
        <v>0</v>
      </c>
      <c r="AB28" s="51">
        <f>SUBTOTAL(109,maiinvestir21587082[24])</f>
        <v>0</v>
      </c>
      <c r="AC28" s="51">
        <f>SUBTOTAL(109,maiinvestir21587082[25])</f>
        <v>0</v>
      </c>
      <c r="AD28" s="51">
        <f>SUBTOTAL(109,maiinvestir21587082[26])</f>
        <v>0</v>
      </c>
      <c r="AE28" s="51">
        <f>SUBTOTAL(109,maiinvestir21587082[27])</f>
        <v>0</v>
      </c>
      <c r="AF28" s="51">
        <f>SUBTOTAL(109,maiinvestir21587082[28])</f>
        <v>0</v>
      </c>
      <c r="AG28" s="51">
        <f>SUBTOTAL(109,maiinvestir21587082[29])</f>
        <v>0</v>
      </c>
      <c r="AH28" s="51">
        <f>SUBTOTAL(109,maiinvestir21587082[30])</f>
        <v>0</v>
      </c>
      <c r="AI28" s="51">
        <f>SUBTOTAL(109,maiinvestir21587082[31])</f>
        <v>0</v>
      </c>
      <c r="AJ28" s="51">
        <f>SUBTOTAL(109,maiinvestir21587082[TOTAL (R$)])</f>
        <v>0</v>
      </c>
      <c r="AK28" s="49"/>
    </row>
    <row r="29" spans="1:37" ht="6.75" customHeight="1" thickTop="1" thickBot="1" x14ac:dyDescent="0.3">
      <c r="B29" s="49"/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49"/>
      <c r="X29" s="49"/>
      <c r="Y29" s="49"/>
      <c r="Z29" s="49"/>
      <c r="AA29" s="49"/>
      <c r="AB29" s="49"/>
      <c r="AC29" s="49"/>
      <c r="AD29" s="49"/>
      <c r="AE29" s="49"/>
      <c r="AF29" s="49"/>
      <c r="AG29" s="49"/>
      <c r="AH29" s="49"/>
      <c r="AI29" s="50"/>
      <c r="AJ29" s="49"/>
      <c r="AK29" s="49"/>
    </row>
    <row r="30" spans="1:37" ht="12.6" thickTop="1" x14ac:dyDescent="0.25">
      <c r="C30" s="46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 s="47"/>
      <c r="Z30" s="47"/>
      <c r="AA30" s="47"/>
      <c r="AB30" s="47"/>
      <c r="AC30" s="47"/>
      <c r="AD30" s="47"/>
      <c r="AE30" s="47"/>
      <c r="AF30" s="47"/>
      <c r="AG30" s="47"/>
      <c r="AH30" s="47"/>
      <c r="AI30" s="47"/>
    </row>
    <row r="31" spans="1:37" x14ac:dyDescent="0.25">
      <c r="C31" s="46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47"/>
      <c r="X31" s="47"/>
      <c r="Y31" s="47"/>
      <c r="Z31" s="47"/>
      <c r="AA31" s="47"/>
      <c r="AB31" s="47"/>
      <c r="AC31" s="47"/>
      <c r="AD31" s="47"/>
      <c r="AE31" s="47"/>
      <c r="AF31" s="47"/>
      <c r="AG31" s="47"/>
      <c r="AH31" s="47"/>
      <c r="AI31" s="47"/>
    </row>
    <row r="32" spans="1:37" x14ac:dyDescent="0.25">
      <c r="C32" s="46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47"/>
      <c r="AB32" s="47"/>
      <c r="AC32" s="47"/>
      <c r="AD32" s="47"/>
      <c r="AE32" s="47"/>
      <c r="AF32" s="47"/>
      <c r="AG32" s="47"/>
      <c r="AH32" s="47"/>
      <c r="AI32" s="47"/>
    </row>
    <row r="33" spans="2:37" ht="39.75" customHeight="1" x14ac:dyDescent="0.25">
      <c r="C33" s="46"/>
      <c r="E33" s="240"/>
      <c r="F33" s="240"/>
      <c r="G33" s="240"/>
      <c r="H33" s="240"/>
      <c r="I33" s="240"/>
      <c r="J33" s="240"/>
      <c r="K33" s="240"/>
      <c r="L33" s="240"/>
      <c r="M33" s="240"/>
      <c r="N33" s="240"/>
      <c r="O33" s="240"/>
      <c r="P33" s="240"/>
      <c r="Q33" s="240"/>
      <c r="R33" s="240"/>
      <c r="S33" s="240"/>
      <c r="T33" s="240"/>
      <c r="U33" s="240"/>
      <c r="V33" s="240"/>
      <c r="W33" s="240"/>
      <c r="X33" s="240"/>
      <c r="Y33" s="240"/>
      <c r="Z33" s="240"/>
      <c r="AA33" s="240"/>
      <c r="AB33" s="240"/>
      <c r="AC33" s="240"/>
      <c r="AD33" s="240"/>
      <c r="AE33" s="240"/>
      <c r="AF33" s="240"/>
      <c r="AG33" s="240"/>
      <c r="AH33" s="240"/>
      <c r="AI33" s="240"/>
      <c r="AJ33" s="32" t="s">
        <v>19</v>
      </c>
    </row>
    <row r="34" spans="2:37" ht="11.25" customHeight="1" thickBot="1" x14ac:dyDescent="0.75">
      <c r="C34" s="36"/>
      <c r="AI34" s="4"/>
      <c r="AJ34" s="34" t="s">
        <v>202</v>
      </c>
    </row>
    <row r="35" spans="2:37" ht="6.75" customHeight="1" thickTop="1" thickBot="1" x14ac:dyDescent="0.3">
      <c r="B35" s="33"/>
      <c r="C35" s="45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F35" s="44"/>
      <c r="AG35" s="44"/>
      <c r="AH35" s="44"/>
      <c r="AI35" s="44"/>
      <c r="AJ35" s="43"/>
      <c r="AK35" s="33"/>
    </row>
    <row r="36" spans="2:37" ht="12.6" hidden="1" thickBot="1" x14ac:dyDescent="0.3">
      <c r="B36" s="2"/>
      <c r="C36" s="31" t="s">
        <v>132</v>
      </c>
      <c r="D36" s="30" t="s">
        <v>198</v>
      </c>
      <c r="E36" s="30" t="s">
        <v>197</v>
      </c>
      <c r="F36" s="30" t="s">
        <v>196</v>
      </c>
      <c r="G36" s="30" t="s">
        <v>195</v>
      </c>
      <c r="H36" s="30" t="s">
        <v>194</v>
      </c>
      <c r="I36" s="30" t="s">
        <v>193</v>
      </c>
      <c r="J36" s="30" t="s">
        <v>192</v>
      </c>
      <c r="K36" s="30" t="s">
        <v>191</v>
      </c>
      <c r="L36" s="30" t="s">
        <v>190</v>
      </c>
      <c r="M36" s="30" t="s">
        <v>189</v>
      </c>
      <c r="N36" s="30" t="s">
        <v>188</v>
      </c>
      <c r="O36" s="30" t="s">
        <v>187</v>
      </c>
      <c r="P36" s="30" t="s">
        <v>186</v>
      </c>
      <c r="Q36" s="30" t="s">
        <v>185</v>
      </c>
      <c r="R36" s="30" t="s">
        <v>184</v>
      </c>
      <c r="S36" s="30" t="s">
        <v>183</v>
      </c>
      <c r="T36" s="30" t="s">
        <v>182</v>
      </c>
      <c r="U36" s="30" t="s">
        <v>181</v>
      </c>
      <c r="V36" s="30" t="s">
        <v>180</v>
      </c>
      <c r="W36" s="30" t="s">
        <v>179</v>
      </c>
      <c r="X36" s="30" t="s">
        <v>178</v>
      </c>
      <c r="Y36" s="30" t="s">
        <v>177</v>
      </c>
      <c r="Z36" s="30" t="s">
        <v>176</v>
      </c>
      <c r="AA36" s="30" t="s">
        <v>175</v>
      </c>
      <c r="AB36" s="30" t="s">
        <v>174</v>
      </c>
      <c r="AC36" s="30" t="s">
        <v>173</v>
      </c>
      <c r="AD36" s="30" t="s">
        <v>172</v>
      </c>
      <c r="AE36" s="30" t="s">
        <v>171</v>
      </c>
      <c r="AF36" s="30" t="s">
        <v>170</v>
      </c>
      <c r="AG36" s="30" t="s">
        <v>169</v>
      </c>
      <c r="AH36" s="30" t="s">
        <v>168</v>
      </c>
      <c r="AI36" s="30" t="s">
        <v>167</v>
      </c>
      <c r="AJ36" s="42" t="s">
        <v>19</v>
      </c>
      <c r="AK36" s="2" t="s">
        <v>203</v>
      </c>
    </row>
    <row r="37" spans="2:37" ht="19.5" customHeight="1" thickTop="1" thickBot="1" x14ac:dyDescent="0.3">
      <c r="B37" s="28"/>
      <c r="C37" s="27" t="str">
        <f>DADOS!$R$3</f>
        <v>💧 ÁGUA</v>
      </c>
      <c r="D37" s="26" t="str">
        <f>IF(despesafixaconsolidadomai[[#This Row],[TOTAL]]=0,"",IF(OR(despesafixaconsolidadomai[[#This Row],[TOTAL]]=LARGE($AJ$37:$AJ$50,1),despesafixaconsolidadomai[[#This Row],[TOTAL]]=LARGE($AJ$37:$AJ$50,2),despesafixaconsolidadomai[[#This Row],[TOTAL]]=LARGE($AJ$37:$AJ$50,3),despesafixaconsolidadomai[[#This Row],[TOTAL]]=LARGE($AJ$37:$AJ$50,4),despesafixaconsolidadomai[[#This Row],[TOTAL]]=LARGE($AJ$37:$AJ$50,5)),DADOS!$I$8,""))</f>
        <v/>
      </c>
      <c r="E37" s="94">
        <f>SUMIFS(tabela_registros[VALOR],tabela_registros[MÊS],$AE$1,tabela_registros[DIA],maitotal30597183[[#Headers],[1]],tabela_registros[REGISTRO],DADOS!$N$4,tabela_registros[TIPO],DADOS!$P$3,tabela_registros[CATEGORIA],despesafixaconsolidadomai[[#This Row],[DESPESA FIXA]])</f>
        <v>0</v>
      </c>
      <c r="F37" s="88">
        <f>SUMIFS(tabela_registros[VALOR],tabela_registros[MÊS],$AE$1,tabela_registros[DIA],maitotal30597183[[#Headers],[2]],tabela_registros[REGISTRO],DADOS!$N$4,tabela_registros[TIPO],DADOS!$P$3,tabela_registros[CATEGORIA],despesafixaconsolidadomai[[#This Row],[DESPESA FIXA]])</f>
        <v>0</v>
      </c>
      <c r="G37" s="88">
        <f>SUMIFS(tabela_registros[VALOR],tabela_registros[MÊS],$AE$1,tabela_registros[DIA],maitotal30597183[[#Headers],[3]],tabela_registros[REGISTRO],DADOS!$N$4,tabela_registros[TIPO],DADOS!$P$3,tabela_registros[CATEGORIA],despesafixaconsolidadomai[[#This Row],[DESPESA FIXA]])</f>
        <v>0</v>
      </c>
      <c r="H37" s="88">
        <f>SUMIFS(tabela_registros[VALOR],tabela_registros[MÊS],$AE$1,tabela_registros[DIA],maitotal30597183[[#Headers],[4]],tabela_registros[REGISTRO],DADOS!$N$4,tabela_registros[TIPO],DADOS!$P$3,tabela_registros[CATEGORIA],despesafixaconsolidadomai[[#This Row],[DESPESA FIXA]])</f>
        <v>0</v>
      </c>
      <c r="I37" s="88">
        <f>SUMIFS(tabela_registros[VALOR],tabela_registros[MÊS],$AE$1,tabela_registros[DIA],maitotal30597183[[#Headers],[5]],tabela_registros[REGISTRO],DADOS!$N$4,tabela_registros[TIPO],DADOS!$P$3,tabela_registros[CATEGORIA],despesafixaconsolidadomai[[#This Row],[DESPESA FIXA]])</f>
        <v>0</v>
      </c>
      <c r="J37" s="88">
        <f>SUMIFS(tabela_registros[VALOR],tabela_registros[MÊS],$AE$1,tabela_registros[DIA],maitotal30597183[[#Headers],[6]],tabela_registros[REGISTRO],DADOS!$N$4,tabela_registros[TIPO],DADOS!$P$3,tabela_registros[CATEGORIA],despesafixaconsolidadomai[[#This Row],[DESPESA FIXA]])</f>
        <v>0</v>
      </c>
      <c r="K37" s="88">
        <f>SUMIFS(tabela_registros[VALOR],tabela_registros[MÊS],$AE$1,tabela_registros[DIA],maitotal30597183[[#Headers],[7]],tabela_registros[REGISTRO],DADOS!$N$4,tabela_registros[TIPO],DADOS!$P$3,tabela_registros[CATEGORIA],despesafixaconsolidadomai[[#This Row],[DESPESA FIXA]])</f>
        <v>0</v>
      </c>
      <c r="L37" s="88">
        <f>SUMIFS(tabela_registros[VALOR],tabela_registros[MÊS],$AE$1,tabela_registros[DIA],maitotal30597183[[#Headers],[8]],tabela_registros[REGISTRO],DADOS!$N$4,tabela_registros[TIPO],DADOS!$P$3,tabela_registros[CATEGORIA],despesafixaconsolidadomai[[#This Row],[DESPESA FIXA]])</f>
        <v>0</v>
      </c>
      <c r="M37" s="88">
        <f>SUMIFS(tabela_registros[VALOR],tabela_registros[MÊS],$AE$1,tabela_registros[DIA],maitotal30597183[[#Headers],[9]],tabela_registros[REGISTRO],DADOS!$N$4,tabela_registros[TIPO],DADOS!$P$3,tabela_registros[CATEGORIA],despesafixaconsolidadomai[[#This Row],[DESPESA FIXA]])</f>
        <v>0</v>
      </c>
      <c r="N37" s="88">
        <f>SUMIFS(tabela_registros[VALOR],tabela_registros[MÊS],$AE$1,tabela_registros[DIA],maitotal30597183[[#Headers],[10]],tabela_registros[REGISTRO],DADOS!$N$4,tabela_registros[TIPO],DADOS!$P$3,tabela_registros[CATEGORIA],despesafixaconsolidadomai[[#This Row],[DESPESA FIXA]])</f>
        <v>0</v>
      </c>
      <c r="O37" s="88">
        <f>SUMIFS(tabela_registros[VALOR],tabela_registros[MÊS],$AE$1,tabela_registros[DIA],maitotal30597183[[#Headers],[11]],tabela_registros[REGISTRO],DADOS!$N$4,tabela_registros[TIPO],DADOS!$P$3,tabela_registros[CATEGORIA],despesafixaconsolidadomai[[#This Row],[DESPESA FIXA]])</f>
        <v>0</v>
      </c>
      <c r="P37" s="88">
        <f>SUMIFS(tabela_registros[VALOR],tabela_registros[MÊS],$AE$1,tabela_registros[DIA],maitotal30597183[[#Headers],[12]],tabela_registros[REGISTRO],DADOS!$N$4,tabela_registros[TIPO],DADOS!$P$3,tabela_registros[CATEGORIA],despesafixaconsolidadomai[[#This Row],[DESPESA FIXA]])</f>
        <v>0</v>
      </c>
      <c r="Q37" s="88">
        <f>SUMIFS(tabela_registros[VALOR],tabela_registros[MÊS],$AE$1,tabela_registros[DIA],maitotal30597183[[#Headers],[13]],tabela_registros[REGISTRO],DADOS!$N$4,tabela_registros[TIPO],DADOS!$P$3,tabela_registros[CATEGORIA],despesafixaconsolidadomai[[#This Row],[DESPESA FIXA]])</f>
        <v>0</v>
      </c>
      <c r="R37" s="88">
        <f>SUMIFS(tabela_registros[VALOR],tabela_registros[MÊS],$AE$1,tabela_registros[DIA],maitotal30597183[[#Headers],[14]],tabela_registros[REGISTRO],DADOS!$N$4,tabela_registros[TIPO],DADOS!$P$3,tabela_registros[CATEGORIA],despesafixaconsolidadomai[[#This Row],[DESPESA FIXA]])</f>
        <v>0</v>
      </c>
      <c r="S37" s="88">
        <f>SUMIFS(tabela_registros[VALOR],tabela_registros[MÊS],$AE$1,tabela_registros[DIA],maitotal30597183[[#Headers],[15]],tabela_registros[REGISTRO],DADOS!$N$4,tabela_registros[TIPO],DADOS!$P$3,tabela_registros[CATEGORIA],despesafixaconsolidadomai[[#This Row],[DESPESA FIXA]])</f>
        <v>0</v>
      </c>
      <c r="T37" s="88">
        <f>SUMIFS(tabela_registros[VALOR],tabela_registros[MÊS],$AE$1,tabela_registros[DIA],maitotal30597183[[#Headers],[16]],tabela_registros[REGISTRO],DADOS!$N$4,tabela_registros[TIPO],DADOS!$P$3,tabela_registros[CATEGORIA],despesafixaconsolidadomai[[#This Row],[DESPESA FIXA]])</f>
        <v>0</v>
      </c>
      <c r="U37" s="88">
        <f>SUMIFS(tabela_registros[VALOR],tabela_registros[MÊS],$AE$1,tabela_registros[DIA],maitotal30597183[[#Headers],[17]],tabela_registros[REGISTRO],DADOS!$N$4,tabela_registros[TIPO],DADOS!$P$3,tabela_registros[CATEGORIA],despesafixaconsolidadomai[[#This Row],[DESPESA FIXA]])</f>
        <v>0</v>
      </c>
      <c r="V37" s="88">
        <f>SUMIFS(tabela_registros[VALOR],tabela_registros[MÊS],$AE$1,tabela_registros[DIA],maitotal30597183[[#Headers],[18]],tabela_registros[REGISTRO],DADOS!$N$4,tabela_registros[TIPO],DADOS!$P$3,tabela_registros[CATEGORIA],despesafixaconsolidadomai[[#This Row],[DESPESA FIXA]])</f>
        <v>0</v>
      </c>
      <c r="W37" s="88">
        <f>SUMIFS(tabela_registros[VALOR],tabela_registros[MÊS],$AE$1,tabela_registros[DIA],maitotal30597183[[#Headers],[19]],tabela_registros[REGISTRO],DADOS!$N$4,tabela_registros[TIPO],DADOS!$P$3,tabela_registros[CATEGORIA],despesafixaconsolidadomai[[#This Row],[DESPESA FIXA]])</f>
        <v>0</v>
      </c>
      <c r="X37" s="88">
        <f>SUMIFS(tabela_registros[VALOR],tabela_registros[MÊS],$AE$1,tabela_registros[DIA],maitotal30597183[[#Headers],[20]],tabela_registros[REGISTRO],DADOS!$N$4,tabela_registros[TIPO],DADOS!$P$3,tabela_registros[CATEGORIA],despesafixaconsolidadomai[[#This Row],[DESPESA FIXA]])</f>
        <v>0</v>
      </c>
      <c r="Y37" s="88">
        <f>SUMIFS(tabela_registros[VALOR],tabela_registros[MÊS],$AE$1,tabela_registros[DIA],maitotal30597183[[#Headers],[21]],tabela_registros[REGISTRO],DADOS!$N$4,tabela_registros[TIPO],DADOS!$P$3,tabela_registros[CATEGORIA],despesafixaconsolidadomai[[#This Row],[DESPESA FIXA]])</f>
        <v>0</v>
      </c>
      <c r="Z37" s="88">
        <f>SUMIFS(tabela_registros[VALOR],tabela_registros[MÊS],$AE$1,tabela_registros[DIA],maitotal30597183[[#Headers],[22]],tabela_registros[REGISTRO],DADOS!$N$4,tabela_registros[TIPO],DADOS!$P$3,tabela_registros[CATEGORIA],despesafixaconsolidadomai[[#This Row],[DESPESA FIXA]])</f>
        <v>0</v>
      </c>
      <c r="AA37" s="88">
        <f>SUMIFS(tabela_registros[VALOR],tabela_registros[MÊS],$AE$1,tabela_registros[DIA],maitotal30597183[[#Headers],[23]],tabela_registros[REGISTRO],DADOS!$N$4,tabela_registros[TIPO],DADOS!$P$3,tabela_registros[CATEGORIA],despesafixaconsolidadomai[[#This Row],[DESPESA FIXA]])</f>
        <v>0</v>
      </c>
      <c r="AB37" s="88">
        <f>SUMIFS(tabela_registros[VALOR],tabela_registros[MÊS],$AE$1,tabela_registros[DIA],maitotal30597183[[#Headers],[24]],tabela_registros[REGISTRO],DADOS!$N$4,tabela_registros[TIPO],DADOS!$P$3,tabela_registros[CATEGORIA],despesafixaconsolidadomai[[#This Row],[DESPESA FIXA]])</f>
        <v>0</v>
      </c>
      <c r="AC37" s="88">
        <f>SUMIFS(tabela_registros[VALOR],tabela_registros[MÊS],$AE$1,tabela_registros[DIA],maitotal30597183[[#Headers],[25]],tabela_registros[REGISTRO],DADOS!$N$4,tabela_registros[TIPO],DADOS!$P$3,tabela_registros[CATEGORIA],despesafixaconsolidadomai[[#This Row],[DESPESA FIXA]])</f>
        <v>0</v>
      </c>
      <c r="AD37" s="88">
        <f>SUMIFS(tabela_registros[VALOR],tabela_registros[MÊS],$AE$1,tabela_registros[DIA],maitotal30597183[[#Headers],[26]],tabela_registros[REGISTRO],DADOS!$N$4,tabela_registros[TIPO],DADOS!$P$3,tabela_registros[CATEGORIA],despesafixaconsolidadomai[[#This Row],[DESPESA FIXA]])</f>
        <v>0</v>
      </c>
      <c r="AE37" s="88">
        <f>SUMIFS(tabela_registros[VALOR],tabela_registros[MÊS],$AE$1,tabela_registros[DIA],maitotal30597183[[#Headers],[27]],tabela_registros[REGISTRO],DADOS!$N$4,tabela_registros[TIPO],DADOS!$P$3,tabela_registros[CATEGORIA],despesafixaconsolidadomai[[#This Row],[DESPESA FIXA]])</f>
        <v>0</v>
      </c>
      <c r="AF37" s="88">
        <f>SUMIFS(tabela_registros[VALOR],tabela_registros[MÊS],$AE$1,tabela_registros[DIA],maitotal30597183[[#Headers],[28]],tabela_registros[REGISTRO],DADOS!$N$4,tabela_registros[TIPO],DADOS!$P$3,tabela_registros[CATEGORIA],despesafixaconsolidadomai[[#This Row],[DESPESA FIXA]])</f>
        <v>0</v>
      </c>
      <c r="AG37" s="88">
        <f>SUMIFS(tabela_registros[VALOR],tabela_registros[MÊS],$AE$1,tabela_registros[DIA],maitotal30597183[[#Headers],[29]],tabela_registros[REGISTRO],DADOS!$N$4,tabela_registros[TIPO],DADOS!$P$3,tabela_registros[CATEGORIA],despesafixaconsolidadomai[[#This Row],[DESPESA FIXA]])</f>
        <v>0</v>
      </c>
      <c r="AH37" s="88">
        <f>SUMIFS(tabela_registros[VALOR],tabela_registros[MÊS],$AE$1,tabela_registros[DIA],maitotal30597183[[#Headers],[30]],tabela_registros[REGISTRO],DADOS!$N$4,tabela_registros[TIPO],DADOS!$P$3,tabela_registros[CATEGORIA],despesafixaconsolidadomai[[#This Row],[DESPESA FIXA]])</f>
        <v>0</v>
      </c>
      <c r="AI37" s="100">
        <f>SUMIFS(tabela_registros[VALOR],tabela_registros[MÊS],$AE$1,tabela_registros[DIA],maitotal30597183[[#Headers],[31]],tabela_registros[REGISTRO],DADOS!$N$4,tabela_registros[TIPO],DADOS!$P$3,tabela_registros[CATEGORIA],despesafixaconsolidadomai[[#This Row],[DESPESA FIXA]])</f>
        <v>0</v>
      </c>
      <c r="AJ37" s="95">
        <f>SUM(despesafixaconsolidadomai[[#This Row],[1]:[31]])</f>
        <v>0</v>
      </c>
      <c r="AK37" s="28"/>
    </row>
    <row r="38" spans="2:37" ht="18" customHeight="1" thickTop="1" thickBot="1" x14ac:dyDescent="0.3">
      <c r="B38" s="28"/>
      <c r="C38" s="27" t="str">
        <f>DADOS!$R$4</f>
        <v>🐶 ANIMAIS DE ESTIMAÇÃO</v>
      </c>
      <c r="D38" s="26" t="str">
        <f>IF(despesafixaconsolidadomai[[#This Row],[TOTAL]]=0,"",IF(OR(despesafixaconsolidadomai[[#This Row],[TOTAL]]=LARGE($AJ$37:$AJ$50,1),despesafixaconsolidadomai[[#This Row],[TOTAL]]=LARGE($AJ$37:$AJ$50,2),despesafixaconsolidadomai[[#This Row],[TOTAL]]=LARGE($AJ$37:$AJ$50,3),despesafixaconsolidadomai[[#This Row],[TOTAL]]=LARGE($AJ$37:$AJ$50,4),despesafixaconsolidadomai[[#This Row],[TOTAL]]=LARGE($AJ$37:$AJ$50,5)),DADOS!$I$8,""))</f>
        <v/>
      </c>
      <c r="E38" s="96">
        <f>SUMIFS(tabela_registros[VALOR],tabela_registros[MÊS],$AE$1,tabela_registros[DIA],maitotal30597183[[#Headers],[1]],tabela_registros[REGISTRO],DADOS!$N$4,tabela_registros[TIPO],DADOS!$P$3,tabela_registros[CATEGORIA],despesafixaconsolidadomai[[#This Row],[DESPESA FIXA]])</f>
        <v>0</v>
      </c>
      <c r="F38" s="91">
        <f>SUMIFS(tabela_registros[VALOR],tabela_registros[MÊS],$AE$1,tabela_registros[DIA],maitotal30597183[[#Headers],[2]],tabela_registros[REGISTRO],DADOS!$N$4,tabela_registros[TIPO],DADOS!$P$3,tabela_registros[CATEGORIA],despesafixaconsolidadomai[[#This Row],[DESPESA FIXA]])</f>
        <v>0</v>
      </c>
      <c r="G38" s="91">
        <f>SUMIFS(tabela_registros[VALOR],tabela_registros[MÊS],$AE$1,tabela_registros[DIA],maitotal30597183[[#Headers],[3]],tabela_registros[REGISTRO],DADOS!$N$4,tabela_registros[TIPO],DADOS!$P$3,tabela_registros[CATEGORIA],despesafixaconsolidadomai[[#This Row],[DESPESA FIXA]])</f>
        <v>0</v>
      </c>
      <c r="H38" s="91">
        <f>SUMIFS(tabela_registros[VALOR],tabela_registros[MÊS],$AE$1,tabela_registros[DIA],maitotal30597183[[#Headers],[4]],tabela_registros[REGISTRO],DADOS!$N$4,tabela_registros[TIPO],DADOS!$P$3,tabela_registros[CATEGORIA],despesafixaconsolidadomai[[#This Row],[DESPESA FIXA]])</f>
        <v>0</v>
      </c>
      <c r="I38" s="91">
        <f>SUMIFS(tabela_registros[VALOR],tabela_registros[MÊS],$AE$1,tabela_registros[DIA],maitotal30597183[[#Headers],[5]],tabela_registros[REGISTRO],DADOS!$N$4,tabela_registros[TIPO],DADOS!$P$3,tabela_registros[CATEGORIA],despesafixaconsolidadomai[[#This Row],[DESPESA FIXA]])</f>
        <v>0</v>
      </c>
      <c r="J38" s="91">
        <f>SUMIFS(tabela_registros[VALOR],tabela_registros[MÊS],$AE$1,tabela_registros[DIA],maitotal30597183[[#Headers],[6]],tabela_registros[REGISTRO],DADOS!$N$4,tabela_registros[TIPO],DADOS!$P$3,tabela_registros[CATEGORIA],despesafixaconsolidadomai[[#This Row],[DESPESA FIXA]])</f>
        <v>0</v>
      </c>
      <c r="K38" s="91">
        <f>SUMIFS(tabela_registros[VALOR],tabela_registros[MÊS],$AE$1,tabela_registros[DIA],maitotal30597183[[#Headers],[7]],tabela_registros[REGISTRO],DADOS!$N$4,tabela_registros[TIPO],DADOS!$P$3,tabela_registros[CATEGORIA],despesafixaconsolidadomai[[#This Row],[DESPESA FIXA]])</f>
        <v>0</v>
      </c>
      <c r="L38" s="91">
        <f>SUMIFS(tabela_registros[VALOR],tabela_registros[MÊS],$AE$1,tabela_registros[DIA],maitotal30597183[[#Headers],[8]],tabela_registros[REGISTRO],DADOS!$N$4,tabela_registros[TIPO],DADOS!$P$3,tabela_registros[CATEGORIA],despesafixaconsolidadomai[[#This Row],[DESPESA FIXA]])</f>
        <v>0</v>
      </c>
      <c r="M38" s="91">
        <f>SUMIFS(tabela_registros[VALOR],tabela_registros[MÊS],$AE$1,tabela_registros[DIA],maitotal30597183[[#Headers],[9]],tabela_registros[REGISTRO],DADOS!$N$4,tabela_registros[TIPO],DADOS!$P$3,tabela_registros[CATEGORIA],despesafixaconsolidadomai[[#This Row],[DESPESA FIXA]])</f>
        <v>0</v>
      </c>
      <c r="N38" s="91">
        <f>SUMIFS(tabela_registros[VALOR],tabela_registros[MÊS],$AE$1,tabela_registros[DIA],maitotal30597183[[#Headers],[10]],tabela_registros[REGISTRO],DADOS!$N$4,tabela_registros[TIPO],DADOS!$P$3,tabela_registros[CATEGORIA],despesafixaconsolidadomai[[#This Row],[DESPESA FIXA]])</f>
        <v>0</v>
      </c>
      <c r="O38" s="91">
        <f>SUMIFS(tabela_registros[VALOR],tabela_registros[MÊS],$AE$1,tabela_registros[DIA],maitotal30597183[[#Headers],[11]],tabela_registros[REGISTRO],DADOS!$N$4,tabela_registros[TIPO],DADOS!$P$3,tabela_registros[CATEGORIA],despesafixaconsolidadomai[[#This Row],[DESPESA FIXA]])</f>
        <v>0</v>
      </c>
      <c r="P38" s="91">
        <f>SUMIFS(tabela_registros[VALOR],tabela_registros[MÊS],$AE$1,tabela_registros[DIA],maitotal30597183[[#Headers],[12]],tabela_registros[REGISTRO],DADOS!$N$4,tabela_registros[TIPO],DADOS!$P$3,tabela_registros[CATEGORIA],despesafixaconsolidadomai[[#This Row],[DESPESA FIXA]])</f>
        <v>0</v>
      </c>
      <c r="Q38" s="91">
        <f>SUMIFS(tabela_registros[VALOR],tabela_registros[MÊS],$AE$1,tabela_registros[DIA],maitotal30597183[[#Headers],[13]],tabela_registros[REGISTRO],DADOS!$N$4,tabela_registros[TIPO],DADOS!$P$3,tabela_registros[CATEGORIA],despesafixaconsolidadomai[[#This Row],[DESPESA FIXA]])</f>
        <v>0</v>
      </c>
      <c r="R38" s="91">
        <f>SUMIFS(tabela_registros[VALOR],tabela_registros[MÊS],$AE$1,tabela_registros[DIA],maitotal30597183[[#Headers],[14]],tabela_registros[REGISTRO],DADOS!$N$4,tabela_registros[TIPO],DADOS!$P$3,tabela_registros[CATEGORIA],despesafixaconsolidadomai[[#This Row],[DESPESA FIXA]])</f>
        <v>0</v>
      </c>
      <c r="S38" s="91">
        <f>SUMIFS(tabela_registros[VALOR],tabela_registros[MÊS],$AE$1,tabela_registros[DIA],maitotal30597183[[#Headers],[15]],tabela_registros[REGISTRO],DADOS!$N$4,tabela_registros[TIPO],DADOS!$P$3,tabela_registros[CATEGORIA],despesafixaconsolidadomai[[#This Row],[DESPESA FIXA]])</f>
        <v>0</v>
      </c>
      <c r="T38" s="91">
        <f>SUMIFS(tabela_registros[VALOR],tabela_registros[MÊS],$AE$1,tabela_registros[DIA],maitotal30597183[[#Headers],[16]],tabela_registros[REGISTRO],DADOS!$N$4,tabela_registros[TIPO],DADOS!$P$3,tabela_registros[CATEGORIA],despesafixaconsolidadomai[[#This Row],[DESPESA FIXA]])</f>
        <v>0</v>
      </c>
      <c r="U38" s="91">
        <f>SUMIFS(tabela_registros[VALOR],tabela_registros[MÊS],$AE$1,tabela_registros[DIA],maitotal30597183[[#Headers],[17]],tabela_registros[REGISTRO],DADOS!$N$4,tabela_registros[TIPO],DADOS!$P$3,tabela_registros[CATEGORIA],despesafixaconsolidadomai[[#This Row],[DESPESA FIXA]])</f>
        <v>0</v>
      </c>
      <c r="V38" s="91">
        <f>SUMIFS(tabela_registros[VALOR],tabela_registros[MÊS],$AE$1,tabela_registros[DIA],maitotal30597183[[#Headers],[18]],tabela_registros[REGISTRO],DADOS!$N$4,tabela_registros[TIPO],DADOS!$P$3,tabela_registros[CATEGORIA],despesafixaconsolidadomai[[#This Row],[DESPESA FIXA]])</f>
        <v>0</v>
      </c>
      <c r="W38" s="91">
        <f>SUMIFS(tabela_registros[VALOR],tabela_registros[MÊS],$AE$1,tabela_registros[DIA],maitotal30597183[[#Headers],[19]],tabela_registros[REGISTRO],DADOS!$N$4,tabela_registros[TIPO],DADOS!$P$3,tabela_registros[CATEGORIA],despesafixaconsolidadomai[[#This Row],[DESPESA FIXA]])</f>
        <v>0</v>
      </c>
      <c r="X38" s="91">
        <f>SUMIFS(tabela_registros[VALOR],tabela_registros[MÊS],$AE$1,tabela_registros[DIA],maitotal30597183[[#Headers],[20]],tabela_registros[REGISTRO],DADOS!$N$4,tabela_registros[TIPO],DADOS!$P$3,tabela_registros[CATEGORIA],despesafixaconsolidadomai[[#This Row],[DESPESA FIXA]])</f>
        <v>0</v>
      </c>
      <c r="Y38" s="91">
        <f>SUMIFS(tabela_registros[VALOR],tabela_registros[MÊS],$AE$1,tabela_registros[DIA],maitotal30597183[[#Headers],[21]],tabela_registros[REGISTRO],DADOS!$N$4,tabela_registros[TIPO],DADOS!$P$3,tabela_registros[CATEGORIA],despesafixaconsolidadomai[[#This Row],[DESPESA FIXA]])</f>
        <v>0</v>
      </c>
      <c r="Z38" s="91">
        <f>SUMIFS(tabela_registros[VALOR],tabela_registros[MÊS],$AE$1,tabela_registros[DIA],maitotal30597183[[#Headers],[22]],tabela_registros[REGISTRO],DADOS!$N$4,tabela_registros[TIPO],DADOS!$P$3,tabela_registros[CATEGORIA],despesafixaconsolidadomai[[#This Row],[DESPESA FIXA]])</f>
        <v>0</v>
      </c>
      <c r="AA38" s="91">
        <f>SUMIFS(tabela_registros[VALOR],tabela_registros[MÊS],$AE$1,tabela_registros[DIA],maitotal30597183[[#Headers],[23]],tabela_registros[REGISTRO],DADOS!$N$4,tabela_registros[TIPO],DADOS!$P$3,tabela_registros[CATEGORIA],despesafixaconsolidadomai[[#This Row],[DESPESA FIXA]])</f>
        <v>0</v>
      </c>
      <c r="AB38" s="91">
        <f>SUMIFS(tabela_registros[VALOR],tabela_registros[MÊS],$AE$1,tabela_registros[DIA],maitotal30597183[[#Headers],[24]],tabela_registros[REGISTRO],DADOS!$N$4,tabela_registros[TIPO],DADOS!$P$3,tabela_registros[CATEGORIA],despesafixaconsolidadomai[[#This Row],[DESPESA FIXA]])</f>
        <v>0</v>
      </c>
      <c r="AC38" s="91">
        <f>SUMIFS(tabela_registros[VALOR],tabela_registros[MÊS],$AE$1,tabela_registros[DIA],maitotal30597183[[#Headers],[25]],tabela_registros[REGISTRO],DADOS!$N$4,tabela_registros[TIPO],DADOS!$P$3,tabela_registros[CATEGORIA],despesafixaconsolidadomai[[#This Row],[DESPESA FIXA]])</f>
        <v>0</v>
      </c>
      <c r="AD38" s="91">
        <f>SUMIFS(tabela_registros[VALOR],tabela_registros[MÊS],$AE$1,tabela_registros[DIA],maitotal30597183[[#Headers],[26]],tabela_registros[REGISTRO],DADOS!$N$4,tabela_registros[TIPO],DADOS!$P$3,tabela_registros[CATEGORIA],despesafixaconsolidadomai[[#This Row],[DESPESA FIXA]])</f>
        <v>0</v>
      </c>
      <c r="AE38" s="91">
        <f>SUMIFS(tabela_registros[VALOR],tabela_registros[MÊS],$AE$1,tabela_registros[DIA],maitotal30597183[[#Headers],[27]],tabela_registros[REGISTRO],DADOS!$N$4,tabela_registros[TIPO],DADOS!$P$3,tabela_registros[CATEGORIA],despesafixaconsolidadomai[[#This Row],[DESPESA FIXA]])</f>
        <v>0</v>
      </c>
      <c r="AF38" s="91">
        <f>SUMIFS(tabela_registros[VALOR],tabela_registros[MÊS],$AE$1,tabela_registros[DIA],maitotal30597183[[#Headers],[28]],tabela_registros[REGISTRO],DADOS!$N$4,tabela_registros[TIPO],DADOS!$P$3,tabela_registros[CATEGORIA],despesafixaconsolidadomai[[#This Row],[DESPESA FIXA]])</f>
        <v>0</v>
      </c>
      <c r="AG38" s="91">
        <f>SUMIFS(tabela_registros[VALOR],tabela_registros[MÊS],$AE$1,tabela_registros[DIA],maitotal30597183[[#Headers],[29]],tabela_registros[REGISTRO],DADOS!$N$4,tabela_registros[TIPO],DADOS!$P$3,tabela_registros[CATEGORIA],despesafixaconsolidadomai[[#This Row],[DESPESA FIXA]])</f>
        <v>0</v>
      </c>
      <c r="AH38" s="91">
        <f>SUMIFS(tabela_registros[VALOR],tabela_registros[MÊS],$AE$1,tabela_registros[DIA],maitotal30597183[[#Headers],[30]],tabela_registros[REGISTRO],DADOS!$N$4,tabela_registros[TIPO],DADOS!$P$3,tabela_registros[CATEGORIA],despesafixaconsolidadomai[[#This Row],[DESPESA FIXA]])</f>
        <v>0</v>
      </c>
      <c r="AI38" s="101">
        <f>SUMIFS(tabela_registros[VALOR],tabela_registros[MÊS],$AE$1,tabela_registros[DIA],maitotal30597183[[#Headers],[31]],tabela_registros[REGISTRO],DADOS!$N$4,tabela_registros[TIPO],DADOS!$P$3,tabela_registros[CATEGORIA],despesafixaconsolidadomai[[#This Row],[DESPESA FIXA]])</f>
        <v>0</v>
      </c>
      <c r="AJ38" s="97">
        <f>SUM(despesafixaconsolidadomai[[#This Row],[1]:[31]])</f>
        <v>0</v>
      </c>
      <c r="AK38" s="28"/>
    </row>
    <row r="39" spans="2:37" ht="18" customHeight="1" thickTop="1" thickBot="1" x14ac:dyDescent="0.3">
      <c r="B39" s="28"/>
      <c r="C39" s="27" t="str">
        <f>DADOS!$R$5</f>
        <v>🔖 ASSINATURAS E SERVIÇOS</v>
      </c>
      <c r="D39" s="26" t="str">
        <f>IF(despesafixaconsolidadomai[[#This Row],[TOTAL]]=0,"",IF(OR(despesafixaconsolidadomai[[#This Row],[TOTAL]]=LARGE($AJ$37:$AJ$50,1),despesafixaconsolidadomai[[#This Row],[TOTAL]]=LARGE($AJ$37:$AJ$50,2),despesafixaconsolidadomai[[#This Row],[TOTAL]]=LARGE($AJ$37:$AJ$50,3),despesafixaconsolidadomai[[#This Row],[TOTAL]]=LARGE($AJ$37:$AJ$50,4),despesafixaconsolidadomai[[#This Row],[TOTAL]]=LARGE($AJ$37:$AJ$50,5)),DADOS!$I$8,""))</f>
        <v/>
      </c>
      <c r="E39" s="96">
        <f>SUMIFS(tabela_registros[VALOR],tabela_registros[MÊS],$AE$1,tabela_registros[DIA],maitotal30597183[[#Headers],[1]],tabela_registros[REGISTRO],DADOS!$N$4,tabela_registros[TIPO],DADOS!$P$3,tabela_registros[CATEGORIA],despesafixaconsolidadomai[[#This Row],[DESPESA FIXA]])</f>
        <v>0</v>
      </c>
      <c r="F39" s="91">
        <f>SUMIFS(tabela_registros[VALOR],tabela_registros[MÊS],$AE$1,tabela_registros[DIA],maitotal30597183[[#Headers],[2]],tabela_registros[REGISTRO],DADOS!$N$4,tabela_registros[TIPO],DADOS!$P$3,tabela_registros[CATEGORIA],despesafixaconsolidadomai[[#This Row],[DESPESA FIXA]])</f>
        <v>0</v>
      </c>
      <c r="G39" s="91">
        <f>SUMIFS(tabela_registros[VALOR],tabela_registros[MÊS],$AE$1,tabela_registros[DIA],maitotal30597183[[#Headers],[3]],tabela_registros[REGISTRO],DADOS!$N$4,tabela_registros[TIPO],DADOS!$P$3,tabela_registros[CATEGORIA],despesafixaconsolidadomai[[#This Row],[DESPESA FIXA]])</f>
        <v>0</v>
      </c>
      <c r="H39" s="91">
        <f>SUMIFS(tabela_registros[VALOR],tabela_registros[MÊS],$AE$1,tabela_registros[DIA],maitotal30597183[[#Headers],[4]],tabela_registros[REGISTRO],DADOS!$N$4,tabela_registros[TIPO],DADOS!$P$3,tabela_registros[CATEGORIA],despesafixaconsolidadomai[[#This Row],[DESPESA FIXA]])</f>
        <v>0</v>
      </c>
      <c r="I39" s="91">
        <f>SUMIFS(tabela_registros[VALOR],tabela_registros[MÊS],$AE$1,tabela_registros[DIA],maitotal30597183[[#Headers],[5]],tabela_registros[REGISTRO],DADOS!$N$4,tabela_registros[TIPO],DADOS!$P$3,tabela_registros[CATEGORIA],despesafixaconsolidadomai[[#This Row],[DESPESA FIXA]])</f>
        <v>0</v>
      </c>
      <c r="J39" s="91">
        <f>SUMIFS(tabela_registros[VALOR],tabela_registros[MÊS],$AE$1,tabela_registros[DIA],maitotal30597183[[#Headers],[6]],tabela_registros[REGISTRO],DADOS!$N$4,tabela_registros[TIPO],DADOS!$P$3,tabela_registros[CATEGORIA],despesafixaconsolidadomai[[#This Row],[DESPESA FIXA]])</f>
        <v>0</v>
      </c>
      <c r="K39" s="91">
        <f>SUMIFS(tabela_registros[VALOR],tabela_registros[MÊS],$AE$1,tabela_registros[DIA],maitotal30597183[[#Headers],[7]],tabela_registros[REGISTRO],DADOS!$N$4,tabela_registros[TIPO],DADOS!$P$3,tabela_registros[CATEGORIA],despesafixaconsolidadomai[[#This Row],[DESPESA FIXA]])</f>
        <v>0</v>
      </c>
      <c r="L39" s="91">
        <f>SUMIFS(tabela_registros[VALOR],tabela_registros[MÊS],$AE$1,tabela_registros[DIA],maitotal30597183[[#Headers],[8]],tabela_registros[REGISTRO],DADOS!$N$4,tabela_registros[TIPO],DADOS!$P$3,tabela_registros[CATEGORIA],despesafixaconsolidadomai[[#This Row],[DESPESA FIXA]])</f>
        <v>0</v>
      </c>
      <c r="M39" s="91">
        <f>SUMIFS(tabela_registros[VALOR],tabela_registros[MÊS],$AE$1,tabela_registros[DIA],maitotal30597183[[#Headers],[9]],tabela_registros[REGISTRO],DADOS!$N$4,tabela_registros[TIPO],DADOS!$P$3,tabela_registros[CATEGORIA],despesafixaconsolidadomai[[#This Row],[DESPESA FIXA]])</f>
        <v>0</v>
      </c>
      <c r="N39" s="91">
        <f>SUMIFS(tabela_registros[VALOR],tabela_registros[MÊS],$AE$1,tabela_registros[DIA],maitotal30597183[[#Headers],[10]],tabela_registros[REGISTRO],DADOS!$N$4,tabela_registros[TIPO],DADOS!$P$3,tabela_registros[CATEGORIA],despesafixaconsolidadomai[[#This Row],[DESPESA FIXA]])</f>
        <v>0</v>
      </c>
      <c r="O39" s="91">
        <f>SUMIFS(tabela_registros[VALOR],tabela_registros[MÊS],$AE$1,tabela_registros[DIA],maitotal30597183[[#Headers],[11]],tabela_registros[REGISTRO],DADOS!$N$4,tabela_registros[TIPO],DADOS!$P$3,tabela_registros[CATEGORIA],despesafixaconsolidadomai[[#This Row],[DESPESA FIXA]])</f>
        <v>0</v>
      </c>
      <c r="P39" s="91">
        <f>SUMIFS(tabela_registros[VALOR],tabela_registros[MÊS],$AE$1,tabela_registros[DIA],maitotal30597183[[#Headers],[12]],tabela_registros[REGISTRO],DADOS!$N$4,tabela_registros[TIPO],DADOS!$P$3,tabela_registros[CATEGORIA],despesafixaconsolidadomai[[#This Row],[DESPESA FIXA]])</f>
        <v>0</v>
      </c>
      <c r="Q39" s="91">
        <f>SUMIFS(tabela_registros[VALOR],tabela_registros[MÊS],$AE$1,tabela_registros[DIA],maitotal30597183[[#Headers],[13]],tabela_registros[REGISTRO],DADOS!$N$4,tabela_registros[TIPO],DADOS!$P$3,tabela_registros[CATEGORIA],despesafixaconsolidadomai[[#This Row],[DESPESA FIXA]])</f>
        <v>0</v>
      </c>
      <c r="R39" s="91">
        <f>SUMIFS(tabela_registros[VALOR],tabela_registros[MÊS],$AE$1,tabela_registros[DIA],maitotal30597183[[#Headers],[14]],tabela_registros[REGISTRO],DADOS!$N$4,tabela_registros[TIPO],DADOS!$P$3,tabela_registros[CATEGORIA],despesafixaconsolidadomai[[#This Row],[DESPESA FIXA]])</f>
        <v>0</v>
      </c>
      <c r="S39" s="91">
        <f>SUMIFS(tabela_registros[VALOR],tabela_registros[MÊS],$AE$1,tabela_registros[DIA],maitotal30597183[[#Headers],[15]],tabela_registros[REGISTRO],DADOS!$N$4,tabela_registros[TIPO],DADOS!$P$3,tabela_registros[CATEGORIA],despesafixaconsolidadomai[[#This Row],[DESPESA FIXA]])</f>
        <v>0</v>
      </c>
      <c r="T39" s="91">
        <f>SUMIFS(tabela_registros[VALOR],tabela_registros[MÊS],$AE$1,tabela_registros[DIA],maitotal30597183[[#Headers],[16]],tabela_registros[REGISTRO],DADOS!$N$4,tabela_registros[TIPO],DADOS!$P$3,tabela_registros[CATEGORIA],despesafixaconsolidadomai[[#This Row],[DESPESA FIXA]])</f>
        <v>0</v>
      </c>
      <c r="U39" s="91">
        <f>SUMIFS(tabela_registros[VALOR],tabela_registros[MÊS],$AE$1,tabela_registros[DIA],maitotal30597183[[#Headers],[17]],tabela_registros[REGISTRO],DADOS!$N$4,tabela_registros[TIPO],DADOS!$P$3,tabela_registros[CATEGORIA],despesafixaconsolidadomai[[#This Row],[DESPESA FIXA]])</f>
        <v>0</v>
      </c>
      <c r="V39" s="91">
        <f>SUMIFS(tabela_registros[VALOR],tabela_registros[MÊS],$AE$1,tabela_registros[DIA],maitotal30597183[[#Headers],[18]],tabela_registros[REGISTRO],DADOS!$N$4,tabela_registros[TIPO],DADOS!$P$3,tabela_registros[CATEGORIA],despesafixaconsolidadomai[[#This Row],[DESPESA FIXA]])</f>
        <v>0</v>
      </c>
      <c r="W39" s="91">
        <f>SUMIFS(tabela_registros[VALOR],tabela_registros[MÊS],$AE$1,tabela_registros[DIA],maitotal30597183[[#Headers],[19]],tabela_registros[REGISTRO],DADOS!$N$4,tabela_registros[TIPO],DADOS!$P$3,tabela_registros[CATEGORIA],despesafixaconsolidadomai[[#This Row],[DESPESA FIXA]])</f>
        <v>0</v>
      </c>
      <c r="X39" s="91">
        <f>SUMIFS(tabela_registros[VALOR],tabela_registros[MÊS],$AE$1,tabela_registros[DIA],maitotal30597183[[#Headers],[20]],tabela_registros[REGISTRO],DADOS!$N$4,tabela_registros[TIPO],DADOS!$P$3,tabela_registros[CATEGORIA],despesafixaconsolidadomai[[#This Row],[DESPESA FIXA]])</f>
        <v>0</v>
      </c>
      <c r="Y39" s="91">
        <f>SUMIFS(tabela_registros[VALOR],tabela_registros[MÊS],$AE$1,tabela_registros[DIA],maitotal30597183[[#Headers],[21]],tabela_registros[REGISTRO],DADOS!$N$4,tabela_registros[TIPO],DADOS!$P$3,tabela_registros[CATEGORIA],despesafixaconsolidadomai[[#This Row],[DESPESA FIXA]])</f>
        <v>0</v>
      </c>
      <c r="Z39" s="91">
        <f>SUMIFS(tabela_registros[VALOR],tabela_registros[MÊS],$AE$1,tabela_registros[DIA],maitotal30597183[[#Headers],[22]],tabela_registros[REGISTRO],DADOS!$N$4,tabela_registros[TIPO],DADOS!$P$3,tabela_registros[CATEGORIA],despesafixaconsolidadomai[[#This Row],[DESPESA FIXA]])</f>
        <v>0</v>
      </c>
      <c r="AA39" s="91">
        <f>SUMIFS(tabela_registros[VALOR],tabela_registros[MÊS],$AE$1,tabela_registros[DIA],maitotal30597183[[#Headers],[23]],tabela_registros[REGISTRO],DADOS!$N$4,tabela_registros[TIPO],DADOS!$P$3,tabela_registros[CATEGORIA],despesafixaconsolidadomai[[#This Row],[DESPESA FIXA]])</f>
        <v>0</v>
      </c>
      <c r="AB39" s="91">
        <f>SUMIFS(tabela_registros[VALOR],tabela_registros[MÊS],$AE$1,tabela_registros[DIA],maitotal30597183[[#Headers],[24]],tabela_registros[REGISTRO],DADOS!$N$4,tabela_registros[TIPO],DADOS!$P$3,tabela_registros[CATEGORIA],despesafixaconsolidadomai[[#This Row],[DESPESA FIXA]])</f>
        <v>0</v>
      </c>
      <c r="AC39" s="91">
        <f>SUMIFS(tabela_registros[VALOR],tabela_registros[MÊS],$AE$1,tabela_registros[DIA],maitotal30597183[[#Headers],[25]],tabela_registros[REGISTRO],DADOS!$N$4,tabela_registros[TIPO],DADOS!$P$3,tabela_registros[CATEGORIA],despesafixaconsolidadomai[[#This Row],[DESPESA FIXA]])</f>
        <v>0</v>
      </c>
      <c r="AD39" s="91">
        <f>SUMIFS(tabela_registros[VALOR],tabela_registros[MÊS],$AE$1,tabela_registros[DIA],maitotal30597183[[#Headers],[26]],tabela_registros[REGISTRO],DADOS!$N$4,tabela_registros[TIPO],DADOS!$P$3,tabela_registros[CATEGORIA],despesafixaconsolidadomai[[#This Row],[DESPESA FIXA]])</f>
        <v>0</v>
      </c>
      <c r="AE39" s="91">
        <f>SUMIFS(tabela_registros[VALOR],tabela_registros[MÊS],$AE$1,tabela_registros[DIA],maitotal30597183[[#Headers],[27]],tabela_registros[REGISTRO],DADOS!$N$4,tabela_registros[TIPO],DADOS!$P$3,tabela_registros[CATEGORIA],despesafixaconsolidadomai[[#This Row],[DESPESA FIXA]])</f>
        <v>0</v>
      </c>
      <c r="AF39" s="91">
        <f>SUMIFS(tabela_registros[VALOR],tabela_registros[MÊS],$AE$1,tabela_registros[DIA],maitotal30597183[[#Headers],[28]],tabela_registros[REGISTRO],DADOS!$N$4,tabela_registros[TIPO],DADOS!$P$3,tabela_registros[CATEGORIA],despesafixaconsolidadomai[[#This Row],[DESPESA FIXA]])</f>
        <v>0</v>
      </c>
      <c r="AG39" s="91">
        <f>SUMIFS(tabela_registros[VALOR],tabela_registros[MÊS],$AE$1,tabela_registros[DIA],maitotal30597183[[#Headers],[29]],tabela_registros[REGISTRO],DADOS!$N$4,tabela_registros[TIPO],DADOS!$P$3,tabela_registros[CATEGORIA],despesafixaconsolidadomai[[#This Row],[DESPESA FIXA]])</f>
        <v>0</v>
      </c>
      <c r="AH39" s="91">
        <f>SUMIFS(tabela_registros[VALOR],tabela_registros[MÊS],$AE$1,tabela_registros[DIA],maitotal30597183[[#Headers],[30]],tabela_registros[REGISTRO],DADOS!$N$4,tabela_registros[TIPO],DADOS!$P$3,tabela_registros[CATEGORIA],despesafixaconsolidadomai[[#This Row],[DESPESA FIXA]])</f>
        <v>0</v>
      </c>
      <c r="AI39" s="101">
        <f>SUMIFS(tabela_registros[VALOR],tabela_registros[MÊS],$AE$1,tabela_registros[DIA],maitotal30597183[[#Headers],[31]],tabela_registros[REGISTRO],DADOS!$N$4,tabela_registros[TIPO],DADOS!$P$3,tabela_registros[CATEGORIA],despesafixaconsolidadomai[[#This Row],[DESPESA FIXA]])</f>
        <v>0</v>
      </c>
      <c r="AJ39" s="97">
        <f>SUM(despesafixaconsolidadomai[[#This Row],[1]:[31]])</f>
        <v>0</v>
      </c>
      <c r="AK39" s="28"/>
    </row>
    <row r="40" spans="2:37" ht="18" customHeight="1" thickTop="1" thickBot="1" x14ac:dyDescent="0.3">
      <c r="B40" s="28"/>
      <c r="C40" s="27" t="str">
        <f>DADOS!$R$6</f>
        <v>📱 CELULAR</v>
      </c>
      <c r="D40" s="26" t="str">
        <f>IF(despesafixaconsolidadomai[[#This Row],[TOTAL]]=0,"",IF(OR(despesafixaconsolidadomai[[#This Row],[TOTAL]]=LARGE($AJ$37:$AJ$50,1),despesafixaconsolidadomai[[#This Row],[TOTAL]]=LARGE($AJ$37:$AJ$50,2),despesafixaconsolidadomai[[#This Row],[TOTAL]]=LARGE($AJ$37:$AJ$50,3),despesafixaconsolidadomai[[#This Row],[TOTAL]]=LARGE($AJ$37:$AJ$50,4),despesafixaconsolidadomai[[#This Row],[TOTAL]]=LARGE($AJ$37:$AJ$50,5)),DADOS!$I$8,""))</f>
        <v/>
      </c>
      <c r="E40" s="96">
        <f>SUMIFS(tabela_registros[VALOR],tabela_registros[MÊS],$AE$1,tabela_registros[DIA],maitotal30597183[[#Headers],[1]],tabela_registros[REGISTRO],DADOS!$N$4,tabela_registros[TIPO],DADOS!$P$3,tabela_registros[CATEGORIA],despesafixaconsolidadomai[[#This Row],[DESPESA FIXA]])</f>
        <v>0</v>
      </c>
      <c r="F40" s="91">
        <f>SUMIFS(tabela_registros[VALOR],tabela_registros[MÊS],$AE$1,tabela_registros[DIA],maitotal30597183[[#Headers],[2]],tabela_registros[REGISTRO],DADOS!$N$4,tabela_registros[TIPO],DADOS!$P$3,tabela_registros[CATEGORIA],despesafixaconsolidadomai[[#This Row],[DESPESA FIXA]])</f>
        <v>0</v>
      </c>
      <c r="G40" s="91">
        <f>SUMIFS(tabela_registros[VALOR],tabela_registros[MÊS],$AE$1,tabela_registros[DIA],maitotal30597183[[#Headers],[3]],tabela_registros[REGISTRO],DADOS!$N$4,tabela_registros[TIPO],DADOS!$P$3,tabela_registros[CATEGORIA],despesafixaconsolidadomai[[#This Row],[DESPESA FIXA]])</f>
        <v>0</v>
      </c>
      <c r="H40" s="91">
        <f>SUMIFS(tabela_registros[VALOR],tabela_registros[MÊS],$AE$1,tabela_registros[DIA],maitotal30597183[[#Headers],[4]],tabela_registros[REGISTRO],DADOS!$N$4,tabela_registros[TIPO],DADOS!$P$3,tabela_registros[CATEGORIA],despesafixaconsolidadomai[[#This Row],[DESPESA FIXA]])</f>
        <v>0</v>
      </c>
      <c r="I40" s="91">
        <f>SUMIFS(tabela_registros[VALOR],tabela_registros[MÊS],$AE$1,tabela_registros[DIA],maitotal30597183[[#Headers],[5]],tabela_registros[REGISTRO],DADOS!$N$4,tabela_registros[TIPO],DADOS!$P$3,tabela_registros[CATEGORIA],despesafixaconsolidadomai[[#This Row],[DESPESA FIXA]])</f>
        <v>0</v>
      </c>
      <c r="J40" s="91">
        <f>SUMIFS(tabela_registros[VALOR],tabela_registros[MÊS],$AE$1,tabela_registros[DIA],maitotal30597183[[#Headers],[6]],tabela_registros[REGISTRO],DADOS!$N$4,tabela_registros[TIPO],DADOS!$P$3,tabela_registros[CATEGORIA],despesafixaconsolidadomai[[#This Row],[DESPESA FIXA]])</f>
        <v>0</v>
      </c>
      <c r="K40" s="91">
        <f>SUMIFS(tabela_registros[VALOR],tabela_registros[MÊS],$AE$1,tabela_registros[DIA],maitotal30597183[[#Headers],[7]],tabela_registros[REGISTRO],DADOS!$N$4,tabela_registros[TIPO],DADOS!$P$3,tabela_registros[CATEGORIA],despesafixaconsolidadomai[[#This Row],[DESPESA FIXA]])</f>
        <v>0</v>
      </c>
      <c r="L40" s="91">
        <f>SUMIFS(tabela_registros[VALOR],tabela_registros[MÊS],$AE$1,tabela_registros[DIA],maitotal30597183[[#Headers],[8]],tabela_registros[REGISTRO],DADOS!$N$4,tabela_registros[TIPO],DADOS!$P$3,tabela_registros[CATEGORIA],despesafixaconsolidadomai[[#This Row],[DESPESA FIXA]])</f>
        <v>0</v>
      </c>
      <c r="M40" s="91">
        <f>SUMIFS(tabela_registros[VALOR],tabela_registros[MÊS],$AE$1,tabela_registros[DIA],maitotal30597183[[#Headers],[9]],tabela_registros[REGISTRO],DADOS!$N$4,tabela_registros[TIPO],DADOS!$P$3,tabela_registros[CATEGORIA],despesafixaconsolidadomai[[#This Row],[DESPESA FIXA]])</f>
        <v>0</v>
      </c>
      <c r="N40" s="91">
        <f>SUMIFS(tabela_registros[VALOR],tabela_registros[MÊS],$AE$1,tabela_registros[DIA],maitotal30597183[[#Headers],[10]],tabela_registros[REGISTRO],DADOS!$N$4,tabela_registros[TIPO],DADOS!$P$3,tabela_registros[CATEGORIA],despesafixaconsolidadomai[[#This Row],[DESPESA FIXA]])</f>
        <v>0</v>
      </c>
      <c r="O40" s="91">
        <f>SUMIFS(tabela_registros[VALOR],tabela_registros[MÊS],$AE$1,tabela_registros[DIA],maitotal30597183[[#Headers],[11]],tabela_registros[REGISTRO],DADOS!$N$4,tabela_registros[TIPO],DADOS!$P$3,tabela_registros[CATEGORIA],despesafixaconsolidadomai[[#This Row],[DESPESA FIXA]])</f>
        <v>0</v>
      </c>
      <c r="P40" s="91">
        <f>SUMIFS(tabela_registros[VALOR],tabela_registros[MÊS],$AE$1,tabela_registros[DIA],maitotal30597183[[#Headers],[12]],tabela_registros[REGISTRO],DADOS!$N$4,tabela_registros[TIPO],DADOS!$P$3,tabela_registros[CATEGORIA],despesafixaconsolidadomai[[#This Row],[DESPESA FIXA]])</f>
        <v>0</v>
      </c>
      <c r="Q40" s="91">
        <f>SUMIFS(tabela_registros[VALOR],tabela_registros[MÊS],$AE$1,tabela_registros[DIA],maitotal30597183[[#Headers],[13]],tabela_registros[REGISTRO],DADOS!$N$4,tabela_registros[TIPO],DADOS!$P$3,tabela_registros[CATEGORIA],despesafixaconsolidadomai[[#This Row],[DESPESA FIXA]])</f>
        <v>0</v>
      </c>
      <c r="R40" s="91">
        <f>SUMIFS(tabela_registros[VALOR],tabela_registros[MÊS],$AE$1,tabela_registros[DIA],maitotal30597183[[#Headers],[14]],tabela_registros[REGISTRO],DADOS!$N$4,tabela_registros[TIPO],DADOS!$P$3,tabela_registros[CATEGORIA],despesafixaconsolidadomai[[#This Row],[DESPESA FIXA]])</f>
        <v>0</v>
      </c>
      <c r="S40" s="91">
        <f>SUMIFS(tabela_registros[VALOR],tabela_registros[MÊS],$AE$1,tabela_registros[DIA],maitotal30597183[[#Headers],[15]],tabela_registros[REGISTRO],DADOS!$N$4,tabela_registros[TIPO],DADOS!$P$3,tabela_registros[CATEGORIA],despesafixaconsolidadomai[[#This Row],[DESPESA FIXA]])</f>
        <v>0</v>
      </c>
      <c r="T40" s="91">
        <f>SUMIFS(tabela_registros[VALOR],tabela_registros[MÊS],$AE$1,tabela_registros[DIA],maitotal30597183[[#Headers],[16]],tabela_registros[REGISTRO],DADOS!$N$4,tabela_registros[TIPO],DADOS!$P$3,tabela_registros[CATEGORIA],despesafixaconsolidadomai[[#This Row],[DESPESA FIXA]])</f>
        <v>0</v>
      </c>
      <c r="U40" s="91">
        <f>SUMIFS(tabela_registros[VALOR],tabela_registros[MÊS],$AE$1,tabela_registros[DIA],maitotal30597183[[#Headers],[17]],tabela_registros[REGISTRO],DADOS!$N$4,tabela_registros[TIPO],DADOS!$P$3,tabela_registros[CATEGORIA],despesafixaconsolidadomai[[#This Row],[DESPESA FIXA]])</f>
        <v>0</v>
      </c>
      <c r="V40" s="91">
        <f>SUMIFS(tabela_registros[VALOR],tabela_registros[MÊS],$AE$1,tabela_registros[DIA],maitotal30597183[[#Headers],[18]],tabela_registros[REGISTRO],DADOS!$N$4,tabela_registros[TIPO],DADOS!$P$3,tabela_registros[CATEGORIA],despesafixaconsolidadomai[[#This Row],[DESPESA FIXA]])</f>
        <v>0</v>
      </c>
      <c r="W40" s="91">
        <f>SUMIFS(tabela_registros[VALOR],tabela_registros[MÊS],$AE$1,tabela_registros[DIA],maitotal30597183[[#Headers],[19]],tabela_registros[REGISTRO],DADOS!$N$4,tabela_registros[TIPO],DADOS!$P$3,tabela_registros[CATEGORIA],despesafixaconsolidadomai[[#This Row],[DESPESA FIXA]])</f>
        <v>0</v>
      </c>
      <c r="X40" s="91">
        <f>SUMIFS(tabela_registros[VALOR],tabela_registros[MÊS],$AE$1,tabela_registros[DIA],maitotal30597183[[#Headers],[20]],tabela_registros[REGISTRO],DADOS!$N$4,tabela_registros[TIPO],DADOS!$P$3,tabela_registros[CATEGORIA],despesafixaconsolidadomai[[#This Row],[DESPESA FIXA]])</f>
        <v>0</v>
      </c>
      <c r="Y40" s="91">
        <f>SUMIFS(tabela_registros[VALOR],tabela_registros[MÊS],$AE$1,tabela_registros[DIA],maitotal30597183[[#Headers],[21]],tabela_registros[REGISTRO],DADOS!$N$4,tabela_registros[TIPO],DADOS!$P$3,tabela_registros[CATEGORIA],despesafixaconsolidadomai[[#This Row],[DESPESA FIXA]])</f>
        <v>0</v>
      </c>
      <c r="Z40" s="91">
        <f>SUMIFS(tabela_registros[VALOR],tabela_registros[MÊS],$AE$1,tabela_registros[DIA],maitotal30597183[[#Headers],[22]],tabela_registros[REGISTRO],DADOS!$N$4,tabela_registros[TIPO],DADOS!$P$3,tabela_registros[CATEGORIA],despesafixaconsolidadomai[[#This Row],[DESPESA FIXA]])</f>
        <v>0</v>
      </c>
      <c r="AA40" s="91">
        <f>SUMIFS(tabela_registros[VALOR],tabela_registros[MÊS],$AE$1,tabela_registros[DIA],maitotal30597183[[#Headers],[23]],tabela_registros[REGISTRO],DADOS!$N$4,tabela_registros[TIPO],DADOS!$P$3,tabela_registros[CATEGORIA],despesafixaconsolidadomai[[#This Row],[DESPESA FIXA]])</f>
        <v>0</v>
      </c>
      <c r="AB40" s="91">
        <f>SUMIFS(tabela_registros[VALOR],tabela_registros[MÊS],$AE$1,tabela_registros[DIA],maitotal30597183[[#Headers],[24]],tabela_registros[REGISTRO],DADOS!$N$4,tabela_registros[TIPO],DADOS!$P$3,tabela_registros[CATEGORIA],despesafixaconsolidadomai[[#This Row],[DESPESA FIXA]])</f>
        <v>0</v>
      </c>
      <c r="AC40" s="91">
        <f>SUMIFS(tabela_registros[VALOR],tabela_registros[MÊS],$AE$1,tabela_registros[DIA],maitotal30597183[[#Headers],[25]],tabela_registros[REGISTRO],DADOS!$N$4,tabela_registros[TIPO],DADOS!$P$3,tabela_registros[CATEGORIA],despesafixaconsolidadomai[[#This Row],[DESPESA FIXA]])</f>
        <v>0</v>
      </c>
      <c r="AD40" s="91">
        <f>SUMIFS(tabela_registros[VALOR],tabela_registros[MÊS],$AE$1,tabela_registros[DIA],maitotal30597183[[#Headers],[26]],tabela_registros[REGISTRO],DADOS!$N$4,tabela_registros[TIPO],DADOS!$P$3,tabela_registros[CATEGORIA],despesafixaconsolidadomai[[#This Row],[DESPESA FIXA]])</f>
        <v>0</v>
      </c>
      <c r="AE40" s="91">
        <f>SUMIFS(tabela_registros[VALOR],tabela_registros[MÊS],$AE$1,tabela_registros[DIA],maitotal30597183[[#Headers],[27]],tabela_registros[REGISTRO],DADOS!$N$4,tabela_registros[TIPO],DADOS!$P$3,tabela_registros[CATEGORIA],despesafixaconsolidadomai[[#This Row],[DESPESA FIXA]])</f>
        <v>0</v>
      </c>
      <c r="AF40" s="91">
        <f>SUMIFS(tabela_registros[VALOR],tabela_registros[MÊS],$AE$1,tabela_registros[DIA],maitotal30597183[[#Headers],[28]],tabela_registros[REGISTRO],DADOS!$N$4,tabela_registros[TIPO],DADOS!$P$3,tabela_registros[CATEGORIA],despesafixaconsolidadomai[[#This Row],[DESPESA FIXA]])</f>
        <v>0</v>
      </c>
      <c r="AG40" s="91">
        <f>SUMIFS(tabela_registros[VALOR],tabela_registros[MÊS],$AE$1,tabela_registros[DIA],maitotal30597183[[#Headers],[29]],tabela_registros[REGISTRO],DADOS!$N$4,tabela_registros[TIPO],DADOS!$P$3,tabela_registros[CATEGORIA],despesafixaconsolidadomai[[#This Row],[DESPESA FIXA]])</f>
        <v>0</v>
      </c>
      <c r="AH40" s="91">
        <f>SUMIFS(tabela_registros[VALOR],tabela_registros[MÊS],$AE$1,tabela_registros[DIA],maitotal30597183[[#Headers],[30]],tabela_registros[REGISTRO],DADOS!$N$4,tabela_registros[TIPO],DADOS!$P$3,tabela_registros[CATEGORIA],despesafixaconsolidadomai[[#This Row],[DESPESA FIXA]])</f>
        <v>0</v>
      </c>
      <c r="AI40" s="101">
        <f>SUMIFS(tabela_registros[VALOR],tabela_registros[MÊS],$AE$1,tabela_registros[DIA],maitotal30597183[[#Headers],[31]],tabela_registros[REGISTRO],DADOS!$N$4,tabela_registros[TIPO],DADOS!$P$3,tabela_registros[CATEGORIA],despesafixaconsolidadomai[[#This Row],[DESPESA FIXA]])</f>
        <v>0</v>
      </c>
      <c r="AJ40" s="97">
        <f>SUM(despesafixaconsolidadomai[[#This Row],[1]:[31]])</f>
        <v>0</v>
      </c>
      <c r="AK40" s="28"/>
    </row>
    <row r="41" spans="2:37" ht="18" customHeight="1" thickTop="1" thickBot="1" x14ac:dyDescent="0.3">
      <c r="B41" s="28"/>
      <c r="C41" s="27" t="str">
        <f>DADOS!$R$7</f>
        <v>📖 EDUCAÇÃO</v>
      </c>
      <c r="D41" s="26" t="str">
        <f>IF(despesafixaconsolidadomai[[#This Row],[TOTAL]]=0,"",IF(OR(despesafixaconsolidadomai[[#This Row],[TOTAL]]=LARGE($AJ$37:$AJ$50,1),despesafixaconsolidadomai[[#This Row],[TOTAL]]=LARGE($AJ$37:$AJ$50,2),despesafixaconsolidadomai[[#This Row],[TOTAL]]=LARGE($AJ$37:$AJ$50,3),despesafixaconsolidadomai[[#This Row],[TOTAL]]=LARGE($AJ$37:$AJ$50,4),despesafixaconsolidadomai[[#This Row],[TOTAL]]=LARGE($AJ$37:$AJ$50,5)),DADOS!$I$8,""))</f>
        <v/>
      </c>
      <c r="E41" s="96">
        <f>SUMIFS(tabela_registros[VALOR],tabela_registros[MÊS],$AE$1,tabela_registros[DIA],maitotal30597183[[#Headers],[1]],tabela_registros[REGISTRO],DADOS!$N$4,tabela_registros[TIPO],DADOS!$P$3,tabela_registros[CATEGORIA],despesafixaconsolidadomai[[#This Row],[DESPESA FIXA]])</f>
        <v>0</v>
      </c>
      <c r="F41" s="91">
        <f>SUMIFS(tabela_registros[VALOR],tabela_registros[MÊS],$AE$1,tabela_registros[DIA],maitotal30597183[[#Headers],[2]],tabela_registros[REGISTRO],DADOS!$N$4,tabela_registros[TIPO],DADOS!$P$3,tabela_registros[CATEGORIA],despesafixaconsolidadomai[[#This Row],[DESPESA FIXA]])</f>
        <v>0</v>
      </c>
      <c r="G41" s="91">
        <f>SUMIFS(tabela_registros[VALOR],tabela_registros[MÊS],$AE$1,tabela_registros[DIA],maitotal30597183[[#Headers],[3]],tabela_registros[REGISTRO],DADOS!$N$4,tabela_registros[TIPO],DADOS!$P$3,tabela_registros[CATEGORIA],despesafixaconsolidadomai[[#This Row],[DESPESA FIXA]])</f>
        <v>0</v>
      </c>
      <c r="H41" s="91">
        <f>SUMIFS(tabela_registros[VALOR],tabela_registros[MÊS],$AE$1,tabela_registros[DIA],maitotal30597183[[#Headers],[4]],tabela_registros[REGISTRO],DADOS!$N$4,tabela_registros[TIPO],DADOS!$P$3,tabela_registros[CATEGORIA],despesafixaconsolidadomai[[#This Row],[DESPESA FIXA]])</f>
        <v>0</v>
      </c>
      <c r="I41" s="91">
        <f>SUMIFS(tabela_registros[VALOR],tabela_registros[MÊS],$AE$1,tabela_registros[DIA],maitotal30597183[[#Headers],[5]],tabela_registros[REGISTRO],DADOS!$N$4,tabela_registros[TIPO],DADOS!$P$3,tabela_registros[CATEGORIA],despesafixaconsolidadomai[[#This Row],[DESPESA FIXA]])</f>
        <v>0</v>
      </c>
      <c r="J41" s="91">
        <f>SUMIFS(tabela_registros[VALOR],tabela_registros[MÊS],$AE$1,tabela_registros[DIA],maitotal30597183[[#Headers],[6]],tabela_registros[REGISTRO],DADOS!$N$4,tabela_registros[TIPO],DADOS!$P$3,tabela_registros[CATEGORIA],despesafixaconsolidadomai[[#This Row],[DESPESA FIXA]])</f>
        <v>0</v>
      </c>
      <c r="K41" s="91">
        <f>SUMIFS(tabela_registros[VALOR],tabela_registros[MÊS],$AE$1,tabela_registros[DIA],maitotal30597183[[#Headers],[7]],tabela_registros[REGISTRO],DADOS!$N$4,tabela_registros[TIPO],DADOS!$P$3,tabela_registros[CATEGORIA],despesafixaconsolidadomai[[#This Row],[DESPESA FIXA]])</f>
        <v>0</v>
      </c>
      <c r="L41" s="91">
        <f>SUMIFS(tabela_registros[VALOR],tabela_registros[MÊS],$AE$1,tabela_registros[DIA],maitotal30597183[[#Headers],[8]],tabela_registros[REGISTRO],DADOS!$N$4,tabela_registros[TIPO],DADOS!$P$3,tabela_registros[CATEGORIA],despesafixaconsolidadomai[[#This Row],[DESPESA FIXA]])</f>
        <v>0</v>
      </c>
      <c r="M41" s="91">
        <f>SUMIFS(tabela_registros[VALOR],tabela_registros[MÊS],$AE$1,tabela_registros[DIA],maitotal30597183[[#Headers],[9]],tabela_registros[REGISTRO],DADOS!$N$4,tabela_registros[TIPO],DADOS!$P$3,tabela_registros[CATEGORIA],despesafixaconsolidadomai[[#This Row],[DESPESA FIXA]])</f>
        <v>0</v>
      </c>
      <c r="N41" s="91">
        <f>SUMIFS(tabela_registros[VALOR],tabela_registros[MÊS],$AE$1,tabela_registros[DIA],maitotal30597183[[#Headers],[10]],tabela_registros[REGISTRO],DADOS!$N$4,tabela_registros[TIPO],DADOS!$P$3,tabela_registros[CATEGORIA],despesafixaconsolidadomai[[#This Row],[DESPESA FIXA]])</f>
        <v>0</v>
      </c>
      <c r="O41" s="91">
        <f>SUMIFS(tabela_registros[VALOR],tabela_registros[MÊS],$AE$1,tabela_registros[DIA],maitotal30597183[[#Headers],[11]],tabela_registros[REGISTRO],DADOS!$N$4,tabela_registros[TIPO],DADOS!$P$3,tabela_registros[CATEGORIA],despesafixaconsolidadomai[[#This Row],[DESPESA FIXA]])</f>
        <v>0</v>
      </c>
      <c r="P41" s="91">
        <f>SUMIFS(tabela_registros[VALOR],tabela_registros[MÊS],$AE$1,tabela_registros[DIA],maitotal30597183[[#Headers],[12]],tabela_registros[REGISTRO],DADOS!$N$4,tabela_registros[TIPO],DADOS!$P$3,tabela_registros[CATEGORIA],despesafixaconsolidadomai[[#This Row],[DESPESA FIXA]])</f>
        <v>0</v>
      </c>
      <c r="Q41" s="91">
        <f>SUMIFS(tabela_registros[VALOR],tabela_registros[MÊS],$AE$1,tabela_registros[DIA],maitotal30597183[[#Headers],[13]],tabela_registros[REGISTRO],DADOS!$N$4,tabela_registros[TIPO],DADOS!$P$3,tabela_registros[CATEGORIA],despesafixaconsolidadomai[[#This Row],[DESPESA FIXA]])</f>
        <v>0</v>
      </c>
      <c r="R41" s="91">
        <f>SUMIFS(tabela_registros[VALOR],tabela_registros[MÊS],$AE$1,tabela_registros[DIA],maitotal30597183[[#Headers],[14]],tabela_registros[REGISTRO],DADOS!$N$4,tabela_registros[TIPO],DADOS!$P$3,tabela_registros[CATEGORIA],despesafixaconsolidadomai[[#This Row],[DESPESA FIXA]])</f>
        <v>0</v>
      </c>
      <c r="S41" s="91">
        <f>SUMIFS(tabela_registros[VALOR],tabela_registros[MÊS],$AE$1,tabela_registros[DIA],maitotal30597183[[#Headers],[15]],tabela_registros[REGISTRO],DADOS!$N$4,tabela_registros[TIPO],DADOS!$P$3,tabela_registros[CATEGORIA],despesafixaconsolidadomai[[#This Row],[DESPESA FIXA]])</f>
        <v>0</v>
      </c>
      <c r="T41" s="91">
        <f>SUMIFS(tabela_registros[VALOR],tabela_registros[MÊS],$AE$1,tabela_registros[DIA],maitotal30597183[[#Headers],[16]],tabela_registros[REGISTRO],DADOS!$N$4,tabela_registros[TIPO],DADOS!$P$3,tabela_registros[CATEGORIA],despesafixaconsolidadomai[[#This Row],[DESPESA FIXA]])</f>
        <v>0</v>
      </c>
      <c r="U41" s="91">
        <f>SUMIFS(tabela_registros[VALOR],tabela_registros[MÊS],$AE$1,tabela_registros[DIA],maitotal30597183[[#Headers],[17]],tabela_registros[REGISTRO],DADOS!$N$4,tabela_registros[TIPO],DADOS!$P$3,tabela_registros[CATEGORIA],despesafixaconsolidadomai[[#This Row],[DESPESA FIXA]])</f>
        <v>0</v>
      </c>
      <c r="V41" s="91">
        <f>SUMIFS(tabela_registros[VALOR],tabela_registros[MÊS],$AE$1,tabela_registros[DIA],maitotal30597183[[#Headers],[18]],tabela_registros[REGISTRO],DADOS!$N$4,tabela_registros[TIPO],DADOS!$P$3,tabela_registros[CATEGORIA],despesafixaconsolidadomai[[#This Row],[DESPESA FIXA]])</f>
        <v>0</v>
      </c>
      <c r="W41" s="91">
        <f>SUMIFS(tabela_registros[VALOR],tabela_registros[MÊS],$AE$1,tabela_registros[DIA],maitotal30597183[[#Headers],[19]],tabela_registros[REGISTRO],DADOS!$N$4,tabela_registros[TIPO],DADOS!$P$3,tabela_registros[CATEGORIA],despesafixaconsolidadomai[[#This Row],[DESPESA FIXA]])</f>
        <v>0</v>
      </c>
      <c r="X41" s="91">
        <f>SUMIFS(tabela_registros[VALOR],tabela_registros[MÊS],$AE$1,tabela_registros[DIA],maitotal30597183[[#Headers],[20]],tabela_registros[REGISTRO],DADOS!$N$4,tabela_registros[TIPO],DADOS!$P$3,tabela_registros[CATEGORIA],despesafixaconsolidadomai[[#This Row],[DESPESA FIXA]])</f>
        <v>0</v>
      </c>
      <c r="Y41" s="91">
        <f>SUMIFS(tabela_registros[VALOR],tabela_registros[MÊS],$AE$1,tabela_registros[DIA],maitotal30597183[[#Headers],[21]],tabela_registros[REGISTRO],DADOS!$N$4,tabela_registros[TIPO],DADOS!$P$3,tabela_registros[CATEGORIA],despesafixaconsolidadomai[[#This Row],[DESPESA FIXA]])</f>
        <v>0</v>
      </c>
      <c r="Z41" s="91">
        <f>SUMIFS(tabela_registros[VALOR],tabela_registros[MÊS],$AE$1,tabela_registros[DIA],maitotal30597183[[#Headers],[22]],tabela_registros[REGISTRO],DADOS!$N$4,tabela_registros[TIPO],DADOS!$P$3,tabela_registros[CATEGORIA],despesafixaconsolidadomai[[#This Row],[DESPESA FIXA]])</f>
        <v>0</v>
      </c>
      <c r="AA41" s="91">
        <f>SUMIFS(tabela_registros[VALOR],tabela_registros[MÊS],$AE$1,tabela_registros[DIA],maitotal30597183[[#Headers],[23]],tabela_registros[REGISTRO],DADOS!$N$4,tabela_registros[TIPO],DADOS!$P$3,tabela_registros[CATEGORIA],despesafixaconsolidadomai[[#This Row],[DESPESA FIXA]])</f>
        <v>0</v>
      </c>
      <c r="AB41" s="91">
        <f>SUMIFS(tabela_registros[VALOR],tabela_registros[MÊS],$AE$1,tabela_registros[DIA],maitotal30597183[[#Headers],[24]],tabela_registros[REGISTRO],DADOS!$N$4,tabela_registros[TIPO],DADOS!$P$3,tabela_registros[CATEGORIA],despesafixaconsolidadomai[[#This Row],[DESPESA FIXA]])</f>
        <v>0</v>
      </c>
      <c r="AC41" s="91">
        <f>SUMIFS(tabela_registros[VALOR],tabela_registros[MÊS],$AE$1,tabela_registros[DIA],maitotal30597183[[#Headers],[25]],tabela_registros[REGISTRO],DADOS!$N$4,tabela_registros[TIPO],DADOS!$P$3,tabela_registros[CATEGORIA],despesafixaconsolidadomai[[#This Row],[DESPESA FIXA]])</f>
        <v>0</v>
      </c>
      <c r="AD41" s="91">
        <f>SUMIFS(tabela_registros[VALOR],tabela_registros[MÊS],$AE$1,tabela_registros[DIA],maitotal30597183[[#Headers],[26]],tabela_registros[REGISTRO],DADOS!$N$4,tabela_registros[TIPO],DADOS!$P$3,tabela_registros[CATEGORIA],despesafixaconsolidadomai[[#This Row],[DESPESA FIXA]])</f>
        <v>0</v>
      </c>
      <c r="AE41" s="91">
        <f>SUMIFS(tabela_registros[VALOR],tabela_registros[MÊS],$AE$1,tabela_registros[DIA],maitotal30597183[[#Headers],[27]],tabela_registros[REGISTRO],DADOS!$N$4,tabela_registros[TIPO],DADOS!$P$3,tabela_registros[CATEGORIA],despesafixaconsolidadomai[[#This Row],[DESPESA FIXA]])</f>
        <v>0</v>
      </c>
      <c r="AF41" s="91">
        <f>SUMIFS(tabela_registros[VALOR],tabela_registros[MÊS],$AE$1,tabela_registros[DIA],maitotal30597183[[#Headers],[28]],tabela_registros[REGISTRO],DADOS!$N$4,tabela_registros[TIPO],DADOS!$P$3,tabela_registros[CATEGORIA],despesafixaconsolidadomai[[#This Row],[DESPESA FIXA]])</f>
        <v>0</v>
      </c>
      <c r="AG41" s="91">
        <f>SUMIFS(tabela_registros[VALOR],tabela_registros[MÊS],$AE$1,tabela_registros[DIA],maitotal30597183[[#Headers],[29]],tabela_registros[REGISTRO],DADOS!$N$4,tabela_registros[TIPO],DADOS!$P$3,tabela_registros[CATEGORIA],despesafixaconsolidadomai[[#This Row],[DESPESA FIXA]])</f>
        <v>0</v>
      </c>
      <c r="AH41" s="91">
        <f>SUMIFS(tabela_registros[VALOR],tabela_registros[MÊS],$AE$1,tabela_registros[DIA],maitotal30597183[[#Headers],[30]],tabela_registros[REGISTRO],DADOS!$N$4,tabela_registros[TIPO],DADOS!$P$3,tabela_registros[CATEGORIA],despesafixaconsolidadomai[[#This Row],[DESPESA FIXA]])</f>
        <v>0</v>
      </c>
      <c r="AI41" s="101">
        <f>SUMIFS(tabela_registros[VALOR],tabela_registros[MÊS],$AE$1,tabela_registros[DIA],maitotal30597183[[#Headers],[31]],tabela_registros[REGISTRO],DADOS!$N$4,tabela_registros[TIPO],DADOS!$P$3,tabela_registros[CATEGORIA],despesafixaconsolidadomai[[#This Row],[DESPESA FIXA]])</f>
        <v>0</v>
      </c>
      <c r="AJ41" s="97">
        <f>SUM(despesafixaconsolidadomai[[#This Row],[1]:[31]])</f>
        <v>0</v>
      </c>
      <c r="AK41" s="28"/>
    </row>
    <row r="42" spans="2:37" ht="18" customHeight="1" thickTop="1" thickBot="1" x14ac:dyDescent="0.3">
      <c r="B42" s="28"/>
      <c r="C42" s="27" t="str">
        <f>DADOS!$R$8</f>
        <v>🏦 EMPRÉSTIMO</v>
      </c>
      <c r="D42" s="26" t="str">
        <f>IF(despesafixaconsolidadomai[[#This Row],[TOTAL]]=0,"",IF(OR(despesafixaconsolidadomai[[#This Row],[TOTAL]]=LARGE($AJ$37:$AJ$50,1),despesafixaconsolidadomai[[#This Row],[TOTAL]]=LARGE($AJ$37:$AJ$50,2),despesafixaconsolidadomai[[#This Row],[TOTAL]]=LARGE($AJ$37:$AJ$50,3),despesafixaconsolidadomai[[#This Row],[TOTAL]]=LARGE($AJ$37:$AJ$50,4),despesafixaconsolidadomai[[#This Row],[TOTAL]]=LARGE($AJ$37:$AJ$50,5)),DADOS!$I$8,""))</f>
        <v/>
      </c>
      <c r="E42" s="96">
        <f>SUMIFS(tabela_registros[VALOR],tabela_registros[MÊS],$AE$1,tabela_registros[DIA],maitotal30597183[[#Headers],[1]],tabela_registros[REGISTRO],DADOS!$N$4,tabela_registros[TIPO],DADOS!$P$3,tabela_registros[CATEGORIA],despesafixaconsolidadomai[[#This Row],[DESPESA FIXA]])</f>
        <v>0</v>
      </c>
      <c r="F42" s="91">
        <f>SUMIFS(tabela_registros[VALOR],tabela_registros[MÊS],$AE$1,tabela_registros[DIA],maitotal30597183[[#Headers],[2]],tabela_registros[REGISTRO],DADOS!$N$4,tabela_registros[TIPO],DADOS!$P$3,tabela_registros[CATEGORIA],despesafixaconsolidadomai[[#This Row],[DESPESA FIXA]])</f>
        <v>0</v>
      </c>
      <c r="G42" s="91">
        <f>SUMIFS(tabela_registros[VALOR],tabela_registros[MÊS],$AE$1,tabela_registros[DIA],maitotal30597183[[#Headers],[3]],tabela_registros[REGISTRO],DADOS!$N$4,tabela_registros[TIPO],DADOS!$P$3,tabela_registros[CATEGORIA],despesafixaconsolidadomai[[#This Row],[DESPESA FIXA]])</f>
        <v>0</v>
      </c>
      <c r="H42" s="91">
        <f>SUMIFS(tabela_registros[VALOR],tabela_registros[MÊS],$AE$1,tabela_registros[DIA],maitotal30597183[[#Headers],[4]],tabela_registros[REGISTRO],DADOS!$N$4,tabela_registros[TIPO],DADOS!$P$3,tabela_registros[CATEGORIA],despesafixaconsolidadomai[[#This Row],[DESPESA FIXA]])</f>
        <v>0</v>
      </c>
      <c r="I42" s="91">
        <f>SUMIFS(tabela_registros[VALOR],tabela_registros[MÊS],$AE$1,tabela_registros[DIA],maitotal30597183[[#Headers],[5]],tabela_registros[REGISTRO],DADOS!$N$4,tabela_registros[TIPO],DADOS!$P$3,tabela_registros[CATEGORIA],despesafixaconsolidadomai[[#This Row],[DESPESA FIXA]])</f>
        <v>0</v>
      </c>
      <c r="J42" s="91">
        <f>SUMIFS(tabela_registros[VALOR],tabela_registros[MÊS],$AE$1,tabela_registros[DIA],maitotal30597183[[#Headers],[6]],tabela_registros[REGISTRO],DADOS!$N$4,tabela_registros[TIPO],DADOS!$P$3,tabela_registros[CATEGORIA],despesafixaconsolidadomai[[#This Row],[DESPESA FIXA]])</f>
        <v>0</v>
      </c>
      <c r="K42" s="91">
        <f>SUMIFS(tabela_registros[VALOR],tabela_registros[MÊS],$AE$1,tabela_registros[DIA],maitotal30597183[[#Headers],[7]],tabela_registros[REGISTRO],DADOS!$N$4,tabela_registros[TIPO],DADOS!$P$3,tabela_registros[CATEGORIA],despesafixaconsolidadomai[[#This Row],[DESPESA FIXA]])</f>
        <v>0</v>
      </c>
      <c r="L42" s="91">
        <f>SUMIFS(tabela_registros[VALOR],tabela_registros[MÊS],$AE$1,tabela_registros[DIA],maitotal30597183[[#Headers],[8]],tabela_registros[REGISTRO],DADOS!$N$4,tabela_registros[TIPO],DADOS!$P$3,tabela_registros[CATEGORIA],despesafixaconsolidadomai[[#This Row],[DESPESA FIXA]])</f>
        <v>0</v>
      </c>
      <c r="M42" s="91">
        <f>SUMIFS(tabela_registros[VALOR],tabela_registros[MÊS],$AE$1,tabela_registros[DIA],maitotal30597183[[#Headers],[9]],tabela_registros[REGISTRO],DADOS!$N$4,tabela_registros[TIPO],DADOS!$P$3,tabela_registros[CATEGORIA],despesafixaconsolidadomai[[#This Row],[DESPESA FIXA]])</f>
        <v>0</v>
      </c>
      <c r="N42" s="91">
        <f>SUMIFS(tabela_registros[VALOR],tabela_registros[MÊS],$AE$1,tabela_registros[DIA],maitotal30597183[[#Headers],[10]],tabela_registros[REGISTRO],DADOS!$N$4,tabela_registros[TIPO],DADOS!$P$3,tabela_registros[CATEGORIA],despesafixaconsolidadomai[[#This Row],[DESPESA FIXA]])</f>
        <v>0</v>
      </c>
      <c r="O42" s="91">
        <f>SUMIFS(tabela_registros[VALOR],tabela_registros[MÊS],$AE$1,tabela_registros[DIA],maitotal30597183[[#Headers],[11]],tabela_registros[REGISTRO],DADOS!$N$4,tabela_registros[TIPO],DADOS!$P$3,tabela_registros[CATEGORIA],despesafixaconsolidadomai[[#This Row],[DESPESA FIXA]])</f>
        <v>0</v>
      </c>
      <c r="P42" s="91">
        <f>SUMIFS(tabela_registros[VALOR],tabela_registros[MÊS],$AE$1,tabela_registros[DIA],maitotal30597183[[#Headers],[12]],tabela_registros[REGISTRO],DADOS!$N$4,tabela_registros[TIPO],DADOS!$P$3,tabela_registros[CATEGORIA],despesafixaconsolidadomai[[#This Row],[DESPESA FIXA]])</f>
        <v>0</v>
      </c>
      <c r="Q42" s="91">
        <f>SUMIFS(tabela_registros[VALOR],tabela_registros[MÊS],$AE$1,tabela_registros[DIA],maitotal30597183[[#Headers],[13]],tabela_registros[REGISTRO],DADOS!$N$4,tabela_registros[TIPO],DADOS!$P$3,tabela_registros[CATEGORIA],despesafixaconsolidadomai[[#This Row],[DESPESA FIXA]])</f>
        <v>0</v>
      </c>
      <c r="R42" s="91">
        <f>SUMIFS(tabela_registros[VALOR],tabela_registros[MÊS],$AE$1,tabela_registros[DIA],maitotal30597183[[#Headers],[14]],tabela_registros[REGISTRO],DADOS!$N$4,tabela_registros[TIPO],DADOS!$P$3,tabela_registros[CATEGORIA],despesafixaconsolidadomai[[#This Row],[DESPESA FIXA]])</f>
        <v>0</v>
      </c>
      <c r="S42" s="91">
        <f>SUMIFS(tabela_registros[VALOR],tabela_registros[MÊS],$AE$1,tabela_registros[DIA],maitotal30597183[[#Headers],[15]],tabela_registros[REGISTRO],DADOS!$N$4,tabela_registros[TIPO],DADOS!$P$3,tabela_registros[CATEGORIA],despesafixaconsolidadomai[[#This Row],[DESPESA FIXA]])</f>
        <v>0</v>
      </c>
      <c r="T42" s="91">
        <f>SUMIFS(tabela_registros[VALOR],tabela_registros[MÊS],$AE$1,tabela_registros[DIA],maitotal30597183[[#Headers],[16]],tabela_registros[REGISTRO],DADOS!$N$4,tabela_registros[TIPO],DADOS!$P$3,tabela_registros[CATEGORIA],despesafixaconsolidadomai[[#This Row],[DESPESA FIXA]])</f>
        <v>0</v>
      </c>
      <c r="U42" s="91">
        <f>SUMIFS(tabela_registros[VALOR],tabela_registros[MÊS],$AE$1,tabela_registros[DIA],maitotal30597183[[#Headers],[17]],tabela_registros[REGISTRO],DADOS!$N$4,tabela_registros[TIPO],DADOS!$P$3,tabela_registros[CATEGORIA],despesafixaconsolidadomai[[#This Row],[DESPESA FIXA]])</f>
        <v>0</v>
      </c>
      <c r="V42" s="91">
        <f>SUMIFS(tabela_registros[VALOR],tabela_registros[MÊS],$AE$1,tabela_registros[DIA],maitotal30597183[[#Headers],[18]],tabela_registros[REGISTRO],DADOS!$N$4,tabela_registros[TIPO],DADOS!$P$3,tabela_registros[CATEGORIA],despesafixaconsolidadomai[[#This Row],[DESPESA FIXA]])</f>
        <v>0</v>
      </c>
      <c r="W42" s="91">
        <f>SUMIFS(tabela_registros[VALOR],tabela_registros[MÊS],$AE$1,tabela_registros[DIA],maitotal30597183[[#Headers],[19]],tabela_registros[REGISTRO],DADOS!$N$4,tabela_registros[TIPO],DADOS!$P$3,tabela_registros[CATEGORIA],despesafixaconsolidadomai[[#This Row],[DESPESA FIXA]])</f>
        <v>0</v>
      </c>
      <c r="X42" s="91">
        <f>SUMIFS(tabela_registros[VALOR],tabela_registros[MÊS],$AE$1,tabela_registros[DIA],maitotal30597183[[#Headers],[20]],tabela_registros[REGISTRO],DADOS!$N$4,tabela_registros[TIPO],DADOS!$P$3,tabela_registros[CATEGORIA],despesafixaconsolidadomai[[#This Row],[DESPESA FIXA]])</f>
        <v>0</v>
      </c>
      <c r="Y42" s="91">
        <f>SUMIFS(tabela_registros[VALOR],tabela_registros[MÊS],$AE$1,tabela_registros[DIA],maitotal30597183[[#Headers],[21]],tabela_registros[REGISTRO],DADOS!$N$4,tabela_registros[TIPO],DADOS!$P$3,tabela_registros[CATEGORIA],despesafixaconsolidadomai[[#This Row],[DESPESA FIXA]])</f>
        <v>0</v>
      </c>
      <c r="Z42" s="91">
        <f>SUMIFS(tabela_registros[VALOR],tabela_registros[MÊS],$AE$1,tabela_registros[DIA],maitotal30597183[[#Headers],[22]],tabela_registros[REGISTRO],DADOS!$N$4,tabela_registros[TIPO],DADOS!$P$3,tabela_registros[CATEGORIA],despesafixaconsolidadomai[[#This Row],[DESPESA FIXA]])</f>
        <v>0</v>
      </c>
      <c r="AA42" s="91">
        <f>SUMIFS(tabela_registros[VALOR],tabela_registros[MÊS],$AE$1,tabela_registros[DIA],maitotal30597183[[#Headers],[23]],tabela_registros[REGISTRO],DADOS!$N$4,tabela_registros[TIPO],DADOS!$P$3,tabela_registros[CATEGORIA],despesafixaconsolidadomai[[#This Row],[DESPESA FIXA]])</f>
        <v>0</v>
      </c>
      <c r="AB42" s="91">
        <f>SUMIFS(tabela_registros[VALOR],tabela_registros[MÊS],$AE$1,tabela_registros[DIA],maitotal30597183[[#Headers],[24]],tabela_registros[REGISTRO],DADOS!$N$4,tabela_registros[TIPO],DADOS!$P$3,tabela_registros[CATEGORIA],despesafixaconsolidadomai[[#This Row],[DESPESA FIXA]])</f>
        <v>0</v>
      </c>
      <c r="AC42" s="91">
        <f>SUMIFS(tabela_registros[VALOR],tabela_registros[MÊS],$AE$1,tabela_registros[DIA],maitotal30597183[[#Headers],[25]],tabela_registros[REGISTRO],DADOS!$N$4,tabela_registros[TIPO],DADOS!$P$3,tabela_registros[CATEGORIA],despesafixaconsolidadomai[[#This Row],[DESPESA FIXA]])</f>
        <v>0</v>
      </c>
      <c r="AD42" s="91">
        <f>SUMIFS(tabela_registros[VALOR],tabela_registros[MÊS],$AE$1,tabela_registros[DIA],maitotal30597183[[#Headers],[26]],tabela_registros[REGISTRO],DADOS!$N$4,tabela_registros[TIPO],DADOS!$P$3,tabela_registros[CATEGORIA],despesafixaconsolidadomai[[#This Row],[DESPESA FIXA]])</f>
        <v>0</v>
      </c>
      <c r="AE42" s="91">
        <f>SUMIFS(tabela_registros[VALOR],tabela_registros[MÊS],$AE$1,tabela_registros[DIA],maitotal30597183[[#Headers],[27]],tabela_registros[REGISTRO],DADOS!$N$4,tabela_registros[TIPO],DADOS!$P$3,tabela_registros[CATEGORIA],despesafixaconsolidadomai[[#This Row],[DESPESA FIXA]])</f>
        <v>0</v>
      </c>
      <c r="AF42" s="91">
        <f>SUMIFS(tabela_registros[VALOR],tabela_registros[MÊS],$AE$1,tabela_registros[DIA],maitotal30597183[[#Headers],[28]],tabela_registros[REGISTRO],DADOS!$N$4,tabela_registros[TIPO],DADOS!$P$3,tabela_registros[CATEGORIA],despesafixaconsolidadomai[[#This Row],[DESPESA FIXA]])</f>
        <v>0</v>
      </c>
      <c r="AG42" s="91">
        <f>SUMIFS(tabela_registros[VALOR],tabela_registros[MÊS],$AE$1,tabela_registros[DIA],maitotal30597183[[#Headers],[29]],tabela_registros[REGISTRO],DADOS!$N$4,tabela_registros[TIPO],DADOS!$P$3,tabela_registros[CATEGORIA],despesafixaconsolidadomai[[#This Row],[DESPESA FIXA]])</f>
        <v>0</v>
      </c>
      <c r="AH42" s="91">
        <f>SUMIFS(tabela_registros[VALOR],tabela_registros[MÊS],$AE$1,tabela_registros[DIA],maitotal30597183[[#Headers],[30]],tabela_registros[REGISTRO],DADOS!$N$4,tabela_registros[TIPO],DADOS!$P$3,tabela_registros[CATEGORIA],despesafixaconsolidadomai[[#This Row],[DESPESA FIXA]])</f>
        <v>0</v>
      </c>
      <c r="AI42" s="101">
        <f>SUMIFS(tabela_registros[VALOR],tabela_registros[MÊS],$AE$1,tabela_registros[DIA],maitotal30597183[[#Headers],[31]],tabela_registros[REGISTRO],DADOS!$N$4,tabela_registros[TIPO],DADOS!$P$3,tabela_registros[CATEGORIA],despesafixaconsolidadomai[[#This Row],[DESPESA FIXA]])</f>
        <v>0</v>
      </c>
      <c r="AJ42" s="97">
        <f>SUM(despesafixaconsolidadomai[[#This Row],[1]:[31]])</f>
        <v>0</v>
      </c>
      <c r="AK42" s="28"/>
    </row>
    <row r="43" spans="2:37" ht="18" customHeight="1" thickTop="1" thickBot="1" x14ac:dyDescent="0.3">
      <c r="B43" s="28"/>
      <c r="C43" s="27" t="str">
        <f>DADOS!$R$9</f>
        <v>💡 ENERGIA</v>
      </c>
      <c r="D43" s="26" t="str">
        <f>IF(despesafixaconsolidadomai[[#This Row],[TOTAL]]=0,"",IF(OR(despesafixaconsolidadomai[[#This Row],[TOTAL]]=LARGE($AJ$37:$AJ$50,1),despesafixaconsolidadomai[[#This Row],[TOTAL]]=LARGE($AJ$37:$AJ$50,2),despesafixaconsolidadomai[[#This Row],[TOTAL]]=LARGE($AJ$37:$AJ$50,3),despesafixaconsolidadomai[[#This Row],[TOTAL]]=LARGE($AJ$37:$AJ$50,4),despesafixaconsolidadomai[[#This Row],[TOTAL]]=LARGE($AJ$37:$AJ$50,5)),DADOS!$I$8,""))</f>
        <v/>
      </c>
      <c r="E43" s="96">
        <f>SUMIFS(tabela_registros[VALOR],tabela_registros[MÊS],$AE$1,tabela_registros[DIA],maitotal30597183[[#Headers],[1]],tabela_registros[REGISTRO],DADOS!$N$4,tabela_registros[TIPO],DADOS!$P$3,tabela_registros[CATEGORIA],despesafixaconsolidadomai[[#This Row],[DESPESA FIXA]])</f>
        <v>0</v>
      </c>
      <c r="F43" s="91">
        <f>SUMIFS(tabela_registros[VALOR],tabela_registros[MÊS],$AE$1,tabela_registros[DIA],maitotal30597183[[#Headers],[2]],tabela_registros[REGISTRO],DADOS!$N$4,tabela_registros[TIPO],DADOS!$P$3,tabela_registros[CATEGORIA],despesafixaconsolidadomai[[#This Row],[DESPESA FIXA]])</f>
        <v>0</v>
      </c>
      <c r="G43" s="91">
        <f>SUMIFS(tabela_registros[VALOR],tabela_registros[MÊS],$AE$1,tabela_registros[DIA],maitotal30597183[[#Headers],[3]],tabela_registros[REGISTRO],DADOS!$N$4,tabela_registros[TIPO],DADOS!$P$3,tabela_registros[CATEGORIA],despesafixaconsolidadomai[[#This Row],[DESPESA FIXA]])</f>
        <v>0</v>
      </c>
      <c r="H43" s="91">
        <f>SUMIFS(tabela_registros[VALOR],tabela_registros[MÊS],$AE$1,tabela_registros[DIA],maitotal30597183[[#Headers],[4]],tabela_registros[REGISTRO],DADOS!$N$4,tabela_registros[TIPO],DADOS!$P$3,tabela_registros[CATEGORIA],despesafixaconsolidadomai[[#This Row],[DESPESA FIXA]])</f>
        <v>0</v>
      </c>
      <c r="I43" s="91">
        <f>SUMIFS(tabela_registros[VALOR],tabela_registros[MÊS],$AE$1,tabela_registros[DIA],maitotal30597183[[#Headers],[5]],tabela_registros[REGISTRO],DADOS!$N$4,tabela_registros[TIPO],DADOS!$P$3,tabela_registros[CATEGORIA],despesafixaconsolidadomai[[#This Row],[DESPESA FIXA]])</f>
        <v>0</v>
      </c>
      <c r="J43" s="91">
        <f>SUMIFS(tabela_registros[VALOR],tabela_registros[MÊS],$AE$1,tabela_registros[DIA],maitotal30597183[[#Headers],[6]],tabela_registros[REGISTRO],DADOS!$N$4,tabela_registros[TIPO],DADOS!$P$3,tabela_registros[CATEGORIA],despesafixaconsolidadomai[[#This Row],[DESPESA FIXA]])</f>
        <v>0</v>
      </c>
      <c r="K43" s="91">
        <f>SUMIFS(tabela_registros[VALOR],tabela_registros[MÊS],$AE$1,tabela_registros[DIA],maitotal30597183[[#Headers],[7]],tabela_registros[REGISTRO],DADOS!$N$4,tabela_registros[TIPO],DADOS!$P$3,tabela_registros[CATEGORIA],despesafixaconsolidadomai[[#This Row],[DESPESA FIXA]])</f>
        <v>0</v>
      </c>
      <c r="L43" s="91">
        <f>SUMIFS(tabela_registros[VALOR],tabela_registros[MÊS],$AE$1,tabela_registros[DIA],maitotal30597183[[#Headers],[8]],tabela_registros[REGISTRO],DADOS!$N$4,tabela_registros[TIPO],DADOS!$P$3,tabela_registros[CATEGORIA],despesafixaconsolidadomai[[#This Row],[DESPESA FIXA]])</f>
        <v>0</v>
      </c>
      <c r="M43" s="91">
        <f>SUMIFS(tabela_registros[VALOR],tabela_registros[MÊS],$AE$1,tabela_registros[DIA],maitotal30597183[[#Headers],[9]],tabela_registros[REGISTRO],DADOS!$N$4,tabela_registros[TIPO],DADOS!$P$3,tabela_registros[CATEGORIA],despesafixaconsolidadomai[[#This Row],[DESPESA FIXA]])</f>
        <v>0</v>
      </c>
      <c r="N43" s="91">
        <f>SUMIFS(tabela_registros[VALOR],tabela_registros[MÊS],$AE$1,tabela_registros[DIA],maitotal30597183[[#Headers],[10]],tabela_registros[REGISTRO],DADOS!$N$4,tabela_registros[TIPO],DADOS!$P$3,tabela_registros[CATEGORIA],despesafixaconsolidadomai[[#This Row],[DESPESA FIXA]])</f>
        <v>0</v>
      </c>
      <c r="O43" s="91">
        <f>SUMIFS(tabela_registros[VALOR],tabela_registros[MÊS],$AE$1,tabela_registros[DIA],maitotal30597183[[#Headers],[11]],tabela_registros[REGISTRO],DADOS!$N$4,tabela_registros[TIPO],DADOS!$P$3,tabela_registros[CATEGORIA],despesafixaconsolidadomai[[#This Row],[DESPESA FIXA]])</f>
        <v>0</v>
      </c>
      <c r="P43" s="91">
        <f>SUMIFS(tabela_registros[VALOR],tabela_registros[MÊS],$AE$1,tabela_registros[DIA],maitotal30597183[[#Headers],[12]],tabela_registros[REGISTRO],DADOS!$N$4,tabela_registros[TIPO],DADOS!$P$3,tabela_registros[CATEGORIA],despesafixaconsolidadomai[[#This Row],[DESPESA FIXA]])</f>
        <v>0</v>
      </c>
      <c r="Q43" s="91">
        <f>SUMIFS(tabela_registros[VALOR],tabela_registros[MÊS],$AE$1,tabela_registros[DIA],maitotal30597183[[#Headers],[13]],tabela_registros[REGISTRO],DADOS!$N$4,tabela_registros[TIPO],DADOS!$P$3,tabela_registros[CATEGORIA],despesafixaconsolidadomai[[#This Row],[DESPESA FIXA]])</f>
        <v>0</v>
      </c>
      <c r="R43" s="91">
        <f>SUMIFS(tabela_registros[VALOR],tabela_registros[MÊS],$AE$1,tabela_registros[DIA],maitotal30597183[[#Headers],[14]],tabela_registros[REGISTRO],DADOS!$N$4,tabela_registros[TIPO],DADOS!$P$3,tabela_registros[CATEGORIA],despesafixaconsolidadomai[[#This Row],[DESPESA FIXA]])</f>
        <v>0</v>
      </c>
      <c r="S43" s="91">
        <f>SUMIFS(tabela_registros[VALOR],tabela_registros[MÊS],$AE$1,tabela_registros[DIA],maitotal30597183[[#Headers],[15]],tabela_registros[REGISTRO],DADOS!$N$4,tabela_registros[TIPO],DADOS!$P$3,tabela_registros[CATEGORIA],despesafixaconsolidadomai[[#This Row],[DESPESA FIXA]])</f>
        <v>0</v>
      </c>
      <c r="T43" s="91">
        <f>SUMIFS(tabela_registros[VALOR],tabela_registros[MÊS],$AE$1,tabela_registros[DIA],maitotal30597183[[#Headers],[16]],tabela_registros[REGISTRO],DADOS!$N$4,tabela_registros[TIPO],DADOS!$P$3,tabela_registros[CATEGORIA],despesafixaconsolidadomai[[#This Row],[DESPESA FIXA]])</f>
        <v>0</v>
      </c>
      <c r="U43" s="91">
        <f>SUMIFS(tabela_registros[VALOR],tabela_registros[MÊS],$AE$1,tabela_registros[DIA],maitotal30597183[[#Headers],[17]],tabela_registros[REGISTRO],DADOS!$N$4,tabela_registros[TIPO],DADOS!$P$3,tabela_registros[CATEGORIA],despesafixaconsolidadomai[[#This Row],[DESPESA FIXA]])</f>
        <v>0</v>
      </c>
      <c r="V43" s="91">
        <f>SUMIFS(tabela_registros[VALOR],tabela_registros[MÊS],$AE$1,tabela_registros[DIA],maitotal30597183[[#Headers],[18]],tabela_registros[REGISTRO],DADOS!$N$4,tabela_registros[TIPO],DADOS!$P$3,tabela_registros[CATEGORIA],despesafixaconsolidadomai[[#This Row],[DESPESA FIXA]])</f>
        <v>0</v>
      </c>
      <c r="W43" s="91">
        <f>SUMIFS(tabela_registros[VALOR],tabela_registros[MÊS],$AE$1,tabela_registros[DIA],maitotal30597183[[#Headers],[19]],tabela_registros[REGISTRO],DADOS!$N$4,tabela_registros[TIPO],DADOS!$P$3,tabela_registros[CATEGORIA],despesafixaconsolidadomai[[#This Row],[DESPESA FIXA]])</f>
        <v>0</v>
      </c>
      <c r="X43" s="91">
        <f>SUMIFS(tabela_registros[VALOR],tabela_registros[MÊS],$AE$1,tabela_registros[DIA],maitotal30597183[[#Headers],[20]],tabela_registros[REGISTRO],DADOS!$N$4,tabela_registros[TIPO],DADOS!$P$3,tabela_registros[CATEGORIA],despesafixaconsolidadomai[[#This Row],[DESPESA FIXA]])</f>
        <v>0</v>
      </c>
      <c r="Y43" s="91">
        <f>SUMIFS(tabela_registros[VALOR],tabela_registros[MÊS],$AE$1,tabela_registros[DIA],maitotal30597183[[#Headers],[21]],tabela_registros[REGISTRO],DADOS!$N$4,tabela_registros[TIPO],DADOS!$P$3,tabela_registros[CATEGORIA],despesafixaconsolidadomai[[#This Row],[DESPESA FIXA]])</f>
        <v>0</v>
      </c>
      <c r="Z43" s="91">
        <f>SUMIFS(tabela_registros[VALOR],tabela_registros[MÊS],$AE$1,tabela_registros[DIA],maitotal30597183[[#Headers],[22]],tabela_registros[REGISTRO],DADOS!$N$4,tabela_registros[TIPO],DADOS!$P$3,tabela_registros[CATEGORIA],despesafixaconsolidadomai[[#This Row],[DESPESA FIXA]])</f>
        <v>0</v>
      </c>
      <c r="AA43" s="91">
        <f>SUMIFS(tabela_registros[VALOR],tabela_registros[MÊS],$AE$1,tabela_registros[DIA],maitotal30597183[[#Headers],[23]],tabela_registros[REGISTRO],DADOS!$N$4,tabela_registros[TIPO],DADOS!$P$3,tabela_registros[CATEGORIA],despesafixaconsolidadomai[[#This Row],[DESPESA FIXA]])</f>
        <v>0</v>
      </c>
      <c r="AB43" s="91">
        <f>SUMIFS(tabela_registros[VALOR],tabela_registros[MÊS],$AE$1,tabela_registros[DIA],maitotal30597183[[#Headers],[24]],tabela_registros[REGISTRO],DADOS!$N$4,tabela_registros[TIPO],DADOS!$P$3,tabela_registros[CATEGORIA],despesafixaconsolidadomai[[#This Row],[DESPESA FIXA]])</f>
        <v>0</v>
      </c>
      <c r="AC43" s="91">
        <f>SUMIFS(tabela_registros[VALOR],tabela_registros[MÊS],$AE$1,tabela_registros[DIA],maitotal30597183[[#Headers],[25]],tabela_registros[REGISTRO],DADOS!$N$4,tabela_registros[TIPO],DADOS!$P$3,tabela_registros[CATEGORIA],despesafixaconsolidadomai[[#This Row],[DESPESA FIXA]])</f>
        <v>0</v>
      </c>
      <c r="AD43" s="91">
        <f>SUMIFS(tabela_registros[VALOR],tabela_registros[MÊS],$AE$1,tabela_registros[DIA],maitotal30597183[[#Headers],[26]],tabela_registros[REGISTRO],DADOS!$N$4,tabela_registros[TIPO],DADOS!$P$3,tabela_registros[CATEGORIA],despesafixaconsolidadomai[[#This Row],[DESPESA FIXA]])</f>
        <v>0</v>
      </c>
      <c r="AE43" s="91">
        <f>SUMIFS(tabela_registros[VALOR],tabela_registros[MÊS],$AE$1,tabela_registros[DIA],maitotal30597183[[#Headers],[27]],tabela_registros[REGISTRO],DADOS!$N$4,tabela_registros[TIPO],DADOS!$P$3,tabela_registros[CATEGORIA],despesafixaconsolidadomai[[#This Row],[DESPESA FIXA]])</f>
        <v>0</v>
      </c>
      <c r="AF43" s="91">
        <f>SUMIFS(tabela_registros[VALOR],tabela_registros[MÊS],$AE$1,tabela_registros[DIA],maitotal30597183[[#Headers],[28]],tabela_registros[REGISTRO],DADOS!$N$4,tabela_registros[TIPO],DADOS!$P$3,tabela_registros[CATEGORIA],despesafixaconsolidadomai[[#This Row],[DESPESA FIXA]])</f>
        <v>0</v>
      </c>
      <c r="AG43" s="91">
        <f>SUMIFS(tabela_registros[VALOR],tabela_registros[MÊS],$AE$1,tabela_registros[DIA],maitotal30597183[[#Headers],[29]],tabela_registros[REGISTRO],DADOS!$N$4,tabela_registros[TIPO],DADOS!$P$3,tabela_registros[CATEGORIA],despesafixaconsolidadomai[[#This Row],[DESPESA FIXA]])</f>
        <v>0</v>
      </c>
      <c r="AH43" s="91">
        <f>SUMIFS(tabela_registros[VALOR],tabela_registros[MÊS],$AE$1,tabela_registros[DIA],maitotal30597183[[#Headers],[30]],tabela_registros[REGISTRO],DADOS!$N$4,tabela_registros[TIPO],DADOS!$P$3,tabela_registros[CATEGORIA],despesafixaconsolidadomai[[#This Row],[DESPESA FIXA]])</f>
        <v>0</v>
      </c>
      <c r="AI43" s="101">
        <f>SUMIFS(tabela_registros[VALOR],tabela_registros[MÊS],$AE$1,tabela_registros[DIA],maitotal30597183[[#Headers],[31]],tabela_registros[REGISTRO],DADOS!$N$4,tabela_registros[TIPO],DADOS!$P$3,tabela_registros[CATEGORIA],despesafixaconsolidadomai[[#This Row],[DESPESA FIXA]])</f>
        <v>0</v>
      </c>
      <c r="AJ43" s="97">
        <f>SUM(despesafixaconsolidadomai[[#This Row],[1]:[31]])</f>
        <v>0</v>
      </c>
      <c r="AK43" s="28"/>
    </row>
    <row r="44" spans="2:37" ht="18" customHeight="1" thickTop="1" thickBot="1" x14ac:dyDescent="0.3">
      <c r="B44" s="28"/>
      <c r="C44" s="27" t="str">
        <f>DADOS!$R$10</f>
        <v>👨‍👩‍👧 FAMÍLIA</v>
      </c>
      <c r="D44" s="26" t="str">
        <f>IF(despesafixaconsolidadomai[[#This Row],[TOTAL]]=0,"",IF(OR(despesafixaconsolidadomai[[#This Row],[TOTAL]]=LARGE($AJ$37:$AJ$50,1),despesafixaconsolidadomai[[#This Row],[TOTAL]]=LARGE($AJ$37:$AJ$50,2),despesafixaconsolidadomai[[#This Row],[TOTAL]]=LARGE($AJ$37:$AJ$50,3),despesafixaconsolidadomai[[#This Row],[TOTAL]]=LARGE($AJ$37:$AJ$50,4),despesafixaconsolidadomai[[#This Row],[TOTAL]]=LARGE($AJ$37:$AJ$50,5)),DADOS!$I$8,""))</f>
        <v/>
      </c>
      <c r="E44" s="96">
        <f>SUMIFS(tabela_registros[VALOR],tabela_registros[MÊS],$AE$1,tabela_registros[DIA],maitotal30597183[[#Headers],[1]],tabela_registros[REGISTRO],DADOS!$N$4,tabela_registros[TIPO],DADOS!$P$3,tabela_registros[CATEGORIA],despesafixaconsolidadomai[[#This Row],[DESPESA FIXA]])</f>
        <v>0</v>
      </c>
      <c r="F44" s="91">
        <f>SUMIFS(tabela_registros[VALOR],tabela_registros[MÊS],$AE$1,tabela_registros[DIA],maitotal30597183[[#Headers],[2]],tabela_registros[REGISTRO],DADOS!$N$4,tabela_registros[TIPO],DADOS!$P$3,tabela_registros[CATEGORIA],despesafixaconsolidadomai[[#This Row],[DESPESA FIXA]])</f>
        <v>0</v>
      </c>
      <c r="G44" s="91">
        <f>SUMIFS(tabela_registros[VALOR],tabela_registros[MÊS],$AE$1,tabela_registros[DIA],maitotal30597183[[#Headers],[3]],tabela_registros[REGISTRO],DADOS!$N$4,tabela_registros[TIPO],DADOS!$P$3,tabela_registros[CATEGORIA],despesafixaconsolidadomai[[#This Row],[DESPESA FIXA]])</f>
        <v>0</v>
      </c>
      <c r="H44" s="91">
        <f>SUMIFS(tabela_registros[VALOR],tabela_registros[MÊS],$AE$1,tabela_registros[DIA],maitotal30597183[[#Headers],[4]],tabela_registros[REGISTRO],DADOS!$N$4,tabela_registros[TIPO],DADOS!$P$3,tabela_registros[CATEGORIA],despesafixaconsolidadomai[[#This Row],[DESPESA FIXA]])</f>
        <v>0</v>
      </c>
      <c r="I44" s="91">
        <f>SUMIFS(tabela_registros[VALOR],tabela_registros[MÊS],$AE$1,tabela_registros[DIA],maitotal30597183[[#Headers],[5]],tabela_registros[REGISTRO],DADOS!$N$4,tabela_registros[TIPO],DADOS!$P$3,tabela_registros[CATEGORIA],despesafixaconsolidadomai[[#This Row],[DESPESA FIXA]])</f>
        <v>0</v>
      </c>
      <c r="J44" s="91">
        <f>SUMIFS(tabela_registros[VALOR],tabela_registros[MÊS],$AE$1,tabela_registros[DIA],maitotal30597183[[#Headers],[6]],tabela_registros[REGISTRO],DADOS!$N$4,tabela_registros[TIPO],DADOS!$P$3,tabela_registros[CATEGORIA],despesafixaconsolidadomai[[#This Row],[DESPESA FIXA]])</f>
        <v>0</v>
      </c>
      <c r="K44" s="91">
        <f>SUMIFS(tabela_registros[VALOR],tabela_registros[MÊS],$AE$1,tabela_registros[DIA],maitotal30597183[[#Headers],[7]],tabela_registros[REGISTRO],DADOS!$N$4,tabela_registros[TIPO],DADOS!$P$3,tabela_registros[CATEGORIA],despesafixaconsolidadomai[[#This Row],[DESPESA FIXA]])</f>
        <v>0</v>
      </c>
      <c r="L44" s="91">
        <f>SUMIFS(tabela_registros[VALOR],tabela_registros[MÊS],$AE$1,tabela_registros[DIA],maitotal30597183[[#Headers],[8]],tabela_registros[REGISTRO],DADOS!$N$4,tabela_registros[TIPO],DADOS!$P$3,tabela_registros[CATEGORIA],despesafixaconsolidadomai[[#This Row],[DESPESA FIXA]])</f>
        <v>0</v>
      </c>
      <c r="M44" s="91">
        <f>SUMIFS(tabela_registros[VALOR],tabela_registros[MÊS],$AE$1,tabela_registros[DIA],maitotal30597183[[#Headers],[9]],tabela_registros[REGISTRO],DADOS!$N$4,tabela_registros[TIPO],DADOS!$P$3,tabela_registros[CATEGORIA],despesafixaconsolidadomai[[#This Row],[DESPESA FIXA]])</f>
        <v>0</v>
      </c>
      <c r="N44" s="91">
        <f>SUMIFS(tabela_registros[VALOR],tabela_registros[MÊS],$AE$1,tabela_registros[DIA],maitotal30597183[[#Headers],[10]],tabela_registros[REGISTRO],DADOS!$N$4,tabela_registros[TIPO],DADOS!$P$3,tabela_registros[CATEGORIA],despesafixaconsolidadomai[[#This Row],[DESPESA FIXA]])</f>
        <v>0</v>
      </c>
      <c r="O44" s="91">
        <f>SUMIFS(tabela_registros[VALOR],tabela_registros[MÊS],$AE$1,tabela_registros[DIA],maitotal30597183[[#Headers],[11]],tabela_registros[REGISTRO],DADOS!$N$4,tabela_registros[TIPO],DADOS!$P$3,tabela_registros[CATEGORIA],despesafixaconsolidadomai[[#This Row],[DESPESA FIXA]])</f>
        <v>0</v>
      </c>
      <c r="P44" s="91">
        <f>SUMIFS(tabela_registros[VALOR],tabela_registros[MÊS],$AE$1,tabela_registros[DIA],maitotal30597183[[#Headers],[12]],tabela_registros[REGISTRO],DADOS!$N$4,tabela_registros[TIPO],DADOS!$P$3,tabela_registros[CATEGORIA],despesafixaconsolidadomai[[#This Row],[DESPESA FIXA]])</f>
        <v>0</v>
      </c>
      <c r="Q44" s="91">
        <f>SUMIFS(tabela_registros[VALOR],tabela_registros[MÊS],$AE$1,tabela_registros[DIA],maitotal30597183[[#Headers],[13]],tabela_registros[REGISTRO],DADOS!$N$4,tabela_registros[TIPO],DADOS!$P$3,tabela_registros[CATEGORIA],despesafixaconsolidadomai[[#This Row],[DESPESA FIXA]])</f>
        <v>0</v>
      </c>
      <c r="R44" s="91">
        <f>SUMIFS(tabela_registros[VALOR],tabela_registros[MÊS],$AE$1,tabela_registros[DIA],maitotal30597183[[#Headers],[14]],tabela_registros[REGISTRO],DADOS!$N$4,tabela_registros[TIPO],DADOS!$P$3,tabela_registros[CATEGORIA],despesafixaconsolidadomai[[#This Row],[DESPESA FIXA]])</f>
        <v>0</v>
      </c>
      <c r="S44" s="91">
        <f>SUMIFS(tabela_registros[VALOR],tabela_registros[MÊS],$AE$1,tabela_registros[DIA],maitotal30597183[[#Headers],[15]],tabela_registros[REGISTRO],DADOS!$N$4,tabela_registros[TIPO],DADOS!$P$3,tabela_registros[CATEGORIA],despesafixaconsolidadomai[[#This Row],[DESPESA FIXA]])</f>
        <v>0</v>
      </c>
      <c r="T44" s="91">
        <f>SUMIFS(tabela_registros[VALOR],tabela_registros[MÊS],$AE$1,tabela_registros[DIA],maitotal30597183[[#Headers],[16]],tabela_registros[REGISTRO],DADOS!$N$4,tabela_registros[TIPO],DADOS!$P$3,tabela_registros[CATEGORIA],despesafixaconsolidadomai[[#This Row],[DESPESA FIXA]])</f>
        <v>0</v>
      </c>
      <c r="U44" s="91">
        <f>SUMIFS(tabela_registros[VALOR],tabela_registros[MÊS],$AE$1,tabela_registros[DIA],maitotal30597183[[#Headers],[17]],tabela_registros[REGISTRO],DADOS!$N$4,tabela_registros[TIPO],DADOS!$P$3,tabela_registros[CATEGORIA],despesafixaconsolidadomai[[#This Row],[DESPESA FIXA]])</f>
        <v>0</v>
      </c>
      <c r="V44" s="91">
        <f>SUMIFS(tabela_registros[VALOR],tabela_registros[MÊS],$AE$1,tabela_registros[DIA],maitotal30597183[[#Headers],[18]],tabela_registros[REGISTRO],DADOS!$N$4,tabela_registros[TIPO],DADOS!$P$3,tabela_registros[CATEGORIA],despesafixaconsolidadomai[[#This Row],[DESPESA FIXA]])</f>
        <v>0</v>
      </c>
      <c r="W44" s="91">
        <f>SUMIFS(tabela_registros[VALOR],tabela_registros[MÊS],$AE$1,tabela_registros[DIA],maitotal30597183[[#Headers],[19]],tabela_registros[REGISTRO],DADOS!$N$4,tabela_registros[TIPO],DADOS!$P$3,tabela_registros[CATEGORIA],despesafixaconsolidadomai[[#This Row],[DESPESA FIXA]])</f>
        <v>0</v>
      </c>
      <c r="X44" s="91">
        <f>SUMIFS(tabela_registros[VALOR],tabela_registros[MÊS],$AE$1,tabela_registros[DIA],maitotal30597183[[#Headers],[20]],tabela_registros[REGISTRO],DADOS!$N$4,tabela_registros[TIPO],DADOS!$P$3,tabela_registros[CATEGORIA],despesafixaconsolidadomai[[#This Row],[DESPESA FIXA]])</f>
        <v>0</v>
      </c>
      <c r="Y44" s="91">
        <f>SUMIFS(tabela_registros[VALOR],tabela_registros[MÊS],$AE$1,tabela_registros[DIA],maitotal30597183[[#Headers],[21]],tabela_registros[REGISTRO],DADOS!$N$4,tabela_registros[TIPO],DADOS!$P$3,tabela_registros[CATEGORIA],despesafixaconsolidadomai[[#This Row],[DESPESA FIXA]])</f>
        <v>0</v>
      </c>
      <c r="Z44" s="91">
        <f>SUMIFS(tabela_registros[VALOR],tabela_registros[MÊS],$AE$1,tabela_registros[DIA],maitotal30597183[[#Headers],[22]],tabela_registros[REGISTRO],DADOS!$N$4,tabela_registros[TIPO],DADOS!$P$3,tabela_registros[CATEGORIA],despesafixaconsolidadomai[[#This Row],[DESPESA FIXA]])</f>
        <v>0</v>
      </c>
      <c r="AA44" s="91">
        <f>SUMIFS(tabela_registros[VALOR],tabela_registros[MÊS],$AE$1,tabela_registros[DIA],maitotal30597183[[#Headers],[23]],tabela_registros[REGISTRO],DADOS!$N$4,tabela_registros[TIPO],DADOS!$P$3,tabela_registros[CATEGORIA],despesafixaconsolidadomai[[#This Row],[DESPESA FIXA]])</f>
        <v>0</v>
      </c>
      <c r="AB44" s="91">
        <f>SUMIFS(tabela_registros[VALOR],tabela_registros[MÊS],$AE$1,tabela_registros[DIA],maitotal30597183[[#Headers],[24]],tabela_registros[REGISTRO],DADOS!$N$4,tabela_registros[TIPO],DADOS!$P$3,tabela_registros[CATEGORIA],despesafixaconsolidadomai[[#This Row],[DESPESA FIXA]])</f>
        <v>0</v>
      </c>
      <c r="AC44" s="91">
        <f>SUMIFS(tabela_registros[VALOR],tabela_registros[MÊS],$AE$1,tabela_registros[DIA],maitotal30597183[[#Headers],[25]],tabela_registros[REGISTRO],DADOS!$N$4,tabela_registros[TIPO],DADOS!$P$3,tabela_registros[CATEGORIA],despesafixaconsolidadomai[[#This Row],[DESPESA FIXA]])</f>
        <v>0</v>
      </c>
      <c r="AD44" s="91">
        <f>SUMIFS(tabela_registros[VALOR],tabela_registros[MÊS],$AE$1,tabela_registros[DIA],maitotal30597183[[#Headers],[26]],tabela_registros[REGISTRO],DADOS!$N$4,tabela_registros[TIPO],DADOS!$P$3,tabela_registros[CATEGORIA],despesafixaconsolidadomai[[#This Row],[DESPESA FIXA]])</f>
        <v>0</v>
      </c>
      <c r="AE44" s="91">
        <f>SUMIFS(tabela_registros[VALOR],tabela_registros[MÊS],$AE$1,tabela_registros[DIA],maitotal30597183[[#Headers],[27]],tabela_registros[REGISTRO],DADOS!$N$4,tabela_registros[TIPO],DADOS!$P$3,tabela_registros[CATEGORIA],despesafixaconsolidadomai[[#This Row],[DESPESA FIXA]])</f>
        <v>0</v>
      </c>
      <c r="AF44" s="91">
        <f>SUMIFS(tabela_registros[VALOR],tabela_registros[MÊS],$AE$1,tabela_registros[DIA],maitotal30597183[[#Headers],[28]],tabela_registros[REGISTRO],DADOS!$N$4,tabela_registros[TIPO],DADOS!$P$3,tabela_registros[CATEGORIA],despesafixaconsolidadomai[[#This Row],[DESPESA FIXA]])</f>
        <v>0</v>
      </c>
      <c r="AG44" s="91">
        <f>SUMIFS(tabela_registros[VALOR],tabela_registros[MÊS],$AE$1,tabela_registros[DIA],maitotal30597183[[#Headers],[29]],tabela_registros[REGISTRO],DADOS!$N$4,tabela_registros[TIPO],DADOS!$P$3,tabela_registros[CATEGORIA],despesafixaconsolidadomai[[#This Row],[DESPESA FIXA]])</f>
        <v>0</v>
      </c>
      <c r="AH44" s="91">
        <f>SUMIFS(tabela_registros[VALOR],tabela_registros[MÊS],$AE$1,tabela_registros[DIA],maitotal30597183[[#Headers],[30]],tabela_registros[REGISTRO],DADOS!$N$4,tabela_registros[TIPO],DADOS!$P$3,tabela_registros[CATEGORIA],despesafixaconsolidadomai[[#This Row],[DESPESA FIXA]])</f>
        <v>0</v>
      </c>
      <c r="AI44" s="101">
        <f>SUMIFS(tabela_registros[VALOR],tabela_registros[MÊS],$AE$1,tabela_registros[DIA],maitotal30597183[[#Headers],[31]],tabela_registros[REGISTRO],DADOS!$N$4,tabela_registros[TIPO],DADOS!$P$3,tabela_registros[CATEGORIA],despesafixaconsolidadomai[[#This Row],[DESPESA FIXA]])</f>
        <v>0</v>
      </c>
      <c r="AJ44" s="97">
        <f>SUM(despesafixaconsolidadomai[[#This Row],[1]:[31]])</f>
        <v>0</v>
      </c>
      <c r="AK44" s="28"/>
    </row>
    <row r="45" spans="2:37" ht="18" customHeight="1" thickTop="1" thickBot="1" x14ac:dyDescent="0.3">
      <c r="B45" s="28"/>
      <c r="C45" s="27" t="str">
        <f>DADOS!$R$11</f>
        <v>🔢 IMPOSTOS</v>
      </c>
      <c r="D45" s="26" t="str">
        <f>IF(despesafixaconsolidadomai[[#This Row],[TOTAL]]=0,"",IF(OR(despesafixaconsolidadomai[[#This Row],[TOTAL]]=LARGE($AJ$37:$AJ$50,1),despesafixaconsolidadomai[[#This Row],[TOTAL]]=LARGE($AJ$37:$AJ$50,2),despesafixaconsolidadomai[[#This Row],[TOTAL]]=LARGE($AJ$37:$AJ$50,3),despesafixaconsolidadomai[[#This Row],[TOTAL]]=LARGE($AJ$37:$AJ$50,4),despesafixaconsolidadomai[[#This Row],[TOTAL]]=LARGE($AJ$37:$AJ$50,5)),DADOS!$I$8,""))</f>
        <v/>
      </c>
      <c r="E45" s="96">
        <f>SUMIFS(tabela_registros[VALOR],tabela_registros[MÊS],$AE$1,tabela_registros[DIA],maitotal30597183[[#Headers],[1]],tabela_registros[REGISTRO],DADOS!$N$4,tabela_registros[TIPO],DADOS!$P$3,tabela_registros[CATEGORIA],despesafixaconsolidadomai[[#This Row],[DESPESA FIXA]])</f>
        <v>0</v>
      </c>
      <c r="F45" s="91">
        <f>SUMIFS(tabela_registros[VALOR],tabela_registros[MÊS],$AE$1,tabela_registros[DIA],maitotal30597183[[#Headers],[2]],tabela_registros[REGISTRO],DADOS!$N$4,tabela_registros[TIPO],DADOS!$P$3,tabela_registros[CATEGORIA],despesafixaconsolidadomai[[#This Row],[DESPESA FIXA]])</f>
        <v>0</v>
      </c>
      <c r="G45" s="91">
        <f>SUMIFS(tabela_registros[VALOR],tabela_registros[MÊS],$AE$1,tabela_registros[DIA],maitotal30597183[[#Headers],[3]],tabela_registros[REGISTRO],DADOS!$N$4,tabela_registros[TIPO],DADOS!$P$3,tabela_registros[CATEGORIA],despesafixaconsolidadomai[[#This Row],[DESPESA FIXA]])</f>
        <v>0</v>
      </c>
      <c r="H45" s="91">
        <f>SUMIFS(tabela_registros[VALOR],tabela_registros[MÊS],$AE$1,tabela_registros[DIA],maitotal30597183[[#Headers],[4]],tabela_registros[REGISTRO],DADOS!$N$4,tabela_registros[TIPO],DADOS!$P$3,tabela_registros[CATEGORIA],despesafixaconsolidadomai[[#This Row],[DESPESA FIXA]])</f>
        <v>0</v>
      </c>
      <c r="I45" s="91">
        <f>SUMIFS(tabela_registros[VALOR],tabela_registros[MÊS],$AE$1,tabela_registros[DIA],maitotal30597183[[#Headers],[5]],tabela_registros[REGISTRO],DADOS!$N$4,tabela_registros[TIPO],DADOS!$P$3,tabela_registros[CATEGORIA],despesafixaconsolidadomai[[#This Row],[DESPESA FIXA]])</f>
        <v>0</v>
      </c>
      <c r="J45" s="91">
        <f>SUMIFS(tabela_registros[VALOR],tabela_registros[MÊS],$AE$1,tabela_registros[DIA],maitotal30597183[[#Headers],[6]],tabela_registros[REGISTRO],DADOS!$N$4,tabela_registros[TIPO],DADOS!$P$3,tabela_registros[CATEGORIA],despesafixaconsolidadomai[[#This Row],[DESPESA FIXA]])</f>
        <v>0</v>
      </c>
      <c r="K45" s="91">
        <f>SUMIFS(tabela_registros[VALOR],tabela_registros[MÊS],$AE$1,tabela_registros[DIA],maitotal30597183[[#Headers],[7]],tabela_registros[REGISTRO],DADOS!$N$4,tabela_registros[TIPO],DADOS!$P$3,tabela_registros[CATEGORIA],despesafixaconsolidadomai[[#This Row],[DESPESA FIXA]])</f>
        <v>0</v>
      </c>
      <c r="L45" s="91">
        <f>SUMIFS(tabela_registros[VALOR],tabela_registros[MÊS],$AE$1,tabela_registros[DIA],maitotal30597183[[#Headers],[8]],tabela_registros[REGISTRO],DADOS!$N$4,tabela_registros[TIPO],DADOS!$P$3,tabela_registros[CATEGORIA],despesafixaconsolidadomai[[#This Row],[DESPESA FIXA]])</f>
        <v>0</v>
      </c>
      <c r="M45" s="91">
        <f>SUMIFS(tabela_registros[VALOR],tabela_registros[MÊS],$AE$1,tabela_registros[DIA],maitotal30597183[[#Headers],[9]],tabela_registros[REGISTRO],DADOS!$N$4,tabela_registros[TIPO],DADOS!$P$3,tabela_registros[CATEGORIA],despesafixaconsolidadomai[[#This Row],[DESPESA FIXA]])</f>
        <v>0</v>
      </c>
      <c r="N45" s="91">
        <f>SUMIFS(tabela_registros[VALOR],tabela_registros[MÊS],$AE$1,tabela_registros[DIA],maitotal30597183[[#Headers],[10]],tabela_registros[REGISTRO],DADOS!$N$4,tabela_registros[TIPO],DADOS!$P$3,tabela_registros[CATEGORIA],despesafixaconsolidadomai[[#This Row],[DESPESA FIXA]])</f>
        <v>0</v>
      </c>
      <c r="O45" s="91">
        <f>SUMIFS(tabela_registros[VALOR],tabela_registros[MÊS],$AE$1,tabela_registros[DIA],maitotal30597183[[#Headers],[11]],tabela_registros[REGISTRO],DADOS!$N$4,tabela_registros[TIPO],DADOS!$P$3,tabela_registros[CATEGORIA],despesafixaconsolidadomai[[#This Row],[DESPESA FIXA]])</f>
        <v>0</v>
      </c>
      <c r="P45" s="91">
        <f>SUMIFS(tabela_registros[VALOR],tabela_registros[MÊS],$AE$1,tabela_registros[DIA],maitotal30597183[[#Headers],[12]],tabela_registros[REGISTRO],DADOS!$N$4,tabela_registros[TIPO],DADOS!$P$3,tabela_registros[CATEGORIA],despesafixaconsolidadomai[[#This Row],[DESPESA FIXA]])</f>
        <v>0</v>
      </c>
      <c r="Q45" s="91">
        <f>SUMIFS(tabela_registros[VALOR],tabela_registros[MÊS],$AE$1,tabela_registros[DIA],maitotal30597183[[#Headers],[13]],tabela_registros[REGISTRO],DADOS!$N$4,tabela_registros[TIPO],DADOS!$P$3,tabela_registros[CATEGORIA],despesafixaconsolidadomai[[#This Row],[DESPESA FIXA]])</f>
        <v>0</v>
      </c>
      <c r="R45" s="91">
        <f>SUMIFS(tabela_registros[VALOR],tabela_registros[MÊS],$AE$1,tabela_registros[DIA],maitotal30597183[[#Headers],[14]],tabela_registros[REGISTRO],DADOS!$N$4,tabela_registros[TIPO],DADOS!$P$3,tabela_registros[CATEGORIA],despesafixaconsolidadomai[[#This Row],[DESPESA FIXA]])</f>
        <v>0</v>
      </c>
      <c r="S45" s="91">
        <f>SUMIFS(tabela_registros[VALOR],tabela_registros[MÊS],$AE$1,tabela_registros[DIA],maitotal30597183[[#Headers],[15]],tabela_registros[REGISTRO],DADOS!$N$4,tabela_registros[TIPO],DADOS!$P$3,tabela_registros[CATEGORIA],despesafixaconsolidadomai[[#This Row],[DESPESA FIXA]])</f>
        <v>0</v>
      </c>
      <c r="T45" s="91">
        <f>SUMIFS(tabela_registros[VALOR],tabela_registros[MÊS],$AE$1,tabela_registros[DIA],maitotal30597183[[#Headers],[16]],tabela_registros[REGISTRO],DADOS!$N$4,tabela_registros[TIPO],DADOS!$P$3,tabela_registros[CATEGORIA],despesafixaconsolidadomai[[#This Row],[DESPESA FIXA]])</f>
        <v>0</v>
      </c>
      <c r="U45" s="91">
        <f>SUMIFS(tabela_registros[VALOR],tabela_registros[MÊS],$AE$1,tabela_registros[DIA],maitotal30597183[[#Headers],[17]],tabela_registros[REGISTRO],DADOS!$N$4,tabela_registros[TIPO],DADOS!$P$3,tabela_registros[CATEGORIA],despesafixaconsolidadomai[[#This Row],[DESPESA FIXA]])</f>
        <v>0</v>
      </c>
      <c r="V45" s="91">
        <f>SUMIFS(tabela_registros[VALOR],tabela_registros[MÊS],$AE$1,tabela_registros[DIA],maitotal30597183[[#Headers],[18]],tabela_registros[REGISTRO],DADOS!$N$4,tabela_registros[TIPO],DADOS!$P$3,tabela_registros[CATEGORIA],despesafixaconsolidadomai[[#This Row],[DESPESA FIXA]])</f>
        <v>0</v>
      </c>
      <c r="W45" s="91">
        <f>SUMIFS(tabela_registros[VALOR],tabela_registros[MÊS],$AE$1,tabela_registros[DIA],maitotal30597183[[#Headers],[19]],tabela_registros[REGISTRO],DADOS!$N$4,tabela_registros[TIPO],DADOS!$P$3,tabela_registros[CATEGORIA],despesafixaconsolidadomai[[#This Row],[DESPESA FIXA]])</f>
        <v>0</v>
      </c>
      <c r="X45" s="91">
        <f>SUMIFS(tabela_registros[VALOR],tabela_registros[MÊS],$AE$1,tabela_registros[DIA],maitotal30597183[[#Headers],[20]],tabela_registros[REGISTRO],DADOS!$N$4,tabela_registros[TIPO],DADOS!$P$3,tabela_registros[CATEGORIA],despesafixaconsolidadomai[[#This Row],[DESPESA FIXA]])</f>
        <v>0</v>
      </c>
      <c r="Y45" s="91">
        <f>SUMIFS(tabela_registros[VALOR],tabela_registros[MÊS],$AE$1,tabela_registros[DIA],maitotal30597183[[#Headers],[21]],tabela_registros[REGISTRO],DADOS!$N$4,tabela_registros[TIPO],DADOS!$P$3,tabela_registros[CATEGORIA],despesafixaconsolidadomai[[#This Row],[DESPESA FIXA]])</f>
        <v>0</v>
      </c>
      <c r="Z45" s="91">
        <f>SUMIFS(tabela_registros[VALOR],tabela_registros[MÊS],$AE$1,tabela_registros[DIA],maitotal30597183[[#Headers],[22]],tabela_registros[REGISTRO],DADOS!$N$4,tabela_registros[TIPO],DADOS!$P$3,tabela_registros[CATEGORIA],despesafixaconsolidadomai[[#This Row],[DESPESA FIXA]])</f>
        <v>0</v>
      </c>
      <c r="AA45" s="91">
        <f>SUMIFS(tabela_registros[VALOR],tabela_registros[MÊS],$AE$1,tabela_registros[DIA],maitotal30597183[[#Headers],[23]],tabela_registros[REGISTRO],DADOS!$N$4,tabela_registros[TIPO],DADOS!$P$3,tabela_registros[CATEGORIA],despesafixaconsolidadomai[[#This Row],[DESPESA FIXA]])</f>
        <v>0</v>
      </c>
      <c r="AB45" s="91">
        <f>SUMIFS(tabela_registros[VALOR],tabela_registros[MÊS],$AE$1,tabela_registros[DIA],maitotal30597183[[#Headers],[24]],tabela_registros[REGISTRO],DADOS!$N$4,tabela_registros[TIPO],DADOS!$P$3,tabela_registros[CATEGORIA],despesafixaconsolidadomai[[#This Row],[DESPESA FIXA]])</f>
        <v>0</v>
      </c>
      <c r="AC45" s="91">
        <f>SUMIFS(tabela_registros[VALOR],tabela_registros[MÊS],$AE$1,tabela_registros[DIA],maitotal30597183[[#Headers],[25]],tabela_registros[REGISTRO],DADOS!$N$4,tabela_registros[TIPO],DADOS!$P$3,tabela_registros[CATEGORIA],despesafixaconsolidadomai[[#This Row],[DESPESA FIXA]])</f>
        <v>0</v>
      </c>
      <c r="AD45" s="91">
        <f>SUMIFS(tabela_registros[VALOR],tabela_registros[MÊS],$AE$1,tabela_registros[DIA],maitotal30597183[[#Headers],[26]],tabela_registros[REGISTRO],DADOS!$N$4,tabela_registros[TIPO],DADOS!$P$3,tabela_registros[CATEGORIA],despesafixaconsolidadomai[[#This Row],[DESPESA FIXA]])</f>
        <v>0</v>
      </c>
      <c r="AE45" s="91">
        <f>SUMIFS(tabela_registros[VALOR],tabela_registros[MÊS],$AE$1,tabela_registros[DIA],maitotal30597183[[#Headers],[27]],tabela_registros[REGISTRO],DADOS!$N$4,tabela_registros[TIPO],DADOS!$P$3,tabela_registros[CATEGORIA],despesafixaconsolidadomai[[#This Row],[DESPESA FIXA]])</f>
        <v>0</v>
      </c>
      <c r="AF45" s="91">
        <f>SUMIFS(tabela_registros[VALOR],tabela_registros[MÊS],$AE$1,tabela_registros[DIA],maitotal30597183[[#Headers],[28]],tabela_registros[REGISTRO],DADOS!$N$4,tabela_registros[TIPO],DADOS!$P$3,tabela_registros[CATEGORIA],despesafixaconsolidadomai[[#This Row],[DESPESA FIXA]])</f>
        <v>0</v>
      </c>
      <c r="AG45" s="91">
        <f>SUMIFS(tabela_registros[VALOR],tabela_registros[MÊS],$AE$1,tabela_registros[DIA],maitotal30597183[[#Headers],[29]],tabela_registros[REGISTRO],DADOS!$N$4,tabela_registros[TIPO],DADOS!$P$3,tabela_registros[CATEGORIA],despesafixaconsolidadomai[[#This Row],[DESPESA FIXA]])</f>
        <v>0</v>
      </c>
      <c r="AH45" s="91">
        <f>SUMIFS(tabela_registros[VALOR],tabela_registros[MÊS],$AE$1,tabela_registros[DIA],maitotal30597183[[#Headers],[30]],tabela_registros[REGISTRO],DADOS!$N$4,tabela_registros[TIPO],DADOS!$P$3,tabela_registros[CATEGORIA],despesafixaconsolidadomai[[#This Row],[DESPESA FIXA]])</f>
        <v>0</v>
      </c>
      <c r="AI45" s="101">
        <f>SUMIFS(tabela_registros[VALOR],tabela_registros[MÊS],$AE$1,tabela_registros[DIA],maitotal30597183[[#Headers],[31]],tabela_registros[REGISTRO],DADOS!$N$4,tabela_registros[TIPO],DADOS!$P$3,tabela_registros[CATEGORIA],despesafixaconsolidadomai[[#This Row],[DESPESA FIXA]])</f>
        <v>0</v>
      </c>
      <c r="AJ45" s="97">
        <f>SUM(despesafixaconsolidadomai[[#This Row],[1]:[31]])</f>
        <v>0</v>
      </c>
      <c r="AK45" s="28"/>
    </row>
    <row r="46" spans="2:37" ht="18" customHeight="1" thickTop="1" thickBot="1" x14ac:dyDescent="0.3">
      <c r="B46" s="28"/>
      <c r="C46" s="27" t="str">
        <f>DADOS!$R$12</f>
        <v>🖱️ INTERNET</v>
      </c>
      <c r="D46" s="26" t="str">
        <f>IF(despesafixaconsolidadomai[[#This Row],[TOTAL]]=0,"",IF(OR(despesafixaconsolidadomai[[#This Row],[TOTAL]]=LARGE($AJ$37:$AJ$50,1),despesafixaconsolidadomai[[#This Row],[TOTAL]]=LARGE($AJ$37:$AJ$50,2),despesafixaconsolidadomai[[#This Row],[TOTAL]]=LARGE($AJ$37:$AJ$50,3),despesafixaconsolidadomai[[#This Row],[TOTAL]]=LARGE($AJ$37:$AJ$50,4),despesafixaconsolidadomai[[#This Row],[TOTAL]]=LARGE($AJ$37:$AJ$50,5)),DADOS!$I$8,""))</f>
        <v/>
      </c>
      <c r="E46" s="96">
        <f>SUMIFS(tabela_registros[VALOR],tabela_registros[MÊS],$AE$1,tabela_registros[DIA],maitotal30597183[[#Headers],[1]],tabela_registros[REGISTRO],DADOS!$N$4,tabela_registros[TIPO],DADOS!$P$3,tabela_registros[CATEGORIA],despesafixaconsolidadomai[[#This Row],[DESPESA FIXA]])</f>
        <v>0</v>
      </c>
      <c r="F46" s="91">
        <f>SUMIFS(tabela_registros[VALOR],tabela_registros[MÊS],$AE$1,tabela_registros[DIA],maitotal30597183[[#Headers],[2]],tabela_registros[REGISTRO],DADOS!$N$4,tabela_registros[TIPO],DADOS!$P$3,tabela_registros[CATEGORIA],despesafixaconsolidadomai[[#This Row],[DESPESA FIXA]])</f>
        <v>0</v>
      </c>
      <c r="G46" s="91">
        <f>SUMIFS(tabela_registros[VALOR],tabela_registros[MÊS],$AE$1,tabela_registros[DIA],maitotal30597183[[#Headers],[3]],tabela_registros[REGISTRO],DADOS!$N$4,tabela_registros[TIPO],DADOS!$P$3,tabela_registros[CATEGORIA],despesafixaconsolidadomai[[#This Row],[DESPESA FIXA]])</f>
        <v>0</v>
      </c>
      <c r="H46" s="91">
        <f>SUMIFS(tabela_registros[VALOR],tabela_registros[MÊS],$AE$1,tabela_registros[DIA],maitotal30597183[[#Headers],[4]],tabela_registros[REGISTRO],DADOS!$N$4,tabela_registros[TIPO],DADOS!$P$3,tabela_registros[CATEGORIA],despesafixaconsolidadomai[[#This Row],[DESPESA FIXA]])</f>
        <v>0</v>
      </c>
      <c r="I46" s="91">
        <f>SUMIFS(tabela_registros[VALOR],tabela_registros[MÊS],$AE$1,tabela_registros[DIA],maitotal30597183[[#Headers],[5]],tabela_registros[REGISTRO],DADOS!$N$4,tabela_registros[TIPO],DADOS!$P$3,tabela_registros[CATEGORIA],despesafixaconsolidadomai[[#This Row],[DESPESA FIXA]])</f>
        <v>0</v>
      </c>
      <c r="J46" s="91">
        <f>SUMIFS(tabela_registros[VALOR],tabela_registros[MÊS],$AE$1,tabela_registros[DIA],maitotal30597183[[#Headers],[6]],tabela_registros[REGISTRO],DADOS!$N$4,tabela_registros[TIPO],DADOS!$P$3,tabela_registros[CATEGORIA],despesafixaconsolidadomai[[#This Row],[DESPESA FIXA]])</f>
        <v>0</v>
      </c>
      <c r="K46" s="91">
        <f>SUMIFS(tabela_registros[VALOR],tabela_registros[MÊS],$AE$1,tabela_registros[DIA],maitotal30597183[[#Headers],[7]],tabela_registros[REGISTRO],DADOS!$N$4,tabela_registros[TIPO],DADOS!$P$3,tabela_registros[CATEGORIA],despesafixaconsolidadomai[[#This Row],[DESPESA FIXA]])</f>
        <v>0</v>
      </c>
      <c r="L46" s="91">
        <f>SUMIFS(tabela_registros[VALOR],tabela_registros[MÊS],$AE$1,tabela_registros[DIA],maitotal30597183[[#Headers],[8]],tabela_registros[REGISTRO],DADOS!$N$4,tabela_registros[TIPO],DADOS!$P$3,tabela_registros[CATEGORIA],despesafixaconsolidadomai[[#This Row],[DESPESA FIXA]])</f>
        <v>0</v>
      </c>
      <c r="M46" s="91">
        <f>SUMIFS(tabela_registros[VALOR],tabela_registros[MÊS],$AE$1,tabela_registros[DIA],maitotal30597183[[#Headers],[9]],tabela_registros[REGISTRO],DADOS!$N$4,tabela_registros[TIPO],DADOS!$P$3,tabela_registros[CATEGORIA],despesafixaconsolidadomai[[#This Row],[DESPESA FIXA]])</f>
        <v>0</v>
      </c>
      <c r="N46" s="91">
        <f>SUMIFS(tabela_registros[VALOR],tabela_registros[MÊS],$AE$1,tabela_registros[DIA],maitotal30597183[[#Headers],[10]],tabela_registros[REGISTRO],DADOS!$N$4,tabela_registros[TIPO],DADOS!$P$3,tabela_registros[CATEGORIA],despesafixaconsolidadomai[[#This Row],[DESPESA FIXA]])</f>
        <v>0</v>
      </c>
      <c r="O46" s="91">
        <f>SUMIFS(tabela_registros[VALOR],tabela_registros[MÊS],$AE$1,tabela_registros[DIA],maitotal30597183[[#Headers],[11]],tabela_registros[REGISTRO],DADOS!$N$4,tabela_registros[TIPO],DADOS!$P$3,tabela_registros[CATEGORIA],despesafixaconsolidadomai[[#This Row],[DESPESA FIXA]])</f>
        <v>0</v>
      </c>
      <c r="P46" s="91">
        <f>SUMIFS(tabela_registros[VALOR],tabela_registros[MÊS],$AE$1,tabela_registros[DIA],maitotal30597183[[#Headers],[12]],tabela_registros[REGISTRO],DADOS!$N$4,tabela_registros[TIPO],DADOS!$P$3,tabela_registros[CATEGORIA],despesafixaconsolidadomai[[#This Row],[DESPESA FIXA]])</f>
        <v>0</v>
      </c>
      <c r="Q46" s="91">
        <f>SUMIFS(tabela_registros[VALOR],tabela_registros[MÊS],$AE$1,tabela_registros[DIA],maitotal30597183[[#Headers],[13]],tabela_registros[REGISTRO],DADOS!$N$4,tabela_registros[TIPO],DADOS!$P$3,tabela_registros[CATEGORIA],despesafixaconsolidadomai[[#This Row],[DESPESA FIXA]])</f>
        <v>0</v>
      </c>
      <c r="R46" s="91">
        <f>SUMIFS(tabela_registros[VALOR],tabela_registros[MÊS],$AE$1,tabela_registros[DIA],maitotal30597183[[#Headers],[14]],tabela_registros[REGISTRO],DADOS!$N$4,tabela_registros[TIPO],DADOS!$P$3,tabela_registros[CATEGORIA],despesafixaconsolidadomai[[#This Row],[DESPESA FIXA]])</f>
        <v>0</v>
      </c>
      <c r="S46" s="91">
        <f>SUMIFS(tabela_registros[VALOR],tabela_registros[MÊS],$AE$1,tabela_registros[DIA],maitotal30597183[[#Headers],[15]],tabela_registros[REGISTRO],DADOS!$N$4,tabela_registros[TIPO],DADOS!$P$3,tabela_registros[CATEGORIA],despesafixaconsolidadomai[[#This Row],[DESPESA FIXA]])</f>
        <v>0</v>
      </c>
      <c r="T46" s="91">
        <f>SUMIFS(tabela_registros[VALOR],tabela_registros[MÊS],$AE$1,tabela_registros[DIA],maitotal30597183[[#Headers],[16]],tabela_registros[REGISTRO],DADOS!$N$4,tabela_registros[TIPO],DADOS!$P$3,tabela_registros[CATEGORIA],despesafixaconsolidadomai[[#This Row],[DESPESA FIXA]])</f>
        <v>0</v>
      </c>
      <c r="U46" s="91">
        <f>SUMIFS(tabela_registros[VALOR],tabela_registros[MÊS],$AE$1,tabela_registros[DIA],maitotal30597183[[#Headers],[17]],tabela_registros[REGISTRO],DADOS!$N$4,tabela_registros[TIPO],DADOS!$P$3,tabela_registros[CATEGORIA],despesafixaconsolidadomai[[#This Row],[DESPESA FIXA]])</f>
        <v>0</v>
      </c>
      <c r="V46" s="91">
        <f>SUMIFS(tabela_registros[VALOR],tabela_registros[MÊS],$AE$1,tabela_registros[DIA],maitotal30597183[[#Headers],[18]],tabela_registros[REGISTRO],DADOS!$N$4,tabela_registros[TIPO],DADOS!$P$3,tabela_registros[CATEGORIA],despesafixaconsolidadomai[[#This Row],[DESPESA FIXA]])</f>
        <v>0</v>
      </c>
      <c r="W46" s="91">
        <f>SUMIFS(tabela_registros[VALOR],tabela_registros[MÊS],$AE$1,tabela_registros[DIA],maitotal30597183[[#Headers],[19]],tabela_registros[REGISTRO],DADOS!$N$4,tabela_registros[TIPO],DADOS!$P$3,tabela_registros[CATEGORIA],despesafixaconsolidadomai[[#This Row],[DESPESA FIXA]])</f>
        <v>0</v>
      </c>
      <c r="X46" s="91">
        <f>SUMIFS(tabela_registros[VALOR],tabela_registros[MÊS],$AE$1,tabela_registros[DIA],maitotal30597183[[#Headers],[20]],tabela_registros[REGISTRO],DADOS!$N$4,tabela_registros[TIPO],DADOS!$P$3,tabela_registros[CATEGORIA],despesafixaconsolidadomai[[#This Row],[DESPESA FIXA]])</f>
        <v>0</v>
      </c>
      <c r="Y46" s="91">
        <f>SUMIFS(tabela_registros[VALOR],tabela_registros[MÊS],$AE$1,tabela_registros[DIA],maitotal30597183[[#Headers],[21]],tabela_registros[REGISTRO],DADOS!$N$4,tabela_registros[TIPO],DADOS!$P$3,tabela_registros[CATEGORIA],despesafixaconsolidadomai[[#This Row],[DESPESA FIXA]])</f>
        <v>0</v>
      </c>
      <c r="Z46" s="91">
        <f>SUMIFS(tabela_registros[VALOR],tabela_registros[MÊS],$AE$1,tabela_registros[DIA],maitotal30597183[[#Headers],[22]],tabela_registros[REGISTRO],DADOS!$N$4,tabela_registros[TIPO],DADOS!$P$3,tabela_registros[CATEGORIA],despesafixaconsolidadomai[[#This Row],[DESPESA FIXA]])</f>
        <v>0</v>
      </c>
      <c r="AA46" s="91">
        <f>SUMIFS(tabela_registros[VALOR],tabela_registros[MÊS],$AE$1,tabela_registros[DIA],maitotal30597183[[#Headers],[23]],tabela_registros[REGISTRO],DADOS!$N$4,tabela_registros[TIPO],DADOS!$P$3,tabela_registros[CATEGORIA],despesafixaconsolidadomai[[#This Row],[DESPESA FIXA]])</f>
        <v>0</v>
      </c>
      <c r="AB46" s="91">
        <f>SUMIFS(tabela_registros[VALOR],tabela_registros[MÊS],$AE$1,tabela_registros[DIA],maitotal30597183[[#Headers],[24]],tabela_registros[REGISTRO],DADOS!$N$4,tabela_registros[TIPO],DADOS!$P$3,tabela_registros[CATEGORIA],despesafixaconsolidadomai[[#This Row],[DESPESA FIXA]])</f>
        <v>0</v>
      </c>
      <c r="AC46" s="91">
        <f>SUMIFS(tabela_registros[VALOR],tabela_registros[MÊS],$AE$1,tabela_registros[DIA],maitotal30597183[[#Headers],[25]],tabela_registros[REGISTRO],DADOS!$N$4,tabela_registros[TIPO],DADOS!$P$3,tabela_registros[CATEGORIA],despesafixaconsolidadomai[[#This Row],[DESPESA FIXA]])</f>
        <v>0</v>
      </c>
      <c r="AD46" s="91">
        <f>SUMIFS(tabela_registros[VALOR],tabela_registros[MÊS],$AE$1,tabela_registros[DIA],maitotal30597183[[#Headers],[26]],tabela_registros[REGISTRO],DADOS!$N$4,tabela_registros[TIPO],DADOS!$P$3,tabela_registros[CATEGORIA],despesafixaconsolidadomai[[#This Row],[DESPESA FIXA]])</f>
        <v>0</v>
      </c>
      <c r="AE46" s="91">
        <f>SUMIFS(tabela_registros[VALOR],tabela_registros[MÊS],$AE$1,tabela_registros[DIA],maitotal30597183[[#Headers],[27]],tabela_registros[REGISTRO],DADOS!$N$4,tabela_registros[TIPO],DADOS!$P$3,tabela_registros[CATEGORIA],despesafixaconsolidadomai[[#This Row],[DESPESA FIXA]])</f>
        <v>0</v>
      </c>
      <c r="AF46" s="91">
        <f>SUMIFS(tabela_registros[VALOR],tabela_registros[MÊS],$AE$1,tabela_registros[DIA],maitotal30597183[[#Headers],[28]],tabela_registros[REGISTRO],DADOS!$N$4,tabela_registros[TIPO],DADOS!$P$3,tabela_registros[CATEGORIA],despesafixaconsolidadomai[[#This Row],[DESPESA FIXA]])</f>
        <v>0</v>
      </c>
      <c r="AG46" s="91">
        <f>SUMIFS(tabela_registros[VALOR],tabela_registros[MÊS],$AE$1,tabela_registros[DIA],maitotal30597183[[#Headers],[29]],tabela_registros[REGISTRO],DADOS!$N$4,tabela_registros[TIPO],DADOS!$P$3,tabela_registros[CATEGORIA],despesafixaconsolidadomai[[#This Row],[DESPESA FIXA]])</f>
        <v>0</v>
      </c>
      <c r="AH46" s="91">
        <f>SUMIFS(tabela_registros[VALOR],tabela_registros[MÊS],$AE$1,tabela_registros[DIA],maitotal30597183[[#Headers],[30]],tabela_registros[REGISTRO],DADOS!$N$4,tabela_registros[TIPO],DADOS!$P$3,tabela_registros[CATEGORIA],despesafixaconsolidadomai[[#This Row],[DESPESA FIXA]])</f>
        <v>0</v>
      </c>
      <c r="AI46" s="101">
        <f>SUMIFS(tabela_registros[VALOR],tabela_registros[MÊS],$AE$1,tabela_registros[DIA],maitotal30597183[[#Headers],[31]],tabela_registros[REGISTRO],DADOS!$N$4,tabela_registros[TIPO],DADOS!$P$3,tabela_registros[CATEGORIA],despesafixaconsolidadomai[[#This Row],[DESPESA FIXA]])</f>
        <v>0</v>
      </c>
      <c r="AJ46" s="97">
        <f>SUM(despesafixaconsolidadomai[[#This Row],[1]:[31]])</f>
        <v>0</v>
      </c>
      <c r="AK46" s="28"/>
    </row>
    <row r="47" spans="2:37" ht="18" customHeight="1" thickTop="1" thickBot="1" x14ac:dyDescent="0.3">
      <c r="B47" s="28"/>
      <c r="C47" s="27" t="str">
        <f>DADOS!$R$13</f>
        <v>🏠 MORADIA</v>
      </c>
      <c r="D47" s="26" t="str">
        <f>IF(despesafixaconsolidadomai[[#This Row],[TOTAL]]=0,"",IF(OR(despesafixaconsolidadomai[[#This Row],[TOTAL]]=LARGE($AJ$37:$AJ$50,1),despesafixaconsolidadomai[[#This Row],[TOTAL]]=LARGE($AJ$37:$AJ$50,2),despesafixaconsolidadomai[[#This Row],[TOTAL]]=LARGE($AJ$37:$AJ$50,3),despesafixaconsolidadomai[[#This Row],[TOTAL]]=LARGE($AJ$37:$AJ$50,4),despesafixaconsolidadomai[[#This Row],[TOTAL]]=LARGE($AJ$37:$AJ$50,5)),DADOS!$I$8,""))</f>
        <v/>
      </c>
      <c r="E47" s="96">
        <f>SUMIFS(tabela_registros[VALOR],tabela_registros[MÊS],$AE$1,tabela_registros[DIA],maitotal30597183[[#Headers],[1]],tabela_registros[REGISTRO],DADOS!$N$4,tabela_registros[TIPO],DADOS!$P$3,tabela_registros[CATEGORIA],despesafixaconsolidadomai[[#This Row],[DESPESA FIXA]])</f>
        <v>0</v>
      </c>
      <c r="F47" s="91">
        <f>SUMIFS(tabela_registros[VALOR],tabela_registros[MÊS],$AE$1,tabela_registros[DIA],maitotal30597183[[#Headers],[2]],tabela_registros[REGISTRO],DADOS!$N$4,tabela_registros[TIPO],DADOS!$P$3,tabela_registros[CATEGORIA],despesafixaconsolidadomai[[#This Row],[DESPESA FIXA]])</f>
        <v>0</v>
      </c>
      <c r="G47" s="91">
        <f>SUMIFS(tabela_registros[VALOR],tabela_registros[MÊS],$AE$1,tabela_registros[DIA],maitotal30597183[[#Headers],[3]],tabela_registros[REGISTRO],DADOS!$N$4,tabela_registros[TIPO],DADOS!$P$3,tabela_registros[CATEGORIA],despesafixaconsolidadomai[[#This Row],[DESPESA FIXA]])</f>
        <v>0</v>
      </c>
      <c r="H47" s="91">
        <f>SUMIFS(tabela_registros[VALOR],tabela_registros[MÊS],$AE$1,tabela_registros[DIA],maitotal30597183[[#Headers],[4]],tabela_registros[REGISTRO],DADOS!$N$4,tabela_registros[TIPO],DADOS!$P$3,tabela_registros[CATEGORIA],despesafixaconsolidadomai[[#This Row],[DESPESA FIXA]])</f>
        <v>0</v>
      </c>
      <c r="I47" s="91">
        <f>SUMIFS(tabela_registros[VALOR],tabela_registros[MÊS],$AE$1,tabela_registros[DIA],maitotal30597183[[#Headers],[5]],tabela_registros[REGISTRO],DADOS!$N$4,tabela_registros[TIPO],DADOS!$P$3,tabela_registros[CATEGORIA],despesafixaconsolidadomai[[#This Row],[DESPESA FIXA]])</f>
        <v>0</v>
      </c>
      <c r="J47" s="91">
        <f>SUMIFS(tabela_registros[VALOR],tabela_registros[MÊS],$AE$1,tabela_registros[DIA],maitotal30597183[[#Headers],[6]],tabela_registros[REGISTRO],DADOS!$N$4,tabela_registros[TIPO],DADOS!$P$3,tabela_registros[CATEGORIA],despesafixaconsolidadomai[[#This Row],[DESPESA FIXA]])</f>
        <v>0</v>
      </c>
      <c r="K47" s="91">
        <f>SUMIFS(tabela_registros[VALOR],tabela_registros[MÊS],$AE$1,tabela_registros[DIA],maitotal30597183[[#Headers],[7]],tabela_registros[REGISTRO],DADOS!$N$4,tabela_registros[TIPO],DADOS!$P$3,tabela_registros[CATEGORIA],despesafixaconsolidadomai[[#This Row],[DESPESA FIXA]])</f>
        <v>0</v>
      </c>
      <c r="L47" s="91">
        <f>SUMIFS(tabela_registros[VALOR],tabela_registros[MÊS],$AE$1,tabela_registros[DIA],maitotal30597183[[#Headers],[8]],tabela_registros[REGISTRO],DADOS!$N$4,tabela_registros[TIPO],DADOS!$P$3,tabela_registros[CATEGORIA],despesafixaconsolidadomai[[#This Row],[DESPESA FIXA]])</f>
        <v>0</v>
      </c>
      <c r="M47" s="91">
        <f>SUMIFS(tabela_registros[VALOR],tabela_registros[MÊS],$AE$1,tabela_registros[DIA],maitotal30597183[[#Headers],[9]],tabela_registros[REGISTRO],DADOS!$N$4,tabela_registros[TIPO],DADOS!$P$3,tabela_registros[CATEGORIA],despesafixaconsolidadomai[[#This Row],[DESPESA FIXA]])</f>
        <v>0</v>
      </c>
      <c r="N47" s="91">
        <f>SUMIFS(tabela_registros[VALOR],tabela_registros[MÊS],$AE$1,tabela_registros[DIA],maitotal30597183[[#Headers],[10]],tabela_registros[REGISTRO],DADOS!$N$4,tabela_registros[TIPO],DADOS!$P$3,tabela_registros[CATEGORIA],despesafixaconsolidadomai[[#This Row],[DESPESA FIXA]])</f>
        <v>0</v>
      </c>
      <c r="O47" s="91">
        <f>SUMIFS(tabela_registros[VALOR],tabela_registros[MÊS],$AE$1,tabela_registros[DIA],maitotal30597183[[#Headers],[11]],tabela_registros[REGISTRO],DADOS!$N$4,tabela_registros[TIPO],DADOS!$P$3,tabela_registros[CATEGORIA],despesafixaconsolidadomai[[#This Row],[DESPESA FIXA]])</f>
        <v>0</v>
      </c>
      <c r="P47" s="91">
        <f>SUMIFS(tabela_registros[VALOR],tabela_registros[MÊS],$AE$1,tabela_registros[DIA],maitotal30597183[[#Headers],[12]],tabela_registros[REGISTRO],DADOS!$N$4,tabela_registros[TIPO],DADOS!$P$3,tabela_registros[CATEGORIA],despesafixaconsolidadomai[[#This Row],[DESPESA FIXA]])</f>
        <v>0</v>
      </c>
      <c r="Q47" s="91">
        <f>SUMIFS(tabela_registros[VALOR],tabela_registros[MÊS],$AE$1,tabela_registros[DIA],maitotal30597183[[#Headers],[13]],tabela_registros[REGISTRO],DADOS!$N$4,tabela_registros[TIPO],DADOS!$P$3,tabela_registros[CATEGORIA],despesafixaconsolidadomai[[#This Row],[DESPESA FIXA]])</f>
        <v>0</v>
      </c>
      <c r="R47" s="91">
        <f>SUMIFS(tabela_registros[VALOR],tabela_registros[MÊS],$AE$1,tabela_registros[DIA],maitotal30597183[[#Headers],[14]],tabela_registros[REGISTRO],DADOS!$N$4,tabela_registros[TIPO],DADOS!$P$3,tabela_registros[CATEGORIA],despesafixaconsolidadomai[[#This Row],[DESPESA FIXA]])</f>
        <v>0</v>
      </c>
      <c r="S47" s="91">
        <f>SUMIFS(tabela_registros[VALOR],tabela_registros[MÊS],$AE$1,tabela_registros[DIA],maitotal30597183[[#Headers],[15]],tabela_registros[REGISTRO],DADOS!$N$4,tabela_registros[TIPO],DADOS!$P$3,tabela_registros[CATEGORIA],despesafixaconsolidadomai[[#This Row],[DESPESA FIXA]])</f>
        <v>0</v>
      </c>
      <c r="T47" s="91">
        <f>SUMIFS(tabela_registros[VALOR],tabela_registros[MÊS],$AE$1,tabela_registros[DIA],maitotal30597183[[#Headers],[16]],tabela_registros[REGISTRO],DADOS!$N$4,tabela_registros[TIPO],DADOS!$P$3,tabela_registros[CATEGORIA],despesafixaconsolidadomai[[#This Row],[DESPESA FIXA]])</f>
        <v>0</v>
      </c>
      <c r="U47" s="91">
        <f>SUMIFS(tabela_registros[VALOR],tabela_registros[MÊS],$AE$1,tabela_registros[DIA],maitotal30597183[[#Headers],[17]],tabela_registros[REGISTRO],DADOS!$N$4,tabela_registros[TIPO],DADOS!$P$3,tabela_registros[CATEGORIA],despesafixaconsolidadomai[[#This Row],[DESPESA FIXA]])</f>
        <v>0</v>
      </c>
      <c r="V47" s="91">
        <f>SUMIFS(tabela_registros[VALOR],tabela_registros[MÊS],$AE$1,tabela_registros[DIA],maitotal30597183[[#Headers],[18]],tabela_registros[REGISTRO],DADOS!$N$4,tabela_registros[TIPO],DADOS!$P$3,tabela_registros[CATEGORIA],despesafixaconsolidadomai[[#This Row],[DESPESA FIXA]])</f>
        <v>0</v>
      </c>
      <c r="W47" s="91">
        <f>SUMIFS(tabela_registros[VALOR],tabela_registros[MÊS],$AE$1,tabela_registros[DIA],maitotal30597183[[#Headers],[19]],tabela_registros[REGISTRO],DADOS!$N$4,tabela_registros[TIPO],DADOS!$P$3,tabela_registros[CATEGORIA],despesafixaconsolidadomai[[#This Row],[DESPESA FIXA]])</f>
        <v>0</v>
      </c>
      <c r="X47" s="91">
        <f>SUMIFS(tabela_registros[VALOR],tabela_registros[MÊS],$AE$1,tabela_registros[DIA],maitotal30597183[[#Headers],[20]],tabela_registros[REGISTRO],DADOS!$N$4,tabela_registros[TIPO],DADOS!$P$3,tabela_registros[CATEGORIA],despesafixaconsolidadomai[[#This Row],[DESPESA FIXA]])</f>
        <v>0</v>
      </c>
      <c r="Y47" s="91">
        <f>SUMIFS(tabela_registros[VALOR],tabela_registros[MÊS],$AE$1,tabela_registros[DIA],maitotal30597183[[#Headers],[21]],tabela_registros[REGISTRO],DADOS!$N$4,tabela_registros[TIPO],DADOS!$P$3,tabela_registros[CATEGORIA],despesafixaconsolidadomai[[#This Row],[DESPESA FIXA]])</f>
        <v>0</v>
      </c>
      <c r="Z47" s="91">
        <f>SUMIFS(tabela_registros[VALOR],tabela_registros[MÊS],$AE$1,tabela_registros[DIA],maitotal30597183[[#Headers],[22]],tabela_registros[REGISTRO],DADOS!$N$4,tabela_registros[TIPO],DADOS!$P$3,tabela_registros[CATEGORIA],despesafixaconsolidadomai[[#This Row],[DESPESA FIXA]])</f>
        <v>0</v>
      </c>
      <c r="AA47" s="91">
        <f>SUMIFS(tabela_registros[VALOR],tabela_registros[MÊS],$AE$1,tabela_registros[DIA],maitotal30597183[[#Headers],[23]],tabela_registros[REGISTRO],DADOS!$N$4,tabela_registros[TIPO],DADOS!$P$3,tabela_registros[CATEGORIA],despesafixaconsolidadomai[[#This Row],[DESPESA FIXA]])</f>
        <v>0</v>
      </c>
      <c r="AB47" s="91">
        <f>SUMIFS(tabela_registros[VALOR],tabela_registros[MÊS],$AE$1,tabela_registros[DIA],maitotal30597183[[#Headers],[24]],tabela_registros[REGISTRO],DADOS!$N$4,tabela_registros[TIPO],DADOS!$P$3,tabela_registros[CATEGORIA],despesafixaconsolidadomai[[#This Row],[DESPESA FIXA]])</f>
        <v>0</v>
      </c>
      <c r="AC47" s="91">
        <f>SUMIFS(tabela_registros[VALOR],tabela_registros[MÊS],$AE$1,tabela_registros[DIA],maitotal30597183[[#Headers],[25]],tabela_registros[REGISTRO],DADOS!$N$4,tabela_registros[TIPO],DADOS!$P$3,tabela_registros[CATEGORIA],despesafixaconsolidadomai[[#This Row],[DESPESA FIXA]])</f>
        <v>0</v>
      </c>
      <c r="AD47" s="91">
        <f>SUMIFS(tabela_registros[VALOR],tabela_registros[MÊS],$AE$1,tabela_registros[DIA],maitotal30597183[[#Headers],[26]],tabela_registros[REGISTRO],DADOS!$N$4,tabela_registros[TIPO],DADOS!$P$3,tabela_registros[CATEGORIA],despesafixaconsolidadomai[[#This Row],[DESPESA FIXA]])</f>
        <v>0</v>
      </c>
      <c r="AE47" s="91">
        <f>SUMIFS(tabela_registros[VALOR],tabela_registros[MÊS],$AE$1,tabela_registros[DIA],maitotal30597183[[#Headers],[27]],tabela_registros[REGISTRO],DADOS!$N$4,tabela_registros[TIPO],DADOS!$P$3,tabela_registros[CATEGORIA],despesafixaconsolidadomai[[#This Row],[DESPESA FIXA]])</f>
        <v>0</v>
      </c>
      <c r="AF47" s="91">
        <f>SUMIFS(tabela_registros[VALOR],tabela_registros[MÊS],$AE$1,tabela_registros[DIA],maitotal30597183[[#Headers],[28]],tabela_registros[REGISTRO],DADOS!$N$4,tabela_registros[TIPO],DADOS!$P$3,tabela_registros[CATEGORIA],despesafixaconsolidadomai[[#This Row],[DESPESA FIXA]])</f>
        <v>0</v>
      </c>
      <c r="AG47" s="91">
        <f>SUMIFS(tabela_registros[VALOR],tabela_registros[MÊS],$AE$1,tabela_registros[DIA],maitotal30597183[[#Headers],[29]],tabela_registros[REGISTRO],DADOS!$N$4,tabela_registros[TIPO],DADOS!$P$3,tabela_registros[CATEGORIA],despesafixaconsolidadomai[[#This Row],[DESPESA FIXA]])</f>
        <v>0</v>
      </c>
      <c r="AH47" s="91">
        <f>SUMIFS(tabela_registros[VALOR],tabela_registros[MÊS],$AE$1,tabela_registros[DIA],maitotal30597183[[#Headers],[30]],tabela_registros[REGISTRO],DADOS!$N$4,tabela_registros[TIPO],DADOS!$P$3,tabela_registros[CATEGORIA],despesafixaconsolidadomai[[#This Row],[DESPESA FIXA]])</f>
        <v>0</v>
      </c>
      <c r="AI47" s="101">
        <f>SUMIFS(tabela_registros[VALOR],tabela_registros[MÊS],$AE$1,tabela_registros[DIA],maitotal30597183[[#Headers],[31]],tabela_registros[REGISTRO],DADOS!$N$4,tabela_registros[TIPO],DADOS!$P$3,tabela_registros[CATEGORIA],despesafixaconsolidadomai[[#This Row],[DESPESA FIXA]])</f>
        <v>0</v>
      </c>
      <c r="AJ47" s="97">
        <f>SUM(despesafixaconsolidadomai[[#This Row],[1]:[31]])</f>
        <v>0</v>
      </c>
      <c r="AK47" s="28"/>
    </row>
    <row r="48" spans="2:37" ht="18" customHeight="1" thickTop="1" thickBot="1" x14ac:dyDescent="0.3">
      <c r="B48" s="28"/>
      <c r="C48" s="27" t="str">
        <f>DADOS!$R$14</f>
        <v>💊 SAÚDE</v>
      </c>
      <c r="D48" s="26" t="str">
        <f>IF(despesafixaconsolidadomai[[#This Row],[TOTAL]]=0,"",IF(OR(despesafixaconsolidadomai[[#This Row],[TOTAL]]=LARGE($AJ$37:$AJ$50,1),despesafixaconsolidadomai[[#This Row],[TOTAL]]=LARGE($AJ$37:$AJ$50,2),despesafixaconsolidadomai[[#This Row],[TOTAL]]=LARGE($AJ$37:$AJ$50,3),despesafixaconsolidadomai[[#This Row],[TOTAL]]=LARGE($AJ$37:$AJ$50,4),despesafixaconsolidadomai[[#This Row],[TOTAL]]=LARGE($AJ$37:$AJ$50,5)),DADOS!$I$8,""))</f>
        <v/>
      </c>
      <c r="E48" s="96">
        <f>SUMIFS(tabela_registros[VALOR],tabela_registros[MÊS],$AE$1,tabela_registros[DIA],maitotal30597183[[#Headers],[1]],tabela_registros[REGISTRO],DADOS!$N$4,tabela_registros[TIPO],DADOS!$P$3,tabela_registros[CATEGORIA],despesafixaconsolidadomai[[#This Row],[DESPESA FIXA]])</f>
        <v>0</v>
      </c>
      <c r="F48" s="91">
        <f>SUMIFS(tabela_registros[VALOR],tabela_registros[MÊS],$AE$1,tabela_registros[DIA],maitotal30597183[[#Headers],[2]],tabela_registros[REGISTRO],DADOS!$N$4,tabela_registros[TIPO],DADOS!$P$3,tabela_registros[CATEGORIA],despesafixaconsolidadomai[[#This Row],[DESPESA FIXA]])</f>
        <v>0</v>
      </c>
      <c r="G48" s="91">
        <f>SUMIFS(tabela_registros[VALOR],tabela_registros[MÊS],$AE$1,tabela_registros[DIA],maitotal30597183[[#Headers],[3]],tabela_registros[REGISTRO],DADOS!$N$4,tabela_registros[TIPO],DADOS!$P$3,tabela_registros[CATEGORIA],despesafixaconsolidadomai[[#This Row],[DESPESA FIXA]])</f>
        <v>0</v>
      </c>
      <c r="H48" s="91">
        <f>SUMIFS(tabela_registros[VALOR],tabela_registros[MÊS],$AE$1,tabela_registros[DIA],maitotal30597183[[#Headers],[4]],tabela_registros[REGISTRO],DADOS!$N$4,tabela_registros[TIPO],DADOS!$P$3,tabela_registros[CATEGORIA],despesafixaconsolidadomai[[#This Row],[DESPESA FIXA]])</f>
        <v>0</v>
      </c>
      <c r="I48" s="91">
        <f>SUMIFS(tabela_registros[VALOR],tabela_registros[MÊS],$AE$1,tabela_registros[DIA],maitotal30597183[[#Headers],[5]],tabela_registros[REGISTRO],DADOS!$N$4,tabela_registros[TIPO],DADOS!$P$3,tabela_registros[CATEGORIA],despesafixaconsolidadomai[[#This Row],[DESPESA FIXA]])</f>
        <v>0</v>
      </c>
      <c r="J48" s="91">
        <f>SUMIFS(tabela_registros[VALOR],tabela_registros[MÊS],$AE$1,tabela_registros[DIA],maitotal30597183[[#Headers],[6]],tabela_registros[REGISTRO],DADOS!$N$4,tabela_registros[TIPO],DADOS!$P$3,tabela_registros[CATEGORIA],despesafixaconsolidadomai[[#This Row],[DESPESA FIXA]])</f>
        <v>0</v>
      </c>
      <c r="K48" s="91">
        <f>SUMIFS(tabela_registros[VALOR],tabela_registros[MÊS],$AE$1,tabela_registros[DIA],maitotal30597183[[#Headers],[7]],tabela_registros[REGISTRO],DADOS!$N$4,tabela_registros[TIPO],DADOS!$P$3,tabela_registros[CATEGORIA],despesafixaconsolidadomai[[#This Row],[DESPESA FIXA]])</f>
        <v>0</v>
      </c>
      <c r="L48" s="91">
        <f>SUMIFS(tabela_registros[VALOR],tabela_registros[MÊS],$AE$1,tabela_registros[DIA],maitotal30597183[[#Headers],[8]],tabela_registros[REGISTRO],DADOS!$N$4,tabela_registros[TIPO],DADOS!$P$3,tabela_registros[CATEGORIA],despesafixaconsolidadomai[[#This Row],[DESPESA FIXA]])</f>
        <v>0</v>
      </c>
      <c r="M48" s="91">
        <f>SUMIFS(tabela_registros[VALOR],tabela_registros[MÊS],$AE$1,tabela_registros[DIA],maitotal30597183[[#Headers],[9]],tabela_registros[REGISTRO],DADOS!$N$4,tabela_registros[TIPO],DADOS!$P$3,tabela_registros[CATEGORIA],despesafixaconsolidadomai[[#This Row],[DESPESA FIXA]])</f>
        <v>0</v>
      </c>
      <c r="N48" s="91">
        <f>SUMIFS(tabela_registros[VALOR],tabela_registros[MÊS],$AE$1,tabela_registros[DIA],maitotal30597183[[#Headers],[10]],tabela_registros[REGISTRO],DADOS!$N$4,tabela_registros[TIPO],DADOS!$P$3,tabela_registros[CATEGORIA],despesafixaconsolidadomai[[#This Row],[DESPESA FIXA]])</f>
        <v>0</v>
      </c>
      <c r="O48" s="91">
        <f>SUMIFS(tabela_registros[VALOR],tabela_registros[MÊS],$AE$1,tabela_registros[DIA],maitotal30597183[[#Headers],[11]],tabela_registros[REGISTRO],DADOS!$N$4,tabela_registros[TIPO],DADOS!$P$3,tabela_registros[CATEGORIA],despesafixaconsolidadomai[[#This Row],[DESPESA FIXA]])</f>
        <v>0</v>
      </c>
      <c r="P48" s="91">
        <f>SUMIFS(tabela_registros[VALOR],tabela_registros[MÊS],$AE$1,tabela_registros[DIA],maitotal30597183[[#Headers],[12]],tabela_registros[REGISTRO],DADOS!$N$4,tabela_registros[TIPO],DADOS!$P$3,tabela_registros[CATEGORIA],despesafixaconsolidadomai[[#This Row],[DESPESA FIXA]])</f>
        <v>0</v>
      </c>
      <c r="Q48" s="91">
        <f>SUMIFS(tabela_registros[VALOR],tabela_registros[MÊS],$AE$1,tabela_registros[DIA],maitotal30597183[[#Headers],[13]],tabela_registros[REGISTRO],DADOS!$N$4,tabela_registros[TIPO],DADOS!$P$3,tabela_registros[CATEGORIA],despesafixaconsolidadomai[[#This Row],[DESPESA FIXA]])</f>
        <v>0</v>
      </c>
      <c r="R48" s="91">
        <f>SUMIFS(tabela_registros[VALOR],tabela_registros[MÊS],$AE$1,tabela_registros[DIA],maitotal30597183[[#Headers],[14]],tabela_registros[REGISTRO],DADOS!$N$4,tabela_registros[TIPO],DADOS!$P$3,tabela_registros[CATEGORIA],despesafixaconsolidadomai[[#This Row],[DESPESA FIXA]])</f>
        <v>0</v>
      </c>
      <c r="S48" s="91">
        <f>SUMIFS(tabela_registros[VALOR],tabela_registros[MÊS],$AE$1,tabela_registros[DIA],maitotal30597183[[#Headers],[15]],tabela_registros[REGISTRO],DADOS!$N$4,tabela_registros[TIPO],DADOS!$P$3,tabela_registros[CATEGORIA],despesafixaconsolidadomai[[#This Row],[DESPESA FIXA]])</f>
        <v>0</v>
      </c>
      <c r="T48" s="91">
        <f>SUMIFS(tabela_registros[VALOR],tabela_registros[MÊS],$AE$1,tabela_registros[DIA],maitotal30597183[[#Headers],[16]],tabela_registros[REGISTRO],DADOS!$N$4,tabela_registros[TIPO],DADOS!$P$3,tabela_registros[CATEGORIA],despesafixaconsolidadomai[[#This Row],[DESPESA FIXA]])</f>
        <v>0</v>
      </c>
      <c r="U48" s="91">
        <f>SUMIFS(tabela_registros[VALOR],tabela_registros[MÊS],$AE$1,tabela_registros[DIA],maitotal30597183[[#Headers],[17]],tabela_registros[REGISTRO],DADOS!$N$4,tabela_registros[TIPO],DADOS!$P$3,tabela_registros[CATEGORIA],despesafixaconsolidadomai[[#This Row],[DESPESA FIXA]])</f>
        <v>0</v>
      </c>
      <c r="V48" s="91">
        <f>SUMIFS(tabela_registros[VALOR],tabela_registros[MÊS],$AE$1,tabela_registros[DIA],maitotal30597183[[#Headers],[18]],tabela_registros[REGISTRO],DADOS!$N$4,tabela_registros[TIPO],DADOS!$P$3,tabela_registros[CATEGORIA],despesafixaconsolidadomai[[#This Row],[DESPESA FIXA]])</f>
        <v>0</v>
      </c>
      <c r="W48" s="91">
        <f>SUMIFS(tabela_registros[VALOR],tabela_registros[MÊS],$AE$1,tabela_registros[DIA],maitotal30597183[[#Headers],[19]],tabela_registros[REGISTRO],DADOS!$N$4,tabela_registros[TIPO],DADOS!$P$3,tabela_registros[CATEGORIA],despesafixaconsolidadomai[[#This Row],[DESPESA FIXA]])</f>
        <v>0</v>
      </c>
      <c r="X48" s="91">
        <f>SUMIFS(tabela_registros[VALOR],tabela_registros[MÊS],$AE$1,tabela_registros[DIA],maitotal30597183[[#Headers],[20]],tabela_registros[REGISTRO],DADOS!$N$4,tabela_registros[TIPO],DADOS!$P$3,tabela_registros[CATEGORIA],despesafixaconsolidadomai[[#This Row],[DESPESA FIXA]])</f>
        <v>0</v>
      </c>
      <c r="Y48" s="91">
        <f>SUMIFS(tabela_registros[VALOR],tabela_registros[MÊS],$AE$1,tabela_registros[DIA],maitotal30597183[[#Headers],[21]],tabela_registros[REGISTRO],DADOS!$N$4,tabela_registros[TIPO],DADOS!$P$3,tabela_registros[CATEGORIA],despesafixaconsolidadomai[[#This Row],[DESPESA FIXA]])</f>
        <v>0</v>
      </c>
      <c r="Z48" s="91">
        <f>SUMIFS(tabela_registros[VALOR],tabela_registros[MÊS],$AE$1,tabela_registros[DIA],maitotal30597183[[#Headers],[22]],tabela_registros[REGISTRO],DADOS!$N$4,tabela_registros[TIPO],DADOS!$P$3,tabela_registros[CATEGORIA],despesafixaconsolidadomai[[#This Row],[DESPESA FIXA]])</f>
        <v>0</v>
      </c>
      <c r="AA48" s="91">
        <f>SUMIFS(tabela_registros[VALOR],tabela_registros[MÊS],$AE$1,tabela_registros[DIA],maitotal30597183[[#Headers],[23]],tabela_registros[REGISTRO],DADOS!$N$4,tabela_registros[TIPO],DADOS!$P$3,tabela_registros[CATEGORIA],despesafixaconsolidadomai[[#This Row],[DESPESA FIXA]])</f>
        <v>0</v>
      </c>
      <c r="AB48" s="91">
        <f>SUMIFS(tabela_registros[VALOR],tabela_registros[MÊS],$AE$1,tabela_registros[DIA],maitotal30597183[[#Headers],[24]],tabela_registros[REGISTRO],DADOS!$N$4,tabela_registros[TIPO],DADOS!$P$3,tabela_registros[CATEGORIA],despesafixaconsolidadomai[[#This Row],[DESPESA FIXA]])</f>
        <v>0</v>
      </c>
      <c r="AC48" s="91">
        <f>SUMIFS(tabela_registros[VALOR],tabela_registros[MÊS],$AE$1,tabela_registros[DIA],maitotal30597183[[#Headers],[25]],tabela_registros[REGISTRO],DADOS!$N$4,tabela_registros[TIPO],DADOS!$P$3,tabela_registros[CATEGORIA],despesafixaconsolidadomai[[#This Row],[DESPESA FIXA]])</f>
        <v>0</v>
      </c>
      <c r="AD48" s="91">
        <f>SUMIFS(tabela_registros[VALOR],tabela_registros[MÊS],$AE$1,tabela_registros[DIA],maitotal30597183[[#Headers],[26]],tabela_registros[REGISTRO],DADOS!$N$4,tabela_registros[TIPO],DADOS!$P$3,tabela_registros[CATEGORIA],despesafixaconsolidadomai[[#This Row],[DESPESA FIXA]])</f>
        <v>0</v>
      </c>
      <c r="AE48" s="91">
        <f>SUMIFS(tabela_registros[VALOR],tabela_registros[MÊS],$AE$1,tabela_registros[DIA],maitotal30597183[[#Headers],[27]],tabela_registros[REGISTRO],DADOS!$N$4,tabela_registros[TIPO],DADOS!$P$3,tabela_registros[CATEGORIA],despesafixaconsolidadomai[[#This Row],[DESPESA FIXA]])</f>
        <v>0</v>
      </c>
      <c r="AF48" s="91">
        <f>SUMIFS(tabela_registros[VALOR],tabela_registros[MÊS],$AE$1,tabela_registros[DIA],maitotal30597183[[#Headers],[28]],tabela_registros[REGISTRO],DADOS!$N$4,tabela_registros[TIPO],DADOS!$P$3,tabela_registros[CATEGORIA],despesafixaconsolidadomai[[#This Row],[DESPESA FIXA]])</f>
        <v>0</v>
      </c>
      <c r="AG48" s="91">
        <f>SUMIFS(tabela_registros[VALOR],tabela_registros[MÊS],$AE$1,tabela_registros[DIA],maitotal30597183[[#Headers],[29]],tabela_registros[REGISTRO],DADOS!$N$4,tabela_registros[TIPO],DADOS!$P$3,tabela_registros[CATEGORIA],despesafixaconsolidadomai[[#This Row],[DESPESA FIXA]])</f>
        <v>0</v>
      </c>
      <c r="AH48" s="91">
        <f>SUMIFS(tabela_registros[VALOR],tabela_registros[MÊS],$AE$1,tabela_registros[DIA],maitotal30597183[[#Headers],[30]],tabela_registros[REGISTRO],DADOS!$N$4,tabela_registros[TIPO],DADOS!$P$3,tabela_registros[CATEGORIA],despesafixaconsolidadomai[[#This Row],[DESPESA FIXA]])</f>
        <v>0</v>
      </c>
      <c r="AI48" s="101">
        <f>SUMIFS(tabela_registros[VALOR],tabela_registros[MÊS],$AE$1,tabela_registros[DIA],maitotal30597183[[#Headers],[31]],tabela_registros[REGISTRO],DADOS!$N$4,tabela_registros[TIPO],DADOS!$P$3,tabela_registros[CATEGORIA],despesafixaconsolidadomai[[#This Row],[DESPESA FIXA]])</f>
        <v>0</v>
      </c>
      <c r="AJ48" s="97">
        <f>SUM(despesafixaconsolidadomai[[#This Row],[1]:[31]])</f>
        <v>0</v>
      </c>
      <c r="AK48" s="28"/>
    </row>
    <row r="49" spans="2:37" ht="18" customHeight="1" thickTop="1" thickBot="1" x14ac:dyDescent="0.3">
      <c r="B49" s="28"/>
      <c r="C49" s="27" t="str">
        <f>DADOS!$R$15</f>
        <v>📞 TELEFONE</v>
      </c>
      <c r="D49" s="26" t="str">
        <f>IF(despesafixaconsolidadomai[[#This Row],[TOTAL]]=0,"",IF(OR(despesafixaconsolidadomai[[#This Row],[TOTAL]]=LARGE($AJ$37:$AJ$50,1),despesafixaconsolidadomai[[#This Row],[TOTAL]]=LARGE($AJ$37:$AJ$50,2),despesafixaconsolidadomai[[#This Row],[TOTAL]]=LARGE($AJ$37:$AJ$50,3),despesafixaconsolidadomai[[#This Row],[TOTAL]]=LARGE($AJ$37:$AJ$50,4),despesafixaconsolidadomai[[#This Row],[TOTAL]]=LARGE($AJ$37:$AJ$50,5)),DADOS!$I$8,""))</f>
        <v/>
      </c>
      <c r="E49" s="96">
        <f>SUMIFS(tabela_registros[VALOR],tabela_registros[MÊS],$AE$1,tabela_registros[DIA],maitotal30597183[[#Headers],[1]],tabela_registros[REGISTRO],DADOS!$N$4,tabela_registros[TIPO],DADOS!$P$3,tabela_registros[CATEGORIA],despesafixaconsolidadomai[[#This Row],[DESPESA FIXA]])</f>
        <v>0</v>
      </c>
      <c r="F49" s="91">
        <f>SUMIFS(tabela_registros[VALOR],tabela_registros[MÊS],$AE$1,tabela_registros[DIA],maitotal30597183[[#Headers],[2]],tabela_registros[REGISTRO],DADOS!$N$4,tabela_registros[TIPO],DADOS!$P$3,tabela_registros[CATEGORIA],despesafixaconsolidadomai[[#This Row],[DESPESA FIXA]])</f>
        <v>0</v>
      </c>
      <c r="G49" s="91">
        <f>SUMIFS(tabela_registros[VALOR],tabela_registros[MÊS],$AE$1,tabela_registros[DIA],maitotal30597183[[#Headers],[3]],tabela_registros[REGISTRO],DADOS!$N$4,tabela_registros[TIPO],DADOS!$P$3,tabela_registros[CATEGORIA],despesafixaconsolidadomai[[#This Row],[DESPESA FIXA]])</f>
        <v>0</v>
      </c>
      <c r="H49" s="91">
        <f>SUMIFS(tabela_registros[VALOR],tabela_registros[MÊS],$AE$1,tabela_registros[DIA],maitotal30597183[[#Headers],[4]],tabela_registros[REGISTRO],DADOS!$N$4,tabela_registros[TIPO],DADOS!$P$3,tabela_registros[CATEGORIA],despesafixaconsolidadomai[[#This Row],[DESPESA FIXA]])</f>
        <v>0</v>
      </c>
      <c r="I49" s="91">
        <f>SUMIFS(tabela_registros[VALOR],tabela_registros[MÊS],$AE$1,tabela_registros[DIA],maitotal30597183[[#Headers],[5]],tabela_registros[REGISTRO],DADOS!$N$4,tabela_registros[TIPO],DADOS!$P$3,tabela_registros[CATEGORIA],despesafixaconsolidadomai[[#This Row],[DESPESA FIXA]])</f>
        <v>0</v>
      </c>
      <c r="J49" s="91">
        <f>SUMIFS(tabela_registros[VALOR],tabela_registros[MÊS],$AE$1,tabela_registros[DIA],maitotal30597183[[#Headers],[6]],tabela_registros[REGISTRO],DADOS!$N$4,tabela_registros[TIPO],DADOS!$P$3,tabela_registros[CATEGORIA],despesafixaconsolidadomai[[#This Row],[DESPESA FIXA]])</f>
        <v>0</v>
      </c>
      <c r="K49" s="91">
        <f>SUMIFS(tabela_registros[VALOR],tabela_registros[MÊS],$AE$1,tabela_registros[DIA],maitotal30597183[[#Headers],[7]],tabela_registros[REGISTRO],DADOS!$N$4,tabela_registros[TIPO],DADOS!$P$3,tabela_registros[CATEGORIA],despesafixaconsolidadomai[[#This Row],[DESPESA FIXA]])</f>
        <v>0</v>
      </c>
      <c r="L49" s="91">
        <f>SUMIFS(tabela_registros[VALOR],tabela_registros[MÊS],$AE$1,tabela_registros[DIA],maitotal30597183[[#Headers],[8]],tabela_registros[REGISTRO],DADOS!$N$4,tabela_registros[TIPO],DADOS!$P$3,tabela_registros[CATEGORIA],despesafixaconsolidadomai[[#This Row],[DESPESA FIXA]])</f>
        <v>0</v>
      </c>
      <c r="M49" s="91">
        <f>SUMIFS(tabela_registros[VALOR],tabela_registros[MÊS],$AE$1,tabela_registros[DIA],maitotal30597183[[#Headers],[9]],tabela_registros[REGISTRO],DADOS!$N$4,tabela_registros[TIPO],DADOS!$P$3,tabela_registros[CATEGORIA],despesafixaconsolidadomai[[#This Row],[DESPESA FIXA]])</f>
        <v>0</v>
      </c>
      <c r="N49" s="91">
        <f>SUMIFS(tabela_registros[VALOR],tabela_registros[MÊS],$AE$1,tabela_registros[DIA],maitotal30597183[[#Headers],[10]],tabela_registros[REGISTRO],DADOS!$N$4,tabela_registros[TIPO],DADOS!$P$3,tabela_registros[CATEGORIA],despesafixaconsolidadomai[[#This Row],[DESPESA FIXA]])</f>
        <v>0</v>
      </c>
      <c r="O49" s="91">
        <f>SUMIFS(tabela_registros[VALOR],tabela_registros[MÊS],$AE$1,tabela_registros[DIA],maitotal30597183[[#Headers],[11]],tabela_registros[REGISTRO],DADOS!$N$4,tabela_registros[TIPO],DADOS!$P$3,tabela_registros[CATEGORIA],despesafixaconsolidadomai[[#This Row],[DESPESA FIXA]])</f>
        <v>0</v>
      </c>
      <c r="P49" s="91">
        <f>SUMIFS(tabela_registros[VALOR],tabela_registros[MÊS],$AE$1,tabela_registros[DIA],maitotal30597183[[#Headers],[12]],tabela_registros[REGISTRO],DADOS!$N$4,tabela_registros[TIPO],DADOS!$P$3,tabela_registros[CATEGORIA],despesafixaconsolidadomai[[#This Row],[DESPESA FIXA]])</f>
        <v>0</v>
      </c>
      <c r="Q49" s="91">
        <f>SUMIFS(tabela_registros[VALOR],tabela_registros[MÊS],$AE$1,tabela_registros[DIA],maitotal30597183[[#Headers],[13]],tabela_registros[REGISTRO],DADOS!$N$4,tabela_registros[TIPO],DADOS!$P$3,tabela_registros[CATEGORIA],despesafixaconsolidadomai[[#This Row],[DESPESA FIXA]])</f>
        <v>0</v>
      </c>
      <c r="R49" s="91">
        <f>SUMIFS(tabela_registros[VALOR],tabela_registros[MÊS],$AE$1,tabela_registros[DIA],maitotal30597183[[#Headers],[14]],tabela_registros[REGISTRO],DADOS!$N$4,tabela_registros[TIPO],DADOS!$P$3,tabela_registros[CATEGORIA],despesafixaconsolidadomai[[#This Row],[DESPESA FIXA]])</f>
        <v>0</v>
      </c>
      <c r="S49" s="91">
        <f>SUMIFS(tabela_registros[VALOR],tabela_registros[MÊS],$AE$1,tabela_registros[DIA],maitotal30597183[[#Headers],[15]],tabela_registros[REGISTRO],DADOS!$N$4,tabela_registros[TIPO],DADOS!$P$3,tabela_registros[CATEGORIA],despesafixaconsolidadomai[[#This Row],[DESPESA FIXA]])</f>
        <v>0</v>
      </c>
      <c r="T49" s="91">
        <f>SUMIFS(tabela_registros[VALOR],tabela_registros[MÊS],$AE$1,tabela_registros[DIA],maitotal30597183[[#Headers],[16]],tabela_registros[REGISTRO],DADOS!$N$4,tabela_registros[TIPO],DADOS!$P$3,tabela_registros[CATEGORIA],despesafixaconsolidadomai[[#This Row],[DESPESA FIXA]])</f>
        <v>0</v>
      </c>
      <c r="U49" s="91">
        <f>SUMIFS(tabela_registros[VALOR],tabela_registros[MÊS],$AE$1,tabela_registros[DIA],maitotal30597183[[#Headers],[17]],tabela_registros[REGISTRO],DADOS!$N$4,tabela_registros[TIPO],DADOS!$P$3,tabela_registros[CATEGORIA],despesafixaconsolidadomai[[#This Row],[DESPESA FIXA]])</f>
        <v>0</v>
      </c>
      <c r="V49" s="91">
        <f>SUMIFS(tabela_registros[VALOR],tabela_registros[MÊS],$AE$1,tabela_registros[DIA],maitotal30597183[[#Headers],[18]],tabela_registros[REGISTRO],DADOS!$N$4,tabela_registros[TIPO],DADOS!$P$3,tabela_registros[CATEGORIA],despesafixaconsolidadomai[[#This Row],[DESPESA FIXA]])</f>
        <v>0</v>
      </c>
      <c r="W49" s="91">
        <f>SUMIFS(tabela_registros[VALOR],tabela_registros[MÊS],$AE$1,tabela_registros[DIA],maitotal30597183[[#Headers],[19]],tabela_registros[REGISTRO],DADOS!$N$4,tabela_registros[TIPO],DADOS!$P$3,tabela_registros[CATEGORIA],despesafixaconsolidadomai[[#This Row],[DESPESA FIXA]])</f>
        <v>0</v>
      </c>
      <c r="X49" s="91">
        <f>SUMIFS(tabela_registros[VALOR],tabela_registros[MÊS],$AE$1,tabela_registros[DIA],maitotal30597183[[#Headers],[20]],tabela_registros[REGISTRO],DADOS!$N$4,tabela_registros[TIPO],DADOS!$P$3,tabela_registros[CATEGORIA],despesafixaconsolidadomai[[#This Row],[DESPESA FIXA]])</f>
        <v>0</v>
      </c>
      <c r="Y49" s="91">
        <f>SUMIFS(tabela_registros[VALOR],tabela_registros[MÊS],$AE$1,tabela_registros[DIA],maitotal30597183[[#Headers],[21]],tabela_registros[REGISTRO],DADOS!$N$4,tabela_registros[TIPO],DADOS!$P$3,tabela_registros[CATEGORIA],despesafixaconsolidadomai[[#This Row],[DESPESA FIXA]])</f>
        <v>0</v>
      </c>
      <c r="Z49" s="91">
        <f>SUMIFS(tabela_registros[VALOR],tabela_registros[MÊS],$AE$1,tabela_registros[DIA],maitotal30597183[[#Headers],[22]],tabela_registros[REGISTRO],DADOS!$N$4,tabela_registros[TIPO],DADOS!$P$3,tabela_registros[CATEGORIA],despesafixaconsolidadomai[[#This Row],[DESPESA FIXA]])</f>
        <v>0</v>
      </c>
      <c r="AA49" s="91">
        <f>SUMIFS(tabela_registros[VALOR],tabela_registros[MÊS],$AE$1,tabela_registros[DIA],maitotal30597183[[#Headers],[23]],tabela_registros[REGISTRO],DADOS!$N$4,tabela_registros[TIPO],DADOS!$P$3,tabela_registros[CATEGORIA],despesafixaconsolidadomai[[#This Row],[DESPESA FIXA]])</f>
        <v>0</v>
      </c>
      <c r="AB49" s="91">
        <f>SUMIFS(tabela_registros[VALOR],tabela_registros[MÊS],$AE$1,tabela_registros[DIA],maitotal30597183[[#Headers],[24]],tabela_registros[REGISTRO],DADOS!$N$4,tabela_registros[TIPO],DADOS!$P$3,tabela_registros[CATEGORIA],despesafixaconsolidadomai[[#This Row],[DESPESA FIXA]])</f>
        <v>0</v>
      </c>
      <c r="AC49" s="91">
        <f>SUMIFS(tabela_registros[VALOR],tabela_registros[MÊS],$AE$1,tabela_registros[DIA],maitotal30597183[[#Headers],[25]],tabela_registros[REGISTRO],DADOS!$N$4,tabela_registros[TIPO],DADOS!$P$3,tabela_registros[CATEGORIA],despesafixaconsolidadomai[[#This Row],[DESPESA FIXA]])</f>
        <v>0</v>
      </c>
      <c r="AD49" s="91">
        <f>SUMIFS(tabela_registros[VALOR],tabela_registros[MÊS],$AE$1,tabela_registros[DIA],maitotal30597183[[#Headers],[26]],tabela_registros[REGISTRO],DADOS!$N$4,tabela_registros[TIPO],DADOS!$P$3,tabela_registros[CATEGORIA],despesafixaconsolidadomai[[#This Row],[DESPESA FIXA]])</f>
        <v>0</v>
      </c>
      <c r="AE49" s="91">
        <f>SUMIFS(tabela_registros[VALOR],tabela_registros[MÊS],$AE$1,tabela_registros[DIA],maitotal30597183[[#Headers],[27]],tabela_registros[REGISTRO],DADOS!$N$4,tabela_registros[TIPO],DADOS!$P$3,tabela_registros[CATEGORIA],despesafixaconsolidadomai[[#This Row],[DESPESA FIXA]])</f>
        <v>0</v>
      </c>
      <c r="AF49" s="91">
        <f>SUMIFS(tabela_registros[VALOR],tabela_registros[MÊS],$AE$1,tabela_registros[DIA],maitotal30597183[[#Headers],[28]],tabela_registros[REGISTRO],DADOS!$N$4,tabela_registros[TIPO],DADOS!$P$3,tabela_registros[CATEGORIA],despesafixaconsolidadomai[[#This Row],[DESPESA FIXA]])</f>
        <v>0</v>
      </c>
      <c r="AG49" s="91">
        <f>SUMIFS(tabela_registros[VALOR],tabela_registros[MÊS],$AE$1,tabela_registros[DIA],maitotal30597183[[#Headers],[29]],tabela_registros[REGISTRO],DADOS!$N$4,tabela_registros[TIPO],DADOS!$P$3,tabela_registros[CATEGORIA],despesafixaconsolidadomai[[#This Row],[DESPESA FIXA]])</f>
        <v>0</v>
      </c>
      <c r="AH49" s="91">
        <f>SUMIFS(tabela_registros[VALOR],tabela_registros[MÊS],$AE$1,tabela_registros[DIA],maitotal30597183[[#Headers],[30]],tabela_registros[REGISTRO],DADOS!$N$4,tabela_registros[TIPO],DADOS!$P$3,tabela_registros[CATEGORIA],despesafixaconsolidadomai[[#This Row],[DESPESA FIXA]])</f>
        <v>0</v>
      </c>
      <c r="AI49" s="101">
        <f>SUMIFS(tabela_registros[VALOR],tabela_registros[MÊS],$AE$1,tabela_registros[DIA],maitotal30597183[[#Headers],[31]],tabela_registros[REGISTRO],DADOS!$N$4,tabela_registros[TIPO],DADOS!$P$3,tabela_registros[CATEGORIA],despesafixaconsolidadomai[[#This Row],[DESPESA FIXA]])</f>
        <v>0</v>
      </c>
      <c r="AJ49" s="97">
        <f>SUM(despesafixaconsolidadomai[[#This Row],[1]:[31]])</f>
        <v>0</v>
      </c>
      <c r="AK49" s="28"/>
    </row>
    <row r="50" spans="2:37" ht="18" customHeight="1" thickTop="1" thickBot="1" x14ac:dyDescent="0.3">
      <c r="B50" s="28"/>
      <c r="C50" s="27" t="str">
        <f>DADOS!$R$16</f>
        <v>📎 OUTROS</v>
      </c>
      <c r="D50" s="26" t="str">
        <f>IF(despesafixaconsolidadomai[[#This Row],[TOTAL]]=0,"",IF(OR(despesafixaconsolidadomai[[#This Row],[TOTAL]]=LARGE($AJ$37:$AJ$50,1),despesafixaconsolidadomai[[#This Row],[TOTAL]]=LARGE($AJ$37:$AJ$50,2),despesafixaconsolidadomai[[#This Row],[TOTAL]]=LARGE($AJ$37:$AJ$50,3),despesafixaconsolidadomai[[#This Row],[TOTAL]]=LARGE($AJ$37:$AJ$50,4),despesafixaconsolidadomai[[#This Row],[TOTAL]]=LARGE($AJ$37:$AJ$50,5)),DADOS!$I$8,""))</f>
        <v/>
      </c>
      <c r="E50" s="98">
        <f>SUMIFS(tabela_registros[VALOR],tabela_registros[MÊS],$AE$1,tabela_registros[DIA],maitotal30597183[[#Headers],[1]],tabela_registros[REGISTRO],DADOS!$N$4,tabela_registros[TIPO],DADOS!$P$3,tabela_registros[CATEGORIA],despesafixaconsolidadomai[[#This Row],[DESPESA FIXA]])</f>
        <v>0</v>
      </c>
      <c r="F50" s="99">
        <f>SUMIFS(tabela_registros[VALOR],tabela_registros[MÊS],$AE$1,tabela_registros[DIA],maitotal30597183[[#Headers],[2]],tabela_registros[REGISTRO],DADOS!$N$4,tabela_registros[TIPO],DADOS!$P$3,tabela_registros[CATEGORIA],despesafixaconsolidadomai[[#This Row],[DESPESA FIXA]])</f>
        <v>0</v>
      </c>
      <c r="G50" s="99">
        <f>SUMIFS(tabela_registros[VALOR],tabela_registros[MÊS],$AE$1,tabela_registros[DIA],maitotal30597183[[#Headers],[3]],tabela_registros[REGISTRO],DADOS!$N$4,tabela_registros[TIPO],DADOS!$P$3,tabela_registros[CATEGORIA],despesafixaconsolidadomai[[#This Row],[DESPESA FIXA]])</f>
        <v>0</v>
      </c>
      <c r="H50" s="99">
        <f>SUMIFS(tabela_registros[VALOR],tabela_registros[MÊS],$AE$1,tabela_registros[DIA],maitotal30597183[[#Headers],[4]],tabela_registros[REGISTRO],DADOS!$N$4,tabela_registros[TIPO],DADOS!$P$3,tabela_registros[CATEGORIA],despesafixaconsolidadomai[[#This Row],[DESPESA FIXA]])</f>
        <v>0</v>
      </c>
      <c r="I50" s="99">
        <f>SUMIFS(tabela_registros[VALOR],tabela_registros[MÊS],$AE$1,tabela_registros[DIA],maitotal30597183[[#Headers],[5]],tabela_registros[REGISTRO],DADOS!$N$4,tabela_registros[TIPO],DADOS!$P$3,tabela_registros[CATEGORIA],despesafixaconsolidadomai[[#This Row],[DESPESA FIXA]])</f>
        <v>0</v>
      </c>
      <c r="J50" s="99">
        <f>SUMIFS(tabela_registros[VALOR],tabela_registros[MÊS],$AE$1,tabela_registros[DIA],maitotal30597183[[#Headers],[6]],tabela_registros[REGISTRO],DADOS!$N$4,tabela_registros[TIPO],DADOS!$P$3,tabela_registros[CATEGORIA],despesafixaconsolidadomai[[#This Row],[DESPESA FIXA]])</f>
        <v>0</v>
      </c>
      <c r="K50" s="99">
        <f>SUMIFS(tabela_registros[VALOR],tabela_registros[MÊS],$AE$1,tabela_registros[DIA],maitotal30597183[[#Headers],[7]],tabela_registros[REGISTRO],DADOS!$N$4,tabela_registros[TIPO],DADOS!$P$3,tabela_registros[CATEGORIA],despesafixaconsolidadomai[[#This Row],[DESPESA FIXA]])</f>
        <v>0</v>
      </c>
      <c r="L50" s="99">
        <f>SUMIFS(tabela_registros[VALOR],tabela_registros[MÊS],$AE$1,tabela_registros[DIA],maitotal30597183[[#Headers],[8]],tabela_registros[REGISTRO],DADOS!$N$4,tabela_registros[TIPO],DADOS!$P$3,tabela_registros[CATEGORIA],despesafixaconsolidadomai[[#This Row],[DESPESA FIXA]])</f>
        <v>0</v>
      </c>
      <c r="M50" s="99">
        <f>SUMIFS(tabela_registros[VALOR],tabela_registros[MÊS],$AE$1,tabela_registros[DIA],maitotal30597183[[#Headers],[9]],tabela_registros[REGISTRO],DADOS!$N$4,tabela_registros[TIPO],DADOS!$P$3,tabela_registros[CATEGORIA],despesafixaconsolidadomai[[#This Row],[DESPESA FIXA]])</f>
        <v>0</v>
      </c>
      <c r="N50" s="99">
        <f>SUMIFS(tabela_registros[VALOR],tabela_registros[MÊS],$AE$1,tabela_registros[DIA],maitotal30597183[[#Headers],[10]],tabela_registros[REGISTRO],DADOS!$N$4,tabela_registros[TIPO],DADOS!$P$3,tabela_registros[CATEGORIA],despesafixaconsolidadomai[[#This Row],[DESPESA FIXA]])</f>
        <v>0</v>
      </c>
      <c r="O50" s="99">
        <f>SUMIFS(tabela_registros[VALOR],tabela_registros[MÊS],$AE$1,tabela_registros[DIA],maitotal30597183[[#Headers],[11]],tabela_registros[REGISTRO],DADOS!$N$4,tabela_registros[TIPO],DADOS!$P$3,tabela_registros[CATEGORIA],despesafixaconsolidadomai[[#This Row],[DESPESA FIXA]])</f>
        <v>0</v>
      </c>
      <c r="P50" s="99">
        <f>SUMIFS(tabela_registros[VALOR],tabela_registros[MÊS],$AE$1,tabela_registros[DIA],maitotal30597183[[#Headers],[12]],tabela_registros[REGISTRO],DADOS!$N$4,tabela_registros[TIPO],DADOS!$P$3,tabela_registros[CATEGORIA],despesafixaconsolidadomai[[#This Row],[DESPESA FIXA]])</f>
        <v>0</v>
      </c>
      <c r="Q50" s="99">
        <f>SUMIFS(tabela_registros[VALOR],tabela_registros[MÊS],$AE$1,tabela_registros[DIA],maitotal30597183[[#Headers],[13]],tabela_registros[REGISTRO],DADOS!$N$4,tabela_registros[TIPO],DADOS!$P$3,tabela_registros[CATEGORIA],despesafixaconsolidadomai[[#This Row],[DESPESA FIXA]])</f>
        <v>0</v>
      </c>
      <c r="R50" s="99">
        <f>SUMIFS(tabela_registros[VALOR],tabela_registros[MÊS],$AE$1,tabela_registros[DIA],maitotal30597183[[#Headers],[14]],tabela_registros[REGISTRO],DADOS!$N$4,tabela_registros[TIPO],DADOS!$P$3,tabela_registros[CATEGORIA],despesafixaconsolidadomai[[#This Row],[DESPESA FIXA]])</f>
        <v>0</v>
      </c>
      <c r="S50" s="99">
        <f>SUMIFS(tabela_registros[VALOR],tabela_registros[MÊS],$AE$1,tabela_registros[DIA],maitotal30597183[[#Headers],[15]],tabela_registros[REGISTRO],DADOS!$N$4,tabela_registros[TIPO],DADOS!$P$3,tabela_registros[CATEGORIA],despesafixaconsolidadomai[[#This Row],[DESPESA FIXA]])</f>
        <v>0</v>
      </c>
      <c r="T50" s="99">
        <f>SUMIFS(tabela_registros[VALOR],tabela_registros[MÊS],$AE$1,tabela_registros[DIA],maitotal30597183[[#Headers],[16]],tabela_registros[REGISTRO],DADOS!$N$4,tabela_registros[TIPO],DADOS!$P$3,tabela_registros[CATEGORIA],despesafixaconsolidadomai[[#This Row],[DESPESA FIXA]])</f>
        <v>0</v>
      </c>
      <c r="U50" s="99">
        <f>SUMIFS(tabela_registros[VALOR],tabela_registros[MÊS],$AE$1,tabela_registros[DIA],maitotal30597183[[#Headers],[17]],tabela_registros[REGISTRO],DADOS!$N$4,tabela_registros[TIPO],DADOS!$P$3,tabela_registros[CATEGORIA],despesafixaconsolidadomai[[#This Row],[DESPESA FIXA]])</f>
        <v>0</v>
      </c>
      <c r="V50" s="99">
        <f>SUMIFS(tabela_registros[VALOR],tabela_registros[MÊS],$AE$1,tabela_registros[DIA],maitotal30597183[[#Headers],[18]],tabela_registros[REGISTRO],DADOS!$N$4,tabela_registros[TIPO],DADOS!$P$3,tabela_registros[CATEGORIA],despesafixaconsolidadomai[[#This Row],[DESPESA FIXA]])</f>
        <v>0</v>
      </c>
      <c r="W50" s="99">
        <f>SUMIFS(tabela_registros[VALOR],tabela_registros[MÊS],$AE$1,tabela_registros[DIA],maitotal30597183[[#Headers],[19]],tabela_registros[REGISTRO],DADOS!$N$4,tabela_registros[TIPO],DADOS!$P$3,tabela_registros[CATEGORIA],despesafixaconsolidadomai[[#This Row],[DESPESA FIXA]])</f>
        <v>0</v>
      </c>
      <c r="X50" s="99">
        <f>SUMIFS(tabela_registros[VALOR],tabela_registros[MÊS],$AE$1,tabela_registros[DIA],maitotal30597183[[#Headers],[20]],tabela_registros[REGISTRO],DADOS!$N$4,tabela_registros[TIPO],DADOS!$P$3,tabela_registros[CATEGORIA],despesafixaconsolidadomai[[#This Row],[DESPESA FIXA]])</f>
        <v>0</v>
      </c>
      <c r="Y50" s="99">
        <f>SUMIFS(tabela_registros[VALOR],tabela_registros[MÊS],$AE$1,tabela_registros[DIA],maitotal30597183[[#Headers],[21]],tabela_registros[REGISTRO],DADOS!$N$4,tabela_registros[TIPO],DADOS!$P$3,tabela_registros[CATEGORIA],despesafixaconsolidadomai[[#This Row],[DESPESA FIXA]])</f>
        <v>0</v>
      </c>
      <c r="Z50" s="99">
        <f>SUMIFS(tabela_registros[VALOR],tabela_registros[MÊS],$AE$1,tabela_registros[DIA],maitotal30597183[[#Headers],[22]],tabela_registros[REGISTRO],DADOS!$N$4,tabela_registros[TIPO],DADOS!$P$3,tabela_registros[CATEGORIA],despesafixaconsolidadomai[[#This Row],[DESPESA FIXA]])</f>
        <v>0</v>
      </c>
      <c r="AA50" s="99">
        <f>SUMIFS(tabela_registros[VALOR],tabela_registros[MÊS],$AE$1,tabela_registros[DIA],maitotal30597183[[#Headers],[23]],tabela_registros[REGISTRO],DADOS!$N$4,tabela_registros[TIPO],DADOS!$P$3,tabela_registros[CATEGORIA],despesafixaconsolidadomai[[#This Row],[DESPESA FIXA]])</f>
        <v>0</v>
      </c>
      <c r="AB50" s="99">
        <f>SUMIFS(tabela_registros[VALOR],tabela_registros[MÊS],$AE$1,tabela_registros[DIA],maitotal30597183[[#Headers],[24]],tabela_registros[REGISTRO],DADOS!$N$4,tabela_registros[TIPO],DADOS!$P$3,tabela_registros[CATEGORIA],despesafixaconsolidadomai[[#This Row],[DESPESA FIXA]])</f>
        <v>0</v>
      </c>
      <c r="AC50" s="99">
        <f>SUMIFS(tabela_registros[VALOR],tabela_registros[MÊS],$AE$1,tabela_registros[DIA],maitotal30597183[[#Headers],[25]],tabela_registros[REGISTRO],DADOS!$N$4,tabela_registros[TIPO],DADOS!$P$3,tabela_registros[CATEGORIA],despesafixaconsolidadomai[[#This Row],[DESPESA FIXA]])</f>
        <v>0</v>
      </c>
      <c r="AD50" s="99">
        <f>SUMIFS(tabela_registros[VALOR],tabela_registros[MÊS],$AE$1,tabela_registros[DIA],maitotal30597183[[#Headers],[26]],tabela_registros[REGISTRO],DADOS!$N$4,tabela_registros[TIPO],DADOS!$P$3,tabela_registros[CATEGORIA],despesafixaconsolidadomai[[#This Row],[DESPESA FIXA]])</f>
        <v>0</v>
      </c>
      <c r="AE50" s="99">
        <f>SUMIFS(tabela_registros[VALOR],tabela_registros[MÊS],$AE$1,tabela_registros[DIA],maitotal30597183[[#Headers],[27]],tabela_registros[REGISTRO],DADOS!$N$4,tabela_registros[TIPO],DADOS!$P$3,tabela_registros[CATEGORIA],despesafixaconsolidadomai[[#This Row],[DESPESA FIXA]])</f>
        <v>0</v>
      </c>
      <c r="AF50" s="99">
        <f>SUMIFS(tabela_registros[VALOR],tabela_registros[MÊS],$AE$1,tabela_registros[DIA],maitotal30597183[[#Headers],[28]],tabela_registros[REGISTRO],DADOS!$N$4,tabela_registros[TIPO],DADOS!$P$3,tabela_registros[CATEGORIA],despesafixaconsolidadomai[[#This Row],[DESPESA FIXA]])</f>
        <v>0</v>
      </c>
      <c r="AG50" s="99">
        <f>SUMIFS(tabela_registros[VALOR],tabela_registros[MÊS],$AE$1,tabela_registros[DIA],maitotal30597183[[#Headers],[29]],tabela_registros[REGISTRO],DADOS!$N$4,tabela_registros[TIPO],DADOS!$P$3,tabela_registros[CATEGORIA],despesafixaconsolidadomai[[#This Row],[DESPESA FIXA]])</f>
        <v>0</v>
      </c>
      <c r="AH50" s="99">
        <f>SUMIFS(tabela_registros[VALOR],tabela_registros[MÊS],$AE$1,tabela_registros[DIA],maitotal30597183[[#Headers],[30]],tabela_registros[REGISTRO],DADOS!$N$4,tabela_registros[TIPO],DADOS!$P$3,tabela_registros[CATEGORIA],despesafixaconsolidadomai[[#This Row],[DESPESA FIXA]])</f>
        <v>0</v>
      </c>
      <c r="AI50" s="102">
        <f>SUMIFS(tabela_registros[VALOR],tabela_registros[MÊS],$AE$1,tabela_registros[DIA],maitotal30597183[[#Headers],[31]],tabela_registros[REGISTRO],DADOS!$N$4,tabela_registros[TIPO],DADOS!$P$3,tabela_registros[CATEGORIA],despesafixaconsolidadomai[[#This Row],[DESPESA FIXA]])</f>
        <v>0</v>
      </c>
      <c r="AJ50" s="103">
        <f>SUM(despesafixaconsolidadomai[[#This Row],[1]:[31]])</f>
        <v>0</v>
      </c>
      <c r="AK50" s="28"/>
    </row>
    <row r="51" spans="2:37" s="16" customFormat="1" ht="21" customHeight="1" thickTop="1" thickBot="1" x14ac:dyDescent="0.35">
      <c r="B51" s="24"/>
      <c r="C51" s="23" t="s">
        <v>19</v>
      </c>
      <c r="D51" s="41" t="str">
        <f>IF(despesafixaconsolidadomai[[#This Row],[TOTAL]]=0,"",IF(OR(despesafixaconsolidadomai[[#This Row],[TOTAL]]=SMALL($AJ$37:$AJ$50,1),despesafixaconsolidadomai[[#This Row],[TOTAL]]=SMALL($AJ$37:$AJ$50,2),despesafixaconsolidadomai[[#This Row],[TOTAL]]=SMALL($AJ$37:$AJ$50,3),despesafixaconsolidadomai[[#This Row],[TOTAL]]=SMALL($AJ$37:$AJ$50,4),despesafixaconsolidadomai[[#This Row],[TOTAL]]=SMALL($AJ$37:$AJ$50,5)),DADOS!$I$8,""))</f>
        <v/>
      </c>
      <c r="E51" s="21">
        <f>SUM(E37:E50)</f>
        <v>0</v>
      </c>
      <c r="F51" s="20">
        <f>SUM(F37:F50)+despesafixaconsolidadomai[[#This Row],[1]]</f>
        <v>0</v>
      </c>
      <c r="G51" s="20">
        <f>SUM(G37:G50)+despesafixaconsolidadomai[[#This Row],[2]]</f>
        <v>0</v>
      </c>
      <c r="H51" s="20">
        <f>SUM(H37:H50)+despesafixaconsolidadomai[[#This Row],[3]]</f>
        <v>0</v>
      </c>
      <c r="I51" s="20">
        <f>SUM(I37:I50)+despesafixaconsolidadomai[[#This Row],[4]]</f>
        <v>0</v>
      </c>
      <c r="J51" s="20">
        <f>SUM(J37:J50)+despesafixaconsolidadomai[[#This Row],[5]]</f>
        <v>0</v>
      </c>
      <c r="K51" s="20">
        <f>SUM(K37:K50)+despesafixaconsolidadomai[[#This Row],[6]]</f>
        <v>0</v>
      </c>
      <c r="L51" s="20">
        <f>SUM(L37:L50)+despesafixaconsolidadomai[[#This Row],[7]]</f>
        <v>0</v>
      </c>
      <c r="M51" s="20">
        <f>SUM(M37:M50)+despesafixaconsolidadomai[[#This Row],[8]]</f>
        <v>0</v>
      </c>
      <c r="N51" s="20">
        <f>SUM(N37:N50)+despesafixaconsolidadomai[[#This Row],[9]]</f>
        <v>0</v>
      </c>
      <c r="O51" s="20">
        <f>SUM(O37:O50)+despesafixaconsolidadomai[[#This Row],[10]]</f>
        <v>0</v>
      </c>
      <c r="P51" s="20">
        <f>SUM(P37:P50)+despesafixaconsolidadomai[[#This Row],[11]]</f>
        <v>0</v>
      </c>
      <c r="Q51" s="20">
        <f>SUM(Q37:Q50)+despesafixaconsolidadomai[[#This Row],[12]]</f>
        <v>0</v>
      </c>
      <c r="R51" s="20">
        <f>SUM(R37:R50)+despesafixaconsolidadomai[[#This Row],[13]]</f>
        <v>0</v>
      </c>
      <c r="S51" s="20">
        <f>SUM(S37:S50)+despesafixaconsolidadomai[[#This Row],[14]]</f>
        <v>0</v>
      </c>
      <c r="T51" s="20">
        <f>SUM(T37:T50)+despesafixaconsolidadomai[[#This Row],[15]]</f>
        <v>0</v>
      </c>
      <c r="U51" s="20">
        <f>SUM(U37:U50)+despesafixaconsolidadomai[[#This Row],[16]]</f>
        <v>0</v>
      </c>
      <c r="V51" s="20">
        <f>SUM(V37:V50)+despesafixaconsolidadomai[[#This Row],[17]]</f>
        <v>0</v>
      </c>
      <c r="W51" s="20">
        <f>SUM(W37:W50)+despesafixaconsolidadomai[[#This Row],[18]]</f>
        <v>0</v>
      </c>
      <c r="X51" s="20">
        <f>SUM(X37:X50)+despesafixaconsolidadomai[[#This Row],[19]]</f>
        <v>0</v>
      </c>
      <c r="Y51" s="20">
        <f>SUM(Y37:Y50)+despesafixaconsolidadomai[[#This Row],[20]]</f>
        <v>0</v>
      </c>
      <c r="Z51" s="20">
        <f>SUM(Z37:Z50)+despesafixaconsolidadomai[[#This Row],[21]]</f>
        <v>0</v>
      </c>
      <c r="AA51" s="20">
        <f>SUM(AA37:AA50)+despesafixaconsolidadomai[[#This Row],[22]]</f>
        <v>0</v>
      </c>
      <c r="AB51" s="20">
        <f>SUM(AB37:AB50)+despesafixaconsolidadomai[[#This Row],[23]]</f>
        <v>0</v>
      </c>
      <c r="AC51" s="20">
        <f>SUM(AC37:AC50)+despesafixaconsolidadomai[[#This Row],[24]]</f>
        <v>0</v>
      </c>
      <c r="AD51" s="20">
        <f>SUM(AD37:AD50)+despesafixaconsolidadomai[[#This Row],[25]]</f>
        <v>0</v>
      </c>
      <c r="AE51" s="20">
        <f>SUM(AE37:AE50)+despesafixaconsolidadomai[[#This Row],[26]]</f>
        <v>0</v>
      </c>
      <c r="AF51" s="20">
        <f>SUM(AF37:AF50)+despesafixaconsolidadomai[[#This Row],[27]]</f>
        <v>0</v>
      </c>
      <c r="AG51" s="20">
        <f>SUM(AG37:AG50)+despesafixaconsolidadomai[[#This Row],[28]]</f>
        <v>0</v>
      </c>
      <c r="AH51" s="20">
        <f>SUM(AH37:AH50)+despesafixaconsolidadomai[[#This Row],[29]]</f>
        <v>0</v>
      </c>
      <c r="AI51" s="19">
        <f>SUM(AI37:AI50)+despesafixaconsolidadomai[[#This Row],[30]]</f>
        <v>0</v>
      </c>
      <c r="AJ51" s="18">
        <f>despesafixaconsolidadomai[[#This Row],[31]]</f>
        <v>0</v>
      </c>
      <c r="AK51" s="17"/>
    </row>
    <row r="52" spans="2:37" ht="6.75" customHeight="1" thickTop="1" thickBot="1" x14ac:dyDescent="0.3">
      <c r="B52" s="15"/>
      <c r="C52" s="40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39"/>
      <c r="AG52" s="39"/>
      <c r="AH52" s="39"/>
      <c r="AI52" s="48"/>
      <c r="AJ52" s="15"/>
      <c r="AK52" s="10"/>
    </row>
    <row r="53" spans="2:37" ht="12.6" thickTop="1" x14ac:dyDescent="0.25">
      <c r="C53" s="46"/>
      <c r="D53" s="47"/>
      <c r="E53" s="47"/>
      <c r="F53" s="47"/>
      <c r="G53" s="47"/>
      <c r="H53" s="47"/>
      <c r="I53" s="47"/>
      <c r="J53" s="47"/>
      <c r="K53" s="47"/>
      <c r="L53" s="47"/>
      <c r="M53" s="47"/>
      <c r="N53" s="47"/>
      <c r="O53" s="47"/>
      <c r="P53" s="47"/>
      <c r="Q53" s="47"/>
      <c r="R53" s="47"/>
      <c r="S53" s="47"/>
      <c r="T53" s="47"/>
      <c r="U53" s="47"/>
      <c r="V53" s="47"/>
      <c r="W53" s="47"/>
      <c r="X53" s="47"/>
      <c r="Y53" s="47"/>
      <c r="Z53" s="47"/>
      <c r="AA53" s="47"/>
      <c r="AB53" s="47"/>
      <c r="AC53" s="47"/>
      <c r="AD53" s="47"/>
      <c r="AE53" s="47"/>
      <c r="AF53" s="47"/>
      <c r="AG53" s="47"/>
      <c r="AH53" s="47"/>
      <c r="AI53" s="47"/>
      <c r="AK53" s="37"/>
    </row>
    <row r="54" spans="2:37" x14ac:dyDescent="0.25">
      <c r="C54" s="46"/>
      <c r="D54" s="47"/>
      <c r="E54" s="47"/>
      <c r="F54" s="47"/>
      <c r="G54" s="47"/>
      <c r="H54" s="47"/>
      <c r="I54" s="47"/>
      <c r="J54" s="47"/>
      <c r="K54" s="47"/>
      <c r="L54" s="47"/>
      <c r="M54" s="47"/>
      <c r="N54" s="47"/>
      <c r="O54" s="47"/>
      <c r="P54" s="47"/>
      <c r="Q54" s="47"/>
      <c r="R54" s="47"/>
      <c r="S54" s="47"/>
      <c r="T54" s="47"/>
      <c r="U54" s="47"/>
      <c r="V54" s="47"/>
      <c r="W54" s="47"/>
      <c r="X54" s="47"/>
      <c r="Y54" s="47"/>
      <c r="Z54" s="47"/>
      <c r="AA54" s="47"/>
      <c r="AB54" s="47"/>
      <c r="AC54" s="47"/>
      <c r="AD54" s="47"/>
      <c r="AE54" s="47"/>
      <c r="AF54" s="47"/>
      <c r="AG54" s="47"/>
      <c r="AH54" s="47"/>
      <c r="AI54" s="47"/>
    </row>
    <row r="55" spans="2:37" x14ac:dyDescent="0.25">
      <c r="C55" s="46"/>
      <c r="D55" s="47"/>
      <c r="E55" s="47"/>
      <c r="F55" s="47"/>
      <c r="G55" s="47"/>
      <c r="H55" s="47"/>
      <c r="I55" s="47"/>
      <c r="J55" s="47"/>
      <c r="K55" s="47"/>
      <c r="L55" s="47"/>
      <c r="M55" s="47"/>
      <c r="N55" s="47"/>
      <c r="O55" s="47"/>
      <c r="P55" s="47"/>
      <c r="Q55" s="47"/>
      <c r="R55" s="47"/>
      <c r="S55" s="47"/>
      <c r="T55" s="47"/>
      <c r="U55" s="47"/>
      <c r="V55" s="47"/>
      <c r="W55" s="47"/>
      <c r="X55" s="47"/>
      <c r="Y55" s="47"/>
      <c r="Z55" s="47"/>
      <c r="AA55" s="47"/>
      <c r="AB55" s="47"/>
      <c r="AC55" s="47"/>
      <c r="AD55" s="47"/>
      <c r="AE55" s="47"/>
      <c r="AF55" s="47"/>
      <c r="AG55" s="47"/>
      <c r="AH55" s="47"/>
      <c r="AI55" s="47"/>
    </row>
    <row r="56" spans="2:37" ht="39.75" customHeight="1" x14ac:dyDescent="0.25">
      <c r="C56" s="46"/>
      <c r="E56" s="240"/>
      <c r="F56" s="240"/>
      <c r="G56" s="240"/>
      <c r="H56" s="240"/>
      <c r="I56" s="240"/>
      <c r="J56" s="240"/>
      <c r="K56" s="240"/>
      <c r="L56" s="240"/>
      <c r="M56" s="240"/>
      <c r="N56" s="240"/>
      <c r="O56" s="240"/>
      <c r="P56" s="240"/>
      <c r="Q56" s="240"/>
      <c r="R56" s="240"/>
      <c r="S56" s="240"/>
      <c r="T56" s="240"/>
      <c r="U56" s="240"/>
      <c r="V56" s="240"/>
      <c r="W56" s="240"/>
      <c r="X56" s="240"/>
      <c r="Y56" s="240"/>
      <c r="Z56" s="240"/>
      <c r="AA56" s="240"/>
      <c r="AB56" s="240"/>
      <c r="AC56" s="240"/>
      <c r="AD56" s="240"/>
      <c r="AE56" s="240"/>
      <c r="AF56" s="240"/>
      <c r="AG56" s="240"/>
      <c r="AH56" s="240"/>
      <c r="AI56" s="240"/>
      <c r="AJ56" s="32" t="s">
        <v>19</v>
      </c>
    </row>
    <row r="57" spans="2:37" ht="11.25" customHeight="1" thickBot="1" x14ac:dyDescent="0.75">
      <c r="C57" s="36"/>
      <c r="AI57" s="4"/>
      <c r="AJ57" s="34" t="s">
        <v>202</v>
      </c>
    </row>
    <row r="58" spans="2:37" ht="6.75" customHeight="1" thickTop="1" thickBot="1" x14ac:dyDescent="0.3">
      <c r="B58" s="33"/>
      <c r="C58" s="45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44"/>
      <c r="AH58" s="44"/>
      <c r="AI58" s="44"/>
      <c r="AJ58" s="43"/>
      <c r="AK58" s="33"/>
    </row>
    <row r="59" spans="2:37" ht="12.6" hidden="1" thickBot="1" x14ac:dyDescent="0.3">
      <c r="B59" s="2"/>
      <c r="C59" s="31" t="s">
        <v>116</v>
      </c>
      <c r="D59" s="30" t="s">
        <v>198</v>
      </c>
      <c r="E59" s="30" t="s">
        <v>197</v>
      </c>
      <c r="F59" s="30" t="s">
        <v>196</v>
      </c>
      <c r="G59" s="30" t="s">
        <v>195</v>
      </c>
      <c r="H59" s="30" t="s">
        <v>194</v>
      </c>
      <c r="I59" s="30" t="s">
        <v>193</v>
      </c>
      <c r="J59" s="30" t="s">
        <v>192</v>
      </c>
      <c r="K59" s="30" t="s">
        <v>191</v>
      </c>
      <c r="L59" s="30" t="s">
        <v>190</v>
      </c>
      <c r="M59" s="30" t="s">
        <v>189</v>
      </c>
      <c r="N59" s="30" t="s">
        <v>188</v>
      </c>
      <c r="O59" s="30" t="s">
        <v>187</v>
      </c>
      <c r="P59" s="30" t="s">
        <v>186</v>
      </c>
      <c r="Q59" s="30" t="s">
        <v>185</v>
      </c>
      <c r="R59" s="30" t="s">
        <v>184</v>
      </c>
      <c r="S59" s="30" t="s">
        <v>183</v>
      </c>
      <c r="T59" s="30" t="s">
        <v>182</v>
      </c>
      <c r="U59" s="30" t="s">
        <v>181</v>
      </c>
      <c r="V59" s="30" t="s">
        <v>180</v>
      </c>
      <c r="W59" s="30" t="s">
        <v>179</v>
      </c>
      <c r="X59" s="30" t="s">
        <v>178</v>
      </c>
      <c r="Y59" s="30" t="s">
        <v>177</v>
      </c>
      <c r="Z59" s="30" t="s">
        <v>176</v>
      </c>
      <c r="AA59" s="30" t="s">
        <v>175</v>
      </c>
      <c r="AB59" s="30" t="s">
        <v>174</v>
      </c>
      <c r="AC59" s="30" t="s">
        <v>173</v>
      </c>
      <c r="AD59" s="30" t="s">
        <v>172</v>
      </c>
      <c r="AE59" s="30" t="s">
        <v>171</v>
      </c>
      <c r="AF59" s="30" t="s">
        <v>170</v>
      </c>
      <c r="AG59" s="30" t="s">
        <v>169</v>
      </c>
      <c r="AH59" s="30" t="s">
        <v>168</v>
      </c>
      <c r="AI59" s="30" t="s">
        <v>167</v>
      </c>
      <c r="AJ59" s="42" t="s">
        <v>19</v>
      </c>
      <c r="AK59" s="2" t="s">
        <v>203</v>
      </c>
    </row>
    <row r="60" spans="2:37" ht="19.5" customHeight="1" thickTop="1" thickBot="1" x14ac:dyDescent="0.3">
      <c r="B60" s="28"/>
      <c r="C60" s="27" t="str">
        <f>DADOS!$T$3</f>
        <v>🍕 ALIMENTAÇÃO</v>
      </c>
      <c r="D60" s="26" t="str">
        <f>IF(despesavariávelconsolidadomai[[#This Row],[TOTAL]]=0,"",IF(OR(despesavariávelconsolidadomai[[#This Row],[TOTAL]]=LARGE($AJ$60:$AJ$72,1),despesavariávelconsolidadomai[[#This Row],[TOTAL]]=LARGE($AJ$60:$AJ$72,2),despesavariávelconsolidadomai[[#This Row],[TOTAL]]=LARGE($AJ$60:$AJ$72,3),despesavariávelconsolidadomai[[#This Row],[TOTAL]]=LARGE($AJ$60:$AJ$72,4),despesavariávelconsolidadomai[[#This Row],[TOTAL]]=LARGE($AJ$60:$AJ$72,5)),DADOS!$I$8,""))</f>
        <v/>
      </c>
      <c r="E60" s="94">
        <f>SUMIFS(tabela_registros[VALOR],tabela_registros[MÊS],$AE$1,tabela_registros[DIA],maitotal30597183[[#Headers],[1]],tabela_registros[REGISTRO],DADOS!$N$4,tabela_registros[TIPO],DADOS!$P$4,tabela_registros[CATEGORIA],despesavariávelconsolidadomai[[#This Row],[DESPESA VARIÁVEL]])</f>
        <v>0</v>
      </c>
      <c r="F60" s="88">
        <f>SUMIFS(tabela_registros[VALOR],tabela_registros[MÊS],$AE$1,tabela_registros[DIA],maitotal30597183[[#Headers],[2]],tabela_registros[REGISTRO],DADOS!$N$4,tabela_registros[TIPO],DADOS!$P$4,tabela_registros[CATEGORIA],despesavariávelconsolidadomai[[#This Row],[DESPESA VARIÁVEL]])</f>
        <v>0</v>
      </c>
      <c r="G60" s="88">
        <f>SUMIFS(tabela_registros[VALOR],tabela_registros[MÊS],$AE$1,tabela_registros[DIA],maitotal30597183[[#Headers],[3]],tabela_registros[REGISTRO],DADOS!$N$4,tabela_registros[TIPO],DADOS!$P$4,tabela_registros[CATEGORIA],despesavariávelconsolidadomai[[#This Row],[DESPESA VARIÁVEL]])</f>
        <v>0</v>
      </c>
      <c r="H60" s="88">
        <f>SUMIFS(tabela_registros[VALOR],tabela_registros[MÊS],$AE$1,tabela_registros[DIA],maitotal30597183[[#Headers],[4]],tabela_registros[REGISTRO],DADOS!$N$4,tabela_registros[TIPO],DADOS!$P$4,tabela_registros[CATEGORIA],despesavariávelconsolidadomai[[#This Row],[DESPESA VARIÁVEL]])</f>
        <v>0</v>
      </c>
      <c r="I60" s="88">
        <f>SUMIFS(tabela_registros[VALOR],tabela_registros[MÊS],$AE$1,tabela_registros[DIA],maitotal30597183[[#Headers],[5]],tabela_registros[REGISTRO],DADOS!$N$4,tabela_registros[TIPO],DADOS!$P$4,tabela_registros[CATEGORIA],despesavariávelconsolidadomai[[#This Row],[DESPESA VARIÁVEL]])</f>
        <v>0</v>
      </c>
      <c r="J60" s="88">
        <f>SUMIFS(tabela_registros[VALOR],tabela_registros[MÊS],$AE$1,tabela_registros[DIA],maitotal30597183[[#Headers],[6]],tabela_registros[REGISTRO],DADOS!$N$4,tabela_registros[TIPO],DADOS!$P$4,tabela_registros[CATEGORIA],despesavariávelconsolidadomai[[#This Row],[DESPESA VARIÁVEL]])</f>
        <v>0</v>
      </c>
      <c r="K60" s="88">
        <f>SUMIFS(tabela_registros[VALOR],tabela_registros[MÊS],$AE$1,tabela_registros[DIA],maitotal30597183[[#Headers],[7]],tabela_registros[REGISTRO],DADOS!$N$4,tabela_registros[TIPO],DADOS!$P$4,tabela_registros[CATEGORIA],despesavariávelconsolidadomai[[#This Row],[DESPESA VARIÁVEL]])</f>
        <v>0</v>
      </c>
      <c r="L60" s="88">
        <f>SUMIFS(tabela_registros[VALOR],tabela_registros[MÊS],$AE$1,tabela_registros[DIA],maitotal30597183[[#Headers],[8]],tabela_registros[REGISTRO],DADOS!$N$4,tabela_registros[TIPO],DADOS!$P$4,tabela_registros[CATEGORIA],despesavariávelconsolidadomai[[#This Row],[DESPESA VARIÁVEL]])</f>
        <v>0</v>
      </c>
      <c r="M60" s="88">
        <f>SUMIFS(tabela_registros[VALOR],tabela_registros[MÊS],$AE$1,tabela_registros[DIA],maitotal30597183[[#Headers],[9]],tabela_registros[REGISTRO],DADOS!$N$4,tabela_registros[TIPO],DADOS!$P$4,tabela_registros[CATEGORIA],despesavariávelconsolidadomai[[#This Row],[DESPESA VARIÁVEL]])</f>
        <v>0</v>
      </c>
      <c r="N60" s="88">
        <f>SUMIFS(tabela_registros[VALOR],tabela_registros[MÊS],$AE$1,tabela_registros[DIA],maitotal30597183[[#Headers],[10]],tabela_registros[REGISTRO],DADOS!$N$4,tabela_registros[TIPO],DADOS!$P$4,tabela_registros[CATEGORIA],despesavariávelconsolidadomai[[#This Row],[DESPESA VARIÁVEL]])</f>
        <v>0</v>
      </c>
      <c r="O60" s="88">
        <f>SUMIFS(tabela_registros[VALOR],tabela_registros[MÊS],$AE$1,tabela_registros[DIA],maitotal30597183[[#Headers],[11]],tabela_registros[REGISTRO],DADOS!$N$4,tabela_registros[TIPO],DADOS!$P$4,tabela_registros[CATEGORIA],despesavariávelconsolidadomai[[#This Row],[DESPESA VARIÁVEL]])</f>
        <v>0</v>
      </c>
      <c r="P60" s="88">
        <f>SUMIFS(tabela_registros[VALOR],tabela_registros[MÊS],$AE$1,tabela_registros[DIA],maitotal30597183[[#Headers],[12]],tabela_registros[REGISTRO],DADOS!$N$4,tabela_registros[TIPO],DADOS!$P$4,tabela_registros[CATEGORIA],despesavariávelconsolidadomai[[#This Row],[DESPESA VARIÁVEL]])</f>
        <v>0</v>
      </c>
      <c r="Q60" s="88">
        <f>SUMIFS(tabela_registros[VALOR],tabela_registros[MÊS],$AE$1,tabela_registros[DIA],maitotal30597183[[#Headers],[13]],tabela_registros[REGISTRO],DADOS!$N$4,tabela_registros[TIPO],DADOS!$P$4,tabela_registros[CATEGORIA],despesavariávelconsolidadomai[[#This Row],[DESPESA VARIÁVEL]])</f>
        <v>0</v>
      </c>
      <c r="R60" s="88">
        <f>SUMIFS(tabela_registros[VALOR],tabela_registros[MÊS],$AE$1,tabela_registros[DIA],maitotal30597183[[#Headers],[14]],tabela_registros[REGISTRO],DADOS!$N$4,tabela_registros[TIPO],DADOS!$P$4,tabela_registros[CATEGORIA],despesavariávelconsolidadomai[[#This Row],[DESPESA VARIÁVEL]])</f>
        <v>0</v>
      </c>
      <c r="S60" s="88">
        <f>SUMIFS(tabela_registros[VALOR],tabela_registros[MÊS],$AE$1,tabela_registros[DIA],maitotal30597183[[#Headers],[15]],tabela_registros[REGISTRO],DADOS!$N$4,tabela_registros[TIPO],DADOS!$P$4,tabela_registros[CATEGORIA],despesavariávelconsolidadomai[[#This Row],[DESPESA VARIÁVEL]])</f>
        <v>0</v>
      </c>
      <c r="T60" s="88">
        <f>SUMIFS(tabela_registros[VALOR],tabela_registros[MÊS],$AE$1,tabela_registros[DIA],maitotal30597183[[#Headers],[16]],tabela_registros[REGISTRO],DADOS!$N$4,tabela_registros[TIPO],DADOS!$P$4,tabela_registros[CATEGORIA],despesavariávelconsolidadomai[[#This Row],[DESPESA VARIÁVEL]])</f>
        <v>0</v>
      </c>
      <c r="U60" s="88">
        <f>SUMIFS(tabela_registros[VALOR],tabela_registros[MÊS],$AE$1,tabela_registros[DIA],maitotal30597183[[#Headers],[17]],tabela_registros[REGISTRO],DADOS!$N$4,tabela_registros[TIPO],DADOS!$P$4,tabela_registros[CATEGORIA],despesavariávelconsolidadomai[[#This Row],[DESPESA VARIÁVEL]])</f>
        <v>0</v>
      </c>
      <c r="V60" s="88">
        <f>SUMIFS(tabela_registros[VALOR],tabela_registros[MÊS],$AE$1,tabela_registros[DIA],maitotal30597183[[#Headers],[18]],tabela_registros[REGISTRO],DADOS!$N$4,tabela_registros[TIPO],DADOS!$P$4,tabela_registros[CATEGORIA],despesavariávelconsolidadomai[[#This Row],[DESPESA VARIÁVEL]])</f>
        <v>0</v>
      </c>
      <c r="W60" s="88">
        <f>SUMIFS(tabela_registros[VALOR],tabela_registros[MÊS],$AE$1,tabela_registros[DIA],maitotal30597183[[#Headers],[19]],tabela_registros[REGISTRO],DADOS!$N$4,tabela_registros[TIPO],DADOS!$P$4,tabela_registros[CATEGORIA],despesavariávelconsolidadomai[[#This Row],[DESPESA VARIÁVEL]])</f>
        <v>0</v>
      </c>
      <c r="X60" s="88">
        <f>SUMIFS(tabela_registros[VALOR],tabela_registros[MÊS],$AE$1,tabela_registros[DIA],maitotal30597183[[#Headers],[20]],tabela_registros[REGISTRO],DADOS!$N$4,tabela_registros[TIPO],DADOS!$P$4,tabela_registros[CATEGORIA],despesavariávelconsolidadomai[[#This Row],[DESPESA VARIÁVEL]])</f>
        <v>0</v>
      </c>
      <c r="Y60" s="88">
        <f>SUMIFS(tabela_registros[VALOR],tabela_registros[MÊS],$AE$1,tabela_registros[DIA],maitotal30597183[[#Headers],[21]],tabela_registros[REGISTRO],DADOS!$N$4,tabela_registros[TIPO],DADOS!$P$4,tabela_registros[CATEGORIA],despesavariávelconsolidadomai[[#This Row],[DESPESA VARIÁVEL]])</f>
        <v>0</v>
      </c>
      <c r="Z60" s="88">
        <f>SUMIFS(tabela_registros[VALOR],tabela_registros[MÊS],$AE$1,tabela_registros[DIA],maitotal30597183[[#Headers],[22]],tabela_registros[REGISTRO],DADOS!$N$4,tabela_registros[TIPO],DADOS!$P$4,tabela_registros[CATEGORIA],despesavariávelconsolidadomai[[#This Row],[DESPESA VARIÁVEL]])</f>
        <v>0</v>
      </c>
      <c r="AA60" s="88">
        <f>SUMIFS(tabela_registros[VALOR],tabela_registros[MÊS],$AE$1,tabela_registros[DIA],maitotal30597183[[#Headers],[23]],tabela_registros[REGISTRO],DADOS!$N$4,tabela_registros[TIPO],DADOS!$P$4,tabela_registros[CATEGORIA],despesavariávelconsolidadomai[[#This Row],[DESPESA VARIÁVEL]])</f>
        <v>0</v>
      </c>
      <c r="AB60" s="88">
        <f>SUMIFS(tabela_registros[VALOR],tabela_registros[MÊS],$AE$1,tabela_registros[DIA],maitotal30597183[[#Headers],[24]],tabela_registros[REGISTRO],DADOS!$N$4,tabela_registros[TIPO],DADOS!$P$4,tabela_registros[CATEGORIA],despesavariávelconsolidadomai[[#This Row],[DESPESA VARIÁVEL]])</f>
        <v>0</v>
      </c>
      <c r="AC60" s="88">
        <f>SUMIFS(tabela_registros[VALOR],tabela_registros[MÊS],$AE$1,tabela_registros[DIA],maitotal30597183[[#Headers],[25]],tabela_registros[REGISTRO],DADOS!$N$4,tabela_registros[TIPO],DADOS!$P$4,tabela_registros[CATEGORIA],despesavariávelconsolidadomai[[#This Row],[DESPESA VARIÁVEL]])</f>
        <v>0</v>
      </c>
      <c r="AD60" s="88">
        <f>SUMIFS(tabela_registros[VALOR],tabela_registros[MÊS],$AE$1,tabela_registros[DIA],maitotal30597183[[#Headers],[26]],tabela_registros[REGISTRO],DADOS!$N$4,tabela_registros[TIPO],DADOS!$P$4,tabela_registros[CATEGORIA],despesavariávelconsolidadomai[[#This Row],[DESPESA VARIÁVEL]])</f>
        <v>0</v>
      </c>
      <c r="AE60" s="88">
        <f>SUMIFS(tabela_registros[VALOR],tabela_registros[MÊS],$AE$1,tabela_registros[DIA],maitotal30597183[[#Headers],[27]],tabela_registros[REGISTRO],DADOS!$N$4,tabela_registros[TIPO],DADOS!$P$4,tabela_registros[CATEGORIA],despesavariávelconsolidadomai[[#This Row],[DESPESA VARIÁVEL]])</f>
        <v>0</v>
      </c>
      <c r="AF60" s="88">
        <f>SUMIFS(tabela_registros[VALOR],tabela_registros[MÊS],$AE$1,tabela_registros[DIA],maitotal30597183[[#Headers],[28]],tabela_registros[REGISTRO],DADOS!$N$4,tabela_registros[TIPO],DADOS!$P$4,tabela_registros[CATEGORIA],despesavariávelconsolidadomai[[#This Row],[DESPESA VARIÁVEL]])</f>
        <v>0</v>
      </c>
      <c r="AG60" s="88">
        <f>SUMIFS(tabela_registros[VALOR],tabela_registros[MÊS],$AE$1,tabela_registros[DIA],maitotal30597183[[#Headers],[29]],tabela_registros[REGISTRO],DADOS!$N$4,tabela_registros[TIPO],DADOS!$P$4,tabela_registros[CATEGORIA],despesavariávelconsolidadomai[[#This Row],[DESPESA VARIÁVEL]])</f>
        <v>0</v>
      </c>
      <c r="AH60" s="88">
        <f>SUMIFS(tabela_registros[VALOR],tabela_registros[MÊS],$AE$1,tabela_registros[DIA],maitotal30597183[[#Headers],[30]],tabela_registros[REGISTRO],DADOS!$N$4,tabela_registros[TIPO],DADOS!$P$4,tabela_registros[CATEGORIA],despesavariávelconsolidadomai[[#This Row],[DESPESA VARIÁVEL]])</f>
        <v>0</v>
      </c>
      <c r="AI60" s="100">
        <f>SUMIFS(tabela_registros[VALOR],tabela_registros[MÊS],$AE$1,tabela_registros[DIA],maitotal30597183[[#Headers],[31]],tabela_registros[REGISTRO],DADOS!$N$4,tabela_registros[TIPO],DADOS!$P$4,tabela_registros[CATEGORIA],despesavariávelconsolidadomai[[#This Row],[DESPESA VARIÁVEL]])</f>
        <v>0</v>
      </c>
      <c r="AJ60" s="95">
        <f>SUM(despesavariávelconsolidadomai[[#This Row],[1]:[31]])</f>
        <v>0</v>
      </c>
      <c r="AK60" s="28"/>
    </row>
    <row r="61" spans="2:37" ht="18" customHeight="1" thickTop="1" thickBot="1" x14ac:dyDescent="0.3">
      <c r="B61" s="28"/>
      <c r="C61" s="27" t="str">
        <f>DADOS!$T$4</f>
        <v>💳 CARTÃO DE CRÉDITO</v>
      </c>
      <c r="D61" s="26" t="str">
        <f>IF(despesavariávelconsolidadomai[[#This Row],[TOTAL]]=0,"",IF(OR(despesavariávelconsolidadomai[[#This Row],[TOTAL]]=LARGE($AJ$60:$AJ$72,1),despesavariávelconsolidadomai[[#This Row],[TOTAL]]=LARGE($AJ$60:$AJ$72,2),despesavariávelconsolidadomai[[#This Row],[TOTAL]]=LARGE($AJ$60:$AJ$72,3),despesavariávelconsolidadomai[[#This Row],[TOTAL]]=LARGE($AJ$60:$AJ$72,4),despesavariávelconsolidadomai[[#This Row],[TOTAL]]=LARGE($AJ$60:$AJ$72,5)),DADOS!$I$8,""))</f>
        <v/>
      </c>
      <c r="E61" s="96">
        <f>SUMIFS(tabela_registros[VALOR],tabela_registros[MÊS],$AE$1,tabela_registros[DIA],maitotal30597183[[#Headers],[1]],tabela_registros[REGISTRO],DADOS!$N$4,tabela_registros[TIPO],DADOS!$P$4,tabela_registros[CATEGORIA],despesavariávelconsolidadomai[[#This Row],[DESPESA VARIÁVEL]])</f>
        <v>0</v>
      </c>
      <c r="F61" s="91">
        <f>SUMIFS(tabela_registros[VALOR],tabela_registros[MÊS],$AE$1,tabela_registros[DIA],maitotal30597183[[#Headers],[2]],tabela_registros[REGISTRO],DADOS!$N$4,tabela_registros[TIPO],DADOS!$P$4,tabela_registros[CATEGORIA],despesavariávelconsolidadomai[[#This Row],[DESPESA VARIÁVEL]])</f>
        <v>0</v>
      </c>
      <c r="G61" s="91">
        <f>SUMIFS(tabela_registros[VALOR],tabela_registros[MÊS],$AE$1,tabela_registros[DIA],maitotal30597183[[#Headers],[3]],tabela_registros[REGISTRO],DADOS!$N$4,tabela_registros[TIPO],DADOS!$P$4,tabela_registros[CATEGORIA],despesavariávelconsolidadomai[[#This Row],[DESPESA VARIÁVEL]])</f>
        <v>0</v>
      </c>
      <c r="H61" s="91">
        <f>SUMIFS(tabela_registros[VALOR],tabela_registros[MÊS],$AE$1,tabela_registros[DIA],maitotal30597183[[#Headers],[4]],tabela_registros[REGISTRO],DADOS!$N$4,tabela_registros[TIPO],DADOS!$P$4,tabela_registros[CATEGORIA],despesavariávelconsolidadomai[[#This Row],[DESPESA VARIÁVEL]])</f>
        <v>0</v>
      </c>
      <c r="I61" s="91">
        <f>SUMIFS(tabela_registros[VALOR],tabela_registros[MÊS],$AE$1,tabela_registros[DIA],maitotal30597183[[#Headers],[5]],tabela_registros[REGISTRO],DADOS!$N$4,tabela_registros[TIPO],DADOS!$P$4,tabela_registros[CATEGORIA],despesavariávelconsolidadomai[[#This Row],[DESPESA VARIÁVEL]])</f>
        <v>0</v>
      </c>
      <c r="J61" s="91">
        <f>SUMIFS(tabela_registros[VALOR],tabela_registros[MÊS],$AE$1,tabela_registros[DIA],maitotal30597183[[#Headers],[6]],tabela_registros[REGISTRO],DADOS!$N$4,tabela_registros[TIPO],DADOS!$P$4,tabela_registros[CATEGORIA],despesavariávelconsolidadomai[[#This Row],[DESPESA VARIÁVEL]])</f>
        <v>0</v>
      </c>
      <c r="K61" s="91">
        <f>SUMIFS(tabela_registros[VALOR],tabela_registros[MÊS],$AE$1,tabela_registros[DIA],maitotal30597183[[#Headers],[7]],tabela_registros[REGISTRO],DADOS!$N$4,tabela_registros[TIPO],DADOS!$P$4,tabela_registros[CATEGORIA],despesavariávelconsolidadomai[[#This Row],[DESPESA VARIÁVEL]])</f>
        <v>0</v>
      </c>
      <c r="L61" s="91">
        <f>SUMIFS(tabela_registros[VALOR],tabela_registros[MÊS],$AE$1,tabela_registros[DIA],maitotal30597183[[#Headers],[8]],tabela_registros[REGISTRO],DADOS!$N$4,tabela_registros[TIPO],DADOS!$P$4,tabela_registros[CATEGORIA],despesavariávelconsolidadomai[[#This Row],[DESPESA VARIÁVEL]])</f>
        <v>0</v>
      </c>
      <c r="M61" s="91">
        <f>SUMIFS(tabela_registros[VALOR],tabela_registros[MÊS],$AE$1,tabela_registros[DIA],maitotal30597183[[#Headers],[9]],tabela_registros[REGISTRO],DADOS!$N$4,tabela_registros[TIPO],DADOS!$P$4,tabela_registros[CATEGORIA],despesavariávelconsolidadomai[[#This Row],[DESPESA VARIÁVEL]])</f>
        <v>0</v>
      </c>
      <c r="N61" s="91">
        <f>SUMIFS(tabela_registros[VALOR],tabela_registros[MÊS],$AE$1,tabela_registros[DIA],maitotal30597183[[#Headers],[10]],tabela_registros[REGISTRO],DADOS!$N$4,tabela_registros[TIPO],DADOS!$P$4,tabela_registros[CATEGORIA],despesavariávelconsolidadomai[[#This Row],[DESPESA VARIÁVEL]])</f>
        <v>0</v>
      </c>
      <c r="O61" s="91">
        <f>SUMIFS(tabela_registros[VALOR],tabela_registros[MÊS],$AE$1,tabela_registros[DIA],maitotal30597183[[#Headers],[11]],tabela_registros[REGISTRO],DADOS!$N$4,tabela_registros[TIPO],DADOS!$P$4,tabela_registros[CATEGORIA],despesavariávelconsolidadomai[[#This Row],[DESPESA VARIÁVEL]])</f>
        <v>0</v>
      </c>
      <c r="P61" s="91">
        <f>SUMIFS(tabela_registros[VALOR],tabela_registros[MÊS],$AE$1,tabela_registros[DIA],maitotal30597183[[#Headers],[12]],tabela_registros[REGISTRO],DADOS!$N$4,tabela_registros[TIPO],DADOS!$P$4,tabela_registros[CATEGORIA],despesavariávelconsolidadomai[[#This Row],[DESPESA VARIÁVEL]])</f>
        <v>0</v>
      </c>
      <c r="Q61" s="91">
        <f>SUMIFS(tabela_registros[VALOR],tabela_registros[MÊS],$AE$1,tabela_registros[DIA],maitotal30597183[[#Headers],[13]],tabela_registros[REGISTRO],DADOS!$N$4,tabela_registros[TIPO],DADOS!$P$4,tabela_registros[CATEGORIA],despesavariávelconsolidadomai[[#This Row],[DESPESA VARIÁVEL]])</f>
        <v>0</v>
      </c>
      <c r="R61" s="91">
        <f>SUMIFS(tabela_registros[VALOR],tabela_registros[MÊS],$AE$1,tabela_registros[DIA],maitotal30597183[[#Headers],[14]],tabela_registros[REGISTRO],DADOS!$N$4,tabela_registros[TIPO],DADOS!$P$4,tabela_registros[CATEGORIA],despesavariávelconsolidadomai[[#This Row],[DESPESA VARIÁVEL]])</f>
        <v>0</v>
      </c>
      <c r="S61" s="91">
        <f>SUMIFS(tabela_registros[VALOR],tabela_registros[MÊS],$AE$1,tabela_registros[DIA],maitotal30597183[[#Headers],[15]],tabela_registros[REGISTRO],DADOS!$N$4,tabela_registros[TIPO],DADOS!$P$4,tabela_registros[CATEGORIA],despesavariávelconsolidadomai[[#This Row],[DESPESA VARIÁVEL]])</f>
        <v>0</v>
      </c>
      <c r="T61" s="91">
        <f>SUMIFS(tabela_registros[VALOR],tabela_registros[MÊS],$AE$1,tabela_registros[DIA],maitotal30597183[[#Headers],[16]],tabela_registros[REGISTRO],DADOS!$N$4,tabela_registros[TIPO],DADOS!$P$4,tabela_registros[CATEGORIA],despesavariávelconsolidadomai[[#This Row],[DESPESA VARIÁVEL]])</f>
        <v>0</v>
      </c>
      <c r="U61" s="91">
        <f>SUMIFS(tabela_registros[VALOR],tabela_registros[MÊS],$AE$1,tabela_registros[DIA],maitotal30597183[[#Headers],[17]],tabela_registros[REGISTRO],DADOS!$N$4,tabela_registros[TIPO],DADOS!$P$4,tabela_registros[CATEGORIA],despesavariávelconsolidadomai[[#This Row],[DESPESA VARIÁVEL]])</f>
        <v>0</v>
      </c>
      <c r="V61" s="91">
        <f>SUMIFS(tabela_registros[VALOR],tabela_registros[MÊS],$AE$1,tabela_registros[DIA],maitotal30597183[[#Headers],[18]],tabela_registros[REGISTRO],DADOS!$N$4,tabela_registros[TIPO],DADOS!$P$4,tabela_registros[CATEGORIA],despesavariávelconsolidadomai[[#This Row],[DESPESA VARIÁVEL]])</f>
        <v>0</v>
      </c>
      <c r="W61" s="91">
        <f>SUMIFS(tabela_registros[VALOR],tabela_registros[MÊS],$AE$1,tabela_registros[DIA],maitotal30597183[[#Headers],[19]],tabela_registros[REGISTRO],DADOS!$N$4,tabela_registros[TIPO],DADOS!$P$4,tabela_registros[CATEGORIA],despesavariávelconsolidadomai[[#This Row],[DESPESA VARIÁVEL]])</f>
        <v>0</v>
      </c>
      <c r="X61" s="91">
        <f>SUMIFS(tabela_registros[VALOR],tabela_registros[MÊS],$AE$1,tabela_registros[DIA],maitotal30597183[[#Headers],[20]],tabela_registros[REGISTRO],DADOS!$N$4,tabela_registros[TIPO],DADOS!$P$4,tabela_registros[CATEGORIA],despesavariávelconsolidadomai[[#This Row],[DESPESA VARIÁVEL]])</f>
        <v>0</v>
      </c>
      <c r="Y61" s="91">
        <f>SUMIFS(tabela_registros[VALOR],tabela_registros[MÊS],$AE$1,tabela_registros[DIA],maitotal30597183[[#Headers],[21]],tabela_registros[REGISTRO],DADOS!$N$4,tabela_registros[TIPO],DADOS!$P$4,tabela_registros[CATEGORIA],despesavariávelconsolidadomai[[#This Row],[DESPESA VARIÁVEL]])</f>
        <v>0</v>
      </c>
      <c r="Z61" s="91">
        <f>SUMIFS(tabela_registros[VALOR],tabela_registros[MÊS],$AE$1,tabela_registros[DIA],maitotal30597183[[#Headers],[22]],tabela_registros[REGISTRO],DADOS!$N$4,tabela_registros[TIPO],DADOS!$P$4,tabela_registros[CATEGORIA],despesavariávelconsolidadomai[[#This Row],[DESPESA VARIÁVEL]])</f>
        <v>0</v>
      </c>
      <c r="AA61" s="91">
        <f>SUMIFS(tabela_registros[VALOR],tabela_registros[MÊS],$AE$1,tabela_registros[DIA],maitotal30597183[[#Headers],[23]],tabela_registros[REGISTRO],DADOS!$N$4,tabela_registros[TIPO],DADOS!$P$4,tabela_registros[CATEGORIA],despesavariávelconsolidadomai[[#This Row],[DESPESA VARIÁVEL]])</f>
        <v>0</v>
      </c>
      <c r="AB61" s="91">
        <f>SUMIFS(tabela_registros[VALOR],tabela_registros[MÊS],$AE$1,tabela_registros[DIA],maitotal30597183[[#Headers],[24]],tabela_registros[REGISTRO],DADOS!$N$4,tabela_registros[TIPO],DADOS!$P$4,tabela_registros[CATEGORIA],despesavariávelconsolidadomai[[#This Row],[DESPESA VARIÁVEL]])</f>
        <v>0</v>
      </c>
      <c r="AC61" s="91">
        <f>SUMIFS(tabela_registros[VALOR],tabela_registros[MÊS],$AE$1,tabela_registros[DIA],maitotal30597183[[#Headers],[25]],tabela_registros[REGISTRO],DADOS!$N$4,tabela_registros[TIPO],DADOS!$P$4,tabela_registros[CATEGORIA],despesavariávelconsolidadomai[[#This Row],[DESPESA VARIÁVEL]])</f>
        <v>0</v>
      </c>
      <c r="AD61" s="91">
        <f>SUMIFS(tabela_registros[VALOR],tabela_registros[MÊS],$AE$1,tabela_registros[DIA],maitotal30597183[[#Headers],[26]],tabela_registros[REGISTRO],DADOS!$N$4,tabela_registros[TIPO],DADOS!$P$4,tabela_registros[CATEGORIA],despesavariávelconsolidadomai[[#This Row],[DESPESA VARIÁVEL]])</f>
        <v>0</v>
      </c>
      <c r="AE61" s="91">
        <f>SUMIFS(tabela_registros[VALOR],tabela_registros[MÊS],$AE$1,tabela_registros[DIA],maitotal30597183[[#Headers],[27]],tabela_registros[REGISTRO],DADOS!$N$4,tabela_registros[TIPO],DADOS!$P$4,tabela_registros[CATEGORIA],despesavariávelconsolidadomai[[#This Row],[DESPESA VARIÁVEL]])</f>
        <v>0</v>
      </c>
      <c r="AF61" s="91">
        <f>SUMIFS(tabela_registros[VALOR],tabela_registros[MÊS],$AE$1,tabela_registros[DIA],maitotal30597183[[#Headers],[28]],tabela_registros[REGISTRO],DADOS!$N$4,tabela_registros[TIPO],DADOS!$P$4,tabela_registros[CATEGORIA],despesavariávelconsolidadomai[[#This Row],[DESPESA VARIÁVEL]])</f>
        <v>0</v>
      </c>
      <c r="AG61" s="91">
        <f>SUMIFS(tabela_registros[VALOR],tabela_registros[MÊS],$AE$1,tabela_registros[DIA],maitotal30597183[[#Headers],[29]],tabela_registros[REGISTRO],DADOS!$N$4,tabela_registros[TIPO],DADOS!$P$4,tabela_registros[CATEGORIA],despesavariávelconsolidadomai[[#This Row],[DESPESA VARIÁVEL]])</f>
        <v>0</v>
      </c>
      <c r="AH61" s="91">
        <f>SUMIFS(tabela_registros[VALOR],tabela_registros[MÊS],$AE$1,tabela_registros[DIA],maitotal30597183[[#Headers],[30]],tabela_registros[REGISTRO],DADOS!$N$4,tabela_registros[TIPO],DADOS!$P$4,tabela_registros[CATEGORIA],despesavariávelconsolidadomai[[#This Row],[DESPESA VARIÁVEL]])</f>
        <v>0</v>
      </c>
      <c r="AI61" s="101">
        <f>SUMIFS(tabela_registros[VALOR],tabela_registros[MÊS],$AE$1,tabela_registros[DIA],maitotal30597183[[#Headers],[31]],tabela_registros[REGISTRO],DADOS!$N$4,tabela_registros[TIPO],DADOS!$P$4,tabela_registros[CATEGORIA],despesavariávelconsolidadomai[[#This Row],[DESPESA VARIÁVEL]])</f>
        <v>0</v>
      </c>
      <c r="AJ61" s="97">
        <f>SUM(despesavariávelconsolidadomai[[#This Row],[1]:[31]])</f>
        <v>0</v>
      </c>
      <c r="AK61" s="28"/>
    </row>
    <row r="62" spans="2:37" ht="18" customHeight="1" thickTop="1" thickBot="1" x14ac:dyDescent="0.3">
      <c r="B62" s="28"/>
      <c r="C62" s="27" t="str">
        <f>DADOS!$T$5</f>
        <v>✍️ CHEQUE ESPECIAL</v>
      </c>
      <c r="D62" s="26" t="str">
        <f>IF(despesavariávelconsolidadomai[[#This Row],[TOTAL]]=0,"",IF(OR(despesavariávelconsolidadomai[[#This Row],[TOTAL]]=LARGE($AJ$60:$AJ$72,1),despesavariávelconsolidadomai[[#This Row],[TOTAL]]=LARGE($AJ$60:$AJ$72,2),despesavariávelconsolidadomai[[#This Row],[TOTAL]]=LARGE($AJ$60:$AJ$72,3),despesavariávelconsolidadomai[[#This Row],[TOTAL]]=LARGE($AJ$60:$AJ$72,4),despesavariávelconsolidadomai[[#This Row],[TOTAL]]=LARGE($AJ$60:$AJ$72,5)),DADOS!$I$8,""))</f>
        <v/>
      </c>
      <c r="E62" s="96">
        <f>SUMIFS(tabela_registros[VALOR],tabela_registros[MÊS],$AE$1,tabela_registros[DIA],maitotal30597183[[#Headers],[1]],tabela_registros[REGISTRO],DADOS!$N$4,tabela_registros[TIPO],DADOS!$P$4,tabela_registros[CATEGORIA],despesavariávelconsolidadomai[[#This Row],[DESPESA VARIÁVEL]])</f>
        <v>0</v>
      </c>
      <c r="F62" s="91">
        <f>SUMIFS(tabela_registros[VALOR],tabela_registros[MÊS],$AE$1,tabela_registros[DIA],maitotal30597183[[#Headers],[2]],tabela_registros[REGISTRO],DADOS!$N$4,tabela_registros[TIPO],DADOS!$P$4,tabela_registros[CATEGORIA],despesavariávelconsolidadomai[[#This Row],[DESPESA VARIÁVEL]])</f>
        <v>0</v>
      </c>
      <c r="G62" s="91">
        <f>SUMIFS(tabela_registros[VALOR],tabela_registros[MÊS],$AE$1,tabela_registros[DIA],maitotal30597183[[#Headers],[3]],tabela_registros[REGISTRO],DADOS!$N$4,tabela_registros[TIPO],DADOS!$P$4,tabela_registros[CATEGORIA],despesavariávelconsolidadomai[[#This Row],[DESPESA VARIÁVEL]])</f>
        <v>0</v>
      </c>
      <c r="H62" s="91">
        <f>SUMIFS(tabela_registros[VALOR],tabela_registros[MÊS],$AE$1,tabela_registros[DIA],maitotal30597183[[#Headers],[4]],tabela_registros[REGISTRO],DADOS!$N$4,tabela_registros[TIPO],DADOS!$P$4,tabela_registros[CATEGORIA],despesavariávelconsolidadomai[[#This Row],[DESPESA VARIÁVEL]])</f>
        <v>0</v>
      </c>
      <c r="I62" s="91">
        <f>SUMIFS(tabela_registros[VALOR],tabela_registros[MÊS],$AE$1,tabela_registros[DIA],maitotal30597183[[#Headers],[5]],tabela_registros[REGISTRO],DADOS!$N$4,tabela_registros[TIPO],DADOS!$P$4,tabela_registros[CATEGORIA],despesavariávelconsolidadomai[[#This Row],[DESPESA VARIÁVEL]])</f>
        <v>0</v>
      </c>
      <c r="J62" s="91">
        <f>SUMIFS(tabela_registros[VALOR],tabela_registros[MÊS],$AE$1,tabela_registros[DIA],maitotal30597183[[#Headers],[6]],tabela_registros[REGISTRO],DADOS!$N$4,tabela_registros[TIPO],DADOS!$P$4,tabela_registros[CATEGORIA],despesavariávelconsolidadomai[[#This Row],[DESPESA VARIÁVEL]])</f>
        <v>0</v>
      </c>
      <c r="K62" s="91">
        <f>SUMIFS(tabela_registros[VALOR],tabela_registros[MÊS],$AE$1,tabela_registros[DIA],maitotal30597183[[#Headers],[7]],tabela_registros[REGISTRO],DADOS!$N$4,tabela_registros[TIPO],DADOS!$P$4,tabela_registros[CATEGORIA],despesavariávelconsolidadomai[[#This Row],[DESPESA VARIÁVEL]])</f>
        <v>0</v>
      </c>
      <c r="L62" s="91">
        <f>SUMIFS(tabela_registros[VALOR],tabela_registros[MÊS],$AE$1,tabela_registros[DIA],maitotal30597183[[#Headers],[8]],tabela_registros[REGISTRO],DADOS!$N$4,tabela_registros[TIPO],DADOS!$P$4,tabela_registros[CATEGORIA],despesavariávelconsolidadomai[[#This Row],[DESPESA VARIÁVEL]])</f>
        <v>0</v>
      </c>
      <c r="M62" s="91">
        <f>SUMIFS(tabela_registros[VALOR],tabela_registros[MÊS],$AE$1,tabela_registros[DIA],maitotal30597183[[#Headers],[9]],tabela_registros[REGISTRO],DADOS!$N$4,tabela_registros[TIPO],DADOS!$P$4,tabela_registros[CATEGORIA],despesavariávelconsolidadomai[[#This Row],[DESPESA VARIÁVEL]])</f>
        <v>0</v>
      </c>
      <c r="N62" s="91">
        <f>SUMIFS(tabela_registros[VALOR],tabela_registros[MÊS],$AE$1,tabela_registros[DIA],maitotal30597183[[#Headers],[10]],tabela_registros[REGISTRO],DADOS!$N$4,tabela_registros[TIPO],DADOS!$P$4,tabela_registros[CATEGORIA],despesavariávelconsolidadomai[[#This Row],[DESPESA VARIÁVEL]])</f>
        <v>0</v>
      </c>
      <c r="O62" s="91">
        <f>SUMIFS(tabela_registros[VALOR],tabela_registros[MÊS],$AE$1,tabela_registros[DIA],maitotal30597183[[#Headers],[11]],tabela_registros[REGISTRO],DADOS!$N$4,tabela_registros[TIPO],DADOS!$P$4,tabela_registros[CATEGORIA],despesavariávelconsolidadomai[[#This Row],[DESPESA VARIÁVEL]])</f>
        <v>0</v>
      </c>
      <c r="P62" s="91">
        <f>SUMIFS(tabela_registros[VALOR],tabela_registros[MÊS],$AE$1,tabela_registros[DIA],maitotal30597183[[#Headers],[12]],tabela_registros[REGISTRO],DADOS!$N$4,tabela_registros[TIPO],DADOS!$P$4,tabela_registros[CATEGORIA],despesavariávelconsolidadomai[[#This Row],[DESPESA VARIÁVEL]])</f>
        <v>0</v>
      </c>
      <c r="Q62" s="91">
        <f>SUMIFS(tabela_registros[VALOR],tabela_registros[MÊS],$AE$1,tabela_registros[DIA],maitotal30597183[[#Headers],[13]],tabela_registros[REGISTRO],DADOS!$N$4,tabela_registros[TIPO],DADOS!$P$4,tabela_registros[CATEGORIA],despesavariávelconsolidadomai[[#This Row],[DESPESA VARIÁVEL]])</f>
        <v>0</v>
      </c>
      <c r="R62" s="91">
        <f>SUMIFS(tabela_registros[VALOR],tabela_registros[MÊS],$AE$1,tabela_registros[DIA],maitotal30597183[[#Headers],[14]],tabela_registros[REGISTRO],DADOS!$N$4,tabela_registros[TIPO],DADOS!$P$4,tabela_registros[CATEGORIA],despesavariávelconsolidadomai[[#This Row],[DESPESA VARIÁVEL]])</f>
        <v>0</v>
      </c>
      <c r="S62" s="91">
        <f>SUMIFS(tabela_registros[VALOR],tabela_registros[MÊS],$AE$1,tabela_registros[DIA],maitotal30597183[[#Headers],[15]],tabela_registros[REGISTRO],DADOS!$N$4,tabela_registros[TIPO],DADOS!$P$4,tabela_registros[CATEGORIA],despesavariávelconsolidadomai[[#This Row],[DESPESA VARIÁVEL]])</f>
        <v>0</v>
      </c>
      <c r="T62" s="91">
        <f>SUMIFS(tabela_registros[VALOR],tabela_registros[MÊS],$AE$1,tabela_registros[DIA],maitotal30597183[[#Headers],[16]],tabela_registros[REGISTRO],DADOS!$N$4,tabela_registros[TIPO],DADOS!$P$4,tabela_registros[CATEGORIA],despesavariávelconsolidadomai[[#This Row],[DESPESA VARIÁVEL]])</f>
        <v>0</v>
      </c>
      <c r="U62" s="91">
        <f>SUMIFS(tabela_registros[VALOR],tabela_registros[MÊS],$AE$1,tabela_registros[DIA],maitotal30597183[[#Headers],[17]],tabela_registros[REGISTRO],DADOS!$N$4,tabela_registros[TIPO],DADOS!$P$4,tabela_registros[CATEGORIA],despesavariávelconsolidadomai[[#This Row],[DESPESA VARIÁVEL]])</f>
        <v>0</v>
      </c>
      <c r="V62" s="91">
        <f>SUMIFS(tabela_registros[VALOR],tabela_registros[MÊS],$AE$1,tabela_registros[DIA],maitotal30597183[[#Headers],[18]],tabela_registros[REGISTRO],DADOS!$N$4,tabela_registros[TIPO],DADOS!$P$4,tabela_registros[CATEGORIA],despesavariávelconsolidadomai[[#This Row],[DESPESA VARIÁVEL]])</f>
        <v>0</v>
      </c>
      <c r="W62" s="91">
        <f>SUMIFS(tabela_registros[VALOR],tabela_registros[MÊS],$AE$1,tabela_registros[DIA],maitotal30597183[[#Headers],[19]],tabela_registros[REGISTRO],DADOS!$N$4,tabela_registros[TIPO],DADOS!$P$4,tabela_registros[CATEGORIA],despesavariávelconsolidadomai[[#This Row],[DESPESA VARIÁVEL]])</f>
        <v>0</v>
      </c>
      <c r="X62" s="91">
        <f>SUMIFS(tabela_registros[VALOR],tabela_registros[MÊS],$AE$1,tabela_registros[DIA],maitotal30597183[[#Headers],[20]],tabela_registros[REGISTRO],DADOS!$N$4,tabela_registros[TIPO],DADOS!$P$4,tabela_registros[CATEGORIA],despesavariávelconsolidadomai[[#This Row],[DESPESA VARIÁVEL]])</f>
        <v>0</v>
      </c>
      <c r="Y62" s="91">
        <f>SUMIFS(tabela_registros[VALOR],tabela_registros[MÊS],$AE$1,tabela_registros[DIA],maitotal30597183[[#Headers],[21]],tabela_registros[REGISTRO],DADOS!$N$4,tabela_registros[TIPO],DADOS!$P$4,tabela_registros[CATEGORIA],despesavariávelconsolidadomai[[#This Row],[DESPESA VARIÁVEL]])</f>
        <v>0</v>
      </c>
      <c r="Z62" s="91">
        <f>SUMIFS(tabela_registros[VALOR],tabela_registros[MÊS],$AE$1,tabela_registros[DIA],maitotal30597183[[#Headers],[22]],tabela_registros[REGISTRO],DADOS!$N$4,tabela_registros[TIPO],DADOS!$P$4,tabela_registros[CATEGORIA],despesavariávelconsolidadomai[[#This Row],[DESPESA VARIÁVEL]])</f>
        <v>0</v>
      </c>
      <c r="AA62" s="91">
        <f>SUMIFS(tabela_registros[VALOR],tabela_registros[MÊS],$AE$1,tabela_registros[DIA],maitotal30597183[[#Headers],[23]],tabela_registros[REGISTRO],DADOS!$N$4,tabela_registros[TIPO],DADOS!$P$4,tabela_registros[CATEGORIA],despesavariávelconsolidadomai[[#This Row],[DESPESA VARIÁVEL]])</f>
        <v>0</v>
      </c>
      <c r="AB62" s="91">
        <f>SUMIFS(tabela_registros[VALOR],tabela_registros[MÊS],$AE$1,tabela_registros[DIA],maitotal30597183[[#Headers],[24]],tabela_registros[REGISTRO],DADOS!$N$4,tabela_registros[TIPO],DADOS!$P$4,tabela_registros[CATEGORIA],despesavariávelconsolidadomai[[#This Row],[DESPESA VARIÁVEL]])</f>
        <v>0</v>
      </c>
      <c r="AC62" s="91">
        <f>SUMIFS(tabela_registros[VALOR],tabela_registros[MÊS],$AE$1,tabela_registros[DIA],maitotal30597183[[#Headers],[25]],tabela_registros[REGISTRO],DADOS!$N$4,tabela_registros[TIPO],DADOS!$P$4,tabela_registros[CATEGORIA],despesavariávelconsolidadomai[[#This Row],[DESPESA VARIÁVEL]])</f>
        <v>0</v>
      </c>
      <c r="AD62" s="91">
        <f>SUMIFS(tabela_registros[VALOR],tabela_registros[MÊS],$AE$1,tabela_registros[DIA],maitotal30597183[[#Headers],[26]],tabela_registros[REGISTRO],DADOS!$N$4,tabela_registros[TIPO],DADOS!$P$4,tabela_registros[CATEGORIA],despesavariávelconsolidadomai[[#This Row],[DESPESA VARIÁVEL]])</f>
        <v>0</v>
      </c>
      <c r="AE62" s="91">
        <f>SUMIFS(tabela_registros[VALOR],tabela_registros[MÊS],$AE$1,tabela_registros[DIA],maitotal30597183[[#Headers],[27]],tabela_registros[REGISTRO],DADOS!$N$4,tabela_registros[TIPO],DADOS!$P$4,tabela_registros[CATEGORIA],despesavariávelconsolidadomai[[#This Row],[DESPESA VARIÁVEL]])</f>
        <v>0</v>
      </c>
      <c r="AF62" s="91">
        <f>SUMIFS(tabela_registros[VALOR],tabela_registros[MÊS],$AE$1,tabela_registros[DIA],maitotal30597183[[#Headers],[28]],tabela_registros[REGISTRO],DADOS!$N$4,tabela_registros[TIPO],DADOS!$P$4,tabela_registros[CATEGORIA],despesavariávelconsolidadomai[[#This Row],[DESPESA VARIÁVEL]])</f>
        <v>0</v>
      </c>
      <c r="AG62" s="91">
        <f>SUMIFS(tabela_registros[VALOR],tabela_registros[MÊS],$AE$1,tabela_registros[DIA],maitotal30597183[[#Headers],[29]],tabela_registros[REGISTRO],DADOS!$N$4,tabela_registros[TIPO],DADOS!$P$4,tabela_registros[CATEGORIA],despesavariávelconsolidadomai[[#This Row],[DESPESA VARIÁVEL]])</f>
        <v>0</v>
      </c>
      <c r="AH62" s="91">
        <f>SUMIFS(tabela_registros[VALOR],tabela_registros[MÊS],$AE$1,tabela_registros[DIA],maitotal30597183[[#Headers],[30]],tabela_registros[REGISTRO],DADOS!$N$4,tabela_registros[TIPO],DADOS!$P$4,tabela_registros[CATEGORIA],despesavariávelconsolidadomai[[#This Row],[DESPESA VARIÁVEL]])</f>
        <v>0</v>
      </c>
      <c r="AI62" s="101">
        <f>SUMIFS(tabela_registros[VALOR],tabela_registros[MÊS],$AE$1,tabela_registros[DIA],maitotal30597183[[#Headers],[31]],tabela_registros[REGISTRO],DADOS!$N$4,tabela_registros[TIPO],DADOS!$P$4,tabela_registros[CATEGORIA],despesavariávelconsolidadomai[[#This Row],[DESPESA VARIÁVEL]])</f>
        <v>0</v>
      </c>
      <c r="AJ62" s="97">
        <f>SUM(despesavariávelconsolidadomai[[#This Row],[1]:[31]])</f>
        <v>0</v>
      </c>
      <c r="AK62" s="28"/>
    </row>
    <row r="63" spans="2:37" ht="18" customHeight="1" thickTop="1" thickBot="1" x14ac:dyDescent="0.3">
      <c r="B63" s="28"/>
      <c r="C63" s="27" t="str">
        <f>DADOS!$T$6</f>
        <v>💄 CUIDADOS PESSOAIS</v>
      </c>
      <c r="D63" s="26" t="str">
        <f>IF(despesavariávelconsolidadomai[[#This Row],[TOTAL]]=0,"",IF(OR(despesavariávelconsolidadomai[[#This Row],[TOTAL]]=LARGE($AJ$60:$AJ$72,1),despesavariávelconsolidadomai[[#This Row],[TOTAL]]=LARGE($AJ$60:$AJ$72,2),despesavariávelconsolidadomai[[#This Row],[TOTAL]]=LARGE($AJ$60:$AJ$72,3),despesavariávelconsolidadomai[[#This Row],[TOTAL]]=LARGE($AJ$60:$AJ$72,4),despesavariávelconsolidadomai[[#This Row],[TOTAL]]=LARGE($AJ$60:$AJ$72,5)),DADOS!$I$8,""))</f>
        <v/>
      </c>
      <c r="E63" s="96">
        <f>SUMIFS(tabela_registros[VALOR],tabela_registros[MÊS],$AE$1,tabela_registros[DIA],maitotal30597183[[#Headers],[1]],tabela_registros[REGISTRO],DADOS!$N$4,tabela_registros[TIPO],DADOS!$P$4,tabela_registros[CATEGORIA],despesavariávelconsolidadomai[[#This Row],[DESPESA VARIÁVEL]])</f>
        <v>0</v>
      </c>
      <c r="F63" s="91">
        <f>SUMIFS(tabela_registros[VALOR],tabela_registros[MÊS],$AE$1,tabela_registros[DIA],maitotal30597183[[#Headers],[2]],tabela_registros[REGISTRO],DADOS!$N$4,tabela_registros[TIPO],DADOS!$P$4,tabela_registros[CATEGORIA],despesavariávelconsolidadomai[[#This Row],[DESPESA VARIÁVEL]])</f>
        <v>0</v>
      </c>
      <c r="G63" s="91">
        <f>SUMIFS(tabela_registros[VALOR],tabela_registros[MÊS],$AE$1,tabela_registros[DIA],maitotal30597183[[#Headers],[3]],tabela_registros[REGISTRO],DADOS!$N$4,tabela_registros[TIPO],DADOS!$P$4,tabela_registros[CATEGORIA],despesavariávelconsolidadomai[[#This Row],[DESPESA VARIÁVEL]])</f>
        <v>0</v>
      </c>
      <c r="H63" s="91">
        <f>SUMIFS(tabela_registros[VALOR],tabela_registros[MÊS],$AE$1,tabela_registros[DIA],maitotal30597183[[#Headers],[4]],tabela_registros[REGISTRO],DADOS!$N$4,tabela_registros[TIPO],DADOS!$P$4,tabela_registros[CATEGORIA],despesavariávelconsolidadomai[[#This Row],[DESPESA VARIÁVEL]])</f>
        <v>0</v>
      </c>
      <c r="I63" s="91">
        <f>SUMIFS(tabela_registros[VALOR],tabela_registros[MÊS],$AE$1,tabela_registros[DIA],maitotal30597183[[#Headers],[5]],tabela_registros[REGISTRO],DADOS!$N$4,tabela_registros[TIPO],DADOS!$P$4,tabela_registros[CATEGORIA],despesavariávelconsolidadomai[[#This Row],[DESPESA VARIÁVEL]])</f>
        <v>0</v>
      </c>
      <c r="J63" s="91">
        <f>SUMIFS(tabela_registros[VALOR],tabela_registros[MÊS],$AE$1,tabela_registros[DIA],maitotal30597183[[#Headers],[6]],tabela_registros[REGISTRO],DADOS!$N$4,tabela_registros[TIPO],DADOS!$P$4,tabela_registros[CATEGORIA],despesavariávelconsolidadomai[[#This Row],[DESPESA VARIÁVEL]])</f>
        <v>0</v>
      </c>
      <c r="K63" s="91">
        <f>SUMIFS(tabela_registros[VALOR],tabela_registros[MÊS],$AE$1,tabela_registros[DIA],maitotal30597183[[#Headers],[7]],tabela_registros[REGISTRO],DADOS!$N$4,tabela_registros[TIPO],DADOS!$P$4,tabela_registros[CATEGORIA],despesavariávelconsolidadomai[[#This Row],[DESPESA VARIÁVEL]])</f>
        <v>0</v>
      </c>
      <c r="L63" s="91">
        <f>SUMIFS(tabela_registros[VALOR],tabela_registros[MÊS],$AE$1,tabela_registros[DIA],maitotal30597183[[#Headers],[8]],tabela_registros[REGISTRO],DADOS!$N$4,tabela_registros[TIPO],DADOS!$P$4,tabela_registros[CATEGORIA],despesavariávelconsolidadomai[[#This Row],[DESPESA VARIÁVEL]])</f>
        <v>0</v>
      </c>
      <c r="M63" s="91">
        <f>SUMIFS(tabela_registros[VALOR],tabela_registros[MÊS],$AE$1,tabela_registros[DIA],maitotal30597183[[#Headers],[9]],tabela_registros[REGISTRO],DADOS!$N$4,tabela_registros[TIPO],DADOS!$P$4,tabela_registros[CATEGORIA],despesavariávelconsolidadomai[[#This Row],[DESPESA VARIÁVEL]])</f>
        <v>0</v>
      </c>
      <c r="N63" s="91">
        <f>SUMIFS(tabela_registros[VALOR],tabela_registros[MÊS],$AE$1,tabela_registros[DIA],maitotal30597183[[#Headers],[10]],tabela_registros[REGISTRO],DADOS!$N$4,tabela_registros[TIPO],DADOS!$P$4,tabela_registros[CATEGORIA],despesavariávelconsolidadomai[[#This Row],[DESPESA VARIÁVEL]])</f>
        <v>0</v>
      </c>
      <c r="O63" s="91">
        <f>SUMIFS(tabela_registros[VALOR],tabela_registros[MÊS],$AE$1,tabela_registros[DIA],maitotal30597183[[#Headers],[11]],tabela_registros[REGISTRO],DADOS!$N$4,tabela_registros[TIPO],DADOS!$P$4,tabela_registros[CATEGORIA],despesavariávelconsolidadomai[[#This Row],[DESPESA VARIÁVEL]])</f>
        <v>0</v>
      </c>
      <c r="P63" s="91">
        <f>SUMIFS(tabela_registros[VALOR],tabela_registros[MÊS],$AE$1,tabela_registros[DIA],maitotal30597183[[#Headers],[12]],tabela_registros[REGISTRO],DADOS!$N$4,tabela_registros[TIPO],DADOS!$P$4,tabela_registros[CATEGORIA],despesavariávelconsolidadomai[[#This Row],[DESPESA VARIÁVEL]])</f>
        <v>0</v>
      </c>
      <c r="Q63" s="91">
        <f>SUMIFS(tabela_registros[VALOR],tabela_registros[MÊS],$AE$1,tabela_registros[DIA],maitotal30597183[[#Headers],[13]],tabela_registros[REGISTRO],DADOS!$N$4,tabela_registros[TIPO],DADOS!$P$4,tabela_registros[CATEGORIA],despesavariávelconsolidadomai[[#This Row],[DESPESA VARIÁVEL]])</f>
        <v>0</v>
      </c>
      <c r="R63" s="91">
        <f>SUMIFS(tabela_registros[VALOR],tabela_registros[MÊS],$AE$1,tabela_registros[DIA],maitotal30597183[[#Headers],[14]],tabela_registros[REGISTRO],DADOS!$N$4,tabela_registros[TIPO],DADOS!$P$4,tabela_registros[CATEGORIA],despesavariávelconsolidadomai[[#This Row],[DESPESA VARIÁVEL]])</f>
        <v>0</v>
      </c>
      <c r="S63" s="91">
        <f>SUMIFS(tabela_registros[VALOR],tabela_registros[MÊS],$AE$1,tabela_registros[DIA],maitotal30597183[[#Headers],[15]],tabela_registros[REGISTRO],DADOS!$N$4,tabela_registros[TIPO],DADOS!$P$4,tabela_registros[CATEGORIA],despesavariávelconsolidadomai[[#This Row],[DESPESA VARIÁVEL]])</f>
        <v>0</v>
      </c>
      <c r="T63" s="91">
        <f>SUMIFS(tabela_registros[VALOR],tabela_registros[MÊS],$AE$1,tabela_registros[DIA],maitotal30597183[[#Headers],[16]],tabela_registros[REGISTRO],DADOS!$N$4,tabela_registros[TIPO],DADOS!$P$4,tabela_registros[CATEGORIA],despesavariávelconsolidadomai[[#This Row],[DESPESA VARIÁVEL]])</f>
        <v>0</v>
      </c>
      <c r="U63" s="91">
        <f>SUMIFS(tabela_registros[VALOR],tabela_registros[MÊS],$AE$1,tabela_registros[DIA],maitotal30597183[[#Headers],[17]],tabela_registros[REGISTRO],DADOS!$N$4,tabela_registros[TIPO],DADOS!$P$4,tabela_registros[CATEGORIA],despesavariávelconsolidadomai[[#This Row],[DESPESA VARIÁVEL]])</f>
        <v>0</v>
      </c>
      <c r="V63" s="91">
        <f>SUMIFS(tabela_registros[VALOR],tabela_registros[MÊS],$AE$1,tabela_registros[DIA],maitotal30597183[[#Headers],[18]],tabela_registros[REGISTRO],DADOS!$N$4,tabela_registros[TIPO],DADOS!$P$4,tabela_registros[CATEGORIA],despesavariávelconsolidadomai[[#This Row],[DESPESA VARIÁVEL]])</f>
        <v>0</v>
      </c>
      <c r="W63" s="91">
        <f>SUMIFS(tabela_registros[VALOR],tabela_registros[MÊS],$AE$1,tabela_registros[DIA],maitotal30597183[[#Headers],[19]],tabela_registros[REGISTRO],DADOS!$N$4,tabela_registros[TIPO],DADOS!$P$4,tabela_registros[CATEGORIA],despesavariávelconsolidadomai[[#This Row],[DESPESA VARIÁVEL]])</f>
        <v>0</v>
      </c>
      <c r="X63" s="91">
        <f>SUMIFS(tabela_registros[VALOR],tabela_registros[MÊS],$AE$1,tabela_registros[DIA],maitotal30597183[[#Headers],[20]],tabela_registros[REGISTRO],DADOS!$N$4,tabela_registros[TIPO],DADOS!$P$4,tabela_registros[CATEGORIA],despesavariávelconsolidadomai[[#This Row],[DESPESA VARIÁVEL]])</f>
        <v>0</v>
      </c>
      <c r="Y63" s="91">
        <f>SUMIFS(tabela_registros[VALOR],tabela_registros[MÊS],$AE$1,tabela_registros[DIA],maitotal30597183[[#Headers],[21]],tabela_registros[REGISTRO],DADOS!$N$4,tabela_registros[TIPO],DADOS!$P$4,tabela_registros[CATEGORIA],despesavariávelconsolidadomai[[#This Row],[DESPESA VARIÁVEL]])</f>
        <v>0</v>
      </c>
      <c r="Z63" s="91">
        <f>SUMIFS(tabela_registros[VALOR],tabela_registros[MÊS],$AE$1,tabela_registros[DIA],maitotal30597183[[#Headers],[22]],tabela_registros[REGISTRO],DADOS!$N$4,tabela_registros[TIPO],DADOS!$P$4,tabela_registros[CATEGORIA],despesavariávelconsolidadomai[[#This Row],[DESPESA VARIÁVEL]])</f>
        <v>0</v>
      </c>
      <c r="AA63" s="91">
        <f>SUMIFS(tabela_registros[VALOR],tabela_registros[MÊS],$AE$1,tabela_registros[DIA],maitotal30597183[[#Headers],[23]],tabela_registros[REGISTRO],DADOS!$N$4,tabela_registros[TIPO],DADOS!$P$4,tabela_registros[CATEGORIA],despesavariávelconsolidadomai[[#This Row],[DESPESA VARIÁVEL]])</f>
        <v>0</v>
      </c>
      <c r="AB63" s="91">
        <f>SUMIFS(tabela_registros[VALOR],tabela_registros[MÊS],$AE$1,tabela_registros[DIA],maitotal30597183[[#Headers],[24]],tabela_registros[REGISTRO],DADOS!$N$4,tabela_registros[TIPO],DADOS!$P$4,tabela_registros[CATEGORIA],despesavariávelconsolidadomai[[#This Row],[DESPESA VARIÁVEL]])</f>
        <v>0</v>
      </c>
      <c r="AC63" s="91">
        <f>SUMIFS(tabela_registros[VALOR],tabela_registros[MÊS],$AE$1,tabela_registros[DIA],maitotal30597183[[#Headers],[25]],tabela_registros[REGISTRO],DADOS!$N$4,tabela_registros[TIPO],DADOS!$P$4,tabela_registros[CATEGORIA],despesavariávelconsolidadomai[[#This Row],[DESPESA VARIÁVEL]])</f>
        <v>0</v>
      </c>
      <c r="AD63" s="91">
        <f>SUMIFS(tabela_registros[VALOR],tabela_registros[MÊS],$AE$1,tabela_registros[DIA],maitotal30597183[[#Headers],[26]],tabela_registros[REGISTRO],DADOS!$N$4,tabela_registros[TIPO],DADOS!$P$4,tabela_registros[CATEGORIA],despesavariávelconsolidadomai[[#This Row],[DESPESA VARIÁVEL]])</f>
        <v>0</v>
      </c>
      <c r="AE63" s="91">
        <f>SUMIFS(tabela_registros[VALOR],tabela_registros[MÊS],$AE$1,tabela_registros[DIA],maitotal30597183[[#Headers],[27]],tabela_registros[REGISTRO],DADOS!$N$4,tabela_registros[TIPO],DADOS!$P$4,tabela_registros[CATEGORIA],despesavariávelconsolidadomai[[#This Row],[DESPESA VARIÁVEL]])</f>
        <v>0</v>
      </c>
      <c r="AF63" s="91">
        <f>SUMIFS(tabela_registros[VALOR],tabela_registros[MÊS],$AE$1,tabela_registros[DIA],maitotal30597183[[#Headers],[28]],tabela_registros[REGISTRO],DADOS!$N$4,tabela_registros[TIPO],DADOS!$P$4,tabela_registros[CATEGORIA],despesavariávelconsolidadomai[[#This Row],[DESPESA VARIÁVEL]])</f>
        <v>0</v>
      </c>
      <c r="AG63" s="91">
        <f>SUMIFS(tabela_registros[VALOR],tabela_registros[MÊS],$AE$1,tabela_registros[DIA],maitotal30597183[[#Headers],[29]],tabela_registros[REGISTRO],DADOS!$N$4,tabela_registros[TIPO],DADOS!$P$4,tabela_registros[CATEGORIA],despesavariávelconsolidadomai[[#This Row],[DESPESA VARIÁVEL]])</f>
        <v>0</v>
      </c>
      <c r="AH63" s="91">
        <f>SUMIFS(tabela_registros[VALOR],tabela_registros[MÊS],$AE$1,tabela_registros[DIA],maitotal30597183[[#Headers],[30]],tabela_registros[REGISTRO],DADOS!$N$4,tabela_registros[TIPO],DADOS!$P$4,tabela_registros[CATEGORIA],despesavariávelconsolidadomai[[#This Row],[DESPESA VARIÁVEL]])</f>
        <v>0</v>
      </c>
      <c r="AI63" s="101">
        <f>SUMIFS(tabela_registros[VALOR],tabela_registros[MÊS],$AE$1,tabela_registros[DIA],maitotal30597183[[#Headers],[31]],tabela_registros[REGISTRO],DADOS!$N$4,tabela_registros[TIPO],DADOS!$P$4,tabela_registros[CATEGORIA],despesavariávelconsolidadomai[[#This Row],[DESPESA VARIÁVEL]])</f>
        <v>0</v>
      </c>
      <c r="AJ63" s="97">
        <f>SUM(despesavariávelconsolidadomai[[#This Row],[1]:[31]])</f>
        <v>0</v>
      </c>
      <c r="AK63" s="28"/>
    </row>
    <row r="64" spans="2:37" ht="18" customHeight="1" thickTop="1" thickBot="1" x14ac:dyDescent="0.3">
      <c r="B64" s="28"/>
      <c r="C64" s="27" t="str">
        <f>DADOS!$T$7</f>
        <v>🤝 DOAÇÃO</v>
      </c>
      <c r="D64" s="26" t="str">
        <f>IF(despesavariávelconsolidadomai[[#This Row],[TOTAL]]=0,"",IF(OR(despesavariávelconsolidadomai[[#This Row],[TOTAL]]=LARGE($AJ$60:$AJ$72,1),despesavariávelconsolidadomai[[#This Row],[TOTAL]]=LARGE($AJ$60:$AJ$72,2),despesavariávelconsolidadomai[[#This Row],[TOTAL]]=LARGE($AJ$60:$AJ$72,3),despesavariávelconsolidadomai[[#This Row],[TOTAL]]=LARGE($AJ$60:$AJ$72,4),despesavariávelconsolidadomai[[#This Row],[TOTAL]]=LARGE($AJ$60:$AJ$72,5)),DADOS!$I$8,""))</f>
        <v/>
      </c>
      <c r="E64" s="96">
        <f>SUMIFS(tabela_registros[VALOR],tabela_registros[MÊS],$AE$1,tabela_registros[DIA],maitotal30597183[[#Headers],[1]],tabela_registros[REGISTRO],DADOS!$N$4,tabela_registros[TIPO],DADOS!$P$4,tabela_registros[CATEGORIA],despesavariávelconsolidadomai[[#This Row],[DESPESA VARIÁVEL]])</f>
        <v>0</v>
      </c>
      <c r="F64" s="91">
        <f>SUMIFS(tabela_registros[VALOR],tabela_registros[MÊS],$AE$1,tabela_registros[DIA],maitotal30597183[[#Headers],[2]],tabela_registros[REGISTRO],DADOS!$N$4,tabela_registros[TIPO],DADOS!$P$4,tabela_registros[CATEGORIA],despesavariávelconsolidadomai[[#This Row],[DESPESA VARIÁVEL]])</f>
        <v>0</v>
      </c>
      <c r="G64" s="91">
        <f>SUMIFS(tabela_registros[VALOR],tabela_registros[MÊS],$AE$1,tabela_registros[DIA],maitotal30597183[[#Headers],[3]],tabela_registros[REGISTRO],DADOS!$N$4,tabela_registros[TIPO],DADOS!$P$4,tabela_registros[CATEGORIA],despesavariávelconsolidadomai[[#This Row],[DESPESA VARIÁVEL]])</f>
        <v>0</v>
      </c>
      <c r="H64" s="91">
        <f>SUMIFS(tabela_registros[VALOR],tabela_registros[MÊS],$AE$1,tabela_registros[DIA],maitotal30597183[[#Headers],[4]],tabela_registros[REGISTRO],DADOS!$N$4,tabela_registros[TIPO],DADOS!$P$4,tabela_registros[CATEGORIA],despesavariávelconsolidadomai[[#This Row],[DESPESA VARIÁVEL]])</f>
        <v>0</v>
      </c>
      <c r="I64" s="91">
        <f>SUMIFS(tabela_registros[VALOR],tabela_registros[MÊS],$AE$1,tabela_registros[DIA],maitotal30597183[[#Headers],[5]],tabela_registros[REGISTRO],DADOS!$N$4,tabela_registros[TIPO],DADOS!$P$4,tabela_registros[CATEGORIA],despesavariávelconsolidadomai[[#This Row],[DESPESA VARIÁVEL]])</f>
        <v>0</v>
      </c>
      <c r="J64" s="91">
        <f>SUMIFS(tabela_registros[VALOR],tabela_registros[MÊS],$AE$1,tabela_registros[DIA],maitotal30597183[[#Headers],[6]],tabela_registros[REGISTRO],DADOS!$N$4,tabela_registros[TIPO],DADOS!$P$4,tabela_registros[CATEGORIA],despesavariávelconsolidadomai[[#This Row],[DESPESA VARIÁVEL]])</f>
        <v>0</v>
      </c>
      <c r="K64" s="91">
        <f>SUMIFS(tabela_registros[VALOR],tabela_registros[MÊS],$AE$1,tabela_registros[DIA],maitotal30597183[[#Headers],[7]],tabela_registros[REGISTRO],DADOS!$N$4,tabela_registros[TIPO],DADOS!$P$4,tabela_registros[CATEGORIA],despesavariávelconsolidadomai[[#This Row],[DESPESA VARIÁVEL]])</f>
        <v>0</v>
      </c>
      <c r="L64" s="91">
        <f>SUMIFS(tabela_registros[VALOR],tabela_registros[MÊS],$AE$1,tabela_registros[DIA],maitotal30597183[[#Headers],[8]],tabela_registros[REGISTRO],DADOS!$N$4,tabela_registros[TIPO],DADOS!$P$4,tabela_registros[CATEGORIA],despesavariávelconsolidadomai[[#This Row],[DESPESA VARIÁVEL]])</f>
        <v>0</v>
      </c>
      <c r="M64" s="91">
        <f>SUMIFS(tabela_registros[VALOR],tabela_registros[MÊS],$AE$1,tabela_registros[DIA],maitotal30597183[[#Headers],[9]],tabela_registros[REGISTRO],DADOS!$N$4,tabela_registros[TIPO],DADOS!$P$4,tabela_registros[CATEGORIA],despesavariávelconsolidadomai[[#This Row],[DESPESA VARIÁVEL]])</f>
        <v>0</v>
      </c>
      <c r="N64" s="91">
        <f>SUMIFS(tabela_registros[VALOR],tabela_registros[MÊS],$AE$1,tabela_registros[DIA],maitotal30597183[[#Headers],[10]],tabela_registros[REGISTRO],DADOS!$N$4,tabela_registros[TIPO],DADOS!$P$4,tabela_registros[CATEGORIA],despesavariávelconsolidadomai[[#This Row],[DESPESA VARIÁVEL]])</f>
        <v>0</v>
      </c>
      <c r="O64" s="91">
        <f>SUMIFS(tabela_registros[VALOR],tabela_registros[MÊS],$AE$1,tabela_registros[DIA],maitotal30597183[[#Headers],[11]],tabela_registros[REGISTRO],DADOS!$N$4,tabela_registros[TIPO],DADOS!$P$4,tabela_registros[CATEGORIA],despesavariávelconsolidadomai[[#This Row],[DESPESA VARIÁVEL]])</f>
        <v>0</v>
      </c>
      <c r="P64" s="91">
        <f>SUMIFS(tabela_registros[VALOR],tabela_registros[MÊS],$AE$1,tabela_registros[DIA],maitotal30597183[[#Headers],[12]],tabela_registros[REGISTRO],DADOS!$N$4,tabela_registros[TIPO],DADOS!$P$4,tabela_registros[CATEGORIA],despesavariávelconsolidadomai[[#This Row],[DESPESA VARIÁVEL]])</f>
        <v>0</v>
      </c>
      <c r="Q64" s="91">
        <f>SUMIFS(tabela_registros[VALOR],tabela_registros[MÊS],$AE$1,tabela_registros[DIA],maitotal30597183[[#Headers],[13]],tabela_registros[REGISTRO],DADOS!$N$4,tabela_registros[TIPO],DADOS!$P$4,tabela_registros[CATEGORIA],despesavariávelconsolidadomai[[#This Row],[DESPESA VARIÁVEL]])</f>
        <v>0</v>
      </c>
      <c r="R64" s="91">
        <f>SUMIFS(tabela_registros[VALOR],tabela_registros[MÊS],$AE$1,tabela_registros[DIA],maitotal30597183[[#Headers],[14]],tabela_registros[REGISTRO],DADOS!$N$4,tabela_registros[TIPO],DADOS!$P$4,tabela_registros[CATEGORIA],despesavariávelconsolidadomai[[#This Row],[DESPESA VARIÁVEL]])</f>
        <v>0</v>
      </c>
      <c r="S64" s="91">
        <f>SUMIFS(tabela_registros[VALOR],tabela_registros[MÊS],$AE$1,tabela_registros[DIA],maitotal30597183[[#Headers],[15]],tabela_registros[REGISTRO],DADOS!$N$4,tabela_registros[TIPO],DADOS!$P$4,tabela_registros[CATEGORIA],despesavariávelconsolidadomai[[#This Row],[DESPESA VARIÁVEL]])</f>
        <v>0</v>
      </c>
      <c r="T64" s="91">
        <f>SUMIFS(tabela_registros[VALOR],tabela_registros[MÊS],$AE$1,tabela_registros[DIA],maitotal30597183[[#Headers],[16]],tabela_registros[REGISTRO],DADOS!$N$4,tabela_registros[TIPO],DADOS!$P$4,tabela_registros[CATEGORIA],despesavariávelconsolidadomai[[#This Row],[DESPESA VARIÁVEL]])</f>
        <v>0</v>
      </c>
      <c r="U64" s="91">
        <f>SUMIFS(tabela_registros[VALOR],tabela_registros[MÊS],$AE$1,tabela_registros[DIA],maitotal30597183[[#Headers],[17]],tabela_registros[REGISTRO],DADOS!$N$4,tabela_registros[TIPO],DADOS!$P$4,tabela_registros[CATEGORIA],despesavariávelconsolidadomai[[#This Row],[DESPESA VARIÁVEL]])</f>
        <v>0</v>
      </c>
      <c r="V64" s="91">
        <f>SUMIFS(tabela_registros[VALOR],tabela_registros[MÊS],$AE$1,tabela_registros[DIA],maitotal30597183[[#Headers],[18]],tabela_registros[REGISTRO],DADOS!$N$4,tabela_registros[TIPO],DADOS!$P$4,tabela_registros[CATEGORIA],despesavariávelconsolidadomai[[#This Row],[DESPESA VARIÁVEL]])</f>
        <v>0</v>
      </c>
      <c r="W64" s="91">
        <f>SUMIFS(tabela_registros[VALOR],tabela_registros[MÊS],$AE$1,tabela_registros[DIA],maitotal30597183[[#Headers],[19]],tabela_registros[REGISTRO],DADOS!$N$4,tabela_registros[TIPO],DADOS!$P$4,tabela_registros[CATEGORIA],despesavariávelconsolidadomai[[#This Row],[DESPESA VARIÁVEL]])</f>
        <v>0</v>
      </c>
      <c r="X64" s="91">
        <f>SUMIFS(tabela_registros[VALOR],tabela_registros[MÊS],$AE$1,tabela_registros[DIA],maitotal30597183[[#Headers],[20]],tabela_registros[REGISTRO],DADOS!$N$4,tabela_registros[TIPO],DADOS!$P$4,tabela_registros[CATEGORIA],despesavariávelconsolidadomai[[#This Row],[DESPESA VARIÁVEL]])</f>
        <v>0</v>
      </c>
      <c r="Y64" s="91">
        <f>SUMIFS(tabela_registros[VALOR],tabela_registros[MÊS],$AE$1,tabela_registros[DIA],maitotal30597183[[#Headers],[21]],tabela_registros[REGISTRO],DADOS!$N$4,tabela_registros[TIPO],DADOS!$P$4,tabela_registros[CATEGORIA],despesavariávelconsolidadomai[[#This Row],[DESPESA VARIÁVEL]])</f>
        <v>0</v>
      </c>
      <c r="Z64" s="91">
        <f>SUMIFS(tabela_registros[VALOR],tabela_registros[MÊS],$AE$1,tabela_registros[DIA],maitotal30597183[[#Headers],[22]],tabela_registros[REGISTRO],DADOS!$N$4,tabela_registros[TIPO],DADOS!$P$4,tabela_registros[CATEGORIA],despesavariávelconsolidadomai[[#This Row],[DESPESA VARIÁVEL]])</f>
        <v>0</v>
      </c>
      <c r="AA64" s="91">
        <f>SUMIFS(tabela_registros[VALOR],tabela_registros[MÊS],$AE$1,tabela_registros[DIA],maitotal30597183[[#Headers],[23]],tabela_registros[REGISTRO],DADOS!$N$4,tabela_registros[TIPO],DADOS!$P$4,tabela_registros[CATEGORIA],despesavariávelconsolidadomai[[#This Row],[DESPESA VARIÁVEL]])</f>
        <v>0</v>
      </c>
      <c r="AB64" s="91">
        <f>SUMIFS(tabela_registros[VALOR],tabela_registros[MÊS],$AE$1,tabela_registros[DIA],maitotal30597183[[#Headers],[24]],tabela_registros[REGISTRO],DADOS!$N$4,tabela_registros[TIPO],DADOS!$P$4,tabela_registros[CATEGORIA],despesavariávelconsolidadomai[[#This Row],[DESPESA VARIÁVEL]])</f>
        <v>0</v>
      </c>
      <c r="AC64" s="91">
        <f>SUMIFS(tabela_registros[VALOR],tabela_registros[MÊS],$AE$1,tabela_registros[DIA],maitotal30597183[[#Headers],[25]],tabela_registros[REGISTRO],DADOS!$N$4,tabela_registros[TIPO],DADOS!$P$4,tabela_registros[CATEGORIA],despesavariávelconsolidadomai[[#This Row],[DESPESA VARIÁVEL]])</f>
        <v>0</v>
      </c>
      <c r="AD64" s="91">
        <f>SUMIFS(tabela_registros[VALOR],tabela_registros[MÊS],$AE$1,tabela_registros[DIA],maitotal30597183[[#Headers],[26]],tabela_registros[REGISTRO],DADOS!$N$4,tabela_registros[TIPO],DADOS!$P$4,tabela_registros[CATEGORIA],despesavariávelconsolidadomai[[#This Row],[DESPESA VARIÁVEL]])</f>
        <v>0</v>
      </c>
      <c r="AE64" s="91">
        <f>SUMIFS(tabela_registros[VALOR],tabela_registros[MÊS],$AE$1,tabela_registros[DIA],maitotal30597183[[#Headers],[27]],tabela_registros[REGISTRO],DADOS!$N$4,tabela_registros[TIPO],DADOS!$P$4,tabela_registros[CATEGORIA],despesavariávelconsolidadomai[[#This Row],[DESPESA VARIÁVEL]])</f>
        <v>0</v>
      </c>
      <c r="AF64" s="91">
        <f>SUMIFS(tabela_registros[VALOR],tabela_registros[MÊS],$AE$1,tabela_registros[DIA],maitotal30597183[[#Headers],[28]],tabela_registros[REGISTRO],DADOS!$N$4,tabela_registros[TIPO],DADOS!$P$4,tabela_registros[CATEGORIA],despesavariávelconsolidadomai[[#This Row],[DESPESA VARIÁVEL]])</f>
        <v>0</v>
      </c>
      <c r="AG64" s="91">
        <f>SUMIFS(tabela_registros[VALOR],tabela_registros[MÊS],$AE$1,tabela_registros[DIA],maitotal30597183[[#Headers],[29]],tabela_registros[REGISTRO],DADOS!$N$4,tabela_registros[TIPO],DADOS!$P$4,tabela_registros[CATEGORIA],despesavariávelconsolidadomai[[#This Row],[DESPESA VARIÁVEL]])</f>
        <v>0</v>
      </c>
      <c r="AH64" s="91">
        <f>SUMIFS(tabela_registros[VALOR],tabela_registros[MÊS],$AE$1,tabela_registros[DIA],maitotal30597183[[#Headers],[30]],tabela_registros[REGISTRO],DADOS!$N$4,tabela_registros[TIPO],DADOS!$P$4,tabela_registros[CATEGORIA],despesavariávelconsolidadomai[[#This Row],[DESPESA VARIÁVEL]])</f>
        <v>0</v>
      </c>
      <c r="AI64" s="101">
        <f>SUMIFS(tabela_registros[VALOR],tabela_registros[MÊS],$AE$1,tabela_registros[DIA],maitotal30597183[[#Headers],[31]],tabela_registros[REGISTRO],DADOS!$N$4,tabela_registros[TIPO],DADOS!$P$4,tabela_registros[CATEGORIA],despesavariávelconsolidadomai[[#This Row],[DESPESA VARIÁVEL]])</f>
        <v>0</v>
      </c>
      <c r="AJ64" s="97">
        <f>SUM(despesavariávelconsolidadomai[[#This Row],[1]:[31]])</f>
        <v>0</v>
      </c>
      <c r="AK64" s="28"/>
    </row>
    <row r="65" spans="2:37" ht="18" customHeight="1" thickTop="1" thickBot="1" x14ac:dyDescent="0.3">
      <c r="B65" s="28"/>
      <c r="C65" s="27" t="str">
        <f>DADOS!$T$8</f>
        <v>📖 EDUCAÇÃO</v>
      </c>
      <c r="D65" s="26" t="str">
        <f>IF(despesavariávelconsolidadomai[[#This Row],[TOTAL]]=0,"",IF(OR(despesavariávelconsolidadomai[[#This Row],[TOTAL]]=LARGE($AJ$60:$AJ$72,1),despesavariávelconsolidadomai[[#This Row],[TOTAL]]=LARGE($AJ$60:$AJ$72,2),despesavariávelconsolidadomai[[#This Row],[TOTAL]]=LARGE($AJ$60:$AJ$72,3),despesavariávelconsolidadomai[[#This Row],[TOTAL]]=LARGE($AJ$60:$AJ$72,4),despesavariávelconsolidadomai[[#This Row],[TOTAL]]=LARGE($AJ$60:$AJ$72,5)),DADOS!$I$8,""))</f>
        <v/>
      </c>
      <c r="E65" s="96">
        <f>SUMIFS(tabela_registros[VALOR],tabela_registros[MÊS],$AE$1,tabela_registros[DIA],maitotal30597183[[#Headers],[1]],tabela_registros[REGISTRO],DADOS!$N$4,tabela_registros[TIPO],DADOS!$P$4,tabela_registros[CATEGORIA],despesavariávelconsolidadomai[[#This Row],[DESPESA VARIÁVEL]])</f>
        <v>0</v>
      </c>
      <c r="F65" s="91">
        <f>SUMIFS(tabela_registros[VALOR],tabela_registros[MÊS],$AE$1,tabela_registros[DIA],maitotal30597183[[#Headers],[2]],tabela_registros[REGISTRO],DADOS!$N$4,tabela_registros[TIPO],DADOS!$P$4,tabela_registros[CATEGORIA],despesavariávelconsolidadomai[[#This Row],[DESPESA VARIÁVEL]])</f>
        <v>0</v>
      </c>
      <c r="G65" s="91">
        <f>SUMIFS(tabela_registros[VALOR],tabela_registros[MÊS],$AE$1,tabela_registros[DIA],maitotal30597183[[#Headers],[3]],tabela_registros[REGISTRO],DADOS!$N$4,tabela_registros[TIPO],DADOS!$P$4,tabela_registros[CATEGORIA],despesavariávelconsolidadomai[[#This Row],[DESPESA VARIÁVEL]])</f>
        <v>0</v>
      </c>
      <c r="H65" s="91">
        <f>SUMIFS(tabela_registros[VALOR],tabela_registros[MÊS],$AE$1,tabela_registros[DIA],maitotal30597183[[#Headers],[4]],tabela_registros[REGISTRO],DADOS!$N$4,tabela_registros[TIPO],DADOS!$P$4,tabela_registros[CATEGORIA],despesavariávelconsolidadomai[[#This Row],[DESPESA VARIÁVEL]])</f>
        <v>0</v>
      </c>
      <c r="I65" s="91">
        <f>SUMIFS(tabela_registros[VALOR],tabela_registros[MÊS],$AE$1,tabela_registros[DIA],maitotal30597183[[#Headers],[5]],tabela_registros[REGISTRO],DADOS!$N$4,tabela_registros[TIPO],DADOS!$P$4,tabela_registros[CATEGORIA],despesavariávelconsolidadomai[[#This Row],[DESPESA VARIÁVEL]])</f>
        <v>0</v>
      </c>
      <c r="J65" s="91">
        <f>SUMIFS(tabela_registros[VALOR],tabela_registros[MÊS],$AE$1,tabela_registros[DIA],maitotal30597183[[#Headers],[6]],tabela_registros[REGISTRO],DADOS!$N$4,tabela_registros[TIPO],DADOS!$P$4,tabela_registros[CATEGORIA],despesavariávelconsolidadomai[[#This Row],[DESPESA VARIÁVEL]])</f>
        <v>0</v>
      </c>
      <c r="K65" s="91">
        <f>SUMIFS(tabela_registros[VALOR],tabela_registros[MÊS],$AE$1,tabela_registros[DIA],maitotal30597183[[#Headers],[7]],tabela_registros[REGISTRO],DADOS!$N$4,tabela_registros[TIPO],DADOS!$P$4,tabela_registros[CATEGORIA],despesavariávelconsolidadomai[[#This Row],[DESPESA VARIÁVEL]])</f>
        <v>0</v>
      </c>
      <c r="L65" s="91">
        <f>SUMIFS(tabela_registros[VALOR],tabela_registros[MÊS],$AE$1,tabela_registros[DIA],maitotal30597183[[#Headers],[8]],tabela_registros[REGISTRO],DADOS!$N$4,tabela_registros[TIPO],DADOS!$P$4,tabela_registros[CATEGORIA],despesavariávelconsolidadomai[[#This Row],[DESPESA VARIÁVEL]])</f>
        <v>0</v>
      </c>
      <c r="M65" s="91">
        <f>SUMIFS(tabela_registros[VALOR],tabela_registros[MÊS],$AE$1,tabela_registros[DIA],maitotal30597183[[#Headers],[9]],tabela_registros[REGISTRO],DADOS!$N$4,tabela_registros[TIPO],DADOS!$P$4,tabela_registros[CATEGORIA],despesavariávelconsolidadomai[[#This Row],[DESPESA VARIÁVEL]])</f>
        <v>0</v>
      </c>
      <c r="N65" s="91">
        <f>SUMIFS(tabela_registros[VALOR],tabela_registros[MÊS],$AE$1,tabela_registros[DIA],maitotal30597183[[#Headers],[10]],tabela_registros[REGISTRO],DADOS!$N$4,tabela_registros[TIPO],DADOS!$P$4,tabela_registros[CATEGORIA],despesavariávelconsolidadomai[[#This Row],[DESPESA VARIÁVEL]])</f>
        <v>0</v>
      </c>
      <c r="O65" s="91">
        <f>SUMIFS(tabela_registros[VALOR],tabela_registros[MÊS],$AE$1,tabela_registros[DIA],maitotal30597183[[#Headers],[11]],tabela_registros[REGISTRO],DADOS!$N$4,tabela_registros[TIPO],DADOS!$P$4,tabela_registros[CATEGORIA],despesavariávelconsolidadomai[[#This Row],[DESPESA VARIÁVEL]])</f>
        <v>0</v>
      </c>
      <c r="P65" s="91">
        <f>SUMIFS(tabela_registros[VALOR],tabela_registros[MÊS],$AE$1,tabela_registros[DIA],maitotal30597183[[#Headers],[12]],tabela_registros[REGISTRO],DADOS!$N$4,tabela_registros[TIPO],DADOS!$P$4,tabela_registros[CATEGORIA],despesavariávelconsolidadomai[[#This Row],[DESPESA VARIÁVEL]])</f>
        <v>0</v>
      </c>
      <c r="Q65" s="91">
        <f>SUMIFS(tabela_registros[VALOR],tabela_registros[MÊS],$AE$1,tabela_registros[DIA],maitotal30597183[[#Headers],[13]],tabela_registros[REGISTRO],DADOS!$N$4,tabela_registros[TIPO],DADOS!$P$4,tabela_registros[CATEGORIA],despesavariávelconsolidadomai[[#This Row],[DESPESA VARIÁVEL]])</f>
        <v>0</v>
      </c>
      <c r="R65" s="91">
        <f>SUMIFS(tabela_registros[VALOR],tabela_registros[MÊS],$AE$1,tabela_registros[DIA],maitotal30597183[[#Headers],[14]],tabela_registros[REGISTRO],DADOS!$N$4,tabela_registros[TIPO],DADOS!$P$4,tabela_registros[CATEGORIA],despesavariávelconsolidadomai[[#This Row],[DESPESA VARIÁVEL]])</f>
        <v>0</v>
      </c>
      <c r="S65" s="91">
        <f>SUMIFS(tabela_registros[VALOR],tabela_registros[MÊS],$AE$1,tabela_registros[DIA],maitotal30597183[[#Headers],[15]],tabela_registros[REGISTRO],DADOS!$N$4,tabela_registros[TIPO],DADOS!$P$4,tabela_registros[CATEGORIA],despesavariávelconsolidadomai[[#This Row],[DESPESA VARIÁVEL]])</f>
        <v>0</v>
      </c>
      <c r="T65" s="91">
        <f>SUMIFS(tabela_registros[VALOR],tabela_registros[MÊS],$AE$1,tabela_registros[DIA],maitotal30597183[[#Headers],[16]],tabela_registros[REGISTRO],DADOS!$N$4,tabela_registros[TIPO],DADOS!$P$4,tabela_registros[CATEGORIA],despesavariávelconsolidadomai[[#This Row],[DESPESA VARIÁVEL]])</f>
        <v>0</v>
      </c>
      <c r="U65" s="91">
        <f>SUMIFS(tabela_registros[VALOR],tabela_registros[MÊS],$AE$1,tabela_registros[DIA],maitotal30597183[[#Headers],[17]],tabela_registros[REGISTRO],DADOS!$N$4,tabela_registros[TIPO],DADOS!$P$4,tabela_registros[CATEGORIA],despesavariávelconsolidadomai[[#This Row],[DESPESA VARIÁVEL]])</f>
        <v>0</v>
      </c>
      <c r="V65" s="91">
        <f>SUMIFS(tabela_registros[VALOR],tabela_registros[MÊS],$AE$1,tabela_registros[DIA],maitotal30597183[[#Headers],[18]],tabela_registros[REGISTRO],DADOS!$N$4,tabela_registros[TIPO],DADOS!$P$4,tabela_registros[CATEGORIA],despesavariávelconsolidadomai[[#This Row],[DESPESA VARIÁVEL]])</f>
        <v>0</v>
      </c>
      <c r="W65" s="91">
        <f>SUMIFS(tabela_registros[VALOR],tabela_registros[MÊS],$AE$1,tabela_registros[DIA],maitotal30597183[[#Headers],[19]],tabela_registros[REGISTRO],DADOS!$N$4,tabela_registros[TIPO],DADOS!$P$4,tabela_registros[CATEGORIA],despesavariávelconsolidadomai[[#This Row],[DESPESA VARIÁVEL]])</f>
        <v>0</v>
      </c>
      <c r="X65" s="91">
        <f>SUMIFS(tabela_registros[VALOR],tabela_registros[MÊS],$AE$1,tabela_registros[DIA],maitotal30597183[[#Headers],[20]],tabela_registros[REGISTRO],DADOS!$N$4,tabela_registros[TIPO],DADOS!$P$4,tabela_registros[CATEGORIA],despesavariávelconsolidadomai[[#This Row],[DESPESA VARIÁVEL]])</f>
        <v>0</v>
      </c>
      <c r="Y65" s="91">
        <f>SUMIFS(tabela_registros[VALOR],tabela_registros[MÊS],$AE$1,tabela_registros[DIA],maitotal30597183[[#Headers],[21]],tabela_registros[REGISTRO],DADOS!$N$4,tabela_registros[TIPO],DADOS!$P$4,tabela_registros[CATEGORIA],despesavariávelconsolidadomai[[#This Row],[DESPESA VARIÁVEL]])</f>
        <v>0</v>
      </c>
      <c r="Z65" s="91">
        <f>SUMIFS(tabela_registros[VALOR],tabela_registros[MÊS],$AE$1,tabela_registros[DIA],maitotal30597183[[#Headers],[22]],tabela_registros[REGISTRO],DADOS!$N$4,tabela_registros[TIPO],DADOS!$P$4,tabela_registros[CATEGORIA],despesavariávelconsolidadomai[[#This Row],[DESPESA VARIÁVEL]])</f>
        <v>0</v>
      </c>
      <c r="AA65" s="91">
        <f>SUMIFS(tabela_registros[VALOR],tabela_registros[MÊS],$AE$1,tabela_registros[DIA],maitotal30597183[[#Headers],[23]],tabela_registros[REGISTRO],DADOS!$N$4,tabela_registros[TIPO],DADOS!$P$4,tabela_registros[CATEGORIA],despesavariávelconsolidadomai[[#This Row],[DESPESA VARIÁVEL]])</f>
        <v>0</v>
      </c>
      <c r="AB65" s="91">
        <f>SUMIFS(tabela_registros[VALOR],tabela_registros[MÊS],$AE$1,tabela_registros[DIA],maitotal30597183[[#Headers],[24]],tabela_registros[REGISTRO],DADOS!$N$4,tabela_registros[TIPO],DADOS!$P$4,tabela_registros[CATEGORIA],despesavariávelconsolidadomai[[#This Row],[DESPESA VARIÁVEL]])</f>
        <v>0</v>
      </c>
      <c r="AC65" s="91">
        <f>SUMIFS(tabela_registros[VALOR],tabela_registros[MÊS],$AE$1,tabela_registros[DIA],maitotal30597183[[#Headers],[25]],tabela_registros[REGISTRO],DADOS!$N$4,tabela_registros[TIPO],DADOS!$P$4,tabela_registros[CATEGORIA],despesavariávelconsolidadomai[[#This Row],[DESPESA VARIÁVEL]])</f>
        <v>0</v>
      </c>
      <c r="AD65" s="91">
        <f>SUMIFS(tabela_registros[VALOR],tabela_registros[MÊS],$AE$1,tabela_registros[DIA],maitotal30597183[[#Headers],[26]],tabela_registros[REGISTRO],DADOS!$N$4,tabela_registros[TIPO],DADOS!$P$4,tabela_registros[CATEGORIA],despesavariávelconsolidadomai[[#This Row],[DESPESA VARIÁVEL]])</f>
        <v>0</v>
      </c>
      <c r="AE65" s="91">
        <f>SUMIFS(tabela_registros[VALOR],tabela_registros[MÊS],$AE$1,tabela_registros[DIA],maitotal30597183[[#Headers],[27]],tabela_registros[REGISTRO],DADOS!$N$4,tabela_registros[TIPO],DADOS!$P$4,tabela_registros[CATEGORIA],despesavariávelconsolidadomai[[#This Row],[DESPESA VARIÁVEL]])</f>
        <v>0</v>
      </c>
      <c r="AF65" s="91">
        <f>SUMIFS(tabela_registros[VALOR],tabela_registros[MÊS],$AE$1,tabela_registros[DIA],maitotal30597183[[#Headers],[28]],tabela_registros[REGISTRO],DADOS!$N$4,tabela_registros[TIPO],DADOS!$P$4,tabela_registros[CATEGORIA],despesavariávelconsolidadomai[[#This Row],[DESPESA VARIÁVEL]])</f>
        <v>0</v>
      </c>
      <c r="AG65" s="91">
        <f>SUMIFS(tabela_registros[VALOR],tabela_registros[MÊS],$AE$1,tabela_registros[DIA],maitotal30597183[[#Headers],[29]],tabela_registros[REGISTRO],DADOS!$N$4,tabela_registros[TIPO],DADOS!$P$4,tabela_registros[CATEGORIA],despesavariávelconsolidadomai[[#This Row],[DESPESA VARIÁVEL]])</f>
        <v>0</v>
      </c>
      <c r="AH65" s="91">
        <f>SUMIFS(tabela_registros[VALOR],tabela_registros[MÊS],$AE$1,tabela_registros[DIA],maitotal30597183[[#Headers],[30]],tabela_registros[REGISTRO],DADOS!$N$4,tabela_registros[TIPO],DADOS!$P$4,tabela_registros[CATEGORIA],despesavariávelconsolidadomai[[#This Row],[DESPESA VARIÁVEL]])</f>
        <v>0</v>
      </c>
      <c r="AI65" s="101">
        <f>SUMIFS(tabela_registros[VALOR],tabela_registros[MÊS],$AE$1,tabela_registros[DIA],maitotal30597183[[#Headers],[31]],tabela_registros[REGISTRO],DADOS!$N$4,tabela_registros[TIPO],DADOS!$P$4,tabela_registros[CATEGORIA],despesavariávelconsolidadomai[[#This Row],[DESPESA VARIÁVEL]])</f>
        <v>0</v>
      </c>
      <c r="AJ65" s="97">
        <f>SUM(despesavariávelconsolidadomai[[#This Row],[1]:[31]])</f>
        <v>0</v>
      </c>
      <c r="AK65" s="28"/>
    </row>
    <row r="66" spans="2:37" ht="18" customHeight="1" thickTop="1" thickBot="1" x14ac:dyDescent="0.3">
      <c r="B66" s="28"/>
      <c r="C66" s="27" t="str">
        <f>DADOS!$T$9</f>
        <v>🎭 LAZER</v>
      </c>
      <c r="D66" s="26" t="str">
        <f>IF(despesavariávelconsolidadomai[[#This Row],[TOTAL]]=0,"",IF(OR(despesavariávelconsolidadomai[[#This Row],[TOTAL]]=LARGE($AJ$60:$AJ$72,1),despesavariávelconsolidadomai[[#This Row],[TOTAL]]=LARGE($AJ$60:$AJ$72,2),despesavariávelconsolidadomai[[#This Row],[TOTAL]]=LARGE($AJ$60:$AJ$72,3),despesavariávelconsolidadomai[[#This Row],[TOTAL]]=LARGE($AJ$60:$AJ$72,4),despesavariávelconsolidadomai[[#This Row],[TOTAL]]=LARGE($AJ$60:$AJ$72,5)),DADOS!$I$8,""))</f>
        <v/>
      </c>
      <c r="E66" s="96">
        <f>SUMIFS(tabela_registros[VALOR],tabela_registros[MÊS],$AE$1,tabela_registros[DIA],maitotal30597183[[#Headers],[1]],tabela_registros[REGISTRO],DADOS!$N$4,tabela_registros[TIPO],DADOS!$P$4,tabela_registros[CATEGORIA],despesavariávelconsolidadomai[[#This Row],[DESPESA VARIÁVEL]])</f>
        <v>0</v>
      </c>
      <c r="F66" s="91">
        <f>SUMIFS(tabela_registros[VALOR],tabela_registros[MÊS],$AE$1,tabela_registros[DIA],maitotal30597183[[#Headers],[2]],tabela_registros[REGISTRO],DADOS!$N$4,tabela_registros[TIPO],DADOS!$P$4,tabela_registros[CATEGORIA],despesavariávelconsolidadomai[[#This Row],[DESPESA VARIÁVEL]])</f>
        <v>0</v>
      </c>
      <c r="G66" s="91">
        <f>SUMIFS(tabela_registros[VALOR],tabela_registros[MÊS],$AE$1,tabela_registros[DIA],maitotal30597183[[#Headers],[3]],tabela_registros[REGISTRO],DADOS!$N$4,tabela_registros[TIPO],DADOS!$P$4,tabela_registros[CATEGORIA],despesavariávelconsolidadomai[[#This Row],[DESPESA VARIÁVEL]])</f>
        <v>0</v>
      </c>
      <c r="H66" s="91">
        <f>SUMIFS(tabela_registros[VALOR],tabela_registros[MÊS],$AE$1,tabela_registros[DIA],maitotal30597183[[#Headers],[4]],tabela_registros[REGISTRO],DADOS!$N$4,tabela_registros[TIPO],DADOS!$P$4,tabela_registros[CATEGORIA],despesavariávelconsolidadomai[[#This Row],[DESPESA VARIÁVEL]])</f>
        <v>0</v>
      </c>
      <c r="I66" s="91">
        <f>SUMIFS(tabela_registros[VALOR],tabela_registros[MÊS],$AE$1,tabela_registros[DIA],maitotal30597183[[#Headers],[5]],tabela_registros[REGISTRO],DADOS!$N$4,tabela_registros[TIPO],DADOS!$P$4,tabela_registros[CATEGORIA],despesavariávelconsolidadomai[[#This Row],[DESPESA VARIÁVEL]])</f>
        <v>0</v>
      </c>
      <c r="J66" s="91">
        <f>SUMIFS(tabela_registros[VALOR],tabela_registros[MÊS],$AE$1,tabela_registros[DIA],maitotal30597183[[#Headers],[6]],tabela_registros[REGISTRO],DADOS!$N$4,tabela_registros[TIPO],DADOS!$P$4,tabela_registros[CATEGORIA],despesavariávelconsolidadomai[[#This Row],[DESPESA VARIÁVEL]])</f>
        <v>0</v>
      </c>
      <c r="K66" s="91">
        <f>SUMIFS(tabela_registros[VALOR],tabela_registros[MÊS],$AE$1,tabela_registros[DIA],maitotal30597183[[#Headers],[7]],tabela_registros[REGISTRO],DADOS!$N$4,tabela_registros[TIPO],DADOS!$P$4,tabela_registros[CATEGORIA],despesavariávelconsolidadomai[[#This Row],[DESPESA VARIÁVEL]])</f>
        <v>0</v>
      </c>
      <c r="L66" s="91">
        <f>SUMIFS(tabela_registros[VALOR],tabela_registros[MÊS],$AE$1,tabela_registros[DIA],maitotal30597183[[#Headers],[8]],tabela_registros[REGISTRO],DADOS!$N$4,tabela_registros[TIPO],DADOS!$P$4,tabela_registros[CATEGORIA],despesavariávelconsolidadomai[[#This Row],[DESPESA VARIÁVEL]])</f>
        <v>0</v>
      </c>
      <c r="M66" s="91">
        <f>SUMIFS(tabela_registros[VALOR],tabela_registros[MÊS],$AE$1,tabela_registros[DIA],maitotal30597183[[#Headers],[9]],tabela_registros[REGISTRO],DADOS!$N$4,tabela_registros[TIPO],DADOS!$P$4,tabela_registros[CATEGORIA],despesavariávelconsolidadomai[[#This Row],[DESPESA VARIÁVEL]])</f>
        <v>0</v>
      </c>
      <c r="N66" s="91">
        <f>SUMIFS(tabela_registros[VALOR],tabela_registros[MÊS],$AE$1,tabela_registros[DIA],maitotal30597183[[#Headers],[10]],tabela_registros[REGISTRO],DADOS!$N$4,tabela_registros[TIPO],DADOS!$P$4,tabela_registros[CATEGORIA],despesavariávelconsolidadomai[[#This Row],[DESPESA VARIÁVEL]])</f>
        <v>0</v>
      </c>
      <c r="O66" s="91">
        <f>SUMIFS(tabela_registros[VALOR],tabela_registros[MÊS],$AE$1,tabela_registros[DIA],maitotal30597183[[#Headers],[11]],tabela_registros[REGISTRO],DADOS!$N$4,tabela_registros[TIPO],DADOS!$P$4,tabela_registros[CATEGORIA],despesavariávelconsolidadomai[[#This Row],[DESPESA VARIÁVEL]])</f>
        <v>0</v>
      </c>
      <c r="P66" s="91">
        <f>SUMIFS(tabela_registros[VALOR],tabela_registros[MÊS],$AE$1,tabela_registros[DIA],maitotal30597183[[#Headers],[12]],tabela_registros[REGISTRO],DADOS!$N$4,tabela_registros[TIPO],DADOS!$P$4,tabela_registros[CATEGORIA],despesavariávelconsolidadomai[[#This Row],[DESPESA VARIÁVEL]])</f>
        <v>0</v>
      </c>
      <c r="Q66" s="91">
        <f>SUMIFS(tabela_registros[VALOR],tabela_registros[MÊS],$AE$1,tabela_registros[DIA],maitotal30597183[[#Headers],[13]],tabela_registros[REGISTRO],DADOS!$N$4,tabela_registros[TIPO],DADOS!$P$4,tabela_registros[CATEGORIA],despesavariávelconsolidadomai[[#This Row],[DESPESA VARIÁVEL]])</f>
        <v>0</v>
      </c>
      <c r="R66" s="91">
        <f>SUMIFS(tabela_registros[VALOR],tabela_registros[MÊS],$AE$1,tabela_registros[DIA],maitotal30597183[[#Headers],[14]],tabela_registros[REGISTRO],DADOS!$N$4,tabela_registros[TIPO],DADOS!$P$4,tabela_registros[CATEGORIA],despesavariávelconsolidadomai[[#This Row],[DESPESA VARIÁVEL]])</f>
        <v>0</v>
      </c>
      <c r="S66" s="91">
        <f>SUMIFS(tabela_registros[VALOR],tabela_registros[MÊS],$AE$1,tabela_registros[DIA],maitotal30597183[[#Headers],[15]],tabela_registros[REGISTRO],DADOS!$N$4,tabela_registros[TIPO],DADOS!$P$4,tabela_registros[CATEGORIA],despesavariávelconsolidadomai[[#This Row],[DESPESA VARIÁVEL]])</f>
        <v>0</v>
      </c>
      <c r="T66" s="91">
        <f>SUMIFS(tabela_registros[VALOR],tabela_registros[MÊS],$AE$1,tabela_registros[DIA],maitotal30597183[[#Headers],[16]],tabela_registros[REGISTRO],DADOS!$N$4,tabela_registros[TIPO],DADOS!$P$4,tabela_registros[CATEGORIA],despesavariávelconsolidadomai[[#This Row],[DESPESA VARIÁVEL]])</f>
        <v>0</v>
      </c>
      <c r="U66" s="91">
        <f>SUMIFS(tabela_registros[VALOR],tabela_registros[MÊS],$AE$1,tabela_registros[DIA],maitotal30597183[[#Headers],[17]],tabela_registros[REGISTRO],DADOS!$N$4,tabela_registros[TIPO],DADOS!$P$4,tabela_registros[CATEGORIA],despesavariávelconsolidadomai[[#This Row],[DESPESA VARIÁVEL]])</f>
        <v>0</v>
      </c>
      <c r="V66" s="91">
        <f>SUMIFS(tabela_registros[VALOR],tabela_registros[MÊS],$AE$1,tabela_registros[DIA],maitotal30597183[[#Headers],[18]],tabela_registros[REGISTRO],DADOS!$N$4,tabela_registros[TIPO],DADOS!$P$4,tabela_registros[CATEGORIA],despesavariávelconsolidadomai[[#This Row],[DESPESA VARIÁVEL]])</f>
        <v>0</v>
      </c>
      <c r="W66" s="91">
        <f>SUMIFS(tabela_registros[VALOR],tabela_registros[MÊS],$AE$1,tabela_registros[DIA],maitotal30597183[[#Headers],[19]],tabela_registros[REGISTRO],DADOS!$N$4,tabela_registros[TIPO],DADOS!$P$4,tabela_registros[CATEGORIA],despesavariávelconsolidadomai[[#This Row],[DESPESA VARIÁVEL]])</f>
        <v>0</v>
      </c>
      <c r="X66" s="91">
        <f>SUMIFS(tabela_registros[VALOR],tabela_registros[MÊS],$AE$1,tabela_registros[DIA],maitotal30597183[[#Headers],[20]],tabela_registros[REGISTRO],DADOS!$N$4,tabela_registros[TIPO],DADOS!$P$4,tabela_registros[CATEGORIA],despesavariávelconsolidadomai[[#This Row],[DESPESA VARIÁVEL]])</f>
        <v>0</v>
      </c>
      <c r="Y66" s="91">
        <f>SUMIFS(tabela_registros[VALOR],tabela_registros[MÊS],$AE$1,tabela_registros[DIA],maitotal30597183[[#Headers],[21]],tabela_registros[REGISTRO],DADOS!$N$4,tabela_registros[TIPO],DADOS!$P$4,tabela_registros[CATEGORIA],despesavariávelconsolidadomai[[#This Row],[DESPESA VARIÁVEL]])</f>
        <v>0</v>
      </c>
      <c r="Z66" s="91">
        <f>SUMIFS(tabela_registros[VALOR],tabela_registros[MÊS],$AE$1,tabela_registros[DIA],maitotal30597183[[#Headers],[22]],tabela_registros[REGISTRO],DADOS!$N$4,tabela_registros[TIPO],DADOS!$P$4,tabela_registros[CATEGORIA],despesavariávelconsolidadomai[[#This Row],[DESPESA VARIÁVEL]])</f>
        <v>0</v>
      </c>
      <c r="AA66" s="91">
        <f>SUMIFS(tabela_registros[VALOR],tabela_registros[MÊS],$AE$1,tabela_registros[DIA],maitotal30597183[[#Headers],[23]],tabela_registros[REGISTRO],DADOS!$N$4,tabela_registros[TIPO],DADOS!$P$4,tabela_registros[CATEGORIA],despesavariávelconsolidadomai[[#This Row],[DESPESA VARIÁVEL]])</f>
        <v>0</v>
      </c>
      <c r="AB66" s="91">
        <f>SUMIFS(tabela_registros[VALOR],tabela_registros[MÊS],$AE$1,tabela_registros[DIA],maitotal30597183[[#Headers],[24]],tabela_registros[REGISTRO],DADOS!$N$4,tabela_registros[TIPO],DADOS!$P$4,tabela_registros[CATEGORIA],despesavariávelconsolidadomai[[#This Row],[DESPESA VARIÁVEL]])</f>
        <v>0</v>
      </c>
      <c r="AC66" s="91">
        <f>SUMIFS(tabela_registros[VALOR],tabela_registros[MÊS],$AE$1,tabela_registros[DIA],maitotal30597183[[#Headers],[25]],tabela_registros[REGISTRO],DADOS!$N$4,tabela_registros[TIPO],DADOS!$P$4,tabela_registros[CATEGORIA],despesavariávelconsolidadomai[[#This Row],[DESPESA VARIÁVEL]])</f>
        <v>0</v>
      </c>
      <c r="AD66" s="91">
        <f>SUMIFS(tabela_registros[VALOR],tabela_registros[MÊS],$AE$1,tabela_registros[DIA],maitotal30597183[[#Headers],[26]],tabela_registros[REGISTRO],DADOS!$N$4,tabela_registros[TIPO],DADOS!$P$4,tabela_registros[CATEGORIA],despesavariávelconsolidadomai[[#This Row],[DESPESA VARIÁVEL]])</f>
        <v>0</v>
      </c>
      <c r="AE66" s="91">
        <f>SUMIFS(tabela_registros[VALOR],tabela_registros[MÊS],$AE$1,tabela_registros[DIA],maitotal30597183[[#Headers],[27]],tabela_registros[REGISTRO],DADOS!$N$4,tabela_registros[TIPO],DADOS!$P$4,tabela_registros[CATEGORIA],despesavariávelconsolidadomai[[#This Row],[DESPESA VARIÁVEL]])</f>
        <v>0</v>
      </c>
      <c r="AF66" s="91">
        <f>SUMIFS(tabela_registros[VALOR],tabela_registros[MÊS],$AE$1,tabela_registros[DIA],maitotal30597183[[#Headers],[28]],tabela_registros[REGISTRO],DADOS!$N$4,tabela_registros[TIPO],DADOS!$P$4,tabela_registros[CATEGORIA],despesavariávelconsolidadomai[[#This Row],[DESPESA VARIÁVEL]])</f>
        <v>0</v>
      </c>
      <c r="AG66" s="91">
        <f>SUMIFS(tabela_registros[VALOR],tabela_registros[MÊS],$AE$1,tabela_registros[DIA],maitotal30597183[[#Headers],[29]],tabela_registros[REGISTRO],DADOS!$N$4,tabela_registros[TIPO],DADOS!$P$4,tabela_registros[CATEGORIA],despesavariávelconsolidadomai[[#This Row],[DESPESA VARIÁVEL]])</f>
        <v>0</v>
      </c>
      <c r="AH66" s="91">
        <f>SUMIFS(tabela_registros[VALOR],tabela_registros[MÊS],$AE$1,tabela_registros[DIA],maitotal30597183[[#Headers],[30]],tabela_registros[REGISTRO],DADOS!$N$4,tabela_registros[TIPO],DADOS!$P$4,tabela_registros[CATEGORIA],despesavariávelconsolidadomai[[#This Row],[DESPESA VARIÁVEL]])</f>
        <v>0</v>
      </c>
      <c r="AI66" s="101">
        <f>SUMIFS(tabela_registros[VALOR],tabela_registros[MÊS],$AE$1,tabela_registros[DIA],maitotal30597183[[#Headers],[31]],tabela_registros[REGISTRO],DADOS!$N$4,tabela_registros[TIPO],DADOS!$P$4,tabela_registros[CATEGORIA],despesavariávelconsolidadomai[[#This Row],[DESPESA VARIÁVEL]])</f>
        <v>0</v>
      </c>
      <c r="AJ66" s="97">
        <f>SUM(despesavariávelconsolidadomai[[#This Row],[1]:[31]])</f>
        <v>0</v>
      </c>
      <c r="AK66" s="28"/>
    </row>
    <row r="67" spans="2:37" ht="18" customHeight="1" thickTop="1" thickBot="1" x14ac:dyDescent="0.3">
      <c r="B67" s="28"/>
      <c r="C67" s="27" t="str">
        <f>DADOS!$T$10</f>
        <v>🛒 MERCADO</v>
      </c>
      <c r="D67" s="26" t="str">
        <f>IF(despesavariávelconsolidadomai[[#This Row],[TOTAL]]=0,"",IF(OR(despesavariávelconsolidadomai[[#This Row],[TOTAL]]=LARGE($AJ$60:$AJ$72,1),despesavariávelconsolidadomai[[#This Row],[TOTAL]]=LARGE($AJ$60:$AJ$72,2),despesavariávelconsolidadomai[[#This Row],[TOTAL]]=LARGE($AJ$60:$AJ$72,3),despesavariávelconsolidadomai[[#This Row],[TOTAL]]=LARGE($AJ$60:$AJ$72,4),despesavariávelconsolidadomai[[#This Row],[TOTAL]]=LARGE($AJ$60:$AJ$72,5)),DADOS!$I$8,""))</f>
        <v/>
      </c>
      <c r="E67" s="96">
        <f>SUMIFS(tabela_registros[VALOR],tabela_registros[MÊS],$AE$1,tabela_registros[DIA],maitotal30597183[[#Headers],[1]],tabela_registros[REGISTRO],DADOS!$N$4,tabela_registros[TIPO],DADOS!$P$4,tabela_registros[CATEGORIA],despesavariávelconsolidadomai[[#This Row],[DESPESA VARIÁVEL]])</f>
        <v>0</v>
      </c>
      <c r="F67" s="91">
        <f>SUMIFS(tabela_registros[VALOR],tabela_registros[MÊS],$AE$1,tabela_registros[DIA],maitotal30597183[[#Headers],[2]],tabela_registros[REGISTRO],DADOS!$N$4,tabela_registros[TIPO],DADOS!$P$4,tabela_registros[CATEGORIA],despesavariávelconsolidadomai[[#This Row],[DESPESA VARIÁVEL]])</f>
        <v>0</v>
      </c>
      <c r="G67" s="91">
        <f>SUMIFS(tabela_registros[VALOR],tabela_registros[MÊS],$AE$1,tabela_registros[DIA],maitotal30597183[[#Headers],[3]],tabela_registros[REGISTRO],DADOS!$N$4,tabela_registros[TIPO],DADOS!$P$4,tabela_registros[CATEGORIA],despesavariávelconsolidadomai[[#This Row],[DESPESA VARIÁVEL]])</f>
        <v>0</v>
      </c>
      <c r="H67" s="91">
        <f>SUMIFS(tabela_registros[VALOR],tabela_registros[MÊS],$AE$1,tabela_registros[DIA],maitotal30597183[[#Headers],[4]],tabela_registros[REGISTRO],DADOS!$N$4,tabela_registros[TIPO],DADOS!$P$4,tabela_registros[CATEGORIA],despesavariávelconsolidadomai[[#This Row],[DESPESA VARIÁVEL]])</f>
        <v>0</v>
      </c>
      <c r="I67" s="91">
        <f>SUMIFS(tabela_registros[VALOR],tabela_registros[MÊS],$AE$1,tabela_registros[DIA],maitotal30597183[[#Headers],[5]],tabela_registros[REGISTRO],DADOS!$N$4,tabela_registros[TIPO],DADOS!$P$4,tabela_registros[CATEGORIA],despesavariávelconsolidadomai[[#This Row],[DESPESA VARIÁVEL]])</f>
        <v>0</v>
      </c>
      <c r="J67" s="91">
        <f>SUMIFS(tabela_registros[VALOR],tabela_registros[MÊS],$AE$1,tabela_registros[DIA],maitotal30597183[[#Headers],[6]],tabela_registros[REGISTRO],DADOS!$N$4,tabela_registros[TIPO],DADOS!$P$4,tabela_registros[CATEGORIA],despesavariávelconsolidadomai[[#This Row],[DESPESA VARIÁVEL]])</f>
        <v>0</v>
      </c>
      <c r="K67" s="91">
        <f>SUMIFS(tabela_registros[VALOR],tabela_registros[MÊS],$AE$1,tabela_registros[DIA],maitotal30597183[[#Headers],[7]],tabela_registros[REGISTRO],DADOS!$N$4,tabela_registros[TIPO],DADOS!$P$4,tabela_registros[CATEGORIA],despesavariávelconsolidadomai[[#This Row],[DESPESA VARIÁVEL]])</f>
        <v>0</v>
      </c>
      <c r="L67" s="91">
        <f>SUMIFS(tabela_registros[VALOR],tabela_registros[MÊS],$AE$1,tabela_registros[DIA],maitotal30597183[[#Headers],[8]],tabela_registros[REGISTRO],DADOS!$N$4,tabela_registros[TIPO],DADOS!$P$4,tabela_registros[CATEGORIA],despesavariávelconsolidadomai[[#This Row],[DESPESA VARIÁVEL]])</f>
        <v>0</v>
      </c>
      <c r="M67" s="91">
        <f>SUMIFS(tabela_registros[VALOR],tabela_registros[MÊS],$AE$1,tabela_registros[DIA],maitotal30597183[[#Headers],[9]],tabela_registros[REGISTRO],DADOS!$N$4,tabela_registros[TIPO],DADOS!$P$4,tabela_registros[CATEGORIA],despesavariávelconsolidadomai[[#This Row],[DESPESA VARIÁVEL]])</f>
        <v>0</v>
      </c>
      <c r="N67" s="91">
        <f>SUMIFS(tabela_registros[VALOR],tabela_registros[MÊS],$AE$1,tabela_registros[DIA],maitotal30597183[[#Headers],[10]],tabela_registros[REGISTRO],DADOS!$N$4,tabela_registros[TIPO],DADOS!$P$4,tabela_registros[CATEGORIA],despesavariávelconsolidadomai[[#This Row],[DESPESA VARIÁVEL]])</f>
        <v>0</v>
      </c>
      <c r="O67" s="91">
        <f>SUMIFS(tabela_registros[VALOR],tabela_registros[MÊS],$AE$1,tabela_registros[DIA],maitotal30597183[[#Headers],[11]],tabela_registros[REGISTRO],DADOS!$N$4,tabela_registros[TIPO],DADOS!$P$4,tabela_registros[CATEGORIA],despesavariávelconsolidadomai[[#This Row],[DESPESA VARIÁVEL]])</f>
        <v>0</v>
      </c>
      <c r="P67" s="91">
        <f>SUMIFS(tabela_registros[VALOR],tabela_registros[MÊS],$AE$1,tabela_registros[DIA],maitotal30597183[[#Headers],[12]],tabela_registros[REGISTRO],DADOS!$N$4,tabela_registros[TIPO],DADOS!$P$4,tabela_registros[CATEGORIA],despesavariávelconsolidadomai[[#This Row],[DESPESA VARIÁVEL]])</f>
        <v>0</v>
      </c>
      <c r="Q67" s="91">
        <f>SUMIFS(tabela_registros[VALOR],tabela_registros[MÊS],$AE$1,tabela_registros[DIA],maitotal30597183[[#Headers],[13]],tabela_registros[REGISTRO],DADOS!$N$4,tabela_registros[TIPO],DADOS!$P$4,tabela_registros[CATEGORIA],despesavariávelconsolidadomai[[#This Row],[DESPESA VARIÁVEL]])</f>
        <v>0</v>
      </c>
      <c r="R67" s="91">
        <f>SUMIFS(tabela_registros[VALOR],tabela_registros[MÊS],$AE$1,tabela_registros[DIA],maitotal30597183[[#Headers],[14]],tabela_registros[REGISTRO],DADOS!$N$4,tabela_registros[TIPO],DADOS!$P$4,tabela_registros[CATEGORIA],despesavariávelconsolidadomai[[#This Row],[DESPESA VARIÁVEL]])</f>
        <v>0</v>
      </c>
      <c r="S67" s="91">
        <f>SUMIFS(tabela_registros[VALOR],tabela_registros[MÊS],$AE$1,tabela_registros[DIA],maitotal30597183[[#Headers],[15]],tabela_registros[REGISTRO],DADOS!$N$4,tabela_registros[TIPO],DADOS!$P$4,tabela_registros[CATEGORIA],despesavariávelconsolidadomai[[#This Row],[DESPESA VARIÁVEL]])</f>
        <v>0</v>
      </c>
      <c r="T67" s="91">
        <f>SUMIFS(tabela_registros[VALOR],tabela_registros[MÊS],$AE$1,tabela_registros[DIA],maitotal30597183[[#Headers],[16]],tabela_registros[REGISTRO],DADOS!$N$4,tabela_registros[TIPO],DADOS!$P$4,tabela_registros[CATEGORIA],despesavariávelconsolidadomai[[#This Row],[DESPESA VARIÁVEL]])</f>
        <v>0</v>
      </c>
      <c r="U67" s="91">
        <f>SUMIFS(tabela_registros[VALOR],tabela_registros[MÊS],$AE$1,tabela_registros[DIA],maitotal30597183[[#Headers],[17]],tabela_registros[REGISTRO],DADOS!$N$4,tabela_registros[TIPO],DADOS!$P$4,tabela_registros[CATEGORIA],despesavariávelconsolidadomai[[#This Row],[DESPESA VARIÁVEL]])</f>
        <v>0</v>
      </c>
      <c r="V67" s="91">
        <f>SUMIFS(tabela_registros[VALOR],tabela_registros[MÊS],$AE$1,tabela_registros[DIA],maitotal30597183[[#Headers],[18]],tabela_registros[REGISTRO],DADOS!$N$4,tabela_registros[TIPO],DADOS!$P$4,tabela_registros[CATEGORIA],despesavariávelconsolidadomai[[#This Row],[DESPESA VARIÁVEL]])</f>
        <v>0</v>
      </c>
      <c r="W67" s="91">
        <f>SUMIFS(tabela_registros[VALOR],tabela_registros[MÊS],$AE$1,tabela_registros[DIA],maitotal30597183[[#Headers],[19]],tabela_registros[REGISTRO],DADOS!$N$4,tabela_registros[TIPO],DADOS!$P$4,tabela_registros[CATEGORIA],despesavariávelconsolidadomai[[#This Row],[DESPESA VARIÁVEL]])</f>
        <v>0</v>
      </c>
      <c r="X67" s="91">
        <f>SUMIFS(tabela_registros[VALOR],tabela_registros[MÊS],$AE$1,tabela_registros[DIA],maitotal30597183[[#Headers],[20]],tabela_registros[REGISTRO],DADOS!$N$4,tabela_registros[TIPO],DADOS!$P$4,tabela_registros[CATEGORIA],despesavariávelconsolidadomai[[#This Row],[DESPESA VARIÁVEL]])</f>
        <v>0</v>
      </c>
      <c r="Y67" s="91">
        <f>SUMIFS(tabela_registros[VALOR],tabela_registros[MÊS],$AE$1,tabela_registros[DIA],maitotal30597183[[#Headers],[21]],tabela_registros[REGISTRO],DADOS!$N$4,tabela_registros[TIPO],DADOS!$P$4,tabela_registros[CATEGORIA],despesavariávelconsolidadomai[[#This Row],[DESPESA VARIÁVEL]])</f>
        <v>0</v>
      </c>
      <c r="Z67" s="91">
        <f>SUMIFS(tabela_registros[VALOR],tabela_registros[MÊS],$AE$1,tabela_registros[DIA],maitotal30597183[[#Headers],[22]],tabela_registros[REGISTRO],DADOS!$N$4,tabela_registros[TIPO],DADOS!$P$4,tabela_registros[CATEGORIA],despesavariávelconsolidadomai[[#This Row],[DESPESA VARIÁVEL]])</f>
        <v>0</v>
      </c>
      <c r="AA67" s="91">
        <f>SUMIFS(tabela_registros[VALOR],tabela_registros[MÊS],$AE$1,tabela_registros[DIA],maitotal30597183[[#Headers],[23]],tabela_registros[REGISTRO],DADOS!$N$4,tabela_registros[TIPO],DADOS!$P$4,tabela_registros[CATEGORIA],despesavariávelconsolidadomai[[#This Row],[DESPESA VARIÁVEL]])</f>
        <v>0</v>
      </c>
      <c r="AB67" s="91">
        <f>SUMIFS(tabela_registros[VALOR],tabela_registros[MÊS],$AE$1,tabela_registros[DIA],maitotal30597183[[#Headers],[24]],tabela_registros[REGISTRO],DADOS!$N$4,tabela_registros[TIPO],DADOS!$P$4,tabela_registros[CATEGORIA],despesavariávelconsolidadomai[[#This Row],[DESPESA VARIÁVEL]])</f>
        <v>0</v>
      </c>
      <c r="AC67" s="91">
        <f>SUMIFS(tabela_registros[VALOR],tabela_registros[MÊS],$AE$1,tabela_registros[DIA],maitotal30597183[[#Headers],[25]],tabela_registros[REGISTRO],DADOS!$N$4,tabela_registros[TIPO],DADOS!$P$4,tabela_registros[CATEGORIA],despesavariávelconsolidadomai[[#This Row],[DESPESA VARIÁVEL]])</f>
        <v>0</v>
      </c>
      <c r="AD67" s="91">
        <f>SUMIFS(tabela_registros[VALOR],tabela_registros[MÊS],$AE$1,tabela_registros[DIA],maitotal30597183[[#Headers],[26]],tabela_registros[REGISTRO],DADOS!$N$4,tabela_registros[TIPO],DADOS!$P$4,tabela_registros[CATEGORIA],despesavariávelconsolidadomai[[#This Row],[DESPESA VARIÁVEL]])</f>
        <v>0</v>
      </c>
      <c r="AE67" s="91">
        <f>SUMIFS(tabela_registros[VALOR],tabela_registros[MÊS],$AE$1,tabela_registros[DIA],maitotal30597183[[#Headers],[27]],tabela_registros[REGISTRO],DADOS!$N$4,tabela_registros[TIPO],DADOS!$P$4,tabela_registros[CATEGORIA],despesavariávelconsolidadomai[[#This Row],[DESPESA VARIÁVEL]])</f>
        <v>0</v>
      </c>
      <c r="AF67" s="91">
        <f>SUMIFS(tabela_registros[VALOR],tabela_registros[MÊS],$AE$1,tabela_registros[DIA],maitotal30597183[[#Headers],[28]],tabela_registros[REGISTRO],DADOS!$N$4,tabela_registros[TIPO],DADOS!$P$4,tabela_registros[CATEGORIA],despesavariávelconsolidadomai[[#This Row],[DESPESA VARIÁVEL]])</f>
        <v>0</v>
      </c>
      <c r="AG67" s="91">
        <f>SUMIFS(tabela_registros[VALOR],tabela_registros[MÊS],$AE$1,tabela_registros[DIA],maitotal30597183[[#Headers],[29]],tabela_registros[REGISTRO],DADOS!$N$4,tabela_registros[TIPO],DADOS!$P$4,tabela_registros[CATEGORIA],despesavariávelconsolidadomai[[#This Row],[DESPESA VARIÁVEL]])</f>
        <v>0</v>
      </c>
      <c r="AH67" s="91">
        <f>SUMIFS(tabela_registros[VALOR],tabela_registros[MÊS],$AE$1,tabela_registros[DIA],maitotal30597183[[#Headers],[30]],tabela_registros[REGISTRO],DADOS!$N$4,tabela_registros[TIPO],DADOS!$P$4,tabela_registros[CATEGORIA],despesavariávelconsolidadomai[[#This Row],[DESPESA VARIÁVEL]])</f>
        <v>0</v>
      </c>
      <c r="AI67" s="101">
        <f>SUMIFS(tabela_registros[VALOR],tabela_registros[MÊS],$AE$1,tabela_registros[DIA],maitotal30597183[[#Headers],[31]],tabela_registros[REGISTRO],DADOS!$N$4,tabela_registros[TIPO],DADOS!$P$4,tabela_registros[CATEGORIA],despesavariávelconsolidadomai[[#This Row],[DESPESA VARIÁVEL]])</f>
        <v>0</v>
      </c>
      <c r="AJ67" s="97">
        <f>SUM(despesavariávelconsolidadomai[[#This Row],[1]:[31]])</f>
        <v>0</v>
      </c>
      <c r="AK67" s="28"/>
    </row>
    <row r="68" spans="2:37" ht="18" customHeight="1" thickTop="1" thickBot="1" x14ac:dyDescent="0.3">
      <c r="B68" s="28"/>
      <c r="C68" s="27" t="str">
        <f>DADOS!$T$11</f>
        <v>🎁 PRESENTES</v>
      </c>
      <c r="D68" s="26" t="str">
        <f>IF(despesavariávelconsolidadomai[[#This Row],[TOTAL]]=0,"",IF(OR(despesavariávelconsolidadomai[[#This Row],[TOTAL]]=LARGE($AJ$60:$AJ$72,1),despesavariávelconsolidadomai[[#This Row],[TOTAL]]=LARGE($AJ$60:$AJ$72,2),despesavariávelconsolidadomai[[#This Row],[TOTAL]]=LARGE($AJ$60:$AJ$72,3),despesavariávelconsolidadomai[[#This Row],[TOTAL]]=LARGE($AJ$60:$AJ$72,4),despesavariávelconsolidadomai[[#This Row],[TOTAL]]=LARGE($AJ$60:$AJ$72,5)),DADOS!$I$8,""))</f>
        <v/>
      </c>
      <c r="E68" s="96">
        <f>SUMIFS(tabela_registros[VALOR],tabela_registros[MÊS],$AE$1,tabela_registros[DIA],maitotal30597183[[#Headers],[1]],tabela_registros[REGISTRO],DADOS!$N$4,tabela_registros[TIPO],DADOS!$P$4,tabela_registros[CATEGORIA],despesavariávelconsolidadomai[[#This Row],[DESPESA VARIÁVEL]])</f>
        <v>0</v>
      </c>
      <c r="F68" s="91">
        <f>SUMIFS(tabela_registros[VALOR],tabela_registros[MÊS],$AE$1,tabela_registros[DIA],maitotal30597183[[#Headers],[2]],tabela_registros[REGISTRO],DADOS!$N$4,tabela_registros[TIPO],DADOS!$P$4,tabela_registros[CATEGORIA],despesavariávelconsolidadomai[[#This Row],[DESPESA VARIÁVEL]])</f>
        <v>0</v>
      </c>
      <c r="G68" s="91">
        <f>SUMIFS(tabela_registros[VALOR],tabela_registros[MÊS],$AE$1,tabela_registros[DIA],maitotal30597183[[#Headers],[3]],tabela_registros[REGISTRO],DADOS!$N$4,tabela_registros[TIPO],DADOS!$P$4,tabela_registros[CATEGORIA],despesavariávelconsolidadomai[[#This Row],[DESPESA VARIÁVEL]])</f>
        <v>0</v>
      </c>
      <c r="H68" s="91">
        <f>SUMIFS(tabela_registros[VALOR],tabela_registros[MÊS],$AE$1,tabela_registros[DIA],maitotal30597183[[#Headers],[4]],tabela_registros[REGISTRO],DADOS!$N$4,tabela_registros[TIPO],DADOS!$P$4,tabela_registros[CATEGORIA],despesavariávelconsolidadomai[[#This Row],[DESPESA VARIÁVEL]])</f>
        <v>0</v>
      </c>
      <c r="I68" s="91">
        <f>SUMIFS(tabela_registros[VALOR],tabela_registros[MÊS],$AE$1,tabela_registros[DIA],maitotal30597183[[#Headers],[5]],tabela_registros[REGISTRO],DADOS!$N$4,tabela_registros[TIPO],DADOS!$P$4,tabela_registros[CATEGORIA],despesavariávelconsolidadomai[[#This Row],[DESPESA VARIÁVEL]])</f>
        <v>0</v>
      </c>
      <c r="J68" s="91">
        <f>SUMIFS(tabela_registros[VALOR],tabela_registros[MÊS],$AE$1,tabela_registros[DIA],maitotal30597183[[#Headers],[6]],tabela_registros[REGISTRO],DADOS!$N$4,tabela_registros[TIPO],DADOS!$P$4,tabela_registros[CATEGORIA],despesavariávelconsolidadomai[[#This Row],[DESPESA VARIÁVEL]])</f>
        <v>0</v>
      </c>
      <c r="K68" s="91">
        <f>SUMIFS(tabela_registros[VALOR],tabela_registros[MÊS],$AE$1,tabela_registros[DIA],maitotal30597183[[#Headers],[7]],tabela_registros[REGISTRO],DADOS!$N$4,tabela_registros[TIPO],DADOS!$P$4,tabela_registros[CATEGORIA],despesavariávelconsolidadomai[[#This Row],[DESPESA VARIÁVEL]])</f>
        <v>0</v>
      </c>
      <c r="L68" s="91">
        <f>SUMIFS(tabela_registros[VALOR],tabela_registros[MÊS],$AE$1,tabela_registros[DIA],maitotal30597183[[#Headers],[8]],tabela_registros[REGISTRO],DADOS!$N$4,tabela_registros[TIPO],DADOS!$P$4,tabela_registros[CATEGORIA],despesavariávelconsolidadomai[[#This Row],[DESPESA VARIÁVEL]])</f>
        <v>0</v>
      </c>
      <c r="M68" s="91">
        <f>SUMIFS(tabela_registros[VALOR],tabela_registros[MÊS],$AE$1,tabela_registros[DIA],maitotal30597183[[#Headers],[9]],tabela_registros[REGISTRO],DADOS!$N$4,tabela_registros[TIPO],DADOS!$P$4,tabela_registros[CATEGORIA],despesavariávelconsolidadomai[[#This Row],[DESPESA VARIÁVEL]])</f>
        <v>0</v>
      </c>
      <c r="N68" s="91">
        <f>SUMIFS(tabela_registros[VALOR],tabela_registros[MÊS],$AE$1,tabela_registros[DIA],maitotal30597183[[#Headers],[10]],tabela_registros[REGISTRO],DADOS!$N$4,tabela_registros[TIPO],DADOS!$P$4,tabela_registros[CATEGORIA],despesavariávelconsolidadomai[[#This Row],[DESPESA VARIÁVEL]])</f>
        <v>0</v>
      </c>
      <c r="O68" s="91">
        <f>SUMIFS(tabela_registros[VALOR],tabela_registros[MÊS],$AE$1,tabela_registros[DIA],maitotal30597183[[#Headers],[11]],tabela_registros[REGISTRO],DADOS!$N$4,tabela_registros[TIPO],DADOS!$P$4,tabela_registros[CATEGORIA],despesavariávelconsolidadomai[[#This Row],[DESPESA VARIÁVEL]])</f>
        <v>0</v>
      </c>
      <c r="P68" s="91">
        <f>SUMIFS(tabela_registros[VALOR],tabela_registros[MÊS],$AE$1,tabela_registros[DIA],maitotal30597183[[#Headers],[12]],tabela_registros[REGISTRO],DADOS!$N$4,tabela_registros[TIPO],DADOS!$P$4,tabela_registros[CATEGORIA],despesavariávelconsolidadomai[[#This Row],[DESPESA VARIÁVEL]])</f>
        <v>0</v>
      </c>
      <c r="Q68" s="91">
        <f>SUMIFS(tabela_registros[VALOR],tabela_registros[MÊS],$AE$1,tabela_registros[DIA],maitotal30597183[[#Headers],[13]],tabela_registros[REGISTRO],DADOS!$N$4,tabela_registros[TIPO],DADOS!$P$4,tabela_registros[CATEGORIA],despesavariávelconsolidadomai[[#This Row],[DESPESA VARIÁVEL]])</f>
        <v>0</v>
      </c>
      <c r="R68" s="91">
        <f>SUMIFS(tabela_registros[VALOR],tabela_registros[MÊS],$AE$1,tabela_registros[DIA],maitotal30597183[[#Headers],[14]],tabela_registros[REGISTRO],DADOS!$N$4,tabela_registros[TIPO],DADOS!$P$4,tabela_registros[CATEGORIA],despesavariávelconsolidadomai[[#This Row],[DESPESA VARIÁVEL]])</f>
        <v>0</v>
      </c>
      <c r="S68" s="91">
        <f>SUMIFS(tabela_registros[VALOR],tabela_registros[MÊS],$AE$1,tabela_registros[DIA],maitotal30597183[[#Headers],[15]],tabela_registros[REGISTRO],DADOS!$N$4,tabela_registros[TIPO],DADOS!$P$4,tabela_registros[CATEGORIA],despesavariávelconsolidadomai[[#This Row],[DESPESA VARIÁVEL]])</f>
        <v>0</v>
      </c>
      <c r="T68" s="91">
        <f>SUMIFS(tabela_registros[VALOR],tabela_registros[MÊS],$AE$1,tabela_registros[DIA],maitotal30597183[[#Headers],[16]],tabela_registros[REGISTRO],DADOS!$N$4,tabela_registros[TIPO],DADOS!$P$4,tabela_registros[CATEGORIA],despesavariávelconsolidadomai[[#This Row],[DESPESA VARIÁVEL]])</f>
        <v>0</v>
      </c>
      <c r="U68" s="91">
        <f>SUMIFS(tabela_registros[VALOR],tabela_registros[MÊS],$AE$1,tabela_registros[DIA],maitotal30597183[[#Headers],[17]],tabela_registros[REGISTRO],DADOS!$N$4,tabela_registros[TIPO],DADOS!$P$4,tabela_registros[CATEGORIA],despesavariávelconsolidadomai[[#This Row],[DESPESA VARIÁVEL]])</f>
        <v>0</v>
      </c>
      <c r="V68" s="91">
        <f>SUMIFS(tabela_registros[VALOR],tabela_registros[MÊS],$AE$1,tabela_registros[DIA],maitotal30597183[[#Headers],[18]],tabela_registros[REGISTRO],DADOS!$N$4,tabela_registros[TIPO],DADOS!$P$4,tabela_registros[CATEGORIA],despesavariávelconsolidadomai[[#This Row],[DESPESA VARIÁVEL]])</f>
        <v>0</v>
      </c>
      <c r="W68" s="91">
        <f>SUMIFS(tabela_registros[VALOR],tabela_registros[MÊS],$AE$1,tabela_registros[DIA],maitotal30597183[[#Headers],[19]],tabela_registros[REGISTRO],DADOS!$N$4,tabela_registros[TIPO],DADOS!$P$4,tabela_registros[CATEGORIA],despesavariávelconsolidadomai[[#This Row],[DESPESA VARIÁVEL]])</f>
        <v>0</v>
      </c>
      <c r="X68" s="91">
        <f>SUMIFS(tabela_registros[VALOR],tabela_registros[MÊS],$AE$1,tabela_registros[DIA],maitotal30597183[[#Headers],[20]],tabela_registros[REGISTRO],DADOS!$N$4,tabela_registros[TIPO],DADOS!$P$4,tabela_registros[CATEGORIA],despesavariávelconsolidadomai[[#This Row],[DESPESA VARIÁVEL]])</f>
        <v>0</v>
      </c>
      <c r="Y68" s="91">
        <f>SUMIFS(tabela_registros[VALOR],tabela_registros[MÊS],$AE$1,tabela_registros[DIA],maitotal30597183[[#Headers],[21]],tabela_registros[REGISTRO],DADOS!$N$4,tabela_registros[TIPO],DADOS!$P$4,tabela_registros[CATEGORIA],despesavariávelconsolidadomai[[#This Row],[DESPESA VARIÁVEL]])</f>
        <v>0</v>
      </c>
      <c r="Z68" s="91">
        <f>SUMIFS(tabela_registros[VALOR],tabela_registros[MÊS],$AE$1,tabela_registros[DIA],maitotal30597183[[#Headers],[22]],tabela_registros[REGISTRO],DADOS!$N$4,tabela_registros[TIPO],DADOS!$P$4,tabela_registros[CATEGORIA],despesavariávelconsolidadomai[[#This Row],[DESPESA VARIÁVEL]])</f>
        <v>0</v>
      </c>
      <c r="AA68" s="91">
        <f>SUMIFS(tabela_registros[VALOR],tabela_registros[MÊS],$AE$1,tabela_registros[DIA],maitotal30597183[[#Headers],[23]],tabela_registros[REGISTRO],DADOS!$N$4,tabela_registros[TIPO],DADOS!$P$4,tabela_registros[CATEGORIA],despesavariávelconsolidadomai[[#This Row],[DESPESA VARIÁVEL]])</f>
        <v>0</v>
      </c>
      <c r="AB68" s="91">
        <f>SUMIFS(tabela_registros[VALOR],tabela_registros[MÊS],$AE$1,tabela_registros[DIA],maitotal30597183[[#Headers],[24]],tabela_registros[REGISTRO],DADOS!$N$4,tabela_registros[TIPO],DADOS!$P$4,tabela_registros[CATEGORIA],despesavariávelconsolidadomai[[#This Row],[DESPESA VARIÁVEL]])</f>
        <v>0</v>
      </c>
      <c r="AC68" s="91">
        <f>SUMIFS(tabela_registros[VALOR],tabela_registros[MÊS],$AE$1,tabela_registros[DIA],maitotal30597183[[#Headers],[25]],tabela_registros[REGISTRO],DADOS!$N$4,tabela_registros[TIPO],DADOS!$P$4,tabela_registros[CATEGORIA],despesavariávelconsolidadomai[[#This Row],[DESPESA VARIÁVEL]])</f>
        <v>0</v>
      </c>
      <c r="AD68" s="91">
        <f>SUMIFS(tabela_registros[VALOR],tabela_registros[MÊS],$AE$1,tabela_registros[DIA],maitotal30597183[[#Headers],[26]],tabela_registros[REGISTRO],DADOS!$N$4,tabela_registros[TIPO],DADOS!$P$4,tabela_registros[CATEGORIA],despesavariávelconsolidadomai[[#This Row],[DESPESA VARIÁVEL]])</f>
        <v>0</v>
      </c>
      <c r="AE68" s="91">
        <f>SUMIFS(tabela_registros[VALOR],tabela_registros[MÊS],$AE$1,tabela_registros[DIA],maitotal30597183[[#Headers],[27]],tabela_registros[REGISTRO],DADOS!$N$4,tabela_registros[TIPO],DADOS!$P$4,tabela_registros[CATEGORIA],despesavariávelconsolidadomai[[#This Row],[DESPESA VARIÁVEL]])</f>
        <v>0</v>
      </c>
      <c r="AF68" s="91">
        <f>SUMIFS(tabela_registros[VALOR],tabela_registros[MÊS],$AE$1,tabela_registros[DIA],maitotal30597183[[#Headers],[28]],tabela_registros[REGISTRO],DADOS!$N$4,tabela_registros[TIPO],DADOS!$P$4,tabela_registros[CATEGORIA],despesavariávelconsolidadomai[[#This Row],[DESPESA VARIÁVEL]])</f>
        <v>0</v>
      </c>
      <c r="AG68" s="91">
        <f>SUMIFS(tabela_registros[VALOR],tabela_registros[MÊS],$AE$1,tabela_registros[DIA],maitotal30597183[[#Headers],[29]],tabela_registros[REGISTRO],DADOS!$N$4,tabela_registros[TIPO],DADOS!$P$4,tabela_registros[CATEGORIA],despesavariávelconsolidadomai[[#This Row],[DESPESA VARIÁVEL]])</f>
        <v>0</v>
      </c>
      <c r="AH68" s="91">
        <f>SUMIFS(tabela_registros[VALOR],tabela_registros[MÊS],$AE$1,tabela_registros[DIA],maitotal30597183[[#Headers],[30]],tabela_registros[REGISTRO],DADOS!$N$4,tabela_registros[TIPO],DADOS!$P$4,tabela_registros[CATEGORIA],despesavariávelconsolidadomai[[#This Row],[DESPESA VARIÁVEL]])</f>
        <v>0</v>
      </c>
      <c r="AI68" s="101">
        <f>SUMIFS(tabela_registros[VALOR],tabela_registros[MÊS],$AE$1,tabela_registros[DIA],maitotal30597183[[#Headers],[31]],tabela_registros[REGISTRO],DADOS!$N$4,tabela_registros[TIPO],DADOS!$P$4,tabela_registros[CATEGORIA],despesavariávelconsolidadomai[[#This Row],[DESPESA VARIÁVEL]])</f>
        <v>0</v>
      </c>
      <c r="AJ68" s="97">
        <f>SUM(despesavariávelconsolidadomai[[#This Row],[1]:[31]])</f>
        <v>0</v>
      </c>
      <c r="AK68" s="28"/>
    </row>
    <row r="69" spans="2:37" ht="18" customHeight="1" thickTop="1" thickBot="1" x14ac:dyDescent="0.3">
      <c r="B69" s="28"/>
      <c r="C69" s="27" t="str">
        <f>DADOS!$T$12</f>
        <v>💊 SAÚDE</v>
      </c>
      <c r="D69" s="26" t="str">
        <f>IF(despesavariávelconsolidadomai[[#This Row],[TOTAL]]=0,"",IF(OR(despesavariávelconsolidadomai[[#This Row],[TOTAL]]=LARGE($AJ$60:$AJ$72,1),despesavariávelconsolidadomai[[#This Row],[TOTAL]]=LARGE($AJ$60:$AJ$72,2),despesavariávelconsolidadomai[[#This Row],[TOTAL]]=LARGE($AJ$60:$AJ$72,3),despesavariávelconsolidadomai[[#This Row],[TOTAL]]=LARGE($AJ$60:$AJ$72,4),despesavariávelconsolidadomai[[#This Row],[TOTAL]]=LARGE($AJ$60:$AJ$72,5)),DADOS!$I$8,""))</f>
        <v/>
      </c>
      <c r="E69" s="96">
        <f>SUMIFS(tabela_registros[VALOR],tabela_registros[MÊS],$AE$1,tabela_registros[DIA],maitotal30597183[[#Headers],[1]],tabela_registros[REGISTRO],DADOS!$N$4,tabela_registros[TIPO],DADOS!$P$4,tabela_registros[CATEGORIA],despesavariávelconsolidadomai[[#This Row],[DESPESA VARIÁVEL]])</f>
        <v>0</v>
      </c>
      <c r="F69" s="91">
        <f>SUMIFS(tabela_registros[VALOR],tabela_registros[MÊS],$AE$1,tabela_registros[DIA],maitotal30597183[[#Headers],[2]],tabela_registros[REGISTRO],DADOS!$N$4,tabela_registros[TIPO],DADOS!$P$4,tabela_registros[CATEGORIA],despesavariávelconsolidadomai[[#This Row],[DESPESA VARIÁVEL]])</f>
        <v>0</v>
      </c>
      <c r="G69" s="91">
        <f>SUMIFS(tabela_registros[VALOR],tabela_registros[MÊS],$AE$1,tabela_registros[DIA],maitotal30597183[[#Headers],[3]],tabela_registros[REGISTRO],DADOS!$N$4,tabela_registros[TIPO],DADOS!$P$4,tabela_registros[CATEGORIA],despesavariávelconsolidadomai[[#This Row],[DESPESA VARIÁVEL]])</f>
        <v>0</v>
      </c>
      <c r="H69" s="91">
        <f>SUMIFS(tabela_registros[VALOR],tabela_registros[MÊS],$AE$1,tabela_registros[DIA],maitotal30597183[[#Headers],[4]],tabela_registros[REGISTRO],DADOS!$N$4,tabela_registros[TIPO],DADOS!$P$4,tabela_registros[CATEGORIA],despesavariávelconsolidadomai[[#This Row],[DESPESA VARIÁVEL]])</f>
        <v>0</v>
      </c>
      <c r="I69" s="91">
        <f>SUMIFS(tabela_registros[VALOR],tabela_registros[MÊS],$AE$1,tabela_registros[DIA],maitotal30597183[[#Headers],[5]],tabela_registros[REGISTRO],DADOS!$N$4,tabela_registros[TIPO],DADOS!$P$4,tabela_registros[CATEGORIA],despesavariávelconsolidadomai[[#This Row],[DESPESA VARIÁVEL]])</f>
        <v>0</v>
      </c>
      <c r="J69" s="91">
        <f>SUMIFS(tabela_registros[VALOR],tabela_registros[MÊS],$AE$1,tabela_registros[DIA],maitotal30597183[[#Headers],[6]],tabela_registros[REGISTRO],DADOS!$N$4,tabela_registros[TIPO],DADOS!$P$4,tabela_registros[CATEGORIA],despesavariávelconsolidadomai[[#This Row],[DESPESA VARIÁVEL]])</f>
        <v>0</v>
      </c>
      <c r="K69" s="91">
        <f>SUMIFS(tabela_registros[VALOR],tabela_registros[MÊS],$AE$1,tabela_registros[DIA],maitotal30597183[[#Headers],[7]],tabela_registros[REGISTRO],DADOS!$N$4,tabela_registros[TIPO],DADOS!$P$4,tabela_registros[CATEGORIA],despesavariávelconsolidadomai[[#This Row],[DESPESA VARIÁVEL]])</f>
        <v>0</v>
      </c>
      <c r="L69" s="91">
        <f>SUMIFS(tabela_registros[VALOR],tabela_registros[MÊS],$AE$1,tabela_registros[DIA],maitotal30597183[[#Headers],[8]],tabela_registros[REGISTRO],DADOS!$N$4,tabela_registros[TIPO],DADOS!$P$4,tabela_registros[CATEGORIA],despesavariávelconsolidadomai[[#This Row],[DESPESA VARIÁVEL]])</f>
        <v>0</v>
      </c>
      <c r="M69" s="91">
        <f>SUMIFS(tabela_registros[VALOR],tabela_registros[MÊS],$AE$1,tabela_registros[DIA],maitotal30597183[[#Headers],[9]],tabela_registros[REGISTRO],DADOS!$N$4,tabela_registros[TIPO],DADOS!$P$4,tabela_registros[CATEGORIA],despesavariávelconsolidadomai[[#This Row],[DESPESA VARIÁVEL]])</f>
        <v>0</v>
      </c>
      <c r="N69" s="91">
        <f>SUMIFS(tabela_registros[VALOR],tabela_registros[MÊS],$AE$1,tabela_registros[DIA],maitotal30597183[[#Headers],[10]],tabela_registros[REGISTRO],DADOS!$N$4,tabela_registros[TIPO],DADOS!$P$4,tabela_registros[CATEGORIA],despesavariávelconsolidadomai[[#This Row],[DESPESA VARIÁVEL]])</f>
        <v>0</v>
      </c>
      <c r="O69" s="91">
        <f>SUMIFS(tabela_registros[VALOR],tabela_registros[MÊS],$AE$1,tabela_registros[DIA],maitotal30597183[[#Headers],[11]],tabela_registros[REGISTRO],DADOS!$N$4,tabela_registros[TIPO],DADOS!$P$4,tabela_registros[CATEGORIA],despesavariávelconsolidadomai[[#This Row],[DESPESA VARIÁVEL]])</f>
        <v>0</v>
      </c>
      <c r="P69" s="91">
        <f>SUMIFS(tabela_registros[VALOR],tabela_registros[MÊS],$AE$1,tabela_registros[DIA],maitotal30597183[[#Headers],[12]],tabela_registros[REGISTRO],DADOS!$N$4,tabela_registros[TIPO],DADOS!$P$4,tabela_registros[CATEGORIA],despesavariávelconsolidadomai[[#This Row],[DESPESA VARIÁVEL]])</f>
        <v>0</v>
      </c>
      <c r="Q69" s="91">
        <f>SUMIFS(tabela_registros[VALOR],tabela_registros[MÊS],$AE$1,tabela_registros[DIA],maitotal30597183[[#Headers],[13]],tabela_registros[REGISTRO],DADOS!$N$4,tabela_registros[TIPO],DADOS!$P$4,tabela_registros[CATEGORIA],despesavariávelconsolidadomai[[#This Row],[DESPESA VARIÁVEL]])</f>
        <v>0</v>
      </c>
      <c r="R69" s="91">
        <f>SUMIFS(tabela_registros[VALOR],tabela_registros[MÊS],$AE$1,tabela_registros[DIA],maitotal30597183[[#Headers],[14]],tabela_registros[REGISTRO],DADOS!$N$4,tabela_registros[TIPO],DADOS!$P$4,tabela_registros[CATEGORIA],despesavariávelconsolidadomai[[#This Row],[DESPESA VARIÁVEL]])</f>
        <v>0</v>
      </c>
      <c r="S69" s="91">
        <f>SUMIFS(tabela_registros[VALOR],tabela_registros[MÊS],$AE$1,tabela_registros[DIA],maitotal30597183[[#Headers],[15]],tabela_registros[REGISTRO],DADOS!$N$4,tabela_registros[TIPO],DADOS!$P$4,tabela_registros[CATEGORIA],despesavariávelconsolidadomai[[#This Row],[DESPESA VARIÁVEL]])</f>
        <v>0</v>
      </c>
      <c r="T69" s="91">
        <f>SUMIFS(tabela_registros[VALOR],tabela_registros[MÊS],$AE$1,tabela_registros[DIA],maitotal30597183[[#Headers],[16]],tabela_registros[REGISTRO],DADOS!$N$4,tabela_registros[TIPO],DADOS!$P$4,tabela_registros[CATEGORIA],despesavariávelconsolidadomai[[#This Row],[DESPESA VARIÁVEL]])</f>
        <v>0</v>
      </c>
      <c r="U69" s="91">
        <f>SUMIFS(tabela_registros[VALOR],tabela_registros[MÊS],$AE$1,tabela_registros[DIA],maitotal30597183[[#Headers],[17]],tabela_registros[REGISTRO],DADOS!$N$4,tabela_registros[TIPO],DADOS!$P$4,tabela_registros[CATEGORIA],despesavariávelconsolidadomai[[#This Row],[DESPESA VARIÁVEL]])</f>
        <v>0</v>
      </c>
      <c r="V69" s="91">
        <f>SUMIFS(tabela_registros[VALOR],tabela_registros[MÊS],$AE$1,tabela_registros[DIA],maitotal30597183[[#Headers],[18]],tabela_registros[REGISTRO],DADOS!$N$4,tabela_registros[TIPO],DADOS!$P$4,tabela_registros[CATEGORIA],despesavariávelconsolidadomai[[#This Row],[DESPESA VARIÁVEL]])</f>
        <v>0</v>
      </c>
      <c r="W69" s="91">
        <f>SUMIFS(tabela_registros[VALOR],tabela_registros[MÊS],$AE$1,tabela_registros[DIA],maitotal30597183[[#Headers],[19]],tabela_registros[REGISTRO],DADOS!$N$4,tabela_registros[TIPO],DADOS!$P$4,tabela_registros[CATEGORIA],despesavariávelconsolidadomai[[#This Row],[DESPESA VARIÁVEL]])</f>
        <v>0</v>
      </c>
      <c r="X69" s="91">
        <f>SUMIFS(tabela_registros[VALOR],tabela_registros[MÊS],$AE$1,tabela_registros[DIA],maitotal30597183[[#Headers],[20]],tabela_registros[REGISTRO],DADOS!$N$4,tabela_registros[TIPO],DADOS!$P$4,tabela_registros[CATEGORIA],despesavariávelconsolidadomai[[#This Row],[DESPESA VARIÁVEL]])</f>
        <v>0</v>
      </c>
      <c r="Y69" s="91">
        <f>SUMIFS(tabela_registros[VALOR],tabela_registros[MÊS],$AE$1,tabela_registros[DIA],maitotal30597183[[#Headers],[21]],tabela_registros[REGISTRO],DADOS!$N$4,tabela_registros[TIPO],DADOS!$P$4,tabela_registros[CATEGORIA],despesavariávelconsolidadomai[[#This Row],[DESPESA VARIÁVEL]])</f>
        <v>0</v>
      </c>
      <c r="Z69" s="91">
        <f>SUMIFS(tabela_registros[VALOR],tabela_registros[MÊS],$AE$1,tabela_registros[DIA],maitotal30597183[[#Headers],[22]],tabela_registros[REGISTRO],DADOS!$N$4,tabela_registros[TIPO],DADOS!$P$4,tabela_registros[CATEGORIA],despesavariávelconsolidadomai[[#This Row],[DESPESA VARIÁVEL]])</f>
        <v>0</v>
      </c>
      <c r="AA69" s="91">
        <f>SUMIFS(tabela_registros[VALOR],tabela_registros[MÊS],$AE$1,tabela_registros[DIA],maitotal30597183[[#Headers],[23]],tabela_registros[REGISTRO],DADOS!$N$4,tabela_registros[TIPO],DADOS!$P$4,tabela_registros[CATEGORIA],despesavariávelconsolidadomai[[#This Row],[DESPESA VARIÁVEL]])</f>
        <v>0</v>
      </c>
      <c r="AB69" s="91">
        <f>SUMIFS(tabela_registros[VALOR],tabela_registros[MÊS],$AE$1,tabela_registros[DIA],maitotal30597183[[#Headers],[24]],tabela_registros[REGISTRO],DADOS!$N$4,tabela_registros[TIPO],DADOS!$P$4,tabela_registros[CATEGORIA],despesavariávelconsolidadomai[[#This Row],[DESPESA VARIÁVEL]])</f>
        <v>0</v>
      </c>
      <c r="AC69" s="91">
        <f>SUMIFS(tabela_registros[VALOR],tabela_registros[MÊS],$AE$1,tabela_registros[DIA],maitotal30597183[[#Headers],[25]],tabela_registros[REGISTRO],DADOS!$N$4,tabela_registros[TIPO],DADOS!$P$4,tabela_registros[CATEGORIA],despesavariávelconsolidadomai[[#This Row],[DESPESA VARIÁVEL]])</f>
        <v>0</v>
      </c>
      <c r="AD69" s="91">
        <f>SUMIFS(tabela_registros[VALOR],tabela_registros[MÊS],$AE$1,tabela_registros[DIA],maitotal30597183[[#Headers],[26]],tabela_registros[REGISTRO],DADOS!$N$4,tabela_registros[TIPO],DADOS!$P$4,tabela_registros[CATEGORIA],despesavariávelconsolidadomai[[#This Row],[DESPESA VARIÁVEL]])</f>
        <v>0</v>
      </c>
      <c r="AE69" s="91">
        <f>SUMIFS(tabela_registros[VALOR],tabela_registros[MÊS],$AE$1,tabela_registros[DIA],maitotal30597183[[#Headers],[27]],tabela_registros[REGISTRO],DADOS!$N$4,tabela_registros[TIPO],DADOS!$P$4,tabela_registros[CATEGORIA],despesavariávelconsolidadomai[[#This Row],[DESPESA VARIÁVEL]])</f>
        <v>0</v>
      </c>
      <c r="AF69" s="91">
        <f>SUMIFS(tabela_registros[VALOR],tabela_registros[MÊS],$AE$1,tabela_registros[DIA],maitotal30597183[[#Headers],[28]],tabela_registros[REGISTRO],DADOS!$N$4,tabela_registros[TIPO],DADOS!$P$4,tabela_registros[CATEGORIA],despesavariávelconsolidadomai[[#This Row],[DESPESA VARIÁVEL]])</f>
        <v>0</v>
      </c>
      <c r="AG69" s="91">
        <f>SUMIFS(tabela_registros[VALOR],tabela_registros[MÊS],$AE$1,tabela_registros[DIA],maitotal30597183[[#Headers],[29]],tabela_registros[REGISTRO],DADOS!$N$4,tabela_registros[TIPO],DADOS!$P$4,tabela_registros[CATEGORIA],despesavariávelconsolidadomai[[#This Row],[DESPESA VARIÁVEL]])</f>
        <v>0</v>
      </c>
      <c r="AH69" s="91">
        <f>SUMIFS(tabela_registros[VALOR],tabela_registros[MÊS],$AE$1,tabela_registros[DIA],maitotal30597183[[#Headers],[30]],tabela_registros[REGISTRO],DADOS!$N$4,tabela_registros[TIPO],DADOS!$P$4,tabela_registros[CATEGORIA],despesavariávelconsolidadomai[[#This Row],[DESPESA VARIÁVEL]])</f>
        <v>0</v>
      </c>
      <c r="AI69" s="101">
        <f>SUMIFS(tabela_registros[VALOR],tabela_registros[MÊS],$AE$1,tabela_registros[DIA],maitotal30597183[[#Headers],[31]],tabela_registros[REGISTRO],DADOS!$N$4,tabela_registros[TIPO],DADOS!$P$4,tabela_registros[CATEGORIA],despesavariávelconsolidadomai[[#This Row],[DESPESA VARIÁVEL]])</f>
        <v>0</v>
      </c>
      <c r="AJ69" s="97">
        <f>SUM(despesavariávelconsolidadomai[[#This Row],[1]:[31]])</f>
        <v>0</v>
      </c>
      <c r="AK69" s="28"/>
    </row>
    <row r="70" spans="2:37" ht="18" customHeight="1" thickTop="1" thickBot="1" x14ac:dyDescent="0.3">
      <c r="B70" s="28"/>
      <c r="C70" s="27" t="str">
        <f>DADOS!$T$13</f>
        <v>🚍 TRANSPORTE</v>
      </c>
      <c r="D70" s="26" t="str">
        <f>IF(despesavariávelconsolidadomai[[#This Row],[TOTAL]]=0,"",IF(OR(despesavariávelconsolidadomai[[#This Row],[TOTAL]]=LARGE($AJ$60:$AJ$72,1),despesavariávelconsolidadomai[[#This Row],[TOTAL]]=LARGE($AJ$60:$AJ$72,2),despesavariávelconsolidadomai[[#This Row],[TOTAL]]=LARGE($AJ$60:$AJ$72,3),despesavariávelconsolidadomai[[#This Row],[TOTAL]]=LARGE($AJ$60:$AJ$72,4),despesavariávelconsolidadomai[[#This Row],[TOTAL]]=LARGE($AJ$60:$AJ$72,5)),DADOS!$I$8,""))</f>
        <v/>
      </c>
      <c r="E70" s="96">
        <f>SUMIFS(tabela_registros[VALOR],tabela_registros[MÊS],$AE$1,tabela_registros[DIA],maitotal30597183[[#Headers],[1]],tabela_registros[REGISTRO],DADOS!$N$4,tabela_registros[TIPO],DADOS!$P$4,tabela_registros[CATEGORIA],despesavariávelconsolidadomai[[#This Row],[DESPESA VARIÁVEL]])</f>
        <v>0</v>
      </c>
      <c r="F70" s="91">
        <f>SUMIFS(tabela_registros[VALOR],tabela_registros[MÊS],$AE$1,tabela_registros[DIA],maitotal30597183[[#Headers],[2]],tabela_registros[REGISTRO],DADOS!$N$4,tabela_registros[TIPO],DADOS!$P$4,tabela_registros[CATEGORIA],despesavariávelconsolidadomai[[#This Row],[DESPESA VARIÁVEL]])</f>
        <v>0</v>
      </c>
      <c r="G70" s="91">
        <f>SUMIFS(tabela_registros[VALOR],tabela_registros[MÊS],$AE$1,tabela_registros[DIA],maitotal30597183[[#Headers],[3]],tabela_registros[REGISTRO],DADOS!$N$4,tabela_registros[TIPO],DADOS!$P$4,tabela_registros[CATEGORIA],despesavariávelconsolidadomai[[#This Row],[DESPESA VARIÁVEL]])</f>
        <v>0</v>
      </c>
      <c r="H70" s="91">
        <f>SUMIFS(tabela_registros[VALOR],tabela_registros[MÊS],$AE$1,tabela_registros[DIA],maitotal30597183[[#Headers],[4]],tabela_registros[REGISTRO],DADOS!$N$4,tabela_registros[TIPO],DADOS!$P$4,tabela_registros[CATEGORIA],despesavariávelconsolidadomai[[#This Row],[DESPESA VARIÁVEL]])</f>
        <v>0</v>
      </c>
      <c r="I70" s="91">
        <f>SUMIFS(tabela_registros[VALOR],tabela_registros[MÊS],$AE$1,tabela_registros[DIA],maitotal30597183[[#Headers],[5]],tabela_registros[REGISTRO],DADOS!$N$4,tabela_registros[TIPO],DADOS!$P$4,tabela_registros[CATEGORIA],despesavariávelconsolidadomai[[#This Row],[DESPESA VARIÁVEL]])</f>
        <v>0</v>
      </c>
      <c r="J70" s="91">
        <f>SUMIFS(tabela_registros[VALOR],tabela_registros[MÊS],$AE$1,tabela_registros[DIA],maitotal30597183[[#Headers],[6]],tabela_registros[REGISTRO],DADOS!$N$4,tabela_registros[TIPO],DADOS!$P$4,tabela_registros[CATEGORIA],despesavariávelconsolidadomai[[#This Row],[DESPESA VARIÁVEL]])</f>
        <v>0</v>
      </c>
      <c r="K70" s="91">
        <f>SUMIFS(tabela_registros[VALOR],tabela_registros[MÊS],$AE$1,tabela_registros[DIA],maitotal30597183[[#Headers],[7]],tabela_registros[REGISTRO],DADOS!$N$4,tabela_registros[TIPO],DADOS!$P$4,tabela_registros[CATEGORIA],despesavariávelconsolidadomai[[#This Row],[DESPESA VARIÁVEL]])</f>
        <v>0</v>
      </c>
      <c r="L70" s="91">
        <f>SUMIFS(tabela_registros[VALOR],tabela_registros[MÊS],$AE$1,tabela_registros[DIA],maitotal30597183[[#Headers],[8]],tabela_registros[REGISTRO],DADOS!$N$4,tabela_registros[TIPO],DADOS!$P$4,tabela_registros[CATEGORIA],despesavariávelconsolidadomai[[#This Row],[DESPESA VARIÁVEL]])</f>
        <v>0</v>
      </c>
      <c r="M70" s="91">
        <f>SUMIFS(tabela_registros[VALOR],tabela_registros[MÊS],$AE$1,tabela_registros[DIA],maitotal30597183[[#Headers],[9]],tabela_registros[REGISTRO],DADOS!$N$4,tabela_registros[TIPO],DADOS!$P$4,tabela_registros[CATEGORIA],despesavariávelconsolidadomai[[#This Row],[DESPESA VARIÁVEL]])</f>
        <v>0</v>
      </c>
      <c r="N70" s="91">
        <f>SUMIFS(tabela_registros[VALOR],tabela_registros[MÊS],$AE$1,tabela_registros[DIA],maitotal30597183[[#Headers],[10]],tabela_registros[REGISTRO],DADOS!$N$4,tabela_registros[TIPO],DADOS!$P$4,tabela_registros[CATEGORIA],despesavariávelconsolidadomai[[#This Row],[DESPESA VARIÁVEL]])</f>
        <v>0</v>
      </c>
      <c r="O70" s="91">
        <f>SUMIFS(tabela_registros[VALOR],tabela_registros[MÊS],$AE$1,tabela_registros[DIA],maitotal30597183[[#Headers],[11]],tabela_registros[REGISTRO],DADOS!$N$4,tabela_registros[TIPO],DADOS!$P$4,tabela_registros[CATEGORIA],despesavariávelconsolidadomai[[#This Row],[DESPESA VARIÁVEL]])</f>
        <v>0</v>
      </c>
      <c r="P70" s="91">
        <f>SUMIFS(tabela_registros[VALOR],tabela_registros[MÊS],$AE$1,tabela_registros[DIA],maitotal30597183[[#Headers],[12]],tabela_registros[REGISTRO],DADOS!$N$4,tabela_registros[TIPO],DADOS!$P$4,tabela_registros[CATEGORIA],despesavariávelconsolidadomai[[#This Row],[DESPESA VARIÁVEL]])</f>
        <v>0</v>
      </c>
      <c r="Q70" s="91">
        <f>SUMIFS(tabela_registros[VALOR],tabela_registros[MÊS],$AE$1,tabela_registros[DIA],maitotal30597183[[#Headers],[13]],tabela_registros[REGISTRO],DADOS!$N$4,tabela_registros[TIPO],DADOS!$P$4,tabela_registros[CATEGORIA],despesavariávelconsolidadomai[[#This Row],[DESPESA VARIÁVEL]])</f>
        <v>0</v>
      </c>
      <c r="R70" s="91">
        <f>SUMIFS(tabela_registros[VALOR],tabela_registros[MÊS],$AE$1,tabela_registros[DIA],maitotal30597183[[#Headers],[14]],tabela_registros[REGISTRO],DADOS!$N$4,tabela_registros[TIPO],DADOS!$P$4,tabela_registros[CATEGORIA],despesavariávelconsolidadomai[[#This Row],[DESPESA VARIÁVEL]])</f>
        <v>0</v>
      </c>
      <c r="S70" s="91">
        <f>SUMIFS(tabela_registros[VALOR],tabela_registros[MÊS],$AE$1,tabela_registros[DIA],maitotal30597183[[#Headers],[15]],tabela_registros[REGISTRO],DADOS!$N$4,tabela_registros[TIPO],DADOS!$P$4,tabela_registros[CATEGORIA],despesavariávelconsolidadomai[[#This Row],[DESPESA VARIÁVEL]])</f>
        <v>0</v>
      </c>
      <c r="T70" s="91">
        <f>SUMIFS(tabela_registros[VALOR],tabela_registros[MÊS],$AE$1,tabela_registros[DIA],maitotal30597183[[#Headers],[16]],tabela_registros[REGISTRO],DADOS!$N$4,tabela_registros[TIPO],DADOS!$P$4,tabela_registros[CATEGORIA],despesavariávelconsolidadomai[[#This Row],[DESPESA VARIÁVEL]])</f>
        <v>0</v>
      </c>
      <c r="U70" s="91">
        <f>SUMIFS(tabela_registros[VALOR],tabela_registros[MÊS],$AE$1,tabela_registros[DIA],maitotal30597183[[#Headers],[17]],tabela_registros[REGISTRO],DADOS!$N$4,tabela_registros[TIPO],DADOS!$P$4,tabela_registros[CATEGORIA],despesavariávelconsolidadomai[[#This Row],[DESPESA VARIÁVEL]])</f>
        <v>0</v>
      </c>
      <c r="V70" s="91">
        <f>SUMIFS(tabela_registros[VALOR],tabela_registros[MÊS],$AE$1,tabela_registros[DIA],maitotal30597183[[#Headers],[18]],tabela_registros[REGISTRO],DADOS!$N$4,tabela_registros[TIPO],DADOS!$P$4,tabela_registros[CATEGORIA],despesavariávelconsolidadomai[[#This Row],[DESPESA VARIÁVEL]])</f>
        <v>0</v>
      </c>
      <c r="W70" s="91">
        <f>SUMIFS(tabela_registros[VALOR],tabela_registros[MÊS],$AE$1,tabela_registros[DIA],maitotal30597183[[#Headers],[19]],tabela_registros[REGISTRO],DADOS!$N$4,tabela_registros[TIPO],DADOS!$P$4,tabela_registros[CATEGORIA],despesavariávelconsolidadomai[[#This Row],[DESPESA VARIÁVEL]])</f>
        <v>0</v>
      </c>
      <c r="X70" s="91">
        <f>SUMIFS(tabela_registros[VALOR],tabela_registros[MÊS],$AE$1,tabela_registros[DIA],maitotal30597183[[#Headers],[20]],tabela_registros[REGISTRO],DADOS!$N$4,tabela_registros[TIPO],DADOS!$P$4,tabela_registros[CATEGORIA],despesavariávelconsolidadomai[[#This Row],[DESPESA VARIÁVEL]])</f>
        <v>0</v>
      </c>
      <c r="Y70" s="91">
        <f>SUMIFS(tabela_registros[VALOR],tabela_registros[MÊS],$AE$1,tabela_registros[DIA],maitotal30597183[[#Headers],[21]],tabela_registros[REGISTRO],DADOS!$N$4,tabela_registros[TIPO],DADOS!$P$4,tabela_registros[CATEGORIA],despesavariávelconsolidadomai[[#This Row],[DESPESA VARIÁVEL]])</f>
        <v>0</v>
      </c>
      <c r="Z70" s="91">
        <f>SUMIFS(tabela_registros[VALOR],tabela_registros[MÊS],$AE$1,tabela_registros[DIA],maitotal30597183[[#Headers],[22]],tabela_registros[REGISTRO],DADOS!$N$4,tabela_registros[TIPO],DADOS!$P$4,tabela_registros[CATEGORIA],despesavariávelconsolidadomai[[#This Row],[DESPESA VARIÁVEL]])</f>
        <v>0</v>
      </c>
      <c r="AA70" s="91">
        <f>SUMIFS(tabela_registros[VALOR],tabela_registros[MÊS],$AE$1,tabela_registros[DIA],maitotal30597183[[#Headers],[23]],tabela_registros[REGISTRO],DADOS!$N$4,tabela_registros[TIPO],DADOS!$P$4,tabela_registros[CATEGORIA],despesavariávelconsolidadomai[[#This Row],[DESPESA VARIÁVEL]])</f>
        <v>0</v>
      </c>
      <c r="AB70" s="91">
        <f>SUMIFS(tabela_registros[VALOR],tabela_registros[MÊS],$AE$1,tabela_registros[DIA],maitotal30597183[[#Headers],[24]],tabela_registros[REGISTRO],DADOS!$N$4,tabela_registros[TIPO],DADOS!$P$4,tabela_registros[CATEGORIA],despesavariávelconsolidadomai[[#This Row],[DESPESA VARIÁVEL]])</f>
        <v>0</v>
      </c>
      <c r="AC70" s="91">
        <f>SUMIFS(tabela_registros[VALOR],tabela_registros[MÊS],$AE$1,tabela_registros[DIA],maitotal30597183[[#Headers],[25]],tabela_registros[REGISTRO],DADOS!$N$4,tabela_registros[TIPO],DADOS!$P$4,tabela_registros[CATEGORIA],despesavariávelconsolidadomai[[#This Row],[DESPESA VARIÁVEL]])</f>
        <v>0</v>
      </c>
      <c r="AD70" s="91">
        <f>SUMIFS(tabela_registros[VALOR],tabela_registros[MÊS],$AE$1,tabela_registros[DIA],maitotal30597183[[#Headers],[26]],tabela_registros[REGISTRO],DADOS!$N$4,tabela_registros[TIPO],DADOS!$P$4,tabela_registros[CATEGORIA],despesavariávelconsolidadomai[[#This Row],[DESPESA VARIÁVEL]])</f>
        <v>0</v>
      </c>
      <c r="AE70" s="91">
        <f>SUMIFS(tabela_registros[VALOR],tabela_registros[MÊS],$AE$1,tabela_registros[DIA],maitotal30597183[[#Headers],[27]],tabela_registros[REGISTRO],DADOS!$N$4,tabela_registros[TIPO],DADOS!$P$4,tabela_registros[CATEGORIA],despesavariávelconsolidadomai[[#This Row],[DESPESA VARIÁVEL]])</f>
        <v>0</v>
      </c>
      <c r="AF70" s="91">
        <f>SUMIFS(tabela_registros[VALOR],tabela_registros[MÊS],$AE$1,tabela_registros[DIA],maitotal30597183[[#Headers],[28]],tabela_registros[REGISTRO],DADOS!$N$4,tabela_registros[TIPO],DADOS!$P$4,tabela_registros[CATEGORIA],despesavariávelconsolidadomai[[#This Row],[DESPESA VARIÁVEL]])</f>
        <v>0</v>
      </c>
      <c r="AG70" s="91">
        <f>SUMIFS(tabela_registros[VALOR],tabela_registros[MÊS],$AE$1,tabela_registros[DIA],maitotal30597183[[#Headers],[29]],tabela_registros[REGISTRO],DADOS!$N$4,tabela_registros[TIPO],DADOS!$P$4,tabela_registros[CATEGORIA],despesavariávelconsolidadomai[[#This Row],[DESPESA VARIÁVEL]])</f>
        <v>0</v>
      </c>
      <c r="AH70" s="91">
        <f>SUMIFS(tabela_registros[VALOR],tabela_registros[MÊS],$AE$1,tabela_registros[DIA],maitotal30597183[[#Headers],[30]],tabela_registros[REGISTRO],DADOS!$N$4,tabela_registros[TIPO],DADOS!$P$4,tabela_registros[CATEGORIA],despesavariávelconsolidadomai[[#This Row],[DESPESA VARIÁVEL]])</f>
        <v>0</v>
      </c>
      <c r="AI70" s="101">
        <f>SUMIFS(tabela_registros[VALOR],tabela_registros[MÊS],$AE$1,tabela_registros[DIA],maitotal30597183[[#Headers],[31]],tabela_registros[REGISTRO],DADOS!$N$4,tabela_registros[TIPO],DADOS!$P$4,tabela_registros[CATEGORIA],despesavariávelconsolidadomai[[#This Row],[DESPESA VARIÁVEL]])</f>
        <v>0</v>
      </c>
      <c r="AJ70" s="97">
        <f>SUM(despesavariávelconsolidadomai[[#This Row],[1]:[31]])</f>
        <v>0</v>
      </c>
      <c r="AK70" s="28"/>
    </row>
    <row r="71" spans="2:37" ht="18" customHeight="1" thickTop="1" thickBot="1" x14ac:dyDescent="0.3">
      <c r="B71" s="28"/>
      <c r="C71" s="27" t="str">
        <f>DADOS!$T$14</f>
        <v>🛍️ VESTUÁRIO</v>
      </c>
      <c r="D71" s="26" t="str">
        <f>IF(despesavariávelconsolidadomai[[#This Row],[TOTAL]]=0,"",IF(OR(despesavariávelconsolidadomai[[#This Row],[TOTAL]]=LARGE($AJ$60:$AJ$72,1),despesavariávelconsolidadomai[[#This Row],[TOTAL]]=LARGE($AJ$60:$AJ$72,2),despesavariávelconsolidadomai[[#This Row],[TOTAL]]=LARGE($AJ$60:$AJ$72,3),despesavariávelconsolidadomai[[#This Row],[TOTAL]]=LARGE($AJ$60:$AJ$72,4),despesavariávelconsolidadomai[[#This Row],[TOTAL]]=LARGE($AJ$60:$AJ$72,5)),DADOS!$I$8,""))</f>
        <v/>
      </c>
      <c r="E71" s="96">
        <f>SUMIFS(tabela_registros[VALOR],tabela_registros[MÊS],$AE$1,tabela_registros[DIA],maitotal30597183[[#Headers],[1]],tabela_registros[REGISTRO],DADOS!$N$4,tabela_registros[TIPO],DADOS!$P$4,tabela_registros[CATEGORIA],despesavariávelconsolidadomai[[#This Row],[DESPESA VARIÁVEL]])</f>
        <v>0</v>
      </c>
      <c r="F71" s="91">
        <f>SUMIFS(tabela_registros[VALOR],tabela_registros[MÊS],$AE$1,tabela_registros[DIA],maitotal30597183[[#Headers],[2]],tabela_registros[REGISTRO],DADOS!$N$4,tabela_registros[TIPO],DADOS!$P$4,tabela_registros[CATEGORIA],despesavariávelconsolidadomai[[#This Row],[DESPESA VARIÁVEL]])</f>
        <v>0</v>
      </c>
      <c r="G71" s="91">
        <f>SUMIFS(tabela_registros[VALOR],tabela_registros[MÊS],$AE$1,tabela_registros[DIA],maitotal30597183[[#Headers],[3]],tabela_registros[REGISTRO],DADOS!$N$4,tabela_registros[TIPO],DADOS!$P$4,tabela_registros[CATEGORIA],despesavariávelconsolidadomai[[#This Row],[DESPESA VARIÁVEL]])</f>
        <v>0</v>
      </c>
      <c r="H71" s="91">
        <f>SUMIFS(tabela_registros[VALOR],tabela_registros[MÊS],$AE$1,tabela_registros[DIA],maitotal30597183[[#Headers],[4]],tabela_registros[REGISTRO],DADOS!$N$4,tabela_registros[TIPO],DADOS!$P$4,tabela_registros[CATEGORIA],despesavariávelconsolidadomai[[#This Row],[DESPESA VARIÁVEL]])</f>
        <v>0</v>
      </c>
      <c r="I71" s="91">
        <f>SUMIFS(tabela_registros[VALOR],tabela_registros[MÊS],$AE$1,tabela_registros[DIA],maitotal30597183[[#Headers],[5]],tabela_registros[REGISTRO],DADOS!$N$4,tabela_registros[TIPO],DADOS!$P$4,tabela_registros[CATEGORIA],despesavariávelconsolidadomai[[#This Row],[DESPESA VARIÁVEL]])</f>
        <v>0</v>
      </c>
      <c r="J71" s="91">
        <f>SUMIFS(tabela_registros[VALOR],tabela_registros[MÊS],$AE$1,tabela_registros[DIA],maitotal30597183[[#Headers],[6]],tabela_registros[REGISTRO],DADOS!$N$4,tabela_registros[TIPO],DADOS!$P$4,tabela_registros[CATEGORIA],despesavariávelconsolidadomai[[#This Row],[DESPESA VARIÁVEL]])</f>
        <v>0</v>
      </c>
      <c r="K71" s="91">
        <f>SUMIFS(tabela_registros[VALOR],tabela_registros[MÊS],$AE$1,tabela_registros[DIA],maitotal30597183[[#Headers],[7]],tabela_registros[REGISTRO],DADOS!$N$4,tabela_registros[TIPO],DADOS!$P$4,tabela_registros[CATEGORIA],despesavariávelconsolidadomai[[#This Row],[DESPESA VARIÁVEL]])</f>
        <v>0</v>
      </c>
      <c r="L71" s="91">
        <f>SUMIFS(tabela_registros[VALOR],tabela_registros[MÊS],$AE$1,tabela_registros[DIA],maitotal30597183[[#Headers],[8]],tabela_registros[REGISTRO],DADOS!$N$4,tabela_registros[TIPO],DADOS!$P$4,tabela_registros[CATEGORIA],despesavariávelconsolidadomai[[#This Row],[DESPESA VARIÁVEL]])</f>
        <v>0</v>
      </c>
      <c r="M71" s="91">
        <f>SUMIFS(tabela_registros[VALOR],tabela_registros[MÊS],$AE$1,tabela_registros[DIA],maitotal30597183[[#Headers],[9]],tabela_registros[REGISTRO],DADOS!$N$4,tabela_registros[TIPO],DADOS!$P$4,tabela_registros[CATEGORIA],despesavariávelconsolidadomai[[#This Row],[DESPESA VARIÁVEL]])</f>
        <v>0</v>
      </c>
      <c r="N71" s="91">
        <f>SUMIFS(tabela_registros[VALOR],tabela_registros[MÊS],$AE$1,tabela_registros[DIA],maitotal30597183[[#Headers],[10]],tabela_registros[REGISTRO],DADOS!$N$4,tabela_registros[TIPO],DADOS!$P$4,tabela_registros[CATEGORIA],despesavariávelconsolidadomai[[#This Row],[DESPESA VARIÁVEL]])</f>
        <v>0</v>
      </c>
      <c r="O71" s="91">
        <f>SUMIFS(tabela_registros[VALOR],tabela_registros[MÊS],$AE$1,tabela_registros[DIA],maitotal30597183[[#Headers],[11]],tabela_registros[REGISTRO],DADOS!$N$4,tabela_registros[TIPO],DADOS!$P$4,tabela_registros[CATEGORIA],despesavariávelconsolidadomai[[#This Row],[DESPESA VARIÁVEL]])</f>
        <v>0</v>
      </c>
      <c r="P71" s="91">
        <f>SUMIFS(tabela_registros[VALOR],tabela_registros[MÊS],$AE$1,tabela_registros[DIA],maitotal30597183[[#Headers],[12]],tabela_registros[REGISTRO],DADOS!$N$4,tabela_registros[TIPO],DADOS!$P$4,tabela_registros[CATEGORIA],despesavariávelconsolidadomai[[#This Row],[DESPESA VARIÁVEL]])</f>
        <v>0</v>
      </c>
      <c r="Q71" s="91">
        <f>SUMIFS(tabela_registros[VALOR],tabela_registros[MÊS],$AE$1,tabela_registros[DIA],maitotal30597183[[#Headers],[13]],tabela_registros[REGISTRO],DADOS!$N$4,tabela_registros[TIPO],DADOS!$P$4,tabela_registros[CATEGORIA],despesavariávelconsolidadomai[[#This Row],[DESPESA VARIÁVEL]])</f>
        <v>0</v>
      </c>
      <c r="R71" s="91">
        <f>SUMIFS(tabela_registros[VALOR],tabela_registros[MÊS],$AE$1,tabela_registros[DIA],maitotal30597183[[#Headers],[14]],tabela_registros[REGISTRO],DADOS!$N$4,tabela_registros[TIPO],DADOS!$P$4,tabela_registros[CATEGORIA],despesavariávelconsolidadomai[[#This Row],[DESPESA VARIÁVEL]])</f>
        <v>0</v>
      </c>
      <c r="S71" s="91">
        <f>SUMIFS(tabela_registros[VALOR],tabela_registros[MÊS],$AE$1,tabela_registros[DIA],maitotal30597183[[#Headers],[15]],tabela_registros[REGISTRO],DADOS!$N$4,tabela_registros[TIPO],DADOS!$P$4,tabela_registros[CATEGORIA],despesavariávelconsolidadomai[[#This Row],[DESPESA VARIÁVEL]])</f>
        <v>0</v>
      </c>
      <c r="T71" s="91">
        <f>SUMIFS(tabela_registros[VALOR],tabela_registros[MÊS],$AE$1,tabela_registros[DIA],maitotal30597183[[#Headers],[16]],tabela_registros[REGISTRO],DADOS!$N$4,tabela_registros[TIPO],DADOS!$P$4,tabela_registros[CATEGORIA],despesavariávelconsolidadomai[[#This Row],[DESPESA VARIÁVEL]])</f>
        <v>0</v>
      </c>
      <c r="U71" s="91">
        <f>SUMIFS(tabela_registros[VALOR],tabela_registros[MÊS],$AE$1,tabela_registros[DIA],maitotal30597183[[#Headers],[17]],tabela_registros[REGISTRO],DADOS!$N$4,tabela_registros[TIPO],DADOS!$P$4,tabela_registros[CATEGORIA],despesavariávelconsolidadomai[[#This Row],[DESPESA VARIÁVEL]])</f>
        <v>0</v>
      </c>
      <c r="V71" s="91">
        <f>SUMIFS(tabela_registros[VALOR],tabela_registros[MÊS],$AE$1,tabela_registros[DIA],maitotal30597183[[#Headers],[18]],tabela_registros[REGISTRO],DADOS!$N$4,tabela_registros[TIPO],DADOS!$P$4,tabela_registros[CATEGORIA],despesavariávelconsolidadomai[[#This Row],[DESPESA VARIÁVEL]])</f>
        <v>0</v>
      </c>
      <c r="W71" s="91">
        <f>SUMIFS(tabela_registros[VALOR],tabela_registros[MÊS],$AE$1,tabela_registros[DIA],maitotal30597183[[#Headers],[19]],tabela_registros[REGISTRO],DADOS!$N$4,tabela_registros[TIPO],DADOS!$P$4,tabela_registros[CATEGORIA],despesavariávelconsolidadomai[[#This Row],[DESPESA VARIÁVEL]])</f>
        <v>0</v>
      </c>
      <c r="X71" s="91">
        <f>SUMIFS(tabela_registros[VALOR],tabela_registros[MÊS],$AE$1,tabela_registros[DIA],maitotal30597183[[#Headers],[20]],tabela_registros[REGISTRO],DADOS!$N$4,tabela_registros[TIPO],DADOS!$P$4,tabela_registros[CATEGORIA],despesavariávelconsolidadomai[[#This Row],[DESPESA VARIÁVEL]])</f>
        <v>0</v>
      </c>
      <c r="Y71" s="91">
        <f>SUMIFS(tabela_registros[VALOR],tabela_registros[MÊS],$AE$1,tabela_registros[DIA],maitotal30597183[[#Headers],[21]],tabela_registros[REGISTRO],DADOS!$N$4,tabela_registros[TIPO],DADOS!$P$4,tabela_registros[CATEGORIA],despesavariávelconsolidadomai[[#This Row],[DESPESA VARIÁVEL]])</f>
        <v>0</v>
      </c>
      <c r="Z71" s="91">
        <f>SUMIFS(tabela_registros[VALOR],tabela_registros[MÊS],$AE$1,tabela_registros[DIA],maitotal30597183[[#Headers],[22]],tabela_registros[REGISTRO],DADOS!$N$4,tabela_registros[TIPO],DADOS!$P$4,tabela_registros[CATEGORIA],despesavariávelconsolidadomai[[#This Row],[DESPESA VARIÁVEL]])</f>
        <v>0</v>
      </c>
      <c r="AA71" s="91">
        <f>SUMIFS(tabela_registros[VALOR],tabela_registros[MÊS],$AE$1,tabela_registros[DIA],maitotal30597183[[#Headers],[23]],tabela_registros[REGISTRO],DADOS!$N$4,tabela_registros[TIPO],DADOS!$P$4,tabela_registros[CATEGORIA],despesavariávelconsolidadomai[[#This Row],[DESPESA VARIÁVEL]])</f>
        <v>0</v>
      </c>
      <c r="AB71" s="91">
        <f>SUMIFS(tabela_registros[VALOR],tabela_registros[MÊS],$AE$1,tabela_registros[DIA],maitotal30597183[[#Headers],[24]],tabela_registros[REGISTRO],DADOS!$N$4,tabela_registros[TIPO],DADOS!$P$4,tabela_registros[CATEGORIA],despesavariávelconsolidadomai[[#This Row],[DESPESA VARIÁVEL]])</f>
        <v>0</v>
      </c>
      <c r="AC71" s="91">
        <f>SUMIFS(tabela_registros[VALOR],tabela_registros[MÊS],$AE$1,tabela_registros[DIA],maitotal30597183[[#Headers],[25]],tabela_registros[REGISTRO],DADOS!$N$4,tabela_registros[TIPO],DADOS!$P$4,tabela_registros[CATEGORIA],despesavariávelconsolidadomai[[#This Row],[DESPESA VARIÁVEL]])</f>
        <v>0</v>
      </c>
      <c r="AD71" s="91">
        <f>SUMIFS(tabela_registros[VALOR],tabela_registros[MÊS],$AE$1,tabela_registros[DIA],maitotal30597183[[#Headers],[26]],tabela_registros[REGISTRO],DADOS!$N$4,tabela_registros[TIPO],DADOS!$P$4,tabela_registros[CATEGORIA],despesavariávelconsolidadomai[[#This Row],[DESPESA VARIÁVEL]])</f>
        <v>0</v>
      </c>
      <c r="AE71" s="91">
        <f>SUMIFS(tabela_registros[VALOR],tabela_registros[MÊS],$AE$1,tabela_registros[DIA],maitotal30597183[[#Headers],[27]],tabela_registros[REGISTRO],DADOS!$N$4,tabela_registros[TIPO],DADOS!$P$4,tabela_registros[CATEGORIA],despesavariávelconsolidadomai[[#This Row],[DESPESA VARIÁVEL]])</f>
        <v>0</v>
      </c>
      <c r="AF71" s="91">
        <f>SUMIFS(tabela_registros[VALOR],tabela_registros[MÊS],$AE$1,tabela_registros[DIA],maitotal30597183[[#Headers],[28]],tabela_registros[REGISTRO],DADOS!$N$4,tabela_registros[TIPO],DADOS!$P$4,tabela_registros[CATEGORIA],despesavariávelconsolidadomai[[#This Row],[DESPESA VARIÁVEL]])</f>
        <v>0</v>
      </c>
      <c r="AG71" s="91">
        <f>SUMIFS(tabela_registros[VALOR],tabela_registros[MÊS],$AE$1,tabela_registros[DIA],maitotal30597183[[#Headers],[29]],tabela_registros[REGISTRO],DADOS!$N$4,tabela_registros[TIPO],DADOS!$P$4,tabela_registros[CATEGORIA],despesavariávelconsolidadomai[[#This Row],[DESPESA VARIÁVEL]])</f>
        <v>0</v>
      </c>
      <c r="AH71" s="91">
        <f>SUMIFS(tabela_registros[VALOR],tabela_registros[MÊS],$AE$1,tabela_registros[DIA],maitotal30597183[[#Headers],[30]],tabela_registros[REGISTRO],DADOS!$N$4,tabela_registros[TIPO],DADOS!$P$4,tabela_registros[CATEGORIA],despesavariávelconsolidadomai[[#This Row],[DESPESA VARIÁVEL]])</f>
        <v>0</v>
      </c>
      <c r="AI71" s="101">
        <f>SUMIFS(tabela_registros[VALOR],tabela_registros[MÊS],$AE$1,tabela_registros[DIA],maitotal30597183[[#Headers],[31]],tabela_registros[REGISTRO],DADOS!$N$4,tabela_registros[TIPO],DADOS!$P$4,tabela_registros[CATEGORIA],despesavariávelconsolidadomai[[#This Row],[DESPESA VARIÁVEL]])</f>
        <v>0</v>
      </c>
      <c r="AJ71" s="97">
        <f>SUM(despesavariávelconsolidadomai[[#This Row],[1]:[31]])</f>
        <v>0</v>
      </c>
      <c r="AK71" s="28"/>
    </row>
    <row r="72" spans="2:37" ht="18" customHeight="1" thickTop="1" thickBot="1" x14ac:dyDescent="0.3">
      <c r="B72" s="28"/>
      <c r="C72" s="27" t="str">
        <f>DADOS!$T$15</f>
        <v>📎 OUTROS</v>
      </c>
      <c r="D72" s="26" t="str">
        <f>IF(despesavariávelconsolidadomai[[#This Row],[TOTAL]]=0,"",IF(OR(despesavariávelconsolidadomai[[#This Row],[TOTAL]]=LARGE($AJ$60:$AJ$72,1),despesavariávelconsolidadomai[[#This Row],[TOTAL]]=LARGE($AJ$60:$AJ$72,2),despesavariávelconsolidadomai[[#This Row],[TOTAL]]=LARGE($AJ$60:$AJ$72,3),despesavariávelconsolidadomai[[#This Row],[TOTAL]]=LARGE($AJ$60:$AJ$72,4),despesavariávelconsolidadomai[[#This Row],[TOTAL]]=LARGE($AJ$60:$AJ$72,5)),DADOS!$I$8,""))</f>
        <v/>
      </c>
      <c r="E72" s="96">
        <f>SUMIFS(tabela_registros[VALOR],tabela_registros[MÊS],$AE$1,tabela_registros[DIA],maitotal30597183[[#Headers],[1]],tabela_registros[REGISTRO],DADOS!$N$4,tabela_registros[TIPO],DADOS!$P$4,tabela_registros[CATEGORIA],despesavariávelconsolidadomai[[#This Row],[DESPESA VARIÁVEL]])</f>
        <v>0</v>
      </c>
      <c r="F72" s="91">
        <f>SUMIFS(tabela_registros[VALOR],tabela_registros[MÊS],$AE$1,tabela_registros[DIA],maitotal30597183[[#Headers],[2]],tabela_registros[REGISTRO],DADOS!$N$4,tabela_registros[TIPO],DADOS!$P$4,tabela_registros[CATEGORIA],despesavariávelconsolidadomai[[#This Row],[DESPESA VARIÁVEL]])</f>
        <v>0</v>
      </c>
      <c r="G72" s="91">
        <f>SUMIFS(tabela_registros[VALOR],tabela_registros[MÊS],$AE$1,tabela_registros[DIA],maitotal30597183[[#Headers],[3]],tabela_registros[REGISTRO],DADOS!$N$4,tabela_registros[TIPO],DADOS!$P$4,tabela_registros[CATEGORIA],despesavariávelconsolidadomai[[#This Row],[DESPESA VARIÁVEL]])</f>
        <v>0</v>
      </c>
      <c r="H72" s="91">
        <f>SUMIFS(tabela_registros[VALOR],tabela_registros[MÊS],$AE$1,tabela_registros[DIA],maitotal30597183[[#Headers],[4]],tabela_registros[REGISTRO],DADOS!$N$4,tabela_registros[TIPO],DADOS!$P$4,tabela_registros[CATEGORIA],despesavariávelconsolidadomai[[#This Row],[DESPESA VARIÁVEL]])</f>
        <v>0</v>
      </c>
      <c r="I72" s="91">
        <f>SUMIFS(tabela_registros[VALOR],tabela_registros[MÊS],$AE$1,tabela_registros[DIA],maitotal30597183[[#Headers],[5]],tabela_registros[REGISTRO],DADOS!$N$4,tabela_registros[TIPO],DADOS!$P$4,tabela_registros[CATEGORIA],despesavariávelconsolidadomai[[#This Row],[DESPESA VARIÁVEL]])</f>
        <v>0</v>
      </c>
      <c r="J72" s="91">
        <f>SUMIFS(tabela_registros[VALOR],tabela_registros[MÊS],$AE$1,tabela_registros[DIA],maitotal30597183[[#Headers],[6]],tabela_registros[REGISTRO],DADOS!$N$4,tabela_registros[TIPO],DADOS!$P$4,tabela_registros[CATEGORIA],despesavariávelconsolidadomai[[#This Row],[DESPESA VARIÁVEL]])</f>
        <v>0</v>
      </c>
      <c r="K72" s="91">
        <f>SUMIFS(tabela_registros[VALOR],tabela_registros[MÊS],$AE$1,tabela_registros[DIA],maitotal30597183[[#Headers],[7]],tabela_registros[REGISTRO],DADOS!$N$4,tabela_registros[TIPO],DADOS!$P$4,tabela_registros[CATEGORIA],despesavariávelconsolidadomai[[#This Row],[DESPESA VARIÁVEL]])</f>
        <v>0</v>
      </c>
      <c r="L72" s="91">
        <f>SUMIFS(tabela_registros[VALOR],tabela_registros[MÊS],$AE$1,tabela_registros[DIA],maitotal30597183[[#Headers],[8]],tabela_registros[REGISTRO],DADOS!$N$4,tabela_registros[TIPO],DADOS!$P$4,tabela_registros[CATEGORIA],despesavariávelconsolidadomai[[#This Row],[DESPESA VARIÁVEL]])</f>
        <v>0</v>
      </c>
      <c r="M72" s="91">
        <f>SUMIFS(tabela_registros[VALOR],tabela_registros[MÊS],$AE$1,tabela_registros[DIA],maitotal30597183[[#Headers],[9]],tabela_registros[REGISTRO],DADOS!$N$4,tabela_registros[TIPO],DADOS!$P$4,tabela_registros[CATEGORIA],despesavariávelconsolidadomai[[#This Row],[DESPESA VARIÁVEL]])</f>
        <v>0</v>
      </c>
      <c r="N72" s="91">
        <f>SUMIFS(tabela_registros[VALOR],tabela_registros[MÊS],$AE$1,tabela_registros[DIA],maitotal30597183[[#Headers],[10]],tabela_registros[REGISTRO],DADOS!$N$4,tabela_registros[TIPO],DADOS!$P$4,tabela_registros[CATEGORIA],despesavariávelconsolidadomai[[#This Row],[DESPESA VARIÁVEL]])</f>
        <v>0</v>
      </c>
      <c r="O72" s="91">
        <f>SUMIFS(tabela_registros[VALOR],tabela_registros[MÊS],$AE$1,tabela_registros[DIA],maitotal30597183[[#Headers],[11]],tabela_registros[REGISTRO],DADOS!$N$4,tabela_registros[TIPO],DADOS!$P$4,tabela_registros[CATEGORIA],despesavariávelconsolidadomai[[#This Row],[DESPESA VARIÁVEL]])</f>
        <v>0</v>
      </c>
      <c r="P72" s="91">
        <f>SUMIFS(tabela_registros[VALOR],tabela_registros[MÊS],$AE$1,tabela_registros[DIA],maitotal30597183[[#Headers],[12]],tabela_registros[REGISTRO],DADOS!$N$4,tabela_registros[TIPO],DADOS!$P$4,tabela_registros[CATEGORIA],despesavariávelconsolidadomai[[#This Row],[DESPESA VARIÁVEL]])</f>
        <v>0</v>
      </c>
      <c r="Q72" s="91">
        <f>SUMIFS(tabela_registros[VALOR],tabela_registros[MÊS],$AE$1,tabela_registros[DIA],maitotal30597183[[#Headers],[13]],tabela_registros[REGISTRO],DADOS!$N$4,tabela_registros[TIPO],DADOS!$P$4,tabela_registros[CATEGORIA],despesavariávelconsolidadomai[[#This Row],[DESPESA VARIÁVEL]])</f>
        <v>0</v>
      </c>
      <c r="R72" s="91">
        <f>SUMIFS(tabela_registros[VALOR],tabela_registros[MÊS],$AE$1,tabela_registros[DIA],maitotal30597183[[#Headers],[14]],tabela_registros[REGISTRO],DADOS!$N$4,tabela_registros[TIPO],DADOS!$P$4,tabela_registros[CATEGORIA],despesavariávelconsolidadomai[[#This Row],[DESPESA VARIÁVEL]])</f>
        <v>0</v>
      </c>
      <c r="S72" s="91">
        <f>SUMIFS(tabela_registros[VALOR],tabela_registros[MÊS],$AE$1,tabela_registros[DIA],maitotal30597183[[#Headers],[15]],tabela_registros[REGISTRO],DADOS!$N$4,tabela_registros[TIPO],DADOS!$P$4,tabela_registros[CATEGORIA],despesavariávelconsolidadomai[[#This Row],[DESPESA VARIÁVEL]])</f>
        <v>0</v>
      </c>
      <c r="T72" s="91">
        <f>SUMIFS(tabela_registros[VALOR],tabela_registros[MÊS],$AE$1,tabela_registros[DIA],maitotal30597183[[#Headers],[16]],tabela_registros[REGISTRO],DADOS!$N$4,tabela_registros[TIPO],DADOS!$P$4,tabela_registros[CATEGORIA],despesavariávelconsolidadomai[[#This Row],[DESPESA VARIÁVEL]])</f>
        <v>0</v>
      </c>
      <c r="U72" s="91">
        <f>SUMIFS(tabela_registros[VALOR],tabela_registros[MÊS],$AE$1,tabela_registros[DIA],maitotal30597183[[#Headers],[17]],tabela_registros[REGISTRO],DADOS!$N$4,tabela_registros[TIPO],DADOS!$P$4,tabela_registros[CATEGORIA],despesavariávelconsolidadomai[[#This Row],[DESPESA VARIÁVEL]])</f>
        <v>0</v>
      </c>
      <c r="V72" s="91">
        <f>SUMIFS(tabela_registros[VALOR],tabela_registros[MÊS],$AE$1,tabela_registros[DIA],maitotal30597183[[#Headers],[18]],tabela_registros[REGISTRO],DADOS!$N$4,tabela_registros[TIPO],DADOS!$P$4,tabela_registros[CATEGORIA],despesavariávelconsolidadomai[[#This Row],[DESPESA VARIÁVEL]])</f>
        <v>0</v>
      </c>
      <c r="W72" s="91">
        <f>SUMIFS(tabela_registros[VALOR],tabela_registros[MÊS],$AE$1,tabela_registros[DIA],maitotal30597183[[#Headers],[19]],tabela_registros[REGISTRO],DADOS!$N$4,tabela_registros[TIPO],DADOS!$P$4,tabela_registros[CATEGORIA],despesavariávelconsolidadomai[[#This Row],[DESPESA VARIÁVEL]])</f>
        <v>0</v>
      </c>
      <c r="X72" s="91">
        <f>SUMIFS(tabela_registros[VALOR],tabela_registros[MÊS],$AE$1,tabela_registros[DIA],maitotal30597183[[#Headers],[20]],tabela_registros[REGISTRO],DADOS!$N$4,tabela_registros[TIPO],DADOS!$P$4,tabela_registros[CATEGORIA],despesavariávelconsolidadomai[[#This Row],[DESPESA VARIÁVEL]])</f>
        <v>0</v>
      </c>
      <c r="Y72" s="91">
        <f>SUMIFS(tabela_registros[VALOR],tabela_registros[MÊS],$AE$1,tabela_registros[DIA],maitotal30597183[[#Headers],[21]],tabela_registros[REGISTRO],DADOS!$N$4,tabela_registros[TIPO],DADOS!$P$4,tabela_registros[CATEGORIA],despesavariávelconsolidadomai[[#This Row],[DESPESA VARIÁVEL]])</f>
        <v>0</v>
      </c>
      <c r="Z72" s="91">
        <f>SUMIFS(tabela_registros[VALOR],tabela_registros[MÊS],$AE$1,tabela_registros[DIA],maitotal30597183[[#Headers],[22]],tabela_registros[REGISTRO],DADOS!$N$4,tabela_registros[TIPO],DADOS!$P$4,tabela_registros[CATEGORIA],despesavariávelconsolidadomai[[#This Row],[DESPESA VARIÁVEL]])</f>
        <v>0</v>
      </c>
      <c r="AA72" s="91">
        <f>SUMIFS(tabela_registros[VALOR],tabela_registros[MÊS],$AE$1,tabela_registros[DIA],maitotal30597183[[#Headers],[23]],tabela_registros[REGISTRO],DADOS!$N$4,tabela_registros[TIPO],DADOS!$P$4,tabela_registros[CATEGORIA],despesavariávelconsolidadomai[[#This Row],[DESPESA VARIÁVEL]])</f>
        <v>0</v>
      </c>
      <c r="AB72" s="91">
        <f>SUMIFS(tabela_registros[VALOR],tabela_registros[MÊS],$AE$1,tabela_registros[DIA],maitotal30597183[[#Headers],[24]],tabela_registros[REGISTRO],DADOS!$N$4,tabela_registros[TIPO],DADOS!$P$4,tabela_registros[CATEGORIA],despesavariávelconsolidadomai[[#This Row],[DESPESA VARIÁVEL]])</f>
        <v>0</v>
      </c>
      <c r="AC72" s="91">
        <f>SUMIFS(tabela_registros[VALOR],tabela_registros[MÊS],$AE$1,tabela_registros[DIA],maitotal30597183[[#Headers],[25]],tabela_registros[REGISTRO],DADOS!$N$4,tabela_registros[TIPO],DADOS!$P$4,tabela_registros[CATEGORIA],despesavariávelconsolidadomai[[#This Row],[DESPESA VARIÁVEL]])</f>
        <v>0</v>
      </c>
      <c r="AD72" s="91">
        <f>SUMIFS(tabela_registros[VALOR],tabela_registros[MÊS],$AE$1,tabela_registros[DIA],maitotal30597183[[#Headers],[26]],tabela_registros[REGISTRO],DADOS!$N$4,tabela_registros[TIPO],DADOS!$P$4,tabela_registros[CATEGORIA],despesavariávelconsolidadomai[[#This Row],[DESPESA VARIÁVEL]])</f>
        <v>0</v>
      </c>
      <c r="AE72" s="91">
        <f>SUMIFS(tabela_registros[VALOR],tabela_registros[MÊS],$AE$1,tabela_registros[DIA],maitotal30597183[[#Headers],[27]],tabela_registros[REGISTRO],DADOS!$N$4,tabela_registros[TIPO],DADOS!$P$4,tabela_registros[CATEGORIA],despesavariávelconsolidadomai[[#This Row],[DESPESA VARIÁVEL]])</f>
        <v>0</v>
      </c>
      <c r="AF72" s="91">
        <f>SUMIFS(tabela_registros[VALOR],tabela_registros[MÊS],$AE$1,tabela_registros[DIA],maitotal30597183[[#Headers],[28]],tabela_registros[REGISTRO],DADOS!$N$4,tabela_registros[TIPO],DADOS!$P$4,tabela_registros[CATEGORIA],despesavariávelconsolidadomai[[#This Row],[DESPESA VARIÁVEL]])</f>
        <v>0</v>
      </c>
      <c r="AG72" s="91">
        <f>SUMIFS(tabela_registros[VALOR],tabela_registros[MÊS],$AE$1,tabela_registros[DIA],maitotal30597183[[#Headers],[29]],tabela_registros[REGISTRO],DADOS!$N$4,tabela_registros[TIPO],DADOS!$P$4,tabela_registros[CATEGORIA],despesavariávelconsolidadomai[[#This Row],[DESPESA VARIÁVEL]])</f>
        <v>0</v>
      </c>
      <c r="AH72" s="91">
        <f>SUMIFS(tabela_registros[VALOR],tabela_registros[MÊS],$AE$1,tabela_registros[DIA],maitotal30597183[[#Headers],[30]],tabela_registros[REGISTRO],DADOS!$N$4,tabela_registros[TIPO],DADOS!$P$4,tabela_registros[CATEGORIA],despesavariávelconsolidadomai[[#This Row],[DESPESA VARIÁVEL]])</f>
        <v>0</v>
      </c>
      <c r="AI72" s="102">
        <f>SUMIFS(tabela_registros[VALOR],tabela_registros[MÊS],$AE$1,tabela_registros[DIA],maitotal30597183[[#Headers],[31]],tabela_registros[REGISTRO],DADOS!$N$4,tabela_registros[TIPO],DADOS!$P$4,tabela_registros[CATEGORIA],despesavariávelconsolidadomai[[#This Row],[DESPESA VARIÁVEL]])</f>
        <v>0</v>
      </c>
      <c r="AJ72" s="97">
        <f>SUM(despesavariávelconsolidadomai[[#This Row],[1]:[31]])</f>
        <v>0</v>
      </c>
      <c r="AK72" s="28"/>
    </row>
    <row r="73" spans="2:37" s="16" customFormat="1" ht="21" customHeight="1" thickTop="1" thickBot="1" x14ac:dyDescent="0.35">
      <c r="B73" s="24"/>
      <c r="C73" s="23" t="s">
        <v>19</v>
      </c>
      <c r="D73" s="41" t="str">
        <f>IF(despesavariávelconsolidadomai[[#This Row],[TOTAL]]=0,"",IF(OR(despesavariávelconsolidadomai[[#This Row],[TOTAL]]=SMALL(despesavariávelconsolidadomai[TOTAL],1),despesavariávelconsolidadomai[[#This Row],[TOTAL]]=SMALL(despesavariávelconsolidadomai[TOTAL],2),despesavariávelconsolidadomai[[#This Row],[TOTAL]]=SMALL(despesavariávelconsolidadomai[TOTAL],3),despesavariávelconsolidadomai[[#This Row],[TOTAL]]=SMALL(despesavariávelconsolidadomai[TOTAL],4),despesavariávelconsolidadomai[[#This Row],[TOTAL]]=SMALL(despesavariávelconsolidadomai[TOTAL],5)),DADOS!$I$8,""))</f>
        <v/>
      </c>
      <c r="E73" s="21">
        <f>SUM(E60:E72)</f>
        <v>0</v>
      </c>
      <c r="F73" s="20">
        <f>SUM(F60:F72)+despesavariávelconsolidadomai[[#This Row],[1]]</f>
        <v>0</v>
      </c>
      <c r="G73" s="20">
        <f>SUM(G60:G72)+despesavariávelconsolidadomai[[#This Row],[2]]</f>
        <v>0</v>
      </c>
      <c r="H73" s="20">
        <f>SUM(H60:H72)+despesavariávelconsolidadomai[[#This Row],[3]]</f>
        <v>0</v>
      </c>
      <c r="I73" s="20">
        <f>SUM(I60:I72)+despesavariávelconsolidadomai[[#This Row],[4]]</f>
        <v>0</v>
      </c>
      <c r="J73" s="20">
        <f>SUM(J60:J72)+despesavariávelconsolidadomai[[#This Row],[5]]</f>
        <v>0</v>
      </c>
      <c r="K73" s="20">
        <f>SUM(K60:K72)+despesavariávelconsolidadomai[[#This Row],[6]]</f>
        <v>0</v>
      </c>
      <c r="L73" s="20">
        <f>SUM(L60:L72)+despesavariávelconsolidadomai[[#This Row],[7]]</f>
        <v>0</v>
      </c>
      <c r="M73" s="20">
        <f>SUM(M60:M72)+despesavariávelconsolidadomai[[#This Row],[8]]</f>
        <v>0</v>
      </c>
      <c r="N73" s="20">
        <f>SUM(N60:N72)+despesavariávelconsolidadomai[[#This Row],[9]]</f>
        <v>0</v>
      </c>
      <c r="O73" s="20">
        <f>SUM(O60:O72)+despesavariávelconsolidadomai[[#This Row],[10]]</f>
        <v>0</v>
      </c>
      <c r="P73" s="20">
        <f>SUM(P60:P72)+despesavariávelconsolidadomai[[#This Row],[11]]</f>
        <v>0</v>
      </c>
      <c r="Q73" s="20">
        <f>SUM(Q60:Q72)+despesavariávelconsolidadomai[[#This Row],[12]]</f>
        <v>0</v>
      </c>
      <c r="R73" s="20">
        <f>SUM(R60:R72)+despesavariávelconsolidadomai[[#This Row],[13]]</f>
        <v>0</v>
      </c>
      <c r="S73" s="20">
        <f>SUM(S60:S72)+despesavariávelconsolidadomai[[#This Row],[14]]</f>
        <v>0</v>
      </c>
      <c r="T73" s="20">
        <f>SUM(T60:T72)+despesavariávelconsolidadomai[[#This Row],[15]]</f>
        <v>0</v>
      </c>
      <c r="U73" s="20">
        <f>SUM(U60:U72)+despesavariávelconsolidadomai[[#This Row],[16]]</f>
        <v>0</v>
      </c>
      <c r="V73" s="20">
        <f>SUM(V60:V72)+despesavariávelconsolidadomai[[#This Row],[17]]</f>
        <v>0</v>
      </c>
      <c r="W73" s="20">
        <f>SUM(W60:W72)+despesavariávelconsolidadomai[[#This Row],[18]]</f>
        <v>0</v>
      </c>
      <c r="X73" s="20">
        <f>SUM(X60:X72)+despesavariávelconsolidadomai[[#This Row],[19]]</f>
        <v>0</v>
      </c>
      <c r="Y73" s="20">
        <f>SUM(Y60:Y72)+despesavariávelconsolidadomai[[#This Row],[20]]</f>
        <v>0</v>
      </c>
      <c r="Z73" s="20">
        <f>SUM(Z60:Z72)+despesavariávelconsolidadomai[[#This Row],[21]]</f>
        <v>0</v>
      </c>
      <c r="AA73" s="20">
        <f>SUM(AA60:AA72)+despesavariávelconsolidadomai[[#This Row],[22]]</f>
        <v>0</v>
      </c>
      <c r="AB73" s="20">
        <f>SUM(AB60:AB72)+despesavariávelconsolidadomai[[#This Row],[23]]</f>
        <v>0</v>
      </c>
      <c r="AC73" s="20">
        <f>SUM(AC60:AC72)+despesavariávelconsolidadomai[[#This Row],[24]]</f>
        <v>0</v>
      </c>
      <c r="AD73" s="20">
        <f>SUM(AD60:AD72)+despesavariávelconsolidadomai[[#This Row],[25]]</f>
        <v>0</v>
      </c>
      <c r="AE73" s="20">
        <f>SUM(AE60:AE72)+despesavariávelconsolidadomai[[#This Row],[26]]</f>
        <v>0</v>
      </c>
      <c r="AF73" s="20">
        <f>SUM(AF60:AF72)+despesavariávelconsolidadomai[[#This Row],[27]]</f>
        <v>0</v>
      </c>
      <c r="AG73" s="20">
        <f>SUM(AG60:AG72)+despesavariávelconsolidadomai[[#This Row],[28]]</f>
        <v>0</v>
      </c>
      <c r="AH73" s="20">
        <f>SUM(AH60:AH72)+despesavariávelconsolidadomai[[#This Row],[29]]</f>
        <v>0</v>
      </c>
      <c r="AI73" s="19">
        <f>SUM(AI60:AI72)+despesavariávelconsolidadomai[[#This Row],[30]]</f>
        <v>0</v>
      </c>
      <c r="AJ73" s="18">
        <f>despesavariávelconsolidadomai[[#This Row],[31]]</f>
        <v>0</v>
      </c>
      <c r="AK73" s="17"/>
    </row>
    <row r="74" spans="2:37" ht="6.75" customHeight="1" thickTop="1" thickBot="1" x14ac:dyDescent="0.3">
      <c r="B74" s="15"/>
      <c r="C74" s="40"/>
      <c r="D74" s="39"/>
      <c r="E74" s="39"/>
      <c r="F74" s="39"/>
      <c r="G74" s="39"/>
      <c r="H74" s="39"/>
      <c r="I74" s="39"/>
      <c r="J74" s="39"/>
      <c r="K74" s="39"/>
      <c r="L74" s="39"/>
      <c r="M74" s="39"/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  <c r="AG74" s="39"/>
      <c r="AH74" s="39"/>
      <c r="AI74" s="38"/>
      <c r="AJ74" s="15"/>
      <c r="AK74" s="10"/>
    </row>
    <row r="75" spans="2:37" ht="12.6" thickTop="1" x14ac:dyDescent="0.25">
      <c r="E75" s="37"/>
      <c r="AI75" s="4"/>
    </row>
    <row r="76" spans="2:37" x14ac:dyDescent="0.25">
      <c r="AI76" s="4"/>
    </row>
    <row r="77" spans="2:37" x14ac:dyDescent="0.25">
      <c r="AI77" s="4"/>
    </row>
    <row r="78" spans="2:37" ht="39.75" customHeight="1" x14ac:dyDescent="0.7">
      <c r="C78" s="36"/>
      <c r="E78" s="240"/>
      <c r="F78" s="240"/>
      <c r="G78" s="240"/>
      <c r="H78" s="240"/>
      <c r="I78" s="240"/>
      <c r="J78" s="240"/>
      <c r="K78" s="240"/>
      <c r="L78" s="240"/>
      <c r="M78" s="240"/>
      <c r="N78" s="240"/>
      <c r="O78" s="240"/>
      <c r="P78" s="240"/>
      <c r="Q78" s="240"/>
      <c r="R78" s="240"/>
      <c r="S78" s="240"/>
      <c r="T78" s="240"/>
      <c r="U78" s="240"/>
      <c r="V78" s="240"/>
      <c r="W78" s="240"/>
      <c r="X78" s="240"/>
      <c r="Y78" s="240"/>
      <c r="Z78" s="240"/>
      <c r="AA78" s="240"/>
      <c r="AB78" s="240"/>
      <c r="AC78" s="240"/>
      <c r="AD78" s="240"/>
      <c r="AE78" s="240"/>
      <c r="AF78" s="240"/>
      <c r="AG78" s="240"/>
      <c r="AH78" s="240"/>
      <c r="AI78" s="240"/>
      <c r="AJ78" s="32" t="s">
        <v>19</v>
      </c>
    </row>
    <row r="79" spans="2:37" ht="12.6" thickBot="1" x14ac:dyDescent="0.3">
      <c r="B79" s="35"/>
      <c r="AI79" s="4"/>
      <c r="AJ79" s="34" t="s">
        <v>202</v>
      </c>
    </row>
    <row r="80" spans="2:37" ht="6.75" customHeight="1" thickTop="1" thickBot="1" x14ac:dyDescent="0.3">
      <c r="B80" s="2"/>
      <c r="C80" s="14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I80" s="13"/>
      <c r="AJ80" s="12"/>
      <c r="AK80" s="33"/>
    </row>
    <row r="81" spans="2:37" ht="13.2" hidden="1" thickTop="1" thickBot="1" x14ac:dyDescent="0.3">
      <c r="B81" s="2"/>
      <c r="C81" s="31" t="s">
        <v>199</v>
      </c>
      <c r="D81" s="30" t="s">
        <v>198</v>
      </c>
      <c r="E81" s="30" t="s">
        <v>197</v>
      </c>
      <c r="F81" s="30" t="s">
        <v>196</v>
      </c>
      <c r="G81" s="30" t="s">
        <v>195</v>
      </c>
      <c r="H81" s="30" t="s">
        <v>194</v>
      </c>
      <c r="I81" s="30" t="s">
        <v>193</v>
      </c>
      <c r="J81" s="30" t="s">
        <v>192</v>
      </c>
      <c r="K81" s="30" t="s">
        <v>191</v>
      </c>
      <c r="L81" s="30" t="s">
        <v>190</v>
      </c>
      <c r="M81" s="30" t="s">
        <v>189</v>
      </c>
      <c r="N81" s="30" t="s">
        <v>188</v>
      </c>
      <c r="O81" s="30" t="s">
        <v>187</v>
      </c>
      <c r="P81" s="30" t="s">
        <v>186</v>
      </c>
      <c r="Q81" s="30" t="s">
        <v>185</v>
      </c>
      <c r="R81" s="30" t="s">
        <v>184</v>
      </c>
      <c r="S81" s="30" t="s">
        <v>183</v>
      </c>
      <c r="T81" s="30" t="s">
        <v>182</v>
      </c>
      <c r="U81" s="30" t="s">
        <v>181</v>
      </c>
      <c r="V81" s="30" t="s">
        <v>180</v>
      </c>
      <c r="W81" s="30" t="s">
        <v>179</v>
      </c>
      <c r="X81" s="30" t="s">
        <v>178</v>
      </c>
      <c r="Y81" s="30" t="s">
        <v>177</v>
      </c>
      <c r="Z81" s="30" t="s">
        <v>176</v>
      </c>
      <c r="AA81" s="30" t="s">
        <v>175</v>
      </c>
      <c r="AB81" s="30" t="s">
        <v>174</v>
      </c>
      <c r="AC81" s="30" t="s">
        <v>173</v>
      </c>
      <c r="AD81" s="30" t="s">
        <v>172</v>
      </c>
      <c r="AE81" s="30" t="s">
        <v>171</v>
      </c>
      <c r="AF81" s="30" t="s">
        <v>170</v>
      </c>
      <c r="AG81" s="30" t="s">
        <v>169</v>
      </c>
      <c r="AH81" s="30" t="s">
        <v>168</v>
      </c>
      <c r="AI81" s="30" t="s">
        <v>167</v>
      </c>
      <c r="AJ81" s="29" t="s">
        <v>166</v>
      </c>
      <c r="AK81" s="2"/>
    </row>
    <row r="82" spans="2:37" ht="19.5" customHeight="1" thickTop="1" thickBot="1" x14ac:dyDescent="0.3">
      <c r="B82" s="28"/>
      <c r="C82" s="27" t="str">
        <f>DADOS!$X$3</f>
        <v>💵 ALUGUEL</v>
      </c>
      <c r="D82" s="26" t="str">
        <f>IF(receitasfixasconsolidadomai[[#This Row],[TOTAL (R$)]]=0,"",IF(OR(receitasfixasconsolidadomai[[#This Row],[TOTAL (R$)]]=LARGE($AJ$82:$AJ$86,1),receitasfixasconsolidadomai[[#This Row],[TOTAL (R$)]]=LARGE($AJ$82:$AJ$86,2)),DADOS!$I$9,""))</f>
        <v/>
      </c>
      <c r="E82" s="94">
        <f>SUMIFS(tabela_registros[VALOR],tabela_registros[MÊS],$AE$1,tabela_registros[DIA],receitasfixasconsolidadomai[[#Headers],[1]],tabela_registros[REGISTRO],DADOS!$N$3,tabela_registros[TIPO],DADOS!$V$3,tabela_registros[CATEGORIA],receitasfixasconsolidadomai[[#This Row],[ATUAL]])</f>
        <v>0</v>
      </c>
      <c r="F82" s="88">
        <f>SUMIFS(tabela_registros[VALOR],tabela_registros[MÊS],$AE$1,tabela_registros[DIA],receitasfixasconsolidadomai[[#Headers],[2]],tabela_registros[REGISTRO],DADOS!$N$3,tabela_registros[TIPO],DADOS!$V$3,tabela_registros[CATEGORIA],receitasfixasconsolidadomai[[#This Row],[ATUAL]])</f>
        <v>0</v>
      </c>
      <c r="G82" s="88">
        <f>SUMIFS(tabela_registros[VALOR],tabela_registros[MÊS],$AE$1,tabela_registros[DIA],receitasfixasconsolidadomai[[#Headers],[3]],tabela_registros[REGISTRO],DADOS!$N$3,tabela_registros[TIPO],DADOS!$V$3,tabela_registros[CATEGORIA],receitasfixasconsolidadomai[[#This Row],[ATUAL]])</f>
        <v>0</v>
      </c>
      <c r="H82" s="88">
        <f>SUMIFS(tabela_registros[VALOR],tabela_registros[MÊS],$AE$1,tabela_registros[DIA],receitasfixasconsolidadomai[[#Headers],[4]],tabela_registros[REGISTRO],DADOS!$N$3,tabela_registros[TIPO],DADOS!$V$3,tabela_registros[CATEGORIA],receitasfixasconsolidadomai[[#This Row],[ATUAL]])</f>
        <v>0</v>
      </c>
      <c r="I82" s="88">
        <f>SUMIFS(tabela_registros[VALOR],tabela_registros[MÊS],$AE$1,tabela_registros[DIA],receitasfixasconsolidadomai[[#Headers],[5]],tabela_registros[REGISTRO],DADOS!$N$3,tabela_registros[TIPO],DADOS!$V$3,tabela_registros[CATEGORIA],receitasfixasconsolidadomai[[#This Row],[ATUAL]])</f>
        <v>0</v>
      </c>
      <c r="J82" s="88">
        <f>SUMIFS(tabela_registros[VALOR],tabela_registros[MÊS],$AE$1,tabela_registros[DIA],receitasfixasconsolidadomai[[#Headers],[6]],tabela_registros[REGISTRO],DADOS!$N$3,tabela_registros[TIPO],DADOS!$V$3,tabela_registros[CATEGORIA],receitasfixasconsolidadomai[[#This Row],[ATUAL]])</f>
        <v>0</v>
      </c>
      <c r="K82" s="88">
        <f>SUMIFS(tabela_registros[VALOR],tabela_registros[MÊS],$AE$1,tabela_registros[DIA],receitasfixasconsolidadomai[[#Headers],[7]],tabela_registros[REGISTRO],DADOS!$N$3,tabela_registros[TIPO],DADOS!$V$3,tabela_registros[CATEGORIA],receitasfixasconsolidadomai[[#This Row],[ATUAL]])</f>
        <v>0</v>
      </c>
      <c r="L82" s="88">
        <f>SUMIFS(tabela_registros[VALOR],tabela_registros[MÊS],$AE$1,tabela_registros[DIA],receitasfixasconsolidadomai[[#Headers],[8]],tabela_registros[REGISTRO],DADOS!$N$3,tabela_registros[TIPO],DADOS!$V$3,tabela_registros[CATEGORIA],receitasfixasconsolidadomai[[#This Row],[ATUAL]])</f>
        <v>0</v>
      </c>
      <c r="M82" s="88">
        <f>SUMIFS(tabela_registros[VALOR],tabela_registros[MÊS],$AE$1,tabela_registros[DIA],receitasfixasconsolidadomai[[#Headers],[9]],tabela_registros[REGISTRO],DADOS!$N$3,tabela_registros[TIPO],DADOS!$V$3,tabela_registros[CATEGORIA],receitasfixasconsolidadomai[[#This Row],[ATUAL]])</f>
        <v>0</v>
      </c>
      <c r="N82" s="88">
        <f>SUMIFS(tabela_registros[VALOR],tabela_registros[MÊS],$AE$1,tabela_registros[DIA],receitasfixasconsolidadomai[[#Headers],[10]],tabela_registros[REGISTRO],DADOS!$N$3,tabela_registros[TIPO],DADOS!$V$3,tabela_registros[CATEGORIA],receitasfixasconsolidadomai[[#This Row],[ATUAL]])</f>
        <v>0</v>
      </c>
      <c r="O82" s="88">
        <f>SUMIFS(tabela_registros[VALOR],tabela_registros[MÊS],$AE$1,tabela_registros[DIA],receitasfixasconsolidadomai[[#Headers],[11]],tabela_registros[REGISTRO],DADOS!$N$3,tabela_registros[TIPO],DADOS!$V$3,tabela_registros[CATEGORIA],receitasfixasconsolidadomai[[#This Row],[ATUAL]])</f>
        <v>0</v>
      </c>
      <c r="P82" s="88">
        <f>SUMIFS(tabela_registros[VALOR],tabela_registros[MÊS],$AE$1,tabela_registros[DIA],receitasfixasconsolidadomai[[#Headers],[12]],tabela_registros[REGISTRO],DADOS!$N$3,tabela_registros[TIPO],DADOS!$V$3,tabela_registros[CATEGORIA],receitasfixasconsolidadomai[[#This Row],[ATUAL]])</f>
        <v>0</v>
      </c>
      <c r="Q82" s="88">
        <f>SUMIFS(tabela_registros[VALOR],tabela_registros[MÊS],$AE$1,tabela_registros[DIA],receitasfixasconsolidadomai[[#Headers],[13]],tabela_registros[REGISTRO],DADOS!$N$3,tabela_registros[TIPO],DADOS!$V$3,tabela_registros[CATEGORIA],receitasfixasconsolidadomai[[#This Row],[ATUAL]])</f>
        <v>0</v>
      </c>
      <c r="R82" s="88">
        <f>SUMIFS(tabela_registros[VALOR],tabela_registros[MÊS],$AE$1,tabela_registros[DIA],receitasfixasconsolidadomai[[#Headers],[14]],tabela_registros[REGISTRO],DADOS!$N$3,tabela_registros[TIPO],DADOS!$V$3,tabela_registros[CATEGORIA],receitasfixasconsolidadomai[[#This Row],[ATUAL]])</f>
        <v>0</v>
      </c>
      <c r="S82" s="88">
        <f>SUMIFS(tabela_registros[VALOR],tabela_registros[MÊS],$AE$1,tabela_registros[DIA],receitasfixasconsolidadomai[[#Headers],[15]],tabela_registros[REGISTRO],DADOS!$N$3,tabela_registros[TIPO],DADOS!$V$3,tabela_registros[CATEGORIA],receitasfixasconsolidadomai[[#This Row],[ATUAL]])</f>
        <v>0</v>
      </c>
      <c r="T82" s="88">
        <f>SUMIFS(tabela_registros[VALOR],tabela_registros[MÊS],$AE$1,tabela_registros[DIA],receitasfixasconsolidadomai[[#Headers],[16]],tabela_registros[REGISTRO],DADOS!$N$3,tabela_registros[TIPO],DADOS!$V$3,tabela_registros[CATEGORIA],receitasfixasconsolidadomai[[#This Row],[ATUAL]])</f>
        <v>0</v>
      </c>
      <c r="U82" s="88">
        <f>SUMIFS(tabela_registros[VALOR],tabela_registros[MÊS],$AE$1,tabela_registros[DIA],receitasfixasconsolidadomai[[#Headers],[17]],tabela_registros[REGISTRO],DADOS!$N$3,tabela_registros[TIPO],DADOS!$V$3,tabela_registros[CATEGORIA],receitasfixasconsolidadomai[[#This Row],[ATUAL]])</f>
        <v>0</v>
      </c>
      <c r="V82" s="88">
        <f>SUMIFS(tabela_registros[VALOR],tabela_registros[MÊS],$AE$1,tabela_registros[DIA],receitasfixasconsolidadomai[[#Headers],[18]],tabela_registros[REGISTRO],DADOS!$N$3,tabela_registros[TIPO],DADOS!$V$3,tabela_registros[CATEGORIA],receitasfixasconsolidadomai[[#This Row],[ATUAL]])</f>
        <v>0</v>
      </c>
      <c r="W82" s="88">
        <f>SUMIFS(tabela_registros[VALOR],tabela_registros[MÊS],$AE$1,tabela_registros[DIA],receitasfixasconsolidadomai[[#Headers],[19]],tabela_registros[REGISTRO],DADOS!$N$3,tabela_registros[TIPO],DADOS!$V$3,tabela_registros[CATEGORIA],receitasfixasconsolidadomai[[#This Row],[ATUAL]])</f>
        <v>0</v>
      </c>
      <c r="X82" s="88">
        <f>SUMIFS(tabela_registros[VALOR],tabela_registros[MÊS],$AE$1,tabela_registros[DIA],receitasfixasconsolidadomai[[#Headers],[20]],tabela_registros[REGISTRO],DADOS!$N$3,tabela_registros[TIPO],DADOS!$V$3,tabela_registros[CATEGORIA],receitasfixasconsolidadomai[[#This Row],[ATUAL]])</f>
        <v>0</v>
      </c>
      <c r="Y82" s="88">
        <f>SUMIFS(tabela_registros[VALOR],tabela_registros[MÊS],$AE$1,tabela_registros[DIA],receitasfixasconsolidadomai[[#Headers],[21]],tabela_registros[REGISTRO],DADOS!$N$3,tabela_registros[TIPO],DADOS!$V$3,tabela_registros[CATEGORIA],receitasfixasconsolidadomai[[#This Row],[ATUAL]])</f>
        <v>0</v>
      </c>
      <c r="Z82" s="88">
        <f>SUMIFS(tabela_registros[VALOR],tabela_registros[MÊS],$AE$1,tabela_registros[DIA],receitasfixasconsolidadomai[[#Headers],[22]],tabela_registros[REGISTRO],DADOS!$N$3,tabela_registros[TIPO],DADOS!$V$3,tabela_registros[CATEGORIA],receitasfixasconsolidadomai[[#This Row],[ATUAL]])</f>
        <v>0</v>
      </c>
      <c r="AA82" s="88">
        <f>SUMIFS(tabela_registros[VALOR],tabela_registros[MÊS],$AE$1,tabela_registros[DIA],receitasfixasconsolidadomai[[#Headers],[23]],tabela_registros[REGISTRO],DADOS!$N$3,tabela_registros[TIPO],DADOS!$V$3,tabela_registros[CATEGORIA],receitasfixasconsolidadomai[[#This Row],[ATUAL]])</f>
        <v>0</v>
      </c>
      <c r="AB82" s="88">
        <f>SUMIFS(tabela_registros[VALOR],tabela_registros[MÊS],$AE$1,tabela_registros[DIA],receitasfixasconsolidadomai[[#Headers],[24]],tabela_registros[REGISTRO],DADOS!$N$3,tabela_registros[TIPO],DADOS!$V$3,tabela_registros[CATEGORIA],receitasfixasconsolidadomai[[#This Row],[ATUAL]])</f>
        <v>0</v>
      </c>
      <c r="AC82" s="88">
        <f>SUMIFS(tabela_registros[VALOR],tabela_registros[MÊS],$AE$1,tabela_registros[DIA],receitasfixasconsolidadomai[[#Headers],[25]],tabela_registros[REGISTRO],DADOS!$N$3,tabela_registros[TIPO],DADOS!$V$3,tabela_registros[CATEGORIA],receitasfixasconsolidadomai[[#This Row],[ATUAL]])</f>
        <v>0</v>
      </c>
      <c r="AD82" s="88">
        <f>SUMIFS(tabela_registros[VALOR],tabela_registros[MÊS],$AE$1,tabela_registros[DIA],receitasfixasconsolidadomai[[#Headers],[26]],tabela_registros[REGISTRO],DADOS!$N$3,tabela_registros[TIPO],DADOS!$V$3,tabela_registros[CATEGORIA],receitasfixasconsolidadomai[[#This Row],[ATUAL]])</f>
        <v>0</v>
      </c>
      <c r="AE82" s="88">
        <f>SUMIFS(tabela_registros[VALOR],tabela_registros[MÊS],$AE$1,tabela_registros[DIA],receitasfixasconsolidadomai[[#Headers],[27]],tabela_registros[REGISTRO],DADOS!$N$3,tabela_registros[TIPO],DADOS!$V$3,tabela_registros[CATEGORIA],receitasfixasconsolidadomai[[#This Row],[ATUAL]])</f>
        <v>0</v>
      </c>
      <c r="AF82" s="88">
        <f>SUMIFS(tabela_registros[VALOR],tabela_registros[MÊS],$AE$1,tabela_registros[DIA],receitasfixasconsolidadomai[[#Headers],[28]],tabela_registros[REGISTRO],DADOS!$N$3,tabela_registros[TIPO],DADOS!$V$3,tabela_registros[CATEGORIA],receitasfixasconsolidadomai[[#This Row],[ATUAL]])</f>
        <v>0</v>
      </c>
      <c r="AG82" s="88">
        <f>SUMIFS(tabela_registros[VALOR],tabela_registros[MÊS],$AE$1,tabela_registros[DIA],receitasfixasconsolidadomai[[#Headers],[29]],tabela_registros[REGISTRO],DADOS!$N$3,tabela_registros[TIPO],DADOS!$V$3,tabela_registros[CATEGORIA],receitasfixasconsolidadomai[[#This Row],[ATUAL]])</f>
        <v>0</v>
      </c>
      <c r="AH82" s="88">
        <f>SUMIFS(tabela_registros[VALOR],tabela_registros[MÊS],$AE$1,tabela_registros[DIA],receitasfixasconsolidadomai[[#Headers],[30]],tabela_registros[REGISTRO],DADOS!$N$3,tabela_registros[TIPO],DADOS!$V$3,tabela_registros[CATEGORIA],receitasfixasconsolidadomai[[#This Row],[ATUAL]])</f>
        <v>0</v>
      </c>
      <c r="AI82" s="100">
        <f>SUMIFS(tabela_registros[VALOR],tabela_registros[MÊS],$AE$1,tabela_registros[DIA],receitasfixasconsolidadomai[[#Headers],[31]],tabela_registros[REGISTRO],DADOS!$N$3,tabela_registros[TIPO],DADOS!$V$3,tabela_registros[CATEGORIA],receitasfixasconsolidadomai[[#This Row],[ATUAL]])</f>
        <v>0</v>
      </c>
      <c r="AJ82" s="97">
        <f>SUM(receitasfixasconsolidadomai[[#This Row],[1]:[31]])</f>
        <v>0</v>
      </c>
      <c r="AK82" s="25"/>
    </row>
    <row r="83" spans="2:37" ht="19.5" customHeight="1" thickTop="1" thickBot="1" x14ac:dyDescent="0.3">
      <c r="B83" s="28"/>
      <c r="C83" s="27" t="str">
        <f>DADOS!$X$4</f>
        <v>💸APOSENTADORIA</v>
      </c>
      <c r="D83" s="26" t="str">
        <f>IF(receitasfixasconsolidadomai[[#This Row],[TOTAL (R$)]]=0,"",IF(OR(receitasfixasconsolidadomai[[#This Row],[TOTAL (R$)]]=LARGE($AJ$82:$AJ$86,1),receitasfixasconsolidadomai[[#This Row],[TOTAL (R$)]]=LARGE($AJ$82:$AJ$86,2)),DADOS!$I$9,""))</f>
        <v/>
      </c>
      <c r="E83" s="96">
        <f>SUMIFS(tabela_registros[VALOR],tabela_registros[MÊS],$AE$1,tabela_registros[DIA],receitasfixasconsolidadomai[[#Headers],[1]],tabela_registros[REGISTRO],DADOS!$N$3,tabela_registros[TIPO],DADOS!$V$3,tabela_registros[CATEGORIA],receitasfixasconsolidadomai[[#This Row],[ATUAL]])</f>
        <v>0</v>
      </c>
      <c r="F83" s="91">
        <f>SUMIFS(tabela_registros[VALOR],tabela_registros[MÊS],$AE$1,tabela_registros[DIA],receitasfixasconsolidadomai[[#Headers],[2]],tabela_registros[REGISTRO],DADOS!$N$3,tabela_registros[TIPO],DADOS!$V$3,tabela_registros[CATEGORIA],receitasfixasconsolidadomai[[#This Row],[ATUAL]])</f>
        <v>0</v>
      </c>
      <c r="G83" s="91">
        <f>SUMIFS(tabela_registros[VALOR],tabela_registros[MÊS],$AE$1,tabela_registros[DIA],receitasfixasconsolidadomai[[#Headers],[3]],tabela_registros[REGISTRO],DADOS!$N$3,tabela_registros[TIPO],DADOS!$V$3,tabela_registros[CATEGORIA],receitasfixasconsolidadomai[[#This Row],[ATUAL]])</f>
        <v>0</v>
      </c>
      <c r="H83" s="91">
        <f>SUMIFS(tabela_registros[VALOR],tabela_registros[MÊS],$AE$1,tabela_registros[DIA],receitasfixasconsolidadomai[[#Headers],[4]],tabela_registros[REGISTRO],DADOS!$N$3,tabela_registros[TIPO],DADOS!$V$3,tabela_registros[CATEGORIA],receitasfixasconsolidadomai[[#This Row],[ATUAL]])</f>
        <v>0</v>
      </c>
      <c r="I83" s="91">
        <f>SUMIFS(tabela_registros[VALOR],tabela_registros[MÊS],$AE$1,tabela_registros[DIA],receitasfixasconsolidadomai[[#Headers],[5]],tabela_registros[REGISTRO],DADOS!$N$3,tabela_registros[TIPO],DADOS!$V$3,tabela_registros[CATEGORIA],receitasfixasconsolidadomai[[#This Row],[ATUAL]])</f>
        <v>0</v>
      </c>
      <c r="J83" s="91">
        <f>SUMIFS(tabela_registros[VALOR],tabela_registros[MÊS],$AE$1,tabela_registros[DIA],receitasfixasconsolidadomai[[#Headers],[6]],tabela_registros[REGISTRO],DADOS!$N$3,tabela_registros[TIPO],DADOS!$V$3,tabela_registros[CATEGORIA],receitasfixasconsolidadomai[[#This Row],[ATUAL]])</f>
        <v>0</v>
      </c>
      <c r="K83" s="91">
        <f>SUMIFS(tabela_registros[VALOR],tabela_registros[MÊS],$AE$1,tabela_registros[DIA],receitasfixasconsolidadomai[[#Headers],[7]],tabela_registros[REGISTRO],DADOS!$N$3,tabela_registros[TIPO],DADOS!$V$3,tabela_registros[CATEGORIA],receitasfixasconsolidadomai[[#This Row],[ATUAL]])</f>
        <v>0</v>
      </c>
      <c r="L83" s="91">
        <f>SUMIFS(tabela_registros[VALOR],tabela_registros[MÊS],$AE$1,tabela_registros[DIA],receitasfixasconsolidadomai[[#Headers],[8]],tabela_registros[REGISTRO],DADOS!$N$3,tabela_registros[TIPO],DADOS!$V$3,tabela_registros[CATEGORIA],receitasfixasconsolidadomai[[#This Row],[ATUAL]])</f>
        <v>0</v>
      </c>
      <c r="M83" s="91">
        <f>SUMIFS(tabela_registros[VALOR],tabela_registros[MÊS],$AE$1,tabela_registros[DIA],receitasfixasconsolidadomai[[#Headers],[9]],tabela_registros[REGISTRO],DADOS!$N$3,tabela_registros[TIPO],DADOS!$V$3,tabela_registros[CATEGORIA],receitasfixasconsolidadomai[[#This Row],[ATUAL]])</f>
        <v>0</v>
      </c>
      <c r="N83" s="91">
        <f>SUMIFS(tabela_registros[VALOR],tabela_registros[MÊS],$AE$1,tabela_registros[DIA],receitasfixasconsolidadomai[[#Headers],[10]],tabela_registros[REGISTRO],DADOS!$N$3,tabela_registros[TIPO],DADOS!$V$3,tabela_registros[CATEGORIA],receitasfixasconsolidadomai[[#This Row],[ATUAL]])</f>
        <v>0</v>
      </c>
      <c r="O83" s="91">
        <f>SUMIFS(tabela_registros[VALOR],tabela_registros[MÊS],$AE$1,tabela_registros[DIA],receitasfixasconsolidadomai[[#Headers],[11]],tabela_registros[REGISTRO],DADOS!$N$3,tabela_registros[TIPO],DADOS!$V$3,tabela_registros[CATEGORIA],receitasfixasconsolidadomai[[#This Row],[ATUAL]])</f>
        <v>0</v>
      </c>
      <c r="P83" s="91">
        <f>SUMIFS(tabela_registros[VALOR],tabela_registros[MÊS],$AE$1,tabela_registros[DIA],receitasfixasconsolidadomai[[#Headers],[12]],tabela_registros[REGISTRO],DADOS!$N$3,tabela_registros[TIPO],DADOS!$V$3,tabela_registros[CATEGORIA],receitasfixasconsolidadomai[[#This Row],[ATUAL]])</f>
        <v>0</v>
      </c>
      <c r="Q83" s="91">
        <f>SUMIFS(tabela_registros[VALOR],tabela_registros[MÊS],$AE$1,tabela_registros[DIA],receitasfixasconsolidadomai[[#Headers],[13]],tabela_registros[REGISTRO],DADOS!$N$3,tabela_registros[TIPO],DADOS!$V$3,tabela_registros[CATEGORIA],receitasfixasconsolidadomai[[#This Row],[ATUAL]])</f>
        <v>0</v>
      </c>
      <c r="R83" s="91">
        <f>SUMIFS(tabela_registros[VALOR],tabela_registros[MÊS],$AE$1,tabela_registros[DIA],receitasfixasconsolidadomai[[#Headers],[14]],tabela_registros[REGISTRO],DADOS!$N$3,tabela_registros[TIPO],DADOS!$V$3,tabela_registros[CATEGORIA],receitasfixasconsolidadomai[[#This Row],[ATUAL]])</f>
        <v>0</v>
      </c>
      <c r="S83" s="91">
        <f>SUMIFS(tabela_registros[VALOR],tabela_registros[MÊS],$AE$1,tabela_registros[DIA],receitasfixasconsolidadomai[[#Headers],[15]],tabela_registros[REGISTRO],DADOS!$N$3,tabela_registros[TIPO],DADOS!$V$3,tabela_registros[CATEGORIA],receitasfixasconsolidadomai[[#This Row],[ATUAL]])</f>
        <v>0</v>
      </c>
      <c r="T83" s="91">
        <f>SUMIFS(tabela_registros[VALOR],tabela_registros[MÊS],$AE$1,tabela_registros[DIA],receitasfixasconsolidadomai[[#Headers],[16]],tabela_registros[REGISTRO],DADOS!$N$3,tabela_registros[TIPO],DADOS!$V$3,tabela_registros[CATEGORIA],receitasfixasconsolidadomai[[#This Row],[ATUAL]])</f>
        <v>0</v>
      </c>
      <c r="U83" s="91">
        <f>SUMIFS(tabela_registros[VALOR],tabela_registros[MÊS],$AE$1,tabela_registros[DIA],receitasfixasconsolidadomai[[#Headers],[17]],tabela_registros[REGISTRO],DADOS!$N$3,tabela_registros[TIPO],DADOS!$V$3,tabela_registros[CATEGORIA],receitasfixasconsolidadomai[[#This Row],[ATUAL]])</f>
        <v>0</v>
      </c>
      <c r="V83" s="91">
        <f>SUMIFS(tabela_registros[VALOR],tabela_registros[MÊS],$AE$1,tabela_registros[DIA],receitasfixasconsolidadomai[[#Headers],[18]],tabela_registros[REGISTRO],DADOS!$N$3,tabela_registros[TIPO],DADOS!$V$3,tabela_registros[CATEGORIA],receitasfixasconsolidadomai[[#This Row],[ATUAL]])</f>
        <v>0</v>
      </c>
      <c r="W83" s="91">
        <f>SUMIFS(tabela_registros[VALOR],tabela_registros[MÊS],$AE$1,tabela_registros[DIA],receitasfixasconsolidadomai[[#Headers],[19]],tabela_registros[REGISTRO],DADOS!$N$3,tabela_registros[TIPO],DADOS!$V$3,tabela_registros[CATEGORIA],receitasfixasconsolidadomai[[#This Row],[ATUAL]])</f>
        <v>0</v>
      </c>
      <c r="X83" s="91">
        <f>SUMIFS(tabela_registros[VALOR],tabela_registros[MÊS],$AE$1,tabela_registros[DIA],receitasfixasconsolidadomai[[#Headers],[20]],tabela_registros[REGISTRO],DADOS!$N$3,tabela_registros[TIPO],DADOS!$V$3,tabela_registros[CATEGORIA],receitasfixasconsolidadomai[[#This Row],[ATUAL]])</f>
        <v>0</v>
      </c>
      <c r="Y83" s="91">
        <f>SUMIFS(tabela_registros[VALOR],tabela_registros[MÊS],$AE$1,tabela_registros[DIA],receitasfixasconsolidadomai[[#Headers],[21]],tabela_registros[REGISTRO],DADOS!$N$3,tabela_registros[TIPO],DADOS!$V$3,tabela_registros[CATEGORIA],receitasfixasconsolidadomai[[#This Row],[ATUAL]])</f>
        <v>0</v>
      </c>
      <c r="Z83" s="91">
        <f>SUMIFS(tabela_registros[VALOR],tabela_registros[MÊS],$AE$1,tabela_registros[DIA],receitasfixasconsolidadomai[[#Headers],[22]],tabela_registros[REGISTRO],DADOS!$N$3,tabela_registros[TIPO],DADOS!$V$3,tabela_registros[CATEGORIA],receitasfixasconsolidadomai[[#This Row],[ATUAL]])</f>
        <v>0</v>
      </c>
      <c r="AA83" s="91">
        <f>SUMIFS(tabela_registros[VALOR],tabela_registros[MÊS],$AE$1,tabela_registros[DIA],receitasfixasconsolidadomai[[#Headers],[23]],tabela_registros[REGISTRO],DADOS!$N$3,tabela_registros[TIPO],DADOS!$V$3,tabela_registros[CATEGORIA],receitasfixasconsolidadomai[[#This Row],[ATUAL]])</f>
        <v>0</v>
      </c>
      <c r="AB83" s="91">
        <f>SUMIFS(tabela_registros[VALOR],tabela_registros[MÊS],$AE$1,tabela_registros[DIA],receitasfixasconsolidadomai[[#Headers],[24]],tabela_registros[REGISTRO],DADOS!$N$3,tabela_registros[TIPO],DADOS!$V$3,tabela_registros[CATEGORIA],receitasfixasconsolidadomai[[#This Row],[ATUAL]])</f>
        <v>0</v>
      </c>
      <c r="AC83" s="91">
        <f>SUMIFS(tabela_registros[VALOR],tabela_registros[MÊS],$AE$1,tabela_registros[DIA],receitasfixasconsolidadomai[[#Headers],[25]],tabela_registros[REGISTRO],DADOS!$N$3,tabela_registros[TIPO],DADOS!$V$3,tabela_registros[CATEGORIA],receitasfixasconsolidadomai[[#This Row],[ATUAL]])</f>
        <v>0</v>
      </c>
      <c r="AD83" s="91">
        <f>SUMIFS(tabela_registros[VALOR],tabela_registros[MÊS],$AE$1,tabela_registros[DIA],receitasfixasconsolidadomai[[#Headers],[26]],tabela_registros[REGISTRO],DADOS!$N$3,tabela_registros[TIPO],DADOS!$V$3,tabela_registros[CATEGORIA],receitasfixasconsolidadomai[[#This Row],[ATUAL]])</f>
        <v>0</v>
      </c>
      <c r="AE83" s="91">
        <f>SUMIFS(tabela_registros[VALOR],tabela_registros[MÊS],$AE$1,tabela_registros[DIA],receitasfixasconsolidadomai[[#Headers],[27]],tabela_registros[REGISTRO],DADOS!$N$3,tabela_registros[TIPO],DADOS!$V$3,tabela_registros[CATEGORIA],receitasfixasconsolidadomai[[#This Row],[ATUAL]])</f>
        <v>0</v>
      </c>
      <c r="AF83" s="91">
        <f>SUMIFS(tabela_registros[VALOR],tabela_registros[MÊS],$AE$1,tabela_registros[DIA],receitasfixasconsolidadomai[[#Headers],[28]],tabela_registros[REGISTRO],DADOS!$N$3,tabela_registros[TIPO],DADOS!$V$3,tabela_registros[CATEGORIA],receitasfixasconsolidadomai[[#This Row],[ATUAL]])</f>
        <v>0</v>
      </c>
      <c r="AG83" s="91">
        <f>SUMIFS(tabela_registros[VALOR],tabela_registros[MÊS],$AE$1,tabela_registros[DIA],receitasfixasconsolidadomai[[#Headers],[29]],tabela_registros[REGISTRO],DADOS!$N$3,tabela_registros[TIPO],DADOS!$V$3,tabela_registros[CATEGORIA],receitasfixasconsolidadomai[[#This Row],[ATUAL]])</f>
        <v>0</v>
      </c>
      <c r="AH83" s="91">
        <f>SUMIFS(tabela_registros[VALOR],tabela_registros[MÊS],$AE$1,tabela_registros[DIA],receitasfixasconsolidadomai[[#Headers],[30]],tabela_registros[REGISTRO],DADOS!$N$3,tabela_registros[TIPO],DADOS!$V$3,tabela_registros[CATEGORIA],receitasfixasconsolidadomai[[#This Row],[ATUAL]])</f>
        <v>0</v>
      </c>
      <c r="AI83" s="101">
        <f>SUMIFS(tabela_registros[VALOR],tabela_registros[MÊS],$AE$1,tabela_registros[DIA],receitasfixasconsolidadomai[[#Headers],[31]],tabela_registros[REGISTRO],DADOS!$N$3,tabela_registros[TIPO],DADOS!$V$3,tabela_registros[CATEGORIA],receitasfixasconsolidadomai[[#This Row],[ATUAL]])</f>
        <v>0</v>
      </c>
      <c r="AJ83" s="97">
        <f>SUM(receitasfixasconsolidadomai[[#This Row],[1]:[31]])</f>
        <v>0</v>
      </c>
      <c r="AK83" s="25"/>
    </row>
    <row r="84" spans="2:37" ht="19.5" customHeight="1" thickTop="1" thickBot="1" x14ac:dyDescent="0.3">
      <c r="B84" s="28"/>
      <c r="C84" s="27" t="str">
        <f>DADOS!$X$5</f>
        <v>🎀 MESADA</v>
      </c>
      <c r="D84" s="26" t="str">
        <f>IF(receitasfixasconsolidadomai[[#This Row],[TOTAL (R$)]]=0,"",IF(OR(receitasfixasconsolidadomai[[#This Row],[TOTAL (R$)]]=LARGE($AJ$82:$AJ$86,1),receitasfixasconsolidadomai[[#This Row],[TOTAL (R$)]]=LARGE($AJ$82:$AJ$86,2)),DADOS!$I$9,""))</f>
        <v>🐄</v>
      </c>
      <c r="E84" s="96">
        <f>SUMIFS(tabela_registros[VALOR],tabela_registros[MÊS],$AE$1,tabela_registros[DIA],receitasfixasconsolidadomai[[#Headers],[1]],tabela_registros[REGISTRO],DADOS!$N$3,tabela_registros[TIPO],DADOS!$V$3,tabela_registros[CATEGORIA],receitasfixasconsolidadomai[[#This Row],[ATUAL]])</f>
        <v>0</v>
      </c>
      <c r="F84" s="91">
        <f>SUMIFS(tabela_registros[VALOR],tabela_registros[MÊS],$AE$1,tabela_registros[DIA],receitasfixasconsolidadomai[[#Headers],[2]],tabela_registros[REGISTRO],DADOS!$N$3,tabela_registros[TIPO],DADOS!$V$3,tabela_registros[CATEGORIA],receitasfixasconsolidadomai[[#This Row],[ATUAL]])</f>
        <v>0</v>
      </c>
      <c r="G84" s="91">
        <f>SUMIFS(tabela_registros[VALOR],tabela_registros[MÊS],$AE$1,tabela_registros[DIA],receitasfixasconsolidadomai[[#Headers],[3]],tabela_registros[REGISTRO],DADOS!$N$3,tabela_registros[TIPO],DADOS!$V$3,tabela_registros[CATEGORIA],receitasfixasconsolidadomai[[#This Row],[ATUAL]])</f>
        <v>0</v>
      </c>
      <c r="H84" s="91">
        <f>SUMIFS(tabela_registros[VALOR],tabela_registros[MÊS],$AE$1,tabela_registros[DIA],receitasfixasconsolidadomai[[#Headers],[4]],tabela_registros[REGISTRO],DADOS!$N$3,tabela_registros[TIPO],DADOS!$V$3,tabela_registros[CATEGORIA],receitasfixasconsolidadomai[[#This Row],[ATUAL]])</f>
        <v>0</v>
      </c>
      <c r="I84" s="91">
        <f>SUMIFS(tabela_registros[VALOR],tabela_registros[MÊS],$AE$1,tabela_registros[DIA],receitasfixasconsolidadomai[[#Headers],[5]],tabela_registros[REGISTRO],DADOS!$N$3,tabela_registros[TIPO],DADOS!$V$3,tabela_registros[CATEGORIA],receitasfixasconsolidadomai[[#This Row],[ATUAL]])</f>
        <v>0</v>
      </c>
      <c r="J84" s="91">
        <f>SUMIFS(tabela_registros[VALOR],tabela_registros[MÊS],$AE$1,tabela_registros[DIA],receitasfixasconsolidadomai[[#Headers],[6]],tabela_registros[REGISTRO],DADOS!$N$3,tabela_registros[TIPO],DADOS!$V$3,tabela_registros[CATEGORIA],receitasfixasconsolidadomai[[#This Row],[ATUAL]])</f>
        <v>0</v>
      </c>
      <c r="K84" s="91">
        <f>SUMIFS(tabela_registros[VALOR],tabela_registros[MÊS],$AE$1,tabela_registros[DIA],receitasfixasconsolidadomai[[#Headers],[7]],tabela_registros[REGISTRO],DADOS!$N$3,tabela_registros[TIPO],DADOS!$V$3,tabela_registros[CATEGORIA],receitasfixasconsolidadomai[[#This Row],[ATUAL]])</f>
        <v>0</v>
      </c>
      <c r="L84" s="91">
        <f>SUMIFS(tabela_registros[VALOR],tabela_registros[MÊS],$AE$1,tabela_registros[DIA],receitasfixasconsolidadomai[[#Headers],[8]],tabela_registros[REGISTRO],DADOS!$N$3,tabela_registros[TIPO],DADOS!$V$3,tabela_registros[CATEGORIA],receitasfixasconsolidadomai[[#This Row],[ATUAL]])</f>
        <v>0</v>
      </c>
      <c r="M84" s="91">
        <f>SUMIFS(tabela_registros[VALOR],tabela_registros[MÊS],$AE$1,tabela_registros[DIA],receitasfixasconsolidadomai[[#Headers],[9]],tabela_registros[REGISTRO],DADOS!$N$3,tabela_registros[TIPO],DADOS!$V$3,tabela_registros[CATEGORIA],receitasfixasconsolidadomai[[#This Row],[ATUAL]])</f>
        <v>0</v>
      </c>
      <c r="N84" s="91">
        <f>SUMIFS(tabela_registros[VALOR],tabela_registros[MÊS],$AE$1,tabela_registros[DIA],receitasfixasconsolidadomai[[#Headers],[10]],tabela_registros[REGISTRO],DADOS!$N$3,tabela_registros[TIPO],DADOS!$V$3,tabela_registros[CATEGORIA],receitasfixasconsolidadomai[[#This Row],[ATUAL]])</f>
        <v>0</v>
      </c>
      <c r="O84" s="91">
        <f>SUMIFS(tabela_registros[VALOR],tabela_registros[MÊS],$AE$1,tabela_registros[DIA],receitasfixasconsolidadomai[[#Headers],[11]],tabela_registros[REGISTRO],DADOS!$N$3,tabela_registros[TIPO],DADOS!$V$3,tabela_registros[CATEGORIA],receitasfixasconsolidadomai[[#This Row],[ATUAL]])</f>
        <v>0</v>
      </c>
      <c r="P84" s="91">
        <f>SUMIFS(tabela_registros[VALOR],tabela_registros[MÊS],$AE$1,tabela_registros[DIA],receitasfixasconsolidadomai[[#Headers],[12]],tabela_registros[REGISTRO],DADOS!$N$3,tabela_registros[TIPO],DADOS!$V$3,tabela_registros[CATEGORIA],receitasfixasconsolidadomai[[#This Row],[ATUAL]])</f>
        <v>0</v>
      </c>
      <c r="Q84" s="91">
        <f>SUMIFS(tabela_registros[VALOR],tabela_registros[MÊS],$AE$1,tabela_registros[DIA],receitasfixasconsolidadomai[[#Headers],[13]],tabela_registros[REGISTRO],DADOS!$N$3,tabela_registros[TIPO],DADOS!$V$3,tabela_registros[CATEGORIA],receitasfixasconsolidadomai[[#This Row],[ATUAL]])</f>
        <v>0</v>
      </c>
      <c r="R84" s="91">
        <f>SUMIFS(tabela_registros[VALOR],tabela_registros[MÊS],$AE$1,tabela_registros[DIA],receitasfixasconsolidadomai[[#Headers],[14]],tabela_registros[REGISTRO],DADOS!$N$3,tabela_registros[TIPO],DADOS!$V$3,tabela_registros[CATEGORIA],receitasfixasconsolidadomai[[#This Row],[ATUAL]])</f>
        <v>0</v>
      </c>
      <c r="S84" s="91">
        <f>SUMIFS(tabela_registros[VALOR],tabela_registros[MÊS],$AE$1,tabela_registros[DIA],receitasfixasconsolidadomai[[#Headers],[15]],tabela_registros[REGISTRO],DADOS!$N$3,tabela_registros[TIPO],DADOS!$V$3,tabela_registros[CATEGORIA],receitasfixasconsolidadomai[[#This Row],[ATUAL]])</f>
        <v>0</v>
      </c>
      <c r="T84" s="91">
        <f>SUMIFS(tabela_registros[VALOR],tabela_registros[MÊS],$AE$1,tabela_registros[DIA],receitasfixasconsolidadomai[[#Headers],[16]],tabela_registros[REGISTRO],DADOS!$N$3,tabela_registros[TIPO],DADOS!$V$3,tabela_registros[CATEGORIA],receitasfixasconsolidadomai[[#This Row],[ATUAL]])</f>
        <v>230</v>
      </c>
      <c r="U84" s="91">
        <f>SUMIFS(tabela_registros[VALOR],tabela_registros[MÊS],$AE$1,tabela_registros[DIA],receitasfixasconsolidadomai[[#Headers],[17]],tabela_registros[REGISTRO],DADOS!$N$3,tabela_registros[TIPO],DADOS!$V$3,tabela_registros[CATEGORIA],receitasfixasconsolidadomai[[#This Row],[ATUAL]])</f>
        <v>0</v>
      </c>
      <c r="V84" s="91">
        <f>SUMIFS(tabela_registros[VALOR],tabela_registros[MÊS],$AE$1,tabela_registros[DIA],receitasfixasconsolidadomai[[#Headers],[18]],tabela_registros[REGISTRO],DADOS!$N$3,tabela_registros[TIPO],DADOS!$V$3,tabela_registros[CATEGORIA],receitasfixasconsolidadomai[[#This Row],[ATUAL]])</f>
        <v>0</v>
      </c>
      <c r="W84" s="91">
        <f>SUMIFS(tabela_registros[VALOR],tabela_registros[MÊS],$AE$1,tabela_registros[DIA],receitasfixasconsolidadomai[[#Headers],[19]],tabela_registros[REGISTRO],DADOS!$N$3,tabela_registros[TIPO],DADOS!$V$3,tabela_registros[CATEGORIA],receitasfixasconsolidadomai[[#This Row],[ATUAL]])</f>
        <v>0</v>
      </c>
      <c r="X84" s="91">
        <f>SUMIFS(tabela_registros[VALOR],tabela_registros[MÊS],$AE$1,tabela_registros[DIA],receitasfixasconsolidadomai[[#Headers],[20]],tabela_registros[REGISTRO],DADOS!$N$3,tabela_registros[TIPO],DADOS!$V$3,tabela_registros[CATEGORIA],receitasfixasconsolidadomai[[#This Row],[ATUAL]])</f>
        <v>0</v>
      </c>
      <c r="Y84" s="91">
        <f>SUMIFS(tabela_registros[VALOR],tabela_registros[MÊS],$AE$1,tabela_registros[DIA],receitasfixasconsolidadomai[[#Headers],[21]],tabela_registros[REGISTRO],DADOS!$N$3,tabela_registros[TIPO],DADOS!$V$3,tabela_registros[CATEGORIA],receitasfixasconsolidadomai[[#This Row],[ATUAL]])</f>
        <v>0</v>
      </c>
      <c r="Z84" s="91">
        <f>SUMIFS(tabela_registros[VALOR],tabela_registros[MÊS],$AE$1,tabela_registros[DIA],receitasfixasconsolidadomai[[#Headers],[22]],tabela_registros[REGISTRO],DADOS!$N$3,tabela_registros[TIPO],DADOS!$V$3,tabela_registros[CATEGORIA],receitasfixasconsolidadomai[[#This Row],[ATUAL]])</f>
        <v>0</v>
      </c>
      <c r="AA84" s="91">
        <f>SUMIFS(tabela_registros[VALOR],tabela_registros[MÊS],$AE$1,tabela_registros[DIA],receitasfixasconsolidadomai[[#Headers],[23]],tabela_registros[REGISTRO],DADOS!$N$3,tabela_registros[TIPO],DADOS!$V$3,tabela_registros[CATEGORIA],receitasfixasconsolidadomai[[#This Row],[ATUAL]])</f>
        <v>0</v>
      </c>
      <c r="AB84" s="91">
        <f>SUMIFS(tabela_registros[VALOR],tabela_registros[MÊS],$AE$1,tabela_registros[DIA],receitasfixasconsolidadomai[[#Headers],[24]],tabela_registros[REGISTRO],DADOS!$N$3,tabela_registros[TIPO],DADOS!$V$3,tabela_registros[CATEGORIA],receitasfixasconsolidadomai[[#This Row],[ATUAL]])</f>
        <v>0</v>
      </c>
      <c r="AC84" s="91">
        <f>SUMIFS(tabela_registros[VALOR],tabela_registros[MÊS],$AE$1,tabela_registros[DIA],receitasfixasconsolidadomai[[#Headers],[25]],tabela_registros[REGISTRO],DADOS!$N$3,tabela_registros[TIPO],DADOS!$V$3,tabela_registros[CATEGORIA],receitasfixasconsolidadomai[[#This Row],[ATUAL]])</f>
        <v>0</v>
      </c>
      <c r="AD84" s="91">
        <f>SUMIFS(tabela_registros[VALOR],tabela_registros[MÊS],$AE$1,tabela_registros[DIA],receitasfixasconsolidadomai[[#Headers],[26]],tabela_registros[REGISTRO],DADOS!$N$3,tabela_registros[TIPO],DADOS!$V$3,tabela_registros[CATEGORIA],receitasfixasconsolidadomai[[#This Row],[ATUAL]])</f>
        <v>0</v>
      </c>
      <c r="AE84" s="91">
        <f>SUMIFS(tabela_registros[VALOR],tabela_registros[MÊS],$AE$1,tabela_registros[DIA],receitasfixasconsolidadomai[[#Headers],[27]],tabela_registros[REGISTRO],DADOS!$N$3,tabela_registros[TIPO],DADOS!$V$3,tabela_registros[CATEGORIA],receitasfixasconsolidadomai[[#This Row],[ATUAL]])</f>
        <v>0</v>
      </c>
      <c r="AF84" s="91">
        <f>SUMIFS(tabela_registros[VALOR],tabela_registros[MÊS],$AE$1,tabela_registros[DIA],receitasfixasconsolidadomai[[#Headers],[28]],tabela_registros[REGISTRO],DADOS!$N$3,tabela_registros[TIPO],DADOS!$V$3,tabela_registros[CATEGORIA],receitasfixasconsolidadomai[[#This Row],[ATUAL]])</f>
        <v>0</v>
      </c>
      <c r="AG84" s="91">
        <f>SUMIFS(tabela_registros[VALOR],tabela_registros[MÊS],$AE$1,tabela_registros[DIA],receitasfixasconsolidadomai[[#Headers],[29]],tabela_registros[REGISTRO],DADOS!$N$3,tabela_registros[TIPO],DADOS!$V$3,tabela_registros[CATEGORIA],receitasfixasconsolidadomai[[#This Row],[ATUAL]])</f>
        <v>0</v>
      </c>
      <c r="AH84" s="91">
        <f>SUMIFS(tabela_registros[VALOR],tabela_registros[MÊS],$AE$1,tabela_registros[DIA],receitasfixasconsolidadomai[[#Headers],[30]],tabela_registros[REGISTRO],DADOS!$N$3,tabela_registros[TIPO],DADOS!$V$3,tabela_registros[CATEGORIA],receitasfixasconsolidadomai[[#This Row],[ATUAL]])</f>
        <v>0</v>
      </c>
      <c r="AI84" s="101">
        <f>SUMIFS(tabela_registros[VALOR],tabela_registros[MÊS],$AE$1,tabela_registros[DIA],receitasfixasconsolidadomai[[#Headers],[31]],tabela_registros[REGISTRO],DADOS!$N$3,tabela_registros[TIPO],DADOS!$V$3,tabela_registros[CATEGORIA],receitasfixasconsolidadomai[[#This Row],[ATUAL]])</f>
        <v>0</v>
      </c>
      <c r="AJ84" s="97">
        <f>SUM(receitasfixasconsolidadomai[[#This Row],[1]:[31]])</f>
        <v>230</v>
      </c>
      <c r="AK84" s="25"/>
    </row>
    <row r="85" spans="2:37" ht="19.5" customHeight="1" thickTop="1" thickBot="1" x14ac:dyDescent="0.3">
      <c r="B85" s="28"/>
      <c r="C85" s="27" t="str">
        <f>DADOS!$X$6</f>
        <v>💰 SALÁRIO</v>
      </c>
      <c r="D85" s="26" t="str">
        <f>IF(receitasfixasconsolidadomai[[#This Row],[TOTAL (R$)]]=0,"",IF(OR(receitasfixasconsolidadomai[[#This Row],[TOTAL (R$)]]=LARGE($AJ$82:$AJ$86,1),receitasfixasconsolidadomai[[#This Row],[TOTAL (R$)]]=LARGE($AJ$82:$AJ$86,2)),DADOS!$I$9,""))</f>
        <v/>
      </c>
      <c r="E85" s="96">
        <f>SUMIFS(tabela_registros[VALOR],tabela_registros[MÊS],$AE$1,tabela_registros[DIA],receitasfixasconsolidadomai[[#Headers],[1]],tabela_registros[REGISTRO],DADOS!$N$3,tabela_registros[TIPO],DADOS!$V$3,tabela_registros[CATEGORIA],receitasfixasconsolidadomai[[#This Row],[ATUAL]])</f>
        <v>0</v>
      </c>
      <c r="F85" s="91">
        <f>SUMIFS(tabela_registros[VALOR],tabela_registros[MÊS],$AE$1,tabela_registros[DIA],receitasfixasconsolidadomai[[#Headers],[2]],tabela_registros[REGISTRO],DADOS!$N$3,tabela_registros[TIPO],DADOS!$V$3,tabela_registros[CATEGORIA],receitasfixasconsolidadomai[[#This Row],[ATUAL]])</f>
        <v>0</v>
      </c>
      <c r="G85" s="91">
        <f>SUMIFS(tabela_registros[VALOR],tabela_registros[MÊS],$AE$1,tabela_registros[DIA],receitasfixasconsolidadomai[[#Headers],[3]],tabela_registros[REGISTRO],DADOS!$N$3,tabela_registros[TIPO],DADOS!$V$3,tabela_registros[CATEGORIA],receitasfixasconsolidadomai[[#This Row],[ATUAL]])</f>
        <v>0</v>
      </c>
      <c r="H85" s="91">
        <f>SUMIFS(tabela_registros[VALOR],tabela_registros[MÊS],$AE$1,tabela_registros[DIA],receitasfixasconsolidadomai[[#Headers],[4]],tabela_registros[REGISTRO],DADOS!$N$3,tabela_registros[TIPO],DADOS!$V$3,tabela_registros[CATEGORIA],receitasfixasconsolidadomai[[#This Row],[ATUAL]])</f>
        <v>0</v>
      </c>
      <c r="I85" s="91">
        <f>SUMIFS(tabela_registros[VALOR],tabela_registros[MÊS],$AE$1,tabela_registros[DIA],receitasfixasconsolidadomai[[#Headers],[5]],tabela_registros[REGISTRO],DADOS!$N$3,tabela_registros[TIPO],DADOS!$V$3,tabela_registros[CATEGORIA],receitasfixasconsolidadomai[[#This Row],[ATUAL]])</f>
        <v>0</v>
      </c>
      <c r="J85" s="91">
        <f>SUMIFS(tabela_registros[VALOR],tabela_registros[MÊS],$AE$1,tabela_registros[DIA],receitasfixasconsolidadomai[[#Headers],[6]],tabela_registros[REGISTRO],DADOS!$N$3,tabela_registros[TIPO],DADOS!$V$3,tabela_registros[CATEGORIA],receitasfixasconsolidadomai[[#This Row],[ATUAL]])</f>
        <v>0</v>
      </c>
      <c r="K85" s="91">
        <f>SUMIFS(tabela_registros[VALOR],tabela_registros[MÊS],$AE$1,tabela_registros[DIA],receitasfixasconsolidadomai[[#Headers],[7]],tabela_registros[REGISTRO],DADOS!$N$3,tabela_registros[TIPO],DADOS!$V$3,tabela_registros[CATEGORIA],receitasfixasconsolidadomai[[#This Row],[ATUAL]])</f>
        <v>0</v>
      </c>
      <c r="L85" s="91">
        <f>SUMIFS(tabela_registros[VALOR],tabela_registros[MÊS],$AE$1,tabela_registros[DIA],receitasfixasconsolidadomai[[#Headers],[8]],tabela_registros[REGISTRO],DADOS!$N$3,tabela_registros[TIPO],DADOS!$V$3,tabela_registros[CATEGORIA],receitasfixasconsolidadomai[[#This Row],[ATUAL]])</f>
        <v>0</v>
      </c>
      <c r="M85" s="91">
        <f>SUMIFS(tabela_registros[VALOR],tabela_registros[MÊS],$AE$1,tabela_registros[DIA],receitasfixasconsolidadomai[[#Headers],[9]],tabela_registros[REGISTRO],DADOS!$N$3,tabela_registros[TIPO],DADOS!$V$3,tabela_registros[CATEGORIA],receitasfixasconsolidadomai[[#This Row],[ATUAL]])</f>
        <v>0</v>
      </c>
      <c r="N85" s="91">
        <f>SUMIFS(tabela_registros[VALOR],tabela_registros[MÊS],$AE$1,tabela_registros[DIA],receitasfixasconsolidadomai[[#Headers],[10]],tabela_registros[REGISTRO],DADOS!$N$3,tabela_registros[TIPO],DADOS!$V$3,tabela_registros[CATEGORIA],receitasfixasconsolidadomai[[#This Row],[ATUAL]])</f>
        <v>0</v>
      </c>
      <c r="O85" s="91">
        <f>SUMIFS(tabela_registros[VALOR],tabela_registros[MÊS],$AE$1,tabela_registros[DIA],receitasfixasconsolidadomai[[#Headers],[11]],tabela_registros[REGISTRO],DADOS!$N$3,tabela_registros[TIPO],DADOS!$V$3,tabela_registros[CATEGORIA],receitasfixasconsolidadomai[[#This Row],[ATUAL]])</f>
        <v>0</v>
      </c>
      <c r="P85" s="91">
        <f>SUMIFS(tabela_registros[VALOR],tabela_registros[MÊS],$AE$1,tabela_registros[DIA],receitasfixasconsolidadomai[[#Headers],[12]],tabela_registros[REGISTRO],DADOS!$N$3,tabela_registros[TIPO],DADOS!$V$3,tabela_registros[CATEGORIA],receitasfixasconsolidadomai[[#This Row],[ATUAL]])</f>
        <v>0</v>
      </c>
      <c r="Q85" s="91">
        <f>SUMIFS(tabela_registros[VALOR],tabela_registros[MÊS],$AE$1,tabela_registros[DIA],receitasfixasconsolidadomai[[#Headers],[13]],tabela_registros[REGISTRO],DADOS!$N$3,tabela_registros[TIPO],DADOS!$V$3,tabela_registros[CATEGORIA],receitasfixasconsolidadomai[[#This Row],[ATUAL]])</f>
        <v>0</v>
      </c>
      <c r="R85" s="91">
        <f>SUMIFS(tabela_registros[VALOR],tabela_registros[MÊS],$AE$1,tabela_registros[DIA],receitasfixasconsolidadomai[[#Headers],[14]],tabela_registros[REGISTRO],DADOS!$N$3,tabela_registros[TIPO],DADOS!$V$3,tabela_registros[CATEGORIA],receitasfixasconsolidadomai[[#This Row],[ATUAL]])</f>
        <v>0</v>
      </c>
      <c r="S85" s="91">
        <f>SUMIFS(tabela_registros[VALOR],tabela_registros[MÊS],$AE$1,tabela_registros[DIA],receitasfixasconsolidadomai[[#Headers],[15]],tabela_registros[REGISTRO],DADOS!$N$3,tabela_registros[TIPO],DADOS!$V$3,tabela_registros[CATEGORIA],receitasfixasconsolidadomai[[#This Row],[ATUAL]])</f>
        <v>0</v>
      </c>
      <c r="T85" s="91">
        <f>SUMIFS(tabela_registros[VALOR],tabela_registros[MÊS],$AE$1,tabela_registros[DIA],receitasfixasconsolidadomai[[#Headers],[16]],tabela_registros[REGISTRO],DADOS!$N$3,tabela_registros[TIPO],DADOS!$V$3,tabela_registros[CATEGORIA],receitasfixasconsolidadomai[[#This Row],[ATUAL]])</f>
        <v>0</v>
      </c>
      <c r="U85" s="91">
        <f>SUMIFS(tabela_registros[VALOR],tabela_registros[MÊS],$AE$1,tabela_registros[DIA],receitasfixasconsolidadomai[[#Headers],[17]],tabela_registros[REGISTRO],DADOS!$N$3,tabela_registros[TIPO],DADOS!$V$3,tabela_registros[CATEGORIA],receitasfixasconsolidadomai[[#This Row],[ATUAL]])</f>
        <v>0</v>
      </c>
      <c r="V85" s="91">
        <f>SUMIFS(tabela_registros[VALOR],tabela_registros[MÊS],$AE$1,tabela_registros[DIA],receitasfixasconsolidadomai[[#Headers],[18]],tabela_registros[REGISTRO],DADOS!$N$3,tabela_registros[TIPO],DADOS!$V$3,tabela_registros[CATEGORIA],receitasfixasconsolidadomai[[#This Row],[ATUAL]])</f>
        <v>0</v>
      </c>
      <c r="W85" s="91">
        <f>SUMIFS(tabela_registros[VALOR],tabela_registros[MÊS],$AE$1,tabela_registros[DIA],receitasfixasconsolidadomai[[#Headers],[19]],tabela_registros[REGISTRO],DADOS!$N$3,tabela_registros[TIPO],DADOS!$V$3,tabela_registros[CATEGORIA],receitasfixasconsolidadomai[[#This Row],[ATUAL]])</f>
        <v>0</v>
      </c>
      <c r="X85" s="91">
        <f>SUMIFS(tabela_registros[VALOR],tabela_registros[MÊS],$AE$1,tabela_registros[DIA],receitasfixasconsolidadomai[[#Headers],[20]],tabela_registros[REGISTRO],DADOS!$N$3,tabela_registros[TIPO],DADOS!$V$3,tabela_registros[CATEGORIA],receitasfixasconsolidadomai[[#This Row],[ATUAL]])</f>
        <v>0</v>
      </c>
      <c r="Y85" s="91">
        <f>SUMIFS(tabela_registros[VALOR],tabela_registros[MÊS],$AE$1,tabela_registros[DIA],receitasfixasconsolidadomai[[#Headers],[21]],tabela_registros[REGISTRO],DADOS!$N$3,tabela_registros[TIPO],DADOS!$V$3,tabela_registros[CATEGORIA],receitasfixasconsolidadomai[[#This Row],[ATUAL]])</f>
        <v>0</v>
      </c>
      <c r="Z85" s="91">
        <f>SUMIFS(tabela_registros[VALOR],tabela_registros[MÊS],$AE$1,tabela_registros[DIA],receitasfixasconsolidadomai[[#Headers],[22]],tabela_registros[REGISTRO],DADOS!$N$3,tabela_registros[TIPO],DADOS!$V$3,tabela_registros[CATEGORIA],receitasfixasconsolidadomai[[#This Row],[ATUAL]])</f>
        <v>0</v>
      </c>
      <c r="AA85" s="91">
        <f>SUMIFS(tabela_registros[VALOR],tabela_registros[MÊS],$AE$1,tabela_registros[DIA],receitasfixasconsolidadomai[[#Headers],[23]],tabela_registros[REGISTRO],DADOS!$N$3,tabela_registros[TIPO],DADOS!$V$3,tabela_registros[CATEGORIA],receitasfixasconsolidadomai[[#This Row],[ATUAL]])</f>
        <v>0</v>
      </c>
      <c r="AB85" s="91">
        <f>SUMIFS(tabela_registros[VALOR],tabela_registros[MÊS],$AE$1,tabela_registros[DIA],receitasfixasconsolidadomai[[#Headers],[24]],tabela_registros[REGISTRO],DADOS!$N$3,tabela_registros[TIPO],DADOS!$V$3,tabela_registros[CATEGORIA],receitasfixasconsolidadomai[[#This Row],[ATUAL]])</f>
        <v>0</v>
      </c>
      <c r="AC85" s="91">
        <f>SUMIFS(tabela_registros[VALOR],tabela_registros[MÊS],$AE$1,tabela_registros[DIA],receitasfixasconsolidadomai[[#Headers],[25]],tabela_registros[REGISTRO],DADOS!$N$3,tabela_registros[TIPO],DADOS!$V$3,tabela_registros[CATEGORIA],receitasfixasconsolidadomai[[#This Row],[ATUAL]])</f>
        <v>0</v>
      </c>
      <c r="AD85" s="91">
        <f>SUMIFS(tabela_registros[VALOR],tabela_registros[MÊS],$AE$1,tabela_registros[DIA],receitasfixasconsolidadomai[[#Headers],[26]],tabela_registros[REGISTRO],DADOS!$N$3,tabela_registros[TIPO],DADOS!$V$3,tabela_registros[CATEGORIA],receitasfixasconsolidadomai[[#This Row],[ATUAL]])</f>
        <v>0</v>
      </c>
      <c r="AE85" s="91">
        <f>SUMIFS(tabela_registros[VALOR],tabela_registros[MÊS],$AE$1,tabela_registros[DIA],receitasfixasconsolidadomai[[#Headers],[27]],tabela_registros[REGISTRO],DADOS!$N$3,tabela_registros[TIPO],DADOS!$V$3,tabela_registros[CATEGORIA],receitasfixasconsolidadomai[[#This Row],[ATUAL]])</f>
        <v>0</v>
      </c>
      <c r="AF85" s="91">
        <f>SUMIFS(tabela_registros[VALOR],tabela_registros[MÊS],$AE$1,tabela_registros[DIA],receitasfixasconsolidadomai[[#Headers],[28]],tabela_registros[REGISTRO],DADOS!$N$3,tabela_registros[TIPO],DADOS!$V$3,tabela_registros[CATEGORIA],receitasfixasconsolidadomai[[#This Row],[ATUAL]])</f>
        <v>0</v>
      </c>
      <c r="AG85" s="91">
        <f>SUMIFS(tabela_registros[VALOR],tabela_registros[MÊS],$AE$1,tabela_registros[DIA],receitasfixasconsolidadomai[[#Headers],[29]],tabela_registros[REGISTRO],DADOS!$N$3,tabela_registros[TIPO],DADOS!$V$3,tabela_registros[CATEGORIA],receitasfixasconsolidadomai[[#This Row],[ATUAL]])</f>
        <v>0</v>
      </c>
      <c r="AH85" s="91">
        <f>SUMIFS(tabela_registros[VALOR],tabela_registros[MÊS],$AE$1,tabela_registros[DIA],receitasfixasconsolidadomai[[#Headers],[30]],tabela_registros[REGISTRO],DADOS!$N$3,tabela_registros[TIPO],DADOS!$V$3,tabela_registros[CATEGORIA],receitasfixasconsolidadomai[[#This Row],[ATUAL]])</f>
        <v>0</v>
      </c>
      <c r="AI85" s="101">
        <f>SUMIFS(tabela_registros[VALOR],tabela_registros[MÊS],$AE$1,tabela_registros[DIA],receitasfixasconsolidadomai[[#Headers],[31]],tabela_registros[REGISTRO],DADOS!$N$3,tabela_registros[TIPO],DADOS!$V$3,tabela_registros[CATEGORIA],receitasfixasconsolidadomai[[#This Row],[ATUAL]])</f>
        <v>0</v>
      </c>
      <c r="AJ85" s="97">
        <f>SUM(receitasfixasconsolidadomai[[#This Row],[1]:[31]])</f>
        <v>0</v>
      </c>
      <c r="AK85" s="25"/>
    </row>
    <row r="86" spans="2:37" ht="18" customHeight="1" thickTop="1" thickBot="1" x14ac:dyDescent="0.3">
      <c r="B86" s="28"/>
      <c r="C86" s="27" t="str">
        <f>DADOS!$X$7</f>
        <v>📎 OUTROS</v>
      </c>
      <c r="D86" s="26" t="str">
        <f>IF(receitasfixasconsolidadomai[[#This Row],[TOTAL (R$)]]=0,"",IF(OR(receitasfixasconsolidadomai[[#This Row],[TOTAL (R$)]]=LARGE($AJ$82:$AJ$86,1),receitasfixasconsolidadomai[[#This Row],[TOTAL (R$)]]=LARGE($AJ$82:$AJ$86,2)),DADOS!$I$9,""))</f>
        <v/>
      </c>
      <c r="E86" s="96">
        <f>SUMIFS(tabela_registros[VALOR],tabela_registros[MÊS],$AE$1,tabela_registros[DIA],receitasfixasconsolidadomai[[#Headers],[1]],tabela_registros[REGISTRO],DADOS!$N$3,tabela_registros[TIPO],DADOS!$V$3,tabela_registros[CATEGORIA],receitasfixasconsolidadomai[[#This Row],[ATUAL]])</f>
        <v>0</v>
      </c>
      <c r="F86" s="91">
        <f>SUMIFS(tabela_registros[VALOR],tabela_registros[MÊS],$AE$1,tabela_registros[DIA],receitasfixasconsolidadomai[[#Headers],[2]],tabela_registros[REGISTRO],DADOS!$N$3,tabela_registros[TIPO],DADOS!$V$3,tabela_registros[CATEGORIA],receitasfixasconsolidadomai[[#This Row],[ATUAL]])</f>
        <v>0</v>
      </c>
      <c r="G86" s="91">
        <f>SUMIFS(tabela_registros[VALOR],tabela_registros[MÊS],$AE$1,tabela_registros[DIA],receitasfixasconsolidadomai[[#Headers],[3]],tabela_registros[REGISTRO],DADOS!$N$3,tabela_registros[TIPO],DADOS!$V$3,tabela_registros[CATEGORIA],receitasfixasconsolidadomai[[#This Row],[ATUAL]])</f>
        <v>0</v>
      </c>
      <c r="H86" s="91">
        <f>SUMIFS(tabela_registros[VALOR],tabela_registros[MÊS],$AE$1,tabela_registros[DIA],receitasfixasconsolidadomai[[#Headers],[4]],tabela_registros[REGISTRO],DADOS!$N$3,tabela_registros[TIPO],DADOS!$V$3,tabela_registros[CATEGORIA],receitasfixasconsolidadomai[[#This Row],[ATUAL]])</f>
        <v>0</v>
      </c>
      <c r="I86" s="91">
        <f>SUMIFS(tabela_registros[VALOR],tabela_registros[MÊS],$AE$1,tabela_registros[DIA],receitasfixasconsolidadomai[[#Headers],[5]],tabela_registros[REGISTRO],DADOS!$N$3,tabela_registros[TIPO],DADOS!$V$3,tabela_registros[CATEGORIA],receitasfixasconsolidadomai[[#This Row],[ATUAL]])</f>
        <v>0</v>
      </c>
      <c r="J86" s="91">
        <f>SUMIFS(tabela_registros[VALOR],tabela_registros[MÊS],$AE$1,tabela_registros[DIA],receitasfixasconsolidadomai[[#Headers],[6]],tabela_registros[REGISTRO],DADOS!$N$3,tabela_registros[TIPO],DADOS!$V$3,tabela_registros[CATEGORIA],receitasfixasconsolidadomai[[#This Row],[ATUAL]])</f>
        <v>0</v>
      </c>
      <c r="K86" s="91">
        <f>SUMIFS(tabela_registros[VALOR],tabela_registros[MÊS],$AE$1,tabela_registros[DIA],receitasfixasconsolidadomai[[#Headers],[7]],tabela_registros[REGISTRO],DADOS!$N$3,tabela_registros[TIPO],DADOS!$V$3,tabela_registros[CATEGORIA],receitasfixasconsolidadomai[[#This Row],[ATUAL]])</f>
        <v>0</v>
      </c>
      <c r="L86" s="91">
        <f>SUMIFS(tabela_registros[VALOR],tabela_registros[MÊS],$AE$1,tabela_registros[DIA],receitasfixasconsolidadomai[[#Headers],[8]],tabela_registros[REGISTRO],DADOS!$N$3,tabela_registros[TIPO],DADOS!$V$3,tabela_registros[CATEGORIA],receitasfixasconsolidadomai[[#This Row],[ATUAL]])</f>
        <v>0</v>
      </c>
      <c r="M86" s="91">
        <f>SUMIFS(tabela_registros[VALOR],tabela_registros[MÊS],$AE$1,tabela_registros[DIA],receitasfixasconsolidadomai[[#Headers],[9]],tabela_registros[REGISTRO],DADOS!$N$3,tabela_registros[TIPO],DADOS!$V$3,tabela_registros[CATEGORIA],receitasfixasconsolidadomai[[#This Row],[ATUAL]])</f>
        <v>0</v>
      </c>
      <c r="N86" s="91">
        <f>SUMIFS(tabela_registros[VALOR],tabela_registros[MÊS],$AE$1,tabela_registros[DIA],receitasfixasconsolidadomai[[#Headers],[10]],tabela_registros[REGISTRO],DADOS!$N$3,tabela_registros[TIPO],DADOS!$V$3,tabela_registros[CATEGORIA],receitasfixasconsolidadomai[[#This Row],[ATUAL]])</f>
        <v>0</v>
      </c>
      <c r="O86" s="91">
        <f>SUMIFS(tabela_registros[VALOR],tabela_registros[MÊS],$AE$1,tabela_registros[DIA],receitasfixasconsolidadomai[[#Headers],[11]],tabela_registros[REGISTRO],DADOS!$N$3,tabela_registros[TIPO],DADOS!$V$3,tabela_registros[CATEGORIA],receitasfixasconsolidadomai[[#This Row],[ATUAL]])</f>
        <v>0</v>
      </c>
      <c r="P86" s="91">
        <f>SUMIFS(tabela_registros[VALOR],tabela_registros[MÊS],$AE$1,tabela_registros[DIA],receitasfixasconsolidadomai[[#Headers],[12]],tabela_registros[REGISTRO],DADOS!$N$3,tabela_registros[TIPO],DADOS!$V$3,tabela_registros[CATEGORIA],receitasfixasconsolidadomai[[#This Row],[ATUAL]])</f>
        <v>0</v>
      </c>
      <c r="Q86" s="91">
        <f>SUMIFS(tabela_registros[VALOR],tabela_registros[MÊS],$AE$1,tabela_registros[DIA],receitasfixasconsolidadomai[[#Headers],[13]],tabela_registros[REGISTRO],DADOS!$N$3,tabela_registros[TIPO],DADOS!$V$3,tabela_registros[CATEGORIA],receitasfixasconsolidadomai[[#This Row],[ATUAL]])</f>
        <v>0</v>
      </c>
      <c r="R86" s="91">
        <f>SUMIFS(tabela_registros[VALOR],tabela_registros[MÊS],$AE$1,tabela_registros[DIA],receitasfixasconsolidadomai[[#Headers],[14]],tabela_registros[REGISTRO],DADOS!$N$3,tabela_registros[TIPO],DADOS!$V$3,tabela_registros[CATEGORIA],receitasfixasconsolidadomai[[#This Row],[ATUAL]])</f>
        <v>0</v>
      </c>
      <c r="S86" s="91">
        <f>SUMIFS(tabela_registros[VALOR],tabela_registros[MÊS],$AE$1,tabela_registros[DIA],receitasfixasconsolidadomai[[#Headers],[15]],tabela_registros[REGISTRO],DADOS!$N$3,tabela_registros[TIPO],DADOS!$V$3,tabela_registros[CATEGORIA],receitasfixasconsolidadomai[[#This Row],[ATUAL]])</f>
        <v>0</v>
      </c>
      <c r="T86" s="91">
        <f>SUMIFS(tabela_registros[VALOR],tabela_registros[MÊS],$AE$1,tabela_registros[DIA],receitasfixasconsolidadomai[[#Headers],[16]],tabela_registros[REGISTRO],DADOS!$N$3,tabela_registros[TIPO],DADOS!$V$3,tabela_registros[CATEGORIA],receitasfixasconsolidadomai[[#This Row],[ATUAL]])</f>
        <v>0</v>
      </c>
      <c r="U86" s="91">
        <f>SUMIFS(tabela_registros[VALOR],tabela_registros[MÊS],$AE$1,tabela_registros[DIA],receitasfixasconsolidadomai[[#Headers],[17]],tabela_registros[REGISTRO],DADOS!$N$3,tabela_registros[TIPO],DADOS!$V$3,tabela_registros[CATEGORIA],receitasfixasconsolidadomai[[#This Row],[ATUAL]])</f>
        <v>0</v>
      </c>
      <c r="V86" s="91">
        <f>SUMIFS(tabela_registros[VALOR],tabela_registros[MÊS],$AE$1,tabela_registros[DIA],receitasfixasconsolidadomai[[#Headers],[18]],tabela_registros[REGISTRO],DADOS!$N$3,tabela_registros[TIPO],DADOS!$V$3,tabela_registros[CATEGORIA],receitasfixasconsolidadomai[[#This Row],[ATUAL]])</f>
        <v>0</v>
      </c>
      <c r="W86" s="91">
        <f>SUMIFS(tabela_registros[VALOR],tabela_registros[MÊS],$AE$1,tabela_registros[DIA],receitasfixasconsolidadomai[[#Headers],[19]],tabela_registros[REGISTRO],DADOS!$N$3,tabela_registros[TIPO],DADOS!$V$3,tabela_registros[CATEGORIA],receitasfixasconsolidadomai[[#This Row],[ATUAL]])</f>
        <v>0</v>
      </c>
      <c r="X86" s="91">
        <f>SUMIFS(tabela_registros[VALOR],tabela_registros[MÊS],$AE$1,tabela_registros[DIA],receitasfixasconsolidadomai[[#Headers],[20]],tabela_registros[REGISTRO],DADOS!$N$3,tabela_registros[TIPO],DADOS!$V$3,tabela_registros[CATEGORIA],receitasfixasconsolidadomai[[#This Row],[ATUAL]])</f>
        <v>0</v>
      </c>
      <c r="Y86" s="91">
        <f>SUMIFS(tabela_registros[VALOR],tabela_registros[MÊS],$AE$1,tabela_registros[DIA],receitasfixasconsolidadomai[[#Headers],[21]],tabela_registros[REGISTRO],DADOS!$N$3,tabela_registros[TIPO],DADOS!$V$3,tabela_registros[CATEGORIA],receitasfixasconsolidadomai[[#This Row],[ATUAL]])</f>
        <v>0</v>
      </c>
      <c r="Z86" s="91">
        <f>SUMIFS(tabela_registros[VALOR],tabela_registros[MÊS],$AE$1,tabela_registros[DIA],receitasfixasconsolidadomai[[#Headers],[22]],tabela_registros[REGISTRO],DADOS!$N$3,tabela_registros[TIPO],DADOS!$V$3,tabela_registros[CATEGORIA],receitasfixasconsolidadomai[[#This Row],[ATUAL]])</f>
        <v>0</v>
      </c>
      <c r="AA86" s="91">
        <f>SUMIFS(tabela_registros[VALOR],tabela_registros[MÊS],$AE$1,tabela_registros[DIA],receitasfixasconsolidadomai[[#Headers],[23]],tabela_registros[REGISTRO],DADOS!$N$3,tabela_registros[TIPO],DADOS!$V$3,tabela_registros[CATEGORIA],receitasfixasconsolidadomai[[#This Row],[ATUAL]])</f>
        <v>0</v>
      </c>
      <c r="AB86" s="91">
        <f>SUMIFS(tabela_registros[VALOR],tabela_registros[MÊS],$AE$1,tabela_registros[DIA],receitasfixasconsolidadomai[[#Headers],[24]],tabela_registros[REGISTRO],DADOS!$N$3,tabela_registros[TIPO],DADOS!$V$3,tabela_registros[CATEGORIA],receitasfixasconsolidadomai[[#This Row],[ATUAL]])</f>
        <v>0</v>
      </c>
      <c r="AC86" s="91">
        <f>SUMIFS(tabela_registros[VALOR],tabela_registros[MÊS],$AE$1,tabela_registros[DIA],receitasfixasconsolidadomai[[#Headers],[25]],tabela_registros[REGISTRO],DADOS!$N$3,tabela_registros[TIPO],DADOS!$V$3,tabela_registros[CATEGORIA],receitasfixasconsolidadomai[[#This Row],[ATUAL]])</f>
        <v>0</v>
      </c>
      <c r="AD86" s="91">
        <f>SUMIFS(tabela_registros[VALOR],tabela_registros[MÊS],$AE$1,tabela_registros[DIA],receitasfixasconsolidadomai[[#Headers],[26]],tabela_registros[REGISTRO],DADOS!$N$3,tabela_registros[TIPO],DADOS!$V$3,tabela_registros[CATEGORIA],receitasfixasconsolidadomai[[#This Row],[ATUAL]])</f>
        <v>0</v>
      </c>
      <c r="AE86" s="91">
        <f>SUMIFS(tabela_registros[VALOR],tabela_registros[MÊS],$AE$1,tabela_registros[DIA],receitasfixasconsolidadomai[[#Headers],[27]],tabela_registros[REGISTRO],DADOS!$N$3,tabela_registros[TIPO],DADOS!$V$3,tabela_registros[CATEGORIA],receitasfixasconsolidadomai[[#This Row],[ATUAL]])</f>
        <v>0</v>
      </c>
      <c r="AF86" s="91">
        <f>SUMIFS(tabela_registros[VALOR],tabela_registros[MÊS],$AE$1,tabela_registros[DIA],receitasfixasconsolidadomai[[#Headers],[28]],tabela_registros[REGISTRO],DADOS!$N$3,tabela_registros[TIPO],DADOS!$V$3,tabela_registros[CATEGORIA],receitasfixasconsolidadomai[[#This Row],[ATUAL]])</f>
        <v>0</v>
      </c>
      <c r="AG86" s="91">
        <f>SUMIFS(tabela_registros[VALOR],tabela_registros[MÊS],$AE$1,tabela_registros[DIA],receitasfixasconsolidadomai[[#Headers],[29]],tabela_registros[REGISTRO],DADOS!$N$3,tabela_registros[TIPO],DADOS!$V$3,tabela_registros[CATEGORIA],receitasfixasconsolidadomai[[#This Row],[ATUAL]])</f>
        <v>0</v>
      </c>
      <c r="AH86" s="91">
        <f>SUMIFS(tabela_registros[VALOR],tabela_registros[MÊS],$AE$1,tabela_registros[DIA],receitasfixasconsolidadomai[[#Headers],[30]],tabela_registros[REGISTRO],DADOS!$N$3,tabela_registros[TIPO],DADOS!$V$3,tabela_registros[CATEGORIA],receitasfixasconsolidadomai[[#This Row],[ATUAL]])</f>
        <v>0</v>
      </c>
      <c r="AI86" s="102">
        <f>SUMIFS(tabela_registros[VALOR],tabela_registros[MÊS],$AE$1,tabela_registros[DIA],receitasfixasconsolidadomai[[#Headers],[31]],tabela_registros[REGISTRO],DADOS!$N$3,tabela_registros[TIPO],DADOS!$V$3,tabela_registros[CATEGORIA],receitasfixasconsolidadomai[[#This Row],[ATUAL]])</f>
        <v>0</v>
      </c>
      <c r="AJ86" s="97">
        <f>SUM(receitasfixasconsolidadomai[[#This Row],[1]:[31]])</f>
        <v>0</v>
      </c>
      <c r="AK86" s="25"/>
    </row>
    <row r="87" spans="2:37" s="16" customFormat="1" ht="21" customHeight="1" thickTop="1" thickBot="1" x14ac:dyDescent="0.35">
      <c r="B87" s="24"/>
      <c r="C87" s="23" t="s">
        <v>19</v>
      </c>
      <c r="D87" s="22"/>
      <c r="E87" s="21">
        <f>SUM(E82:E86)</f>
        <v>0</v>
      </c>
      <c r="F87" s="20">
        <f>SUM(F82:F86)+receitasfixasconsolidadomai[[#This Row],[1]]</f>
        <v>0</v>
      </c>
      <c r="G87" s="20">
        <f>SUM(G82:G86)+receitasfixasconsolidadomai[[#This Row],[2]]</f>
        <v>0</v>
      </c>
      <c r="H87" s="20">
        <f>SUM(H82:H86)+receitasfixasconsolidadomai[[#This Row],[3]]</f>
        <v>0</v>
      </c>
      <c r="I87" s="20">
        <f>SUM(I82:I86)+receitasfixasconsolidadomai[[#This Row],[4]]</f>
        <v>0</v>
      </c>
      <c r="J87" s="20">
        <f>SUM(J82:J86)+receitasfixasconsolidadomai[[#This Row],[5]]</f>
        <v>0</v>
      </c>
      <c r="K87" s="20">
        <f>SUM(K82:K86)+receitasfixasconsolidadomai[[#This Row],[6]]</f>
        <v>0</v>
      </c>
      <c r="L87" s="20">
        <f>SUM(L82:L86)+receitasfixasconsolidadomai[[#This Row],[7]]</f>
        <v>0</v>
      </c>
      <c r="M87" s="20">
        <f>SUM(M82:M86)+receitasfixasconsolidadomai[[#This Row],[8]]</f>
        <v>0</v>
      </c>
      <c r="N87" s="20">
        <f>SUM(N82:N86)+receitasfixasconsolidadomai[[#This Row],[9]]</f>
        <v>0</v>
      </c>
      <c r="O87" s="20">
        <f>SUM(O82:O86)+receitasfixasconsolidadomai[[#This Row],[10]]</f>
        <v>0</v>
      </c>
      <c r="P87" s="20">
        <f>SUM(P82:P86)+receitasfixasconsolidadomai[[#This Row],[11]]</f>
        <v>0</v>
      </c>
      <c r="Q87" s="20">
        <f>SUM(Q82:Q86)+receitasfixasconsolidadomai[[#This Row],[12]]</f>
        <v>0</v>
      </c>
      <c r="R87" s="20">
        <f>SUM(R82:R86)+receitasfixasconsolidadomai[[#This Row],[13]]</f>
        <v>0</v>
      </c>
      <c r="S87" s="20">
        <f>SUM(S82:S86)+receitasfixasconsolidadomai[[#This Row],[14]]</f>
        <v>0</v>
      </c>
      <c r="T87" s="20">
        <f>SUM(T82:T86)+receitasfixasconsolidadomai[[#This Row],[15]]</f>
        <v>230</v>
      </c>
      <c r="U87" s="20">
        <f>SUM(U82:U86)+receitasfixasconsolidadomai[[#This Row],[16]]</f>
        <v>230</v>
      </c>
      <c r="V87" s="20">
        <f>SUM(V82:V86)+receitasfixasconsolidadomai[[#This Row],[17]]</f>
        <v>230</v>
      </c>
      <c r="W87" s="20">
        <f>SUM(W82:W86)+receitasfixasconsolidadomai[[#This Row],[18]]</f>
        <v>230</v>
      </c>
      <c r="X87" s="20">
        <f>SUM(X82:X86)+receitasfixasconsolidadomai[[#This Row],[19]]</f>
        <v>230</v>
      </c>
      <c r="Y87" s="20">
        <f>SUM(Y82:Y86)+receitasfixasconsolidadomai[[#This Row],[20]]</f>
        <v>230</v>
      </c>
      <c r="Z87" s="20">
        <f>SUM(Z82:Z86)+receitasfixasconsolidadomai[[#This Row],[21]]</f>
        <v>230</v>
      </c>
      <c r="AA87" s="20">
        <f>SUM(AA82:AA86)+receitasfixasconsolidadomai[[#This Row],[22]]</f>
        <v>230</v>
      </c>
      <c r="AB87" s="20">
        <f>SUM(AB82:AB86)+receitasfixasconsolidadomai[[#This Row],[23]]</f>
        <v>230</v>
      </c>
      <c r="AC87" s="20">
        <f>SUM(AC82:AC86)+receitasfixasconsolidadomai[[#This Row],[24]]</f>
        <v>230</v>
      </c>
      <c r="AD87" s="20">
        <f>SUM(AD82:AD86)+receitasfixasconsolidadomai[[#This Row],[25]]</f>
        <v>230</v>
      </c>
      <c r="AE87" s="20">
        <f>SUM(AE82:AE86)+receitasfixasconsolidadomai[[#This Row],[26]]</f>
        <v>230</v>
      </c>
      <c r="AF87" s="20">
        <f>SUM(AF82:AF86)+receitasfixasconsolidadomai[[#This Row],[27]]</f>
        <v>230</v>
      </c>
      <c r="AG87" s="20">
        <f>SUM(AG82:AG86)+receitasfixasconsolidadomai[[#This Row],[28]]</f>
        <v>230</v>
      </c>
      <c r="AH87" s="20">
        <f>SUM(AH82:AH86)+receitasfixasconsolidadomai[[#This Row],[29]]</f>
        <v>230</v>
      </c>
      <c r="AI87" s="19">
        <f>SUM(AI82:AI86)+receitasfixasconsolidadomai[[#This Row],[30]]</f>
        <v>230</v>
      </c>
      <c r="AJ87" s="18">
        <f>receitasfixasconsolidadomai[[#This Row],[31]]</f>
        <v>230</v>
      </c>
      <c r="AK87" s="17"/>
    </row>
    <row r="88" spans="2:37" ht="6.75" customHeight="1" thickTop="1" thickBot="1" x14ac:dyDescent="0.3">
      <c r="B88" s="15"/>
      <c r="C88" s="14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2"/>
      <c r="AJ88" s="11"/>
      <c r="AK88" s="10"/>
    </row>
    <row r="89" spans="2:37" ht="12.6" thickTop="1" x14ac:dyDescent="0.25">
      <c r="E89" s="37"/>
      <c r="AI89" s="4"/>
    </row>
    <row r="90" spans="2:37" x14ac:dyDescent="0.25">
      <c r="AI90" s="4"/>
    </row>
    <row r="91" spans="2:37" x14ac:dyDescent="0.25">
      <c r="AI91" s="4"/>
    </row>
    <row r="92" spans="2:37" ht="39.75" customHeight="1" x14ac:dyDescent="0.7">
      <c r="C92" s="36"/>
      <c r="E92" s="240"/>
      <c r="F92" s="240"/>
      <c r="G92" s="240"/>
      <c r="H92" s="240"/>
      <c r="I92" s="240"/>
      <c r="J92" s="240"/>
      <c r="K92" s="240"/>
      <c r="L92" s="240"/>
      <c r="M92" s="240"/>
      <c r="N92" s="240"/>
      <c r="O92" s="240"/>
      <c r="P92" s="240"/>
      <c r="Q92" s="240"/>
      <c r="R92" s="240"/>
      <c r="S92" s="240"/>
      <c r="T92" s="240"/>
      <c r="U92" s="240"/>
      <c r="V92" s="240"/>
      <c r="W92" s="240"/>
      <c r="X92" s="240"/>
      <c r="Y92" s="240"/>
      <c r="Z92" s="240"/>
      <c r="AA92" s="240"/>
      <c r="AB92" s="240"/>
      <c r="AC92" s="240"/>
      <c r="AD92" s="240"/>
      <c r="AE92" s="240"/>
      <c r="AF92" s="240"/>
      <c r="AG92" s="240"/>
      <c r="AH92" s="240"/>
      <c r="AI92" s="240"/>
      <c r="AJ92" s="32" t="s">
        <v>19</v>
      </c>
    </row>
    <row r="93" spans="2:37" ht="12.6" thickBot="1" x14ac:dyDescent="0.3">
      <c r="B93" s="35"/>
      <c r="AI93" s="4"/>
      <c r="AJ93" s="34" t="s">
        <v>202</v>
      </c>
    </row>
    <row r="94" spans="2:37" ht="6.75" customHeight="1" thickTop="1" thickBot="1" x14ac:dyDescent="0.3">
      <c r="B94" s="2"/>
      <c r="C94" s="14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2"/>
      <c r="AK94" s="33"/>
    </row>
    <row r="95" spans="2:37" ht="13.2" hidden="1" thickTop="1" thickBot="1" x14ac:dyDescent="0.3">
      <c r="B95" s="2"/>
      <c r="C95" s="31" t="s">
        <v>199</v>
      </c>
      <c r="D95" s="30" t="s">
        <v>198</v>
      </c>
      <c r="E95" s="30" t="s">
        <v>197</v>
      </c>
      <c r="F95" s="30" t="s">
        <v>196</v>
      </c>
      <c r="G95" s="30" t="s">
        <v>195</v>
      </c>
      <c r="H95" s="30" t="s">
        <v>194</v>
      </c>
      <c r="I95" s="30" t="s">
        <v>193</v>
      </c>
      <c r="J95" s="30" t="s">
        <v>192</v>
      </c>
      <c r="K95" s="30" t="s">
        <v>191</v>
      </c>
      <c r="L95" s="30" t="s">
        <v>190</v>
      </c>
      <c r="M95" s="30" t="s">
        <v>189</v>
      </c>
      <c r="N95" s="30" t="s">
        <v>188</v>
      </c>
      <c r="O95" s="30" t="s">
        <v>187</v>
      </c>
      <c r="P95" s="30" t="s">
        <v>186</v>
      </c>
      <c r="Q95" s="30" t="s">
        <v>185</v>
      </c>
      <c r="R95" s="30" t="s">
        <v>184</v>
      </c>
      <c r="S95" s="30" t="s">
        <v>183</v>
      </c>
      <c r="T95" s="30" t="s">
        <v>182</v>
      </c>
      <c r="U95" s="30" t="s">
        <v>181</v>
      </c>
      <c r="V95" s="30" t="s">
        <v>180</v>
      </c>
      <c r="W95" s="30" t="s">
        <v>179</v>
      </c>
      <c r="X95" s="30" t="s">
        <v>178</v>
      </c>
      <c r="Y95" s="30" t="s">
        <v>177</v>
      </c>
      <c r="Z95" s="30" t="s">
        <v>176</v>
      </c>
      <c r="AA95" s="30" t="s">
        <v>175</v>
      </c>
      <c r="AB95" s="30" t="s">
        <v>174</v>
      </c>
      <c r="AC95" s="30" t="s">
        <v>173</v>
      </c>
      <c r="AD95" s="30" t="s">
        <v>172</v>
      </c>
      <c r="AE95" s="30" t="s">
        <v>171</v>
      </c>
      <c r="AF95" s="30" t="s">
        <v>170</v>
      </c>
      <c r="AG95" s="30" t="s">
        <v>169</v>
      </c>
      <c r="AH95" s="30" t="s">
        <v>168</v>
      </c>
      <c r="AI95" s="30" t="s">
        <v>167</v>
      </c>
      <c r="AJ95" s="29" t="s">
        <v>166</v>
      </c>
      <c r="AK95" s="2"/>
    </row>
    <row r="96" spans="2:37" ht="19.5" customHeight="1" thickTop="1" thickBot="1" x14ac:dyDescent="0.3">
      <c r="B96" s="28"/>
      <c r="C96" s="27" t="str">
        <f>DADOS!$Z$3</f>
        <v>🏅 BÔNUS</v>
      </c>
      <c r="D96" s="26" t="str">
        <f>IF(receitasvariáveisconsolidadomai[[#This Row],[TOTAL (R$)]]=0,"",IF(OR(receitasvariáveisconsolidadomai[[#This Row],[TOTAL (R$)]]=LARGE($AJ$96:$AJ$103,1),receitasvariáveisconsolidadomai[[#This Row],[TOTAL (R$)]]=LARGE($AJ$96:$AJ$103,2)),DADOS!$I$9,""))</f>
        <v/>
      </c>
      <c r="E96" s="96">
        <f>SUMIFS(tabela_registros[VALOR],tabela_registros[MÊS],$AE$1,tabela_registros[DIA],receitasvariáveisconsolidadomai[[#Headers],[1]],tabela_registros[REGISTRO],DADOS!$N$3,tabela_registros[TIPO],DADOS!$V$4,tabela_registros[CATEGORIA],receitasvariáveisconsolidadomai[[#This Row],[ATUAL]])</f>
        <v>0</v>
      </c>
      <c r="F96" s="91">
        <f>SUMIFS(tabela_registros[VALOR],tabela_registros[MÊS],$AE$1,tabela_registros[DIA],receitasvariáveisconsolidadomai[[#Headers],[2]],tabela_registros[REGISTRO],DADOS!$N$3,tabela_registros[TIPO],DADOS!$V$4,tabela_registros[CATEGORIA],receitasvariáveisconsolidadomai[[#This Row],[ATUAL]])</f>
        <v>0</v>
      </c>
      <c r="G96" s="91">
        <f>SUMIFS(tabela_registros[VALOR],tabela_registros[MÊS],$AE$1,tabela_registros[DIA],receitasvariáveisconsolidadomai[[#Headers],[3]],tabela_registros[REGISTRO],DADOS!$N$3,tabela_registros[TIPO],DADOS!$V$4,tabela_registros[CATEGORIA],receitasvariáveisconsolidadomai[[#This Row],[ATUAL]])</f>
        <v>0</v>
      </c>
      <c r="H96" s="91">
        <f>SUMIFS(tabela_registros[VALOR],tabela_registros[MÊS],$AE$1,tabela_registros[DIA],receitasvariáveisconsolidadomai[[#Headers],[4]],tabela_registros[REGISTRO],DADOS!$N$3,tabela_registros[TIPO],DADOS!$V$4,tabela_registros[CATEGORIA],receitasvariáveisconsolidadomai[[#This Row],[ATUAL]])</f>
        <v>0</v>
      </c>
      <c r="I96" s="91">
        <f>SUMIFS(tabela_registros[VALOR],tabela_registros[MÊS],$AE$1,tabela_registros[DIA],receitasvariáveisconsolidadomai[[#Headers],[5]],tabela_registros[REGISTRO],DADOS!$N$3,tabela_registros[TIPO],DADOS!$V$4,tabela_registros[CATEGORIA],receitasvariáveisconsolidadomai[[#This Row],[ATUAL]])</f>
        <v>0</v>
      </c>
      <c r="J96" s="91">
        <f>SUMIFS(tabela_registros[VALOR],tabela_registros[MÊS],$AE$1,tabela_registros[DIA],receitasvariáveisconsolidadomai[[#Headers],[6]],tabela_registros[REGISTRO],DADOS!$N$3,tabela_registros[TIPO],DADOS!$V$4,tabela_registros[CATEGORIA],receitasvariáveisconsolidadomai[[#This Row],[ATUAL]])</f>
        <v>0</v>
      </c>
      <c r="K96" s="91">
        <f>SUMIFS(tabela_registros[VALOR],tabela_registros[MÊS],$AE$1,tabela_registros[DIA],receitasvariáveisconsolidadomai[[#Headers],[7]],tabela_registros[REGISTRO],DADOS!$N$3,tabela_registros[TIPO],DADOS!$V$4,tabela_registros[CATEGORIA],receitasvariáveisconsolidadomai[[#This Row],[ATUAL]])</f>
        <v>0</v>
      </c>
      <c r="L96" s="91">
        <f>SUMIFS(tabela_registros[VALOR],tabela_registros[MÊS],$AE$1,tabela_registros[DIA],receitasvariáveisconsolidadomai[[#Headers],[8]],tabela_registros[REGISTRO],DADOS!$N$3,tabela_registros[TIPO],DADOS!$V$4,tabela_registros[CATEGORIA],receitasvariáveisconsolidadomai[[#This Row],[ATUAL]])</f>
        <v>0</v>
      </c>
      <c r="M96" s="91">
        <f>SUMIFS(tabela_registros[VALOR],tabela_registros[MÊS],$AE$1,tabela_registros[DIA],receitasvariáveisconsolidadomai[[#Headers],[9]],tabela_registros[REGISTRO],DADOS!$N$3,tabela_registros[TIPO],DADOS!$V$4,tabela_registros[CATEGORIA],receitasvariáveisconsolidadomai[[#This Row],[ATUAL]])</f>
        <v>0</v>
      </c>
      <c r="N96" s="91">
        <f>SUMIFS(tabela_registros[VALOR],tabela_registros[MÊS],$AE$1,tabela_registros[DIA],receitasvariáveisconsolidadomai[[#Headers],[10]],tabela_registros[REGISTRO],DADOS!$N$3,tabela_registros[TIPO],DADOS!$V$4,tabela_registros[CATEGORIA],receitasvariáveisconsolidadomai[[#This Row],[ATUAL]])</f>
        <v>0</v>
      </c>
      <c r="O96" s="91">
        <f>SUMIFS(tabela_registros[VALOR],tabela_registros[MÊS],$AE$1,tabela_registros[DIA],receitasvariáveisconsolidadomai[[#Headers],[11]],tabela_registros[REGISTRO],DADOS!$N$3,tabela_registros[TIPO],DADOS!$V$4,tabela_registros[CATEGORIA],receitasvariáveisconsolidadomai[[#This Row],[ATUAL]])</f>
        <v>0</v>
      </c>
      <c r="P96" s="91">
        <f>SUMIFS(tabela_registros[VALOR],tabela_registros[MÊS],$AE$1,tabela_registros[DIA],receitasvariáveisconsolidadomai[[#Headers],[12]],tabela_registros[REGISTRO],DADOS!$N$3,tabela_registros[TIPO],DADOS!$V$4,tabela_registros[CATEGORIA],receitasvariáveisconsolidadomai[[#This Row],[ATUAL]])</f>
        <v>0</v>
      </c>
      <c r="Q96" s="91">
        <f>SUMIFS(tabela_registros[VALOR],tabela_registros[MÊS],$AE$1,tabela_registros[DIA],receitasvariáveisconsolidadomai[[#Headers],[13]],tabela_registros[REGISTRO],DADOS!$N$3,tabela_registros[TIPO],DADOS!$V$4,tabela_registros[CATEGORIA],receitasvariáveisconsolidadomai[[#This Row],[ATUAL]])</f>
        <v>0</v>
      </c>
      <c r="R96" s="91">
        <f>SUMIFS(tabela_registros[VALOR],tabela_registros[MÊS],$AE$1,tabela_registros[DIA],receitasvariáveisconsolidadomai[[#Headers],[14]],tabela_registros[REGISTRO],DADOS!$N$3,tabela_registros[TIPO],DADOS!$V$4,tabela_registros[CATEGORIA],receitasvariáveisconsolidadomai[[#This Row],[ATUAL]])</f>
        <v>0</v>
      </c>
      <c r="S96" s="91">
        <f>SUMIFS(tabela_registros[VALOR],tabela_registros[MÊS],$AE$1,tabela_registros[DIA],receitasvariáveisconsolidadomai[[#Headers],[15]],tabela_registros[REGISTRO],DADOS!$N$3,tabela_registros[TIPO],DADOS!$V$4,tabela_registros[CATEGORIA],receitasvariáveisconsolidadomai[[#This Row],[ATUAL]])</f>
        <v>0</v>
      </c>
      <c r="T96" s="91">
        <f>SUMIFS(tabela_registros[VALOR],tabela_registros[MÊS],$AE$1,tabela_registros[DIA],receitasvariáveisconsolidadomai[[#Headers],[16]],tabela_registros[REGISTRO],DADOS!$N$3,tabela_registros[TIPO],DADOS!$V$4,tabela_registros[CATEGORIA],receitasvariáveisconsolidadomai[[#This Row],[ATUAL]])</f>
        <v>0</v>
      </c>
      <c r="U96" s="91">
        <f>SUMIFS(tabela_registros[VALOR],tabela_registros[MÊS],$AE$1,tabela_registros[DIA],receitasvariáveisconsolidadomai[[#Headers],[17]],tabela_registros[REGISTRO],DADOS!$N$3,tabela_registros[TIPO],DADOS!$V$4,tabela_registros[CATEGORIA],receitasvariáveisconsolidadomai[[#This Row],[ATUAL]])</f>
        <v>0</v>
      </c>
      <c r="V96" s="91">
        <f>SUMIFS(tabela_registros[VALOR],tabela_registros[MÊS],$AE$1,tabela_registros[DIA],receitasvariáveisconsolidadomai[[#Headers],[18]],tabela_registros[REGISTRO],DADOS!$N$3,tabela_registros[TIPO],DADOS!$V$4,tabela_registros[CATEGORIA],receitasvariáveisconsolidadomai[[#This Row],[ATUAL]])</f>
        <v>0</v>
      </c>
      <c r="W96" s="91">
        <f>SUMIFS(tabela_registros[VALOR],tabela_registros[MÊS],$AE$1,tabela_registros[DIA],receitasvariáveisconsolidadomai[[#Headers],[19]],tabela_registros[REGISTRO],DADOS!$N$3,tabela_registros[TIPO],DADOS!$V$4,tabela_registros[CATEGORIA],receitasvariáveisconsolidadomai[[#This Row],[ATUAL]])</f>
        <v>0</v>
      </c>
      <c r="X96" s="91">
        <f>SUMIFS(tabela_registros[VALOR],tabela_registros[MÊS],$AE$1,tabela_registros[DIA],receitasvariáveisconsolidadomai[[#Headers],[20]],tabela_registros[REGISTRO],DADOS!$N$3,tabela_registros[TIPO],DADOS!$V$4,tabela_registros[CATEGORIA],receitasvariáveisconsolidadomai[[#This Row],[ATUAL]])</f>
        <v>0</v>
      </c>
      <c r="Y96" s="91">
        <f>SUMIFS(tabela_registros[VALOR],tabela_registros[MÊS],$AE$1,tabela_registros[DIA],receitasvariáveisconsolidadomai[[#Headers],[21]],tabela_registros[REGISTRO],DADOS!$N$3,tabela_registros[TIPO],DADOS!$V$4,tabela_registros[CATEGORIA],receitasvariáveisconsolidadomai[[#This Row],[ATUAL]])</f>
        <v>0</v>
      </c>
      <c r="Z96" s="91">
        <f>SUMIFS(tabela_registros[VALOR],tabela_registros[MÊS],$AE$1,tabela_registros[DIA],receitasvariáveisconsolidadomai[[#Headers],[22]],tabela_registros[REGISTRO],DADOS!$N$3,tabela_registros[TIPO],DADOS!$V$4,tabela_registros[CATEGORIA],receitasvariáveisconsolidadomai[[#This Row],[ATUAL]])</f>
        <v>0</v>
      </c>
      <c r="AA96" s="91">
        <f>SUMIFS(tabela_registros[VALOR],tabela_registros[MÊS],$AE$1,tabela_registros[DIA],receitasvariáveisconsolidadomai[[#Headers],[23]],tabela_registros[REGISTRO],DADOS!$N$3,tabela_registros[TIPO],DADOS!$V$4,tabela_registros[CATEGORIA],receitasvariáveisconsolidadomai[[#This Row],[ATUAL]])</f>
        <v>0</v>
      </c>
      <c r="AB96" s="91">
        <f>SUMIFS(tabela_registros[VALOR],tabela_registros[MÊS],$AE$1,tabela_registros[DIA],receitasvariáveisconsolidadomai[[#Headers],[24]],tabela_registros[REGISTRO],DADOS!$N$3,tabela_registros[TIPO],DADOS!$V$4,tabela_registros[CATEGORIA],receitasvariáveisconsolidadomai[[#This Row],[ATUAL]])</f>
        <v>0</v>
      </c>
      <c r="AC96" s="91">
        <f>SUMIFS(tabela_registros[VALOR],tabela_registros[MÊS],$AE$1,tabela_registros[DIA],receitasvariáveisconsolidadomai[[#Headers],[25]],tabela_registros[REGISTRO],DADOS!$N$3,tabela_registros[TIPO],DADOS!$V$4,tabela_registros[CATEGORIA],receitasvariáveisconsolidadomai[[#This Row],[ATUAL]])</f>
        <v>0</v>
      </c>
      <c r="AD96" s="91">
        <f>SUMIFS(tabela_registros[VALOR],tabela_registros[MÊS],$AE$1,tabela_registros[DIA],receitasvariáveisconsolidadomai[[#Headers],[26]],tabela_registros[REGISTRO],DADOS!$N$3,tabela_registros[TIPO],DADOS!$V$4,tabela_registros[CATEGORIA],receitasvariáveisconsolidadomai[[#This Row],[ATUAL]])</f>
        <v>0</v>
      </c>
      <c r="AE96" s="91">
        <f>SUMIFS(tabela_registros[VALOR],tabela_registros[MÊS],$AE$1,tabela_registros[DIA],receitasvariáveisconsolidadomai[[#Headers],[27]],tabela_registros[REGISTRO],DADOS!$N$3,tabela_registros[TIPO],DADOS!$V$4,tabela_registros[CATEGORIA],receitasvariáveisconsolidadomai[[#This Row],[ATUAL]])</f>
        <v>0</v>
      </c>
      <c r="AF96" s="91">
        <f>SUMIFS(tabela_registros[VALOR],tabela_registros[MÊS],$AE$1,tabela_registros[DIA],receitasvariáveisconsolidadomai[[#Headers],[28]],tabela_registros[REGISTRO],DADOS!$N$3,tabela_registros[TIPO],DADOS!$V$4,tabela_registros[CATEGORIA],receitasvariáveisconsolidadomai[[#This Row],[ATUAL]])</f>
        <v>0</v>
      </c>
      <c r="AG96" s="91">
        <f>SUMIFS(tabela_registros[VALOR],tabela_registros[MÊS],$AE$1,tabela_registros[DIA],receitasvariáveisconsolidadomai[[#Headers],[29]],tabela_registros[REGISTRO],DADOS!$N$3,tabela_registros[TIPO],DADOS!$V$4,tabela_registros[CATEGORIA],receitasvariáveisconsolidadomai[[#This Row],[ATUAL]])</f>
        <v>0</v>
      </c>
      <c r="AH96" s="91">
        <f>SUMIFS(tabela_registros[VALOR],tabela_registros[MÊS],$AE$1,tabela_registros[DIA],receitasvariáveisconsolidadomai[[#Headers],[30]],tabela_registros[REGISTRO],DADOS!$N$3,tabela_registros[TIPO],DADOS!$V$4,tabela_registros[CATEGORIA],receitasvariáveisconsolidadomai[[#This Row],[ATUAL]])</f>
        <v>0</v>
      </c>
      <c r="AI96" s="101">
        <f>SUMIFS(tabela_registros[VALOR],tabela_registros[MÊS],$AE$1,tabela_registros[DIA],receitasvariáveisconsolidadomai[[#Headers],[31]],tabela_registros[REGISTRO],DADOS!$N$3,tabela_registros[TIPO],DADOS!$V$4,tabela_registros[CATEGORIA],receitasvariáveisconsolidadomai[[#This Row],[ATUAL]])</f>
        <v>0</v>
      </c>
      <c r="AJ96" s="97">
        <f>SUM(receitasvariáveisconsolidadomai[[#This Row],[1]:[31]])</f>
        <v>0</v>
      </c>
      <c r="AK96" s="25"/>
    </row>
    <row r="97" spans="2:37" ht="19.5" customHeight="1" thickTop="1" thickBot="1" x14ac:dyDescent="0.3">
      <c r="B97" s="28"/>
      <c r="C97" s="27" t="str">
        <f>DADOS!$Z$4</f>
        <v>🤑 COMISSÃO</v>
      </c>
      <c r="D97" s="26" t="str">
        <f>IF(receitasvariáveisconsolidadomai[[#This Row],[TOTAL (R$)]]=0,"",IF(OR(receitasvariáveisconsolidadomai[[#This Row],[TOTAL (R$)]]=LARGE($AJ$96:$AJ$103,1),receitasvariáveisconsolidadomai[[#This Row],[TOTAL (R$)]]=LARGE($AJ$96:$AJ$103,2)),DADOS!$I$9,""))</f>
        <v/>
      </c>
      <c r="E97" s="96">
        <f>SUMIFS(tabela_registros[VALOR],tabela_registros[MÊS],$AE$1,tabela_registros[DIA],receitasvariáveisconsolidadomai[[#Headers],[1]],tabela_registros[REGISTRO],DADOS!$N$3,tabela_registros[TIPO],DADOS!$V$4,tabela_registros[CATEGORIA],receitasvariáveisconsolidadomai[[#This Row],[ATUAL]])</f>
        <v>0</v>
      </c>
      <c r="F97" s="91">
        <f>SUMIFS(tabela_registros[VALOR],tabela_registros[MÊS],$AE$1,tabela_registros[DIA],receitasvariáveisconsolidadomai[[#Headers],[2]],tabela_registros[REGISTRO],DADOS!$N$3,tabela_registros[TIPO],DADOS!$V$4,tabela_registros[CATEGORIA],receitasvariáveisconsolidadomai[[#This Row],[ATUAL]])</f>
        <v>0</v>
      </c>
      <c r="G97" s="91">
        <f>SUMIFS(tabela_registros[VALOR],tabela_registros[MÊS],$AE$1,tabela_registros[DIA],receitasvariáveisconsolidadomai[[#Headers],[3]],tabela_registros[REGISTRO],DADOS!$N$3,tabela_registros[TIPO],DADOS!$V$4,tabela_registros[CATEGORIA],receitasvariáveisconsolidadomai[[#This Row],[ATUAL]])</f>
        <v>0</v>
      </c>
      <c r="H97" s="91">
        <f>SUMIFS(tabela_registros[VALOR],tabela_registros[MÊS],$AE$1,tabela_registros[DIA],receitasvariáveisconsolidadomai[[#Headers],[4]],tabela_registros[REGISTRO],DADOS!$N$3,tabela_registros[TIPO],DADOS!$V$4,tabela_registros[CATEGORIA],receitasvariáveisconsolidadomai[[#This Row],[ATUAL]])</f>
        <v>0</v>
      </c>
      <c r="I97" s="91">
        <f>SUMIFS(tabela_registros[VALOR],tabela_registros[MÊS],$AE$1,tabela_registros[DIA],receitasvariáveisconsolidadomai[[#Headers],[5]],tabela_registros[REGISTRO],DADOS!$N$3,tabela_registros[TIPO],DADOS!$V$4,tabela_registros[CATEGORIA],receitasvariáveisconsolidadomai[[#This Row],[ATUAL]])</f>
        <v>0</v>
      </c>
      <c r="J97" s="91">
        <f>SUMIFS(tabela_registros[VALOR],tabela_registros[MÊS],$AE$1,tabela_registros[DIA],receitasvariáveisconsolidadomai[[#Headers],[6]],tabela_registros[REGISTRO],DADOS!$N$3,tabela_registros[TIPO],DADOS!$V$4,tabela_registros[CATEGORIA],receitasvariáveisconsolidadomai[[#This Row],[ATUAL]])</f>
        <v>0</v>
      </c>
      <c r="K97" s="91">
        <f>SUMIFS(tabela_registros[VALOR],tabela_registros[MÊS],$AE$1,tabela_registros[DIA],receitasvariáveisconsolidadomai[[#Headers],[7]],tabela_registros[REGISTRO],DADOS!$N$3,tabela_registros[TIPO],DADOS!$V$4,tabela_registros[CATEGORIA],receitasvariáveisconsolidadomai[[#This Row],[ATUAL]])</f>
        <v>0</v>
      </c>
      <c r="L97" s="91">
        <f>SUMIFS(tabela_registros[VALOR],tabela_registros[MÊS],$AE$1,tabela_registros[DIA],receitasvariáveisconsolidadomai[[#Headers],[8]],tabela_registros[REGISTRO],DADOS!$N$3,tabela_registros[TIPO],DADOS!$V$4,tabela_registros[CATEGORIA],receitasvariáveisconsolidadomai[[#This Row],[ATUAL]])</f>
        <v>0</v>
      </c>
      <c r="M97" s="91">
        <f>SUMIFS(tabela_registros[VALOR],tabela_registros[MÊS],$AE$1,tabela_registros[DIA],receitasvariáveisconsolidadomai[[#Headers],[9]],tabela_registros[REGISTRO],DADOS!$N$3,tabela_registros[TIPO],DADOS!$V$4,tabela_registros[CATEGORIA],receitasvariáveisconsolidadomai[[#This Row],[ATUAL]])</f>
        <v>0</v>
      </c>
      <c r="N97" s="91">
        <f>SUMIFS(tabela_registros[VALOR],tabela_registros[MÊS],$AE$1,tabela_registros[DIA],receitasvariáveisconsolidadomai[[#Headers],[10]],tabela_registros[REGISTRO],DADOS!$N$3,tabela_registros[TIPO],DADOS!$V$4,tabela_registros[CATEGORIA],receitasvariáveisconsolidadomai[[#This Row],[ATUAL]])</f>
        <v>0</v>
      </c>
      <c r="O97" s="91">
        <f>SUMIFS(tabela_registros[VALOR],tabela_registros[MÊS],$AE$1,tabela_registros[DIA],receitasvariáveisconsolidadomai[[#Headers],[11]],tabela_registros[REGISTRO],DADOS!$N$3,tabela_registros[TIPO],DADOS!$V$4,tabela_registros[CATEGORIA],receitasvariáveisconsolidadomai[[#This Row],[ATUAL]])</f>
        <v>0</v>
      </c>
      <c r="P97" s="91">
        <f>SUMIFS(tabela_registros[VALOR],tabela_registros[MÊS],$AE$1,tabela_registros[DIA],receitasvariáveisconsolidadomai[[#Headers],[12]],tabela_registros[REGISTRO],DADOS!$N$3,tabela_registros[TIPO],DADOS!$V$4,tabela_registros[CATEGORIA],receitasvariáveisconsolidadomai[[#This Row],[ATUAL]])</f>
        <v>0</v>
      </c>
      <c r="Q97" s="91">
        <f>SUMIFS(tabela_registros[VALOR],tabela_registros[MÊS],$AE$1,tabela_registros[DIA],receitasvariáveisconsolidadomai[[#Headers],[13]],tabela_registros[REGISTRO],DADOS!$N$3,tabela_registros[TIPO],DADOS!$V$4,tabela_registros[CATEGORIA],receitasvariáveisconsolidadomai[[#This Row],[ATUAL]])</f>
        <v>0</v>
      </c>
      <c r="R97" s="91">
        <f>SUMIFS(tabela_registros[VALOR],tabela_registros[MÊS],$AE$1,tabela_registros[DIA],receitasvariáveisconsolidadomai[[#Headers],[14]],tabela_registros[REGISTRO],DADOS!$N$3,tabela_registros[TIPO],DADOS!$V$4,tabela_registros[CATEGORIA],receitasvariáveisconsolidadomai[[#This Row],[ATUAL]])</f>
        <v>0</v>
      </c>
      <c r="S97" s="91">
        <f>SUMIFS(tabela_registros[VALOR],tabela_registros[MÊS],$AE$1,tabela_registros[DIA],receitasvariáveisconsolidadomai[[#Headers],[15]],tabela_registros[REGISTRO],DADOS!$N$3,tabela_registros[TIPO],DADOS!$V$4,tabela_registros[CATEGORIA],receitasvariáveisconsolidadomai[[#This Row],[ATUAL]])</f>
        <v>0</v>
      </c>
      <c r="T97" s="91">
        <f>SUMIFS(tabela_registros[VALOR],tabela_registros[MÊS],$AE$1,tabela_registros[DIA],receitasvariáveisconsolidadomai[[#Headers],[16]],tabela_registros[REGISTRO],DADOS!$N$3,tabela_registros[TIPO],DADOS!$V$4,tabela_registros[CATEGORIA],receitasvariáveisconsolidadomai[[#This Row],[ATUAL]])</f>
        <v>0</v>
      </c>
      <c r="U97" s="91">
        <f>SUMIFS(tabela_registros[VALOR],tabela_registros[MÊS],$AE$1,tabela_registros[DIA],receitasvariáveisconsolidadomai[[#Headers],[17]],tabela_registros[REGISTRO],DADOS!$N$3,tabela_registros[TIPO],DADOS!$V$4,tabela_registros[CATEGORIA],receitasvariáveisconsolidadomai[[#This Row],[ATUAL]])</f>
        <v>0</v>
      </c>
      <c r="V97" s="91">
        <f>SUMIFS(tabela_registros[VALOR],tabela_registros[MÊS],$AE$1,tabela_registros[DIA],receitasvariáveisconsolidadomai[[#Headers],[18]],tabela_registros[REGISTRO],DADOS!$N$3,tabela_registros[TIPO],DADOS!$V$4,tabela_registros[CATEGORIA],receitasvariáveisconsolidadomai[[#This Row],[ATUAL]])</f>
        <v>0</v>
      </c>
      <c r="W97" s="91">
        <f>SUMIFS(tabela_registros[VALOR],tabela_registros[MÊS],$AE$1,tabela_registros[DIA],receitasvariáveisconsolidadomai[[#Headers],[19]],tabela_registros[REGISTRO],DADOS!$N$3,tabela_registros[TIPO],DADOS!$V$4,tabela_registros[CATEGORIA],receitasvariáveisconsolidadomai[[#This Row],[ATUAL]])</f>
        <v>0</v>
      </c>
      <c r="X97" s="91">
        <f>SUMIFS(tabela_registros[VALOR],tabela_registros[MÊS],$AE$1,tabela_registros[DIA],receitasvariáveisconsolidadomai[[#Headers],[20]],tabela_registros[REGISTRO],DADOS!$N$3,tabela_registros[TIPO],DADOS!$V$4,tabela_registros[CATEGORIA],receitasvariáveisconsolidadomai[[#This Row],[ATUAL]])</f>
        <v>0</v>
      </c>
      <c r="Y97" s="91">
        <f>SUMIFS(tabela_registros[VALOR],tabela_registros[MÊS],$AE$1,tabela_registros[DIA],receitasvariáveisconsolidadomai[[#Headers],[21]],tabela_registros[REGISTRO],DADOS!$N$3,tabela_registros[TIPO],DADOS!$V$4,tabela_registros[CATEGORIA],receitasvariáveisconsolidadomai[[#This Row],[ATUAL]])</f>
        <v>0</v>
      </c>
      <c r="Z97" s="91">
        <f>SUMIFS(tabela_registros[VALOR],tabela_registros[MÊS],$AE$1,tabela_registros[DIA],receitasvariáveisconsolidadomai[[#Headers],[22]],tabela_registros[REGISTRO],DADOS!$N$3,tabela_registros[TIPO],DADOS!$V$4,tabela_registros[CATEGORIA],receitasvariáveisconsolidadomai[[#This Row],[ATUAL]])</f>
        <v>0</v>
      </c>
      <c r="AA97" s="91">
        <f>SUMIFS(tabela_registros[VALOR],tabela_registros[MÊS],$AE$1,tabela_registros[DIA],receitasvariáveisconsolidadomai[[#Headers],[23]],tabela_registros[REGISTRO],DADOS!$N$3,tabela_registros[TIPO],DADOS!$V$4,tabela_registros[CATEGORIA],receitasvariáveisconsolidadomai[[#This Row],[ATUAL]])</f>
        <v>0</v>
      </c>
      <c r="AB97" s="91">
        <f>SUMIFS(tabela_registros[VALOR],tabela_registros[MÊS],$AE$1,tabela_registros[DIA],receitasvariáveisconsolidadomai[[#Headers],[24]],tabela_registros[REGISTRO],DADOS!$N$3,tabela_registros[TIPO],DADOS!$V$4,tabela_registros[CATEGORIA],receitasvariáveisconsolidadomai[[#This Row],[ATUAL]])</f>
        <v>0</v>
      </c>
      <c r="AC97" s="91">
        <f>SUMIFS(tabela_registros[VALOR],tabela_registros[MÊS],$AE$1,tabela_registros[DIA],receitasvariáveisconsolidadomai[[#Headers],[25]],tabela_registros[REGISTRO],DADOS!$N$3,tabela_registros[TIPO],DADOS!$V$4,tabela_registros[CATEGORIA],receitasvariáveisconsolidadomai[[#This Row],[ATUAL]])</f>
        <v>0</v>
      </c>
      <c r="AD97" s="91">
        <f>SUMIFS(tabela_registros[VALOR],tabela_registros[MÊS],$AE$1,tabela_registros[DIA],receitasvariáveisconsolidadomai[[#Headers],[26]],tabela_registros[REGISTRO],DADOS!$N$3,tabela_registros[TIPO],DADOS!$V$4,tabela_registros[CATEGORIA],receitasvariáveisconsolidadomai[[#This Row],[ATUAL]])</f>
        <v>0</v>
      </c>
      <c r="AE97" s="91">
        <f>SUMIFS(tabela_registros[VALOR],tabela_registros[MÊS],$AE$1,tabela_registros[DIA],receitasvariáveisconsolidadomai[[#Headers],[27]],tabela_registros[REGISTRO],DADOS!$N$3,tabela_registros[TIPO],DADOS!$V$4,tabela_registros[CATEGORIA],receitasvariáveisconsolidadomai[[#This Row],[ATUAL]])</f>
        <v>0</v>
      </c>
      <c r="AF97" s="91">
        <f>SUMIFS(tabela_registros[VALOR],tabela_registros[MÊS],$AE$1,tabela_registros[DIA],receitasvariáveisconsolidadomai[[#Headers],[28]],tabela_registros[REGISTRO],DADOS!$N$3,tabela_registros[TIPO],DADOS!$V$4,tabela_registros[CATEGORIA],receitasvariáveisconsolidadomai[[#This Row],[ATUAL]])</f>
        <v>0</v>
      </c>
      <c r="AG97" s="91">
        <f>SUMIFS(tabela_registros[VALOR],tabela_registros[MÊS],$AE$1,tabela_registros[DIA],receitasvariáveisconsolidadomai[[#Headers],[29]],tabela_registros[REGISTRO],DADOS!$N$3,tabela_registros[TIPO],DADOS!$V$4,tabela_registros[CATEGORIA],receitasvariáveisconsolidadomai[[#This Row],[ATUAL]])</f>
        <v>0</v>
      </c>
      <c r="AH97" s="91">
        <f>SUMIFS(tabela_registros[VALOR],tabela_registros[MÊS],$AE$1,tabela_registros[DIA],receitasvariáveisconsolidadomai[[#Headers],[30]],tabela_registros[REGISTRO],DADOS!$N$3,tabela_registros[TIPO],DADOS!$V$4,tabela_registros[CATEGORIA],receitasvariáveisconsolidadomai[[#This Row],[ATUAL]])</f>
        <v>0</v>
      </c>
      <c r="AI97" s="101">
        <f>SUMIFS(tabela_registros[VALOR],tabela_registros[MÊS],$AE$1,tabela_registros[DIA],receitasvariáveisconsolidadomai[[#Headers],[31]],tabela_registros[REGISTRO],DADOS!$N$3,tabela_registros[TIPO],DADOS!$V$4,tabela_registros[CATEGORIA],receitasvariáveisconsolidadomai[[#This Row],[ATUAL]])</f>
        <v>0</v>
      </c>
      <c r="AJ97" s="97">
        <f>SUM(receitasvariáveisconsolidadomai[[#This Row],[1]:[31]])</f>
        <v>0</v>
      </c>
      <c r="AK97" s="25"/>
    </row>
    <row r="98" spans="2:37" ht="19.5" customHeight="1" thickTop="1" thickBot="1" x14ac:dyDescent="0.3">
      <c r="B98" s="28"/>
      <c r="C98" s="27" t="str">
        <f>DADOS!$Z$5</f>
        <v>🎗️ HERANÇA</v>
      </c>
      <c r="D98" s="26" t="str">
        <f>IF(receitasvariáveisconsolidadomai[[#This Row],[TOTAL (R$)]]=0,"",IF(OR(receitasvariáveisconsolidadomai[[#This Row],[TOTAL (R$)]]=LARGE($AJ$96:$AJ$103,1),receitasvariáveisconsolidadomai[[#This Row],[TOTAL (R$)]]=LARGE($AJ$96:$AJ$103,2)),DADOS!$I$9,""))</f>
        <v/>
      </c>
      <c r="E98" s="96">
        <f>SUMIFS(tabela_registros[VALOR],tabela_registros[MÊS],$AE$1,tabela_registros[DIA],receitasvariáveisconsolidadomai[[#Headers],[1]],tabela_registros[REGISTRO],DADOS!$N$3,tabela_registros[TIPO],DADOS!$V$4,tabela_registros[CATEGORIA],receitasvariáveisconsolidadomai[[#This Row],[ATUAL]])</f>
        <v>0</v>
      </c>
      <c r="F98" s="91">
        <f>SUMIFS(tabela_registros[VALOR],tabela_registros[MÊS],$AE$1,tabela_registros[DIA],receitasvariáveisconsolidadomai[[#Headers],[2]],tabela_registros[REGISTRO],DADOS!$N$3,tabela_registros[TIPO],DADOS!$V$4,tabela_registros[CATEGORIA],receitasvariáveisconsolidadomai[[#This Row],[ATUAL]])</f>
        <v>0</v>
      </c>
      <c r="G98" s="91">
        <f>SUMIFS(tabela_registros[VALOR],tabela_registros[MÊS],$AE$1,tabela_registros[DIA],receitasvariáveisconsolidadomai[[#Headers],[3]],tabela_registros[REGISTRO],DADOS!$N$3,tabela_registros[TIPO],DADOS!$V$4,tabela_registros[CATEGORIA],receitasvariáveisconsolidadomai[[#This Row],[ATUAL]])</f>
        <v>0</v>
      </c>
      <c r="H98" s="91">
        <f>SUMIFS(tabela_registros[VALOR],tabela_registros[MÊS],$AE$1,tabela_registros[DIA],receitasvariáveisconsolidadomai[[#Headers],[4]],tabela_registros[REGISTRO],DADOS!$N$3,tabela_registros[TIPO],DADOS!$V$4,tabela_registros[CATEGORIA],receitasvariáveisconsolidadomai[[#This Row],[ATUAL]])</f>
        <v>0</v>
      </c>
      <c r="I98" s="91">
        <f>SUMIFS(tabela_registros[VALOR],tabela_registros[MÊS],$AE$1,tabela_registros[DIA],receitasvariáveisconsolidadomai[[#Headers],[5]],tabela_registros[REGISTRO],DADOS!$N$3,tabela_registros[TIPO],DADOS!$V$4,tabela_registros[CATEGORIA],receitasvariáveisconsolidadomai[[#This Row],[ATUAL]])</f>
        <v>0</v>
      </c>
      <c r="J98" s="91">
        <f>SUMIFS(tabela_registros[VALOR],tabela_registros[MÊS],$AE$1,tabela_registros[DIA],receitasvariáveisconsolidadomai[[#Headers],[6]],tabela_registros[REGISTRO],DADOS!$N$3,tabela_registros[TIPO],DADOS!$V$4,tabela_registros[CATEGORIA],receitasvariáveisconsolidadomai[[#This Row],[ATUAL]])</f>
        <v>0</v>
      </c>
      <c r="K98" s="91">
        <f>SUMIFS(tabela_registros[VALOR],tabela_registros[MÊS],$AE$1,tabela_registros[DIA],receitasvariáveisconsolidadomai[[#Headers],[7]],tabela_registros[REGISTRO],DADOS!$N$3,tabela_registros[TIPO],DADOS!$V$4,tabela_registros[CATEGORIA],receitasvariáveisconsolidadomai[[#This Row],[ATUAL]])</f>
        <v>0</v>
      </c>
      <c r="L98" s="91">
        <f>SUMIFS(tabela_registros[VALOR],tabela_registros[MÊS],$AE$1,tabela_registros[DIA],receitasvariáveisconsolidadomai[[#Headers],[8]],tabela_registros[REGISTRO],DADOS!$N$3,tabela_registros[TIPO],DADOS!$V$4,tabela_registros[CATEGORIA],receitasvariáveisconsolidadomai[[#This Row],[ATUAL]])</f>
        <v>0</v>
      </c>
      <c r="M98" s="91">
        <f>SUMIFS(tabela_registros[VALOR],tabela_registros[MÊS],$AE$1,tabela_registros[DIA],receitasvariáveisconsolidadomai[[#Headers],[9]],tabela_registros[REGISTRO],DADOS!$N$3,tabela_registros[TIPO],DADOS!$V$4,tabela_registros[CATEGORIA],receitasvariáveisconsolidadomai[[#This Row],[ATUAL]])</f>
        <v>0</v>
      </c>
      <c r="N98" s="91">
        <f>SUMIFS(tabela_registros[VALOR],tabela_registros[MÊS],$AE$1,tabela_registros[DIA],receitasvariáveisconsolidadomai[[#Headers],[10]],tabela_registros[REGISTRO],DADOS!$N$3,tabela_registros[TIPO],DADOS!$V$4,tabela_registros[CATEGORIA],receitasvariáveisconsolidadomai[[#This Row],[ATUAL]])</f>
        <v>0</v>
      </c>
      <c r="O98" s="91">
        <f>SUMIFS(tabela_registros[VALOR],tabela_registros[MÊS],$AE$1,tabela_registros[DIA],receitasvariáveisconsolidadomai[[#Headers],[11]],tabela_registros[REGISTRO],DADOS!$N$3,tabela_registros[TIPO],DADOS!$V$4,tabela_registros[CATEGORIA],receitasvariáveisconsolidadomai[[#This Row],[ATUAL]])</f>
        <v>0</v>
      </c>
      <c r="P98" s="91">
        <f>SUMIFS(tabela_registros[VALOR],tabela_registros[MÊS],$AE$1,tabela_registros[DIA],receitasvariáveisconsolidadomai[[#Headers],[12]],tabela_registros[REGISTRO],DADOS!$N$3,tabela_registros[TIPO],DADOS!$V$4,tabela_registros[CATEGORIA],receitasvariáveisconsolidadomai[[#This Row],[ATUAL]])</f>
        <v>0</v>
      </c>
      <c r="Q98" s="91">
        <f>SUMIFS(tabela_registros[VALOR],tabela_registros[MÊS],$AE$1,tabela_registros[DIA],receitasvariáveisconsolidadomai[[#Headers],[13]],tabela_registros[REGISTRO],DADOS!$N$3,tabela_registros[TIPO],DADOS!$V$4,tabela_registros[CATEGORIA],receitasvariáveisconsolidadomai[[#This Row],[ATUAL]])</f>
        <v>0</v>
      </c>
      <c r="R98" s="91">
        <f>SUMIFS(tabela_registros[VALOR],tabela_registros[MÊS],$AE$1,tabela_registros[DIA],receitasvariáveisconsolidadomai[[#Headers],[14]],tabela_registros[REGISTRO],DADOS!$N$3,tabela_registros[TIPO],DADOS!$V$4,tabela_registros[CATEGORIA],receitasvariáveisconsolidadomai[[#This Row],[ATUAL]])</f>
        <v>0</v>
      </c>
      <c r="S98" s="91">
        <f>SUMIFS(tabela_registros[VALOR],tabela_registros[MÊS],$AE$1,tabela_registros[DIA],receitasvariáveisconsolidadomai[[#Headers],[15]],tabela_registros[REGISTRO],DADOS!$N$3,tabela_registros[TIPO],DADOS!$V$4,tabela_registros[CATEGORIA],receitasvariáveisconsolidadomai[[#This Row],[ATUAL]])</f>
        <v>0</v>
      </c>
      <c r="T98" s="91">
        <f>SUMIFS(tabela_registros[VALOR],tabela_registros[MÊS],$AE$1,tabela_registros[DIA],receitasvariáveisconsolidadomai[[#Headers],[16]],tabela_registros[REGISTRO],DADOS!$N$3,tabela_registros[TIPO],DADOS!$V$4,tabela_registros[CATEGORIA],receitasvariáveisconsolidadomai[[#This Row],[ATUAL]])</f>
        <v>0</v>
      </c>
      <c r="U98" s="91">
        <f>SUMIFS(tabela_registros[VALOR],tabela_registros[MÊS],$AE$1,tabela_registros[DIA],receitasvariáveisconsolidadomai[[#Headers],[17]],tabela_registros[REGISTRO],DADOS!$N$3,tabela_registros[TIPO],DADOS!$V$4,tabela_registros[CATEGORIA],receitasvariáveisconsolidadomai[[#This Row],[ATUAL]])</f>
        <v>0</v>
      </c>
      <c r="V98" s="91">
        <f>SUMIFS(tabela_registros[VALOR],tabela_registros[MÊS],$AE$1,tabela_registros[DIA],receitasvariáveisconsolidadomai[[#Headers],[18]],tabela_registros[REGISTRO],DADOS!$N$3,tabela_registros[TIPO],DADOS!$V$4,tabela_registros[CATEGORIA],receitasvariáveisconsolidadomai[[#This Row],[ATUAL]])</f>
        <v>0</v>
      </c>
      <c r="W98" s="91">
        <f>SUMIFS(tabela_registros[VALOR],tabela_registros[MÊS],$AE$1,tabela_registros[DIA],receitasvariáveisconsolidadomai[[#Headers],[19]],tabela_registros[REGISTRO],DADOS!$N$3,tabela_registros[TIPO],DADOS!$V$4,tabela_registros[CATEGORIA],receitasvariáveisconsolidadomai[[#This Row],[ATUAL]])</f>
        <v>0</v>
      </c>
      <c r="X98" s="91">
        <f>SUMIFS(tabela_registros[VALOR],tabela_registros[MÊS],$AE$1,tabela_registros[DIA],receitasvariáveisconsolidadomai[[#Headers],[20]],tabela_registros[REGISTRO],DADOS!$N$3,tabela_registros[TIPO],DADOS!$V$4,tabela_registros[CATEGORIA],receitasvariáveisconsolidadomai[[#This Row],[ATUAL]])</f>
        <v>0</v>
      </c>
      <c r="Y98" s="91">
        <f>SUMIFS(tabela_registros[VALOR],tabela_registros[MÊS],$AE$1,tabela_registros[DIA],receitasvariáveisconsolidadomai[[#Headers],[21]],tabela_registros[REGISTRO],DADOS!$N$3,tabela_registros[TIPO],DADOS!$V$4,tabela_registros[CATEGORIA],receitasvariáveisconsolidadomai[[#This Row],[ATUAL]])</f>
        <v>0</v>
      </c>
      <c r="Z98" s="91">
        <f>SUMIFS(tabela_registros[VALOR],tabela_registros[MÊS],$AE$1,tabela_registros[DIA],receitasvariáveisconsolidadomai[[#Headers],[22]],tabela_registros[REGISTRO],DADOS!$N$3,tabela_registros[TIPO],DADOS!$V$4,tabela_registros[CATEGORIA],receitasvariáveisconsolidadomai[[#This Row],[ATUAL]])</f>
        <v>0</v>
      </c>
      <c r="AA98" s="91">
        <f>SUMIFS(tabela_registros[VALOR],tabela_registros[MÊS],$AE$1,tabela_registros[DIA],receitasvariáveisconsolidadomai[[#Headers],[23]],tabela_registros[REGISTRO],DADOS!$N$3,tabela_registros[TIPO],DADOS!$V$4,tabela_registros[CATEGORIA],receitasvariáveisconsolidadomai[[#This Row],[ATUAL]])</f>
        <v>0</v>
      </c>
      <c r="AB98" s="91">
        <f>SUMIFS(tabela_registros[VALOR],tabela_registros[MÊS],$AE$1,tabela_registros[DIA],receitasvariáveisconsolidadomai[[#Headers],[24]],tabela_registros[REGISTRO],DADOS!$N$3,tabela_registros[TIPO],DADOS!$V$4,tabela_registros[CATEGORIA],receitasvariáveisconsolidadomai[[#This Row],[ATUAL]])</f>
        <v>0</v>
      </c>
      <c r="AC98" s="91">
        <f>SUMIFS(tabela_registros[VALOR],tabela_registros[MÊS],$AE$1,tabela_registros[DIA],receitasvariáveisconsolidadomai[[#Headers],[25]],tabela_registros[REGISTRO],DADOS!$N$3,tabela_registros[TIPO],DADOS!$V$4,tabela_registros[CATEGORIA],receitasvariáveisconsolidadomai[[#This Row],[ATUAL]])</f>
        <v>0</v>
      </c>
      <c r="AD98" s="91">
        <f>SUMIFS(tabela_registros[VALOR],tabela_registros[MÊS],$AE$1,tabela_registros[DIA],receitasvariáveisconsolidadomai[[#Headers],[26]],tabela_registros[REGISTRO],DADOS!$N$3,tabela_registros[TIPO],DADOS!$V$4,tabela_registros[CATEGORIA],receitasvariáveisconsolidadomai[[#This Row],[ATUAL]])</f>
        <v>0</v>
      </c>
      <c r="AE98" s="91">
        <f>SUMIFS(tabela_registros[VALOR],tabela_registros[MÊS],$AE$1,tabela_registros[DIA],receitasvariáveisconsolidadomai[[#Headers],[27]],tabela_registros[REGISTRO],DADOS!$N$3,tabela_registros[TIPO],DADOS!$V$4,tabela_registros[CATEGORIA],receitasvariáveisconsolidadomai[[#This Row],[ATUAL]])</f>
        <v>0</v>
      </c>
      <c r="AF98" s="91">
        <f>SUMIFS(tabela_registros[VALOR],tabela_registros[MÊS],$AE$1,tabela_registros[DIA],receitasvariáveisconsolidadomai[[#Headers],[28]],tabela_registros[REGISTRO],DADOS!$N$3,tabela_registros[TIPO],DADOS!$V$4,tabela_registros[CATEGORIA],receitasvariáveisconsolidadomai[[#This Row],[ATUAL]])</f>
        <v>0</v>
      </c>
      <c r="AG98" s="91">
        <f>SUMIFS(tabela_registros[VALOR],tabela_registros[MÊS],$AE$1,tabela_registros[DIA],receitasvariáveisconsolidadomai[[#Headers],[29]],tabela_registros[REGISTRO],DADOS!$N$3,tabela_registros[TIPO],DADOS!$V$4,tabela_registros[CATEGORIA],receitasvariáveisconsolidadomai[[#This Row],[ATUAL]])</f>
        <v>0</v>
      </c>
      <c r="AH98" s="91">
        <f>SUMIFS(tabela_registros[VALOR],tabela_registros[MÊS],$AE$1,tabela_registros[DIA],receitasvariáveisconsolidadomai[[#Headers],[30]],tabela_registros[REGISTRO],DADOS!$N$3,tabela_registros[TIPO],DADOS!$V$4,tabela_registros[CATEGORIA],receitasvariáveisconsolidadomai[[#This Row],[ATUAL]])</f>
        <v>0</v>
      </c>
      <c r="AI98" s="101">
        <f>SUMIFS(tabela_registros[VALOR],tabela_registros[MÊS],$AE$1,tabela_registros[DIA],receitasvariáveisconsolidadomai[[#Headers],[31]],tabela_registros[REGISTRO],DADOS!$N$3,tabela_registros[TIPO],DADOS!$V$4,tabela_registros[CATEGORIA],receitasvariáveisconsolidadomai[[#This Row],[ATUAL]])</f>
        <v>0</v>
      </c>
      <c r="AJ98" s="97">
        <f>SUM(receitasvariáveisconsolidadomai[[#This Row],[1]:[31]])</f>
        <v>0</v>
      </c>
      <c r="AK98" s="25"/>
    </row>
    <row r="99" spans="2:37" ht="19.5" customHeight="1" thickTop="1" thickBot="1" x14ac:dyDescent="0.3">
      <c r="B99" s="28"/>
      <c r="C99" s="27" t="str">
        <f>DADOS!$Z$6</f>
        <v>💲 INVESTIMENTOS</v>
      </c>
      <c r="D99" s="26" t="str">
        <f>IF(receitasvariáveisconsolidadomai[[#This Row],[TOTAL (R$)]]=0,"",IF(OR(receitasvariáveisconsolidadomai[[#This Row],[TOTAL (R$)]]=LARGE($AJ$96:$AJ$103,1),receitasvariáveisconsolidadomai[[#This Row],[TOTAL (R$)]]=LARGE($AJ$96:$AJ$103,2)),DADOS!$I$9,""))</f>
        <v/>
      </c>
      <c r="E99" s="96">
        <f>SUMIFS(tabela_registros[VALOR],tabela_registros[MÊS],$AE$1,tabela_registros[DIA],receitasvariáveisconsolidadomai[[#Headers],[1]],tabela_registros[REGISTRO],DADOS!$N$3,tabela_registros[TIPO],DADOS!$V$4,tabela_registros[CATEGORIA],receitasvariáveisconsolidadomai[[#This Row],[ATUAL]])</f>
        <v>0</v>
      </c>
      <c r="F99" s="91">
        <f>SUMIFS(tabela_registros[VALOR],tabela_registros[MÊS],$AE$1,tabela_registros[DIA],receitasvariáveisconsolidadomai[[#Headers],[2]],tabela_registros[REGISTRO],DADOS!$N$3,tabela_registros[TIPO],DADOS!$V$4,tabela_registros[CATEGORIA],receitasvariáveisconsolidadomai[[#This Row],[ATUAL]])</f>
        <v>0</v>
      </c>
      <c r="G99" s="91">
        <f>SUMIFS(tabela_registros[VALOR],tabela_registros[MÊS],$AE$1,tabela_registros[DIA],receitasvariáveisconsolidadomai[[#Headers],[3]],tabela_registros[REGISTRO],DADOS!$N$3,tabela_registros[TIPO],DADOS!$V$4,tabela_registros[CATEGORIA],receitasvariáveisconsolidadomai[[#This Row],[ATUAL]])</f>
        <v>0</v>
      </c>
      <c r="H99" s="91">
        <f>SUMIFS(tabela_registros[VALOR],tabela_registros[MÊS],$AE$1,tabela_registros[DIA],receitasvariáveisconsolidadomai[[#Headers],[4]],tabela_registros[REGISTRO],DADOS!$N$3,tabela_registros[TIPO],DADOS!$V$4,tabela_registros[CATEGORIA],receitasvariáveisconsolidadomai[[#This Row],[ATUAL]])</f>
        <v>0</v>
      </c>
      <c r="I99" s="91">
        <f>SUMIFS(tabela_registros[VALOR],tabela_registros[MÊS],$AE$1,tabela_registros[DIA],receitasvariáveisconsolidadomai[[#Headers],[5]],tabela_registros[REGISTRO],DADOS!$N$3,tabela_registros[TIPO],DADOS!$V$4,tabela_registros[CATEGORIA],receitasvariáveisconsolidadomai[[#This Row],[ATUAL]])</f>
        <v>0</v>
      </c>
      <c r="J99" s="91">
        <f>SUMIFS(tabela_registros[VALOR],tabela_registros[MÊS],$AE$1,tabela_registros[DIA],receitasvariáveisconsolidadomai[[#Headers],[6]],tabela_registros[REGISTRO],DADOS!$N$3,tabela_registros[TIPO],DADOS!$V$4,tabela_registros[CATEGORIA],receitasvariáveisconsolidadomai[[#This Row],[ATUAL]])</f>
        <v>0</v>
      </c>
      <c r="K99" s="91">
        <f>SUMIFS(tabela_registros[VALOR],tabela_registros[MÊS],$AE$1,tabela_registros[DIA],receitasvariáveisconsolidadomai[[#Headers],[7]],tabela_registros[REGISTRO],DADOS!$N$3,tabela_registros[TIPO],DADOS!$V$4,tabela_registros[CATEGORIA],receitasvariáveisconsolidadomai[[#This Row],[ATUAL]])</f>
        <v>0</v>
      </c>
      <c r="L99" s="91">
        <f>SUMIFS(tabela_registros[VALOR],tabela_registros[MÊS],$AE$1,tabela_registros[DIA],receitasvariáveisconsolidadomai[[#Headers],[8]],tabela_registros[REGISTRO],DADOS!$N$3,tabela_registros[TIPO],DADOS!$V$4,tabela_registros[CATEGORIA],receitasvariáveisconsolidadomai[[#This Row],[ATUAL]])</f>
        <v>0</v>
      </c>
      <c r="M99" s="91">
        <f>SUMIFS(tabela_registros[VALOR],tabela_registros[MÊS],$AE$1,tabela_registros[DIA],receitasvariáveisconsolidadomai[[#Headers],[9]],tabela_registros[REGISTRO],DADOS!$N$3,tabela_registros[TIPO],DADOS!$V$4,tabela_registros[CATEGORIA],receitasvariáveisconsolidadomai[[#This Row],[ATUAL]])</f>
        <v>0</v>
      </c>
      <c r="N99" s="91">
        <f>SUMIFS(tabela_registros[VALOR],tabela_registros[MÊS],$AE$1,tabela_registros[DIA],receitasvariáveisconsolidadomai[[#Headers],[10]],tabela_registros[REGISTRO],DADOS!$N$3,tabela_registros[TIPO],DADOS!$V$4,tabela_registros[CATEGORIA],receitasvariáveisconsolidadomai[[#This Row],[ATUAL]])</f>
        <v>0</v>
      </c>
      <c r="O99" s="91">
        <f>SUMIFS(tabela_registros[VALOR],tabela_registros[MÊS],$AE$1,tabela_registros[DIA],receitasvariáveisconsolidadomai[[#Headers],[11]],tabela_registros[REGISTRO],DADOS!$N$3,tabela_registros[TIPO],DADOS!$V$4,tabela_registros[CATEGORIA],receitasvariáveisconsolidadomai[[#This Row],[ATUAL]])</f>
        <v>0</v>
      </c>
      <c r="P99" s="91">
        <f>SUMIFS(tabela_registros[VALOR],tabela_registros[MÊS],$AE$1,tabela_registros[DIA],receitasvariáveisconsolidadomai[[#Headers],[12]],tabela_registros[REGISTRO],DADOS!$N$3,tabela_registros[TIPO],DADOS!$V$4,tabela_registros[CATEGORIA],receitasvariáveisconsolidadomai[[#This Row],[ATUAL]])</f>
        <v>0</v>
      </c>
      <c r="Q99" s="91">
        <f>SUMIFS(tabela_registros[VALOR],tabela_registros[MÊS],$AE$1,tabela_registros[DIA],receitasvariáveisconsolidadomai[[#Headers],[13]],tabela_registros[REGISTRO],DADOS!$N$3,tabela_registros[TIPO],DADOS!$V$4,tabela_registros[CATEGORIA],receitasvariáveisconsolidadomai[[#This Row],[ATUAL]])</f>
        <v>0</v>
      </c>
      <c r="R99" s="91">
        <f>SUMIFS(tabela_registros[VALOR],tabela_registros[MÊS],$AE$1,tabela_registros[DIA],receitasvariáveisconsolidadomai[[#Headers],[14]],tabela_registros[REGISTRO],DADOS!$N$3,tabela_registros[TIPO],DADOS!$V$4,tabela_registros[CATEGORIA],receitasvariáveisconsolidadomai[[#This Row],[ATUAL]])</f>
        <v>0</v>
      </c>
      <c r="S99" s="91">
        <f>SUMIFS(tabela_registros[VALOR],tabela_registros[MÊS],$AE$1,tabela_registros[DIA],receitasvariáveisconsolidadomai[[#Headers],[15]],tabela_registros[REGISTRO],DADOS!$N$3,tabela_registros[TIPO],DADOS!$V$4,tabela_registros[CATEGORIA],receitasvariáveisconsolidadomai[[#This Row],[ATUAL]])</f>
        <v>0</v>
      </c>
      <c r="T99" s="91">
        <f>SUMIFS(tabela_registros[VALOR],tabela_registros[MÊS],$AE$1,tabela_registros[DIA],receitasvariáveisconsolidadomai[[#Headers],[16]],tabela_registros[REGISTRO],DADOS!$N$3,tabela_registros[TIPO],DADOS!$V$4,tabela_registros[CATEGORIA],receitasvariáveisconsolidadomai[[#This Row],[ATUAL]])</f>
        <v>0</v>
      </c>
      <c r="U99" s="91">
        <f>SUMIFS(tabela_registros[VALOR],tabela_registros[MÊS],$AE$1,tabela_registros[DIA],receitasvariáveisconsolidadomai[[#Headers],[17]],tabela_registros[REGISTRO],DADOS!$N$3,tabela_registros[TIPO],DADOS!$V$4,tabela_registros[CATEGORIA],receitasvariáveisconsolidadomai[[#This Row],[ATUAL]])</f>
        <v>0</v>
      </c>
      <c r="V99" s="91">
        <f>SUMIFS(tabela_registros[VALOR],tabela_registros[MÊS],$AE$1,tabela_registros[DIA],receitasvariáveisconsolidadomai[[#Headers],[18]],tabela_registros[REGISTRO],DADOS!$N$3,tabela_registros[TIPO],DADOS!$V$4,tabela_registros[CATEGORIA],receitasvariáveisconsolidadomai[[#This Row],[ATUAL]])</f>
        <v>0</v>
      </c>
      <c r="W99" s="91">
        <f>SUMIFS(tabela_registros[VALOR],tabela_registros[MÊS],$AE$1,tabela_registros[DIA],receitasvariáveisconsolidadomai[[#Headers],[19]],tabela_registros[REGISTRO],DADOS!$N$3,tabela_registros[TIPO],DADOS!$V$4,tabela_registros[CATEGORIA],receitasvariáveisconsolidadomai[[#This Row],[ATUAL]])</f>
        <v>0</v>
      </c>
      <c r="X99" s="91">
        <f>SUMIFS(tabela_registros[VALOR],tabela_registros[MÊS],$AE$1,tabela_registros[DIA],receitasvariáveisconsolidadomai[[#Headers],[20]],tabela_registros[REGISTRO],DADOS!$N$3,tabela_registros[TIPO],DADOS!$V$4,tabela_registros[CATEGORIA],receitasvariáveisconsolidadomai[[#This Row],[ATUAL]])</f>
        <v>0</v>
      </c>
      <c r="Y99" s="91">
        <f>SUMIFS(tabela_registros[VALOR],tabela_registros[MÊS],$AE$1,tabela_registros[DIA],receitasvariáveisconsolidadomai[[#Headers],[21]],tabela_registros[REGISTRO],DADOS!$N$3,tabela_registros[TIPO],DADOS!$V$4,tabela_registros[CATEGORIA],receitasvariáveisconsolidadomai[[#This Row],[ATUAL]])</f>
        <v>0</v>
      </c>
      <c r="Z99" s="91">
        <f>SUMIFS(tabela_registros[VALOR],tabela_registros[MÊS],$AE$1,tabela_registros[DIA],receitasvariáveisconsolidadomai[[#Headers],[22]],tabela_registros[REGISTRO],DADOS!$N$3,tabela_registros[TIPO],DADOS!$V$4,tabela_registros[CATEGORIA],receitasvariáveisconsolidadomai[[#This Row],[ATUAL]])</f>
        <v>0</v>
      </c>
      <c r="AA99" s="91">
        <f>SUMIFS(tabela_registros[VALOR],tabela_registros[MÊS],$AE$1,tabela_registros[DIA],receitasvariáveisconsolidadomai[[#Headers],[23]],tabela_registros[REGISTRO],DADOS!$N$3,tabela_registros[TIPO],DADOS!$V$4,tabela_registros[CATEGORIA],receitasvariáveisconsolidadomai[[#This Row],[ATUAL]])</f>
        <v>0</v>
      </c>
      <c r="AB99" s="91">
        <f>SUMIFS(tabela_registros[VALOR],tabela_registros[MÊS],$AE$1,tabela_registros[DIA],receitasvariáveisconsolidadomai[[#Headers],[24]],tabela_registros[REGISTRO],DADOS!$N$3,tabela_registros[TIPO],DADOS!$V$4,tabela_registros[CATEGORIA],receitasvariáveisconsolidadomai[[#This Row],[ATUAL]])</f>
        <v>0</v>
      </c>
      <c r="AC99" s="91">
        <f>SUMIFS(tabela_registros[VALOR],tabela_registros[MÊS],$AE$1,tabela_registros[DIA],receitasvariáveisconsolidadomai[[#Headers],[25]],tabela_registros[REGISTRO],DADOS!$N$3,tabela_registros[TIPO],DADOS!$V$4,tabela_registros[CATEGORIA],receitasvariáveisconsolidadomai[[#This Row],[ATUAL]])</f>
        <v>0</v>
      </c>
      <c r="AD99" s="91">
        <f>SUMIFS(tabela_registros[VALOR],tabela_registros[MÊS],$AE$1,tabela_registros[DIA],receitasvariáveisconsolidadomai[[#Headers],[26]],tabela_registros[REGISTRO],DADOS!$N$3,tabela_registros[TIPO],DADOS!$V$4,tabela_registros[CATEGORIA],receitasvariáveisconsolidadomai[[#This Row],[ATUAL]])</f>
        <v>0</v>
      </c>
      <c r="AE99" s="91">
        <f>SUMIFS(tabela_registros[VALOR],tabela_registros[MÊS],$AE$1,tabela_registros[DIA],receitasvariáveisconsolidadomai[[#Headers],[27]],tabela_registros[REGISTRO],DADOS!$N$3,tabela_registros[TIPO],DADOS!$V$4,tabela_registros[CATEGORIA],receitasvariáveisconsolidadomai[[#This Row],[ATUAL]])</f>
        <v>0</v>
      </c>
      <c r="AF99" s="91">
        <f>SUMIFS(tabela_registros[VALOR],tabela_registros[MÊS],$AE$1,tabela_registros[DIA],receitasvariáveisconsolidadomai[[#Headers],[28]],tabela_registros[REGISTRO],DADOS!$N$3,tabela_registros[TIPO],DADOS!$V$4,tabela_registros[CATEGORIA],receitasvariáveisconsolidadomai[[#This Row],[ATUAL]])</f>
        <v>0</v>
      </c>
      <c r="AG99" s="91">
        <f>SUMIFS(tabela_registros[VALOR],tabela_registros[MÊS],$AE$1,tabela_registros[DIA],receitasvariáveisconsolidadomai[[#Headers],[29]],tabela_registros[REGISTRO],DADOS!$N$3,tabela_registros[TIPO],DADOS!$V$4,tabela_registros[CATEGORIA],receitasvariáveisconsolidadomai[[#This Row],[ATUAL]])</f>
        <v>0</v>
      </c>
      <c r="AH99" s="91">
        <f>SUMIFS(tabela_registros[VALOR],tabela_registros[MÊS],$AE$1,tabela_registros[DIA],receitasvariáveisconsolidadomai[[#Headers],[30]],tabela_registros[REGISTRO],DADOS!$N$3,tabela_registros[TIPO],DADOS!$V$4,tabela_registros[CATEGORIA],receitasvariáveisconsolidadomai[[#This Row],[ATUAL]])</f>
        <v>0</v>
      </c>
      <c r="AI99" s="101">
        <f>SUMIFS(tabela_registros[VALOR],tabela_registros[MÊS],$AE$1,tabela_registros[DIA],receitasvariáveisconsolidadomai[[#Headers],[31]],tabela_registros[REGISTRO],DADOS!$N$3,tabela_registros[TIPO],DADOS!$V$4,tabela_registros[CATEGORIA],receitasvariáveisconsolidadomai[[#This Row],[ATUAL]])</f>
        <v>0</v>
      </c>
      <c r="AJ99" s="97">
        <f>SUM(receitasvariáveisconsolidadomai[[#This Row],[1]:[31]])</f>
        <v>0</v>
      </c>
      <c r="AK99" s="25"/>
    </row>
    <row r="100" spans="2:37" ht="19.5" customHeight="1" thickTop="1" thickBot="1" x14ac:dyDescent="0.3">
      <c r="B100" s="28"/>
      <c r="C100" s="27" t="str">
        <f>DADOS!$Z$7</f>
        <v>🧾 NOTA DE SERVIÇO</v>
      </c>
      <c r="D100" s="26" t="str">
        <f>IF(receitasvariáveisconsolidadomai[[#This Row],[TOTAL (R$)]]=0,"",IF(OR(receitasvariáveisconsolidadomai[[#This Row],[TOTAL (R$)]]=LARGE($AJ$96:$AJ$103,1),receitasvariáveisconsolidadomai[[#This Row],[TOTAL (R$)]]=LARGE($AJ$96:$AJ$103,2)),DADOS!$I$9,""))</f>
        <v/>
      </c>
      <c r="E100" s="96">
        <f>SUMIFS(tabela_registros[VALOR],tabela_registros[MÊS],$AE$1,tabela_registros[DIA],receitasvariáveisconsolidadomai[[#Headers],[1]],tabela_registros[REGISTRO],DADOS!$N$3,tabela_registros[TIPO],DADOS!$V$4,tabela_registros[CATEGORIA],receitasvariáveisconsolidadomai[[#This Row],[ATUAL]])</f>
        <v>0</v>
      </c>
      <c r="F100" s="91">
        <f>SUMIFS(tabela_registros[VALOR],tabela_registros[MÊS],$AE$1,tabela_registros[DIA],receitasvariáveisconsolidadomai[[#Headers],[2]],tabela_registros[REGISTRO],DADOS!$N$3,tabela_registros[TIPO],DADOS!$V$4,tabela_registros[CATEGORIA],receitasvariáveisconsolidadomai[[#This Row],[ATUAL]])</f>
        <v>0</v>
      </c>
      <c r="G100" s="91">
        <f>SUMIFS(tabela_registros[VALOR],tabela_registros[MÊS],$AE$1,tabela_registros[DIA],receitasvariáveisconsolidadomai[[#Headers],[3]],tabela_registros[REGISTRO],DADOS!$N$3,tabela_registros[TIPO],DADOS!$V$4,tabela_registros[CATEGORIA],receitasvariáveisconsolidadomai[[#This Row],[ATUAL]])</f>
        <v>0</v>
      </c>
      <c r="H100" s="91">
        <f>SUMIFS(tabela_registros[VALOR],tabela_registros[MÊS],$AE$1,tabela_registros[DIA],receitasvariáveisconsolidadomai[[#Headers],[4]],tabela_registros[REGISTRO],DADOS!$N$3,tabela_registros[TIPO],DADOS!$V$4,tabela_registros[CATEGORIA],receitasvariáveisconsolidadomai[[#This Row],[ATUAL]])</f>
        <v>0</v>
      </c>
      <c r="I100" s="91">
        <f>SUMIFS(tabela_registros[VALOR],tabela_registros[MÊS],$AE$1,tabela_registros[DIA],receitasvariáveisconsolidadomai[[#Headers],[5]],tabela_registros[REGISTRO],DADOS!$N$3,tabela_registros[TIPO],DADOS!$V$4,tabela_registros[CATEGORIA],receitasvariáveisconsolidadomai[[#This Row],[ATUAL]])</f>
        <v>0</v>
      </c>
      <c r="J100" s="91">
        <f>SUMIFS(tabela_registros[VALOR],tabela_registros[MÊS],$AE$1,tabela_registros[DIA],receitasvariáveisconsolidadomai[[#Headers],[6]],tabela_registros[REGISTRO],DADOS!$N$3,tabela_registros[TIPO],DADOS!$V$4,tabela_registros[CATEGORIA],receitasvariáveisconsolidadomai[[#This Row],[ATUAL]])</f>
        <v>0</v>
      </c>
      <c r="K100" s="91">
        <f>SUMIFS(tabela_registros[VALOR],tabela_registros[MÊS],$AE$1,tabela_registros[DIA],receitasvariáveisconsolidadomai[[#Headers],[7]],tabela_registros[REGISTRO],DADOS!$N$3,tabela_registros[TIPO],DADOS!$V$4,tabela_registros[CATEGORIA],receitasvariáveisconsolidadomai[[#This Row],[ATUAL]])</f>
        <v>0</v>
      </c>
      <c r="L100" s="91">
        <f>SUMIFS(tabela_registros[VALOR],tabela_registros[MÊS],$AE$1,tabela_registros[DIA],receitasvariáveisconsolidadomai[[#Headers],[8]],tabela_registros[REGISTRO],DADOS!$N$3,tabela_registros[TIPO],DADOS!$V$4,tabela_registros[CATEGORIA],receitasvariáveisconsolidadomai[[#This Row],[ATUAL]])</f>
        <v>0</v>
      </c>
      <c r="M100" s="91">
        <f>SUMIFS(tabela_registros[VALOR],tabela_registros[MÊS],$AE$1,tabela_registros[DIA],receitasvariáveisconsolidadomai[[#Headers],[9]],tabela_registros[REGISTRO],DADOS!$N$3,tabela_registros[TIPO],DADOS!$V$4,tabela_registros[CATEGORIA],receitasvariáveisconsolidadomai[[#This Row],[ATUAL]])</f>
        <v>0</v>
      </c>
      <c r="N100" s="91">
        <f>SUMIFS(tabela_registros[VALOR],tabela_registros[MÊS],$AE$1,tabela_registros[DIA],receitasvariáveisconsolidadomai[[#Headers],[10]],tabela_registros[REGISTRO],DADOS!$N$3,tabela_registros[TIPO],DADOS!$V$4,tabela_registros[CATEGORIA],receitasvariáveisconsolidadomai[[#This Row],[ATUAL]])</f>
        <v>0</v>
      </c>
      <c r="O100" s="91">
        <f>SUMIFS(tabela_registros[VALOR],tabela_registros[MÊS],$AE$1,tabela_registros[DIA],receitasvariáveisconsolidadomai[[#Headers],[11]],tabela_registros[REGISTRO],DADOS!$N$3,tabela_registros[TIPO],DADOS!$V$4,tabela_registros[CATEGORIA],receitasvariáveisconsolidadomai[[#This Row],[ATUAL]])</f>
        <v>0</v>
      </c>
      <c r="P100" s="91">
        <f>SUMIFS(tabela_registros[VALOR],tabela_registros[MÊS],$AE$1,tabela_registros[DIA],receitasvariáveisconsolidadomai[[#Headers],[12]],tabela_registros[REGISTRO],DADOS!$N$3,tabela_registros[TIPO],DADOS!$V$4,tabela_registros[CATEGORIA],receitasvariáveisconsolidadomai[[#This Row],[ATUAL]])</f>
        <v>0</v>
      </c>
      <c r="Q100" s="91">
        <f>SUMIFS(tabela_registros[VALOR],tabela_registros[MÊS],$AE$1,tabela_registros[DIA],receitasvariáveisconsolidadomai[[#Headers],[13]],tabela_registros[REGISTRO],DADOS!$N$3,tabela_registros[TIPO],DADOS!$V$4,tabela_registros[CATEGORIA],receitasvariáveisconsolidadomai[[#This Row],[ATUAL]])</f>
        <v>0</v>
      </c>
      <c r="R100" s="91">
        <f>SUMIFS(tabela_registros[VALOR],tabela_registros[MÊS],$AE$1,tabela_registros[DIA],receitasvariáveisconsolidadomai[[#Headers],[14]],tabela_registros[REGISTRO],DADOS!$N$3,tabela_registros[TIPO],DADOS!$V$4,tabela_registros[CATEGORIA],receitasvariáveisconsolidadomai[[#This Row],[ATUAL]])</f>
        <v>0</v>
      </c>
      <c r="S100" s="91">
        <f>SUMIFS(tabela_registros[VALOR],tabela_registros[MÊS],$AE$1,tabela_registros[DIA],receitasvariáveisconsolidadomai[[#Headers],[15]],tabela_registros[REGISTRO],DADOS!$N$3,tabela_registros[TIPO],DADOS!$V$4,tabela_registros[CATEGORIA],receitasvariáveisconsolidadomai[[#This Row],[ATUAL]])</f>
        <v>0</v>
      </c>
      <c r="T100" s="91">
        <f>SUMIFS(tabela_registros[VALOR],tabela_registros[MÊS],$AE$1,tabela_registros[DIA],receitasvariáveisconsolidadomai[[#Headers],[16]],tabela_registros[REGISTRO],DADOS!$N$3,tabela_registros[TIPO],DADOS!$V$4,tabela_registros[CATEGORIA],receitasvariáveisconsolidadomai[[#This Row],[ATUAL]])</f>
        <v>0</v>
      </c>
      <c r="U100" s="91">
        <f>SUMIFS(tabela_registros[VALOR],tabela_registros[MÊS],$AE$1,tabela_registros[DIA],receitasvariáveisconsolidadomai[[#Headers],[17]],tabela_registros[REGISTRO],DADOS!$N$3,tabela_registros[TIPO],DADOS!$V$4,tabela_registros[CATEGORIA],receitasvariáveisconsolidadomai[[#This Row],[ATUAL]])</f>
        <v>0</v>
      </c>
      <c r="V100" s="91">
        <f>SUMIFS(tabela_registros[VALOR],tabela_registros[MÊS],$AE$1,tabela_registros[DIA],receitasvariáveisconsolidadomai[[#Headers],[18]],tabela_registros[REGISTRO],DADOS!$N$3,tabela_registros[TIPO],DADOS!$V$4,tabela_registros[CATEGORIA],receitasvariáveisconsolidadomai[[#This Row],[ATUAL]])</f>
        <v>0</v>
      </c>
      <c r="W100" s="91">
        <f>SUMIFS(tabela_registros[VALOR],tabela_registros[MÊS],$AE$1,tabela_registros[DIA],receitasvariáveisconsolidadomai[[#Headers],[19]],tabela_registros[REGISTRO],DADOS!$N$3,tabela_registros[TIPO],DADOS!$V$4,tabela_registros[CATEGORIA],receitasvariáveisconsolidadomai[[#This Row],[ATUAL]])</f>
        <v>0</v>
      </c>
      <c r="X100" s="91">
        <f>SUMIFS(tabela_registros[VALOR],tabela_registros[MÊS],$AE$1,tabela_registros[DIA],receitasvariáveisconsolidadomai[[#Headers],[20]],tabela_registros[REGISTRO],DADOS!$N$3,tabela_registros[TIPO],DADOS!$V$4,tabela_registros[CATEGORIA],receitasvariáveisconsolidadomai[[#This Row],[ATUAL]])</f>
        <v>0</v>
      </c>
      <c r="Y100" s="91">
        <f>SUMIFS(tabela_registros[VALOR],tabela_registros[MÊS],$AE$1,tabela_registros[DIA],receitasvariáveisconsolidadomai[[#Headers],[21]],tabela_registros[REGISTRO],DADOS!$N$3,tabela_registros[TIPO],DADOS!$V$4,tabela_registros[CATEGORIA],receitasvariáveisconsolidadomai[[#This Row],[ATUAL]])</f>
        <v>0</v>
      </c>
      <c r="Z100" s="91">
        <f>SUMIFS(tabela_registros[VALOR],tabela_registros[MÊS],$AE$1,tabela_registros[DIA],receitasvariáveisconsolidadomai[[#Headers],[22]],tabela_registros[REGISTRO],DADOS!$N$3,tabela_registros[TIPO],DADOS!$V$4,tabela_registros[CATEGORIA],receitasvariáveisconsolidadomai[[#This Row],[ATUAL]])</f>
        <v>0</v>
      </c>
      <c r="AA100" s="91">
        <f>SUMIFS(tabela_registros[VALOR],tabela_registros[MÊS],$AE$1,tabela_registros[DIA],receitasvariáveisconsolidadomai[[#Headers],[23]],tabela_registros[REGISTRO],DADOS!$N$3,tabela_registros[TIPO],DADOS!$V$4,tabela_registros[CATEGORIA],receitasvariáveisconsolidadomai[[#This Row],[ATUAL]])</f>
        <v>0</v>
      </c>
      <c r="AB100" s="91">
        <f>SUMIFS(tabela_registros[VALOR],tabela_registros[MÊS],$AE$1,tabela_registros[DIA],receitasvariáveisconsolidadomai[[#Headers],[24]],tabela_registros[REGISTRO],DADOS!$N$3,tabela_registros[TIPO],DADOS!$V$4,tabela_registros[CATEGORIA],receitasvariáveisconsolidadomai[[#This Row],[ATUAL]])</f>
        <v>0</v>
      </c>
      <c r="AC100" s="91">
        <f>SUMIFS(tabela_registros[VALOR],tabela_registros[MÊS],$AE$1,tabela_registros[DIA],receitasvariáveisconsolidadomai[[#Headers],[25]],tabela_registros[REGISTRO],DADOS!$N$3,tabela_registros[TIPO],DADOS!$V$4,tabela_registros[CATEGORIA],receitasvariáveisconsolidadomai[[#This Row],[ATUAL]])</f>
        <v>0</v>
      </c>
      <c r="AD100" s="91">
        <f>SUMIFS(tabela_registros[VALOR],tabela_registros[MÊS],$AE$1,tabela_registros[DIA],receitasvariáveisconsolidadomai[[#Headers],[26]],tabela_registros[REGISTRO],DADOS!$N$3,tabela_registros[TIPO],DADOS!$V$4,tabela_registros[CATEGORIA],receitasvariáveisconsolidadomai[[#This Row],[ATUAL]])</f>
        <v>0</v>
      </c>
      <c r="AE100" s="91">
        <f>SUMIFS(tabela_registros[VALOR],tabela_registros[MÊS],$AE$1,tabela_registros[DIA],receitasvariáveisconsolidadomai[[#Headers],[27]],tabela_registros[REGISTRO],DADOS!$N$3,tabela_registros[TIPO],DADOS!$V$4,tabela_registros[CATEGORIA],receitasvariáveisconsolidadomai[[#This Row],[ATUAL]])</f>
        <v>0</v>
      </c>
      <c r="AF100" s="91">
        <f>SUMIFS(tabela_registros[VALOR],tabela_registros[MÊS],$AE$1,tabela_registros[DIA],receitasvariáveisconsolidadomai[[#Headers],[28]],tabela_registros[REGISTRO],DADOS!$N$3,tabela_registros[TIPO],DADOS!$V$4,tabela_registros[CATEGORIA],receitasvariáveisconsolidadomai[[#This Row],[ATUAL]])</f>
        <v>0</v>
      </c>
      <c r="AG100" s="91">
        <f>SUMIFS(tabela_registros[VALOR],tabela_registros[MÊS],$AE$1,tabela_registros[DIA],receitasvariáveisconsolidadomai[[#Headers],[29]],tabela_registros[REGISTRO],DADOS!$N$3,tabela_registros[TIPO],DADOS!$V$4,tabela_registros[CATEGORIA],receitasvariáveisconsolidadomai[[#This Row],[ATUAL]])</f>
        <v>0</v>
      </c>
      <c r="AH100" s="91">
        <f>SUMIFS(tabela_registros[VALOR],tabela_registros[MÊS],$AE$1,tabela_registros[DIA],receitasvariáveisconsolidadomai[[#Headers],[30]],tabela_registros[REGISTRO],DADOS!$N$3,tabela_registros[TIPO],DADOS!$V$4,tabela_registros[CATEGORIA],receitasvariáveisconsolidadomai[[#This Row],[ATUAL]])</f>
        <v>0</v>
      </c>
      <c r="AI100" s="101">
        <f>SUMIFS(tabela_registros[VALOR],tabela_registros[MÊS],$AE$1,tabela_registros[DIA],receitasvariáveisconsolidadomai[[#Headers],[31]],tabela_registros[REGISTRO],DADOS!$N$3,tabela_registros[TIPO],DADOS!$V$4,tabela_registros[CATEGORIA],receitasvariáveisconsolidadomai[[#This Row],[ATUAL]])</f>
        <v>0</v>
      </c>
      <c r="AJ100" s="104">
        <f>SUM(receitasvariáveisconsolidadomai[[#This Row],[1]:[31]])</f>
        <v>0</v>
      </c>
      <c r="AK100" s="25"/>
    </row>
    <row r="101" spans="2:37" ht="19.5" customHeight="1" thickTop="1" thickBot="1" x14ac:dyDescent="0.3">
      <c r="B101" s="28"/>
      <c r="C101" s="27" t="str">
        <f>DADOS!$Z$8</f>
        <v>🎁 PRESENTE</v>
      </c>
      <c r="D101" s="26" t="str">
        <f>IF(receitasvariáveisconsolidadomai[[#This Row],[TOTAL (R$)]]=0,"",IF(OR(receitasvariáveisconsolidadomai[[#This Row],[TOTAL (R$)]]=LARGE($AJ$96:$AJ$103,1),receitasvariáveisconsolidadomai[[#This Row],[TOTAL (R$)]]=LARGE($AJ$96:$AJ$103,2)),DADOS!$I$9,""))</f>
        <v/>
      </c>
      <c r="E101" s="96">
        <f>SUMIFS(tabela_registros[VALOR],tabela_registros[MÊS],$AE$1,tabela_registros[DIA],receitasvariáveisconsolidadomai[[#Headers],[1]],tabela_registros[REGISTRO],DADOS!$N$3,tabela_registros[TIPO],DADOS!$V$4,tabela_registros[CATEGORIA],receitasvariáveisconsolidadomai[[#This Row],[ATUAL]])</f>
        <v>0</v>
      </c>
      <c r="F101" s="91">
        <f>SUMIFS(tabela_registros[VALOR],tabela_registros[MÊS],$AE$1,tabela_registros[DIA],receitasvariáveisconsolidadomai[[#Headers],[2]],tabela_registros[REGISTRO],DADOS!$N$3,tabela_registros[TIPO],DADOS!$V$4,tabela_registros[CATEGORIA],receitasvariáveisconsolidadomai[[#This Row],[ATUAL]])</f>
        <v>0</v>
      </c>
      <c r="G101" s="91">
        <f>SUMIFS(tabela_registros[VALOR],tabela_registros[MÊS],$AE$1,tabela_registros[DIA],receitasvariáveisconsolidadomai[[#Headers],[3]],tabela_registros[REGISTRO],DADOS!$N$3,tabela_registros[TIPO],DADOS!$V$4,tabela_registros[CATEGORIA],receitasvariáveisconsolidadomai[[#This Row],[ATUAL]])</f>
        <v>0</v>
      </c>
      <c r="H101" s="91">
        <f>SUMIFS(tabela_registros[VALOR],tabela_registros[MÊS],$AE$1,tabela_registros[DIA],receitasvariáveisconsolidadomai[[#Headers],[4]],tabela_registros[REGISTRO],DADOS!$N$3,tabela_registros[TIPO],DADOS!$V$4,tabela_registros[CATEGORIA],receitasvariáveisconsolidadomai[[#This Row],[ATUAL]])</f>
        <v>0</v>
      </c>
      <c r="I101" s="91">
        <f>SUMIFS(tabela_registros[VALOR],tabela_registros[MÊS],$AE$1,tabela_registros[DIA],receitasvariáveisconsolidadomai[[#Headers],[5]],tabela_registros[REGISTRO],DADOS!$N$3,tabela_registros[TIPO],DADOS!$V$4,tabela_registros[CATEGORIA],receitasvariáveisconsolidadomai[[#This Row],[ATUAL]])</f>
        <v>0</v>
      </c>
      <c r="J101" s="91">
        <f>SUMIFS(tabela_registros[VALOR],tabela_registros[MÊS],$AE$1,tabela_registros[DIA],receitasvariáveisconsolidadomai[[#Headers],[6]],tabela_registros[REGISTRO],DADOS!$N$3,tabela_registros[TIPO],DADOS!$V$4,tabela_registros[CATEGORIA],receitasvariáveisconsolidadomai[[#This Row],[ATUAL]])</f>
        <v>0</v>
      </c>
      <c r="K101" s="91">
        <f>SUMIFS(tabela_registros[VALOR],tabela_registros[MÊS],$AE$1,tabela_registros[DIA],receitasvariáveisconsolidadomai[[#Headers],[7]],tabela_registros[REGISTRO],DADOS!$N$3,tabela_registros[TIPO],DADOS!$V$4,tabela_registros[CATEGORIA],receitasvariáveisconsolidadomai[[#This Row],[ATUAL]])</f>
        <v>0</v>
      </c>
      <c r="L101" s="91">
        <f>SUMIFS(tabela_registros[VALOR],tabela_registros[MÊS],$AE$1,tabela_registros[DIA],receitasvariáveisconsolidadomai[[#Headers],[8]],tabela_registros[REGISTRO],DADOS!$N$3,tabela_registros[TIPO],DADOS!$V$4,tabela_registros[CATEGORIA],receitasvariáveisconsolidadomai[[#This Row],[ATUAL]])</f>
        <v>0</v>
      </c>
      <c r="M101" s="91">
        <f>SUMIFS(tabela_registros[VALOR],tabela_registros[MÊS],$AE$1,tabela_registros[DIA],receitasvariáveisconsolidadomai[[#Headers],[9]],tabela_registros[REGISTRO],DADOS!$N$3,tabela_registros[TIPO],DADOS!$V$4,tabela_registros[CATEGORIA],receitasvariáveisconsolidadomai[[#This Row],[ATUAL]])</f>
        <v>0</v>
      </c>
      <c r="N101" s="91">
        <f>SUMIFS(tabela_registros[VALOR],tabela_registros[MÊS],$AE$1,tabela_registros[DIA],receitasvariáveisconsolidadomai[[#Headers],[10]],tabela_registros[REGISTRO],DADOS!$N$3,tabela_registros[TIPO],DADOS!$V$4,tabela_registros[CATEGORIA],receitasvariáveisconsolidadomai[[#This Row],[ATUAL]])</f>
        <v>0</v>
      </c>
      <c r="O101" s="91">
        <f>SUMIFS(tabela_registros[VALOR],tabela_registros[MÊS],$AE$1,tabela_registros[DIA],receitasvariáveisconsolidadomai[[#Headers],[11]],tabela_registros[REGISTRO],DADOS!$N$3,tabela_registros[TIPO],DADOS!$V$4,tabela_registros[CATEGORIA],receitasvariáveisconsolidadomai[[#This Row],[ATUAL]])</f>
        <v>0</v>
      </c>
      <c r="P101" s="91">
        <f>SUMIFS(tabela_registros[VALOR],tabela_registros[MÊS],$AE$1,tabela_registros[DIA],receitasvariáveisconsolidadomai[[#Headers],[12]],tabela_registros[REGISTRO],DADOS!$N$3,tabela_registros[TIPO],DADOS!$V$4,tabela_registros[CATEGORIA],receitasvariáveisconsolidadomai[[#This Row],[ATUAL]])</f>
        <v>0</v>
      </c>
      <c r="Q101" s="91">
        <f>SUMIFS(tabela_registros[VALOR],tabela_registros[MÊS],$AE$1,tabela_registros[DIA],receitasvariáveisconsolidadomai[[#Headers],[13]],tabela_registros[REGISTRO],DADOS!$N$3,tabela_registros[TIPO],DADOS!$V$4,tabela_registros[CATEGORIA],receitasvariáveisconsolidadomai[[#This Row],[ATUAL]])</f>
        <v>0</v>
      </c>
      <c r="R101" s="91">
        <f>SUMIFS(tabela_registros[VALOR],tabela_registros[MÊS],$AE$1,tabela_registros[DIA],receitasvariáveisconsolidadomai[[#Headers],[14]],tabela_registros[REGISTRO],DADOS!$N$3,tabela_registros[TIPO],DADOS!$V$4,tabela_registros[CATEGORIA],receitasvariáveisconsolidadomai[[#This Row],[ATUAL]])</f>
        <v>0</v>
      </c>
      <c r="S101" s="91">
        <f>SUMIFS(tabela_registros[VALOR],tabela_registros[MÊS],$AE$1,tabela_registros[DIA],receitasvariáveisconsolidadomai[[#Headers],[15]],tabela_registros[REGISTRO],DADOS!$N$3,tabela_registros[TIPO],DADOS!$V$4,tabela_registros[CATEGORIA],receitasvariáveisconsolidadomai[[#This Row],[ATUAL]])</f>
        <v>0</v>
      </c>
      <c r="T101" s="91">
        <f>SUMIFS(tabela_registros[VALOR],tabela_registros[MÊS],$AE$1,tabela_registros[DIA],receitasvariáveisconsolidadomai[[#Headers],[16]],tabela_registros[REGISTRO],DADOS!$N$3,tabela_registros[TIPO],DADOS!$V$4,tabela_registros[CATEGORIA],receitasvariáveisconsolidadomai[[#This Row],[ATUAL]])</f>
        <v>0</v>
      </c>
      <c r="U101" s="91">
        <f>SUMIFS(tabela_registros[VALOR],tabela_registros[MÊS],$AE$1,tabela_registros[DIA],receitasvariáveisconsolidadomai[[#Headers],[17]],tabela_registros[REGISTRO],DADOS!$N$3,tabela_registros[TIPO],DADOS!$V$4,tabela_registros[CATEGORIA],receitasvariáveisconsolidadomai[[#This Row],[ATUAL]])</f>
        <v>0</v>
      </c>
      <c r="V101" s="91">
        <f>SUMIFS(tabela_registros[VALOR],tabela_registros[MÊS],$AE$1,tabela_registros[DIA],receitasvariáveisconsolidadomai[[#Headers],[18]],tabela_registros[REGISTRO],DADOS!$N$3,tabela_registros[TIPO],DADOS!$V$4,tabela_registros[CATEGORIA],receitasvariáveisconsolidadomai[[#This Row],[ATUAL]])</f>
        <v>0</v>
      </c>
      <c r="W101" s="91">
        <f>SUMIFS(tabela_registros[VALOR],tabela_registros[MÊS],$AE$1,tabela_registros[DIA],receitasvariáveisconsolidadomai[[#Headers],[19]],tabela_registros[REGISTRO],DADOS!$N$3,tabela_registros[TIPO],DADOS!$V$4,tabela_registros[CATEGORIA],receitasvariáveisconsolidadomai[[#This Row],[ATUAL]])</f>
        <v>0</v>
      </c>
      <c r="X101" s="91">
        <f>SUMIFS(tabela_registros[VALOR],tabela_registros[MÊS],$AE$1,tabela_registros[DIA],receitasvariáveisconsolidadomai[[#Headers],[20]],tabela_registros[REGISTRO],DADOS!$N$3,tabela_registros[TIPO],DADOS!$V$4,tabela_registros[CATEGORIA],receitasvariáveisconsolidadomai[[#This Row],[ATUAL]])</f>
        <v>0</v>
      </c>
      <c r="Y101" s="91">
        <f>SUMIFS(tabela_registros[VALOR],tabela_registros[MÊS],$AE$1,tabela_registros[DIA],receitasvariáveisconsolidadomai[[#Headers],[21]],tabela_registros[REGISTRO],DADOS!$N$3,tabela_registros[TIPO],DADOS!$V$4,tabela_registros[CATEGORIA],receitasvariáveisconsolidadomai[[#This Row],[ATUAL]])</f>
        <v>0</v>
      </c>
      <c r="Z101" s="91">
        <f>SUMIFS(tabela_registros[VALOR],tabela_registros[MÊS],$AE$1,tabela_registros[DIA],receitasvariáveisconsolidadomai[[#Headers],[22]],tabela_registros[REGISTRO],DADOS!$N$3,tabela_registros[TIPO],DADOS!$V$4,tabela_registros[CATEGORIA],receitasvariáveisconsolidadomai[[#This Row],[ATUAL]])</f>
        <v>0</v>
      </c>
      <c r="AA101" s="91">
        <f>SUMIFS(tabela_registros[VALOR],tabela_registros[MÊS],$AE$1,tabela_registros[DIA],receitasvariáveisconsolidadomai[[#Headers],[23]],tabela_registros[REGISTRO],DADOS!$N$3,tabela_registros[TIPO],DADOS!$V$4,tabela_registros[CATEGORIA],receitasvariáveisconsolidadomai[[#This Row],[ATUAL]])</f>
        <v>0</v>
      </c>
      <c r="AB101" s="91">
        <f>SUMIFS(tabela_registros[VALOR],tabela_registros[MÊS],$AE$1,tabela_registros[DIA],receitasvariáveisconsolidadomai[[#Headers],[24]],tabela_registros[REGISTRO],DADOS!$N$3,tabela_registros[TIPO],DADOS!$V$4,tabela_registros[CATEGORIA],receitasvariáveisconsolidadomai[[#This Row],[ATUAL]])</f>
        <v>0</v>
      </c>
      <c r="AC101" s="91">
        <f>SUMIFS(tabela_registros[VALOR],tabela_registros[MÊS],$AE$1,tabela_registros[DIA],receitasvariáveisconsolidadomai[[#Headers],[25]],tabela_registros[REGISTRO],DADOS!$N$3,tabela_registros[TIPO],DADOS!$V$4,tabela_registros[CATEGORIA],receitasvariáveisconsolidadomai[[#This Row],[ATUAL]])</f>
        <v>0</v>
      </c>
      <c r="AD101" s="91">
        <f>SUMIFS(tabela_registros[VALOR],tabela_registros[MÊS],$AE$1,tabela_registros[DIA],receitasvariáveisconsolidadomai[[#Headers],[26]],tabela_registros[REGISTRO],DADOS!$N$3,tabela_registros[TIPO],DADOS!$V$4,tabela_registros[CATEGORIA],receitasvariáveisconsolidadomai[[#This Row],[ATUAL]])</f>
        <v>0</v>
      </c>
      <c r="AE101" s="91">
        <f>SUMIFS(tabela_registros[VALOR],tabela_registros[MÊS],$AE$1,tabela_registros[DIA],receitasvariáveisconsolidadomai[[#Headers],[27]],tabela_registros[REGISTRO],DADOS!$N$3,tabela_registros[TIPO],DADOS!$V$4,tabela_registros[CATEGORIA],receitasvariáveisconsolidadomai[[#This Row],[ATUAL]])</f>
        <v>0</v>
      </c>
      <c r="AF101" s="91">
        <f>SUMIFS(tabela_registros[VALOR],tabela_registros[MÊS],$AE$1,tabela_registros[DIA],receitasvariáveisconsolidadomai[[#Headers],[28]],tabela_registros[REGISTRO],DADOS!$N$3,tabela_registros[TIPO],DADOS!$V$4,tabela_registros[CATEGORIA],receitasvariáveisconsolidadomai[[#This Row],[ATUAL]])</f>
        <v>0</v>
      </c>
      <c r="AG101" s="91">
        <f>SUMIFS(tabela_registros[VALOR],tabela_registros[MÊS],$AE$1,tabela_registros[DIA],receitasvariáveisconsolidadomai[[#Headers],[29]],tabela_registros[REGISTRO],DADOS!$N$3,tabela_registros[TIPO],DADOS!$V$4,tabela_registros[CATEGORIA],receitasvariáveisconsolidadomai[[#This Row],[ATUAL]])</f>
        <v>0</v>
      </c>
      <c r="AH101" s="91">
        <f>SUMIFS(tabela_registros[VALOR],tabela_registros[MÊS],$AE$1,tabela_registros[DIA],receitasvariáveisconsolidadomai[[#Headers],[30]],tabela_registros[REGISTRO],DADOS!$N$3,tabela_registros[TIPO],DADOS!$V$4,tabela_registros[CATEGORIA],receitasvariáveisconsolidadomai[[#This Row],[ATUAL]])</f>
        <v>0</v>
      </c>
      <c r="AI101" s="101">
        <f>SUMIFS(tabela_registros[VALOR],tabela_registros[MÊS],$AE$1,tabela_registros[DIA],receitasvariáveisconsolidadomai[[#Headers],[31]],tabela_registros[REGISTRO],DADOS!$N$3,tabela_registros[TIPO],DADOS!$V$4,tabela_registros[CATEGORIA],receitasvariáveisconsolidadomai[[#This Row],[ATUAL]])</f>
        <v>0</v>
      </c>
      <c r="AJ101" s="104">
        <f>SUM(receitasvariáveisconsolidadomai[[#This Row],[1]:[31]])</f>
        <v>0</v>
      </c>
      <c r="AK101" s="25"/>
    </row>
    <row r="102" spans="2:37" ht="19.5" customHeight="1" thickTop="1" thickBot="1" x14ac:dyDescent="0.3">
      <c r="B102" s="28"/>
      <c r="C102" s="27" t="str">
        <f>DADOS!$Z$9</f>
        <v>👷‍♀️ TRABALHO TEMPORÁRIO</v>
      </c>
      <c r="D102" s="26" t="str">
        <f>IF(receitasvariáveisconsolidadomai[[#This Row],[TOTAL (R$)]]=0,"",IF(OR(receitasvariáveisconsolidadomai[[#This Row],[TOTAL (R$)]]=LARGE($AJ$96:$AJ$103,1),receitasvariáveisconsolidadomai[[#This Row],[TOTAL (R$)]]=LARGE($AJ$96:$AJ$103,2)),DADOS!$I$9,""))</f>
        <v>🐄</v>
      </c>
      <c r="E102" s="96">
        <f>SUMIFS(tabela_registros[VALOR],tabela_registros[MÊS],$AE$1,tabela_registros[DIA],receitasvariáveisconsolidadomai[[#Headers],[1]],tabela_registros[REGISTRO],DADOS!$N$3,tabela_registros[TIPO],DADOS!$V$4,tabela_registros[CATEGORIA],receitasvariáveisconsolidadomai[[#This Row],[ATUAL]])</f>
        <v>0</v>
      </c>
      <c r="F102" s="91">
        <f>SUMIFS(tabela_registros[VALOR],tabela_registros[MÊS],$AE$1,tabela_registros[DIA],receitasvariáveisconsolidadomai[[#Headers],[2]],tabela_registros[REGISTRO],DADOS!$N$3,tabela_registros[TIPO],DADOS!$V$4,tabela_registros[CATEGORIA],receitasvariáveisconsolidadomai[[#This Row],[ATUAL]])</f>
        <v>0</v>
      </c>
      <c r="G102" s="91">
        <f>SUMIFS(tabela_registros[VALOR],tabela_registros[MÊS],$AE$1,tabela_registros[DIA],receitasvariáveisconsolidadomai[[#Headers],[3]],tabela_registros[REGISTRO],DADOS!$N$3,tabela_registros[TIPO],DADOS!$V$4,tabela_registros[CATEGORIA],receitasvariáveisconsolidadomai[[#This Row],[ATUAL]])</f>
        <v>326</v>
      </c>
      <c r="H102" s="91">
        <f>SUMIFS(tabela_registros[VALOR],tabela_registros[MÊS],$AE$1,tabela_registros[DIA],receitasvariáveisconsolidadomai[[#Headers],[4]],tabela_registros[REGISTRO],DADOS!$N$3,tabela_registros[TIPO],DADOS!$V$4,tabela_registros[CATEGORIA],receitasvariáveisconsolidadomai[[#This Row],[ATUAL]])</f>
        <v>0</v>
      </c>
      <c r="I102" s="91">
        <f>SUMIFS(tabela_registros[VALOR],tabela_registros[MÊS],$AE$1,tabela_registros[DIA],receitasvariáveisconsolidadomai[[#Headers],[5]],tabela_registros[REGISTRO],DADOS!$N$3,tabela_registros[TIPO],DADOS!$V$4,tabela_registros[CATEGORIA],receitasvariáveisconsolidadomai[[#This Row],[ATUAL]])</f>
        <v>0</v>
      </c>
      <c r="J102" s="91">
        <f>SUMIFS(tabela_registros[VALOR],tabela_registros[MÊS],$AE$1,tabela_registros[DIA],receitasvariáveisconsolidadomai[[#Headers],[6]],tabela_registros[REGISTRO],DADOS!$N$3,tabela_registros[TIPO],DADOS!$V$4,tabela_registros[CATEGORIA],receitasvariáveisconsolidadomai[[#This Row],[ATUAL]])</f>
        <v>0</v>
      </c>
      <c r="K102" s="91">
        <f>SUMIFS(tabela_registros[VALOR],tabela_registros[MÊS],$AE$1,tabela_registros[DIA],receitasvariáveisconsolidadomai[[#Headers],[7]],tabela_registros[REGISTRO],DADOS!$N$3,tabela_registros[TIPO],DADOS!$V$4,tabela_registros[CATEGORIA],receitasvariáveisconsolidadomai[[#This Row],[ATUAL]])</f>
        <v>0</v>
      </c>
      <c r="L102" s="91">
        <f>SUMIFS(tabela_registros[VALOR],tabela_registros[MÊS],$AE$1,tabela_registros[DIA],receitasvariáveisconsolidadomai[[#Headers],[8]],tabela_registros[REGISTRO],DADOS!$N$3,tabela_registros[TIPO],DADOS!$V$4,tabela_registros[CATEGORIA],receitasvariáveisconsolidadomai[[#This Row],[ATUAL]])</f>
        <v>0</v>
      </c>
      <c r="M102" s="91">
        <f>SUMIFS(tabela_registros[VALOR],tabela_registros[MÊS],$AE$1,tabela_registros[DIA],receitasvariáveisconsolidadomai[[#Headers],[9]],tabela_registros[REGISTRO],DADOS!$N$3,tabela_registros[TIPO],DADOS!$V$4,tabela_registros[CATEGORIA],receitasvariáveisconsolidadomai[[#This Row],[ATUAL]])</f>
        <v>0</v>
      </c>
      <c r="N102" s="91">
        <f>SUMIFS(tabela_registros[VALOR],tabela_registros[MÊS],$AE$1,tabela_registros[DIA],receitasvariáveisconsolidadomai[[#Headers],[10]],tabela_registros[REGISTRO],DADOS!$N$3,tabela_registros[TIPO],DADOS!$V$4,tabela_registros[CATEGORIA],receitasvariáveisconsolidadomai[[#This Row],[ATUAL]])</f>
        <v>0</v>
      </c>
      <c r="O102" s="91">
        <f>SUMIFS(tabela_registros[VALOR],tabela_registros[MÊS],$AE$1,tabela_registros[DIA],receitasvariáveisconsolidadomai[[#Headers],[11]],tabela_registros[REGISTRO],DADOS!$N$3,tabela_registros[TIPO],DADOS!$V$4,tabela_registros[CATEGORIA],receitasvariáveisconsolidadomai[[#This Row],[ATUAL]])</f>
        <v>0</v>
      </c>
      <c r="P102" s="91">
        <f>SUMIFS(tabela_registros[VALOR],tabela_registros[MÊS],$AE$1,tabela_registros[DIA],receitasvariáveisconsolidadomai[[#Headers],[12]],tabela_registros[REGISTRO],DADOS!$N$3,tabela_registros[TIPO],DADOS!$V$4,tabela_registros[CATEGORIA],receitasvariáveisconsolidadomai[[#This Row],[ATUAL]])</f>
        <v>0</v>
      </c>
      <c r="Q102" s="91">
        <f>SUMIFS(tabela_registros[VALOR],tabela_registros[MÊS],$AE$1,tabela_registros[DIA],receitasvariáveisconsolidadomai[[#Headers],[13]],tabela_registros[REGISTRO],DADOS!$N$3,tabela_registros[TIPO],DADOS!$V$4,tabela_registros[CATEGORIA],receitasvariáveisconsolidadomai[[#This Row],[ATUAL]])</f>
        <v>0</v>
      </c>
      <c r="R102" s="91">
        <f>SUMIFS(tabela_registros[VALOR],tabela_registros[MÊS],$AE$1,tabela_registros[DIA],receitasvariáveisconsolidadomai[[#Headers],[14]],tabela_registros[REGISTRO],DADOS!$N$3,tabela_registros[TIPO],DADOS!$V$4,tabela_registros[CATEGORIA],receitasvariáveisconsolidadomai[[#This Row],[ATUAL]])</f>
        <v>0</v>
      </c>
      <c r="S102" s="91">
        <f>SUMIFS(tabela_registros[VALOR],tabela_registros[MÊS],$AE$1,tabela_registros[DIA],receitasvariáveisconsolidadomai[[#Headers],[15]],tabela_registros[REGISTRO],DADOS!$N$3,tabela_registros[TIPO],DADOS!$V$4,tabela_registros[CATEGORIA],receitasvariáveisconsolidadomai[[#This Row],[ATUAL]])</f>
        <v>0</v>
      </c>
      <c r="T102" s="91">
        <f>SUMIFS(tabela_registros[VALOR],tabela_registros[MÊS],$AE$1,tabela_registros[DIA],receitasvariáveisconsolidadomai[[#Headers],[16]],tabela_registros[REGISTRO],DADOS!$N$3,tabela_registros[TIPO],DADOS!$V$4,tabela_registros[CATEGORIA],receitasvariáveisconsolidadomai[[#This Row],[ATUAL]])</f>
        <v>0</v>
      </c>
      <c r="U102" s="91">
        <f>SUMIFS(tabela_registros[VALOR],tabela_registros[MÊS],$AE$1,tabela_registros[DIA],receitasvariáveisconsolidadomai[[#Headers],[17]],tabela_registros[REGISTRO],DADOS!$N$3,tabela_registros[TIPO],DADOS!$V$4,tabela_registros[CATEGORIA],receitasvariáveisconsolidadomai[[#This Row],[ATUAL]])</f>
        <v>0</v>
      </c>
      <c r="V102" s="91">
        <f>SUMIFS(tabela_registros[VALOR],tabela_registros[MÊS],$AE$1,tabela_registros[DIA],receitasvariáveisconsolidadomai[[#Headers],[18]],tabela_registros[REGISTRO],DADOS!$N$3,tabela_registros[TIPO],DADOS!$V$4,tabela_registros[CATEGORIA],receitasvariáveisconsolidadomai[[#This Row],[ATUAL]])</f>
        <v>0</v>
      </c>
      <c r="W102" s="91">
        <f>SUMIFS(tabela_registros[VALOR],tabela_registros[MÊS],$AE$1,tabela_registros[DIA],receitasvariáveisconsolidadomai[[#Headers],[19]],tabela_registros[REGISTRO],DADOS!$N$3,tabela_registros[TIPO],DADOS!$V$4,tabela_registros[CATEGORIA],receitasvariáveisconsolidadomai[[#This Row],[ATUAL]])</f>
        <v>0</v>
      </c>
      <c r="X102" s="91">
        <f>SUMIFS(tabela_registros[VALOR],tabela_registros[MÊS],$AE$1,tabela_registros[DIA],receitasvariáveisconsolidadomai[[#Headers],[20]],tabela_registros[REGISTRO],DADOS!$N$3,tabela_registros[TIPO],DADOS!$V$4,tabela_registros[CATEGORIA],receitasvariáveisconsolidadomai[[#This Row],[ATUAL]])</f>
        <v>0</v>
      </c>
      <c r="Y102" s="91">
        <f>SUMIFS(tabela_registros[VALOR],tabela_registros[MÊS],$AE$1,tabela_registros[DIA],receitasvariáveisconsolidadomai[[#Headers],[21]],tabela_registros[REGISTRO],DADOS!$N$3,tabela_registros[TIPO],DADOS!$V$4,tabela_registros[CATEGORIA],receitasvariáveisconsolidadomai[[#This Row],[ATUAL]])</f>
        <v>0</v>
      </c>
      <c r="Z102" s="91">
        <f>SUMIFS(tabela_registros[VALOR],tabela_registros[MÊS],$AE$1,tabela_registros[DIA],receitasvariáveisconsolidadomai[[#Headers],[22]],tabela_registros[REGISTRO],DADOS!$N$3,tabela_registros[TIPO],DADOS!$V$4,tabela_registros[CATEGORIA],receitasvariáveisconsolidadomai[[#This Row],[ATUAL]])</f>
        <v>0</v>
      </c>
      <c r="AA102" s="91">
        <f>SUMIFS(tabela_registros[VALOR],tabela_registros[MÊS],$AE$1,tabela_registros[DIA],receitasvariáveisconsolidadomai[[#Headers],[23]],tabela_registros[REGISTRO],DADOS!$N$3,tabela_registros[TIPO],DADOS!$V$4,tabela_registros[CATEGORIA],receitasvariáveisconsolidadomai[[#This Row],[ATUAL]])</f>
        <v>0</v>
      </c>
      <c r="AB102" s="91">
        <f>SUMIFS(tabela_registros[VALOR],tabela_registros[MÊS],$AE$1,tabela_registros[DIA],receitasvariáveisconsolidadomai[[#Headers],[24]],tabela_registros[REGISTRO],DADOS!$N$3,tabela_registros[TIPO],DADOS!$V$4,tabela_registros[CATEGORIA],receitasvariáveisconsolidadomai[[#This Row],[ATUAL]])</f>
        <v>0</v>
      </c>
      <c r="AC102" s="91">
        <f>SUMIFS(tabela_registros[VALOR],tabela_registros[MÊS],$AE$1,tabela_registros[DIA],receitasvariáveisconsolidadomai[[#Headers],[25]],tabela_registros[REGISTRO],DADOS!$N$3,tabela_registros[TIPO],DADOS!$V$4,tabela_registros[CATEGORIA],receitasvariáveisconsolidadomai[[#This Row],[ATUAL]])</f>
        <v>0</v>
      </c>
      <c r="AD102" s="91">
        <f>SUMIFS(tabela_registros[VALOR],tabela_registros[MÊS],$AE$1,tabela_registros[DIA],receitasvariáveisconsolidadomai[[#Headers],[26]],tabela_registros[REGISTRO],DADOS!$N$3,tabela_registros[TIPO],DADOS!$V$4,tabela_registros[CATEGORIA],receitasvariáveisconsolidadomai[[#This Row],[ATUAL]])</f>
        <v>0</v>
      </c>
      <c r="AE102" s="91">
        <f>SUMIFS(tabela_registros[VALOR],tabela_registros[MÊS],$AE$1,tabela_registros[DIA],receitasvariáveisconsolidadomai[[#Headers],[27]],tabela_registros[REGISTRO],DADOS!$N$3,tabela_registros[TIPO],DADOS!$V$4,tabela_registros[CATEGORIA],receitasvariáveisconsolidadomai[[#This Row],[ATUAL]])</f>
        <v>0</v>
      </c>
      <c r="AF102" s="91">
        <f>SUMIFS(tabela_registros[VALOR],tabela_registros[MÊS],$AE$1,tabela_registros[DIA],receitasvariáveisconsolidadomai[[#Headers],[28]],tabela_registros[REGISTRO],DADOS!$N$3,tabela_registros[TIPO],DADOS!$V$4,tabela_registros[CATEGORIA],receitasvariáveisconsolidadomai[[#This Row],[ATUAL]])</f>
        <v>0</v>
      </c>
      <c r="AG102" s="91">
        <f>SUMIFS(tabela_registros[VALOR],tabela_registros[MÊS],$AE$1,tabela_registros[DIA],receitasvariáveisconsolidadomai[[#Headers],[29]],tabela_registros[REGISTRO],DADOS!$N$3,tabela_registros[TIPO],DADOS!$V$4,tabela_registros[CATEGORIA],receitasvariáveisconsolidadomai[[#This Row],[ATUAL]])</f>
        <v>0</v>
      </c>
      <c r="AH102" s="91">
        <f>SUMIFS(tabela_registros[VALOR],tabela_registros[MÊS],$AE$1,tabela_registros[DIA],receitasvariáveisconsolidadomai[[#Headers],[30]],tabela_registros[REGISTRO],DADOS!$N$3,tabela_registros[TIPO],DADOS!$V$4,tabela_registros[CATEGORIA],receitasvariáveisconsolidadomai[[#This Row],[ATUAL]])</f>
        <v>0</v>
      </c>
      <c r="AI102" s="101">
        <f>SUMIFS(tabela_registros[VALOR],tabela_registros[MÊS],$AE$1,tabela_registros[DIA],receitasvariáveisconsolidadomai[[#Headers],[31]],tabela_registros[REGISTRO],DADOS!$N$3,tabela_registros[TIPO],DADOS!$V$4,tabela_registros[CATEGORIA],receitasvariáveisconsolidadomai[[#This Row],[ATUAL]])</f>
        <v>0</v>
      </c>
      <c r="AJ102" s="104">
        <f>SUM(receitasvariáveisconsolidadomai[[#This Row],[1]:[31]])</f>
        <v>326</v>
      </c>
      <c r="AK102" s="25"/>
    </row>
    <row r="103" spans="2:37" ht="18" customHeight="1" thickTop="1" thickBot="1" x14ac:dyDescent="0.3">
      <c r="B103" s="28"/>
      <c r="C103" s="27" t="str">
        <f>DADOS!$Z$10</f>
        <v>📎 OUTROS</v>
      </c>
      <c r="D103" s="26" t="str">
        <f>IF(receitasvariáveisconsolidadomai[[#This Row],[TOTAL (R$)]]=0,"",IF(OR(receitasvariáveisconsolidadomai[[#This Row],[TOTAL (R$)]]=LARGE($AJ$96:$AJ$103,1),receitasvariáveisconsolidadomai[[#This Row],[TOTAL (R$)]]=LARGE($AJ$96:$AJ$103,2)),DADOS!$I$9,""))</f>
        <v/>
      </c>
      <c r="E103" s="96">
        <f>SUMIFS(tabela_registros[VALOR],tabela_registros[MÊS],$AE$1,tabela_registros[DIA],receitasvariáveisconsolidadomai[[#Headers],[1]],tabela_registros[REGISTRO],DADOS!$N$3,tabela_registros[TIPO],DADOS!$V$4,tabela_registros[CATEGORIA],receitasvariáveisconsolidadomai[[#This Row],[ATUAL]])</f>
        <v>0</v>
      </c>
      <c r="F103" s="91">
        <f>SUMIFS(tabela_registros[VALOR],tabela_registros[MÊS],$AE$1,tabela_registros[DIA],receitasvariáveisconsolidadomai[[#Headers],[2]],tabela_registros[REGISTRO],DADOS!$N$3,tabela_registros[TIPO],DADOS!$V$4,tabela_registros[CATEGORIA],receitasvariáveisconsolidadomai[[#This Row],[ATUAL]])</f>
        <v>0</v>
      </c>
      <c r="G103" s="91">
        <f>SUMIFS(tabela_registros[VALOR],tabela_registros[MÊS],$AE$1,tabela_registros[DIA],receitasvariáveisconsolidadomai[[#Headers],[3]],tabela_registros[REGISTRO],DADOS!$N$3,tabela_registros[TIPO],DADOS!$V$4,tabela_registros[CATEGORIA],receitasvariáveisconsolidadomai[[#This Row],[ATUAL]])</f>
        <v>0</v>
      </c>
      <c r="H103" s="91">
        <f>SUMIFS(tabela_registros[VALOR],tabela_registros[MÊS],$AE$1,tabela_registros[DIA],receitasvariáveisconsolidadomai[[#Headers],[4]],tabela_registros[REGISTRO],DADOS!$N$3,tabela_registros[TIPO],DADOS!$V$4,tabela_registros[CATEGORIA],receitasvariáveisconsolidadomai[[#This Row],[ATUAL]])</f>
        <v>0</v>
      </c>
      <c r="I103" s="91">
        <f>SUMIFS(tabela_registros[VALOR],tabela_registros[MÊS],$AE$1,tabela_registros[DIA],receitasvariáveisconsolidadomai[[#Headers],[5]],tabela_registros[REGISTRO],DADOS!$N$3,tabela_registros[TIPO],DADOS!$V$4,tabela_registros[CATEGORIA],receitasvariáveisconsolidadomai[[#This Row],[ATUAL]])</f>
        <v>0</v>
      </c>
      <c r="J103" s="91">
        <f>SUMIFS(tabela_registros[VALOR],tabela_registros[MÊS],$AE$1,tabela_registros[DIA],receitasvariáveisconsolidadomai[[#Headers],[6]],tabela_registros[REGISTRO],DADOS!$N$3,tabela_registros[TIPO],DADOS!$V$4,tabela_registros[CATEGORIA],receitasvariáveisconsolidadomai[[#This Row],[ATUAL]])</f>
        <v>0</v>
      </c>
      <c r="K103" s="91">
        <f>SUMIFS(tabela_registros[VALOR],tabela_registros[MÊS],$AE$1,tabela_registros[DIA],receitasvariáveisconsolidadomai[[#Headers],[7]],tabela_registros[REGISTRO],DADOS!$N$3,tabela_registros[TIPO],DADOS!$V$4,tabela_registros[CATEGORIA],receitasvariáveisconsolidadomai[[#This Row],[ATUAL]])</f>
        <v>0</v>
      </c>
      <c r="L103" s="91">
        <f>SUMIFS(tabela_registros[VALOR],tabela_registros[MÊS],$AE$1,tabela_registros[DIA],receitasvariáveisconsolidadomai[[#Headers],[8]],tabela_registros[REGISTRO],DADOS!$N$3,tabela_registros[TIPO],DADOS!$V$4,tabela_registros[CATEGORIA],receitasvariáveisconsolidadomai[[#This Row],[ATUAL]])</f>
        <v>0</v>
      </c>
      <c r="M103" s="91">
        <f>SUMIFS(tabela_registros[VALOR],tabela_registros[MÊS],$AE$1,tabela_registros[DIA],receitasvariáveisconsolidadomai[[#Headers],[9]],tabela_registros[REGISTRO],DADOS!$N$3,tabela_registros[TIPO],DADOS!$V$4,tabela_registros[CATEGORIA],receitasvariáveisconsolidadomai[[#This Row],[ATUAL]])</f>
        <v>0</v>
      </c>
      <c r="N103" s="91">
        <f>SUMIFS(tabela_registros[VALOR],tabela_registros[MÊS],$AE$1,tabela_registros[DIA],receitasvariáveisconsolidadomai[[#Headers],[10]],tabela_registros[REGISTRO],DADOS!$N$3,tabela_registros[TIPO],DADOS!$V$4,tabela_registros[CATEGORIA],receitasvariáveisconsolidadomai[[#This Row],[ATUAL]])</f>
        <v>0</v>
      </c>
      <c r="O103" s="91">
        <f>SUMIFS(tabela_registros[VALOR],tabela_registros[MÊS],$AE$1,tabela_registros[DIA],receitasvariáveisconsolidadomai[[#Headers],[11]],tabela_registros[REGISTRO],DADOS!$N$3,tabela_registros[TIPO],DADOS!$V$4,tabela_registros[CATEGORIA],receitasvariáveisconsolidadomai[[#This Row],[ATUAL]])</f>
        <v>0</v>
      </c>
      <c r="P103" s="91">
        <f>SUMIFS(tabela_registros[VALOR],tabela_registros[MÊS],$AE$1,tabela_registros[DIA],receitasvariáveisconsolidadomai[[#Headers],[12]],tabela_registros[REGISTRO],DADOS!$N$3,tabela_registros[TIPO],DADOS!$V$4,tabela_registros[CATEGORIA],receitasvariáveisconsolidadomai[[#This Row],[ATUAL]])</f>
        <v>0</v>
      </c>
      <c r="Q103" s="91">
        <f>SUMIFS(tabela_registros[VALOR],tabela_registros[MÊS],$AE$1,tabela_registros[DIA],receitasvariáveisconsolidadomai[[#Headers],[13]],tabela_registros[REGISTRO],DADOS!$N$3,tabela_registros[TIPO],DADOS!$V$4,tabela_registros[CATEGORIA],receitasvariáveisconsolidadomai[[#This Row],[ATUAL]])</f>
        <v>0</v>
      </c>
      <c r="R103" s="91">
        <f>SUMIFS(tabela_registros[VALOR],tabela_registros[MÊS],$AE$1,tabela_registros[DIA],receitasvariáveisconsolidadomai[[#Headers],[14]],tabela_registros[REGISTRO],DADOS!$N$3,tabela_registros[TIPO],DADOS!$V$4,tabela_registros[CATEGORIA],receitasvariáveisconsolidadomai[[#This Row],[ATUAL]])</f>
        <v>0</v>
      </c>
      <c r="S103" s="91">
        <f>SUMIFS(tabela_registros[VALOR],tabela_registros[MÊS],$AE$1,tabela_registros[DIA],receitasvariáveisconsolidadomai[[#Headers],[15]],tabela_registros[REGISTRO],DADOS!$N$3,tabela_registros[TIPO],DADOS!$V$4,tabela_registros[CATEGORIA],receitasvariáveisconsolidadomai[[#This Row],[ATUAL]])</f>
        <v>0</v>
      </c>
      <c r="T103" s="91">
        <f>SUMIFS(tabela_registros[VALOR],tabela_registros[MÊS],$AE$1,tabela_registros[DIA],receitasvariáveisconsolidadomai[[#Headers],[16]],tabela_registros[REGISTRO],DADOS!$N$3,tabela_registros[TIPO],DADOS!$V$4,tabela_registros[CATEGORIA],receitasvariáveisconsolidadomai[[#This Row],[ATUAL]])</f>
        <v>0</v>
      </c>
      <c r="U103" s="91">
        <f>SUMIFS(tabela_registros[VALOR],tabela_registros[MÊS],$AE$1,tabela_registros[DIA],receitasvariáveisconsolidadomai[[#Headers],[17]],tabela_registros[REGISTRO],DADOS!$N$3,tabela_registros[TIPO],DADOS!$V$4,tabela_registros[CATEGORIA],receitasvariáveisconsolidadomai[[#This Row],[ATUAL]])</f>
        <v>0</v>
      </c>
      <c r="V103" s="91">
        <f>SUMIFS(tabela_registros[VALOR],tabela_registros[MÊS],$AE$1,tabela_registros[DIA],receitasvariáveisconsolidadomai[[#Headers],[18]],tabela_registros[REGISTRO],DADOS!$N$3,tabela_registros[TIPO],DADOS!$V$4,tabela_registros[CATEGORIA],receitasvariáveisconsolidadomai[[#This Row],[ATUAL]])</f>
        <v>0</v>
      </c>
      <c r="W103" s="91">
        <f>SUMIFS(tabela_registros[VALOR],tabela_registros[MÊS],$AE$1,tabela_registros[DIA],receitasvariáveisconsolidadomai[[#Headers],[19]],tabela_registros[REGISTRO],DADOS!$N$3,tabela_registros[TIPO],DADOS!$V$4,tabela_registros[CATEGORIA],receitasvariáveisconsolidadomai[[#This Row],[ATUAL]])</f>
        <v>0</v>
      </c>
      <c r="X103" s="91">
        <f>SUMIFS(tabela_registros[VALOR],tabela_registros[MÊS],$AE$1,tabela_registros[DIA],receitasvariáveisconsolidadomai[[#Headers],[20]],tabela_registros[REGISTRO],DADOS!$N$3,tabela_registros[TIPO],DADOS!$V$4,tabela_registros[CATEGORIA],receitasvariáveisconsolidadomai[[#This Row],[ATUAL]])</f>
        <v>0</v>
      </c>
      <c r="Y103" s="91">
        <f>SUMIFS(tabela_registros[VALOR],tabela_registros[MÊS],$AE$1,tabela_registros[DIA],receitasvariáveisconsolidadomai[[#Headers],[21]],tabela_registros[REGISTRO],DADOS!$N$3,tabela_registros[TIPO],DADOS!$V$4,tabela_registros[CATEGORIA],receitasvariáveisconsolidadomai[[#This Row],[ATUAL]])</f>
        <v>0</v>
      </c>
      <c r="Z103" s="91">
        <f>SUMIFS(tabela_registros[VALOR],tabela_registros[MÊS],$AE$1,tabela_registros[DIA],receitasvariáveisconsolidadomai[[#Headers],[22]],tabela_registros[REGISTRO],DADOS!$N$3,tabela_registros[TIPO],DADOS!$V$4,tabela_registros[CATEGORIA],receitasvariáveisconsolidadomai[[#This Row],[ATUAL]])</f>
        <v>0</v>
      </c>
      <c r="AA103" s="91">
        <f>SUMIFS(tabela_registros[VALOR],tabela_registros[MÊS],$AE$1,tabela_registros[DIA],receitasvariáveisconsolidadomai[[#Headers],[23]],tabela_registros[REGISTRO],DADOS!$N$3,tabela_registros[TIPO],DADOS!$V$4,tabela_registros[CATEGORIA],receitasvariáveisconsolidadomai[[#This Row],[ATUAL]])</f>
        <v>0</v>
      </c>
      <c r="AB103" s="91">
        <f>SUMIFS(tabela_registros[VALOR],tabela_registros[MÊS],$AE$1,tabela_registros[DIA],receitasvariáveisconsolidadomai[[#Headers],[24]],tabela_registros[REGISTRO],DADOS!$N$3,tabela_registros[TIPO],DADOS!$V$4,tabela_registros[CATEGORIA],receitasvariáveisconsolidadomai[[#This Row],[ATUAL]])</f>
        <v>0</v>
      </c>
      <c r="AC103" s="91">
        <f>SUMIFS(tabela_registros[VALOR],tabela_registros[MÊS],$AE$1,tabela_registros[DIA],receitasvariáveisconsolidadomai[[#Headers],[25]],tabela_registros[REGISTRO],DADOS!$N$3,tabela_registros[TIPO],DADOS!$V$4,tabela_registros[CATEGORIA],receitasvariáveisconsolidadomai[[#This Row],[ATUAL]])</f>
        <v>0</v>
      </c>
      <c r="AD103" s="91">
        <f>SUMIFS(tabela_registros[VALOR],tabela_registros[MÊS],$AE$1,tabela_registros[DIA],receitasvariáveisconsolidadomai[[#Headers],[26]],tabela_registros[REGISTRO],DADOS!$N$3,tabela_registros[TIPO],DADOS!$V$4,tabela_registros[CATEGORIA],receitasvariáveisconsolidadomai[[#This Row],[ATUAL]])</f>
        <v>0</v>
      </c>
      <c r="AE103" s="91">
        <f>SUMIFS(tabela_registros[VALOR],tabela_registros[MÊS],$AE$1,tabela_registros[DIA],receitasvariáveisconsolidadomai[[#Headers],[27]],tabela_registros[REGISTRO],DADOS!$N$3,tabela_registros[TIPO],DADOS!$V$4,tabela_registros[CATEGORIA],receitasvariáveisconsolidadomai[[#This Row],[ATUAL]])</f>
        <v>0</v>
      </c>
      <c r="AF103" s="91">
        <f>SUMIFS(tabela_registros[VALOR],tabela_registros[MÊS],$AE$1,tabela_registros[DIA],receitasvariáveisconsolidadomai[[#Headers],[28]],tabela_registros[REGISTRO],DADOS!$N$3,tabela_registros[TIPO],DADOS!$V$4,tabela_registros[CATEGORIA],receitasvariáveisconsolidadomai[[#This Row],[ATUAL]])</f>
        <v>0</v>
      </c>
      <c r="AG103" s="91">
        <f>SUMIFS(tabela_registros[VALOR],tabela_registros[MÊS],$AE$1,tabela_registros[DIA],receitasvariáveisconsolidadomai[[#Headers],[29]],tabela_registros[REGISTRO],DADOS!$N$3,tabela_registros[TIPO],DADOS!$V$4,tabela_registros[CATEGORIA],receitasvariáveisconsolidadomai[[#This Row],[ATUAL]])</f>
        <v>0</v>
      </c>
      <c r="AH103" s="91">
        <f>SUMIFS(tabela_registros[VALOR],tabela_registros[MÊS],$AE$1,tabela_registros[DIA],receitasvariáveisconsolidadomai[[#Headers],[30]],tabela_registros[REGISTRO],DADOS!$N$3,tabela_registros[TIPO],DADOS!$V$4,tabela_registros[CATEGORIA],receitasvariáveisconsolidadomai[[#This Row],[ATUAL]])</f>
        <v>0</v>
      </c>
      <c r="AI103" s="102">
        <f>SUMIFS(tabela_registros[VALOR],tabela_registros[MÊS],$AE$1,tabela_registros[DIA],receitasvariáveisconsolidadomai[[#Headers],[31]],tabela_registros[REGISTRO],DADOS!$N$3,tabela_registros[TIPO],DADOS!$V$4,tabela_registros[CATEGORIA],receitasvariáveisconsolidadomai[[#This Row],[ATUAL]])</f>
        <v>0</v>
      </c>
      <c r="AJ103" s="97">
        <f>SUM(receitasvariáveisconsolidadomai[[#This Row],[1]:[31]])</f>
        <v>0</v>
      </c>
      <c r="AK103" s="25"/>
    </row>
    <row r="104" spans="2:37" s="16" customFormat="1" ht="21" customHeight="1" thickTop="1" thickBot="1" x14ac:dyDescent="0.35">
      <c r="B104" s="24"/>
      <c r="C104" s="23" t="s">
        <v>19</v>
      </c>
      <c r="D104" s="22"/>
      <c r="E104" s="21">
        <f>SUM(E96:E103)</f>
        <v>0</v>
      </c>
      <c r="F104" s="20">
        <f>SUM(F96:F103)+receitasvariáveisconsolidadomai[[#This Row],[1]]</f>
        <v>0</v>
      </c>
      <c r="G104" s="20">
        <f>SUM(G96:G103)+receitasvariáveisconsolidadomai[[#This Row],[2]]</f>
        <v>326</v>
      </c>
      <c r="H104" s="20">
        <f>SUM(H96:H103)+receitasvariáveisconsolidadomai[[#This Row],[3]]</f>
        <v>326</v>
      </c>
      <c r="I104" s="20">
        <f>SUM(I96:I103)+receitasvariáveisconsolidadomai[[#This Row],[4]]</f>
        <v>326</v>
      </c>
      <c r="J104" s="20">
        <f>SUM(J96:J103)+receitasvariáveisconsolidadomai[[#This Row],[5]]</f>
        <v>326</v>
      </c>
      <c r="K104" s="20">
        <f>SUM(K96:K103)+receitasvariáveisconsolidadomai[[#This Row],[6]]</f>
        <v>326</v>
      </c>
      <c r="L104" s="20">
        <f>SUM(L96:L103)+receitasvariáveisconsolidadomai[[#This Row],[7]]</f>
        <v>326</v>
      </c>
      <c r="M104" s="20">
        <f>SUM(M96:M103)+receitasvariáveisconsolidadomai[[#This Row],[8]]</f>
        <v>326</v>
      </c>
      <c r="N104" s="20">
        <f>SUM(N96:N103)+receitasvariáveisconsolidadomai[[#This Row],[9]]</f>
        <v>326</v>
      </c>
      <c r="O104" s="20">
        <f>SUM(O96:O103)+receitasvariáveisconsolidadomai[[#This Row],[10]]</f>
        <v>326</v>
      </c>
      <c r="P104" s="20">
        <f>SUM(P96:P103)+receitasvariáveisconsolidadomai[[#This Row],[11]]</f>
        <v>326</v>
      </c>
      <c r="Q104" s="20">
        <f>SUM(Q96:Q103)+receitasvariáveisconsolidadomai[[#This Row],[12]]</f>
        <v>326</v>
      </c>
      <c r="R104" s="20">
        <f>SUM(R96:R103)+receitasvariáveisconsolidadomai[[#This Row],[13]]</f>
        <v>326</v>
      </c>
      <c r="S104" s="20">
        <f>SUM(S96:S103)+receitasvariáveisconsolidadomai[[#This Row],[14]]</f>
        <v>326</v>
      </c>
      <c r="T104" s="20">
        <f>SUM(T96:T103)+receitasvariáveisconsolidadomai[[#This Row],[15]]</f>
        <v>326</v>
      </c>
      <c r="U104" s="20">
        <f>SUM(U96:U103)+receitasvariáveisconsolidadomai[[#This Row],[16]]</f>
        <v>326</v>
      </c>
      <c r="V104" s="20">
        <f>SUM(V96:V103)+receitasvariáveisconsolidadomai[[#This Row],[17]]</f>
        <v>326</v>
      </c>
      <c r="W104" s="20">
        <f>SUM(W96:W103)+receitasvariáveisconsolidadomai[[#This Row],[18]]</f>
        <v>326</v>
      </c>
      <c r="X104" s="20">
        <f>SUM(X96:X103)+receitasvariáveisconsolidadomai[[#This Row],[19]]</f>
        <v>326</v>
      </c>
      <c r="Y104" s="20">
        <f>SUM(Y96:Y103)+receitasvariáveisconsolidadomai[[#This Row],[20]]</f>
        <v>326</v>
      </c>
      <c r="Z104" s="20">
        <f>SUM(Z96:Z103)+receitasvariáveisconsolidadomai[[#This Row],[21]]</f>
        <v>326</v>
      </c>
      <c r="AA104" s="20">
        <f>SUM(AA96:AA103)+receitasvariáveisconsolidadomai[[#This Row],[22]]</f>
        <v>326</v>
      </c>
      <c r="AB104" s="20">
        <f>SUM(AB96:AB103)+receitasvariáveisconsolidadomai[[#This Row],[23]]</f>
        <v>326</v>
      </c>
      <c r="AC104" s="20">
        <f>SUM(AC96:AC103)+receitasvariáveisconsolidadomai[[#This Row],[24]]</f>
        <v>326</v>
      </c>
      <c r="AD104" s="20">
        <f>SUM(AD96:AD103)+receitasvariáveisconsolidadomai[[#This Row],[25]]</f>
        <v>326</v>
      </c>
      <c r="AE104" s="20">
        <f>SUM(AE96:AE103)+receitasvariáveisconsolidadomai[[#This Row],[26]]</f>
        <v>326</v>
      </c>
      <c r="AF104" s="20">
        <f>SUM(AF96:AF103)+receitasvariáveisconsolidadomai[[#This Row],[27]]</f>
        <v>326</v>
      </c>
      <c r="AG104" s="20">
        <f>SUM(AG96:AG103)+receitasvariáveisconsolidadomai[[#This Row],[28]]</f>
        <v>326</v>
      </c>
      <c r="AH104" s="20">
        <f>SUM(AH96:AH103)+receitasvariáveisconsolidadomai[[#This Row],[29]]</f>
        <v>326</v>
      </c>
      <c r="AI104" s="19">
        <f>SUM(AI96:AI103)+receitasvariáveisconsolidadomai[[#This Row],[30]]</f>
        <v>326</v>
      </c>
      <c r="AJ104" s="18">
        <f>receitasvariáveisconsolidadomai[[#This Row],[31]]</f>
        <v>326</v>
      </c>
      <c r="AK104" s="17"/>
    </row>
    <row r="105" spans="2:37" ht="6.75" customHeight="1" thickTop="1" thickBot="1" x14ac:dyDescent="0.3">
      <c r="B105" s="15"/>
      <c r="C105" s="14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2"/>
      <c r="AJ105" s="11"/>
      <c r="AK105" s="10"/>
    </row>
    <row r="106" spans="2:37" ht="12.6" thickTop="1" x14ac:dyDescent="0.25">
      <c r="E106" s="37"/>
      <c r="AI106" s="4"/>
    </row>
    <row r="107" spans="2:37" x14ac:dyDescent="0.25">
      <c r="AI107" s="4"/>
    </row>
    <row r="108" spans="2:37" x14ac:dyDescent="0.25">
      <c r="AI108" s="4"/>
    </row>
    <row r="109" spans="2:37" ht="39.75" customHeight="1" x14ac:dyDescent="0.7">
      <c r="C109" s="36"/>
      <c r="E109" s="240"/>
      <c r="F109" s="240"/>
      <c r="G109" s="240"/>
      <c r="H109" s="240"/>
      <c r="I109" s="240"/>
      <c r="J109" s="240"/>
      <c r="K109" s="240"/>
      <c r="L109" s="240"/>
      <c r="M109" s="240"/>
      <c r="N109" s="240"/>
      <c r="O109" s="240"/>
      <c r="P109" s="240"/>
      <c r="Q109" s="240"/>
      <c r="R109" s="240"/>
      <c r="S109" s="240"/>
      <c r="T109" s="240"/>
      <c r="U109" s="240"/>
      <c r="V109" s="240"/>
      <c r="W109" s="240"/>
      <c r="X109" s="240"/>
      <c r="Y109" s="240"/>
      <c r="Z109" s="240"/>
      <c r="AA109" s="240"/>
      <c r="AB109" s="240"/>
      <c r="AC109" s="240"/>
      <c r="AD109" s="240"/>
      <c r="AE109" s="240"/>
      <c r="AF109" s="240"/>
      <c r="AG109" s="240"/>
      <c r="AH109" s="240"/>
      <c r="AI109" s="240"/>
      <c r="AJ109" s="32" t="s">
        <v>19</v>
      </c>
    </row>
    <row r="110" spans="2:37" ht="12.6" thickBot="1" x14ac:dyDescent="0.3">
      <c r="B110" s="35"/>
      <c r="AI110" s="4"/>
      <c r="AJ110" s="34" t="s">
        <v>202</v>
      </c>
    </row>
    <row r="111" spans="2:37" ht="6.75" customHeight="1" thickTop="1" thickBot="1" x14ac:dyDescent="0.3">
      <c r="B111" s="2"/>
      <c r="C111" s="14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2"/>
      <c r="AK111" s="33"/>
    </row>
    <row r="112" spans="2:37" ht="13.2" hidden="1" thickTop="1" thickBot="1" x14ac:dyDescent="0.3">
      <c r="B112" s="2"/>
      <c r="C112" s="31" t="s">
        <v>199</v>
      </c>
      <c r="D112" s="30" t="s">
        <v>198</v>
      </c>
      <c r="E112" s="30" t="s">
        <v>197</v>
      </c>
      <c r="F112" s="30" t="s">
        <v>196</v>
      </c>
      <c r="G112" s="30" t="s">
        <v>195</v>
      </c>
      <c r="H112" s="30" t="s">
        <v>194</v>
      </c>
      <c r="I112" s="30" t="s">
        <v>193</v>
      </c>
      <c r="J112" s="30" t="s">
        <v>192</v>
      </c>
      <c r="K112" s="30" t="s">
        <v>191</v>
      </c>
      <c r="L112" s="30" t="s">
        <v>190</v>
      </c>
      <c r="M112" s="30" t="s">
        <v>189</v>
      </c>
      <c r="N112" s="30" t="s">
        <v>188</v>
      </c>
      <c r="O112" s="30" t="s">
        <v>187</v>
      </c>
      <c r="P112" s="30" t="s">
        <v>186</v>
      </c>
      <c r="Q112" s="30" t="s">
        <v>185</v>
      </c>
      <c r="R112" s="30" t="s">
        <v>184</v>
      </c>
      <c r="S112" s="30" t="s">
        <v>183</v>
      </c>
      <c r="T112" s="30" t="s">
        <v>182</v>
      </c>
      <c r="U112" s="30" t="s">
        <v>181</v>
      </c>
      <c r="V112" s="30" t="s">
        <v>180</v>
      </c>
      <c r="W112" s="30" t="s">
        <v>179</v>
      </c>
      <c r="X112" s="30" t="s">
        <v>178</v>
      </c>
      <c r="Y112" s="30" t="s">
        <v>177</v>
      </c>
      <c r="Z112" s="30" t="s">
        <v>176</v>
      </c>
      <c r="AA112" s="30" t="s">
        <v>175</v>
      </c>
      <c r="AB112" s="30" t="s">
        <v>174</v>
      </c>
      <c r="AC112" s="30" t="s">
        <v>173</v>
      </c>
      <c r="AD112" s="30" t="s">
        <v>172</v>
      </c>
      <c r="AE112" s="30" t="s">
        <v>171</v>
      </c>
      <c r="AF112" s="30" t="s">
        <v>170</v>
      </c>
      <c r="AG112" s="30" t="s">
        <v>169</v>
      </c>
      <c r="AH112" s="30" t="s">
        <v>168</v>
      </c>
      <c r="AI112" s="30" t="s">
        <v>167</v>
      </c>
      <c r="AJ112" s="29" t="s">
        <v>166</v>
      </c>
      <c r="AK112" s="2"/>
    </row>
    <row r="113" spans="2:37" ht="19.5" customHeight="1" thickTop="1" thickBot="1" x14ac:dyDescent="0.3">
      <c r="B113" s="28"/>
      <c r="C113" s="27" t="str">
        <f>DADOS!$AD$3</f>
        <v>📝 CDB</v>
      </c>
      <c r="D113" s="26" t="str">
        <f>IF(investirrendafixaconsolidadomai[[#This Row],[TOTAL (R$)]]=0,"",IF(OR(investirrendafixaconsolidadomai[[#This Row],[TOTAL (R$)]]=LARGE($AJ$113:$AJ$122,1),investirrendafixaconsolidadomai[[#This Row],[TOTAL (R$)]]=LARGE($AJ$113:$AJ$122,2)),DADOS!$I$10,""))</f>
        <v/>
      </c>
      <c r="E113" s="96">
        <f>SUMIFS(tabela_registros[VALOR],tabela_registros[MÊS],$AE$1,tabela_registros[DIA],investirrendafixaconsolidadomai[[#Headers],[1]],tabela_registros[REGISTRO],DADOS!$N$5,tabela_registros[TIPO],DADOS!$AB$3,tabela_registros[CATEGORIA],investirrendafixaconsolidadomai[[#This Row],[ATUAL]])</f>
        <v>0</v>
      </c>
      <c r="F113" s="91">
        <f>SUMIFS(tabela_registros[VALOR],tabela_registros[MÊS],$AE$1,tabela_registros[DIA],investirrendafixaconsolidadomai[[#Headers],[2]],tabela_registros[REGISTRO],DADOS!$N$5,tabela_registros[TIPO],DADOS!$AB$3,tabela_registros[CATEGORIA],investirrendafixaconsolidadomai[[#This Row],[ATUAL]])</f>
        <v>0</v>
      </c>
      <c r="G113" s="91">
        <f>SUMIFS(tabela_registros[VALOR],tabela_registros[MÊS],$AE$1,tabela_registros[DIA],investirrendafixaconsolidadomai[[#Headers],[3]],tabela_registros[REGISTRO],DADOS!$N$5,tabela_registros[TIPO],DADOS!$AB$3,tabela_registros[CATEGORIA],investirrendafixaconsolidadomai[[#This Row],[ATUAL]])</f>
        <v>0</v>
      </c>
      <c r="H113" s="91">
        <f>SUMIFS(tabela_registros[VALOR],tabela_registros[MÊS],$AE$1,tabela_registros[DIA],investirrendafixaconsolidadomai[[#Headers],[4]],tabela_registros[REGISTRO],DADOS!$N$5,tabela_registros[TIPO],DADOS!$AB$3,tabela_registros[CATEGORIA],investirrendafixaconsolidadomai[[#This Row],[ATUAL]])</f>
        <v>0</v>
      </c>
      <c r="I113" s="91">
        <f>SUMIFS(tabela_registros[VALOR],tabela_registros[MÊS],$AE$1,tabela_registros[DIA],investirrendafixaconsolidadomai[[#Headers],[5]],tabela_registros[REGISTRO],DADOS!$N$5,tabela_registros[TIPO],DADOS!$AB$3,tabela_registros[CATEGORIA],investirrendafixaconsolidadomai[[#This Row],[ATUAL]])</f>
        <v>0</v>
      </c>
      <c r="J113" s="91">
        <f>SUMIFS(tabela_registros[VALOR],tabela_registros[MÊS],$AE$1,tabela_registros[DIA],investirrendafixaconsolidadomai[[#Headers],[6]],tabela_registros[REGISTRO],DADOS!$N$5,tabela_registros[TIPO],DADOS!$AB$3,tabela_registros[CATEGORIA],investirrendafixaconsolidadomai[[#This Row],[ATUAL]])</f>
        <v>0</v>
      </c>
      <c r="K113" s="91">
        <f>SUMIFS(tabela_registros[VALOR],tabela_registros[MÊS],$AE$1,tabela_registros[DIA],investirrendafixaconsolidadomai[[#Headers],[7]],tabela_registros[REGISTRO],DADOS!$N$5,tabela_registros[TIPO],DADOS!$AB$3,tabela_registros[CATEGORIA],investirrendafixaconsolidadomai[[#This Row],[ATUAL]])</f>
        <v>0</v>
      </c>
      <c r="L113" s="91">
        <f>SUMIFS(tabela_registros[VALOR],tabela_registros[MÊS],$AE$1,tabela_registros[DIA],investirrendafixaconsolidadomai[[#Headers],[8]],tabela_registros[REGISTRO],DADOS!$N$5,tabela_registros[TIPO],DADOS!$AB$3,tabela_registros[CATEGORIA],investirrendafixaconsolidadomai[[#This Row],[ATUAL]])</f>
        <v>0</v>
      </c>
      <c r="M113" s="91">
        <f>SUMIFS(tabela_registros[VALOR],tabela_registros[MÊS],$AE$1,tabela_registros[DIA],investirrendafixaconsolidadomai[[#Headers],[9]],tabela_registros[REGISTRO],DADOS!$N$5,tabela_registros[TIPO],DADOS!$AB$3,tabela_registros[CATEGORIA],investirrendafixaconsolidadomai[[#This Row],[ATUAL]])</f>
        <v>0</v>
      </c>
      <c r="N113" s="91">
        <f>SUMIFS(tabela_registros[VALOR],tabela_registros[MÊS],$AE$1,tabela_registros[DIA],investirrendafixaconsolidadomai[[#Headers],[10]],tabela_registros[REGISTRO],DADOS!$N$5,tabela_registros[TIPO],DADOS!$AB$3,tabela_registros[CATEGORIA],investirrendafixaconsolidadomai[[#This Row],[ATUAL]])</f>
        <v>0</v>
      </c>
      <c r="O113" s="91">
        <f>SUMIFS(tabela_registros[VALOR],tabela_registros[MÊS],$AE$1,tabela_registros[DIA],investirrendafixaconsolidadomai[[#Headers],[11]],tabela_registros[REGISTRO],DADOS!$N$5,tabela_registros[TIPO],DADOS!$AB$3,tabela_registros[CATEGORIA],investirrendafixaconsolidadomai[[#This Row],[ATUAL]])</f>
        <v>0</v>
      </c>
      <c r="P113" s="91">
        <f>SUMIFS(tabela_registros[VALOR],tabela_registros[MÊS],$AE$1,tabela_registros[DIA],investirrendafixaconsolidadomai[[#Headers],[12]],tabela_registros[REGISTRO],DADOS!$N$5,tabela_registros[TIPO],DADOS!$AB$3,tabela_registros[CATEGORIA],investirrendafixaconsolidadomai[[#This Row],[ATUAL]])</f>
        <v>0</v>
      </c>
      <c r="Q113" s="91">
        <f>SUMIFS(tabela_registros[VALOR],tabela_registros[MÊS],$AE$1,tabela_registros[DIA],investirrendafixaconsolidadomai[[#Headers],[13]],tabela_registros[REGISTRO],DADOS!$N$5,tabela_registros[TIPO],DADOS!$AB$3,tabela_registros[CATEGORIA],investirrendafixaconsolidadomai[[#This Row],[ATUAL]])</f>
        <v>0</v>
      </c>
      <c r="R113" s="91">
        <f>SUMIFS(tabela_registros[VALOR],tabela_registros[MÊS],$AE$1,tabela_registros[DIA],investirrendafixaconsolidadomai[[#Headers],[14]],tabela_registros[REGISTRO],DADOS!$N$5,tabela_registros[TIPO],DADOS!$AB$3,tabela_registros[CATEGORIA],investirrendafixaconsolidadomai[[#This Row],[ATUAL]])</f>
        <v>0</v>
      </c>
      <c r="S113" s="91">
        <f>SUMIFS(tabela_registros[VALOR],tabela_registros[MÊS],$AE$1,tabela_registros[DIA],investirrendafixaconsolidadomai[[#Headers],[15]],tabela_registros[REGISTRO],DADOS!$N$5,tabela_registros[TIPO],DADOS!$AB$3,tabela_registros[CATEGORIA],investirrendafixaconsolidadomai[[#This Row],[ATUAL]])</f>
        <v>0</v>
      </c>
      <c r="T113" s="91">
        <f>SUMIFS(tabela_registros[VALOR],tabela_registros[MÊS],$AE$1,tabela_registros[DIA],investirrendafixaconsolidadomai[[#Headers],[16]],tabela_registros[REGISTRO],DADOS!$N$5,tabela_registros[TIPO],DADOS!$AB$3,tabela_registros[CATEGORIA],investirrendafixaconsolidadomai[[#This Row],[ATUAL]])</f>
        <v>0</v>
      </c>
      <c r="U113" s="91">
        <f>SUMIFS(tabela_registros[VALOR],tabela_registros[MÊS],$AE$1,tabela_registros[DIA],investirrendafixaconsolidadomai[[#Headers],[17]],tabela_registros[REGISTRO],DADOS!$N$5,tabela_registros[TIPO],DADOS!$AB$3,tabela_registros[CATEGORIA],investirrendafixaconsolidadomai[[#This Row],[ATUAL]])</f>
        <v>0</v>
      </c>
      <c r="V113" s="91">
        <f>SUMIFS(tabela_registros[VALOR],tabela_registros[MÊS],$AE$1,tabela_registros[DIA],investirrendafixaconsolidadomai[[#Headers],[18]],tabela_registros[REGISTRO],DADOS!$N$5,tabela_registros[TIPO],DADOS!$AB$3,tabela_registros[CATEGORIA],investirrendafixaconsolidadomai[[#This Row],[ATUAL]])</f>
        <v>0</v>
      </c>
      <c r="W113" s="91">
        <f>SUMIFS(tabela_registros[VALOR],tabela_registros[MÊS],$AE$1,tabela_registros[DIA],investirrendafixaconsolidadomai[[#Headers],[19]],tabela_registros[REGISTRO],DADOS!$N$5,tabela_registros[TIPO],DADOS!$AB$3,tabela_registros[CATEGORIA],investirrendafixaconsolidadomai[[#This Row],[ATUAL]])</f>
        <v>0</v>
      </c>
      <c r="X113" s="91">
        <f>SUMIFS(tabela_registros[VALOR],tabela_registros[MÊS],$AE$1,tabela_registros[DIA],investirrendafixaconsolidadomai[[#Headers],[20]],tabela_registros[REGISTRO],DADOS!$N$5,tabela_registros[TIPO],DADOS!$AB$3,tabela_registros[CATEGORIA],investirrendafixaconsolidadomai[[#This Row],[ATUAL]])</f>
        <v>0</v>
      </c>
      <c r="Y113" s="91">
        <f>SUMIFS(tabela_registros[VALOR],tabela_registros[MÊS],$AE$1,tabela_registros[DIA],investirrendafixaconsolidadomai[[#Headers],[21]],tabela_registros[REGISTRO],DADOS!$N$5,tabela_registros[TIPO],DADOS!$AB$3,tabela_registros[CATEGORIA],investirrendafixaconsolidadomai[[#This Row],[ATUAL]])</f>
        <v>0</v>
      </c>
      <c r="Z113" s="91">
        <f>SUMIFS(tabela_registros[VALOR],tabela_registros[MÊS],$AE$1,tabela_registros[DIA],investirrendafixaconsolidadomai[[#Headers],[22]],tabela_registros[REGISTRO],DADOS!$N$5,tabela_registros[TIPO],DADOS!$AB$3,tabela_registros[CATEGORIA],investirrendafixaconsolidadomai[[#This Row],[ATUAL]])</f>
        <v>0</v>
      </c>
      <c r="AA113" s="91">
        <f>SUMIFS(tabela_registros[VALOR],tabela_registros[MÊS],$AE$1,tabela_registros[DIA],investirrendafixaconsolidadomai[[#Headers],[23]],tabela_registros[REGISTRO],DADOS!$N$5,tabela_registros[TIPO],DADOS!$AB$3,tabela_registros[CATEGORIA],investirrendafixaconsolidadomai[[#This Row],[ATUAL]])</f>
        <v>0</v>
      </c>
      <c r="AB113" s="91">
        <f>SUMIFS(tabela_registros[VALOR],tabela_registros[MÊS],$AE$1,tabela_registros[DIA],investirrendafixaconsolidadomai[[#Headers],[24]],tabela_registros[REGISTRO],DADOS!$N$5,tabela_registros[TIPO],DADOS!$AB$3,tabela_registros[CATEGORIA],investirrendafixaconsolidadomai[[#This Row],[ATUAL]])</f>
        <v>0</v>
      </c>
      <c r="AC113" s="91">
        <f>SUMIFS(tabela_registros[VALOR],tabela_registros[MÊS],$AE$1,tabela_registros[DIA],investirrendafixaconsolidadomai[[#Headers],[25]],tabela_registros[REGISTRO],DADOS!$N$5,tabela_registros[TIPO],DADOS!$AB$3,tabela_registros[CATEGORIA],investirrendafixaconsolidadomai[[#This Row],[ATUAL]])</f>
        <v>0</v>
      </c>
      <c r="AD113" s="91">
        <f>SUMIFS(tabela_registros[VALOR],tabela_registros[MÊS],$AE$1,tabela_registros[DIA],investirrendafixaconsolidadomai[[#Headers],[26]],tabela_registros[REGISTRO],DADOS!$N$5,tabela_registros[TIPO],DADOS!$AB$3,tabela_registros[CATEGORIA],investirrendafixaconsolidadomai[[#This Row],[ATUAL]])</f>
        <v>0</v>
      </c>
      <c r="AE113" s="91">
        <f>SUMIFS(tabela_registros[VALOR],tabela_registros[MÊS],$AE$1,tabela_registros[DIA],investirrendafixaconsolidadomai[[#Headers],[27]],tabela_registros[REGISTRO],DADOS!$N$5,tabela_registros[TIPO],DADOS!$AB$3,tabela_registros[CATEGORIA],investirrendafixaconsolidadomai[[#This Row],[ATUAL]])</f>
        <v>0</v>
      </c>
      <c r="AF113" s="91">
        <f>SUMIFS(tabela_registros[VALOR],tabela_registros[MÊS],$AE$1,tabela_registros[DIA],investirrendafixaconsolidadomai[[#Headers],[28]],tabela_registros[REGISTRO],DADOS!$N$5,tabela_registros[TIPO],DADOS!$AB$3,tabela_registros[CATEGORIA],investirrendafixaconsolidadomai[[#This Row],[ATUAL]])</f>
        <v>0</v>
      </c>
      <c r="AG113" s="91">
        <f>SUMIFS(tabela_registros[VALOR],tabela_registros[MÊS],$AE$1,tabela_registros[DIA],investirrendafixaconsolidadomai[[#Headers],[29]],tabela_registros[REGISTRO],DADOS!$N$5,tabela_registros[TIPO],DADOS!$AB$3,tabela_registros[CATEGORIA],investirrendafixaconsolidadomai[[#This Row],[ATUAL]])</f>
        <v>0</v>
      </c>
      <c r="AH113" s="91">
        <f>SUMIFS(tabela_registros[VALOR],tabela_registros[MÊS],$AE$1,tabela_registros[DIA],investirrendafixaconsolidadomai[[#Headers],[30]],tabela_registros[REGISTRO],DADOS!$N$5,tabela_registros[TIPO],DADOS!$AB$3,tabela_registros[CATEGORIA],investirrendafixaconsolidadomai[[#This Row],[ATUAL]])</f>
        <v>0</v>
      </c>
      <c r="AI113" s="101">
        <f>SUMIFS(tabela_registros[VALOR],tabela_registros[MÊS],$AE$1,tabela_registros[DIA],investirrendafixaconsolidadomai[[#Headers],[31]],tabela_registros[REGISTRO],DADOS!$N$5,tabela_registros[TIPO],DADOS!$AB$3,tabela_registros[CATEGORIA],investirrendafixaconsolidadomai[[#This Row],[ATUAL]])</f>
        <v>0</v>
      </c>
      <c r="AJ113" s="97">
        <f>SUM(investirrendafixaconsolidadomai[[#This Row],[1]:[31]])</f>
        <v>0</v>
      </c>
      <c r="AK113" s="25"/>
    </row>
    <row r="114" spans="2:37" ht="19.5" customHeight="1" thickTop="1" thickBot="1" x14ac:dyDescent="0.3">
      <c r="B114" s="28"/>
      <c r="C114" s="27" t="str">
        <f>DADOS!$AD$4</f>
        <v>📝 CRA</v>
      </c>
      <c r="D114" s="26" t="str">
        <f>IF(investirrendafixaconsolidadomai[[#This Row],[TOTAL (R$)]]=0,"",IF(OR(investirrendafixaconsolidadomai[[#This Row],[TOTAL (R$)]]=LARGE($AJ$113:$AJ$122,1),investirrendafixaconsolidadomai[[#This Row],[TOTAL (R$)]]=LARGE($AJ$113:$AJ$122,2)),DADOS!$I$10,""))</f>
        <v/>
      </c>
      <c r="E114" s="96">
        <f>SUMIFS(tabela_registros[VALOR],tabela_registros[MÊS],$AE$1,tabela_registros[DIA],investirrendafixaconsolidadomai[[#Headers],[1]],tabela_registros[REGISTRO],DADOS!$N$5,tabela_registros[TIPO],DADOS!$AB$3,tabela_registros[CATEGORIA],investirrendafixaconsolidadomai[[#This Row],[ATUAL]])</f>
        <v>0</v>
      </c>
      <c r="F114" s="91">
        <f>SUMIFS(tabela_registros[VALOR],tabela_registros[MÊS],$AE$1,tabela_registros[DIA],investirrendafixaconsolidadomai[[#Headers],[2]],tabela_registros[REGISTRO],DADOS!$N$5,tabela_registros[TIPO],DADOS!$AB$3,tabela_registros[CATEGORIA],investirrendafixaconsolidadomai[[#This Row],[ATUAL]])</f>
        <v>0</v>
      </c>
      <c r="G114" s="91">
        <f>SUMIFS(tabela_registros[VALOR],tabela_registros[MÊS],$AE$1,tabela_registros[DIA],investirrendafixaconsolidadomai[[#Headers],[3]],tabela_registros[REGISTRO],DADOS!$N$5,tabela_registros[TIPO],DADOS!$AB$3,tabela_registros[CATEGORIA],investirrendafixaconsolidadomai[[#This Row],[ATUAL]])</f>
        <v>0</v>
      </c>
      <c r="H114" s="91">
        <f>SUMIFS(tabela_registros[VALOR],tabela_registros[MÊS],$AE$1,tabela_registros[DIA],investirrendafixaconsolidadomai[[#Headers],[4]],tabela_registros[REGISTRO],DADOS!$N$5,tabela_registros[TIPO],DADOS!$AB$3,tabela_registros[CATEGORIA],investirrendafixaconsolidadomai[[#This Row],[ATUAL]])</f>
        <v>0</v>
      </c>
      <c r="I114" s="91">
        <f>SUMIFS(tabela_registros[VALOR],tabela_registros[MÊS],$AE$1,tabela_registros[DIA],investirrendafixaconsolidadomai[[#Headers],[5]],tabela_registros[REGISTRO],DADOS!$N$5,tabela_registros[TIPO],DADOS!$AB$3,tabela_registros[CATEGORIA],investirrendafixaconsolidadomai[[#This Row],[ATUAL]])</f>
        <v>0</v>
      </c>
      <c r="J114" s="91">
        <f>SUMIFS(tabela_registros[VALOR],tabela_registros[MÊS],$AE$1,tabela_registros[DIA],investirrendafixaconsolidadomai[[#Headers],[6]],tabela_registros[REGISTRO],DADOS!$N$5,tabela_registros[TIPO],DADOS!$AB$3,tabela_registros[CATEGORIA],investirrendafixaconsolidadomai[[#This Row],[ATUAL]])</f>
        <v>0</v>
      </c>
      <c r="K114" s="91">
        <f>SUMIFS(tabela_registros[VALOR],tabela_registros[MÊS],$AE$1,tabela_registros[DIA],investirrendafixaconsolidadomai[[#Headers],[7]],tabela_registros[REGISTRO],DADOS!$N$5,tabela_registros[TIPO],DADOS!$AB$3,tabela_registros[CATEGORIA],investirrendafixaconsolidadomai[[#This Row],[ATUAL]])</f>
        <v>0</v>
      </c>
      <c r="L114" s="91">
        <f>SUMIFS(tabela_registros[VALOR],tabela_registros[MÊS],$AE$1,tabela_registros[DIA],investirrendafixaconsolidadomai[[#Headers],[8]],tabela_registros[REGISTRO],DADOS!$N$5,tabela_registros[TIPO],DADOS!$AB$3,tabela_registros[CATEGORIA],investirrendafixaconsolidadomai[[#This Row],[ATUAL]])</f>
        <v>0</v>
      </c>
      <c r="M114" s="91">
        <f>SUMIFS(tabela_registros[VALOR],tabela_registros[MÊS],$AE$1,tabela_registros[DIA],investirrendafixaconsolidadomai[[#Headers],[9]],tabela_registros[REGISTRO],DADOS!$N$5,tabela_registros[TIPO],DADOS!$AB$3,tabela_registros[CATEGORIA],investirrendafixaconsolidadomai[[#This Row],[ATUAL]])</f>
        <v>0</v>
      </c>
      <c r="N114" s="91">
        <f>SUMIFS(tabela_registros[VALOR],tabela_registros[MÊS],$AE$1,tabela_registros[DIA],investirrendafixaconsolidadomai[[#Headers],[10]],tabela_registros[REGISTRO],DADOS!$N$5,tabela_registros[TIPO],DADOS!$AB$3,tabela_registros[CATEGORIA],investirrendafixaconsolidadomai[[#This Row],[ATUAL]])</f>
        <v>0</v>
      </c>
      <c r="O114" s="91">
        <f>SUMIFS(tabela_registros[VALOR],tabela_registros[MÊS],$AE$1,tabela_registros[DIA],investirrendafixaconsolidadomai[[#Headers],[11]],tabela_registros[REGISTRO],DADOS!$N$5,tabela_registros[TIPO],DADOS!$AB$3,tabela_registros[CATEGORIA],investirrendafixaconsolidadomai[[#This Row],[ATUAL]])</f>
        <v>0</v>
      </c>
      <c r="P114" s="91">
        <f>SUMIFS(tabela_registros[VALOR],tabela_registros[MÊS],$AE$1,tabela_registros[DIA],investirrendafixaconsolidadomai[[#Headers],[12]],tabela_registros[REGISTRO],DADOS!$N$5,tabela_registros[TIPO],DADOS!$AB$3,tabela_registros[CATEGORIA],investirrendafixaconsolidadomai[[#This Row],[ATUAL]])</f>
        <v>0</v>
      </c>
      <c r="Q114" s="91">
        <f>SUMIFS(tabela_registros[VALOR],tabela_registros[MÊS],$AE$1,tabela_registros[DIA],investirrendafixaconsolidadomai[[#Headers],[13]],tabela_registros[REGISTRO],DADOS!$N$5,tabela_registros[TIPO],DADOS!$AB$3,tabela_registros[CATEGORIA],investirrendafixaconsolidadomai[[#This Row],[ATUAL]])</f>
        <v>0</v>
      </c>
      <c r="R114" s="91">
        <f>SUMIFS(tabela_registros[VALOR],tabela_registros[MÊS],$AE$1,tabela_registros[DIA],investirrendafixaconsolidadomai[[#Headers],[14]],tabela_registros[REGISTRO],DADOS!$N$5,tabela_registros[TIPO],DADOS!$AB$3,tabela_registros[CATEGORIA],investirrendafixaconsolidadomai[[#This Row],[ATUAL]])</f>
        <v>0</v>
      </c>
      <c r="S114" s="91">
        <f>SUMIFS(tabela_registros[VALOR],tabela_registros[MÊS],$AE$1,tabela_registros[DIA],investirrendafixaconsolidadomai[[#Headers],[15]],tabela_registros[REGISTRO],DADOS!$N$5,tabela_registros[TIPO],DADOS!$AB$3,tabela_registros[CATEGORIA],investirrendafixaconsolidadomai[[#This Row],[ATUAL]])</f>
        <v>0</v>
      </c>
      <c r="T114" s="91">
        <f>SUMIFS(tabela_registros[VALOR],tabela_registros[MÊS],$AE$1,tabela_registros[DIA],investirrendafixaconsolidadomai[[#Headers],[16]],tabela_registros[REGISTRO],DADOS!$N$5,tabela_registros[TIPO],DADOS!$AB$3,tabela_registros[CATEGORIA],investirrendafixaconsolidadomai[[#This Row],[ATUAL]])</f>
        <v>0</v>
      </c>
      <c r="U114" s="91">
        <f>SUMIFS(tabela_registros[VALOR],tabela_registros[MÊS],$AE$1,tabela_registros[DIA],investirrendafixaconsolidadomai[[#Headers],[17]],tabela_registros[REGISTRO],DADOS!$N$5,tabela_registros[TIPO],DADOS!$AB$3,tabela_registros[CATEGORIA],investirrendafixaconsolidadomai[[#This Row],[ATUAL]])</f>
        <v>0</v>
      </c>
      <c r="V114" s="91">
        <f>SUMIFS(tabela_registros[VALOR],tabela_registros[MÊS],$AE$1,tabela_registros[DIA],investirrendafixaconsolidadomai[[#Headers],[18]],tabela_registros[REGISTRO],DADOS!$N$5,tabela_registros[TIPO],DADOS!$AB$3,tabela_registros[CATEGORIA],investirrendafixaconsolidadomai[[#This Row],[ATUAL]])</f>
        <v>0</v>
      </c>
      <c r="W114" s="91">
        <f>SUMIFS(tabela_registros[VALOR],tabela_registros[MÊS],$AE$1,tabela_registros[DIA],investirrendafixaconsolidadomai[[#Headers],[19]],tabela_registros[REGISTRO],DADOS!$N$5,tabela_registros[TIPO],DADOS!$AB$3,tabela_registros[CATEGORIA],investirrendafixaconsolidadomai[[#This Row],[ATUAL]])</f>
        <v>0</v>
      </c>
      <c r="X114" s="91">
        <f>SUMIFS(tabela_registros[VALOR],tabela_registros[MÊS],$AE$1,tabela_registros[DIA],investirrendafixaconsolidadomai[[#Headers],[20]],tabela_registros[REGISTRO],DADOS!$N$5,tabela_registros[TIPO],DADOS!$AB$3,tabela_registros[CATEGORIA],investirrendafixaconsolidadomai[[#This Row],[ATUAL]])</f>
        <v>0</v>
      </c>
      <c r="Y114" s="91">
        <f>SUMIFS(tabela_registros[VALOR],tabela_registros[MÊS],$AE$1,tabela_registros[DIA],investirrendafixaconsolidadomai[[#Headers],[21]],tabela_registros[REGISTRO],DADOS!$N$5,tabela_registros[TIPO],DADOS!$AB$3,tabela_registros[CATEGORIA],investirrendafixaconsolidadomai[[#This Row],[ATUAL]])</f>
        <v>0</v>
      </c>
      <c r="Z114" s="91">
        <f>SUMIFS(tabela_registros[VALOR],tabela_registros[MÊS],$AE$1,tabela_registros[DIA],investirrendafixaconsolidadomai[[#Headers],[22]],tabela_registros[REGISTRO],DADOS!$N$5,tabela_registros[TIPO],DADOS!$AB$3,tabela_registros[CATEGORIA],investirrendafixaconsolidadomai[[#This Row],[ATUAL]])</f>
        <v>0</v>
      </c>
      <c r="AA114" s="91">
        <f>SUMIFS(tabela_registros[VALOR],tabela_registros[MÊS],$AE$1,tabela_registros[DIA],investirrendafixaconsolidadomai[[#Headers],[23]],tabela_registros[REGISTRO],DADOS!$N$5,tabela_registros[TIPO],DADOS!$AB$3,tabela_registros[CATEGORIA],investirrendafixaconsolidadomai[[#This Row],[ATUAL]])</f>
        <v>0</v>
      </c>
      <c r="AB114" s="91">
        <f>SUMIFS(tabela_registros[VALOR],tabela_registros[MÊS],$AE$1,tabela_registros[DIA],investirrendafixaconsolidadomai[[#Headers],[24]],tabela_registros[REGISTRO],DADOS!$N$5,tabela_registros[TIPO],DADOS!$AB$3,tabela_registros[CATEGORIA],investirrendafixaconsolidadomai[[#This Row],[ATUAL]])</f>
        <v>0</v>
      </c>
      <c r="AC114" s="91">
        <f>SUMIFS(tabela_registros[VALOR],tabela_registros[MÊS],$AE$1,tabela_registros[DIA],investirrendafixaconsolidadomai[[#Headers],[25]],tabela_registros[REGISTRO],DADOS!$N$5,tabela_registros[TIPO],DADOS!$AB$3,tabela_registros[CATEGORIA],investirrendafixaconsolidadomai[[#This Row],[ATUAL]])</f>
        <v>0</v>
      </c>
      <c r="AD114" s="91">
        <f>SUMIFS(tabela_registros[VALOR],tabela_registros[MÊS],$AE$1,tabela_registros[DIA],investirrendafixaconsolidadomai[[#Headers],[26]],tabela_registros[REGISTRO],DADOS!$N$5,tabela_registros[TIPO],DADOS!$AB$3,tabela_registros[CATEGORIA],investirrendafixaconsolidadomai[[#This Row],[ATUAL]])</f>
        <v>0</v>
      </c>
      <c r="AE114" s="91">
        <f>SUMIFS(tabela_registros[VALOR],tabela_registros[MÊS],$AE$1,tabela_registros[DIA],investirrendafixaconsolidadomai[[#Headers],[27]],tabela_registros[REGISTRO],DADOS!$N$5,tabela_registros[TIPO],DADOS!$AB$3,tabela_registros[CATEGORIA],investirrendafixaconsolidadomai[[#This Row],[ATUAL]])</f>
        <v>0</v>
      </c>
      <c r="AF114" s="91">
        <f>SUMIFS(tabela_registros[VALOR],tabela_registros[MÊS],$AE$1,tabela_registros[DIA],investirrendafixaconsolidadomai[[#Headers],[28]],tabela_registros[REGISTRO],DADOS!$N$5,tabela_registros[TIPO],DADOS!$AB$3,tabela_registros[CATEGORIA],investirrendafixaconsolidadomai[[#This Row],[ATUAL]])</f>
        <v>0</v>
      </c>
      <c r="AG114" s="91">
        <f>SUMIFS(tabela_registros[VALOR],tabela_registros[MÊS],$AE$1,tabela_registros[DIA],investirrendafixaconsolidadomai[[#Headers],[29]],tabela_registros[REGISTRO],DADOS!$N$5,tabela_registros[TIPO],DADOS!$AB$3,tabela_registros[CATEGORIA],investirrendafixaconsolidadomai[[#This Row],[ATUAL]])</f>
        <v>0</v>
      </c>
      <c r="AH114" s="91">
        <f>SUMIFS(tabela_registros[VALOR],tabela_registros[MÊS],$AE$1,tabela_registros[DIA],investirrendafixaconsolidadomai[[#Headers],[30]],tabela_registros[REGISTRO],DADOS!$N$5,tabela_registros[TIPO],DADOS!$AB$3,tabela_registros[CATEGORIA],investirrendafixaconsolidadomai[[#This Row],[ATUAL]])</f>
        <v>0</v>
      </c>
      <c r="AI114" s="101">
        <f>SUMIFS(tabela_registros[VALOR],tabela_registros[MÊS],$AE$1,tabela_registros[DIA],investirrendafixaconsolidadomai[[#Headers],[31]],tabela_registros[REGISTRO],DADOS!$N$5,tabela_registros[TIPO],DADOS!$AB$3,tabela_registros[CATEGORIA],investirrendafixaconsolidadomai[[#This Row],[ATUAL]])</f>
        <v>0</v>
      </c>
      <c r="AJ114" s="97">
        <f>SUM(investirrendafixaconsolidadomai[[#This Row],[1]:[31]])</f>
        <v>0</v>
      </c>
      <c r="AK114" s="25"/>
    </row>
    <row r="115" spans="2:37" ht="19.5" customHeight="1" thickTop="1" thickBot="1" x14ac:dyDescent="0.3">
      <c r="B115" s="28"/>
      <c r="C115" s="27" t="str">
        <f>DADOS!$AD$5</f>
        <v>📝 CRI</v>
      </c>
      <c r="D115" s="26" t="str">
        <f>IF(investirrendafixaconsolidadomai[[#This Row],[TOTAL (R$)]]=0,"",IF(OR(investirrendafixaconsolidadomai[[#This Row],[TOTAL (R$)]]=LARGE($AJ$113:$AJ$122,1),investirrendafixaconsolidadomai[[#This Row],[TOTAL (R$)]]=LARGE($AJ$113:$AJ$122,2)),DADOS!$I$10,""))</f>
        <v/>
      </c>
      <c r="E115" s="96">
        <f>SUMIFS(tabela_registros[VALOR],tabela_registros[MÊS],$AE$1,tabela_registros[DIA],investirrendafixaconsolidadomai[[#Headers],[1]],tabela_registros[REGISTRO],DADOS!$N$5,tabela_registros[TIPO],DADOS!$AB$3,tabela_registros[CATEGORIA],investirrendafixaconsolidadomai[[#This Row],[ATUAL]])</f>
        <v>0</v>
      </c>
      <c r="F115" s="91">
        <f>SUMIFS(tabela_registros[VALOR],tabela_registros[MÊS],$AE$1,tabela_registros[DIA],investirrendafixaconsolidadomai[[#Headers],[2]],tabela_registros[REGISTRO],DADOS!$N$5,tabela_registros[TIPO],DADOS!$AB$3,tabela_registros[CATEGORIA],investirrendafixaconsolidadomai[[#This Row],[ATUAL]])</f>
        <v>0</v>
      </c>
      <c r="G115" s="91">
        <f>SUMIFS(tabela_registros[VALOR],tabela_registros[MÊS],$AE$1,tabela_registros[DIA],investirrendafixaconsolidadomai[[#Headers],[3]],tabela_registros[REGISTRO],DADOS!$N$5,tabela_registros[TIPO],DADOS!$AB$3,tabela_registros[CATEGORIA],investirrendafixaconsolidadomai[[#This Row],[ATUAL]])</f>
        <v>0</v>
      </c>
      <c r="H115" s="91">
        <f>SUMIFS(tabela_registros[VALOR],tabela_registros[MÊS],$AE$1,tabela_registros[DIA],investirrendafixaconsolidadomai[[#Headers],[4]],tabela_registros[REGISTRO],DADOS!$N$5,tabela_registros[TIPO],DADOS!$AB$3,tabela_registros[CATEGORIA],investirrendafixaconsolidadomai[[#This Row],[ATUAL]])</f>
        <v>0</v>
      </c>
      <c r="I115" s="91">
        <f>SUMIFS(tabela_registros[VALOR],tabela_registros[MÊS],$AE$1,tabela_registros[DIA],investirrendafixaconsolidadomai[[#Headers],[5]],tabela_registros[REGISTRO],DADOS!$N$5,tabela_registros[TIPO],DADOS!$AB$3,tabela_registros[CATEGORIA],investirrendafixaconsolidadomai[[#This Row],[ATUAL]])</f>
        <v>0</v>
      </c>
      <c r="J115" s="91">
        <f>SUMIFS(tabela_registros[VALOR],tabela_registros[MÊS],$AE$1,tabela_registros[DIA],investirrendafixaconsolidadomai[[#Headers],[6]],tabela_registros[REGISTRO],DADOS!$N$5,tabela_registros[TIPO],DADOS!$AB$3,tabela_registros[CATEGORIA],investirrendafixaconsolidadomai[[#This Row],[ATUAL]])</f>
        <v>0</v>
      </c>
      <c r="K115" s="91">
        <f>SUMIFS(tabela_registros[VALOR],tabela_registros[MÊS],$AE$1,tabela_registros[DIA],investirrendafixaconsolidadomai[[#Headers],[7]],tabela_registros[REGISTRO],DADOS!$N$5,tabela_registros[TIPO],DADOS!$AB$3,tabela_registros[CATEGORIA],investirrendafixaconsolidadomai[[#This Row],[ATUAL]])</f>
        <v>0</v>
      </c>
      <c r="L115" s="91">
        <f>SUMIFS(tabela_registros[VALOR],tabela_registros[MÊS],$AE$1,tabela_registros[DIA],investirrendafixaconsolidadomai[[#Headers],[8]],tabela_registros[REGISTRO],DADOS!$N$5,tabela_registros[TIPO],DADOS!$AB$3,tabela_registros[CATEGORIA],investirrendafixaconsolidadomai[[#This Row],[ATUAL]])</f>
        <v>0</v>
      </c>
      <c r="M115" s="91">
        <f>SUMIFS(tabela_registros[VALOR],tabela_registros[MÊS],$AE$1,tabela_registros[DIA],investirrendafixaconsolidadomai[[#Headers],[9]],tabela_registros[REGISTRO],DADOS!$N$5,tabela_registros[TIPO],DADOS!$AB$3,tabela_registros[CATEGORIA],investirrendafixaconsolidadomai[[#This Row],[ATUAL]])</f>
        <v>0</v>
      </c>
      <c r="N115" s="91">
        <f>SUMIFS(tabela_registros[VALOR],tabela_registros[MÊS],$AE$1,tabela_registros[DIA],investirrendafixaconsolidadomai[[#Headers],[10]],tabela_registros[REGISTRO],DADOS!$N$5,tabela_registros[TIPO],DADOS!$AB$3,tabela_registros[CATEGORIA],investirrendafixaconsolidadomai[[#This Row],[ATUAL]])</f>
        <v>0</v>
      </c>
      <c r="O115" s="91">
        <f>SUMIFS(tabela_registros[VALOR],tabela_registros[MÊS],$AE$1,tabela_registros[DIA],investirrendafixaconsolidadomai[[#Headers],[11]],tabela_registros[REGISTRO],DADOS!$N$5,tabela_registros[TIPO],DADOS!$AB$3,tabela_registros[CATEGORIA],investirrendafixaconsolidadomai[[#This Row],[ATUAL]])</f>
        <v>0</v>
      </c>
      <c r="P115" s="91">
        <f>SUMIFS(tabela_registros[VALOR],tabela_registros[MÊS],$AE$1,tabela_registros[DIA],investirrendafixaconsolidadomai[[#Headers],[12]],tabela_registros[REGISTRO],DADOS!$N$5,tabela_registros[TIPO],DADOS!$AB$3,tabela_registros[CATEGORIA],investirrendafixaconsolidadomai[[#This Row],[ATUAL]])</f>
        <v>0</v>
      </c>
      <c r="Q115" s="91">
        <f>SUMIFS(tabela_registros[VALOR],tabela_registros[MÊS],$AE$1,tabela_registros[DIA],investirrendafixaconsolidadomai[[#Headers],[13]],tabela_registros[REGISTRO],DADOS!$N$5,tabela_registros[TIPO],DADOS!$AB$3,tabela_registros[CATEGORIA],investirrendafixaconsolidadomai[[#This Row],[ATUAL]])</f>
        <v>0</v>
      </c>
      <c r="R115" s="91">
        <f>SUMIFS(tabela_registros[VALOR],tabela_registros[MÊS],$AE$1,tabela_registros[DIA],investirrendafixaconsolidadomai[[#Headers],[14]],tabela_registros[REGISTRO],DADOS!$N$5,tabela_registros[TIPO],DADOS!$AB$3,tabela_registros[CATEGORIA],investirrendafixaconsolidadomai[[#This Row],[ATUAL]])</f>
        <v>0</v>
      </c>
      <c r="S115" s="91">
        <f>SUMIFS(tabela_registros[VALOR],tabela_registros[MÊS],$AE$1,tabela_registros[DIA],investirrendafixaconsolidadomai[[#Headers],[15]],tabela_registros[REGISTRO],DADOS!$N$5,tabela_registros[TIPO],DADOS!$AB$3,tabela_registros[CATEGORIA],investirrendafixaconsolidadomai[[#This Row],[ATUAL]])</f>
        <v>0</v>
      </c>
      <c r="T115" s="91">
        <f>SUMIFS(tabela_registros[VALOR],tabela_registros[MÊS],$AE$1,tabela_registros[DIA],investirrendafixaconsolidadomai[[#Headers],[16]],tabela_registros[REGISTRO],DADOS!$N$5,tabela_registros[TIPO],DADOS!$AB$3,tabela_registros[CATEGORIA],investirrendafixaconsolidadomai[[#This Row],[ATUAL]])</f>
        <v>0</v>
      </c>
      <c r="U115" s="91">
        <f>SUMIFS(tabela_registros[VALOR],tabela_registros[MÊS],$AE$1,tabela_registros[DIA],investirrendafixaconsolidadomai[[#Headers],[17]],tabela_registros[REGISTRO],DADOS!$N$5,tabela_registros[TIPO],DADOS!$AB$3,tabela_registros[CATEGORIA],investirrendafixaconsolidadomai[[#This Row],[ATUAL]])</f>
        <v>0</v>
      </c>
      <c r="V115" s="91">
        <f>SUMIFS(tabela_registros[VALOR],tabela_registros[MÊS],$AE$1,tabela_registros[DIA],investirrendafixaconsolidadomai[[#Headers],[18]],tabela_registros[REGISTRO],DADOS!$N$5,tabela_registros[TIPO],DADOS!$AB$3,tabela_registros[CATEGORIA],investirrendafixaconsolidadomai[[#This Row],[ATUAL]])</f>
        <v>0</v>
      </c>
      <c r="W115" s="91">
        <f>SUMIFS(tabela_registros[VALOR],tabela_registros[MÊS],$AE$1,tabela_registros[DIA],investirrendafixaconsolidadomai[[#Headers],[19]],tabela_registros[REGISTRO],DADOS!$N$5,tabela_registros[TIPO],DADOS!$AB$3,tabela_registros[CATEGORIA],investirrendafixaconsolidadomai[[#This Row],[ATUAL]])</f>
        <v>0</v>
      </c>
      <c r="X115" s="91">
        <f>SUMIFS(tabela_registros[VALOR],tabela_registros[MÊS],$AE$1,tabela_registros[DIA],investirrendafixaconsolidadomai[[#Headers],[20]],tabela_registros[REGISTRO],DADOS!$N$5,tabela_registros[TIPO],DADOS!$AB$3,tabela_registros[CATEGORIA],investirrendafixaconsolidadomai[[#This Row],[ATUAL]])</f>
        <v>0</v>
      </c>
      <c r="Y115" s="91">
        <f>SUMIFS(tabela_registros[VALOR],tabela_registros[MÊS],$AE$1,tabela_registros[DIA],investirrendafixaconsolidadomai[[#Headers],[21]],tabela_registros[REGISTRO],DADOS!$N$5,tabela_registros[TIPO],DADOS!$AB$3,tabela_registros[CATEGORIA],investirrendafixaconsolidadomai[[#This Row],[ATUAL]])</f>
        <v>0</v>
      </c>
      <c r="Z115" s="91">
        <f>SUMIFS(tabela_registros[VALOR],tabela_registros[MÊS],$AE$1,tabela_registros[DIA],investirrendafixaconsolidadomai[[#Headers],[22]],tabela_registros[REGISTRO],DADOS!$N$5,tabela_registros[TIPO],DADOS!$AB$3,tabela_registros[CATEGORIA],investirrendafixaconsolidadomai[[#This Row],[ATUAL]])</f>
        <v>0</v>
      </c>
      <c r="AA115" s="91">
        <f>SUMIFS(tabela_registros[VALOR],tabela_registros[MÊS],$AE$1,tabela_registros[DIA],investirrendafixaconsolidadomai[[#Headers],[23]],tabela_registros[REGISTRO],DADOS!$N$5,tabela_registros[TIPO],DADOS!$AB$3,tabela_registros[CATEGORIA],investirrendafixaconsolidadomai[[#This Row],[ATUAL]])</f>
        <v>0</v>
      </c>
      <c r="AB115" s="91">
        <f>SUMIFS(tabela_registros[VALOR],tabela_registros[MÊS],$AE$1,tabela_registros[DIA],investirrendafixaconsolidadomai[[#Headers],[24]],tabela_registros[REGISTRO],DADOS!$N$5,tabela_registros[TIPO],DADOS!$AB$3,tabela_registros[CATEGORIA],investirrendafixaconsolidadomai[[#This Row],[ATUAL]])</f>
        <v>0</v>
      </c>
      <c r="AC115" s="91">
        <f>SUMIFS(tabela_registros[VALOR],tabela_registros[MÊS],$AE$1,tabela_registros[DIA],investirrendafixaconsolidadomai[[#Headers],[25]],tabela_registros[REGISTRO],DADOS!$N$5,tabela_registros[TIPO],DADOS!$AB$3,tabela_registros[CATEGORIA],investirrendafixaconsolidadomai[[#This Row],[ATUAL]])</f>
        <v>0</v>
      </c>
      <c r="AD115" s="91">
        <f>SUMIFS(tabela_registros[VALOR],tabela_registros[MÊS],$AE$1,tabela_registros[DIA],investirrendafixaconsolidadomai[[#Headers],[26]],tabela_registros[REGISTRO],DADOS!$N$5,tabela_registros[TIPO],DADOS!$AB$3,tabela_registros[CATEGORIA],investirrendafixaconsolidadomai[[#This Row],[ATUAL]])</f>
        <v>0</v>
      </c>
      <c r="AE115" s="91">
        <f>SUMIFS(tabela_registros[VALOR],tabela_registros[MÊS],$AE$1,tabela_registros[DIA],investirrendafixaconsolidadomai[[#Headers],[27]],tabela_registros[REGISTRO],DADOS!$N$5,tabela_registros[TIPO],DADOS!$AB$3,tabela_registros[CATEGORIA],investirrendafixaconsolidadomai[[#This Row],[ATUAL]])</f>
        <v>0</v>
      </c>
      <c r="AF115" s="91">
        <f>SUMIFS(tabela_registros[VALOR],tabela_registros[MÊS],$AE$1,tabela_registros[DIA],investirrendafixaconsolidadomai[[#Headers],[28]],tabela_registros[REGISTRO],DADOS!$N$5,tabela_registros[TIPO],DADOS!$AB$3,tabela_registros[CATEGORIA],investirrendafixaconsolidadomai[[#This Row],[ATUAL]])</f>
        <v>0</v>
      </c>
      <c r="AG115" s="91">
        <f>SUMIFS(tabela_registros[VALOR],tabela_registros[MÊS],$AE$1,tabela_registros[DIA],investirrendafixaconsolidadomai[[#Headers],[29]],tabela_registros[REGISTRO],DADOS!$N$5,tabela_registros[TIPO],DADOS!$AB$3,tabela_registros[CATEGORIA],investirrendafixaconsolidadomai[[#This Row],[ATUAL]])</f>
        <v>0</v>
      </c>
      <c r="AH115" s="91">
        <f>SUMIFS(tabela_registros[VALOR],tabela_registros[MÊS],$AE$1,tabela_registros[DIA],investirrendafixaconsolidadomai[[#Headers],[30]],tabela_registros[REGISTRO],DADOS!$N$5,tabela_registros[TIPO],DADOS!$AB$3,tabela_registros[CATEGORIA],investirrendafixaconsolidadomai[[#This Row],[ATUAL]])</f>
        <v>0</v>
      </c>
      <c r="AI115" s="101">
        <f>SUMIFS(tabela_registros[VALOR],tabela_registros[MÊS],$AE$1,tabela_registros[DIA],investirrendafixaconsolidadomai[[#Headers],[31]],tabela_registros[REGISTRO],DADOS!$N$5,tabela_registros[TIPO],DADOS!$AB$3,tabela_registros[CATEGORIA],investirrendafixaconsolidadomai[[#This Row],[ATUAL]])</f>
        <v>0</v>
      </c>
      <c r="AJ115" s="97">
        <f>SUM(investirrendafixaconsolidadomai[[#This Row],[1]:[31]])</f>
        <v>0</v>
      </c>
      <c r="AK115" s="25"/>
    </row>
    <row r="116" spans="2:37" ht="19.5" customHeight="1" thickTop="1" thickBot="1" x14ac:dyDescent="0.3">
      <c r="B116" s="28"/>
      <c r="C116" s="27" t="str">
        <f>DADOS!$AD$6</f>
        <v>📝 DEBÊNTURE</v>
      </c>
      <c r="D116" s="26" t="str">
        <f>IF(investirrendafixaconsolidadomai[[#This Row],[TOTAL (R$)]]=0,"",IF(OR(investirrendafixaconsolidadomai[[#This Row],[TOTAL (R$)]]=LARGE($AJ$113:$AJ$122,1),investirrendafixaconsolidadomai[[#This Row],[TOTAL (R$)]]=LARGE($AJ$113:$AJ$122,2)),DADOS!$I$10,""))</f>
        <v/>
      </c>
      <c r="E116" s="96">
        <f>SUMIFS(tabela_registros[VALOR],tabela_registros[MÊS],$AE$1,tabela_registros[DIA],investirrendafixaconsolidadomai[[#Headers],[1]],tabela_registros[REGISTRO],DADOS!$N$5,tabela_registros[TIPO],DADOS!$AB$3,tabela_registros[CATEGORIA],investirrendafixaconsolidadomai[[#This Row],[ATUAL]])</f>
        <v>0</v>
      </c>
      <c r="F116" s="91">
        <f>SUMIFS(tabela_registros[VALOR],tabela_registros[MÊS],$AE$1,tabela_registros[DIA],investirrendafixaconsolidadomai[[#Headers],[2]],tabela_registros[REGISTRO],DADOS!$N$5,tabela_registros[TIPO],DADOS!$AB$3,tabela_registros[CATEGORIA],investirrendafixaconsolidadomai[[#This Row],[ATUAL]])</f>
        <v>0</v>
      </c>
      <c r="G116" s="91">
        <f>SUMIFS(tabela_registros[VALOR],tabela_registros[MÊS],$AE$1,tabela_registros[DIA],investirrendafixaconsolidadomai[[#Headers],[3]],tabela_registros[REGISTRO],DADOS!$N$5,tabela_registros[TIPO],DADOS!$AB$3,tabela_registros[CATEGORIA],investirrendafixaconsolidadomai[[#This Row],[ATUAL]])</f>
        <v>0</v>
      </c>
      <c r="H116" s="91">
        <f>SUMIFS(tabela_registros[VALOR],tabela_registros[MÊS],$AE$1,tabela_registros[DIA],investirrendafixaconsolidadomai[[#Headers],[4]],tabela_registros[REGISTRO],DADOS!$N$5,tabela_registros[TIPO],DADOS!$AB$3,tabela_registros[CATEGORIA],investirrendafixaconsolidadomai[[#This Row],[ATUAL]])</f>
        <v>0</v>
      </c>
      <c r="I116" s="91">
        <f>SUMIFS(tabela_registros[VALOR],tabela_registros[MÊS],$AE$1,tabela_registros[DIA],investirrendafixaconsolidadomai[[#Headers],[5]],tabela_registros[REGISTRO],DADOS!$N$5,tabela_registros[TIPO],DADOS!$AB$3,tabela_registros[CATEGORIA],investirrendafixaconsolidadomai[[#This Row],[ATUAL]])</f>
        <v>0</v>
      </c>
      <c r="J116" s="91">
        <f>SUMIFS(tabela_registros[VALOR],tabela_registros[MÊS],$AE$1,tabela_registros[DIA],investirrendafixaconsolidadomai[[#Headers],[6]],tabela_registros[REGISTRO],DADOS!$N$5,tabela_registros[TIPO],DADOS!$AB$3,tabela_registros[CATEGORIA],investirrendafixaconsolidadomai[[#This Row],[ATUAL]])</f>
        <v>0</v>
      </c>
      <c r="K116" s="91">
        <f>SUMIFS(tabela_registros[VALOR],tabela_registros[MÊS],$AE$1,tabela_registros[DIA],investirrendafixaconsolidadomai[[#Headers],[7]],tabela_registros[REGISTRO],DADOS!$N$5,tabela_registros[TIPO],DADOS!$AB$3,tabela_registros[CATEGORIA],investirrendafixaconsolidadomai[[#This Row],[ATUAL]])</f>
        <v>0</v>
      </c>
      <c r="L116" s="91">
        <f>SUMIFS(tabela_registros[VALOR],tabela_registros[MÊS],$AE$1,tabela_registros[DIA],investirrendafixaconsolidadomai[[#Headers],[8]],tabela_registros[REGISTRO],DADOS!$N$5,tabela_registros[TIPO],DADOS!$AB$3,tabela_registros[CATEGORIA],investirrendafixaconsolidadomai[[#This Row],[ATUAL]])</f>
        <v>0</v>
      </c>
      <c r="M116" s="91">
        <f>SUMIFS(tabela_registros[VALOR],tabela_registros[MÊS],$AE$1,tabela_registros[DIA],investirrendafixaconsolidadomai[[#Headers],[9]],tabela_registros[REGISTRO],DADOS!$N$5,tabela_registros[TIPO],DADOS!$AB$3,tabela_registros[CATEGORIA],investirrendafixaconsolidadomai[[#This Row],[ATUAL]])</f>
        <v>0</v>
      </c>
      <c r="N116" s="91">
        <f>SUMIFS(tabela_registros[VALOR],tabela_registros[MÊS],$AE$1,tabela_registros[DIA],investirrendafixaconsolidadomai[[#Headers],[10]],tabela_registros[REGISTRO],DADOS!$N$5,tabela_registros[TIPO],DADOS!$AB$3,tabela_registros[CATEGORIA],investirrendafixaconsolidadomai[[#This Row],[ATUAL]])</f>
        <v>0</v>
      </c>
      <c r="O116" s="91">
        <f>SUMIFS(tabela_registros[VALOR],tabela_registros[MÊS],$AE$1,tabela_registros[DIA],investirrendafixaconsolidadomai[[#Headers],[11]],tabela_registros[REGISTRO],DADOS!$N$5,tabela_registros[TIPO],DADOS!$AB$3,tabela_registros[CATEGORIA],investirrendafixaconsolidadomai[[#This Row],[ATUAL]])</f>
        <v>0</v>
      </c>
      <c r="P116" s="91">
        <f>SUMIFS(tabela_registros[VALOR],tabela_registros[MÊS],$AE$1,tabela_registros[DIA],investirrendafixaconsolidadomai[[#Headers],[12]],tabela_registros[REGISTRO],DADOS!$N$5,tabela_registros[TIPO],DADOS!$AB$3,tabela_registros[CATEGORIA],investirrendafixaconsolidadomai[[#This Row],[ATUAL]])</f>
        <v>0</v>
      </c>
      <c r="Q116" s="91">
        <f>SUMIFS(tabela_registros[VALOR],tabela_registros[MÊS],$AE$1,tabela_registros[DIA],investirrendafixaconsolidadomai[[#Headers],[13]],tabela_registros[REGISTRO],DADOS!$N$5,tabela_registros[TIPO],DADOS!$AB$3,tabela_registros[CATEGORIA],investirrendafixaconsolidadomai[[#This Row],[ATUAL]])</f>
        <v>0</v>
      </c>
      <c r="R116" s="91">
        <f>SUMIFS(tabela_registros[VALOR],tabela_registros[MÊS],$AE$1,tabela_registros[DIA],investirrendafixaconsolidadomai[[#Headers],[14]],tabela_registros[REGISTRO],DADOS!$N$5,tabela_registros[TIPO],DADOS!$AB$3,tabela_registros[CATEGORIA],investirrendafixaconsolidadomai[[#This Row],[ATUAL]])</f>
        <v>0</v>
      </c>
      <c r="S116" s="91">
        <f>SUMIFS(tabela_registros[VALOR],tabela_registros[MÊS],$AE$1,tabela_registros[DIA],investirrendafixaconsolidadomai[[#Headers],[15]],tabela_registros[REGISTRO],DADOS!$N$5,tabela_registros[TIPO],DADOS!$AB$3,tabela_registros[CATEGORIA],investirrendafixaconsolidadomai[[#This Row],[ATUAL]])</f>
        <v>0</v>
      </c>
      <c r="T116" s="91">
        <f>SUMIFS(tabela_registros[VALOR],tabela_registros[MÊS],$AE$1,tabela_registros[DIA],investirrendafixaconsolidadomai[[#Headers],[16]],tabela_registros[REGISTRO],DADOS!$N$5,tabela_registros[TIPO],DADOS!$AB$3,tabela_registros[CATEGORIA],investirrendafixaconsolidadomai[[#This Row],[ATUAL]])</f>
        <v>0</v>
      </c>
      <c r="U116" s="91">
        <f>SUMIFS(tabela_registros[VALOR],tabela_registros[MÊS],$AE$1,tabela_registros[DIA],investirrendafixaconsolidadomai[[#Headers],[17]],tabela_registros[REGISTRO],DADOS!$N$5,tabela_registros[TIPO],DADOS!$AB$3,tabela_registros[CATEGORIA],investirrendafixaconsolidadomai[[#This Row],[ATUAL]])</f>
        <v>0</v>
      </c>
      <c r="V116" s="91">
        <f>SUMIFS(tabela_registros[VALOR],tabela_registros[MÊS],$AE$1,tabela_registros[DIA],investirrendafixaconsolidadomai[[#Headers],[18]],tabela_registros[REGISTRO],DADOS!$N$5,tabela_registros[TIPO],DADOS!$AB$3,tabela_registros[CATEGORIA],investirrendafixaconsolidadomai[[#This Row],[ATUAL]])</f>
        <v>0</v>
      </c>
      <c r="W116" s="91">
        <f>SUMIFS(tabela_registros[VALOR],tabela_registros[MÊS],$AE$1,tabela_registros[DIA],investirrendafixaconsolidadomai[[#Headers],[19]],tabela_registros[REGISTRO],DADOS!$N$5,tabela_registros[TIPO],DADOS!$AB$3,tabela_registros[CATEGORIA],investirrendafixaconsolidadomai[[#This Row],[ATUAL]])</f>
        <v>0</v>
      </c>
      <c r="X116" s="91">
        <f>SUMIFS(tabela_registros[VALOR],tabela_registros[MÊS],$AE$1,tabela_registros[DIA],investirrendafixaconsolidadomai[[#Headers],[20]],tabela_registros[REGISTRO],DADOS!$N$5,tabela_registros[TIPO],DADOS!$AB$3,tabela_registros[CATEGORIA],investirrendafixaconsolidadomai[[#This Row],[ATUAL]])</f>
        <v>0</v>
      </c>
      <c r="Y116" s="91">
        <f>SUMIFS(tabela_registros[VALOR],tabela_registros[MÊS],$AE$1,tabela_registros[DIA],investirrendafixaconsolidadomai[[#Headers],[21]],tabela_registros[REGISTRO],DADOS!$N$5,tabela_registros[TIPO],DADOS!$AB$3,tabela_registros[CATEGORIA],investirrendafixaconsolidadomai[[#This Row],[ATUAL]])</f>
        <v>0</v>
      </c>
      <c r="Z116" s="91">
        <f>SUMIFS(tabela_registros[VALOR],tabela_registros[MÊS],$AE$1,tabela_registros[DIA],investirrendafixaconsolidadomai[[#Headers],[22]],tabela_registros[REGISTRO],DADOS!$N$5,tabela_registros[TIPO],DADOS!$AB$3,tabela_registros[CATEGORIA],investirrendafixaconsolidadomai[[#This Row],[ATUAL]])</f>
        <v>0</v>
      </c>
      <c r="AA116" s="91">
        <f>SUMIFS(tabela_registros[VALOR],tabela_registros[MÊS],$AE$1,tabela_registros[DIA],investirrendafixaconsolidadomai[[#Headers],[23]],tabela_registros[REGISTRO],DADOS!$N$5,tabela_registros[TIPO],DADOS!$AB$3,tabela_registros[CATEGORIA],investirrendafixaconsolidadomai[[#This Row],[ATUAL]])</f>
        <v>0</v>
      </c>
      <c r="AB116" s="91">
        <f>SUMIFS(tabela_registros[VALOR],tabela_registros[MÊS],$AE$1,tabela_registros[DIA],investirrendafixaconsolidadomai[[#Headers],[24]],tabela_registros[REGISTRO],DADOS!$N$5,tabela_registros[TIPO],DADOS!$AB$3,tabela_registros[CATEGORIA],investirrendafixaconsolidadomai[[#This Row],[ATUAL]])</f>
        <v>0</v>
      </c>
      <c r="AC116" s="91">
        <f>SUMIFS(tabela_registros[VALOR],tabela_registros[MÊS],$AE$1,tabela_registros[DIA],investirrendafixaconsolidadomai[[#Headers],[25]],tabela_registros[REGISTRO],DADOS!$N$5,tabela_registros[TIPO],DADOS!$AB$3,tabela_registros[CATEGORIA],investirrendafixaconsolidadomai[[#This Row],[ATUAL]])</f>
        <v>0</v>
      </c>
      <c r="AD116" s="91">
        <f>SUMIFS(tabela_registros[VALOR],tabela_registros[MÊS],$AE$1,tabela_registros[DIA],investirrendafixaconsolidadomai[[#Headers],[26]],tabela_registros[REGISTRO],DADOS!$N$5,tabela_registros[TIPO],DADOS!$AB$3,tabela_registros[CATEGORIA],investirrendafixaconsolidadomai[[#This Row],[ATUAL]])</f>
        <v>0</v>
      </c>
      <c r="AE116" s="91">
        <f>SUMIFS(tabela_registros[VALOR],tabela_registros[MÊS],$AE$1,tabela_registros[DIA],investirrendafixaconsolidadomai[[#Headers],[27]],tabela_registros[REGISTRO],DADOS!$N$5,tabela_registros[TIPO],DADOS!$AB$3,tabela_registros[CATEGORIA],investirrendafixaconsolidadomai[[#This Row],[ATUAL]])</f>
        <v>0</v>
      </c>
      <c r="AF116" s="91">
        <f>SUMIFS(tabela_registros[VALOR],tabela_registros[MÊS],$AE$1,tabela_registros[DIA],investirrendafixaconsolidadomai[[#Headers],[28]],tabela_registros[REGISTRO],DADOS!$N$5,tabela_registros[TIPO],DADOS!$AB$3,tabela_registros[CATEGORIA],investirrendafixaconsolidadomai[[#This Row],[ATUAL]])</f>
        <v>0</v>
      </c>
      <c r="AG116" s="91">
        <f>SUMIFS(tabela_registros[VALOR],tabela_registros[MÊS],$AE$1,tabela_registros[DIA],investirrendafixaconsolidadomai[[#Headers],[29]],tabela_registros[REGISTRO],DADOS!$N$5,tabela_registros[TIPO],DADOS!$AB$3,tabela_registros[CATEGORIA],investirrendafixaconsolidadomai[[#This Row],[ATUAL]])</f>
        <v>0</v>
      </c>
      <c r="AH116" s="91">
        <f>SUMIFS(tabela_registros[VALOR],tabela_registros[MÊS],$AE$1,tabela_registros[DIA],investirrendafixaconsolidadomai[[#Headers],[30]],tabela_registros[REGISTRO],DADOS!$N$5,tabela_registros[TIPO],DADOS!$AB$3,tabela_registros[CATEGORIA],investirrendafixaconsolidadomai[[#This Row],[ATUAL]])</f>
        <v>0</v>
      </c>
      <c r="AI116" s="101">
        <f>SUMIFS(tabela_registros[VALOR],tabela_registros[MÊS],$AE$1,tabela_registros[DIA],investirrendafixaconsolidadomai[[#Headers],[31]],tabela_registros[REGISTRO],DADOS!$N$5,tabela_registros[TIPO],DADOS!$AB$3,tabela_registros[CATEGORIA],investirrendafixaconsolidadomai[[#This Row],[ATUAL]])</f>
        <v>0</v>
      </c>
      <c r="AJ116" s="97">
        <f>SUM(investirrendafixaconsolidadomai[[#This Row],[1]:[31]])</f>
        <v>0</v>
      </c>
      <c r="AK116" s="25"/>
    </row>
    <row r="117" spans="2:37" ht="19.5" customHeight="1" thickTop="1" thickBot="1" x14ac:dyDescent="0.3">
      <c r="B117" s="28"/>
      <c r="C117" s="27" t="str">
        <f>DADOS!$AD$7</f>
        <v>📝 EXTERIOR</v>
      </c>
      <c r="D117" s="26" t="str">
        <f>IF(investirrendafixaconsolidadomai[[#This Row],[TOTAL (R$)]]=0,"",IF(OR(investirrendafixaconsolidadomai[[#This Row],[TOTAL (R$)]]=LARGE($AJ$113:$AJ$122,1),investirrendafixaconsolidadomai[[#This Row],[TOTAL (R$)]]=LARGE($AJ$113:$AJ$122,2)),DADOS!$I$10,""))</f>
        <v/>
      </c>
      <c r="E117" s="96">
        <f>SUMIFS(tabela_registros[VALOR],tabela_registros[MÊS],$AE$1,tabela_registros[DIA],investirrendafixaconsolidadomai[[#Headers],[1]],tabela_registros[REGISTRO],DADOS!$N$5,tabela_registros[TIPO],DADOS!$AB$3,tabela_registros[CATEGORIA],investirrendafixaconsolidadomai[[#This Row],[ATUAL]])</f>
        <v>0</v>
      </c>
      <c r="F117" s="91">
        <f>SUMIFS(tabela_registros[VALOR],tabela_registros[MÊS],$AE$1,tabela_registros[DIA],investirrendafixaconsolidadomai[[#Headers],[2]],tabela_registros[REGISTRO],DADOS!$N$5,tabela_registros[TIPO],DADOS!$AB$3,tabela_registros[CATEGORIA],investirrendafixaconsolidadomai[[#This Row],[ATUAL]])</f>
        <v>0</v>
      </c>
      <c r="G117" s="91">
        <f>SUMIFS(tabela_registros[VALOR],tabela_registros[MÊS],$AE$1,tabela_registros[DIA],investirrendafixaconsolidadomai[[#Headers],[3]],tabela_registros[REGISTRO],DADOS!$N$5,tabela_registros[TIPO],DADOS!$AB$3,tabela_registros[CATEGORIA],investirrendafixaconsolidadomai[[#This Row],[ATUAL]])</f>
        <v>0</v>
      </c>
      <c r="H117" s="91">
        <f>SUMIFS(tabela_registros[VALOR],tabela_registros[MÊS],$AE$1,tabela_registros[DIA],investirrendafixaconsolidadomai[[#Headers],[4]],tabela_registros[REGISTRO],DADOS!$N$5,tabela_registros[TIPO],DADOS!$AB$3,tabela_registros[CATEGORIA],investirrendafixaconsolidadomai[[#This Row],[ATUAL]])</f>
        <v>0</v>
      </c>
      <c r="I117" s="91">
        <f>SUMIFS(tabela_registros[VALOR],tabela_registros[MÊS],$AE$1,tabela_registros[DIA],investirrendafixaconsolidadomai[[#Headers],[5]],tabela_registros[REGISTRO],DADOS!$N$5,tabela_registros[TIPO],DADOS!$AB$3,tabela_registros[CATEGORIA],investirrendafixaconsolidadomai[[#This Row],[ATUAL]])</f>
        <v>0</v>
      </c>
      <c r="J117" s="91">
        <f>SUMIFS(tabela_registros[VALOR],tabela_registros[MÊS],$AE$1,tabela_registros[DIA],investirrendafixaconsolidadomai[[#Headers],[6]],tabela_registros[REGISTRO],DADOS!$N$5,tabela_registros[TIPO],DADOS!$AB$3,tabela_registros[CATEGORIA],investirrendafixaconsolidadomai[[#This Row],[ATUAL]])</f>
        <v>0</v>
      </c>
      <c r="K117" s="91">
        <f>SUMIFS(tabela_registros[VALOR],tabela_registros[MÊS],$AE$1,tabela_registros[DIA],investirrendafixaconsolidadomai[[#Headers],[7]],tabela_registros[REGISTRO],DADOS!$N$5,tabela_registros[TIPO],DADOS!$AB$3,tabela_registros[CATEGORIA],investirrendafixaconsolidadomai[[#This Row],[ATUAL]])</f>
        <v>0</v>
      </c>
      <c r="L117" s="91">
        <f>SUMIFS(tabela_registros[VALOR],tabela_registros[MÊS],$AE$1,tabela_registros[DIA],investirrendafixaconsolidadomai[[#Headers],[8]],tabela_registros[REGISTRO],DADOS!$N$5,tabela_registros[TIPO],DADOS!$AB$3,tabela_registros[CATEGORIA],investirrendafixaconsolidadomai[[#This Row],[ATUAL]])</f>
        <v>0</v>
      </c>
      <c r="M117" s="91">
        <f>SUMIFS(tabela_registros[VALOR],tabela_registros[MÊS],$AE$1,tabela_registros[DIA],investirrendafixaconsolidadomai[[#Headers],[9]],tabela_registros[REGISTRO],DADOS!$N$5,tabela_registros[TIPO],DADOS!$AB$3,tabela_registros[CATEGORIA],investirrendafixaconsolidadomai[[#This Row],[ATUAL]])</f>
        <v>0</v>
      </c>
      <c r="N117" s="91">
        <f>SUMIFS(tabela_registros[VALOR],tabela_registros[MÊS],$AE$1,tabela_registros[DIA],investirrendafixaconsolidadomai[[#Headers],[10]],tabela_registros[REGISTRO],DADOS!$N$5,tabela_registros[TIPO],DADOS!$AB$3,tabela_registros[CATEGORIA],investirrendafixaconsolidadomai[[#This Row],[ATUAL]])</f>
        <v>0</v>
      </c>
      <c r="O117" s="91">
        <f>SUMIFS(tabela_registros[VALOR],tabela_registros[MÊS],$AE$1,tabela_registros[DIA],investirrendafixaconsolidadomai[[#Headers],[11]],tabela_registros[REGISTRO],DADOS!$N$5,tabela_registros[TIPO],DADOS!$AB$3,tabela_registros[CATEGORIA],investirrendafixaconsolidadomai[[#This Row],[ATUAL]])</f>
        <v>0</v>
      </c>
      <c r="P117" s="91">
        <f>SUMIFS(tabela_registros[VALOR],tabela_registros[MÊS],$AE$1,tabela_registros[DIA],investirrendafixaconsolidadomai[[#Headers],[12]],tabela_registros[REGISTRO],DADOS!$N$5,tabela_registros[TIPO],DADOS!$AB$3,tabela_registros[CATEGORIA],investirrendafixaconsolidadomai[[#This Row],[ATUAL]])</f>
        <v>0</v>
      </c>
      <c r="Q117" s="91">
        <f>SUMIFS(tabela_registros[VALOR],tabela_registros[MÊS],$AE$1,tabela_registros[DIA],investirrendafixaconsolidadomai[[#Headers],[13]],tabela_registros[REGISTRO],DADOS!$N$5,tabela_registros[TIPO],DADOS!$AB$3,tabela_registros[CATEGORIA],investirrendafixaconsolidadomai[[#This Row],[ATUAL]])</f>
        <v>0</v>
      </c>
      <c r="R117" s="91">
        <f>SUMIFS(tabela_registros[VALOR],tabela_registros[MÊS],$AE$1,tabela_registros[DIA],investirrendafixaconsolidadomai[[#Headers],[14]],tabela_registros[REGISTRO],DADOS!$N$5,tabela_registros[TIPO],DADOS!$AB$3,tabela_registros[CATEGORIA],investirrendafixaconsolidadomai[[#This Row],[ATUAL]])</f>
        <v>0</v>
      </c>
      <c r="S117" s="91">
        <f>SUMIFS(tabela_registros[VALOR],tabela_registros[MÊS],$AE$1,tabela_registros[DIA],investirrendafixaconsolidadomai[[#Headers],[15]],tabela_registros[REGISTRO],DADOS!$N$5,tabela_registros[TIPO],DADOS!$AB$3,tabela_registros[CATEGORIA],investirrendafixaconsolidadomai[[#This Row],[ATUAL]])</f>
        <v>0</v>
      </c>
      <c r="T117" s="91">
        <f>SUMIFS(tabela_registros[VALOR],tabela_registros[MÊS],$AE$1,tabela_registros[DIA],investirrendafixaconsolidadomai[[#Headers],[16]],tabela_registros[REGISTRO],DADOS!$N$5,tabela_registros[TIPO],DADOS!$AB$3,tabela_registros[CATEGORIA],investirrendafixaconsolidadomai[[#This Row],[ATUAL]])</f>
        <v>0</v>
      </c>
      <c r="U117" s="91">
        <f>SUMIFS(tabela_registros[VALOR],tabela_registros[MÊS],$AE$1,tabela_registros[DIA],investirrendafixaconsolidadomai[[#Headers],[17]],tabela_registros[REGISTRO],DADOS!$N$5,tabela_registros[TIPO],DADOS!$AB$3,tabela_registros[CATEGORIA],investirrendafixaconsolidadomai[[#This Row],[ATUAL]])</f>
        <v>0</v>
      </c>
      <c r="V117" s="91">
        <f>SUMIFS(tabela_registros[VALOR],tabela_registros[MÊS],$AE$1,tabela_registros[DIA],investirrendafixaconsolidadomai[[#Headers],[18]],tabela_registros[REGISTRO],DADOS!$N$5,tabela_registros[TIPO],DADOS!$AB$3,tabela_registros[CATEGORIA],investirrendafixaconsolidadomai[[#This Row],[ATUAL]])</f>
        <v>0</v>
      </c>
      <c r="W117" s="91">
        <f>SUMIFS(tabela_registros[VALOR],tabela_registros[MÊS],$AE$1,tabela_registros[DIA],investirrendafixaconsolidadomai[[#Headers],[19]],tabela_registros[REGISTRO],DADOS!$N$5,tabela_registros[TIPO],DADOS!$AB$3,tabela_registros[CATEGORIA],investirrendafixaconsolidadomai[[#This Row],[ATUAL]])</f>
        <v>0</v>
      </c>
      <c r="X117" s="91">
        <f>SUMIFS(tabela_registros[VALOR],tabela_registros[MÊS],$AE$1,tabela_registros[DIA],investirrendafixaconsolidadomai[[#Headers],[20]],tabela_registros[REGISTRO],DADOS!$N$5,tabela_registros[TIPO],DADOS!$AB$3,tabela_registros[CATEGORIA],investirrendafixaconsolidadomai[[#This Row],[ATUAL]])</f>
        <v>0</v>
      </c>
      <c r="Y117" s="91">
        <f>SUMIFS(tabela_registros[VALOR],tabela_registros[MÊS],$AE$1,tabela_registros[DIA],investirrendafixaconsolidadomai[[#Headers],[21]],tabela_registros[REGISTRO],DADOS!$N$5,tabela_registros[TIPO],DADOS!$AB$3,tabela_registros[CATEGORIA],investirrendafixaconsolidadomai[[#This Row],[ATUAL]])</f>
        <v>0</v>
      </c>
      <c r="Z117" s="91">
        <f>SUMIFS(tabela_registros[VALOR],tabela_registros[MÊS],$AE$1,tabela_registros[DIA],investirrendafixaconsolidadomai[[#Headers],[22]],tabela_registros[REGISTRO],DADOS!$N$5,tabela_registros[TIPO],DADOS!$AB$3,tabela_registros[CATEGORIA],investirrendafixaconsolidadomai[[#This Row],[ATUAL]])</f>
        <v>0</v>
      </c>
      <c r="AA117" s="91">
        <f>SUMIFS(tabela_registros[VALOR],tabela_registros[MÊS],$AE$1,tabela_registros[DIA],investirrendafixaconsolidadomai[[#Headers],[23]],tabela_registros[REGISTRO],DADOS!$N$5,tabela_registros[TIPO],DADOS!$AB$3,tabela_registros[CATEGORIA],investirrendafixaconsolidadomai[[#This Row],[ATUAL]])</f>
        <v>0</v>
      </c>
      <c r="AB117" s="91">
        <f>SUMIFS(tabela_registros[VALOR],tabela_registros[MÊS],$AE$1,tabela_registros[DIA],investirrendafixaconsolidadomai[[#Headers],[24]],tabela_registros[REGISTRO],DADOS!$N$5,tabela_registros[TIPO],DADOS!$AB$3,tabela_registros[CATEGORIA],investirrendafixaconsolidadomai[[#This Row],[ATUAL]])</f>
        <v>0</v>
      </c>
      <c r="AC117" s="91">
        <f>SUMIFS(tabela_registros[VALOR],tabela_registros[MÊS],$AE$1,tabela_registros[DIA],investirrendafixaconsolidadomai[[#Headers],[25]],tabela_registros[REGISTRO],DADOS!$N$5,tabela_registros[TIPO],DADOS!$AB$3,tabela_registros[CATEGORIA],investirrendafixaconsolidadomai[[#This Row],[ATUAL]])</f>
        <v>0</v>
      </c>
      <c r="AD117" s="91">
        <f>SUMIFS(tabela_registros[VALOR],tabela_registros[MÊS],$AE$1,tabela_registros[DIA],investirrendafixaconsolidadomai[[#Headers],[26]],tabela_registros[REGISTRO],DADOS!$N$5,tabela_registros[TIPO],DADOS!$AB$3,tabela_registros[CATEGORIA],investirrendafixaconsolidadomai[[#This Row],[ATUAL]])</f>
        <v>0</v>
      </c>
      <c r="AE117" s="91">
        <f>SUMIFS(tabela_registros[VALOR],tabela_registros[MÊS],$AE$1,tabela_registros[DIA],investirrendafixaconsolidadomai[[#Headers],[27]],tabela_registros[REGISTRO],DADOS!$N$5,tabela_registros[TIPO],DADOS!$AB$3,tabela_registros[CATEGORIA],investirrendafixaconsolidadomai[[#This Row],[ATUAL]])</f>
        <v>0</v>
      </c>
      <c r="AF117" s="91">
        <f>SUMIFS(tabela_registros[VALOR],tabela_registros[MÊS],$AE$1,tabela_registros[DIA],investirrendafixaconsolidadomai[[#Headers],[28]],tabela_registros[REGISTRO],DADOS!$N$5,tabela_registros[TIPO],DADOS!$AB$3,tabela_registros[CATEGORIA],investirrendafixaconsolidadomai[[#This Row],[ATUAL]])</f>
        <v>0</v>
      </c>
      <c r="AG117" s="91">
        <f>SUMIFS(tabela_registros[VALOR],tabela_registros[MÊS],$AE$1,tabela_registros[DIA],investirrendafixaconsolidadomai[[#Headers],[29]],tabela_registros[REGISTRO],DADOS!$N$5,tabela_registros[TIPO],DADOS!$AB$3,tabela_registros[CATEGORIA],investirrendafixaconsolidadomai[[#This Row],[ATUAL]])</f>
        <v>0</v>
      </c>
      <c r="AH117" s="91">
        <f>SUMIFS(tabela_registros[VALOR],tabela_registros[MÊS],$AE$1,tabela_registros[DIA],investirrendafixaconsolidadomai[[#Headers],[30]],tabela_registros[REGISTRO],DADOS!$N$5,tabela_registros[TIPO],DADOS!$AB$3,tabela_registros[CATEGORIA],investirrendafixaconsolidadomai[[#This Row],[ATUAL]])</f>
        <v>0</v>
      </c>
      <c r="AI117" s="101">
        <f>SUMIFS(tabela_registros[VALOR],tabela_registros[MÊS],$AE$1,tabela_registros[DIA],investirrendafixaconsolidadomai[[#Headers],[31]],tabela_registros[REGISTRO],DADOS!$N$5,tabela_registros[TIPO],DADOS!$AB$3,tabela_registros[CATEGORIA],investirrendafixaconsolidadomai[[#This Row],[ATUAL]])</f>
        <v>0</v>
      </c>
      <c r="AJ117" s="97">
        <f>SUM(investirrendafixaconsolidadomai[[#This Row],[1]:[31]])</f>
        <v>0</v>
      </c>
      <c r="AK117" s="25"/>
    </row>
    <row r="118" spans="2:37" ht="19.5" customHeight="1" thickTop="1" thickBot="1" x14ac:dyDescent="0.3">
      <c r="B118" s="28"/>
      <c r="C118" s="27" t="str">
        <f>DADOS!$AD$8</f>
        <v>📝 LC</v>
      </c>
      <c r="D118" s="26" t="str">
        <f>IF(investirrendafixaconsolidadomai[[#This Row],[TOTAL (R$)]]=0,"",IF(OR(investirrendafixaconsolidadomai[[#This Row],[TOTAL (R$)]]=LARGE($AJ$113:$AJ$122,1),investirrendafixaconsolidadomai[[#This Row],[TOTAL (R$)]]=LARGE($AJ$113:$AJ$122,2)),DADOS!$I$10,""))</f>
        <v/>
      </c>
      <c r="E118" s="96">
        <f>SUMIFS(tabela_registros[VALOR],tabela_registros[MÊS],$AE$1,tabela_registros[DIA],investirrendafixaconsolidadomai[[#Headers],[1]],tabela_registros[REGISTRO],DADOS!$N$5,tabela_registros[TIPO],DADOS!$AB$3,tabela_registros[CATEGORIA],investirrendafixaconsolidadomai[[#This Row],[ATUAL]])</f>
        <v>0</v>
      </c>
      <c r="F118" s="91">
        <f>SUMIFS(tabela_registros[VALOR],tabela_registros[MÊS],$AE$1,tabela_registros[DIA],investirrendafixaconsolidadomai[[#Headers],[2]],tabela_registros[REGISTRO],DADOS!$N$5,tabela_registros[TIPO],DADOS!$AB$3,tabela_registros[CATEGORIA],investirrendafixaconsolidadomai[[#This Row],[ATUAL]])</f>
        <v>0</v>
      </c>
      <c r="G118" s="91">
        <f>SUMIFS(tabela_registros[VALOR],tabela_registros[MÊS],$AE$1,tabela_registros[DIA],investirrendafixaconsolidadomai[[#Headers],[3]],tabela_registros[REGISTRO],DADOS!$N$5,tabela_registros[TIPO],DADOS!$AB$3,tabela_registros[CATEGORIA],investirrendafixaconsolidadomai[[#This Row],[ATUAL]])</f>
        <v>0</v>
      </c>
      <c r="H118" s="91">
        <f>SUMIFS(tabela_registros[VALOR],tabela_registros[MÊS],$AE$1,tabela_registros[DIA],investirrendafixaconsolidadomai[[#Headers],[4]],tabela_registros[REGISTRO],DADOS!$N$5,tabela_registros[TIPO],DADOS!$AB$3,tabela_registros[CATEGORIA],investirrendafixaconsolidadomai[[#This Row],[ATUAL]])</f>
        <v>0</v>
      </c>
      <c r="I118" s="91">
        <f>SUMIFS(tabela_registros[VALOR],tabela_registros[MÊS],$AE$1,tabela_registros[DIA],investirrendafixaconsolidadomai[[#Headers],[5]],tabela_registros[REGISTRO],DADOS!$N$5,tabela_registros[TIPO],DADOS!$AB$3,tabela_registros[CATEGORIA],investirrendafixaconsolidadomai[[#This Row],[ATUAL]])</f>
        <v>0</v>
      </c>
      <c r="J118" s="91">
        <f>SUMIFS(tabela_registros[VALOR],tabela_registros[MÊS],$AE$1,tabela_registros[DIA],investirrendafixaconsolidadomai[[#Headers],[6]],tabela_registros[REGISTRO],DADOS!$N$5,tabela_registros[TIPO],DADOS!$AB$3,tabela_registros[CATEGORIA],investirrendafixaconsolidadomai[[#This Row],[ATUAL]])</f>
        <v>0</v>
      </c>
      <c r="K118" s="91">
        <f>SUMIFS(tabela_registros[VALOR],tabela_registros[MÊS],$AE$1,tabela_registros[DIA],investirrendafixaconsolidadomai[[#Headers],[7]],tabela_registros[REGISTRO],DADOS!$N$5,tabela_registros[TIPO],DADOS!$AB$3,tabela_registros[CATEGORIA],investirrendafixaconsolidadomai[[#This Row],[ATUAL]])</f>
        <v>0</v>
      </c>
      <c r="L118" s="91">
        <f>SUMIFS(tabela_registros[VALOR],tabela_registros[MÊS],$AE$1,tabela_registros[DIA],investirrendafixaconsolidadomai[[#Headers],[8]],tabela_registros[REGISTRO],DADOS!$N$5,tabela_registros[TIPO],DADOS!$AB$3,tabela_registros[CATEGORIA],investirrendafixaconsolidadomai[[#This Row],[ATUAL]])</f>
        <v>0</v>
      </c>
      <c r="M118" s="91">
        <f>SUMIFS(tabela_registros[VALOR],tabela_registros[MÊS],$AE$1,tabela_registros[DIA],investirrendafixaconsolidadomai[[#Headers],[9]],tabela_registros[REGISTRO],DADOS!$N$5,tabela_registros[TIPO],DADOS!$AB$3,tabela_registros[CATEGORIA],investirrendafixaconsolidadomai[[#This Row],[ATUAL]])</f>
        <v>0</v>
      </c>
      <c r="N118" s="91">
        <f>SUMIFS(tabela_registros[VALOR],tabela_registros[MÊS],$AE$1,tabela_registros[DIA],investirrendafixaconsolidadomai[[#Headers],[10]],tabela_registros[REGISTRO],DADOS!$N$5,tabela_registros[TIPO],DADOS!$AB$3,tabela_registros[CATEGORIA],investirrendafixaconsolidadomai[[#This Row],[ATUAL]])</f>
        <v>0</v>
      </c>
      <c r="O118" s="91">
        <f>SUMIFS(tabela_registros[VALOR],tabela_registros[MÊS],$AE$1,tabela_registros[DIA],investirrendafixaconsolidadomai[[#Headers],[11]],tabela_registros[REGISTRO],DADOS!$N$5,tabela_registros[TIPO],DADOS!$AB$3,tabela_registros[CATEGORIA],investirrendafixaconsolidadomai[[#This Row],[ATUAL]])</f>
        <v>0</v>
      </c>
      <c r="P118" s="91">
        <f>SUMIFS(tabela_registros[VALOR],tabela_registros[MÊS],$AE$1,tabela_registros[DIA],investirrendafixaconsolidadomai[[#Headers],[12]],tabela_registros[REGISTRO],DADOS!$N$5,tabela_registros[TIPO],DADOS!$AB$3,tabela_registros[CATEGORIA],investirrendafixaconsolidadomai[[#This Row],[ATUAL]])</f>
        <v>0</v>
      </c>
      <c r="Q118" s="91">
        <f>SUMIFS(tabela_registros[VALOR],tabela_registros[MÊS],$AE$1,tabela_registros[DIA],investirrendafixaconsolidadomai[[#Headers],[13]],tabela_registros[REGISTRO],DADOS!$N$5,tabela_registros[TIPO],DADOS!$AB$3,tabela_registros[CATEGORIA],investirrendafixaconsolidadomai[[#This Row],[ATUAL]])</f>
        <v>0</v>
      </c>
      <c r="R118" s="91">
        <f>SUMIFS(tabela_registros[VALOR],tabela_registros[MÊS],$AE$1,tabela_registros[DIA],investirrendafixaconsolidadomai[[#Headers],[14]],tabela_registros[REGISTRO],DADOS!$N$5,tabela_registros[TIPO],DADOS!$AB$3,tabela_registros[CATEGORIA],investirrendafixaconsolidadomai[[#This Row],[ATUAL]])</f>
        <v>0</v>
      </c>
      <c r="S118" s="91">
        <f>SUMIFS(tabela_registros[VALOR],tabela_registros[MÊS],$AE$1,tabela_registros[DIA],investirrendafixaconsolidadomai[[#Headers],[15]],tabela_registros[REGISTRO],DADOS!$N$5,tabela_registros[TIPO],DADOS!$AB$3,tabela_registros[CATEGORIA],investirrendafixaconsolidadomai[[#This Row],[ATUAL]])</f>
        <v>0</v>
      </c>
      <c r="T118" s="91">
        <f>SUMIFS(tabela_registros[VALOR],tabela_registros[MÊS],$AE$1,tabela_registros[DIA],investirrendafixaconsolidadomai[[#Headers],[16]],tabela_registros[REGISTRO],DADOS!$N$5,tabela_registros[TIPO],DADOS!$AB$3,tabela_registros[CATEGORIA],investirrendafixaconsolidadomai[[#This Row],[ATUAL]])</f>
        <v>0</v>
      </c>
      <c r="U118" s="91">
        <f>SUMIFS(tabela_registros[VALOR],tabela_registros[MÊS],$AE$1,tabela_registros[DIA],investirrendafixaconsolidadomai[[#Headers],[17]],tabela_registros[REGISTRO],DADOS!$N$5,tabela_registros[TIPO],DADOS!$AB$3,tabela_registros[CATEGORIA],investirrendafixaconsolidadomai[[#This Row],[ATUAL]])</f>
        <v>0</v>
      </c>
      <c r="V118" s="91">
        <f>SUMIFS(tabela_registros[VALOR],tabela_registros[MÊS],$AE$1,tabela_registros[DIA],investirrendafixaconsolidadomai[[#Headers],[18]],tabela_registros[REGISTRO],DADOS!$N$5,tabela_registros[TIPO],DADOS!$AB$3,tabela_registros[CATEGORIA],investirrendafixaconsolidadomai[[#This Row],[ATUAL]])</f>
        <v>0</v>
      </c>
      <c r="W118" s="91">
        <f>SUMIFS(tabela_registros[VALOR],tabela_registros[MÊS],$AE$1,tabela_registros[DIA],investirrendafixaconsolidadomai[[#Headers],[19]],tabela_registros[REGISTRO],DADOS!$N$5,tabela_registros[TIPO],DADOS!$AB$3,tabela_registros[CATEGORIA],investirrendafixaconsolidadomai[[#This Row],[ATUAL]])</f>
        <v>0</v>
      </c>
      <c r="X118" s="91">
        <f>SUMIFS(tabela_registros[VALOR],tabela_registros[MÊS],$AE$1,tabela_registros[DIA],investirrendafixaconsolidadomai[[#Headers],[20]],tabela_registros[REGISTRO],DADOS!$N$5,tabela_registros[TIPO],DADOS!$AB$3,tabela_registros[CATEGORIA],investirrendafixaconsolidadomai[[#This Row],[ATUAL]])</f>
        <v>0</v>
      </c>
      <c r="Y118" s="91">
        <f>SUMIFS(tabela_registros[VALOR],tabela_registros[MÊS],$AE$1,tabela_registros[DIA],investirrendafixaconsolidadomai[[#Headers],[21]],tabela_registros[REGISTRO],DADOS!$N$5,tabela_registros[TIPO],DADOS!$AB$3,tabela_registros[CATEGORIA],investirrendafixaconsolidadomai[[#This Row],[ATUAL]])</f>
        <v>0</v>
      </c>
      <c r="Z118" s="91">
        <f>SUMIFS(tabela_registros[VALOR],tabela_registros[MÊS],$AE$1,tabela_registros[DIA],investirrendafixaconsolidadomai[[#Headers],[22]],tabela_registros[REGISTRO],DADOS!$N$5,tabela_registros[TIPO],DADOS!$AB$3,tabela_registros[CATEGORIA],investirrendafixaconsolidadomai[[#This Row],[ATUAL]])</f>
        <v>0</v>
      </c>
      <c r="AA118" s="91">
        <f>SUMIFS(tabela_registros[VALOR],tabela_registros[MÊS],$AE$1,tabela_registros[DIA],investirrendafixaconsolidadomai[[#Headers],[23]],tabela_registros[REGISTRO],DADOS!$N$5,tabela_registros[TIPO],DADOS!$AB$3,tabela_registros[CATEGORIA],investirrendafixaconsolidadomai[[#This Row],[ATUAL]])</f>
        <v>0</v>
      </c>
      <c r="AB118" s="91">
        <f>SUMIFS(tabela_registros[VALOR],tabela_registros[MÊS],$AE$1,tabela_registros[DIA],investirrendafixaconsolidadomai[[#Headers],[24]],tabela_registros[REGISTRO],DADOS!$N$5,tabela_registros[TIPO],DADOS!$AB$3,tabela_registros[CATEGORIA],investirrendafixaconsolidadomai[[#This Row],[ATUAL]])</f>
        <v>0</v>
      </c>
      <c r="AC118" s="91">
        <f>SUMIFS(tabela_registros[VALOR],tabela_registros[MÊS],$AE$1,tabela_registros[DIA],investirrendafixaconsolidadomai[[#Headers],[25]],tabela_registros[REGISTRO],DADOS!$N$5,tabela_registros[TIPO],DADOS!$AB$3,tabela_registros[CATEGORIA],investirrendafixaconsolidadomai[[#This Row],[ATUAL]])</f>
        <v>0</v>
      </c>
      <c r="AD118" s="91">
        <f>SUMIFS(tabela_registros[VALOR],tabela_registros[MÊS],$AE$1,tabela_registros[DIA],investirrendafixaconsolidadomai[[#Headers],[26]],tabela_registros[REGISTRO],DADOS!$N$5,tabela_registros[TIPO],DADOS!$AB$3,tabela_registros[CATEGORIA],investirrendafixaconsolidadomai[[#This Row],[ATUAL]])</f>
        <v>0</v>
      </c>
      <c r="AE118" s="91">
        <f>SUMIFS(tabela_registros[VALOR],tabela_registros[MÊS],$AE$1,tabela_registros[DIA],investirrendafixaconsolidadomai[[#Headers],[27]],tabela_registros[REGISTRO],DADOS!$N$5,tabela_registros[TIPO],DADOS!$AB$3,tabela_registros[CATEGORIA],investirrendafixaconsolidadomai[[#This Row],[ATUAL]])</f>
        <v>0</v>
      </c>
      <c r="AF118" s="91">
        <f>SUMIFS(tabela_registros[VALOR],tabela_registros[MÊS],$AE$1,tabela_registros[DIA],investirrendafixaconsolidadomai[[#Headers],[28]],tabela_registros[REGISTRO],DADOS!$N$5,tabela_registros[TIPO],DADOS!$AB$3,tabela_registros[CATEGORIA],investirrendafixaconsolidadomai[[#This Row],[ATUAL]])</f>
        <v>0</v>
      </c>
      <c r="AG118" s="91">
        <f>SUMIFS(tabela_registros[VALOR],tabela_registros[MÊS],$AE$1,tabela_registros[DIA],investirrendafixaconsolidadomai[[#Headers],[29]],tabela_registros[REGISTRO],DADOS!$N$5,tabela_registros[TIPO],DADOS!$AB$3,tabela_registros[CATEGORIA],investirrendafixaconsolidadomai[[#This Row],[ATUAL]])</f>
        <v>0</v>
      </c>
      <c r="AH118" s="91">
        <f>SUMIFS(tabela_registros[VALOR],tabela_registros[MÊS],$AE$1,tabela_registros[DIA],investirrendafixaconsolidadomai[[#Headers],[30]],tabela_registros[REGISTRO],DADOS!$N$5,tabela_registros[TIPO],DADOS!$AB$3,tabela_registros[CATEGORIA],investirrendafixaconsolidadomai[[#This Row],[ATUAL]])</f>
        <v>0</v>
      </c>
      <c r="AI118" s="101">
        <f>SUMIFS(tabela_registros[VALOR],tabela_registros[MÊS],$AE$1,tabela_registros[DIA],investirrendafixaconsolidadomai[[#Headers],[31]],tabela_registros[REGISTRO],DADOS!$N$5,tabela_registros[TIPO],DADOS!$AB$3,tabela_registros[CATEGORIA],investirrendafixaconsolidadomai[[#This Row],[ATUAL]])</f>
        <v>0</v>
      </c>
      <c r="AJ118" s="97">
        <f>SUM(investirrendafixaconsolidadomai[[#This Row],[1]:[31]])</f>
        <v>0</v>
      </c>
      <c r="AK118" s="25"/>
    </row>
    <row r="119" spans="2:37" ht="19.5" customHeight="1" thickTop="1" thickBot="1" x14ac:dyDescent="0.3">
      <c r="B119" s="28"/>
      <c r="C119" s="27" t="str">
        <f>DADOS!$AD$9</f>
        <v>📝 LCA</v>
      </c>
      <c r="D119" s="26" t="str">
        <f>IF(investirrendafixaconsolidadomai[[#This Row],[TOTAL (R$)]]=0,"",IF(OR(investirrendafixaconsolidadomai[[#This Row],[TOTAL (R$)]]=LARGE($AJ$113:$AJ$122,1),investirrendafixaconsolidadomai[[#This Row],[TOTAL (R$)]]=LARGE($AJ$113:$AJ$122,2)),DADOS!$I$10,""))</f>
        <v/>
      </c>
      <c r="E119" s="96">
        <f>SUMIFS(tabela_registros[VALOR],tabela_registros[MÊS],$AE$1,tabela_registros[DIA],investirrendafixaconsolidadomai[[#Headers],[1]],tabela_registros[REGISTRO],DADOS!$N$5,tabela_registros[TIPO],DADOS!$AB$3,tabela_registros[CATEGORIA],investirrendafixaconsolidadomai[[#This Row],[ATUAL]])</f>
        <v>0</v>
      </c>
      <c r="F119" s="91">
        <f>SUMIFS(tabela_registros[VALOR],tabela_registros[MÊS],$AE$1,tabela_registros[DIA],investirrendafixaconsolidadomai[[#Headers],[2]],tabela_registros[REGISTRO],DADOS!$N$5,tabela_registros[TIPO],DADOS!$AB$3,tabela_registros[CATEGORIA],investirrendafixaconsolidadomai[[#This Row],[ATUAL]])</f>
        <v>0</v>
      </c>
      <c r="G119" s="91">
        <f>SUMIFS(tabela_registros[VALOR],tabela_registros[MÊS],$AE$1,tabela_registros[DIA],investirrendafixaconsolidadomai[[#Headers],[3]],tabela_registros[REGISTRO],DADOS!$N$5,tabela_registros[TIPO],DADOS!$AB$3,tabela_registros[CATEGORIA],investirrendafixaconsolidadomai[[#This Row],[ATUAL]])</f>
        <v>0</v>
      </c>
      <c r="H119" s="91">
        <f>SUMIFS(tabela_registros[VALOR],tabela_registros[MÊS],$AE$1,tabela_registros[DIA],investirrendafixaconsolidadomai[[#Headers],[4]],tabela_registros[REGISTRO],DADOS!$N$5,tabela_registros[TIPO],DADOS!$AB$3,tabela_registros[CATEGORIA],investirrendafixaconsolidadomai[[#This Row],[ATUAL]])</f>
        <v>0</v>
      </c>
      <c r="I119" s="91">
        <f>SUMIFS(tabela_registros[VALOR],tabela_registros[MÊS],$AE$1,tabela_registros[DIA],investirrendafixaconsolidadomai[[#Headers],[5]],tabela_registros[REGISTRO],DADOS!$N$5,tabela_registros[TIPO],DADOS!$AB$3,tabela_registros[CATEGORIA],investirrendafixaconsolidadomai[[#This Row],[ATUAL]])</f>
        <v>0</v>
      </c>
      <c r="J119" s="91">
        <f>SUMIFS(tabela_registros[VALOR],tabela_registros[MÊS],$AE$1,tabela_registros[DIA],investirrendafixaconsolidadomai[[#Headers],[6]],tabela_registros[REGISTRO],DADOS!$N$5,tabela_registros[TIPO],DADOS!$AB$3,tabela_registros[CATEGORIA],investirrendafixaconsolidadomai[[#This Row],[ATUAL]])</f>
        <v>0</v>
      </c>
      <c r="K119" s="91">
        <f>SUMIFS(tabela_registros[VALOR],tabela_registros[MÊS],$AE$1,tabela_registros[DIA],investirrendafixaconsolidadomai[[#Headers],[7]],tabela_registros[REGISTRO],DADOS!$N$5,tabela_registros[TIPO],DADOS!$AB$3,tabela_registros[CATEGORIA],investirrendafixaconsolidadomai[[#This Row],[ATUAL]])</f>
        <v>0</v>
      </c>
      <c r="L119" s="91">
        <f>SUMIFS(tabela_registros[VALOR],tabela_registros[MÊS],$AE$1,tabela_registros[DIA],investirrendafixaconsolidadomai[[#Headers],[8]],tabela_registros[REGISTRO],DADOS!$N$5,tabela_registros[TIPO],DADOS!$AB$3,tabela_registros[CATEGORIA],investirrendafixaconsolidadomai[[#This Row],[ATUAL]])</f>
        <v>0</v>
      </c>
      <c r="M119" s="91">
        <f>SUMIFS(tabela_registros[VALOR],tabela_registros[MÊS],$AE$1,tabela_registros[DIA],investirrendafixaconsolidadomai[[#Headers],[9]],tabela_registros[REGISTRO],DADOS!$N$5,tabela_registros[TIPO],DADOS!$AB$3,tabela_registros[CATEGORIA],investirrendafixaconsolidadomai[[#This Row],[ATUAL]])</f>
        <v>0</v>
      </c>
      <c r="N119" s="91">
        <f>SUMIFS(tabela_registros[VALOR],tabela_registros[MÊS],$AE$1,tabela_registros[DIA],investirrendafixaconsolidadomai[[#Headers],[10]],tabela_registros[REGISTRO],DADOS!$N$5,tabela_registros[TIPO],DADOS!$AB$3,tabela_registros[CATEGORIA],investirrendafixaconsolidadomai[[#This Row],[ATUAL]])</f>
        <v>0</v>
      </c>
      <c r="O119" s="91">
        <f>SUMIFS(tabela_registros[VALOR],tabela_registros[MÊS],$AE$1,tabela_registros[DIA],investirrendafixaconsolidadomai[[#Headers],[11]],tabela_registros[REGISTRO],DADOS!$N$5,tabela_registros[TIPO],DADOS!$AB$3,tabela_registros[CATEGORIA],investirrendafixaconsolidadomai[[#This Row],[ATUAL]])</f>
        <v>0</v>
      </c>
      <c r="P119" s="91">
        <f>SUMIFS(tabela_registros[VALOR],tabela_registros[MÊS],$AE$1,tabela_registros[DIA],investirrendafixaconsolidadomai[[#Headers],[12]],tabela_registros[REGISTRO],DADOS!$N$5,tabela_registros[TIPO],DADOS!$AB$3,tabela_registros[CATEGORIA],investirrendafixaconsolidadomai[[#This Row],[ATUAL]])</f>
        <v>0</v>
      </c>
      <c r="Q119" s="91">
        <f>SUMIFS(tabela_registros[VALOR],tabela_registros[MÊS],$AE$1,tabela_registros[DIA],investirrendafixaconsolidadomai[[#Headers],[13]],tabela_registros[REGISTRO],DADOS!$N$5,tabela_registros[TIPO],DADOS!$AB$3,tabela_registros[CATEGORIA],investirrendafixaconsolidadomai[[#This Row],[ATUAL]])</f>
        <v>0</v>
      </c>
      <c r="R119" s="91">
        <f>SUMIFS(tabela_registros[VALOR],tabela_registros[MÊS],$AE$1,tabela_registros[DIA],investirrendafixaconsolidadomai[[#Headers],[14]],tabela_registros[REGISTRO],DADOS!$N$5,tabela_registros[TIPO],DADOS!$AB$3,tabela_registros[CATEGORIA],investirrendafixaconsolidadomai[[#This Row],[ATUAL]])</f>
        <v>0</v>
      </c>
      <c r="S119" s="91">
        <f>SUMIFS(tabela_registros[VALOR],tabela_registros[MÊS],$AE$1,tabela_registros[DIA],investirrendafixaconsolidadomai[[#Headers],[15]],tabela_registros[REGISTRO],DADOS!$N$5,tabela_registros[TIPO],DADOS!$AB$3,tabela_registros[CATEGORIA],investirrendafixaconsolidadomai[[#This Row],[ATUAL]])</f>
        <v>0</v>
      </c>
      <c r="T119" s="91">
        <f>SUMIFS(tabela_registros[VALOR],tabela_registros[MÊS],$AE$1,tabela_registros[DIA],investirrendafixaconsolidadomai[[#Headers],[16]],tabela_registros[REGISTRO],DADOS!$N$5,tabela_registros[TIPO],DADOS!$AB$3,tabela_registros[CATEGORIA],investirrendafixaconsolidadomai[[#This Row],[ATUAL]])</f>
        <v>0</v>
      </c>
      <c r="U119" s="91">
        <f>SUMIFS(tabela_registros[VALOR],tabela_registros[MÊS],$AE$1,tabela_registros[DIA],investirrendafixaconsolidadomai[[#Headers],[17]],tabela_registros[REGISTRO],DADOS!$N$5,tabela_registros[TIPO],DADOS!$AB$3,tabela_registros[CATEGORIA],investirrendafixaconsolidadomai[[#This Row],[ATUAL]])</f>
        <v>0</v>
      </c>
      <c r="V119" s="91">
        <f>SUMIFS(tabela_registros[VALOR],tabela_registros[MÊS],$AE$1,tabela_registros[DIA],investirrendafixaconsolidadomai[[#Headers],[18]],tabela_registros[REGISTRO],DADOS!$N$5,tabela_registros[TIPO],DADOS!$AB$3,tabela_registros[CATEGORIA],investirrendafixaconsolidadomai[[#This Row],[ATUAL]])</f>
        <v>0</v>
      </c>
      <c r="W119" s="91">
        <f>SUMIFS(tabela_registros[VALOR],tabela_registros[MÊS],$AE$1,tabela_registros[DIA],investirrendafixaconsolidadomai[[#Headers],[19]],tabela_registros[REGISTRO],DADOS!$N$5,tabela_registros[TIPO],DADOS!$AB$3,tabela_registros[CATEGORIA],investirrendafixaconsolidadomai[[#This Row],[ATUAL]])</f>
        <v>0</v>
      </c>
      <c r="X119" s="91">
        <f>SUMIFS(tabela_registros[VALOR],tabela_registros[MÊS],$AE$1,tabela_registros[DIA],investirrendafixaconsolidadomai[[#Headers],[20]],tabela_registros[REGISTRO],DADOS!$N$5,tabela_registros[TIPO],DADOS!$AB$3,tabela_registros[CATEGORIA],investirrendafixaconsolidadomai[[#This Row],[ATUAL]])</f>
        <v>0</v>
      </c>
      <c r="Y119" s="91">
        <f>SUMIFS(tabela_registros[VALOR],tabela_registros[MÊS],$AE$1,tabela_registros[DIA],investirrendafixaconsolidadomai[[#Headers],[21]],tabela_registros[REGISTRO],DADOS!$N$5,tabela_registros[TIPO],DADOS!$AB$3,tabela_registros[CATEGORIA],investirrendafixaconsolidadomai[[#This Row],[ATUAL]])</f>
        <v>0</v>
      </c>
      <c r="Z119" s="91">
        <f>SUMIFS(tabela_registros[VALOR],tabela_registros[MÊS],$AE$1,tabela_registros[DIA],investirrendafixaconsolidadomai[[#Headers],[22]],tabela_registros[REGISTRO],DADOS!$N$5,tabela_registros[TIPO],DADOS!$AB$3,tabela_registros[CATEGORIA],investirrendafixaconsolidadomai[[#This Row],[ATUAL]])</f>
        <v>0</v>
      </c>
      <c r="AA119" s="91">
        <f>SUMIFS(tabela_registros[VALOR],tabela_registros[MÊS],$AE$1,tabela_registros[DIA],investirrendafixaconsolidadomai[[#Headers],[23]],tabela_registros[REGISTRO],DADOS!$N$5,tabela_registros[TIPO],DADOS!$AB$3,tabela_registros[CATEGORIA],investirrendafixaconsolidadomai[[#This Row],[ATUAL]])</f>
        <v>0</v>
      </c>
      <c r="AB119" s="91">
        <f>SUMIFS(tabela_registros[VALOR],tabela_registros[MÊS],$AE$1,tabela_registros[DIA],investirrendafixaconsolidadomai[[#Headers],[24]],tabela_registros[REGISTRO],DADOS!$N$5,tabela_registros[TIPO],DADOS!$AB$3,tabela_registros[CATEGORIA],investirrendafixaconsolidadomai[[#This Row],[ATUAL]])</f>
        <v>0</v>
      </c>
      <c r="AC119" s="91">
        <f>SUMIFS(tabela_registros[VALOR],tabela_registros[MÊS],$AE$1,tabela_registros[DIA],investirrendafixaconsolidadomai[[#Headers],[25]],tabela_registros[REGISTRO],DADOS!$N$5,tabela_registros[TIPO],DADOS!$AB$3,tabela_registros[CATEGORIA],investirrendafixaconsolidadomai[[#This Row],[ATUAL]])</f>
        <v>0</v>
      </c>
      <c r="AD119" s="91">
        <f>SUMIFS(tabela_registros[VALOR],tabela_registros[MÊS],$AE$1,tabela_registros[DIA],investirrendafixaconsolidadomai[[#Headers],[26]],tabela_registros[REGISTRO],DADOS!$N$5,tabela_registros[TIPO],DADOS!$AB$3,tabela_registros[CATEGORIA],investirrendafixaconsolidadomai[[#This Row],[ATUAL]])</f>
        <v>0</v>
      </c>
      <c r="AE119" s="91">
        <f>SUMIFS(tabela_registros[VALOR],tabela_registros[MÊS],$AE$1,tabela_registros[DIA],investirrendafixaconsolidadomai[[#Headers],[27]],tabela_registros[REGISTRO],DADOS!$N$5,tabela_registros[TIPO],DADOS!$AB$3,tabela_registros[CATEGORIA],investirrendafixaconsolidadomai[[#This Row],[ATUAL]])</f>
        <v>0</v>
      </c>
      <c r="AF119" s="91">
        <f>SUMIFS(tabela_registros[VALOR],tabela_registros[MÊS],$AE$1,tabela_registros[DIA],investirrendafixaconsolidadomai[[#Headers],[28]],tabela_registros[REGISTRO],DADOS!$N$5,tabela_registros[TIPO],DADOS!$AB$3,tabela_registros[CATEGORIA],investirrendafixaconsolidadomai[[#This Row],[ATUAL]])</f>
        <v>0</v>
      </c>
      <c r="AG119" s="91">
        <f>SUMIFS(tabela_registros[VALOR],tabela_registros[MÊS],$AE$1,tabela_registros[DIA],investirrendafixaconsolidadomai[[#Headers],[29]],tabela_registros[REGISTRO],DADOS!$N$5,tabela_registros[TIPO],DADOS!$AB$3,tabela_registros[CATEGORIA],investirrendafixaconsolidadomai[[#This Row],[ATUAL]])</f>
        <v>0</v>
      </c>
      <c r="AH119" s="91">
        <f>SUMIFS(tabela_registros[VALOR],tabela_registros[MÊS],$AE$1,tabela_registros[DIA],investirrendafixaconsolidadomai[[#Headers],[30]],tabela_registros[REGISTRO],DADOS!$N$5,tabela_registros[TIPO],DADOS!$AB$3,tabela_registros[CATEGORIA],investirrendafixaconsolidadomai[[#This Row],[ATUAL]])</f>
        <v>0</v>
      </c>
      <c r="AI119" s="101">
        <f>SUMIFS(tabela_registros[VALOR],tabela_registros[MÊS],$AE$1,tabela_registros[DIA],investirrendafixaconsolidadomai[[#Headers],[31]],tabela_registros[REGISTRO],DADOS!$N$5,tabela_registros[TIPO],DADOS!$AB$3,tabela_registros[CATEGORIA],investirrendafixaconsolidadomai[[#This Row],[ATUAL]])</f>
        <v>0</v>
      </c>
      <c r="AJ119" s="97">
        <f>SUM(investirrendafixaconsolidadomai[[#This Row],[1]:[31]])</f>
        <v>0</v>
      </c>
      <c r="AK119" s="25"/>
    </row>
    <row r="120" spans="2:37" ht="19.5" customHeight="1" thickTop="1" thickBot="1" x14ac:dyDescent="0.3">
      <c r="B120" s="28"/>
      <c r="C120" s="27" t="str">
        <f>DADOS!$AD$10</f>
        <v>📝 LCI</v>
      </c>
      <c r="D120" s="26" t="str">
        <f>IF(investirrendafixaconsolidadomai[[#This Row],[TOTAL (R$)]]=0,"",IF(OR(investirrendafixaconsolidadomai[[#This Row],[TOTAL (R$)]]=LARGE($AJ$113:$AJ$122,1),investirrendafixaconsolidadomai[[#This Row],[TOTAL (R$)]]=LARGE($AJ$113:$AJ$122,2)),DADOS!$I$10,""))</f>
        <v/>
      </c>
      <c r="E120" s="96">
        <f>SUMIFS(tabela_registros[VALOR],tabela_registros[MÊS],$AE$1,tabela_registros[DIA],investirrendafixaconsolidadomai[[#Headers],[1]],tabela_registros[REGISTRO],DADOS!$N$5,tabela_registros[TIPO],DADOS!$AB$3,tabela_registros[CATEGORIA],investirrendafixaconsolidadomai[[#This Row],[ATUAL]])</f>
        <v>0</v>
      </c>
      <c r="F120" s="91">
        <f>SUMIFS(tabela_registros[VALOR],tabela_registros[MÊS],$AE$1,tabela_registros[DIA],investirrendafixaconsolidadomai[[#Headers],[2]],tabela_registros[REGISTRO],DADOS!$N$5,tabela_registros[TIPO],DADOS!$AB$3,tabela_registros[CATEGORIA],investirrendafixaconsolidadomai[[#This Row],[ATUAL]])</f>
        <v>0</v>
      </c>
      <c r="G120" s="91">
        <f>SUMIFS(tabela_registros[VALOR],tabela_registros[MÊS],$AE$1,tabela_registros[DIA],investirrendafixaconsolidadomai[[#Headers],[3]],tabela_registros[REGISTRO],DADOS!$N$5,tabela_registros[TIPO],DADOS!$AB$3,tabela_registros[CATEGORIA],investirrendafixaconsolidadomai[[#This Row],[ATUAL]])</f>
        <v>0</v>
      </c>
      <c r="H120" s="91">
        <f>SUMIFS(tabela_registros[VALOR],tabela_registros[MÊS],$AE$1,tabela_registros[DIA],investirrendafixaconsolidadomai[[#Headers],[4]],tabela_registros[REGISTRO],DADOS!$N$5,tabela_registros[TIPO],DADOS!$AB$3,tabela_registros[CATEGORIA],investirrendafixaconsolidadomai[[#This Row],[ATUAL]])</f>
        <v>0</v>
      </c>
      <c r="I120" s="91">
        <f>SUMIFS(tabela_registros[VALOR],tabela_registros[MÊS],$AE$1,tabela_registros[DIA],investirrendafixaconsolidadomai[[#Headers],[5]],tabela_registros[REGISTRO],DADOS!$N$5,tabela_registros[TIPO],DADOS!$AB$3,tabela_registros[CATEGORIA],investirrendafixaconsolidadomai[[#This Row],[ATUAL]])</f>
        <v>0</v>
      </c>
      <c r="J120" s="91">
        <f>SUMIFS(tabela_registros[VALOR],tabela_registros[MÊS],$AE$1,tabela_registros[DIA],investirrendafixaconsolidadomai[[#Headers],[6]],tabela_registros[REGISTRO],DADOS!$N$5,tabela_registros[TIPO],DADOS!$AB$3,tabela_registros[CATEGORIA],investirrendafixaconsolidadomai[[#This Row],[ATUAL]])</f>
        <v>0</v>
      </c>
      <c r="K120" s="91">
        <f>SUMIFS(tabela_registros[VALOR],tabela_registros[MÊS],$AE$1,tabela_registros[DIA],investirrendafixaconsolidadomai[[#Headers],[7]],tabela_registros[REGISTRO],DADOS!$N$5,tabela_registros[TIPO],DADOS!$AB$3,tabela_registros[CATEGORIA],investirrendafixaconsolidadomai[[#This Row],[ATUAL]])</f>
        <v>0</v>
      </c>
      <c r="L120" s="91">
        <f>SUMIFS(tabela_registros[VALOR],tabela_registros[MÊS],$AE$1,tabela_registros[DIA],investirrendafixaconsolidadomai[[#Headers],[8]],tabela_registros[REGISTRO],DADOS!$N$5,tabela_registros[TIPO],DADOS!$AB$3,tabela_registros[CATEGORIA],investirrendafixaconsolidadomai[[#This Row],[ATUAL]])</f>
        <v>0</v>
      </c>
      <c r="M120" s="91">
        <f>SUMIFS(tabela_registros[VALOR],tabela_registros[MÊS],$AE$1,tabela_registros[DIA],investirrendafixaconsolidadomai[[#Headers],[9]],tabela_registros[REGISTRO],DADOS!$N$5,tabela_registros[TIPO],DADOS!$AB$3,tabela_registros[CATEGORIA],investirrendafixaconsolidadomai[[#This Row],[ATUAL]])</f>
        <v>0</v>
      </c>
      <c r="N120" s="91">
        <f>SUMIFS(tabela_registros[VALOR],tabela_registros[MÊS],$AE$1,tabela_registros[DIA],investirrendafixaconsolidadomai[[#Headers],[10]],tabela_registros[REGISTRO],DADOS!$N$5,tabela_registros[TIPO],DADOS!$AB$3,tabela_registros[CATEGORIA],investirrendafixaconsolidadomai[[#This Row],[ATUAL]])</f>
        <v>0</v>
      </c>
      <c r="O120" s="91">
        <f>SUMIFS(tabela_registros[VALOR],tabela_registros[MÊS],$AE$1,tabela_registros[DIA],investirrendafixaconsolidadomai[[#Headers],[11]],tabela_registros[REGISTRO],DADOS!$N$5,tabela_registros[TIPO],DADOS!$AB$3,tabela_registros[CATEGORIA],investirrendafixaconsolidadomai[[#This Row],[ATUAL]])</f>
        <v>0</v>
      </c>
      <c r="P120" s="91">
        <f>SUMIFS(tabela_registros[VALOR],tabela_registros[MÊS],$AE$1,tabela_registros[DIA],investirrendafixaconsolidadomai[[#Headers],[12]],tabela_registros[REGISTRO],DADOS!$N$5,tabela_registros[TIPO],DADOS!$AB$3,tabela_registros[CATEGORIA],investirrendafixaconsolidadomai[[#This Row],[ATUAL]])</f>
        <v>0</v>
      </c>
      <c r="Q120" s="91">
        <f>SUMIFS(tabela_registros[VALOR],tabela_registros[MÊS],$AE$1,tabela_registros[DIA],investirrendafixaconsolidadomai[[#Headers],[13]],tabela_registros[REGISTRO],DADOS!$N$5,tabela_registros[TIPO],DADOS!$AB$3,tabela_registros[CATEGORIA],investirrendafixaconsolidadomai[[#This Row],[ATUAL]])</f>
        <v>0</v>
      </c>
      <c r="R120" s="91">
        <f>SUMIFS(tabela_registros[VALOR],tabela_registros[MÊS],$AE$1,tabela_registros[DIA],investirrendafixaconsolidadomai[[#Headers],[14]],tabela_registros[REGISTRO],DADOS!$N$5,tabela_registros[TIPO],DADOS!$AB$3,tabela_registros[CATEGORIA],investirrendafixaconsolidadomai[[#This Row],[ATUAL]])</f>
        <v>0</v>
      </c>
      <c r="S120" s="91">
        <f>SUMIFS(tabela_registros[VALOR],tabela_registros[MÊS],$AE$1,tabela_registros[DIA],investirrendafixaconsolidadomai[[#Headers],[15]],tabela_registros[REGISTRO],DADOS!$N$5,tabela_registros[TIPO],DADOS!$AB$3,tabela_registros[CATEGORIA],investirrendafixaconsolidadomai[[#This Row],[ATUAL]])</f>
        <v>0</v>
      </c>
      <c r="T120" s="91">
        <f>SUMIFS(tabela_registros[VALOR],tabela_registros[MÊS],$AE$1,tabela_registros[DIA],investirrendafixaconsolidadomai[[#Headers],[16]],tabela_registros[REGISTRO],DADOS!$N$5,tabela_registros[TIPO],DADOS!$AB$3,tabela_registros[CATEGORIA],investirrendafixaconsolidadomai[[#This Row],[ATUAL]])</f>
        <v>0</v>
      </c>
      <c r="U120" s="91">
        <f>SUMIFS(tabela_registros[VALOR],tabela_registros[MÊS],$AE$1,tabela_registros[DIA],investirrendafixaconsolidadomai[[#Headers],[17]],tabela_registros[REGISTRO],DADOS!$N$5,tabela_registros[TIPO],DADOS!$AB$3,tabela_registros[CATEGORIA],investirrendafixaconsolidadomai[[#This Row],[ATUAL]])</f>
        <v>0</v>
      </c>
      <c r="V120" s="91">
        <f>SUMIFS(tabela_registros[VALOR],tabela_registros[MÊS],$AE$1,tabela_registros[DIA],investirrendafixaconsolidadomai[[#Headers],[18]],tabela_registros[REGISTRO],DADOS!$N$5,tabela_registros[TIPO],DADOS!$AB$3,tabela_registros[CATEGORIA],investirrendafixaconsolidadomai[[#This Row],[ATUAL]])</f>
        <v>0</v>
      </c>
      <c r="W120" s="91">
        <f>SUMIFS(tabela_registros[VALOR],tabela_registros[MÊS],$AE$1,tabela_registros[DIA],investirrendafixaconsolidadomai[[#Headers],[19]],tabela_registros[REGISTRO],DADOS!$N$5,tabela_registros[TIPO],DADOS!$AB$3,tabela_registros[CATEGORIA],investirrendafixaconsolidadomai[[#This Row],[ATUAL]])</f>
        <v>0</v>
      </c>
      <c r="X120" s="91">
        <f>SUMIFS(tabela_registros[VALOR],tabela_registros[MÊS],$AE$1,tabela_registros[DIA],investirrendafixaconsolidadomai[[#Headers],[20]],tabela_registros[REGISTRO],DADOS!$N$5,tabela_registros[TIPO],DADOS!$AB$3,tabela_registros[CATEGORIA],investirrendafixaconsolidadomai[[#This Row],[ATUAL]])</f>
        <v>0</v>
      </c>
      <c r="Y120" s="91">
        <f>SUMIFS(tabela_registros[VALOR],tabela_registros[MÊS],$AE$1,tabela_registros[DIA],investirrendafixaconsolidadomai[[#Headers],[21]],tabela_registros[REGISTRO],DADOS!$N$5,tabela_registros[TIPO],DADOS!$AB$3,tabela_registros[CATEGORIA],investirrendafixaconsolidadomai[[#This Row],[ATUAL]])</f>
        <v>0</v>
      </c>
      <c r="Z120" s="91">
        <f>SUMIFS(tabela_registros[VALOR],tabela_registros[MÊS],$AE$1,tabela_registros[DIA],investirrendafixaconsolidadomai[[#Headers],[22]],tabela_registros[REGISTRO],DADOS!$N$5,tabela_registros[TIPO],DADOS!$AB$3,tabela_registros[CATEGORIA],investirrendafixaconsolidadomai[[#This Row],[ATUAL]])</f>
        <v>0</v>
      </c>
      <c r="AA120" s="91">
        <f>SUMIFS(tabela_registros[VALOR],tabela_registros[MÊS],$AE$1,tabela_registros[DIA],investirrendafixaconsolidadomai[[#Headers],[23]],tabela_registros[REGISTRO],DADOS!$N$5,tabela_registros[TIPO],DADOS!$AB$3,tabela_registros[CATEGORIA],investirrendafixaconsolidadomai[[#This Row],[ATUAL]])</f>
        <v>0</v>
      </c>
      <c r="AB120" s="91">
        <f>SUMIFS(tabela_registros[VALOR],tabela_registros[MÊS],$AE$1,tabela_registros[DIA],investirrendafixaconsolidadomai[[#Headers],[24]],tabela_registros[REGISTRO],DADOS!$N$5,tabela_registros[TIPO],DADOS!$AB$3,tabela_registros[CATEGORIA],investirrendafixaconsolidadomai[[#This Row],[ATUAL]])</f>
        <v>0</v>
      </c>
      <c r="AC120" s="91">
        <f>SUMIFS(tabela_registros[VALOR],tabela_registros[MÊS],$AE$1,tabela_registros[DIA],investirrendafixaconsolidadomai[[#Headers],[25]],tabela_registros[REGISTRO],DADOS!$N$5,tabela_registros[TIPO],DADOS!$AB$3,tabela_registros[CATEGORIA],investirrendafixaconsolidadomai[[#This Row],[ATUAL]])</f>
        <v>0</v>
      </c>
      <c r="AD120" s="91">
        <f>SUMIFS(tabela_registros[VALOR],tabela_registros[MÊS],$AE$1,tabela_registros[DIA],investirrendafixaconsolidadomai[[#Headers],[26]],tabela_registros[REGISTRO],DADOS!$N$5,tabela_registros[TIPO],DADOS!$AB$3,tabela_registros[CATEGORIA],investirrendafixaconsolidadomai[[#This Row],[ATUAL]])</f>
        <v>0</v>
      </c>
      <c r="AE120" s="91">
        <f>SUMIFS(tabela_registros[VALOR],tabela_registros[MÊS],$AE$1,tabela_registros[DIA],investirrendafixaconsolidadomai[[#Headers],[27]],tabela_registros[REGISTRO],DADOS!$N$5,tabela_registros[TIPO],DADOS!$AB$3,tabela_registros[CATEGORIA],investirrendafixaconsolidadomai[[#This Row],[ATUAL]])</f>
        <v>0</v>
      </c>
      <c r="AF120" s="91">
        <f>SUMIFS(tabela_registros[VALOR],tabela_registros[MÊS],$AE$1,tabela_registros[DIA],investirrendafixaconsolidadomai[[#Headers],[28]],tabela_registros[REGISTRO],DADOS!$N$5,tabela_registros[TIPO],DADOS!$AB$3,tabela_registros[CATEGORIA],investirrendafixaconsolidadomai[[#This Row],[ATUAL]])</f>
        <v>0</v>
      </c>
      <c r="AG120" s="91">
        <f>SUMIFS(tabela_registros[VALOR],tabela_registros[MÊS],$AE$1,tabela_registros[DIA],investirrendafixaconsolidadomai[[#Headers],[29]],tabela_registros[REGISTRO],DADOS!$N$5,tabela_registros[TIPO],DADOS!$AB$3,tabela_registros[CATEGORIA],investirrendafixaconsolidadomai[[#This Row],[ATUAL]])</f>
        <v>0</v>
      </c>
      <c r="AH120" s="91">
        <f>SUMIFS(tabela_registros[VALOR],tabela_registros[MÊS],$AE$1,tabela_registros[DIA],investirrendafixaconsolidadomai[[#Headers],[30]],tabela_registros[REGISTRO],DADOS!$N$5,tabela_registros[TIPO],DADOS!$AB$3,tabela_registros[CATEGORIA],investirrendafixaconsolidadomai[[#This Row],[ATUAL]])</f>
        <v>0</v>
      </c>
      <c r="AI120" s="101">
        <f>SUMIFS(tabela_registros[VALOR],tabela_registros[MÊS],$AE$1,tabela_registros[DIA],investirrendafixaconsolidadomai[[#Headers],[31]],tabela_registros[REGISTRO],DADOS!$N$5,tabela_registros[TIPO],DADOS!$AB$3,tabela_registros[CATEGORIA],investirrendafixaconsolidadomai[[#This Row],[ATUAL]])</f>
        <v>0</v>
      </c>
      <c r="AJ120" s="97">
        <f>SUM(investirrendafixaconsolidadomai[[#This Row],[1]:[31]])</f>
        <v>0</v>
      </c>
      <c r="AK120" s="25"/>
    </row>
    <row r="121" spans="2:37" ht="19.5" customHeight="1" thickTop="1" thickBot="1" x14ac:dyDescent="0.3">
      <c r="B121" s="28"/>
      <c r="C121" s="27" t="str">
        <f>DADOS!$AD$11</f>
        <v>📝 TESOURO DIRETO</v>
      </c>
      <c r="D121" s="26" t="str">
        <f>IF(investirrendafixaconsolidadomai[[#This Row],[TOTAL (R$)]]=0,"",IF(OR(investirrendafixaconsolidadomai[[#This Row],[TOTAL (R$)]]=LARGE($AJ$113:$AJ$122,1),investirrendafixaconsolidadomai[[#This Row],[TOTAL (R$)]]=LARGE($AJ$113:$AJ$122,2)),DADOS!$I$10,""))</f>
        <v/>
      </c>
      <c r="E121" s="96">
        <f>SUMIFS(tabela_registros[VALOR],tabela_registros[MÊS],$AE$1,tabela_registros[DIA],investirrendafixaconsolidadomai[[#Headers],[1]],tabela_registros[REGISTRO],DADOS!$N$5,tabela_registros[TIPO],DADOS!$AB$3,tabela_registros[CATEGORIA],investirrendafixaconsolidadomai[[#This Row],[ATUAL]])</f>
        <v>0</v>
      </c>
      <c r="F121" s="91">
        <f>SUMIFS(tabela_registros[VALOR],tabela_registros[MÊS],$AE$1,tabela_registros[DIA],investirrendafixaconsolidadomai[[#Headers],[2]],tabela_registros[REGISTRO],DADOS!$N$5,tabela_registros[TIPO],DADOS!$AB$3,tabela_registros[CATEGORIA],investirrendafixaconsolidadomai[[#This Row],[ATUAL]])</f>
        <v>0</v>
      </c>
      <c r="G121" s="91">
        <f>SUMIFS(tabela_registros[VALOR],tabela_registros[MÊS],$AE$1,tabela_registros[DIA],investirrendafixaconsolidadomai[[#Headers],[3]],tabela_registros[REGISTRO],DADOS!$N$5,tabela_registros[TIPO],DADOS!$AB$3,tabela_registros[CATEGORIA],investirrendafixaconsolidadomai[[#This Row],[ATUAL]])</f>
        <v>0</v>
      </c>
      <c r="H121" s="91">
        <f>SUMIFS(tabela_registros[VALOR],tabela_registros[MÊS],$AE$1,tabela_registros[DIA],investirrendafixaconsolidadomai[[#Headers],[4]],tabela_registros[REGISTRO],DADOS!$N$5,tabela_registros[TIPO],DADOS!$AB$3,tabela_registros[CATEGORIA],investirrendafixaconsolidadomai[[#This Row],[ATUAL]])</f>
        <v>0</v>
      </c>
      <c r="I121" s="91">
        <f>SUMIFS(tabela_registros[VALOR],tabela_registros[MÊS],$AE$1,tabela_registros[DIA],investirrendafixaconsolidadomai[[#Headers],[5]],tabela_registros[REGISTRO],DADOS!$N$5,tabela_registros[TIPO],DADOS!$AB$3,tabela_registros[CATEGORIA],investirrendafixaconsolidadomai[[#This Row],[ATUAL]])</f>
        <v>0</v>
      </c>
      <c r="J121" s="91">
        <f>SUMIFS(tabela_registros[VALOR],tabela_registros[MÊS],$AE$1,tabela_registros[DIA],investirrendafixaconsolidadomai[[#Headers],[6]],tabela_registros[REGISTRO],DADOS!$N$5,tabela_registros[TIPO],DADOS!$AB$3,tabela_registros[CATEGORIA],investirrendafixaconsolidadomai[[#This Row],[ATUAL]])</f>
        <v>0</v>
      </c>
      <c r="K121" s="91">
        <f>SUMIFS(tabela_registros[VALOR],tabela_registros[MÊS],$AE$1,tabela_registros[DIA],investirrendafixaconsolidadomai[[#Headers],[7]],tabela_registros[REGISTRO],DADOS!$N$5,tabela_registros[TIPO],DADOS!$AB$3,tabela_registros[CATEGORIA],investirrendafixaconsolidadomai[[#This Row],[ATUAL]])</f>
        <v>0</v>
      </c>
      <c r="L121" s="91">
        <f>SUMIFS(tabela_registros[VALOR],tabela_registros[MÊS],$AE$1,tabela_registros[DIA],investirrendafixaconsolidadomai[[#Headers],[8]],tabela_registros[REGISTRO],DADOS!$N$5,tabela_registros[TIPO],DADOS!$AB$3,tabela_registros[CATEGORIA],investirrendafixaconsolidadomai[[#This Row],[ATUAL]])</f>
        <v>0</v>
      </c>
      <c r="M121" s="91">
        <f>SUMIFS(tabela_registros[VALOR],tabela_registros[MÊS],$AE$1,tabela_registros[DIA],investirrendafixaconsolidadomai[[#Headers],[9]],tabela_registros[REGISTRO],DADOS!$N$5,tabela_registros[TIPO],DADOS!$AB$3,tabela_registros[CATEGORIA],investirrendafixaconsolidadomai[[#This Row],[ATUAL]])</f>
        <v>0</v>
      </c>
      <c r="N121" s="91">
        <f>SUMIFS(tabela_registros[VALOR],tabela_registros[MÊS],$AE$1,tabela_registros[DIA],investirrendafixaconsolidadomai[[#Headers],[10]],tabela_registros[REGISTRO],DADOS!$N$5,tabela_registros[TIPO],DADOS!$AB$3,tabela_registros[CATEGORIA],investirrendafixaconsolidadomai[[#This Row],[ATUAL]])</f>
        <v>0</v>
      </c>
      <c r="O121" s="91">
        <f>SUMIFS(tabela_registros[VALOR],tabela_registros[MÊS],$AE$1,tabela_registros[DIA],investirrendafixaconsolidadomai[[#Headers],[11]],tabela_registros[REGISTRO],DADOS!$N$5,tabela_registros[TIPO],DADOS!$AB$3,tabela_registros[CATEGORIA],investirrendafixaconsolidadomai[[#This Row],[ATUAL]])</f>
        <v>0</v>
      </c>
      <c r="P121" s="91">
        <f>SUMIFS(tabela_registros[VALOR],tabela_registros[MÊS],$AE$1,tabela_registros[DIA],investirrendafixaconsolidadomai[[#Headers],[12]],tabela_registros[REGISTRO],DADOS!$N$5,tabela_registros[TIPO],DADOS!$AB$3,tabela_registros[CATEGORIA],investirrendafixaconsolidadomai[[#This Row],[ATUAL]])</f>
        <v>0</v>
      </c>
      <c r="Q121" s="91">
        <f>SUMIFS(tabela_registros[VALOR],tabela_registros[MÊS],$AE$1,tabela_registros[DIA],investirrendafixaconsolidadomai[[#Headers],[13]],tabela_registros[REGISTRO],DADOS!$N$5,tabela_registros[TIPO],DADOS!$AB$3,tabela_registros[CATEGORIA],investirrendafixaconsolidadomai[[#This Row],[ATUAL]])</f>
        <v>0</v>
      </c>
      <c r="R121" s="91">
        <f>SUMIFS(tabela_registros[VALOR],tabela_registros[MÊS],$AE$1,tabela_registros[DIA],investirrendafixaconsolidadomai[[#Headers],[14]],tabela_registros[REGISTRO],DADOS!$N$5,tabela_registros[TIPO],DADOS!$AB$3,tabela_registros[CATEGORIA],investirrendafixaconsolidadomai[[#This Row],[ATUAL]])</f>
        <v>0</v>
      </c>
      <c r="S121" s="91">
        <f>SUMIFS(tabela_registros[VALOR],tabela_registros[MÊS],$AE$1,tabela_registros[DIA],investirrendafixaconsolidadomai[[#Headers],[15]],tabela_registros[REGISTRO],DADOS!$N$5,tabela_registros[TIPO],DADOS!$AB$3,tabela_registros[CATEGORIA],investirrendafixaconsolidadomai[[#This Row],[ATUAL]])</f>
        <v>0</v>
      </c>
      <c r="T121" s="91">
        <f>SUMIFS(tabela_registros[VALOR],tabela_registros[MÊS],$AE$1,tabela_registros[DIA],investirrendafixaconsolidadomai[[#Headers],[16]],tabela_registros[REGISTRO],DADOS!$N$5,tabela_registros[TIPO],DADOS!$AB$3,tabela_registros[CATEGORIA],investirrendafixaconsolidadomai[[#This Row],[ATUAL]])</f>
        <v>0</v>
      </c>
      <c r="U121" s="91">
        <f>SUMIFS(tabela_registros[VALOR],tabela_registros[MÊS],$AE$1,tabela_registros[DIA],investirrendafixaconsolidadomai[[#Headers],[17]],tabela_registros[REGISTRO],DADOS!$N$5,tabela_registros[TIPO],DADOS!$AB$3,tabela_registros[CATEGORIA],investirrendafixaconsolidadomai[[#This Row],[ATUAL]])</f>
        <v>0</v>
      </c>
      <c r="V121" s="91">
        <f>SUMIFS(tabela_registros[VALOR],tabela_registros[MÊS],$AE$1,tabela_registros[DIA],investirrendafixaconsolidadomai[[#Headers],[18]],tabela_registros[REGISTRO],DADOS!$N$5,tabela_registros[TIPO],DADOS!$AB$3,tabela_registros[CATEGORIA],investirrendafixaconsolidadomai[[#This Row],[ATUAL]])</f>
        <v>0</v>
      </c>
      <c r="W121" s="91">
        <f>SUMIFS(tabela_registros[VALOR],tabela_registros[MÊS],$AE$1,tabela_registros[DIA],investirrendafixaconsolidadomai[[#Headers],[19]],tabela_registros[REGISTRO],DADOS!$N$5,tabela_registros[TIPO],DADOS!$AB$3,tabela_registros[CATEGORIA],investirrendafixaconsolidadomai[[#This Row],[ATUAL]])</f>
        <v>0</v>
      </c>
      <c r="X121" s="91">
        <f>SUMIFS(tabela_registros[VALOR],tabela_registros[MÊS],$AE$1,tabela_registros[DIA],investirrendafixaconsolidadomai[[#Headers],[20]],tabela_registros[REGISTRO],DADOS!$N$5,tabela_registros[TIPO],DADOS!$AB$3,tabela_registros[CATEGORIA],investirrendafixaconsolidadomai[[#This Row],[ATUAL]])</f>
        <v>0</v>
      </c>
      <c r="Y121" s="91">
        <f>SUMIFS(tabela_registros[VALOR],tabela_registros[MÊS],$AE$1,tabela_registros[DIA],investirrendafixaconsolidadomai[[#Headers],[21]],tabela_registros[REGISTRO],DADOS!$N$5,tabela_registros[TIPO],DADOS!$AB$3,tabela_registros[CATEGORIA],investirrendafixaconsolidadomai[[#This Row],[ATUAL]])</f>
        <v>0</v>
      </c>
      <c r="Z121" s="91">
        <f>SUMIFS(tabela_registros[VALOR],tabela_registros[MÊS],$AE$1,tabela_registros[DIA],investirrendafixaconsolidadomai[[#Headers],[22]],tabela_registros[REGISTRO],DADOS!$N$5,tabela_registros[TIPO],DADOS!$AB$3,tabela_registros[CATEGORIA],investirrendafixaconsolidadomai[[#This Row],[ATUAL]])</f>
        <v>0</v>
      </c>
      <c r="AA121" s="91">
        <f>SUMIFS(tabela_registros[VALOR],tabela_registros[MÊS],$AE$1,tabela_registros[DIA],investirrendafixaconsolidadomai[[#Headers],[23]],tabela_registros[REGISTRO],DADOS!$N$5,tabela_registros[TIPO],DADOS!$AB$3,tabela_registros[CATEGORIA],investirrendafixaconsolidadomai[[#This Row],[ATUAL]])</f>
        <v>0</v>
      </c>
      <c r="AB121" s="91">
        <f>SUMIFS(tabela_registros[VALOR],tabela_registros[MÊS],$AE$1,tabela_registros[DIA],investirrendafixaconsolidadomai[[#Headers],[24]],tabela_registros[REGISTRO],DADOS!$N$5,tabela_registros[TIPO],DADOS!$AB$3,tabela_registros[CATEGORIA],investirrendafixaconsolidadomai[[#This Row],[ATUAL]])</f>
        <v>0</v>
      </c>
      <c r="AC121" s="91">
        <f>SUMIFS(tabela_registros[VALOR],tabela_registros[MÊS],$AE$1,tabela_registros[DIA],investirrendafixaconsolidadomai[[#Headers],[25]],tabela_registros[REGISTRO],DADOS!$N$5,tabela_registros[TIPO],DADOS!$AB$3,tabela_registros[CATEGORIA],investirrendafixaconsolidadomai[[#This Row],[ATUAL]])</f>
        <v>0</v>
      </c>
      <c r="AD121" s="91">
        <f>SUMIFS(tabela_registros[VALOR],tabela_registros[MÊS],$AE$1,tabela_registros[DIA],investirrendafixaconsolidadomai[[#Headers],[26]],tabela_registros[REGISTRO],DADOS!$N$5,tabela_registros[TIPO],DADOS!$AB$3,tabela_registros[CATEGORIA],investirrendafixaconsolidadomai[[#This Row],[ATUAL]])</f>
        <v>0</v>
      </c>
      <c r="AE121" s="91">
        <f>SUMIFS(tabela_registros[VALOR],tabela_registros[MÊS],$AE$1,tabela_registros[DIA],investirrendafixaconsolidadomai[[#Headers],[27]],tabela_registros[REGISTRO],DADOS!$N$5,tabela_registros[TIPO],DADOS!$AB$3,tabela_registros[CATEGORIA],investirrendafixaconsolidadomai[[#This Row],[ATUAL]])</f>
        <v>0</v>
      </c>
      <c r="AF121" s="91">
        <f>SUMIFS(tabela_registros[VALOR],tabela_registros[MÊS],$AE$1,tabela_registros[DIA],investirrendafixaconsolidadomai[[#Headers],[28]],tabela_registros[REGISTRO],DADOS!$N$5,tabela_registros[TIPO],DADOS!$AB$3,tabela_registros[CATEGORIA],investirrendafixaconsolidadomai[[#This Row],[ATUAL]])</f>
        <v>0</v>
      </c>
      <c r="AG121" s="91">
        <f>SUMIFS(tabela_registros[VALOR],tabela_registros[MÊS],$AE$1,tabela_registros[DIA],investirrendafixaconsolidadomai[[#Headers],[29]],tabela_registros[REGISTRO],DADOS!$N$5,tabela_registros[TIPO],DADOS!$AB$3,tabela_registros[CATEGORIA],investirrendafixaconsolidadomai[[#This Row],[ATUAL]])</f>
        <v>0</v>
      </c>
      <c r="AH121" s="91">
        <f>SUMIFS(tabela_registros[VALOR],tabela_registros[MÊS],$AE$1,tabela_registros[DIA],investirrendafixaconsolidadomai[[#Headers],[30]],tabela_registros[REGISTRO],DADOS!$N$5,tabela_registros[TIPO],DADOS!$AB$3,tabela_registros[CATEGORIA],investirrendafixaconsolidadomai[[#This Row],[ATUAL]])</f>
        <v>0</v>
      </c>
      <c r="AI121" s="101">
        <f>SUMIFS(tabela_registros[VALOR],tabela_registros[MÊS],$AE$1,tabela_registros[DIA],investirrendafixaconsolidadomai[[#Headers],[31]],tabela_registros[REGISTRO],DADOS!$N$5,tabela_registros[TIPO],DADOS!$AB$3,tabela_registros[CATEGORIA],investirrendafixaconsolidadomai[[#This Row],[ATUAL]])</f>
        <v>0</v>
      </c>
      <c r="AJ121" s="97">
        <f>SUM(investirrendafixaconsolidadomai[[#This Row],[1]:[31]])</f>
        <v>0</v>
      </c>
      <c r="AK121" s="25"/>
    </row>
    <row r="122" spans="2:37" ht="19.5" customHeight="1" thickTop="1" thickBot="1" x14ac:dyDescent="0.3">
      <c r="B122" s="28"/>
      <c r="C122" s="27" t="str">
        <f>DADOS!$AD$12</f>
        <v>📎 OUTROS</v>
      </c>
      <c r="D122" s="26" t="str">
        <f>IF(investirrendafixaconsolidadomai[[#This Row],[TOTAL (R$)]]=0,"",IF(OR(investirrendafixaconsolidadomai[[#This Row],[TOTAL (R$)]]=LARGE($AJ$113:$AJ$122,1),investirrendafixaconsolidadomai[[#This Row],[TOTAL (R$)]]=LARGE($AJ$113:$AJ$122,2)),DADOS!$I$10,""))</f>
        <v/>
      </c>
      <c r="E122" s="96">
        <f>SUMIFS(tabela_registros[VALOR],tabela_registros[MÊS],$AE$1,tabela_registros[DIA],investirrendafixaconsolidadomai[[#Headers],[1]],tabela_registros[REGISTRO],DADOS!$N$5,tabela_registros[TIPO],DADOS!$AB$3,tabela_registros[CATEGORIA],investirrendafixaconsolidadomai[[#This Row],[ATUAL]])</f>
        <v>0</v>
      </c>
      <c r="F122" s="91">
        <f>SUMIFS(tabela_registros[VALOR],tabela_registros[MÊS],$AE$1,tabela_registros[DIA],investirrendafixaconsolidadomai[[#Headers],[2]],tabela_registros[REGISTRO],DADOS!$N$5,tabela_registros[TIPO],DADOS!$AB$3,tabela_registros[CATEGORIA],investirrendafixaconsolidadomai[[#This Row],[ATUAL]])</f>
        <v>0</v>
      </c>
      <c r="G122" s="91">
        <f>SUMIFS(tabela_registros[VALOR],tabela_registros[MÊS],$AE$1,tabela_registros[DIA],investirrendafixaconsolidadomai[[#Headers],[3]],tabela_registros[REGISTRO],DADOS!$N$5,tabela_registros[TIPO],DADOS!$AB$3,tabela_registros[CATEGORIA],investirrendafixaconsolidadomai[[#This Row],[ATUAL]])</f>
        <v>0</v>
      </c>
      <c r="H122" s="91">
        <f>SUMIFS(tabela_registros[VALOR],tabela_registros[MÊS],$AE$1,tabela_registros[DIA],investirrendafixaconsolidadomai[[#Headers],[4]],tabela_registros[REGISTRO],DADOS!$N$5,tabela_registros[TIPO],DADOS!$AB$3,tabela_registros[CATEGORIA],investirrendafixaconsolidadomai[[#This Row],[ATUAL]])</f>
        <v>0</v>
      </c>
      <c r="I122" s="91">
        <f>SUMIFS(tabela_registros[VALOR],tabela_registros[MÊS],$AE$1,tabela_registros[DIA],investirrendafixaconsolidadomai[[#Headers],[5]],tabela_registros[REGISTRO],DADOS!$N$5,tabela_registros[TIPO],DADOS!$AB$3,tabela_registros[CATEGORIA],investirrendafixaconsolidadomai[[#This Row],[ATUAL]])</f>
        <v>0</v>
      </c>
      <c r="J122" s="91">
        <f>SUMIFS(tabela_registros[VALOR],tabela_registros[MÊS],$AE$1,tabela_registros[DIA],investirrendafixaconsolidadomai[[#Headers],[6]],tabela_registros[REGISTRO],DADOS!$N$5,tabela_registros[TIPO],DADOS!$AB$3,tabela_registros[CATEGORIA],investirrendafixaconsolidadomai[[#This Row],[ATUAL]])</f>
        <v>0</v>
      </c>
      <c r="K122" s="91">
        <f>SUMIFS(tabela_registros[VALOR],tabela_registros[MÊS],$AE$1,tabela_registros[DIA],investirrendafixaconsolidadomai[[#Headers],[7]],tabela_registros[REGISTRO],DADOS!$N$5,tabela_registros[TIPO],DADOS!$AB$3,tabela_registros[CATEGORIA],investirrendafixaconsolidadomai[[#This Row],[ATUAL]])</f>
        <v>0</v>
      </c>
      <c r="L122" s="91">
        <f>SUMIFS(tabela_registros[VALOR],tabela_registros[MÊS],$AE$1,tabela_registros[DIA],investirrendafixaconsolidadomai[[#Headers],[8]],tabela_registros[REGISTRO],DADOS!$N$5,tabela_registros[TIPO],DADOS!$AB$3,tabela_registros[CATEGORIA],investirrendafixaconsolidadomai[[#This Row],[ATUAL]])</f>
        <v>0</v>
      </c>
      <c r="M122" s="91">
        <f>SUMIFS(tabela_registros[VALOR],tabela_registros[MÊS],$AE$1,tabela_registros[DIA],investirrendafixaconsolidadomai[[#Headers],[9]],tabela_registros[REGISTRO],DADOS!$N$5,tabela_registros[TIPO],DADOS!$AB$3,tabela_registros[CATEGORIA],investirrendafixaconsolidadomai[[#This Row],[ATUAL]])</f>
        <v>0</v>
      </c>
      <c r="N122" s="91">
        <f>SUMIFS(tabela_registros[VALOR],tabela_registros[MÊS],$AE$1,tabela_registros[DIA],investirrendafixaconsolidadomai[[#Headers],[10]],tabela_registros[REGISTRO],DADOS!$N$5,tabela_registros[TIPO],DADOS!$AB$3,tabela_registros[CATEGORIA],investirrendafixaconsolidadomai[[#This Row],[ATUAL]])</f>
        <v>0</v>
      </c>
      <c r="O122" s="91">
        <f>SUMIFS(tabela_registros[VALOR],tabela_registros[MÊS],$AE$1,tabela_registros[DIA],investirrendafixaconsolidadomai[[#Headers],[11]],tabela_registros[REGISTRO],DADOS!$N$5,tabela_registros[TIPO],DADOS!$AB$3,tabela_registros[CATEGORIA],investirrendafixaconsolidadomai[[#This Row],[ATUAL]])</f>
        <v>0</v>
      </c>
      <c r="P122" s="91">
        <f>SUMIFS(tabela_registros[VALOR],tabela_registros[MÊS],$AE$1,tabela_registros[DIA],investirrendafixaconsolidadomai[[#Headers],[12]],tabela_registros[REGISTRO],DADOS!$N$5,tabela_registros[TIPO],DADOS!$AB$3,tabela_registros[CATEGORIA],investirrendafixaconsolidadomai[[#This Row],[ATUAL]])</f>
        <v>0</v>
      </c>
      <c r="Q122" s="91">
        <f>SUMIFS(tabela_registros[VALOR],tabela_registros[MÊS],$AE$1,tabela_registros[DIA],investirrendafixaconsolidadomai[[#Headers],[13]],tabela_registros[REGISTRO],DADOS!$N$5,tabela_registros[TIPO],DADOS!$AB$3,tabela_registros[CATEGORIA],investirrendafixaconsolidadomai[[#This Row],[ATUAL]])</f>
        <v>0</v>
      </c>
      <c r="R122" s="91">
        <f>SUMIFS(tabela_registros[VALOR],tabela_registros[MÊS],$AE$1,tabela_registros[DIA],investirrendafixaconsolidadomai[[#Headers],[14]],tabela_registros[REGISTRO],DADOS!$N$5,tabela_registros[TIPO],DADOS!$AB$3,tabela_registros[CATEGORIA],investirrendafixaconsolidadomai[[#This Row],[ATUAL]])</f>
        <v>0</v>
      </c>
      <c r="S122" s="91">
        <f>SUMIFS(tabela_registros[VALOR],tabela_registros[MÊS],$AE$1,tabela_registros[DIA],investirrendafixaconsolidadomai[[#Headers],[15]],tabela_registros[REGISTRO],DADOS!$N$5,tabela_registros[TIPO],DADOS!$AB$3,tabela_registros[CATEGORIA],investirrendafixaconsolidadomai[[#This Row],[ATUAL]])</f>
        <v>0</v>
      </c>
      <c r="T122" s="91">
        <f>SUMIFS(tabela_registros[VALOR],tabela_registros[MÊS],$AE$1,tabela_registros[DIA],investirrendafixaconsolidadomai[[#Headers],[16]],tabela_registros[REGISTRO],DADOS!$N$5,tabela_registros[TIPO],DADOS!$AB$3,tabela_registros[CATEGORIA],investirrendafixaconsolidadomai[[#This Row],[ATUAL]])</f>
        <v>0</v>
      </c>
      <c r="U122" s="91">
        <f>SUMIFS(tabela_registros[VALOR],tabela_registros[MÊS],$AE$1,tabela_registros[DIA],investirrendafixaconsolidadomai[[#Headers],[17]],tabela_registros[REGISTRO],DADOS!$N$5,tabela_registros[TIPO],DADOS!$AB$3,tabela_registros[CATEGORIA],investirrendafixaconsolidadomai[[#This Row],[ATUAL]])</f>
        <v>0</v>
      </c>
      <c r="V122" s="91">
        <f>SUMIFS(tabela_registros[VALOR],tabela_registros[MÊS],$AE$1,tabela_registros[DIA],investirrendafixaconsolidadomai[[#Headers],[18]],tabela_registros[REGISTRO],DADOS!$N$5,tabela_registros[TIPO],DADOS!$AB$3,tabela_registros[CATEGORIA],investirrendafixaconsolidadomai[[#This Row],[ATUAL]])</f>
        <v>0</v>
      </c>
      <c r="W122" s="91">
        <f>SUMIFS(tabela_registros[VALOR],tabela_registros[MÊS],$AE$1,tabela_registros[DIA],investirrendafixaconsolidadomai[[#Headers],[19]],tabela_registros[REGISTRO],DADOS!$N$5,tabela_registros[TIPO],DADOS!$AB$3,tabela_registros[CATEGORIA],investirrendafixaconsolidadomai[[#This Row],[ATUAL]])</f>
        <v>0</v>
      </c>
      <c r="X122" s="91">
        <f>SUMIFS(tabela_registros[VALOR],tabela_registros[MÊS],$AE$1,tabela_registros[DIA],investirrendafixaconsolidadomai[[#Headers],[20]],tabela_registros[REGISTRO],DADOS!$N$5,tabela_registros[TIPO],DADOS!$AB$3,tabela_registros[CATEGORIA],investirrendafixaconsolidadomai[[#This Row],[ATUAL]])</f>
        <v>0</v>
      </c>
      <c r="Y122" s="91">
        <f>SUMIFS(tabela_registros[VALOR],tabela_registros[MÊS],$AE$1,tabela_registros[DIA],investirrendafixaconsolidadomai[[#Headers],[21]],tabela_registros[REGISTRO],DADOS!$N$5,tabela_registros[TIPO],DADOS!$AB$3,tabela_registros[CATEGORIA],investirrendafixaconsolidadomai[[#This Row],[ATUAL]])</f>
        <v>0</v>
      </c>
      <c r="Z122" s="91">
        <f>SUMIFS(tabela_registros[VALOR],tabela_registros[MÊS],$AE$1,tabela_registros[DIA],investirrendafixaconsolidadomai[[#Headers],[22]],tabela_registros[REGISTRO],DADOS!$N$5,tabela_registros[TIPO],DADOS!$AB$3,tabela_registros[CATEGORIA],investirrendafixaconsolidadomai[[#This Row],[ATUAL]])</f>
        <v>0</v>
      </c>
      <c r="AA122" s="91">
        <f>SUMIFS(tabela_registros[VALOR],tabela_registros[MÊS],$AE$1,tabela_registros[DIA],investirrendafixaconsolidadomai[[#Headers],[23]],tabela_registros[REGISTRO],DADOS!$N$5,tabela_registros[TIPO],DADOS!$AB$3,tabela_registros[CATEGORIA],investirrendafixaconsolidadomai[[#This Row],[ATUAL]])</f>
        <v>0</v>
      </c>
      <c r="AB122" s="91">
        <f>SUMIFS(tabela_registros[VALOR],tabela_registros[MÊS],$AE$1,tabela_registros[DIA],investirrendafixaconsolidadomai[[#Headers],[24]],tabela_registros[REGISTRO],DADOS!$N$5,tabela_registros[TIPO],DADOS!$AB$3,tabela_registros[CATEGORIA],investirrendafixaconsolidadomai[[#This Row],[ATUAL]])</f>
        <v>0</v>
      </c>
      <c r="AC122" s="91">
        <f>SUMIFS(tabela_registros[VALOR],tabela_registros[MÊS],$AE$1,tabela_registros[DIA],investirrendafixaconsolidadomai[[#Headers],[25]],tabela_registros[REGISTRO],DADOS!$N$5,tabela_registros[TIPO],DADOS!$AB$3,tabela_registros[CATEGORIA],investirrendafixaconsolidadomai[[#This Row],[ATUAL]])</f>
        <v>0</v>
      </c>
      <c r="AD122" s="91">
        <f>SUMIFS(tabela_registros[VALOR],tabela_registros[MÊS],$AE$1,tabela_registros[DIA],investirrendafixaconsolidadomai[[#Headers],[26]],tabela_registros[REGISTRO],DADOS!$N$5,tabela_registros[TIPO],DADOS!$AB$3,tabela_registros[CATEGORIA],investirrendafixaconsolidadomai[[#This Row],[ATUAL]])</f>
        <v>0</v>
      </c>
      <c r="AE122" s="91">
        <f>SUMIFS(tabela_registros[VALOR],tabela_registros[MÊS],$AE$1,tabela_registros[DIA],investirrendafixaconsolidadomai[[#Headers],[27]],tabela_registros[REGISTRO],DADOS!$N$5,tabela_registros[TIPO],DADOS!$AB$3,tabela_registros[CATEGORIA],investirrendafixaconsolidadomai[[#This Row],[ATUAL]])</f>
        <v>0</v>
      </c>
      <c r="AF122" s="91">
        <f>SUMIFS(tabela_registros[VALOR],tabela_registros[MÊS],$AE$1,tabela_registros[DIA],investirrendafixaconsolidadomai[[#Headers],[28]],tabela_registros[REGISTRO],DADOS!$N$5,tabela_registros[TIPO],DADOS!$AB$3,tabela_registros[CATEGORIA],investirrendafixaconsolidadomai[[#This Row],[ATUAL]])</f>
        <v>0</v>
      </c>
      <c r="AG122" s="91">
        <f>SUMIFS(tabela_registros[VALOR],tabela_registros[MÊS],$AE$1,tabela_registros[DIA],investirrendafixaconsolidadomai[[#Headers],[29]],tabela_registros[REGISTRO],DADOS!$N$5,tabela_registros[TIPO],DADOS!$AB$3,tabela_registros[CATEGORIA],investirrendafixaconsolidadomai[[#This Row],[ATUAL]])</f>
        <v>0</v>
      </c>
      <c r="AH122" s="91">
        <f>SUMIFS(tabela_registros[VALOR],tabela_registros[MÊS],$AE$1,tabela_registros[DIA],investirrendafixaconsolidadomai[[#Headers],[30]],tabela_registros[REGISTRO],DADOS!$N$5,tabela_registros[TIPO],DADOS!$AB$3,tabela_registros[CATEGORIA],investirrendafixaconsolidadomai[[#This Row],[ATUAL]])</f>
        <v>0</v>
      </c>
      <c r="AI122" s="102">
        <f>SUMIFS(tabela_registros[VALOR],tabela_registros[MÊS],$AE$1,tabela_registros[DIA],investirrendafixaconsolidadomai[[#Headers],[31]],tabela_registros[REGISTRO],DADOS!$N$5,tabela_registros[TIPO],DADOS!$AB$3,tabela_registros[CATEGORIA],investirrendafixaconsolidadomai[[#This Row],[ATUAL]])</f>
        <v>0</v>
      </c>
      <c r="AJ122" s="97">
        <f>SUM(investirrendafixaconsolidadomai[[#This Row],[1]:[31]])</f>
        <v>0</v>
      </c>
      <c r="AK122" s="25"/>
    </row>
    <row r="123" spans="2:37" s="16" customFormat="1" ht="21" customHeight="1" thickTop="1" thickBot="1" x14ac:dyDescent="0.35">
      <c r="B123" s="24"/>
      <c r="C123" s="23" t="s">
        <v>19</v>
      </c>
      <c r="D123" s="22"/>
      <c r="E123" s="21">
        <f>SUM(E113:E122)</f>
        <v>0</v>
      </c>
      <c r="F123" s="20">
        <f>SUM(F113:F122)+investirrendafixaconsolidadomai[[#This Row],[1]]</f>
        <v>0</v>
      </c>
      <c r="G123" s="20">
        <f>SUM(G113:G122)+investirrendafixaconsolidadomai[[#This Row],[2]]</f>
        <v>0</v>
      </c>
      <c r="H123" s="20">
        <f>SUM(H113:H122)+investirrendafixaconsolidadomai[[#This Row],[3]]</f>
        <v>0</v>
      </c>
      <c r="I123" s="20">
        <f>SUM(I113:I122)+investirrendafixaconsolidadomai[[#This Row],[4]]</f>
        <v>0</v>
      </c>
      <c r="J123" s="20">
        <f>SUM(J113:J122)+investirrendafixaconsolidadomai[[#This Row],[5]]</f>
        <v>0</v>
      </c>
      <c r="K123" s="20">
        <f>SUM(K113:K122)+investirrendafixaconsolidadomai[[#This Row],[6]]</f>
        <v>0</v>
      </c>
      <c r="L123" s="20">
        <f>SUM(L113:L122)+investirrendafixaconsolidadomai[[#This Row],[7]]</f>
        <v>0</v>
      </c>
      <c r="M123" s="20">
        <f>SUM(M113:M122)+investirrendafixaconsolidadomai[[#This Row],[8]]</f>
        <v>0</v>
      </c>
      <c r="N123" s="20">
        <f>SUM(N113:N122)+investirrendafixaconsolidadomai[[#This Row],[9]]</f>
        <v>0</v>
      </c>
      <c r="O123" s="20">
        <f>SUM(O113:O122)+investirrendafixaconsolidadomai[[#This Row],[10]]</f>
        <v>0</v>
      </c>
      <c r="P123" s="20">
        <f>SUM(P113:P122)+investirrendafixaconsolidadomai[[#This Row],[11]]</f>
        <v>0</v>
      </c>
      <c r="Q123" s="20">
        <f>SUM(Q113:Q122)+investirrendafixaconsolidadomai[[#This Row],[12]]</f>
        <v>0</v>
      </c>
      <c r="R123" s="20">
        <f>SUM(R113:R122)+investirrendafixaconsolidadomai[[#This Row],[13]]</f>
        <v>0</v>
      </c>
      <c r="S123" s="20">
        <f>SUM(S113:S122)+investirrendafixaconsolidadomai[[#This Row],[14]]</f>
        <v>0</v>
      </c>
      <c r="T123" s="20">
        <f>SUM(T113:T122)+investirrendafixaconsolidadomai[[#This Row],[15]]</f>
        <v>0</v>
      </c>
      <c r="U123" s="20">
        <f>SUM(U113:U122)+investirrendafixaconsolidadomai[[#This Row],[16]]</f>
        <v>0</v>
      </c>
      <c r="V123" s="20">
        <f>SUM(V113:V122)+investirrendafixaconsolidadomai[[#This Row],[17]]</f>
        <v>0</v>
      </c>
      <c r="W123" s="20">
        <f>SUM(W113:W122)+investirrendafixaconsolidadomai[[#This Row],[18]]</f>
        <v>0</v>
      </c>
      <c r="X123" s="20">
        <f>SUM(X113:X122)+investirrendafixaconsolidadomai[[#This Row],[19]]</f>
        <v>0</v>
      </c>
      <c r="Y123" s="20">
        <f>SUM(Y113:Y122)+investirrendafixaconsolidadomai[[#This Row],[20]]</f>
        <v>0</v>
      </c>
      <c r="Z123" s="20">
        <f>SUM(Z113:Z122)+investirrendafixaconsolidadomai[[#This Row],[21]]</f>
        <v>0</v>
      </c>
      <c r="AA123" s="20">
        <f>SUM(AA113:AA122)+investirrendafixaconsolidadomai[[#This Row],[22]]</f>
        <v>0</v>
      </c>
      <c r="AB123" s="20">
        <f>SUM(AB113:AB122)+investirrendafixaconsolidadomai[[#This Row],[23]]</f>
        <v>0</v>
      </c>
      <c r="AC123" s="20">
        <f>SUM(AC113:AC122)+investirrendafixaconsolidadomai[[#This Row],[24]]</f>
        <v>0</v>
      </c>
      <c r="AD123" s="20">
        <f>SUM(AD113:AD122)+investirrendafixaconsolidadomai[[#This Row],[25]]</f>
        <v>0</v>
      </c>
      <c r="AE123" s="20">
        <f>SUM(AE113:AE122)+investirrendafixaconsolidadomai[[#This Row],[26]]</f>
        <v>0</v>
      </c>
      <c r="AF123" s="20">
        <f>SUM(AF113:AF122)+investirrendafixaconsolidadomai[[#This Row],[27]]</f>
        <v>0</v>
      </c>
      <c r="AG123" s="20">
        <f>SUM(AG113:AG122)+investirrendafixaconsolidadomai[[#This Row],[28]]</f>
        <v>0</v>
      </c>
      <c r="AH123" s="20">
        <f>SUM(AH113:AH122)+investirrendafixaconsolidadomai[[#This Row],[29]]</f>
        <v>0</v>
      </c>
      <c r="AI123" s="19">
        <f>SUM(AI113:AI122)+investirrendafixaconsolidadomai[[#This Row],[30]]</f>
        <v>0</v>
      </c>
      <c r="AJ123" s="18">
        <f>investirrendafixaconsolidadomai[[#This Row],[31]]</f>
        <v>0</v>
      </c>
      <c r="AK123" s="17"/>
    </row>
    <row r="124" spans="2:37" ht="6.75" customHeight="1" thickTop="1" thickBot="1" x14ac:dyDescent="0.3">
      <c r="B124" s="15"/>
      <c r="C124" s="14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  <c r="AI124" s="12"/>
      <c r="AJ124" s="11"/>
      <c r="AK124" s="10"/>
    </row>
    <row r="125" spans="2:37" ht="12.6" thickTop="1" x14ac:dyDescent="0.25">
      <c r="E125" s="37"/>
      <c r="AI125" s="4"/>
    </row>
    <row r="126" spans="2:37" x14ac:dyDescent="0.25">
      <c r="AI126" s="4"/>
    </row>
    <row r="127" spans="2:37" x14ac:dyDescent="0.25">
      <c r="AI127" s="4"/>
    </row>
    <row r="128" spans="2:37" ht="39.75" customHeight="1" x14ac:dyDescent="0.7">
      <c r="C128" s="36"/>
      <c r="E128" s="240"/>
      <c r="F128" s="240"/>
      <c r="G128" s="240"/>
      <c r="H128" s="240"/>
      <c r="I128" s="240"/>
      <c r="J128" s="240"/>
      <c r="K128" s="240"/>
      <c r="L128" s="240"/>
      <c r="M128" s="240"/>
      <c r="N128" s="240"/>
      <c r="O128" s="240"/>
      <c r="P128" s="240"/>
      <c r="Q128" s="240"/>
      <c r="R128" s="240"/>
      <c r="S128" s="240"/>
      <c r="T128" s="240"/>
      <c r="U128" s="240"/>
      <c r="V128" s="240"/>
      <c r="W128" s="240"/>
      <c r="X128" s="240"/>
      <c r="Y128" s="240"/>
      <c r="Z128" s="240"/>
      <c r="AA128" s="240"/>
      <c r="AB128" s="240"/>
      <c r="AC128" s="240"/>
      <c r="AD128" s="240"/>
      <c r="AE128" s="240"/>
      <c r="AF128" s="240"/>
      <c r="AG128" s="240"/>
      <c r="AH128" s="240"/>
      <c r="AI128" s="240"/>
      <c r="AJ128" s="32" t="s">
        <v>19</v>
      </c>
    </row>
    <row r="129" spans="2:37" ht="12.6" thickBot="1" x14ac:dyDescent="0.3">
      <c r="B129" s="35"/>
      <c r="AI129" s="4"/>
      <c r="AJ129" s="34" t="s">
        <v>202</v>
      </c>
    </row>
    <row r="130" spans="2:37" ht="6.75" customHeight="1" thickTop="1" thickBot="1" x14ac:dyDescent="0.3">
      <c r="B130" s="2"/>
      <c r="C130" s="14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  <c r="AA130" s="13"/>
      <c r="AB130" s="13"/>
      <c r="AC130" s="13"/>
      <c r="AD130" s="13"/>
      <c r="AE130" s="13"/>
      <c r="AF130" s="13"/>
      <c r="AG130" s="13"/>
      <c r="AH130" s="13"/>
      <c r="AI130" s="13"/>
      <c r="AJ130" s="12"/>
      <c r="AK130" s="33"/>
    </row>
    <row r="131" spans="2:37" ht="13.2" hidden="1" thickTop="1" thickBot="1" x14ac:dyDescent="0.3">
      <c r="B131" s="2"/>
      <c r="C131" s="31" t="s">
        <v>199</v>
      </c>
      <c r="D131" s="30" t="s">
        <v>198</v>
      </c>
      <c r="E131" s="30" t="s">
        <v>197</v>
      </c>
      <c r="F131" s="30" t="s">
        <v>196</v>
      </c>
      <c r="G131" s="30" t="s">
        <v>195</v>
      </c>
      <c r="H131" s="30" t="s">
        <v>194</v>
      </c>
      <c r="I131" s="30" t="s">
        <v>193</v>
      </c>
      <c r="J131" s="30" t="s">
        <v>192</v>
      </c>
      <c r="K131" s="30" t="s">
        <v>191</v>
      </c>
      <c r="L131" s="30" t="s">
        <v>190</v>
      </c>
      <c r="M131" s="30" t="s">
        <v>189</v>
      </c>
      <c r="N131" s="30" t="s">
        <v>188</v>
      </c>
      <c r="O131" s="30" t="s">
        <v>187</v>
      </c>
      <c r="P131" s="30" t="s">
        <v>186</v>
      </c>
      <c r="Q131" s="30" t="s">
        <v>185</v>
      </c>
      <c r="R131" s="30" t="s">
        <v>184</v>
      </c>
      <c r="S131" s="30" t="s">
        <v>183</v>
      </c>
      <c r="T131" s="30" t="s">
        <v>182</v>
      </c>
      <c r="U131" s="30" t="s">
        <v>181</v>
      </c>
      <c r="V131" s="30" t="s">
        <v>180</v>
      </c>
      <c r="W131" s="30" t="s">
        <v>179</v>
      </c>
      <c r="X131" s="30" t="s">
        <v>178</v>
      </c>
      <c r="Y131" s="30" t="s">
        <v>177</v>
      </c>
      <c r="Z131" s="30" t="s">
        <v>176</v>
      </c>
      <c r="AA131" s="30" t="s">
        <v>175</v>
      </c>
      <c r="AB131" s="30" t="s">
        <v>174</v>
      </c>
      <c r="AC131" s="30" t="s">
        <v>173</v>
      </c>
      <c r="AD131" s="30" t="s">
        <v>172</v>
      </c>
      <c r="AE131" s="30" t="s">
        <v>171</v>
      </c>
      <c r="AF131" s="30" t="s">
        <v>170</v>
      </c>
      <c r="AG131" s="30" t="s">
        <v>169</v>
      </c>
      <c r="AH131" s="30" t="s">
        <v>168</v>
      </c>
      <c r="AI131" s="30" t="s">
        <v>167</v>
      </c>
      <c r="AJ131" s="29" t="s">
        <v>166</v>
      </c>
      <c r="AK131" s="2"/>
    </row>
    <row r="132" spans="2:37" ht="19.5" customHeight="1" thickTop="1" thickBot="1" x14ac:dyDescent="0.3">
      <c r="B132" s="28"/>
      <c r="C132" s="27" t="str">
        <f>DADOS!$AF$3</f>
        <v>📝 AÇÃO</v>
      </c>
      <c r="D132" s="26" t="str">
        <f>IF(investirrendavariávelconsolidadomai[[#This Row],[TOTAL (R$)]]=0,"",IF(OR(investirrendavariávelconsolidadomai[[#This Row],[TOTAL (R$)]]=LARGE($AJ$132:$AJ$141,1),investirrendavariávelconsolidadomai[[#This Row],[TOTAL (R$)]]=LARGE($AJ$132:$AJ$141,2)),DADOS!$I$10,""))</f>
        <v/>
      </c>
      <c r="E132" s="96">
        <f>SUMIFS(tabela_registros[VALOR],tabela_registros[MÊS],$AE$1,tabela_registros[DIA],investirrendavariávelconsolidadomai[[#Headers],[1]],tabela_registros[REGISTRO],DADOS!$N$5,tabela_registros[TIPO],DADOS!$AB$4,tabela_registros[CATEGORIA],investirrendavariávelconsolidadomai[[#This Row],[ATUAL]])</f>
        <v>0</v>
      </c>
      <c r="F132" s="91">
        <f>SUMIFS(tabela_registros[VALOR],tabela_registros[MÊS],$AE$1,tabela_registros[DIA],investirrendavariávelconsolidadomai[[#Headers],[2]],tabela_registros[REGISTRO],DADOS!$N$5,tabela_registros[TIPO],DADOS!$AB$4,tabela_registros[CATEGORIA],investirrendavariávelconsolidadomai[[#This Row],[ATUAL]])</f>
        <v>0</v>
      </c>
      <c r="G132" s="91">
        <f>SUMIFS(tabela_registros[VALOR],tabela_registros[MÊS],$AE$1,tabela_registros[DIA],investirrendavariávelconsolidadomai[[#Headers],[3]],tabela_registros[REGISTRO],DADOS!$N$5,tabela_registros[TIPO],DADOS!$AB$4,tabela_registros[CATEGORIA],investirrendavariávelconsolidadomai[[#This Row],[ATUAL]])</f>
        <v>0</v>
      </c>
      <c r="H132" s="91">
        <f>SUMIFS(tabela_registros[VALOR],tabela_registros[MÊS],$AE$1,tabela_registros[DIA],investirrendavariávelconsolidadomai[[#Headers],[4]],tabela_registros[REGISTRO],DADOS!$N$5,tabela_registros[TIPO],DADOS!$AB$4,tabela_registros[CATEGORIA],investirrendavariávelconsolidadomai[[#This Row],[ATUAL]])</f>
        <v>0</v>
      </c>
      <c r="I132" s="91">
        <f>SUMIFS(tabela_registros[VALOR],tabela_registros[MÊS],$AE$1,tabela_registros[DIA],investirrendavariávelconsolidadomai[[#Headers],[5]],tabela_registros[REGISTRO],DADOS!$N$5,tabela_registros[TIPO],DADOS!$AB$4,tabela_registros[CATEGORIA],investirrendavariávelconsolidadomai[[#This Row],[ATUAL]])</f>
        <v>0</v>
      </c>
      <c r="J132" s="91">
        <f>SUMIFS(tabela_registros[VALOR],tabela_registros[MÊS],$AE$1,tabela_registros[DIA],investirrendavariávelconsolidadomai[[#Headers],[6]],tabela_registros[REGISTRO],DADOS!$N$5,tabela_registros[TIPO],DADOS!$AB$4,tabela_registros[CATEGORIA],investirrendavariávelconsolidadomai[[#This Row],[ATUAL]])</f>
        <v>0</v>
      </c>
      <c r="K132" s="91">
        <f>SUMIFS(tabela_registros[VALOR],tabela_registros[MÊS],$AE$1,tabela_registros[DIA],investirrendavariávelconsolidadomai[[#Headers],[7]],tabela_registros[REGISTRO],DADOS!$N$5,tabela_registros[TIPO],DADOS!$AB$4,tabela_registros[CATEGORIA],investirrendavariávelconsolidadomai[[#This Row],[ATUAL]])</f>
        <v>0</v>
      </c>
      <c r="L132" s="91">
        <f>SUMIFS(tabela_registros[VALOR],tabela_registros[MÊS],$AE$1,tabela_registros[DIA],investirrendavariávelconsolidadomai[[#Headers],[8]],tabela_registros[REGISTRO],DADOS!$N$5,tabela_registros[TIPO],DADOS!$AB$4,tabela_registros[CATEGORIA],investirrendavariávelconsolidadomai[[#This Row],[ATUAL]])</f>
        <v>0</v>
      </c>
      <c r="M132" s="91">
        <f>SUMIFS(tabela_registros[VALOR],tabela_registros[MÊS],$AE$1,tabela_registros[DIA],investirrendavariávelconsolidadomai[[#Headers],[9]],tabela_registros[REGISTRO],DADOS!$N$5,tabela_registros[TIPO],DADOS!$AB$4,tabela_registros[CATEGORIA],investirrendavariávelconsolidadomai[[#This Row],[ATUAL]])</f>
        <v>0</v>
      </c>
      <c r="N132" s="91">
        <f>SUMIFS(tabela_registros[VALOR],tabela_registros[MÊS],$AE$1,tabela_registros[DIA],investirrendavariávelconsolidadomai[[#Headers],[10]],tabela_registros[REGISTRO],DADOS!$N$5,tabela_registros[TIPO],DADOS!$AB$4,tabela_registros[CATEGORIA],investirrendavariávelconsolidadomai[[#This Row],[ATUAL]])</f>
        <v>0</v>
      </c>
      <c r="O132" s="91">
        <f>SUMIFS(tabela_registros[VALOR],tabela_registros[MÊS],$AE$1,tabela_registros[DIA],investirrendavariávelconsolidadomai[[#Headers],[11]],tabela_registros[REGISTRO],DADOS!$N$5,tabela_registros[TIPO],DADOS!$AB$4,tabela_registros[CATEGORIA],investirrendavariávelconsolidadomai[[#This Row],[ATUAL]])</f>
        <v>0</v>
      </c>
      <c r="P132" s="91">
        <f>SUMIFS(tabela_registros[VALOR],tabela_registros[MÊS],$AE$1,tabela_registros[DIA],investirrendavariávelconsolidadomai[[#Headers],[12]],tabela_registros[REGISTRO],DADOS!$N$5,tabela_registros[TIPO],DADOS!$AB$4,tabela_registros[CATEGORIA],investirrendavariávelconsolidadomai[[#This Row],[ATUAL]])</f>
        <v>0</v>
      </c>
      <c r="Q132" s="91">
        <f>SUMIFS(tabela_registros[VALOR],tabela_registros[MÊS],$AE$1,tabela_registros[DIA],investirrendavariávelconsolidadomai[[#Headers],[13]],tabela_registros[REGISTRO],DADOS!$N$5,tabela_registros[TIPO],DADOS!$AB$4,tabela_registros[CATEGORIA],investirrendavariávelconsolidadomai[[#This Row],[ATUAL]])</f>
        <v>0</v>
      </c>
      <c r="R132" s="91">
        <f>SUMIFS(tabela_registros[VALOR],tabela_registros[MÊS],$AE$1,tabela_registros[DIA],investirrendavariávelconsolidadomai[[#Headers],[14]],tabela_registros[REGISTRO],DADOS!$N$5,tabela_registros[TIPO],DADOS!$AB$4,tabela_registros[CATEGORIA],investirrendavariávelconsolidadomai[[#This Row],[ATUAL]])</f>
        <v>0</v>
      </c>
      <c r="S132" s="91">
        <f>SUMIFS(tabela_registros[VALOR],tabela_registros[MÊS],$AE$1,tabela_registros[DIA],investirrendavariávelconsolidadomai[[#Headers],[15]],tabela_registros[REGISTRO],DADOS!$N$5,tabela_registros[TIPO],DADOS!$AB$4,tabela_registros[CATEGORIA],investirrendavariávelconsolidadomai[[#This Row],[ATUAL]])</f>
        <v>0</v>
      </c>
      <c r="T132" s="91">
        <f>SUMIFS(tabela_registros[VALOR],tabela_registros[MÊS],$AE$1,tabela_registros[DIA],investirrendavariávelconsolidadomai[[#Headers],[16]],tabela_registros[REGISTRO],DADOS!$N$5,tabela_registros[TIPO],DADOS!$AB$4,tabela_registros[CATEGORIA],investirrendavariávelconsolidadomai[[#This Row],[ATUAL]])</f>
        <v>0</v>
      </c>
      <c r="U132" s="91">
        <f>SUMIFS(tabela_registros[VALOR],tabela_registros[MÊS],$AE$1,tabela_registros[DIA],investirrendavariávelconsolidadomai[[#Headers],[17]],tabela_registros[REGISTRO],DADOS!$N$5,tabela_registros[TIPO],DADOS!$AB$4,tabela_registros[CATEGORIA],investirrendavariávelconsolidadomai[[#This Row],[ATUAL]])</f>
        <v>0</v>
      </c>
      <c r="V132" s="91">
        <f>SUMIFS(tabela_registros[VALOR],tabela_registros[MÊS],$AE$1,tabela_registros[DIA],investirrendavariávelconsolidadomai[[#Headers],[18]],tabela_registros[REGISTRO],DADOS!$N$5,tabela_registros[TIPO],DADOS!$AB$4,tabela_registros[CATEGORIA],investirrendavariávelconsolidadomai[[#This Row],[ATUAL]])</f>
        <v>0</v>
      </c>
      <c r="W132" s="91">
        <f>SUMIFS(tabela_registros[VALOR],tabela_registros[MÊS],$AE$1,tabela_registros[DIA],investirrendavariávelconsolidadomai[[#Headers],[19]],tabela_registros[REGISTRO],DADOS!$N$5,tabela_registros[TIPO],DADOS!$AB$4,tabela_registros[CATEGORIA],investirrendavariávelconsolidadomai[[#This Row],[ATUAL]])</f>
        <v>0</v>
      </c>
      <c r="X132" s="91">
        <f>SUMIFS(tabela_registros[VALOR],tabela_registros[MÊS],$AE$1,tabela_registros[DIA],investirrendavariávelconsolidadomai[[#Headers],[20]],tabela_registros[REGISTRO],DADOS!$N$5,tabela_registros[TIPO],DADOS!$AB$4,tabela_registros[CATEGORIA],investirrendavariávelconsolidadomai[[#This Row],[ATUAL]])</f>
        <v>0</v>
      </c>
      <c r="Y132" s="91">
        <f>SUMIFS(tabela_registros[VALOR],tabela_registros[MÊS],$AE$1,tabela_registros[DIA],investirrendavariávelconsolidadomai[[#Headers],[21]],tabela_registros[REGISTRO],DADOS!$N$5,tabela_registros[TIPO],DADOS!$AB$4,tabela_registros[CATEGORIA],investirrendavariávelconsolidadomai[[#This Row],[ATUAL]])</f>
        <v>0</v>
      </c>
      <c r="Z132" s="91">
        <f>SUMIFS(tabela_registros[VALOR],tabela_registros[MÊS],$AE$1,tabela_registros[DIA],investirrendavariávelconsolidadomai[[#Headers],[22]],tabela_registros[REGISTRO],DADOS!$N$5,tabela_registros[TIPO],DADOS!$AB$4,tabela_registros[CATEGORIA],investirrendavariávelconsolidadomai[[#This Row],[ATUAL]])</f>
        <v>0</v>
      </c>
      <c r="AA132" s="91">
        <f>SUMIFS(tabela_registros[VALOR],tabela_registros[MÊS],$AE$1,tabela_registros[DIA],investirrendavariávelconsolidadomai[[#Headers],[23]],tabela_registros[REGISTRO],DADOS!$N$5,tabela_registros[TIPO],DADOS!$AB$4,tabela_registros[CATEGORIA],investirrendavariávelconsolidadomai[[#This Row],[ATUAL]])</f>
        <v>0</v>
      </c>
      <c r="AB132" s="91">
        <f>SUMIFS(tabela_registros[VALOR],tabela_registros[MÊS],$AE$1,tabela_registros[DIA],investirrendavariávelconsolidadomai[[#Headers],[24]],tabela_registros[REGISTRO],DADOS!$N$5,tabela_registros[TIPO],DADOS!$AB$4,tabela_registros[CATEGORIA],investirrendavariávelconsolidadomai[[#This Row],[ATUAL]])</f>
        <v>0</v>
      </c>
      <c r="AC132" s="91">
        <f>SUMIFS(tabela_registros[VALOR],tabela_registros[MÊS],$AE$1,tabela_registros[DIA],investirrendavariávelconsolidadomai[[#Headers],[25]],tabela_registros[REGISTRO],DADOS!$N$5,tabela_registros[TIPO],DADOS!$AB$4,tabela_registros[CATEGORIA],investirrendavariávelconsolidadomai[[#This Row],[ATUAL]])</f>
        <v>0</v>
      </c>
      <c r="AD132" s="91">
        <f>SUMIFS(tabela_registros[VALOR],tabela_registros[MÊS],$AE$1,tabela_registros[DIA],investirrendavariávelconsolidadomai[[#Headers],[26]],tabela_registros[REGISTRO],DADOS!$N$5,tabela_registros[TIPO],DADOS!$AB$4,tabela_registros[CATEGORIA],investirrendavariávelconsolidadomai[[#This Row],[ATUAL]])</f>
        <v>0</v>
      </c>
      <c r="AE132" s="91">
        <f>SUMIFS(tabela_registros[VALOR],tabela_registros[MÊS],$AE$1,tabela_registros[DIA],investirrendavariávelconsolidadomai[[#Headers],[27]],tabela_registros[REGISTRO],DADOS!$N$5,tabela_registros[TIPO],DADOS!$AB$4,tabela_registros[CATEGORIA],investirrendavariávelconsolidadomai[[#This Row],[ATUAL]])</f>
        <v>0</v>
      </c>
      <c r="AF132" s="91">
        <f>SUMIFS(tabela_registros[VALOR],tabela_registros[MÊS],$AE$1,tabela_registros[DIA],investirrendavariávelconsolidadomai[[#Headers],[28]],tabela_registros[REGISTRO],DADOS!$N$5,tabela_registros[TIPO],DADOS!$AB$4,tabela_registros[CATEGORIA],investirrendavariávelconsolidadomai[[#This Row],[ATUAL]])</f>
        <v>0</v>
      </c>
      <c r="AG132" s="91">
        <f>SUMIFS(tabela_registros[VALOR],tabela_registros[MÊS],$AE$1,tabela_registros[DIA],investirrendavariávelconsolidadomai[[#Headers],[29]],tabela_registros[REGISTRO],DADOS!$N$5,tabela_registros[TIPO],DADOS!$AB$4,tabela_registros[CATEGORIA],investirrendavariávelconsolidadomai[[#This Row],[ATUAL]])</f>
        <v>0</v>
      </c>
      <c r="AH132" s="91">
        <f>SUMIFS(tabela_registros[VALOR],tabela_registros[MÊS],$AE$1,tabela_registros[DIA],investirrendavariávelconsolidadomai[[#Headers],[30]],tabela_registros[REGISTRO],DADOS!$N$5,tabela_registros[TIPO],DADOS!$AB$4,tabela_registros[CATEGORIA],investirrendavariávelconsolidadomai[[#This Row],[ATUAL]])</f>
        <v>0</v>
      </c>
      <c r="AI132" s="101">
        <f>SUMIFS(tabela_registros[VALOR],tabela_registros[MÊS],$AE$1,tabela_registros[DIA],investirrendavariávelconsolidadomai[[#Headers],[31]],tabela_registros[REGISTRO],DADOS!$N$5,tabela_registros[TIPO],DADOS!$AB$4,tabela_registros[CATEGORIA],investirrendavariávelconsolidadomai[[#This Row],[ATUAL]])</f>
        <v>0</v>
      </c>
      <c r="AJ132" s="97">
        <f>SUM(investirrendavariávelconsolidadomai[[#This Row],[1]:[31]])</f>
        <v>0</v>
      </c>
      <c r="AK132" s="25"/>
    </row>
    <row r="133" spans="2:37" ht="19.5" customHeight="1" thickTop="1" thickBot="1" x14ac:dyDescent="0.3">
      <c r="B133" s="28"/>
      <c r="C133" s="27" t="str">
        <f>DADOS!$AF$4</f>
        <v>📝 COMÓDITE</v>
      </c>
      <c r="D133" s="26" t="str">
        <f>IF(investirrendavariávelconsolidadomai[[#This Row],[TOTAL (R$)]]=0,"",IF(OR(investirrendavariávelconsolidadomai[[#This Row],[TOTAL (R$)]]=LARGE($AJ$132:$AJ$141,1),investirrendavariávelconsolidadomai[[#This Row],[TOTAL (R$)]]=LARGE($AJ$132:$AJ$141,2)),DADOS!$I$10,""))</f>
        <v/>
      </c>
      <c r="E133" s="96">
        <f>SUMIFS(tabela_registros[VALOR],tabela_registros[MÊS],$AE$1,tabela_registros[DIA],investirrendavariávelconsolidadomai[[#Headers],[1]],tabela_registros[REGISTRO],DADOS!$N$5,tabela_registros[TIPO],DADOS!$AB$4,tabela_registros[CATEGORIA],investirrendavariávelconsolidadomai[[#This Row],[ATUAL]])</f>
        <v>0</v>
      </c>
      <c r="F133" s="91">
        <f>SUMIFS(tabela_registros[VALOR],tabela_registros[MÊS],$AE$1,tabela_registros[DIA],investirrendavariávelconsolidadomai[[#Headers],[2]],tabela_registros[REGISTRO],DADOS!$N$5,tabela_registros[TIPO],DADOS!$AB$4,tabela_registros[CATEGORIA],investirrendavariávelconsolidadomai[[#This Row],[ATUAL]])</f>
        <v>0</v>
      </c>
      <c r="G133" s="91">
        <f>SUMIFS(tabela_registros[VALOR],tabela_registros[MÊS],$AE$1,tabela_registros[DIA],investirrendavariávelconsolidadomai[[#Headers],[3]],tabela_registros[REGISTRO],DADOS!$N$5,tabela_registros[TIPO],DADOS!$AB$4,tabela_registros[CATEGORIA],investirrendavariávelconsolidadomai[[#This Row],[ATUAL]])</f>
        <v>0</v>
      </c>
      <c r="H133" s="91">
        <f>SUMIFS(tabela_registros[VALOR],tabela_registros[MÊS],$AE$1,tabela_registros[DIA],investirrendavariávelconsolidadomai[[#Headers],[4]],tabela_registros[REGISTRO],DADOS!$N$5,tabela_registros[TIPO],DADOS!$AB$4,tabela_registros[CATEGORIA],investirrendavariávelconsolidadomai[[#This Row],[ATUAL]])</f>
        <v>0</v>
      </c>
      <c r="I133" s="91">
        <f>SUMIFS(tabela_registros[VALOR],tabela_registros[MÊS],$AE$1,tabela_registros[DIA],investirrendavariávelconsolidadomai[[#Headers],[5]],tabela_registros[REGISTRO],DADOS!$N$5,tabela_registros[TIPO],DADOS!$AB$4,tabela_registros[CATEGORIA],investirrendavariávelconsolidadomai[[#This Row],[ATUAL]])</f>
        <v>0</v>
      </c>
      <c r="J133" s="91">
        <f>SUMIFS(tabela_registros[VALOR],tabela_registros[MÊS],$AE$1,tabela_registros[DIA],investirrendavariávelconsolidadomai[[#Headers],[6]],tabela_registros[REGISTRO],DADOS!$N$5,tabela_registros[TIPO],DADOS!$AB$4,tabela_registros[CATEGORIA],investirrendavariávelconsolidadomai[[#This Row],[ATUAL]])</f>
        <v>0</v>
      </c>
      <c r="K133" s="91">
        <f>SUMIFS(tabela_registros[VALOR],tabela_registros[MÊS],$AE$1,tabela_registros[DIA],investirrendavariávelconsolidadomai[[#Headers],[7]],tabela_registros[REGISTRO],DADOS!$N$5,tabela_registros[TIPO],DADOS!$AB$4,tabela_registros[CATEGORIA],investirrendavariávelconsolidadomai[[#This Row],[ATUAL]])</f>
        <v>0</v>
      </c>
      <c r="L133" s="91">
        <f>SUMIFS(tabela_registros[VALOR],tabela_registros[MÊS],$AE$1,tabela_registros[DIA],investirrendavariávelconsolidadomai[[#Headers],[8]],tabela_registros[REGISTRO],DADOS!$N$5,tabela_registros[TIPO],DADOS!$AB$4,tabela_registros[CATEGORIA],investirrendavariávelconsolidadomai[[#This Row],[ATUAL]])</f>
        <v>0</v>
      </c>
      <c r="M133" s="91">
        <f>SUMIFS(tabela_registros[VALOR],tabela_registros[MÊS],$AE$1,tabela_registros[DIA],investirrendavariávelconsolidadomai[[#Headers],[9]],tabela_registros[REGISTRO],DADOS!$N$5,tabela_registros[TIPO],DADOS!$AB$4,tabela_registros[CATEGORIA],investirrendavariávelconsolidadomai[[#This Row],[ATUAL]])</f>
        <v>0</v>
      </c>
      <c r="N133" s="91">
        <f>SUMIFS(tabela_registros[VALOR],tabela_registros[MÊS],$AE$1,tabela_registros[DIA],investirrendavariávelconsolidadomai[[#Headers],[10]],tabela_registros[REGISTRO],DADOS!$N$5,tabela_registros[TIPO],DADOS!$AB$4,tabela_registros[CATEGORIA],investirrendavariávelconsolidadomai[[#This Row],[ATUAL]])</f>
        <v>0</v>
      </c>
      <c r="O133" s="91">
        <f>SUMIFS(tabela_registros[VALOR],tabela_registros[MÊS],$AE$1,tabela_registros[DIA],investirrendavariávelconsolidadomai[[#Headers],[11]],tabela_registros[REGISTRO],DADOS!$N$5,tabela_registros[TIPO],DADOS!$AB$4,tabela_registros[CATEGORIA],investirrendavariávelconsolidadomai[[#This Row],[ATUAL]])</f>
        <v>0</v>
      </c>
      <c r="P133" s="91">
        <f>SUMIFS(tabela_registros[VALOR],tabela_registros[MÊS],$AE$1,tabela_registros[DIA],investirrendavariávelconsolidadomai[[#Headers],[12]],tabela_registros[REGISTRO],DADOS!$N$5,tabela_registros[TIPO],DADOS!$AB$4,tabela_registros[CATEGORIA],investirrendavariávelconsolidadomai[[#This Row],[ATUAL]])</f>
        <v>0</v>
      </c>
      <c r="Q133" s="91">
        <f>SUMIFS(tabela_registros[VALOR],tabela_registros[MÊS],$AE$1,tabela_registros[DIA],investirrendavariávelconsolidadomai[[#Headers],[13]],tabela_registros[REGISTRO],DADOS!$N$5,tabela_registros[TIPO],DADOS!$AB$4,tabela_registros[CATEGORIA],investirrendavariávelconsolidadomai[[#This Row],[ATUAL]])</f>
        <v>0</v>
      </c>
      <c r="R133" s="91">
        <f>SUMIFS(tabela_registros[VALOR],tabela_registros[MÊS],$AE$1,tabela_registros[DIA],investirrendavariávelconsolidadomai[[#Headers],[14]],tabela_registros[REGISTRO],DADOS!$N$5,tabela_registros[TIPO],DADOS!$AB$4,tabela_registros[CATEGORIA],investirrendavariávelconsolidadomai[[#This Row],[ATUAL]])</f>
        <v>0</v>
      </c>
      <c r="S133" s="91">
        <f>SUMIFS(tabela_registros[VALOR],tabela_registros[MÊS],$AE$1,tabela_registros[DIA],investirrendavariávelconsolidadomai[[#Headers],[15]],tabela_registros[REGISTRO],DADOS!$N$5,tabela_registros[TIPO],DADOS!$AB$4,tabela_registros[CATEGORIA],investirrendavariávelconsolidadomai[[#This Row],[ATUAL]])</f>
        <v>0</v>
      </c>
      <c r="T133" s="91">
        <f>SUMIFS(tabela_registros[VALOR],tabela_registros[MÊS],$AE$1,tabela_registros[DIA],investirrendavariávelconsolidadomai[[#Headers],[16]],tabela_registros[REGISTRO],DADOS!$N$5,tabela_registros[TIPO],DADOS!$AB$4,tabela_registros[CATEGORIA],investirrendavariávelconsolidadomai[[#This Row],[ATUAL]])</f>
        <v>0</v>
      </c>
      <c r="U133" s="91">
        <f>SUMIFS(tabela_registros[VALOR],tabela_registros[MÊS],$AE$1,tabela_registros[DIA],investirrendavariávelconsolidadomai[[#Headers],[17]],tabela_registros[REGISTRO],DADOS!$N$5,tabela_registros[TIPO],DADOS!$AB$4,tabela_registros[CATEGORIA],investirrendavariávelconsolidadomai[[#This Row],[ATUAL]])</f>
        <v>0</v>
      </c>
      <c r="V133" s="91">
        <f>SUMIFS(tabela_registros[VALOR],tabela_registros[MÊS],$AE$1,tabela_registros[DIA],investirrendavariávelconsolidadomai[[#Headers],[18]],tabela_registros[REGISTRO],DADOS!$N$5,tabela_registros[TIPO],DADOS!$AB$4,tabela_registros[CATEGORIA],investirrendavariávelconsolidadomai[[#This Row],[ATUAL]])</f>
        <v>0</v>
      </c>
      <c r="W133" s="91">
        <f>SUMIFS(tabela_registros[VALOR],tabela_registros[MÊS],$AE$1,tabela_registros[DIA],investirrendavariávelconsolidadomai[[#Headers],[19]],tabela_registros[REGISTRO],DADOS!$N$5,tabela_registros[TIPO],DADOS!$AB$4,tabela_registros[CATEGORIA],investirrendavariávelconsolidadomai[[#This Row],[ATUAL]])</f>
        <v>0</v>
      </c>
      <c r="X133" s="91">
        <f>SUMIFS(tabela_registros[VALOR],tabela_registros[MÊS],$AE$1,tabela_registros[DIA],investirrendavariávelconsolidadomai[[#Headers],[20]],tabela_registros[REGISTRO],DADOS!$N$5,tabela_registros[TIPO],DADOS!$AB$4,tabela_registros[CATEGORIA],investirrendavariávelconsolidadomai[[#This Row],[ATUAL]])</f>
        <v>0</v>
      </c>
      <c r="Y133" s="91">
        <f>SUMIFS(tabela_registros[VALOR],tabela_registros[MÊS],$AE$1,tabela_registros[DIA],investirrendavariávelconsolidadomai[[#Headers],[21]],tabela_registros[REGISTRO],DADOS!$N$5,tabela_registros[TIPO],DADOS!$AB$4,tabela_registros[CATEGORIA],investirrendavariávelconsolidadomai[[#This Row],[ATUAL]])</f>
        <v>0</v>
      </c>
      <c r="Z133" s="91">
        <f>SUMIFS(tabela_registros[VALOR],tabela_registros[MÊS],$AE$1,tabela_registros[DIA],investirrendavariávelconsolidadomai[[#Headers],[22]],tabela_registros[REGISTRO],DADOS!$N$5,tabela_registros[TIPO],DADOS!$AB$4,tabela_registros[CATEGORIA],investirrendavariávelconsolidadomai[[#This Row],[ATUAL]])</f>
        <v>0</v>
      </c>
      <c r="AA133" s="91">
        <f>SUMIFS(tabela_registros[VALOR],tabela_registros[MÊS],$AE$1,tabela_registros[DIA],investirrendavariávelconsolidadomai[[#Headers],[23]],tabela_registros[REGISTRO],DADOS!$N$5,tabela_registros[TIPO],DADOS!$AB$4,tabela_registros[CATEGORIA],investirrendavariávelconsolidadomai[[#This Row],[ATUAL]])</f>
        <v>0</v>
      </c>
      <c r="AB133" s="91">
        <f>SUMIFS(tabela_registros[VALOR],tabela_registros[MÊS],$AE$1,tabela_registros[DIA],investirrendavariávelconsolidadomai[[#Headers],[24]],tabela_registros[REGISTRO],DADOS!$N$5,tabela_registros[TIPO],DADOS!$AB$4,tabela_registros[CATEGORIA],investirrendavariávelconsolidadomai[[#This Row],[ATUAL]])</f>
        <v>0</v>
      </c>
      <c r="AC133" s="91">
        <f>SUMIFS(tabela_registros[VALOR],tabela_registros[MÊS],$AE$1,tabela_registros[DIA],investirrendavariávelconsolidadomai[[#Headers],[25]],tabela_registros[REGISTRO],DADOS!$N$5,tabela_registros[TIPO],DADOS!$AB$4,tabela_registros[CATEGORIA],investirrendavariávelconsolidadomai[[#This Row],[ATUAL]])</f>
        <v>0</v>
      </c>
      <c r="AD133" s="91">
        <f>SUMIFS(tabela_registros[VALOR],tabela_registros[MÊS],$AE$1,tabela_registros[DIA],investirrendavariávelconsolidadomai[[#Headers],[26]],tabela_registros[REGISTRO],DADOS!$N$5,tabela_registros[TIPO],DADOS!$AB$4,tabela_registros[CATEGORIA],investirrendavariávelconsolidadomai[[#This Row],[ATUAL]])</f>
        <v>0</v>
      </c>
      <c r="AE133" s="91">
        <f>SUMIFS(tabela_registros[VALOR],tabela_registros[MÊS],$AE$1,tabela_registros[DIA],investirrendavariávelconsolidadomai[[#Headers],[27]],tabela_registros[REGISTRO],DADOS!$N$5,tabela_registros[TIPO],DADOS!$AB$4,tabela_registros[CATEGORIA],investirrendavariávelconsolidadomai[[#This Row],[ATUAL]])</f>
        <v>0</v>
      </c>
      <c r="AF133" s="91">
        <f>SUMIFS(tabela_registros[VALOR],tabela_registros[MÊS],$AE$1,tabela_registros[DIA],investirrendavariávelconsolidadomai[[#Headers],[28]],tabela_registros[REGISTRO],DADOS!$N$5,tabela_registros[TIPO],DADOS!$AB$4,tabela_registros[CATEGORIA],investirrendavariávelconsolidadomai[[#This Row],[ATUAL]])</f>
        <v>0</v>
      </c>
      <c r="AG133" s="91">
        <f>SUMIFS(tabela_registros[VALOR],tabela_registros[MÊS],$AE$1,tabela_registros[DIA],investirrendavariávelconsolidadomai[[#Headers],[29]],tabela_registros[REGISTRO],DADOS!$N$5,tabela_registros[TIPO],DADOS!$AB$4,tabela_registros[CATEGORIA],investirrendavariávelconsolidadomai[[#This Row],[ATUAL]])</f>
        <v>0</v>
      </c>
      <c r="AH133" s="91">
        <f>SUMIFS(tabela_registros[VALOR],tabela_registros[MÊS],$AE$1,tabela_registros[DIA],investirrendavariávelconsolidadomai[[#Headers],[30]],tabela_registros[REGISTRO],DADOS!$N$5,tabela_registros[TIPO],DADOS!$AB$4,tabela_registros[CATEGORIA],investirrendavariávelconsolidadomai[[#This Row],[ATUAL]])</f>
        <v>0</v>
      </c>
      <c r="AI133" s="101">
        <f>SUMIFS(tabela_registros[VALOR],tabela_registros[MÊS],$AE$1,tabela_registros[DIA],investirrendavariávelconsolidadomai[[#Headers],[31]],tabela_registros[REGISTRO],DADOS!$N$5,tabela_registros[TIPO],DADOS!$AB$4,tabela_registros[CATEGORIA],investirrendavariávelconsolidadomai[[#This Row],[ATUAL]])</f>
        <v>0</v>
      </c>
      <c r="AJ133" s="97">
        <f>SUM(investirrendavariávelconsolidadomai[[#This Row],[1]:[31]])</f>
        <v>0</v>
      </c>
      <c r="AK133" s="25"/>
    </row>
    <row r="134" spans="2:37" ht="19.5" customHeight="1" thickTop="1" thickBot="1" x14ac:dyDescent="0.3">
      <c r="B134" s="28"/>
      <c r="C134" s="27" t="str">
        <f>DADOS!$AF$5</f>
        <v>📝 CONTRATO DE FUTUROS</v>
      </c>
      <c r="D134" s="26" t="str">
        <f>IF(investirrendavariávelconsolidadomai[[#This Row],[TOTAL (R$)]]=0,"",IF(OR(investirrendavariávelconsolidadomai[[#This Row],[TOTAL (R$)]]=LARGE($AJ$132:$AJ$141,1),investirrendavariávelconsolidadomai[[#This Row],[TOTAL (R$)]]=LARGE($AJ$132:$AJ$141,2)),DADOS!$I$10,""))</f>
        <v/>
      </c>
      <c r="E134" s="96">
        <f>SUMIFS(tabela_registros[VALOR],tabela_registros[MÊS],$AE$1,tabela_registros[DIA],investirrendavariávelconsolidadomai[[#Headers],[1]],tabela_registros[REGISTRO],DADOS!$N$5,tabela_registros[TIPO],DADOS!$AB$4,tabela_registros[CATEGORIA],investirrendavariávelconsolidadomai[[#This Row],[ATUAL]])</f>
        <v>0</v>
      </c>
      <c r="F134" s="91">
        <f>SUMIFS(tabela_registros[VALOR],tabela_registros[MÊS],$AE$1,tabela_registros[DIA],investirrendavariávelconsolidadomai[[#Headers],[2]],tabela_registros[REGISTRO],DADOS!$N$5,tabela_registros[TIPO],DADOS!$AB$4,tabela_registros[CATEGORIA],investirrendavariávelconsolidadomai[[#This Row],[ATUAL]])</f>
        <v>0</v>
      </c>
      <c r="G134" s="91">
        <f>SUMIFS(tabela_registros[VALOR],tabela_registros[MÊS],$AE$1,tabela_registros[DIA],investirrendavariávelconsolidadomai[[#Headers],[3]],tabela_registros[REGISTRO],DADOS!$N$5,tabela_registros[TIPO],DADOS!$AB$4,tabela_registros[CATEGORIA],investirrendavariávelconsolidadomai[[#This Row],[ATUAL]])</f>
        <v>0</v>
      </c>
      <c r="H134" s="91">
        <f>SUMIFS(tabela_registros[VALOR],tabela_registros[MÊS],$AE$1,tabela_registros[DIA],investirrendavariávelconsolidadomai[[#Headers],[4]],tabela_registros[REGISTRO],DADOS!$N$5,tabela_registros[TIPO],DADOS!$AB$4,tabela_registros[CATEGORIA],investirrendavariávelconsolidadomai[[#This Row],[ATUAL]])</f>
        <v>0</v>
      </c>
      <c r="I134" s="91">
        <f>SUMIFS(tabela_registros[VALOR],tabela_registros[MÊS],$AE$1,tabela_registros[DIA],investirrendavariávelconsolidadomai[[#Headers],[5]],tabela_registros[REGISTRO],DADOS!$N$5,tabela_registros[TIPO],DADOS!$AB$4,tabela_registros[CATEGORIA],investirrendavariávelconsolidadomai[[#This Row],[ATUAL]])</f>
        <v>0</v>
      </c>
      <c r="J134" s="91">
        <f>SUMIFS(tabela_registros[VALOR],tabela_registros[MÊS],$AE$1,tabela_registros[DIA],investirrendavariávelconsolidadomai[[#Headers],[6]],tabela_registros[REGISTRO],DADOS!$N$5,tabela_registros[TIPO],DADOS!$AB$4,tabela_registros[CATEGORIA],investirrendavariávelconsolidadomai[[#This Row],[ATUAL]])</f>
        <v>0</v>
      </c>
      <c r="K134" s="91">
        <f>SUMIFS(tabela_registros[VALOR],tabela_registros[MÊS],$AE$1,tabela_registros[DIA],investirrendavariávelconsolidadomai[[#Headers],[7]],tabela_registros[REGISTRO],DADOS!$N$5,tabela_registros[TIPO],DADOS!$AB$4,tabela_registros[CATEGORIA],investirrendavariávelconsolidadomai[[#This Row],[ATUAL]])</f>
        <v>0</v>
      </c>
      <c r="L134" s="91">
        <f>SUMIFS(tabela_registros[VALOR],tabela_registros[MÊS],$AE$1,tabela_registros[DIA],investirrendavariávelconsolidadomai[[#Headers],[8]],tabela_registros[REGISTRO],DADOS!$N$5,tabela_registros[TIPO],DADOS!$AB$4,tabela_registros[CATEGORIA],investirrendavariávelconsolidadomai[[#This Row],[ATUAL]])</f>
        <v>0</v>
      </c>
      <c r="M134" s="91">
        <f>SUMIFS(tabela_registros[VALOR],tabela_registros[MÊS],$AE$1,tabela_registros[DIA],investirrendavariávelconsolidadomai[[#Headers],[9]],tabela_registros[REGISTRO],DADOS!$N$5,tabela_registros[TIPO],DADOS!$AB$4,tabela_registros[CATEGORIA],investirrendavariávelconsolidadomai[[#This Row],[ATUAL]])</f>
        <v>0</v>
      </c>
      <c r="N134" s="91">
        <f>SUMIFS(tabela_registros[VALOR],tabela_registros[MÊS],$AE$1,tabela_registros[DIA],investirrendavariávelconsolidadomai[[#Headers],[10]],tabela_registros[REGISTRO],DADOS!$N$5,tabela_registros[TIPO],DADOS!$AB$4,tabela_registros[CATEGORIA],investirrendavariávelconsolidadomai[[#This Row],[ATUAL]])</f>
        <v>0</v>
      </c>
      <c r="O134" s="91">
        <f>SUMIFS(tabela_registros[VALOR],tabela_registros[MÊS],$AE$1,tabela_registros[DIA],investirrendavariávelconsolidadomai[[#Headers],[11]],tabela_registros[REGISTRO],DADOS!$N$5,tabela_registros[TIPO],DADOS!$AB$4,tabela_registros[CATEGORIA],investirrendavariávelconsolidadomai[[#This Row],[ATUAL]])</f>
        <v>0</v>
      </c>
      <c r="P134" s="91">
        <f>SUMIFS(tabela_registros[VALOR],tabela_registros[MÊS],$AE$1,tabela_registros[DIA],investirrendavariávelconsolidadomai[[#Headers],[12]],tabela_registros[REGISTRO],DADOS!$N$5,tabela_registros[TIPO],DADOS!$AB$4,tabela_registros[CATEGORIA],investirrendavariávelconsolidadomai[[#This Row],[ATUAL]])</f>
        <v>0</v>
      </c>
      <c r="Q134" s="91">
        <f>SUMIFS(tabela_registros[VALOR],tabela_registros[MÊS],$AE$1,tabela_registros[DIA],investirrendavariávelconsolidadomai[[#Headers],[13]],tabela_registros[REGISTRO],DADOS!$N$5,tabela_registros[TIPO],DADOS!$AB$4,tabela_registros[CATEGORIA],investirrendavariávelconsolidadomai[[#This Row],[ATUAL]])</f>
        <v>0</v>
      </c>
      <c r="R134" s="91">
        <f>SUMIFS(tabela_registros[VALOR],tabela_registros[MÊS],$AE$1,tabela_registros[DIA],investirrendavariávelconsolidadomai[[#Headers],[14]],tabela_registros[REGISTRO],DADOS!$N$5,tabela_registros[TIPO],DADOS!$AB$4,tabela_registros[CATEGORIA],investirrendavariávelconsolidadomai[[#This Row],[ATUAL]])</f>
        <v>0</v>
      </c>
      <c r="S134" s="91">
        <f>SUMIFS(tabela_registros[VALOR],tabela_registros[MÊS],$AE$1,tabela_registros[DIA],investirrendavariávelconsolidadomai[[#Headers],[15]],tabela_registros[REGISTRO],DADOS!$N$5,tabela_registros[TIPO],DADOS!$AB$4,tabela_registros[CATEGORIA],investirrendavariávelconsolidadomai[[#This Row],[ATUAL]])</f>
        <v>0</v>
      </c>
      <c r="T134" s="91">
        <f>SUMIFS(tabela_registros[VALOR],tabela_registros[MÊS],$AE$1,tabela_registros[DIA],investirrendavariávelconsolidadomai[[#Headers],[16]],tabela_registros[REGISTRO],DADOS!$N$5,tabela_registros[TIPO],DADOS!$AB$4,tabela_registros[CATEGORIA],investirrendavariávelconsolidadomai[[#This Row],[ATUAL]])</f>
        <v>0</v>
      </c>
      <c r="U134" s="91">
        <f>SUMIFS(tabela_registros[VALOR],tabela_registros[MÊS],$AE$1,tabela_registros[DIA],investirrendavariávelconsolidadomai[[#Headers],[17]],tabela_registros[REGISTRO],DADOS!$N$5,tabela_registros[TIPO],DADOS!$AB$4,tabela_registros[CATEGORIA],investirrendavariávelconsolidadomai[[#This Row],[ATUAL]])</f>
        <v>0</v>
      </c>
      <c r="V134" s="91">
        <f>SUMIFS(tabela_registros[VALOR],tabela_registros[MÊS],$AE$1,tabela_registros[DIA],investirrendavariávelconsolidadomai[[#Headers],[18]],tabela_registros[REGISTRO],DADOS!$N$5,tabela_registros[TIPO],DADOS!$AB$4,tabela_registros[CATEGORIA],investirrendavariávelconsolidadomai[[#This Row],[ATUAL]])</f>
        <v>0</v>
      </c>
      <c r="W134" s="91">
        <f>SUMIFS(tabela_registros[VALOR],tabela_registros[MÊS],$AE$1,tabela_registros[DIA],investirrendavariávelconsolidadomai[[#Headers],[19]],tabela_registros[REGISTRO],DADOS!$N$5,tabela_registros[TIPO],DADOS!$AB$4,tabela_registros[CATEGORIA],investirrendavariávelconsolidadomai[[#This Row],[ATUAL]])</f>
        <v>0</v>
      </c>
      <c r="X134" s="91">
        <f>SUMIFS(tabela_registros[VALOR],tabela_registros[MÊS],$AE$1,tabela_registros[DIA],investirrendavariávelconsolidadomai[[#Headers],[20]],tabela_registros[REGISTRO],DADOS!$N$5,tabela_registros[TIPO],DADOS!$AB$4,tabela_registros[CATEGORIA],investirrendavariávelconsolidadomai[[#This Row],[ATUAL]])</f>
        <v>0</v>
      </c>
      <c r="Y134" s="91">
        <f>SUMIFS(tabela_registros[VALOR],tabela_registros[MÊS],$AE$1,tabela_registros[DIA],investirrendavariávelconsolidadomai[[#Headers],[21]],tabela_registros[REGISTRO],DADOS!$N$5,tabela_registros[TIPO],DADOS!$AB$4,tabela_registros[CATEGORIA],investirrendavariávelconsolidadomai[[#This Row],[ATUAL]])</f>
        <v>0</v>
      </c>
      <c r="Z134" s="91">
        <f>SUMIFS(tabela_registros[VALOR],tabela_registros[MÊS],$AE$1,tabela_registros[DIA],investirrendavariávelconsolidadomai[[#Headers],[22]],tabela_registros[REGISTRO],DADOS!$N$5,tabela_registros[TIPO],DADOS!$AB$4,tabela_registros[CATEGORIA],investirrendavariávelconsolidadomai[[#This Row],[ATUAL]])</f>
        <v>0</v>
      </c>
      <c r="AA134" s="91">
        <f>SUMIFS(tabela_registros[VALOR],tabela_registros[MÊS],$AE$1,tabela_registros[DIA],investirrendavariávelconsolidadomai[[#Headers],[23]],tabela_registros[REGISTRO],DADOS!$N$5,tabela_registros[TIPO],DADOS!$AB$4,tabela_registros[CATEGORIA],investirrendavariávelconsolidadomai[[#This Row],[ATUAL]])</f>
        <v>0</v>
      </c>
      <c r="AB134" s="91">
        <f>SUMIFS(tabela_registros[VALOR],tabela_registros[MÊS],$AE$1,tabela_registros[DIA],investirrendavariávelconsolidadomai[[#Headers],[24]],tabela_registros[REGISTRO],DADOS!$N$5,tabela_registros[TIPO],DADOS!$AB$4,tabela_registros[CATEGORIA],investirrendavariávelconsolidadomai[[#This Row],[ATUAL]])</f>
        <v>0</v>
      </c>
      <c r="AC134" s="91">
        <f>SUMIFS(tabela_registros[VALOR],tabela_registros[MÊS],$AE$1,tabela_registros[DIA],investirrendavariávelconsolidadomai[[#Headers],[25]],tabela_registros[REGISTRO],DADOS!$N$5,tabela_registros[TIPO],DADOS!$AB$4,tabela_registros[CATEGORIA],investirrendavariávelconsolidadomai[[#This Row],[ATUAL]])</f>
        <v>0</v>
      </c>
      <c r="AD134" s="91">
        <f>SUMIFS(tabela_registros[VALOR],tabela_registros[MÊS],$AE$1,tabela_registros[DIA],investirrendavariávelconsolidadomai[[#Headers],[26]],tabela_registros[REGISTRO],DADOS!$N$5,tabela_registros[TIPO],DADOS!$AB$4,tabela_registros[CATEGORIA],investirrendavariávelconsolidadomai[[#This Row],[ATUAL]])</f>
        <v>0</v>
      </c>
      <c r="AE134" s="91">
        <f>SUMIFS(tabela_registros[VALOR],tabela_registros[MÊS],$AE$1,tabela_registros[DIA],investirrendavariávelconsolidadomai[[#Headers],[27]],tabela_registros[REGISTRO],DADOS!$N$5,tabela_registros[TIPO],DADOS!$AB$4,tabela_registros[CATEGORIA],investirrendavariávelconsolidadomai[[#This Row],[ATUAL]])</f>
        <v>0</v>
      </c>
      <c r="AF134" s="91">
        <f>SUMIFS(tabela_registros[VALOR],tabela_registros[MÊS],$AE$1,tabela_registros[DIA],investirrendavariávelconsolidadomai[[#Headers],[28]],tabela_registros[REGISTRO],DADOS!$N$5,tabela_registros[TIPO],DADOS!$AB$4,tabela_registros[CATEGORIA],investirrendavariávelconsolidadomai[[#This Row],[ATUAL]])</f>
        <v>0</v>
      </c>
      <c r="AG134" s="91">
        <f>SUMIFS(tabela_registros[VALOR],tabela_registros[MÊS],$AE$1,tabela_registros[DIA],investirrendavariávelconsolidadomai[[#Headers],[29]],tabela_registros[REGISTRO],DADOS!$N$5,tabela_registros[TIPO],DADOS!$AB$4,tabela_registros[CATEGORIA],investirrendavariávelconsolidadomai[[#This Row],[ATUAL]])</f>
        <v>0</v>
      </c>
      <c r="AH134" s="91">
        <f>SUMIFS(tabela_registros[VALOR],tabela_registros[MÊS],$AE$1,tabela_registros[DIA],investirrendavariávelconsolidadomai[[#Headers],[30]],tabela_registros[REGISTRO],DADOS!$N$5,tabela_registros[TIPO],DADOS!$AB$4,tabela_registros[CATEGORIA],investirrendavariávelconsolidadomai[[#This Row],[ATUAL]])</f>
        <v>0</v>
      </c>
      <c r="AI134" s="101">
        <f>SUMIFS(tabela_registros[VALOR],tabela_registros[MÊS],$AE$1,tabela_registros[DIA],investirrendavariávelconsolidadomai[[#Headers],[31]],tabela_registros[REGISTRO],DADOS!$N$5,tabela_registros[TIPO],DADOS!$AB$4,tabela_registros[CATEGORIA],investirrendavariávelconsolidadomai[[#This Row],[ATUAL]])</f>
        <v>0</v>
      </c>
      <c r="AJ134" s="97">
        <f>SUM(investirrendavariávelconsolidadomai[[#This Row],[1]:[31]])</f>
        <v>0</v>
      </c>
      <c r="AK134" s="25"/>
    </row>
    <row r="135" spans="2:37" ht="19.5" customHeight="1" thickTop="1" thickBot="1" x14ac:dyDescent="0.3">
      <c r="B135" s="28"/>
      <c r="C135" s="27" t="str">
        <f>DADOS!$AF$6</f>
        <v>📝 CONTRATO DE OPÇÕES</v>
      </c>
      <c r="D135" s="26" t="str">
        <f>IF(investirrendavariávelconsolidadomai[[#This Row],[TOTAL (R$)]]=0,"",IF(OR(investirrendavariávelconsolidadomai[[#This Row],[TOTAL (R$)]]=LARGE($AJ$132:$AJ$141,1),investirrendavariávelconsolidadomai[[#This Row],[TOTAL (R$)]]=LARGE($AJ$132:$AJ$141,2)),DADOS!$I$10,""))</f>
        <v/>
      </c>
      <c r="E135" s="96">
        <f>SUMIFS(tabela_registros[VALOR],tabela_registros[MÊS],$AE$1,tabela_registros[DIA],investirrendavariávelconsolidadomai[[#Headers],[1]],tabela_registros[REGISTRO],DADOS!$N$5,tabela_registros[TIPO],DADOS!$AB$4,tabela_registros[CATEGORIA],investirrendavariávelconsolidadomai[[#This Row],[ATUAL]])</f>
        <v>0</v>
      </c>
      <c r="F135" s="91">
        <f>SUMIFS(tabela_registros[VALOR],tabela_registros[MÊS],$AE$1,tabela_registros[DIA],investirrendavariávelconsolidadomai[[#Headers],[2]],tabela_registros[REGISTRO],DADOS!$N$5,tabela_registros[TIPO],DADOS!$AB$4,tabela_registros[CATEGORIA],investirrendavariávelconsolidadomai[[#This Row],[ATUAL]])</f>
        <v>0</v>
      </c>
      <c r="G135" s="91">
        <f>SUMIFS(tabela_registros[VALOR],tabela_registros[MÊS],$AE$1,tabela_registros[DIA],investirrendavariávelconsolidadomai[[#Headers],[3]],tabela_registros[REGISTRO],DADOS!$N$5,tabela_registros[TIPO],DADOS!$AB$4,tabela_registros[CATEGORIA],investirrendavariávelconsolidadomai[[#This Row],[ATUAL]])</f>
        <v>0</v>
      </c>
      <c r="H135" s="91">
        <f>SUMIFS(tabela_registros[VALOR],tabela_registros[MÊS],$AE$1,tabela_registros[DIA],investirrendavariávelconsolidadomai[[#Headers],[4]],tabela_registros[REGISTRO],DADOS!$N$5,tabela_registros[TIPO],DADOS!$AB$4,tabela_registros[CATEGORIA],investirrendavariávelconsolidadomai[[#This Row],[ATUAL]])</f>
        <v>0</v>
      </c>
      <c r="I135" s="91">
        <f>SUMIFS(tabela_registros[VALOR],tabela_registros[MÊS],$AE$1,tabela_registros[DIA],investirrendavariávelconsolidadomai[[#Headers],[5]],tabela_registros[REGISTRO],DADOS!$N$5,tabela_registros[TIPO],DADOS!$AB$4,tabela_registros[CATEGORIA],investirrendavariávelconsolidadomai[[#This Row],[ATUAL]])</f>
        <v>0</v>
      </c>
      <c r="J135" s="91">
        <f>SUMIFS(tabela_registros[VALOR],tabela_registros[MÊS],$AE$1,tabela_registros[DIA],investirrendavariávelconsolidadomai[[#Headers],[6]],tabela_registros[REGISTRO],DADOS!$N$5,tabela_registros[TIPO],DADOS!$AB$4,tabela_registros[CATEGORIA],investirrendavariávelconsolidadomai[[#This Row],[ATUAL]])</f>
        <v>0</v>
      </c>
      <c r="K135" s="91">
        <f>SUMIFS(tabela_registros[VALOR],tabela_registros[MÊS],$AE$1,tabela_registros[DIA],investirrendavariávelconsolidadomai[[#Headers],[7]],tabela_registros[REGISTRO],DADOS!$N$5,tabela_registros[TIPO],DADOS!$AB$4,tabela_registros[CATEGORIA],investirrendavariávelconsolidadomai[[#This Row],[ATUAL]])</f>
        <v>0</v>
      </c>
      <c r="L135" s="91">
        <f>SUMIFS(tabela_registros[VALOR],tabela_registros[MÊS],$AE$1,tabela_registros[DIA],investirrendavariávelconsolidadomai[[#Headers],[8]],tabela_registros[REGISTRO],DADOS!$N$5,tabela_registros[TIPO],DADOS!$AB$4,tabela_registros[CATEGORIA],investirrendavariávelconsolidadomai[[#This Row],[ATUAL]])</f>
        <v>0</v>
      </c>
      <c r="M135" s="91">
        <f>SUMIFS(tabela_registros[VALOR],tabela_registros[MÊS],$AE$1,tabela_registros[DIA],investirrendavariávelconsolidadomai[[#Headers],[9]],tabela_registros[REGISTRO],DADOS!$N$5,tabela_registros[TIPO],DADOS!$AB$4,tabela_registros[CATEGORIA],investirrendavariávelconsolidadomai[[#This Row],[ATUAL]])</f>
        <v>0</v>
      </c>
      <c r="N135" s="91">
        <f>SUMIFS(tabela_registros[VALOR],tabela_registros[MÊS],$AE$1,tabela_registros[DIA],investirrendavariávelconsolidadomai[[#Headers],[10]],tabela_registros[REGISTRO],DADOS!$N$5,tabela_registros[TIPO],DADOS!$AB$4,tabela_registros[CATEGORIA],investirrendavariávelconsolidadomai[[#This Row],[ATUAL]])</f>
        <v>0</v>
      </c>
      <c r="O135" s="91">
        <f>SUMIFS(tabela_registros[VALOR],tabela_registros[MÊS],$AE$1,tabela_registros[DIA],investirrendavariávelconsolidadomai[[#Headers],[11]],tabela_registros[REGISTRO],DADOS!$N$5,tabela_registros[TIPO],DADOS!$AB$4,tabela_registros[CATEGORIA],investirrendavariávelconsolidadomai[[#This Row],[ATUAL]])</f>
        <v>0</v>
      </c>
      <c r="P135" s="91">
        <f>SUMIFS(tabela_registros[VALOR],tabela_registros[MÊS],$AE$1,tabela_registros[DIA],investirrendavariávelconsolidadomai[[#Headers],[12]],tabela_registros[REGISTRO],DADOS!$N$5,tabela_registros[TIPO],DADOS!$AB$4,tabela_registros[CATEGORIA],investirrendavariávelconsolidadomai[[#This Row],[ATUAL]])</f>
        <v>0</v>
      </c>
      <c r="Q135" s="91">
        <f>SUMIFS(tabela_registros[VALOR],tabela_registros[MÊS],$AE$1,tabela_registros[DIA],investirrendavariávelconsolidadomai[[#Headers],[13]],tabela_registros[REGISTRO],DADOS!$N$5,tabela_registros[TIPO],DADOS!$AB$4,tabela_registros[CATEGORIA],investirrendavariávelconsolidadomai[[#This Row],[ATUAL]])</f>
        <v>0</v>
      </c>
      <c r="R135" s="91">
        <f>SUMIFS(tabela_registros[VALOR],tabela_registros[MÊS],$AE$1,tabela_registros[DIA],investirrendavariávelconsolidadomai[[#Headers],[14]],tabela_registros[REGISTRO],DADOS!$N$5,tabela_registros[TIPO],DADOS!$AB$4,tabela_registros[CATEGORIA],investirrendavariávelconsolidadomai[[#This Row],[ATUAL]])</f>
        <v>0</v>
      </c>
      <c r="S135" s="91">
        <f>SUMIFS(tabela_registros[VALOR],tabela_registros[MÊS],$AE$1,tabela_registros[DIA],investirrendavariávelconsolidadomai[[#Headers],[15]],tabela_registros[REGISTRO],DADOS!$N$5,tabela_registros[TIPO],DADOS!$AB$4,tabela_registros[CATEGORIA],investirrendavariávelconsolidadomai[[#This Row],[ATUAL]])</f>
        <v>0</v>
      </c>
      <c r="T135" s="91">
        <f>SUMIFS(tabela_registros[VALOR],tabela_registros[MÊS],$AE$1,tabela_registros[DIA],investirrendavariávelconsolidadomai[[#Headers],[16]],tabela_registros[REGISTRO],DADOS!$N$5,tabela_registros[TIPO],DADOS!$AB$4,tabela_registros[CATEGORIA],investirrendavariávelconsolidadomai[[#This Row],[ATUAL]])</f>
        <v>0</v>
      </c>
      <c r="U135" s="91">
        <f>SUMIFS(tabela_registros[VALOR],tabela_registros[MÊS],$AE$1,tabela_registros[DIA],investirrendavariávelconsolidadomai[[#Headers],[17]],tabela_registros[REGISTRO],DADOS!$N$5,tabela_registros[TIPO],DADOS!$AB$4,tabela_registros[CATEGORIA],investirrendavariávelconsolidadomai[[#This Row],[ATUAL]])</f>
        <v>0</v>
      </c>
      <c r="V135" s="91">
        <f>SUMIFS(tabela_registros[VALOR],tabela_registros[MÊS],$AE$1,tabela_registros[DIA],investirrendavariávelconsolidadomai[[#Headers],[18]],tabela_registros[REGISTRO],DADOS!$N$5,tabela_registros[TIPO],DADOS!$AB$4,tabela_registros[CATEGORIA],investirrendavariávelconsolidadomai[[#This Row],[ATUAL]])</f>
        <v>0</v>
      </c>
      <c r="W135" s="91">
        <f>SUMIFS(tabela_registros[VALOR],tabela_registros[MÊS],$AE$1,tabela_registros[DIA],investirrendavariávelconsolidadomai[[#Headers],[19]],tabela_registros[REGISTRO],DADOS!$N$5,tabela_registros[TIPO],DADOS!$AB$4,tabela_registros[CATEGORIA],investirrendavariávelconsolidadomai[[#This Row],[ATUAL]])</f>
        <v>0</v>
      </c>
      <c r="X135" s="91">
        <f>SUMIFS(tabela_registros[VALOR],tabela_registros[MÊS],$AE$1,tabela_registros[DIA],investirrendavariávelconsolidadomai[[#Headers],[20]],tabela_registros[REGISTRO],DADOS!$N$5,tabela_registros[TIPO],DADOS!$AB$4,tabela_registros[CATEGORIA],investirrendavariávelconsolidadomai[[#This Row],[ATUAL]])</f>
        <v>0</v>
      </c>
      <c r="Y135" s="91">
        <f>SUMIFS(tabela_registros[VALOR],tabela_registros[MÊS],$AE$1,tabela_registros[DIA],investirrendavariávelconsolidadomai[[#Headers],[21]],tabela_registros[REGISTRO],DADOS!$N$5,tabela_registros[TIPO],DADOS!$AB$4,tabela_registros[CATEGORIA],investirrendavariávelconsolidadomai[[#This Row],[ATUAL]])</f>
        <v>0</v>
      </c>
      <c r="Z135" s="91">
        <f>SUMIFS(tabela_registros[VALOR],tabela_registros[MÊS],$AE$1,tabela_registros[DIA],investirrendavariávelconsolidadomai[[#Headers],[22]],tabela_registros[REGISTRO],DADOS!$N$5,tabela_registros[TIPO],DADOS!$AB$4,tabela_registros[CATEGORIA],investirrendavariávelconsolidadomai[[#This Row],[ATUAL]])</f>
        <v>0</v>
      </c>
      <c r="AA135" s="91">
        <f>SUMIFS(tabela_registros[VALOR],tabela_registros[MÊS],$AE$1,tabela_registros[DIA],investirrendavariávelconsolidadomai[[#Headers],[23]],tabela_registros[REGISTRO],DADOS!$N$5,tabela_registros[TIPO],DADOS!$AB$4,tabela_registros[CATEGORIA],investirrendavariávelconsolidadomai[[#This Row],[ATUAL]])</f>
        <v>0</v>
      </c>
      <c r="AB135" s="91">
        <f>SUMIFS(tabela_registros[VALOR],tabela_registros[MÊS],$AE$1,tabela_registros[DIA],investirrendavariávelconsolidadomai[[#Headers],[24]],tabela_registros[REGISTRO],DADOS!$N$5,tabela_registros[TIPO],DADOS!$AB$4,tabela_registros[CATEGORIA],investirrendavariávelconsolidadomai[[#This Row],[ATUAL]])</f>
        <v>0</v>
      </c>
      <c r="AC135" s="91">
        <f>SUMIFS(tabela_registros[VALOR],tabela_registros[MÊS],$AE$1,tabela_registros[DIA],investirrendavariávelconsolidadomai[[#Headers],[25]],tabela_registros[REGISTRO],DADOS!$N$5,tabela_registros[TIPO],DADOS!$AB$4,tabela_registros[CATEGORIA],investirrendavariávelconsolidadomai[[#This Row],[ATUAL]])</f>
        <v>0</v>
      </c>
      <c r="AD135" s="91">
        <f>SUMIFS(tabela_registros[VALOR],tabela_registros[MÊS],$AE$1,tabela_registros[DIA],investirrendavariávelconsolidadomai[[#Headers],[26]],tabela_registros[REGISTRO],DADOS!$N$5,tabela_registros[TIPO],DADOS!$AB$4,tabela_registros[CATEGORIA],investirrendavariávelconsolidadomai[[#This Row],[ATUAL]])</f>
        <v>0</v>
      </c>
      <c r="AE135" s="91">
        <f>SUMIFS(tabela_registros[VALOR],tabela_registros[MÊS],$AE$1,tabela_registros[DIA],investirrendavariávelconsolidadomai[[#Headers],[27]],tabela_registros[REGISTRO],DADOS!$N$5,tabela_registros[TIPO],DADOS!$AB$4,tabela_registros[CATEGORIA],investirrendavariávelconsolidadomai[[#This Row],[ATUAL]])</f>
        <v>0</v>
      </c>
      <c r="AF135" s="91">
        <f>SUMIFS(tabela_registros[VALOR],tabela_registros[MÊS],$AE$1,tabela_registros[DIA],investirrendavariávelconsolidadomai[[#Headers],[28]],tabela_registros[REGISTRO],DADOS!$N$5,tabela_registros[TIPO],DADOS!$AB$4,tabela_registros[CATEGORIA],investirrendavariávelconsolidadomai[[#This Row],[ATUAL]])</f>
        <v>0</v>
      </c>
      <c r="AG135" s="91">
        <f>SUMIFS(tabela_registros[VALOR],tabela_registros[MÊS],$AE$1,tabela_registros[DIA],investirrendavariávelconsolidadomai[[#Headers],[29]],tabela_registros[REGISTRO],DADOS!$N$5,tabela_registros[TIPO],DADOS!$AB$4,tabela_registros[CATEGORIA],investirrendavariávelconsolidadomai[[#This Row],[ATUAL]])</f>
        <v>0</v>
      </c>
      <c r="AH135" s="91">
        <f>SUMIFS(tabela_registros[VALOR],tabela_registros[MÊS],$AE$1,tabela_registros[DIA],investirrendavariávelconsolidadomai[[#Headers],[30]],tabela_registros[REGISTRO],DADOS!$N$5,tabela_registros[TIPO],DADOS!$AB$4,tabela_registros[CATEGORIA],investirrendavariávelconsolidadomai[[#This Row],[ATUAL]])</f>
        <v>0</v>
      </c>
      <c r="AI135" s="101">
        <f>SUMIFS(tabela_registros[VALOR],tabela_registros[MÊS],$AE$1,tabela_registros[DIA],investirrendavariávelconsolidadomai[[#Headers],[31]],tabela_registros[REGISTRO],DADOS!$N$5,tabela_registros[TIPO],DADOS!$AB$4,tabela_registros[CATEGORIA],investirrendavariávelconsolidadomai[[#This Row],[ATUAL]])</f>
        <v>0</v>
      </c>
      <c r="AJ135" s="97">
        <f>SUM(investirrendavariávelconsolidadomai[[#This Row],[1]:[31]])</f>
        <v>0</v>
      </c>
      <c r="AK135" s="25"/>
    </row>
    <row r="136" spans="2:37" ht="19.5" customHeight="1" thickTop="1" thickBot="1" x14ac:dyDescent="0.3">
      <c r="B136" s="28"/>
      <c r="C136" s="27" t="str">
        <f>DADOS!$AF$7</f>
        <v>📝 CRIPTOMOEDA</v>
      </c>
      <c r="D136" s="26" t="str">
        <f>IF(investirrendavariávelconsolidadomai[[#This Row],[TOTAL (R$)]]=0,"",IF(OR(investirrendavariávelconsolidadomai[[#This Row],[TOTAL (R$)]]=LARGE($AJ$132:$AJ$141,1),investirrendavariávelconsolidadomai[[#This Row],[TOTAL (R$)]]=LARGE($AJ$132:$AJ$141,2)),DADOS!$I$10,""))</f>
        <v/>
      </c>
      <c r="E136" s="96">
        <f>SUMIFS(tabela_registros[VALOR],tabela_registros[MÊS],$AE$1,tabela_registros[DIA],investirrendavariávelconsolidadomai[[#Headers],[1]],tabela_registros[REGISTRO],DADOS!$N$5,tabela_registros[TIPO],DADOS!$AB$4,tabela_registros[CATEGORIA],investirrendavariávelconsolidadomai[[#This Row],[ATUAL]])</f>
        <v>0</v>
      </c>
      <c r="F136" s="91">
        <f>SUMIFS(tabela_registros[VALOR],tabela_registros[MÊS],$AE$1,tabela_registros[DIA],investirrendavariávelconsolidadomai[[#Headers],[2]],tabela_registros[REGISTRO],DADOS!$N$5,tabela_registros[TIPO],DADOS!$AB$4,tabela_registros[CATEGORIA],investirrendavariávelconsolidadomai[[#This Row],[ATUAL]])</f>
        <v>0</v>
      </c>
      <c r="G136" s="91">
        <f>SUMIFS(tabela_registros[VALOR],tabela_registros[MÊS],$AE$1,tabela_registros[DIA],investirrendavariávelconsolidadomai[[#Headers],[3]],tabela_registros[REGISTRO],DADOS!$N$5,tabela_registros[TIPO],DADOS!$AB$4,tabela_registros[CATEGORIA],investirrendavariávelconsolidadomai[[#This Row],[ATUAL]])</f>
        <v>0</v>
      </c>
      <c r="H136" s="91">
        <f>SUMIFS(tabela_registros[VALOR],tabela_registros[MÊS],$AE$1,tabela_registros[DIA],investirrendavariávelconsolidadomai[[#Headers],[4]],tabela_registros[REGISTRO],DADOS!$N$5,tabela_registros[TIPO],DADOS!$AB$4,tabela_registros[CATEGORIA],investirrendavariávelconsolidadomai[[#This Row],[ATUAL]])</f>
        <v>0</v>
      </c>
      <c r="I136" s="91">
        <f>SUMIFS(tabela_registros[VALOR],tabela_registros[MÊS],$AE$1,tabela_registros[DIA],investirrendavariávelconsolidadomai[[#Headers],[5]],tabela_registros[REGISTRO],DADOS!$N$5,tabela_registros[TIPO],DADOS!$AB$4,tabela_registros[CATEGORIA],investirrendavariávelconsolidadomai[[#This Row],[ATUAL]])</f>
        <v>0</v>
      </c>
      <c r="J136" s="91">
        <f>SUMIFS(tabela_registros[VALOR],tabela_registros[MÊS],$AE$1,tabela_registros[DIA],investirrendavariávelconsolidadomai[[#Headers],[6]],tabela_registros[REGISTRO],DADOS!$N$5,tabela_registros[TIPO],DADOS!$AB$4,tabela_registros[CATEGORIA],investirrendavariávelconsolidadomai[[#This Row],[ATUAL]])</f>
        <v>0</v>
      </c>
      <c r="K136" s="91">
        <f>SUMIFS(tabela_registros[VALOR],tabela_registros[MÊS],$AE$1,tabela_registros[DIA],investirrendavariávelconsolidadomai[[#Headers],[7]],tabela_registros[REGISTRO],DADOS!$N$5,tabela_registros[TIPO],DADOS!$AB$4,tabela_registros[CATEGORIA],investirrendavariávelconsolidadomai[[#This Row],[ATUAL]])</f>
        <v>0</v>
      </c>
      <c r="L136" s="91">
        <f>SUMIFS(tabela_registros[VALOR],tabela_registros[MÊS],$AE$1,tabela_registros[DIA],investirrendavariávelconsolidadomai[[#Headers],[8]],tabela_registros[REGISTRO],DADOS!$N$5,tabela_registros[TIPO],DADOS!$AB$4,tabela_registros[CATEGORIA],investirrendavariávelconsolidadomai[[#This Row],[ATUAL]])</f>
        <v>0</v>
      </c>
      <c r="M136" s="91">
        <f>SUMIFS(tabela_registros[VALOR],tabela_registros[MÊS],$AE$1,tabela_registros[DIA],investirrendavariávelconsolidadomai[[#Headers],[9]],tabela_registros[REGISTRO],DADOS!$N$5,tabela_registros[TIPO],DADOS!$AB$4,tabela_registros[CATEGORIA],investirrendavariávelconsolidadomai[[#This Row],[ATUAL]])</f>
        <v>0</v>
      </c>
      <c r="N136" s="91">
        <f>SUMIFS(tabela_registros[VALOR],tabela_registros[MÊS],$AE$1,tabela_registros[DIA],investirrendavariávelconsolidadomai[[#Headers],[10]],tabela_registros[REGISTRO],DADOS!$N$5,tabela_registros[TIPO],DADOS!$AB$4,tabela_registros[CATEGORIA],investirrendavariávelconsolidadomai[[#This Row],[ATUAL]])</f>
        <v>0</v>
      </c>
      <c r="O136" s="91">
        <f>SUMIFS(tabela_registros[VALOR],tabela_registros[MÊS],$AE$1,tabela_registros[DIA],investirrendavariávelconsolidadomai[[#Headers],[11]],tabela_registros[REGISTRO],DADOS!$N$5,tabela_registros[TIPO],DADOS!$AB$4,tabela_registros[CATEGORIA],investirrendavariávelconsolidadomai[[#This Row],[ATUAL]])</f>
        <v>0</v>
      </c>
      <c r="P136" s="91">
        <f>SUMIFS(tabela_registros[VALOR],tabela_registros[MÊS],$AE$1,tabela_registros[DIA],investirrendavariávelconsolidadomai[[#Headers],[12]],tabela_registros[REGISTRO],DADOS!$N$5,tabela_registros[TIPO],DADOS!$AB$4,tabela_registros[CATEGORIA],investirrendavariávelconsolidadomai[[#This Row],[ATUAL]])</f>
        <v>0</v>
      </c>
      <c r="Q136" s="91">
        <f>SUMIFS(tabela_registros[VALOR],tabela_registros[MÊS],$AE$1,tabela_registros[DIA],investirrendavariávelconsolidadomai[[#Headers],[13]],tabela_registros[REGISTRO],DADOS!$N$5,tabela_registros[TIPO],DADOS!$AB$4,tabela_registros[CATEGORIA],investirrendavariávelconsolidadomai[[#This Row],[ATUAL]])</f>
        <v>0</v>
      </c>
      <c r="R136" s="91">
        <f>SUMIFS(tabela_registros[VALOR],tabela_registros[MÊS],$AE$1,tabela_registros[DIA],investirrendavariávelconsolidadomai[[#Headers],[14]],tabela_registros[REGISTRO],DADOS!$N$5,tabela_registros[TIPO],DADOS!$AB$4,tabela_registros[CATEGORIA],investirrendavariávelconsolidadomai[[#This Row],[ATUAL]])</f>
        <v>0</v>
      </c>
      <c r="S136" s="91">
        <f>SUMIFS(tabela_registros[VALOR],tabela_registros[MÊS],$AE$1,tabela_registros[DIA],investirrendavariávelconsolidadomai[[#Headers],[15]],tabela_registros[REGISTRO],DADOS!$N$5,tabela_registros[TIPO],DADOS!$AB$4,tabela_registros[CATEGORIA],investirrendavariávelconsolidadomai[[#This Row],[ATUAL]])</f>
        <v>0</v>
      </c>
      <c r="T136" s="91">
        <f>SUMIFS(tabela_registros[VALOR],tabela_registros[MÊS],$AE$1,tabela_registros[DIA],investirrendavariávelconsolidadomai[[#Headers],[16]],tabela_registros[REGISTRO],DADOS!$N$5,tabela_registros[TIPO],DADOS!$AB$4,tabela_registros[CATEGORIA],investirrendavariávelconsolidadomai[[#This Row],[ATUAL]])</f>
        <v>0</v>
      </c>
      <c r="U136" s="91">
        <f>SUMIFS(tabela_registros[VALOR],tabela_registros[MÊS],$AE$1,tabela_registros[DIA],investirrendavariávelconsolidadomai[[#Headers],[17]],tabela_registros[REGISTRO],DADOS!$N$5,tabela_registros[TIPO],DADOS!$AB$4,tabela_registros[CATEGORIA],investirrendavariávelconsolidadomai[[#This Row],[ATUAL]])</f>
        <v>0</v>
      </c>
      <c r="V136" s="91">
        <f>SUMIFS(tabela_registros[VALOR],tabela_registros[MÊS],$AE$1,tabela_registros[DIA],investirrendavariávelconsolidadomai[[#Headers],[18]],tabela_registros[REGISTRO],DADOS!$N$5,tabela_registros[TIPO],DADOS!$AB$4,tabela_registros[CATEGORIA],investirrendavariávelconsolidadomai[[#This Row],[ATUAL]])</f>
        <v>0</v>
      </c>
      <c r="W136" s="91">
        <f>SUMIFS(tabela_registros[VALOR],tabela_registros[MÊS],$AE$1,tabela_registros[DIA],investirrendavariávelconsolidadomai[[#Headers],[19]],tabela_registros[REGISTRO],DADOS!$N$5,tabela_registros[TIPO],DADOS!$AB$4,tabela_registros[CATEGORIA],investirrendavariávelconsolidadomai[[#This Row],[ATUAL]])</f>
        <v>0</v>
      </c>
      <c r="X136" s="91">
        <f>SUMIFS(tabela_registros[VALOR],tabela_registros[MÊS],$AE$1,tabela_registros[DIA],investirrendavariávelconsolidadomai[[#Headers],[20]],tabela_registros[REGISTRO],DADOS!$N$5,tabela_registros[TIPO],DADOS!$AB$4,tabela_registros[CATEGORIA],investirrendavariávelconsolidadomai[[#This Row],[ATUAL]])</f>
        <v>0</v>
      </c>
      <c r="Y136" s="91">
        <f>SUMIFS(tabela_registros[VALOR],tabela_registros[MÊS],$AE$1,tabela_registros[DIA],investirrendavariávelconsolidadomai[[#Headers],[21]],tabela_registros[REGISTRO],DADOS!$N$5,tabela_registros[TIPO],DADOS!$AB$4,tabela_registros[CATEGORIA],investirrendavariávelconsolidadomai[[#This Row],[ATUAL]])</f>
        <v>0</v>
      </c>
      <c r="Z136" s="91">
        <f>SUMIFS(tabela_registros[VALOR],tabela_registros[MÊS],$AE$1,tabela_registros[DIA],investirrendavariávelconsolidadomai[[#Headers],[22]],tabela_registros[REGISTRO],DADOS!$N$5,tabela_registros[TIPO],DADOS!$AB$4,tabela_registros[CATEGORIA],investirrendavariávelconsolidadomai[[#This Row],[ATUAL]])</f>
        <v>0</v>
      </c>
      <c r="AA136" s="91">
        <f>SUMIFS(tabela_registros[VALOR],tabela_registros[MÊS],$AE$1,tabela_registros[DIA],investirrendavariávelconsolidadomai[[#Headers],[23]],tabela_registros[REGISTRO],DADOS!$N$5,tabela_registros[TIPO],DADOS!$AB$4,tabela_registros[CATEGORIA],investirrendavariávelconsolidadomai[[#This Row],[ATUAL]])</f>
        <v>0</v>
      </c>
      <c r="AB136" s="91">
        <f>SUMIFS(tabela_registros[VALOR],tabela_registros[MÊS],$AE$1,tabela_registros[DIA],investirrendavariávelconsolidadomai[[#Headers],[24]],tabela_registros[REGISTRO],DADOS!$N$5,tabela_registros[TIPO],DADOS!$AB$4,tabela_registros[CATEGORIA],investirrendavariávelconsolidadomai[[#This Row],[ATUAL]])</f>
        <v>0</v>
      </c>
      <c r="AC136" s="91">
        <f>SUMIFS(tabela_registros[VALOR],tabela_registros[MÊS],$AE$1,tabela_registros[DIA],investirrendavariávelconsolidadomai[[#Headers],[25]],tabela_registros[REGISTRO],DADOS!$N$5,tabela_registros[TIPO],DADOS!$AB$4,tabela_registros[CATEGORIA],investirrendavariávelconsolidadomai[[#This Row],[ATUAL]])</f>
        <v>0</v>
      </c>
      <c r="AD136" s="91">
        <f>SUMIFS(tabela_registros[VALOR],tabela_registros[MÊS],$AE$1,tabela_registros[DIA],investirrendavariávelconsolidadomai[[#Headers],[26]],tabela_registros[REGISTRO],DADOS!$N$5,tabela_registros[TIPO],DADOS!$AB$4,tabela_registros[CATEGORIA],investirrendavariávelconsolidadomai[[#This Row],[ATUAL]])</f>
        <v>0</v>
      </c>
      <c r="AE136" s="91">
        <f>SUMIFS(tabela_registros[VALOR],tabela_registros[MÊS],$AE$1,tabela_registros[DIA],investirrendavariávelconsolidadomai[[#Headers],[27]],tabela_registros[REGISTRO],DADOS!$N$5,tabela_registros[TIPO],DADOS!$AB$4,tabela_registros[CATEGORIA],investirrendavariávelconsolidadomai[[#This Row],[ATUAL]])</f>
        <v>0</v>
      </c>
      <c r="AF136" s="91">
        <f>SUMIFS(tabela_registros[VALOR],tabela_registros[MÊS],$AE$1,tabela_registros[DIA],investirrendavariávelconsolidadomai[[#Headers],[28]],tabela_registros[REGISTRO],DADOS!$N$5,tabela_registros[TIPO],DADOS!$AB$4,tabela_registros[CATEGORIA],investirrendavariávelconsolidadomai[[#This Row],[ATUAL]])</f>
        <v>0</v>
      </c>
      <c r="AG136" s="91">
        <f>SUMIFS(tabela_registros[VALOR],tabela_registros[MÊS],$AE$1,tabela_registros[DIA],investirrendavariávelconsolidadomai[[#Headers],[29]],tabela_registros[REGISTRO],DADOS!$N$5,tabela_registros[TIPO],DADOS!$AB$4,tabela_registros[CATEGORIA],investirrendavariávelconsolidadomai[[#This Row],[ATUAL]])</f>
        <v>0</v>
      </c>
      <c r="AH136" s="91">
        <f>SUMIFS(tabela_registros[VALOR],tabela_registros[MÊS],$AE$1,tabela_registros[DIA],investirrendavariávelconsolidadomai[[#Headers],[30]],tabela_registros[REGISTRO],DADOS!$N$5,tabela_registros[TIPO],DADOS!$AB$4,tabela_registros[CATEGORIA],investirrendavariávelconsolidadomai[[#This Row],[ATUAL]])</f>
        <v>0</v>
      </c>
      <c r="AI136" s="101">
        <f>SUMIFS(tabela_registros[VALOR],tabela_registros[MÊS],$AE$1,tabela_registros[DIA],investirrendavariávelconsolidadomai[[#Headers],[31]],tabela_registros[REGISTRO],DADOS!$N$5,tabela_registros[TIPO],DADOS!$AB$4,tabela_registros[CATEGORIA],investirrendavariávelconsolidadomai[[#This Row],[ATUAL]])</f>
        <v>0</v>
      </c>
      <c r="AJ136" s="104">
        <f>SUM(investirrendavariávelconsolidadomai[[#This Row],[1]:[31]])</f>
        <v>0</v>
      </c>
      <c r="AK136" s="25"/>
    </row>
    <row r="137" spans="2:37" ht="19.5" customHeight="1" thickTop="1" thickBot="1" x14ac:dyDescent="0.3">
      <c r="B137" s="28"/>
      <c r="C137" s="27" t="str">
        <f>DADOS!$AF$8</f>
        <v>📝 ETF</v>
      </c>
      <c r="D137" s="26" t="str">
        <f>IF(investirrendavariávelconsolidadomai[[#This Row],[TOTAL (R$)]]=0,"",IF(OR(investirrendavariávelconsolidadomai[[#This Row],[TOTAL (R$)]]=LARGE($AJ$132:$AJ$141,1),investirrendavariávelconsolidadomai[[#This Row],[TOTAL (R$)]]=LARGE($AJ$132:$AJ$141,2)),DADOS!$I$10,""))</f>
        <v/>
      </c>
      <c r="E137" s="96">
        <f>SUMIFS(tabela_registros[VALOR],tabela_registros[MÊS],$AE$1,tabela_registros[DIA],investirrendavariávelconsolidadomai[[#Headers],[1]],tabela_registros[REGISTRO],DADOS!$N$5,tabela_registros[TIPO],DADOS!$AB$4,tabela_registros[CATEGORIA],investirrendavariávelconsolidadomai[[#This Row],[ATUAL]])</f>
        <v>0</v>
      </c>
      <c r="F137" s="91">
        <f>SUMIFS(tabela_registros[VALOR],tabela_registros[MÊS],$AE$1,tabela_registros[DIA],investirrendavariávelconsolidadomai[[#Headers],[2]],tabela_registros[REGISTRO],DADOS!$N$5,tabela_registros[TIPO],DADOS!$AB$4,tabela_registros[CATEGORIA],investirrendavariávelconsolidadomai[[#This Row],[ATUAL]])</f>
        <v>0</v>
      </c>
      <c r="G137" s="91">
        <f>SUMIFS(tabela_registros[VALOR],tabela_registros[MÊS],$AE$1,tabela_registros[DIA],investirrendavariávelconsolidadomai[[#Headers],[3]],tabela_registros[REGISTRO],DADOS!$N$5,tabela_registros[TIPO],DADOS!$AB$4,tabela_registros[CATEGORIA],investirrendavariávelconsolidadomai[[#This Row],[ATUAL]])</f>
        <v>0</v>
      </c>
      <c r="H137" s="91">
        <f>SUMIFS(tabela_registros[VALOR],tabela_registros[MÊS],$AE$1,tabela_registros[DIA],investirrendavariávelconsolidadomai[[#Headers],[4]],tabela_registros[REGISTRO],DADOS!$N$5,tabela_registros[TIPO],DADOS!$AB$4,tabela_registros[CATEGORIA],investirrendavariávelconsolidadomai[[#This Row],[ATUAL]])</f>
        <v>0</v>
      </c>
      <c r="I137" s="91">
        <f>SUMIFS(tabela_registros[VALOR],tabela_registros[MÊS],$AE$1,tabela_registros[DIA],investirrendavariávelconsolidadomai[[#Headers],[5]],tabela_registros[REGISTRO],DADOS!$N$5,tabela_registros[TIPO],DADOS!$AB$4,tabela_registros[CATEGORIA],investirrendavariávelconsolidadomai[[#This Row],[ATUAL]])</f>
        <v>0</v>
      </c>
      <c r="J137" s="91">
        <f>SUMIFS(tabela_registros[VALOR],tabela_registros[MÊS],$AE$1,tabela_registros[DIA],investirrendavariávelconsolidadomai[[#Headers],[6]],tabela_registros[REGISTRO],DADOS!$N$5,tabela_registros[TIPO],DADOS!$AB$4,tabela_registros[CATEGORIA],investirrendavariávelconsolidadomai[[#This Row],[ATUAL]])</f>
        <v>0</v>
      </c>
      <c r="K137" s="91">
        <f>SUMIFS(tabela_registros[VALOR],tabela_registros[MÊS],$AE$1,tabela_registros[DIA],investirrendavariávelconsolidadomai[[#Headers],[7]],tabela_registros[REGISTRO],DADOS!$N$5,tabela_registros[TIPO],DADOS!$AB$4,tabela_registros[CATEGORIA],investirrendavariávelconsolidadomai[[#This Row],[ATUAL]])</f>
        <v>0</v>
      </c>
      <c r="L137" s="91">
        <f>SUMIFS(tabela_registros[VALOR],tabela_registros[MÊS],$AE$1,tabela_registros[DIA],investirrendavariávelconsolidadomai[[#Headers],[8]],tabela_registros[REGISTRO],DADOS!$N$5,tabela_registros[TIPO],DADOS!$AB$4,tabela_registros[CATEGORIA],investirrendavariávelconsolidadomai[[#This Row],[ATUAL]])</f>
        <v>0</v>
      </c>
      <c r="M137" s="91">
        <f>SUMIFS(tabela_registros[VALOR],tabela_registros[MÊS],$AE$1,tabela_registros[DIA],investirrendavariávelconsolidadomai[[#Headers],[9]],tabela_registros[REGISTRO],DADOS!$N$5,tabela_registros[TIPO],DADOS!$AB$4,tabela_registros[CATEGORIA],investirrendavariávelconsolidadomai[[#This Row],[ATUAL]])</f>
        <v>0</v>
      </c>
      <c r="N137" s="91">
        <f>SUMIFS(tabela_registros[VALOR],tabela_registros[MÊS],$AE$1,tabela_registros[DIA],investirrendavariávelconsolidadomai[[#Headers],[10]],tabela_registros[REGISTRO],DADOS!$N$5,tabela_registros[TIPO],DADOS!$AB$4,tabela_registros[CATEGORIA],investirrendavariávelconsolidadomai[[#This Row],[ATUAL]])</f>
        <v>0</v>
      </c>
      <c r="O137" s="91">
        <f>SUMIFS(tabela_registros[VALOR],tabela_registros[MÊS],$AE$1,tabela_registros[DIA],investirrendavariávelconsolidadomai[[#Headers],[11]],tabela_registros[REGISTRO],DADOS!$N$5,tabela_registros[TIPO],DADOS!$AB$4,tabela_registros[CATEGORIA],investirrendavariávelconsolidadomai[[#This Row],[ATUAL]])</f>
        <v>0</v>
      </c>
      <c r="P137" s="91">
        <f>SUMIFS(tabela_registros[VALOR],tabela_registros[MÊS],$AE$1,tabela_registros[DIA],investirrendavariávelconsolidadomai[[#Headers],[12]],tabela_registros[REGISTRO],DADOS!$N$5,tabela_registros[TIPO],DADOS!$AB$4,tabela_registros[CATEGORIA],investirrendavariávelconsolidadomai[[#This Row],[ATUAL]])</f>
        <v>0</v>
      </c>
      <c r="Q137" s="91">
        <f>SUMIFS(tabela_registros[VALOR],tabela_registros[MÊS],$AE$1,tabela_registros[DIA],investirrendavariávelconsolidadomai[[#Headers],[13]],tabela_registros[REGISTRO],DADOS!$N$5,tabela_registros[TIPO],DADOS!$AB$4,tabela_registros[CATEGORIA],investirrendavariávelconsolidadomai[[#This Row],[ATUAL]])</f>
        <v>0</v>
      </c>
      <c r="R137" s="91">
        <f>SUMIFS(tabela_registros[VALOR],tabela_registros[MÊS],$AE$1,tabela_registros[DIA],investirrendavariávelconsolidadomai[[#Headers],[14]],tabela_registros[REGISTRO],DADOS!$N$5,tabela_registros[TIPO],DADOS!$AB$4,tabela_registros[CATEGORIA],investirrendavariávelconsolidadomai[[#This Row],[ATUAL]])</f>
        <v>0</v>
      </c>
      <c r="S137" s="91">
        <f>SUMIFS(tabela_registros[VALOR],tabela_registros[MÊS],$AE$1,tabela_registros[DIA],investirrendavariávelconsolidadomai[[#Headers],[15]],tabela_registros[REGISTRO],DADOS!$N$5,tabela_registros[TIPO],DADOS!$AB$4,tabela_registros[CATEGORIA],investirrendavariávelconsolidadomai[[#This Row],[ATUAL]])</f>
        <v>0</v>
      </c>
      <c r="T137" s="91">
        <f>SUMIFS(tabela_registros[VALOR],tabela_registros[MÊS],$AE$1,tabela_registros[DIA],investirrendavariávelconsolidadomai[[#Headers],[16]],tabela_registros[REGISTRO],DADOS!$N$5,tabela_registros[TIPO],DADOS!$AB$4,tabela_registros[CATEGORIA],investirrendavariávelconsolidadomai[[#This Row],[ATUAL]])</f>
        <v>0</v>
      </c>
      <c r="U137" s="91">
        <f>SUMIFS(tabela_registros[VALOR],tabela_registros[MÊS],$AE$1,tabela_registros[DIA],investirrendavariávelconsolidadomai[[#Headers],[17]],tabela_registros[REGISTRO],DADOS!$N$5,tabela_registros[TIPO],DADOS!$AB$4,tabela_registros[CATEGORIA],investirrendavariávelconsolidadomai[[#This Row],[ATUAL]])</f>
        <v>0</v>
      </c>
      <c r="V137" s="91">
        <f>SUMIFS(tabela_registros[VALOR],tabela_registros[MÊS],$AE$1,tabela_registros[DIA],investirrendavariávelconsolidadomai[[#Headers],[18]],tabela_registros[REGISTRO],DADOS!$N$5,tabela_registros[TIPO],DADOS!$AB$4,tabela_registros[CATEGORIA],investirrendavariávelconsolidadomai[[#This Row],[ATUAL]])</f>
        <v>0</v>
      </c>
      <c r="W137" s="91">
        <f>SUMIFS(tabela_registros[VALOR],tabela_registros[MÊS],$AE$1,tabela_registros[DIA],investirrendavariávelconsolidadomai[[#Headers],[19]],tabela_registros[REGISTRO],DADOS!$N$5,tabela_registros[TIPO],DADOS!$AB$4,tabela_registros[CATEGORIA],investirrendavariávelconsolidadomai[[#This Row],[ATUAL]])</f>
        <v>0</v>
      </c>
      <c r="X137" s="91">
        <f>SUMIFS(tabela_registros[VALOR],tabela_registros[MÊS],$AE$1,tabela_registros[DIA],investirrendavariávelconsolidadomai[[#Headers],[20]],tabela_registros[REGISTRO],DADOS!$N$5,tabela_registros[TIPO],DADOS!$AB$4,tabela_registros[CATEGORIA],investirrendavariávelconsolidadomai[[#This Row],[ATUAL]])</f>
        <v>0</v>
      </c>
      <c r="Y137" s="91">
        <f>SUMIFS(tabela_registros[VALOR],tabela_registros[MÊS],$AE$1,tabela_registros[DIA],investirrendavariávelconsolidadomai[[#Headers],[21]],tabela_registros[REGISTRO],DADOS!$N$5,tabela_registros[TIPO],DADOS!$AB$4,tabela_registros[CATEGORIA],investirrendavariávelconsolidadomai[[#This Row],[ATUAL]])</f>
        <v>0</v>
      </c>
      <c r="Z137" s="91">
        <f>SUMIFS(tabela_registros[VALOR],tabela_registros[MÊS],$AE$1,tabela_registros[DIA],investirrendavariávelconsolidadomai[[#Headers],[22]],tabela_registros[REGISTRO],DADOS!$N$5,tabela_registros[TIPO],DADOS!$AB$4,tabela_registros[CATEGORIA],investirrendavariávelconsolidadomai[[#This Row],[ATUAL]])</f>
        <v>0</v>
      </c>
      <c r="AA137" s="91">
        <f>SUMIFS(tabela_registros[VALOR],tabela_registros[MÊS],$AE$1,tabela_registros[DIA],investirrendavariávelconsolidadomai[[#Headers],[23]],tabela_registros[REGISTRO],DADOS!$N$5,tabela_registros[TIPO],DADOS!$AB$4,tabela_registros[CATEGORIA],investirrendavariávelconsolidadomai[[#This Row],[ATUAL]])</f>
        <v>0</v>
      </c>
      <c r="AB137" s="91">
        <f>SUMIFS(tabela_registros[VALOR],tabela_registros[MÊS],$AE$1,tabela_registros[DIA],investirrendavariávelconsolidadomai[[#Headers],[24]],tabela_registros[REGISTRO],DADOS!$N$5,tabela_registros[TIPO],DADOS!$AB$4,tabela_registros[CATEGORIA],investirrendavariávelconsolidadomai[[#This Row],[ATUAL]])</f>
        <v>0</v>
      </c>
      <c r="AC137" s="91">
        <f>SUMIFS(tabela_registros[VALOR],tabela_registros[MÊS],$AE$1,tabela_registros[DIA],investirrendavariávelconsolidadomai[[#Headers],[25]],tabela_registros[REGISTRO],DADOS!$N$5,tabela_registros[TIPO],DADOS!$AB$4,tabela_registros[CATEGORIA],investirrendavariávelconsolidadomai[[#This Row],[ATUAL]])</f>
        <v>0</v>
      </c>
      <c r="AD137" s="91">
        <f>SUMIFS(tabela_registros[VALOR],tabela_registros[MÊS],$AE$1,tabela_registros[DIA],investirrendavariávelconsolidadomai[[#Headers],[26]],tabela_registros[REGISTRO],DADOS!$N$5,tabela_registros[TIPO],DADOS!$AB$4,tabela_registros[CATEGORIA],investirrendavariávelconsolidadomai[[#This Row],[ATUAL]])</f>
        <v>0</v>
      </c>
      <c r="AE137" s="91">
        <f>SUMIFS(tabela_registros[VALOR],tabela_registros[MÊS],$AE$1,tabela_registros[DIA],investirrendavariávelconsolidadomai[[#Headers],[27]],tabela_registros[REGISTRO],DADOS!$N$5,tabela_registros[TIPO],DADOS!$AB$4,tabela_registros[CATEGORIA],investirrendavariávelconsolidadomai[[#This Row],[ATUAL]])</f>
        <v>0</v>
      </c>
      <c r="AF137" s="91">
        <f>SUMIFS(tabela_registros[VALOR],tabela_registros[MÊS],$AE$1,tabela_registros[DIA],investirrendavariávelconsolidadomai[[#Headers],[28]],tabela_registros[REGISTRO],DADOS!$N$5,tabela_registros[TIPO],DADOS!$AB$4,tabela_registros[CATEGORIA],investirrendavariávelconsolidadomai[[#This Row],[ATUAL]])</f>
        <v>0</v>
      </c>
      <c r="AG137" s="91">
        <f>SUMIFS(tabela_registros[VALOR],tabela_registros[MÊS],$AE$1,tabela_registros[DIA],investirrendavariávelconsolidadomai[[#Headers],[29]],tabela_registros[REGISTRO],DADOS!$N$5,tabela_registros[TIPO],DADOS!$AB$4,tabela_registros[CATEGORIA],investirrendavariávelconsolidadomai[[#This Row],[ATUAL]])</f>
        <v>0</v>
      </c>
      <c r="AH137" s="91">
        <f>SUMIFS(tabela_registros[VALOR],tabela_registros[MÊS],$AE$1,tabela_registros[DIA],investirrendavariávelconsolidadomai[[#Headers],[30]],tabela_registros[REGISTRO],DADOS!$N$5,tabela_registros[TIPO],DADOS!$AB$4,tabela_registros[CATEGORIA],investirrendavariávelconsolidadomai[[#This Row],[ATUAL]])</f>
        <v>0</v>
      </c>
      <c r="AI137" s="101">
        <f>SUMIFS(tabela_registros[VALOR],tabela_registros[MÊS],$AE$1,tabela_registros[DIA],investirrendavariávelconsolidadomai[[#Headers],[31]],tabela_registros[REGISTRO],DADOS!$N$5,tabela_registros[TIPO],DADOS!$AB$4,tabela_registros[CATEGORIA],investirrendavariávelconsolidadomai[[#This Row],[ATUAL]])</f>
        <v>0</v>
      </c>
      <c r="AJ137" s="104">
        <f>SUM(investirrendavariávelconsolidadomai[[#This Row],[1]:[31]])</f>
        <v>0</v>
      </c>
      <c r="AK137" s="25"/>
    </row>
    <row r="138" spans="2:37" ht="19.5" customHeight="1" thickTop="1" thickBot="1" x14ac:dyDescent="0.3">
      <c r="B138" s="28"/>
      <c r="C138" s="27" t="str">
        <f>DADOS!$AF$9</f>
        <v>📝 EXTERIOR</v>
      </c>
      <c r="D138" s="26" t="str">
        <f>IF(investirrendavariávelconsolidadomai[[#This Row],[TOTAL (R$)]]=0,"",IF(OR(investirrendavariávelconsolidadomai[[#This Row],[TOTAL (R$)]]=LARGE($AJ$132:$AJ$141,1),investirrendavariávelconsolidadomai[[#This Row],[TOTAL (R$)]]=LARGE($AJ$132:$AJ$141,2)),DADOS!$I$10,""))</f>
        <v/>
      </c>
      <c r="E138" s="96">
        <f>SUMIFS(tabela_registros[VALOR],tabela_registros[MÊS],$AE$1,tabela_registros[DIA],investirrendavariávelconsolidadomai[[#Headers],[1]],tabela_registros[REGISTRO],DADOS!$N$5,tabela_registros[TIPO],DADOS!$AB$4,tabela_registros[CATEGORIA],investirrendavariávelconsolidadomai[[#This Row],[ATUAL]])</f>
        <v>0</v>
      </c>
      <c r="F138" s="91">
        <f>SUMIFS(tabela_registros[VALOR],tabela_registros[MÊS],$AE$1,tabela_registros[DIA],investirrendavariávelconsolidadomai[[#Headers],[2]],tabela_registros[REGISTRO],DADOS!$N$5,tabela_registros[TIPO],DADOS!$AB$4,tabela_registros[CATEGORIA],investirrendavariávelconsolidadomai[[#This Row],[ATUAL]])</f>
        <v>0</v>
      </c>
      <c r="G138" s="91">
        <f>SUMIFS(tabela_registros[VALOR],tabela_registros[MÊS],$AE$1,tabela_registros[DIA],investirrendavariávelconsolidadomai[[#Headers],[3]],tabela_registros[REGISTRO],DADOS!$N$5,tabela_registros[TIPO],DADOS!$AB$4,tabela_registros[CATEGORIA],investirrendavariávelconsolidadomai[[#This Row],[ATUAL]])</f>
        <v>0</v>
      </c>
      <c r="H138" s="91">
        <f>SUMIFS(tabela_registros[VALOR],tabela_registros[MÊS],$AE$1,tabela_registros[DIA],investirrendavariávelconsolidadomai[[#Headers],[4]],tabela_registros[REGISTRO],DADOS!$N$5,tabela_registros[TIPO],DADOS!$AB$4,tabela_registros[CATEGORIA],investirrendavariávelconsolidadomai[[#This Row],[ATUAL]])</f>
        <v>0</v>
      </c>
      <c r="I138" s="91">
        <f>SUMIFS(tabela_registros[VALOR],tabela_registros[MÊS],$AE$1,tabela_registros[DIA],investirrendavariávelconsolidadomai[[#Headers],[5]],tabela_registros[REGISTRO],DADOS!$N$5,tabela_registros[TIPO],DADOS!$AB$4,tabela_registros[CATEGORIA],investirrendavariávelconsolidadomai[[#This Row],[ATUAL]])</f>
        <v>0</v>
      </c>
      <c r="J138" s="91">
        <f>SUMIFS(tabela_registros[VALOR],tabela_registros[MÊS],$AE$1,tabela_registros[DIA],investirrendavariávelconsolidadomai[[#Headers],[6]],tabela_registros[REGISTRO],DADOS!$N$5,tabela_registros[TIPO],DADOS!$AB$4,tabela_registros[CATEGORIA],investirrendavariávelconsolidadomai[[#This Row],[ATUAL]])</f>
        <v>0</v>
      </c>
      <c r="K138" s="91">
        <f>SUMIFS(tabela_registros[VALOR],tabela_registros[MÊS],$AE$1,tabela_registros[DIA],investirrendavariávelconsolidadomai[[#Headers],[7]],tabela_registros[REGISTRO],DADOS!$N$5,tabela_registros[TIPO],DADOS!$AB$4,tabela_registros[CATEGORIA],investirrendavariávelconsolidadomai[[#This Row],[ATUAL]])</f>
        <v>0</v>
      </c>
      <c r="L138" s="91">
        <f>SUMIFS(tabela_registros[VALOR],tabela_registros[MÊS],$AE$1,tabela_registros[DIA],investirrendavariávelconsolidadomai[[#Headers],[8]],tabela_registros[REGISTRO],DADOS!$N$5,tabela_registros[TIPO],DADOS!$AB$4,tabela_registros[CATEGORIA],investirrendavariávelconsolidadomai[[#This Row],[ATUAL]])</f>
        <v>0</v>
      </c>
      <c r="M138" s="91">
        <f>SUMIFS(tabela_registros[VALOR],tabela_registros[MÊS],$AE$1,tabela_registros[DIA],investirrendavariávelconsolidadomai[[#Headers],[9]],tabela_registros[REGISTRO],DADOS!$N$5,tabela_registros[TIPO],DADOS!$AB$4,tabela_registros[CATEGORIA],investirrendavariávelconsolidadomai[[#This Row],[ATUAL]])</f>
        <v>0</v>
      </c>
      <c r="N138" s="91">
        <f>SUMIFS(tabela_registros[VALOR],tabela_registros[MÊS],$AE$1,tabela_registros[DIA],investirrendavariávelconsolidadomai[[#Headers],[10]],tabela_registros[REGISTRO],DADOS!$N$5,tabela_registros[TIPO],DADOS!$AB$4,tabela_registros[CATEGORIA],investirrendavariávelconsolidadomai[[#This Row],[ATUAL]])</f>
        <v>0</v>
      </c>
      <c r="O138" s="91">
        <f>SUMIFS(tabela_registros[VALOR],tabela_registros[MÊS],$AE$1,tabela_registros[DIA],investirrendavariávelconsolidadomai[[#Headers],[11]],tabela_registros[REGISTRO],DADOS!$N$5,tabela_registros[TIPO],DADOS!$AB$4,tabela_registros[CATEGORIA],investirrendavariávelconsolidadomai[[#This Row],[ATUAL]])</f>
        <v>0</v>
      </c>
      <c r="P138" s="91">
        <f>SUMIFS(tabela_registros[VALOR],tabela_registros[MÊS],$AE$1,tabela_registros[DIA],investirrendavariávelconsolidadomai[[#Headers],[12]],tabela_registros[REGISTRO],DADOS!$N$5,tabela_registros[TIPO],DADOS!$AB$4,tabela_registros[CATEGORIA],investirrendavariávelconsolidadomai[[#This Row],[ATUAL]])</f>
        <v>0</v>
      </c>
      <c r="Q138" s="91">
        <f>SUMIFS(tabela_registros[VALOR],tabela_registros[MÊS],$AE$1,tabela_registros[DIA],investirrendavariávelconsolidadomai[[#Headers],[13]],tabela_registros[REGISTRO],DADOS!$N$5,tabela_registros[TIPO],DADOS!$AB$4,tabela_registros[CATEGORIA],investirrendavariávelconsolidadomai[[#This Row],[ATUAL]])</f>
        <v>0</v>
      </c>
      <c r="R138" s="91">
        <f>SUMIFS(tabela_registros[VALOR],tabela_registros[MÊS],$AE$1,tabela_registros[DIA],investirrendavariávelconsolidadomai[[#Headers],[14]],tabela_registros[REGISTRO],DADOS!$N$5,tabela_registros[TIPO],DADOS!$AB$4,tabela_registros[CATEGORIA],investirrendavariávelconsolidadomai[[#This Row],[ATUAL]])</f>
        <v>0</v>
      </c>
      <c r="S138" s="91">
        <f>SUMIFS(tabela_registros[VALOR],tabela_registros[MÊS],$AE$1,tabela_registros[DIA],investirrendavariávelconsolidadomai[[#Headers],[15]],tabela_registros[REGISTRO],DADOS!$N$5,tabela_registros[TIPO],DADOS!$AB$4,tabela_registros[CATEGORIA],investirrendavariávelconsolidadomai[[#This Row],[ATUAL]])</f>
        <v>0</v>
      </c>
      <c r="T138" s="91">
        <f>SUMIFS(tabela_registros[VALOR],tabela_registros[MÊS],$AE$1,tabela_registros[DIA],investirrendavariávelconsolidadomai[[#Headers],[16]],tabela_registros[REGISTRO],DADOS!$N$5,tabela_registros[TIPO],DADOS!$AB$4,tabela_registros[CATEGORIA],investirrendavariávelconsolidadomai[[#This Row],[ATUAL]])</f>
        <v>0</v>
      </c>
      <c r="U138" s="91">
        <f>SUMIFS(tabela_registros[VALOR],tabela_registros[MÊS],$AE$1,tabela_registros[DIA],investirrendavariávelconsolidadomai[[#Headers],[17]],tabela_registros[REGISTRO],DADOS!$N$5,tabela_registros[TIPO],DADOS!$AB$4,tabela_registros[CATEGORIA],investirrendavariávelconsolidadomai[[#This Row],[ATUAL]])</f>
        <v>0</v>
      </c>
      <c r="V138" s="91">
        <f>SUMIFS(tabela_registros[VALOR],tabela_registros[MÊS],$AE$1,tabela_registros[DIA],investirrendavariávelconsolidadomai[[#Headers],[18]],tabela_registros[REGISTRO],DADOS!$N$5,tabela_registros[TIPO],DADOS!$AB$4,tabela_registros[CATEGORIA],investirrendavariávelconsolidadomai[[#This Row],[ATUAL]])</f>
        <v>0</v>
      </c>
      <c r="W138" s="91">
        <f>SUMIFS(tabela_registros[VALOR],tabela_registros[MÊS],$AE$1,tabela_registros[DIA],investirrendavariávelconsolidadomai[[#Headers],[19]],tabela_registros[REGISTRO],DADOS!$N$5,tabela_registros[TIPO],DADOS!$AB$4,tabela_registros[CATEGORIA],investirrendavariávelconsolidadomai[[#This Row],[ATUAL]])</f>
        <v>0</v>
      </c>
      <c r="X138" s="91">
        <f>SUMIFS(tabela_registros[VALOR],tabela_registros[MÊS],$AE$1,tabela_registros[DIA],investirrendavariávelconsolidadomai[[#Headers],[20]],tabela_registros[REGISTRO],DADOS!$N$5,tabela_registros[TIPO],DADOS!$AB$4,tabela_registros[CATEGORIA],investirrendavariávelconsolidadomai[[#This Row],[ATUAL]])</f>
        <v>0</v>
      </c>
      <c r="Y138" s="91">
        <f>SUMIFS(tabela_registros[VALOR],tabela_registros[MÊS],$AE$1,tabela_registros[DIA],investirrendavariávelconsolidadomai[[#Headers],[21]],tabela_registros[REGISTRO],DADOS!$N$5,tabela_registros[TIPO],DADOS!$AB$4,tabela_registros[CATEGORIA],investirrendavariávelconsolidadomai[[#This Row],[ATUAL]])</f>
        <v>0</v>
      </c>
      <c r="Z138" s="91">
        <f>SUMIFS(tabela_registros[VALOR],tabela_registros[MÊS],$AE$1,tabela_registros[DIA],investirrendavariávelconsolidadomai[[#Headers],[22]],tabela_registros[REGISTRO],DADOS!$N$5,tabela_registros[TIPO],DADOS!$AB$4,tabela_registros[CATEGORIA],investirrendavariávelconsolidadomai[[#This Row],[ATUAL]])</f>
        <v>0</v>
      </c>
      <c r="AA138" s="91">
        <f>SUMIFS(tabela_registros[VALOR],tabela_registros[MÊS],$AE$1,tabela_registros[DIA],investirrendavariávelconsolidadomai[[#Headers],[23]],tabela_registros[REGISTRO],DADOS!$N$5,tabela_registros[TIPO],DADOS!$AB$4,tabela_registros[CATEGORIA],investirrendavariávelconsolidadomai[[#This Row],[ATUAL]])</f>
        <v>0</v>
      </c>
      <c r="AB138" s="91">
        <f>SUMIFS(tabela_registros[VALOR],tabela_registros[MÊS],$AE$1,tabela_registros[DIA],investirrendavariávelconsolidadomai[[#Headers],[24]],tabela_registros[REGISTRO],DADOS!$N$5,tabela_registros[TIPO],DADOS!$AB$4,tabela_registros[CATEGORIA],investirrendavariávelconsolidadomai[[#This Row],[ATUAL]])</f>
        <v>0</v>
      </c>
      <c r="AC138" s="91">
        <f>SUMIFS(tabela_registros[VALOR],tabela_registros[MÊS],$AE$1,tabela_registros[DIA],investirrendavariávelconsolidadomai[[#Headers],[25]],tabela_registros[REGISTRO],DADOS!$N$5,tabela_registros[TIPO],DADOS!$AB$4,tabela_registros[CATEGORIA],investirrendavariávelconsolidadomai[[#This Row],[ATUAL]])</f>
        <v>0</v>
      </c>
      <c r="AD138" s="91">
        <f>SUMIFS(tabela_registros[VALOR],tabela_registros[MÊS],$AE$1,tabela_registros[DIA],investirrendavariávelconsolidadomai[[#Headers],[26]],tabela_registros[REGISTRO],DADOS!$N$5,tabela_registros[TIPO],DADOS!$AB$4,tabela_registros[CATEGORIA],investirrendavariávelconsolidadomai[[#This Row],[ATUAL]])</f>
        <v>0</v>
      </c>
      <c r="AE138" s="91">
        <f>SUMIFS(tabela_registros[VALOR],tabela_registros[MÊS],$AE$1,tabela_registros[DIA],investirrendavariávelconsolidadomai[[#Headers],[27]],tabela_registros[REGISTRO],DADOS!$N$5,tabela_registros[TIPO],DADOS!$AB$4,tabela_registros[CATEGORIA],investirrendavariávelconsolidadomai[[#This Row],[ATUAL]])</f>
        <v>0</v>
      </c>
      <c r="AF138" s="91">
        <f>SUMIFS(tabela_registros[VALOR],tabela_registros[MÊS],$AE$1,tabela_registros[DIA],investirrendavariávelconsolidadomai[[#Headers],[28]],tabela_registros[REGISTRO],DADOS!$N$5,tabela_registros[TIPO],DADOS!$AB$4,tabela_registros[CATEGORIA],investirrendavariávelconsolidadomai[[#This Row],[ATUAL]])</f>
        <v>0</v>
      </c>
      <c r="AG138" s="91">
        <f>SUMIFS(tabela_registros[VALOR],tabela_registros[MÊS],$AE$1,tabela_registros[DIA],investirrendavariávelconsolidadomai[[#Headers],[29]],tabela_registros[REGISTRO],DADOS!$N$5,tabela_registros[TIPO],DADOS!$AB$4,tabela_registros[CATEGORIA],investirrendavariávelconsolidadomai[[#This Row],[ATUAL]])</f>
        <v>0</v>
      </c>
      <c r="AH138" s="91">
        <f>SUMIFS(tabela_registros[VALOR],tabela_registros[MÊS],$AE$1,tabela_registros[DIA],investirrendavariávelconsolidadomai[[#Headers],[30]],tabela_registros[REGISTRO],DADOS!$N$5,tabela_registros[TIPO],DADOS!$AB$4,tabela_registros[CATEGORIA],investirrendavariávelconsolidadomai[[#This Row],[ATUAL]])</f>
        <v>0</v>
      </c>
      <c r="AI138" s="101">
        <f>SUMIFS(tabela_registros[VALOR],tabela_registros[MÊS],$AE$1,tabela_registros[DIA],investirrendavariávelconsolidadomai[[#Headers],[31]],tabela_registros[REGISTRO],DADOS!$N$5,tabela_registros[TIPO],DADOS!$AB$4,tabela_registros[CATEGORIA],investirrendavariávelconsolidadomai[[#This Row],[ATUAL]])</f>
        <v>0</v>
      </c>
      <c r="AJ138" s="104">
        <f>SUM(investirrendavariávelconsolidadomai[[#This Row],[1]:[31]])</f>
        <v>0</v>
      </c>
      <c r="AK138" s="25"/>
    </row>
    <row r="139" spans="2:37" ht="19.5" customHeight="1" thickTop="1" thickBot="1" x14ac:dyDescent="0.3">
      <c r="B139" s="28"/>
      <c r="C139" s="27" t="str">
        <f>DADOS!$AF$10</f>
        <v>📝 FII</v>
      </c>
      <c r="D139" s="26" t="str">
        <f>IF(investirrendavariávelconsolidadomai[[#This Row],[TOTAL (R$)]]=0,"",IF(OR(investirrendavariávelconsolidadomai[[#This Row],[TOTAL (R$)]]=LARGE($AJ$132:$AJ$141,1),investirrendavariávelconsolidadomai[[#This Row],[TOTAL (R$)]]=LARGE($AJ$132:$AJ$141,2)),DADOS!$I$10,""))</f>
        <v/>
      </c>
      <c r="E139" s="96">
        <f>SUMIFS(tabela_registros[VALOR],tabela_registros[MÊS],$AE$1,tabela_registros[DIA],investirrendavariávelconsolidadomai[[#Headers],[1]],tabela_registros[REGISTRO],DADOS!$N$5,tabela_registros[TIPO],DADOS!$AB$4,tabela_registros[CATEGORIA],investirrendavariávelconsolidadomai[[#This Row],[ATUAL]])</f>
        <v>0</v>
      </c>
      <c r="F139" s="91">
        <f>SUMIFS(tabela_registros[VALOR],tabela_registros[MÊS],$AE$1,tabela_registros[DIA],investirrendavariávelconsolidadomai[[#Headers],[2]],tabela_registros[REGISTRO],DADOS!$N$5,tabela_registros[TIPO],DADOS!$AB$4,tabela_registros[CATEGORIA],investirrendavariávelconsolidadomai[[#This Row],[ATUAL]])</f>
        <v>0</v>
      </c>
      <c r="G139" s="91">
        <f>SUMIFS(tabela_registros[VALOR],tabela_registros[MÊS],$AE$1,tabela_registros[DIA],investirrendavariávelconsolidadomai[[#Headers],[3]],tabela_registros[REGISTRO],DADOS!$N$5,tabela_registros[TIPO],DADOS!$AB$4,tabela_registros[CATEGORIA],investirrendavariávelconsolidadomai[[#This Row],[ATUAL]])</f>
        <v>0</v>
      </c>
      <c r="H139" s="91">
        <f>SUMIFS(tabela_registros[VALOR],tabela_registros[MÊS],$AE$1,tabela_registros[DIA],investirrendavariávelconsolidadomai[[#Headers],[4]],tabela_registros[REGISTRO],DADOS!$N$5,tabela_registros[TIPO],DADOS!$AB$4,tabela_registros[CATEGORIA],investirrendavariávelconsolidadomai[[#This Row],[ATUAL]])</f>
        <v>0</v>
      </c>
      <c r="I139" s="91">
        <f>SUMIFS(tabela_registros[VALOR],tabela_registros[MÊS],$AE$1,tabela_registros[DIA],investirrendavariávelconsolidadomai[[#Headers],[5]],tabela_registros[REGISTRO],DADOS!$N$5,tabela_registros[TIPO],DADOS!$AB$4,tabela_registros[CATEGORIA],investirrendavariávelconsolidadomai[[#This Row],[ATUAL]])</f>
        <v>0</v>
      </c>
      <c r="J139" s="91">
        <f>SUMIFS(tabela_registros[VALOR],tabela_registros[MÊS],$AE$1,tabela_registros[DIA],investirrendavariávelconsolidadomai[[#Headers],[6]],tabela_registros[REGISTRO],DADOS!$N$5,tabela_registros[TIPO],DADOS!$AB$4,tabela_registros[CATEGORIA],investirrendavariávelconsolidadomai[[#This Row],[ATUAL]])</f>
        <v>0</v>
      </c>
      <c r="K139" s="91">
        <f>SUMIFS(tabela_registros[VALOR],tabela_registros[MÊS],$AE$1,tabela_registros[DIA],investirrendavariávelconsolidadomai[[#Headers],[7]],tabela_registros[REGISTRO],DADOS!$N$5,tabela_registros[TIPO],DADOS!$AB$4,tabela_registros[CATEGORIA],investirrendavariávelconsolidadomai[[#This Row],[ATUAL]])</f>
        <v>0</v>
      </c>
      <c r="L139" s="91">
        <f>SUMIFS(tabela_registros[VALOR],tabela_registros[MÊS],$AE$1,tabela_registros[DIA],investirrendavariávelconsolidadomai[[#Headers],[8]],tabela_registros[REGISTRO],DADOS!$N$5,tabela_registros[TIPO],DADOS!$AB$4,tabela_registros[CATEGORIA],investirrendavariávelconsolidadomai[[#This Row],[ATUAL]])</f>
        <v>0</v>
      </c>
      <c r="M139" s="91">
        <f>SUMIFS(tabela_registros[VALOR],tabela_registros[MÊS],$AE$1,tabela_registros[DIA],investirrendavariávelconsolidadomai[[#Headers],[9]],tabela_registros[REGISTRO],DADOS!$N$5,tabela_registros[TIPO],DADOS!$AB$4,tabela_registros[CATEGORIA],investirrendavariávelconsolidadomai[[#This Row],[ATUAL]])</f>
        <v>0</v>
      </c>
      <c r="N139" s="91">
        <f>SUMIFS(tabela_registros[VALOR],tabela_registros[MÊS],$AE$1,tabela_registros[DIA],investirrendavariávelconsolidadomai[[#Headers],[10]],tabela_registros[REGISTRO],DADOS!$N$5,tabela_registros[TIPO],DADOS!$AB$4,tabela_registros[CATEGORIA],investirrendavariávelconsolidadomai[[#This Row],[ATUAL]])</f>
        <v>0</v>
      </c>
      <c r="O139" s="91">
        <f>SUMIFS(tabela_registros[VALOR],tabela_registros[MÊS],$AE$1,tabela_registros[DIA],investirrendavariávelconsolidadomai[[#Headers],[11]],tabela_registros[REGISTRO],DADOS!$N$5,tabela_registros[TIPO],DADOS!$AB$4,tabela_registros[CATEGORIA],investirrendavariávelconsolidadomai[[#This Row],[ATUAL]])</f>
        <v>0</v>
      </c>
      <c r="P139" s="91">
        <f>SUMIFS(tabela_registros[VALOR],tabela_registros[MÊS],$AE$1,tabela_registros[DIA],investirrendavariávelconsolidadomai[[#Headers],[12]],tabela_registros[REGISTRO],DADOS!$N$5,tabela_registros[TIPO],DADOS!$AB$4,tabela_registros[CATEGORIA],investirrendavariávelconsolidadomai[[#This Row],[ATUAL]])</f>
        <v>0</v>
      </c>
      <c r="Q139" s="91">
        <f>SUMIFS(tabela_registros[VALOR],tabela_registros[MÊS],$AE$1,tabela_registros[DIA],investirrendavariávelconsolidadomai[[#Headers],[13]],tabela_registros[REGISTRO],DADOS!$N$5,tabela_registros[TIPO],DADOS!$AB$4,tabela_registros[CATEGORIA],investirrendavariávelconsolidadomai[[#This Row],[ATUAL]])</f>
        <v>0</v>
      </c>
      <c r="R139" s="91">
        <f>SUMIFS(tabela_registros[VALOR],tabela_registros[MÊS],$AE$1,tabela_registros[DIA],investirrendavariávelconsolidadomai[[#Headers],[14]],tabela_registros[REGISTRO],DADOS!$N$5,tabela_registros[TIPO],DADOS!$AB$4,tabela_registros[CATEGORIA],investirrendavariávelconsolidadomai[[#This Row],[ATUAL]])</f>
        <v>0</v>
      </c>
      <c r="S139" s="91">
        <f>SUMIFS(tabela_registros[VALOR],tabela_registros[MÊS],$AE$1,tabela_registros[DIA],investirrendavariávelconsolidadomai[[#Headers],[15]],tabela_registros[REGISTRO],DADOS!$N$5,tabela_registros[TIPO],DADOS!$AB$4,tabela_registros[CATEGORIA],investirrendavariávelconsolidadomai[[#This Row],[ATUAL]])</f>
        <v>0</v>
      </c>
      <c r="T139" s="91">
        <f>SUMIFS(tabela_registros[VALOR],tabela_registros[MÊS],$AE$1,tabela_registros[DIA],investirrendavariávelconsolidadomai[[#Headers],[16]],tabela_registros[REGISTRO],DADOS!$N$5,tabela_registros[TIPO],DADOS!$AB$4,tabela_registros[CATEGORIA],investirrendavariávelconsolidadomai[[#This Row],[ATUAL]])</f>
        <v>0</v>
      </c>
      <c r="U139" s="91">
        <f>SUMIFS(tabela_registros[VALOR],tabela_registros[MÊS],$AE$1,tabela_registros[DIA],investirrendavariávelconsolidadomai[[#Headers],[17]],tabela_registros[REGISTRO],DADOS!$N$5,tabela_registros[TIPO],DADOS!$AB$4,tabela_registros[CATEGORIA],investirrendavariávelconsolidadomai[[#This Row],[ATUAL]])</f>
        <v>0</v>
      </c>
      <c r="V139" s="91">
        <f>SUMIFS(tabela_registros[VALOR],tabela_registros[MÊS],$AE$1,tabela_registros[DIA],investirrendavariávelconsolidadomai[[#Headers],[18]],tabela_registros[REGISTRO],DADOS!$N$5,tabela_registros[TIPO],DADOS!$AB$4,tabela_registros[CATEGORIA],investirrendavariávelconsolidadomai[[#This Row],[ATUAL]])</f>
        <v>0</v>
      </c>
      <c r="W139" s="91">
        <f>SUMIFS(tabela_registros[VALOR],tabela_registros[MÊS],$AE$1,tabela_registros[DIA],investirrendavariávelconsolidadomai[[#Headers],[19]],tabela_registros[REGISTRO],DADOS!$N$5,tabela_registros[TIPO],DADOS!$AB$4,tabela_registros[CATEGORIA],investirrendavariávelconsolidadomai[[#This Row],[ATUAL]])</f>
        <v>0</v>
      </c>
      <c r="X139" s="91">
        <f>SUMIFS(tabela_registros[VALOR],tabela_registros[MÊS],$AE$1,tabela_registros[DIA],investirrendavariávelconsolidadomai[[#Headers],[20]],tabela_registros[REGISTRO],DADOS!$N$5,tabela_registros[TIPO],DADOS!$AB$4,tabela_registros[CATEGORIA],investirrendavariávelconsolidadomai[[#This Row],[ATUAL]])</f>
        <v>0</v>
      </c>
      <c r="Y139" s="91">
        <f>SUMIFS(tabela_registros[VALOR],tabela_registros[MÊS],$AE$1,tabela_registros[DIA],investirrendavariávelconsolidadomai[[#Headers],[21]],tabela_registros[REGISTRO],DADOS!$N$5,tabela_registros[TIPO],DADOS!$AB$4,tabela_registros[CATEGORIA],investirrendavariávelconsolidadomai[[#This Row],[ATUAL]])</f>
        <v>0</v>
      </c>
      <c r="Z139" s="91">
        <f>SUMIFS(tabela_registros[VALOR],tabela_registros[MÊS],$AE$1,tabela_registros[DIA],investirrendavariávelconsolidadomai[[#Headers],[22]],tabela_registros[REGISTRO],DADOS!$N$5,tabela_registros[TIPO],DADOS!$AB$4,tabela_registros[CATEGORIA],investirrendavariávelconsolidadomai[[#This Row],[ATUAL]])</f>
        <v>0</v>
      </c>
      <c r="AA139" s="91">
        <f>SUMIFS(tabela_registros[VALOR],tabela_registros[MÊS],$AE$1,tabela_registros[DIA],investirrendavariávelconsolidadomai[[#Headers],[23]],tabela_registros[REGISTRO],DADOS!$N$5,tabela_registros[TIPO],DADOS!$AB$4,tabela_registros[CATEGORIA],investirrendavariávelconsolidadomai[[#This Row],[ATUAL]])</f>
        <v>0</v>
      </c>
      <c r="AB139" s="91">
        <f>SUMIFS(tabela_registros[VALOR],tabela_registros[MÊS],$AE$1,tabela_registros[DIA],investirrendavariávelconsolidadomai[[#Headers],[24]],tabela_registros[REGISTRO],DADOS!$N$5,tabela_registros[TIPO],DADOS!$AB$4,tabela_registros[CATEGORIA],investirrendavariávelconsolidadomai[[#This Row],[ATUAL]])</f>
        <v>0</v>
      </c>
      <c r="AC139" s="91">
        <f>SUMIFS(tabela_registros[VALOR],tabela_registros[MÊS],$AE$1,tabela_registros[DIA],investirrendavariávelconsolidadomai[[#Headers],[25]],tabela_registros[REGISTRO],DADOS!$N$5,tabela_registros[TIPO],DADOS!$AB$4,tabela_registros[CATEGORIA],investirrendavariávelconsolidadomai[[#This Row],[ATUAL]])</f>
        <v>0</v>
      </c>
      <c r="AD139" s="91">
        <f>SUMIFS(tabela_registros[VALOR],tabela_registros[MÊS],$AE$1,tabela_registros[DIA],investirrendavariávelconsolidadomai[[#Headers],[26]],tabela_registros[REGISTRO],DADOS!$N$5,tabela_registros[TIPO],DADOS!$AB$4,tabela_registros[CATEGORIA],investirrendavariávelconsolidadomai[[#This Row],[ATUAL]])</f>
        <v>0</v>
      </c>
      <c r="AE139" s="91">
        <f>SUMIFS(tabela_registros[VALOR],tabela_registros[MÊS],$AE$1,tabela_registros[DIA],investirrendavariávelconsolidadomai[[#Headers],[27]],tabela_registros[REGISTRO],DADOS!$N$5,tabela_registros[TIPO],DADOS!$AB$4,tabela_registros[CATEGORIA],investirrendavariávelconsolidadomai[[#This Row],[ATUAL]])</f>
        <v>0</v>
      </c>
      <c r="AF139" s="91">
        <f>SUMIFS(tabela_registros[VALOR],tabela_registros[MÊS],$AE$1,tabela_registros[DIA],investirrendavariávelconsolidadomai[[#Headers],[28]],tabela_registros[REGISTRO],DADOS!$N$5,tabela_registros[TIPO],DADOS!$AB$4,tabela_registros[CATEGORIA],investirrendavariávelconsolidadomai[[#This Row],[ATUAL]])</f>
        <v>0</v>
      </c>
      <c r="AG139" s="91">
        <f>SUMIFS(tabela_registros[VALOR],tabela_registros[MÊS],$AE$1,tabela_registros[DIA],investirrendavariávelconsolidadomai[[#Headers],[29]],tabela_registros[REGISTRO],DADOS!$N$5,tabela_registros[TIPO],DADOS!$AB$4,tabela_registros[CATEGORIA],investirrendavariávelconsolidadomai[[#This Row],[ATUAL]])</f>
        <v>0</v>
      </c>
      <c r="AH139" s="91">
        <f>SUMIFS(tabela_registros[VALOR],tabela_registros[MÊS],$AE$1,tabela_registros[DIA],investirrendavariávelconsolidadomai[[#Headers],[30]],tabela_registros[REGISTRO],DADOS!$N$5,tabela_registros[TIPO],DADOS!$AB$4,tabela_registros[CATEGORIA],investirrendavariávelconsolidadomai[[#This Row],[ATUAL]])</f>
        <v>0</v>
      </c>
      <c r="AI139" s="101">
        <f>SUMIFS(tabela_registros[VALOR],tabela_registros[MÊS],$AE$1,tabela_registros[DIA],investirrendavariávelconsolidadomai[[#Headers],[31]],tabela_registros[REGISTRO],DADOS!$N$5,tabela_registros[TIPO],DADOS!$AB$4,tabela_registros[CATEGORIA],investirrendavariávelconsolidadomai[[#This Row],[ATUAL]])</f>
        <v>0</v>
      </c>
      <c r="AJ139" s="104">
        <f>SUM(investirrendavariávelconsolidadomai[[#This Row],[1]:[31]])</f>
        <v>0</v>
      </c>
      <c r="AK139" s="25"/>
    </row>
    <row r="140" spans="2:37" ht="19.5" customHeight="1" thickTop="1" thickBot="1" x14ac:dyDescent="0.3">
      <c r="B140" s="28"/>
      <c r="C140" s="27" t="str">
        <f>DADOS!$AF$11</f>
        <v>📝 MOEDA</v>
      </c>
      <c r="D140" s="26" t="str">
        <f>IF(investirrendavariávelconsolidadomai[[#This Row],[TOTAL (R$)]]=0,"",IF(OR(investirrendavariávelconsolidadomai[[#This Row],[TOTAL (R$)]]=LARGE($AJ$132:$AJ$141,1),investirrendavariávelconsolidadomai[[#This Row],[TOTAL (R$)]]=LARGE($AJ$132:$AJ$141,2)),DADOS!$I$10,""))</f>
        <v/>
      </c>
      <c r="E140" s="96">
        <f>SUMIFS(tabela_registros[VALOR],tabela_registros[MÊS],$AE$1,tabela_registros[DIA],investirrendavariávelconsolidadomai[[#Headers],[1]],tabela_registros[REGISTRO],DADOS!$N$5,tabela_registros[TIPO],DADOS!$AB$4,tabela_registros[CATEGORIA],investirrendavariávelconsolidadomai[[#This Row],[ATUAL]])</f>
        <v>0</v>
      </c>
      <c r="F140" s="91">
        <f>SUMIFS(tabela_registros[VALOR],tabela_registros[MÊS],$AE$1,tabela_registros[DIA],investirrendavariávelconsolidadomai[[#Headers],[2]],tabela_registros[REGISTRO],DADOS!$N$5,tabela_registros[TIPO],DADOS!$AB$4,tabela_registros[CATEGORIA],investirrendavariávelconsolidadomai[[#This Row],[ATUAL]])</f>
        <v>0</v>
      </c>
      <c r="G140" s="91">
        <f>SUMIFS(tabela_registros[VALOR],tabela_registros[MÊS],$AE$1,tabela_registros[DIA],investirrendavariávelconsolidadomai[[#Headers],[3]],tabela_registros[REGISTRO],DADOS!$N$5,tabela_registros[TIPO],DADOS!$AB$4,tabela_registros[CATEGORIA],investirrendavariávelconsolidadomai[[#This Row],[ATUAL]])</f>
        <v>0</v>
      </c>
      <c r="H140" s="91">
        <f>SUMIFS(tabela_registros[VALOR],tabela_registros[MÊS],$AE$1,tabela_registros[DIA],investirrendavariávelconsolidadomai[[#Headers],[4]],tabela_registros[REGISTRO],DADOS!$N$5,tabela_registros[TIPO],DADOS!$AB$4,tabela_registros[CATEGORIA],investirrendavariávelconsolidadomai[[#This Row],[ATUAL]])</f>
        <v>0</v>
      </c>
      <c r="I140" s="91">
        <f>SUMIFS(tabela_registros[VALOR],tabela_registros[MÊS],$AE$1,tabela_registros[DIA],investirrendavariávelconsolidadomai[[#Headers],[5]],tabela_registros[REGISTRO],DADOS!$N$5,tabela_registros[TIPO],DADOS!$AB$4,tabela_registros[CATEGORIA],investirrendavariávelconsolidadomai[[#This Row],[ATUAL]])</f>
        <v>0</v>
      </c>
      <c r="J140" s="91">
        <f>SUMIFS(tabela_registros[VALOR],tabela_registros[MÊS],$AE$1,tabela_registros[DIA],investirrendavariávelconsolidadomai[[#Headers],[6]],tabela_registros[REGISTRO],DADOS!$N$5,tabela_registros[TIPO],DADOS!$AB$4,tabela_registros[CATEGORIA],investirrendavariávelconsolidadomai[[#This Row],[ATUAL]])</f>
        <v>0</v>
      </c>
      <c r="K140" s="91">
        <f>SUMIFS(tabela_registros[VALOR],tabela_registros[MÊS],$AE$1,tabela_registros[DIA],investirrendavariávelconsolidadomai[[#Headers],[7]],tabela_registros[REGISTRO],DADOS!$N$5,tabela_registros[TIPO],DADOS!$AB$4,tabela_registros[CATEGORIA],investirrendavariávelconsolidadomai[[#This Row],[ATUAL]])</f>
        <v>0</v>
      </c>
      <c r="L140" s="91">
        <f>SUMIFS(tabela_registros[VALOR],tabela_registros[MÊS],$AE$1,tabela_registros[DIA],investirrendavariávelconsolidadomai[[#Headers],[8]],tabela_registros[REGISTRO],DADOS!$N$5,tabela_registros[TIPO],DADOS!$AB$4,tabela_registros[CATEGORIA],investirrendavariávelconsolidadomai[[#This Row],[ATUAL]])</f>
        <v>0</v>
      </c>
      <c r="M140" s="91">
        <f>SUMIFS(tabela_registros[VALOR],tabela_registros[MÊS],$AE$1,tabela_registros[DIA],investirrendavariávelconsolidadomai[[#Headers],[9]],tabela_registros[REGISTRO],DADOS!$N$5,tabela_registros[TIPO],DADOS!$AB$4,tabela_registros[CATEGORIA],investirrendavariávelconsolidadomai[[#This Row],[ATUAL]])</f>
        <v>0</v>
      </c>
      <c r="N140" s="91">
        <f>SUMIFS(tabela_registros[VALOR],tabela_registros[MÊS],$AE$1,tabela_registros[DIA],investirrendavariávelconsolidadomai[[#Headers],[10]],tabela_registros[REGISTRO],DADOS!$N$5,tabela_registros[TIPO],DADOS!$AB$4,tabela_registros[CATEGORIA],investirrendavariávelconsolidadomai[[#This Row],[ATUAL]])</f>
        <v>0</v>
      </c>
      <c r="O140" s="91">
        <f>SUMIFS(tabela_registros[VALOR],tabela_registros[MÊS],$AE$1,tabela_registros[DIA],investirrendavariávelconsolidadomai[[#Headers],[11]],tabela_registros[REGISTRO],DADOS!$N$5,tabela_registros[TIPO],DADOS!$AB$4,tabela_registros[CATEGORIA],investirrendavariávelconsolidadomai[[#This Row],[ATUAL]])</f>
        <v>0</v>
      </c>
      <c r="P140" s="91">
        <f>SUMIFS(tabela_registros[VALOR],tabela_registros[MÊS],$AE$1,tabela_registros[DIA],investirrendavariávelconsolidadomai[[#Headers],[12]],tabela_registros[REGISTRO],DADOS!$N$5,tabela_registros[TIPO],DADOS!$AB$4,tabela_registros[CATEGORIA],investirrendavariávelconsolidadomai[[#This Row],[ATUAL]])</f>
        <v>0</v>
      </c>
      <c r="Q140" s="91">
        <f>SUMIFS(tabela_registros[VALOR],tabela_registros[MÊS],$AE$1,tabela_registros[DIA],investirrendavariávelconsolidadomai[[#Headers],[13]],tabela_registros[REGISTRO],DADOS!$N$5,tabela_registros[TIPO],DADOS!$AB$4,tabela_registros[CATEGORIA],investirrendavariávelconsolidadomai[[#This Row],[ATUAL]])</f>
        <v>0</v>
      </c>
      <c r="R140" s="91">
        <f>SUMIFS(tabela_registros[VALOR],tabela_registros[MÊS],$AE$1,tabela_registros[DIA],investirrendavariávelconsolidadomai[[#Headers],[14]],tabela_registros[REGISTRO],DADOS!$N$5,tabela_registros[TIPO],DADOS!$AB$4,tabela_registros[CATEGORIA],investirrendavariávelconsolidadomai[[#This Row],[ATUAL]])</f>
        <v>0</v>
      </c>
      <c r="S140" s="91">
        <f>SUMIFS(tabela_registros[VALOR],tabela_registros[MÊS],$AE$1,tabela_registros[DIA],investirrendavariávelconsolidadomai[[#Headers],[15]],tabela_registros[REGISTRO],DADOS!$N$5,tabela_registros[TIPO],DADOS!$AB$4,tabela_registros[CATEGORIA],investirrendavariávelconsolidadomai[[#This Row],[ATUAL]])</f>
        <v>0</v>
      </c>
      <c r="T140" s="91">
        <f>SUMIFS(tabela_registros[VALOR],tabela_registros[MÊS],$AE$1,tabela_registros[DIA],investirrendavariávelconsolidadomai[[#Headers],[16]],tabela_registros[REGISTRO],DADOS!$N$5,tabela_registros[TIPO],DADOS!$AB$4,tabela_registros[CATEGORIA],investirrendavariávelconsolidadomai[[#This Row],[ATUAL]])</f>
        <v>0</v>
      </c>
      <c r="U140" s="91">
        <f>SUMIFS(tabela_registros[VALOR],tabela_registros[MÊS],$AE$1,tabela_registros[DIA],investirrendavariávelconsolidadomai[[#Headers],[17]],tabela_registros[REGISTRO],DADOS!$N$5,tabela_registros[TIPO],DADOS!$AB$4,tabela_registros[CATEGORIA],investirrendavariávelconsolidadomai[[#This Row],[ATUAL]])</f>
        <v>0</v>
      </c>
      <c r="V140" s="91">
        <f>SUMIFS(tabela_registros[VALOR],tabela_registros[MÊS],$AE$1,tabela_registros[DIA],investirrendavariávelconsolidadomai[[#Headers],[18]],tabela_registros[REGISTRO],DADOS!$N$5,tabela_registros[TIPO],DADOS!$AB$4,tabela_registros[CATEGORIA],investirrendavariávelconsolidadomai[[#This Row],[ATUAL]])</f>
        <v>0</v>
      </c>
      <c r="W140" s="91">
        <f>SUMIFS(tabela_registros[VALOR],tabela_registros[MÊS],$AE$1,tabela_registros[DIA],investirrendavariávelconsolidadomai[[#Headers],[19]],tabela_registros[REGISTRO],DADOS!$N$5,tabela_registros[TIPO],DADOS!$AB$4,tabela_registros[CATEGORIA],investirrendavariávelconsolidadomai[[#This Row],[ATUAL]])</f>
        <v>0</v>
      </c>
      <c r="X140" s="91">
        <f>SUMIFS(tabela_registros[VALOR],tabela_registros[MÊS],$AE$1,tabela_registros[DIA],investirrendavariávelconsolidadomai[[#Headers],[20]],tabela_registros[REGISTRO],DADOS!$N$5,tabela_registros[TIPO],DADOS!$AB$4,tabela_registros[CATEGORIA],investirrendavariávelconsolidadomai[[#This Row],[ATUAL]])</f>
        <v>0</v>
      </c>
      <c r="Y140" s="91">
        <f>SUMIFS(tabela_registros[VALOR],tabela_registros[MÊS],$AE$1,tabela_registros[DIA],investirrendavariávelconsolidadomai[[#Headers],[21]],tabela_registros[REGISTRO],DADOS!$N$5,tabela_registros[TIPO],DADOS!$AB$4,tabela_registros[CATEGORIA],investirrendavariávelconsolidadomai[[#This Row],[ATUAL]])</f>
        <v>0</v>
      </c>
      <c r="Z140" s="91">
        <f>SUMIFS(tabela_registros[VALOR],tabela_registros[MÊS],$AE$1,tabela_registros[DIA],investirrendavariávelconsolidadomai[[#Headers],[22]],tabela_registros[REGISTRO],DADOS!$N$5,tabela_registros[TIPO],DADOS!$AB$4,tabela_registros[CATEGORIA],investirrendavariávelconsolidadomai[[#This Row],[ATUAL]])</f>
        <v>0</v>
      </c>
      <c r="AA140" s="91">
        <f>SUMIFS(tabela_registros[VALOR],tabela_registros[MÊS],$AE$1,tabela_registros[DIA],investirrendavariávelconsolidadomai[[#Headers],[23]],tabela_registros[REGISTRO],DADOS!$N$5,tabela_registros[TIPO],DADOS!$AB$4,tabela_registros[CATEGORIA],investirrendavariávelconsolidadomai[[#This Row],[ATUAL]])</f>
        <v>0</v>
      </c>
      <c r="AB140" s="91">
        <f>SUMIFS(tabela_registros[VALOR],tabela_registros[MÊS],$AE$1,tabela_registros[DIA],investirrendavariávelconsolidadomai[[#Headers],[24]],tabela_registros[REGISTRO],DADOS!$N$5,tabela_registros[TIPO],DADOS!$AB$4,tabela_registros[CATEGORIA],investirrendavariávelconsolidadomai[[#This Row],[ATUAL]])</f>
        <v>0</v>
      </c>
      <c r="AC140" s="91">
        <f>SUMIFS(tabela_registros[VALOR],tabela_registros[MÊS],$AE$1,tabela_registros[DIA],investirrendavariávelconsolidadomai[[#Headers],[25]],tabela_registros[REGISTRO],DADOS!$N$5,tabela_registros[TIPO],DADOS!$AB$4,tabela_registros[CATEGORIA],investirrendavariávelconsolidadomai[[#This Row],[ATUAL]])</f>
        <v>0</v>
      </c>
      <c r="AD140" s="91">
        <f>SUMIFS(tabela_registros[VALOR],tabela_registros[MÊS],$AE$1,tabela_registros[DIA],investirrendavariávelconsolidadomai[[#Headers],[26]],tabela_registros[REGISTRO],DADOS!$N$5,tabela_registros[TIPO],DADOS!$AB$4,tabela_registros[CATEGORIA],investirrendavariávelconsolidadomai[[#This Row],[ATUAL]])</f>
        <v>0</v>
      </c>
      <c r="AE140" s="91">
        <f>SUMIFS(tabela_registros[VALOR],tabela_registros[MÊS],$AE$1,tabela_registros[DIA],investirrendavariávelconsolidadomai[[#Headers],[27]],tabela_registros[REGISTRO],DADOS!$N$5,tabela_registros[TIPO],DADOS!$AB$4,tabela_registros[CATEGORIA],investirrendavariávelconsolidadomai[[#This Row],[ATUAL]])</f>
        <v>0</v>
      </c>
      <c r="AF140" s="91">
        <f>SUMIFS(tabela_registros[VALOR],tabela_registros[MÊS],$AE$1,tabela_registros[DIA],investirrendavariávelconsolidadomai[[#Headers],[28]],tabela_registros[REGISTRO],DADOS!$N$5,tabela_registros[TIPO],DADOS!$AB$4,tabela_registros[CATEGORIA],investirrendavariávelconsolidadomai[[#This Row],[ATUAL]])</f>
        <v>0</v>
      </c>
      <c r="AG140" s="91">
        <f>SUMIFS(tabela_registros[VALOR],tabela_registros[MÊS],$AE$1,tabela_registros[DIA],investirrendavariávelconsolidadomai[[#Headers],[29]],tabela_registros[REGISTRO],DADOS!$N$5,tabela_registros[TIPO],DADOS!$AB$4,tabela_registros[CATEGORIA],investirrendavariávelconsolidadomai[[#This Row],[ATUAL]])</f>
        <v>0</v>
      </c>
      <c r="AH140" s="91">
        <f>SUMIFS(tabela_registros[VALOR],tabela_registros[MÊS],$AE$1,tabela_registros[DIA],investirrendavariávelconsolidadomai[[#Headers],[30]],tabela_registros[REGISTRO],DADOS!$N$5,tabela_registros[TIPO],DADOS!$AB$4,tabela_registros[CATEGORIA],investirrendavariávelconsolidadomai[[#This Row],[ATUAL]])</f>
        <v>0</v>
      </c>
      <c r="AI140" s="101">
        <f>SUMIFS(tabela_registros[VALOR],tabela_registros[MÊS],$AE$1,tabela_registros[DIA],investirrendavariávelconsolidadomai[[#Headers],[31]],tabela_registros[REGISTRO],DADOS!$N$5,tabela_registros[TIPO],DADOS!$AB$4,tabela_registros[CATEGORIA],investirrendavariávelconsolidadomai[[#This Row],[ATUAL]])</f>
        <v>0</v>
      </c>
      <c r="AJ140" s="104">
        <f>SUM(investirrendavariávelconsolidadomai[[#This Row],[1]:[31]])</f>
        <v>0</v>
      </c>
      <c r="AK140" s="25"/>
    </row>
    <row r="141" spans="2:37" ht="19.5" customHeight="1" thickTop="1" thickBot="1" x14ac:dyDescent="0.3">
      <c r="B141" s="28"/>
      <c r="C141" s="27" t="str">
        <f>DADOS!$AF$12</f>
        <v>📎 OUTROS</v>
      </c>
      <c r="D141" s="26" t="str">
        <f>IF(investirrendavariávelconsolidadomai[[#This Row],[TOTAL (R$)]]=0,"",IF(OR(investirrendavariávelconsolidadomai[[#This Row],[TOTAL (R$)]]=LARGE($AJ$132:$AJ$141,1),investirrendavariávelconsolidadomai[[#This Row],[TOTAL (R$)]]=LARGE($AJ$132:$AJ$141,2)),DADOS!$I$10,""))</f>
        <v/>
      </c>
      <c r="E141" s="96">
        <f>SUMIFS(tabela_registros[VALOR],tabela_registros[MÊS],$AE$1,tabela_registros[DIA],investirrendavariávelconsolidadomai[[#Headers],[1]],tabela_registros[REGISTRO],DADOS!$N$5,tabela_registros[TIPO],DADOS!$AB$4,tabela_registros[CATEGORIA],investirrendavariávelconsolidadomai[[#This Row],[ATUAL]])</f>
        <v>0</v>
      </c>
      <c r="F141" s="91">
        <f>SUMIFS(tabela_registros[VALOR],tabela_registros[MÊS],$AE$1,tabela_registros[DIA],investirrendavariávelconsolidadomai[[#Headers],[2]],tabela_registros[REGISTRO],DADOS!$N$5,tabela_registros[TIPO],DADOS!$AB$4,tabela_registros[CATEGORIA],investirrendavariávelconsolidadomai[[#This Row],[ATUAL]])</f>
        <v>0</v>
      </c>
      <c r="G141" s="91">
        <f>SUMIFS(tabela_registros[VALOR],tabela_registros[MÊS],$AE$1,tabela_registros[DIA],investirrendavariávelconsolidadomai[[#Headers],[3]],tabela_registros[REGISTRO],DADOS!$N$5,tabela_registros[TIPO],DADOS!$AB$4,tabela_registros[CATEGORIA],investirrendavariávelconsolidadomai[[#This Row],[ATUAL]])</f>
        <v>0</v>
      </c>
      <c r="H141" s="91">
        <f>SUMIFS(tabela_registros[VALOR],tabela_registros[MÊS],$AE$1,tabela_registros[DIA],investirrendavariávelconsolidadomai[[#Headers],[4]],tabela_registros[REGISTRO],DADOS!$N$5,tabela_registros[TIPO],DADOS!$AB$4,tabela_registros[CATEGORIA],investirrendavariávelconsolidadomai[[#This Row],[ATUAL]])</f>
        <v>0</v>
      </c>
      <c r="I141" s="91">
        <f>SUMIFS(tabela_registros[VALOR],tabela_registros[MÊS],$AE$1,tabela_registros[DIA],investirrendavariávelconsolidadomai[[#Headers],[5]],tabela_registros[REGISTRO],DADOS!$N$5,tabela_registros[TIPO],DADOS!$AB$4,tabela_registros[CATEGORIA],investirrendavariávelconsolidadomai[[#This Row],[ATUAL]])</f>
        <v>0</v>
      </c>
      <c r="J141" s="91">
        <f>SUMIFS(tabela_registros[VALOR],tabela_registros[MÊS],$AE$1,tabela_registros[DIA],investirrendavariávelconsolidadomai[[#Headers],[6]],tabela_registros[REGISTRO],DADOS!$N$5,tabela_registros[TIPO],DADOS!$AB$4,tabela_registros[CATEGORIA],investirrendavariávelconsolidadomai[[#This Row],[ATUAL]])</f>
        <v>0</v>
      </c>
      <c r="K141" s="91">
        <f>SUMIFS(tabela_registros[VALOR],tabela_registros[MÊS],$AE$1,tabela_registros[DIA],investirrendavariávelconsolidadomai[[#Headers],[7]],tabela_registros[REGISTRO],DADOS!$N$5,tabela_registros[TIPO],DADOS!$AB$4,tabela_registros[CATEGORIA],investirrendavariávelconsolidadomai[[#This Row],[ATUAL]])</f>
        <v>0</v>
      </c>
      <c r="L141" s="91">
        <f>SUMIFS(tabela_registros[VALOR],tabela_registros[MÊS],$AE$1,tabela_registros[DIA],investirrendavariávelconsolidadomai[[#Headers],[8]],tabela_registros[REGISTRO],DADOS!$N$5,tabela_registros[TIPO],DADOS!$AB$4,tabela_registros[CATEGORIA],investirrendavariávelconsolidadomai[[#This Row],[ATUAL]])</f>
        <v>0</v>
      </c>
      <c r="M141" s="91">
        <f>SUMIFS(tabela_registros[VALOR],tabela_registros[MÊS],$AE$1,tabela_registros[DIA],investirrendavariávelconsolidadomai[[#Headers],[9]],tabela_registros[REGISTRO],DADOS!$N$5,tabela_registros[TIPO],DADOS!$AB$4,tabela_registros[CATEGORIA],investirrendavariávelconsolidadomai[[#This Row],[ATUAL]])</f>
        <v>0</v>
      </c>
      <c r="N141" s="91">
        <f>SUMIFS(tabela_registros[VALOR],tabela_registros[MÊS],$AE$1,tabela_registros[DIA],investirrendavariávelconsolidadomai[[#Headers],[10]],tabela_registros[REGISTRO],DADOS!$N$5,tabela_registros[TIPO],DADOS!$AB$4,tabela_registros[CATEGORIA],investirrendavariávelconsolidadomai[[#This Row],[ATUAL]])</f>
        <v>0</v>
      </c>
      <c r="O141" s="91">
        <f>SUMIFS(tabela_registros[VALOR],tabela_registros[MÊS],$AE$1,tabela_registros[DIA],investirrendavariávelconsolidadomai[[#Headers],[11]],tabela_registros[REGISTRO],DADOS!$N$5,tabela_registros[TIPO],DADOS!$AB$4,tabela_registros[CATEGORIA],investirrendavariávelconsolidadomai[[#This Row],[ATUAL]])</f>
        <v>0</v>
      </c>
      <c r="P141" s="91">
        <f>SUMIFS(tabela_registros[VALOR],tabela_registros[MÊS],$AE$1,tabela_registros[DIA],investirrendavariávelconsolidadomai[[#Headers],[12]],tabela_registros[REGISTRO],DADOS!$N$5,tabela_registros[TIPO],DADOS!$AB$4,tabela_registros[CATEGORIA],investirrendavariávelconsolidadomai[[#This Row],[ATUAL]])</f>
        <v>0</v>
      </c>
      <c r="Q141" s="91">
        <f>SUMIFS(tabela_registros[VALOR],tabela_registros[MÊS],$AE$1,tabela_registros[DIA],investirrendavariávelconsolidadomai[[#Headers],[13]],tabela_registros[REGISTRO],DADOS!$N$5,tabela_registros[TIPO],DADOS!$AB$4,tabela_registros[CATEGORIA],investirrendavariávelconsolidadomai[[#This Row],[ATUAL]])</f>
        <v>0</v>
      </c>
      <c r="R141" s="91">
        <f>SUMIFS(tabela_registros[VALOR],tabela_registros[MÊS],$AE$1,tabela_registros[DIA],investirrendavariávelconsolidadomai[[#Headers],[14]],tabela_registros[REGISTRO],DADOS!$N$5,tabela_registros[TIPO],DADOS!$AB$4,tabela_registros[CATEGORIA],investirrendavariávelconsolidadomai[[#This Row],[ATUAL]])</f>
        <v>0</v>
      </c>
      <c r="S141" s="91">
        <f>SUMIFS(tabela_registros[VALOR],tabela_registros[MÊS],$AE$1,tabela_registros[DIA],investirrendavariávelconsolidadomai[[#Headers],[15]],tabela_registros[REGISTRO],DADOS!$N$5,tabela_registros[TIPO],DADOS!$AB$4,tabela_registros[CATEGORIA],investirrendavariávelconsolidadomai[[#This Row],[ATUAL]])</f>
        <v>0</v>
      </c>
      <c r="T141" s="91">
        <f>SUMIFS(tabela_registros[VALOR],tabela_registros[MÊS],$AE$1,tabela_registros[DIA],investirrendavariávelconsolidadomai[[#Headers],[16]],tabela_registros[REGISTRO],DADOS!$N$5,tabela_registros[TIPO],DADOS!$AB$4,tabela_registros[CATEGORIA],investirrendavariávelconsolidadomai[[#This Row],[ATUAL]])</f>
        <v>0</v>
      </c>
      <c r="U141" s="91">
        <f>SUMIFS(tabela_registros[VALOR],tabela_registros[MÊS],$AE$1,tabela_registros[DIA],investirrendavariávelconsolidadomai[[#Headers],[17]],tabela_registros[REGISTRO],DADOS!$N$5,tabela_registros[TIPO],DADOS!$AB$4,tabela_registros[CATEGORIA],investirrendavariávelconsolidadomai[[#This Row],[ATUAL]])</f>
        <v>0</v>
      </c>
      <c r="V141" s="91">
        <f>SUMIFS(tabela_registros[VALOR],tabela_registros[MÊS],$AE$1,tabela_registros[DIA],investirrendavariávelconsolidadomai[[#Headers],[18]],tabela_registros[REGISTRO],DADOS!$N$5,tabela_registros[TIPO],DADOS!$AB$4,tabela_registros[CATEGORIA],investirrendavariávelconsolidadomai[[#This Row],[ATUAL]])</f>
        <v>0</v>
      </c>
      <c r="W141" s="91">
        <f>SUMIFS(tabela_registros[VALOR],tabela_registros[MÊS],$AE$1,tabela_registros[DIA],investirrendavariávelconsolidadomai[[#Headers],[19]],tabela_registros[REGISTRO],DADOS!$N$5,tabela_registros[TIPO],DADOS!$AB$4,tabela_registros[CATEGORIA],investirrendavariávelconsolidadomai[[#This Row],[ATUAL]])</f>
        <v>0</v>
      </c>
      <c r="X141" s="91">
        <f>SUMIFS(tabela_registros[VALOR],tabela_registros[MÊS],$AE$1,tabela_registros[DIA],investirrendavariávelconsolidadomai[[#Headers],[20]],tabela_registros[REGISTRO],DADOS!$N$5,tabela_registros[TIPO],DADOS!$AB$4,tabela_registros[CATEGORIA],investirrendavariávelconsolidadomai[[#This Row],[ATUAL]])</f>
        <v>0</v>
      </c>
      <c r="Y141" s="91">
        <f>SUMIFS(tabela_registros[VALOR],tabela_registros[MÊS],$AE$1,tabela_registros[DIA],investirrendavariávelconsolidadomai[[#Headers],[21]],tabela_registros[REGISTRO],DADOS!$N$5,tabela_registros[TIPO],DADOS!$AB$4,tabela_registros[CATEGORIA],investirrendavariávelconsolidadomai[[#This Row],[ATUAL]])</f>
        <v>0</v>
      </c>
      <c r="Z141" s="91">
        <f>SUMIFS(tabela_registros[VALOR],tabela_registros[MÊS],$AE$1,tabela_registros[DIA],investirrendavariávelconsolidadomai[[#Headers],[22]],tabela_registros[REGISTRO],DADOS!$N$5,tabela_registros[TIPO],DADOS!$AB$4,tabela_registros[CATEGORIA],investirrendavariávelconsolidadomai[[#This Row],[ATUAL]])</f>
        <v>0</v>
      </c>
      <c r="AA141" s="91">
        <f>SUMIFS(tabela_registros[VALOR],tabela_registros[MÊS],$AE$1,tabela_registros[DIA],investirrendavariávelconsolidadomai[[#Headers],[23]],tabela_registros[REGISTRO],DADOS!$N$5,tabela_registros[TIPO],DADOS!$AB$4,tabela_registros[CATEGORIA],investirrendavariávelconsolidadomai[[#This Row],[ATUAL]])</f>
        <v>0</v>
      </c>
      <c r="AB141" s="91">
        <f>SUMIFS(tabela_registros[VALOR],tabela_registros[MÊS],$AE$1,tabela_registros[DIA],investirrendavariávelconsolidadomai[[#Headers],[24]],tabela_registros[REGISTRO],DADOS!$N$5,tabela_registros[TIPO],DADOS!$AB$4,tabela_registros[CATEGORIA],investirrendavariávelconsolidadomai[[#This Row],[ATUAL]])</f>
        <v>0</v>
      </c>
      <c r="AC141" s="91">
        <f>SUMIFS(tabela_registros[VALOR],tabela_registros[MÊS],$AE$1,tabela_registros[DIA],investirrendavariávelconsolidadomai[[#Headers],[25]],tabela_registros[REGISTRO],DADOS!$N$5,tabela_registros[TIPO],DADOS!$AB$4,tabela_registros[CATEGORIA],investirrendavariávelconsolidadomai[[#This Row],[ATUAL]])</f>
        <v>0</v>
      </c>
      <c r="AD141" s="91">
        <f>SUMIFS(tabela_registros[VALOR],tabela_registros[MÊS],$AE$1,tabela_registros[DIA],investirrendavariávelconsolidadomai[[#Headers],[26]],tabela_registros[REGISTRO],DADOS!$N$5,tabela_registros[TIPO],DADOS!$AB$4,tabela_registros[CATEGORIA],investirrendavariávelconsolidadomai[[#This Row],[ATUAL]])</f>
        <v>0</v>
      </c>
      <c r="AE141" s="91">
        <f>SUMIFS(tabela_registros[VALOR],tabela_registros[MÊS],$AE$1,tabela_registros[DIA],investirrendavariávelconsolidadomai[[#Headers],[27]],tabela_registros[REGISTRO],DADOS!$N$5,tabela_registros[TIPO],DADOS!$AB$4,tabela_registros[CATEGORIA],investirrendavariávelconsolidadomai[[#This Row],[ATUAL]])</f>
        <v>0</v>
      </c>
      <c r="AF141" s="91">
        <f>SUMIFS(tabela_registros[VALOR],tabela_registros[MÊS],$AE$1,tabela_registros[DIA],investirrendavariávelconsolidadomai[[#Headers],[28]],tabela_registros[REGISTRO],DADOS!$N$5,tabela_registros[TIPO],DADOS!$AB$4,tabela_registros[CATEGORIA],investirrendavariávelconsolidadomai[[#This Row],[ATUAL]])</f>
        <v>0</v>
      </c>
      <c r="AG141" s="91">
        <f>SUMIFS(tabela_registros[VALOR],tabela_registros[MÊS],$AE$1,tabela_registros[DIA],investirrendavariávelconsolidadomai[[#Headers],[29]],tabela_registros[REGISTRO],DADOS!$N$5,tabela_registros[TIPO],DADOS!$AB$4,tabela_registros[CATEGORIA],investirrendavariávelconsolidadomai[[#This Row],[ATUAL]])</f>
        <v>0</v>
      </c>
      <c r="AH141" s="91">
        <f>SUMIFS(tabela_registros[VALOR],tabela_registros[MÊS],$AE$1,tabela_registros[DIA],investirrendavariávelconsolidadomai[[#Headers],[30]],tabela_registros[REGISTRO],DADOS!$N$5,tabela_registros[TIPO],DADOS!$AB$4,tabela_registros[CATEGORIA],investirrendavariávelconsolidadomai[[#This Row],[ATUAL]])</f>
        <v>0</v>
      </c>
      <c r="AI141" s="102">
        <f>SUMIFS(tabela_registros[VALOR],tabela_registros[MÊS],$AE$1,tabela_registros[DIA],investirrendavariávelconsolidadomai[[#Headers],[31]],tabela_registros[REGISTRO],DADOS!$N$5,tabela_registros[TIPO],DADOS!$AB$4,tabela_registros[CATEGORIA],investirrendavariávelconsolidadomai[[#This Row],[ATUAL]])</f>
        <v>0</v>
      </c>
      <c r="AJ141" s="97">
        <f>SUM(investirrendavariávelconsolidadomai[[#This Row],[1]:[31]])</f>
        <v>0</v>
      </c>
      <c r="AK141" s="25"/>
    </row>
    <row r="142" spans="2:37" s="16" customFormat="1" ht="21" customHeight="1" thickTop="1" thickBot="1" x14ac:dyDescent="0.35">
      <c r="B142" s="24"/>
      <c r="C142" s="23" t="s">
        <v>19</v>
      </c>
      <c r="D142" s="22"/>
      <c r="E142" s="21">
        <f>SUM(E132:E141)</f>
        <v>0</v>
      </c>
      <c r="F142" s="20">
        <f>SUM(F132:F141)+investirrendavariávelconsolidadomai[[#This Row],[1]]</f>
        <v>0</v>
      </c>
      <c r="G142" s="20">
        <f>SUM(G132:G141)+investirrendavariávelconsolidadomai[[#This Row],[2]]</f>
        <v>0</v>
      </c>
      <c r="H142" s="20">
        <f>SUM(H132:H141)+investirrendavariávelconsolidadomai[[#This Row],[3]]</f>
        <v>0</v>
      </c>
      <c r="I142" s="20">
        <f>SUM(I132:I141)+investirrendavariávelconsolidadomai[[#This Row],[4]]</f>
        <v>0</v>
      </c>
      <c r="J142" s="20">
        <f>SUM(J132:J141)+investirrendavariávelconsolidadomai[[#This Row],[5]]</f>
        <v>0</v>
      </c>
      <c r="K142" s="20">
        <f>SUM(K132:K141)+investirrendavariávelconsolidadomai[[#This Row],[6]]</f>
        <v>0</v>
      </c>
      <c r="L142" s="20">
        <f>SUM(L132:L141)+investirrendavariávelconsolidadomai[[#This Row],[7]]</f>
        <v>0</v>
      </c>
      <c r="M142" s="20">
        <f>SUM(M132:M141)+investirrendavariávelconsolidadomai[[#This Row],[8]]</f>
        <v>0</v>
      </c>
      <c r="N142" s="20">
        <f>SUM(N132:N141)+investirrendavariávelconsolidadomai[[#This Row],[9]]</f>
        <v>0</v>
      </c>
      <c r="O142" s="20">
        <f>SUM(O132:O141)+investirrendavariávelconsolidadomai[[#This Row],[10]]</f>
        <v>0</v>
      </c>
      <c r="P142" s="20">
        <f>SUM(P132:P141)+investirrendavariávelconsolidadomai[[#This Row],[11]]</f>
        <v>0</v>
      </c>
      <c r="Q142" s="20">
        <f>SUM(Q132:Q141)+investirrendavariávelconsolidadomai[[#This Row],[12]]</f>
        <v>0</v>
      </c>
      <c r="R142" s="20">
        <f>SUM(R132:R141)+investirrendavariávelconsolidadomai[[#This Row],[13]]</f>
        <v>0</v>
      </c>
      <c r="S142" s="20">
        <f>SUM(S132:S141)+investirrendavariávelconsolidadomai[[#This Row],[14]]</f>
        <v>0</v>
      </c>
      <c r="T142" s="20">
        <f>SUM(T132:T141)+investirrendavariávelconsolidadomai[[#This Row],[15]]</f>
        <v>0</v>
      </c>
      <c r="U142" s="20">
        <f>SUM(U132:U141)+investirrendavariávelconsolidadomai[[#This Row],[16]]</f>
        <v>0</v>
      </c>
      <c r="V142" s="20">
        <f>SUM(V132:V141)+investirrendavariávelconsolidadomai[[#This Row],[17]]</f>
        <v>0</v>
      </c>
      <c r="W142" s="20">
        <f>SUM(W132:W141)+investirrendavariávelconsolidadomai[[#This Row],[18]]</f>
        <v>0</v>
      </c>
      <c r="X142" s="20">
        <f>SUM(X132:X141)+investirrendavariávelconsolidadomai[[#This Row],[19]]</f>
        <v>0</v>
      </c>
      <c r="Y142" s="20">
        <f>SUM(Y132:Y141)+investirrendavariávelconsolidadomai[[#This Row],[20]]</f>
        <v>0</v>
      </c>
      <c r="Z142" s="20">
        <f>SUM(Z132:Z141)+investirrendavariávelconsolidadomai[[#This Row],[21]]</f>
        <v>0</v>
      </c>
      <c r="AA142" s="20">
        <f>SUM(AA132:AA141)+investirrendavariávelconsolidadomai[[#This Row],[22]]</f>
        <v>0</v>
      </c>
      <c r="AB142" s="20">
        <f>SUM(AB132:AB141)+investirrendavariávelconsolidadomai[[#This Row],[23]]</f>
        <v>0</v>
      </c>
      <c r="AC142" s="20">
        <f>SUM(AC132:AC141)+investirrendavariávelconsolidadomai[[#This Row],[24]]</f>
        <v>0</v>
      </c>
      <c r="AD142" s="20">
        <f>SUM(AD132:AD141)+investirrendavariávelconsolidadomai[[#This Row],[25]]</f>
        <v>0</v>
      </c>
      <c r="AE142" s="20">
        <f>SUM(AE132:AE141)+investirrendavariávelconsolidadomai[[#This Row],[26]]</f>
        <v>0</v>
      </c>
      <c r="AF142" s="20">
        <f>SUM(AF132:AF141)+investirrendavariávelconsolidadomai[[#This Row],[27]]</f>
        <v>0</v>
      </c>
      <c r="AG142" s="20">
        <f>SUM(AG132:AG141)+investirrendavariávelconsolidadomai[[#This Row],[28]]</f>
        <v>0</v>
      </c>
      <c r="AH142" s="20">
        <f>SUM(AH132:AH141)+investirrendavariávelconsolidadomai[[#This Row],[29]]</f>
        <v>0</v>
      </c>
      <c r="AI142" s="19">
        <f>SUM(AI132:AI141)+investirrendavariávelconsolidadomai[[#This Row],[30]]</f>
        <v>0</v>
      </c>
      <c r="AJ142" s="18">
        <f>investirrendavariávelconsolidadomai[[#This Row],[31]]</f>
        <v>0</v>
      </c>
      <c r="AK142" s="17"/>
    </row>
    <row r="143" spans="2:37" ht="6.75" customHeight="1" thickTop="1" thickBot="1" x14ac:dyDescent="0.3">
      <c r="B143" s="15"/>
      <c r="C143" s="14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  <c r="AE143" s="13"/>
      <c r="AF143" s="13"/>
      <c r="AG143" s="13"/>
      <c r="AH143" s="13"/>
      <c r="AI143" s="12"/>
      <c r="AJ143" s="11"/>
      <c r="AK143" s="10"/>
    </row>
    <row r="144" spans="2:37" ht="12.6" thickTop="1" x14ac:dyDescent="0.25">
      <c r="E144" s="37"/>
      <c r="AI144" s="4"/>
    </row>
    <row r="145" spans="2:37" x14ac:dyDescent="0.25">
      <c r="AI145" s="4"/>
    </row>
    <row r="146" spans="2:37" x14ac:dyDescent="0.25">
      <c r="AI146" s="4"/>
    </row>
    <row r="147" spans="2:37" ht="39.75" customHeight="1" x14ac:dyDescent="0.7">
      <c r="C147" s="36"/>
      <c r="E147" s="240"/>
      <c r="F147" s="240"/>
      <c r="G147" s="240"/>
      <c r="H147" s="240"/>
      <c r="I147" s="240"/>
      <c r="J147" s="240"/>
      <c r="K147" s="240"/>
      <c r="L147" s="240"/>
      <c r="M147" s="240"/>
      <c r="N147" s="240"/>
      <c r="O147" s="240"/>
      <c r="P147" s="240"/>
      <c r="Q147" s="240"/>
      <c r="R147" s="240"/>
      <c r="S147" s="240"/>
      <c r="T147" s="240"/>
      <c r="U147" s="240"/>
      <c r="V147" s="240"/>
      <c r="W147" s="240"/>
      <c r="X147" s="240"/>
      <c r="Y147" s="240"/>
      <c r="Z147" s="240"/>
      <c r="AA147" s="240"/>
      <c r="AB147" s="240"/>
      <c r="AC147" s="240"/>
      <c r="AD147" s="240"/>
      <c r="AE147" s="240"/>
      <c r="AF147" s="240"/>
      <c r="AG147" s="240"/>
      <c r="AH147" s="240"/>
      <c r="AI147" s="240"/>
      <c r="AJ147" s="32" t="s">
        <v>19</v>
      </c>
    </row>
    <row r="148" spans="2:37" ht="12.6" thickBot="1" x14ac:dyDescent="0.3">
      <c r="B148" s="35"/>
      <c r="AI148" s="4"/>
      <c r="AJ148" s="34" t="s">
        <v>202</v>
      </c>
    </row>
    <row r="149" spans="2:37" ht="6.75" customHeight="1" thickTop="1" thickBot="1" x14ac:dyDescent="0.3">
      <c r="B149" s="2"/>
      <c r="C149" s="14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F149" s="13"/>
      <c r="AG149" s="13"/>
      <c r="AH149" s="13"/>
      <c r="AI149" s="13"/>
      <c r="AJ149" s="12"/>
      <c r="AK149" s="33"/>
    </row>
    <row r="150" spans="2:37" ht="13.2" hidden="1" thickTop="1" thickBot="1" x14ac:dyDescent="0.3">
      <c r="B150" s="2"/>
      <c r="C150" s="31" t="s">
        <v>199</v>
      </c>
      <c r="D150" s="30" t="s">
        <v>198</v>
      </c>
      <c r="E150" s="30" t="s">
        <v>197</v>
      </c>
      <c r="F150" s="30" t="s">
        <v>196</v>
      </c>
      <c r="G150" s="30" t="s">
        <v>195</v>
      </c>
      <c r="H150" s="30" t="s">
        <v>194</v>
      </c>
      <c r="I150" s="30" t="s">
        <v>193</v>
      </c>
      <c r="J150" s="30" t="s">
        <v>192</v>
      </c>
      <c r="K150" s="30" t="s">
        <v>191</v>
      </c>
      <c r="L150" s="30" t="s">
        <v>190</v>
      </c>
      <c r="M150" s="30" t="s">
        <v>189</v>
      </c>
      <c r="N150" s="30" t="s">
        <v>188</v>
      </c>
      <c r="O150" s="30" t="s">
        <v>187</v>
      </c>
      <c r="P150" s="30" t="s">
        <v>186</v>
      </c>
      <c r="Q150" s="30" t="s">
        <v>185</v>
      </c>
      <c r="R150" s="30" t="s">
        <v>184</v>
      </c>
      <c r="S150" s="30" t="s">
        <v>183</v>
      </c>
      <c r="T150" s="30" t="s">
        <v>182</v>
      </c>
      <c r="U150" s="30" t="s">
        <v>181</v>
      </c>
      <c r="V150" s="30" t="s">
        <v>180</v>
      </c>
      <c r="W150" s="30" t="s">
        <v>179</v>
      </c>
      <c r="X150" s="30" t="s">
        <v>178</v>
      </c>
      <c r="Y150" s="30" t="s">
        <v>177</v>
      </c>
      <c r="Z150" s="30" t="s">
        <v>176</v>
      </c>
      <c r="AA150" s="30" t="s">
        <v>175</v>
      </c>
      <c r="AB150" s="30" t="s">
        <v>174</v>
      </c>
      <c r="AC150" s="30" t="s">
        <v>173</v>
      </c>
      <c r="AD150" s="30" t="s">
        <v>172</v>
      </c>
      <c r="AE150" s="30" t="s">
        <v>171</v>
      </c>
      <c r="AF150" s="30" t="s">
        <v>170</v>
      </c>
      <c r="AG150" s="30" t="s">
        <v>169</v>
      </c>
      <c r="AH150" s="30" t="s">
        <v>168</v>
      </c>
      <c r="AI150" s="30" t="s">
        <v>167</v>
      </c>
      <c r="AJ150" s="29" t="s">
        <v>166</v>
      </c>
      <c r="AK150" s="2"/>
    </row>
    <row r="151" spans="2:37" ht="19.5" customHeight="1" thickTop="1" thickBot="1" x14ac:dyDescent="0.3">
      <c r="B151" s="28"/>
      <c r="C151" s="27" t="str">
        <f>DADOS!$AH$3</f>
        <v>📝 COE</v>
      </c>
      <c r="D151" s="26" t="str">
        <f>IF(investiroutrosconsolidadomai[[#This Row],[TOTAL (R$)]]=0,"",IF(OR(investiroutrosconsolidadomai[[#This Row],[TOTAL (R$)]]=LARGE($AJ$151:$AJ$158,1),investiroutrosconsolidadomai[[#This Row],[TOTAL (R$)]]=LARGE($AJ$151:$AJ$158,2)),DADOS!$I$10,""))</f>
        <v/>
      </c>
      <c r="E151" s="96">
        <f>SUMIFS(tabela_registros[VALOR],tabela_registros[MÊS],$AE$1,tabela_registros[DIA],investiroutrosconsolidadomai[[#Headers],[1]],tabela_registros[REGISTRO],DADOS!$N$5,tabela_registros[TIPO],DADOS!$AB$5,tabela_registros[CATEGORIA],investiroutrosconsolidadomai[[#This Row],[ATUAL]])</f>
        <v>0</v>
      </c>
      <c r="F151" s="91">
        <f>SUMIFS(tabela_registros[VALOR],tabela_registros[MÊS],$AE$1,tabela_registros[DIA],investiroutrosconsolidadomai[[#Headers],[2]],tabela_registros[REGISTRO],DADOS!$N$5,tabela_registros[TIPO],DADOS!$AB$5,tabela_registros[CATEGORIA],investiroutrosconsolidadomai[[#This Row],[ATUAL]])</f>
        <v>0</v>
      </c>
      <c r="G151" s="91">
        <f>SUMIFS(tabela_registros[VALOR],tabela_registros[MÊS],$AE$1,tabela_registros[DIA],investiroutrosconsolidadomai[[#Headers],[3]],tabela_registros[REGISTRO],DADOS!$N$5,tabela_registros[TIPO],DADOS!$AB$5,tabela_registros[CATEGORIA],investiroutrosconsolidadomai[[#This Row],[ATUAL]])</f>
        <v>0</v>
      </c>
      <c r="H151" s="91">
        <f>SUMIFS(tabela_registros[VALOR],tabela_registros[MÊS],$AE$1,tabela_registros[DIA],investiroutrosconsolidadomai[[#Headers],[4]],tabela_registros[REGISTRO],DADOS!$N$5,tabela_registros[TIPO],DADOS!$AB$5,tabela_registros[CATEGORIA],investiroutrosconsolidadomai[[#This Row],[ATUAL]])</f>
        <v>0</v>
      </c>
      <c r="I151" s="91">
        <f>SUMIFS(tabela_registros[VALOR],tabela_registros[MÊS],$AE$1,tabela_registros[DIA],investiroutrosconsolidadomai[[#Headers],[5]],tabela_registros[REGISTRO],DADOS!$N$5,tabela_registros[TIPO],DADOS!$AB$5,tabela_registros[CATEGORIA],investiroutrosconsolidadomai[[#This Row],[ATUAL]])</f>
        <v>0</v>
      </c>
      <c r="J151" s="91">
        <f>SUMIFS(tabela_registros[VALOR],tabela_registros[MÊS],$AE$1,tabela_registros[DIA],investiroutrosconsolidadomai[[#Headers],[6]],tabela_registros[REGISTRO],DADOS!$N$5,tabela_registros[TIPO],DADOS!$AB$5,tabela_registros[CATEGORIA],investiroutrosconsolidadomai[[#This Row],[ATUAL]])</f>
        <v>0</v>
      </c>
      <c r="K151" s="91">
        <f>SUMIFS(tabela_registros[VALOR],tabela_registros[MÊS],$AE$1,tabela_registros[DIA],investiroutrosconsolidadomai[[#Headers],[7]],tabela_registros[REGISTRO],DADOS!$N$5,tabela_registros[TIPO],DADOS!$AB$5,tabela_registros[CATEGORIA],investiroutrosconsolidadomai[[#This Row],[ATUAL]])</f>
        <v>0</v>
      </c>
      <c r="L151" s="91">
        <f>SUMIFS(tabela_registros[VALOR],tabela_registros[MÊS],$AE$1,tabela_registros[DIA],investiroutrosconsolidadomai[[#Headers],[8]],tabela_registros[REGISTRO],DADOS!$N$5,tabela_registros[TIPO],DADOS!$AB$5,tabela_registros[CATEGORIA],investiroutrosconsolidadomai[[#This Row],[ATUAL]])</f>
        <v>0</v>
      </c>
      <c r="M151" s="91">
        <f>SUMIFS(tabela_registros[VALOR],tabela_registros[MÊS],$AE$1,tabela_registros[DIA],investiroutrosconsolidadomai[[#Headers],[9]],tabela_registros[REGISTRO],DADOS!$N$5,tabela_registros[TIPO],DADOS!$AB$5,tabela_registros[CATEGORIA],investiroutrosconsolidadomai[[#This Row],[ATUAL]])</f>
        <v>0</v>
      </c>
      <c r="N151" s="91">
        <f>SUMIFS(tabela_registros[VALOR],tabela_registros[MÊS],$AE$1,tabela_registros[DIA],investiroutrosconsolidadomai[[#Headers],[10]],tabela_registros[REGISTRO],DADOS!$N$5,tabela_registros[TIPO],DADOS!$AB$5,tabela_registros[CATEGORIA],investiroutrosconsolidadomai[[#This Row],[ATUAL]])</f>
        <v>0</v>
      </c>
      <c r="O151" s="91">
        <f>SUMIFS(tabela_registros[VALOR],tabela_registros[MÊS],$AE$1,tabela_registros[DIA],investiroutrosconsolidadomai[[#Headers],[11]],tabela_registros[REGISTRO],DADOS!$N$5,tabela_registros[TIPO],DADOS!$AB$5,tabela_registros[CATEGORIA],investiroutrosconsolidadomai[[#This Row],[ATUAL]])</f>
        <v>0</v>
      </c>
      <c r="P151" s="91">
        <f>SUMIFS(tabela_registros[VALOR],tabela_registros[MÊS],$AE$1,tabela_registros[DIA],investiroutrosconsolidadomai[[#Headers],[12]],tabela_registros[REGISTRO],DADOS!$N$5,tabela_registros[TIPO],DADOS!$AB$5,tabela_registros[CATEGORIA],investiroutrosconsolidadomai[[#This Row],[ATUAL]])</f>
        <v>0</v>
      </c>
      <c r="Q151" s="91">
        <f>SUMIFS(tabela_registros[VALOR],tabela_registros[MÊS],$AE$1,tabela_registros[DIA],investiroutrosconsolidadomai[[#Headers],[13]],tabela_registros[REGISTRO],DADOS!$N$5,tabela_registros[TIPO],DADOS!$AB$5,tabela_registros[CATEGORIA],investiroutrosconsolidadomai[[#This Row],[ATUAL]])</f>
        <v>0</v>
      </c>
      <c r="R151" s="91">
        <f>SUMIFS(tabela_registros[VALOR],tabela_registros[MÊS],$AE$1,tabela_registros[DIA],investiroutrosconsolidadomai[[#Headers],[14]],tabela_registros[REGISTRO],DADOS!$N$5,tabela_registros[TIPO],DADOS!$AB$5,tabela_registros[CATEGORIA],investiroutrosconsolidadomai[[#This Row],[ATUAL]])</f>
        <v>0</v>
      </c>
      <c r="S151" s="91">
        <f>SUMIFS(tabela_registros[VALOR],tabela_registros[MÊS],$AE$1,tabela_registros[DIA],investiroutrosconsolidadomai[[#Headers],[15]],tabela_registros[REGISTRO],DADOS!$N$5,tabela_registros[TIPO],DADOS!$AB$5,tabela_registros[CATEGORIA],investiroutrosconsolidadomai[[#This Row],[ATUAL]])</f>
        <v>0</v>
      </c>
      <c r="T151" s="91">
        <f>SUMIFS(tabela_registros[VALOR],tabela_registros[MÊS],$AE$1,tabela_registros[DIA],investiroutrosconsolidadomai[[#Headers],[16]],tabela_registros[REGISTRO],DADOS!$N$5,tabela_registros[TIPO],DADOS!$AB$5,tabela_registros[CATEGORIA],investiroutrosconsolidadomai[[#This Row],[ATUAL]])</f>
        <v>0</v>
      </c>
      <c r="U151" s="91">
        <f>SUMIFS(tabela_registros[VALOR],tabela_registros[MÊS],$AE$1,tabela_registros[DIA],investiroutrosconsolidadomai[[#Headers],[17]],tabela_registros[REGISTRO],DADOS!$N$5,tabela_registros[TIPO],DADOS!$AB$5,tabela_registros[CATEGORIA],investiroutrosconsolidadomai[[#This Row],[ATUAL]])</f>
        <v>0</v>
      </c>
      <c r="V151" s="91">
        <f>SUMIFS(tabela_registros[VALOR],tabela_registros[MÊS],$AE$1,tabela_registros[DIA],investiroutrosconsolidadomai[[#Headers],[18]],tabela_registros[REGISTRO],DADOS!$N$5,tabela_registros[TIPO],DADOS!$AB$5,tabela_registros[CATEGORIA],investiroutrosconsolidadomai[[#This Row],[ATUAL]])</f>
        <v>0</v>
      </c>
      <c r="W151" s="91">
        <f>SUMIFS(tabela_registros[VALOR],tabela_registros[MÊS],$AE$1,tabela_registros[DIA],investiroutrosconsolidadomai[[#Headers],[19]],tabela_registros[REGISTRO],DADOS!$N$5,tabela_registros[TIPO],DADOS!$AB$5,tabela_registros[CATEGORIA],investiroutrosconsolidadomai[[#This Row],[ATUAL]])</f>
        <v>0</v>
      </c>
      <c r="X151" s="91">
        <f>SUMIFS(tabela_registros[VALOR],tabela_registros[MÊS],$AE$1,tabela_registros[DIA],investiroutrosconsolidadomai[[#Headers],[20]],tabela_registros[REGISTRO],DADOS!$N$5,tabela_registros[TIPO],DADOS!$AB$5,tabela_registros[CATEGORIA],investiroutrosconsolidadomai[[#This Row],[ATUAL]])</f>
        <v>0</v>
      </c>
      <c r="Y151" s="91">
        <f>SUMIFS(tabela_registros[VALOR],tabela_registros[MÊS],$AE$1,tabela_registros[DIA],investiroutrosconsolidadomai[[#Headers],[21]],tabela_registros[REGISTRO],DADOS!$N$5,tabela_registros[TIPO],DADOS!$AB$5,tabela_registros[CATEGORIA],investiroutrosconsolidadomai[[#This Row],[ATUAL]])</f>
        <v>0</v>
      </c>
      <c r="Z151" s="91">
        <f>SUMIFS(tabela_registros[VALOR],tabela_registros[MÊS],$AE$1,tabela_registros[DIA],investiroutrosconsolidadomai[[#Headers],[22]],tabela_registros[REGISTRO],DADOS!$N$5,tabela_registros[TIPO],DADOS!$AB$5,tabela_registros[CATEGORIA],investiroutrosconsolidadomai[[#This Row],[ATUAL]])</f>
        <v>0</v>
      </c>
      <c r="AA151" s="91">
        <f>SUMIFS(tabela_registros[VALOR],tabela_registros[MÊS],$AE$1,tabela_registros[DIA],investiroutrosconsolidadomai[[#Headers],[23]],tabela_registros[REGISTRO],DADOS!$N$5,tabela_registros[TIPO],DADOS!$AB$5,tabela_registros[CATEGORIA],investiroutrosconsolidadomai[[#This Row],[ATUAL]])</f>
        <v>0</v>
      </c>
      <c r="AB151" s="91">
        <f>SUMIFS(tabela_registros[VALOR],tabela_registros[MÊS],$AE$1,tabela_registros[DIA],investiroutrosconsolidadomai[[#Headers],[24]],tabela_registros[REGISTRO],DADOS!$N$5,tabela_registros[TIPO],DADOS!$AB$5,tabela_registros[CATEGORIA],investiroutrosconsolidadomai[[#This Row],[ATUAL]])</f>
        <v>0</v>
      </c>
      <c r="AC151" s="91">
        <f>SUMIFS(tabela_registros[VALOR],tabela_registros[MÊS],$AE$1,tabela_registros[DIA],investiroutrosconsolidadomai[[#Headers],[25]],tabela_registros[REGISTRO],DADOS!$N$5,tabela_registros[TIPO],DADOS!$AB$5,tabela_registros[CATEGORIA],investiroutrosconsolidadomai[[#This Row],[ATUAL]])</f>
        <v>0</v>
      </c>
      <c r="AD151" s="91">
        <f>SUMIFS(tabela_registros[VALOR],tabela_registros[MÊS],$AE$1,tabela_registros[DIA],investiroutrosconsolidadomai[[#Headers],[26]],tabela_registros[REGISTRO],DADOS!$N$5,tabela_registros[TIPO],DADOS!$AB$5,tabela_registros[CATEGORIA],investiroutrosconsolidadomai[[#This Row],[ATUAL]])</f>
        <v>0</v>
      </c>
      <c r="AE151" s="91">
        <f>SUMIFS(tabela_registros[VALOR],tabela_registros[MÊS],$AE$1,tabela_registros[DIA],investiroutrosconsolidadomai[[#Headers],[27]],tabela_registros[REGISTRO],DADOS!$N$5,tabela_registros[TIPO],DADOS!$AB$5,tabela_registros[CATEGORIA],investiroutrosconsolidadomai[[#This Row],[ATUAL]])</f>
        <v>0</v>
      </c>
      <c r="AF151" s="91">
        <f>SUMIFS(tabela_registros[VALOR],tabela_registros[MÊS],$AE$1,tabela_registros[DIA],investiroutrosconsolidadomai[[#Headers],[28]],tabela_registros[REGISTRO],DADOS!$N$5,tabela_registros[TIPO],DADOS!$AB$5,tabela_registros[CATEGORIA],investiroutrosconsolidadomai[[#This Row],[ATUAL]])</f>
        <v>0</v>
      </c>
      <c r="AG151" s="91">
        <f>SUMIFS(tabela_registros[VALOR],tabela_registros[MÊS],$AE$1,tabela_registros[DIA],investiroutrosconsolidadomai[[#Headers],[29]],tabela_registros[REGISTRO],DADOS!$N$5,tabela_registros[TIPO],DADOS!$AB$5,tabela_registros[CATEGORIA],investiroutrosconsolidadomai[[#This Row],[ATUAL]])</f>
        <v>0</v>
      </c>
      <c r="AH151" s="91">
        <f>SUMIFS(tabela_registros[VALOR],tabela_registros[MÊS],$AE$1,tabela_registros[DIA],investiroutrosconsolidadomai[[#Headers],[30]],tabela_registros[REGISTRO],DADOS!$N$5,tabela_registros[TIPO],DADOS!$AB$5,tabela_registros[CATEGORIA],investiroutrosconsolidadomai[[#This Row],[ATUAL]])</f>
        <v>0</v>
      </c>
      <c r="AI151" s="101">
        <f>SUMIFS(tabela_registros[VALOR],tabela_registros[MÊS],$AE$1,tabela_registros[DIA],investiroutrosconsolidadomai[[#Headers],[31]],tabela_registros[REGISTRO],DADOS!$N$5,tabela_registros[TIPO],DADOS!$AB$5,tabela_registros[CATEGORIA],investiroutrosconsolidadomai[[#This Row],[ATUAL]])</f>
        <v>0</v>
      </c>
      <c r="AJ151" s="97">
        <f>SUM(investiroutrosconsolidadomai[[#This Row],[1]:[31]])</f>
        <v>0</v>
      </c>
      <c r="AK151" s="25"/>
    </row>
    <row r="152" spans="2:37" ht="19.5" customHeight="1" thickTop="1" thickBot="1" x14ac:dyDescent="0.3">
      <c r="B152" s="28"/>
      <c r="C152" s="27" t="str">
        <f>DADOS!$AH$4</f>
        <v>📝 FOREX</v>
      </c>
      <c r="D152" s="26" t="str">
        <f>IF(investiroutrosconsolidadomai[[#This Row],[TOTAL (R$)]]=0,"",IF(OR(investiroutrosconsolidadomai[[#This Row],[TOTAL (R$)]]=LARGE($AJ$151:$AJ$158,1),investiroutrosconsolidadomai[[#This Row],[TOTAL (R$)]]=LARGE($AJ$151:$AJ$158,2)),DADOS!$I$10,""))</f>
        <v/>
      </c>
      <c r="E152" s="96">
        <f>SUMIFS(tabela_registros[VALOR],tabela_registros[MÊS],$AE$1,tabela_registros[DIA],investiroutrosconsolidadomai[[#Headers],[1]],tabela_registros[REGISTRO],DADOS!$N$5,tabela_registros[TIPO],DADOS!$AB$5,tabela_registros[CATEGORIA],investiroutrosconsolidadomai[[#This Row],[ATUAL]])</f>
        <v>0</v>
      </c>
      <c r="F152" s="91">
        <f>SUMIFS(tabela_registros[VALOR],tabela_registros[MÊS],$AE$1,tabela_registros[DIA],investiroutrosconsolidadomai[[#Headers],[2]],tabela_registros[REGISTRO],DADOS!$N$5,tabela_registros[TIPO],DADOS!$AB$5,tabela_registros[CATEGORIA],investiroutrosconsolidadomai[[#This Row],[ATUAL]])</f>
        <v>0</v>
      </c>
      <c r="G152" s="91">
        <f>SUMIFS(tabela_registros[VALOR],tabela_registros[MÊS],$AE$1,tabela_registros[DIA],investiroutrosconsolidadomai[[#Headers],[3]],tabela_registros[REGISTRO],DADOS!$N$5,tabela_registros[TIPO],DADOS!$AB$5,tabela_registros[CATEGORIA],investiroutrosconsolidadomai[[#This Row],[ATUAL]])</f>
        <v>0</v>
      </c>
      <c r="H152" s="91">
        <f>SUMIFS(tabela_registros[VALOR],tabela_registros[MÊS],$AE$1,tabela_registros[DIA],investiroutrosconsolidadomai[[#Headers],[4]],tabela_registros[REGISTRO],DADOS!$N$5,tabela_registros[TIPO],DADOS!$AB$5,tabela_registros[CATEGORIA],investiroutrosconsolidadomai[[#This Row],[ATUAL]])</f>
        <v>0</v>
      </c>
      <c r="I152" s="91">
        <f>SUMIFS(tabela_registros[VALOR],tabela_registros[MÊS],$AE$1,tabela_registros[DIA],investiroutrosconsolidadomai[[#Headers],[5]],tabela_registros[REGISTRO],DADOS!$N$5,tabela_registros[TIPO],DADOS!$AB$5,tabela_registros[CATEGORIA],investiroutrosconsolidadomai[[#This Row],[ATUAL]])</f>
        <v>0</v>
      </c>
      <c r="J152" s="91">
        <f>SUMIFS(tabela_registros[VALOR],tabela_registros[MÊS],$AE$1,tabela_registros[DIA],investiroutrosconsolidadomai[[#Headers],[6]],tabela_registros[REGISTRO],DADOS!$N$5,tabela_registros[TIPO],DADOS!$AB$5,tabela_registros[CATEGORIA],investiroutrosconsolidadomai[[#This Row],[ATUAL]])</f>
        <v>0</v>
      </c>
      <c r="K152" s="91">
        <f>SUMIFS(tabela_registros[VALOR],tabela_registros[MÊS],$AE$1,tabela_registros[DIA],investiroutrosconsolidadomai[[#Headers],[7]],tabela_registros[REGISTRO],DADOS!$N$5,tabela_registros[TIPO],DADOS!$AB$5,tabela_registros[CATEGORIA],investiroutrosconsolidadomai[[#This Row],[ATUAL]])</f>
        <v>0</v>
      </c>
      <c r="L152" s="91">
        <f>SUMIFS(tabela_registros[VALOR],tabela_registros[MÊS],$AE$1,tabela_registros[DIA],investiroutrosconsolidadomai[[#Headers],[8]],tabela_registros[REGISTRO],DADOS!$N$5,tabela_registros[TIPO],DADOS!$AB$5,tabela_registros[CATEGORIA],investiroutrosconsolidadomai[[#This Row],[ATUAL]])</f>
        <v>0</v>
      </c>
      <c r="M152" s="91">
        <f>SUMIFS(tabela_registros[VALOR],tabela_registros[MÊS],$AE$1,tabela_registros[DIA],investiroutrosconsolidadomai[[#Headers],[9]],tabela_registros[REGISTRO],DADOS!$N$5,tabela_registros[TIPO],DADOS!$AB$5,tabela_registros[CATEGORIA],investiroutrosconsolidadomai[[#This Row],[ATUAL]])</f>
        <v>0</v>
      </c>
      <c r="N152" s="91">
        <f>SUMIFS(tabela_registros[VALOR],tabela_registros[MÊS],$AE$1,tabela_registros[DIA],investiroutrosconsolidadomai[[#Headers],[10]],tabela_registros[REGISTRO],DADOS!$N$5,tabela_registros[TIPO],DADOS!$AB$5,tabela_registros[CATEGORIA],investiroutrosconsolidadomai[[#This Row],[ATUAL]])</f>
        <v>0</v>
      </c>
      <c r="O152" s="91">
        <f>SUMIFS(tabela_registros[VALOR],tabela_registros[MÊS],$AE$1,tabela_registros[DIA],investiroutrosconsolidadomai[[#Headers],[11]],tabela_registros[REGISTRO],DADOS!$N$5,tabela_registros[TIPO],DADOS!$AB$5,tabela_registros[CATEGORIA],investiroutrosconsolidadomai[[#This Row],[ATUAL]])</f>
        <v>0</v>
      </c>
      <c r="P152" s="91">
        <f>SUMIFS(tabela_registros[VALOR],tabela_registros[MÊS],$AE$1,tabela_registros[DIA],investiroutrosconsolidadomai[[#Headers],[12]],tabela_registros[REGISTRO],DADOS!$N$5,tabela_registros[TIPO],DADOS!$AB$5,tabela_registros[CATEGORIA],investiroutrosconsolidadomai[[#This Row],[ATUAL]])</f>
        <v>0</v>
      </c>
      <c r="Q152" s="91">
        <f>SUMIFS(tabela_registros[VALOR],tabela_registros[MÊS],$AE$1,tabela_registros[DIA],investiroutrosconsolidadomai[[#Headers],[13]],tabela_registros[REGISTRO],DADOS!$N$5,tabela_registros[TIPO],DADOS!$AB$5,tabela_registros[CATEGORIA],investiroutrosconsolidadomai[[#This Row],[ATUAL]])</f>
        <v>0</v>
      </c>
      <c r="R152" s="91">
        <f>SUMIFS(tabela_registros[VALOR],tabela_registros[MÊS],$AE$1,tabela_registros[DIA],investiroutrosconsolidadomai[[#Headers],[14]],tabela_registros[REGISTRO],DADOS!$N$5,tabela_registros[TIPO],DADOS!$AB$5,tabela_registros[CATEGORIA],investiroutrosconsolidadomai[[#This Row],[ATUAL]])</f>
        <v>0</v>
      </c>
      <c r="S152" s="91">
        <f>SUMIFS(tabela_registros[VALOR],tabela_registros[MÊS],$AE$1,tabela_registros[DIA],investiroutrosconsolidadomai[[#Headers],[15]],tabela_registros[REGISTRO],DADOS!$N$5,tabela_registros[TIPO],DADOS!$AB$5,tabela_registros[CATEGORIA],investiroutrosconsolidadomai[[#This Row],[ATUAL]])</f>
        <v>0</v>
      </c>
      <c r="T152" s="91">
        <f>SUMIFS(tabela_registros[VALOR],tabela_registros[MÊS],$AE$1,tabela_registros[DIA],investiroutrosconsolidadomai[[#Headers],[16]],tabela_registros[REGISTRO],DADOS!$N$5,tabela_registros[TIPO],DADOS!$AB$5,tabela_registros[CATEGORIA],investiroutrosconsolidadomai[[#This Row],[ATUAL]])</f>
        <v>0</v>
      </c>
      <c r="U152" s="91">
        <f>SUMIFS(tabela_registros[VALOR],tabela_registros[MÊS],$AE$1,tabela_registros[DIA],investiroutrosconsolidadomai[[#Headers],[17]],tabela_registros[REGISTRO],DADOS!$N$5,tabela_registros[TIPO],DADOS!$AB$5,tabela_registros[CATEGORIA],investiroutrosconsolidadomai[[#This Row],[ATUAL]])</f>
        <v>0</v>
      </c>
      <c r="V152" s="91">
        <f>SUMIFS(tabela_registros[VALOR],tabela_registros[MÊS],$AE$1,tabela_registros[DIA],investiroutrosconsolidadomai[[#Headers],[18]],tabela_registros[REGISTRO],DADOS!$N$5,tabela_registros[TIPO],DADOS!$AB$5,tabela_registros[CATEGORIA],investiroutrosconsolidadomai[[#This Row],[ATUAL]])</f>
        <v>0</v>
      </c>
      <c r="W152" s="91">
        <f>SUMIFS(tabela_registros[VALOR],tabela_registros[MÊS],$AE$1,tabela_registros[DIA],investiroutrosconsolidadomai[[#Headers],[19]],tabela_registros[REGISTRO],DADOS!$N$5,tabela_registros[TIPO],DADOS!$AB$5,tabela_registros[CATEGORIA],investiroutrosconsolidadomai[[#This Row],[ATUAL]])</f>
        <v>0</v>
      </c>
      <c r="X152" s="91">
        <f>SUMIFS(tabela_registros[VALOR],tabela_registros[MÊS],$AE$1,tabela_registros[DIA],investiroutrosconsolidadomai[[#Headers],[20]],tabela_registros[REGISTRO],DADOS!$N$5,tabela_registros[TIPO],DADOS!$AB$5,tabela_registros[CATEGORIA],investiroutrosconsolidadomai[[#This Row],[ATUAL]])</f>
        <v>0</v>
      </c>
      <c r="Y152" s="91">
        <f>SUMIFS(tabela_registros[VALOR],tabela_registros[MÊS],$AE$1,tabela_registros[DIA],investiroutrosconsolidadomai[[#Headers],[21]],tabela_registros[REGISTRO],DADOS!$N$5,tabela_registros[TIPO],DADOS!$AB$5,tabela_registros[CATEGORIA],investiroutrosconsolidadomai[[#This Row],[ATUAL]])</f>
        <v>0</v>
      </c>
      <c r="Z152" s="91">
        <f>SUMIFS(tabela_registros[VALOR],tabela_registros[MÊS],$AE$1,tabela_registros[DIA],investiroutrosconsolidadomai[[#Headers],[22]],tabela_registros[REGISTRO],DADOS!$N$5,tabela_registros[TIPO],DADOS!$AB$5,tabela_registros[CATEGORIA],investiroutrosconsolidadomai[[#This Row],[ATUAL]])</f>
        <v>0</v>
      </c>
      <c r="AA152" s="91">
        <f>SUMIFS(tabela_registros[VALOR],tabela_registros[MÊS],$AE$1,tabela_registros[DIA],investiroutrosconsolidadomai[[#Headers],[23]],tabela_registros[REGISTRO],DADOS!$N$5,tabela_registros[TIPO],DADOS!$AB$5,tabela_registros[CATEGORIA],investiroutrosconsolidadomai[[#This Row],[ATUAL]])</f>
        <v>0</v>
      </c>
      <c r="AB152" s="91">
        <f>SUMIFS(tabela_registros[VALOR],tabela_registros[MÊS],$AE$1,tabela_registros[DIA],investiroutrosconsolidadomai[[#Headers],[24]],tabela_registros[REGISTRO],DADOS!$N$5,tabela_registros[TIPO],DADOS!$AB$5,tabela_registros[CATEGORIA],investiroutrosconsolidadomai[[#This Row],[ATUAL]])</f>
        <v>0</v>
      </c>
      <c r="AC152" s="91">
        <f>SUMIFS(tabela_registros[VALOR],tabela_registros[MÊS],$AE$1,tabela_registros[DIA],investiroutrosconsolidadomai[[#Headers],[25]],tabela_registros[REGISTRO],DADOS!$N$5,tabela_registros[TIPO],DADOS!$AB$5,tabela_registros[CATEGORIA],investiroutrosconsolidadomai[[#This Row],[ATUAL]])</f>
        <v>0</v>
      </c>
      <c r="AD152" s="91">
        <f>SUMIFS(tabela_registros[VALOR],tabela_registros[MÊS],$AE$1,tabela_registros[DIA],investiroutrosconsolidadomai[[#Headers],[26]],tabela_registros[REGISTRO],DADOS!$N$5,tabela_registros[TIPO],DADOS!$AB$5,tabela_registros[CATEGORIA],investiroutrosconsolidadomai[[#This Row],[ATUAL]])</f>
        <v>0</v>
      </c>
      <c r="AE152" s="91">
        <f>SUMIFS(tabela_registros[VALOR],tabela_registros[MÊS],$AE$1,tabela_registros[DIA],investiroutrosconsolidadomai[[#Headers],[27]],tabela_registros[REGISTRO],DADOS!$N$5,tabela_registros[TIPO],DADOS!$AB$5,tabela_registros[CATEGORIA],investiroutrosconsolidadomai[[#This Row],[ATUAL]])</f>
        <v>0</v>
      </c>
      <c r="AF152" s="91">
        <f>SUMIFS(tabela_registros[VALOR],tabela_registros[MÊS],$AE$1,tabela_registros[DIA],investiroutrosconsolidadomai[[#Headers],[28]],tabela_registros[REGISTRO],DADOS!$N$5,tabela_registros[TIPO],DADOS!$AB$5,tabela_registros[CATEGORIA],investiroutrosconsolidadomai[[#This Row],[ATUAL]])</f>
        <v>0</v>
      </c>
      <c r="AG152" s="91">
        <f>SUMIFS(tabela_registros[VALOR],tabela_registros[MÊS],$AE$1,tabela_registros[DIA],investiroutrosconsolidadomai[[#Headers],[29]],tabela_registros[REGISTRO],DADOS!$N$5,tabela_registros[TIPO],DADOS!$AB$5,tabela_registros[CATEGORIA],investiroutrosconsolidadomai[[#This Row],[ATUAL]])</f>
        <v>0</v>
      </c>
      <c r="AH152" s="91">
        <f>SUMIFS(tabela_registros[VALOR],tabela_registros[MÊS],$AE$1,tabela_registros[DIA],investiroutrosconsolidadomai[[#Headers],[30]],tabela_registros[REGISTRO],DADOS!$N$5,tabela_registros[TIPO],DADOS!$AB$5,tabela_registros[CATEGORIA],investiroutrosconsolidadomai[[#This Row],[ATUAL]])</f>
        <v>0</v>
      </c>
      <c r="AI152" s="101">
        <f>SUMIFS(tabela_registros[VALOR],tabela_registros[MÊS],$AE$1,tabela_registros[DIA],investiroutrosconsolidadomai[[#Headers],[31]],tabela_registros[REGISTRO],DADOS!$N$5,tabela_registros[TIPO],DADOS!$AB$5,tabela_registros[CATEGORIA],investiroutrosconsolidadomai[[#This Row],[ATUAL]])</f>
        <v>0</v>
      </c>
      <c r="AJ152" s="97">
        <f>SUM(investiroutrosconsolidadomai[[#This Row],[1]:[31]])</f>
        <v>0</v>
      </c>
      <c r="AK152" s="25"/>
    </row>
    <row r="153" spans="2:37" ht="19.5" customHeight="1" thickTop="1" thickBot="1" x14ac:dyDescent="0.3">
      <c r="B153" s="28"/>
      <c r="C153" s="27" t="str">
        <f>DADOS!$AH$5</f>
        <v>📝 FUNDO DE INVESTIMENTO</v>
      </c>
      <c r="D153" s="26" t="str">
        <f>IF(investiroutrosconsolidadomai[[#This Row],[TOTAL (R$)]]=0,"",IF(OR(investiroutrosconsolidadomai[[#This Row],[TOTAL (R$)]]=LARGE($AJ$151:$AJ$158,1),investiroutrosconsolidadomai[[#This Row],[TOTAL (R$)]]=LARGE($AJ$151:$AJ$158,2)),DADOS!$I$10,""))</f>
        <v/>
      </c>
      <c r="E153" s="96">
        <f>SUMIFS(tabela_registros[VALOR],tabela_registros[MÊS],$AE$1,tabela_registros[DIA],investiroutrosconsolidadomai[[#Headers],[1]],tabela_registros[REGISTRO],DADOS!$N$5,tabela_registros[TIPO],DADOS!$AB$5,tabela_registros[CATEGORIA],investiroutrosconsolidadomai[[#This Row],[ATUAL]])</f>
        <v>0</v>
      </c>
      <c r="F153" s="91">
        <f>SUMIFS(tabela_registros[VALOR],tabela_registros[MÊS],$AE$1,tabela_registros[DIA],investiroutrosconsolidadomai[[#Headers],[2]],tabela_registros[REGISTRO],DADOS!$N$5,tabela_registros[TIPO],DADOS!$AB$5,tabela_registros[CATEGORIA],investiroutrosconsolidadomai[[#This Row],[ATUAL]])</f>
        <v>0</v>
      </c>
      <c r="G153" s="91">
        <f>SUMIFS(tabela_registros[VALOR],tabela_registros[MÊS],$AE$1,tabela_registros[DIA],investiroutrosconsolidadomai[[#Headers],[3]],tabela_registros[REGISTRO],DADOS!$N$5,tabela_registros[TIPO],DADOS!$AB$5,tabela_registros[CATEGORIA],investiroutrosconsolidadomai[[#This Row],[ATUAL]])</f>
        <v>0</v>
      </c>
      <c r="H153" s="91">
        <f>SUMIFS(tabela_registros[VALOR],tabela_registros[MÊS],$AE$1,tabela_registros[DIA],investiroutrosconsolidadomai[[#Headers],[4]],tabela_registros[REGISTRO],DADOS!$N$5,tabela_registros[TIPO],DADOS!$AB$5,tabela_registros[CATEGORIA],investiroutrosconsolidadomai[[#This Row],[ATUAL]])</f>
        <v>0</v>
      </c>
      <c r="I153" s="91">
        <f>SUMIFS(tabela_registros[VALOR],tabela_registros[MÊS],$AE$1,tabela_registros[DIA],investiroutrosconsolidadomai[[#Headers],[5]],tabela_registros[REGISTRO],DADOS!$N$5,tabela_registros[TIPO],DADOS!$AB$5,tabela_registros[CATEGORIA],investiroutrosconsolidadomai[[#This Row],[ATUAL]])</f>
        <v>0</v>
      </c>
      <c r="J153" s="91">
        <f>SUMIFS(tabela_registros[VALOR],tabela_registros[MÊS],$AE$1,tabela_registros[DIA],investiroutrosconsolidadomai[[#Headers],[6]],tabela_registros[REGISTRO],DADOS!$N$5,tabela_registros[TIPO],DADOS!$AB$5,tabela_registros[CATEGORIA],investiroutrosconsolidadomai[[#This Row],[ATUAL]])</f>
        <v>0</v>
      </c>
      <c r="K153" s="91">
        <f>SUMIFS(tabela_registros[VALOR],tabela_registros[MÊS],$AE$1,tabela_registros[DIA],investiroutrosconsolidadomai[[#Headers],[7]],tabela_registros[REGISTRO],DADOS!$N$5,tabela_registros[TIPO],DADOS!$AB$5,tabela_registros[CATEGORIA],investiroutrosconsolidadomai[[#This Row],[ATUAL]])</f>
        <v>0</v>
      </c>
      <c r="L153" s="91">
        <f>SUMIFS(tabela_registros[VALOR],tabela_registros[MÊS],$AE$1,tabela_registros[DIA],investiroutrosconsolidadomai[[#Headers],[8]],tabela_registros[REGISTRO],DADOS!$N$5,tabela_registros[TIPO],DADOS!$AB$5,tabela_registros[CATEGORIA],investiroutrosconsolidadomai[[#This Row],[ATUAL]])</f>
        <v>0</v>
      </c>
      <c r="M153" s="91">
        <f>SUMIFS(tabela_registros[VALOR],tabela_registros[MÊS],$AE$1,tabela_registros[DIA],investiroutrosconsolidadomai[[#Headers],[9]],tabela_registros[REGISTRO],DADOS!$N$5,tabela_registros[TIPO],DADOS!$AB$5,tabela_registros[CATEGORIA],investiroutrosconsolidadomai[[#This Row],[ATUAL]])</f>
        <v>0</v>
      </c>
      <c r="N153" s="91">
        <f>SUMIFS(tabela_registros[VALOR],tabela_registros[MÊS],$AE$1,tabela_registros[DIA],investiroutrosconsolidadomai[[#Headers],[10]],tabela_registros[REGISTRO],DADOS!$N$5,tabela_registros[TIPO],DADOS!$AB$5,tabela_registros[CATEGORIA],investiroutrosconsolidadomai[[#This Row],[ATUAL]])</f>
        <v>0</v>
      </c>
      <c r="O153" s="91">
        <f>SUMIFS(tabela_registros[VALOR],tabela_registros[MÊS],$AE$1,tabela_registros[DIA],investiroutrosconsolidadomai[[#Headers],[11]],tabela_registros[REGISTRO],DADOS!$N$5,tabela_registros[TIPO],DADOS!$AB$5,tabela_registros[CATEGORIA],investiroutrosconsolidadomai[[#This Row],[ATUAL]])</f>
        <v>0</v>
      </c>
      <c r="P153" s="91">
        <f>SUMIFS(tabela_registros[VALOR],tabela_registros[MÊS],$AE$1,tabela_registros[DIA],investiroutrosconsolidadomai[[#Headers],[12]],tabela_registros[REGISTRO],DADOS!$N$5,tabela_registros[TIPO],DADOS!$AB$5,tabela_registros[CATEGORIA],investiroutrosconsolidadomai[[#This Row],[ATUAL]])</f>
        <v>0</v>
      </c>
      <c r="Q153" s="91">
        <f>SUMIFS(tabela_registros[VALOR],tabela_registros[MÊS],$AE$1,tabela_registros[DIA],investiroutrosconsolidadomai[[#Headers],[13]],tabela_registros[REGISTRO],DADOS!$N$5,tabela_registros[TIPO],DADOS!$AB$5,tabela_registros[CATEGORIA],investiroutrosconsolidadomai[[#This Row],[ATUAL]])</f>
        <v>0</v>
      </c>
      <c r="R153" s="91">
        <f>SUMIFS(tabela_registros[VALOR],tabela_registros[MÊS],$AE$1,tabela_registros[DIA],investiroutrosconsolidadomai[[#Headers],[14]],tabela_registros[REGISTRO],DADOS!$N$5,tabela_registros[TIPO],DADOS!$AB$5,tabela_registros[CATEGORIA],investiroutrosconsolidadomai[[#This Row],[ATUAL]])</f>
        <v>0</v>
      </c>
      <c r="S153" s="91">
        <f>SUMIFS(tabela_registros[VALOR],tabela_registros[MÊS],$AE$1,tabela_registros[DIA],investiroutrosconsolidadomai[[#Headers],[15]],tabela_registros[REGISTRO],DADOS!$N$5,tabela_registros[TIPO],DADOS!$AB$5,tabela_registros[CATEGORIA],investiroutrosconsolidadomai[[#This Row],[ATUAL]])</f>
        <v>0</v>
      </c>
      <c r="T153" s="91">
        <f>SUMIFS(tabela_registros[VALOR],tabela_registros[MÊS],$AE$1,tabela_registros[DIA],investiroutrosconsolidadomai[[#Headers],[16]],tabela_registros[REGISTRO],DADOS!$N$5,tabela_registros[TIPO],DADOS!$AB$5,tabela_registros[CATEGORIA],investiroutrosconsolidadomai[[#This Row],[ATUAL]])</f>
        <v>0</v>
      </c>
      <c r="U153" s="91">
        <f>SUMIFS(tabela_registros[VALOR],tabela_registros[MÊS],$AE$1,tabela_registros[DIA],investiroutrosconsolidadomai[[#Headers],[17]],tabela_registros[REGISTRO],DADOS!$N$5,tabela_registros[TIPO],DADOS!$AB$5,tabela_registros[CATEGORIA],investiroutrosconsolidadomai[[#This Row],[ATUAL]])</f>
        <v>0</v>
      </c>
      <c r="V153" s="91">
        <f>SUMIFS(tabela_registros[VALOR],tabela_registros[MÊS],$AE$1,tabela_registros[DIA],investiroutrosconsolidadomai[[#Headers],[18]],tabela_registros[REGISTRO],DADOS!$N$5,tabela_registros[TIPO],DADOS!$AB$5,tabela_registros[CATEGORIA],investiroutrosconsolidadomai[[#This Row],[ATUAL]])</f>
        <v>0</v>
      </c>
      <c r="W153" s="91">
        <f>SUMIFS(tabela_registros[VALOR],tabela_registros[MÊS],$AE$1,tabela_registros[DIA],investiroutrosconsolidadomai[[#Headers],[19]],tabela_registros[REGISTRO],DADOS!$N$5,tabela_registros[TIPO],DADOS!$AB$5,tabela_registros[CATEGORIA],investiroutrosconsolidadomai[[#This Row],[ATUAL]])</f>
        <v>0</v>
      </c>
      <c r="X153" s="91">
        <f>SUMIFS(tabela_registros[VALOR],tabela_registros[MÊS],$AE$1,tabela_registros[DIA],investiroutrosconsolidadomai[[#Headers],[20]],tabela_registros[REGISTRO],DADOS!$N$5,tabela_registros[TIPO],DADOS!$AB$5,tabela_registros[CATEGORIA],investiroutrosconsolidadomai[[#This Row],[ATUAL]])</f>
        <v>0</v>
      </c>
      <c r="Y153" s="91">
        <f>SUMIFS(tabela_registros[VALOR],tabela_registros[MÊS],$AE$1,tabela_registros[DIA],investiroutrosconsolidadomai[[#Headers],[21]],tabela_registros[REGISTRO],DADOS!$N$5,tabela_registros[TIPO],DADOS!$AB$5,tabela_registros[CATEGORIA],investiroutrosconsolidadomai[[#This Row],[ATUAL]])</f>
        <v>0</v>
      </c>
      <c r="Z153" s="91">
        <f>SUMIFS(tabela_registros[VALOR],tabela_registros[MÊS],$AE$1,tabela_registros[DIA],investiroutrosconsolidadomai[[#Headers],[22]],tabela_registros[REGISTRO],DADOS!$N$5,tabela_registros[TIPO],DADOS!$AB$5,tabela_registros[CATEGORIA],investiroutrosconsolidadomai[[#This Row],[ATUAL]])</f>
        <v>0</v>
      </c>
      <c r="AA153" s="91">
        <f>SUMIFS(tabela_registros[VALOR],tabela_registros[MÊS],$AE$1,tabela_registros[DIA],investiroutrosconsolidadomai[[#Headers],[23]],tabela_registros[REGISTRO],DADOS!$N$5,tabela_registros[TIPO],DADOS!$AB$5,tabela_registros[CATEGORIA],investiroutrosconsolidadomai[[#This Row],[ATUAL]])</f>
        <v>0</v>
      </c>
      <c r="AB153" s="91">
        <f>SUMIFS(tabela_registros[VALOR],tabela_registros[MÊS],$AE$1,tabela_registros[DIA],investiroutrosconsolidadomai[[#Headers],[24]],tabela_registros[REGISTRO],DADOS!$N$5,tabela_registros[TIPO],DADOS!$AB$5,tabela_registros[CATEGORIA],investiroutrosconsolidadomai[[#This Row],[ATUAL]])</f>
        <v>0</v>
      </c>
      <c r="AC153" s="91">
        <f>SUMIFS(tabela_registros[VALOR],tabela_registros[MÊS],$AE$1,tabela_registros[DIA],investiroutrosconsolidadomai[[#Headers],[25]],tabela_registros[REGISTRO],DADOS!$N$5,tabela_registros[TIPO],DADOS!$AB$5,tabela_registros[CATEGORIA],investiroutrosconsolidadomai[[#This Row],[ATUAL]])</f>
        <v>0</v>
      </c>
      <c r="AD153" s="91">
        <f>SUMIFS(tabela_registros[VALOR],tabela_registros[MÊS],$AE$1,tabela_registros[DIA],investiroutrosconsolidadomai[[#Headers],[26]],tabela_registros[REGISTRO],DADOS!$N$5,tabela_registros[TIPO],DADOS!$AB$5,tabela_registros[CATEGORIA],investiroutrosconsolidadomai[[#This Row],[ATUAL]])</f>
        <v>0</v>
      </c>
      <c r="AE153" s="91">
        <f>SUMIFS(tabela_registros[VALOR],tabela_registros[MÊS],$AE$1,tabela_registros[DIA],investiroutrosconsolidadomai[[#Headers],[27]],tabela_registros[REGISTRO],DADOS!$N$5,tabela_registros[TIPO],DADOS!$AB$5,tabela_registros[CATEGORIA],investiroutrosconsolidadomai[[#This Row],[ATUAL]])</f>
        <v>0</v>
      </c>
      <c r="AF153" s="91">
        <f>SUMIFS(tabela_registros[VALOR],tabela_registros[MÊS],$AE$1,tabela_registros[DIA],investiroutrosconsolidadomai[[#Headers],[28]],tabela_registros[REGISTRO],DADOS!$N$5,tabela_registros[TIPO],DADOS!$AB$5,tabela_registros[CATEGORIA],investiroutrosconsolidadomai[[#This Row],[ATUAL]])</f>
        <v>0</v>
      </c>
      <c r="AG153" s="91">
        <f>SUMIFS(tabela_registros[VALOR],tabela_registros[MÊS],$AE$1,tabela_registros[DIA],investiroutrosconsolidadomai[[#Headers],[29]],tabela_registros[REGISTRO],DADOS!$N$5,tabela_registros[TIPO],DADOS!$AB$5,tabela_registros[CATEGORIA],investiroutrosconsolidadomai[[#This Row],[ATUAL]])</f>
        <v>0</v>
      </c>
      <c r="AH153" s="91">
        <f>SUMIFS(tabela_registros[VALOR],tabela_registros[MÊS],$AE$1,tabela_registros[DIA],investiroutrosconsolidadomai[[#Headers],[30]],tabela_registros[REGISTRO],DADOS!$N$5,tabela_registros[TIPO],DADOS!$AB$5,tabela_registros[CATEGORIA],investiroutrosconsolidadomai[[#This Row],[ATUAL]])</f>
        <v>0</v>
      </c>
      <c r="AI153" s="101">
        <f>SUMIFS(tabela_registros[VALOR],tabela_registros[MÊS],$AE$1,tabela_registros[DIA],investiroutrosconsolidadomai[[#Headers],[31]],tabela_registros[REGISTRO],DADOS!$N$5,tabela_registros[TIPO],DADOS!$AB$5,tabela_registros[CATEGORIA],investiroutrosconsolidadomai[[#This Row],[ATUAL]])</f>
        <v>0</v>
      </c>
      <c r="AJ153" s="97">
        <f>SUM(investiroutrosconsolidadomai[[#This Row],[1]:[31]])</f>
        <v>0</v>
      </c>
      <c r="AK153" s="25"/>
    </row>
    <row r="154" spans="2:37" ht="19.5" customHeight="1" thickTop="1" thickBot="1" x14ac:dyDescent="0.3">
      <c r="B154" s="28"/>
      <c r="C154" s="27" t="str">
        <f>DADOS!$AH$6</f>
        <v>📝 NOVA EMPRESA</v>
      </c>
      <c r="D154" s="26" t="str">
        <f>IF(investiroutrosconsolidadomai[[#This Row],[TOTAL (R$)]]=0,"",IF(OR(investiroutrosconsolidadomai[[#This Row],[TOTAL (R$)]]=LARGE($AJ$151:$AJ$158,1),investiroutrosconsolidadomai[[#This Row],[TOTAL (R$)]]=LARGE($AJ$151:$AJ$158,2)),DADOS!$I$10,""))</f>
        <v/>
      </c>
      <c r="E154" s="96">
        <f>SUMIFS(tabela_registros[VALOR],tabela_registros[MÊS],$AE$1,tabela_registros[DIA],investiroutrosconsolidadomai[[#Headers],[1]],tabela_registros[REGISTRO],DADOS!$N$5,tabela_registros[TIPO],DADOS!$AB$5,tabela_registros[CATEGORIA],investiroutrosconsolidadomai[[#This Row],[ATUAL]])</f>
        <v>0</v>
      </c>
      <c r="F154" s="91">
        <f>SUMIFS(tabela_registros[VALOR],tabela_registros[MÊS],$AE$1,tabela_registros[DIA],investiroutrosconsolidadomai[[#Headers],[2]],tabela_registros[REGISTRO],DADOS!$N$5,tabela_registros[TIPO],DADOS!$AB$5,tabela_registros[CATEGORIA],investiroutrosconsolidadomai[[#This Row],[ATUAL]])</f>
        <v>0</v>
      </c>
      <c r="G154" s="91">
        <f>SUMIFS(tabela_registros[VALOR],tabela_registros[MÊS],$AE$1,tabela_registros[DIA],investiroutrosconsolidadomai[[#Headers],[3]],tabela_registros[REGISTRO],DADOS!$N$5,tabela_registros[TIPO],DADOS!$AB$5,tabela_registros[CATEGORIA],investiroutrosconsolidadomai[[#This Row],[ATUAL]])</f>
        <v>0</v>
      </c>
      <c r="H154" s="91">
        <f>SUMIFS(tabela_registros[VALOR],tabela_registros[MÊS],$AE$1,tabela_registros[DIA],investiroutrosconsolidadomai[[#Headers],[4]],tabela_registros[REGISTRO],DADOS!$N$5,tabela_registros[TIPO],DADOS!$AB$5,tabela_registros[CATEGORIA],investiroutrosconsolidadomai[[#This Row],[ATUAL]])</f>
        <v>0</v>
      </c>
      <c r="I154" s="91">
        <f>SUMIFS(tabela_registros[VALOR],tabela_registros[MÊS],$AE$1,tabela_registros[DIA],investiroutrosconsolidadomai[[#Headers],[5]],tabela_registros[REGISTRO],DADOS!$N$5,tabela_registros[TIPO],DADOS!$AB$5,tabela_registros[CATEGORIA],investiroutrosconsolidadomai[[#This Row],[ATUAL]])</f>
        <v>0</v>
      </c>
      <c r="J154" s="91">
        <f>SUMIFS(tabela_registros[VALOR],tabela_registros[MÊS],$AE$1,tabela_registros[DIA],investiroutrosconsolidadomai[[#Headers],[6]],tabela_registros[REGISTRO],DADOS!$N$5,tabela_registros[TIPO],DADOS!$AB$5,tabela_registros[CATEGORIA],investiroutrosconsolidadomai[[#This Row],[ATUAL]])</f>
        <v>0</v>
      </c>
      <c r="K154" s="91">
        <f>SUMIFS(tabela_registros[VALOR],tabela_registros[MÊS],$AE$1,tabela_registros[DIA],investiroutrosconsolidadomai[[#Headers],[7]],tabela_registros[REGISTRO],DADOS!$N$5,tabela_registros[TIPO],DADOS!$AB$5,tabela_registros[CATEGORIA],investiroutrosconsolidadomai[[#This Row],[ATUAL]])</f>
        <v>0</v>
      </c>
      <c r="L154" s="91">
        <f>SUMIFS(tabela_registros[VALOR],tabela_registros[MÊS],$AE$1,tabela_registros[DIA],investiroutrosconsolidadomai[[#Headers],[8]],tabela_registros[REGISTRO],DADOS!$N$5,tabela_registros[TIPO],DADOS!$AB$5,tabela_registros[CATEGORIA],investiroutrosconsolidadomai[[#This Row],[ATUAL]])</f>
        <v>0</v>
      </c>
      <c r="M154" s="91">
        <f>SUMIFS(tabela_registros[VALOR],tabela_registros[MÊS],$AE$1,tabela_registros[DIA],investiroutrosconsolidadomai[[#Headers],[9]],tabela_registros[REGISTRO],DADOS!$N$5,tabela_registros[TIPO],DADOS!$AB$5,tabela_registros[CATEGORIA],investiroutrosconsolidadomai[[#This Row],[ATUAL]])</f>
        <v>0</v>
      </c>
      <c r="N154" s="91">
        <f>SUMIFS(tabela_registros[VALOR],tabela_registros[MÊS],$AE$1,tabela_registros[DIA],investiroutrosconsolidadomai[[#Headers],[10]],tabela_registros[REGISTRO],DADOS!$N$5,tabela_registros[TIPO],DADOS!$AB$5,tabela_registros[CATEGORIA],investiroutrosconsolidadomai[[#This Row],[ATUAL]])</f>
        <v>0</v>
      </c>
      <c r="O154" s="91">
        <f>SUMIFS(tabela_registros[VALOR],tabela_registros[MÊS],$AE$1,tabela_registros[DIA],investiroutrosconsolidadomai[[#Headers],[11]],tabela_registros[REGISTRO],DADOS!$N$5,tabela_registros[TIPO],DADOS!$AB$5,tabela_registros[CATEGORIA],investiroutrosconsolidadomai[[#This Row],[ATUAL]])</f>
        <v>0</v>
      </c>
      <c r="P154" s="91">
        <f>SUMIFS(tabela_registros[VALOR],tabela_registros[MÊS],$AE$1,tabela_registros[DIA],investiroutrosconsolidadomai[[#Headers],[12]],tabela_registros[REGISTRO],DADOS!$N$5,tabela_registros[TIPO],DADOS!$AB$5,tabela_registros[CATEGORIA],investiroutrosconsolidadomai[[#This Row],[ATUAL]])</f>
        <v>0</v>
      </c>
      <c r="Q154" s="91">
        <f>SUMIFS(tabela_registros[VALOR],tabela_registros[MÊS],$AE$1,tabela_registros[DIA],investiroutrosconsolidadomai[[#Headers],[13]],tabela_registros[REGISTRO],DADOS!$N$5,tabela_registros[TIPO],DADOS!$AB$5,tabela_registros[CATEGORIA],investiroutrosconsolidadomai[[#This Row],[ATUAL]])</f>
        <v>0</v>
      </c>
      <c r="R154" s="91">
        <f>SUMIFS(tabela_registros[VALOR],tabela_registros[MÊS],$AE$1,tabela_registros[DIA],investiroutrosconsolidadomai[[#Headers],[14]],tabela_registros[REGISTRO],DADOS!$N$5,tabela_registros[TIPO],DADOS!$AB$5,tabela_registros[CATEGORIA],investiroutrosconsolidadomai[[#This Row],[ATUAL]])</f>
        <v>0</v>
      </c>
      <c r="S154" s="91">
        <f>SUMIFS(tabela_registros[VALOR],tabela_registros[MÊS],$AE$1,tabela_registros[DIA],investiroutrosconsolidadomai[[#Headers],[15]],tabela_registros[REGISTRO],DADOS!$N$5,tabela_registros[TIPO],DADOS!$AB$5,tabela_registros[CATEGORIA],investiroutrosconsolidadomai[[#This Row],[ATUAL]])</f>
        <v>0</v>
      </c>
      <c r="T154" s="91">
        <f>SUMIFS(tabela_registros[VALOR],tabela_registros[MÊS],$AE$1,tabela_registros[DIA],investiroutrosconsolidadomai[[#Headers],[16]],tabela_registros[REGISTRO],DADOS!$N$5,tabela_registros[TIPO],DADOS!$AB$5,tabela_registros[CATEGORIA],investiroutrosconsolidadomai[[#This Row],[ATUAL]])</f>
        <v>0</v>
      </c>
      <c r="U154" s="91">
        <f>SUMIFS(tabela_registros[VALOR],tabela_registros[MÊS],$AE$1,tabela_registros[DIA],investiroutrosconsolidadomai[[#Headers],[17]],tabela_registros[REGISTRO],DADOS!$N$5,tabela_registros[TIPO],DADOS!$AB$5,tabela_registros[CATEGORIA],investiroutrosconsolidadomai[[#This Row],[ATUAL]])</f>
        <v>0</v>
      </c>
      <c r="V154" s="91">
        <f>SUMIFS(tabela_registros[VALOR],tabela_registros[MÊS],$AE$1,tabela_registros[DIA],investiroutrosconsolidadomai[[#Headers],[18]],tabela_registros[REGISTRO],DADOS!$N$5,tabela_registros[TIPO],DADOS!$AB$5,tabela_registros[CATEGORIA],investiroutrosconsolidadomai[[#This Row],[ATUAL]])</f>
        <v>0</v>
      </c>
      <c r="W154" s="91">
        <f>SUMIFS(tabela_registros[VALOR],tabela_registros[MÊS],$AE$1,tabela_registros[DIA],investiroutrosconsolidadomai[[#Headers],[19]],tabela_registros[REGISTRO],DADOS!$N$5,tabela_registros[TIPO],DADOS!$AB$5,tabela_registros[CATEGORIA],investiroutrosconsolidadomai[[#This Row],[ATUAL]])</f>
        <v>0</v>
      </c>
      <c r="X154" s="91">
        <f>SUMIFS(tabela_registros[VALOR],tabela_registros[MÊS],$AE$1,tabela_registros[DIA],investiroutrosconsolidadomai[[#Headers],[20]],tabela_registros[REGISTRO],DADOS!$N$5,tabela_registros[TIPO],DADOS!$AB$5,tabela_registros[CATEGORIA],investiroutrosconsolidadomai[[#This Row],[ATUAL]])</f>
        <v>0</v>
      </c>
      <c r="Y154" s="91">
        <f>SUMIFS(tabela_registros[VALOR],tabela_registros[MÊS],$AE$1,tabela_registros[DIA],investiroutrosconsolidadomai[[#Headers],[21]],tabela_registros[REGISTRO],DADOS!$N$5,tabela_registros[TIPO],DADOS!$AB$5,tabela_registros[CATEGORIA],investiroutrosconsolidadomai[[#This Row],[ATUAL]])</f>
        <v>0</v>
      </c>
      <c r="Z154" s="91">
        <f>SUMIFS(tabela_registros[VALOR],tabela_registros[MÊS],$AE$1,tabela_registros[DIA],investiroutrosconsolidadomai[[#Headers],[22]],tabela_registros[REGISTRO],DADOS!$N$5,tabela_registros[TIPO],DADOS!$AB$5,tabela_registros[CATEGORIA],investiroutrosconsolidadomai[[#This Row],[ATUAL]])</f>
        <v>0</v>
      </c>
      <c r="AA154" s="91">
        <f>SUMIFS(tabela_registros[VALOR],tabela_registros[MÊS],$AE$1,tabela_registros[DIA],investiroutrosconsolidadomai[[#Headers],[23]],tabela_registros[REGISTRO],DADOS!$N$5,tabela_registros[TIPO],DADOS!$AB$5,tabela_registros[CATEGORIA],investiroutrosconsolidadomai[[#This Row],[ATUAL]])</f>
        <v>0</v>
      </c>
      <c r="AB154" s="91">
        <f>SUMIFS(tabela_registros[VALOR],tabela_registros[MÊS],$AE$1,tabela_registros[DIA],investiroutrosconsolidadomai[[#Headers],[24]],tabela_registros[REGISTRO],DADOS!$N$5,tabela_registros[TIPO],DADOS!$AB$5,tabela_registros[CATEGORIA],investiroutrosconsolidadomai[[#This Row],[ATUAL]])</f>
        <v>0</v>
      </c>
      <c r="AC154" s="91">
        <f>SUMIFS(tabela_registros[VALOR],tabela_registros[MÊS],$AE$1,tabela_registros[DIA],investiroutrosconsolidadomai[[#Headers],[25]],tabela_registros[REGISTRO],DADOS!$N$5,tabela_registros[TIPO],DADOS!$AB$5,tabela_registros[CATEGORIA],investiroutrosconsolidadomai[[#This Row],[ATUAL]])</f>
        <v>0</v>
      </c>
      <c r="AD154" s="91">
        <f>SUMIFS(tabela_registros[VALOR],tabela_registros[MÊS],$AE$1,tabela_registros[DIA],investiroutrosconsolidadomai[[#Headers],[26]],tabela_registros[REGISTRO],DADOS!$N$5,tabela_registros[TIPO],DADOS!$AB$5,tabela_registros[CATEGORIA],investiroutrosconsolidadomai[[#This Row],[ATUAL]])</f>
        <v>0</v>
      </c>
      <c r="AE154" s="91">
        <f>SUMIFS(tabela_registros[VALOR],tabela_registros[MÊS],$AE$1,tabela_registros[DIA],investiroutrosconsolidadomai[[#Headers],[27]],tabela_registros[REGISTRO],DADOS!$N$5,tabela_registros[TIPO],DADOS!$AB$5,tabela_registros[CATEGORIA],investiroutrosconsolidadomai[[#This Row],[ATUAL]])</f>
        <v>0</v>
      </c>
      <c r="AF154" s="91">
        <f>SUMIFS(tabela_registros[VALOR],tabela_registros[MÊS],$AE$1,tabela_registros[DIA],investiroutrosconsolidadomai[[#Headers],[28]],tabela_registros[REGISTRO],DADOS!$N$5,tabela_registros[TIPO],DADOS!$AB$5,tabela_registros[CATEGORIA],investiroutrosconsolidadomai[[#This Row],[ATUAL]])</f>
        <v>0</v>
      </c>
      <c r="AG154" s="91">
        <f>SUMIFS(tabela_registros[VALOR],tabela_registros[MÊS],$AE$1,tabela_registros[DIA],investiroutrosconsolidadomai[[#Headers],[29]],tabela_registros[REGISTRO],DADOS!$N$5,tabela_registros[TIPO],DADOS!$AB$5,tabela_registros[CATEGORIA],investiroutrosconsolidadomai[[#This Row],[ATUAL]])</f>
        <v>0</v>
      </c>
      <c r="AH154" s="91">
        <f>SUMIFS(tabela_registros[VALOR],tabela_registros[MÊS],$AE$1,tabela_registros[DIA],investiroutrosconsolidadomai[[#Headers],[30]],tabela_registros[REGISTRO],DADOS!$N$5,tabela_registros[TIPO],DADOS!$AB$5,tabela_registros[CATEGORIA],investiroutrosconsolidadomai[[#This Row],[ATUAL]])</f>
        <v>0</v>
      </c>
      <c r="AI154" s="101">
        <f>SUMIFS(tabela_registros[VALOR],tabela_registros[MÊS],$AE$1,tabela_registros[DIA],investiroutrosconsolidadomai[[#Headers],[31]],tabela_registros[REGISTRO],DADOS!$N$5,tabela_registros[TIPO],DADOS!$AB$5,tabela_registros[CATEGORIA],investiroutrosconsolidadomai[[#This Row],[ATUAL]])</f>
        <v>0</v>
      </c>
      <c r="AJ154" s="97">
        <f>SUM(investiroutrosconsolidadomai[[#This Row],[1]:[31]])</f>
        <v>0</v>
      </c>
      <c r="AK154" s="25"/>
    </row>
    <row r="155" spans="2:37" ht="19.5" customHeight="1" thickTop="1" thickBot="1" x14ac:dyDescent="0.3">
      <c r="B155" s="28"/>
      <c r="C155" s="27" t="str">
        <f>DADOS!$AH$7</f>
        <v>📝 PEER TO COMPANY</v>
      </c>
      <c r="D155" s="26" t="str">
        <f>IF(investiroutrosconsolidadomai[[#This Row],[TOTAL (R$)]]=0,"",IF(OR(investiroutrosconsolidadomai[[#This Row],[TOTAL (R$)]]=LARGE($AJ$151:$AJ$158,1),investiroutrosconsolidadomai[[#This Row],[TOTAL (R$)]]=LARGE($AJ$151:$AJ$158,2)),DADOS!$I$10,""))</f>
        <v/>
      </c>
      <c r="E155" s="96">
        <f>SUMIFS(tabela_registros[VALOR],tabela_registros[MÊS],$AE$1,tabela_registros[DIA],investiroutrosconsolidadomai[[#Headers],[1]],tabela_registros[REGISTRO],DADOS!$N$5,tabela_registros[TIPO],DADOS!$AB$5,tabela_registros[CATEGORIA],investiroutrosconsolidadomai[[#This Row],[ATUAL]])</f>
        <v>0</v>
      </c>
      <c r="F155" s="91">
        <f>SUMIFS(tabela_registros[VALOR],tabela_registros[MÊS],$AE$1,tabela_registros[DIA],investiroutrosconsolidadomai[[#Headers],[2]],tabela_registros[REGISTRO],DADOS!$N$5,tabela_registros[TIPO],DADOS!$AB$5,tabela_registros[CATEGORIA],investiroutrosconsolidadomai[[#This Row],[ATUAL]])</f>
        <v>0</v>
      </c>
      <c r="G155" s="91">
        <f>SUMIFS(tabela_registros[VALOR],tabela_registros[MÊS],$AE$1,tabela_registros[DIA],investiroutrosconsolidadomai[[#Headers],[3]],tabela_registros[REGISTRO],DADOS!$N$5,tabela_registros[TIPO],DADOS!$AB$5,tabela_registros[CATEGORIA],investiroutrosconsolidadomai[[#This Row],[ATUAL]])</f>
        <v>0</v>
      </c>
      <c r="H155" s="91">
        <f>SUMIFS(tabela_registros[VALOR],tabela_registros[MÊS],$AE$1,tabela_registros[DIA],investiroutrosconsolidadomai[[#Headers],[4]],tabela_registros[REGISTRO],DADOS!$N$5,tabela_registros[TIPO],DADOS!$AB$5,tabela_registros[CATEGORIA],investiroutrosconsolidadomai[[#This Row],[ATUAL]])</f>
        <v>0</v>
      </c>
      <c r="I155" s="91">
        <f>SUMIFS(tabela_registros[VALOR],tabela_registros[MÊS],$AE$1,tabela_registros[DIA],investiroutrosconsolidadomai[[#Headers],[5]],tabela_registros[REGISTRO],DADOS!$N$5,tabela_registros[TIPO],DADOS!$AB$5,tabela_registros[CATEGORIA],investiroutrosconsolidadomai[[#This Row],[ATUAL]])</f>
        <v>0</v>
      </c>
      <c r="J155" s="91">
        <f>SUMIFS(tabela_registros[VALOR],tabela_registros[MÊS],$AE$1,tabela_registros[DIA],investiroutrosconsolidadomai[[#Headers],[6]],tabela_registros[REGISTRO],DADOS!$N$5,tabela_registros[TIPO],DADOS!$AB$5,tabela_registros[CATEGORIA],investiroutrosconsolidadomai[[#This Row],[ATUAL]])</f>
        <v>0</v>
      </c>
      <c r="K155" s="91">
        <f>SUMIFS(tabela_registros[VALOR],tabela_registros[MÊS],$AE$1,tabela_registros[DIA],investiroutrosconsolidadomai[[#Headers],[7]],tabela_registros[REGISTRO],DADOS!$N$5,tabela_registros[TIPO],DADOS!$AB$5,tabela_registros[CATEGORIA],investiroutrosconsolidadomai[[#This Row],[ATUAL]])</f>
        <v>0</v>
      </c>
      <c r="L155" s="91">
        <f>SUMIFS(tabela_registros[VALOR],tabela_registros[MÊS],$AE$1,tabela_registros[DIA],investiroutrosconsolidadomai[[#Headers],[8]],tabela_registros[REGISTRO],DADOS!$N$5,tabela_registros[TIPO],DADOS!$AB$5,tabela_registros[CATEGORIA],investiroutrosconsolidadomai[[#This Row],[ATUAL]])</f>
        <v>0</v>
      </c>
      <c r="M155" s="91">
        <f>SUMIFS(tabela_registros[VALOR],tabela_registros[MÊS],$AE$1,tabela_registros[DIA],investiroutrosconsolidadomai[[#Headers],[9]],tabela_registros[REGISTRO],DADOS!$N$5,tabela_registros[TIPO],DADOS!$AB$5,tabela_registros[CATEGORIA],investiroutrosconsolidadomai[[#This Row],[ATUAL]])</f>
        <v>0</v>
      </c>
      <c r="N155" s="91">
        <f>SUMIFS(tabela_registros[VALOR],tabela_registros[MÊS],$AE$1,tabela_registros[DIA],investiroutrosconsolidadomai[[#Headers],[10]],tabela_registros[REGISTRO],DADOS!$N$5,tabela_registros[TIPO],DADOS!$AB$5,tabela_registros[CATEGORIA],investiroutrosconsolidadomai[[#This Row],[ATUAL]])</f>
        <v>0</v>
      </c>
      <c r="O155" s="91">
        <f>SUMIFS(tabela_registros[VALOR],tabela_registros[MÊS],$AE$1,tabela_registros[DIA],investiroutrosconsolidadomai[[#Headers],[11]],tabela_registros[REGISTRO],DADOS!$N$5,tabela_registros[TIPO],DADOS!$AB$5,tabela_registros[CATEGORIA],investiroutrosconsolidadomai[[#This Row],[ATUAL]])</f>
        <v>0</v>
      </c>
      <c r="P155" s="91">
        <f>SUMIFS(tabela_registros[VALOR],tabela_registros[MÊS],$AE$1,tabela_registros[DIA],investiroutrosconsolidadomai[[#Headers],[12]],tabela_registros[REGISTRO],DADOS!$N$5,tabela_registros[TIPO],DADOS!$AB$5,tabela_registros[CATEGORIA],investiroutrosconsolidadomai[[#This Row],[ATUAL]])</f>
        <v>0</v>
      </c>
      <c r="Q155" s="91">
        <f>SUMIFS(tabela_registros[VALOR],tabela_registros[MÊS],$AE$1,tabela_registros[DIA],investiroutrosconsolidadomai[[#Headers],[13]],tabela_registros[REGISTRO],DADOS!$N$5,tabela_registros[TIPO],DADOS!$AB$5,tabela_registros[CATEGORIA],investiroutrosconsolidadomai[[#This Row],[ATUAL]])</f>
        <v>0</v>
      </c>
      <c r="R155" s="91">
        <f>SUMIFS(tabela_registros[VALOR],tabela_registros[MÊS],$AE$1,tabela_registros[DIA],investiroutrosconsolidadomai[[#Headers],[14]],tabela_registros[REGISTRO],DADOS!$N$5,tabela_registros[TIPO],DADOS!$AB$5,tabela_registros[CATEGORIA],investiroutrosconsolidadomai[[#This Row],[ATUAL]])</f>
        <v>0</v>
      </c>
      <c r="S155" s="91">
        <f>SUMIFS(tabela_registros[VALOR],tabela_registros[MÊS],$AE$1,tabela_registros[DIA],investiroutrosconsolidadomai[[#Headers],[15]],tabela_registros[REGISTRO],DADOS!$N$5,tabela_registros[TIPO],DADOS!$AB$5,tabela_registros[CATEGORIA],investiroutrosconsolidadomai[[#This Row],[ATUAL]])</f>
        <v>0</v>
      </c>
      <c r="T155" s="91">
        <f>SUMIFS(tabela_registros[VALOR],tabela_registros[MÊS],$AE$1,tabela_registros[DIA],investiroutrosconsolidadomai[[#Headers],[16]],tabela_registros[REGISTRO],DADOS!$N$5,tabela_registros[TIPO],DADOS!$AB$5,tabela_registros[CATEGORIA],investiroutrosconsolidadomai[[#This Row],[ATUAL]])</f>
        <v>0</v>
      </c>
      <c r="U155" s="91">
        <f>SUMIFS(tabela_registros[VALOR],tabela_registros[MÊS],$AE$1,tabela_registros[DIA],investiroutrosconsolidadomai[[#Headers],[17]],tabela_registros[REGISTRO],DADOS!$N$5,tabela_registros[TIPO],DADOS!$AB$5,tabela_registros[CATEGORIA],investiroutrosconsolidadomai[[#This Row],[ATUAL]])</f>
        <v>0</v>
      </c>
      <c r="V155" s="91">
        <f>SUMIFS(tabela_registros[VALOR],tabela_registros[MÊS],$AE$1,tabela_registros[DIA],investiroutrosconsolidadomai[[#Headers],[18]],tabela_registros[REGISTRO],DADOS!$N$5,tabela_registros[TIPO],DADOS!$AB$5,tabela_registros[CATEGORIA],investiroutrosconsolidadomai[[#This Row],[ATUAL]])</f>
        <v>0</v>
      </c>
      <c r="W155" s="91">
        <f>SUMIFS(tabela_registros[VALOR],tabela_registros[MÊS],$AE$1,tabela_registros[DIA],investiroutrosconsolidadomai[[#Headers],[19]],tabela_registros[REGISTRO],DADOS!$N$5,tabela_registros[TIPO],DADOS!$AB$5,tabela_registros[CATEGORIA],investiroutrosconsolidadomai[[#This Row],[ATUAL]])</f>
        <v>0</v>
      </c>
      <c r="X155" s="91">
        <f>SUMIFS(tabela_registros[VALOR],tabela_registros[MÊS],$AE$1,tabela_registros[DIA],investiroutrosconsolidadomai[[#Headers],[20]],tabela_registros[REGISTRO],DADOS!$N$5,tabela_registros[TIPO],DADOS!$AB$5,tabela_registros[CATEGORIA],investiroutrosconsolidadomai[[#This Row],[ATUAL]])</f>
        <v>0</v>
      </c>
      <c r="Y155" s="91">
        <f>SUMIFS(tabela_registros[VALOR],tabela_registros[MÊS],$AE$1,tabela_registros[DIA],investiroutrosconsolidadomai[[#Headers],[21]],tabela_registros[REGISTRO],DADOS!$N$5,tabela_registros[TIPO],DADOS!$AB$5,tabela_registros[CATEGORIA],investiroutrosconsolidadomai[[#This Row],[ATUAL]])</f>
        <v>0</v>
      </c>
      <c r="Z155" s="91">
        <f>SUMIFS(tabela_registros[VALOR],tabela_registros[MÊS],$AE$1,tabela_registros[DIA],investiroutrosconsolidadomai[[#Headers],[22]],tabela_registros[REGISTRO],DADOS!$N$5,tabela_registros[TIPO],DADOS!$AB$5,tabela_registros[CATEGORIA],investiroutrosconsolidadomai[[#This Row],[ATUAL]])</f>
        <v>0</v>
      </c>
      <c r="AA155" s="91">
        <f>SUMIFS(tabela_registros[VALOR],tabela_registros[MÊS],$AE$1,tabela_registros[DIA],investiroutrosconsolidadomai[[#Headers],[23]],tabela_registros[REGISTRO],DADOS!$N$5,tabela_registros[TIPO],DADOS!$AB$5,tabela_registros[CATEGORIA],investiroutrosconsolidadomai[[#This Row],[ATUAL]])</f>
        <v>0</v>
      </c>
      <c r="AB155" s="91">
        <f>SUMIFS(tabela_registros[VALOR],tabela_registros[MÊS],$AE$1,tabela_registros[DIA],investiroutrosconsolidadomai[[#Headers],[24]],tabela_registros[REGISTRO],DADOS!$N$5,tabela_registros[TIPO],DADOS!$AB$5,tabela_registros[CATEGORIA],investiroutrosconsolidadomai[[#This Row],[ATUAL]])</f>
        <v>0</v>
      </c>
      <c r="AC155" s="91">
        <f>SUMIFS(tabela_registros[VALOR],tabela_registros[MÊS],$AE$1,tabela_registros[DIA],investiroutrosconsolidadomai[[#Headers],[25]],tabela_registros[REGISTRO],DADOS!$N$5,tabela_registros[TIPO],DADOS!$AB$5,tabela_registros[CATEGORIA],investiroutrosconsolidadomai[[#This Row],[ATUAL]])</f>
        <v>0</v>
      </c>
      <c r="AD155" s="91">
        <f>SUMIFS(tabela_registros[VALOR],tabela_registros[MÊS],$AE$1,tabela_registros[DIA],investiroutrosconsolidadomai[[#Headers],[26]],tabela_registros[REGISTRO],DADOS!$N$5,tabela_registros[TIPO],DADOS!$AB$5,tabela_registros[CATEGORIA],investiroutrosconsolidadomai[[#This Row],[ATUAL]])</f>
        <v>0</v>
      </c>
      <c r="AE155" s="91">
        <f>SUMIFS(tabela_registros[VALOR],tabela_registros[MÊS],$AE$1,tabela_registros[DIA],investiroutrosconsolidadomai[[#Headers],[27]],tabela_registros[REGISTRO],DADOS!$N$5,tabela_registros[TIPO],DADOS!$AB$5,tabela_registros[CATEGORIA],investiroutrosconsolidadomai[[#This Row],[ATUAL]])</f>
        <v>0</v>
      </c>
      <c r="AF155" s="91">
        <f>SUMIFS(tabela_registros[VALOR],tabela_registros[MÊS],$AE$1,tabela_registros[DIA],investiroutrosconsolidadomai[[#Headers],[28]],tabela_registros[REGISTRO],DADOS!$N$5,tabela_registros[TIPO],DADOS!$AB$5,tabela_registros[CATEGORIA],investiroutrosconsolidadomai[[#This Row],[ATUAL]])</f>
        <v>0</v>
      </c>
      <c r="AG155" s="91">
        <f>SUMIFS(tabela_registros[VALOR],tabela_registros[MÊS],$AE$1,tabela_registros[DIA],investiroutrosconsolidadomai[[#Headers],[29]],tabela_registros[REGISTRO],DADOS!$N$5,tabela_registros[TIPO],DADOS!$AB$5,tabela_registros[CATEGORIA],investiroutrosconsolidadomai[[#This Row],[ATUAL]])</f>
        <v>0</v>
      </c>
      <c r="AH155" s="91">
        <f>SUMIFS(tabela_registros[VALOR],tabela_registros[MÊS],$AE$1,tabela_registros[DIA],investiroutrosconsolidadomai[[#Headers],[30]],tabela_registros[REGISTRO],DADOS!$N$5,tabela_registros[TIPO],DADOS!$AB$5,tabela_registros[CATEGORIA],investiroutrosconsolidadomai[[#This Row],[ATUAL]])</f>
        <v>0</v>
      </c>
      <c r="AI155" s="101">
        <f>SUMIFS(tabela_registros[VALOR],tabela_registros[MÊS],$AE$1,tabela_registros[DIA],investiroutrosconsolidadomai[[#Headers],[31]],tabela_registros[REGISTRO],DADOS!$N$5,tabela_registros[TIPO],DADOS!$AB$5,tabela_registros[CATEGORIA],investiroutrosconsolidadomai[[#This Row],[ATUAL]])</f>
        <v>0</v>
      </c>
      <c r="AJ155" s="97">
        <f>SUM(investiroutrosconsolidadomai[[#This Row],[1]:[31]])</f>
        <v>0</v>
      </c>
      <c r="AK155" s="25"/>
    </row>
    <row r="156" spans="2:37" ht="19.5" customHeight="1" thickTop="1" thickBot="1" x14ac:dyDescent="0.3">
      <c r="B156" s="28"/>
      <c r="C156" s="27" t="str">
        <f>DADOS!$AH$8</f>
        <v>📝 PEER TO PEER</v>
      </c>
      <c r="D156" s="26" t="str">
        <f>IF(investiroutrosconsolidadomai[[#This Row],[TOTAL (R$)]]=0,"",IF(OR(investiroutrosconsolidadomai[[#This Row],[TOTAL (R$)]]=LARGE($AJ$151:$AJ$158,1),investiroutrosconsolidadomai[[#This Row],[TOTAL (R$)]]=LARGE($AJ$151:$AJ$158,2)),DADOS!$I$10,""))</f>
        <v/>
      </c>
      <c r="E156" s="96">
        <f>SUMIFS(tabela_registros[VALOR],tabela_registros[MÊS],$AE$1,tabela_registros[DIA],investiroutrosconsolidadomai[[#Headers],[1]],tabela_registros[REGISTRO],DADOS!$N$5,tabela_registros[TIPO],DADOS!$AB$5,tabela_registros[CATEGORIA],investiroutrosconsolidadomai[[#This Row],[ATUAL]])</f>
        <v>0</v>
      </c>
      <c r="F156" s="91">
        <f>SUMIFS(tabela_registros[VALOR],tabela_registros[MÊS],$AE$1,tabela_registros[DIA],investiroutrosconsolidadomai[[#Headers],[2]],tabela_registros[REGISTRO],DADOS!$N$5,tabela_registros[TIPO],DADOS!$AB$5,tabela_registros[CATEGORIA],investiroutrosconsolidadomai[[#This Row],[ATUAL]])</f>
        <v>0</v>
      </c>
      <c r="G156" s="91">
        <f>SUMIFS(tabela_registros[VALOR],tabela_registros[MÊS],$AE$1,tabela_registros[DIA],investiroutrosconsolidadomai[[#Headers],[3]],tabela_registros[REGISTRO],DADOS!$N$5,tabela_registros[TIPO],DADOS!$AB$5,tabela_registros[CATEGORIA],investiroutrosconsolidadomai[[#This Row],[ATUAL]])</f>
        <v>0</v>
      </c>
      <c r="H156" s="91">
        <f>SUMIFS(tabela_registros[VALOR],tabela_registros[MÊS],$AE$1,tabela_registros[DIA],investiroutrosconsolidadomai[[#Headers],[4]],tabela_registros[REGISTRO],DADOS!$N$5,tabela_registros[TIPO],DADOS!$AB$5,tabela_registros[CATEGORIA],investiroutrosconsolidadomai[[#This Row],[ATUAL]])</f>
        <v>0</v>
      </c>
      <c r="I156" s="91">
        <f>SUMIFS(tabela_registros[VALOR],tabela_registros[MÊS],$AE$1,tabela_registros[DIA],investiroutrosconsolidadomai[[#Headers],[5]],tabela_registros[REGISTRO],DADOS!$N$5,tabela_registros[TIPO],DADOS!$AB$5,tabela_registros[CATEGORIA],investiroutrosconsolidadomai[[#This Row],[ATUAL]])</f>
        <v>0</v>
      </c>
      <c r="J156" s="91">
        <f>SUMIFS(tabela_registros[VALOR],tabela_registros[MÊS],$AE$1,tabela_registros[DIA],investiroutrosconsolidadomai[[#Headers],[6]],tabela_registros[REGISTRO],DADOS!$N$5,tabela_registros[TIPO],DADOS!$AB$5,tabela_registros[CATEGORIA],investiroutrosconsolidadomai[[#This Row],[ATUAL]])</f>
        <v>0</v>
      </c>
      <c r="K156" s="91">
        <f>SUMIFS(tabela_registros[VALOR],tabela_registros[MÊS],$AE$1,tabela_registros[DIA],investiroutrosconsolidadomai[[#Headers],[7]],tabela_registros[REGISTRO],DADOS!$N$5,tabela_registros[TIPO],DADOS!$AB$5,tabela_registros[CATEGORIA],investiroutrosconsolidadomai[[#This Row],[ATUAL]])</f>
        <v>0</v>
      </c>
      <c r="L156" s="91">
        <f>SUMIFS(tabela_registros[VALOR],tabela_registros[MÊS],$AE$1,tabela_registros[DIA],investiroutrosconsolidadomai[[#Headers],[8]],tabela_registros[REGISTRO],DADOS!$N$5,tabela_registros[TIPO],DADOS!$AB$5,tabela_registros[CATEGORIA],investiroutrosconsolidadomai[[#This Row],[ATUAL]])</f>
        <v>0</v>
      </c>
      <c r="M156" s="91">
        <f>SUMIFS(tabela_registros[VALOR],tabela_registros[MÊS],$AE$1,tabela_registros[DIA],investiroutrosconsolidadomai[[#Headers],[9]],tabela_registros[REGISTRO],DADOS!$N$5,tabela_registros[TIPO],DADOS!$AB$5,tabela_registros[CATEGORIA],investiroutrosconsolidadomai[[#This Row],[ATUAL]])</f>
        <v>0</v>
      </c>
      <c r="N156" s="91">
        <f>SUMIFS(tabela_registros[VALOR],tabela_registros[MÊS],$AE$1,tabela_registros[DIA],investiroutrosconsolidadomai[[#Headers],[10]],tabela_registros[REGISTRO],DADOS!$N$5,tabela_registros[TIPO],DADOS!$AB$5,tabela_registros[CATEGORIA],investiroutrosconsolidadomai[[#This Row],[ATUAL]])</f>
        <v>0</v>
      </c>
      <c r="O156" s="91">
        <f>SUMIFS(tabela_registros[VALOR],tabela_registros[MÊS],$AE$1,tabela_registros[DIA],investiroutrosconsolidadomai[[#Headers],[11]],tabela_registros[REGISTRO],DADOS!$N$5,tabela_registros[TIPO],DADOS!$AB$5,tabela_registros[CATEGORIA],investiroutrosconsolidadomai[[#This Row],[ATUAL]])</f>
        <v>0</v>
      </c>
      <c r="P156" s="91">
        <f>SUMIFS(tabela_registros[VALOR],tabela_registros[MÊS],$AE$1,tabela_registros[DIA],investiroutrosconsolidadomai[[#Headers],[12]],tabela_registros[REGISTRO],DADOS!$N$5,tabela_registros[TIPO],DADOS!$AB$5,tabela_registros[CATEGORIA],investiroutrosconsolidadomai[[#This Row],[ATUAL]])</f>
        <v>0</v>
      </c>
      <c r="Q156" s="91">
        <f>SUMIFS(tabela_registros[VALOR],tabela_registros[MÊS],$AE$1,tabela_registros[DIA],investiroutrosconsolidadomai[[#Headers],[13]],tabela_registros[REGISTRO],DADOS!$N$5,tabela_registros[TIPO],DADOS!$AB$5,tabela_registros[CATEGORIA],investiroutrosconsolidadomai[[#This Row],[ATUAL]])</f>
        <v>0</v>
      </c>
      <c r="R156" s="91">
        <f>SUMIFS(tabela_registros[VALOR],tabela_registros[MÊS],$AE$1,tabela_registros[DIA],investiroutrosconsolidadomai[[#Headers],[14]],tabela_registros[REGISTRO],DADOS!$N$5,tabela_registros[TIPO],DADOS!$AB$5,tabela_registros[CATEGORIA],investiroutrosconsolidadomai[[#This Row],[ATUAL]])</f>
        <v>0</v>
      </c>
      <c r="S156" s="91">
        <f>SUMIFS(tabela_registros[VALOR],tabela_registros[MÊS],$AE$1,tabela_registros[DIA],investiroutrosconsolidadomai[[#Headers],[15]],tabela_registros[REGISTRO],DADOS!$N$5,tabela_registros[TIPO],DADOS!$AB$5,tabela_registros[CATEGORIA],investiroutrosconsolidadomai[[#This Row],[ATUAL]])</f>
        <v>0</v>
      </c>
      <c r="T156" s="91">
        <f>SUMIFS(tabela_registros[VALOR],tabela_registros[MÊS],$AE$1,tabela_registros[DIA],investiroutrosconsolidadomai[[#Headers],[16]],tabela_registros[REGISTRO],DADOS!$N$5,tabela_registros[TIPO],DADOS!$AB$5,tabela_registros[CATEGORIA],investiroutrosconsolidadomai[[#This Row],[ATUAL]])</f>
        <v>0</v>
      </c>
      <c r="U156" s="91">
        <f>SUMIFS(tabela_registros[VALOR],tabela_registros[MÊS],$AE$1,tabela_registros[DIA],investiroutrosconsolidadomai[[#Headers],[17]],tabela_registros[REGISTRO],DADOS!$N$5,tabela_registros[TIPO],DADOS!$AB$5,tabela_registros[CATEGORIA],investiroutrosconsolidadomai[[#This Row],[ATUAL]])</f>
        <v>0</v>
      </c>
      <c r="V156" s="91">
        <f>SUMIFS(tabela_registros[VALOR],tabela_registros[MÊS],$AE$1,tabela_registros[DIA],investiroutrosconsolidadomai[[#Headers],[18]],tabela_registros[REGISTRO],DADOS!$N$5,tabela_registros[TIPO],DADOS!$AB$5,tabela_registros[CATEGORIA],investiroutrosconsolidadomai[[#This Row],[ATUAL]])</f>
        <v>0</v>
      </c>
      <c r="W156" s="91">
        <f>SUMIFS(tabela_registros[VALOR],tabela_registros[MÊS],$AE$1,tabela_registros[DIA],investiroutrosconsolidadomai[[#Headers],[19]],tabela_registros[REGISTRO],DADOS!$N$5,tabela_registros[TIPO],DADOS!$AB$5,tabela_registros[CATEGORIA],investiroutrosconsolidadomai[[#This Row],[ATUAL]])</f>
        <v>0</v>
      </c>
      <c r="X156" s="91">
        <f>SUMIFS(tabela_registros[VALOR],tabela_registros[MÊS],$AE$1,tabela_registros[DIA],investiroutrosconsolidadomai[[#Headers],[20]],tabela_registros[REGISTRO],DADOS!$N$5,tabela_registros[TIPO],DADOS!$AB$5,tabela_registros[CATEGORIA],investiroutrosconsolidadomai[[#This Row],[ATUAL]])</f>
        <v>0</v>
      </c>
      <c r="Y156" s="91">
        <f>SUMIFS(tabela_registros[VALOR],tabela_registros[MÊS],$AE$1,tabela_registros[DIA],investiroutrosconsolidadomai[[#Headers],[21]],tabela_registros[REGISTRO],DADOS!$N$5,tabela_registros[TIPO],DADOS!$AB$5,tabela_registros[CATEGORIA],investiroutrosconsolidadomai[[#This Row],[ATUAL]])</f>
        <v>0</v>
      </c>
      <c r="Z156" s="91">
        <f>SUMIFS(tabela_registros[VALOR],tabela_registros[MÊS],$AE$1,tabela_registros[DIA],investiroutrosconsolidadomai[[#Headers],[22]],tabela_registros[REGISTRO],DADOS!$N$5,tabela_registros[TIPO],DADOS!$AB$5,tabela_registros[CATEGORIA],investiroutrosconsolidadomai[[#This Row],[ATUAL]])</f>
        <v>0</v>
      </c>
      <c r="AA156" s="91">
        <f>SUMIFS(tabela_registros[VALOR],tabela_registros[MÊS],$AE$1,tabela_registros[DIA],investiroutrosconsolidadomai[[#Headers],[23]],tabela_registros[REGISTRO],DADOS!$N$5,tabela_registros[TIPO],DADOS!$AB$5,tabela_registros[CATEGORIA],investiroutrosconsolidadomai[[#This Row],[ATUAL]])</f>
        <v>0</v>
      </c>
      <c r="AB156" s="91">
        <f>SUMIFS(tabela_registros[VALOR],tabela_registros[MÊS],$AE$1,tabela_registros[DIA],investiroutrosconsolidadomai[[#Headers],[24]],tabela_registros[REGISTRO],DADOS!$N$5,tabela_registros[TIPO],DADOS!$AB$5,tabela_registros[CATEGORIA],investiroutrosconsolidadomai[[#This Row],[ATUAL]])</f>
        <v>0</v>
      </c>
      <c r="AC156" s="91">
        <f>SUMIFS(tabela_registros[VALOR],tabela_registros[MÊS],$AE$1,tabela_registros[DIA],investiroutrosconsolidadomai[[#Headers],[25]],tabela_registros[REGISTRO],DADOS!$N$5,tabela_registros[TIPO],DADOS!$AB$5,tabela_registros[CATEGORIA],investiroutrosconsolidadomai[[#This Row],[ATUAL]])</f>
        <v>0</v>
      </c>
      <c r="AD156" s="91">
        <f>SUMIFS(tabela_registros[VALOR],tabela_registros[MÊS],$AE$1,tabela_registros[DIA],investiroutrosconsolidadomai[[#Headers],[26]],tabela_registros[REGISTRO],DADOS!$N$5,tabela_registros[TIPO],DADOS!$AB$5,tabela_registros[CATEGORIA],investiroutrosconsolidadomai[[#This Row],[ATUAL]])</f>
        <v>0</v>
      </c>
      <c r="AE156" s="91">
        <f>SUMIFS(tabela_registros[VALOR],tabela_registros[MÊS],$AE$1,tabela_registros[DIA],investiroutrosconsolidadomai[[#Headers],[27]],tabela_registros[REGISTRO],DADOS!$N$5,tabela_registros[TIPO],DADOS!$AB$5,tabela_registros[CATEGORIA],investiroutrosconsolidadomai[[#This Row],[ATUAL]])</f>
        <v>0</v>
      </c>
      <c r="AF156" s="91">
        <f>SUMIFS(tabela_registros[VALOR],tabela_registros[MÊS],$AE$1,tabela_registros[DIA],investiroutrosconsolidadomai[[#Headers],[28]],tabela_registros[REGISTRO],DADOS!$N$5,tabela_registros[TIPO],DADOS!$AB$5,tabela_registros[CATEGORIA],investiroutrosconsolidadomai[[#This Row],[ATUAL]])</f>
        <v>0</v>
      </c>
      <c r="AG156" s="91">
        <f>SUMIFS(tabela_registros[VALOR],tabela_registros[MÊS],$AE$1,tabela_registros[DIA],investiroutrosconsolidadomai[[#Headers],[29]],tabela_registros[REGISTRO],DADOS!$N$5,tabela_registros[TIPO],DADOS!$AB$5,tabela_registros[CATEGORIA],investiroutrosconsolidadomai[[#This Row],[ATUAL]])</f>
        <v>0</v>
      </c>
      <c r="AH156" s="91">
        <f>SUMIFS(tabela_registros[VALOR],tabela_registros[MÊS],$AE$1,tabela_registros[DIA],investiroutrosconsolidadomai[[#Headers],[30]],tabela_registros[REGISTRO],DADOS!$N$5,tabela_registros[TIPO],DADOS!$AB$5,tabela_registros[CATEGORIA],investiroutrosconsolidadomai[[#This Row],[ATUAL]])</f>
        <v>0</v>
      </c>
      <c r="AI156" s="101">
        <f>SUMIFS(tabela_registros[VALOR],tabela_registros[MÊS],$AE$1,tabela_registros[DIA],investiroutrosconsolidadomai[[#Headers],[31]],tabela_registros[REGISTRO],DADOS!$N$5,tabela_registros[TIPO],DADOS!$AB$5,tabela_registros[CATEGORIA],investiroutrosconsolidadomai[[#This Row],[ATUAL]])</f>
        <v>0</v>
      </c>
      <c r="AJ156" s="97">
        <f>SUM(investiroutrosconsolidadomai[[#This Row],[1]:[31]])</f>
        <v>0</v>
      </c>
      <c r="AK156" s="25"/>
    </row>
    <row r="157" spans="2:37" ht="19.5" customHeight="1" thickTop="1" thickBot="1" x14ac:dyDescent="0.3">
      <c r="B157" s="28"/>
      <c r="C157" s="27" t="str">
        <f>DADOS!$AH$9</f>
        <v>📝 PREVIDÊNCIA PRIVADA</v>
      </c>
      <c r="D157" s="26" t="str">
        <f>IF(investiroutrosconsolidadomai[[#This Row],[TOTAL (R$)]]=0,"",IF(OR(investiroutrosconsolidadomai[[#This Row],[TOTAL (R$)]]=LARGE($AJ$151:$AJ$158,1),investiroutrosconsolidadomai[[#This Row],[TOTAL (R$)]]=LARGE($AJ$151:$AJ$158,2)),DADOS!$I$10,""))</f>
        <v/>
      </c>
      <c r="E157" s="96">
        <f>SUMIFS(tabela_registros[VALOR],tabela_registros[MÊS],$AE$1,tabela_registros[DIA],investiroutrosconsolidadomai[[#Headers],[1]],tabela_registros[REGISTRO],DADOS!$N$5,tabela_registros[TIPO],DADOS!$AB$5,tabela_registros[CATEGORIA],investiroutrosconsolidadomai[[#This Row],[ATUAL]])</f>
        <v>0</v>
      </c>
      <c r="F157" s="91">
        <f>SUMIFS(tabela_registros[VALOR],tabela_registros[MÊS],$AE$1,tabela_registros[DIA],investiroutrosconsolidadomai[[#Headers],[2]],tabela_registros[REGISTRO],DADOS!$N$5,tabela_registros[TIPO],DADOS!$AB$5,tabela_registros[CATEGORIA],investiroutrosconsolidadomai[[#This Row],[ATUAL]])</f>
        <v>0</v>
      </c>
      <c r="G157" s="91">
        <f>SUMIFS(tabela_registros[VALOR],tabela_registros[MÊS],$AE$1,tabela_registros[DIA],investiroutrosconsolidadomai[[#Headers],[3]],tabela_registros[REGISTRO],DADOS!$N$5,tabela_registros[TIPO],DADOS!$AB$5,tabela_registros[CATEGORIA],investiroutrosconsolidadomai[[#This Row],[ATUAL]])</f>
        <v>0</v>
      </c>
      <c r="H157" s="91">
        <f>SUMIFS(tabela_registros[VALOR],tabela_registros[MÊS],$AE$1,tabela_registros[DIA],investiroutrosconsolidadomai[[#Headers],[4]],tabela_registros[REGISTRO],DADOS!$N$5,tabela_registros[TIPO],DADOS!$AB$5,tabela_registros[CATEGORIA],investiroutrosconsolidadomai[[#This Row],[ATUAL]])</f>
        <v>0</v>
      </c>
      <c r="I157" s="91">
        <f>SUMIFS(tabela_registros[VALOR],tabela_registros[MÊS],$AE$1,tabela_registros[DIA],investiroutrosconsolidadomai[[#Headers],[5]],tabela_registros[REGISTRO],DADOS!$N$5,tabela_registros[TIPO],DADOS!$AB$5,tabela_registros[CATEGORIA],investiroutrosconsolidadomai[[#This Row],[ATUAL]])</f>
        <v>0</v>
      </c>
      <c r="J157" s="91">
        <f>SUMIFS(tabela_registros[VALOR],tabela_registros[MÊS],$AE$1,tabela_registros[DIA],investiroutrosconsolidadomai[[#Headers],[6]],tabela_registros[REGISTRO],DADOS!$N$5,tabela_registros[TIPO],DADOS!$AB$5,tabela_registros[CATEGORIA],investiroutrosconsolidadomai[[#This Row],[ATUAL]])</f>
        <v>0</v>
      </c>
      <c r="K157" s="91">
        <f>SUMIFS(tabela_registros[VALOR],tabela_registros[MÊS],$AE$1,tabela_registros[DIA],investiroutrosconsolidadomai[[#Headers],[7]],tabela_registros[REGISTRO],DADOS!$N$5,tabela_registros[TIPO],DADOS!$AB$5,tabela_registros[CATEGORIA],investiroutrosconsolidadomai[[#This Row],[ATUAL]])</f>
        <v>0</v>
      </c>
      <c r="L157" s="91">
        <f>SUMIFS(tabela_registros[VALOR],tabela_registros[MÊS],$AE$1,tabela_registros[DIA],investiroutrosconsolidadomai[[#Headers],[8]],tabela_registros[REGISTRO],DADOS!$N$5,tabela_registros[TIPO],DADOS!$AB$5,tabela_registros[CATEGORIA],investiroutrosconsolidadomai[[#This Row],[ATUAL]])</f>
        <v>0</v>
      </c>
      <c r="M157" s="91">
        <f>SUMIFS(tabela_registros[VALOR],tabela_registros[MÊS],$AE$1,tabela_registros[DIA],investiroutrosconsolidadomai[[#Headers],[9]],tabela_registros[REGISTRO],DADOS!$N$5,tabela_registros[TIPO],DADOS!$AB$5,tabela_registros[CATEGORIA],investiroutrosconsolidadomai[[#This Row],[ATUAL]])</f>
        <v>0</v>
      </c>
      <c r="N157" s="91">
        <f>SUMIFS(tabela_registros[VALOR],tabela_registros[MÊS],$AE$1,tabela_registros[DIA],investiroutrosconsolidadomai[[#Headers],[10]],tabela_registros[REGISTRO],DADOS!$N$5,tabela_registros[TIPO],DADOS!$AB$5,tabela_registros[CATEGORIA],investiroutrosconsolidadomai[[#This Row],[ATUAL]])</f>
        <v>0</v>
      </c>
      <c r="O157" s="91">
        <f>SUMIFS(tabela_registros[VALOR],tabela_registros[MÊS],$AE$1,tabela_registros[DIA],investiroutrosconsolidadomai[[#Headers],[11]],tabela_registros[REGISTRO],DADOS!$N$5,tabela_registros[TIPO],DADOS!$AB$5,tabela_registros[CATEGORIA],investiroutrosconsolidadomai[[#This Row],[ATUAL]])</f>
        <v>0</v>
      </c>
      <c r="P157" s="91">
        <f>SUMIFS(tabela_registros[VALOR],tabela_registros[MÊS],$AE$1,tabela_registros[DIA],investiroutrosconsolidadomai[[#Headers],[12]],tabela_registros[REGISTRO],DADOS!$N$5,tabela_registros[TIPO],DADOS!$AB$5,tabela_registros[CATEGORIA],investiroutrosconsolidadomai[[#This Row],[ATUAL]])</f>
        <v>0</v>
      </c>
      <c r="Q157" s="91">
        <f>SUMIFS(tabela_registros[VALOR],tabela_registros[MÊS],$AE$1,tabela_registros[DIA],investiroutrosconsolidadomai[[#Headers],[13]],tabela_registros[REGISTRO],DADOS!$N$5,tabela_registros[TIPO],DADOS!$AB$5,tabela_registros[CATEGORIA],investiroutrosconsolidadomai[[#This Row],[ATUAL]])</f>
        <v>0</v>
      </c>
      <c r="R157" s="91">
        <f>SUMIFS(tabela_registros[VALOR],tabela_registros[MÊS],$AE$1,tabela_registros[DIA],investiroutrosconsolidadomai[[#Headers],[14]],tabela_registros[REGISTRO],DADOS!$N$5,tabela_registros[TIPO],DADOS!$AB$5,tabela_registros[CATEGORIA],investiroutrosconsolidadomai[[#This Row],[ATUAL]])</f>
        <v>0</v>
      </c>
      <c r="S157" s="91">
        <f>SUMIFS(tabela_registros[VALOR],tabela_registros[MÊS],$AE$1,tabela_registros[DIA],investiroutrosconsolidadomai[[#Headers],[15]],tabela_registros[REGISTRO],DADOS!$N$5,tabela_registros[TIPO],DADOS!$AB$5,tabela_registros[CATEGORIA],investiroutrosconsolidadomai[[#This Row],[ATUAL]])</f>
        <v>0</v>
      </c>
      <c r="T157" s="91">
        <f>SUMIFS(tabela_registros[VALOR],tabela_registros[MÊS],$AE$1,tabela_registros[DIA],investiroutrosconsolidadomai[[#Headers],[16]],tabela_registros[REGISTRO],DADOS!$N$5,tabela_registros[TIPO],DADOS!$AB$5,tabela_registros[CATEGORIA],investiroutrosconsolidadomai[[#This Row],[ATUAL]])</f>
        <v>0</v>
      </c>
      <c r="U157" s="91">
        <f>SUMIFS(tabela_registros[VALOR],tabela_registros[MÊS],$AE$1,tabela_registros[DIA],investiroutrosconsolidadomai[[#Headers],[17]],tabela_registros[REGISTRO],DADOS!$N$5,tabela_registros[TIPO],DADOS!$AB$5,tabela_registros[CATEGORIA],investiroutrosconsolidadomai[[#This Row],[ATUAL]])</f>
        <v>0</v>
      </c>
      <c r="V157" s="91">
        <f>SUMIFS(tabela_registros[VALOR],tabela_registros[MÊS],$AE$1,tabela_registros[DIA],investiroutrosconsolidadomai[[#Headers],[18]],tabela_registros[REGISTRO],DADOS!$N$5,tabela_registros[TIPO],DADOS!$AB$5,tabela_registros[CATEGORIA],investiroutrosconsolidadomai[[#This Row],[ATUAL]])</f>
        <v>0</v>
      </c>
      <c r="W157" s="91">
        <f>SUMIFS(tabela_registros[VALOR],tabela_registros[MÊS],$AE$1,tabela_registros[DIA],investiroutrosconsolidadomai[[#Headers],[19]],tabela_registros[REGISTRO],DADOS!$N$5,tabela_registros[TIPO],DADOS!$AB$5,tabela_registros[CATEGORIA],investiroutrosconsolidadomai[[#This Row],[ATUAL]])</f>
        <v>0</v>
      </c>
      <c r="X157" s="91">
        <f>SUMIFS(tabela_registros[VALOR],tabela_registros[MÊS],$AE$1,tabela_registros[DIA],investiroutrosconsolidadomai[[#Headers],[20]],tabela_registros[REGISTRO],DADOS!$N$5,tabela_registros[TIPO],DADOS!$AB$5,tabela_registros[CATEGORIA],investiroutrosconsolidadomai[[#This Row],[ATUAL]])</f>
        <v>0</v>
      </c>
      <c r="Y157" s="91">
        <f>SUMIFS(tabela_registros[VALOR],tabela_registros[MÊS],$AE$1,tabela_registros[DIA],investiroutrosconsolidadomai[[#Headers],[21]],tabela_registros[REGISTRO],DADOS!$N$5,tabela_registros[TIPO],DADOS!$AB$5,tabela_registros[CATEGORIA],investiroutrosconsolidadomai[[#This Row],[ATUAL]])</f>
        <v>0</v>
      </c>
      <c r="Z157" s="91">
        <f>SUMIFS(tabela_registros[VALOR],tabela_registros[MÊS],$AE$1,tabela_registros[DIA],investiroutrosconsolidadomai[[#Headers],[22]],tabela_registros[REGISTRO],DADOS!$N$5,tabela_registros[TIPO],DADOS!$AB$5,tabela_registros[CATEGORIA],investiroutrosconsolidadomai[[#This Row],[ATUAL]])</f>
        <v>0</v>
      </c>
      <c r="AA157" s="91">
        <f>SUMIFS(tabela_registros[VALOR],tabela_registros[MÊS],$AE$1,tabela_registros[DIA],investiroutrosconsolidadomai[[#Headers],[23]],tabela_registros[REGISTRO],DADOS!$N$5,tabela_registros[TIPO],DADOS!$AB$5,tabela_registros[CATEGORIA],investiroutrosconsolidadomai[[#This Row],[ATUAL]])</f>
        <v>0</v>
      </c>
      <c r="AB157" s="91">
        <f>SUMIFS(tabela_registros[VALOR],tabela_registros[MÊS],$AE$1,tabela_registros[DIA],investiroutrosconsolidadomai[[#Headers],[24]],tabela_registros[REGISTRO],DADOS!$N$5,tabela_registros[TIPO],DADOS!$AB$5,tabela_registros[CATEGORIA],investiroutrosconsolidadomai[[#This Row],[ATUAL]])</f>
        <v>0</v>
      </c>
      <c r="AC157" s="91">
        <f>SUMIFS(tabela_registros[VALOR],tabela_registros[MÊS],$AE$1,tabela_registros[DIA],investiroutrosconsolidadomai[[#Headers],[25]],tabela_registros[REGISTRO],DADOS!$N$5,tabela_registros[TIPO],DADOS!$AB$5,tabela_registros[CATEGORIA],investiroutrosconsolidadomai[[#This Row],[ATUAL]])</f>
        <v>0</v>
      </c>
      <c r="AD157" s="91">
        <f>SUMIFS(tabela_registros[VALOR],tabela_registros[MÊS],$AE$1,tabela_registros[DIA],investiroutrosconsolidadomai[[#Headers],[26]],tabela_registros[REGISTRO],DADOS!$N$5,tabela_registros[TIPO],DADOS!$AB$5,tabela_registros[CATEGORIA],investiroutrosconsolidadomai[[#This Row],[ATUAL]])</f>
        <v>0</v>
      </c>
      <c r="AE157" s="91">
        <f>SUMIFS(tabela_registros[VALOR],tabela_registros[MÊS],$AE$1,tabela_registros[DIA],investiroutrosconsolidadomai[[#Headers],[27]],tabela_registros[REGISTRO],DADOS!$N$5,tabela_registros[TIPO],DADOS!$AB$5,tabela_registros[CATEGORIA],investiroutrosconsolidadomai[[#This Row],[ATUAL]])</f>
        <v>0</v>
      </c>
      <c r="AF157" s="91">
        <f>SUMIFS(tabela_registros[VALOR],tabela_registros[MÊS],$AE$1,tabela_registros[DIA],investiroutrosconsolidadomai[[#Headers],[28]],tabela_registros[REGISTRO],DADOS!$N$5,tabela_registros[TIPO],DADOS!$AB$5,tabela_registros[CATEGORIA],investiroutrosconsolidadomai[[#This Row],[ATUAL]])</f>
        <v>0</v>
      </c>
      <c r="AG157" s="91">
        <f>SUMIFS(tabela_registros[VALOR],tabela_registros[MÊS],$AE$1,tabela_registros[DIA],investiroutrosconsolidadomai[[#Headers],[29]],tabela_registros[REGISTRO],DADOS!$N$5,tabela_registros[TIPO],DADOS!$AB$5,tabela_registros[CATEGORIA],investiroutrosconsolidadomai[[#This Row],[ATUAL]])</f>
        <v>0</v>
      </c>
      <c r="AH157" s="91">
        <f>SUMIFS(tabela_registros[VALOR],tabela_registros[MÊS],$AE$1,tabela_registros[DIA],investiroutrosconsolidadomai[[#Headers],[30]],tabela_registros[REGISTRO],DADOS!$N$5,tabela_registros[TIPO],DADOS!$AB$5,tabela_registros[CATEGORIA],investiroutrosconsolidadomai[[#This Row],[ATUAL]])</f>
        <v>0</v>
      </c>
      <c r="AI157" s="101">
        <f>SUMIFS(tabela_registros[VALOR],tabela_registros[MÊS],$AE$1,tabela_registros[DIA],investiroutrosconsolidadomai[[#Headers],[31]],tabela_registros[REGISTRO],DADOS!$N$5,tabela_registros[TIPO],DADOS!$AB$5,tabela_registros[CATEGORIA],investiroutrosconsolidadomai[[#This Row],[ATUAL]])</f>
        <v>0</v>
      </c>
      <c r="AJ157" s="97">
        <f>SUM(investiroutrosconsolidadomai[[#This Row],[1]:[31]])</f>
        <v>0</v>
      </c>
      <c r="AK157" s="25"/>
    </row>
    <row r="158" spans="2:37" ht="19.5" customHeight="1" thickTop="1" thickBot="1" x14ac:dyDescent="0.3">
      <c r="B158" s="28"/>
      <c r="C158" s="27" t="str">
        <f>DADOS!$AH$10</f>
        <v>📎 OUTROS</v>
      </c>
      <c r="D158" s="26" t="str">
        <f>IF(investiroutrosconsolidadomai[[#This Row],[TOTAL (R$)]]=0,"",IF(OR(investiroutrosconsolidadomai[[#This Row],[TOTAL (R$)]]=LARGE($AJ$151:$AJ$158,1),investiroutrosconsolidadomai[[#This Row],[TOTAL (R$)]]=LARGE($AJ$151:$AJ$158,2)),DADOS!$I$10,""))</f>
        <v/>
      </c>
      <c r="E158" s="96">
        <f>SUMIFS(tabela_registros[VALOR],tabela_registros[MÊS],$AE$1,tabela_registros[DIA],investiroutrosconsolidadomai[[#Headers],[1]],tabela_registros[REGISTRO],DADOS!$N$5,tabela_registros[TIPO],DADOS!$AB$5,tabela_registros[CATEGORIA],investiroutrosconsolidadomai[[#This Row],[ATUAL]])</f>
        <v>0</v>
      </c>
      <c r="F158" s="91">
        <f>SUMIFS(tabela_registros[VALOR],tabela_registros[MÊS],$AE$1,tabela_registros[DIA],investiroutrosconsolidadomai[[#Headers],[2]],tabela_registros[REGISTRO],DADOS!$N$5,tabela_registros[TIPO],DADOS!$AB$5,tabela_registros[CATEGORIA],investiroutrosconsolidadomai[[#This Row],[ATUAL]])</f>
        <v>0</v>
      </c>
      <c r="G158" s="91">
        <f>SUMIFS(tabela_registros[VALOR],tabela_registros[MÊS],$AE$1,tabela_registros[DIA],investiroutrosconsolidadomai[[#Headers],[3]],tabela_registros[REGISTRO],DADOS!$N$5,tabela_registros[TIPO],DADOS!$AB$5,tabela_registros[CATEGORIA],investiroutrosconsolidadomai[[#This Row],[ATUAL]])</f>
        <v>0</v>
      </c>
      <c r="H158" s="91">
        <f>SUMIFS(tabela_registros[VALOR],tabela_registros[MÊS],$AE$1,tabela_registros[DIA],investiroutrosconsolidadomai[[#Headers],[4]],tabela_registros[REGISTRO],DADOS!$N$5,tabela_registros[TIPO],DADOS!$AB$5,tabela_registros[CATEGORIA],investiroutrosconsolidadomai[[#This Row],[ATUAL]])</f>
        <v>0</v>
      </c>
      <c r="I158" s="91">
        <f>SUMIFS(tabela_registros[VALOR],tabela_registros[MÊS],$AE$1,tabela_registros[DIA],investiroutrosconsolidadomai[[#Headers],[5]],tabela_registros[REGISTRO],DADOS!$N$5,tabela_registros[TIPO],DADOS!$AB$5,tabela_registros[CATEGORIA],investiroutrosconsolidadomai[[#This Row],[ATUAL]])</f>
        <v>0</v>
      </c>
      <c r="J158" s="91">
        <f>SUMIFS(tabela_registros[VALOR],tabela_registros[MÊS],$AE$1,tabela_registros[DIA],investiroutrosconsolidadomai[[#Headers],[6]],tabela_registros[REGISTRO],DADOS!$N$5,tabela_registros[TIPO],DADOS!$AB$5,tabela_registros[CATEGORIA],investiroutrosconsolidadomai[[#This Row],[ATUAL]])</f>
        <v>0</v>
      </c>
      <c r="K158" s="91">
        <f>SUMIFS(tabela_registros[VALOR],tabela_registros[MÊS],$AE$1,tabela_registros[DIA],investiroutrosconsolidadomai[[#Headers],[7]],tabela_registros[REGISTRO],DADOS!$N$5,tabela_registros[TIPO],DADOS!$AB$5,tabela_registros[CATEGORIA],investiroutrosconsolidadomai[[#This Row],[ATUAL]])</f>
        <v>0</v>
      </c>
      <c r="L158" s="91">
        <f>SUMIFS(tabela_registros[VALOR],tabela_registros[MÊS],$AE$1,tabela_registros[DIA],investiroutrosconsolidadomai[[#Headers],[8]],tabela_registros[REGISTRO],DADOS!$N$5,tabela_registros[TIPO],DADOS!$AB$5,tabela_registros[CATEGORIA],investiroutrosconsolidadomai[[#This Row],[ATUAL]])</f>
        <v>0</v>
      </c>
      <c r="M158" s="91">
        <f>SUMIFS(tabela_registros[VALOR],tabela_registros[MÊS],$AE$1,tabela_registros[DIA],investiroutrosconsolidadomai[[#Headers],[9]],tabela_registros[REGISTRO],DADOS!$N$5,tabela_registros[TIPO],DADOS!$AB$5,tabela_registros[CATEGORIA],investiroutrosconsolidadomai[[#This Row],[ATUAL]])</f>
        <v>0</v>
      </c>
      <c r="N158" s="91">
        <f>SUMIFS(tabela_registros[VALOR],tabela_registros[MÊS],$AE$1,tabela_registros[DIA],investiroutrosconsolidadomai[[#Headers],[10]],tabela_registros[REGISTRO],DADOS!$N$5,tabela_registros[TIPO],DADOS!$AB$5,tabela_registros[CATEGORIA],investiroutrosconsolidadomai[[#This Row],[ATUAL]])</f>
        <v>0</v>
      </c>
      <c r="O158" s="91">
        <f>SUMIFS(tabela_registros[VALOR],tabela_registros[MÊS],$AE$1,tabela_registros[DIA],investiroutrosconsolidadomai[[#Headers],[11]],tabela_registros[REGISTRO],DADOS!$N$5,tabela_registros[TIPO],DADOS!$AB$5,tabela_registros[CATEGORIA],investiroutrosconsolidadomai[[#This Row],[ATUAL]])</f>
        <v>0</v>
      </c>
      <c r="P158" s="91">
        <f>SUMIFS(tabela_registros[VALOR],tabela_registros[MÊS],$AE$1,tabela_registros[DIA],investiroutrosconsolidadomai[[#Headers],[12]],tabela_registros[REGISTRO],DADOS!$N$5,tabela_registros[TIPO],DADOS!$AB$5,tabela_registros[CATEGORIA],investiroutrosconsolidadomai[[#This Row],[ATUAL]])</f>
        <v>0</v>
      </c>
      <c r="Q158" s="91">
        <f>SUMIFS(tabela_registros[VALOR],tabela_registros[MÊS],$AE$1,tabela_registros[DIA],investiroutrosconsolidadomai[[#Headers],[13]],tabela_registros[REGISTRO],DADOS!$N$5,tabela_registros[TIPO],DADOS!$AB$5,tabela_registros[CATEGORIA],investiroutrosconsolidadomai[[#This Row],[ATUAL]])</f>
        <v>0</v>
      </c>
      <c r="R158" s="91">
        <f>SUMIFS(tabela_registros[VALOR],tabela_registros[MÊS],$AE$1,tabela_registros[DIA],investiroutrosconsolidadomai[[#Headers],[14]],tabela_registros[REGISTRO],DADOS!$N$5,tabela_registros[TIPO],DADOS!$AB$5,tabela_registros[CATEGORIA],investiroutrosconsolidadomai[[#This Row],[ATUAL]])</f>
        <v>0</v>
      </c>
      <c r="S158" s="91">
        <f>SUMIFS(tabela_registros[VALOR],tabela_registros[MÊS],$AE$1,tabela_registros[DIA],investiroutrosconsolidadomai[[#Headers],[15]],tabela_registros[REGISTRO],DADOS!$N$5,tabela_registros[TIPO],DADOS!$AB$5,tabela_registros[CATEGORIA],investiroutrosconsolidadomai[[#This Row],[ATUAL]])</f>
        <v>0</v>
      </c>
      <c r="T158" s="91">
        <f>SUMIFS(tabela_registros[VALOR],tabela_registros[MÊS],$AE$1,tabela_registros[DIA],investiroutrosconsolidadomai[[#Headers],[16]],tabela_registros[REGISTRO],DADOS!$N$5,tabela_registros[TIPO],DADOS!$AB$5,tabela_registros[CATEGORIA],investiroutrosconsolidadomai[[#This Row],[ATUAL]])</f>
        <v>0</v>
      </c>
      <c r="U158" s="91">
        <f>SUMIFS(tabela_registros[VALOR],tabela_registros[MÊS],$AE$1,tabela_registros[DIA],investiroutrosconsolidadomai[[#Headers],[17]],tabela_registros[REGISTRO],DADOS!$N$5,tabela_registros[TIPO],DADOS!$AB$5,tabela_registros[CATEGORIA],investiroutrosconsolidadomai[[#This Row],[ATUAL]])</f>
        <v>0</v>
      </c>
      <c r="V158" s="91">
        <f>SUMIFS(tabela_registros[VALOR],tabela_registros[MÊS],$AE$1,tabela_registros[DIA],investiroutrosconsolidadomai[[#Headers],[18]],tabela_registros[REGISTRO],DADOS!$N$5,tabela_registros[TIPO],DADOS!$AB$5,tabela_registros[CATEGORIA],investiroutrosconsolidadomai[[#This Row],[ATUAL]])</f>
        <v>0</v>
      </c>
      <c r="W158" s="91">
        <f>SUMIFS(tabela_registros[VALOR],tabela_registros[MÊS],$AE$1,tabela_registros[DIA],investiroutrosconsolidadomai[[#Headers],[19]],tabela_registros[REGISTRO],DADOS!$N$5,tabela_registros[TIPO],DADOS!$AB$5,tabela_registros[CATEGORIA],investiroutrosconsolidadomai[[#This Row],[ATUAL]])</f>
        <v>0</v>
      </c>
      <c r="X158" s="91">
        <f>SUMIFS(tabela_registros[VALOR],tabela_registros[MÊS],$AE$1,tabela_registros[DIA],investiroutrosconsolidadomai[[#Headers],[20]],tabela_registros[REGISTRO],DADOS!$N$5,tabela_registros[TIPO],DADOS!$AB$5,tabela_registros[CATEGORIA],investiroutrosconsolidadomai[[#This Row],[ATUAL]])</f>
        <v>0</v>
      </c>
      <c r="Y158" s="91">
        <f>SUMIFS(tabela_registros[VALOR],tabela_registros[MÊS],$AE$1,tabela_registros[DIA],investiroutrosconsolidadomai[[#Headers],[21]],tabela_registros[REGISTRO],DADOS!$N$5,tabela_registros[TIPO],DADOS!$AB$5,tabela_registros[CATEGORIA],investiroutrosconsolidadomai[[#This Row],[ATUAL]])</f>
        <v>0</v>
      </c>
      <c r="Z158" s="91">
        <f>SUMIFS(tabela_registros[VALOR],tabela_registros[MÊS],$AE$1,tabela_registros[DIA],investiroutrosconsolidadomai[[#Headers],[22]],tabela_registros[REGISTRO],DADOS!$N$5,tabela_registros[TIPO],DADOS!$AB$5,tabela_registros[CATEGORIA],investiroutrosconsolidadomai[[#This Row],[ATUAL]])</f>
        <v>0</v>
      </c>
      <c r="AA158" s="91">
        <f>SUMIFS(tabela_registros[VALOR],tabela_registros[MÊS],$AE$1,tabela_registros[DIA],investiroutrosconsolidadomai[[#Headers],[23]],tabela_registros[REGISTRO],DADOS!$N$5,tabela_registros[TIPO],DADOS!$AB$5,tabela_registros[CATEGORIA],investiroutrosconsolidadomai[[#This Row],[ATUAL]])</f>
        <v>0</v>
      </c>
      <c r="AB158" s="91">
        <f>SUMIFS(tabela_registros[VALOR],tabela_registros[MÊS],$AE$1,tabela_registros[DIA],investiroutrosconsolidadomai[[#Headers],[24]],tabela_registros[REGISTRO],DADOS!$N$5,tabela_registros[TIPO],DADOS!$AB$5,tabela_registros[CATEGORIA],investiroutrosconsolidadomai[[#This Row],[ATUAL]])</f>
        <v>0</v>
      </c>
      <c r="AC158" s="91">
        <f>SUMIFS(tabela_registros[VALOR],tabela_registros[MÊS],$AE$1,tabela_registros[DIA],investiroutrosconsolidadomai[[#Headers],[25]],tabela_registros[REGISTRO],DADOS!$N$5,tabela_registros[TIPO],DADOS!$AB$5,tabela_registros[CATEGORIA],investiroutrosconsolidadomai[[#This Row],[ATUAL]])</f>
        <v>0</v>
      </c>
      <c r="AD158" s="91">
        <f>SUMIFS(tabela_registros[VALOR],tabela_registros[MÊS],$AE$1,tabela_registros[DIA],investiroutrosconsolidadomai[[#Headers],[26]],tabela_registros[REGISTRO],DADOS!$N$5,tabela_registros[TIPO],DADOS!$AB$5,tabela_registros[CATEGORIA],investiroutrosconsolidadomai[[#This Row],[ATUAL]])</f>
        <v>0</v>
      </c>
      <c r="AE158" s="91">
        <f>SUMIFS(tabela_registros[VALOR],tabela_registros[MÊS],$AE$1,tabela_registros[DIA],investiroutrosconsolidadomai[[#Headers],[27]],tabela_registros[REGISTRO],DADOS!$N$5,tabela_registros[TIPO],DADOS!$AB$5,tabela_registros[CATEGORIA],investiroutrosconsolidadomai[[#This Row],[ATUAL]])</f>
        <v>0</v>
      </c>
      <c r="AF158" s="91">
        <f>SUMIFS(tabela_registros[VALOR],tabela_registros[MÊS],$AE$1,tabela_registros[DIA],investiroutrosconsolidadomai[[#Headers],[28]],tabela_registros[REGISTRO],DADOS!$N$5,tabela_registros[TIPO],DADOS!$AB$5,tabela_registros[CATEGORIA],investiroutrosconsolidadomai[[#This Row],[ATUAL]])</f>
        <v>0</v>
      </c>
      <c r="AG158" s="91">
        <f>SUMIFS(tabela_registros[VALOR],tabela_registros[MÊS],$AE$1,tabela_registros[DIA],investiroutrosconsolidadomai[[#Headers],[29]],tabela_registros[REGISTRO],DADOS!$N$5,tabela_registros[TIPO],DADOS!$AB$5,tabela_registros[CATEGORIA],investiroutrosconsolidadomai[[#This Row],[ATUAL]])</f>
        <v>0</v>
      </c>
      <c r="AH158" s="91">
        <f>SUMIFS(tabela_registros[VALOR],tabela_registros[MÊS],$AE$1,tabela_registros[DIA],investiroutrosconsolidadomai[[#Headers],[30]],tabela_registros[REGISTRO],DADOS!$N$5,tabela_registros[TIPO],DADOS!$AB$5,tabela_registros[CATEGORIA],investiroutrosconsolidadomai[[#This Row],[ATUAL]])</f>
        <v>0</v>
      </c>
      <c r="AI158" s="102">
        <f>SUMIFS(tabela_registros[VALOR],tabela_registros[MÊS],$AE$1,tabela_registros[DIA],investiroutrosconsolidadomai[[#Headers],[31]],tabela_registros[REGISTRO],DADOS!$N$5,tabela_registros[TIPO],DADOS!$AB$5,tabela_registros[CATEGORIA],investiroutrosconsolidadomai[[#This Row],[ATUAL]])</f>
        <v>0</v>
      </c>
      <c r="AJ158" s="97">
        <f>SUM(investiroutrosconsolidadomai[[#This Row],[1]:[31]])</f>
        <v>0</v>
      </c>
      <c r="AK158" s="25"/>
    </row>
    <row r="159" spans="2:37" s="16" customFormat="1" ht="21" customHeight="1" thickTop="1" thickBot="1" x14ac:dyDescent="0.35">
      <c r="B159" s="24"/>
      <c r="C159" s="23" t="s">
        <v>19</v>
      </c>
      <c r="D159" s="22"/>
      <c r="E159" s="21">
        <f>SUM(E151:E158)</f>
        <v>0</v>
      </c>
      <c r="F159" s="20">
        <f>SUM(F151:F158)+investiroutrosconsolidadomai[[#This Row],[1]]</f>
        <v>0</v>
      </c>
      <c r="G159" s="20">
        <f>SUM(G151:G158)+investiroutrosconsolidadomai[[#This Row],[2]]</f>
        <v>0</v>
      </c>
      <c r="H159" s="20">
        <f>SUM(H151:H158)+investiroutrosconsolidadomai[[#This Row],[3]]</f>
        <v>0</v>
      </c>
      <c r="I159" s="20">
        <f>SUM(I151:I158)+investiroutrosconsolidadomai[[#This Row],[4]]</f>
        <v>0</v>
      </c>
      <c r="J159" s="20">
        <f>SUM(J151:J158)+investiroutrosconsolidadomai[[#This Row],[5]]</f>
        <v>0</v>
      </c>
      <c r="K159" s="20">
        <f>SUM(K151:K158)+investiroutrosconsolidadomai[[#This Row],[6]]</f>
        <v>0</v>
      </c>
      <c r="L159" s="20">
        <f>SUM(L151:L158)+investiroutrosconsolidadomai[[#This Row],[7]]</f>
        <v>0</v>
      </c>
      <c r="M159" s="20">
        <f>SUM(M151:M158)+investiroutrosconsolidadomai[[#This Row],[8]]</f>
        <v>0</v>
      </c>
      <c r="N159" s="20">
        <f>SUM(N151:N158)+investiroutrosconsolidadomai[[#This Row],[9]]</f>
        <v>0</v>
      </c>
      <c r="O159" s="20">
        <f>SUM(O151:O158)+investiroutrosconsolidadomai[[#This Row],[10]]</f>
        <v>0</v>
      </c>
      <c r="P159" s="20">
        <f>SUM(P151:P158)+investiroutrosconsolidadomai[[#This Row],[11]]</f>
        <v>0</v>
      </c>
      <c r="Q159" s="20">
        <f>SUM(Q151:Q158)+investiroutrosconsolidadomai[[#This Row],[12]]</f>
        <v>0</v>
      </c>
      <c r="R159" s="20">
        <f>SUM(R151:R158)+investiroutrosconsolidadomai[[#This Row],[13]]</f>
        <v>0</v>
      </c>
      <c r="S159" s="20">
        <f>SUM(S151:S158)+investiroutrosconsolidadomai[[#This Row],[14]]</f>
        <v>0</v>
      </c>
      <c r="T159" s="20">
        <f>SUM(T151:T158)+investiroutrosconsolidadomai[[#This Row],[15]]</f>
        <v>0</v>
      </c>
      <c r="U159" s="20">
        <f>SUM(U151:U158)+investiroutrosconsolidadomai[[#This Row],[16]]</f>
        <v>0</v>
      </c>
      <c r="V159" s="20">
        <f>SUM(V151:V158)+investiroutrosconsolidadomai[[#This Row],[17]]</f>
        <v>0</v>
      </c>
      <c r="W159" s="20">
        <f>SUM(W151:W158)+investiroutrosconsolidadomai[[#This Row],[18]]</f>
        <v>0</v>
      </c>
      <c r="X159" s="20">
        <f>SUM(X151:X158)+investiroutrosconsolidadomai[[#This Row],[19]]</f>
        <v>0</v>
      </c>
      <c r="Y159" s="20">
        <f>SUM(Y151:Y158)+investiroutrosconsolidadomai[[#This Row],[20]]</f>
        <v>0</v>
      </c>
      <c r="Z159" s="20">
        <f>SUM(Z151:Z158)+investiroutrosconsolidadomai[[#This Row],[21]]</f>
        <v>0</v>
      </c>
      <c r="AA159" s="20">
        <f>SUM(AA151:AA158)+investiroutrosconsolidadomai[[#This Row],[22]]</f>
        <v>0</v>
      </c>
      <c r="AB159" s="20">
        <f>SUM(AB151:AB158)+investiroutrosconsolidadomai[[#This Row],[23]]</f>
        <v>0</v>
      </c>
      <c r="AC159" s="20">
        <f>SUM(AC151:AC158)+investiroutrosconsolidadomai[[#This Row],[24]]</f>
        <v>0</v>
      </c>
      <c r="AD159" s="20">
        <f>SUM(AD151:AD158)+investiroutrosconsolidadomai[[#This Row],[25]]</f>
        <v>0</v>
      </c>
      <c r="AE159" s="20">
        <f>SUM(AE151:AE158)+investiroutrosconsolidadomai[[#This Row],[26]]</f>
        <v>0</v>
      </c>
      <c r="AF159" s="20">
        <f>SUM(AF151:AF158)+investiroutrosconsolidadomai[[#This Row],[27]]</f>
        <v>0</v>
      </c>
      <c r="AG159" s="20">
        <f>SUM(AG151:AG158)+investiroutrosconsolidadomai[[#This Row],[28]]</f>
        <v>0</v>
      </c>
      <c r="AH159" s="20">
        <f>SUM(AH151:AH158)+investiroutrosconsolidadomai[[#This Row],[29]]</f>
        <v>0</v>
      </c>
      <c r="AI159" s="19">
        <f>SUM(AI151:AI158)+investiroutrosconsolidadomai[[#This Row],[30]]</f>
        <v>0</v>
      </c>
      <c r="AJ159" s="18">
        <f>investiroutrosconsolidadomai[[#This Row],[31]]</f>
        <v>0</v>
      </c>
      <c r="AK159" s="17"/>
    </row>
    <row r="160" spans="2:37" ht="6.75" customHeight="1" thickTop="1" thickBot="1" x14ac:dyDescent="0.3">
      <c r="B160" s="15"/>
      <c r="C160" s="14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  <c r="AA160" s="13"/>
      <c r="AB160" s="13"/>
      <c r="AC160" s="13"/>
      <c r="AD160" s="13"/>
      <c r="AE160" s="13"/>
      <c r="AF160" s="13"/>
      <c r="AG160" s="13"/>
      <c r="AH160" s="13"/>
      <c r="AI160" s="12"/>
      <c r="AJ160" s="11"/>
      <c r="AK160" s="10"/>
    </row>
    <row r="161" spans="2:37" ht="12.6" thickTop="1" x14ac:dyDescent="0.25">
      <c r="E161" s="37"/>
      <c r="AI161" s="4"/>
    </row>
    <row r="162" spans="2:37" x14ac:dyDescent="0.25">
      <c r="AI162" s="4"/>
    </row>
    <row r="163" spans="2:37" x14ac:dyDescent="0.25">
      <c r="AI163" s="4"/>
    </row>
    <row r="164" spans="2:37" ht="39.75" customHeight="1" x14ac:dyDescent="0.7">
      <c r="C164" s="36"/>
      <c r="E164" s="240"/>
      <c r="F164" s="240"/>
      <c r="G164" s="240"/>
      <c r="H164" s="240"/>
      <c r="I164" s="240"/>
      <c r="J164" s="240"/>
      <c r="K164" s="240"/>
      <c r="L164" s="240"/>
      <c r="M164" s="240"/>
      <c r="N164" s="240"/>
      <c r="O164" s="240"/>
      <c r="P164" s="240"/>
      <c r="Q164" s="240"/>
      <c r="R164" s="240"/>
      <c r="S164" s="240"/>
      <c r="T164" s="240"/>
      <c r="U164" s="240"/>
      <c r="V164" s="240"/>
      <c r="W164" s="240"/>
      <c r="X164" s="240"/>
      <c r="Y164" s="240"/>
      <c r="Z164" s="240"/>
      <c r="AA164" s="240"/>
      <c r="AB164" s="240"/>
      <c r="AC164" s="240"/>
      <c r="AD164" s="240"/>
      <c r="AE164" s="240"/>
      <c r="AF164" s="240"/>
      <c r="AG164" s="240"/>
      <c r="AH164" s="240"/>
      <c r="AI164" s="240"/>
      <c r="AJ164" s="32" t="s">
        <v>19</v>
      </c>
    </row>
    <row r="165" spans="2:37" ht="12.6" thickBot="1" x14ac:dyDescent="0.3">
      <c r="B165" s="35"/>
      <c r="AI165" s="4"/>
      <c r="AJ165" s="34" t="s">
        <v>202</v>
      </c>
    </row>
    <row r="166" spans="2:37" ht="6.75" customHeight="1" thickTop="1" thickBot="1" x14ac:dyDescent="0.3">
      <c r="B166" s="2"/>
      <c r="C166" s="14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F166" s="13"/>
      <c r="AG166" s="13"/>
      <c r="AH166" s="13"/>
      <c r="AI166" s="13"/>
      <c r="AJ166" s="12"/>
      <c r="AK166" s="33"/>
    </row>
    <row r="167" spans="2:37" ht="13.2" hidden="1" thickTop="1" thickBot="1" x14ac:dyDescent="0.3">
      <c r="B167" s="2"/>
      <c r="C167" s="31" t="s">
        <v>199</v>
      </c>
      <c r="D167" s="30" t="s">
        <v>198</v>
      </c>
      <c r="E167" s="30" t="s">
        <v>197</v>
      </c>
      <c r="F167" s="30" t="s">
        <v>196</v>
      </c>
      <c r="G167" s="30" t="s">
        <v>195</v>
      </c>
      <c r="H167" s="30" t="s">
        <v>194</v>
      </c>
      <c r="I167" s="30" t="s">
        <v>193</v>
      </c>
      <c r="J167" s="30" t="s">
        <v>192</v>
      </c>
      <c r="K167" s="30" t="s">
        <v>191</v>
      </c>
      <c r="L167" s="30" t="s">
        <v>190</v>
      </c>
      <c r="M167" s="30" t="s">
        <v>189</v>
      </c>
      <c r="N167" s="30" t="s">
        <v>188</v>
      </c>
      <c r="O167" s="30" t="s">
        <v>187</v>
      </c>
      <c r="P167" s="30" t="s">
        <v>186</v>
      </c>
      <c r="Q167" s="30" t="s">
        <v>185</v>
      </c>
      <c r="R167" s="30" t="s">
        <v>184</v>
      </c>
      <c r="S167" s="30" t="s">
        <v>183</v>
      </c>
      <c r="T167" s="30" t="s">
        <v>182</v>
      </c>
      <c r="U167" s="30" t="s">
        <v>181</v>
      </c>
      <c r="V167" s="30" t="s">
        <v>180</v>
      </c>
      <c r="W167" s="30" t="s">
        <v>179</v>
      </c>
      <c r="X167" s="30" t="s">
        <v>178</v>
      </c>
      <c r="Y167" s="30" t="s">
        <v>177</v>
      </c>
      <c r="Z167" s="30" t="s">
        <v>176</v>
      </c>
      <c r="AA167" s="30" t="s">
        <v>175</v>
      </c>
      <c r="AB167" s="30" t="s">
        <v>174</v>
      </c>
      <c r="AC167" s="30" t="s">
        <v>173</v>
      </c>
      <c r="AD167" s="30" t="s">
        <v>172</v>
      </c>
      <c r="AE167" s="30" t="s">
        <v>171</v>
      </c>
      <c r="AF167" s="30" t="s">
        <v>170</v>
      </c>
      <c r="AG167" s="30" t="s">
        <v>169</v>
      </c>
      <c r="AH167" s="30" t="s">
        <v>168</v>
      </c>
      <c r="AI167" s="30" t="s">
        <v>167</v>
      </c>
      <c r="AJ167" s="29" t="s">
        <v>166</v>
      </c>
      <c r="AK167" s="2"/>
    </row>
    <row r="168" spans="2:37" ht="19.5" customHeight="1" thickTop="1" thickBot="1" x14ac:dyDescent="0.3">
      <c r="B168" s="28"/>
      <c r="C168" s="27" t="str">
        <f>DADOS!$AL$3</f>
        <v>📝 CDB</v>
      </c>
      <c r="D168" s="26" t="str">
        <f>IF(reservafixaconsolidadomai[[#This Row],[TOTAL (R$)]]=0,"",IF(OR(reservafixaconsolidadomai[[#This Row],[TOTAL (R$)]]=LARGE($AJ$168:$AJ$177,1),reservafixaconsolidadomai[[#This Row],[TOTAL (R$)]]=LARGE($AJ$168:$AJ$177,2)),DADOS!$I$11,""))</f>
        <v/>
      </c>
      <c r="E168" s="96">
        <f>SUMIFS(tabela_registros[VALOR],tabela_registros[MÊS],$AE$1,tabela_registros[DIA],reservafixaconsolidadomai[[#Headers],[1]],tabela_registros[REGISTRO],DADOS!$N$6,tabela_registros[TIPO],DADOS!$AJ$3,tabela_registros[CATEGORIA],reservafixaconsolidadomai[[#This Row],[ATUAL]])</f>
        <v>0</v>
      </c>
      <c r="F168" s="91">
        <f>SUMIFS(tabela_registros[VALOR],tabela_registros[MÊS],$AE$1,tabela_registros[DIA],reservafixaconsolidadomai[[#Headers],[2]],tabela_registros[REGISTRO],DADOS!$N$6,tabela_registros[TIPO],DADOS!$AJ$3,tabela_registros[CATEGORIA],reservafixaconsolidadomai[[#This Row],[ATUAL]])</f>
        <v>0</v>
      </c>
      <c r="G168" s="91">
        <f>SUMIFS(tabela_registros[VALOR],tabela_registros[MÊS],$AE$1,tabela_registros[DIA],reservafixaconsolidadomai[[#Headers],[3]],tabela_registros[REGISTRO],DADOS!$N$6,tabela_registros[TIPO],DADOS!$AJ$3,tabela_registros[CATEGORIA],reservafixaconsolidadomai[[#This Row],[ATUAL]])</f>
        <v>0</v>
      </c>
      <c r="H168" s="91">
        <f>SUMIFS(tabela_registros[VALOR],tabela_registros[MÊS],$AE$1,tabela_registros[DIA],reservafixaconsolidadomai[[#Headers],[4]],tabela_registros[REGISTRO],DADOS!$N$6,tabela_registros[TIPO],DADOS!$AJ$3,tabela_registros[CATEGORIA],reservafixaconsolidadomai[[#This Row],[ATUAL]])</f>
        <v>0</v>
      </c>
      <c r="I168" s="91">
        <f>SUMIFS(tabela_registros[VALOR],tabela_registros[MÊS],$AE$1,tabela_registros[DIA],reservafixaconsolidadomai[[#Headers],[5]],tabela_registros[REGISTRO],DADOS!$N$6,tabela_registros[TIPO],DADOS!$AJ$3,tabela_registros[CATEGORIA],reservafixaconsolidadomai[[#This Row],[ATUAL]])</f>
        <v>0</v>
      </c>
      <c r="J168" s="91">
        <f>SUMIFS(tabela_registros[VALOR],tabela_registros[MÊS],$AE$1,tabela_registros[DIA],reservafixaconsolidadomai[[#Headers],[6]],tabela_registros[REGISTRO],DADOS!$N$6,tabela_registros[TIPO],DADOS!$AJ$3,tabela_registros[CATEGORIA],reservafixaconsolidadomai[[#This Row],[ATUAL]])</f>
        <v>0</v>
      </c>
      <c r="K168" s="91">
        <f>SUMIFS(tabela_registros[VALOR],tabela_registros[MÊS],$AE$1,tabela_registros[DIA],reservafixaconsolidadomai[[#Headers],[7]],tabela_registros[REGISTRO],DADOS!$N$6,tabela_registros[TIPO],DADOS!$AJ$3,tabela_registros[CATEGORIA],reservafixaconsolidadomai[[#This Row],[ATUAL]])</f>
        <v>0</v>
      </c>
      <c r="L168" s="91">
        <f>SUMIFS(tabela_registros[VALOR],tabela_registros[MÊS],$AE$1,tabela_registros[DIA],reservafixaconsolidadomai[[#Headers],[8]],tabela_registros[REGISTRO],DADOS!$N$6,tabela_registros[TIPO],DADOS!$AJ$3,tabela_registros[CATEGORIA],reservafixaconsolidadomai[[#This Row],[ATUAL]])</f>
        <v>0</v>
      </c>
      <c r="M168" s="91">
        <f>SUMIFS(tabela_registros[VALOR],tabela_registros[MÊS],$AE$1,tabela_registros[DIA],reservafixaconsolidadomai[[#Headers],[9]],tabela_registros[REGISTRO],DADOS!$N$6,tabela_registros[TIPO],DADOS!$AJ$3,tabela_registros[CATEGORIA],reservafixaconsolidadomai[[#This Row],[ATUAL]])</f>
        <v>0</v>
      </c>
      <c r="N168" s="91">
        <f>SUMIFS(tabela_registros[VALOR],tabela_registros[MÊS],$AE$1,tabela_registros[DIA],reservafixaconsolidadomai[[#Headers],[10]],tabela_registros[REGISTRO],DADOS!$N$6,tabela_registros[TIPO],DADOS!$AJ$3,tabela_registros[CATEGORIA],reservafixaconsolidadomai[[#This Row],[ATUAL]])</f>
        <v>0</v>
      </c>
      <c r="O168" s="91">
        <f>SUMIFS(tabela_registros[VALOR],tabela_registros[MÊS],$AE$1,tabela_registros[DIA],reservafixaconsolidadomai[[#Headers],[11]],tabela_registros[REGISTRO],DADOS!$N$6,tabela_registros[TIPO],DADOS!$AJ$3,tabela_registros[CATEGORIA],reservafixaconsolidadomai[[#This Row],[ATUAL]])</f>
        <v>0</v>
      </c>
      <c r="P168" s="91">
        <f>SUMIFS(tabela_registros[VALOR],tabela_registros[MÊS],$AE$1,tabela_registros[DIA],reservafixaconsolidadomai[[#Headers],[12]],tabela_registros[REGISTRO],DADOS!$N$6,tabela_registros[TIPO],DADOS!$AJ$3,tabela_registros[CATEGORIA],reservafixaconsolidadomai[[#This Row],[ATUAL]])</f>
        <v>0</v>
      </c>
      <c r="Q168" s="91">
        <f>SUMIFS(tabela_registros[VALOR],tabela_registros[MÊS],$AE$1,tabela_registros[DIA],reservafixaconsolidadomai[[#Headers],[13]],tabela_registros[REGISTRO],DADOS!$N$6,tabela_registros[TIPO],DADOS!$AJ$3,tabela_registros[CATEGORIA],reservafixaconsolidadomai[[#This Row],[ATUAL]])</f>
        <v>0</v>
      </c>
      <c r="R168" s="91">
        <f>SUMIFS(tabela_registros[VALOR],tabela_registros[MÊS],$AE$1,tabela_registros[DIA],reservafixaconsolidadomai[[#Headers],[14]],tabela_registros[REGISTRO],DADOS!$N$6,tabela_registros[TIPO],DADOS!$AJ$3,tabela_registros[CATEGORIA],reservafixaconsolidadomai[[#This Row],[ATUAL]])</f>
        <v>0</v>
      </c>
      <c r="S168" s="91">
        <f>SUMIFS(tabela_registros[VALOR],tabela_registros[MÊS],$AE$1,tabela_registros[DIA],reservafixaconsolidadomai[[#Headers],[15]],tabela_registros[REGISTRO],DADOS!$N$6,tabela_registros[TIPO],DADOS!$AJ$3,tabela_registros[CATEGORIA],reservafixaconsolidadomai[[#This Row],[ATUAL]])</f>
        <v>0</v>
      </c>
      <c r="T168" s="91">
        <f>SUMIFS(tabela_registros[VALOR],tabela_registros[MÊS],$AE$1,tabela_registros[DIA],reservafixaconsolidadomai[[#Headers],[16]],tabela_registros[REGISTRO],DADOS!$N$6,tabela_registros[TIPO],DADOS!$AJ$3,tabela_registros[CATEGORIA],reservafixaconsolidadomai[[#This Row],[ATUAL]])</f>
        <v>0</v>
      </c>
      <c r="U168" s="91">
        <f>SUMIFS(tabela_registros[VALOR],tabela_registros[MÊS],$AE$1,tabela_registros[DIA],reservafixaconsolidadomai[[#Headers],[17]],tabela_registros[REGISTRO],DADOS!$N$6,tabela_registros[TIPO],DADOS!$AJ$3,tabela_registros[CATEGORIA],reservafixaconsolidadomai[[#This Row],[ATUAL]])</f>
        <v>0</v>
      </c>
      <c r="V168" s="91">
        <f>SUMIFS(tabela_registros[VALOR],tabela_registros[MÊS],$AE$1,tabela_registros[DIA],reservafixaconsolidadomai[[#Headers],[18]],tabela_registros[REGISTRO],DADOS!$N$6,tabela_registros[TIPO],DADOS!$AJ$3,tabela_registros[CATEGORIA],reservafixaconsolidadomai[[#This Row],[ATUAL]])</f>
        <v>0</v>
      </c>
      <c r="W168" s="91">
        <f>SUMIFS(tabela_registros[VALOR],tabela_registros[MÊS],$AE$1,tabela_registros[DIA],reservafixaconsolidadomai[[#Headers],[19]],tabela_registros[REGISTRO],DADOS!$N$6,tabela_registros[TIPO],DADOS!$AJ$3,tabela_registros[CATEGORIA],reservafixaconsolidadomai[[#This Row],[ATUAL]])</f>
        <v>0</v>
      </c>
      <c r="X168" s="91">
        <f>SUMIFS(tabela_registros[VALOR],tabela_registros[MÊS],$AE$1,tabela_registros[DIA],reservafixaconsolidadomai[[#Headers],[20]],tabela_registros[REGISTRO],DADOS!$N$6,tabela_registros[TIPO],DADOS!$AJ$3,tabela_registros[CATEGORIA],reservafixaconsolidadomai[[#This Row],[ATUAL]])</f>
        <v>0</v>
      </c>
      <c r="Y168" s="91">
        <f>SUMIFS(tabela_registros[VALOR],tabela_registros[MÊS],$AE$1,tabela_registros[DIA],reservafixaconsolidadomai[[#Headers],[21]],tabela_registros[REGISTRO],DADOS!$N$6,tabela_registros[TIPO],DADOS!$AJ$3,tabela_registros[CATEGORIA],reservafixaconsolidadomai[[#This Row],[ATUAL]])</f>
        <v>0</v>
      </c>
      <c r="Z168" s="91">
        <f>SUMIFS(tabela_registros[VALOR],tabela_registros[MÊS],$AE$1,tabela_registros[DIA],reservafixaconsolidadomai[[#Headers],[22]],tabela_registros[REGISTRO],DADOS!$N$6,tabela_registros[TIPO],DADOS!$AJ$3,tabela_registros[CATEGORIA],reservafixaconsolidadomai[[#This Row],[ATUAL]])</f>
        <v>0</v>
      </c>
      <c r="AA168" s="91">
        <f>SUMIFS(tabela_registros[VALOR],tabela_registros[MÊS],$AE$1,tabela_registros[DIA],reservafixaconsolidadomai[[#Headers],[23]],tabela_registros[REGISTRO],DADOS!$N$6,tabela_registros[TIPO],DADOS!$AJ$3,tabela_registros[CATEGORIA],reservafixaconsolidadomai[[#This Row],[ATUAL]])</f>
        <v>0</v>
      </c>
      <c r="AB168" s="91">
        <f>SUMIFS(tabela_registros[VALOR],tabela_registros[MÊS],$AE$1,tabela_registros[DIA],reservafixaconsolidadomai[[#Headers],[24]],tabela_registros[REGISTRO],DADOS!$N$6,tabela_registros[TIPO],DADOS!$AJ$3,tabela_registros[CATEGORIA],reservafixaconsolidadomai[[#This Row],[ATUAL]])</f>
        <v>0</v>
      </c>
      <c r="AC168" s="91">
        <f>SUMIFS(tabela_registros[VALOR],tabela_registros[MÊS],$AE$1,tabela_registros[DIA],reservafixaconsolidadomai[[#Headers],[25]],tabela_registros[REGISTRO],DADOS!$N$6,tabela_registros[TIPO],DADOS!$AJ$3,tabela_registros[CATEGORIA],reservafixaconsolidadomai[[#This Row],[ATUAL]])</f>
        <v>0</v>
      </c>
      <c r="AD168" s="91">
        <f>SUMIFS(tabela_registros[VALOR],tabela_registros[MÊS],$AE$1,tabela_registros[DIA],reservafixaconsolidadomai[[#Headers],[26]],tabela_registros[REGISTRO],DADOS!$N$6,tabela_registros[TIPO],DADOS!$AJ$3,tabela_registros[CATEGORIA],reservafixaconsolidadomai[[#This Row],[ATUAL]])</f>
        <v>0</v>
      </c>
      <c r="AE168" s="91">
        <f>SUMIFS(tabela_registros[VALOR],tabela_registros[MÊS],$AE$1,tabela_registros[DIA],reservafixaconsolidadomai[[#Headers],[27]],tabela_registros[REGISTRO],DADOS!$N$6,tabela_registros[TIPO],DADOS!$AJ$3,tabela_registros[CATEGORIA],reservafixaconsolidadomai[[#This Row],[ATUAL]])</f>
        <v>0</v>
      </c>
      <c r="AF168" s="91">
        <f>SUMIFS(tabela_registros[VALOR],tabela_registros[MÊS],$AE$1,tabela_registros[DIA],reservafixaconsolidadomai[[#Headers],[28]],tabela_registros[REGISTRO],DADOS!$N$6,tabela_registros[TIPO],DADOS!$AJ$3,tabela_registros[CATEGORIA],reservafixaconsolidadomai[[#This Row],[ATUAL]])</f>
        <v>0</v>
      </c>
      <c r="AG168" s="91">
        <f>SUMIFS(tabela_registros[VALOR],tabela_registros[MÊS],$AE$1,tabela_registros[DIA],reservafixaconsolidadomai[[#Headers],[29]],tabela_registros[REGISTRO],DADOS!$N$6,tabela_registros[TIPO],DADOS!$AJ$3,tabela_registros[CATEGORIA],reservafixaconsolidadomai[[#This Row],[ATUAL]])</f>
        <v>0</v>
      </c>
      <c r="AH168" s="91">
        <f>SUMIFS(tabela_registros[VALOR],tabela_registros[MÊS],$AE$1,tabela_registros[DIA],reservafixaconsolidadomai[[#Headers],[30]],tabela_registros[REGISTRO],DADOS!$N$6,tabela_registros[TIPO],DADOS!$AJ$3,tabela_registros[CATEGORIA],reservafixaconsolidadomai[[#This Row],[ATUAL]])</f>
        <v>0</v>
      </c>
      <c r="AI168" s="101">
        <f>SUMIFS(tabela_registros[VALOR],tabela_registros[MÊS],$AE$1,tabela_registros[DIA],reservafixaconsolidadomai[[#Headers],[31]],tabela_registros[REGISTRO],DADOS!$N$6,tabela_registros[TIPO],DADOS!$AJ$3,tabela_registros[CATEGORIA],reservafixaconsolidadomai[[#This Row],[ATUAL]])</f>
        <v>0</v>
      </c>
      <c r="AJ168" s="97">
        <f>SUM(reservafixaconsolidadomai[[#This Row],[1]:[31]])</f>
        <v>0</v>
      </c>
      <c r="AK168" s="25"/>
    </row>
    <row r="169" spans="2:37" ht="19.5" customHeight="1" thickTop="1" thickBot="1" x14ac:dyDescent="0.3">
      <c r="B169" s="28"/>
      <c r="C169" s="27" t="str">
        <f>DADOS!$AL$4</f>
        <v>📝 CRA</v>
      </c>
      <c r="D169" s="26" t="str">
        <f>IF(reservafixaconsolidadomai[[#This Row],[TOTAL (R$)]]=0,"",IF(OR(reservafixaconsolidadomai[[#This Row],[TOTAL (R$)]]=LARGE($AJ$168:$AJ$177,1),reservafixaconsolidadomai[[#This Row],[TOTAL (R$)]]=LARGE($AJ$168:$AJ$177,2)),DADOS!$I$11,""))</f>
        <v/>
      </c>
      <c r="E169" s="96">
        <f>SUMIFS(tabela_registros[VALOR],tabela_registros[MÊS],$AE$1,tabela_registros[DIA],reservafixaconsolidadomai[[#Headers],[1]],tabela_registros[REGISTRO],DADOS!$N$6,tabela_registros[TIPO],DADOS!$AJ$3,tabela_registros[CATEGORIA],reservafixaconsolidadomai[[#This Row],[ATUAL]])</f>
        <v>0</v>
      </c>
      <c r="F169" s="91">
        <f>SUMIFS(tabela_registros[VALOR],tabela_registros[MÊS],$AE$1,tabela_registros[DIA],reservafixaconsolidadomai[[#Headers],[2]],tabela_registros[REGISTRO],DADOS!$N$6,tabela_registros[TIPO],DADOS!$AJ$3,tabela_registros[CATEGORIA],reservafixaconsolidadomai[[#This Row],[ATUAL]])</f>
        <v>0</v>
      </c>
      <c r="G169" s="91">
        <f>SUMIFS(tabela_registros[VALOR],tabela_registros[MÊS],$AE$1,tabela_registros[DIA],reservafixaconsolidadomai[[#Headers],[3]],tabela_registros[REGISTRO],DADOS!$N$6,tabela_registros[TIPO],DADOS!$AJ$3,tabela_registros[CATEGORIA],reservafixaconsolidadomai[[#This Row],[ATUAL]])</f>
        <v>0</v>
      </c>
      <c r="H169" s="91">
        <f>SUMIFS(tabela_registros[VALOR],tabela_registros[MÊS],$AE$1,tabela_registros[DIA],reservafixaconsolidadomai[[#Headers],[4]],tabela_registros[REGISTRO],DADOS!$N$6,tabela_registros[TIPO],DADOS!$AJ$3,tabela_registros[CATEGORIA],reservafixaconsolidadomai[[#This Row],[ATUAL]])</f>
        <v>0</v>
      </c>
      <c r="I169" s="91">
        <f>SUMIFS(tabela_registros[VALOR],tabela_registros[MÊS],$AE$1,tabela_registros[DIA],reservafixaconsolidadomai[[#Headers],[5]],tabela_registros[REGISTRO],DADOS!$N$6,tabela_registros[TIPO],DADOS!$AJ$3,tabela_registros[CATEGORIA],reservafixaconsolidadomai[[#This Row],[ATUAL]])</f>
        <v>0</v>
      </c>
      <c r="J169" s="91">
        <f>SUMIFS(tabela_registros[VALOR],tabela_registros[MÊS],$AE$1,tabela_registros[DIA],reservafixaconsolidadomai[[#Headers],[6]],tabela_registros[REGISTRO],DADOS!$N$6,tabela_registros[TIPO],DADOS!$AJ$3,tabela_registros[CATEGORIA],reservafixaconsolidadomai[[#This Row],[ATUAL]])</f>
        <v>0</v>
      </c>
      <c r="K169" s="91">
        <f>SUMIFS(tabela_registros[VALOR],tabela_registros[MÊS],$AE$1,tabela_registros[DIA],reservafixaconsolidadomai[[#Headers],[7]],tabela_registros[REGISTRO],DADOS!$N$6,tabela_registros[TIPO],DADOS!$AJ$3,tabela_registros[CATEGORIA],reservafixaconsolidadomai[[#This Row],[ATUAL]])</f>
        <v>0</v>
      </c>
      <c r="L169" s="91">
        <f>SUMIFS(tabela_registros[VALOR],tabela_registros[MÊS],$AE$1,tabela_registros[DIA],reservafixaconsolidadomai[[#Headers],[8]],tabela_registros[REGISTRO],DADOS!$N$6,tabela_registros[TIPO],DADOS!$AJ$3,tabela_registros[CATEGORIA],reservafixaconsolidadomai[[#This Row],[ATUAL]])</f>
        <v>0</v>
      </c>
      <c r="M169" s="91">
        <f>SUMIFS(tabela_registros[VALOR],tabela_registros[MÊS],$AE$1,tabela_registros[DIA],reservafixaconsolidadomai[[#Headers],[9]],tabela_registros[REGISTRO],DADOS!$N$6,tabela_registros[TIPO],DADOS!$AJ$3,tabela_registros[CATEGORIA],reservafixaconsolidadomai[[#This Row],[ATUAL]])</f>
        <v>0</v>
      </c>
      <c r="N169" s="91">
        <f>SUMIFS(tabela_registros[VALOR],tabela_registros[MÊS],$AE$1,tabela_registros[DIA],reservafixaconsolidadomai[[#Headers],[10]],tabela_registros[REGISTRO],DADOS!$N$6,tabela_registros[TIPO],DADOS!$AJ$3,tabela_registros[CATEGORIA],reservafixaconsolidadomai[[#This Row],[ATUAL]])</f>
        <v>0</v>
      </c>
      <c r="O169" s="91">
        <f>SUMIFS(tabela_registros[VALOR],tabela_registros[MÊS],$AE$1,tabela_registros[DIA],reservafixaconsolidadomai[[#Headers],[11]],tabela_registros[REGISTRO],DADOS!$N$6,tabela_registros[TIPO],DADOS!$AJ$3,tabela_registros[CATEGORIA],reservafixaconsolidadomai[[#This Row],[ATUAL]])</f>
        <v>0</v>
      </c>
      <c r="P169" s="91">
        <f>SUMIFS(tabela_registros[VALOR],tabela_registros[MÊS],$AE$1,tabela_registros[DIA],reservafixaconsolidadomai[[#Headers],[12]],tabela_registros[REGISTRO],DADOS!$N$6,tabela_registros[TIPO],DADOS!$AJ$3,tabela_registros[CATEGORIA],reservafixaconsolidadomai[[#This Row],[ATUAL]])</f>
        <v>0</v>
      </c>
      <c r="Q169" s="91">
        <f>SUMIFS(tabela_registros[VALOR],tabela_registros[MÊS],$AE$1,tabela_registros[DIA],reservafixaconsolidadomai[[#Headers],[13]],tabela_registros[REGISTRO],DADOS!$N$6,tabela_registros[TIPO],DADOS!$AJ$3,tabela_registros[CATEGORIA],reservafixaconsolidadomai[[#This Row],[ATUAL]])</f>
        <v>0</v>
      </c>
      <c r="R169" s="91">
        <f>SUMIFS(tabela_registros[VALOR],tabela_registros[MÊS],$AE$1,tabela_registros[DIA],reservafixaconsolidadomai[[#Headers],[14]],tabela_registros[REGISTRO],DADOS!$N$6,tabela_registros[TIPO],DADOS!$AJ$3,tabela_registros[CATEGORIA],reservafixaconsolidadomai[[#This Row],[ATUAL]])</f>
        <v>0</v>
      </c>
      <c r="S169" s="91">
        <f>SUMIFS(tabela_registros[VALOR],tabela_registros[MÊS],$AE$1,tabela_registros[DIA],reservafixaconsolidadomai[[#Headers],[15]],tabela_registros[REGISTRO],DADOS!$N$6,tabela_registros[TIPO],DADOS!$AJ$3,tabela_registros[CATEGORIA],reservafixaconsolidadomai[[#This Row],[ATUAL]])</f>
        <v>0</v>
      </c>
      <c r="T169" s="91">
        <f>SUMIFS(tabela_registros[VALOR],tabela_registros[MÊS],$AE$1,tabela_registros[DIA],reservafixaconsolidadomai[[#Headers],[16]],tabela_registros[REGISTRO],DADOS!$N$6,tabela_registros[TIPO],DADOS!$AJ$3,tabela_registros[CATEGORIA],reservafixaconsolidadomai[[#This Row],[ATUAL]])</f>
        <v>0</v>
      </c>
      <c r="U169" s="91">
        <f>SUMIFS(tabela_registros[VALOR],tabela_registros[MÊS],$AE$1,tabela_registros[DIA],reservafixaconsolidadomai[[#Headers],[17]],tabela_registros[REGISTRO],DADOS!$N$6,tabela_registros[TIPO],DADOS!$AJ$3,tabela_registros[CATEGORIA],reservafixaconsolidadomai[[#This Row],[ATUAL]])</f>
        <v>0</v>
      </c>
      <c r="V169" s="91">
        <f>SUMIFS(tabela_registros[VALOR],tabela_registros[MÊS],$AE$1,tabela_registros[DIA],reservafixaconsolidadomai[[#Headers],[18]],tabela_registros[REGISTRO],DADOS!$N$6,tabela_registros[TIPO],DADOS!$AJ$3,tabela_registros[CATEGORIA],reservafixaconsolidadomai[[#This Row],[ATUAL]])</f>
        <v>0</v>
      </c>
      <c r="W169" s="91">
        <f>SUMIFS(tabela_registros[VALOR],tabela_registros[MÊS],$AE$1,tabela_registros[DIA],reservafixaconsolidadomai[[#Headers],[19]],tabela_registros[REGISTRO],DADOS!$N$6,tabela_registros[TIPO],DADOS!$AJ$3,tabela_registros[CATEGORIA],reservafixaconsolidadomai[[#This Row],[ATUAL]])</f>
        <v>0</v>
      </c>
      <c r="X169" s="91">
        <f>SUMIFS(tabela_registros[VALOR],tabela_registros[MÊS],$AE$1,tabela_registros[DIA],reservafixaconsolidadomai[[#Headers],[20]],tabela_registros[REGISTRO],DADOS!$N$6,tabela_registros[TIPO],DADOS!$AJ$3,tabela_registros[CATEGORIA],reservafixaconsolidadomai[[#This Row],[ATUAL]])</f>
        <v>0</v>
      </c>
      <c r="Y169" s="91">
        <f>SUMIFS(tabela_registros[VALOR],tabela_registros[MÊS],$AE$1,tabela_registros[DIA],reservafixaconsolidadomai[[#Headers],[21]],tabela_registros[REGISTRO],DADOS!$N$6,tabela_registros[TIPO],DADOS!$AJ$3,tabela_registros[CATEGORIA],reservafixaconsolidadomai[[#This Row],[ATUAL]])</f>
        <v>0</v>
      </c>
      <c r="Z169" s="91">
        <f>SUMIFS(tabela_registros[VALOR],tabela_registros[MÊS],$AE$1,tabela_registros[DIA],reservafixaconsolidadomai[[#Headers],[22]],tabela_registros[REGISTRO],DADOS!$N$6,tabela_registros[TIPO],DADOS!$AJ$3,tabela_registros[CATEGORIA],reservafixaconsolidadomai[[#This Row],[ATUAL]])</f>
        <v>0</v>
      </c>
      <c r="AA169" s="91">
        <f>SUMIFS(tabela_registros[VALOR],tabela_registros[MÊS],$AE$1,tabela_registros[DIA],reservafixaconsolidadomai[[#Headers],[23]],tabela_registros[REGISTRO],DADOS!$N$6,tabela_registros[TIPO],DADOS!$AJ$3,tabela_registros[CATEGORIA],reservafixaconsolidadomai[[#This Row],[ATUAL]])</f>
        <v>0</v>
      </c>
      <c r="AB169" s="91">
        <f>SUMIFS(tabela_registros[VALOR],tabela_registros[MÊS],$AE$1,tabela_registros[DIA],reservafixaconsolidadomai[[#Headers],[24]],tabela_registros[REGISTRO],DADOS!$N$6,tabela_registros[TIPO],DADOS!$AJ$3,tabela_registros[CATEGORIA],reservafixaconsolidadomai[[#This Row],[ATUAL]])</f>
        <v>0</v>
      </c>
      <c r="AC169" s="91">
        <f>SUMIFS(tabela_registros[VALOR],tabela_registros[MÊS],$AE$1,tabela_registros[DIA],reservafixaconsolidadomai[[#Headers],[25]],tabela_registros[REGISTRO],DADOS!$N$6,tabela_registros[TIPO],DADOS!$AJ$3,tabela_registros[CATEGORIA],reservafixaconsolidadomai[[#This Row],[ATUAL]])</f>
        <v>0</v>
      </c>
      <c r="AD169" s="91">
        <f>SUMIFS(tabela_registros[VALOR],tabela_registros[MÊS],$AE$1,tabela_registros[DIA],reservafixaconsolidadomai[[#Headers],[26]],tabela_registros[REGISTRO],DADOS!$N$6,tabela_registros[TIPO],DADOS!$AJ$3,tabela_registros[CATEGORIA],reservafixaconsolidadomai[[#This Row],[ATUAL]])</f>
        <v>0</v>
      </c>
      <c r="AE169" s="91">
        <f>SUMIFS(tabela_registros[VALOR],tabela_registros[MÊS],$AE$1,tabela_registros[DIA],reservafixaconsolidadomai[[#Headers],[27]],tabela_registros[REGISTRO],DADOS!$N$6,tabela_registros[TIPO],DADOS!$AJ$3,tabela_registros[CATEGORIA],reservafixaconsolidadomai[[#This Row],[ATUAL]])</f>
        <v>0</v>
      </c>
      <c r="AF169" s="91">
        <f>SUMIFS(tabela_registros[VALOR],tabela_registros[MÊS],$AE$1,tabela_registros[DIA],reservafixaconsolidadomai[[#Headers],[28]],tabela_registros[REGISTRO],DADOS!$N$6,tabela_registros[TIPO],DADOS!$AJ$3,tabela_registros[CATEGORIA],reservafixaconsolidadomai[[#This Row],[ATUAL]])</f>
        <v>0</v>
      </c>
      <c r="AG169" s="91">
        <f>SUMIFS(tabela_registros[VALOR],tabela_registros[MÊS],$AE$1,tabela_registros[DIA],reservafixaconsolidadomai[[#Headers],[29]],tabela_registros[REGISTRO],DADOS!$N$6,tabela_registros[TIPO],DADOS!$AJ$3,tabela_registros[CATEGORIA],reservafixaconsolidadomai[[#This Row],[ATUAL]])</f>
        <v>0</v>
      </c>
      <c r="AH169" s="91">
        <f>SUMIFS(tabela_registros[VALOR],tabela_registros[MÊS],$AE$1,tabela_registros[DIA],reservafixaconsolidadomai[[#Headers],[30]],tabela_registros[REGISTRO],DADOS!$N$6,tabela_registros[TIPO],DADOS!$AJ$3,tabela_registros[CATEGORIA],reservafixaconsolidadomai[[#This Row],[ATUAL]])</f>
        <v>0</v>
      </c>
      <c r="AI169" s="101">
        <f>SUMIFS(tabela_registros[VALOR],tabela_registros[MÊS],$AE$1,tabela_registros[DIA],reservafixaconsolidadomai[[#Headers],[31]],tabela_registros[REGISTRO],DADOS!$N$6,tabela_registros[TIPO],DADOS!$AJ$3,tabela_registros[CATEGORIA],reservafixaconsolidadomai[[#This Row],[ATUAL]])</f>
        <v>0</v>
      </c>
      <c r="AJ169" s="97">
        <f>SUM(reservafixaconsolidadomai[[#This Row],[1]:[31]])</f>
        <v>0</v>
      </c>
      <c r="AK169" s="25"/>
    </row>
    <row r="170" spans="2:37" ht="19.5" customHeight="1" thickTop="1" thickBot="1" x14ac:dyDescent="0.3">
      <c r="B170" s="28"/>
      <c r="C170" s="27" t="str">
        <f>DADOS!$AL$5</f>
        <v>📝 CRI</v>
      </c>
      <c r="D170" s="26" t="str">
        <f>IF(reservafixaconsolidadomai[[#This Row],[TOTAL (R$)]]=0,"",IF(OR(reservafixaconsolidadomai[[#This Row],[TOTAL (R$)]]=LARGE($AJ$168:$AJ$177,1),reservafixaconsolidadomai[[#This Row],[TOTAL (R$)]]=LARGE($AJ$168:$AJ$177,2)),DADOS!$I$11,""))</f>
        <v/>
      </c>
      <c r="E170" s="96">
        <f>SUMIFS(tabela_registros[VALOR],tabela_registros[MÊS],$AE$1,tabela_registros[DIA],reservafixaconsolidadomai[[#Headers],[1]],tabela_registros[REGISTRO],DADOS!$N$6,tabela_registros[TIPO],DADOS!$AJ$3,tabela_registros[CATEGORIA],reservafixaconsolidadomai[[#This Row],[ATUAL]])</f>
        <v>0</v>
      </c>
      <c r="F170" s="91">
        <f>SUMIFS(tabela_registros[VALOR],tabela_registros[MÊS],$AE$1,tabela_registros[DIA],reservafixaconsolidadomai[[#Headers],[2]],tabela_registros[REGISTRO],DADOS!$N$6,tabela_registros[TIPO],DADOS!$AJ$3,tabela_registros[CATEGORIA],reservafixaconsolidadomai[[#This Row],[ATUAL]])</f>
        <v>0</v>
      </c>
      <c r="G170" s="91">
        <f>SUMIFS(tabela_registros[VALOR],tabela_registros[MÊS],$AE$1,tabela_registros[DIA],reservafixaconsolidadomai[[#Headers],[3]],tabela_registros[REGISTRO],DADOS!$N$6,tabela_registros[TIPO],DADOS!$AJ$3,tabela_registros[CATEGORIA],reservafixaconsolidadomai[[#This Row],[ATUAL]])</f>
        <v>0</v>
      </c>
      <c r="H170" s="91">
        <f>SUMIFS(tabela_registros[VALOR],tabela_registros[MÊS],$AE$1,tabela_registros[DIA],reservafixaconsolidadomai[[#Headers],[4]],tabela_registros[REGISTRO],DADOS!$N$6,tabela_registros[TIPO],DADOS!$AJ$3,tabela_registros[CATEGORIA],reservafixaconsolidadomai[[#This Row],[ATUAL]])</f>
        <v>0</v>
      </c>
      <c r="I170" s="91">
        <f>SUMIFS(tabela_registros[VALOR],tabela_registros[MÊS],$AE$1,tabela_registros[DIA],reservafixaconsolidadomai[[#Headers],[5]],tabela_registros[REGISTRO],DADOS!$N$6,tabela_registros[TIPO],DADOS!$AJ$3,tabela_registros[CATEGORIA],reservafixaconsolidadomai[[#This Row],[ATUAL]])</f>
        <v>0</v>
      </c>
      <c r="J170" s="91">
        <f>SUMIFS(tabela_registros[VALOR],tabela_registros[MÊS],$AE$1,tabela_registros[DIA],reservafixaconsolidadomai[[#Headers],[6]],tabela_registros[REGISTRO],DADOS!$N$6,tabela_registros[TIPO],DADOS!$AJ$3,tabela_registros[CATEGORIA],reservafixaconsolidadomai[[#This Row],[ATUAL]])</f>
        <v>0</v>
      </c>
      <c r="K170" s="91">
        <f>SUMIFS(tabela_registros[VALOR],tabela_registros[MÊS],$AE$1,tabela_registros[DIA],reservafixaconsolidadomai[[#Headers],[7]],tabela_registros[REGISTRO],DADOS!$N$6,tabela_registros[TIPO],DADOS!$AJ$3,tabela_registros[CATEGORIA],reservafixaconsolidadomai[[#This Row],[ATUAL]])</f>
        <v>0</v>
      </c>
      <c r="L170" s="91">
        <f>SUMIFS(tabela_registros[VALOR],tabela_registros[MÊS],$AE$1,tabela_registros[DIA],reservafixaconsolidadomai[[#Headers],[8]],tabela_registros[REGISTRO],DADOS!$N$6,tabela_registros[TIPO],DADOS!$AJ$3,tabela_registros[CATEGORIA],reservafixaconsolidadomai[[#This Row],[ATUAL]])</f>
        <v>0</v>
      </c>
      <c r="M170" s="91">
        <f>SUMIFS(tabela_registros[VALOR],tabela_registros[MÊS],$AE$1,tabela_registros[DIA],reservafixaconsolidadomai[[#Headers],[9]],tabela_registros[REGISTRO],DADOS!$N$6,tabela_registros[TIPO],DADOS!$AJ$3,tabela_registros[CATEGORIA],reservafixaconsolidadomai[[#This Row],[ATUAL]])</f>
        <v>0</v>
      </c>
      <c r="N170" s="91">
        <f>SUMIFS(tabela_registros[VALOR],tabela_registros[MÊS],$AE$1,tabela_registros[DIA],reservafixaconsolidadomai[[#Headers],[10]],tabela_registros[REGISTRO],DADOS!$N$6,tabela_registros[TIPO],DADOS!$AJ$3,tabela_registros[CATEGORIA],reservafixaconsolidadomai[[#This Row],[ATUAL]])</f>
        <v>0</v>
      </c>
      <c r="O170" s="91">
        <f>SUMIFS(tabela_registros[VALOR],tabela_registros[MÊS],$AE$1,tabela_registros[DIA],reservafixaconsolidadomai[[#Headers],[11]],tabela_registros[REGISTRO],DADOS!$N$6,tabela_registros[TIPO],DADOS!$AJ$3,tabela_registros[CATEGORIA],reservafixaconsolidadomai[[#This Row],[ATUAL]])</f>
        <v>0</v>
      </c>
      <c r="P170" s="91">
        <f>SUMIFS(tabela_registros[VALOR],tabela_registros[MÊS],$AE$1,tabela_registros[DIA],reservafixaconsolidadomai[[#Headers],[12]],tabela_registros[REGISTRO],DADOS!$N$6,tabela_registros[TIPO],DADOS!$AJ$3,tabela_registros[CATEGORIA],reservafixaconsolidadomai[[#This Row],[ATUAL]])</f>
        <v>0</v>
      </c>
      <c r="Q170" s="91">
        <f>SUMIFS(tabela_registros[VALOR],tabela_registros[MÊS],$AE$1,tabela_registros[DIA],reservafixaconsolidadomai[[#Headers],[13]],tabela_registros[REGISTRO],DADOS!$N$6,tabela_registros[TIPO],DADOS!$AJ$3,tabela_registros[CATEGORIA],reservafixaconsolidadomai[[#This Row],[ATUAL]])</f>
        <v>0</v>
      </c>
      <c r="R170" s="91">
        <f>SUMIFS(tabela_registros[VALOR],tabela_registros[MÊS],$AE$1,tabela_registros[DIA],reservafixaconsolidadomai[[#Headers],[14]],tabela_registros[REGISTRO],DADOS!$N$6,tabela_registros[TIPO],DADOS!$AJ$3,tabela_registros[CATEGORIA],reservafixaconsolidadomai[[#This Row],[ATUAL]])</f>
        <v>0</v>
      </c>
      <c r="S170" s="91">
        <f>SUMIFS(tabela_registros[VALOR],tabela_registros[MÊS],$AE$1,tabela_registros[DIA],reservafixaconsolidadomai[[#Headers],[15]],tabela_registros[REGISTRO],DADOS!$N$6,tabela_registros[TIPO],DADOS!$AJ$3,tabela_registros[CATEGORIA],reservafixaconsolidadomai[[#This Row],[ATUAL]])</f>
        <v>0</v>
      </c>
      <c r="T170" s="91">
        <f>SUMIFS(tabela_registros[VALOR],tabela_registros[MÊS],$AE$1,tabela_registros[DIA],reservafixaconsolidadomai[[#Headers],[16]],tabela_registros[REGISTRO],DADOS!$N$6,tabela_registros[TIPO],DADOS!$AJ$3,tabela_registros[CATEGORIA],reservafixaconsolidadomai[[#This Row],[ATUAL]])</f>
        <v>0</v>
      </c>
      <c r="U170" s="91">
        <f>SUMIFS(tabela_registros[VALOR],tabela_registros[MÊS],$AE$1,tabela_registros[DIA],reservafixaconsolidadomai[[#Headers],[17]],tabela_registros[REGISTRO],DADOS!$N$6,tabela_registros[TIPO],DADOS!$AJ$3,tabela_registros[CATEGORIA],reservafixaconsolidadomai[[#This Row],[ATUAL]])</f>
        <v>0</v>
      </c>
      <c r="V170" s="91">
        <f>SUMIFS(tabela_registros[VALOR],tabela_registros[MÊS],$AE$1,tabela_registros[DIA],reservafixaconsolidadomai[[#Headers],[18]],tabela_registros[REGISTRO],DADOS!$N$6,tabela_registros[TIPO],DADOS!$AJ$3,tabela_registros[CATEGORIA],reservafixaconsolidadomai[[#This Row],[ATUAL]])</f>
        <v>0</v>
      </c>
      <c r="W170" s="91">
        <f>SUMIFS(tabela_registros[VALOR],tabela_registros[MÊS],$AE$1,tabela_registros[DIA],reservafixaconsolidadomai[[#Headers],[19]],tabela_registros[REGISTRO],DADOS!$N$6,tabela_registros[TIPO],DADOS!$AJ$3,tabela_registros[CATEGORIA],reservafixaconsolidadomai[[#This Row],[ATUAL]])</f>
        <v>0</v>
      </c>
      <c r="X170" s="91">
        <f>SUMIFS(tabela_registros[VALOR],tabela_registros[MÊS],$AE$1,tabela_registros[DIA],reservafixaconsolidadomai[[#Headers],[20]],tabela_registros[REGISTRO],DADOS!$N$6,tabela_registros[TIPO],DADOS!$AJ$3,tabela_registros[CATEGORIA],reservafixaconsolidadomai[[#This Row],[ATUAL]])</f>
        <v>0</v>
      </c>
      <c r="Y170" s="91">
        <f>SUMIFS(tabela_registros[VALOR],tabela_registros[MÊS],$AE$1,tabela_registros[DIA],reservafixaconsolidadomai[[#Headers],[21]],tabela_registros[REGISTRO],DADOS!$N$6,tabela_registros[TIPO],DADOS!$AJ$3,tabela_registros[CATEGORIA],reservafixaconsolidadomai[[#This Row],[ATUAL]])</f>
        <v>0</v>
      </c>
      <c r="Z170" s="91">
        <f>SUMIFS(tabela_registros[VALOR],tabela_registros[MÊS],$AE$1,tabela_registros[DIA],reservafixaconsolidadomai[[#Headers],[22]],tabela_registros[REGISTRO],DADOS!$N$6,tabela_registros[TIPO],DADOS!$AJ$3,tabela_registros[CATEGORIA],reservafixaconsolidadomai[[#This Row],[ATUAL]])</f>
        <v>0</v>
      </c>
      <c r="AA170" s="91">
        <f>SUMIFS(tabela_registros[VALOR],tabela_registros[MÊS],$AE$1,tabela_registros[DIA],reservafixaconsolidadomai[[#Headers],[23]],tabela_registros[REGISTRO],DADOS!$N$6,tabela_registros[TIPO],DADOS!$AJ$3,tabela_registros[CATEGORIA],reservafixaconsolidadomai[[#This Row],[ATUAL]])</f>
        <v>0</v>
      </c>
      <c r="AB170" s="91">
        <f>SUMIFS(tabela_registros[VALOR],tabela_registros[MÊS],$AE$1,tabela_registros[DIA],reservafixaconsolidadomai[[#Headers],[24]],tabela_registros[REGISTRO],DADOS!$N$6,tabela_registros[TIPO],DADOS!$AJ$3,tabela_registros[CATEGORIA],reservafixaconsolidadomai[[#This Row],[ATUAL]])</f>
        <v>0</v>
      </c>
      <c r="AC170" s="91">
        <f>SUMIFS(tabela_registros[VALOR],tabela_registros[MÊS],$AE$1,tabela_registros[DIA],reservafixaconsolidadomai[[#Headers],[25]],tabela_registros[REGISTRO],DADOS!$N$6,tabela_registros[TIPO],DADOS!$AJ$3,tabela_registros[CATEGORIA],reservafixaconsolidadomai[[#This Row],[ATUAL]])</f>
        <v>0</v>
      </c>
      <c r="AD170" s="91">
        <f>SUMIFS(tabela_registros[VALOR],tabela_registros[MÊS],$AE$1,tabela_registros[DIA],reservafixaconsolidadomai[[#Headers],[26]],tabela_registros[REGISTRO],DADOS!$N$6,tabela_registros[TIPO],DADOS!$AJ$3,tabela_registros[CATEGORIA],reservafixaconsolidadomai[[#This Row],[ATUAL]])</f>
        <v>0</v>
      </c>
      <c r="AE170" s="91">
        <f>SUMIFS(tabela_registros[VALOR],tabela_registros[MÊS],$AE$1,tabela_registros[DIA],reservafixaconsolidadomai[[#Headers],[27]],tabela_registros[REGISTRO],DADOS!$N$6,tabela_registros[TIPO],DADOS!$AJ$3,tabela_registros[CATEGORIA],reservafixaconsolidadomai[[#This Row],[ATUAL]])</f>
        <v>0</v>
      </c>
      <c r="AF170" s="91">
        <f>SUMIFS(tabela_registros[VALOR],tabela_registros[MÊS],$AE$1,tabela_registros[DIA],reservafixaconsolidadomai[[#Headers],[28]],tabela_registros[REGISTRO],DADOS!$N$6,tabela_registros[TIPO],DADOS!$AJ$3,tabela_registros[CATEGORIA],reservafixaconsolidadomai[[#This Row],[ATUAL]])</f>
        <v>0</v>
      </c>
      <c r="AG170" s="91">
        <f>SUMIFS(tabela_registros[VALOR],tabela_registros[MÊS],$AE$1,tabela_registros[DIA],reservafixaconsolidadomai[[#Headers],[29]],tabela_registros[REGISTRO],DADOS!$N$6,tabela_registros[TIPO],DADOS!$AJ$3,tabela_registros[CATEGORIA],reservafixaconsolidadomai[[#This Row],[ATUAL]])</f>
        <v>0</v>
      </c>
      <c r="AH170" s="91">
        <f>SUMIFS(tabela_registros[VALOR],tabela_registros[MÊS],$AE$1,tabela_registros[DIA],reservafixaconsolidadomai[[#Headers],[30]],tabela_registros[REGISTRO],DADOS!$N$6,tabela_registros[TIPO],DADOS!$AJ$3,tabela_registros[CATEGORIA],reservafixaconsolidadomai[[#This Row],[ATUAL]])</f>
        <v>0</v>
      </c>
      <c r="AI170" s="101">
        <f>SUMIFS(tabela_registros[VALOR],tabela_registros[MÊS],$AE$1,tabela_registros[DIA],reservafixaconsolidadomai[[#Headers],[31]],tabela_registros[REGISTRO],DADOS!$N$6,tabela_registros[TIPO],DADOS!$AJ$3,tabela_registros[CATEGORIA],reservafixaconsolidadomai[[#This Row],[ATUAL]])</f>
        <v>0</v>
      </c>
      <c r="AJ170" s="97">
        <f>SUM(reservafixaconsolidadomai[[#This Row],[1]:[31]])</f>
        <v>0</v>
      </c>
      <c r="AK170" s="25"/>
    </row>
    <row r="171" spans="2:37" ht="19.5" customHeight="1" thickTop="1" thickBot="1" x14ac:dyDescent="0.3">
      <c r="B171" s="28"/>
      <c r="C171" s="27" t="str">
        <f>DADOS!$AL$6</f>
        <v>📝 DEBÊNTURE</v>
      </c>
      <c r="D171" s="26" t="str">
        <f>IF(reservafixaconsolidadomai[[#This Row],[TOTAL (R$)]]=0,"",IF(OR(reservafixaconsolidadomai[[#This Row],[TOTAL (R$)]]=LARGE($AJ$168:$AJ$177,1),reservafixaconsolidadomai[[#This Row],[TOTAL (R$)]]=LARGE($AJ$168:$AJ$177,2)),DADOS!$I$11,""))</f>
        <v/>
      </c>
      <c r="E171" s="96">
        <f>SUMIFS(tabela_registros[VALOR],tabela_registros[MÊS],$AE$1,tabela_registros[DIA],reservafixaconsolidadomai[[#Headers],[1]],tabela_registros[REGISTRO],DADOS!$N$6,tabela_registros[TIPO],DADOS!$AJ$3,tabela_registros[CATEGORIA],reservafixaconsolidadomai[[#This Row],[ATUAL]])</f>
        <v>0</v>
      </c>
      <c r="F171" s="91">
        <f>SUMIFS(tabela_registros[VALOR],tabela_registros[MÊS],$AE$1,tabela_registros[DIA],reservafixaconsolidadomai[[#Headers],[2]],tabela_registros[REGISTRO],DADOS!$N$6,tabela_registros[TIPO],DADOS!$AJ$3,tabela_registros[CATEGORIA],reservafixaconsolidadomai[[#This Row],[ATUAL]])</f>
        <v>0</v>
      </c>
      <c r="G171" s="91">
        <f>SUMIFS(tabela_registros[VALOR],tabela_registros[MÊS],$AE$1,tabela_registros[DIA],reservafixaconsolidadomai[[#Headers],[3]],tabela_registros[REGISTRO],DADOS!$N$6,tabela_registros[TIPO],DADOS!$AJ$3,tabela_registros[CATEGORIA],reservafixaconsolidadomai[[#This Row],[ATUAL]])</f>
        <v>0</v>
      </c>
      <c r="H171" s="91">
        <f>SUMIFS(tabela_registros[VALOR],tabela_registros[MÊS],$AE$1,tabela_registros[DIA],reservafixaconsolidadomai[[#Headers],[4]],tabela_registros[REGISTRO],DADOS!$N$6,tabela_registros[TIPO],DADOS!$AJ$3,tabela_registros[CATEGORIA],reservafixaconsolidadomai[[#This Row],[ATUAL]])</f>
        <v>0</v>
      </c>
      <c r="I171" s="91">
        <f>SUMIFS(tabela_registros[VALOR],tabela_registros[MÊS],$AE$1,tabela_registros[DIA],reservafixaconsolidadomai[[#Headers],[5]],tabela_registros[REGISTRO],DADOS!$N$6,tabela_registros[TIPO],DADOS!$AJ$3,tabela_registros[CATEGORIA],reservafixaconsolidadomai[[#This Row],[ATUAL]])</f>
        <v>0</v>
      </c>
      <c r="J171" s="91">
        <f>SUMIFS(tabela_registros[VALOR],tabela_registros[MÊS],$AE$1,tabela_registros[DIA],reservafixaconsolidadomai[[#Headers],[6]],tabela_registros[REGISTRO],DADOS!$N$6,tabela_registros[TIPO],DADOS!$AJ$3,tabela_registros[CATEGORIA],reservafixaconsolidadomai[[#This Row],[ATUAL]])</f>
        <v>0</v>
      </c>
      <c r="K171" s="91">
        <f>SUMIFS(tabela_registros[VALOR],tabela_registros[MÊS],$AE$1,tabela_registros[DIA],reservafixaconsolidadomai[[#Headers],[7]],tabela_registros[REGISTRO],DADOS!$N$6,tabela_registros[TIPO],DADOS!$AJ$3,tabela_registros[CATEGORIA],reservafixaconsolidadomai[[#This Row],[ATUAL]])</f>
        <v>0</v>
      </c>
      <c r="L171" s="91">
        <f>SUMIFS(tabela_registros[VALOR],tabela_registros[MÊS],$AE$1,tabela_registros[DIA],reservafixaconsolidadomai[[#Headers],[8]],tabela_registros[REGISTRO],DADOS!$N$6,tabela_registros[TIPO],DADOS!$AJ$3,tabela_registros[CATEGORIA],reservafixaconsolidadomai[[#This Row],[ATUAL]])</f>
        <v>0</v>
      </c>
      <c r="M171" s="91">
        <f>SUMIFS(tabela_registros[VALOR],tabela_registros[MÊS],$AE$1,tabela_registros[DIA],reservafixaconsolidadomai[[#Headers],[9]],tabela_registros[REGISTRO],DADOS!$N$6,tabela_registros[TIPO],DADOS!$AJ$3,tabela_registros[CATEGORIA],reservafixaconsolidadomai[[#This Row],[ATUAL]])</f>
        <v>0</v>
      </c>
      <c r="N171" s="91">
        <f>SUMIFS(tabela_registros[VALOR],tabela_registros[MÊS],$AE$1,tabela_registros[DIA],reservafixaconsolidadomai[[#Headers],[10]],tabela_registros[REGISTRO],DADOS!$N$6,tabela_registros[TIPO],DADOS!$AJ$3,tabela_registros[CATEGORIA],reservafixaconsolidadomai[[#This Row],[ATUAL]])</f>
        <v>0</v>
      </c>
      <c r="O171" s="91">
        <f>SUMIFS(tabela_registros[VALOR],tabela_registros[MÊS],$AE$1,tabela_registros[DIA],reservafixaconsolidadomai[[#Headers],[11]],tabela_registros[REGISTRO],DADOS!$N$6,tabela_registros[TIPO],DADOS!$AJ$3,tabela_registros[CATEGORIA],reservafixaconsolidadomai[[#This Row],[ATUAL]])</f>
        <v>0</v>
      </c>
      <c r="P171" s="91">
        <f>SUMIFS(tabela_registros[VALOR],tabela_registros[MÊS],$AE$1,tabela_registros[DIA],reservafixaconsolidadomai[[#Headers],[12]],tabela_registros[REGISTRO],DADOS!$N$6,tabela_registros[TIPO],DADOS!$AJ$3,tabela_registros[CATEGORIA],reservafixaconsolidadomai[[#This Row],[ATUAL]])</f>
        <v>0</v>
      </c>
      <c r="Q171" s="91">
        <f>SUMIFS(tabela_registros[VALOR],tabela_registros[MÊS],$AE$1,tabela_registros[DIA],reservafixaconsolidadomai[[#Headers],[13]],tabela_registros[REGISTRO],DADOS!$N$6,tabela_registros[TIPO],DADOS!$AJ$3,tabela_registros[CATEGORIA],reservafixaconsolidadomai[[#This Row],[ATUAL]])</f>
        <v>0</v>
      </c>
      <c r="R171" s="91">
        <f>SUMIFS(tabela_registros[VALOR],tabela_registros[MÊS],$AE$1,tabela_registros[DIA],reservafixaconsolidadomai[[#Headers],[14]],tabela_registros[REGISTRO],DADOS!$N$6,tabela_registros[TIPO],DADOS!$AJ$3,tabela_registros[CATEGORIA],reservafixaconsolidadomai[[#This Row],[ATUAL]])</f>
        <v>0</v>
      </c>
      <c r="S171" s="91">
        <f>SUMIFS(tabela_registros[VALOR],tabela_registros[MÊS],$AE$1,tabela_registros[DIA],reservafixaconsolidadomai[[#Headers],[15]],tabela_registros[REGISTRO],DADOS!$N$6,tabela_registros[TIPO],DADOS!$AJ$3,tabela_registros[CATEGORIA],reservafixaconsolidadomai[[#This Row],[ATUAL]])</f>
        <v>0</v>
      </c>
      <c r="T171" s="91">
        <f>SUMIFS(tabela_registros[VALOR],tabela_registros[MÊS],$AE$1,tabela_registros[DIA],reservafixaconsolidadomai[[#Headers],[16]],tabela_registros[REGISTRO],DADOS!$N$6,tabela_registros[TIPO],DADOS!$AJ$3,tabela_registros[CATEGORIA],reservafixaconsolidadomai[[#This Row],[ATUAL]])</f>
        <v>0</v>
      </c>
      <c r="U171" s="91">
        <f>SUMIFS(tabela_registros[VALOR],tabela_registros[MÊS],$AE$1,tabela_registros[DIA],reservafixaconsolidadomai[[#Headers],[17]],tabela_registros[REGISTRO],DADOS!$N$6,tabela_registros[TIPO],DADOS!$AJ$3,tabela_registros[CATEGORIA],reservafixaconsolidadomai[[#This Row],[ATUAL]])</f>
        <v>0</v>
      </c>
      <c r="V171" s="91">
        <f>SUMIFS(tabela_registros[VALOR],tabela_registros[MÊS],$AE$1,tabela_registros[DIA],reservafixaconsolidadomai[[#Headers],[18]],tabela_registros[REGISTRO],DADOS!$N$6,tabela_registros[TIPO],DADOS!$AJ$3,tabela_registros[CATEGORIA],reservafixaconsolidadomai[[#This Row],[ATUAL]])</f>
        <v>0</v>
      </c>
      <c r="W171" s="91">
        <f>SUMIFS(tabela_registros[VALOR],tabela_registros[MÊS],$AE$1,tabela_registros[DIA],reservafixaconsolidadomai[[#Headers],[19]],tabela_registros[REGISTRO],DADOS!$N$6,tabela_registros[TIPO],DADOS!$AJ$3,tabela_registros[CATEGORIA],reservafixaconsolidadomai[[#This Row],[ATUAL]])</f>
        <v>0</v>
      </c>
      <c r="X171" s="91">
        <f>SUMIFS(tabela_registros[VALOR],tabela_registros[MÊS],$AE$1,tabela_registros[DIA],reservafixaconsolidadomai[[#Headers],[20]],tabela_registros[REGISTRO],DADOS!$N$6,tabela_registros[TIPO],DADOS!$AJ$3,tabela_registros[CATEGORIA],reservafixaconsolidadomai[[#This Row],[ATUAL]])</f>
        <v>0</v>
      </c>
      <c r="Y171" s="91">
        <f>SUMIFS(tabela_registros[VALOR],tabela_registros[MÊS],$AE$1,tabela_registros[DIA],reservafixaconsolidadomai[[#Headers],[21]],tabela_registros[REGISTRO],DADOS!$N$6,tabela_registros[TIPO],DADOS!$AJ$3,tabela_registros[CATEGORIA],reservafixaconsolidadomai[[#This Row],[ATUAL]])</f>
        <v>0</v>
      </c>
      <c r="Z171" s="91">
        <f>SUMIFS(tabela_registros[VALOR],tabela_registros[MÊS],$AE$1,tabela_registros[DIA],reservafixaconsolidadomai[[#Headers],[22]],tabela_registros[REGISTRO],DADOS!$N$6,tabela_registros[TIPO],DADOS!$AJ$3,tabela_registros[CATEGORIA],reservafixaconsolidadomai[[#This Row],[ATUAL]])</f>
        <v>0</v>
      </c>
      <c r="AA171" s="91">
        <f>SUMIFS(tabela_registros[VALOR],tabela_registros[MÊS],$AE$1,tabela_registros[DIA],reservafixaconsolidadomai[[#Headers],[23]],tabela_registros[REGISTRO],DADOS!$N$6,tabela_registros[TIPO],DADOS!$AJ$3,tabela_registros[CATEGORIA],reservafixaconsolidadomai[[#This Row],[ATUAL]])</f>
        <v>0</v>
      </c>
      <c r="AB171" s="91">
        <f>SUMIFS(tabela_registros[VALOR],tabela_registros[MÊS],$AE$1,tabela_registros[DIA],reservafixaconsolidadomai[[#Headers],[24]],tabela_registros[REGISTRO],DADOS!$N$6,tabela_registros[TIPO],DADOS!$AJ$3,tabela_registros[CATEGORIA],reservafixaconsolidadomai[[#This Row],[ATUAL]])</f>
        <v>0</v>
      </c>
      <c r="AC171" s="91">
        <f>SUMIFS(tabela_registros[VALOR],tabela_registros[MÊS],$AE$1,tabela_registros[DIA],reservafixaconsolidadomai[[#Headers],[25]],tabela_registros[REGISTRO],DADOS!$N$6,tabela_registros[TIPO],DADOS!$AJ$3,tabela_registros[CATEGORIA],reservafixaconsolidadomai[[#This Row],[ATUAL]])</f>
        <v>0</v>
      </c>
      <c r="AD171" s="91">
        <f>SUMIFS(tabela_registros[VALOR],tabela_registros[MÊS],$AE$1,tabela_registros[DIA],reservafixaconsolidadomai[[#Headers],[26]],tabela_registros[REGISTRO],DADOS!$N$6,tabela_registros[TIPO],DADOS!$AJ$3,tabela_registros[CATEGORIA],reservafixaconsolidadomai[[#This Row],[ATUAL]])</f>
        <v>0</v>
      </c>
      <c r="AE171" s="91">
        <f>SUMIFS(tabela_registros[VALOR],tabela_registros[MÊS],$AE$1,tabela_registros[DIA],reservafixaconsolidadomai[[#Headers],[27]],tabela_registros[REGISTRO],DADOS!$N$6,tabela_registros[TIPO],DADOS!$AJ$3,tabela_registros[CATEGORIA],reservafixaconsolidadomai[[#This Row],[ATUAL]])</f>
        <v>0</v>
      </c>
      <c r="AF171" s="91">
        <f>SUMIFS(tabela_registros[VALOR],tabela_registros[MÊS],$AE$1,tabela_registros[DIA],reservafixaconsolidadomai[[#Headers],[28]],tabela_registros[REGISTRO],DADOS!$N$6,tabela_registros[TIPO],DADOS!$AJ$3,tabela_registros[CATEGORIA],reservafixaconsolidadomai[[#This Row],[ATUAL]])</f>
        <v>0</v>
      </c>
      <c r="AG171" s="91">
        <f>SUMIFS(tabela_registros[VALOR],tabela_registros[MÊS],$AE$1,tabela_registros[DIA],reservafixaconsolidadomai[[#Headers],[29]],tabela_registros[REGISTRO],DADOS!$N$6,tabela_registros[TIPO],DADOS!$AJ$3,tabela_registros[CATEGORIA],reservafixaconsolidadomai[[#This Row],[ATUAL]])</f>
        <v>0</v>
      </c>
      <c r="AH171" s="91">
        <f>SUMIFS(tabela_registros[VALOR],tabela_registros[MÊS],$AE$1,tabela_registros[DIA],reservafixaconsolidadomai[[#Headers],[30]],tabela_registros[REGISTRO],DADOS!$N$6,tabela_registros[TIPO],DADOS!$AJ$3,tabela_registros[CATEGORIA],reservafixaconsolidadomai[[#This Row],[ATUAL]])</f>
        <v>0</v>
      </c>
      <c r="AI171" s="101">
        <f>SUMIFS(tabela_registros[VALOR],tabela_registros[MÊS],$AE$1,tabela_registros[DIA],reservafixaconsolidadomai[[#Headers],[31]],tabela_registros[REGISTRO],DADOS!$N$6,tabela_registros[TIPO],DADOS!$AJ$3,tabela_registros[CATEGORIA],reservafixaconsolidadomai[[#This Row],[ATUAL]])</f>
        <v>0</v>
      </c>
      <c r="AJ171" s="97">
        <f>SUM(reservafixaconsolidadomai[[#This Row],[1]:[31]])</f>
        <v>0</v>
      </c>
      <c r="AK171" s="25"/>
    </row>
    <row r="172" spans="2:37" ht="19.5" customHeight="1" thickTop="1" thickBot="1" x14ac:dyDescent="0.3">
      <c r="B172" s="28"/>
      <c r="C172" s="27" t="str">
        <f>DADOS!$AL$7</f>
        <v>📝 EXTERIOR</v>
      </c>
      <c r="D172" s="26" t="str">
        <f>IF(reservafixaconsolidadomai[[#This Row],[TOTAL (R$)]]=0,"",IF(OR(reservafixaconsolidadomai[[#This Row],[TOTAL (R$)]]=LARGE($AJ$168:$AJ$177,1),reservafixaconsolidadomai[[#This Row],[TOTAL (R$)]]=LARGE($AJ$168:$AJ$177,2)),DADOS!$I$11,""))</f>
        <v/>
      </c>
      <c r="E172" s="96">
        <f>SUMIFS(tabela_registros[VALOR],tabela_registros[MÊS],$AE$1,tabela_registros[DIA],reservafixaconsolidadomai[[#Headers],[1]],tabela_registros[REGISTRO],DADOS!$N$6,tabela_registros[TIPO],DADOS!$AJ$3,tabela_registros[CATEGORIA],reservafixaconsolidadomai[[#This Row],[ATUAL]])</f>
        <v>0</v>
      </c>
      <c r="F172" s="91">
        <f>SUMIFS(tabela_registros[VALOR],tabela_registros[MÊS],$AE$1,tabela_registros[DIA],reservafixaconsolidadomai[[#Headers],[2]],tabela_registros[REGISTRO],DADOS!$N$6,tabela_registros[TIPO],DADOS!$AJ$3,tabela_registros[CATEGORIA],reservafixaconsolidadomai[[#This Row],[ATUAL]])</f>
        <v>0</v>
      </c>
      <c r="G172" s="91">
        <f>SUMIFS(tabela_registros[VALOR],tabela_registros[MÊS],$AE$1,tabela_registros[DIA],reservafixaconsolidadomai[[#Headers],[3]],tabela_registros[REGISTRO],DADOS!$N$6,tabela_registros[TIPO],DADOS!$AJ$3,tabela_registros[CATEGORIA],reservafixaconsolidadomai[[#This Row],[ATUAL]])</f>
        <v>0</v>
      </c>
      <c r="H172" s="91">
        <f>SUMIFS(tabela_registros[VALOR],tabela_registros[MÊS],$AE$1,tabela_registros[DIA],reservafixaconsolidadomai[[#Headers],[4]],tabela_registros[REGISTRO],DADOS!$N$6,tabela_registros[TIPO],DADOS!$AJ$3,tabela_registros[CATEGORIA],reservafixaconsolidadomai[[#This Row],[ATUAL]])</f>
        <v>0</v>
      </c>
      <c r="I172" s="91">
        <f>SUMIFS(tabela_registros[VALOR],tabela_registros[MÊS],$AE$1,tabela_registros[DIA],reservafixaconsolidadomai[[#Headers],[5]],tabela_registros[REGISTRO],DADOS!$N$6,tabela_registros[TIPO],DADOS!$AJ$3,tabela_registros[CATEGORIA],reservafixaconsolidadomai[[#This Row],[ATUAL]])</f>
        <v>0</v>
      </c>
      <c r="J172" s="91">
        <f>SUMIFS(tabela_registros[VALOR],tabela_registros[MÊS],$AE$1,tabela_registros[DIA],reservafixaconsolidadomai[[#Headers],[6]],tabela_registros[REGISTRO],DADOS!$N$6,tabela_registros[TIPO],DADOS!$AJ$3,tabela_registros[CATEGORIA],reservafixaconsolidadomai[[#This Row],[ATUAL]])</f>
        <v>0</v>
      </c>
      <c r="K172" s="91">
        <f>SUMIFS(tabela_registros[VALOR],tabela_registros[MÊS],$AE$1,tabela_registros[DIA],reservafixaconsolidadomai[[#Headers],[7]],tabela_registros[REGISTRO],DADOS!$N$6,tabela_registros[TIPO],DADOS!$AJ$3,tabela_registros[CATEGORIA],reservafixaconsolidadomai[[#This Row],[ATUAL]])</f>
        <v>0</v>
      </c>
      <c r="L172" s="91">
        <f>SUMIFS(tabela_registros[VALOR],tabela_registros[MÊS],$AE$1,tabela_registros[DIA],reservafixaconsolidadomai[[#Headers],[8]],tabela_registros[REGISTRO],DADOS!$N$6,tabela_registros[TIPO],DADOS!$AJ$3,tabela_registros[CATEGORIA],reservafixaconsolidadomai[[#This Row],[ATUAL]])</f>
        <v>0</v>
      </c>
      <c r="M172" s="91">
        <f>SUMIFS(tabela_registros[VALOR],tabela_registros[MÊS],$AE$1,tabela_registros[DIA],reservafixaconsolidadomai[[#Headers],[9]],tabela_registros[REGISTRO],DADOS!$N$6,tabela_registros[TIPO],DADOS!$AJ$3,tabela_registros[CATEGORIA],reservafixaconsolidadomai[[#This Row],[ATUAL]])</f>
        <v>0</v>
      </c>
      <c r="N172" s="91">
        <f>SUMIFS(tabela_registros[VALOR],tabela_registros[MÊS],$AE$1,tabela_registros[DIA],reservafixaconsolidadomai[[#Headers],[10]],tabela_registros[REGISTRO],DADOS!$N$6,tabela_registros[TIPO],DADOS!$AJ$3,tabela_registros[CATEGORIA],reservafixaconsolidadomai[[#This Row],[ATUAL]])</f>
        <v>0</v>
      </c>
      <c r="O172" s="91">
        <f>SUMIFS(tabela_registros[VALOR],tabela_registros[MÊS],$AE$1,tabela_registros[DIA],reservafixaconsolidadomai[[#Headers],[11]],tabela_registros[REGISTRO],DADOS!$N$6,tabela_registros[TIPO],DADOS!$AJ$3,tabela_registros[CATEGORIA],reservafixaconsolidadomai[[#This Row],[ATUAL]])</f>
        <v>0</v>
      </c>
      <c r="P172" s="91">
        <f>SUMIFS(tabela_registros[VALOR],tabela_registros[MÊS],$AE$1,tabela_registros[DIA],reservafixaconsolidadomai[[#Headers],[12]],tabela_registros[REGISTRO],DADOS!$N$6,tabela_registros[TIPO],DADOS!$AJ$3,tabela_registros[CATEGORIA],reservafixaconsolidadomai[[#This Row],[ATUAL]])</f>
        <v>0</v>
      </c>
      <c r="Q172" s="91">
        <f>SUMIFS(tabela_registros[VALOR],tabela_registros[MÊS],$AE$1,tabela_registros[DIA],reservafixaconsolidadomai[[#Headers],[13]],tabela_registros[REGISTRO],DADOS!$N$6,tabela_registros[TIPO],DADOS!$AJ$3,tabela_registros[CATEGORIA],reservafixaconsolidadomai[[#This Row],[ATUAL]])</f>
        <v>0</v>
      </c>
      <c r="R172" s="91">
        <f>SUMIFS(tabela_registros[VALOR],tabela_registros[MÊS],$AE$1,tabela_registros[DIA],reservafixaconsolidadomai[[#Headers],[14]],tabela_registros[REGISTRO],DADOS!$N$6,tabela_registros[TIPO],DADOS!$AJ$3,tabela_registros[CATEGORIA],reservafixaconsolidadomai[[#This Row],[ATUAL]])</f>
        <v>0</v>
      </c>
      <c r="S172" s="91">
        <f>SUMIFS(tabela_registros[VALOR],tabela_registros[MÊS],$AE$1,tabela_registros[DIA],reservafixaconsolidadomai[[#Headers],[15]],tabela_registros[REGISTRO],DADOS!$N$6,tabela_registros[TIPO],DADOS!$AJ$3,tabela_registros[CATEGORIA],reservafixaconsolidadomai[[#This Row],[ATUAL]])</f>
        <v>0</v>
      </c>
      <c r="T172" s="91">
        <f>SUMIFS(tabela_registros[VALOR],tabela_registros[MÊS],$AE$1,tabela_registros[DIA],reservafixaconsolidadomai[[#Headers],[16]],tabela_registros[REGISTRO],DADOS!$N$6,tabela_registros[TIPO],DADOS!$AJ$3,tabela_registros[CATEGORIA],reservafixaconsolidadomai[[#This Row],[ATUAL]])</f>
        <v>0</v>
      </c>
      <c r="U172" s="91">
        <f>SUMIFS(tabela_registros[VALOR],tabela_registros[MÊS],$AE$1,tabela_registros[DIA],reservafixaconsolidadomai[[#Headers],[17]],tabela_registros[REGISTRO],DADOS!$N$6,tabela_registros[TIPO],DADOS!$AJ$3,tabela_registros[CATEGORIA],reservafixaconsolidadomai[[#This Row],[ATUAL]])</f>
        <v>0</v>
      </c>
      <c r="V172" s="91">
        <f>SUMIFS(tabela_registros[VALOR],tabela_registros[MÊS],$AE$1,tabela_registros[DIA],reservafixaconsolidadomai[[#Headers],[18]],tabela_registros[REGISTRO],DADOS!$N$6,tabela_registros[TIPO],DADOS!$AJ$3,tabela_registros[CATEGORIA],reservafixaconsolidadomai[[#This Row],[ATUAL]])</f>
        <v>0</v>
      </c>
      <c r="W172" s="91">
        <f>SUMIFS(tabela_registros[VALOR],tabela_registros[MÊS],$AE$1,tabela_registros[DIA],reservafixaconsolidadomai[[#Headers],[19]],tabela_registros[REGISTRO],DADOS!$N$6,tabela_registros[TIPO],DADOS!$AJ$3,tabela_registros[CATEGORIA],reservafixaconsolidadomai[[#This Row],[ATUAL]])</f>
        <v>0</v>
      </c>
      <c r="X172" s="91">
        <f>SUMIFS(tabela_registros[VALOR],tabela_registros[MÊS],$AE$1,tabela_registros[DIA],reservafixaconsolidadomai[[#Headers],[20]],tabela_registros[REGISTRO],DADOS!$N$6,tabela_registros[TIPO],DADOS!$AJ$3,tabela_registros[CATEGORIA],reservafixaconsolidadomai[[#This Row],[ATUAL]])</f>
        <v>0</v>
      </c>
      <c r="Y172" s="91">
        <f>SUMIFS(tabela_registros[VALOR],tabela_registros[MÊS],$AE$1,tabela_registros[DIA],reservafixaconsolidadomai[[#Headers],[21]],tabela_registros[REGISTRO],DADOS!$N$6,tabela_registros[TIPO],DADOS!$AJ$3,tabela_registros[CATEGORIA],reservafixaconsolidadomai[[#This Row],[ATUAL]])</f>
        <v>0</v>
      </c>
      <c r="Z172" s="91">
        <f>SUMIFS(tabela_registros[VALOR],tabela_registros[MÊS],$AE$1,tabela_registros[DIA],reservafixaconsolidadomai[[#Headers],[22]],tabela_registros[REGISTRO],DADOS!$N$6,tabela_registros[TIPO],DADOS!$AJ$3,tabela_registros[CATEGORIA],reservafixaconsolidadomai[[#This Row],[ATUAL]])</f>
        <v>0</v>
      </c>
      <c r="AA172" s="91">
        <f>SUMIFS(tabela_registros[VALOR],tabela_registros[MÊS],$AE$1,tabela_registros[DIA],reservafixaconsolidadomai[[#Headers],[23]],tabela_registros[REGISTRO],DADOS!$N$6,tabela_registros[TIPO],DADOS!$AJ$3,tabela_registros[CATEGORIA],reservafixaconsolidadomai[[#This Row],[ATUAL]])</f>
        <v>0</v>
      </c>
      <c r="AB172" s="91">
        <f>SUMIFS(tabela_registros[VALOR],tabela_registros[MÊS],$AE$1,tabela_registros[DIA],reservafixaconsolidadomai[[#Headers],[24]],tabela_registros[REGISTRO],DADOS!$N$6,tabela_registros[TIPO],DADOS!$AJ$3,tabela_registros[CATEGORIA],reservafixaconsolidadomai[[#This Row],[ATUAL]])</f>
        <v>0</v>
      </c>
      <c r="AC172" s="91">
        <f>SUMIFS(tabela_registros[VALOR],tabela_registros[MÊS],$AE$1,tabela_registros[DIA],reservafixaconsolidadomai[[#Headers],[25]],tabela_registros[REGISTRO],DADOS!$N$6,tabela_registros[TIPO],DADOS!$AJ$3,tabela_registros[CATEGORIA],reservafixaconsolidadomai[[#This Row],[ATUAL]])</f>
        <v>0</v>
      </c>
      <c r="AD172" s="91">
        <f>SUMIFS(tabela_registros[VALOR],tabela_registros[MÊS],$AE$1,tabela_registros[DIA],reservafixaconsolidadomai[[#Headers],[26]],tabela_registros[REGISTRO],DADOS!$N$6,tabela_registros[TIPO],DADOS!$AJ$3,tabela_registros[CATEGORIA],reservafixaconsolidadomai[[#This Row],[ATUAL]])</f>
        <v>0</v>
      </c>
      <c r="AE172" s="91">
        <f>SUMIFS(tabela_registros[VALOR],tabela_registros[MÊS],$AE$1,tabela_registros[DIA],reservafixaconsolidadomai[[#Headers],[27]],tabela_registros[REGISTRO],DADOS!$N$6,tabela_registros[TIPO],DADOS!$AJ$3,tabela_registros[CATEGORIA],reservafixaconsolidadomai[[#This Row],[ATUAL]])</f>
        <v>0</v>
      </c>
      <c r="AF172" s="91">
        <f>SUMIFS(tabela_registros[VALOR],tabela_registros[MÊS],$AE$1,tabela_registros[DIA],reservafixaconsolidadomai[[#Headers],[28]],tabela_registros[REGISTRO],DADOS!$N$6,tabela_registros[TIPO],DADOS!$AJ$3,tabela_registros[CATEGORIA],reservafixaconsolidadomai[[#This Row],[ATUAL]])</f>
        <v>0</v>
      </c>
      <c r="AG172" s="91">
        <f>SUMIFS(tabela_registros[VALOR],tabela_registros[MÊS],$AE$1,tabela_registros[DIA],reservafixaconsolidadomai[[#Headers],[29]],tabela_registros[REGISTRO],DADOS!$N$6,tabela_registros[TIPO],DADOS!$AJ$3,tabela_registros[CATEGORIA],reservafixaconsolidadomai[[#This Row],[ATUAL]])</f>
        <v>0</v>
      </c>
      <c r="AH172" s="91">
        <f>SUMIFS(tabela_registros[VALOR],tabela_registros[MÊS],$AE$1,tabela_registros[DIA],reservafixaconsolidadomai[[#Headers],[30]],tabela_registros[REGISTRO],DADOS!$N$6,tabela_registros[TIPO],DADOS!$AJ$3,tabela_registros[CATEGORIA],reservafixaconsolidadomai[[#This Row],[ATUAL]])</f>
        <v>0</v>
      </c>
      <c r="AI172" s="101">
        <f>SUMIFS(tabela_registros[VALOR],tabela_registros[MÊS],$AE$1,tabela_registros[DIA],reservafixaconsolidadomai[[#Headers],[31]],tabela_registros[REGISTRO],DADOS!$N$6,tabela_registros[TIPO],DADOS!$AJ$3,tabela_registros[CATEGORIA],reservafixaconsolidadomai[[#This Row],[ATUAL]])</f>
        <v>0</v>
      </c>
      <c r="AJ172" s="97">
        <f>SUM(reservafixaconsolidadomai[[#This Row],[1]:[31]])</f>
        <v>0</v>
      </c>
      <c r="AK172" s="25"/>
    </row>
    <row r="173" spans="2:37" ht="19.5" customHeight="1" thickTop="1" thickBot="1" x14ac:dyDescent="0.3">
      <c r="B173" s="28"/>
      <c r="C173" s="27" t="str">
        <f>DADOS!$AL$8</f>
        <v>📝 LC</v>
      </c>
      <c r="D173" s="26" t="str">
        <f>IF(reservafixaconsolidadomai[[#This Row],[TOTAL (R$)]]=0,"",IF(OR(reservafixaconsolidadomai[[#This Row],[TOTAL (R$)]]=LARGE($AJ$168:$AJ$177,1),reservafixaconsolidadomai[[#This Row],[TOTAL (R$)]]=LARGE($AJ$168:$AJ$177,2)),DADOS!$I$11,""))</f>
        <v/>
      </c>
      <c r="E173" s="96">
        <f>SUMIFS(tabela_registros[VALOR],tabela_registros[MÊS],$AE$1,tabela_registros[DIA],reservafixaconsolidadomai[[#Headers],[1]],tabela_registros[REGISTRO],DADOS!$N$6,tabela_registros[TIPO],DADOS!$AJ$3,tabela_registros[CATEGORIA],reservafixaconsolidadomai[[#This Row],[ATUAL]])</f>
        <v>0</v>
      </c>
      <c r="F173" s="91">
        <f>SUMIFS(tabela_registros[VALOR],tabela_registros[MÊS],$AE$1,tabela_registros[DIA],reservafixaconsolidadomai[[#Headers],[2]],tabela_registros[REGISTRO],DADOS!$N$6,tabela_registros[TIPO],DADOS!$AJ$3,tabela_registros[CATEGORIA],reservafixaconsolidadomai[[#This Row],[ATUAL]])</f>
        <v>0</v>
      </c>
      <c r="G173" s="91">
        <f>SUMIFS(tabela_registros[VALOR],tabela_registros[MÊS],$AE$1,tabela_registros[DIA],reservafixaconsolidadomai[[#Headers],[3]],tabela_registros[REGISTRO],DADOS!$N$6,tabela_registros[TIPO],DADOS!$AJ$3,tabela_registros[CATEGORIA],reservafixaconsolidadomai[[#This Row],[ATUAL]])</f>
        <v>0</v>
      </c>
      <c r="H173" s="91">
        <f>SUMIFS(tabela_registros[VALOR],tabela_registros[MÊS],$AE$1,tabela_registros[DIA],reservafixaconsolidadomai[[#Headers],[4]],tabela_registros[REGISTRO],DADOS!$N$6,tabela_registros[TIPO],DADOS!$AJ$3,tabela_registros[CATEGORIA],reservafixaconsolidadomai[[#This Row],[ATUAL]])</f>
        <v>0</v>
      </c>
      <c r="I173" s="91">
        <f>SUMIFS(tabela_registros[VALOR],tabela_registros[MÊS],$AE$1,tabela_registros[DIA],reservafixaconsolidadomai[[#Headers],[5]],tabela_registros[REGISTRO],DADOS!$N$6,tabela_registros[TIPO],DADOS!$AJ$3,tabela_registros[CATEGORIA],reservafixaconsolidadomai[[#This Row],[ATUAL]])</f>
        <v>0</v>
      </c>
      <c r="J173" s="91">
        <f>SUMIFS(tabela_registros[VALOR],tabela_registros[MÊS],$AE$1,tabela_registros[DIA],reservafixaconsolidadomai[[#Headers],[6]],tabela_registros[REGISTRO],DADOS!$N$6,tabela_registros[TIPO],DADOS!$AJ$3,tabela_registros[CATEGORIA],reservafixaconsolidadomai[[#This Row],[ATUAL]])</f>
        <v>0</v>
      </c>
      <c r="K173" s="91">
        <f>SUMIFS(tabela_registros[VALOR],tabela_registros[MÊS],$AE$1,tabela_registros[DIA],reservafixaconsolidadomai[[#Headers],[7]],tabela_registros[REGISTRO],DADOS!$N$6,tabela_registros[TIPO],DADOS!$AJ$3,tabela_registros[CATEGORIA],reservafixaconsolidadomai[[#This Row],[ATUAL]])</f>
        <v>0</v>
      </c>
      <c r="L173" s="91">
        <f>SUMIFS(tabela_registros[VALOR],tabela_registros[MÊS],$AE$1,tabela_registros[DIA],reservafixaconsolidadomai[[#Headers],[8]],tabela_registros[REGISTRO],DADOS!$N$6,tabela_registros[TIPO],DADOS!$AJ$3,tabela_registros[CATEGORIA],reservafixaconsolidadomai[[#This Row],[ATUAL]])</f>
        <v>0</v>
      </c>
      <c r="M173" s="91">
        <f>SUMIFS(tabela_registros[VALOR],tabela_registros[MÊS],$AE$1,tabela_registros[DIA],reservafixaconsolidadomai[[#Headers],[9]],tabela_registros[REGISTRO],DADOS!$N$6,tabela_registros[TIPO],DADOS!$AJ$3,tabela_registros[CATEGORIA],reservafixaconsolidadomai[[#This Row],[ATUAL]])</f>
        <v>0</v>
      </c>
      <c r="N173" s="91">
        <f>SUMIFS(tabela_registros[VALOR],tabela_registros[MÊS],$AE$1,tabela_registros[DIA],reservafixaconsolidadomai[[#Headers],[10]],tabela_registros[REGISTRO],DADOS!$N$6,tabela_registros[TIPO],DADOS!$AJ$3,tabela_registros[CATEGORIA],reservafixaconsolidadomai[[#This Row],[ATUAL]])</f>
        <v>0</v>
      </c>
      <c r="O173" s="91">
        <f>SUMIFS(tabela_registros[VALOR],tabela_registros[MÊS],$AE$1,tabela_registros[DIA],reservafixaconsolidadomai[[#Headers],[11]],tabela_registros[REGISTRO],DADOS!$N$6,tabela_registros[TIPO],DADOS!$AJ$3,tabela_registros[CATEGORIA],reservafixaconsolidadomai[[#This Row],[ATUAL]])</f>
        <v>0</v>
      </c>
      <c r="P173" s="91">
        <f>SUMIFS(tabela_registros[VALOR],tabela_registros[MÊS],$AE$1,tabela_registros[DIA],reservafixaconsolidadomai[[#Headers],[12]],tabela_registros[REGISTRO],DADOS!$N$6,tabela_registros[TIPO],DADOS!$AJ$3,tabela_registros[CATEGORIA],reservafixaconsolidadomai[[#This Row],[ATUAL]])</f>
        <v>0</v>
      </c>
      <c r="Q173" s="91">
        <f>SUMIFS(tabela_registros[VALOR],tabela_registros[MÊS],$AE$1,tabela_registros[DIA],reservafixaconsolidadomai[[#Headers],[13]],tabela_registros[REGISTRO],DADOS!$N$6,tabela_registros[TIPO],DADOS!$AJ$3,tabela_registros[CATEGORIA],reservafixaconsolidadomai[[#This Row],[ATUAL]])</f>
        <v>0</v>
      </c>
      <c r="R173" s="91">
        <f>SUMIFS(tabela_registros[VALOR],tabela_registros[MÊS],$AE$1,tabela_registros[DIA],reservafixaconsolidadomai[[#Headers],[14]],tabela_registros[REGISTRO],DADOS!$N$6,tabela_registros[TIPO],DADOS!$AJ$3,tabela_registros[CATEGORIA],reservafixaconsolidadomai[[#This Row],[ATUAL]])</f>
        <v>0</v>
      </c>
      <c r="S173" s="91">
        <f>SUMIFS(tabela_registros[VALOR],tabela_registros[MÊS],$AE$1,tabela_registros[DIA],reservafixaconsolidadomai[[#Headers],[15]],tabela_registros[REGISTRO],DADOS!$N$6,tabela_registros[TIPO],DADOS!$AJ$3,tabela_registros[CATEGORIA],reservafixaconsolidadomai[[#This Row],[ATUAL]])</f>
        <v>0</v>
      </c>
      <c r="T173" s="91">
        <f>SUMIFS(tabela_registros[VALOR],tabela_registros[MÊS],$AE$1,tabela_registros[DIA],reservafixaconsolidadomai[[#Headers],[16]],tabela_registros[REGISTRO],DADOS!$N$6,tabela_registros[TIPO],DADOS!$AJ$3,tabela_registros[CATEGORIA],reservafixaconsolidadomai[[#This Row],[ATUAL]])</f>
        <v>0</v>
      </c>
      <c r="U173" s="91">
        <f>SUMIFS(tabela_registros[VALOR],tabela_registros[MÊS],$AE$1,tabela_registros[DIA],reservafixaconsolidadomai[[#Headers],[17]],tabela_registros[REGISTRO],DADOS!$N$6,tabela_registros[TIPO],DADOS!$AJ$3,tabela_registros[CATEGORIA],reservafixaconsolidadomai[[#This Row],[ATUAL]])</f>
        <v>0</v>
      </c>
      <c r="V173" s="91">
        <f>SUMIFS(tabela_registros[VALOR],tabela_registros[MÊS],$AE$1,tabela_registros[DIA],reservafixaconsolidadomai[[#Headers],[18]],tabela_registros[REGISTRO],DADOS!$N$6,tabela_registros[TIPO],DADOS!$AJ$3,tabela_registros[CATEGORIA],reservafixaconsolidadomai[[#This Row],[ATUAL]])</f>
        <v>0</v>
      </c>
      <c r="W173" s="91">
        <f>SUMIFS(tabela_registros[VALOR],tabela_registros[MÊS],$AE$1,tabela_registros[DIA],reservafixaconsolidadomai[[#Headers],[19]],tabela_registros[REGISTRO],DADOS!$N$6,tabela_registros[TIPO],DADOS!$AJ$3,tabela_registros[CATEGORIA],reservafixaconsolidadomai[[#This Row],[ATUAL]])</f>
        <v>0</v>
      </c>
      <c r="X173" s="91">
        <f>SUMIFS(tabela_registros[VALOR],tabela_registros[MÊS],$AE$1,tabela_registros[DIA],reservafixaconsolidadomai[[#Headers],[20]],tabela_registros[REGISTRO],DADOS!$N$6,tabela_registros[TIPO],DADOS!$AJ$3,tabela_registros[CATEGORIA],reservafixaconsolidadomai[[#This Row],[ATUAL]])</f>
        <v>0</v>
      </c>
      <c r="Y173" s="91">
        <f>SUMIFS(tabela_registros[VALOR],tabela_registros[MÊS],$AE$1,tabela_registros[DIA],reservafixaconsolidadomai[[#Headers],[21]],tabela_registros[REGISTRO],DADOS!$N$6,tabela_registros[TIPO],DADOS!$AJ$3,tabela_registros[CATEGORIA],reservafixaconsolidadomai[[#This Row],[ATUAL]])</f>
        <v>0</v>
      </c>
      <c r="Z173" s="91">
        <f>SUMIFS(tabela_registros[VALOR],tabela_registros[MÊS],$AE$1,tabela_registros[DIA],reservafixaconsolidadomai[[#Headers],[22]],tabela_registros[REGISTRO],DADOS!$N$6,tabela_registros[TIPO],DADOS!$AJ$3,tabela_registros[CATEGORIA],reservafixaconsolidadomai[[#This Row],[ATUAL]])</f>
        <v>0</v>
      </c>
      <c r="AA173" s="91">
        <f>SUMIFS(tabela_registros[VALOR],tabela_registros[MÊS],$AE$1,tabela_registros[DIA],reservafixaconsolidadomai[[#Headers],[23]],tabela_registros[REGISTRO],DADOS!$N$6,tabela_registros[TIPO],DADOS!$AJ$3,tabela_registros[CATEGORIA],reservafixaconsolidadomai[[#This Row],[ATUAL]])</f>
        <v>0</v>
      </c>
      <c r="AB173" s="91">
        <f>SUMIFS(tabela_registros[VALOR],tabela_registros[MÊS],$AE$1,tabela_registros[DIA],reservafixaconsolidadomai[[#Headers],[24]],tabela_registros[REGISTRO],DADOS!$N$6,tabela_registros[TIPO],DADOS!$AJ$3,tabela_registros[CATEGORIA],reservafixaconsolidadomai[[#This Row],[ATUAL]])</f>
        <v>0</v>
      </c>
      <c r="AC173" s="91">
        <f>SUMIFS(tabela_registros[VALOR],tabela_registros[MÊS],$AE$1,tabela_registros[DIA],reservafixaconsolidadomai[[#Headers],[25]],tabela_registros[REGISTRO],DADOS!$N$6,tabela_registros[TIPO],DADOS!$AJ$3,tabela_registros[CATEGORIA],reservafixaconsolidadomai[[#This Row],[ATUAL]])</f>
        <v>0</v>
      </c>
      <c r="AD173" s="91">
        <f>SUMIFS(tabela_registros[VALOR],tabela_registros[MÊS],$AE$1,tabela_registros[DIA],reservafixaconsolidadomai[[#Headers],[26]],tabela_registros[REGISTRO],DADOS!$N$6,tabela_registros[TIPO],DADOS!$AJ$3,tabela_registros[CATEGORIA],reservafixaconsolidadomai[[#This Row],[ATUAL]])</f>
        <v>0</v>
      </c>
      <c r="AE173" s="91">
        <f>SUMIFS(tabela_registros[VALOR],tabela_registros[MÊS],$AE$1,tabela_registros[DIA],reservafixaconsolidadomai[[#Headers],[27]],tabela_registros[REGISTRO],DADOS!$N$6,tabela_registros[TIPO],DADOS!$AJ$3,tabela_registros[CATEGORIA],reservafixaconsolidadomai[[#This Row],[ATUAL]])</f>
        <v>0</v>
      </c>
      <c r="AF173" s="91">
        <f>SUMIFS(tabela_registros[VALOR],tabela_registros[MÊS],$AE$1,tabela_registros[DIA],reservafixaconsolidadomai[[#Headers],[28]],tabela_registros[REGISTRO],DADOS!$N$6,tabela_registros[TIPO],DADOS!$AJ$3,tabela_registros[CATEGORIA],reservafixaconsolidadomai[[#This Row],[ATUAL]])</f>
        <v>0</v>
      </c>
      <c r="AG173" s="91">
        <f>SUMIFS(tabela_registros[VALOR],tabela_registros[MÊS],$AE$1,tabela_registros[DIA],reservafixaconsolidadomai[[#Headers],[29]],tabela_registros[REGISTRO],DADOS!$N$6,tabela_registros[TIPO],DADOS!$AJ$3,tabela_registros[CATEGORIA],reservafixaconsolidadomai[[#This Row],[ATUAL]])</f>
        <v>0</v>
      </c>
      <c r="AH173" s="91">
        <f>SUMIFS(tabela_registros[VALOR],tabela_registros[MÊS],$AE$1,tabela_registros[DIA],reservafixaconsolidadomai[[#Headers],[30]],tabela_registros[REGISTRO],DADOS!$N$6,tabela_registros[TIPO],DADOS!$AJ$3,tabela_registros[CATEGORIA],reservafixaconsolidadomai[[#This Row],[ATUAL]])</f>
        <v>0</v>
      </c>
      <c r="AI173" s="101">
        <f>SUMIFS(tabela_registros[VALOR],tabela_registros[MÊS],$AE$1,tabela_registros[DIA],reservafixaconsolidadomai[[#Headers],[31]],tabela_registros[REGISTRO],DADOS!$N$6,tabela_registros[TIPO],DADOS!$AJ$3,tabela_registros[CATEGORIA],reservafixaconsolidadomai[[#This Row],[ATUAL]])</f>
        <v>0</v>
      </c>
      <c r="AJ173" s="97">
        <f>SUM(reservafixaconsolidadomai[[#This Row],[1]:[31]])</f>
        <v>0</v>
      </c>
      <c r="AK173" s="25"/>
    </row>
    <row r="174" spans="2:37" ht="19.5" customHeight="1" thickTop="1" thickBot="1" x14ac:dyDescent="0.3">
      <c r="B174" s="28"/>
      <c r="C174" s="27" t="str">
        <f>DADOS!$AL$9</f>
        <v>📝 LCA</v>
      </c>
      <c r="D174" s="26" t="str">
        <f>IF(reservafixaconsolidadomai[[#This Row],[TOTAL (R$)]]=0,"",IF(OR(reservafixaconsolidadomai[[#This Row],[TOTAL (R$)]]=LARGE($AJ$168:$AJ$177,1),reservafixaconsolidadomai[[#This Row],[TOTAL (R$)]]=LARGE($AJ$168:$AJ$177,2)),DADOS!$I$11,""))</f>
        <v/>
      </c>
      <c r="E174" s="96">
        <f>SUMIFS(tabela_registros[VALOR],tabela_registros[MÊS],$AE$1,tabela_registros[DIA],reservafixaconsolidadomai[[#Headers],[1]],tabela_registros[REGISTRO],DADOS!$N$6,tabela_registros[TIPO],DADOS!$AJ$3,tabela_registros[CATEGORIA],reservafixaconsolidadomai[[#This Row],[ATUAL]])</f>
        <v>0</v>
      </c>
      <c r="F174" s="91">
        <f>SUMIFS(tabela_registros[VALOR],tabela_registros[MÊS],$AE$1,tabela_registros[DIA],reservafixaconsolidadomai[[#Headers],[2]],tabela_registros[REGISTRO],DADOS!$N$6,tabela_registros[TIPO],DADOS!$AJ$3,tabela_registros[CATEGORIA],reservafixaconsolidadomai[[#This Row],[ATUAL]])</f>
        <v>0</v>
      </c>
      <c r="G174" s="91">
        <f>SUMIFS(tabela_registros[VALOR],tabela_registros[MÊS],$AE$1,tabela_registros[DIA],reservafixaconsolidadomai[[#Headers],[3]],tabela_registros[REGISTRO],DADOS!$N$6,tabela_registros[TIPO],DADOS!$AJ$3,tabela_registros[CATEGORIA],reservafixaconsolidadomai[[#This Row],[ATUAL]])</f>
        <v>0</v>
      </c>
      <c r="H174" s="91">
        <f>SUMIFS(tabela_registros[VALOR],tabela_registros[MÊS],$AE$1,tabela_registros[DIA],reservafixaconsolidadomai[[#Headers],[4]],tabela_registros[REGISTRO],DADOS!$N$6,tabela_registros[TIPO],DADOS!$AJ$3,tabela_registros[CATEGORIA],reservafixaconsolidadomai[[#This Row],[ATUAL]])</f>
        <v>0</v>
      </c>
      <c r="I174" s="91">
        <f>SUMIFS(tabela_registros[VALOR],tabela_registros[MÊS],$AE$1,tabela_registros[DIA],reservafixaconsolidadomai[[#Headers],[5]],tabela_registros[REGISTRO],DADOS!$N$6,tabela_registros[TIPO],DADOS!$AJ$3,tabela_registros[CATEGORIA],reservafixaconsolidadomai[[#This Row],[ATUAL]])</f>
        <v>0</v>
      </c>
      <c r="J174" s="91">
        <f>SUMIFS(tabela_registros[VALOR],tabela_registros[MÊS],$AE$1,tabela_registros[DIA],reservafixaconsolidadomai[[#Headers],[6]],tabela_registros[REGISTRO],DADOS!$N$6,tabela_registros[TIPO],DADOS!$AJ$3,tabela_registros[CATEGORIA],reservafixaconsolidadomai[[#This Row],[ATUAL]])</f>
        <v>0</v>
      </c>
      <c r="K174" s="91">
        <f>SUMIFS(tabela_registros[VALOR],tabela_registros[MÊS],$AE$1,tabela_registros[DIA],reservafixaconsolidadomai[[#Headers],[7]],tabela_registros[REGISTRO],DADOS!$N$6,tabela_registros[TIPO],DADOS!$AJ$3,tabela_registros[CATEGORIA],reservafixaconsolidadomai[[#This Row],[ATUAL]])</f>
        <v>0</v>
      </c>
      <c r="L174" s="91">
        <f>SUMIFS(tabela_registros[VALOR],tabela_registros[MÊS],$AE$1,tabela_registros[DIA],reservafixaconsolidadomai[[#Headers],[8]],tabela_registros[REGISTRO],DADOS!$N$6,tabela_registros[TIPO],DADOS!$AJ$3,tabela_registros[CATEGORIA],reservafixaconsolidadomai[[#This Row],[ATUAL]])</f>
        <v>0</v>
      </c>
      <c r="M174" s="91">
        <f>SUMIFS(tabela_registros[VALOR],tabela_registros[MÊS],$AE$1,tabela_registros[DIA],reservafixaconsolidadomai[[#Headers],[9]],tabela_registros[REGISTRO],DADOS!$N$6,tabela_registros[TIPO],DADOS!$AJ$3,tabela_registros[CATEGORIA],reservafixaconsolidadomai[[#This Row],[ATUAL]])</f>
        <v>0</v>
      </c>
      <c r="N174" s="91">
        <f>SUMIFS(tabela_registros[VALOR],tabela_registros[MÊS],$AE$1,tabela_registros[DIA],reservafixaconsolidadomai[[#Headers],[10]],tabela_registros[REGISTRO],DADOS!$N$6,tabela_registros[TIPO],DADOS!$AJ$3,tabela_registros[CATEGORIA],reservafixaconsolidadomai[[#This Row],[ATUAL]])</f>
        <v>0</v>
      </c>
      <c r="O174" s="91">
        <f>SUMIFS(tabela_registros[VALOR],tabela_registros[MÊS],$AE$1,tabela_registros[DIA],reservafixaconsolidadomai[[#Headers],[11]],tabela_registros[REGISTRO],DADOS!$N$6,tabela_registros[TIPO],DADOS!$AJ$3,tabela_registros[CATEGORIA],reservafixaconsolidadomai[[#This Row],[ATUAL]])</f>
        <v>0</v>
      </c>
      <c r="P174" s="91">
        <f>SUMIFS(tabela_registros[VALOR],tabela_registros[MÊS],$AE$1,tabela_registros[DIA],reservafixaconsolidadomai[[#Headers],[12]],tabela_registros[REGISTRO],DADOS!$N$6,tabela_registros[TIPO],DADOS!$AJ$3,tabela_registros[CATEGORIA],reservafixaconsolidadomai[[#This Row],[ATUAL]])</f>
        <v>0</v>
      </c>
      <c r="Q174" s="91">
        <f>SUMIFS(tabela_registros[VALOR],tabela_registros[MÊS],$AE$1,tabela_registros[DIA],reservafixaconsolidadomai[[#Headers],[13]],tabela_registros[REGISTRO],DADOS!$N$6,tabela_registros[TIPO],DADOS!$AJ$3,tabela_registros[CATEGORIA],reservafixaconsolidadomai[[#This Row],[ATUAL]])</f>
        <v>0</v>
      </c>
      <c r="R174" s="91">
        <f>SUMIFS(tabela_registros[VALOR],tabela_registros[MÊS],$AE$1,tabela_registros[DIA],reservafixaconsolidadomai[[#Headers],[14]],tabela_registros[REGISTRO],DADOS!$N$6,tabela_registros[TIPO],DADOS!$AJ$3,tabela_registros[CATEGORIA],reservafixaconsolidadomai[[#This Row],[ATUAL]])</f>
        <v>0</v>
      </c>
      <c r="S174" s="91">
        <f>SUMIFS(tabela_registros[VALOR],tabela_registros[MÊS],$AE$1,tabela_registros[DIA],reservafixaconsolidadomai[[#Headers],[15]],tabela_registros[REGISTRO],DADOS!$N$6,tabela_registros[TIPO],DADOS!$AJ$3,tabela_registros[CATEGORIA],reservafixaconsolidadomai[[#This Row],[ATUAL]])</f>
        <v>0</v>
      </c>
      <c r="T174" s="91">
        <f>SUMIFS(tabela_registros[VALOR],tabela_registros[MÊS],$AE$1,tabela_registros[DIA],reservafixaconsolidadomai[[#Headers],[16]],tabela_registros[REGISTRO],DADOS!$N$6,tabela_registros[TIPO],DADOS!$AJ$3,tabela_registros[CATEGORIA],reservafixaconsolidadomai[[#This Row],[ATUAL]])</f>
        <v>0</v>
      </c>
      <c r="U174" s="91">
        <f>SUMIFS(tabela_registros[VALOR],tabela_registros[MÊS],$AE$1,tabela_registros[DIA],reservafixaconsolidadomai[[#Headers],[17]],tabela_registros[REGISTRO],DADOS!$N$6,tabela_registros[TIPO],DADOS!$AJ$3,tabela_registros[CATEGORIA],reservafixaconsolidadomai[[#This Row],[ATUAL]])</f>
        <v>0</v>
      </c>
      <c r="V174" s="91">
        <f>SUMIFS(tabela_registros[VALOR],tabela_registros[MÊS],$AE$1,tabela_registros[DIA],reservafixaconsolidadomai[[#Headers],[18]],tabela_registros[REGISTRO],DADOS!$N$6,tabela_registros[TIPO],DADOS!$AJ$3,tabela_registros[CATEGORIA],reservafixaconsolidadomai[[#This Row],[ATUAL]])</f>
        <v>0</v>
      </c>
      <c r="W174" s="91">
        <f>SUMIFS(tabela_registros[VALOR],tabela_registros[MÊS],$AE$1,tabela_registros[DIA],reservafixaconsolidadomai[[#Headers],[19]],tabela_registros[REGISTRO],DADOS!$N$6,tabela_registros[TIPO],DADOS!$AJ$3,tabela_registros[CATEGORIA],reservafixaconsolidadomai[[#This Row],[ATUAL]])</f>
        <v>0</v>
      </c>
      <c r="X174" s="91">
        <f>SUMIFS(tabela_registros[VALOR],tabela_registros[MÊS],$AE$1,tabela_registros[DIA],reservafixaconsolidadomai[[#Headers],[20]],tabela_registros[REGISTRO],DADOS!$N$6,tabela_registros[TIPO],DADOS!$AJ$3,tabela_registros[CATEGORIA],reservafixaconsolidadomai[[#This Row],[ATUAL]])</f>
        <v>0</v>
      </c>
      <c r="Y174" s="91">
        <f>SUMIFS(tabela_registros[VALOR],tabela_registros[MÊS],$AE$1,tabela_registros[DIA],reservafixaconsolidadomai[[#Headers],[21]],tabela_registros[REGISTRO],DADOS!$N$6,tabela_registros[TIPO],DADOS!$AJ$3,tabela_registros[CATEGORIA],reservafixaconsolidadomai[[#This Row],[ATUAL]])</f>
        <v>0</v>
      </c>
      <c r="Z174" s="91">
        <f>SUMIFS(tabela_registros[VALOR],tabela_registros[MÊS],$AE$1,tabela_registros[DIA],reservafixaconsolidadomai[[#Headers],[22]],tabela_registros[REGISTRO],DADOS!$N$6,tabela_registros[TIPO],DADOS!$AJ$3,tabela_registros[CATEGORIA],reservafixaconsolidadomai[[#This Row],[ATUAL]])</f>
        <v>0</v>
      </c>
      <c r="AA174" s="91">
        <f>SUMIFS(tabela_registros[VALOR],tabela_registros[MÊS],$AE$1,tabela_registros[DIA],reservafixaconsolidadomai[[#Headers],[23]],tabela_registros[REGISTRO],DADOS!$N$6,tabela_registros[TIPO],DADOS!$AJ$3,tabela_registros[CATEGORIA],reservafixaconsolidadomai[[#This Row],[ATUAL]])</f>
        <v>0</v>
      </c>
      <c r="AB174" s="91">
        <f>SUMIFS(tabela_registros[VALOR],tabela_registros[MÊS],$AE$1,tabela_registros[DIA],reservafixaconsolidadomai[[#Headers],[24]],tabela_registros[REGISTRO],DADOS!$N$6,tabela_registros[TIPO],DADOS!$AJ$3,tabela_registros[CATEGORIA],reservafixaconsolidadomai[[#This Row],[ATUAL]])</f>
        <v>0</v>
      </c>
      <c r="AC174" s="91">
        <f>SUMIFS(tabela_registros[VALOR],tabela_registros[MÊS],$AE$1,tabela_registros[DIA],reservafixaconsolidadomai[[#Headers],[25]],tabela_registros[REGISTRO],DADOS!$N$6,tabela_registros[TIPO],DADOS!$AJ$3,tabela_registros[CATEGORIA],reservafixaconsolidadomai[[#This Row],[ATUAL]])</f>
        <v>0</v>
      </c>
      <c r="AD174" s="91">
        <f>SUMIFS(tabela_registros[VALOR],tabela_registros[MÊS],$AE$1,tabela_registros[DIA],reservafixaconsolidadomai[[#Headers],[26]],tabela_registros[REGISTRO],DADOS!$N$6,tabela_registros[TIPO],DADOS!$AJ$3,tabela_registros[CATEGORIA],reservafixaconsolidadomai[[#This Row],[ATUAL]])</f>
        <v>0</v>
      </c>
      <c r="AE174" s="91">
        <f>SUMIFS(tabela_registros[VALOR],tabela_registros[MÊS],$AE$1,tabela_registros[DIA],reservafixaconsolidadomai[[#Headers],[27]],tabela_registros[REGISTRO],DADOS!$N$6,tabela_registros[TIPO],DADOS!$AJ$3,tabela_registros[CATEGORIA],reservafixaconsolidadomai[[#This Row],[ATUAL]])</f>
        <v>0</v>
      </c>
      <c r="AF174" s="91">
        <f>SUMIFS(tabela_registros[VALOR],tabela_registros[MÊS],$AE$1,tabela_registros[DIA],reservafixaconsolidadomai[[#Headers],[28]],tabela_registros[REGISTRO],DADOS!$N$6,tabela_registros[TIPO],DADOS!$AJ$3,tabela_registros[CATEGORIA],reservafixaconsolidadomai[[#This Row],[ATUAL]])</f>
        <v>0</v>
      </c>
      <c r="AG174" s="91">
        <f>SUMIFS(tabela_registros[VALOR],tabela_registros[MÊS],$AE$1,tabela_registros[DIA],reservafixaconsolidadomai[[#Headers],[29]],tabela_registros[REGISTRO],DADOS!$N$6,tabela_registros[TIPO],DADOS!$AJ$3,tabela_registros[CATEGORIA],reservafixaconsolidadomai[[#This Row],[ATUAL]])</f>
        <v>0</v>
      </c>
      <c r="AH174" s="91">
        <f>SUMIFS(tabela_registros[VALOR],tabela_registros[MÊS],$AE$1,tabela_registros[DIA],reservafixaconsolidadomai[[#Headers],[30]],tabela_registros[REGISTRO],DADOS!$N$6,tabela_registros[TIPO],DADOS!$AJ$3,tabela_registros[CATEGORIA],reservafixaconsolidadomai[[#This Row],[ATUAL]])</f>
        <v>0</v>
      </c>
      <c r="AI174" s="101">
        <f>SUMIFS(tabela_registros[VALOR],tabela_registros[MÊS],$AE$1,tabela_registros[DIA],reservafixaconsolidadomai[[#Headers],[31]],tabela_registros[REGISTRO],DADOS!$N$6,tabela_registros[TIPO],DADOS!$AJ$3,tabela_registros[CATEGORIA],reservafixaconsolidadomai[[#This Row],[ATUAL]])</f>
        <v>0</v>
      </c>
      <c r="AJ174" s="97">
        <f>SUM(reservafixaconsolidadomai[[#This Row],[1]:[31]])</f>
        <v>0</v>
      </c>
      <c r="AK174" s="25"/>
    </row>
    <row r="175" spans="2:37" ht="19.5" customHeight="1" thickTop="1" thickBot="1" x14ac:dyDescent="0.3">
      <c r="B175" s="28"/>
      <c r="C175" s="27" t="str">
        <f>DADOS!$AL$10</f>
        <v>📝 LCI</v>
      </c>
      <c r="D175" s="26" t="str">
        <f>IF(reservafixaconsolidadomai[[#This Row],[TOTAL (R$)]]=0,"",IF(OR(reservafixaconsolidadomai[[#This Row],[TOTAL (R$)]]=LARGE($AJ$168:$AJ$177,1),reservafixaconsolidadomai[[#This Row],[TOTAL (R$)]]=LARGE($AJ$168:$AJ$177,2)),DADOS!$I$11,""))</f>
        <v/>
      </c>
      <c r="E175" s="96">
        <f>SUMIFS(tabela_registros[VALOR],tabela_registros[MÊS],$AE$1,tabela_registros[DIA],reservafixaconsolidadomai[[#Headers],[1]],tabela_registros[REGISTRO],DADOS!$N$6,tabela_registros[TIPO],DADOS!$AJ$3,tabela_registros[CATEGORIA],reservafixaconsolidadomai[[#This Row],[ATUAL]])</f>
        <v>0</v>
      </c>
      <c r="F175" s="91">
        <f>SUMIFS(tabela_registros[VALOR],tabela_registros[MÊS],$AE$1,tabela_registros[DIA],reservafixaconsolidadomai[[#Headers],[2]],tabela_registros[REGISTRO],DADOS!$N$6,tabela_registros[TIPO],DADOS!$AJ$3,tabela_registros[CATEGORIA],reservafixaconsolidadomai[[#This Row],[ATUAL]])</f>
        <v>0</v>
      </c>
      <c r="G175" s="91">
        <f>SUMIFS(tabela_registros[VALOR],tabela_registros[MÊS],$AE$1,tabela_registros[DIA],reservafixaconsolidadomai[[#Headers],[3]],tabela_registros[REGISTRO],DADOS!$N$6,tabela_registros[TIPO],DADOS!$AJ$3,tabela_registros[CATEGORIA],reservafixaconsolidadomai[[#This Row],[ATUAL]])</f>
        <v>0</v>
      </c>
      <c r="H175" s="91">
        <f>SUMIFS(tabela_registros[VALOR],tabela_registros[MÊS],$AE$1,tabela_registros[DIA],reservafixaconsolidadomai[[#Headers],[4]],tabela_registros[REGISTRO],DADOS!$N$6,tabela_registros[TIPO],DADOS!$AJ$3,tabela_registros[CATEGORIA],reservafixaconsolidadomai[[#This Row],[ATUAL]])</f>
        <v>0</v>
      </c>
      <c r="I175" s="91">
        <f>SUMIFS(tabela_registros[VALOR],tabela_registros[MÊS],$AE$1,tabela_registros[DIA],reservafixaconsolidadomai[[#Headers],[5]],tabela_registros[REGISTRO],DADOS!$N$6,tabela_registros[TIPO],DADOS!$AJ$3,tabela_registros[CATEGORIA],reservafixaconsolidadomai[[#This Row],[ATUAL]])</f>
        <v>0</v>
      </c>
      <c r="J175" s="91">
        <f>SUMIFS(tabela_registros[VALOR],tabela_registros[MÊS],$AE$1,tabela_registros[DIA],reservafixaconsolidadomai[[#Headers],[6]],tabela_registros[REGISTRO],DADOS!$N$6,tabela_registros[TIPO],DADOS!$AJ$3,tabela_registros[CATEGORIA],reservafixaconsolidadomai[[#This Row],[ATUAL]])</f>
        <v>0</v>
      </c>
      <c r="K175" s="91">
        <f>SUMIFS(tabela_registros[VALOR],tabela_registros[MÊS],$AE$1,tabela_registros[DIA],reservafixaconsolidadomai[[#Headers],[7]],tabela_registros[REGISTRO],DADOS!$N$6,tabela_registros[TIPO],DADOS!$AJ$3,tabela_registros[CATEGORIA],reservafixaconsolidadomai[[#This Row],[ATUAL]])</f>
        <v>0</v>
      </c>
      <c r="L175" s="91">
        <f>SUMIFS(tabela_registros[VALOR],tabela_registros[MÊS],$AE$1,tabela_registros[DIA],reservafixaconsolidadomai[[#Headers],[8]],tabela_registros[REGISTRO],DADOS!$N$6,tabela_registros[TIPO],DADOS!$AJ$3,tabela_registros[CATEGORIA],reservafixaconsolidadomai[[#This Row],[ATUAL]])</f>
        <v>0</v>
      </c>
      <c r="M175" s="91">
        <f>SUMIFS(tabela_registros[VALOR],tabela_registros[MÊS],$AE$1,tabela_registros[DIA],reservafixaconsolidadomai[[#Headers],[9]],tabela_registros[REGISTRO],DADOS!$N$6,tabela_registros[TIPO],DADOS!$AJ$3,tabela_registros[CATEGORIA],reservafixaconsolidadomai[[#This Row],[ATUAL]])</f>
        <v>0</v>
      </c>
      <c r="N175" s="91">
        <f>SUMIFS(tabela_registros[VALOR],tabela_registros[MÊS],$AE$1,tabela_registros[DIA],reservafixaconsolidadomai[[#Headers],[10]],tabela_registros[REGISTRO],DADOS!$N$6,tabela_registros[TIPO],DADOS!$AJ$3,tabela_registros[CATEGORIA],reservafixaconsolidadomai[[#This Row],[ATUAL]])</f>
        <v>0</v>
      </c>
      <c r="O175" s="91">
        <f>SUMIFS(tabela_registros[VALOR],tabela_registros[MÊS],$AE$1,tabela_registros[DIA],reservafixaconsolidadomai[[#Headers],[11]],tabela_registros[REGISTRO],DADOS!$N$6,tabela_registros[TIPO],DADOS!$AJ$3,tabela_registros[CATEGORIA],reservafixaconsolidadomai[[#This Row],[ATUAL]])</f>
        <v>0</v>
      </c>
      <c r="P175" s="91">
        <f>SUMIFS(tabela_registros[VALOR],tabela_registros[MÊS],$AE$1,tabela_registros[DIA],reservafixaconsolidadomai[[#Headers],[12]],tabela_registros[REGISTRO],DADOS!$N$6,tabela_registros[TIPO],DADOS!$AJ$3,tabela_registros[CATEGORIA],reservafixaconsolidadomai[[#This Row],[ATUAL]])</f>
        <v>0</v>
      </c>
      <c r="Q175" s="91">
        <f>SUMIFS(tabela_registros[VALOR],tabela_registros[MÊS],$AE$1,tabela_registros[DIA],reservafixaconsolidadomai[[#Headers],[13]],tabela_registros[REGISTRO],DADOS!$N$6,tabela_registros[TIPO],DADOS!$AJ$3,tabela_registros[CATEGORIA],reservafixaconsolidadomai[[#This Row],[ATUAL]])</f>
        <v>0</v>
      </c>
      <c r="R175" s="91">
        <f>SUMIFS(tabela_registros[VALOR],tabela_registros[MÊS],$AE$1,tabela_registros[DIA],reservafixaconsolidadomai[[#Headers],[14]],tabela_registros[REGISTRO],DADOS!$N$6,tabela_registros[TIPO],DADOS!$AJ$3,tabela_registros[CATEGORIA],reservafixaconsolidadomai[[#This Row],[ATUAL]])</f>
        <v>0</v>
      </c>
      <c r="S175" s="91">
        <f>SUMIFS(tabela_registros[VALOR],tabela_registros[MÊS],$AE$1,tabela_registros[DIA],reservafixaconsolidadomai[[#Headers],[15]],tabela_registros[REGISTRO],DADOS!$N$6,tabela_registros[TIPO],DADOS!$AJ$3,tabela_registros[CATEGORIA],reservafixaconsolidadomai[[#This Row],[ATUAL]])</f>
        <v>0</v>
      </c>
      <c r="T175" s="91">
        <f>SUMIFS(tabela_registros[VALOR],tabela_registros[MÊS],$AE$1,tabela_registros[DIA],reservafixaconsolidadomai[[#Headers],[16]],tabela_registros[REGISTRO],DADOS!$N$6,tabela_registros[TIPO],DADOS!$AJ$3,tabela_registros[CATEGORIA],reservafixaconsolidadomai[[#This Row],[ATUAL]])</f>
        <v>0</v>
      </c>
      <c r="U175" s="91">
        <f>SUMIFS(tabela_registros[VALOR],tabela_registros[MÊS],$AE$1,tabela_registros[DIA],reservafixaconsolidadomai[[#Headers],[17]],tabela_registros[REGISTRO],DADOS!$N$6,tabela_registros[TIPO],DADOS!$AJ$3,tabela_registros[CATEGORIA],reservafixaconsolidadomai[[#This Row],[ATUAL]])</f>
        <v>0</v>
      </c>
      <c r="V175" s="91">
        <f>SUMIFS(tabela_registros[VALOR],tabela_registros[MÊS],$AE$1,tabela_registros[DIA],reservafixaconsolidadomai[[#Headers],[18]],tabela_registros[REGISTRO],DADOS!$N$6,tabela_registros[TIPO],DADOS!$AJ$3,tabela_registros[CATEGORIA],reservafixaconsolidadomai[[#This Row],[ATUAL]])</f>
        <v>0</v>
      </c>
      <c r="W175" s="91">
        <f>SUMIFS(tabela_registros[VALOR],tabela_registros[MÊS],$AE$1,tabela_registros[DIA],reservafixaconsolidadomai[[#Headers],[19]],tabela_registros[REGISTRO],DADOS!$N$6,tabela_registros[TIPO],DADOS!$AJ$3,tabela_registros[CATEGORIA],reservafixaconsolidadomai[[#This Row],[ATUAL]])</f>
        <v>0</v>
      </c>
      <c r="X175" s="91">
        <f>SUMIFS(tabela_registros[VALOR],tabela_registros[MÊS],$AE$1,tabela_registros[DIA],reservafixaconsolidadomai[[#Headers],[20]],tabela_registros[REGISTRO],DADOS!$N$6,tabela_registros[TIPO],DADOS!$AJ$3,tabela_registros[CATEGORIA],reservafixaconsolidadomai[[#This Row],[ATUAL]])</f>
        <v>0</v>
      </c>
      <c r="Y175" s="91">
        <f>SUMIFS(tabela_registros[VALOR],tabela_registros[MÊS],$AE$1,tabela_registros[DIA],reservafixaconsolidadomai[[#Headers],[21]],tabela_registros[REGISTRO],DADOS!$N$6,tabela_registros[TIPO],DADOS!$AJ$3,tabela_registros[CATEGORIA],reservafixaconsolidadomai[[#This Row],[ATUAL]])</f>
        <v>0</v>
      </c>
      <c r="Z175" s="91">
        <f>SUMIFS(tabela_registros[VALOR],tabela_registros[MÊS],$AE$1,tabela_registros[DIA],reservafixaconsolidadomai[[#Headers],[22]],tabela_registros[REGISTRO],DADOS!$N$6,tabela_registros[TIPO],DADOS!$AJ$3,tabela_registros[CATEGORIA],reservafixaconsolidadomai[[#This Row],[ATUAL]])</f>
        <v>0</v>
      </c>
      <c r="AA175" s="91">
        <f>SUMIFS(tabela_registros[VALOR],tabela_registros[MÊS],$AE$1,tabela_registros[DIA],reservafixaconsolidadomai[[#Headers],[23]],tabela_registros[REGISTRO],DADOS!$N$6,tabela_registros[TIPO],DADOS!$AJ$3,tabela_registros[CATEGORIA],reservafixaconsolidadomai[[#This Row],[ATUAL]])</f>
        <v>0</v>
      </c>
      <c r="AB175" s="91">
        <f>SUMIFS(tabela_registros[VALOR],tabela_registros[MÊS],$AE$1,tabela_registros[DIA],reservafixaconsolidadomai[[#Headers],[24]],tabela_registros[REGISTRO],DADOS!$N$6,tabela_registros[TIPO],DADOS!$AJ$3,tabela_registros[CATEGORIA],reservafixaconsolidadomai[[#This Row],[ATUAL]])</f>
        <v>0</v>
      </c>
      <c r="AC175" s="91">
        <f>SUMIFS(tabela_registros[VALOR],tabela_registros[MÊS],$AE$1,tabela_registros[DIA],reservafixaconsolidadomai[[#Headers],[25]],tabela_registros[REGISTRO],DADOS!$N$6,tabela_registros[TIPO],DADOS!$AJ$3,tabela_registros[CATEGORIA],reservafixaconsolidadomai[[#This Row],[ATUAL]])</f>
        <v>0</v>
      </c>
      <c r="AD175" s="91">
        <f>SUMIFS(tabela_registros[VALOR],tabela_registros[MÊS],$AE$1,tabela_registros[DIA],reservafixaconsolidadomai[[#Headers],[26]],tabela_registros[REGISTRO],DADOS!$N$6,tabela_registros[TIPO],DADOS!$AJ$3,tabela_registros[CATEGORIA],reservafixaconsolidadomai[[#This Row],[ATUAL]])</f>
        <v>0</v>
      </c>
      <c r="AE175" s="91">
        <f>SUMIFS(tabela_registros[VALOR],tabela_registros[MÊS],$AE$1,tabela_registros[DIA],reservafixaconsolidadomai[[#Headers],[27]],tabela_registros[REGISTRO],DADOS!$N$6,tabela_registros[TIPO],DADOS!$AJ$3,tabela_registros[CATEGORIA],reservafixaconsolidadomai[[#This Row],[ATUAL]])</f>
        <v>0</v>
      </c>
      <c r="AF175" s="91">
        <f>SUMIFS(tabela_registros[VALOR],tabela_registros[MÊS],$AE$1,tabela_registros[DIA],reservafixaconsolidadomai[[#Headers],[28]],tabela_registros[REGISTRO],DADOS!$N$6,tabela_registros[TIPO],DADOS!$AJ$3,tabela_registros[CATEGORIA],reservafixaconsolidadomai[[#This Row],[ATUAL]])</f>
        <v>0</v>
      </c>
      <c r="AG175" s="91">
        <f>SUMIFS(tabela_registros[VALOR],tabela_registros[MÊS],$AE$1,tabela_registros[DIA],reservafixaconsolidadomai[[#Headers],[29]],tabela_registros[REGISTRO],DADOS!$N$6,tabela_registros[TIPO],DADOS!$AJ$3,tabela_registros[CATEGORIA],reservafixaconsolidadomai[[#This Row],[ATUAL]])</f>
        <v>0</v>
      </c>
      <c r="AH175" s="91">
        <f>SUMIFS(tabela_registros[VALOR],tabela_registros[MÊS],$AE$1,tabela_registros[DIA],reservafixaconsolidadomai[[#Headers],[30]],tabela_registros[REGISTRO],DADOS!$N$6,tabela_registros[TIPO],DADOS!$AJ$3,tabela_registros[CATEGORIA],reservafixaconsolidadomai[[#This Row],[ATUAL]])</f>
        <v>0</v>
      </c>
      <c r="AI175" s="101">
        <f>SUMIFS(tabela_registros[VALOR],tabela_registros[MÊS],$AE$1,tabela_registros[DIA],reservafixaconsolidadomai[[#Headers],[31]],tabela_registros[REGISTRO],DADOS!$N$6,tabela_registros[TIPO],DADOS!$AJ$3,tabela_registros[CATEGORIA],reservafixaconsolidadomai[[#This Row],[ATUAL]])</f>
        <v>0</v>
      </c>
      <c r="AJ175" s="97">
        <f>SUM(reservafixaconsolidadomai[[#This Row],[1]:[31]])</f>
        <v>0</v>
      </c>
      <c r="AK175" s="25"/>
    </row>
    <row r="176" spans="2:37" ht="19.5" customHeight="1" thickTop="1" thickBot="1" x14ac:dyDescent="0.3">
      <c r="B176" s="28"/>
      <c r="C176" s="27" t="str">
        <f>DADOS!$AL$11</f>
        <v>📝 TESOURO DIRETO</v>
      </c>
      <c r="D176" s="26" t="str">
        <f>IF(reservafixaconsolidadomai[[#This Row],[TOTAL (R$)]]=0,"",IF(OR(reservafixaconsolidadomai[[#This Row],[TOTAL (R$)]]=LARGE($AJ$168:$AJ$177,1),reservafixaconsolidadomai[[#This Row],[TOTAL (R$)]]=LARGE($AJ$168:$AJ$177,2)),DADOS!$I$11,""))</f>
        <v/>
      </c>
      <c r="E176" s="96">
        <f>SUMIFS(tabela_registros[VALOR],tabela_registros[MÊS],$AE$1,tabela_registros[DIA],reservafixaconsolidadomai[[#Headers],[1]],tabela_registros[REGISTRO],DADOS!$N$6,tabela_registros[TIPO],DADOS!$AJ$3,tabela_registros[CATEGORIA],reservafixaconsolidadomai[[#This Row],[ATUAL]])</f>
        <v>0</v>
      </c>
      <c r="F176" s="91">
        <f>SUMIFS(tabela_registros[VALOR],tabela_registros[MÊS],$AE$1,tabela_registros[DIA],reservafixaconsolidadomai[[#Headers],[2]],tabela_registros[REGISTRO],DADOS!$N$6,tabela_registros[TIPO],DADOS!$AJ$3,tabela_registros[CATEGORIA],reservafixaconsolidadomai[[#This Row],[ATUAL]])</f>
        <v>0</v>
      </c>
      <c r="G176" s="91">
        <f>SUMIFS(tabela_registros[VALOR],tabela_registros[MÊS],$AE$1,tabela_registros[DIA],reservafixaconsolidadomai[[#Headers],[3]],tabela_registros[REGISTRO],DADOS!$N$6,tabela_registros[TIPO],DADOS!$AJ$3,tabela_registros[CATEGORIA],reservafixaconsolidadomai[[#This Row],[ATUAL]])</f>
        <v>0</v>
      </c>
      <c r="H176" s="91">
        <f>SUMIFS(tabela_registros[VALOR],tabela_registros[MÊS],$AE$1,tabela_registros[DIA],reservafixaconsolidadomai[[#Headers],[4]],tabela_registros[REGISTRO],DADOS!$N$6,tabela_registros[TIPO],DADOS!$AJ$3,tabela_registros[CATEGORIA],reservafixaconsolidadomai[[#This Row],[ATUAL]])</f>
        <v>0</v>
      </c>
      <c r="I176" s="91">
        <f>SUMIFS(tabela_registros[VALOR],tabela_registros[MÊS],$AE$1,tabela_registros[DIA],reservafixaconsolidadomai[[#Headers],[5]],tabela_registros[REGISTRO],DADOS!$N$6,tabela_registros[TIPO],DADOS!$AJ$3,tabela_registros[CATEGORIA],reservafixaconsolidadomai[[#This Row],[ATUAL]])</f>
        <v>0</v>
      </c>
      <c r="J176" s="91">
        <f>SUMIFS(tabela_registros[VALOR],tabela_registros[MÊS],$AE$1,tabela_registros[DIA],reservafixaconsolidadomai[[#Headers],[6]],tabela_registros[REGISTRO],DADOS!$N$6,tabela_registros[TIPO],DADOS!$AJ$3,tabela_registros[CATEGORIA],reservafixaconsolidadomai[[#This Row],[ATUAL]])</f>
        <v>0</v>
      </c>
      <c r="K176" s="91">
        <f>SUMIFS(tabela_registros[VALOR],tabela_registros[MÊS],$AE$1,tabela_registros[DIA],reservafixaconsolidadomai[[#Headers],[7]],tabela_registros[REGISTRO],DADOS!$N$6,tabela_registros[TIPO],DADOS!$AJ$3,tabela_registros[CATEGORIA],reservafixaconsolidadomai[[#This Row],[ATUAL]])</f>
        <v>0</v>
      </c>
      <c r="L176" s="91">
        <f>SUMIFS(tabela_registros[VALOR],tabela_registros[MÊS],$AE$1,tabela_registros[DIA],reservafixaconsolidadomai[[#Headers],[8]],tabela_registros[REGISTRO],DADOS!$N$6,tabela_registros[TIPO],DADOS!$AJ$3,tabela_registros[CATEGORIA],reservafixaconsolidadomai[[#This Row],[ATUAL]])</f>
        <v>0</v>
      </c>
      <c r="M176" s="91">
        <f>SUMIFS(tabela_registros[VALOR],tabela_registros[MÊS],$AE$1,tabela_registros[DIA],reservafixaconsolidadomai[[#Headers],[9]],tabela_registros[REGISTRO],DADOS!$N$6,tabela_registros[TIPO],DADOS!$AJ$3,tabela_registros[CATEGORIA],reservafixaconsolidadomai[[#This Row],[ATUAL]])</f>
        <v>0</v>
      </c>
      <c r="N176" s="91">
        <f>SUMIFS(tabela_registros[VALOR],tabela_registros[MÊS],$AE$1,tabela_registros[DIA],reservafixaconsolidadomai[[#Headers],[10]],tabela_registros[REGISTRO],DADOS!$N$6,tabela_registros[TIPO],DADOS!$AJ$3,tabela_registros[CATEGORIA],reservafixaconsolidadomai[[#This Row],[ATUAL]])</f>
        <v>0</v>
      </c>
      <c r="O176" s="91">
        <f>SUMIFS(tabela_registros[VALOR],tabela_registros[MÊS],$AE$1,tabela_registros[DIA],reservafixaconsolidadomai[[#Headers],[11]],tabela_registros[REGISTRO],DADOS!$N$6,tabela_registros[TIPO],DADOS!$AJ$3,tabela_registros[CATEGORIA],reservafixaconsolidadomai[[#This Row],[ATUAL]])</f>
        <v>0</v>
      </c>
      <c r="P176" s="91">
        <f>SUMIFS(tabela_registros[VALOR],tabela_registros[MÊS],$AE$1,tabela_registros[DIA],reservafixaconsolidadomai[[#Headers],[12]],tabela_registros[REGISTRO],DADOS!$N$6,tabela_registros[TIPO],DADOS!$AJ$3,tabela_registros[CATEGORIA],reservafixaconsolidadomai[[#This Row],[ATUAL]])</f>
        <v>0</v>
      </c>
      <c r="Q176" s="91">
        <f>SUMIFS(tabela_registros[VALOR],tabela_registros[MÊS],$AE$1,tabela_registros[DIA],reservafixaconsolidadomai[[#Headers],[13]],tabela_registros[REGISTRO],DADOS!$N$6,tabela_registros[TIPO],DADOS!$AJ$3,tabela_registros[CATEGORIA],reservafixaconsolidadomai[[#This Row],[ATUAL]])</f>
        <v>0</v>
      </c>
      <c r="R176" s="91">
        <f>SUMIFS(tabela_registros[VALOR],tabela_registros[MÊS],$AE$1,tabela_registros[DIA],reservafixaconsolidadomai[[#Headers],[14]],tabela_registros[REGISTRO],DADOS!$N$6,tabela_registros[TIPO],DADOS!$AJ$3,tabela_registros[CATEGORIA],reservafixaconsolidadomai[[#This Row],[ATUAL]])</f>
        <v>0</v>
      </c>
      <c r="S176" s="91">
        <f>SUMIFS(tabela_registros[VALOR],tabela_registros[MÊS],$AE$1,tabela_registros[DIA],reservafixaconsolidadomai[[#Headers],[15]],tabela_registros[REGISTRO],DADOS!$N$6,tabela_registros[TIPO],DADOS!$AJ$3,tabela_registros[CATEGORIA],reservafixaconsolidadomai[[#This Row],[ATUAL]])</f>
        <v>0</v>
      </c>
      <c r="T176" s="91">
        <f>SUMIFS(tabela_registros[VALOR],tabela_registros[MÊS],$AE$1,tabela_registros[DIA],reservafixaconsolidadomai[[#Headers],[16]],tabela_registros[REGISTRO],DADOS!$N$6,tabela_registros[TIPO],DADOS!$AJ$3,tabela_registros[CATEGORIA],reservafixaconsolidadomai[[#This Row],[ATUAL]])</f>
        <v>0</v>
      </c>
      <c r="U176" s="91">
        <f>SUMIFS(tabela_registros[VALOR],tabela_registros[MÊS],$AE$1,tabela_registros[DIA],reservafixaconsolidadomai[[#Headers],[17]],tabela_registros[REGISTRO],DADOS!$N$6,tabela_registros[TIPO],DADOS!$AJ$3,tabela_registros[CATEGORIA],reservafixaconsolidadomai[[#This Row],[ATUAL]])</f>
        <v>0</v>
      </c>
      <c r="V176" s="91">
        <f>SUMIFS(tabela_registros[VALOR],tabela_registros[MÊS],$AE$1,tabela_registros[DIA],reservafixaconsolidadomai[[#Headers],[18]],tabela_registros[REGISTRO],DADOS!$N$6,tabela_registros[TIPO],DADOS!$AJ$3,tabela_registros[CATEGORIA],reservafixaconsolidadomai[[#This Row],[ATUAL]])</f>
        <v>0</v>
      </c>
      <c r="W176" s="91">
        <f>SUMIFS(tabela_registros[VALOR],tabela_registros[MÊS],$AE$1,tabela_registros[DIA],reservafixaconsolidadomai[[#Headers],[19]],tabela_registros[REGISTRO],DADOS!$N$6,tabela_registros[TIPO],DADOS!$AJ$3,tabela_registros[CATEGORIA],reservafixaconsolidadomai[[#This Row],[ATUAL]])</f>
        <v>0</v>
      </c>
      <c r="X176" s="91">
        <f>SUMIFS(tabela_registros[VALOR],tabela_registros[MÊS],$AE$1,tabela_registros[DIA],reservafixaconsolidadomai[[#Headers],[20]],tabela_registros[REGISTRO],DADOS!$N$6,tabela_registros[TIPO],DADOS!$AJ$3,tabela_registros[CATEGORIA],reservafixaconsolidadomai[[#This Row],[ATUAL]])</f>
        <v>0</v>
      </c>
      <c r="Y176" s="91">
        <f>SUMIFS(tabela_registros[VALOR],tabela_registros[MÊS],$AE$1,tabela_registros[DIA],reservafixaconsolidadomai[[#Headers],[21]],tabela_registros[REGISTRO],DADOS!$N$6,tabela_registros[TIPO],DADOS!$AJ$3,tabela_registros[CATEGORIA],reservafixaconsolidadomai[[#This Row],[ATUAL]])</f>
        <v>0</v>
      </c>
      <c r="Z176" s="91">
        <f>SUMIFS(tabela_registros[VALOR],tabela_registros[MÊS],$AE$1,tabela_registros[DIA],reservafixaconsolidadomai[[#Headers],[22]],tabela_registros[REGISTRO],DADOS!$N$6,tabela_registros[TIPO],DADOS!$AJ$3,tabela_registros[CATEGORIA],reservafixaconsolidadomai[[#This Row],[ATUAL]])</f>
        <v>0</v>
      </c>
      <c r="AA176" s="91">
        <f>SUMIFS(tabela_registros[VALOR],tabela_registros[MÊS],$AE$1,tabela_registros[DIA],reservafixaconsolidadomai[[#Headers],[23]],tabela_registros[REGISTRO],DADOS!$N$6,tabela_registros[TIPO],DADOS!$AJ$3,tabela_registros[CATEGORIA],reservafixaconsolidadomai[[#This Row],[ATUAL]])</f>
        <v>0</v>
      </c>
      <c r="AB176" s="91">
        <f>SUMIFS(tabela_registros[VALOR],tabela_registros[MÊS],$AE$1,tabela_registros[DIA],reservafixaconsolidadomai[[#Headers],[24]],tabela_registros[REGISTRO],DADOS!$N$6,tabela_registros[TIPO],DADOS!$AJ$3,tabela_registros[CATEGORIA],reservafixaconsolidadomai[[#This Row],[ATUAL]])</f>
        <v>0</v>
      </c>
      <c r="AC176" s="91">
        <f>SUMIFS(tabela_registros[VALOR],tabela_registros[MÊS],$AE$1,tabela_registros[DIA],reservafixaconsolidadomai[[#Headers],[25]],tabela_registros[REGISTRO],DADOS!$N$6,tabela_registros[TIPO],DADOS!$AJ$3,tabela_registros[CATEGORIA],reservafixaconsolidadomai[[#This Row],[ATUAL]])</f>
        <v>0</v>
      </c>
      <c r="AD176" s="91">
        <f>SUMIFS(tabela_registros[VALOR],tabela_registros[MÊS],$AE$1,tabela_registros[DIA],reservafixaconsolidadomai[[#Headers],[26]],tabela_registros[REGISTRO],DADOS!$N$6,tabela_registros[TIPO],DADOS!$AJ$3,tabela_registros[CATEGORIA],reservafixaconsolidadomai[[#This Row],[ATUAL]])</f>
        <v>0</v>
      </c>
      <c r="AE176" s="91">
        <f>SUMIFS(tabela_registros[VALOR],tabela_registros[MÊS],$AE$1,tabela_registros[DIA],reservafixaconsolidadomai[[#Headers],[27]],tabela_registros[REGISTRO],DADOS!$N$6,tabela_registros[TIPO],DADOS!$AJ$3,tabela_registros[CATEGORIA],reservafixaconsolidadomai[[#This Row],[ATUAL]])</f>
        <v>0</v>
      </c>
      <c r="AF176" s="91">
        <f>SUMIFS(tabela_registros[VALOR],tabela_registros[MÊS],$AE$1,tabela_registros[DIA],reservafixaconsolidadomai[[#Headers],[28]],tabela_registros[REGISTRO],DADOS!$N$6,tabela_registros[TIPO],DADOS!$AJ$3,tabela_registros[CATEGORIA],reservafixaconsolidadomai[[#This Row],[ATUAL]])</f>
        <v>0</v>
      </c>
      <c r="AG176" s="91">
        <f>SUMIFS(tabela_registros[VALOR],tabela_registros[MÊS],$AE$1,tabela_registros[DIA],reservafixaconsolidadomai[[#Headers],[29]],tabela_registros[REGISTRO],DADOS!$N$6,tabela_registros[TIPO],DADOS!$AJ$3,tabela_registros[CATEGORIA],reservafixaconsolidadomai[[#This Row],[ATUAL]])</f>
        <v>0</v>
      </c>
      <c r="AH176" s="91">
        <f>SUMIFS(tabela_registros[VALOR],tabela_registros[MÊS],$AE$1,tabela_registros[DIA],reservafixaconsolidadomai[[#Headers],[30]],tabela_registros[REGISTRO],DADOS!$N$6,tabela_registros[TIPO],DADOS!$AJ$3,tabela_registros[CATEGORIA],reservafixaconsolidadomai[[#This Row],[ATUAL]])</f>
        <v>0</v>
      </c>
      <c r="AI176" s="101">
        <f>SUMIFS(tabela_registros[VALOR],tabela_registros[MÊS],$AE$1,tabela_registros[DIA],reservafixaconsolidadomai[[#Headers],[31]],tabela_registros[REGISTRO],DADOS!$N$6,tabela_registros[TIPO],DADOS!$AJ$3,tabela_registros[CATEGORIA],reservafixaconsolidadomai[[#This Row],[ATUAL]])</f>
        <v>0</v>
      </c>
      <c r="AJ176" s="97">
        <f>SUM(reservafixaconsolidadomai[[#This Row],[1]:[31]])</f>
        <v>0</v>
      </c>
      <c r="AK176" s="25"/>
    </row>
    <row r="177" spans="2:37" ht="19.5" customHeight="1" thickTop="1" thickBot="1" x14ac:dyDescent="0.3">
      <c r="B177" s="28"/>
      <c r="C177" s="27" t="str">
        <f>DADOS!$AL$12</f>
        <v>📎 OUTROS</v>
      </c>
      <c r="D177" s="26" t="str">
        <f>IF(reservafixaconsolidadomai[[#This Row],[TOTAL (R$)]]=0,"",IF(OR(reservafixaconsolidadomai[[#This Row],[TOTAL (R$)]]=LARGE($AJ$168:$AJ$177,1),reservafixaconsolidadomai[[#This Row],[TOTAL (R$)]]=LARGE($AJ$168:$AJ$177,2)),DADOS!$I$11,""))</f>
        <v/>
      </c>
      <c r="E177" s="96">
        <f>SUMIFS(tabela_registros[VALOR],tabela_registros[MÊS],$AE$1,tabela_registros[DIA],reservafixaconsolidadomai[[#Headers],[1]],tabela_registros[REGISTRO],DADOS!$N$6,tabela_registros[TIPO],DADOS!$AJ$3,tabela_registros[CATEGORIA],reservafixaconsolidadomai[[#This Row],[ATUAL]])</f>
        <v>0</v>
      </c>
      <c r="F177" s="91">
        <f>SUMIFS(tabela_registros[VALOR],tabela_registros[MÊS],$AE$1,tabela_registros[DIA],reservafixaconsolidadomai[[#Headers],[2]],tabela_registros[REGISTRO],DADOS!$N$6,tabela_registros[TIPO],DADOS!$AJ$3,tabela_registros[CATEGORIA],reservafixaconsolidadomai[[#This Row],[ATUAL]])</f>
        <v>0</v>
      </c>
      <c r="G177" s="91">
        <f>SUMIFS(tabela_registros[VALOR],tabela_registros[MÊS],$AE$1,tabela_registros[DIA],reservafixaconsolidadomai[[#Headers],[3]],tabela_registros[REGISTRO],DADOS!$N$6,tabela_registros[TIPO],DADOS!$AJ$3,tabela_registros[CATEGORIA],reservafixaconsolidadomai[[#This Row],[ATUAL]])</f>
        <v>0</v>
      </c>
      <c r="H177" s="91">
        <f>SUMIFS(tabela_registros[VALOR],tabela_registros[MÊS],$AE$1,tabela_registros[DIA],reservafixaconsolidadomai[[#Headers],[4]],tabela_registros[REGISTRO],DADOS!$N$6,tabela_registros[TIPO],DADOS!$AJ$3,tabela_registros[CATEGORIA],reservafixaconsolidadomai[[#This Row],[ATUAL]])</f>
        <v>0</v>
      </c>
      <c r="I177" s="91">
        <f>SUMIFS(tabela_registros[VALOR],tabela_registros[MÊS],$AE$1,tabela_registros[DIA],reservafixaconsolidadomai[[#Headers],[5]],tabela_registros[REGISTRO],DADOS!$N$6,tabela_registros[TIPO],DADOS!$AJ$3,tabela_registros[CATEGORIA],reservafixaconsolidadomai[[#This Row],[ATUAL]])</f>
        <v>0</v>
      </c>
      <c r="J177" s="91">
        <f>SUMIFS(tabela_registros[VALOR],tabela_registros[MÊS],$AE$1,tabela_registros[DIA],reservafixaconsolidadomai[[#Headers],[6]],tabela_registros[REGISTRO],DADOS!$N$6,tabela_registros[TIPO],DADOS!$AJ$3,tabela_registros[CATEGORIA],reservafixaconsolidadomai[[#This Row],[ATUAL]])</f>
        <v>0</v>
      </c>
      <c r="K177" s="91">
        <f>SUMIFS(tabela_registros[VALOR],tabela_registros[MÊS],$AE$1,tabela_registros[DIA],reservafixaconsolidadomai[[#Headers],[7]],tabela_registros[REGISTRO],DADOS!$N$6,tabela_registros[TIPO],DADOS!$AJ$3,tabela_registros[CATEGORIA],reservafixaconsolidadomai[[#This Row],[ATUAL]])</f>
        <v>0</v>
      </c>
      <c r="L177" s="91">
        <f>SUMIFS(tabela_registros[VALOR],tabela_registros[MÊS],$AE$1,tabela_registros[DIA],reservafixaconsolidadomai[[#Headers],[8]],tabela_registros[REGISTRO],DADOS!$N$6,tabela_registros[TIPO],DADOS!$AJ$3,tabela_registros[CATEGORIA],reservafixaconsolidadomai[[#This Row],[ATUAL]])</f>
        <v>0</v>
      </c>
      <c r="M177" s="91">
        <f>SUMIFS(tabela_registros[VALOR],tabela_registros[MÊS],$AE$1,tabela_registros[DIA],reservafixaconsolidadomai[[#Headers],[9]],tabela_registros[REGISTRO],DADOS!$N$6,tabela_registros[TIPO],DADOS!$AJ$3,tabela_registros[CATEGORIA],reservafixaconsolidadomai[[#This Row],[ATUAL]])</f>
        <v>0</v>
      </c>
      <c r="N177" s="91">
        <f>SUMIFS(tabela_registros[VALOR],tabela_registros[MÊS],$AE$1,tabela_registros[DIA],reservafixaconsolidadomai[[#Headers],[10]],tabela_registros[REGISTRO],DADOS!$N$6,tabela_registros[TIPO],DADOS!$AJ$3,tabela_registros[CATEGORIA],reservafixaconsolidadomai[[#This Row],[ATUAL]])</f>
        <v>0</v>
      </c>
      <c r="O177" s="91">
        <f>SUMIFS(tabela_registros[VALOR],tabela_registros[MÊS],$AE$1,tabela_registros[DIA],reservafixaconsolidadomai[[#Headers],[11]],tabela_registros[REGISTRO],DADOS!$N$6,tabela_registros[TIPO],DADOS!$AJ$3,tabela_registros[CATEGORIA],reservafixaconsolidadomai[[#This Row],[ATUAL]])</f>
        <v>0</v>
      </c>
      <c r="P177" s="91">
        <f>SUMIFS(tabela_registros[VALOR],tabela_registros[MÊS],$AE$1,tabela_registros[DIA],reservafixaconsolidadomai[[#Headers],[12]],tabela_registros[REGISTRO],DADOS!$N$6,tabela_registros[TIPO],DADOS!$AJ$3,tabela_registros[CATEGORIA],reservafixaconsolidadomai[[#This Row],[ATUAL]])</f>
        <v>0</v>
      </c>
      <c r="Q177" s="91">
        <f>SUMIFS(tabela_registros[VALOR],tabela_registros[MÊS],$AE$1,tabela_registros[DIA],reservafixaconsolidadomai[[#Headers],[13]],tabela_registros[REGISTRO],DADOS!$N$6,tabela_registros[TIPO],DADOS!$AJ$3,tabela_registros[CATEGORIA],reservafixaconsolidadomai[[#This Row],[ATUAL]])</f>
        <v>0</v>
      </c>
      <c r="R177" s="91">
        <f>SUMIFS(tabela_registros[VALOR],tabela_registros[MÊS],$AE$1,tabela_registros[DIA],reservafixaconsolidadomai[[#Headers],[14]],tabela_registros[REGISTRO],DADOS!$N$6,tabela_registros[TIPO],DADOS!$AJ$3,tabela_registros[CATEGORIA],reservafixaconsolidadomai[[#This Row],[ATUAL]])</f>
        <v>0</v>
      </c>
      <c r="S177" s="91">
        <f>SUMIFS(tabela_registros[VALOR],tabela_registros[MÊS],$AE$1,tabela_registros[DIA],reservafixaconsolidadomai[[#Headers],[15]],tabela_registros[REGISTRO],DADOS!$N$6,tabela_registros[TIPO],DADOS!$AJ$3,tabela_registros[CATEGORIA],reservafixaconsolidadomai[[#This Row],[ATUAL]])</f>
        <v>0</v>
      </c>
      <c r="T177" s="91">
        <f>SUMIFS(tabela_registros[VALOR],tabela_registros[MÊS],$AE$1,tabela_registros[DIA],reservafixaconsolidadomai[[#Headers],[16]],tabela_registros[REGISTRO],DADOS!$N$6,tabela_registros[TIPO],DADOS!$AJ$3,tabela_registros[CATEGORIA],reservafixaconsolidadomai[[#This Row],[ATUAL]])</f>
        <v>0</v>
      </c>
      <c r="U177" s="91">
        <f>SUMIFS(tabela_registros[VALOR],tabela_registros[MÊS],$AE$1,tabela_registros[DIA],reservafixaconsolidadomai[[#Headers],[17]],tabela_registros[REGISTRO],DADOS!$N$6,tabela_registros[TIPO],DADOS!$AJ$3,tabela_registros[CATEGORIA],reservafixaconsolidadomai[[#This Row],[ATUAL]])</f>
        <v>0</v>
      </c>
      <c r="V177" s="91">
        <f>SUMIFS(tabela_registros[VALOR],tabela_registros[MÊS],$AE$1,tabela_registros[DIA],reservafixaconsolidadomai[[#Headers],[18]],tabela_registros[REGISTRO],DADOS!$N$6,tabela_registros[TIPO],DADOS!$AJ$3,tabela_registros[CATEGORIA],reservafixaconsolidadomai[[#This Row],[ATUAL]])</f>
        <v>0</v>
      </c>
      <c r="W177" s="91">
        <f>SUMIFS(tabela_registros[VALOR],tabela_registros[MÊS],$AE$1,tabela_registros[DIA],reservafixaconsolidadomai[[#Headers],[19]],tabela_registros[REGISTRO],DADOS!$N$6,tabela_registros[TIPO],DADOS!$AJ$3,tabela_registros[CATEGORIA],reservafixaconsolidadomai[[#This Row],[ATUAL]])</f>
        <v>0</v>
      </c>
      <c r="X177" s="91">
        <f>SUMIFS(tabela_registros[VALOR],tabela_registros[MÊS],$AE$1,tabela_registros[DIA],reservafixaconsolidadomai[[#Headers],[20]],tabela_registros[REGISTRO],DADOS!$N$6,tabela_registros[TIPO],DADOS!$AJ$3,tabela_registros[CATEGORIA],reservafixaconsolidadomai[[#This Row],[ATUAL]])</f>
        <v>0</v>
      </c>
      <c r="Y177" s="91">
        <f>SUMIFS(tabela_registros[VALOR],tabela_registros[MÊS],$AE$1,tabela_registros[DIA],reservafixaconsolidadomai[[#Headers],[21]],tabela_registros[REGISTRO],DADOS!$N$6,tabela_registros[TIPO],DADOS!$AJ$3,tabela_registros[CATEGORIA],reservafixaconsolidadomai[[#This Row],[ATUAL]])</f>
        <v>0</v>
      </c>
      <c r="Z177" s="91">
        <f>SUMIFS(tabela_registros[VALOR],tabela_registros[MÊS],$AE$1,tabela_registros[DIA],reservafixaconsolidadomai[[#Headers],[22]],tabela_registros[REGISTRO],DADOS!$N$6,tabela_registros[TIPO],DADOS!$AJ$3,tabela_registros[CATEGORIA],reservafixaconsolidadomai[[#This Row],[ATUAL]])</f>
        <v>0</v>
      </c>
      <c r="AA177" s="91">
        <f>SUMIFS(tabela_registros[VALOR],tabela_registros[MÊS],$AE$1,tabela_registros[DIA],reservafixaconsolidadomai[[#Headers],[23]],tabela_registros[REGISTRO],DADOS!$N$6,tabela_registros[TIPO],DADOS!$AJ$3,tabela_registros[CATEGORIA],reservafixaconsolidadomai[[#This Row],[ATUAL]])</f>
        <v>0</v>
      </c>
      <c r="AB177" s="91">
        <f>SUMIFS(tabela_registros[VALOR],tabela_registros[MÊS],$AE$1,tabela_registros[DIA],reservafixaconsolidadomai[[#Headers],[24]],tabela_registros[REGISTRO],DADOS!$N$6,tabela_registros[TIPO],DADOS!$AJ$3,tabela_registros[CATEGORIA],reservafixaconsolidadomai[[#This Row],[ATUAL]])</f>
        <v>0</v>
      </c>
      <c r="AC177" s="91">
        <f>SUMIFS(tabela_registros[VALOR],tabela_registros[MÊS],$AE$1,tabela_registros[DIA],reservafixaconsolidadomai[[#Headers],[25]],tabela_registros[REGISTRO],DADOS!$N$6,tabela_registros[TIPO],DADOS!$AJ$3,tabela_registros[CATEGORIA],reservafixaconsolidadomai[[#This Row],[ATUAL]])</f>
        <v>0</v>
      </c>
      <c r="AD177" s="91">
        <f>SUMIFS(tabela_registros[VALOR],tabela_registros[MÊS],$AE$1,tabela_registros[DIA],reservafixaconsolidadomai[[#Headers],[26]],tabela_registros[REGISTRO],DADOS!$N$6,tabela_registros[TIPO],DADOS!$AJ$3,tabela_registros[CATEGORIA],reservafixaconsolidadomai[[#This Row],[ATUAL]])</f>
        <v>0</v>
      </c>
      <c r="AE177" s="91">
        <f>SUMIFS(tabela_registros[VALOR],tabela_registros[MÊS],$AE$1,tabela_registros[DIA],reservafixaconsolidadomai[[#Headers],[27]],tabela_registros[REGISTRO],DADOS!$N$6,tabela_registros[TIPO],DADOS!$AJ$3,tabela_registros[CATEGORIA],reservafixaconsolidadomai[[#This Row],[ATUAL]])</f>
        <v>0</v>
      </c>
      <c r="AF177" s="91">
        <f>SUMIFS(tabela_registros[VALOR],tabela_registros[MÊS],$AE$1,tabela_registros[DIA],reservafixaconsolidadomai[[#Headers],[28]],tabela_registros[REGISTRO],DADOS!$N$6,tabela_registros[TIPO],DADOS!$AJ$3,tabela_registros[CATEGORIA],reservafixaconsolidadomai[[#This Row],[ATUAL]])</f>
        <v>0</v>
      </c>
      <c r="AG177" s="91">
        <f>SUMIFS(tabela_registros[VALOR],tabela_registros[MÊS],$AE$1,tabela_registros[DIA],reservafixaconsolidadomai[[#Headers],[29]],tabela_registros[REGISTRO],DADOS!$N$6,tabela_registros[TIPO],DADOS!$AJ$3,tabela_registros[CATEGORIA],reservafixaconsolidadomai[[#This Row],[ATUAL]])</f>
        <v>0</v>
      </c>
      <c r="AH177" s="91">
        <f>SUMIFS(tabela_registros[VALOR],tabela_registros[MÊS],$AE$1,tabela_registros[DIA],reservafixaconsolidadomai[[#Headers],[30]],tabela_registros[REGISTRO],DADOS!$N$6,tabela_registros[TIPO],DADOS!$AJ$3,tabela_registros[CATEGORIA],reservafixaconsolidadomai[[#This Row],[ATUAL]])</f>
        <v>0</v>
      </c>
      <c r="AI177" s="102">
        <f>SUMIFS(tabela_registros[VALOR],tabela_registros[MÊS],$AE$1,tabela_registros[DIA],reservafixaconsolidadomai[[#Headers],[31]],tabela_registros[REGISTRO],DADOS!$N$6,tabela_registros[TIPO],DADOS!$AJ$3,tabela_registros[CATEGORIA],reservafixaconsolidadomai[[#This Row],[ATUAL]])</f>
        <v>0</v>
      </c>
      <c r="AJ177" s="97">
        <f>SUM(reservafixaconsolidadomai[[#This Row],[1]:[31]])</f>
        <v>0</v>
      </c>
      <c r="AK177" s="25"/>
    </row>
    <row r="178" spans="2:37" s="16" customFormat="1" ht="21" customHeight="1" thickTop="1" thickBot="1" x14ac:dyDescent="0.35">
      <c r="B178" s="24"/>
      <c r="C178" s="23" t="s">
        <v>19</v>
      </c>
      <c r="D178" s="22"/>
      <c r="E178" s="21">
        <f>SUM(E168:E177)</f>
        <v>0</v>
      </c>
      <c r="F178" s="20">
        <f>SUM(F168:F177)+reservafixaconsolidadomai[[#This Row],[1]]</f>
        <v>0</v>
      </c>
      <c r="G178" s="20">
        <f>SUM(G168:G177)+reservafixaconsolidadomai[[#This Row],[2]]</f>
        <v>0</v>
      </c>
      <c r="H178" s="20">
        <f>SUM(H168:H177)+reservafixaconsolidadomai[[#This Row],[3]]</f>
        <v>0</v>
      </c>
      <c r="I178" s="20">
        <f>SUM(I168:I177)+reservafixaconsolidadomai[[#This Row],[4]]</f>
        <v>0</v>
      </c>
      <c r="J178" s="20">
        <f>SUM(J168:J177)+reservafixaconsolidadomai[[#This Row],[5]]</f>
        <v>0</v>
      </c>
      <c r="K178" s="20">
        <f>SUM(K168:K177)+reservafixaconsolidadomai[[#This Row],[6]]</f>
        <v>0</v>
      </c>
      <c r="L178" s="20">
        <f>SUM(L168:L177)+reservafixaconsolidadomai[[#This Row],[7]]</f>
        <v>0</v>
      </c>
      <c r="M178" s="20">
        <f>SUM(M168:M177)+reservafixaconsolidadomai[[#This Row],[8]]</f>
        <v>0</v>
      </c>
      <c r="N178" s="20">
        <f>SUM(N168:N177)+reservafixaconsolidadomai[[#This Row],[9]]</f>
        <v>0</v>
      </c>
      <c r="O178" s="20">
        <f>SUM(O168:O177)+reservafixaconsolidadomai[[#This Row],[10]]</f>
        <v>0</v>
      </c>
      <c r="P178" s="20">
        <f>SUM(P168:P177)+reservafixaconsolidadomai[[#This Row],[11]]</f>
        <v>0</v>
      </c>
      <c r="Q178" s="20">
        <f>SUM(Q168:Q177)+reservafixaconsolidadomai[[#This Row],[12]]</f>
        <v>0</v>
      </c>
      <c r="R178" s="20">
        <f>SUM(R168:R177)+reservafixaconsolidadomai[[#This Row],[13]]</f>
        <v>0</v>
      </c>
      <c r="S178" s="20">
        <f>SUM(S168:S177)+reservafixaconsolidadomai[[#This Row],[14]]</f>
        <v>0</v>
      </c>
      <c r="T178" s="20">
        <f>SUM(T168:T177)+reservafixaconsolidadomai[[#This Row],[15]]</f>
        <v>0</v>
      </c>
      <c r="U178" s="20">
        <f>SUM(U168:U177)+reservafixaconsolidadomai[[#This Row],[16]]</f>
        <v>0</v>
      </c>
      <c r="V178" s="20">
        <f>SUM(V168:V177)+reservafixaconsolidadomai[[#This Row],[17]]</f>
        <v>0</v>
      </c>
      <c r="W178" s="20">
        <f>SUM(W168:W177)+reservafixaconsolidadomai[[#This Row],[18]]</f>
        <v>0</v>
      </c>
      <c r="X178" s="20">
        <f>SUM(X168:X177)+reservafixaconsolidadomai[[#This Row],[19]]</f>
        <v>0</v>
      </c>
      <c r="Y178" s="20">
        <f>SUM(Y168:Y177)+reservafixaconsolidadomai[[#This Row],[20]]</f>
        <v>0</v>
      </c>
      <c r="Z178" s="20">
        <f>SUM(Z168:Z177)+reservafixaconsolidadomai[[#This Row],[21]]</f>
        <v>0</v>
      </c>
      <c r="AA178" s="20">
        <f>SUM(AA168:AA177)+reservafixaconsolidadomai[[#This Row],[22]]</f>
        <v>0</v>
      </c>
      <c r="AB178" s="20">
        <f>SUM(AB168:AB177)+reservafixaconsolidadomai[[#This Row],[23]]</f>
        <v>0</v>
      </c>
      <c r="AC178" s="20">
        <f>SUM(AC168:AC177)+reservafixaconsolidadomai[[#This Row],[24]]</f>
        <v>0</v>
      </c>
      <c r="AD178" s="20">
        <f>SUM(AD168:AD177)+reservafixaconsolidadomai[[#This Row],[25]]</f>
        <v>0</v>
      </c>
      <c r="AE178" s="20">
        <f>SUM(AE168:AE177)+reservafixaconsolidadomai[[#This Row],[26]]</f>
        <v>0</v>
      </c>
      <c r="AF178" s="20">
        <f>SUM(AF168:AF177)+reservafixaconsolidadomai[[#This Row],[27]]</f>
        <v>0</v>
      </c>
      <c r="AG178" s="20">
        <f>SUM(AG168:AG177)+reservafixaconsolidadomai[[#This Row],[28]]</f>
        <v>0</v>
      </c>
      <c r="AH178" s="20">
        <f>SUM(AH168:AH177)+reservafixaconsolidadomai[[#This Row],[29]]</f>
        <v>0</v>
      </c>
      <c r="AI178" s="19">
        <f>SUM(AI168:AI177)+reservafixaconsolidadomai[[#This Row],[30]]</f>
        <v>0</v>
      </c>
      <c r="AJ178" s="18">
        <f>reservafixaconsolidadomai[[#This Row],[31]]</f>
        <v>0</v>
      </c>
      <c r="AK178" s="17"/>
    </row>
    <row r="179" spans="2:37" ht="6.75" customHeight="1" thickTop="1" thickBot="1" x14ac:dyDescent="0.3">
      <c r="B179" s="15"/>
      <c r="C179" s="14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3"/>
      <c r="AF179" s="13"/>
      <c r="AG179" s="13"/>
      <c r="AH179" s="13"/>
      <c r="AI179" s="12"/>
      <c r="AJ179" s="11"/>
      <c r="AK179" s="10"/>
    </row>
    <row r="180" spans="2:37" ht="12.6" thickTop="1" x14ac:dyDescent="0.25">
      <c r="E180" s="37"/>
      <c r="AI180" s="4"/>
    </row>
    <row r="181" spans="2:37" x14ac:dyDescent="0.25">
      <c r="AI181" s="4"/>
    </row>
    <row r="182" spans="2:37" x14ac:dyDescent="0.25">
      <c r="AI182" s="4"/>
    </row>
    <row r="183" spans="2:37" ht="39.75" customHeight="1" x14ac:dyDescent="0.7">
      <c r="C183" s="36"/>
      <c r="E183" s="240"/>
      <c r="F183" s="240"/>
      <c r="G183" s="240"/>
      <c r="H183" s="240"/>
      <c r="I183" s="240"/>
      <c r="J183" s="240"/>
      <c r="K183" s="240"/>
      <c r="L183" s="240"/>
      <c r="M183" s="240"/>
      <c r="N183" s="240"/>
      <c r="O183" s="240"/>
      <c r="P183" s="240"/>
      <c r="Q183" s="240"/>
      <c r="R183" s="240"/>
      <c r="S183" s="240"/>
      <c r="T183" s="240"/>
      <c r="U183" s="240"/>
      <c r="V183" s="240"/>
      <c r="W183" s="240"/>
      <c r="X183" s="240"/>
      <c r="Y183" s="240"/>
      <c r="Z183" s="240"/>
      <c r="AA183" s="240"/>
      <c r="AB183" s="240"/>
      <c r="AC183" s="240"/>
      <c r="AD183" s="240"/>
      <c r="AE183" s="240"/>
      <c r="AF183" s="240"/>
      <c r="AG183" s="240"/>
      <c r="AH183" s="240"/>
      <c r="AI183" s="240"/>
      <c r="AJ183" s="32" t="s">
        <v>19</v>
      </c>
    </row>
    <row r="184" spans="2:37" ht="12.6" thickBot="1" x14ac:dyDescent="0.3">
      <c r="B184" s="35"/>
      <c r="AI184" s="4"/>
      <c r="AJ184" s="34" t="s">
        <v>202</v>
      </c>
    </row>
    <row r="185" spans="2:37" ht="6.75" customHeight="1" thickTop="1" thickBot="1" x14ac:dyDescent="0.3">
      <c r="B185" s="2"/>
      <c r="C185" s="14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  <c r="AF185" s="13"/>
      <c r="AG185" s="13"/>
      <c r="AH185" s="13"/>
      <c r="AI185" s="13"/>
      <c r="AJ185" s="12"/>
      <c r="AK185" s="33"/>
    </row>
    <row r="186" spans="2:37" ht="13.2" hidden="1" thickTop="1" thickBot="1" x14ac:dyDescent="0.3">
      <c r="B186" s="2"/>
      <c r="C186" s="31" t="s">
        <v>199</v>
      </c>
      <c r="D186" s="30" t="s">
        <v>198</v>
      </c>
      <c r="E186" s="30" t="s">
        <v>197</v>
      </c>
      <c r="F186" s="30" t="s">
        <v>196</v>
      </c>
      <c r="G186" s="30" t="s">
        <v>195</v>
      </c>
      <c r="H186" s="30" t="s">
        <v>194</v>
      </c>
      <c r="I186" s="30" t="s">
        <v>193</v>
      </c>
      <c r="J186" s="30" t="s">
        <v>192</v>
      </c>
      <c r="K186" s="30" t="s">
        <v>191</v>
      </c>
      <c r="L186" s="30" t="s">
        <v>190</v>
      </c>
      <c r="M186" s="30" t="s">
        <v>189</v>
      </c>
      <c r="N186" s="30" t="s">
        <v>188</v>
      </c>
      <c r="O186" s="30" t="s">
        <v>187</v>
      </c>
      <c r="P186" s="30" t="s">
        <v>186</v>
      </c>
      <c r="Q186" s="30" t="s">
        <v>185</v>
      </c>
      <c r="R186" s="30" t="s">
        <v>184</v>
      </c>
      <c r="S186" s="30" t="s">
        <v>183</v>
      </c>
      <c r="T186" s="30" t="s">
        <v>182</v>
      </c>
      <c r="U186" s="30" t="s">
        <v>181</v>
      </c>
      <c r="V186" s="30" t="s">
        <v>180</v>
      </c>
      <c r="W186" s="30" t="s">
        <v>179</v>
      </c>
      <c r="X186" s="30" t="s">
        <v>178</v>
      </c>
      <c r="Y186" s="30" t="s">
        <v>177</v>
      </c>
      <c r="Z186" s="30" t="s">
        <v>176</v>
      </c>
      <c r="AA186" s="30" t="s">
        <v>175</v>
      </c>
      <c r="AB186" s="30" t="s">
        <v>174</v>
      </c>
      <c r="AC186" s="30" t="s">
        <v>173</v>
      </c>
      <c r="AD186" s="30" t="s">
        <v>172</v>
      </c>
      <c r="AE186" s="30" t="s">
        <v>171</v>
      </c>
      <c r="AF186" s="30" t="s">
        <v>170</v>
      </c>
      <c r="AG186" s="30" t="s">
        <v>169</v>
      </c>
      <c r="AH186" s="30" t="s">
        <v>168</v>
      </c>
      <c r="AI186" s="30" t="s">
        <v>167</v>
      </c>
      <c r="AJ186" s="29" t="s">
        <v>166</v>
      </c>
      <c r="AK186" s="2"/>
    </row>
    <row r="187" spans="2:37" ht="19.5" customHeight="1" thickTop="1" thickBot="1" x14ac:dyDescent="0.3">
      <c r="B187" s="28"/>
      <c r="C187" s="27" t="str">
        <f>DADOS!$AN$3</f>
        <v>📝 AÇÃO</v>
      </c>
      <c r="D187" s="26" t="str">
        <f>IF(reservavariáveisconsolidadomai[[#This Row],[TOTAL (R$)]]=0,"",IF(OR(reservavariáveisconsolidadomai[[#This Row],[TOTAL (R$)]]=LARGE($AJ$187:$AJ$196,1),reservavariáveisconsolidadomai[[#This Row],[TOTAL (R$)]]=LARGE($AJ$187:$AJ$196,2)),DADOS!$I$11,""))</f>
        <v/>
      </c>
      <c r="E187" s="96">
        <f>SUMIFS(tabela_registros[VALOR],tabela_registros[MÊS],$AE$1,tabela_registros[DIA],reservavariáveisconsolidadomai[[#Headers],[1]],tabela_registros[REGISTRO],DADOS!$N$6,tabela_registros[TIPO],DADOS!$AJ$4,tabela_registros[CATEGORIA],reservavariáveisconsolidadomai[[#This Row],[ATUAL]])</f>
        <v>0</v>
      </c>
      <c r="F187" s="91">
        <f>SUMIFS(tabela_registros[VALOR],tabela_registros[MÊS],$AE$1,tabela_registros[DIA],reservavariáveisconsolidadomai[[#Headers],[2]],tabela_registros[REGISTRO],DADOS!$N$6,tabela_registros[TIPO],DADOS!$AJ$4,tabela_registros[CATEGORIA],reservavariáveisconsolidadomai[[#This Row],[ATUAL]])</f>
        <v>0</v>
      </c>
      <c r="G187" s="91">
        <f>SUMIFS(tabela_registros[VALOR],tabela_registros[MÊS],$AE$1,tabela_registros[DIA],reservavariáveisconsolidadomai[[#Headers],[3]],tabela_registros[REGISTRO],DADOS!$N$6,tabela_registros[TIPO],DADOS!$AJ$4,tabela_registros[CATEGORIA],reservavariáveisconsolidadomai[[#This Row],[ATUAL]])</f>
        <v>0</v>
      </c>
      <c r="H187" s="91">
        <f>SUMIFS(tabela_registros[VALOR],tabela_registros[MÊS],$AE$1,tabela_registros[DIA],reservavariáveisconsolidadomai[[#Headers],[4]],tabela_registros[REGISTRO],DADOS!$N$6,tabela_registros[TIPO],DADOS!$AJ$4,tabela_registros[CATEGORIA],reservavariáveisconsolidadomai[[#This Row],[ATUAL]])</f>
        <v>0</v>
      </c>
      <c r="I187" s="91">
        <f>SUMIFS(tabela_registros[VALOR],tabela_registros[MÊS],$AE$1,tabela_registros[DIA],reservavariáveisconsolidadomai[[#Headers],[5]],tabela_registros[REGISTRO],DADOS!$N$6,tabela_registros[TIPO],DADOS!$AJ$4,tabela_registros[CATEGORIA],reservavariáveisconsolidadomai[[#This Row],[ATUAL]])</f>
        <v>0</v>
      </c>
      <c r="J187" s="91">
        <f>SUMIFS(tabela_registros[VALOR],tabela_registros[MÊS],$AE$1,tabela_registros[DIA],reservavariáveisconsolidadomai[[#Headers],[6]],tabela_registros[REGISTRO],DADOS!$N$6,tabela_registros[TIPO],DADOS!$AJ$4,tabela_registros[CATEGORIA],reservavariáveisconsolidadomai[[#This Row],[ATUAL]])</f>
        <v>0</v>
      </c>
      <c r="K187" s="91">
        <f>SUMIFS(tabela_registros[VALOR],tabela_registros[MÊS],$AE$1,tabela_registros[DIA],reservavariáveisconsolidadomai[[#Headers],[7]],tabela_registros[REGISTRO],DADOS!$N$6,tabela_registros[TIPO],DADOS!$AJ$4,tabela_registros[CATEGORIA],reservavariáveisconsolidadomai[[#This Row],[ATUAL]])</f>
        <v>0</v>
      </c>
      <c r="L187" s="91">
        <f>SUMIFS(tabela_registros[VALOR],tabela_registros[MÊS],$AE$1,tabela_registros[DIA],reservavariáveisconsolidadomai[[#Headers],[8]],tabela_registros[REGISTRO],DADOS!$N$6,tabela_registros[TIPO],DADOS!$AJ$4,tabela_registros[CATEGORIA],reservavariáveisconsolidadomai[[#This Row],[ATUAL]])</f>
        <v>0</v>
      </c>
      <c r="M187" s="91">
        <f>SUMIFS(tabela_registros[VALOR],tabela_registros[MÊS],$AE$1,tabela_registros[DIA],reservavariáveisconsolidadomai[[#Headers],[9]],tabela_registros[REGISTRO],DADOS!$N$6,tabela_registros[TIPO],DADOS!$AJ$4,tabela_registros[CATEGORIA],reservavariáveisconsolidadomai[[#This Row],[ATUAL]])</f>
        <v>0</v>
      </c>
      <c r="N187" s="91">
        <f>SUMIFS(tabela_registros[VALOR],tabela_registros[MÊS],$AE$1,tabela_registros[DIA],reservavariáveisconsolidadomai[[#Headers],[10]],tabela_registros[REGISTRO],DADOS!$N$6,tabela_registros[TIPO],DADOS!$AJ$4,tabela_registros[CATEGORIA],reservavariáveisconsolidadomai[[#This Row],[ATUAL]])</f>
        <v>0</v>
      </c>
      <c r="O187" s="91">
        <f>SUMIFS(tabela_registros[VALOR],tabela_registros[MÊS],$AE$1,tabela_registros[DIA],reservavariáveisconsolidadomai[[#Headers],[11]],tabela_registros[REGISTRO],DADOS!$N$6,tabela_registros[TIPO],DADOS!$AJ$4,tabela_registros[CATEGORIA],reservavariáveisconsolidadomai[[#This Row],[ATUAL]])</f>
        <v>0</v>
      </c>
      <c r="P187" s="91">
        <f>SUMIFS(tabela_registros[VALOR],tabela_registros[MÊS],$AE$1,tabela_registros[DIA],reservavariáveisconsolidadomai[[#Headers],[12]],tabela_registros[REGISTRO],DADOS!$N$6,tabela_registros[TIPO],DADOS!$AJ$4,tabela_registros[CATEGORIA],reservavariáveisconsolidadomai[[#This Row],[ATUAL]])</f>
        <v>0</v>
      </c>
      <c r="Q187" s="91">
        <f>SUMIFS(tabela_registros[VALOR],tabela_registros[MÊS],$AE$1,tabela_registros[DIA],reservavariáveisconsolidadomai[[#Headers],[13]],tabela_registros[REGISTRO],DADOS!$N$6,tabela_registros[TIPO],DADOS!$AJ$4,tabela_registros[CATEGORIA],reservavariáveisconsolidadomai[[#This Row],[ATUAL]])</f>
        <v>0</v>
      </c>
      <c r="R187" s="91">
        <f>SUMIFS(tabela_registros[VALOR],tabela_registros[MÊS],$AE$1,tabela_registros[DIA],reservavariáveisconsolidadomai[[#Headers],[14]],tabela_registros[REGISTRO],DADOS!$N$6,tabela_registros[TIPO],DADOS!$AJ$4,tabela_registros[CATEGORIA],reservavariáveisconsolidadomai[[#This Row],[ATUAL]])</f>
        <v>0</v>
      </c>
      <c r="S187" s="91">
        <f>SUMIFS(tabela_registros[VALOR],tabela_registros[MÊS],$AE$1,tabela_registros[DIA],reservavariáveisconsolidadomai[[#Headers],[15]],tabela_registros[REGISTRO],DADOS!$N$6,tabela_registros[TIPO],DADOS!$AJ$4,tabela_registros[CATEGORIA],reservavariáveisconsolidadomai[[#This Row],[ATUAL]])</f>
        <v>0</v>
      </c>
      <c r="T187" s="91">
        <f>SUMIFS(tabela_registros[VALOR],tabela_registros[MÊS],$AE$1,tabela_registros[DIA],reservavariáveisconsolidadomai[[#Headers],[16]],tabela_registros[REGISTRO],DADOS!$N$6,tabela_registros[TIPO],DADOS!$AJ$4,tabela_registros[CATEGORIA],reservavariáveisconsolidadomai[[#This Row],[ATUAL]])</f>
        <v>0</v>
      </c>
      <c r="U187" s="91">
        <f>SUMIFS(tabela_registros[VALOR],tabela_registros[MÊS],$AE$1,tabela_registros[DIA],reservavariáveisconsolidadomai[[#Headers],[17]],tabela_registros[REGISTRO],DADOS!$N$6,tabela_registros[TIPO],DADOS!$AJ$4,tabela_registros[CATEGORIA],reservavariáveisconsolidadomai[[#This Row],[ATUAL]])</f>
        <v>0</v>
      </c>
      <c r="V187" s="91">
        <f>SUMIFS(tabela_registros[VALOR],tabela_registros[MÊS],$AE$1,tabela_registros[DIA],reservavariáveisconsolidadomai[[#Headers],[18]],tabela_registros[REGISTRO],DADOS!$N$6,tabela_registros[TIPO],DADOS!$AJ$4,tabela_registros[CATEGORIA],reservavariáveisconsolidadomai[[#This Row],[ATUAL]])</f>
        <v>0</v>
      </c>
      <c r="W187" s="91">
        <f>SUMIFS(tabela_registros[VALOR],tabela_registros[MÊS],$AE$1,tabela_registros[DIA],reservavariáveisconsolidadomai[[#Headers],[19]],tabela_registros[REGISTRO],DADOS!$N$6,tabela_registros[TIPO],DADOS!$AJ$4,tabela_registros[CATEGORIA],reservavariáveisconsolidadomai[[#This Row],[ATUAL]])</f>
        <v>0</v>
      </c>
      <c r="X187" s="91">
        <f>SUMIFS(tabela_registros[VALOR],tabela_registros[MÊS],$AE$1,tabela_registros[DIA],reservavariáveisconsolidadomai[[#Headers],[20]],tabela_registros[REGISTRO],DADOS!$N$6,tabela_registros[TIPO],DADOS!$AJ$4,tabela_registros[CATEGORIA],reservavariáveisconsolidadomai[[#This Row],[ATUAL]])</f>
        <v>0</v>
      </c>
      <c r="Y187" s="91">
        <f>SUMIFS(tabela_registros[VALOR],tabela_registros[MÊS],$AE$1,tabela_registros[DIA],reservavariáveisconsolidadomai[[#Headers],[21]],tabela_registros[REGISTRO],DADOS!$N$6,tabela_registros[TIPO],DADOS!$AJ$4,tabela_registros[CATEGORIA],reservavariáveisconsolidadomai[[#This Row],[ATUAL]])</f>
        <v>0</v>
      </c>
      <c r="Z187" s="91">
        <f>SUMIFS(tabela_registros[VALOR],tabela_registros[MÊS],$AE$1,tabela_registros[DIA],reservavariáveisconsolidadomai[[#Headers],[22]],tabela_registros[REGISTRO],DADOS!$N$6,tabela_registros[TIPO],DADOS!$AJ$4,tabela_registros[CATEGORIA],reservavariáveisconsolidadomai[[#This Row],[ATUAL]])</f>
        <v>0</v>
      </c>
      <c r="AA187" s="91">
        <f>SUMIFS(tabela_registros[VALOR],tabela_registros[MÊS],$AE$1,tabela_registros[DIA],reservavariáveisconsolidadomai[[#Headers],[23]],tabela_registros[REGISTRO],DADOS!$N$6,tabela_registros[TIPO],DADOS!$AJ$4,tabela_registros[CATEGORIA],reservavariáveisconsolidadomai[[#This Row],[ATUAL]])</f>
        <v>0</v>
      </c>
      <c r="AB187" s="91">
        <f>SUMIFS(tabela_registros[VALOR],tabela_registros[MÊS],$AE$1,tabela_registros[DIA],reservavariáveisconsolidadomai[[#Headers],[24]],tabela_registros[REGISTRO],DADOS!$N$6,tabela_registros[TIPO],DADOS!$AJ$4,tabela_registros[CATEGORIA],reservavariáveisconsolidadomai[[#This Row],[ATUAL]])</f>
        <v>0</v>
      </c>
      <c r="AC187" s="91">
        <f>SUMIFS(tabela_registros[VALOR],tabela_registros[MÊS],$AE$1,tabela_registros[DIA],reservavariáveisconsolidadomai[[#Headers],[25]],tabela_registros[REGISTRO],DADOS!$N$6,tabela_registros[TIPO],DADOS!$AJ$4,tabela_registros[CATEGORIA],reservavariáveisconsolidadomai[[#This Row],[ATUAL]])</f>
        <v>0</v>
      </c>
      <c r="AD187" s="91">
        <f>SUMIFS(tabela_registros[VALOR],tabela_registros[MÊS],$AE$1,tabela_registros[DIA],reservavariáveisconsolidadomai[[#Headers],[26]],tabela_registros[REGISTRO],DADOS!$N$6,tabela_registros[TIPO],DADOS!$AJ$4,tabela_registros[CATEGORIA],reservavariáveisconsolidadomai[[#This Row],[ATUAL]])</f>
        <v>0</v>
      </c>
      <c r="AE187" s="91">
        <f>SUMIFS(tabela_registros[VALOR],tabela_registros[MÊS],$AE$1,tabela_registros[DIA],reservavariáveisconsolidadomai[[#Headers],[27]],tabela_registros[REGISTRO],DADOS!$N$6,tabela_registros[TIPO],DADOS!$AJ$4,tabela_registros[CATEGORIA],reservavariáveisconsolidadomai[[#This Row],[ATUAL]])</f>
        <v>0</v>
      </c>
      <c r="AF187" s="91">
        <f>SUMIFS(tabela_registros[VALOR],tabela_registros[MÊS],$AE$1,tabela_registros[DIA],reservavariáveisconsolidadomai[[#Headers],[28]],tabela_registros[REGISTRO],DADOS!$N$6,tabela_registros[TIPO],DADOS!$AJ$4,tabela_registros[CATEGORIA],reservavariáveisconsolidadomai[[#This Row],[ATUAL]])</f>
        <v>0</v>
      </c>
      <c r="AG187" s="91">
        <f>SUMIFS(tabela_registros[VALOR],tabela_registros[MÊS],$AE$1,tabela_registros[DIA],reservavariáveisconsolidadomai[[#Headers],[29]],tabela_registros[REGISTRO],DADOS!$N$6,tabela_registros[TIPO],DADOS!$AJ$4,tabela_registros[CATEGORIA],reservavariáveisconsolidadomai[[#This Row],[ATUAL]])</f>
        <v>0</v>
      </c>
      <c r="AH187" s="91">
        <f>SUMIFS(tabela_registros[VALOR],tabela_registros[MÊS],$AE$1,tabela_registros[DIA],reservavariáveisconsolidadomai[[#Headers],[30]],tabela_registros[REGISTRO],DADOS!$N$6,tabela_registros[TIPO],DADOS!$AJ$4,tabela_registros[CATEGORIA],reservavariáveisconsolidadomai[[#This Row],[ATUAL]])</f>
        <v>0</v>
      </c>
      <c r="AI187" s="101">
        <f>SUMIFS(tabela_registros[VALOR],tabela_registros[MÊS],$AE$1,tabela_registros[DIA],reservavariáveisconsolidadomai[[#Headers],[31]],tabela_registros[REGISTRO],DADOS!$N$6,tabela_registros[TIPO],DADOS!$AJ$4,tabela_registros[CATEGORIA],reservavariáveisconsolidadomai[[#This Row],[ATUAL]])</f>
        <v>0</v>
      </c>
      <c r="AJ187" s="97">
        <f>SUM(reservavariáveisconsolidadomai[[#This Row],[1]:[31]])</f>
        <v>0</v>
      </c>
      <c r="AK187" s="25"/>
    </row>
    <row r="188" spans="2:37" ht="19.5" customHeight="1" thickTop="1" thickBot="1" x14ac:dyDescent="0.3">
      <c r="B188" s="28"/>
      <c r="C188" s="27" t="str">
        <f>DADOS!$AN$4</f>
        <v>📝 COMÓDITE</v>
      </c>
      <c r="D188" s="26" t="str">
        <f>IF(reservavariáveisconsolidadomai[[#This Row],[TOTAL (R$)]]=0,"",IF(OR(reservavariáveisconsolidadomai[[#This Row],[TOTAL (R$)]]=LARGE($AJ$187:$AJ$196,1),reservavariáveisconsolidadomai[[#This Row],[TOTAL (R$)]]=LARGE($AJ$187:$AJ$196,2)),DADOS!$I$11,""))</f>
        <v/>
      </c>
      <c r="E188" s="96">
        <f>SUMIFS(tabela_registros[VALOR],tabela_registros[MÊS],$AE$1,tabela_registros[DIA],reservavariáveisconsolidadomai[[#Headers],[1]],tabela_registros[REGISTRO],DADOS!$N$6,tabela_registros[TIPO],DADOS!$AJ$4,tabela_registros[CATEGORIA],reservavariáveisconsolidadomai[[#This Row],[ATUAL]])</f>
        <v>0</v>
      </c>
      <c r="F188" s="91">
        <f>SUMIFS(tabela_registros[VALOR],tabela_registros[MÊS],$AE$1,tabela_registros[DIA],reservavariáveisconsolidadomai[[#Headers],[2]],tabela_registros[REGISTRO],DADOS!$N$6,tabela_registros[TIPO],DADOS!$AJ$4,tabela_registros[CATEGORIA],reservavariáveisconsolidadomai[[#This Row],[ATUAL]])</f>
        <v>0</v>
      </c>
      <c r="G188" s="91">
        <f>SUMIFS(tabela_registros[VALOR],tabela_registros[MÊS],$AE$1,tabela_registros[DIA],reservavariáveisconsolidadomai[[#Headers],[3]],tabela_registros[REGISTRO],DADOS!$N$6,tabela_registros[TIPO],DADOS!$AJ$4,tabela_registros[CATEGORIA],reservavariáveisconsolidadomai[[#This Row],[ATUAL]])</f>
        <v>0</v>
      </c>
      <c r="H188" s="91">
        <f>SUMIFS(tabela_registros[VALOR],tabela_registros[MÊS],$AE$1,tabela_registros[DIA],reservavariáveisconsolidadomai[[#Headers],[4]],tabela_registros[REGISTRO],DADOS!$N$6,tabela_registros[TIPO],DADOS!$AJ$4,tabela_registros[CATEGORIA],reservavariáveisconsolidadomai[[#This Row],[ATUAL]])</f>
        <v>0</v>
      </c>
      <c r="I188" s="91">
        <f>SUMIFS(tabela_registros[VALOR],tabela_registros[MÊS],$AE$1,tabela_registros[DIA],reservavariáveisconsolidadomai[[#Headers],[5]],tabela_registros[REGISTRO],DADOS!$N$6,tabela_registros[TIPO],DADOS!$AJ$4,tabela_registros[CATEGORIA],reservavariáveisconsolidadomai[[#This Row],[ATUAL]])</f>
        <v>0</v>
      </c>
      <c r="J188" s="91">
        <f>SUMIFS(tabela_registros[VALOR],tabela_registros[MÊS],$AE$1,tabela_registros[DIA],reservavariáveisconsolidadomai[[#Headers],[6]],tabela_registros[REGISTRO],DADOS!$N$6,tabela_registros[TIPO],DADOS!$AJ$4,tabela_registros[CATEGORIA],reservavariáveisconsolidadomai[[#This Row],[ATUAL]])</f>
        <v>0</v>
      </c>
      <c r="K188" s="91">
        <f>SUMIFS(tabela_registros[VALOR],tabela_registros[MÊS],$AE$1,tabela_registros[DIA],reservavariáveisconsolidadomai[[#Headers],[7]],tabela_registros[REGISTRO],DADOS!$N$6,tabela_registros[TIPO],DADOS!$AJ$4,tabela_registros[CATEGORIA],reservavariáveisconsolidadomai[[#This Row],[ATUAL]])</f>
        <v>0</v>
      </c>
      <c r="L188" s="91">
        <f>SUMIFS(tabela_registros[VALOR],tabela_registros[MÊS],$AE$1,tabela_registros[DIA],reservavariáveisconsolidadomai[[#Headers],[8]],tabela_registros[REGISTRO],DADOS!$N$6,tabela_registros[TIPO],DADOS!$AJ$4,tabela_registros[CATEGORIA],reservavariáveisconsolidadomai[[#This Row],[ATUAL]])</f>
        <v>0</v>
      </c>
      <c r="M188" s="91">
        <f>SUMIFS(tabela_registros[VALOR],tabela_registros[MÊS],$AE$1,tabela_registros[DIA],reservavariáveisconsolidadomai[[#Headers],[9]],tabela_registros[REGISTRO],DADOS!$N$6,tabela_registros[TIPO],DADOS!$AJ$4,tabela_registros[CATEGORIA],reservavariáveisconsolidadomai[[#This Row],[ATUAL]])</f>
        <v>0</v>
      </c>
      <c r="N188" s="91">
        <f>SUMIFS(tabela_registros[VALOR],tabela_registros[MÊS],$AE$1,tabela_registros[DIA],reservavariáveisconsolidadomai[[#Headers],[10]],tabela_registros[REGISTRO],DADOS!$N$6,tabela_registros[TIPO],DADOS!$AJ$4,tabela_registros[CATEGORIA],reservavariáveisconsolidadomai[[#This Row],[ATUAL]])</f>
        <v>0</v>
      </c>
      <c r="O188" s="91">
        <f>SUMIFS(tabela_registros[VALOR],tabela_registros[MÊS],$AE$1,tabela_registros[DIA],reservavariáveisconsolidadomai[[#Headers],[11]],tabela_registros[REGISTRO],DADOS!$N$6,tabela_registros[TIPO],DADOS!$AJ$4,tabela_registros[CATEGORIA],reservavariáveisconsolidadomai[[#This Row],[ATUAL]])</f>
        <v>0</v>
      </c>
      <c r="P188" s="91">
        <f>SUMIFS(tabela_registros[VALOR],tabela_registros[MÊS],$AE$1,tabela_registros[DIA],reservavariáveisconsolidadomai[[#Headers],[12]],tabela_registros[REGISTRO],DADOS!$N$6,tabela_registros[TIPO],DADOS!$AJ$4,tabela_registros[CATEGORIA],reservavariáveisconsolidadomai[[#This Row],[ATUAL]])</f>
        <v>0</v>
      </c>
      <c r="Q188" s="91">
        <f>SUMIFS(tabela_registros[VALOR],tabela_registros[MÊS],$AE$1,tabela_registros[DIA],reservavariáveisconsolidadomai[[#Headers],[13]],tabela_registros[REGISTRO],DADOS!$N$6,tabela_registros[TIPO],DADOS!$AJ$4,tabela_registros[CATEGORIA],reservavariáveisconsolidadomai[[#This Row],[ATUAL]])</f>
        <v>0</v>
      </c>
      <c r="R188" s="91">
        <f>SUMIFS(tabela_registros[VALOR],tabela_registros[MÊS],$AE$1,tabela_registros[DIA],reservavariáveisconsolidadomai[[#Headers],[14]],tabela_registros[REGISTRO],DADOS!$N$6,tabela_registros[TIPO],DADOS!$AJ$4,tabela_registros[CATEGORIA],reservavariáveisconsolidadomai[[#This Row],[ATUAL]])</f>
        <v>0</v>
      </c>
      <c r="S188" s="91">
        <f>SUMIFS(tabela_registros[VALOR],tabela_registros[MÊS],$AE$1,tabela_registros[DIA],reservavariáveisconsolidadomai[[#Headers],[15]],tabela_registros[REGISTRO],DADOS!$N$6,tabela_registros[TIPO],DADOS!$AJ$4,tabela_registros[CATEGORIA],reservavariáveisconsolidadomai[[#This Row],[ATUAL]])</f>
        <v>0</v>
      </c>
      <c r="T188" s="91">
        <f>SUMIFS(tabela_registros[VALOR],tabela_registros[MÊS],$AE$1,tabela_registros[DIA],reservavariáveisconsolidadomai[[#Headers],[16]],tabela_registros[REGISTRO],DADOS!$N$6,tabela_registros[TIPO],DADOS!$AJ$4,tabela_registros[CATEGORIA],reservavariáveisconsolidadomai[[#This Row],[ATUAL]])</f>
        <v>0</v>
      </c>
      <c r="U188" s="91">
        <f>SUMIFS(tabela_registros[VALOR],tabela_registros[MÊS],$AE$1,tabela_registros[DIA],reservavariáveisconsolidadomai[[#Headers],[17]],tabela_registros[REGISTRO],DADOS!$N$6,tabela_registros[TIPO],DADOS!$AJ$4,tabela_registros[CATEGORIA],reservavariáveisconsolidadomai[[#This Row],[ATUAL]])</f>
        <v>0</v>
      </c>
      <c r="V188" s="91">
        <f>SUMIFS(tabela_registros[VALOR],tabela_registros[MÊS],$AE$1,tabela_registros[DIA],reservavariáveisconsolidadomai[[#Headers],[18]],tabela_registros[REGISTRO],DADOS!$N$6,tabela_registros[TIPO],DADOS!$AJ$4,tabela_registros[CATEGORIA],reservavariáveisconsolidadomai[[#This Row],[ATUAL]])</f>
        <v>0</v>
      </c>
      <c r="W188" s="91">
        <f>SUMIFS(tabela_registros[VALOR],tabela_registros[MÊS],$AE$1,tabela_registros[DIA],reservavariáveisconsolidadomai[[#Headers],[19]],tabela_registros[REGISTRO],DADOS!$N$6,tabela_registros[TIPO],DADOS!$AJ$4,tabela_registros[CATEGORIA],reservavariáveisconsolidadomai[[#This Row],[ATUAL]])</f>
        <v>0</v>
      </c>
      <c r="X188" s="91">
        <f>SUMIFS(tabela_registros[VALOR],tabela_registros[MÊS],$AE$1,tabela_registros[DIA],reservavariáveisconsolidadomai[[#Headers],[20]],tabela_registros[REGISTRO],DADOS!$N$6,tabela_registros[TIPO],DADOS!$AJ$4,tabela_registros[CATEGORIA],reservavariáveisconsolidadomai[[#This Row],[ATUAL]])</f>
        <v>0</v>
      </c>
      <c r="Y188" s="91">
        <f>SUMIFS(tabela_registros[VALOR],tabela_registros[MÊS],$AE$1,tabela_registros[DIA],reservavariáveisconsolidadomai[[#Headers],[21]],tabela_registros[REGISTRO],DADOS!$N$6,tabela_registros[TIPO],DADOS!$AJ$4,tabela_registros[CATEGORIA],reservavariáveisconsolidadomai[[#This Row],[ATUAL]])</f>
        <v>0</v>
      </c>
      <c r="Z188" s="91">
        <f>SUMIFS(tabela_registros[VALOR],tabela_registros[MÊS],$AE$1,tabela_registros[DIA],reservavariáveisconsolidadomai[[#Headers],[22]],tabela_registros[REGISTRO],DADOS!$N$6,tabela_registros[TIPO],DADOS!$AJ$4,tabela_registros[CATEGORIA],reservavariáveisconsolidadomai[[#This Row],[ATUAL]])</f>
        <v>0</v>
      </c>
      <c r="AA188" s="91">
        <f>SUMIFS(tabela_registros[VALOR],tabela_registros[MÊS],$AE$1,tabela_registros[DIA],reservavariáveisconsolidadomai[[#Headers],[23]],tabela_registros[REGISTRO],DADOS!$N$6,tabela_registros[TIPO],DADOS!$AJ$4,tabela_registros[CATEGORIA],reservavariáveisconsolidadomai[[#This Row],[ATUAL]])</f>
        <v>0</v>
      </c>
      <c r="AB188" s="91">
        <f>SUMIFS(tabela_registros[VALOR],tabela_registros[MÊS],$AE$1,tabela_registros[DIA],reservavariáveisconsolidadomai[[#Headers],[24]],tabela_registros[REGISTRO],DADOS!$N$6,tabela_registros[TIPO],DADOS!$AJ$4,tabela_registros[CATEGORIA],reservavariáveisconsolidadomai[[#This Row],[ATUAL]])</f>
        <v>0</v>
      </c>
      <c r="AC188" s="91">
        <f>SUMIFS(tabela_registros[VALOR],tabela_registros[MÊS],$AE$1,tabela_registros[DIA],reservavariáveisconsolidadomai[[#Headers],[25]],tabela_registros[REGISTRO],DADOS!$N$6,tabela_registros[TIPO],DADOS!$AJ$4,tabela_registros[CATEGORIA],reservavariáveisconsolidadomai[[#This Row],[ATUAL]])</f>
        <v>0</v>
      </c>
      <c r="AD188" s="91">
        <f>SUMIFS(tabela_registros[VALOR],tabela_registros[MÊS],$AE$1,tabela_registros[DIA],reservavariáveisconsolidadomai[[#Headers],[26]],tabela_registros[REGISTRO],DADOS!$N$6,tabela_registros[TIPO],DADOS!$AJ$4,tabela_registros[CATEGORIA],reservavariáveisconsolidadomai[[#This Row],[ATUAL]])</f>
        <v>0</v>
      </c>
      <c r="AE188" s="91">
        <f>SUMIFS(tabela_registros[VALOR],tabela_registros[MÊS],$AE$1,tabela_registros[DIA],reservavariáveisconsolidadomai[[#Headers],[27]],tabela_registros[REGISTRO],DADOS!$N$6,tabela_registros[TIPO],DADOS!$AJ$4,tabela_registros[CATEGORIA],reservavariáveisconsolidadomai[[#This Row],[ATUAL]])</f>
        <v>0</v>
      </c>
      <c r="AF188" s="91">
        <f>SUMIFS(tabela_registros[VALOR],tabela_registros[MÊS],$AE$1,tabela_registros[DIA],reservavariáveisconsolidadomai[[#Headers],[28]],tabela_registros[REGISTRO],DADOS!$N$6,tabela_registros[TIPO],DADOS!$AJ$4,tabela_registros[CATEGORIA],reservavariáveisconsolidadomai[[#This Row],[ATUAL]])</f>
        <v>0</v>
      </c>
      <c r="AG188" s="91">
        <f>SUMIFS(tabela_registros[VALOR],tabela_registros[MÊS],$AE$1,tabela_registros[DIA],reservavariáveisconsolidadomai[[#Headers],[29]],tabela_registros[REGISTRO],DADOS!$N$6,tabela_registros[TIPO],DADOS!$AJ$4,tabela_registros[CATEGORIA],reservavariáveisconsolidadomai[[#This Row],[ATUAL]])</f>
        <v>0</v>
      </c>
      <c r="AH188" s="91">
        <f>SUMIFS(tabela_registros[VALOR],tabela_registros[MÊS],$AE$1,tabela_registros[DIA],reservavariáveisconsolidadomai[[#Headers],[30]],tabela_registros[REGISTRO],DADOS!$N$6,tabela_registros[TIPO],DADOS!$AJ$4,tabela_registros[CATEGORIA],reservavariáveisconsolidadomai[[#This Row],[ATUAL]])</f>
        <v>0</v>
      </c>
      <c r="AI188" s="101">
        <f>SUMIFS(tabela_registros[VALOR],tabela_registros[MÊS],$AE$1,tabela_registros[DIA],reservavariáveisconsolidadomai[[#Headers],[31]],tabela_registros[REGISTRO],DADOS!$N$6,tabela_registros[TIPO],DADOS!$AJ$4,tabela_registros[CATEGORIA],reservavariáveisconsolidadomai[[#This Row],[ATUAL]])</f>
        <v>0</v>
      </c>
      <c r="AJ188" s="97">
        <f>SUM(reservavariáveisconsolidadomai[[#This Row],[1]:[31]])</f>
        <v>0</v>
      </c>
      <c r="AK188" s="25"/>
    </row>
    <row r="189" spans="2:37" ht="19.5" customHeight="1" thickTop="1" thickBot="1" x14ac:dyDescent="0.3">
      <c r="B189" s="28"/>
      <c r="C189" s="27" t="str">
        <f>DADOS!$AN$5</f>
        <v>📝 CONTRATO DE FUTUROS</v>
      </c>
      <c r="D189" s="26" t="str">
        <f>IF(reservavariáveisconsolidadomai[[#This Row],[TOTAL (R$)]]=0,"",IF(OR(reservavariáveisconsolidadomai[[#This Row],[TOTAL (R$)]]=LARGE($AJ$187:$AJ$196,1),reservavariáveisconsolidadomai[[#This Row],[TOTAL (R$)]]=LARGE($AJ$187:$AJ$196,2)),DADOS!$I$11,""))</f>
        <v/>
      </c>
      <c r="E189" s="96">
        <f>SUMIFS(tabela_registros[VALOR],tabela_registros[MÊS],$AE$1,tabela_registros[DIA],reservavariáveisconsolidadomai[[#Headers],[1]],tabela_registros[REGISTRO],DADOS!$N$6,tabela_registros[TIPO],DADOS!$AJ$4,tabela_registros[CATEGORIA],reservavariáveisconsolidadomai[[#This Row],[ATUAL]])</f>
        <v>0</v>
      </c>
      <c r="F189" s="91">
        <f>SUMIFS(tabela_registros[VALOR],tabela_registros[MÊS],$AE$1,tabela_registros[DIA],reservavariáveisconsolidadomai[[#Headers],[2]],tabela_registros[REGISTRO],DADOS!$N$6,tabela_registros[TIPO],DADOS!$AJ$4,tabela_registros[CATEGORIA],reservavariáveisconsolidadomai[[#This Row],[ATUAL]])</f>
        <v>0</v>
      </c>
      <c r="G189" s="91">
        <f>SUMIFS(tabela_registros[VALOR],tabela_registros[MÊS],$AE$1,tabela_registros[DIA],reservavariáveisconsolidadomai[[#Headers],[3]],tabela_registros[REGISTRO],DADOS!$N$6,tabela_registros[TIPO],DADOS!$AJ$4,tabela_registros[CATEGORIA],reservavariáveisconsolidadomai[[#This Row],[ATUAL]])</f>
        <v>0</v>
      </c>
      <c r="H189" s="91">
        <f>SUMIFS(tabela_registros[VALOR],tabela_registros[MÊS],$AE$1,tabela_registros[DIA],reservavariáveisconsolidadomai[[#Headers],[4]],tabela_registros[REGISTRO],DADOS!$N$6,tabela_registros[TIPO],DADOS!$AJ$4,tabela_registros[CATEGORIA],reservavariáveisconsolidadomai[[#This Row],[ATUAL]])</f>
        <v>0</v>
      </c>
      <c r="I189" s="91">
        <f>SUMIFS(tabela_registros[VALOR],tabela_registros[MÊS],$AE$1,tabela_registros[DIA],reservavariáveisconsolidadomai[[#Headers],[5]],tabela_registros[REGISTRO],DADOS!$N$6,tabela_registros[TIPO],DADOS!$AJ$4,tabela_registros[CATEGORIA],reservavariáveisconsolidadomai[[#This Row],[ATUAL]])</f>
        <v>0</v>
      </c>
      <c r="J189" s="91">
        <f>SUMIFS(tabela_registros[VALOR],tabela_registros[MÊS],$AE$1,tabela_registros[DIA],reservavariáveisconsolidadomai[[#Headers],[6]],tabela_registros[REGISTRO],DADOS!$N$6,tabela_registros[TIPO],DADOS!$AJ$4,tabela_registros[CATEGORIA],reservavariáveisconsolidadomai[[#This Row],[ATUAL]])</f>
        <v>0</v>
      </c>
      <c r="K189" s="91">
        <f>SUMIFS(tabela_registros[VALOR],tabela_registros[MÊS],$AE$1,tabela_registros[DIA],reservavariáveisconsolidadomai[[#Headers],[7]],tabela_registros[REGISTRO],DADOS!$N$6,tabela_registros[TIPO],DADOS!$AJ$4,tabela_registros[CATEGORIA],reservavariáveisconsolidadomai[[#This Row],[ATUAL]])</f>
        <v>0</v>
      </c>
      <c r="L189" s="91">
        <f>SUMIFS(tabela_registros[VALOR],tabela_registros[MÊS],$AE$1,tabela_registros[DIA],reservavariáveisconsolidadomai[[#Headers],[8]],tabela_registros[REGISTRO],DADOS!$N$6,tabela_registros[TIPO],DADOS!$AJ$4,tabela_registros[CATEGORIA],reservavariáveisconsolidadomai[[#This Row],[ATUAL]])</f>
        <v>0</v>
      </c>
      <c r="M189" s="91">
        <f>SUMIFS(tabela_registros[VALOR],tabela_registros[MÊS],$AE$1,tabela_registros[DIA],reservavariáveisconsolidadomai[[#Headers],[9]],tabela_registros[REGISTRO],DADOS!$N$6,tabela_registros[TIPO],DADOS!$AJ$4,tabela_registros[CATEGORIA],reservavariáveisconsolidadomai[[#This Row],[ATUAL]])</f>
        <v>0</v>
      </c>
      <c r="N189" s="91">
        <f>SUMIFS(tabela_registros[VALOR],tabela_registros[MÊS],$AE$1,tabela_registros[DIA],reservavariáveisconsolidadomai[[#Headers],[10]],tabela_registros[REGISTRO],DADOS!$N$6,tabela_registros[TIPO],DADOS!$AJ$4,tabela_registros[CATEGORIA],reservavariáveisconsolidadomai[[#This Row],[ATUAL]])</f>
        <v>0</v>
      </c>
      <c r="O189" s="91">
        <f>SUMIFS(tabela_registros[VALOR],tabela_registros[MÊS],$AE$1,tabela_registros[DIA],reservavariáveisconsolidadomai[[#Headers],[11]],tabela_registros[REGISTRO],DADOS!$N$6,tabela_registros[TIPO],DADOS!$AJ$4,tabela_registros[CATEGORIA],reservavariáveisconsolidadomai[[#This Row],[ATUAL]])</f>
        <v>0</v>
      </c>
      <c r="P189" s="91">
        <f>SUMIFS(tabela_registros[VALOR],tabela_registros[MÊS],$AE$1,tabela_registros[DIA],reservavariáveisconsolidadomai[[#Headers],[12]],tabela_registros[REGISTRO],DADOS!$N$6,tabela_registros[TIPO],DADOS!$AJ$4,tabela_registros[CATEGORIA],reservavariáveisconsolidadomai[[#This Row],[ATUAL]])</f>
        <v>0</v>
      </c>
      <c r="Q189" s="91">
        <f>SUMIFS(tabela_registros[VALOR],tabela_registros[MÊS],$AE$1,tabela_registros[DIA],reservavariáveisconsolidadomai[[#Headers],[13]],tabela_registros[REGISTRO],DADOS!$N$6,tabela_registros[TIPO],DADOS!$AJ$4,tabela_registros[CATEGORIA],reservavariáveisconsolidadomai[[#This Row],[ATUAL]])</f>
        <v>0</v>
      </c>
      <c r="R189" s="91">
        <f>SUMIFS(tabela_registros[VALOR],tabela_registros[MÊS],$AE$1,tabela_registros[DIA],reservavariáveisconsolidadomai[[#Headers],[14]],tabela_registros[REGISTRO],DADOS!$N$6,tabela_registros[TIPO],DADOS!$AJ$4,tabela_registros[CATEGORIA],reservavariáveisconsolidadomai[[#This Row],[ATUAL]])</f>
        <v>0</v>
      </c>
      <c r="S189" s="91">
        <f>SUMIFS(tabela_registros[VALOR],tabela_registros[MÊS],$AE$1,tabela_registros[DIA],reservavariáveisconsolidadomai[[#Headers],[15]],tabela_registros[REGISTRO],DADOS!$N$6,tabela_registros[TIPO],DADOS!$AJ$4,tabela_registros[CATEGORIA],reservavariáveisconsolidadomai[[#This Row],[ATUAL]])</f>
        <v>0</v>
      </c>
      <c r="T189" s="91">
        <f>SUMIFS(tabela_registros[VALOR],tabela_registros[MÊS],$AE$1,tabela_registros[DIA],reservavariáveisconsolidadomai[[#Headers],[16]],tabela_registros[REGISTRO],DADOS!$N$6,tabela_registros[TIPO],DADOS!$AJ$4,tabela_registros[CATEGORIA],reservavariáveisconsolidadomai[[#This Row],[ATUAL]])</f>
        <v>0</v>
      </c>
      <c r="U189" s="91">
        <f>SUMIFS(tabela_registros[VALOR],tabela_registros[MÊS],$AE$1,tabela_registros[DIA],reservavariáveisconsolidadomai[[#Headers],[17]],tabela_registros[REGISTRO],DADOS!$N$6,tabela_registros[TIPO],DADOS!$AJ$4,tabela_registros[CATEGORIA],reservavariáveisconsolidadomai[[#This Row],[ATUAL]])</f>
        <v>0</v>
      </c>
      <c r="V189" s="91">
        <f>SUMIFS(tabela_registros[VALOR],tabela_registros[MÊS],$AE$1,tabela_registros[DIA],reservavariáveisconsolidadomai[[#Headers],[18]],tabela_registros[REGISTRO],DADOS!$N$6,tabela_registros[TIPO],DADOS!$AJ$4,tabela_registros[CATEGORIA],reservavariáveisconsolidadomai[[#This Row],[ATUAL]])</f>
        <v>0</v>
      </c>
      <c r="W189" s="91">
        <f>SUMIFS(tabela_registros[VALOR],tabela_registros[MÊS],$AE$1,tabela_registros[DIA],reservavariáveisconsolidadomai[[#Headers],[19]],tabela_registros[REGISTRO],DADOS!$N$6,tabela_registros[TIPO],DADOS!$AJ$4,tabela_registros[CATEGORIA],reservavariáveisconsolidadomai[[#This Row],[ATUAL]])</f>
        <v>0</v>
      </c>
      <c r="X189" s="91">
        <f>SUMIFS(tabela_registros[VALOR],tabela_registros[MÊS],$AE$1,tabela_registros[DIA],reservavariáveisconsolidadomai[[#Headers],[20]],tabela_registros[REGISTRO],DADOS!$N$6,tabela_registros[TIPO],DADOS!$AJ$4,tabela_registros[CATEGORIA],reservavariáveisconsolidadomai[[#This Row],[ATUAL]])</f>
        <v>0</v>
      </c>
      <c r="Y189" s="91">
        <f>SUMIFS(tabela_registros[VALOR],tabela_registros[MÊS],$AE$1,tabela_registros[DIA],reservavariáveisconsolidadomai[[#Headers],[21]],tabela_registros[REGISTRO],DADOS!$N$6,tabela_registros[TIPO],DADOS!$AJ$4,tabela_registros[CATEGORIA],reservavariáveisconsolidadomai[[#This Row],[ATUAL]])</f>
        <v>0</v>
      </c>
      <c r="Z189" s="91">
        <f>SUMIFS(tabela_registros[VALOR],tabela_registros[MÊS],$AE$1,tabela_registros[DIA],reservavariáveisconsolidadomai[[#Headers],[22]],tabela_registros[REGISTRO],DADOS!$N$6,tabela_registros[TIPO],DADOS!$AJ$4,tabela_registros[CATEGORIA],reservavariáveisconsolidadomai[[#This Row],[ATUAL]])</f>
        <v>0</v>
      </c>
      <c r="AA189" s="91">
        <f>SUMIFS(tabela_registros[VALOR],tabela_registros[MÊS],$AE$1,tabela_registros[DIA],reservavariáveisconsolidadomai[[#Headers],[23]],tabela_registros[REGISTRO],DADOS!$N$6,tabela_registros[TIPO],DADOS!$AJ$4,tabela_registros[CATEGORIA],reservavariáveisconsolidadomai[[#This Row],[ATUAL]])</f>
        <v>0</v>
      </c>
      <c r="AB189" s="91">
        <f>SUMIFS(tabela_registros[VALOR],tabela_registros[MÊS],$AE$1,tabela_registros[DIA],reservavariáveisconsolidadomai[[#Headers],[24]],tabela_registros[REGISTRO],DADOS!$N$6,tabela_registros[TIPO],DADOS!$AJ$4,tabela_registros[CATEGORIA],reservavariáveisconsolidadomai[[#This Row],[ATUAL]])</f>
        <v>0</v>
      </c>
      <c r="AC189" s="91">
        <f>SUMIFS(tabela_registros[VALOR],tabela_registros[MÊS],$AE$1,tabela_registros[DIA],reservavariáveisconsolidadomai[[#Headers],[25]],tabela_registros[REGISTRO],DADOS!$N$6,tabela_registros[TIPO],DADOS!$AJ$4,tabela_registros[CATEGORIA],reservavariáveisconsolidadomai[[#This Row],[ATUAL]])</f>
        <v>0</v>
      </c>
      <c r="AD189" s="91">
        <f>SUMIFS(tabela_registros[VALOR],tabela_registros[MÊS],$AE$1,tabela_registros[DIA],reservavariáveisconsolidadomai[[#Headers],[26]],tabela_registros[REGISTRO],DADOS!$N$6,tabela_registros[TIPO],DADOS!$AJ$4,tabela_registros[CATEGORIA],reservavariáveisconsolidadomai[[#This Row],[ATUAL]])</f>
        <v>0</v>
      </c>
      <c r="AE189" s="91">
        <f>SUMIFS(tabela_registros[VALOR],tabela_registros[MÊS],$AE$1,tabela_registros[DIA],reservavariáveisconsolidadomai[[#Headers],[27]],tabela_registros[REGISTRO],DADOS!$N$6,tabela_registros[TIPO],DADOS!$AJ$4,tabela_registros[CATEGORIA],reservavariáveisconsolidadomai[[#This Row],[ATUAL]])</f>
        <v>0</v>
      </c>
      <c r="AF189" s="91">
        <f>SUMIFS(tabela_registros[VALOR],tabela_registros[MÊS],$AE$1,tabela_registros[DIA],reservavariáveisconsolidadomai[[#Headers],[28]],tabela_registros[REGISTRO],DADOS!$N$6,tabela_registros[TIPO],DADOS!$AJ$4,tabela_registros[CATEGORIA],reservavariáveisconsolidadomai[[#This Row],[ATUAL]])</f>
        <v>0</v>
      </c>
      <c r="AG189" s="91">
        <f>SUMIFS(tabela_registros[VALOR],tabela_registros[MÊS],$AE$1,tabela_registros[DIA],reservavariáveisconsolidadomai[[#Headers],[29]],tabela_registros[REGISTRO],DADOS!$N$6,tabela_registros[TIPO],DADOS!$AJ$4,tabela_registros[CATEGORIA],reservavariáveisconsolidadomai[[#This Row],[ATUAL]])</f>
        <v>0</v>
      </c>
      <c r="AH189" s="91">
        <f>SUMIFS(tabela_registros[VALOR],tabela_registros[MÊS],$AE$1,tabela_registros[DIA],reservavariáveisconsolidadomai[[#Headers],[30]],tabela_registros[REGISTRO],DADOS!$N$6,tabela_registros[TIPO],DADOS!$AJ$4,tabela_registros[CATEGORIA],reservavariáveisconsolidadomai[[#This Row],[ATUAL]])</f>
        <v>0</v>
      </c>
      <c r="AI189" s="101">
        <f>SUMIFS(tabela_registros[VALOR],tabela_registros[MÊS],$AE$1,tabela_registros[DIA],reservavariáveisconsolidadomai[[#Headers],[31]],tabela_registros[REGISTRO],DADOS!$N$6,tabela_registros[TIPO],DADOS!$AJ$4,tabela_registros[CATEGORIA],reservavariáveisconsolidadomai[[#This Row],[ATUAL]])</f>
        <v>0</v>
      </c>
      <c r="AJ189" s="97">
        <f>SUM(reservavariáveisconsolidadomai[[#This Row],[1]:[31]])</f>
        <v>0</v>
      </c>
      <c r="AK189" s="25"/>
    </row>
    <row r="190" spans="2:37" ht="19.5" customHeight="1" thickTop="1" thickBot="1" x14ac:dyDescent="0.3">
      <c r="B190" s="28"/>
      <c r="C190" s="27" t="str">
        <f>DADOS!$AN$6</f>
        <v>📝 CONTRATO DE OPÇÕES</v>
      </c>
      <c r="D190" s="26" t="str">
        <f>IF(reservavariáveisconsolidadomai[[#This Row],[TOTAL (R$)]]=0,"",IF(OR(reservavariáveisconsolidadomai[[#This Row],[TOTAL (R$)]]=LARGE($AJ$187:$AJ$196,1),reservavariáveisconsolidadomai[[#This Row],[TOTAL (R$)]]=LARGE($AJ$187:$AJ$196,2)),DADOS!$I$11,""))</f>
        <v/>
      </c>
      <c r="E190" s="96">
        <f>SUMIFS(tabela_registros[VALOR],tabela_registros[MÊS],$AE$1,tabela_registros[DIA],reservavariáveisconsolidadomai[[#Headers],[1]],tabela_registros[REGISTRO],DADOS!$N$6,tabela_registros[TIPO],DADOS!$AJ$4,tabela_registros[CATEGORIA],reservavariáveisconsolidadomai[[#This Row],[ATUAL]])</f>
        <v>0</v>
      </c>
      <c r="F190" s="91">
        <f>SUMIFS(tabela_registros[VALOR],tabela_registros[MÊS],$AE$1,tabela_registros[DIA],reservavariáveisconsolidadomai[[#Headers],[2]],tabela_registros[REGISTRO],DADOS!$N$6,tabela_registros[TIPO],DADOS!$AJ$4,tabela_registros[CATEGORIA],reservavariáveisconsolidadomai[[#This Row],[ATUAL]])</f>
        <v>0</v>
      </c>
      <c r="G190" s="91">
        <f>SUMIFS(tabela_registros[VALOR],tabela_registros[MÊS],$AE$1,tabela_registros[DIA],reservavariáveisconsolidadomai[[#Headers],[3]],tabela_registros[REGISTRO],DADOS!$N$6,tabela_registros[TIPO],DADOS!$AJ$4,tabela_registros[CATEGORIA],reservavariáveisconsolidadomai[[#This Row],[ATUAL]])</f>
        <v>0</v>
      </c>
      <c r="H190" s="91">
        <f>SUMIFS(tabela_registros[VALOR],tabela_registros[MÊS],$AE$1,tabela_registros[DIA],reservavariáveisconsolidadomai[[#Headers],[4]],tabela_registros[REGISTRO],DADOS!$N$6,tabela_registros[TIPO],DADOS!$AJ$4,tabela_registros[CATEGORIA],reservavariáveisconsolidadomai[[#This Row],[ATUAL]])</f>
        <v>0</v>
      </c>
      <c r="I190" s="91">
        <f>SUMIFS(tabela_registros[VALOR],tabela_registros[MÊS],$AE$1,tabela_registros[DIA],reservavariáveisconsolidadomai[[#Headers],[5]],tabela_registros[REGISTRO],DADOS!$N$6,tabela_registros[TIPO],DADOS!$AJ$4,tabela_registros[CATEGORIA],reservavariáveisconsolidadomai[[#This Row],[ATUAL]])</f>
        <v>0</v>
      </c>
      <c r="J190" s="91">
        <f>SUMIFS(tabela_registros[VALOR],tabela_registros[MÊS],$AE$1,tabela_registros[DIA],reservavariáveisconsolidadomai[[#Headers],[6]],tabela_registros[REGISTRO],DADOS!$N$6,tabela_registros[TIPO],DADOS!$AJ$4,tabela_registros[CATEGORIA],reservavariáveisconsolidadomai[[#This Row],[ATUAL]])</f>
        <v>0</v>
      </c>
      <c r="K190" s="91">
        <f>SUMIFS(tabela_registros[VALOR],tabela_registros[MÊS],$AE$1,tabela_registros[DIA],reservavariáveisconsolidadomai[[#Headers],[7]],tabela_registros[REGISTRO],DADOS!$N$6,tabela_registros[TIPO],DADOS!$AJ$4,tabela_registros[CATEGORIA],reservavariáveisconsolidadomai[[#This Row],[ATUAL]])</f>
        <v>0</v>
      </c>
      <c r="L190" s="91">
        <f>SUMIFS(tabela_registros[VALOR],tabela_registros[MÊS],$AE$1,tabela_registros[DIA],reservavariáveisconsolidadomai[[#Headers],[8]],tabela_registros[REGISTRO],DADOS!$N$6,tabela_registros[TIPO],DADOS!$AJ$4,tabela_registros[CATEGORIA],reservavariáveisconsolidadomai[[#This Row],[ATUAL]])</f>
        <v>0</v>
      </c>
      <c r="M190" s="91">
        <f>SUMIFS(tabela_registros[VALOR],tabela_registros[MÊS],$AE$1,tabela_registros[DIA],reservavariáveisconsolidadomai[[#Headers],[9]],tabela_registros[REGISTRO],DADOS!$N$6,tabela_registros[TIPO],DADOS!$AJ$4,tabela_registros[CATEGORIA],reservavariáveisconsolidadomai[[#This Row],[ATUAL]])</f>
        <v>0</v>
      </c>
      <c r="N190" s="91">
        <f>SUMIFS(tabela_registros[VALOR],tabela_registros[MÊS],$AE$1,tabela_registros[DIA],reservavariáveisconsolidadomai[[#Headers],[10]],tabela_registros[REGISTRO],DADOS!$N$6,tabela_registros[TIPO],DADOS!$AJ$4,tabela_registros[CATEGORIA],reservavariáveisconsolidadomai[[#This Row],[ATUAL]])</f>
        <v>0</v>
      </c>
      <c r="O190" s="91">
        <f>SUMIFS(tabela_registros[VALOR],tabela_registros[MÊS],$AE$1,tabela_registros[DIA],reservavariáveisconsolidadomai[[#Headers],[11]],tabela_registros[REGISTRO],DADOS!$N$6,tabela_registros[TIPO],DADOS!$AJ$4,tabela_registros[CATEGORIA],reservavariáveisconsolidadomai[[#This Row],[ATUAL]])</f>
        <v>0</v>
      </c>
      <c r="P190" s="91">
        <f>SUMIFS(tabela_registros[VALOR],tabela_registros[MÊS],$AE$1,tabela_registros[DIA],reservavariáveisconsolidadomai[[#Headers],[12]],tabela_registros[REGISTRO],DADOS!$N$6,tabela_registros[TIPO],DADOS!$AJ$4,tabela_registros[CATEGORIA],reservavariáveisconsolidadomai[[#This Row],[ATUAL]])</f>
        <v>0</v>
      </c>
      <c r="Q190" s="91">
        <f>SUMIFS(tabela_registros[VALOR],tabela_registros[MÊS],$AE$1,tabela_registros[DIA],reservavariáveisconsolidadomai[[#Headers],[13]],tabela_registros[REGISTRO],DADOS!$N$6,tabela_registros[TIPO],DADOS!$AJ$4,tabela_registros[CATEGORIA],reservavariáveisconsolidadomai[[#This Row],[ATUAL]])</f>
        <v>0</v>
      </c>
      <c r="R190" s="91">
        <f>SUMIFS(tabela_registros[VALOR],tabela_registros[MÊS],$AE$1,tabela_registros[DIA],reservavariáveisconsolidadomai[[#Headers],[14]],tabela_registros[REGISTRO],DADOS!$N$6,tabela_registros[TIPO],DADOS!$AJ$4,tabela_registros[CATEGORIA],reservavariáveisconsolidadomai[[#This Row],[ATUAL]])</f>
        <v>0</v>
      </c>
      <c r="S190" s="91">
        <f>SUMIFS(tabela_registros[VALOR],tabela_registros[MÊS],$AE$1,tabela_registros[DIA],reservavariáveisconsolidadomai[[#Headers],[15]],tabela_registros[REGISTRO],DADOS!$N$6,tabela_registros[TIPO],DADOS!$AJ$4,tabela_registros[CATEGORIA],reservavariáveisconsolidadomai[[#This Row],[ATUAL]])</f>
        <v>0</v>
      </c>
      <c r="T190" s="91">
        <f>SUMIFS(tabela_registros[VALOR],tabela_registros[MÊS],$AE$1,tabela_registros[DIA],reservavariáveisconsolidadomai[[#Headers],[16]],tabela_registros[REGISTRO],DADOS!$N$6,tabela_registros[TIPO],DADOS!$AJ$4,tabela_registros[CATEGORIA],reservavariáveisconsolidadomai[[#This Row],[ATUAL]])</f>
        <v>0</v>
      </c>
      <c r="U190" s="91">
        <f>SUMIFS(tabela_registros[VALOR],tabela_registros[MÊS],$AE$1,tabela_registros[DIA],reservavariáveisconsolidadomai[[#Headers],[17]],tabela_registros[REGISTRO],DADOS!$N$6,tabela_registros[TIPO],DADOS!$AJ$4,tabela_registros[CATEGORIA],reservavariáveisconsolidadomai[[#This Row],[ATUAL]])</f>
        <v>0</v>
      </c>
      <c r="V190" s="91">
        <f>SUMIFS(tabela_registros[VALOR],tabela_registros[MÊS],$AE$1,tabela_registros[DIA],reservavariáveisconsolidadomai[[#Headers],[18]],tabela_registros[REGISTRO],DADOS!$N$6,tabela_registros[TIPO],DADOS!$AJ$4,tabela_registros[CATEGORIA],reservavariáveisconsolidadomai[[#This Row],[ATUAL]])</f>
        <v>0</v>
      </c>
      <c r="W190" s="91">
        <f>SUMIFS(tabela_registros[VALOR],tabela_registros[MÊS],$AE$1,tabela_registros[DIA],reservavariáveisconsolidadomai[[#Headers],[19]],tabela_registros[REGISTRO],DADOS!$N$6,tabela_registros[TIPO],DADOS!$AJ$4,tabela_registros[CATEGORIA],reservavariáveisconsolidadomai[[#This Row],[ATUAL]])</f>
        <v>0</v>
      </c>
      <c r="X190" s="91">
        <f>SUMIFS(tabela_registros[VALOR],tabela_registros[MÊS],$AE$1,tabela_registros[DIA],reservavariáveisconsolidadomai[[#Headers],[20]],tabela_registros[REGISTRO],DADOS!$N$6,tabela_registros[TIPO],DADOS!$AJ$4,tabela_registros[CATEGORIA],reservavariáveisconsolidadomai[[#This Row],[ATUAL]])</f>
        <v>0</v>
      </c>
      <c r="Y190" s="91">
        <f>SUMIFS(tabela_registros[VALOR],tabela_registros[MÊS],$AE$1,tabela_registros[DIA],reservavariáveisconsolidadomai[[#Headers],[21]],tabela_registros[REGISTRO],DADOS!$N$6,tabela_registros[TIPO],DADOS!$AJ$4,tabela_registros[CATEGORIA],reservavariáveisconsolidadomai[[#This Row],[ATUAL]])</f>
        <v>0</v>
      </c>
      <c r="Z190" s="91">
        <f>SUMIFS(tabela_registros[VALOR],tabela_registros[MÊS],$AE$1,tabela_registros[DIA],reservavariáveisconsolidadomai[[#Headers],[22]],tabela_registros[REGISTRO],DADOS!$N$6,tabela_registros[TIPO],DADOS!$AJ$4,tabela_registros[CATEGORIA],reservavariáveisconsolidadomai[[#This Row],[ATUAL]])</f>
        <v>0</v>
      </c>
      <c r="AA190" s="91">
        <f>SUMIFS(tabela_registros[VALOR],tabela_registros[MÊS],$AE$1,tabela_registros[DIA],reservavariáveisconsolidadomai[[#Headers],[23]],tabela_registros[REGISTRO],DADOS!$N$6,tabela_registros[TIPO],DADOS!$AJ$4,tabela_registros[CATEGORIA],reservavariáveisconsolidadomai[[#This Row],[ATUAL]])</f>
        <v>0</v>
      </c>
      <c r="AB190" s="91">
        <f>SUMIFS(tabela_registros[VALOR],tabela_registros[MÊS],$AE$1,tabela_registros[DIA],reservavariáveisconsolidadomai[[#Headers],[24]],tabela_registros[REGISTRO],DADOS!$N$6,tabela_registros[TIPO],DADOS!$AJ$4,tabela_registros[CATEGORIA],reservavariáveisconsolidadomai[[#This Row],[ATUAL]])</f>
        <v>0</v>
      </c>
      <c r="AC190" s="91">
        <f>SUMIFS(tabela_registros[VALOR],tabela_registros[MÊS],$AE$1,tabela_registros[DIA],reservavariáveisconsolidadomai[[#Headers],[25]],tabela_registros[REGISTRO],DADOS!$N$6,tabela_registros[TIPO],DADOS!$AJ$4,tabela_registros[CATEGORIA],reservavariáveisconsolidadomai[[#This Row],[ATUAL]])</f>
        <v>0</v>
      </c>
      <c r="AD190" s="91">
        <f>SUMIFS(tabela_registros[VALOR],tabela_registros[MÊS],$AE$1,tabela_registros[DIA],reservavariáveisconsolidadomai[[#Headers],[26]],tabela_registros[REGISTRO],DADOS!$N$6,tabela_registros[TIPO],DADOS!$AJ$4,tabela_registros[CATEGORIA],reservavariáveisconsolidadomai[[#This Row],[ATUAL]])</f>
        <v>0</v>
      </c>
      <c r="AE190" s="91">
        <f>SUMIFS(tabela_registros[VALOR],tabela_registros[MÊS],$AE$1,tabela_registros[DIA],reservavariáveisconsolidadomai[[#Headers],[27]],tabela_registros[REGISTRO],DADOS!$N$6,tabela_registros[TIPO],DADOS!$AJ$4,tabela_registros[CATEGORIA],reservavariáveisconsolidadomai[[#This Row],[ATUAL]])</f>
        <v>0</v>
      </c>
      <c r="AF190" s="91">
        <f>SUMIFS(tabela_registros[VALOR],tabela_registros[MÊS],$AE$1,tabela_registros[DIA],reservavariáveisconsolidadomai[[#Headers],[28]],tabela_registros[REGISTRO],DADOS!$N$6,tabela_registros[TIPO],DADOS!$AJ$4,tabela_registros[CATEGORIA],reservavariáveisconsolidadomai[[#This Row],[ATUAL]])</f>
        <v>0</v>
      </c>
      <c r="AG190" s="91">
        <f>SUMIFS(tabela_registros[VALOR],tabela_registros[MÊS],$AE$1,tabela_registros[DIA],reservavariáveisconsolidadomai[[#Headers],[29]],tabela_registros[REGISTRO],DADOS!$N$6,tabela_registros[TIPO],DADOS!$AJ$4,tabela_registros[CATEGORIA],reservavariáveisconsolidadomai[[#This Row],[ATUAL]])</f>
        <v>0</v>
      </c>
      <c r="AH190" s="91">
        <f>SUMIFS(tabela_registros[VALOR],tabela_registros[MÊS],$AE$1,tabela_registros[DIA],reservavariáveisconsolidadomai[[#Headers],[30]],tabela_registros[REGISTRO],DADOS!$N$6,tabela_registros[TIPO],DADOS!$AJ$4,tabela_registros[CATEGORIA],reservavariáveisconsolidadomai[[#This Row],[ATUAL]])</f>
        <v>0</v>
      </c>
      <c r="AI190" s="101">
        <f>SUMIFS(tabela_registros[VALOR],tabela_registros[MÊS],$AE$1,tabela_registros[DIA],reservavariáveisconsolidadomai[[#Headers],[31]],tabela_registros[REGISTRO],DADOS!$N$6,tabela_registros[TIPO],DADOS!$AJ$4,tabela_registros[CATEGORIA],reservavariáveisconsolidadomai[[#This Row],[ATUAL]])</f>
        <v>0</v>
      </c>
      <c r="AJ190" s="97">
        <f>SUM(reservavariáveisconsolidadomai[[#This Row],[1]:[31]])</f>
        <v>0</v>
      </c>
      <c r="AK190" s="25"/>
    </row>
    <row r="191" spans="2:37" ht="19.5" customHeight="1" thickTop="1" thickBot="1" x14ac:dyDescent="0.3">
      <c r="B191" s="28"/>
      <c r="C191" s="27" t="str">
        <f>DADOS!$AN$7</f>
        <v>📝 CRIPTOMOEDA</v>
      </c>
      <c r="D191" s="26" t="str">
        <f>IF(reservavariáveisconsolidadomai[[#This Row],[TOTAL (R$)]]=0,"",IF(OR(reservavariáveisconsolidadomai[[#This Row],[TOTAL (R$)]]=LARGE($AJ$187:$AJ$196,1),reservavariáveisconsolidadomai[[#This Row],[TOTAL (R$)]]=LARGE($AJ$187:$AJ$196,2)),DADOS!$I$11,""))</f>
        <v/>
      </c>
      <c r="E191" s="96">
        <f>SUMIFS(tabela_registros[VALOR],tabela_registros[MÊS],$AE$1,tabela_registros[DIA],reservavariáveisconsolidadomai[[#Headers],[1]],tabela_registros[REGISTRO],DADOS!$N$6,tabela_registros[TIPO],DADOS!$AJ$4,tabela_registros[CATEGORIA],reservavariáveisconsolidadomai[[#This Row],[ATUAL]])</f>
        <v>0</v>
      </c>
      <c r="F191" s="91">
        <f>SUMIFS(tabela_registros[VALOR],tabela_registros[MÊS],$AE$1,tabela_registros[DIA],reservavariáveisconsolidadomai[[#Headers],[2]],tabela_registros[REGISTRO],DADOS!$N$6,tabela_registros[TIPO],DADOS!$AJ$4,tabela_registros[CATEGORIA],reservavariáveisconsolidadomai[[#This Row],[ATUAL]])</f>
        <v>0</v>
      </c>
      <c r="G191" s="91">
        <f>SUMIFS(tabela_registros[VALOR],tabela_registros[MÊS],$AE$1,tabela_registros[DIA],reservavariáveisconsolidadomai[[#Headers],[3]],tabela_registros[REGISTRO],DADOS!$N$6,tabela_registros[TIPO],DADOS!$AJ$4,tabela_registros[CATEGORIA],reservavariáveisconsolidadomai[[#This Row],[ATUAL]])</f>
        <v>0</v>
      </c>
      <c r="H191" s="91">
        <f>SUMIFS(tabela_registros[VALOR],tabela_registros[MÊS],$AE$1,tabela_registros[DIA],reservavariáveisconsolidadomai[[#Headers],[4]],tabela_registros[REGISTRO],DADOS!$N$6,tabela_registros[TIPO],DADOS!$AJ$4,tabela_registros[CATEGORIA],reservavariáveisconsolidadomai[[#This Row],[ATUAL]])</f>
        <v>0</v>
      </c>
      <c r="I191" s="91">
        <f>SUMIFS(tabela_registros[VALOR],tabela_registros[MÊS],$AE$1,tabela_registros[DIA],reservavariáveisconsolidadomai[[#Headers],[5]],tabela_registros[REGISTRO],DADOS!$N$6,tabela_registros[TIPO],DADOS!$AJ$4,tabela_registros[CATEGORIA],reservavariáveisconsolidadomai[[#This Row],[ATUAL]])</f>
        <v>0</v>
      </c>
      <c r="J191" s="91">
        <f>SUMIFS(tabela_registros[VALOR],tabela_registros[MÊS],$AE$1,tabela_registros[DIA],reservavariáveisconsolidadomai[[#Headers],[6]],tabela_registros[REGISTRO],DADOS!$N$6,tabela_registros[TIPO],DADOS!$AJ$4,tabela_registros[CATEGORIA],reservavariáveisconsolidadomai[[#This Row],[ATUAL]])</f>
        <v>0</v>
      </c>
      <c r="K191" s="91">
        <f>SUMIFS(tabela_registros[VALOR],tabela_registros[MÊS],$AE$1,tabela_registros[DIA],reservavariáveisconsolidadomai[[#Headers],[7]],tabela_registros[REGISTRO],DADOS!$N$6,tabela_registros[TIPO],DADOS!$AJ$4,tabela_registros[CATEGORIA],reservavariáveisconsolidadomai[[#This Row],[ATUAL]])</f>
        <v>0</v>
      </c>
      <c r="L191" s="91">
        <f>SUMIFS(tabela_registros[VALOR],tabela_registros[MÊS],$AE$1,tabela_registros[DIA],reservavariáveisconsolidadomai[[#Headers],[8]],tabela_registros[REGISTRO],DADOS!$N$6,tabela_registros[TIPO],DADOS!$AJ$4,tabela_registros[CATEGORIA],reservavariáveisconsolidadomai[[#This Row],[ATUAL]])</f>
        <v>0</v>
      </c>
      <c r="M191" s="91">
        <f>SUMIFS(tabela_registros[VALOR],tabela_registros[MÊS],$AE$1,tabela_registros[DIA],reservavariáveisconsolidadomai[[#Headers],[9]],tabela_registros[REGISTRO],DADOS!$N$6,tabela_registros[TIPO],DADOS!$AJ$4,tabela_registros[CATEGORIA],reservavariáveisconsolidadomai[[#This Row],[ATUAL]])</f>
        <v>0</v>
      </c>
      <c r="N191" s="91">
        <f>SUMIFS(tabela_registros[VALOR],tabela_registros[MÊS],$AE$1,tabela_registros[DIA],reservavariáveisconsolidadomai[[#Headers],[10]],tabela_registros[REGISTRO],DADOS!$N$6,tabela_registros[TIPO],DADOS!$AJ$4,tabela_registros[CATEGORIA],reservavariáveisconsolidadomai[[#This Row],[ATUAL]])</f>
        <v>0</v>
      </c>
      <c r="O191" s="91">
        <f>SUMIFS(tabela_registros[VALOR],tabela_registros[MÊS],$AE$1,tabela_registros[DIA],reservavariáveisconsolidadomai[[#Headers],[11]],tabela_registros[REGISTRO],DADOS!$N$6,tabela_registros[TIPO],DADOS!$AJ$4,tabela_registros[CATEGORIA],reservavariáveisconsolidadomai[[#This Row],[ATUAL]])</f>
        <v>0</v>
      </c>
      <c r="P191" s="91">
        <f>SUMIFS(tabela_registros[VALOR],tabela_registros[MÊS],$AE$1,tabela_registros[DIA],reservavariáveisconsolidadomai[[#Headers],[12]],tabela_registros[REGISTRO],DADOS!$N$6,tabela_registros[TIPO],DADOS!$AJ$4,tabela_registros[CATEGORIA],reservavariáveisconsolidadomai[[#This Row],[ATUAL]])</f>
        <v>0</v>
      </c>
      <c r="Q191" s="91">
        <f>SUMIFS(tabela_registros[VALOR],tabela_registros[MÊS],$AE$1,tabela_registros[DIA],reservavariáveisconsolidadomai[[#Headers],[13]],tabela_registros[REGISTRO],DADOS!$N$6,tabela_registros[TIPO],DADOS!$AJ$4,tabela_registros[CATEGORIA],reservavariáveisconsolidadomai[[#This Row],[ATUAL]])</f>
        <v>0</v>
      </c>
      <c r="R191" s="91">
        <f>SUMIFS(tabela_registros[VALOR],tabela_registros[MÊS],$AE$1,tabela_registros[DIA],reservavariáveisconsolidadomai[[#Headers],[14]],tabela_registros[REGISTRO],DADOS!$N$6,tabela_registros[TIPO],DADOS!$AJ$4,tabela_registros[CATEGORIA],reservavariáveisconsolidadomai[[#This Row],[ATUAL]])</f>
        <v>0</v>
      </c>
      <c r="S191" s="91">
        <f>SUMIFS(tabela_registros[VALOR],tabela_registros[MÊS],$AE$1,tabela_registros[DIA],reservavariáveisconsolidadomai[[#Headers],[15]],tabela_registros[REGISTRO],DADOS!$N$6,tabela_registros[TIPO],DADOS!$AJ$4,tabela_registros[CATEGORIA],reservavariáveisconsolidadomai[[#This Row],[ATUAL]])</f>
        <v>0</v>
      </c>
      <c r="T191" s="91">
        <f>SUMIFS(tabela_registros[VALOR],tabela_registros[MÊS],$AE$1,tabela_registros[DIA],reservavariáveisconsolidadomai[[#Headers],[16]],tabela_registros[REGISTRO],DADOS!$N$6,tabela_registros[TIPO],DADOS!$AJ$4,tabela_registros[CATEGORIA],reservavariáveisconsolidadomai[[#This Row],[ATUAL]])</f>
        <v>0</v>
      </c>
      <c r="U191" s="91">
        <f>SUMIFS(tabela_registros[VALOR],tabela_registros[MÊS],$AE$1,tabela_registros[DIA],reservavariáveisconsolidadomai[[#Headers],[17]],tabela_registros[REGISTRO],DADOS!$N$6,tabela_registros[TIPO],DADOS!$AJ$4,tabela_registros[CATEGORIA],reservavariáveisconsolidadomai[[#This Row],[ATUAL]])</f>
        <v>0</v>
      </c>
      <c r="V191" s="91">
        <f>SUMIFS(tabela_registros[VALOR],tabela_registros[MÊS],$AE$1,tabela_registros[DIA],reservavariáveisconsolidadomai[[#Headers],[18]],tabela_registros[REGISTRO],DADOS!$N$6,tabela_registros[TIPO],DADOS!$AJ$4,tabela_registros[CATEGORIA],reservavariáveisconsolidadomai[[#This Row],[ATUAL]])</f>
        <v>0</v>
      </c>
      <c r="W191" s="91">
        <f>SUMIFS(tabela_registros[VALOR],tabela_registros[MÊS],$AE$1,tabela_registros[DIA],reservavariáveisconsolidadomai[[#Headers],[19]],tabela_registros[REGISTRO],DADOS!$N$6,tabela_registros[TIPO],DADOS!$AJ$4,tabela_registros[CATEGORIA],reservavariáveisconsolidadomai[[#This Row],[ATUAL]])</f>
        <v>0</v>
      </c>
      <c r="X191" s="91">
        <f>SUMIFS(tabela_registros[VALOR],tabela_registros[MÊS],$AE$1,tabela_registros[DIA],reservavariáveisconsolidadomai[[#Headers],[20]],tabela_registros[REGISTRO],DADOS!$N$6,tabela_registros[TIPO],DADOS!$AJ$4,tabela_registros[CATEGORIA],reservavariáveisconsolidadomai[[#This Row],[ATUAL]])</f>
        <v>0</v>
      </c>
      <c r="Y191" s="91">
        <f>SUMIFS(tabela_registros[VALOR],tabela_registros[MÊS],$AE$1,tabela_registros[DIA],reservavariáveisconsolidadomai[[#Headers],[21]],tabela_registros[REGISTRO],DADOS!$N$6,tabela_registros[TIPO],DADOS!$AJ$4,tabela_registros[CATEGORIA],reservavariáveisconsolidadomai[[#This Row],[ATUAL]])</f>
        <v>0</v>
      </c>
      <c r="Z191" s="91">
        <f>SUMIFS(tabela_registros[VALOR],tabela_registros[MÊS],$AE$1,tabela_registros[DIA],reservavariáveisconsolidadomai[[#Headers],[22]],tabela_registros[REGISTRO],DADOS!$N$6,tabela_registros[TIPO],DADOS!$AJ$4,tabela_registros[CATEGORIA],reservavariáveisconsolidadomai[[#This Row],[ATUAL]])</f>
        <v>0</v>
      </c>
      <c r="AA191" s="91">
        <f>SUMIFS(tabela_registros[VALOR],tabela_registros[MÊS],$AE$1,tabela_registros[DIA],reservavariáveisconsolidadomai[[#Headers],[23]],tabela_registros[REGISTRO],DADOS!$N$6,tabela_registros[TIPO],DADOS!$AJ$4,tabela_registros[CATEGORIA],reservavariáveisconsolidadomai[[#This Row],[ATUAL]])</f>
        <v>0</v>
      </c>
      <c r="AB191" s="91">
        <f>SUMIFS(tabela_registros[VALOR],tabela_registros[MÊS],$AE$1,tabela_registros[DIA],reservavariáveisconsolidadomai[[#Headers],[24]],tabela_registros[REGISTRO],DADOS!$N$6,tabela_registros[TIPO],DADOS!$AJ$4,tabela_registros[CATEGORIA],reservavariáveisconsolidadomai[[#This Row],[ATUAL]])</f>
        <v>0</v>
      </c>
      <c r="AC191" s="91">
        <f>SUMIFS(tabela_registros[VALOR],tabela_registros[MÊS],$AE$1,tabela_registros[DIA],reservavariáveisconsolidadomai[[#Headers],[25]],tabela_registros[REGISTRO],DADOS!$N$6,tabela_registros[TIPO],DADOS!$AJ$4,tabela_registros[CATEGORIA],reservavariáveisconsolidadomai[[#This Row],[ATUAL]])</f>
        <v>0</v>
      </c>
      <c r="AD191" s="91">
        <f>SUMIFS(tabela_registros[VALOR],tabela_registros[MÊS],$AE$1,tabela_registros[DIA],reservavariáveisconsolidadomai[[#Headers],[26]],tabela_registros[REGISTRO],DADOS!$N$6,tabela_registros[TIPO],DADOS!$AJ$4,tabela_registros[CATEGORIA],reservavariáveisconsolidadomai[[#This Row],[ATUAL]])</f>
        <v>0</v>
      </c>
      <c r="AE191" s="91">
        <f>SUMIFS(tabela_registros[VALOR],tabela_registros[MÊS],$AE$1,tabela_registros[DIA],reservavariáveisconsolidadomai[[#Headers],[27]],tabela_registros[REGISTRO],DADOS!$N$6,tabela_registros[TIPO],DADOS!$AJ$4,tabela_registros[CATEGORIA],reservavariáveisconsolidadomai[[#This Row],[ATUAL]])</f>
        <v>0</v>
      </c>
      <c r="AF191" s="91">
        <f>SUMIFS(tabela_registros[VALOR],tabela_registros[MÊS],$AE$1,tabela_registros[DIA],reservavariáveisconsolidadomai[[#Headers],[28]],tabela_registros[REGISTRO],DADOS!$N$6,tabela_registros[TIPO],DADOS!$AJ$4,tabela_registros[CATEGORIA],reservavariáveisconsolidadomai[[#This Row],[ATUAL]])</f>
        <v>0</v>
      </c>
      <c r="AG191" s="91">
        <f>SUMIFS(tabela_registros[VALOR],tabela_registros[MÊS],$AE$1,tabela_registros[DIA],reservavariáveisconsolidadomai[[#Headers],[29]],tabela_registros[REGISTRO],DADOS!$N$6,tabela_registros[TIPO],DADOS!$AJ$4,tabela_registros[CATEGORIA],reservavariáveisconsolidadomai[[#This Row],[ATUAL]])</f>
        <v>0</v>
      </c>
      <c r="AH191" s="91">
        <f>SUMIFS(tabela_registros[VALOR],tabela_registros[MÊS],$AE$1,tabela_registros[DIA],reservavariáveisconsolidadomai[[#Headers],[30]],tabela_registros[REGISTRO],DADOS!$N$6,tabela_registros[TIPO],DADOS!$AJ$4,tabela_registros[CATEGORIA],reservavariáveisconsolidadomai[[#This Row],[ATUAL]])</f>
        <v>0</v>
      </c>
      <c r="AI191" s="101">
        <f>SUMIFS(tabela_registros[VALOR],tabela_registros[MÊS],$AE$1,tabela_registros[DIA],reservavariáveisconsolidadomai[[#Headers],[31]],tabela_registros[REGISTRO],DADOS!$N$6,tabela_registros[TIPO],DADOS!$AJ$4,tabela_registros[CATEGORIA],reservavariáveisconsolidadomai[[#This Row],[ATUAL]])</f>
        <v>0</v>
      </c>
      <c r="AJ191" s="97">
        <f>SUM(reservavariáveisconsolidadomai[[#This Row],[1]:[31]])</f>
        <v>0</v>
      </c>
      <c r="AK191" s="25"/>
    </row>
    <row r="192" spans="2:37" ht="19.5" customHeight="1" thickTop="1" thickBot="1" x14ac:dyDescent="0.3">
      <c r="B192" s="28"/>
      <c r="C192" s="27" t="str">
        <f>DADOS!$AN$8</f>
        <v>📝 ETF</v>
      </c>
      <c r="D192" s="26" t="str">
        <f>IF(reservavariáveisconsolidadomai[[#This Row],[TOTAL (R$)]]=0,"",IF(OR(reservavariáveisconsolidadomai[[#This Row],[TOTAL (R$)]]=LARGE($AJ$187:$AJ$196,1),reservavariáveisconsolidadomai[[#This Row],[TOTAL (R$)]]=LARGE($AJ$187:$AJ$196,2)),DADOS!$I$11,""))</f>
        <v/>
      </c>
      <c r="E192" s="96">
        <f>SUMIFS(tabela_registros[VALOR],tabela_registros[MÊS],$AE$1,tabela_registros[DIA],reservavariáveisconsolidadomai[[#Headers],[1]],tabela_registros[REGISTRO],DADOS!$N$6,tabela_registros[TIPO],DADOS!$AJ$4,tabela_registros[CATEGORIA],reservavariáveisconsolidadomai[[#This Row],[ATUAL]])</f>
        <v>0</v>
      </c>
      <c r="F192" s="91">
        <f>SUMIFS(tabela_registros[VALOR],tabela_registros[MÊS],$AE$1,tabela_registros[DIA],reservavariáveisconsolidadomai[[#Headers],[2]],tabela_registros[REGISTRO],DADOS!$N$6,tabela_registros[TIPO],DADOS!$AJ$4,tabela_registros[CATEGORIA],reservavariáveisconsolidadomai[[#This Row],[ATUAL]])</f>
        <v>0</v>
      </c>
      <c r="G192" s="91">
        <f>SUMIFS(tabela_registros[VALOR],tabela_registros[MÊS],$AE$1,tabela_registros[DIA],reservavariáveisconsolidadomai[[#Headers],[3]],tabela_registros[REGISTRO],DADOS!$N$6,tabela_registros[TIPO],DADOS!$AJ$4,tabela_registros[CATEGORIA],reservavariáveisconsolidadomai[[#This Row],[ATUAL]])</f>
        <v>0</v>
      </c>
      <c r="H192" s="91">
        <f>SUMIFS(tabela_registros[VALOR],tabela_registros[MÊS],$AE$1,tabela_registros[DIA],reservavariáveisconsolidadomai[[#Headers],[4]],tabela_registros[REGISTRO],DADOS!$N$6,tabela_registros[TIPO],DADOS!$AJ$4,tabela_registros[CATEGORIA],reservavariáveisconsolidadomai[[#This Row],[ATUAL]])</f>
        <v>0</v>
      </c>
      <c r="I192" s="91">
        <f>SUMIFS(tabela_registros[VALOR],tabela_registros[MÊS],$AE$1,tabela_registros[DIA],reservavariáveisconsolidadomai[[#Headers],[5]],tabela_registros[REGISTRO],DADOS!$N$6,tabela_registros[TIPO],DADOS!$AJ$4,tabela_registros[CATEGORIA],reservavariáveisconsolidadomai[[#This Row],[ATUAL]])</f>
        <v>0</v>
      </c>
      <c r="J192" s="91">
        <f>SUMIFS(tabela_registros[VALOR],tabela_registros[MÊS],$AE$1,tabela_registros[DIA],reservavariáveisconsolidadomai[[#Headers],[6]],tabela_registros[REGISTRO],DADOS!$N$6,tabela_registros[TIPO],DADOS!$AJ$4,tabela_registros[CATEGORIA],reservavariáveisconsolidadomai[[#This Row],[ATUAL]])</f>
        <v>0</v>
      </c>
      <c r="K192" s="91">
        <f>SUMIFS(tabela_registros[VALOR],tabela_registros[MÊS],$AE$1,tabela_registros[DIA],reservavariáveisconsolidadomai[[#Headers],[7]],tabela_registros[REGISTRO],DADOS!$N$6,tabela_registros[TIPO],DADOS!$AJ$4,tabela_registros[CATEGORIA],reservavariáveisconsolidadomai[[#This Row],[ATUAL]])</f>
        <v>0</v>
      </c>
      <c r="L192" s="91">
        <f>SUMIFS(tabela_registros[VALOR],tabela_registros[MÊS],$AE$1,tabela_registros[DIA],reservavariáveisconsolidadomai[[#Headers],[8]],tabela_registros[REGISTRO],DADOS!$N$6,tabela_registros[TIPO],DADOS!$AJ$4,tabela_registros[CATEGORIA],reservavariáveisconsolidadomai[[#This Row],[ATUAL]])</f>
        <v>0</v>
      </c>
      <c r="M192" s="91">
        <f>SUMIFS(tabela_registros[VALOR],tabela_registros[MÊS],$AE$1,tabela_registros[DIA],reservavariáveisconsolidadomai[[#Headers],[9]],tabela_registros[REGISTRO],DADOS!$N$6,tabela_registros[TIPO],DADOS!$AJ$4,tabela_registros[CATEGORIA],reservavariáveisconsolidadomai[[#This Row],[ATUAL]])</f>
        <v>0</v>
      </c>
      <c r="N192" s="91">
        <f>SUMIFS(tabela_registros[VALOR],tabela_registros[MÊS],$AE$1,tabela_registros[DIA],reservavariáveisconsolidadomai[[#Headers],[10]],tabela_registros[REGISTRO],DADOS!$N$6,tabela_registros[TIPO],DADOS!$AJ$4,tabela_registros[CATEGORIA],reservavariáveisconsolidadomai[[#This Row],[ATUAL]])</f>
        <v>0</v>
      </c>
      <c r="O192" s="91">
        <f>SUMIFS(tabela_registros[VALOR],tabela_registros[MÊS],$AE$1,tabela_registros[DIA],reservavariáveisconsolidadomai[[#Headers],[11]],tabela_registros[REGISTRO],DADOS!$N$6,tabela_registros[TIPO],DADOS!$AJ$4,tabela_registros[CATEGORIA],reservavariáveisconsolidadomai[[#This Row],[ATUAL]])</f>
        <v>0</v>
      </c>
      <c r="P192" s="91">
        <f>SUMIFS(tabela_registros[VALOR],tabela_registros[MÊS],$AE$1,tabela_registros[DIA],reservavariáveisconsolidadomai[[#Headers],[12]],tabela_registros[REGISTRO],DADOS!$N$6,tabela_registros[TIPO],DADOS!$AJ$4,tabela_registros[CATEGORIA],reservavariáveisconsolidadomai[[#This Row],[ATUAL]])</f>
        <v>0</v>
      </c>
      <c r="Q192" s="91">
        <f>SUMIFS(tabela_registros[VALOR],tabela_registros[MÊS],$AE$1,tabela_registros[DIA],reservavariáveisconsolidadomai[[#Headers],[13]],tabela_registros[REGISTRO],DADOS!$N$6,tabela_registros[TIPO],DADOS!$AJ$4,tabela_registros[CATEGORIA],reservavariáveisconsolidadomai[[#This Row],[ATUAL]])</f>
        <v>0</v>
      </c>
      <c r="R192" s="91">
        <f>SUMIFS(tabela_registros[VALOR],tabela_registros[MÊS],$AE$1,tabela_registros[DIA],reservavariáveisconsolidadomai[[#Headers],[14]],tabela_registros[REGISTRO],DADOS!$N$6,tabela_registros[TIPO],DADOS!$AJ$4,tabela_registros[CATEGORIA],reservavariáveisconsolidadomai[[#This Row],[ATUAL]])</f>
        <v>0</v>
      </c>
      <c r="S192" s="91">
        <f>SUMIFS(tabela_registros[VALOR],tabela_registros[MÊS],$AE$1,tabela_registros[DIA],reservavariáveisconsolidadomai[[#Headers],[15]],tabela_registros[REGISTRO],DADOS!$N$6,tabela_registros[TIPO],DADOS!$AJ$4,tabela_registros[CATEGORIA],reservavariáveisconsolidadomai[[#This Row],[ATUAL]])</f>
        <v>0</v>
      </c>
      <c r="T192" s="91">
        <f>SUMIFS(tabela_registros[VALOR],tabela_registros[MÊS],$AE$1,tabela_registros[DIA],reservavariáveisconsolidadomai[[#Headers],[16]],tabela_registros[REGISTRO],DADOS!$N$6,tabela_registros[TIPO],DADOS!$AJ$4,tabela_registros[CATEGORIA],reservavariáveisconsolidadomai[[#This Row],[ATUAL]])</f>
        <v>0</v>
      </c>
      <c r="U192" s="91">
        <f>SUMIFS(tabela_registros[VALOR],tabela_registros[MÊS],$AE$1,tabela_registros[DIA],reservavariáveisconsolidadomai[[#Headers],[17]],tabela_registros[REGISTRO],DADOS!$N$6,tabela_registros[TIPO],DADOS!$AJ$4,tabela_registros[CATEGORIA],reservavariáveisconsolidadomai[[#This Row],[ATUAL]])</f>
        <v>0</v>
      </c>
      <c r="V192" s="91">
        <f>SUMIFS(tabela_registros[VALOR],tabela_registros[MÊS],$AE$1,tabela_registros[DIA],reservavariáveisconsolidadomai[[#Headers],[18]],tabela_registros[REGISTRO],DADOS!$N$6,tabela_registros[TIPO],DADOS!$AJ$4,tabela_registros[CATEGORIA],reservavariáveisconsolidadomai[[#This Row],[ATUAL]])</f>
        <v>0</v>
      </c>
      <c r="W192" s="91">
        <f>SUMIFS(tabela_registros[VALOR],tabela_registros[MÊS],$AE$1,tabela_registros[DIA],reservavariáveisconsolidadomai[[#Headers],[19]],tabela_registros[REGISTRO],DADOS!$N$6,tabela_registros[TIPO],DADOS!$AJ$4,tabela_registros[CATEGORIA],reservavariáveisconsolidadomai[[#This Row],[ATUAL]])</f>
        <v>0</v>
      </c>
      <c r="X192" s="91">
        <f>SUMIFS(tabela_registros[VALOR],tabela_registros[MÊS],$AE$1,tabela_registros[DIA],reservavariáveisconsolidadomai[[#Headers],[20]],tabela_registros[REGISTRO],DADOS!$N$6,tabela_registros[TIPO],DADOS!$AJ$4,tabela_registros[CATEGORIA],reservavariáveisconsolidadomai[[#This Row],[ATUAL]])</f>
        <v>0</v>
      </c>
      <c r="Y192" s="91">
        <f>SUMIFS(tabela_registros[VALOR],tabela_registros[MÊS],$AE$1,tabela_registros[DIA],reservavariáveisconsolidadomai[[#Headers],[21]],tabela_registros[REGISTRO],DADOS!$N$6,tabela_registros[TIPO],DADOS!$AJ$4,tabela_registros[CATEGORIA],reservavariáveisconsolidadomai[[#This Row],[ATUAL]])</f>
        <v>0</v>
      </c>
      <c r="Z192" s="91">
        <f>SUMIFS(tabela_registros[VALOR],tabela_registros[MÊS],$AE$1,tabela_registros[DIA],reservavariáveisconsolidadomai[[#Headers],[22]],tabela_registros[REGISTRO],DADOS!$N$6,tabela_registros[TIPO],DADOS!$AJ$4,tabela_registros[CATEGORIA],reservavariáveisconsolidadomai[[#This Row],[ATUAL]])</f>
        <v>0</v>
      </c>
      <c r="AA192" s="91">
        <f>SUMIFS(tabela_registros[VALOR],tabela_registros[MÊS],$AE$1,tabela_registros[DIA],reservavariáveisconsolidadomai[[#Headers],[23]],tabela_registros[REGISTRO],DADOS!$N$6,tabela_registros[TIPO],DADOS!$AJ$4,tabela_registros[CATEGORIA],reservavariáveisconsolidadomai[[#This Row],[ATUAL]])</f>
        <v>0</v>
      </c>
      <c r="AB192" s="91">
        <f>SUMIFS(tabela_registros[VALOR],tabela_registros[MÊS],$AE$1,tabela_registros[DIA],reservavariáveisconsolidadomai[[#Headers],[24]],tabela_registros[REGISTRO],DADOS!$N$6,tabela_registros[TIPO],DADOS!$AJ$4,tabela_registros[CATEGORIA],reservavariáveisconsolidadomai[[#This Row],[ATUAL]])</f>
        <v>0</v>
      </c>
      <c r="AC192" s="91">
        <f>SUMIFS(tabela_registros[VALOR],tabela_registros[MÊS],$AE$1,tabela_registros[DIA],reservavariáveisconsolidadomai[[#Headers],[25]],tabela_registros[REGISTRO],DADOS!$N$6,tabela_registros[TIPO],DADOS!$AJ$4,tabela_registros[CATEGORIA],reservavariáveisconsolidadomai[[#This Row],[ATUAL]])</f>
        <v>0</v>
      </c>
      <c r="AD192" s="91">
        <f>SUMIFS(tabela_registros[VALOR],tabela_registros[MÊS],$AE$1,tabela_registros[DIA],reservavariáveisconsolidadomai[[#Headers],[26]],tabela_registros[REGISTRO],DADOS!$N$6,tabela_registros[TIPO],DADOS!$AJ$4,tabela_registros[CATEGORIA],reservavariáveisconsolidadomai[[#This Row],[ATUAL]])</f>
        <v>0</v>
      </c>
      <c r="AE192" s="91">
        <f>SUMIFS(tabela_registros[VALOR],tabela_registros[MÊS],$AE$1,tabela_registros[DIA],reservavariáveisconsolidadomai[[#Headers],[27]],tabela_registros[REGISTRO],DADOS!$N$6,tabela_registros[TIPO],DADOS!$AJ$4,tabela_registros[CATEGORIA],reservavariáveisconsolidadomai[[#This Row],[ATUAL]])</f>
        <v>0</v>
      </c>
      <c r="AF192" s="91">
        <f>SUMIFS(tabela_registros[VALOR],tabela_registros[MÊS],$AE$1,tabela_registros[DIA],reservavariáveisconsolidadomai[[#Headers],[28]],tabela_registros[REGISTRO],DADOS!$N$6,tabela_registros[TIPO],DADOS!$AJ$4,tabela_registros[CATEGORIA],reservavariáveisconsolidadomai[[#This Row],[ATUAL]])</f>
        <v>0</v>
      </c>
      <c r="AG192" s="91">
        <f>SUMIFS(tabela_registros[VALOR],tabela_registros[MÊS],$AE$1,tabela_registros[DIA],reservavariáveisconsolidadomai[[#Headers],[29]],tabela_registros[REGISTRO],DADOS!$N$6,tabela_registros[TIPO],DADOS!$AJ$4,tabela_registros[CATEGORIA],reservavariáveisconsolidadomai[[#This Row],[ATUAL]])</f>
        <v>0</v>
      </c>
      <c r="AH192" s="91">
        <f>SUMIFS(tabela_registros[VALOR],tabela_registros[MÊS],$AE$1,tabela_registros[DIA],reservavariáveisconsolidadomai[[#Headers],[30]],tabela_registros[REGISTRO],DADOS!$N$6,tabela_registros[TIPO],DADOS!$AJ$4,tabela_registros[CATEGORIA],reservavariáveisconsolidadomai[[#This Row],[ATUAL]])</f>
        <v>0</v>
      </c>
      <c r="AI192" s="101">
        <f>SUMIFS(tabela_registros[VALOR],tabela_registros[MÊS],$AE$1,tabela_registros[DIA],reservavariáveisconsolidadomai[[#Headers],[31]],tabela_registros[REGISTRO],DADOS!$N$6,tabela_registros[TIPO],DADOS!$AJ$4,tabela_registros[CATEGORIA],reservavariáveisconsolidadomai[[#This Row],[ATUAL]])</f>
        <v>0</v>
      </c>
      <c r="AJ192" s="97">
        <f>SUM(reservavariáveisconsolidadomai[[#This Row],[1]:[31]])</f>
        <v>0</v>
      </c>
      <c r="AK192" s="25"/>
    </row>
    <row r="193" spans="2:37" ht="19.5" customHeight="1" thickTop="1" thickBot="1" x14ac:dyDescent="0.3">
      <c r="B193" s="28"/>
      <c r="C193" s="27" t="str">
        <f>DADOS!$AN$9</f>
        <v>📝 EXTERIOR</v>
      </c>
      <c r="D193" s="26" t="str">
        <f>IF(reservavariáveisconsolidadomai[[#This Row],[TOTAL (R$)]]=0,"",IF(OR(reservavariáveisconsolidadomai[[#This Row],[TOTAL (R$)]]=LARGE($AJ$187:$AJ$196,1),reservavariáveisconsolidadomai[[#This Row],[TOTAL (R$)]]=LARGE($AJ$187:$AJ$196,2)),DADOS!$I$11,""))</f>
        <v/>
      </c>
      <c r="E193" s="96">
        <f>SUMIFS(tabela_registros[VALOR],tabela_registros[MÊS],$AE$1,tabela_registros[DIA],reservavariáveisconsolidadomai[[#Headers],[1]],tabela_registros[REGISTRO],DADOS!$N$6,tabela_registros[TIPO],DADOS!$AJ$4,tabela_registros[CATEGORIA],reservavariáveisconsolidadomai[[#This Row],[ATUAL]])</f>
        <v>0</v>
      </c>
      <c r="F193" s="91">
        <f>SUMIFS(tabela_registros[VALOR],tabela_registros[MÊS],$AE$1,tabela_registros[DIA],reservavariáveisconsolidadomai[[#Headers],[2]],tabela_registros[REGISTRO],DADOS!$N$6,tabela_registros[TIPO],DADOS!$AJ$4,tabela_registros[CATEGORIA],reservavariáveisconsolidadomai[[#This Row],[ATUAL]])</f>
        <v>0</v>
      </c>
      <c r="G193" s="91">
        <f>SUMIFS(tabela_registros[VALOR],tabela_registros[MÊS],$AE$1,tabela_registros[DIA],reservavariáveisconsolidadomai[[#Headers],[3]],tabela_registros[REGISTRO],DADOS!$N$6,tabela_registros[TIPO],DADOS!$AJ$4,tabela_registros[CATEGORIA],reservavariáveisconsolidadomai[[#This Row],[ATUAL]])</f>
        <v>0</v>
      </c>
      <c r="H193" s="91">
        <f>SUMIFS(tabela_registros[VALOR],tabela_registros[MÊS],$AE$1,tabela_registros[DIA],reservavariáveisconsolidadomai[[#Headers],[4]],tabela_registros[REGISTRO],DADOS!$N$6,tabela_registros[TIPO],DADOS!$AJ$4,tabela_registros[CATEGORIA],reservavariáveisconsolidadomai[[#This Row],[ATUAL]])</f>
        <v>0</v>
      </c>
      <c r="I193" s="91">
        <f>SUMIFS(tabela_registros[VALOR],tabela_registros[MÊS],$AE$1,tabela_registros[DIA],reservavariáveisconsolidadomai[[#Headers],[5]],tabela_registros[REGISTRO],DADOS!$N$6,tabela_registros[TIPO],DADOS!$AJ$4,tabela_registros[CATEGORIA],reservavariáveisconsolidadomai[[#This Row],[ATUAL]])</f>
        <v>0</v>
      </c>
      <c r="J193" s="91">
        <f>SUMIFS(tabela_registros[VALOR],tabela_registros[MÊS],$AE$1,tabela_registros[DIA],reservavariáveisconsolidadomai[[#Headers],[6]],tabela_registros[REGISTRO],DADOS!$N$6,tabela_registros[TIPO],DADOS!$AJ$4,tabela_registros[CATEGORIA],reservavariáveisconsolidadomai[[#This Row],[ATUAL]])</f>
        <v>0</v>
      </c>
      <c r="K193" s="91">
        <f>SUMIFS(tabela_registros[VALOR],tabela_registros[MÊS],$AE$1,tabela_registros[DIA],reservavariáveisconsolidadomai[[#Headers],[7]],tabela_registros[REGISTRO],DADOS!$N$6,tabela_registros[TIPO],DADOS!$AJ$4,tabela_registros[CATEGORIA],reservavariáveisconsolidadomai[[#This Row],[ATUAL]])</f>
        <v>0</v>
      </c>
      <c r="L193" s="91">
        <f>SUMIFS(tabela_registros[VALOR],tabela_registros[MÊS],$AE$1,tabela_registros[DIA],reservavariáveisconsolidadomai[[#Headers],[8]],tabela_registros[REGISTRO],DADOS!$N$6,tabela_registros[TIPO],DADOS!$AJ$4,tabela_registros[CATEGORIA],reservavariáveisconsolidadomai[[#This Row],[ATUAL]])</f>
        <v>0</v>
      </c>
      <c r="M193" s="91">
        <f>SUMIFS(tabela_registros[VALOR],tabela_registros[MÊS],$AE$1,tabela_registros[DIA],reservavariáveisconsolidadomai[[#Headers],[9]],tabela_registros[REGISTRO],DADOS!$N$6,tabela_registros[TIPO],DADOS!$AJ$4,tabela_registros[CATEGORIA],reservavariáveisconsolidadomai[[#This Row],[ATUAL]])</f>
        <v>0</v>
      </c>
      <c r="N193" s="91">
        <f>SUMIFS(tabela_registros[VALOR],tabela_registros[MÊS],$AE$1,tabela_registros[DIA],reservavariáveisconsolidadomai[[#Headers],[10]],tabela_registros[REGISTRO],DADOS!$N$6,tabela_registros[TIPO],DADOS!$AJ$4,tabela_registros[CATEGORIA],reservavariáveisconsolidadomai[[#This Row],[ATUAL]])</f>
        <v>0</v>
      </c>
      <c r="O193" s="91">
        <f>SUMIFS(tabela_registros[VALOR],tabela_registros[MÊS],$AE$1,tabela_registros[DIA],reservavariáveisconsolidadomai[[#Headers],[11]],tabela_registros[REGISTRO],DADOS!$N$6,tabela_registros[TIPO],DADOS!$AJ$4,tabela_registros[CATEGORIA],reservavariáveisconsolidadomai[[#This Row],[ATUAL]])</f>
        <v>0</v>
      </c>
      <c r="P193" s="91">
        <f>SUMIFS(tabela_registros[VALOR],tabela_registros[MÊS],$AE$1,tabela_registros[DIA],reservavariáveisconsolidadomai[[#Headers],[12]],tabela_registros[REGISTRO],DADOS!$N$6,tabela_registros[TIPO],DADOS!$AJ$4,tabela_registros[CATEGORIA],reservavariáveisconsolidadomai[[#This Row],[ATUAL]])</f>
        <v>0</v>
      </c>
      <c r="Q193" s="91">
        <f>SUMIFS(tabela_registros[VALOR],tabela_registros[MÊS],$AE$1,tabela_registros[DIA],reservavariáveisconsolidadomai[[#Headers],[13]],tabela_registros[REGISTRO],DADOS!$N$6,tabela_registros[TIPO],DADOS!$AJ$4,tabela_registros[CATEGORIA],reservavariáveisconsolidadomai[[#This Row],[ATUAL]])</f>
        <v>0</v>
      </c>
      <c r="R193" s="91">
        <f>SUMIFS(tabela_registros[VALOR],tabela_registros[MÊS],$AE$1,tabela_registros[DIA],reservavariáveisconsolidadomai[[#Headers],[14]],tabela_registros[REGISTRO],DADOS!$N$6,tabela_registros[TIPO],DADOS!$AJ$4,tabela_registros[CATEGORIA],reservavariáveisconsolidadomai[[#This Row],[ATUAL]])</f>
        <v>0</v>
      </c>
      <c r="S193" s="91">
        <f>SUMIFS(tabela_registros[VALOR],tabela_registros[MÊS],$AE$1,tabela_registros[DIA],reservavariáveisconsolidadomai[[#Headers],[15]],tabela_registros[REGISTRO],DADOS!$N$6,tabela_registros[TIPO],DADOS!$AJ$4,tabela_registros[CATEGORIA],reservavariáveisconsolidadomai[[#This Row],[ATUAL]])</f>
        <v>0</v>
      </c>
      <c r="T193" s="91">
        <f>SUMIFS(tabela_registros[VALOR],tabela_registros[MÊS],$AE$1,tabela_registros[DIA],reservavariáveisconsolidadomai[[#Headers],[16]],tabela_registros[REGISTRO],DADOS!$N$6,tabela_registros[TIPO],DADOS!$AJ$4,tabela_registros[CATEGORIA],reservavariáveisconsolidadomai[[#This Row],[ATUAL]])</f>
        <v>0</v>
      </c>
      <c r="U193" s="91">
        <f>SUMIFS(tabela_registros[VALOR],tabela_registros[MÊS],$AE$1,tabela_registros[DIA],reservavariáveisconsolidadomai[[#Headers],[17]],tabela_registros[REGISTRO],DADOS!$N$6,tabela_registros[TIPO],DADOS!$AJ$4,tabela_registros[CATEGORIA],reservavariáveisconsolidadomai[[#This Row],[ATUAL]])</f>
        <v>0</v>
      </c>
      <c r="V193" s="91">
        <f>SUMIFS(tabela_registros[VALOR],tabela_registros[MÊS],$AE$1,tabela_registros[DIA],reservavariáveisconsolidadomai[[#Headers],[18]],tabela_registros[REGISTRO],DADOS!$N$6,tabela_registros[TIPO],DADOS!$AJ$4,tabela_registros[CATEGORIA],reservavariáveisconsolidadomai[[#This Row],[ATUAL]])</f>
        <v>0</v>
      </c>
      <c r="W193" s="91">
        <f>SUMIFS(tabela_registros[VALOR],tabela_registros[MÊS],$AE$1,tabela_registros[DIA],reservavariáveisconsolidadomai[[#Headers],[19]],tabela_registros[REGISTRO],DADOS!$N$6,tabela_registros[TIPO],DADOS!$AJ$4,tabela_registros[CATEGORIA],reservavariáveisconsolidadomai[[#This Row],[ATUAL]])</f>
        <v>0</v>
      </c>
      <c r="X193" s="91">
        <f>SUMIFS(tabela_registros[VALOR],tabela_registros[MÊS],$AE$1,tabela_registros[DIA],reservavariáveisconsolidadomai[[#Headers],[20]],tabela_registros[REGISTRO],DADOS!$N$6,tabela_registros[TIPO],DADOS!$AJ$4,tabela_registros[CATEGORIA],reservavariáveisconsolidadomai[[#This Row],[ATUAL]])</f>
        <v>0</v>
      </c>
      <c r="Y193" s="91">
        <f>SUMIFS(tabela_registros[VALOR],tabela_registros[MÊS],$AE$1,tabela_registros[DIA],reservavariáveisconsolidadomai[[#Headers],[21]],tabela_registros[REGISTRO],DADOS!$N$6,tabela_registros[TIPO],DADOS!$AJ$4,tabela_registros[CATEGORIA],reservavariáveisconsolidadomai[[#This Row],[ATUAL]])</f>
        <v>0</v>
      </c>
      <c r="Z193" s="91">
        <f>SUMIFS(tabela_registros[VALOR],tabela_registros[MÊS],$AE$1,tabela_registros[DIA],reservavariáveisconsolidadomai[[#Headers],[22]],tabela_registros[REGISTRO],DADOS!$N$6,tabela_registros[TIPO],DADOS!$AJ$4,tabela_registros[CATEGORIA],reservavariáveisconsolidadomai[[#This Row],[ATUAL]])</f>
        <v>0</v>
      </c>
      <c r="AA193" s="91">
        <f>SUMIFS(tabela_registros[VALOR],tabela_registros[MÊS],$AE$1,tabela_registros[DIA],reservavariáveisconsolidadomai[[#Headers],[23]],tabela_registros[REGISTRO],DADOS!$N$6,tabela_registros[TIPO],DADOS!$AJ$4,tabela_registros[CATEGORIA],reservavariáveisconsolidadomai[[#This Row],[ATUAL]])</f>
        <v>0</v>
      </c>
      <c r="AB193" s="91">
        <f>SUMIFS(tabela_registros[VALOR],tabela_registros[MÊS],$AE$1,tabela_registros[DIA],reservavariáveisconsolidadomai[[#Headers],[24]],tabela_registros[REGISTRO],DADOS!$N$6,tabela_registros[TIPO],DADOS!$AJ$4,tabela_registros[CATEGORIA],reservavariáveisconsolidadomai[[#This Row],[ATUAL]])</f>
        <v>0</v>
      </c>
      <c r="AC193" s="91">
        <f>SUMIFS(tabela_registros[VALOR],tabela_registros[MÊS],$AE$1,tabela_registros[DIA],reservavariáveisconsolidadomai[[#Headers],[25]],tabela_registros[REGISTRO],DADOS!$N$6,tabela_registros[TIPO],DADOS!$AJ$4,tabela_registros[CATEGORIA],reservavariáveisconsolidadomai[[#This Row],[ATUAL]])</f>
        <v>0</v>
      </c>
      <c r="AD193" s="91">
        <f>SUMIFS(tabela_registros[VALOR],tabela_registros[MÊS],$AE$1,tabela_registros[DIA],reservavariáveisconsolidadomai[[#Headers],[26]],tabela_registros[REGISTRO],DADOS!$N$6,tabela_registros[TIPO],DADOS!$AJ$4,tabela_registros[CATEGORIA],reservavariáveisconsolidadomai[[#This Row],[ATUAL]])</f>
        <v>0</v>
      </c>
      <c r="AE193" s="91">
        <f>SUMIFS(tabela_registros[VALOR],tabela_registros[MÊS],$AE$1,tabela_registros[DIA],reservavariáveisconsolidadomai[[#Headers],[27]],tabela_registros[REGISTRO],DADOS!$N$6,tabela_registros[TIPO],DADOS!$AJ$4,tabela_registros[CATEGORIA],reservavariáveisconsolidadomai[[#This Row],[ATUAL]])</f>
        <v>0</v>
      </c>
      <c r="AF193" s="91">
        <f>SUMIFS(tabela_registros[VALOR],tabela_registros[MÊS],$AE$1,tabela_registros[DIA],reservavariáveisconsolidadomai[[#Headers],[28]],tabela_registros[REGISTRO],DADOS!$N$6,tabela_registros[TIPO],DADOS!$AJ$4,tabela_registros[CATEGORIA],reservavariáveisconsolidadomai[[#This Row],[ATUAL]])</f>
        <v>0</v>
      </c>
      <c r="AG193" s="91">
        <f>SUMIFS(tabela_registros[VALOR],tabela_registros[MÊS],$AE$1,tabela_registros[DIA],reservavariáveisconsolidadomai[[#Headers],[29]],tabela_registros[REGISTRO],DADOS!$N$6,tabela_registros[TIPO],DADOS!$AJ$4,tabela_registros[CATEGORIA],reservavariáveisconsolidadomai[[#This Row],[ATUAL]])</f>
        <v>0</v>
      </c>
      <c r="AH193" s="91">
        <f>SUMIFS(tabela_registros[VALOR],tabela_registros[MÊS],$AE$1,tabela_registros[DIA],reservavariáveisconsolidadomai[[#Headers],[30]],tabela_registros[REGISTRO],DADOS!$N$6,tabela_registros[TIPO],DADOS!$AJ$4,tabela_registros[CATEGORIA],reservavariáveisconsolidadomai[[#This Row],[ATUAL]])</f>
        <v>0</v>
      </c>
      <c r="AI193" s="101">
        <f>SUMIFS(tabela_registros[VALOR],tabela_registros[MÊS],$AE$1,tabela_registros[DIA],reservavariáveisconsolidadomai[[#Headers],[31]],tabela_registros[REGISTRO],DADOS!$N$6,tabela_registros[TIPO],DADOS!$AJ$4,tabela_registros[CATEGORIA],reservavariáveisconsolidadomai[[#This Row],[ATUAL]])</f>
        <v>0</v>
      </c>
      <c r="AJ193" s="97">
        <f>SUM(reservavariáveisconsolidadomai[[#This Row],[1]:[31]])</f>
        <v>0</v>
      </c>
      <c r="AK193" s="25"/>
    </row>
    <row r="194" spans="2:37" ht="19.5" customHeight="1" thickTop="1" thickBot="1" x14ac:dyDescent="0.3">
      <c r="B194" s="28"/>
      <c r="C194" s="27" t="str">
        <f>DADOS!$AN$10</f>
        <v>📝 FII</v>
      </c>
      <c r="D194" s="26" t="str">
        <f>IF(reservavariáveisconsolidadomai[[#This Row],[TOTAL (R$)]]=0,"",IF(OR(reservavariáveisconsolidadomai[[#This Row],[TOTAL (R$)]]=LARGE($AJ$187:$AJ$196,1),reservavariáveisconsolidadomai[[#This Row],[TOTAL (R$)]]=LARGE($AJ$187:$AJ$196,2)),DADOS!$I$11,""))</f>
        <v/>
      </c>
      <c r="E194" s="96">
        <f>SUMIFS(tabela_registros[VALOR],tabela_registros[MÊS],$AE$1,tabela_registros[DIA],reservavariáveisconsolidadomai[[#Headers],[1]],tabela_registros[REGISTRO],DADOS!$N$6,tabela_registros[TIPO],DADOS!$AJ$4,tabela_registros[CATEGORIA],reservavariáveisconsolidadomai[[#This Row],[ATUAL]])</f>
        <v>0</v>
      </c>
      <c r="F194" s="91">
        <f>SUMIFS(tabela_registros[VALOR],tabela_registros[MÊS],$AE$1,tabela_registros[DIA],reservavariáveisconsolidadomai[[#Headers],[2]],tabela_registros[REGISTRO],DADOS!$N$6,tabela_registros[TIPO],DADOS!$AJ$4,tabela_registros[CATEGORIA],reservavariáveisconsolidadomai[[#This Row],[ATUAL]])</f>
        <v>0</v>
      </c>
      <c r="G194" s="91">
        <f>SUMIFS(tabela_registros[VALOR],tabela_registros[MÊS],$AE$1,tabela_registros[DIA],reservavariáveisconsolidadomai[[#Headers],[3]],tabela_registros[REGISTRO],DADOS!$N$6,tabela_registros[TIPO],DADOS!$AJ$4,tabela_registros[CATEGORIA],reservavariáveisconsolidadomai[[#This Row],[ATUAL]])</f>
        <v>0</v>
      </c>
      <c r="H194" s="91">
        <f>SUMIFS(tabela_registros[VALOR],tabela_registros[MÊS],$AE$1,tabela_registros[DIA],reservavariáveisconsolidadomai[[#Headers],[4]],tabela_registros[REGISTRO],DADOS!$N$6,tabela_registros[TIPO],DADOS!$AJ$4,tabela_registros[CATEGORIA],reservavariáveisconsolidadomai[[#This Row],[ATUAL]])</f>
        <v>0</v>
      </c>
      <c r="I194" s="91">
        <f>SUMIFS(tabela_registros[VALOR],tabela_registros[MÊS],$AE$1,tabela_registros[DIA],reservavariáveisconsolidadomai[[#Headers],[5]],tabela_registros[REGISTRO],DADOS!$N$6,tabela_registros[TIPO],DADOS!$AJ$4,tabela_registros[CATEGORIA],reservavariáveisconsolidadomai[[#This Row],[ATUAL]])</f>
        <v>0</v>
      </c>
      <c r="J194" s="91">
        <f>SUMIFS(tabela_registros[VALOR],tabela_registros[MÊS],$AE$1,tabela_registros[DIA],reservavariáveisconsolidadomai[[#Headers],[6]],tabela_registros[REGISTRO],DADOS!$N$6,tabela_registros[TIPO],DADOS!$AJ$4,tabela_registros[CATEGORIA],reservavariáveisconsolidadomai[[#This Row],[ATUAL]])</f>
        <v>0</v>
      </c>
      <c r="K194" s="91">
        <f>SUMIFS(tabela_registros[VALOR],tabela_registros[MÊS],$AE$1,tabela_registros[DIA],reservavariáveisconsolidadomai[[#Headers],[7]],tabela_registros[REGISTRO],DADOS!$N$6,tabela_registros[TIPO],DADOS!$AJ$4,tabela_registros[CATEGORIA],reservavariáveisconsolidadomai[[#This Row],[ATUAL]])</f>
        <v>0</v>
      </c>
      <c r="L194" s="91">
        <f>SUMIFS(tabela_registros[VALOR],tabela_registros[MÊS],$AE$1,tabela_registros[DIA],reservavariáveisconsolidadomai[[#Headers],[8]],tabela_registros[REGISTRO],DADOS!$N$6,tabela_registros[TIPO],DADOS!$AJ$4,tabela_registros[CATEGORIA],reservavariáveisconsolidadomai[[#This Row],[ATUAL]])</f>
        <v>0</v>
      </c>
      <c r="M194" s="91">
        <f>SUMIFS(tabela_registros[VALOR],tabela_registros[MÊS],$AE$1,tabela_registros[DIA],reservavariáveisconsolidadomai[[#Headers],[9]],tabela_registros[REGISTRO],DADOS!$N$6,tabela_registros[TIPO],DADOS!$AJ$4,tabela_registros[CATEGORIA],reservavariáveisconsolidadomai[[#This Row],[ATUAL]])</f>
        <v>0</v>
      </c>
      <c r="N194" s="91">
        <f>SUMIFS(tabela_registros[VALOR],tabela_registros[MÊS],$AE$1,tabela_registros[DIA],reservavariáveisconsolidadomai[[#Headers],[10]],tabela_registros[REGISTRO],DADOS!$N$6,tabela_registros[TIPO],DADOS!$AJ$4,tabela_registros[CATEGORIA],reservavariáveisconsolidadomai[[#This Row],[ATUAL]])</f>
        <v>0</v>
      </c>
      <c r="O194" s="91">
        <f>SUMIFS(tabela_registros[VALOR],tabela_registros[MÊS],$AE$1,tabela_registros[DIA],reservavariáveisconsolidadomai[[#Headers],[11]],tabela_registros[REGISTRO],DADOS!$N$6,tabela_registros[TIPO],DADOS!$AJ$4,tabela_registros[CATEGORIA],reservavariáveisconsolidadomai[[#This Row],[ATUAL]])</f>
        <v>0</v>
      </c>
      <c r="P194" s="91">
        <f>SUMIFS(tabela_registros[VALOR],tabela_registros[MÊS],$AE$1,tabela_registros[DIA],reservavariáveisconsolidadomai[[#Headers],[12]],tabela_registros[REGISTRO],DADOS!$N$6,tabela_registros[TIPO],DADOS!$AJ$4,tabela_registros[CATEGORIA],reservavariáveisconsolidadomai[[#This Row],[ATUAL]])</f>
        <v>0</v>
      </c>
      <c r="Q194" s="91">
        <f>SUMIFS(tabela_registros[VALOR],tabela_registros[MÊS],$AE$1,tabela_registros[DIA],reservavariáveisconsolidadomai[[#Headers],[13]],tabela_registros[REGISTRO],DADOS!$N$6,tabela_registros[TIPO],DADOS!$AJ$4,tabela_registros[CATEGORIA],reservavariáveisconsolidadomai[[#This Row],[ATUAL]])</f>
        <v>0</v>
      </c>
      <c r="R194" s="91">
        <f>SUMIFS(tabela_registros[VALOR],tabela_registros[MÊS],$AE$1,tabela_registros[DIA],reservavariáveisconsolidadomai[[#Headers],[14]],tabela_registros[REGISTRO],DADOS!$N$6,tabela_registros[TIPO],DADOS!$AJ$4,tabela_registros[CATEGORIA],reservavariáveisconsolidadomai[[#This Row],[ATUAL]])</f>
        <v>0</v>
      </c>
      <c r="S194" s="91">
        <f>SUMIFS(tabela_registros[VALOR],tabela_registros[MÊS],$AE$1,tabela_registros[DIA],reservavariáveisconsolidadomai[[#Headers],[15]],tabela_registros[REGISTRO],DADOS!$N$6,tabela_registros[TIPO],DADOS!$AJ$4,tabela_registros[CATEGORIA],reservavariáveisconsolidadomai[[#This Row],[ATUAL]])</f>
        <v>0</v>
      </c>
      <c r="T194" s="91">
        <f>SUMIFS(tabela_registros[VALOR],tabela_registros[MÊS],$AE$1,tabela_registros[DIA],reservavariáveisconsolidadomai[[#Headers],[16]],tabela_registros[REGISTRO],DADOS!$N$6,tabela_registros[TIPO],DADOS!$AJ$4,tabela_registros[CATEGORIA],reservavariáveisconsolidadomai[[#This Row],[ATUAL]])</f>
        <v>0</v>
      </c>
      <c r="U194" s="91">
        <f>SUMIFS(tabela_registros[VALOR],tabela_registros[MÊS],$AE$1,tabela_registros[DIA],reservavariáveisconsolidadomai[[#Headers],[17]],tabela_registros[REGISTRO],DADOS!$N$6,tabela_registros[TIPO],DADOS!$AJ$4,tabela_registros[CATEGORIA],reservavariáveisconsolidadomai[[#This Row],[ATUAL]])</f>
        <v>0</v>
      </c>
      <c r="V194" s="91">
        <f>SUMIFS(tabela_registros[VALOR],tabela_registros[MÊS],$AE$1,tabela_registros[DIA],reservavariáveisconsolidadomai[[#Headers],[18]],tabela_registros[REGISTRO],DADOS!$N$6,tabela_registros[TIPO],DADOS!$AJ$4,tabela_registros[CATEGORIA],reservavariáveisconsolidadomai[[#This Row],[ATUAL]])</f>
        <v>0</v>
      </c>
      <c r="W194" s="91">
        <f>SUMIFS(tabela_registros[VALOR],tabela_registros[MÊS],$AE$1,tabela_registros[DIA],reservavariáveisconsolidadomai[[#Headers],[19]],tabela_registros[REGISTRO],DADOS!$N$6,tabela_registros[TIPO],DADOS!$AJ$4,tabela_registros[CATEGORIA],reservavariáveisconsolidadomai[[#This Row],[ATUAL]])</f>
        <v>0</v>
      </c>
      <c r="X194" s="91">
        <f>SUMIFS(tabela_registros[VALOR],tabela_registros[MÊS],$AE$1,tabela_registros[DIA],reservavariáveisconsolidadomai[[#Headers],[20]],tabela_registros[REGISTRO],DADOS!$N$6,tabela_registros[TIPO],DADOS!$AJ$4,tabela_registros[CATEGORIA],reservavariáveisconsolidadomai[[#This Row],[ATUAL]])</f>
        <v>0</v>
      </c>
      <c r="Y194" s="91">
        <f>SUMIFS(tabela_registros[VALOR],tabela_registros[MÊS],$AE$1,tabela_registros[DIA],reservavariáveisconsolidadomai[[#Headers],[21]],tabela_registros[REGISTRO],DADOS!$N$6,tabela_registros[TIPO],DADOS!$AJ$4,tabela_registros[CATEGORIA],reservavariáveisconsolidadomai[[#This Row],[ATUAL]])</f>
        <v>0</v>
      </c>
      <c r="Z194" s="91">
        <f>SUMIFS(tabela_registros[VALOR],tabela_registros[MÊS],$AE$1,tabela_registros[DIA],reservavariáveisconsolidadomai[[#Headers],[22]],tabela_registros[REGISTRO],DADOS!$N$6,tabela_registros[TIPO],DADOS!$AJ$4,tabela_registros[CATEGORIA],reservavariáveisconsolidadomai[[#This Row],[ATUAL]])</f>
        <v>0</v>
      </c>
      <c r="AA194" s="91">
        <f>SUMIFS(tabela_registros[VALOR],tabela_registros[MÊS],$AE$1,tabela_registros[DIA],reservavariáveisconsolidadomai[[#Headers],[23]],tabela_registros[REGISTRO],DADOS!$N$6,tabela_registros[TIPO],DADOS!$AJ$4,tabela_registros[CATEGORIA],reservavariáveisconsolidadomai[[#This Row],[ATUAL]])</f>
        <v>0</v>
      </c>
      <c r="AB194" s="91">
        <f>SUMIFS(tabela_registros[VALOR],tabela_registros[MÊS],$AE$1,tabela_registros[DIA],reservavariáveisconsolidadomai[[#Headers],[24]],tabela_registros[REGISTRO],DADOS!$N$6,tabela_registros[TIPO],DADOS!$AJ$4,tabela_registros[CATEGORIA],reservavariáveisconsolidadomai[[#This Row],[ATUAL]])</f>
        <v>0</v>
      </c>
      <c r="AC194" s="91">
        <f>SUMIFS(tabela_registros[VALOR],tabela_registros[MÊS],$AE$1,tabela_registros[DIA],reservavariáveisconsolidadomai[[#Headers],[25]],tabela_registros[REGISTRO],DADOS!$N$6,tabela_registros[TIPO],DADOS!$AJ$4,tabela_registros[CATEGORIA],reservavariáveisconsolidadomai[[#This Row],[ATUAL]])</f>
        <v>0</v>
      </c>
      <c r="AD194" s="91">
        <f>SUMIFS(tabela_registros[VALOR],tabela_registros[MÊS],$AE$1,tabela_registros[DIA],reservavariáveisconsolidadomai[[#Headers],[26]],tabela_registros[REGISTRO],DADOS!$N$6,tabela_registros[TIPO],DADOS!$AJ$4,tabela_registros[CATEGORIA],reservavariáveisconsolidadomai[[#This Row],[ATUAL]])</f>
        <v>0</v>
      </c>
      <c r="AE194" s="91">
        <f>SUMIFS(tabela_registros[VALOR],tabela_registros[MÊS],$AE$1,tabela_registros[DIA],reservavariáveisconsolidadomai[[#Headers],[27]],tabela_registros[REGISTRO],DADOS!$N$6,tabela_registros[TIPO],DADOS!$AJ$4,tabela_registros[CATEGORIA],reservavariáveisconsolidadomai[[#This Row],[ATUAL]])</f>
        <v>0</v>
      </c>
      <c r="AF194" s="91">
        <f>SUMIFS(tabela_registros[VALOR],tabela_registros[MÊS],$AE$1,tabela_registros[DIA],reservavariáveisconsolidadomai[[#Headers],[28]],tabela_registros[REGISTRO],DADOS!$N$6,tabela_registros[TIPO],DADOS!$AJ$4,tabela_registros[CATEGORIA],reservavariáveisconsolidadomai[[#This Row],[ATUAL]])</f>
        <v>0</v>
      </c>
      <c r="AG194" s="91">
        <f>SUMIFS(tabela_registros[VALOR],tabela_registros[MÊS],$AE$1,tabela_registros[DIA],reservavariáveisconsolidadomai[[#Headers],[29]],tabela_registros[REGISTRO],DADOS!$N$6,tabela_registros[TIPO],DADOS!$AJ$4,tabela_registros[CATEGORIA],reservavariáveisconsolidadomai[[#This Row],[ATUAL]])</f>
        <v>0</v>
      </c>
      <c r="AH194" s="91">
        <f>SUMIFS(tabela_registros[VALOR],tabela_registros[MÊS],$AE$1,tabela_registros[DIA],reservavariáveisconsolidadomai[[#Headers],[30]],tabela_registros[REGISTRO],DADOS!$N$6,tabela_registros[TIPO],DADOS!$AJ$4,tabela_registros[CATEGORIA],reservavariáveisconsolidadomai[[#This Row],[ATUAL]])</f>
        <v>0</v>
      </c>
      <c r="AI194" s="101">
        <f>SUMIFS(tabela_registros[VALOR],tabela_registros[MÊS],$AE$1,tabela_registros[DIA],reservavariáveisconsolidadomai[[#Headers],[31]],tabela_registros[REGISTRO],DADOS!$N$6,tabela_registros[TIPO],DADOS!$AJ$4,tabela_registros[CATEGORIA],reservavariáveisconsolidadomai[[#This Row],[ATUAL]])</f>
        <v>0</v>
      </c>
      <c r="AJ194" s="97">
        <f>SUM(reservavariáveisconsolidadomai[[#This Row],[1]:[31]])</f>
        <v>0</v>
      </c>
      <c r="AK194" s="25"/>
    </row>
    <row r="195" spans="2:37" ht="19.5" customHeight="1" thickTop="1" thickBot="1" x14ac:dyDescent="0.3">
      <c r="B195" s="28"/>
      <c r="C195" s="27" t="str">
        <f>DADOS!$AN$11</f>
        <v>📝 MOEDA</v>
      </c>
      <c r="D195" s="26" t="str">
        <f>IF(reservavariáveisconsolidadomai[[#This Row],[TOTAL (R$)]]=0,"",IF(OR(reservavariáveisconsolidadomai[[#This Row],[TOTAL (R$)]]=LARGE($AJ$187:$AJ$196,1),reservavariáveisconsolidadomai[[#This Row],[TOTAL (R$)]]=LARGE($AJ$187:$AJ$196,2)),DADOS!$I$11,""))</f>
        <v/>
      </c>
      <c r="E195" s="96">
        <f>SUMIFS(tabela_registros[VALOR],tabela_registros[MÊS],$AE$1,tabela_registros[DIA],reservavariáveisconsolidadomai[[#Headers],[1]],tabela_registros[REGISTRO],DADOS!$N$6,tabela_registros[TIPO],DADOS!$AJ$4,tabela_registros[CATEGORIA],reservavariáveisconsolidadomai[[#This Row],[ATUAL]])</f>
        <v>0</v>
      </c>
      <c r="F195" s="91">
        <f>SUMIFS(tabela_registros[VALOR],tabela_registros[MÊS],$AE$1,tabela_registros[DIA],reservavariáveisconsolidadomai[[#Headers],[2]],tabela_registros[REGISTRO],DADOS!$N$6,tabela_registros[TIPO],DADOS!$AJ$4,tabela_registros[CATEGORIA],reservavariáveisconsolidadomai[[#This Row],[ATUAL]])</f>
        <v>0</v>
      </c>
      <c r="G195" s="91">
        <f>SUMIFS(tabela_registros[VALOR],tabela_registros[MÊS],$AE$1,tabela_registros[DIA],reservavariáveisconsolidadomai[[#Headers],[3]],tabela_registros[REGISTRO],DADOS!$N$6,tabela_registros[TIPO],DADOS!$AJ$4,tabela_registros[CATEGORIA],reservavariáveisconsolidadomai[[#This Row],[ATUAL]])</f>
        <v>0</v>
      </c>
      <c r="H195" s="91">
        <f>SUMIFS(tabela_registros[VALOR],tabela_registros[MÊS],$AE$1,tabela_registros[DIA],reservavariáveisconsolidadomai[[#Headers],[4]],tabela_registros[REGISTRO],DADOS!$N$6,tabela_registros[TIPO],DADOS!$AJ$4,tabela_registros[CATEGORIA],reservavariáveisconsolidadomai[[#This Row],[ATUAL]])</f>
        <v>0</v>
      </c>
      <c r="I195" s="91">
        <f>SUMIFS(tabela_registros[VALOR],tabela_registros[MÊS],$AE$1,tabela_registros[DIA],reservavariáveisconsolidadomai[[#Headers],[5]],tabela_registros[REGISTRO],DADOS!$N$6,tabela_registros[TIPO],DADOS!$AJ$4,tabela_registros[CATEGORIA],reservavariáveisconsolidadomai[[#This Row],[ATUAL]])</f>
        <v>0</v>
      </c>
      <c r="J195" s="91">
        <f>SUMIFS(tabela_registros[VALOR],tabela_registros[MÊS],$AE$1,tabela_registros[DIA],reservavariáveisconsolidadomai[[#Headers],[6]],tabela_registros[REGISTRO],DADOS!$N$6,tabela_registros[TIPO],DADOS!$AJ$4,tabela_registros[CATEGORIA],reservavariáveisconsolidadomai[[#This Row],[ATUAL]])</f>
        <v>0</v>
      </c>
      <c r="K195" s="91">
        <f>SUMIFS(tabela_registros[VALOR],tabela_registros[MÊS],$AE$1,tabela_registros[DIA],reservavariáveisconsolidadomai[[#Headers],[7]],tabela_registros[REGISTRO],DADOS!$N$6,tabela_registros[TIPO],DADOS!$AJ$4,tabela_registros[CATEGORIA],reservavariáveisconsolidadomai[[#This Row],[ATUAL]])</f>
        <v>0</v>
      </c>
      <c r="L195" s="91">
        <f>SUMIFS(tabela_registros[VALOR],tabela_registros[MÊS],$AE$1,tabela_registros[DIA],reservavariáveisconsolidadomai[[#Headers],[8]],tabela_registros[REGISTRO],DADOS!$N$6,tabela_registros[TIPO],DADOS!$AJ$4,tabela_registros[CATEGORIA],reservavariáveisconsolidadomai[[#This Row],[ATUAL]])</f>
        <v>0</v>
      </c>
      <c r="M195" s="91">
        <f>SUMIFS(tabela_registros[VALOR],tabela_registros[MÊS],$AE$1,tabela_registros[DIA],reservavariáveisconsolidadomai[[#Headers],[9]],tabela_registros[REGISTRO],DADOS!$N$6,tabela_registros[TIPO],DADOS!$AJ$4,tabela_registros[CATEGORIA],reservavariáveisconsolidadomai[[#This Row],[ATUAL]])</f>
        <v>0</v>
      </c>
      <c r="N195" s="91">
        <f>SUMIFS(tabela_registros[VALOR],tabela_registros[MÊS],$AE$1,tabela_registros[DIA],reservavariáveisconsolidadomai[[#Headers],[10]],tabela_registros[REGISTRO],DADOS!$N$6,tabela_registros[TIPO],DADOS!$AJ$4,tabela_registros[CATEGORIA],reservavariáveisconsolidadomai[[#This Row],[ATUAL]])</f>
        <v>0</v>
      </c>
      <c r="O195" s="91">
        <f>SUMIFS(tabela_registros[VALOR],tabela_registros[MÊS],$AE$1,tabela_registros[DIA],reservavariáveisconsolidadomai[[#Headers],[11]],tabela_registros[REGISTRO],DADOS!$N$6,tabela_registros[TIPO],DADOS!$AJ$4,tabela_registros[CATEGORIA],reservavariáveisconsolidadomai[[#This Row],[ATUAL]])</f>
        <v>0</v>
      </c>
      <c r="P195" s="91">
        <f>SUMIFS(tabela_registros[VALOR],tabela_registros[MÊS],$AE$1,tabela_registros[DIA],reservavariáveisconsolidadomai[[#Headers],[12]],tabela_registros[REGISTRO],DADOS!$N$6,tabela_registros[TIPO],DADOS!$AJ$4,tabela_registros[CATEGORIA],reservavariáveisconsolidadomai[[#This Row],[ATUAL]])</f>
        <v>0</v>
      </c>
      <c r="Q195" s="91">
        <f>SUMIFS(tabela_registros[VALOR],tabela_registros[MÊS],$AE$1,tabela_registros[DIA],reservavariáveisconsolidadomai[[#Headers],[13]],tabela_registros[REGISTRO],DADOS!$N$6,tabela_registros[TIPO],DADOS!$AJ$4,tabela_registros[CATEGORIA],reservavariáveisconsolidadomai[[#This Row],[ATUAL]])</f>
        <v>0</v>
      </c>
      <c r="R195" s="91">
        <f>SUMIFS(tabela_registros[VALOR],tabela_registros[MÊS],$AE$1,tabela_registros[DIA],reservavariáveisconsolidadomai[[#Headers],[14]],tabela_registros[REGISTRO],DADOS!$N$6,tabela_registros[TIPO],DADOS!$AJ$4,tabela_registros[CATEGORIA],reservavariáveisconsolidadomai[[#This Row],[ATUAL]])</f>
        <v>0</v>
      </c>
      <c r="S195" s="91">
        <f>SUMIFS(tabela_registros[VALOR],tabela_registros[MÊS],$AE$1,tabela_registros[DIA],reservavariáveisconsolidadomai[[#Headers],[15]],tabela_registros[REGISTRO],DADOS!$N$6,tabela_registros[TIPO],DADOS!$AJ$4,tabela_registros[CATEGORIA],reservavariáveisconsolidadomai[[#This Row],[ATUAL]])</f>
        <v>0</v>
      </c>
      <c r="T195" s="91">
        <f>SUMIFS(tabela_registros[VALOR],tabela_registros[MÊS],$AE$1,tabela_registros[DIA],reservavariáveisconsolidadomai[[#Headers],[16]],tabela_registros[REGISTRO],DADOS!$N$6,tabela_registros[TIPO],DADOS!$AJ$4,tabela_registros[CATEGORIA],reservavariáveisconsolidadomai[[#This Row],[ATUAL]])</f>
        <v>0</v>
      </c>
      <c r="U195" s="91">
        <f>SUMIFS(tabela_registros[VALOR],tabela_registros[MÊS],$AE$1,tabela_registros[DIA],reservavariáveisconsolidadomai[[#Headers],[17]],tabela_registros[REGISTRO],DADOS!$N$6,tabela_registros[TIPO],DADOS!$AJ$4,tabela_registros[CATEGORIA],reservavariáveisconsolidadomai[[#This Row],[ATUAL]])</f>
        <v>0</v>
      </c>
      <c r="V195" s="91">
        <f>SUMIFS(tabela_registros[VALOR],tabela_registros[MÊS],$AE$1,tabela_registros[DIA],reservavariáveisconsolidadomai[[#Headers],[18]],tabela_registros[REGISTRO],DADOS!$N$6,tabela_registros[TIPO],DADOS!$AJ$4,tabela_registros[CATEGORIA],reservavariáveisconsolidadomai[[#This Row],[ATUAL]])</f>
        <v>0</v>
      </c>
      <c r="W195" s="91">
        <f>SUMIFS(tabela_registros[VALOR],tabela_registros[MÊS],$AE$1,tabela_registros[DIA],reservavariáveisconsolidadomai[[#Headers],[19]],tabela_registros[REGISTRO],DADOS!$N$6,tabela_registros[TIPO],DADOS!$AJ$4,tabela_registros[CATEGORIA],reservavariáveisconsolidadomai[[#This Row],[ATUAL]])</f>
        <v>0</v>
      </c>
      <c r="X195" s="91">
        <f>SUMIFS(tabela_registros[VALOR],tabela_registros[MÊS],$AE$1,tabela_registros[DIA],reservavariáveisconsolidadomai[[#Headers],[20]],tabela_registros[REGISTRO],DADOS!$N$6,tabela_registros[TIPO],DADOS!$AJ$4,tabela_registros[CATEGORIA],reservavariáveisconsolidadomai[[#This Row],[ATUAL]])</f>
        <v>0</v>
      </c>
      <c r="Y195" s="91">
        <f>SUMIFS(tabela_registros[VALOR],tabela_registros[MÊS],$AE$1,tabela_registros[DIA],reservavariáveisconsolidadomai[[#Headers],[21]],tabela_registros[REGISTRO],DADOS!$N$6,tabela_registros[TIPO],DADOS!$AJ$4,tabela_registros[CATEGORIA],reservavariáveisconsolidadomai[[#This Row],[ATUAL]])</f>
        <v>0</v>
      </c>
      <c r="Z195" s="91">
        <f>SUMIFS(tabela_registros[VALOR],tabela_registros[MÊS],$AE$1,tabela_registros[DIA],reservavariáveisconsolidadomai[[#Headers],[22]],tabela_registros[REGISTRO],DADOS!$N$6,tabela_registros[TIPO],DADOS!$AJ$4,tabela_registros[CATEGORIA],reservavariáveisconsolidadomai[[#This Row],[ATUAL]])</f>
        <v>0</v>
      </c>
      <c r="AA195" s="91">
        <f>SUMIFS(tabela_registros[VALOR],tabela_registros[MÊS],$AE$1,tabela_registros[DIA],reservavariáveisconsolidadomai[[#Headers],[23]],tabela_registros[REGISTRO],DADOS!$N$6,tabela_registros[TIPO],DADOS!$AJ$4,tabela_registros[CATEGORIA],reservavariáveisconsolidadomai[[#This Row],[ATUAL]])</f>
        <v>0</v>
      </c>
      <c r="AB195" s="91">
        <f>SUMIFS(tabela_registros[VALOR],tabela_registros[MÊS],$AE$1,tabela_registros[DIA],reservavariáveisconsolidadomai[[#Headers],[24]],tabela_registros[REGISTRO],DADOS!$N$6,tabela_registros[TIPO],DADOS!$AJ$4,tabela_registros[CATEGORIA],reservavariáveisconsolidadomai[[#This Row],[ATUAL]])</f>
        <v>0</v>
      </c>
      <c r="AC195" s="91">
        <f>SUMIFS(tabela_registros[VALOR],tabela_registros[MÊS],$AE$1,tabela_registros[DIA],reservavariáveisconsolidadomai[[#Headers],[25]],tabela_registros[REGISTRO],DADOS!$N$6,tabela_registros[TIPO],DADOS!$AJ$4,tabela_registros[CATEGORIA],reservavariáveisconsolidadomai[[#This Row],[ATUAL]])</f>
        <v>0</v>
      </c>
      <c r="AD195" s="91">
        <f>SUMIFS(tabela_registros[VALOR],tabela_registros[MÊS],$AE$1,tabela_registros[DIA],reservavariáveisconsolidadomai[[#Headers],[26]],tabela_registros[REGISTRO],DADOS!$N$6,tabela_registros[TIPO],DADOS!$AJ$4,tabela_registros[CATEGORIA],reservavariáveisconsolidadomai[[#This Row],[ATUAL]])</f>
        <v>0</v>
      </c>
      <c r="AE195" s="91">
        <f>SUMIFS(tabela_registros[VALOR],tabela_registros[MÊS],$AE$1,tabela_registros[DIA],reservavariáveisconsolidadomai[[#Headers],[27]],tabela_registros[REGISTRO],DADOS!$N$6,tabela_registros[TIPO],DADOS!$AJ$4,tabela_registros[CATEGORIA],reservavariáveisconsolidadomai[[#This Row],[ATUAL]])</f>
        <v>0</v>
      </c>
      <c r="AF195" s="91">
        <f>SUMIFS(tabela_registros[VALOR],tabela_registros[MÊS],$AE$1,tabela_registros[DIA],reservavariáveisconsolidadomai[[#Headers],[28]],tabela_registros[REGISTRO],DADOS!$N$6,tabela_registros[TIPO],DADOS!$AJ$4,tabela_registros[CATEGORIA],reservavariáveisconsolidadomai[[#This Row],[ATUAL]])</f>
        <v>0</v>
      </c>
      <c r="AG195" s="91">
        <f>SUMIFS(tabela_registros[VALOR],tabela_registros[MÊS],$AE$1,tabela_registros[DIA],reservavariáveisconsolidadomai[[#Headers],[29]],tabela_registros[REGISTRO],DADOS!$N$6,tabela_registros[TIPO],DADOS!$AJ$4,tabela_registros[CATEGORIA],reservavariáveisconsolidadomai[[#This Row],[ATUAL]])</f>
        <v>0</v>
      </c>
      <c r="AH195" s="91">
        <f>SUMIFS(tabela_registros[VALOR],tabela_registros[MÊS],$AE$1,tabela_registros[DIA],reservavariáveisconsolidadomai[[#Headers],[30]],tabela_registros[REGISTRO],DADOS!$N$6,tabela_registros[TIPO],DADOS!$AJ$4,tabela_registros[CATEGORIA],reservavariáveisconsolidadomai[[#This Row],[ATUAL]])</f>
        <v>0</v>
      </c>
      <c r="AI195" s="101">
        <f>SUMIFS(tabela_registros[VALOR],tabela_registros[MÊS],$AE$1,tabela_registros[DIA],reservavariáveisconsolidadomai[[#Headers],[31]],tabela_registros[REGISTRO],DADOS!$N$6,tabela_registros[TIPO],DADOS!$AJ$4,tabela_registros[CATEGORIA],reservavariáveisconsolidadomai[[#This Row],[ATUAL]])</f>
        <v>0</v>
      </c>
      <c r="AJ195" s="97">
        <f>SUM(reservavariáveisconsolidadomai[[#This Row],[1]:[31]])</f>
        <v>0</v>
      </c>
      <c r="AK195" s="25"/>
    </row>
    <row r="196" spans="2:37" ht="19.5" customHeight="1" thickTop="1" thickBot="1" x14ac:dyDescent="0.3">
      <c r="B196" s="28"/>
      <c r="C196" s="27" t="str">
        <f>DADOS!$AN$12</f>
        <v>📎 OUTROS</v>
      </c>
      <c r="D196" s="26" t="str">
        <f>IF(reservavariáveisconsolidadomai[[#This Row],[TOTAL (R$)]]=0,"",IF(OR(reservavariáveisconsolidadomai[[#This Row],[TOTAL (R$)]]=LARGE($AJ$187:$AJ$196,1),reservavariáveisconsolidadomai[[#This Row],[TOTAL (R$)]]=LARGE($AJ$187:$AJ$196,2)),DADOS!$I$11,""))</f>
        <v/>
      </c>
      <c r="E196" s="96">
        <f>SUMIFS(tabela_registros[VALOR],tabela_registros[MÊS],$AE$1,tabela_registros[DIA],reservavariáveisconsolidadomai[[#Headers],[1]],tabela_registros[REGISTRO],DADOS!$N$6,tabela_registros[TIPO],DADOS!$AJ$4,tabela_registros[CATEGORIA],reservavariáveisconsolidadomai[[#This Row],[ATUAL]])</f>
        <v>0</v>
      </c>
      <c r="F196" s="91">
        <f>SUMIFS(tabela_registros[VALOR],tabela_registros[MÊS],$AE$1,tabela_registros[DIA],reservavariáveisconsolidadomai[[#Headers],[2]],tabela_registros[REGISTRO],DADOS!$N$6,tabela_registros[TIPO],DADOS!$AJ$4,tabela_registros[CATEGORIA],reservavariáveisconsolidadomai[[#This Row],[ATUAL]])</f>
        <v>0</v>
      </c>
      <c r="G196" s="91">
        <f>SUMIFS(tabela_registros[VALOR],tabela_registros[MÊS],$AE$1,tabela_registros[DIA],reservavariáveisconsolidadomai[[#Headers],[3]],tabela_registros[REGISTRO],DADOS!$N$6,tabela_registros[TIPO],DADOS!$AJ$4,tabela_registros[CATEGORIA],reservavariáveisconsolidadomai[[#This Row],[ATUAL]])</f>
        <v>0</v>
      </c>
      <c r="H196" s="91">
        <f>SUMIFS(tabela_registros[VALOR],tabela_registros[MÊS],$AE$1,tabela_registros[DIA],reservavariáveisconsolidadomai[[#Headers],[4]],tabela_registros[REGISTRO],DADOS!$N$6,tabela_registros[TIPO],DADOS!$AJ$4,tabela_registros[CATEGORIA],reservavariáveisconsolidadomai[[#This Row],[ATUAL]])</f>
        <v>0</v>
      </c>
      <c r="I196" s="91">
        <f>SUMIFS(tabela_registros[VALOR],tabela_registros[MÊS],$AE$1,tabela_registros[DIA],reservavariáveisconsolidadomai[[#Headers],[5]],tabela_registros[REGISTRO],DADOS!$N$6,tabela_registros[TIPO],DADOS!$AJ$4,tabela_registros[CATEGORIA],reservavariáveisconsolidadomai[[#This Row],[ATUAL]])</f>
        <v>0</v>
      </c>
      <c r="J196" s="91">
        <f>SUMIFS(tabela_registros[VALOR],tabela_registros[MÊS],$AE$1,tabela_registros[DIA],reservavariáveisconsolidadomai[[#Headers],[6]],tabela_registros[REGISTRO],DADOS!$N$6,tabela_registros[TIPO],DADOS!$AJ$4,tabela_registros[CATEGORIA],reservavariáveisconsolidadomai[[#This Row],[ATUAL]])</f>
        <v>0</v>
      </c>
      <c r="K196" s="91">
        <f>SUMIFS(tabela_registros[VALOR],tabela_registros[MÊS],$AE$1,tabela_registros[DIA],reservavariáveisconsolidadomai[[#Headers],[7]],tabela_registros[REGISTRO],DADOS!$N$6,tabela_registros[TIPO],DADOS!$AJ$4,tabela_registros[CATEGORIA],reservavariáveisconsolidadomai[[#This Row],[ATUAL]])</f>
        <v>0</v>
      </c>
      <c r="L196" s="91">
        <f>SUMIFS(tabela_registros[VALOR],tabela_registros[MÊS],$AE$1,tabela_registros[DIA],reservavariáveisconsolidadomai[[#Headers],[8]],tabela_registros[REGISTRO],DADOS!$N$6,tabela_registros[TIPO],DADOS!$AJ$4,tabela_registros[CATEGORIA],reservavariáveisconsolidadomai[[#This Row],[ATUAL]])</f>
        <v>0</v>
      </c>
      <c r="M196" s="91">
        <f>SUMIFS(tabela_registros[VALOR],tabela_registros[MÊS],$AE$1,tabela_registros[DIA],reservavariáveisconsolidadomai[[#Headers],[9]],tabela_registros[REGISTRO],DADOS!$N$6,tabela_registros[TIPO],DADOS!$AJ$4,tabela_registros[CATEGORIA],reservavariáveisconsolidadomai[[#This Row],[ATUAL]])</f>
        <v>0</v>
      </c>
      <c r="N196" s="91">
        <f>SUMIFS(tabela_registros[VALOR],tabela_registros[MÊS],$AE$1,tabela_registros[DIA],reservavariáveisconsolidadomai[[#Headers],[10]],tabela_registros[REGISTRO],DADOS!$N$6,tabela_registros[TIPO],DADOS!$AJ$4,tabela_registros[CATEGORIA],reservavariáveisconsolidadomai[[#This Row],[ATUAL]])</f>
        <v>0</v>
      </c>
      <c r="O196" s="91">
        <f>SUMIFS(tabela_registros[VALOR],tabela_registros[MÊS],$AE$1,tabela_registros[DIA],reservavariáveisconsolidadomai[[#Headers],[11]],tabela_registros[REGISTRO],DADOS!$N$6,tabela_registros[TIPO],DADOS!$AJ$4,tabela_registros[CATEGORIA],reservavariáveisconsolidadomai[[#This Row],[ATUAL]])</f>
        <v>0</v>
      </c>
      <c r="P196" s="91">
        <f>SUMIFS(tabela_registros[VALOR],tabela_registros[MÊS],$AE$1,tabela_registros[DIA],reservavariáveisconsolidadomai[[#Headers],[12]],tabela_registros[REGISTRO],DADOS!$N$6,tabela_registros[TIPO],DADOS!$AJ$4,tabela_registros[CATEGORIA],reservavariáveisconsolidadomai[[#This Row],[ATUAL]])</f>
        <v>0</v>
      </c>
      <c r="Q196" s="91">
        <f>SUMIFS(tabela_registros[VALOR],tabela_registros[MÊS],$AE$1,tabela_registros[DIA],reservavariáveisconsolidadomai[[#Headers],[13]],tabela_registros[REGISTRO],DADOS!$N$6,tabela_registros[TIPO],DADOS!$AJ$4,tabela_registros[CATEGORIA],reservavariáveisconsolidadomai[[#This Row],[ATUAL]])</f>
        <v>0</v>
      </c>
      <c r="R196" s="91">
        <f>SUMIFS(tabela_registros[VALOR],tabela_registros[MÊS],$AE$1,tabela_registros[DIA],reservavariáveisconsolidadomai[[#Headers],[14]],tabela_registros[REGISTRO],DADOS!$N$6,tabela_registros[TIPO],DADOS!$AJ$4,tabela_registros[CATEGORIA],reservavariáveisconsolidadomai[[#This Row],[ATUAL]])</f>
        <v>0</v>
      </c>
      <c r="S196" s="91">
        <f>SUMIFS(tabela_registros[VALOR],tabela_registros[MÊS],$AE$1,tabela_registros[DIA],reservavariáveisconsolidadomai[[#Headers],[15]],tabela_registros[REGISTRO],DADOS!$N$6,tabela_registros[TIPO],DADOS!$AJ$4,tabela_registros[CATEGORIA],reservavariáveisconsolidadomai[[#This Row],[ATUAL]])</f>
        <v>0</v>
      </c>
      <c r="T196" s="91">
        <f>SUMIFS(tabela_registros[VALOR],tabela_registros[MÊS],$AE$1,tabela_registros[DIA],reservavariáveisconsolidadomai[[#Headers],[16]],tabela_registros[REGISTRO],DADOS!$N$6,tabela_registros[TIPO],DADOS!$AJ$4,tabela_registros[CATEGORIA],reservavariáveisconsolidadomai[[#This Row],[ATUAL]])</f>
        <v>0</v>
      </c>
      <c r="U196" s="91">
        <f>SUMIFS(tabela_registros[VALOR],tabela_registros[MÊS],$AE$1,tabela_registros[DIA],reservavariáveisconsolidadomai[[#Headers],[17]],tabela_registros[REGISTRO],DADOS!$N$6,tabela_registros[TIPO],DADOS!$AJ$4,tabela_registros[CATEGORIA],reservavariáveisconsolidadomai[[#This Row],[ATUAL]])</f>
        <v>0</v>
      </c>
      <c r="V196" s="91">
        <f>SUMIFS(tabela_registros[VALOR],tabela_registros[MÊS],$AE$1,tabela_registros[DIA],reservavariáveisconsolidadomai[[#Headers],[18]],tabela_registros[REGISTRO],DADOS!$N$6,tabela_registros[TIPO],DADOS!$AJ$4,tabela_registros[CATEGORIA],reservavariáveisconsolidadomai[[#This Row],[ATUAL]])</f>
        <v>0</v>
      </c>
      <c r="W196" s="91">
        <f>SUMIFS(tabela_registros[VALOR],tabela_registros[MÊS],$AE$1,tabela_registros[DIA],reservavariáveisconsolidadomai[[#Headers],[19]],tabela_registros[REGISTRO],DADOS!$N$6,tabela_registros[TIPO],DADOS!$AJ$4,tabela_registros[CATEGORIA],reservavariáveisconsolidadomai[[#This Row],[ATUAL]])</f>
        <v>0</v>
      </c>
      <c r="X196" s="91">
        <f>SUMIFS(tabela_registros[VALOR],tabela_registros[MÊS],$AE$1,tabela_registros[DIA],reservavariáveisconsolidadomai[[#Headers],[20]],tabela_registros[REGISTRO],DADOS!$N$6,tabela_registros[TIPO],DADOS!$AJ$4,tabela_registros[CATEGORIA],reservavariáveisconsolidadomai[[#This Row],[ATUAL]])</f>
        <v>0</v>
      </c>
      <c r="Y196" s="91">
        <f>SUMIFS(tabela_registros[VALOR],tabela_registros[MÊS],$AE$1,tabela_registros[DIA],reservavariáveisconsolidadomai[[#Headers],[21]],tabela_registros[REGISTRO],DADOS!$N$6,tabela_registros[TIPO],DADOS!$AJ$4,tabela_registros[CATEGORIA],reservavariáveisconsolidadomai[[#This Row],[ATUAL]])</f>
        <v>0</v>
      </c>
      <c r="Z196" s="91">
        <f>SUMIFS(tabela_registros[VALOR],tabela_registros[MÊS],$AE$1,tabela_registros[DIA],reservavariáveisconsolidadomai[[#Headers],[22]],tabela_registros[REGISTRO],DADOS!$N$6,tabela_registros[TIPO],DADOS!$AJ$4,tabela_registros[CATEGORIA],reservavariáveisconsolidadomai[[#This Row],[ATUAL]])</f>
        <v>0</v>
      </c>
      <c r="AA196" s="91">
        <f>SUMIFS(tabela_registros[VALOR],tabela_registros[MÊS],$AE$1,tabela_registros[DIA],reservavariáveisconsolidadomai[[#Headers],[23]],tabela_registros[REGISTRO],DADOS!$N$6,tabela_registros[TIPO],DADOS!$AJ$4,tabela_registros[CATEGORIA],reservavariáveisconsolidadomai[[#This Row],[ATUAL]])</f>
        <v>0</v>
      </c>
      <c r="AB196" s="91">
        <f>SUMIFS(tabela_registros[VALOR],tabela_registros[MÊS],$AE$1,tabela_registros[DIA],reservavariáveisconsolidadomai[[#Headers],[24]],tabela_registros[REGISTRO],DADOS!$N$6,tabela_registros[TIPO],DADOS!$AJ$4,tabela_registros[CATEGORIA],reservavariáveisconsolidadomai[[#This Row],[ATUAL]])</f>
        <v>0</v>
      </c>
      <c r="AC196" s="91">
        <f>SUMIFS(tabela_registros[VALOR],tabela_registros[MÊS],$AE$1,tabela_registros[DIA],reservavariáveisconsolidadomai[[#Headers],[25]],tabela_registros[REGISTRO],DADOS!$N$6,tabela_registros[TIPO],DADOS!$AJ$4,tabela_registros[CATEGORIA],reservavariáveisconsolidadomai[[#This Row],[ATUAL]])</f>
        <v>0</v>
      </c>
      <c r="AD196" s="91">
        <f>SUMIFS(tabela_registros[VALOR],tabela_registros[MÊS],$AE$1,tabela_registros[DIA],reservavariáveisconsolidadomai[[#Headers],[26]],tabela_registros[REGISTRO],DADOS!$N$6,tabela_registros[TIPO],DADOS!$AJ$4,tabela_registros[CATEGORIA],reservavariáveisconsolidadomai[[#This Row],[ATUAL]])</f>
        <v>0</v>
      </c>
      <c r="AE196" s="91">
        <f>SUMIFS(tabela_registros[VALOR],tabela_registros[MÊS],$AE$1,tabela_registros[DIA],reservavariáveisconsolidadomai[[#Headers],[27]],tabela_registros[REGISTRO],DADOS!$N$6,tabela_registros[TIPO],DADOS!$AJ$4,tabela_registros[CATEGORIA],reservavariáveisconsolidadomai[[#This Row],[ATUAL]])</f>
        <v>0</v>
      </c>
      <c r="AF196" s="91">
        <f>SUMIFS(tabela_registros[VALOR],tabela_registros[MÊS],$AE$1,tabela_registros[DIA],reservavariáveisconsolidadomai[[#Headers],[28]],tabela_registros[REGISTRO],DADOS!$N$6,tabela_registros[TIPO],DADOS!$AJ$4,tabela_registros[CATEGORIA],reservavariáveisconsolidadomai[[#This Row],[ATUAL]])</f>
        <v>0</v>
      </c>
      <c r="AG196" s="91">
        <f>SUMIFS(tabela_registros[VALOR],tabela_registros[MÊS],$AE$1,tabela_registros[DIA],reservavariáveisconsolidadomai[[#Headers],[29]],tabela_registros[REGISTRO],DADOS!$N$6,tabela_registros[TIPO],DADOS!$AJ$4,tabela_registros[CATEGORIA],reservavariáveisconsolidadomai[[#This Row],[ATUAL]])</f>
        <v>0</v>
      </c>
      <c r="AH196" s="91">
        <f>SUMIFS(tabela_registros[VALOR],tabela_registros[MÊS],$AE$1,tabela_registros[DIA],reservavariáveisconsolidadomai[[#Headers],[30]],tabela_registros[REGISTRO],DADOS!$N$6,tabela_registros[TIPO],DADOS!$AJ$4,tabela_registros[CATEGORIA],reservavariáveisconsolidadomai[[#This Row],[ATUAL]])</f>
        <v>0</v>
      </c>
      <c r="AI196" s="102">
        <f>SUMIFS(tabela_registros[VALOR],tabela_registros[MÊS],$AE$1,tabela_registros[DIA],reservavariáveisconsolidadomai[[#Headers],[31]],tabela_registros[REGISTRO],DADOS!$N$6,tabela_registros[TIPO],DADOS!$AJ$4,tabela_registros[CATEGORIA],reservavariáveisconsolidadomai[[#This Row],[ATUAL]])</f>
        <v>0</v>
      </c>
      <c r="AJ196" s="97">
        <f>SUM(reservavariáveisconsolidadomai[[#This Row],[1]:[31]])</f>
        <v>0</v>
      </c>
      <c r="AK196" s="25"/>
    </row>
    <row r="197" spans="2:37" s="16" customFormat="1" ht="21" customHeight="1" thickTop="1" thickBot="1" x14ac:dyDescent="0.35">
      <c r="B197" s="24"/>
      <c r="C197" s="23" t="s">
        <v>19</v>
      </c>
      <c r="D197" s="22"/>
      <c r="E197" s="21">
        <f>SUM(E187:E196)</f>
        <v>0</v>
      </c>
      <c r="F197" s="20">
        <f>SUM(F187:F196)+reservavariáveisconsolidadomai[[#This Row],[1]]</f>
        <v>0</v>
      </c>
      <c r="G197" s="20">
        <f>SUM(G187:G196)+reservavariáveisconsolidadomai[[#This Row],[2]]</f>
        <v>0</v>
      </c>
      <c r="H197" s="20">
        <f>SUM(H187:H196)+reservavariáveisconsolidadomai[[#This Row],[3]]</f>
        <v>0</v>
      </c>
      <c r="I197" s="20">
        <f>SUM(I187:I196)+reservavariáveisconsolidadomai[[#This Row],[4]]</f>
        <v>0</v>
      </c>
      <c r="J197" s="20">
        <f>SUM(J187:J196)+reservavariáveisconsolidadomai[[#This Row],[5]]</f>
        <v>0</v>
      </c>
      <c r="K197" s="20">
        <f>SUM(K187:K196)+reservavariáveisconsolidadomai[[#This Row],[6]]</f>
        <v>0</v>
      </c>
      <c r="L197" s="20">
        <f>SUM(L187:L196)+reservavariáveisconsolidadomai[[#This Row],[7]]</f>
        <v>0</v>
      </c>
      <c r="M197" s="20">
        <f>SUM(M187:M196)+reservavariáveisconsolidadomai[[#This Row],[8]]</f>
        <v>0</v>
      </c>
      <c r="N197" s="20">
        <f>SUM(N187:N196)+reservavariáveisconsolidadomai[[#This Row],[9]]</f>
        <v>0</v>
      </c>
      <c r="O197" s="20">
        <f>SUM(O187:O196)+reservavariáveisconsolidadomai[[#This Row],[10]]</f>
        <v>0</v>
      </c>
      <c r="P197" s="20">
        <f>SUM(P187:P196)+reservavariáveisconsolidadomai[[#This Row],[11]]</f>
        <v>0</v>
      </c>
      <c r="Q197" s="20">
        <f>SUM(Q187:Q196)+reservavariáveisconsolidadomai[[#This Row],[12]]</f>
        <v>0</v>
      </c>
      <c r="R197" s="20">
        <f>SUM(R187:R196)+reservavariáveisconsolidadomai[[#This Row],[13]]</f>
        <v>0</v>
      </c>
      <c r="S197" s="20">
        <f>SUM(S187:S196)+reservavariáveisconsolidadomai[[#This Row],[14]]</f>
        <v>0</v>
      </c>
      <c r="T197" s="20">
        <f>SUM(T187:T196)+reservavariáveisconsolidadomai[[#This Row],[15]]</f>
        <v>0</v>
      </c>
      <c r="U197" s="20">
        <f>SUM(U187:U196)+reservavariáveisconsolidadomai[[#This Row],[16]]</f>
        <v>0</v>
      </c>
      <c r="V197" s="20">
        <f>SUM(V187:V196)+reservavariáveisconsolidadomai[[#This Row],[17]]</f>
        <v>0</v>
      </c>
      <c r="W197" s="20">
        <f>SUM(W187:W196)+reservavariáveisconsolidadomai[[#This Row],[18]]</f>
        <v>0</v>
      </c>
      <c r="X197" s="20">
        <f>SUM(X187:X196)+reservavariáveisconsolidadomai[[#This Row],[19]]</f>
        <v>0</v>
      </c>
      <c r="Y197" s="20">
        <f>SUM(Y187:Y196)+reservavariáveisconsolidadomai[[#This Row],[20]]</f>
        <v>0</v>
      </c>
      <c r="Z197" s="20">
        <f>SUM(Z187:Z196)+reservavariáveisconsolidadomai[[#This Row],[21]]</f>
        <v>0</v>
      </c>
      <c r="AA197" s="20">
        <f>SUM(AA187:AA196)+reservavariáveisconsolidadomai[[#This Row],[22]]</f>
        <v>0</v>
      </c>
      <c r="AB197" s="20">
        <f>SUM(AB187:AB196)+reservavariáveisconsolidadomai[[#This Row],[23]]</f>
        <v>0</v>
      </c>
      <c r="AC197" s="20">
        <f>SUM(AC187:AC196)+reservavariáveisconsolidadomai[[#This Row],[24]]</f>
        <v>0</v>
      </c>
      <c r="AD197" s="20">
        <f>SUM(AD187:AD196)+reservavariáveisconsolidadomai[[#This Row],[25]]</f>
        <v>0</v>
      </c>
      <c r="AE197" s="20">
        <f>SUM(AE187:AE196)+reservavariáveisconsolidadomai[[#This Row],[26]]</f>
        <v>0</v>
      </c>
      <c r="AF197" s="20">
        <f>SUM(AF187:AF196)+reservavariáveisconsolidadomai[[#This Row],[27]]</f>
        <v>0</v>
      </c>
      <c r="AG197" s="20">
        <f>SUM(AG187:AG196)+reservavariáveisconsolidadomai[[#This Row],[28]]</f>
        <v>0</v>
      </c>
      <c r="AH197" s="20">
        <f>SUM(AH187:AH196)+reservavariáveisconsolidadomai[[#This Row],[29]]</f>
        <v>0</v>
      </c>
      <c r="AI197" s="19">
        <f>SUM(AI187:AI196)+reservavariáveisconsolidadomai[[#This Row],[30]]</f>
        <v>0</v>
      </c>
      <c r="AJ197" s="18">
        <f>reservavariáveisconsolidadomai[[#This Row],[31]]</f>
        <v>0</v>
      </c>
      <c r="AK197" s="17"/>
    </row>
    <row r="198" spans="2:37" ht="6.75" customHeight="1" thickTop="1" thickBot="1" x14ac:dyDescent="0.3">
      <c r="B198" s="15"/>
      <c r="C198" s="14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  <c r="AC198" s="13"/>
      <c r="AD198" s="13"/>
      <c r="AE198" s="13"/>
      <c r="AF198" s="13"/>
      <c r="AG198" s="13"/>
      <c r="AH198" s="13"/>
      <c r="AI198" s="12"/>
      <c r="AJ198" s="11"/>
      <c r="AK198" s="10"/>
    </row>
    <row r="199" spans="2:37" ht="12.6" thickTop="1" x14ac:dyDescent="0.25">
      <c r="E199" s="37"/>
      <c r="AI199" s="4"/>
    </row>
    <row r="200" spans="2:37" x14ac:dyDescent="0.25">
      <c r="AI200" s="4"/>
    </row>
    <row r="201" spans="2:37" x14ac:dyDescent="0.25">
      <c r="AI201" s="4"/>
    </row>
    <row r="202" spans="2:37" ht="39.75" customHeight="1" x14ac:dyDescent="0.7">
      <c r="C202" s="36"/>
      <c r="E202" s="240"/>
      <c r="F202" s="240"/>
      <c r="G202" s="240"/>
      <c r="H202" s="240"/>
      <c r="I202" s="240"/>
      <c r="J202" s="240"/>
      <c r="K202" s="240"/>
      <c r="L202" s="240"/>
      <c r="M202" s="240"/>
      <c r="N202" s="240"/>
      <c r="O202" s="240"/>
      <c r="P202" s="240"/>
      <c r="Q202" s="240"/>
      <c r="R202" s="240"/>
      <c r="S202" s="240"/>
      <c r="T202" s="240"/>
      <c r="U202" s="240"/>
      <c r="V202" s="240"/>
      <c r="W202" s="240"/>
      <c r="X202" s="240"/>
      <c r="Y202" s="240"/>
      <c r="Z202" s="240"/>
      <c r="AA202" s="240"/>
      <c r="AB202" s="240"/>
      <c r="AC202" s="240"/>
      <c r="AD202" s="240"/>
      <c r="AE202" s="240"/>
      <c r="AF202" s="240"/>
      <c r="AG202" s="240"/>
      <c r="AH202" s="240"/>
      <c r="AI202" s="240"/>
      <c r="AJ202" s="32" t="s">
        <v>19</v>
      </c>
    </row>
    <row r="203" spans="2:37" ht="12.6" thickBot="1" x14ac:dyDescent="0.3">
      <c r="B203" s="35"/>
      <c r="AI203" s="4"/>
      <c r="AJ203" s="34" t="s">
        <v>202</v>
      </c>
    </row>
    <row r="204" spans="2:37" ht="6.75" customHeight="1" thickTop="1" thickBot="1" x14ac:dyDescent="0.3">
      <c r="B204" s="2"/>
      <c r="C204" s="14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3"/>
      <c r="AD204" s="13"/>
      <c r="AE204" s="13"/>
      <c r="AF204" s="13"/>
      <c r="AG204" s="13"/>
      <c r="AH204" s="13"/>
      <c r="AI204" s="13"/>
      <c r="AJ204" s="12"/>
      <c r="AK204" s="33"/>
    </row>
    <row r="205" spans="2:37" ht="13.2" hidden="1" thickTop="1" thickBot="1" x14ac:dyDescent="0.3">
      <c r="B205" s="2"/>
      <c r="C205" s="31" t="s">
        <v>199</v>
      </c>
      <c r="D205" s="30" t="s">
        <v>198</v>
      </c>
      <c r="E205" s="30" t="s">
        <v>197</v>
      </c>
      <c r="F205" s="30" t="s">
        <v>196</v>
      </c>
      <c r="G205" s="30" t="s">
        <v>195</v>
      </c>
      <c r="H205" s="30" t="s">
        <v>194</v>
      </c>
      <c r="I205" s="30" t="s">
        <v>193</v>
      </c>
      <c r="J205" s="30" t="s">
        <v>192</v>
      </c>
      <c r="K205" s="30" t="s">
        <v>191</v>
      </c>
      <c r="L205" s="30" t="s">
        <v>190</v>
      </c>
      <c r="M205" s="30" t="s">
        <v>189</v>
      </c>
      <c r="N205" s="30" t="s">
        <v>188</v>
      </c>
      <c r="O205" s="30" t="s">
        <v>187</v>
      </c>
      <c r="P205" s="30" t="s">
        <v>186</v>
      </c>
      <c r="Q205" s="30" t="s">
        <v>185</v>
      </c>
      <c r="R205" s="30" t="s">
        <v>184</v>
      </c>
      <c r="S205" s="30" t="s">
        <v>183</v>
      </c>
      <c r="T205" s="30" t="s">
        <v>182</v>
      </c>
      <c r="U205" s="30" t="s">
        <v>181</v>
      </c>
      <c r="V205" s="30" t="s">
        <v>180</v>
      </c>
      <c r="W205" s="30" t="s">
        <v>179</v>
      </c>
      <c r="X205" s="30" t="s">
        <v>178</v>
      </c>
      <c r="Y205" s="30" t="s">
        <v>177</v>
      </c>
      <c r="Z205" s="30" t="s">
        <v>176</v>
      </c>
      <c r="AA205" s="30" t="s">
        <v>175</v>
      </c>
      <c r="AB205" s="30" t="s">
        <v>174</v>
      </c>
      <c r="AC205" s="30" t="s">
        <v>173</v>
      </c>
      <c r="AD205" s="30" t="s">
        <v>172</v>
      </c>
      <c r="AE205" s="30" t="s">
        <v>171</v>
      </c>
      <c r="AF205" s="30" t="s">
        <v>170</v>
      </c>
      <c r="AG205" s="30" t="s">
        <v>169</v>
      </c>
      <c r="AH205" s="30" t="s">
        <v>168</v>
      </c>
      <c r="AI205" s="30" t="s">
        <v>167</v>
      </c>
      <c r="AJ205" s="29" t="s">
        <v>166</v>
      </c>
      <c r="AK205" s="2"/>
    </row>
    <row r="206" spans="2:37" ht="19.5" customHeight="1" thickTop="1" thickBot="1" x14ac:dyDescent="0.3">
      <c r="B206" s="28"/>
      <c r="C206" s="27" t="str">
        <f>DADOS!$AP$3</f>
        <v>📝 COE</v>
      </c>
      <c r="D206" s="26" t="str">
        <f>IF(reservaoutrosconsolidadomai[[#This Row],[TOTAL (R$)]]=0,"",IF(OR(reservaoutrosconsolidadomai[[#This Row],[TOTAL (R$)]]=LARGE($AJ$206:$AJ$213,1),reservaoutrosconsolidadomai[[#This Row],[TOTAL (R$)]]=LARGE($AJ$206:$AJ$213,2)),DADOS!$I$11,""))</f>
        <v/>
      </c>
      <c r="E206" s="96">
        <f>SUMIFS(tabela_registros[VALOR],tabela_registros[MÊS],$AE$1,tabela_registros[DIA],reservaoutrosconsolidadomai[[#Headers],[1]],tabela_registros[REGISTRO],DADOS!$N$6,tabela_registros[TIPO],DADOS!$AJ$5,tabela_registros[CATEGORIA],reservaoutrosconsolidadomai[[#This Row],[ATUAL]])</f>
        <v>0</v>
      </c>
      <c r="F206" s="91">
        <f>SUMIFS(tabela_registros[VALOR],tabela_registros[MÊS],$AE$1,tabela_registros[DIA],reservaoutrosconsolidadomai[[#Headers],[2]],tabela_registros[REGISTRO],DADOS!$N$6,tabela_registros[TIPO],DADOS!$AJ$5,tabela_registros[CATEGORIA],reservaoutrosconsolidadomai[[#This Row],[ATUAL]])</f>
        <v>0</v>
      </c>
      <c r="G206" s="91">
        <f>SUMIFS(tabela_registros[VALOR],tabela_registros[MÊS],$AE$1,tabela_registros[DIA],reservaoutrosconsolidadomai[[#Headers],[3]],tabela_registros[REGISTRO],DADOS!$N$6,tabela_registros[TIPO],DADOS!$AJ$5,tabela_registros[CATEGORIA],reservaoutrosconsolidadomai[[#This Row],[ATUAL]])</f>
        <v>0</v>
      </c>
      <c r="H206" s="91">
        <f>SUMIFS(tabela_registros[VALOR],tabela_registros[MÊS],$AE$1,tabela_registros[DIA],reservaoutrosconsolidadomai[[#Headers],[4]],tabela_registros[REGISTRO],DADOS!$N$6,tabela_registros[TIPO],DADOS!$AJ$5,tabela_registros[CATEGORIA],reservaoutrosconsolidadomai[[#This Row],[ATUAL]])</f>
        <v>0</v>
      </c>
      <c r="I206" s="91">
        <f>SUMIFS(tabela_registros[VALOR],tabela_registros[MÊS],$AE$1,tabela_registros[DIA],reservaoutrosconsolidadomai[[#Headers],[5]],tabela_registros[REGISTRO],DADOS!$N$6,tabela_registros[TIPO],DADOS!$AJ$5,tabela_registros[CATEGORIA],reservaoutrosconsolidadomai[[#This Row],[ATUAL]])</f>
        <v>0</v>
      </c>
      <c r="J206" s="91">
        <f>SUMIFS(tabela_registros[VALOR],tabela_registros[MÊS],$AE$1,tabela_registros[DIA],reservaoutrosconsolidadomai[[#Headers],[6]],tabela_registros[REGISTRO],DADOS!$N$6,tabela_registros[TIPO],DADOS!$AJ$5,tabela_registros[CATEGORIA],reservaoutrosconsolidadomai[[#This Row],[ATUAL]])</f>
        <v>0</v>
      </c>
      <c r="K206" s="91">
        <f>SUMIFS(tabela_registros[VALOR],tabela_registros[MÊS],$AE$1,tabela_registros[DIA],reservaoutrosconsolidadomai[[#Headers],[7]],tabela_registros[REGISTRO],DADOS!$N$6,tabela_registros[TIPO],DADOS!$AJ$5,tabela_registros[CATEGORIA],reservaoutrosconsolidadomai[[#This Row],[ATUAL]])</f>
        <v>0</v>
      </c>
      <c r="L206" s="91">
        <f>SUMIFS(tabela_registros[VALOR],tabela_registros[MÊS],$AE$1,tabela_registros[DIA],reservaoutrosconsolidadomai[[#Headers],[8]],tabela_registros[REGISTRO],DADOS!$N$6,tabela_registros[TIPO],DADOS!$AJ$5,tabela_registros[CATEGORIA],reservaoutrosconsolidadomai[[#This Row],[ATUAL]])</f>
        <v>0</v>
      </c>
      <c r="M206" s="91">
        <f>SUMIFS(tabela_registros[VALOR],tabela_registros[MÊS],$AE$1,tabela_registros[DIA],reservaoutrosconsolidadomai[[#Headers],[9]],tabela_registros[REGISTRO],DADOS!$N$6,tabela_registros[TIPO],DADOS!$AJ$5,tabela_registros[CATEGORIA],reservaoutrosconsolidadomai[[#This Row],[ATUAL]])</f>
        <v>0</v>
      </c>
      <c r="N206" s="91">
        <f>SUMIFS(tabela_registros[VALOR],tabela_registros[MÊS],$AE$1,tabela_registros[DIA],reservaoutrosconsolidadomai[[#Headers],[10]],tabela_registros[REGISTRO],DADOS!$N$6,tabela_registros[TIPO],DADOS!$AJ$5,tabela_registros[CATEGORIA],reservaoutrosconsolidadomai[[#This Row],[ATUAL]])</f>
        <v>0</v>
      </c>
      <c r="O206" s="91">
        <f>SUMIFS(tabela_registros[VALOR],tabela_registros[MÊS],$AE$1,tabela_registros[DIA],reservaoutrosconsolidadomai[[#Headers],[11]],tabela_registros[REGISTRO],DADOS!$N$6,tabela_registros[TIPO],DADOS!$AJ$5,tabela_registros[CATEGORIA],reservaoutrosconsolidadomai[[#This Row],[ATUAL]])</f>
        <v>0</v>
      </c>
      <c r="P206" s="91">
        <f>SUMIFS(tabela_registros[VALOR],tabela_registros[MÊS],$AE$1,tabela_registros[DIA],reservaoutrosconsolidadomai[[#Headers],[12]],tabela_registros[REGISTRO],DADOS!$N$6,tabela_registros[TIPO],DADOS!$AJ$5,tabela_registros[CATEGORIA],reservaoutrosconsolidadomai[[#This Row],[ATUAL]])</f>
        <v>0</v>
      </c>
      <c r="Q206" s="91">
        <f>SUMIFS(tabela_registros[VALOR],tabela_registros[MÊS],$AE$1,tabela_registros[DIA],reservaoutrosconsolidadomai[[#Headers],[13]],tabela_registros[REGISTRO],DADOS!$N$6,tabela_registros[TIPO],DADOS!$AJ$5,tabela_registros[CATEGORIA],reservaoutrosconsolidadomai[[#This Row],[ATUAL]])</f>
        <v>0</v>
      </c>
      <c r="R206" s="91">
        <f>SUMIFS(tabela_registros[VALOR],tabela_registros[MÊS],$AE$1,tabela_registros[DIA],reservaoutrosconsolidadomai[[#Headers],[14]],tabela_registros[REGISTRO],DADOS!$N$6,tabela_registros[TIPO],DADOS!$AJ$5,tabela_registros[CATEGORIA],reservaoutrosconsolidadomai[[#This Row],[ATUAL]])</f>
        <v>0</v>
      </c>
      <c r="S206" s="91">
        <f>SUMIFS(tabela_registros[VALOR],tabela_registros[MÊS],$AE$1,tabela_registros[DIA],reservaoutrosconsolidadomai[[#Headers],[15]],tabela_registros[REGISTRO],DADOS!$N$6,tabela_registros[TIPO],DADOS!$AJ$5,tabela_registros[CATEGORIA],reservaoutrosconsolidadomai[[#This Row],[ATUAL]])</f>
        <v>0</v>
      </c>
      <c r="T206" s="91">
        <f>SUMIFS(tabela_registros[VALOR],tabela_registros[MÊS],$AE$1,tabela_registros[DIA],reservaoutrosconsolidadomai[[#Headers],[16]],tabela_registros[REGISTRO],DADOS!$N$6,tabela_registros[TIPO],DADOS!$AJ$5,tabela_registros[CATEGORIA],reservaoutrosconsolidadomai[[#This Row],[ATUAL]])</f>
        <v>0</v>
      </c>
      <c r="U206" s="91">
        <f>SUMIFS(tabela_registros[VALOR],tabela_registros[MÊS],$AE$1,tabela_registros[DIA],reservaoutrosconsolidadomai[[#Headers],[17]],tabela_registros[REGISTRO],DADOS!$N$6,tabela_registros[TIPO],DADOS!$AJ$5,tabela_registros[CATEGORIA],reservaoutrosconsolidadomai[[#This Row],[ATUAL]])</f>
        <v>0</v>
      </c>
      <c r="V206" s="91">
        <f>SUMIFS(tabela_registros[VALOR],tabela_registros[MÊS],$AE$1,tabela_registros[DIA],reservaoutrosconsolidadomai[[#Headers],[18]],tabela_registros[REGISTRO],DADOS!$N$6,tabela_registros[TIPO],DADOS!$AJ$5,tabela_registros[CATEGORIA],reservaoutrosconsolidadomai[[#This Row],[ATUAL]])</f>
        <v>0</v>
      </c>
      <c r="W206" s="91">
        <f>SUMIFS(tabela_registros[VALOR],tabela_registros[MÊS],$AE$1,tabela_registros[DIA],reservaoutrosconsolidadomai[[#Headers],[19]],tabela_registros[REGISTRO],DADOS!$N$6,tabela_registros[TIPO],DADOS!$AJ$5,tabela_registros[CATEGORIA],reservaoutrosconsolidadomai[[#This Row],[ATUAL]])</f>
        <v>0</v>
      </c>
      <c r="X206" s="91">
        <f>SUMIFS(tabela_registros[VALOR],tabela_registros[MÊS],$AE$1,tabela_registros[DIA],reservaoutrosconsolidadomai[[#Headers],[20]],tabela_registros[REGISTRO],DADOS!$N$6,tabela_registros[TIPO],DADOS!$AJ$5,tabela_registros[CATEGORIA],reservaoutrosconsolidadomai[[#This Row],[ATUAL]])</f>
        <v>0</v>
      </c>
      <c r="Y206" s="91">
        <f>SUMIFS(tabela_registros[VALOR],tabela_registros[MÊS],$AE$1,tabela_registros[DIA],reservaoutrosconsolidadomai[[#Headers],[21]],tabela_registros[REGISTRO],DADOS!$N$6,tabela_registros[TIPO],DADOS!$AJ$5,tabela_registros[CATEGORIA],reservaoutrosconsolidadomai[[#This Row],[ATUAL]])</f>
        <v>0</v>
      </c>
      <c r="Z206" s="91">
        <f>SUMIFS(tabela_registros[VALOR],tabela_registros[MÊS],$AE$1,tabela_registros[DIA],reservaoutrosconsolidadomai[[#Headers],[22]],tabela_registros[REGISTRO],DADOS!$N$6,tabela_registros[TIPO],DADOS!$AJ$5,tabela_registros[CATEGORIA],reservaoutrosconsolidadomai[[#This Row],[ATUAL]])</f>
        <v>0</v>
      </c>
      <c r="AA206" s="91">
        <f>SUMIFS(tabela_registros[VALOR],tabela_registros[MÊS],$AE$1,tabela_registros[DIA],reservaoutrosconsolidadomai[[#Headers],[23]],tabela_registros[REGISTRO],DADOS!$N$6,tabela_registros[TIPO],DADOS!$AJ$5,tabela_registros[CATEGORIA],reservaoutrosconsolidadomai[[#This Row],[ATUAL]])</f>
        <v>0</v>
      </c>
      <c r="AB206" s="91">
        <f>SUMIFS(tabela_registros[VALOR],tabela_registros[MÊS],$AE$1,tabela_registros[DIA],reservaoutrosconsolidadomai[[#Headers],[24]],tabela_registros[REGISTRO],DADOS!$N$6,tabela_registros[TIPO],DADOS!$AJ$5,tabela_registros[CATEGORIA],reservaoutrosconsolidadomai[[#This Row],[ATUAL]])</f>
        <v>0</v>
      </c>
      <c r="AC206" s="91">
        <f>SUMIFS(tabela_registros[VALOR],tabela_registros[MÊS],$AE$1,tabela_registros[DIA],reservaoutrosconsolidadomai[[#Headers],[25]],tabela_registros[REGISTRO],DADOS!$N$6,tabela_registros[TIPO],DADOS!$AJ$5,tabela_registros[CATEGORIA],reservaoutrosconsolidadomai[[#This Row],[ATUAL]])</f>
        <v>0</v>
      </c>
      <c r="AD206" s="91">
        <f>SUMIFS(tabela_registros[VALOR],tabela_registros[MÊS],$AE$1,tabela_registros[DIA],reservaoutrosconsolidadomai[[#Headers],[26]],tabela_registros[REGISTRO],DADOS!$N$6,tabela_registros[TIPO],DADOS!$AJ$5,tabela_registros[CATEGORIA],reservaoutrosconsolidadomai[[#This Row],[ATUAL]])</f>
        <v>0</v>
      </c>
      <c r="AE206" s="91">
        <f>SUMIFS(tabela_registros[VALOR],tabela_registros[MÊS],$AE$1,tabela_registros[DIA],reservaoutrosconsolidadomai[[#Headers],[27]],tabela_registros[REGISTRO],DADOS!$N$6,tabela_registros[TIPO],DADOS!$AJ$5,tabela_registros[CATEGORIA],reservaoutrosconsolidadomai[[#This Row],[ATUAL]])</f>
        <v>0</v>
      </c>
      <c r="AF206" s="91">
        <f>SUMIFS(tabela_registros[VALOR],tabela_registros[MÊS],$AE$1,tabela_registros[DIA],reservaoutrosconsolidadomai[[#Headers],[28]],tabela_registros[REGISTRO],DADOS!$N$6,tabela_registros[TIPO],DADOS!$AJ$5,tabela_registros[CATEGORIA],reservaoutrosconsolidadomai[[#This Row],[ATUAL]])</f>
        <v>0</v>
      </c>
      <c r="AG206" s="91">
        <f>SUMIFS(tabela_registros[VALOR],tabela_registros[MÊS],$AE$1,tabela_registros[DIA],reservaoutrosconsolidadomai[[#Headers],[29]],tabela_registros[REGISTRO],DADOS!$N$6,tabela_registros[TIPO],DADOS!$AJ$5,tabela_registros[CATEGORIA],reservaoutrosconsolidadomai[[#This Row],[ATUAL]])</f>
        <v>0</v>
      </c>
      <c r="AH206" s="91">
        <f>SUMIFS(tabela_registros[VALOR],tabela_registros[MÊS],$AE$1,tabela_registros[DIA],reservaoutrosconsolidadomai[[#Headers],[30]],tabela_registros[REGISTRO],DADOS!$N$6,tabela_registros[TIPO],DADOS!$AJ$5,tabela_registros[CATEGORIA],reservaoutrosconsolidadomai[[#This Row],[ATUAL]])</f>
        <v>0</v>
      </c>
      <c r="AI206" s="101">
        <f>SUMIFS(tabela_registros[VALOR],tabela_registros[MÊS],$AE$1,tabela_registros[DIA],reservaoutrosconsolidadomai[[#Headers],[31]],tabela_registros[REGISTRO],DADOS!$N$6,tabela_registros[TIPO],DADOS!$AJ$5,tabela_registros[CATEGORIA],reservaoutrosconsolidadomai[[#This Row],[ATUAL]])</f>
        <v>0</v>
      </c>
      <c r="AJ206" s="97">
        <f>SUM(reservaoutrosconsolidadomai[[#This Row],[1]:[31]])</f>
        <v>0</v>
      </c>
      <c r="AK206" s="25"/>
    </row>
    <row r="207" spans="2:37" ht="19.5" customHeight="1" thickTop="1" thickBot="1" x14ac:dyDescent="0.3">
      <c r="B207" s="28"/>
      <c r="C207" s="27" t="str">
        <f>DADOS!$AP$4</f>
        <v>📝 FOREX</v>
      </c>
      <c r="D207" s="26" t="str">
        <f>IF(reservaoutrosconsolidadomai[[#This Row],[TOTAL (R$)]]=0,"",IF(OR(reservaoutrosconsolidadomai[[#This Row],[TOTAL (R$)]]=LARGE($AJ$206:$AJ$213,1),reservaoutrosconsolidadomai[[#This Row],[TOTAL (R$)]]=LARGE($AJ$206:$AJ$213,2)),DADOS!$I$11,""))</f>
        <v/>
      </c>
      <c r="E207" s="96">
        <f>SUMIFS(tabela_registros[VALOR],tabela_registros[MÊS],$AE$1,tabela_registros[DIA],reservaoutrosconsolidadomai[[#Headers],[1]],tabela_registros[REGISTRO],DADOS!$N$6,tabela_registros[TIPO],DADOS!$AJ$5,tabela_registros[CATEGORIA],reservaoutrosconsolidadomai[[#This Row],[ATUAL]])</f>
        <v>0</v>
      </c>
      <c r="F207" s="91">
        <f>SUMIFS(tabela_registros[VALOR],tabela_registros[MÊS],$AE$1,tabela_registros[DIA],reservaoutrosconsolidadomai[[#Headers],[2]],tabela_registros[REGISTRO],DADOS!$N$6,tabela_registros[TIPO],DADOS!$AJ$5,tabela_registros[CATEGORIA],reservaoutrosconsolidadomai[[#This Row],[ATUAL]])</f>
        <v>0</v>
      </c>
      <c r="G207" s="91">
        <f>SUMIFS(tabela_registros[VALOR],tabela_registros[MÊS],$AE$1,tabela_registros[DIA],reservaoutrosconsolidadomai[[#Headers],[3]],tabela_registros[REGISTRO],DADOS!$N$6,tabela_registros[TIPO],DADOS!$AJ$5,tabela_registros[CATEGORIA],reservaoutrosconsolidadomai[[#This Row],[ATUAL]])</f>
        <v>0</v>
      </c>
      <c r="H207" s="91">
        <f>SUMIFS(tabela_registros[VALOR],tabela_registros[MÊS],$AE$1,tabela_registros[DIA],reservaoutrosconsolidadomai[[#Headers],[4]],tabela_registros[REGISTRO],DADOS!$N$6,tabela_registros[TIPO],DADOS!$AJ$5,tabela_registros[CATEGORIA],reservaoutrosconsolidadomai[[#This Row],[ATUAL]])</f>
        <v>0</v>
      </c>
      <c r="I207" s="91">
        <f>SUMIFS(tabela_registros[VALOR],tabela_registros[MÊS],$AE$1,tabela_registros[DIA],reservaoutrosconsolidadomai[[#Headers],[5]],tabela_registros[REGISTRO],DADOS!$N$6,tabela_registros[TIPO],DADOS!$AJ$5,tabela_registros[CATEGORIA],reservaoutrosconsolidadomai[[#This Row],[ATUAL]])</f>
        <v>0</v>
      </c>
      <c r="J207" s="91">
        <f>SUMIFS(tabela_registros[VALOR],tabela_registros[MÊS],$AE$1,tabela_registros[DIA],reservaoutrosconsolidadomai[[#Headers],[6]],tabela_registros[REGISTRO],DADOS!$N$6,tabela_registros[TIPO],DADOS!$AJ$5,tabela_registros[CATEGORIA],reservaoutrosconsolidadomai[[#This Row],[ATUAL]])</f>
        <v>0</v>
      </c>
      <c r="K207" s="91">
        <f>SUMIFS(tabela_registros[VALOR],tabela_registros[MÊS],$AE$1,tabela_registros[DIA],reservaoutrosconsolidadomai[[#Headers],[7]],tabela_registros[REGISTRO],DADOS!$N$6,tabela_registros[TIPO],DADOS!$AJ$5,tabela_registros[CATEGORIA],reservaoutrosconsolidadomai[[#This Row],[ATUAL]])</f>
        <v>0</v>
      </c>
      <c r="L207" s="91">
        <f>SUMIFS(tabela_registros[VALOR],tabela_registros[MÊS],$AE$1,tabela_registros[DIA],reservaoutrosconsolidadomai[[#Headers],[8]],tabela_registros[REGISTRO],DADOS!$N$6,tabela_registros[TIPO],DADOS!$AJ$5,tabela_registros[CATEGORIA],reservaoutrosconsolidadomai[[#This Row],[ATUAL]])</f>
        <v>0</v>
      </c>
      <c r="M207" s="91">
        <f>SUMIFS(tabela_registros[VALOR],tabela_registros[MÊS],$AE$1,tabela_registros[DIA],reservaoutrosconsolidadomai[[#Headers],[9]],tabela_registros[REGISTRO],DADOS!$N$6,tabela_registros[TIPO],DADOS!$AJ$5,tabela_registros[CATEGORIA],reservaoutrosconsolidadomai[[#This Row],[ATUAL]])</f>
        <v>0</v>
      </c>
      <c r="N207" s="91">
        <f>SUMIFS(tabela_registros[VALOR],tabela_registros[MÊS],$AE$1,tabela_registros[DIA],reservaoutrosconsolidadomai[[#Headers],[10]],tabela_registros[REGISTRO],DADOS!$N$6,tabela_registros[TIPO],DADOS!$AJ$5,tabela_registros[CATEGORIA],reservaoutrosconsolidadomai[[#This Row],[ATUAL]])</f>
        <v>0</v>
      </c>
      <c r="O207" s="91">
        <f>SUMIFS(tabela_registros[VALOR],tabela_registros[MÊS],$AE$1,tabela_registros[DIA],reservaoutrosconsolidadomai[[#Headers],[11]],tabela_registros[REGISTRO],DADOS!$N$6,tabela_registros[TIPO],DADOS!$AJ$5,tabela_registros[CATEGORIA],reservaoutrosconsolidadomai[[#This Row],[ATUAL]])</f>
        <v>0</v>
      </c>
      <c r="P207" s="91">
        <f>SUMIFS(tabela_registros[VALOR],tabela_registros[MÊS],$AE$1,tabela_registros[DIA],reservaoutrosconsolidadomai[[#Headers],[12]],tabela_registros[REGISTRO],DADOS!$N$6,tabela_registros[TIPO],DADOS!$AJ$5,tabela_registros[CATEGORIA],reservaoutrosconsolidadomai[[#This Row],[ATUAL]])</f>
        <v>0</v>
      </c>
      <c r="Q207" s="91">
        <f>SUMIFS(tabela_registros[VALOR],tabela_registros[MÊS],$AE$1,tabela_registros[DIA],reservaoutrosconsolidadomai[[#Headers],[13]],tabela_registros[REGISTRO],DADOS!$N$6,tabela_registros[TIPO],DADOS!$AJ$5,tabela_registros[CATEGORIA],reservaoutrosconsolidadomai[[#This Row],[ATUAL]])</f>
        <v>0</v>
      </c>
      <c r="R207" s="91">
        <f>SUMIFS(tabela_registros[VALOR],tabela_registros[MÊS],$AE$1,tabela_registros[DIA],reservaoutrosconsolidadomai[[#Headers],[14]],tabela_registros[REGISTRO],DADOS!$N$6,tabela_registros[TIPO],DADOS!$AJ$5,tabela_registros[CATEGORIA],reservaoutrosconsolidadomai[[#This Row],[ATUAL]])</f>
        <v>0</v>
      </c>
      <c r="S207" s="91">
        <f>SUMIFS(tabela_registros[VALOR],tabela_registros[MÊS],$AE$1,tabela_registros[DIA],reservaoutrosconsolidadomai[[#Headers],[15]],tabela_registros[REGISTRO],DADOS!$N$6,tabela_registros[TIPO],DADOS!$AJ$5,tabela_registros[CATEGORIA],reservaoutrosconsolidadomai[[#This Row],[ATUAL]])</f>
        <v>0</v>
      </c>
      <c r="T207" s="91">
        <f>SUMIFS(tabela_registros[VALOR],tabela_registros[MÊS],$AE$1,tabela_registros[DIA],reservaoutrosconsolidadomai[[#Headers],[16]],tabela_registros[REGISTRO],DADOS!$N$6,tabela_registros[TIPO],DADOS!$AJ$5,tabela_registros[CATEGORIA],reservaoutrosconsolidadomai[[#This Row],[ATUAL]])</f>
        <v>0</v>
      </c>
      <c r="U207" s="91">
        <f>SUMIFS(tabela_registros[VALOR],tabela_registros[MÊS],$AE$1,tabela_registros[DIA],reservaoutrosconsolidadomai[[#Headers],[17]],tabela_registros[REGISTRO],DADOS!$N$6,tabela_registros[TIPO],DADOS!$AJ$5,tabela_registros[CATEGORIA],reservaoutrosconsolidadomai[[#This Row],[ATUAL]])</f>
        <v>0</v>
      </c>
      <c r="V207" s="91">
        <f>SUMIFS(tabela_registros[VALOR],tabela_registros[MÊS],$AE$1,tabela_registros[DIA],reservaoutrosconsolidadomai[[#Headers],[18]],tabela_registros[REGISTRO],DADOS!$N$6,tabela_registros[TIPO],DADOS!$AJ$5,tabela_registros[CATEGORIA],reservaoutrosconsolidadomai[[#This Row],[ATUAL]])</f>
        <v>0</v>
      </c>
      <c r="W207" s="91">
        <f>SUMIFS(tabela_registros[VALOR],tabela_registros[MÊS],$AE$1,tabela_registros[DIA],reservaoutrosconsolidadomai[[#Headers],[19]],tabela_registros[REGISTRO],DADOS!$N$6,tabela_registros[TIPO],DADOS!$AJ$5,tabela_registros[CATEGORIA],reservaoutrosconsolidadomai[[#This Row],[ATUAL]])</f>
        <v>0</v>
      </c>
      <c r="X207" s="91">
        <f>SUMIFS(tabela_registros[VALOR],tabela_registros[MÊS],$AE$1,tabela_registros[DIA],reservaoutrosconsolidadomai[[#Headers],[20]],tabela_registros[REGISTRO],DADOS!$N$6,tabela_registros[TIPO],DADOS!$AJ$5,tabela_registros[CATEGORIA],reservaoutrosconsolidadomai[[#This Row],[ATUAL]])</f>
        <v>0</v>
      </c>
      <c r="Y207" s="91">
        <f>SUMIFS(tabela_registros[VALOR],tabela_registros[MÊS],$AE$1,tabela_registros[DIA],reservaoutrosconsolidadomai[[#Headers],[21]],tabela_registros[REGISTRO],DADOS!$N$6,tabela_registros[TIPO],DADOS!$AJ$5,tabela_registros[CATEGORIA],reservaoutrosconsolidadomai[[#This Row],[ATUAL]])</f>
        <v>0</v>
      </c>
      <c r="Z207" s="91">
        <f>SUMIFS(tabela_registros[VALOR],tabela_registros[MÊS],$AE$1,tabela_registros[DIA],reservaoutrosconsolidadomai[[#Headers],[22]],tabela_registros[REGISTRO],DADOS!$N$6,tabela_registros[TIPO],DADOS!$AJ$5,tabela_registros[CATEGORIA],reservaoutrosconsolidadomai[[#This Row],[ATUAL]])</f>
        <v>0</v>
      </c>
      <c r="AA207" s="91">
        <f>SUMIFS(tabela_registros[VALOR],tabela_registros[MÊS],$AE$1,tabela_registros[DIA],reservaoutrosconsolidadomai[[#Headers],[23]],tabela_registros[REGISTRO],DADOS!$N$6,tabela_registros[TIPO],DADOS!$AJ$5,tabela_registros[CATEGORIA],reservaoutrosconsolidadomai[[#This Row],[ATUAL]])</f>
        <v>0</v>
      </c>
      <c r="AB207" s="91">
        <f>SUMIFS(tabela_registros[VALOR],tabela_registros[MÊS],$AE$1,tabela_registros[DIA],reservaoutrosconsolidadomai[[#Headers],[24]],tabela_registros[REGISTRO],DADOS!$N$6,tabela_registros[TIPO],DADOS!$AJ$5,tabela_registros[CATEGORIA],reservaoutrosconsolidadomai[[#This Row],[ATUAL]])</f>
        <v>0</v>
      </c>
      <c r="AC207" s="91">
        <f>SUMIFS(tabela_registros[VALOR],tabela_registros[MÊS],$AE$1,tabela_registros[DIA],reservaoutrosconsolidadomai[[#Headers],[25]],tabela_registros[REGISTRO],DADOS!$N$6,tabela_registros[TIPO],DADOS!$AJ$5,tabela_registros[CATEGORIA],reservaoutrosconsolidadomai[[#This Row],[ATUAL]])</f>
        <v>0</v>
      </c>
      <c r="AD207" s="91">
        <f>SUMIFS(tabela_registros[VALOR],tabela_registros[MÊS],$AE$1,tabela_registros[DIA],reservaoutrosconsolidadomai[[#Headers],[26]],tabela_registros[REGISTRO],DADOS!$N$6,tabela_registros[TIPO],DADOS!$AJ$5,tabela_registros[CATEGORIA],reservaoutrosconsolidadomai[[#This Row],[ATUAL]])</f>
        <v>0</v>
      </c>
      <c r="AE207" s="91">
        <f>SUMIFS(tabela_registros[VALOR],tabela_registros[MÊS],$AE$1,tabela_registros[DIA],reservaoutrosconsolidadomai[[#Headers],[27]],tabela_registros[REGISTRO],DADOS!$N$6,tabela_registros[TIPO],DADOS!$AJ$5,tabela_registros[CATEGORIA],reservaoutrosconsolidadomai[[#This Row],[ATUAL]])</f>
        <v>0</v>
      </c>
      <c r="AF207" s="91">
        <f>SUMIFS(tabela_registros[VALOR],tabela_registros[MÊS],$AE$1,tabela_registros[DIA],reservaoutrosconsolidadomai[[#Headers],[28]],tabela_registros[REGISTRO],DADOS!$N$6,tabela_registros[TIPO],DADOS!$AJ$5,tabela_registros[CATEGORIA],reservaoutrosconsolidadomai[[#This Row],[ATUAL]])</f>
        <v>0</v>
      </c>
      <c r="AG207" s="91">
        <f>SUMIFS(tabela_registros[VALOR],tabela_registros[MÊS],$AE$1,tabela_registros[DIA],reservaoutrosconsolidadomai[[#Headers],[29]],tabela_registros[REGISTRO],DADOS!$N$6,tabela_registros[TIPO],DADOS!$AJ$5,tabela_registros[CATEGORIA],reservaoutrosconsolidadomai[[#This Row],[ATUAL]])</f>
        <v>0</v>
      </c>
      <c r="AH207" s="91">
        <f>SUMIFS(tabela_registros[VALOR],tabela_registros[MÊS],$AE$1,tabela_registros[DIA],reservaoutrosconsolidadomai[[#Headers],[30]],tabela_registros[REGISTRO],DADOS!$N$6,tabela_registros[TIPO],DADOS!$AJ$5,tabela_registros[CATEGORIA],reservaoutrosconsolidadomai[[#This Row],[ATUAL]])</f>
        <v>0</v>
      </c>
      <c r="AI207" s="101">
        <f>SUMIFS(tabela_registros[VALOR],tabela_registros[MÊS],$AE$1,tabela_registros[DIA],reservaoutrosconsolidadomai[[#Headers],[31]],tabela_registros[REGISTRO],DADOS!$N$6,tabela_registros[TIPO],DADOS!$AJ$5,tabela_registros[CATEGORIA],reservaoutrosconsolidadomai[[#This Row],[ATUAL]])</f>
        <v>0</v>
      </c>
      <c r="AJ207" s="97">
        <f>SUM(reservaoutrosconsolidadomai[[#This Row],[1]:[31]])</f>
        <v>0</v>
      </c>
      <c r="AK207" s="25"/>
    </row>
    <row r="208" spans="2:37" ht="19.5" customHeight="1" thickTop="1" thickBot="1" x14ac:dyDescent="0.3">
      <c r="B208" s="28"/>
      <c r="C208" s="27" t="str">
        <f>DADOS!$AP$5</f>
        <v>📝 FUNDO DE INVESTIMENTO</v>
      </c>
      <c r="D208" s="26" t="str">
        <f>IF(reservaoutrosconsolidadomai[[#This Row],[TOTAL (R$)]]=0,"",IF(OR(reservaoutrosconsolidadomai[[#This Row],[TOTAL (R$)]]=LARGE($AJ$206:$AJ$213,1),reservaoutrosconsolidadomai[[#This Row],[TOTAL (R$)]]=LARGE($AJ$206:$AJ$213,2)),DADOS!$I$11,""))</f>
        <v/>
      </c>
      <c r="E208" s="96">
        <f>SUMIFS(tabela_registros[VALOR],tabela_registros[MÊS],$AE$1,tabela_registros[DIA],reservaoutrosconsolidadomai[[#Headers],[1]],tabela_registros[REGISTRO],DADOS!$N$6,tabela_registros[TIPO],DADOS!$AJ$5,tabela_registros[CATEGORIA],reservaoutrosconsolidadomai[[#This Row],[ATUAL]])</f>
        <v>0</v>
      </c>
      <c r="F208" s="91">
        <f>SUMIFS(tabela_registros[VALOR],tabela_registros[MÊS],$AE$1,tabela_registros[DIA],reservaoutrosconsolidadomai[[#Headers],[2]],tabela_registros[REGISTRO],DADOS!$N$6,tabela_registros[TIPO],DADOS!$AJ$5,tabela_registros[CATEGORIA],reservaoutrosconsolidadomai[[#This Row],[ATUAL]])</f>
        <v>0</v>
      </c>
      <c r="G208" s="91">
        <f>SUMIFS(tabela_registros[VALOR],tabela_registros[MÊS],$AE$1,tabela_registros[DIA],reservaoutrosconsolidadomai[[#Headers],[3]],tabela_registros[REGISTRO],DADOS!$N$6,tabela_registros[TIPO],DADOS!$AJ$5,tabela_registros[CATEGORIA],reservaoutrosconsolidadomai[[#This Row],[ATUAL]])</f>
        <v>0</v>
      </c>
      <c r="H208" s="91">
        <f>SUMIFS(tabela_registros[VALOR],tabela_registros[MÊS],$AE$1,tabela_registros[DIA],reservaoutrosconsolidadomai[[#Headers],[4]],tabela_registros[REGISTRO],DADOS!$N$6,tabela_registros[TIPO],DADOS!$AJ$5,tabela_registros[CATEGORIA],reservaoutrosconsolidadomai[[#This Row],[ATUAL]])</f>
        <v>0</v>
      </c>
      <c r="I208" s="91">
        <f>SUMIFS(tabela_registros[VALOR],tabela_registros[MÊS],$AE$1,tabela_registros[DIA],reservaoutrosconsolidadomai[[#Headers],[5]],tabela_registros[REGISTRO],DADOS!$N$6,tabela_registros[TIPO],DADOS!$AJ$5,tabela_registros[CATEGORIA],reservaoutrosconsolidadomai[[#This Row],[ATUAL]])</f>
        <v>0</v>
      </c>
      <c r="J208" s="91">
        <f>SUMIFS(tabela_registros[VALOR],tabela_registros[MÊS],$AE$1,tabela_registros[DIA],reservaoutrosconsolidadomai[[#Headers],[6]],tabela_registros[REGISTRO],DADOS!$N$6,tabela_registros[TIPO],DADOS!$AJ$5,tabela_registros[CATEGORIA],reservaoutrosconsolidadomai[[#This Row],[ATUAL]])</f>
        <v>0</v>
      </c>
      <c r="K208" s="91">
        <f>SUMIFS(tabela_registros[VALOR],tabela_registros[MÊS],$AE$1,tabela_registros[DIA],reservaoutrosconsolidadomai[[#Headers],[7]],tabela_registros[REGISTRO],DADOS!$N$6,tabela_registros[TIPO],DADOS!$AJ$5,tabela_registros[CATEGORIA],reservaoutrosconsolidadomai[[#This Row],[ATUAL]])</f>
        <v>0</v>
      </c>
      <c r="L208" s="91">
        <f>SUMIFS(tabela_registros[VALOR],tabela_registros[MÊS],$AE$1,tabela_registros[DIA],reservaoutrosconsolidadomai[[#Headers],[8]],tabela_registros[REGISTRO],DADOS!$N$6,tabela_registros[TIPO],DADOS!$AJ$5,tabela_registros[CATEGORIA],reservaoutrosconsolidadomai[[#This Row],[ATUAL]])</f>
        <v>0</v>
      </c>
      <c r="M208" s="91">
        <f>SUMIFS(tabela_registros[VALOR],tabela_registros[MÊS],$AE$1,tabela_registros[DIA],reservaoutrosconsolidadomai[[#Headers],[9]],tabela_registros[REGISTRO],DADOS!$N$6,tabela_registros[TIPO],DADOS!$AJ$5,tabela_registros[CATEGORIA],reservaoutrosconsolidadomai[[#This Row],[ATUAL]])</f>
        <v>0</v>
      </c>
      <c r="N208" s="91">
        <f>SUMIFS(tabela_registros[VALOR],tabela_registros[MÊS],$AE$1,tabela_registros[DIA],reservaoutrosconsolidadomai[[#Headers],[10]],tabela_registros[REGISTRO],DADOS!$N$6,tabela_registros[TIPO],DADOS!$AJ$5,tabela_registros[CATEGORIA],reservaoutrosconsolidadomai[[#This Row],[ATUAL]])</f>
        <v>0</v>
      </c>
      <c r="O208" s="91">
        <f>SUMIFS(tabela_registros[VALOR],tabela_registros[MÊS],$AE$1,tabela_registros[DIA],reservaoutrosconsolidadomai[[#Headers],[11]],tabela_registros[REGISTRO],DADOS!$N$6,tabela_registros[TIPO],DADOS!$AJ$5,tabela_registros[CATEGORIA],reservaoutrosconsolidadomai[[#This Row],[ATUAL]])</f>
        <v>0</v>
      </c>
      <c r="P208" s="91">
        <f>SUMIFS(tabela_registros[VALOR],tabela_registros[MÊS],$AE$1,tabela_registros[DIA],reservaoutrosconsolidadomai[[#Headers],[12]],tabela_registros[REGISTRO],DADOS!$N$6,tabela_registros[TIPO],DADOS!$AJ$5,tabela_registros[CATEGORIA],reservaoutrosconsolidadomai[[#This Row],[ATUAL]])</f>
        <v>0</v>
      </c>
      <c r="Q208" s="91">
        <f>SUMIFS(tabela_registros[VALOR],tabela_registros[MÊS],$AE$1,tabela_registros[DIA],reservaoutrosconsolidadomai[[#Headers],[13]],tabela_registros[REGISTRO],DADOS!$N$6,tabela_registros[TIPO],DADOS!$AJ$5,tabela_registros[CATEGORIA],reservaoutrosconsolidadomai[[#This Row],[ATUAL]])</f>
        <v>0</v>
      </c>
      <c r="R208" s="91">
        <f>SUMIFS(tabela_registros[VALOR],tabela_registros[MÊS],$AE$1,tabela_registros[DIA],reservaoutrosconsolidadomai[[#Headers],[14]],tabela_registros[REGISTRO],DADOS!$N$6,tabela_registros[TIPO],DADOS!$AJ$5,tabela_registros[CATEGORIA],reservaoutrosconsolidadomai[[#This Row],[ATUAL]])</f>
        <v>0</v>
      </c>
      <c r="S208" s="91">
        <f>SUMIFS(tabela_registros[VALOR],tabela_registros[MÊS],$AE$1,tabela_registros[DIA],reservaoutrosconsolidadomai[[#Headers],[15]],tabela_registros[REGISTRO],DADOS!$N$6,tabela_registros[TIPO],DADOS!$AJ$5,tabela_registros[CATEGORIA],reservaoutrosconsolidadomai[[#This Row],[ATUAL]])</f>
        <v>0</v>
      </c>
      <c r="T208" s="91">
        <f>SUMIFS(tabela_registros[VALOR],tabela_registros[MÊS],$AE$1,tabela_registros[DIA],reservaoutrosconsolidadomai[[#Headers],[16]],tabela_registros[REGISTRO],DADOS!$N$6,tabela_registros[TIPO],DADOS!$AJ$5,tabela_registros[CATEGORIA],reservaoutrosconsolidadomai[[#This Row],[ATUAL]])</f>
        <v>0</v>
      </c>
      <c r="U208" s="91">
        <f>SUMIFS(tabela_registros[VALOR],tabela_registros[MÊS],$AE$1,tabela_registros[DIA],reservaoutrosconsolidadomai[[#Headers],[17]],tabela_registros[REGISTRO],DADOS!$N$6,tabela_registros[TIPO],DADOS!$AJ$5,tabela_registros[CATEGORIA],reservaoutrosconsolidadomai[[#This Row],[ATUAL]])</f>
        <v>0</v>
      </c>
      <c r="V208" s="91">
        <f>SUMIFS(tabela_registros[VALOR],tabela_registros[MÊS],$AE$1,tabela_registros[DIA],reservaoutrosconsolidadomai[[#Headers],[18]],tabela_registros[REGISTRO],DADOS!$N$6,tabela_registros[TIPO],DADOS!$AJ$5,tabela_registros[CATEGORIA],reservaoutrosconsolidadomai[[#This Row],[ATUAL]])</f>
        <v>0</v>
      </c>
      <c r="W208" s="91">
        <f>SUMIFS(tabela_registros[VALOR],tabela_registros[MÊS],$AE$1,tabela_registros[DIA],reservaoutrosconsolidadomai[[#Headers],[19]],tabela_registros[REGISTRO],DADOS!$N$6,tabela_registros[TIPO],DADOS!$AJ$5,tabela_registros[CATEGORIA],reservaoutrosconsolidadomai[[#This Row],[ATUAL]])</f>
        <v>0</v>
      </c>
      <c r="X208" s="91">
        <f>SUMIFS(tabela_registros[VALOR],tabela_registros[MÊS],$AE$1,tabela_registros[DIA],reservaoutrosconsolidadomai[[#Headers],[20]],tabela_registros[REGISTRO],DADOS!$N$6,tabela_registros[TIPO],DADOS!$AJ$5,tabela_registros[CATEGORIA],reservaoutrosconsolidadomai[[#This Row],[ATUAL]])</f>
        <v>0</v>
      </c>
      <c r="Y208" s="91">
        <f>SUMIFS(tabela_registros[VALOR],tabela_registros[MÊS],$AE$1,tabela_registros[DIA],reservaoutrosconsolidadomai[[#Headers],[21]],tabela_registros[REGISTRO],DADOS!$N$6,tabela_registros[TIPO],DADOS!$AJ$5,tabela_registros[CATEGORIA],reservaoutrosconsolidadomai[[#This Row],[ATUAL]])</f>
        <v>0</v>
      </c>
      <c r="Z208" s="91">
        <f>SUMIFS(tabela_registros[VALOR],tabela_registros[MÊS],$AE$1,tabela_registros[DIA],reservaoutrosconsolidadomai[[#Headers],[22]],tabela_registros[REGISTRO],DADOS!$N$6,tabela_registros[TIPO],DADOS!$AJ$5,tabela_registros[CATEGORIA],reservaoutrosconsolidadomai[[#This Row],[ATUAL]])</f>
        <v>0</v>
      </c>
      <c r="AA208" s="91">
        <f>SUMIFS(tabela_registros[VALOR],tabela_registros[MÊS],$AE$1,tabela_registros[DIA],reservaoutrosconsolidadomai[[#Headers],[23]],tabela_registros[REGISTRO],DADOS!$N$6,tabela_registros[TIPO],DADOS!$AJ$5,tabela_registros[CATEGORIA],reservaoutrosconsolidadomai[[#This Row],[ATUAL]])</f>
        <v>0</v>
      </c>
      <c r="AB208" s="91">
        <f>SUMIFS(tabela_registros[VALOR],tabela_registros[MÊS],$AE$1,tabela_registros[DIA],reservaoutrosconsolidadomai[[#Headers],[24]],tabela_registros[REGISTRO],DADOS!$N$6,tabela_registros[TIPO],DADOS!$AJ$5,tabela_registros[CATEGORIA],reservaoutrosconsolidadomai[[#This Row],[ATUAL]])</f>
        <v>0</v>
      </c>
      <c r="AC208" s="91">
        <f>SUMIFS(tabela_registros[VALOR],tabela_registros[MÊS],$AE$1,tabela_registros[DIA],reservaoutrosconsolidadomai[[#Headers],[25]],tabela_registros[REGISTRO],DADOS!$N$6,tabela_registros[TIPO],DADOS!$AJ$5,tabela_registros[CATEGORIA],reservaoutrosconsolidadomai[[#This Row],[ATUAL]])</f>
        <v>0</v>
      </c>
      <c r="AD208" s="91">
        <f>SUMIFS(tabela_registros[VALOR],tabela_registros[MÊS],$AE$1,tabela_registros[DIA],reservaoutrosconsolidadomai[[#Headers],[26]],tabela_registros[REGISTRO],DADOS!$N$6,tabela_registros[TIPO],DADOS!$AJ$5,tabela_registros[CATEGORIA],reservaoutrosconsolidadomai[[#This Row],[ATUAL]])</f>
        <v>0</v>
      </c>
      <c r="AE208" s="91">
        <f>SUMIFS(tabela_registros[VALOR],tabela_registros[MÊS],$AE$1,tabela_registros[DIA],reservaoutrosconsolidadomai[[#Headers],[27]],tabela_registros[REGISTRO],DADOS!$N$6,tabela_registros[TIPO],DADOS!$AJ$5,tabela_registros[CATEGORIA],reservaoutrosconsolidadomai[[#This Row],[ATUAL]])</f>
        <v>0</v>
      </c>
      <c r="AF208" s="91">
        <f>SUMIFS(tabela_registros[VALOR],tabela_registros[MÊS],$AE$1,tabela_registros[DIA],reservaoutrosconsolidadomai[[#Headers],[28]],tabela_registros[REGISTRO],DADOS!$N$6,tabela_registros[TIPO],DADOS!$AJ$5,tabela_registros[CATEGORIA],reservaoutrosconsolidadomai[[#This Row],[ATUAL]])</f>
        <v>0</v>
      </c>
      <c r="AG208" s="91">
        <f>SUMIFS(tabela_registros[VALOR],tabela_registros[MÊS],$AE$1,tabela_registros[DIA],reservaoutrosconsolidadomai[[#Headers],[29]],tabela_registros[REGISTRO],DADOS!$N$6,tabela_registros[TIPO],DADOS!$AJ$5,tabela_registros[CATEGORIA],reservaoutrosconsolidadomai[[#This Row],[ATUAL]])</f>
        <v>0</v>
      </c>
      <c r="AH208" s="91">
        <f>SUMIFS(tabela_registros[VALOR],tabela_registros[MÊS],$AE$1,tabela_registros[DIA],reservaoutrosconsolidadomai[[#Headers],[30]],tabela_registros[REGISTRO],DADOS!$N$6,tabela_registros[TIPO],DADOS!$AJ$5,tabela_registros[CATEGORIA],reservaoutrosconsolidadomai[[#This Row],[ATUAL]])</f>
        <v>0</v>
      </c>
      <c r="AI208" s="101">
        <f>SUMIFS(tabela_registros[VALOR],tabela_registros[MÊS],$AE$1,tabela_registros[DIA],reservaoutrosconsolidadomai[[#Headers],[31]],tabela_registros[REGISTRO],DADOS!$N$6,tabela_registros[TIPO],DADOS!$AJ$5,tabela_registros[CATEGORIA],reservaoutrosconsolidadomai[[#This Row],[ATUAL]])</f>
        <v>0</v>
      </c>
      <c r="AJ208" s="97">
        <f>SUM(reservaoutrosconsolidadomai[[#This Row],[1]:[31]])</f>
        <v>0</v>
      </c>
      <c r="AK208" s="25"/>
    </row>
    <row r="209" spans="2:37" ht="19.5" customHeight="1" thickTop="1" thickBot="1" x14ac:dyDescent="0.3">
      <c r="B209" s="28"/>
      <c r="C209" s="27" t="str">
        <f>DADOS!$AP$6</f>
        <v>📝 NOVA EMPRESA</v>
      </c>
      <c r="D209" s="26" t="str">
        <f>IF(reservaoutrosconsolidadomai[[#This Row],[TOTAL (R$)]]=0,"",IF(OR(reservaoutrosconsolidadomai[[#This Row],[TOTAL (R$)]]=LARGE($AJ$206:$AJ$213,1),reservaoutrosconsolidadomai[[#This Row],[TOTAL (R$)]]=LARGE($AJ$206:$AJ$213,2)),DADOS!$I$11,""))</f>
        <v/>
      </c>
      <c r="E209" s="96">
        <f>SUMIFS(tabela_registros[VALOR],tabela_registros[MÊS],$AE$1,tabela_registros[DIA],reservaoutrosconsolidadomai[[#Headers],[1]],tabela_registros[REGISTRO],DADOS!$N$6,tabela_registros[TIPO],DADOS!$AJ$5,tabela_registros[CATEGORIA],reservaoutrosconsolidadomai[[#This Row],[ATUAL]])</f>
        <v>0</v>
      </c>
      <c r="F209" s="91">
        <f>SUMIFS(tabela_registros[VALOR],tabela_registros[MÊS],$AE$1,tabela_registros[DIA],reservaoutrosconsolidadomai[[#Headers],[2]],tabela_registros[REGISTRO],DADOS!$N$6,tabela_registros[TIPO],DADOS!$AJ$5,tabela_registros[CATEGORIA],reservaoutrosconsolidadomai[[#This Row],[ATUAL]])</f>
        <v>0</v>
      </c>
      <c r="G209" s="91">
        <f>SUMIFS(tabela_registros[VALOR],tabela_registros[MÊS],$AE$1,tabela_registros[DIA],reservaoutrosconsolidadomai[[#Headers],[3]],tabela_registros[REGISTRO],DADOS!$N$6,tabela_registros[TIPO],DADOS!$AJ$5,tabela_registros[CATEGORIA],reservaoutrosconsolidadomai[[#This Row],[ATUAL]])</f>
        <v>0</v>
      </c>
      <c r="H209" s="91">
        <f>SUMIFS(tabela_registros[VALOR],tabela_registros[MÊS],$AE$1,tabela_registros[DIA],reservaoutrosconsolidadomai[[#Headers],[4]],tabela_registros[REGISTRO],DADOS!$N$6,tabela_registros[TIPO],DADOS!$AJ$5,tabela_registros[CATEGORIA],reservaoutrosconsolidadomai[[#This Row],[ATUAL]])</f>
        <v>0</v>
      </c>
      <c r="I209" s="91">
        <f>SUMIFS(tabela_registros[VALOR],tabela_registros[MÊS],$AE$1,tabela_registros[DIA],reservaoutrosconsolidadomai[[#Headers],[5]],tabela_registros[REGISTRO],DADOS!$N$6,tabela_registros[TIPO],DADOS!$AJ$5,tabela_registros[CATEGORIA],reservaoutrosconsolidadomai[[#This Row],[ATUAL]])</f>
        <v>0</v>
      </c>
      <c r="J209" s="91">
        <f>SUMIFS(tabela_registros[VALOR],tabela_registros[MÊS],$AE$1,tabela_registros[DIA],reservaoutrosconsolidadomai[[#Headers],[6]],tabela_registros[REGISTRO],DADOS!$N$6,tabela_registros[TIPO],DADOS!$AJ$5,tabela_registros[CATEGORIA],reservaoutrosconsolidadomai[[#This Row],[ATUAL]])</f>
        <v>0</v>
      </c>
      <c r="K209" s="91">
        <f>SUMIFS(tabela_registros[VALOR],tabela_registros[MÊS],$AE$1,tabela_registros[DIA],reservaoutrosconsolidadomai[[#Headers],[7]],tabela_registros[REGISTRO],DADOS!$N$6,tabela_registros[TIPO],DADOS!$AJ$5,tabela_registros[CATEGORIA],reservaoutrosconsolidadomai[[#This Row],[ATUAL]])</f>
        <v>0</v>
      </c>
      <c r="L209" s="91">
        <f>SUMIFS(tabela_registros[VALOR],tabela_registros[MÊS],$AE$1,tabela_registros[DIA],reservaoutrosconsolidadomai[[#Headers],[8]],tabela_registros[REGISTRO],DADOS!$N$6,tabela_registros[TIPO],DADOS!$AJ$5,tabela_registros[CATEGORIA],reservaoutrosconsolidadomai[[#This Row],[ATUAL]])</f>
        <v>0</v>
      </c>
      <c r="M209" s="91">
        <f>SUMIFS(tabela_registros[VALOR],tabela_registros[MÊS],$AE$1,tabela_registros[DIA],reservaoutrosconsolidadomai[[#Headers],[9]],tabela_registros[REGISTRO],DADOS!$N$6,tabela_registros[TIPO],DADOS!$AJ$5,tabela_registros[CATEGORIA],reservaoutrosconsolidadomai[[#This Row],[ATUAL]])</f>
        <v>0</v>
      </c>
      <c r="N209" s="91">
        <f>SUMIFS(tabela_registros[VALOR],tabela_registros[MÊS],$AE$1,tabela_registros[DIA],reservaoutrosconsolidadomai[[#Headers],[10]],tabela_registros[REGISTRO],DADOS!$N$6,tabela_registros[TIPO],DADOS!$AJ$5,tabela_registros[CATEGORIA],reservaoutrosconsolidadomai[[#This Row],[ATUAL]])</f>
        <v>0</v>
      </c>
      <c r="O209" s="91">
        <f>SUMIFS(tabela_registros[VALOR],tabela_registros[MÊS],$AE$1,tabela_registros[DIA],reservaoutrosconsolidadomai[[#Headers],[11]],tabela_registros[REGISTRO],DADOS!$N$6,tabela_registros[TIPO],DADOS!$AJ$5,tabela_registros[CATEGORIA],reservaoutrosconsolidadomai[[#This Row],[ATUAL]])</f>
        <v>0</v>
      </c>
      <c r="P209" s="91">
        <f>SUMIFS(tabela_registros[VALOR],tabela_registros[MÊS],$AE$1,tabela_registros[DIA],reservaoutrosconsolidadomai[[#Headers],[12]],tabela_registros[REGISTRO],DADOS!$N$6,tabela_registros[TIPO],DADOS!$AJ$5,tabela_registros[CATEGORIA],reservaoutrosconsolidadomai[[#This Row],[ATUAL]])</f>
        <v>0</v>
      </c>
      <c r="Q209" s="91">
        <f>SUMIFS(tabela_registros[VALOR],tabela_registros[MÊS],$AE$1,tabela_registros[DIA],reservaoutrosconsolidadomai[[#Headers],[13]],tabela_registros[REGISTRO],DADOS!$N$6,tabela_registros[TIPO],DADOS!$AJ$5,tabela_registros[CATEGORIA],reservaoutrosconsolidadomai[[#This Row],[ATUAL]])</f>
        <v>0</v>
      </c>
      <c r="R209" s="91">
        <f>SUMIFS(tabela_registros[VALOR],tabela_registros[MÊS],$AE$1,tabela_registros[DIA],reservaoutrosconsolidadomai[[#Headers],[14]],tabela_registros[REGISTRO],DADOS!$N$6,tabela_registros[TIPO],DADOS!$AJ$5,tabela_registros[CATEGORIA],reservaoutrosconsolidadomai[[#This Row],[ATUAL]])</f>
        <v>0</v>
      </c>
      <c r="S209" s="91">
        <f>SUMIFS(tabela_registros[VALOR],tabela_registros[MÊS],$AE$1,tabela_registros[DIA],reservaoutrosconsolidadomai[[#Headers],[15]],tabela_registros[REGISTRO],DADOS!$N$6,tabela_registros[TIPO],DADOS!$AJ$5,tabela_registros[CATEGORIA],reservaoutrosconsolidadomai[[#This Row],[ATUAL]])</f>
        <v>0</v>
      </c>
      <c r="T209" s="91">
        <f>SUMIFS(tabela_registros[VALOR],tabela_registros[MÊS],$AE$1,tabela_registros[DIA],reservaoutrosconsolidadomai[[#Headers],[16]],tabela_registros[REGISTRO],DADOS!$N$6,tabela_registros[TIPO],DADOS!$AJ$5,tabela_registros[CATEGORIA],reservaoutrosconsolidadomai[[#This Row],[ATUAL]])</f>
        <v>0</v>
      </c>
      <c r="U209" s="91">
        <f>SUMIFS(tabela_registros[VALOR],tabela_registros[MÊS],$AE$1,tabela_registros[DIA],reservaoutrosconsolidadomai[[#Headers],[17]],tabela_registros[REGISTRO],DADOS!$N$6,tabela_registros[TIPO],DADOS!$AJ$5,tabela_registros[CATEGORIA],reservaoutrosconsolidadomai[[#This Row],[ATUAL]])</f>
        <v>0</v>
      </c>
      <c r="V209" s="91">
        <f>SUMIFS(tabela_registros[VALOR],tabela_registros[MÊS],$AE$1,tabela_registros[DIA],reservaoutrosconsolidadomai[[#Headers],[18]],tabela_registros[REGISTRO],DADOS!$N$6,tabela_registros[TIPO],DADOS!$AJ$5,tabela_registros[CATEGORIA],reservaoutrosconsolidadomai[[#This Row],[ATUAL]])</f>
        <v>0</v>
      </c>
      <c r="W209" s="91">
        <f>SUMIFS(tabela_registros[VALOR],tabela_registros[MÊS],$AE$1,tabela_registros[DIA],reservaoutrosconsolidadomai[[#Headers],[19]],tabela_registros[REGISTRO],DADOS!$N$6,tabela_registros[TIPO],DADOS!$AJ$5,tabela_registros[CATEGORIA],reservaoutrosconsolidadomai[[#This Row],[ATUAL]])</f>
        <v>0</v>
      </c>
      <c r="X209" s="91">
        <f>SUMIFS(tabela_registros[VALOR],tabela_registros[MÊS],$AE$1,tabela_registros[DIA],reservaoutrosconsolidadomai[[#Headers],[20]],tabela_registros[REGISTRO],DADOS!$N$6,tabela_registros[TIPO],DADOS!$AJ$5,tabela_registros[CATEGORIA],reservaoutrosconsolidadomai[[#This Row],[ATUAL]])</f>
        <v>0</v>
      </c>
      <c r="Y209" s="91">
        <f>SUMIFS(tabela_registros[VALOR],tabela_registros[MÊS],$AE$1,tabela_registros[DIA],reservaoutrosconsolidadomai[[#Headers],[21]],tabela_registros[REGISTRO],DADOS!$N$6,tabela_registros[TIPO],DADOS!$AJ$5,tabela_registros[CATEGORIA],reservaoutrosconsolidadomai[[#This Row],[ATUAL]])</f>
        <v>0</v>
      </c>
      <c r="Z209" s="91">
        <f>SUMIFS(tabela_registros[VALOR],tabela_registros[MÊS],$AE$1,tabela_registros[DIA],reservaoutrosconsolidadomai[[#Headers],[22]],tabela_registros[REGISTRO],DADOS!$N$6,tabela_registros[TIPO],DADOS!$AJ$5,tabela_registros[CATEGORIA],reservaoutrosconsolidadomai[[#This Row],[ATUAL]])</f>
        <v>0</v>
      </c>
      <c r="AA209" s="91">
        <f>SUMIFS(tabela_registros[VALOR],tabela_registros[MÊS],$AE$1,tabela_registros[DIA],reservaoutrosconsolidadomai[[#Headers],[23]],tabela_registros[REGISTRO],DADOS!$N$6,tabela_registros[TIPO],DADOS!$AJ$5,tabela_registros[CATEGORIA],reservaoutrosconsolidadomai[[#This Row],[ATUAL]])</f>
        <v>0</v>
      </c>
      <c r="AB209" s="91">
        <f>SUMIFS(tabela_registros[VALOR],tabela_registros[MÊS],$AE$1,tabela_registros[DIA],reservaoutrosconsolidadomai[[#Headers],[24]],tabela_registros[REGISTRO],DADOS!$N$6,tabela_registros[TIPO],DADOS!$AJ$5,tabela_registros[CATEGORIA],reservaoutrosconsolidadomai[[#This Row],[ATUAL]])</f>
        <v>0</v>
      </c>
      <c r="AC209" s="91">
        <f>SUMIFS(tabela_registros[VALOR],tabela_registros[MÊS],$AE$1,tabela_registros[DIA],reservaoutrosconsolidadomai[[#Headers],[25]],tabela_registros[REGISTRO],DADOS!$N$6,tabela_registros[TIPO],DADOS!$AJ$5,tabela_registros[CATEGORIA],reservaoutrosconsolidadomai[[#This Row],[ATUAL]])</f>
        <v>0</v>
      </c>
      <c r="AD209" s="91">
        <f>SUMIFS(tabela_registros[VALOR],tabela_registros[MÊS],$AE$1,tabela_registros[DIA],reservaoutrosconsolidadomai[[#Headers],[26]],tabela_registros[REGISTRO],DADOS!$N$6,tabela_registros[TIPO],DADOS!$AJ$5,tabela_registros[CATEGORIA],reservaoutrosconsolidadomai[[#This Row],[ATUAL]])</f>
        <v>0</v>
      </c>
      <c r="AE209" s="91">
        <f>SUMIFS(tabela_registros[VALOR],tabela_registros[MÊS],$AE$1,tabela_registros[DIA],reservaoutrosconsolidadomai[[#Headers],[27]],tabela_registros[REGISTRO],DADOS!$N$6,tabela_registros[TIPO],DADOS!$AJ$5,tabela_registros[CATEGORIA],reservaoutrosconsolidadomai[[#This Row],[ATUAL]])</f>
        <v>0</v>
      </c>
      <c r="AF209" s="91">
        <f>SUMIFS(tabela_registros[VALOR],tabela_registros[MÊS],$AE$1,tabela_registros[DIA],reservaoutrosconsolidadomai[[#Headers],[28]],tabela_registros[REGISTRO],DADOS!$N$6,tabela_registros[TIPO],DADOS!$AJ$5,tabela_registros[CATEGORIA],reservaoutrosconsolidadomai[[#This Row],[ATUAL]])</f>
        <v>0</v>
      </c>
      <c r="AG209" s="91">
        <f>SUMIFS(tabela_registros[VALOR],tabela_registros[MÊS],$AE$1,tabela_registros[DIA],reservaoutrosconsolidadomai[[#Headers],[29]],tabela_registros[REGISTRO],DADOS!$N$6,tabela_registros[TIPO],DADOS!$AJ$5,tabela_registros[CATEGORIA],reservaoutrosconsolidadomai[[#This Row],[ATUAL]])</f>
        <v>0</v>
      </c>
      <c r="AH209" s="91">
        <f>SUMIFS(tabela_registros[VALOR],tabela_registros[MÊS],$AE$1,tabela_registros[DIA],reservaoutrosconsolidadomai[[#Headers],[30]],tabela_registros[REGISTRO],DADOS!$N$6,tabela_registros[TIPO],DADOS!$AJ$5,tabela_registros[CATEGORIA],reservaoutrosconsolidadomai[[#This Row],[ATUAL]])</f>
        <v>0</v>
      </c>
      <c r="AI209" s="101">
        <f>SUMIFS(tabela_registros[VALOR],tabela_registros[MÊS],$AE$1,tabela_registros[DIA],reservaoutrosconsolidadomai[[#Headers],[31]],tabela_registros[REGISTRO],DADOS!$N$6,tabela_registros[TIPO],DADOS!$AJ$5,tabela_registros[CATEGORIA],reservaoutrosconsolidadomai[[#This Row],[ATUAL]])</f>
        <v>0</v>
      </c>
      <c r="AJ209" s="97">
        <f>SUM(reservaoutrosconsolidadomai[[#This Row],[1]:[31]])</f>
        <v>0</v>
      </c>
      <c r="AK209" s="25"/>
    </row>
    <row r="210" spans="2:37" ht="19.5" customHeight="1" thickTop="1" thickBot="1" x14ac:dyDescent="0.3">
      <c r="B210" s="28"/>
      <c r="C210" s="27" t="str">
        <f>DADOS!$AP$7</f>
        <v>📝 PEER TO COMPANY</v>
      </c>
      <c r="D210" s="26" t="str">
        <f>IF(reservaoutrosconsolidadomai[[#This Row],[TOTAL (R$)]]=0,"",IF(OR(reservaoutrosconsolidadomai[[#This Row],[TOTAL (R$)]]=LARGE($AJ$206:$AJ$213,1),reservaoutrosconsolidadomai[[#This Row],[TOTAL (R$)]]=LARGE($AJ$206:$AJ$213,2)),DADOS!$I$11,""))</f>
        <v/>
      </c>
      <c r="E210" s="96">
        <f>SUMIFS(tabela_registros[VALOR],tabela_registros[MÊS],$AE$1,tabela_registros[DIA],reservaoutrosconsolidadomai[[#Headers],[1]],tabela_registros[REGISTRO],DADOS!$N$6,tabela_registros[TIPO],DADOS!$AJ$5,tabela_registros[CATEGORIA],reservaoutrosconsolidadomai[[#This Row],[ATUAL]])</f>
        <v>0</v>
      </c>
      <c r="F210" s="91">
        <f>SUMIFS(tabela_registros[VALOR],tabela_registros[MÊS],$AE$1,tabela_registros[DIA],reservaoutrosconsolidadomai[[#Headers],[2]],tabela_registros[REGISTRO],DADOS!$N$6,tabela_registros[TIPO],DADOS!$AJ$5,tabela_registros[CATEGORIA],reservaoutrosconsolidadomai[[#This Row],[ATUAL]])</f>
        <v>0</v>
      </c>
      <c r="G210" s="91">
        <f>SUMIFS(tabela_registros[VALOR],tabela_registros[MÊS],$AE$1,tabela_registros[DIA],reservaoutrosconsolidadomai[[#Headers],[3]],tabela_registros[REGISTRO],DADOS!$N$6,tabela_registros[TIPO],DADOS!$AJ$5,tabela_registros[CATEGORIA],reservaoutrosconsolidadomai[[#This Row],[ATUAL]])</f>
        <v>0</v>
      </c>
      <c r="H210" s="91">
        <f>SUMIFS(tabela_registros[VALOR],tabela_registros[MÊS],$AE$1,tabela_registros[DIA],reservaoutrosconsolidadomai[[#Headers],[4]],tabela_registros[REGISTRO],DADOS!$N$6,tabela_registros[TIPO],DADOS!$AJ$5,tabela_registros[CATEGORIA],reservaoutrosconsolidadomai[[#This Row],[ATUAL]])</f>
        <v>0</v>
      </c>
      <c r="I210" s="91">
        <f>SUMIFS(tabela_registros[VALOR],tabela_registros[MÊS],$AE$1,tabela_registros[DIA],reservaoutrosconsolidadomai[[#Headers],[5]],tabela_registros[REGISTRO],DADOS!$N$6,tabela_registros[TIPO],DADOS!$AJ$5,tabela_registros[CATEGORIA],reservaoutrosconsolidadomai[[#This Row],[ATUAL]])</f>
        <v>0</v>
      </c>
      <c r="J210" s="91">
        <f>SUMIFS(tabela_registros[VALOR],tabela_registros[MÊS],$AE$1,tabela_registros[DIA],reservaoutrosconsolidadomai[[#Headers],[6]],tabela_registros[REGISTRO],DADOS!$N$6,tabela_registros[TIPO],DADOS!$AJ$5,tabela_registros[CATEGORIA],reservaoutrosconsolidadomai[[#This Row],[ATUAL]])</f>
        <v>0</v>
      </c>
      <c r="K210" s="91">
        <f>SUMIFS(tabela_registros[VALOR],tabela_registros[MÊS],$AE$1,tabela_registros[DIA],reservaoutrosconsolidadomai[[#Headers],[7]],tabela_registros[REGISTRO],DADOS!$N$6,tabela_registros[TIPO],DADOS!$AJ$5,tabela_registros[CATEGORIA],reservaoutrosconsolidadomai[[#This Row],[ATUAL]])</f>
        <v>0</v>
      </c>
      <c r="L210" s="91">
        <f>SUMIFS(tabela_registros[VALOR],tabela_registros[MÊS],$AE$1,tabela_registros[DIA],reservaoutrosconsolidadomai[[#Headers],[8]],tabela_registros[REGISTRO],DADOS!$N$6,tabela_registros[TIPO],DADOS!$AJ$5,tabela_registros[CATEGORIA],reservaoutrosconsolidadomai[[#This Row],[ATUAL]])</f>
        <v>0</v>
      </c>
      <c r="M210" s="91">
        <f>SUMIFS(tabela_registros[VALOR],tabela_registros[MÊS],$AE$1,tabela_registros[DIA],reservaoutrosconsolidadomai[[#Headers],[9]],tabela_registros[REGISTRO],DADOS!$N$6,tabela_registros[TIPO],DADOS!$AJ$5,tabela_registros[CATEGORIA],reservaoutrosconsolidadomai[[#This Row],[ATUAL]])</f>
        <v>0</v>
      </c>
      <c r="N210" s="91">
        <f>SUMIFS(tabela_registros[VALOR],tabela_registros[MÊS],$AE$1,tabela_registros[DIA],reservaoutrosconsolidadomai[[#Headers],[10]],tabela_registros[REGISTRO],DADOS!$N$6,tabela_registros[TIPO],DADOS!$AJ$5,tabela_registros[CATEGORIA],reservaoutrosconsolidadomai[[#This Row],[ATUAL]])</f>
        <v>0</v>
      </c>
      <c r="O210" s="91">
        <f>SUMIFS(tabela_registros[VALOR],tabela_registros[MÊS],$AE$1,tabela_registros[DIA],reservaoutrosconsolidadomai[[#Headers],[11]],tabela_registros[REGISTRO],DADOS!$N$6,tabela_registros[TIPO],DADOS!$AJ$5,tabela_registros[CATEGORIA],reservaoutrosconsolidadomai[[#This Row],[ATUAL]])</f>
        <v>0</v>
      </c>
      <c r="P210" s="91">
        <f>SUMIFS(tabela_registros[VALOR],tabela_registros[MÊS],$AE$1,tabela_registros[DIA],reservaoutrosconsolidadomai[[#Headers],[12]],tabela_registros[REGISTRO],DADOS!$N$6,tabela_registros[TIPO],DADOS!$AJ$5,tabela_registros[CATEGORIA],reservaoutrosconsolidadomai[[#This Row],[ATUAL]])</f>
        <v>0</v>
      </c>
      <c r="Q210" s="91">
        <f>SUMIFS(tabela_registros[VALOR],tabela_registros[MÊS],$AE$1,tabela_registros[DIA],reservaoutrosconsolidadomai[[#Headers],[13]],tabela_registros[REGISTRO],DADOS!$N$6,tabela_registros[TIPO],DADOS!$AJ$5,tabela_registros[CATEGORIA],reservaoutrosconsolidadomai[[#This Row],[ATUAL]])</f>
        <v>0</v>
      </c>
      <c r="R210" s="91">
        <f>SUMIFS(tabela_registros[VALOR],tabela_registros[MÊS],$AE$1,tabela_registros[DIA],reservaoutrosconsolidadomai[[#Headers],[14]],tabela_registros[REGISTRO],DADOS!$N$6,tabela_registros[TIPO],DADOS!$AJ$5,tabela_registros[CATEGORIA],reservaoutrosconsolidadomai[[#This Row],[ATUAL]])</f>
        <v>0</v>
      </c>
      <c r="S210" s="91">
        <f>SUMIFS(tabela_registros[VALOR],tabela_registros[MÊS],$AE$1,tabela_registros[DIA],reservaoutrosconsolidadomai[[#Headers],[15]],tabela_registros[REGISTRO],DADOS!$N$6,tabela_registros[TIPO],DADOS!$AJ$5,tabela_registros[CATEGORIA],reservaoutrosconsolidadomai[[#This Row],[ATUAL]])</f>
        <v>0</v>
      </c>
      <c r="T210" s="91">
        <f>SUMIFS(tabela_registros[VALOR],tabela_registros[MÊS],$AE$1,tabela_registros[DIA],reservaoutrosconsolidadomai[[#Headers],[16]],tabela_registros[REGISTRO],DADOS!$N$6,tabela_registros[TIPO],DADOS!$AJ$5,tabela_registros[CATEGORIA],reservaoutrosconsolidadomai[[#This Row],[ATUAL]])</f>
        <v>0</v>
      </c>
      <c r="U210" s="91">
        <f>SUMIFS(tabela_registros[VALOR],tabela_registros[MÊS],$AE$1,tabela_registros[DIA],reservaoutrosconsolidadomai[[#Headers],[17]],tabela_registros[REGISTRO],DADOS!$N$6,tabela_registros[TIPO],DADOS!$AJ$5,tabela_registros[CATEGORIA],reservaoutrosconsolidadomai[[#This Row],[ATUAL]])</f>
        <v>0</v>
      </c>
      <c r="V210" s="91">
        <f>SUMIFS(tabela_registros[VALOR],tabela_registros[MÊS],$AE$1,tabela_registros[DIA],reservaoutrosconsolidadomai[[#Headers],[18]],tabela_registros[REGISTRO],DADOS!$N$6,tabela_registros[TIPO],DADOS!$AJ$5,tabela_registros[CATEGORIA],reservaoutrosconsolidadomai[[#This Row],[ATUAL]])</f>
        <v>0</v>
      </c>
      <c r="W210" s="91">
        <f>SUMIFS(tabela_registros[VALOR],tabela_registros[MÊS],$AE$1,tabela_registros[DIA],reservaoutrosconsolidadomai[[#Headers],[19]],tabela_registros[REGISTRO],DADOS!$N$6,tabela_registros[TIPO],DADOS!$AJ$5,tabela_registros[CATEGORIA],reservaoutrosconsolidadomai[[#This Row],[ATUAL]])</f>
        <v>0</v>
      </c>
      <c r="X210" s="91">
        <f>SUMIFS(tabela_registros[VALOR],tabela_registros[MÊS],$AE$1,tabela_registros[DIA],reservaoutrosconsolidadomai[[#Headers],[20]],tabela_registros[REGISTRO],DADOS!$N$6,tabela_registros[TIPO],DADOS!$AJ$5,tabela_registros[CATEGORIA],reservaoutrosconsolidadomai[[#This Row],[ATUAL]])</f>
        <v>0</v>
      </c>
      <c r="Y210" s="91">
        <f>SUMIFS(tabela_registros[VALOR],tabela_registros[MÊS],$AE$1,tabela_registros[DIA],reservaoutrosconsolidadomai[[#Headers],[21]],tabela_registros[REGISTRO],DADOS!$N$6,tabela_registros[TIPO],DADOS!$AJ$5,tabela_registros[CATEGORIA],reservaoutrosconsolidadomai[[#This Row],[ATUAL]])</f>
        <v>0</v>
      </c>
      <c r="Z210" s="91">
        <f>SUMIFS(tabela_registros[VALOR],tabela_registros[MÊS],$AE$1,tabela_registros[DIA],reservaoutrosconsolidadomai[[#Headers],[22]],tabela_registros[REGISTRO],DADOS!$N$6,tabela_registros[TIPO],DADOS!$AJ$5,tabela_registros[CATEGORIA],reservaoutrosconsolidadomai[[#This Row],[ATUAL]])</f>
        <v>0</v>
      </c>
      <c r="AA210" s="91">
        <f>SUMIFS(tabela_registros[VALOR],tabela_registros[MÊS],$AE$1,tabela_registros[DIA],reservaoutrosconsolidadomai[[#Headers],[23]],tabela_registros[REGISTRO],DADOS!$N$6,tabela_registros[TIPO],DADOS!$AJ$5,tabela_registros[CATEGORIA],reservaoutrosconsolidadomai[[#This Row],[ATUAL]])</f>
        <v>0</v>
      </c>
      <c r="AB210" s="91">
        <f>SUMIFS(tabela_registros[VALOR],tabela_registros[MÊS],$AE$1,tabela_registros[DIA],reservaoutrosconsolidadomai[[#Headers],[24]],tabela_registros[REGISTRO],DADOS!$N$6,tabela_registros[TIPO],DADOS!$AJ$5,tabela_registros[CATEGORIA],reservaoutrosconsolidadomai[[#This Row],[ATUAL]])</f>
        <v>0</v>
      </c>
      <c r="AC210" s="91">
        <f>SUMIFS(tabela_registros[VALOR],tabela_registros[MÊS],$AE$1,tabela_registros[DIA],reservaoutrosconsolidadomai[[#Headers],[25]],tabela_registros[REGISTRO],DADOS!$N$6,tabela_registros[TIPO],DADOS!$AJ$5,tabela_registros[CATEGORIA],reservaoutrosconsolidadomai[[#This Row],[ATUAL]])</f>
        <v>0</v>
      </c>
      <c r="AD210" s="91">
        <f>SUMIFS(tabela_registros[VALOR],tabela_registros[MÊS],$AE$1,tabela_registros[DIA],reservaoutrosconsolidadomai[[#Headers],[26]],tabela_registros[REGISTRO],DADOS!$N$6,tabela_registros[TIPO],DADOS!$AJ$5,tabela_registros[CATEGORIA],reservaoutrosconsolidadomai[[#This Row],[ATUAL]])</f>
        <v>0</v>
      </c>
      <c r="AE210" s="91">
        <f>SUMIFS(tabela_registros[VALOR],tabela_registros[MÊS],$AE$1,tabela_registros[DIA],reservaoutrosconsolidadomai[[#Headers],[27]],tabela_registros[REGISTRO],DADOS!$N$6,tabela_registros[TIPO],DADOS!$AJ$5,tabela_registros[CATEGORIA],reservaoutrosconsolidadomai[[#This Row],[ATUAL]])</f>
        <v>0</v>
      </c>
      <c r="AF210" s="91">
        <f>SUMIFS(tabela_registros[VALOR],tabela_registros[MÊS],$AE$1,tabela_registros[DIA],reservaoutrosconsolidadomai[[#Headers],[28]],tabela_registros[REGISTRO],DADOS!$N$6,tabela_registros[TIPO],DADOS!$AJ$5,tabela_registros[CATEGORIA],reservaoutrosconsolidadomai[[#This Row],[ATUAL]])</f>
        <v>0</v>
      </c>
      <c r="AG210" s="91">
        <f>SUMIFS(tabela_registros[VALOR],tabela_registros[MÊS],$AE$1,tabela_registros[DIA],reservaoutrosconsolidadomai[[#Headers],[29]],tabela_registros[REGISTRO],DADOS!$N$6,tabela_registros[TIPO],DADOS!$AJ$5,tabela_registros[CATEGORIA],reservaoutrosconsolidadomai[[#This Row],[ATUAL]])</f>
        <v>0</v>
      </c>
      <c r="AH210" s="91">
        <f>SUMIFS(tabela_registros[VALOR],tabela_registros[MÊS],$AE$1,tabela_registros[DIA],reservaoutrosconsolidadomai[[#Headers],[30]],tabela_registros[REGISTRO],DADOS!$N$6,tabela_registros[TIPO],DADOS!$AJ$5,tabela_registros[CATEGORIA],reservaoutrosconsolidadomai[[#This Row],[ATUAL]])</f>
        <v>0</v>
      </c>
      <c r="AI210" s="101">
        <f>SUMIFS(tabela_registros[VALOR],tabela_registros[MÊS],$AE$1,tabela_registros[DIA],reservaoutrosconsolidadomai[[#Headers],[31]],tabela_registros[REGISTRO],DADOS!$N$6,tabela_registros[TIPO],DADOS!$AJ$5,tabela_registros[CATEGORIA],reservaoutrosconsolidadomai[[#This Row],[ATUAL]])</f>
        <v>0</v>
      </c>
      <c r="AJ210" s="97">
        <f>SUM(reservaoutrosconsolidadomai[[#This Row],[1]:[31]])</f>
        <v>0</v>
      </c>
      <c r="AK210" s="25"/>
    </row>
    <row r="211" spans="2:37" ht="19.5" customHeight="1" thickTop="1" thickBot="1" x14ac:dyDescent="0.3">
      <c r="B211" s="28"/>
      <c r="C211" s="27" t="str">
        <f>DADOS!$AP$8</f>
        <v>📝 PEER TO PEER</v>
      </c>
      <c r="D211" s="26" t="str">
        <f>IF(reservaoutrosconsolidadomai[[#This Row],[TOTAL (R$)]]=0,"",IF(OR(reservaoutrosconsolidadomai[[#This Row],[TOTAL (R$)]]=LARGE($AJ$206:$AJ$213,1),reservaoutrosconsolidadomai[[#This Row],[TOTAL (R$)]]=LARGE($AJ$206:$AJ$213,2)),DADOS!$I$11,""))</f>
        <v/>
      </c>
      <c r="E211" s="96">
        <f>SUMIFS(tabela_registros[VALOR],tabela_registros[MÊS],$AE$1,tabela_registros[DIA],reservaoutrosconsolidadomai[[#Headers],[1]],tabela_registros[REGISTRO],DADOS!$N$6,tabela_registros[TIPO],DADOS!$AJ$5,tabela_registros[CATEGORIA],reservaoutrosconsolidadomai[[#This Row],[ATUAL]])</f>
        <v>0</v>
      </c>
      <c r="F211" s="91">
        <f>SUMIFS(tabela_registros[VALOR],tabela_registros[MÊS],$AE$1,tabela_registros[DIA],reservaoutrosconsolidadomai[[#Headers],[2]],tabela_registros[REGISTRO],DADOS!$N$6,tabela_registros[TIPO],DADOS!$AJ$5,tabela_registros[CATEGORIA],reservaoutrosconsolidadomai[[#This Row],[ATUAL]])</f>
        <v>0</v>
      </c>
      <c r="G211" s="91">
        <f>SUMIFS(tabela_registros[VALOR],tabela_registros[MÊS],$AE$1,tabela_registros[DIA],reservaoutrosconsolidadomai[[#Headers],[3]],tabela_registros[REGISTRO],DADOS!$N$6,tabela_registros[TIPO],DADOS!$AJ$5,tabela_registros[CATEGORIA],reservaoutrosconsolidadomai[[#This Row],[ATUAL]])</f>
        <v>0</v>
      </c>
      <c r="H211" s="91">
        <f>SUMIFS(tabela_registros[VALOR],tabela_registros[MÊS],$AE$1,tabela_registros[DIA],reservaoutrosconsolidadomai[[#Headers],[4]],tabela_registros[REGISTRO],DADOS!$N$6,tabela_registros[TIPO],DADOS!$AJ$5,tabela_registros[CATEGORIA],reservaoutrosconsolidadomai[[#This Row],[ATUAL]])</f>
        <v>0</v>
      </c>
      <c r="I211" s="91">
        <f>SUMIFS(tabela_registros[VALOR],tabela_registros[MÊS],$AE$1,tabela_registros[DIA],reservaoutrosconsolidadomai[[#Headers],[5]],tabela_registros[REGISTRO],DADOS!$N$6,tabela_registros[TIPO],DADOS!$AJ$5,tabela_registros[CATEGORIA],reservaoutrosconsolidadomai[[#This Row],[ATUAL]])</f>
        <v>0</v>
      </c>
      <c r="J211" s="91">
        <f>SUMIFS(tabela_registros[VALOR],tabela_registros[MÊS],$AE$1,tabela_registros[DIA],reservaoutrosconsolidadomai[[#Headers],[6]],tabela_registros[REGISTRO],DADOS!$N$6,tabela_registros[TIPO],DADOS!$AJ$5,tabela_registros[CATEGORIA],reservaoutrosconsolidadomai[[#This Row],[ATUAL]])</f>
        <v>0</v>
      </c>
      <c r="K211" s="91">
        <f>SUMIFS(tabela_registros[VALOR],tabela_registros[MÊS],$AE$1,tabela_registros[DIA],reservaoutrosconsolidadomai[[#Headers],[7]],tabela_registros[REGISTRO],DADOS!$N$6,tabela_registros[TIPO],DADOS!$AJ$5,tabela_registros[CATEGORIA],reservaoutrosconsolidadomai[[#This Row],[ATUAL]])</f>
        <v>0</v>
      </c>
      <c r="L211" s="91">
        <f>SUMIFS(tabela_registros[VALOR],tabela_registros[MÊS],$AE$1,tabela_registros[DIA],reservaoutrosconsolidadomai[[#Headers],[8]],tabela_registros[REGISTRO],DADOS!$N$6,tabela_registros[TIPO],DADOS!$AJ$5,tabela_registros[CATEGORIA],reservaoutrosconsolidadomai[[#This Row],[ATUAL]])</f>
        <v>0</v>
      </c>
      <c r="M211" s="91">
        <f>SUMIFS(tabela_registros[VALOR],tabela_registros[MÊS],$AE$1,tabela_registros[DIA],reservaoutrosconsolidadomai[[#Headers],[9]],tabela_registros[REGISTRO],DADOS!$N$6,tabela_registros[TIPO],DADOS!$AJ$5,tabela_registros[CATEGORIA],reservaoutrosconsolidadomai[[#This Row],[ATUAL]])</f>
        <v>0</v>
      </c>
      <c r="N211" s="91">
        <f>SUMIFS(tabela_registros[VALOR],tabela_registros[MÊS],$AE$1,tabela_registros[DIA],reservaoutrosconsolidadomai[[#Headers],[10]],tabela_registros[REGISTRO],DADOS!$N$6,tabela_registros[TIPO],DADOS!$AJ$5,tabela_registros[CATEGORIA],reservaoutrosconsolidadomai[[#This Row],[ATUAL]])</f>
        <v>0</v>
      </c>
      <c r="O211" s="91">
        <f>SUMIFS(tabela_registros[VALOR],tabela_registros[MÊS],$AE$1,tabela_registros[DIA],reservaoutrosconsolidadomai[[#Headers],[11]],tabela_registros[REGISTRO],DADOS!$N$6,tabela_registros[TIPO],DADOS!$AJ$5,tabela_registros[CATEGORIA],reservaoutrosconsolidadomai[[#This Row],[ATUAL]])</f>
        <v>0</v>
      </c>
      <c r="P211" s="91">
        <f>SUMIFS(tabela_registros[VALOR],tabela_registros[MÊS],$AE$1,tabela_registros[DIA],reservaoutrosconsolidadomai[[#Headers],[12]],tabela_registros[REGISTRO],DADOS!$N$6,tabela_registros[TIPO],DADOS!$AJ$5,tabela_registros[CATEGORIA],reservaoutrosconsolidadomai[[#This Row],[ATUAL]])</f>
        <v>0</v>
      </c>
      <c r="Q211" s="91">
        <f>SUMIFS(tabela_registros[VALOR],tabela_registros[MÊS],$AE$1,tabela_registros[DIA],reservaoutrosconsolidadomai[[#Headers],[13]],tabela_registros[REGISTRO],DADOS!$N$6,tabela_registros[TIPO],DADOS!$AJ$5,tabela_registros[CATEGORIA],reservaoutrosconsolidadomai[[#This Row],[ATUAL]])</f>
        <v>0</v>
      </c>
      <c r="R211" s="91">
        <f>SUMIFS(tabela_registros[VALOR],tabela_registros[MÊS],$AE$1,tabela_registros[DIA],reservaoutrosconsolidadomai[[#Headers],[14]],tabela_registros[REGISTRO],DADOS!$N$6,tabela_registros[TIPO],DADOS!$AJ$5,tabela_registros[CATEGORIA],reservaoutrosconsolidadomai[[#This Row],[ATUAL]])</f>
        <v>0</v>
      </c>
      <c r="S211" s="91">
        <f>SUMIFS(tabela_registros[VALOR],tabela_registros[MÊS],$AE$1,tabela_registros[DIA],reservaoutrosconsolidadomai[[#Headers],[15]],tabela_registros[REGISTRO],DADOS!$N$6,tabela_registros[TIPO],DADOS!$AJ$5,tabela_registros[CATEGORIA],reservaoutrosconsolidadomai[[#This Row],[ATUAL]])</f>
        <v>0</v>
      </c>
      <c r="T211" s="91">
        <f>SUMIFS(tabela_registros[VALOR],tabela_registros[MÊS],$AE$1,tabela_registros[DIA],reservaoutrosconsolidadomai[[#Headers],[16]],tabela_registros[REGISTRO],DADOS!$N$6,tabela_registros[TIPO],DADOS!$AJ$5,tabela_registros[CATEGORIA],reservaoutrosconsolidadomai[[#This Row],[ATUAL]])</f>
        <v>0</v>
      </c>
      <c r="U211" s="91">
        <f>SUMIFS(tabela_registros[VALOR],tabela_registros[MÊS],$AE$1,tabela_registros[DIA],reservaoutrosconsolidadomai[[#Headers],[17]],tabela_registros[REGISTRO],DADOS!$N$6,tabela_registros[TIPO],DADOS!$AJ$5,tabela_registros[CATEGORIA],reservaoutrosconsolidadomai[[#This Row],[ATUAL]])</f>
        <v>0</v>
      </c>
      <c r="V211" s="91">
        <f>SUMIFS(tabela_registros[VALOR],tabela_registros[MÊS],$AE$1,tabela_registros[DIA],reservaoutrosconsolidadomai[[#Headers],[18]],tabela_registros[REGISTRO],DADOS!$N$6,tabela_registros[TIPO],DADOS!$AJ$5,tabela_registros[CATEGORIA],reservaoutrosconsolidadomai[[#This Row],[ATUAL]])</f>
        <v>0</v>
      </c>
      <c r="W211" s="91">
        <f>SUMIFS(tabela_registros[VALOR],tabela_registros[MÊS],$AE$1,tabela_registros[DIA],reservaoutrosconsolidadomai[[#Headers],[19]],tabela_registros[REGISTRO],DADOS!$N$6,tabela_registros[TIPO],DADOS!$AJ$5,tabela_registros[CATEGORIA],reservaoutrosconsolidadomai[[#This Row],[ATUAL]])</f>
        <v>0</v>
      </c>
      <c r="X211" s="91">
        <f>SUMIFS(tabela_registros[VALOR],tabela_registros[MÊS],$AE$1,tabela_registros[DIA],reservaoutrosconsolidadomai[[#Headers],[20]],tabela_registros[REGISTRO],DADOS!$N$6,tabela_registros[TIPO],DADOS!$AJ$5,tabela_registros[CATEGORIA],reservaoutrosconsolidadomai[[#This Row],[ATUAL]])</f>
        <v>0</v>
      </c>
      <c r="Y211" s="91">
        <f>SUMIFS(tabela_registros[VALOR],tabela_registros[MÊS],$AE$1,tabela_registros[DIA],reservaoutrosconsolidadomai[[#Headers],[21]],tabela_registros[REGISTRO],DADOS!$N$6,tabela_registros[TIPO],DADOS!$AJ$5,tabela_registros[CATEGORIA],reservaoutrosconsolidadomai[[#This Row],[ATUAL]])</f>
        <v>0</v>
      </c>
      <c r="Z211" s="91">
        <f>SUMIFS(tabela_registros[VALOR],tabela_registros[MÊS],$AE$1,tabela_registros[DIA],reservaoutrosconsolidadomai[[#Headers],[22]],tabela_registros[REGISTRO],DADOS!$N$6,tabela_registros[TIPO],DADOS!$AJ$5,tabela_registros[CATEGORIA],reservaoutrosconsolidadomai[[#This Row],[ATUAL]])</f>
        <v>0</v>
      </c>
      <c r="AA211" s="91">
        <f>SUMIFS(tabela_registros[VALOR],tabela_registros[MÊS],$AE$1,tabela_registros[DIA],reservaoutrosconsolidadomai[[#Headers],[23]],tabela_registros[REGISTRO],DADOS!$N$6,tabela_registros[TIPO],DADOS!$AJ$5,tabela_registros[CATEGORIA],reservaoutrosconsolidadomai[[#This Row],[ATUAL]])</f>
        <v>0</v>
      </c>
      <c r="AB211" s="91">
        <f>SUMIFS(tabela_registros[VALOR],tabela_registros[MÊS],$AE$1,tabela_registros[DIA],reservaoutrosconsolidadomai[[#Headers],[24]],tabela_registros[REGISTRO],DADOS!$N$6,tabela_registros[TIPO],DADOS!$AJ$5,tabela_registros[CATEGORIA],reservaoutrosconsolidadomai[[#This Row],[ATUAL]])</f>
        <v>0</v>
      </c>
      <c r="AC211" s="91">
        <f>SUMIFS(tabela_registros[VALOR],tabela_registros[MÊS],$AE$1,tabela_registros[DIA],reservaoutrosconsolidadomai[[#Headers],[25]],tabela_registros[REGISTRO],DADOS!$N$6,tabela_registros[TIPO],DADOS!$AJ$5,tabela_registros[CATEGORIA],reservaoutrosconsolidadomai[[#This Row],[ATUAL]])</f>
        <v>0</v>
      </c>
      <c r="AD211" s="91">
        <f>SUMIFS(tabela_registros[VALOR],tabela_registros[MÊS],$AE$1,tabela_registros[DIA],reservaoutrosconsolidadomai[[#Headers],[26]],tabela_registros[REGISTRO],DADOS!$N$6,tabela_registros[TIPO],DADOS!$AJ$5,tabela_registros[CATEGORIA],reservaoutrosconsolidadomai[[#This Row],[ATUAL]])</f>
        <v>0</v>
      </c>
      <c r="AE211" s="91">
        <f>SUMIFS(tabela_registros[VALOR],tabela_registros[MÊS],$AE$1,tabela_registros[DIA],reservaoutrosconsolidadomai[[#Headers],[27]],tabela_registros[REGISTRO],DADOS!$N$6,tabela_registros[TIPO],DADOS!$AJ$5,tabela_registros[CATEGORIA],reservaoutrosconsolidadomai[[#This Row],[ATUAL]])</f>
        <v>0</v>
      </c>
      <c r="AF211" s="91">
        <f>SUMIFS(tabela_registros[VALOR],tabela_registros[MÊS],$AE$1,tabela_registros[DIA],reservaoutrosconsolidadomai[[#Headers],[28]],tabela_registros[REGISTRO],DADOS!$N$6,tabela_registros[TIPO],DADOS!$AJ$5,tabela_registros[CATEGORIA],reservaoutrosconsolidadomai[[#This Row],[ATUAL]])</f>
        <v>0</v>
      </c>
      <c r="AG211" s="91">
        <f>SUMIFS(tabela_registros[VALOR],tabela_registros[MÊS],$AE$1,tabela_registros[DIA],reservaoutrosconsolidadomai[[#Headers],[29]],tabela_registros[REGISTRO],DADOS!$N$6,tabela_registros[TIPO],DADOS!$AJ$5,tabela_registros[CATEGORIA],reservaoutrosconsolidadomai[[#This Row],[ATUAL]])</f>
        <v>0</v>
      </c>
      <c r="AH211" s="91">
        <f>SUMIFS(tabela_registros[VALOR],tabela_registros[MÊS],$AE$1,tabela_registros[DIA],reservaoutrosconsolidadomai[[#Headers],[30]],tabela_registros[REGISTRO],DADOS!$N$6,tabela_registros[TIPO],DADOS!$AJ$5,tabela_registros[CATEGORIA],reservaoutrosconsolidadomai[[#This Row],[ATUAL]])</f>
        <v>0</v>
      </c>
      <c r="AI211" s="101">
        <f>SUMIFS(tabela_registros[VALOR],tabela_registros[MÊS],$AE$1,tabela_registros[DIA],reservaoutrosconsolidadomai[[#Headers],[31]],tabela_registros[REGISTRO],DADOS!$N$6,tabela_registros[TIPO],DADOS!$AJ$5,tabela_registros[CATEGORIA],reservaoutrosconsolidadomai[[#This Row],[ATUAL]])</f>
        <v>0</v>
      </c>
      <c r="AJ211" s="97">
        <f>SUM(reservaoutrosconsolidadomai[[#This Row],[1]:[31]])</f>
        <v>0</v>
      </c>
      <c r="AK211" s="25"/>
    </row>
    <row r="212" spans="2:37" ht="19.5" customHeight="1" thickTop="1" thickBot="1" x14ac:dyDescent="0.3">
      <c r="B212" s="28"/>
      <c r="C212" s="27" t="str">
        <f>DADOS!$AP$9</f>
        <v>📝 PREVIDÊNCIA PRIVADA</v>
      </c>
      <c r="D212" s="26" t="str">
        <f>IF(reservaoutrosconsolidadomai[[#This Row],[TOTAL (R$)]]=0,"",IF(OR(reservaoutrosconsolidadomai[[#This Row],[TOTAL (R$)]]=LARGE($AJ$206:$AJ$213,1),reservaoutrosconsolidadomai[[#This Row],[TOTAL (R$)]]=LARGE($AJ$206:$AJ$213,2)),DADOS!$I$11,""))</f>
        <v/>
      </c>
      <c r="E212" s="96">
        <f>SUMIFS(tabela_registros[VALOR],tabela_registros[MÊS],$AE$1,tabela_registros[DIA],reservaoutrosconsolidadomai[[#Headers],[1]],tabela_registros[REGISTRO],DADOS!$N$6,tabela_registros[TIPO],DADOS!$AJ$5,tabela_registros[CATEGORIA],reservaoutrosconsolidadomai[[#This Row],[ATUAL]])</f>
        <v>0</v>
      </c>
      <c r="F212" s="91">
        <f>SUMIFS(tabela_registros[VALOR],tabela_registros[MÊS],$AE$1,tabela_registros[DIA],reservaoutrosconsolidadomai[[#Headers],[2]],tabela_registros[REGISTRO],DADOS!$N$6,tabela_registros[TIPO],DADOS!$AJ$5,tabela_registros[CATEGORIA],reservaoutrosconsolidadomai[[#This Row],[ATUAL]])</f>
        <v>0</v>
      </c>
      <c r="G212" s="91">
        <f>SUMIFS(tabela_registros[VALOR],tabela_registros[MÊS],$AE$1,tabela_registros[DIA],reservaoutrosconsolidadomai[[#Headers],[3]],tabela_registros[REGISTRO],DADOS!$N$6,tabela_registros[TIPO],DADOS!$AJ$5,tabela_registros[CATEGORIA],reservaoutrosconsolidadomai[[#This Row],[ATUAL]])</f>
        <v>0</v>
      </c>
      <c r="H212" s="91">
        <f>SUMIFS(tabela_registros[VALOR],tabela_registros[MÊS],$AE$1,tabela_registros[DIA],reservaoutrosconsolidadomai[[#Headers],[4]],tabela_registros[REGISTRO],DADOS!$N$6,tabela_registros[TIPO],DADOS!$AJ$5,tabela_registros[CATEGORIA],reservaoutrosconsolidadomai[[#This Row],[ATUAL]])</f>
        <v>0</v>
      </c>
      <c r="I212" s="91">
        <f>SUMIFS(tabela_registros[VALOR],tabela_registros[MÊS],$AE$1,tabela_registros[DIA],reservaoutrosconsolidadomai[[#Headers],[5]],tabela_registros[REGISTRO],DADOS!$N$6,tabela_registros[TIPO],DADOS!$AJ$5,tabela_registros[CATEGORIA],reservaoutrosconsolidadomai[[#This Row],[ATUAL]])</f>
        <v>0</v>
      </c>
      <c r="J212" s="91">
        <f>SUMIFS(tabela_registros[VALOR],tabela_registros[MÊS],$AE$1,tabela_registros[DIA],reservaoutrosconsolidadomai[[#Headers],[6]],tabela_registros[REGISTRO],DADOS!$N$6,tabela_registros[TIPO],DADOS!$AJ$5,tabela_registros[CATEGORIA],reservaoutrosconsolidadomai[[#This Row],[ATUAL]])</f>
        <v>0</v>
      </c>
      <c r="K212" s="91">
        <f>SUMIFS(tabela_registros[VALOR],tabela_registros[MÊS],$AE$1,tabela_registros[DIA],reservaoutrosconsolidadomai[[#Headers],[7]],tabela_registros[REGISTRO],DADOS!$N$6,tabela_registros[TIPO],DADOS!$AJ$5,tabela_registros[CATEGORIA],reservaoutrosconsolidadomai[[#This Row],[ATUAL]])</f>
        <v>0</v>
      </c>
      <c r="L212" s="91">
        <f>SUMIFS(tabela_registros[VALOR],tabela_registros[MÊS],$AE$1,tabela_registros[DIA],reservaoutrosconsolidadomai[[#Headers],[8]],tabela_registros[REGISTRO],DADOS!$N$6,tabela_registros[TIPO],DADOS!$AJ$5,tabela_registros[CATEGORIA],reservaoutrosconsolidadomai[[#This Row],[ATUAL]])</f>
        <v>0</v>
      </c>
      <c r="M212" s="91">
        <f>SUMIFS(tabela_registros[VALOR],tabela_registros[MÊS],$AE$1,tabela_registros[DIA],reservaoutrosconsolidadomai[[#Headers],[9]],tabela_registros[REGISTRO],DADOS!$N$6,tabela_registros[TIPO],DADOS!$AJ$5,tabela_registros[CATEGORIA],reservaoutrosconsolidadomai[[#This Row],[ATUAL]])</f>
        <v>0</v>
      </c>
      <c r="N212" s="91">
        <f>SUMIFS(tabela_registros[VALOR],tabela_registros[MÊS],$AE$1,tabela_registros[DIA],reservaoutrosconsolidadomai[[#Headers],[10]],tabela_registros[REGISTRO],DADOS!$N$6,tabela_registros[TIPO],DADOS!$AJ$5,tabela_registros[CATEGORIA],reservaoutrosconsolidadomai[[#This Row],[ATUAL]])</f>
        <v>0</v>
      </c>
      <c r="O212" s="91">
        <f>SUMIFS(tabela_registros[VALOR],tabela_registros[MÊS],$AE$1,tabela_registros[DIA],reservaoutrosconsolidadomai[[#Headers],[11]],tabela_registros[REGISTRO],DADOS!$N$6,tabela_registros[TIPO],DADOS!$AJ$5,tabela_registros[CATEGORIA],reservaoutrosconsolidadomai[[#This Row],[ATUAL]])</f>
        <v>0</v>
      </c>
      <c r="P212" s="91">
        <f>SUMIFS(tabela_registros[VALOR],tabela_registros[MÊS],$AE$1,tabela_registros[DIA],reservaoutrosconsolidadomai[[#Headers],[12]],tabela_registros[REGISTRO],DADOS!$N$6,tabela_registros[TIPO],DADOS!$AJ$5,tabela_registros[CATEGORIA],reservaoutrosconsolidadomai[[#This Row],[ATUAL]])</f>
        <v>0</v>
      </c>
      <c r="Q212" s="91">
        <f>SUMIFS(tabela_registros[VALOR],tabela_registros[MÊS],$AE$1,tabela_registros[DIA],reservaoutrosconsolidadomai[[#Headers],[13]],tabela_registros[REGISTRO],DADOS!$N$6,tabela_registros[TIPO],DADOS!$AJ$5,tabela_registros[CATEGORIA],reservaoutrosconsolidadomai[[#This Row],[ATUAL]])</f>
        <v>0</v>
      </c>
      <c r="R212" s="91">
        <f>SUMIFS(tabela_registros[VALOR],tabela_registros[MÊS],$AE$1,tabela_registros[DIA],reservaoutrosconsolidadomai[[#Headers],[14]],tabela_registros[REGISTRO],DADOS!$N$6,tabela_registros[TIPO],DADOS!$AJ$5,tabela_registros[CATEGORIA],reservaoutrosconsolidadomai[[#This Row],[ATUAL]])</f>
        <v>0</v>
      </c>
      <c r="S212" s="91">
        <f>SUMIFS(tabela_registros[VALOR],tabela_registros[MÊS],$AE$1,tabela_registros[DIA],reservaoutrosconsolidadomai[[#Headers],[15]],tabela_registros[REGISTRO],DADOS!$N$6,tabela_registros[TIPO],DADOS!$AJ$5,tabela_registros[CATEGORIA],reservaoutrosconsolidadomai[[#This Row],[ATUAL]])</f>
        <v>0</v>
      </c>
      <c r="T212" s="91">
        <f>SUMIFS(tabela_registros[VALOR],tabela_registros[MÊS],$AE$1,tabela_registros[DIA],reservaoutrosconsolidadomai[[#Headers],[16]],tabela_registros[REGISTRO],DADOS!$N$6,tabela_registros[TIPO],DADOS!$AJ$5,tabela_registros[CATEGORIA],reservaoutrosconsolidadomai[[#This Row],[ATUAL]])</f>
        <v>0</v>
      </c>
      <c r="U212" s="91">
        <f>SUMIFS(tabela_registros[VALOR],tabela_registros[MÊS],$AE$1,tabela_registros[DIA],reservaoutrosconsolidadomai[[#Headers],[17]],tabela_registros[REGISTRO],DADOS!$N$6,tabela_registros[TIPO],DADOS!$AJ$5,tabela_registros[CATEGORIA],reservaoutrosconsolidadomai[[#This Row],[ATUAL]])</f>
        <v>0</v>
      </c>
      <c r="V212" s="91">
        <f>SUMIFS(tabela_registros[VALOR],tabela_registros[MÊS],$AE$1,tabela_registros[DIA],reservaoutrosconsolidadomai[[#Headers],[18]],tabela_registros[REGISTRO],DADOS!$N$6,tabela_registros[TIPO],DADOS!$AJ$5,tabela_registros[CATEGORIA],reservaoutrosconsolidadomai[[#This Row],[ATUAL]])</f>
        <v>0</v>
      </c>
      <c r="W212" s="91">
        <f>SUMIFS(tabela_registros[VALOR],tabela_registros[MÊS],$AE$1,tabela_registros[DIA],reservaoutrosconsolidadomai[[#Headers],[19]],tabela_registros[REGISTRO],DADOS!$N$6,tabela_registros[TIPO],DADOS!$AJ$5,tabela_registros[CATEGORIA],reservaoutrosconsolidadomai[[#This Row],[ATUAL]])</f>
        <v>0</v>
      </c>
      <c r="X212" s="91">
        <f>SUMIFS(tabela_registros[VALOR],tabela_registros[MÊS],$AE$1,tabela_registros[DIA],reservaoutrosconsolidadomai[[#Headers],[20]],tabela_registros[REGISTRO],DADOS!$N$6,tabela_registros[TIPO],DADOS!$AJ$5,tabela_registros[CATEGORIA],reservaoutrosconsolidadomai[[#This Row],[ATUAL]])</f>
        <v>0</v>
      </c>
      <c r="Y212" s="91">
        <f>SUMIFS(tabela_registros[VALOR],tabela_registros[MÊS],$AE$1,tabela_registros[DIA],reservaoutrosconsolidadomai[[#Headers],[21]],tabela_registros[REGISTRO],DADOS!$N$6,tabela_registros[TIPO],DADOS!$AJ$5,tabela_registros[CATEGORIA],reservaoutrosconsolidadomai[[#This Row],[ATUAL]])</f>
        <v>0</v>
      </c>
      <c r="Z212" s="91">
        <f>SUMIFS(tabela_registros[VALOR],tabela_registros[MÊS],$AE$1,tabela_registros[DIA],reservaoutrosconsolidadomai[[#Headers],[22]],tabela_registros[REGISTRO],DADOS!$N$6,tabela_registros[TIPO],DADOS!$AJ$5,tabela_registros[CATEGORIA],reservaoutrosconsolidadomai[[#This Row],[ATUAL]])</f>
        <v>0</v>
      </c>
      <c r="AA212" s="91">
        <f>SUMIFS(tabela_registros[VALOR],tabela_registros[MÊS],$AE$1,tabela_registros[DIA],reservaoutrosconsolidadomai[[#Headers],[23]],tabela_registros[REGISTRO],DADOS!$N$6,tabela_registros[TIPO],DADOS!$AJ$5,tabela_registros[CATEGORIA],reservaoutrosconsolidadomai[[#This Row],[ATUAL]])</f>
        <v>0</v>
      </c>
      <c r="AB212" s="91">
        <f>SUMIFS(tabela_registros[VALOR],tabela_registros[MÊS],$AE$1,tabela_registros[DIA],reservaoutrosconsolidadomai[[#Headers],[24]],tabela_registros[REGISTRO],DADOS!$N$6,tabela_registros[TIPO],DADOS!$AJ$5,tabela_registros[CATEGORIA],reservaoutrosconsolidadomai[[#This Row],[ATUAL]])</f>
        <v>0</v>
      </c>
      <c r="AC212" s="91">
        <f>SUMIFS(tabela_registros[VALOR],tabela_registros[MÊS],$AE$1,tabela_registros[DIA],reservaoutrosconsolidadomai[[#Headers],[25]],tabela_registros[REGISTRO],DADOS!$N$6,tabela_registros[TIPO],DADOS!$AJ$5,tabela_registros[CATEGORIA],reservaoutrosconsolidadomai[[#This Row],[ATUAL]])</f>
        <v>0</v>
      </c>
      <c r="AD212" s="91">
        <f>SUMIFS(tabela_registros[VALOR],tabela_registros[MÊS],$AE$1,tabela_registros[DIA],reservaoutrosconsolidadomai[[#Headers],[26]],tabela_registros[REGISTRO],DADOS!$N$6,tabela_registros[TIPO],DADOS!$AJ$5,tabela_registros[CATEGORIA],reservaoutrosconsolidadomai[[#This Row],[ATUAL]])</f>
        <v>0</v>
      </c>
      <c r="AE212" s="91">
        <f>SUMIFS(tabela_registros[VALOR],tabela_registros[MÊS],$AE$1,tabela_registros[DIA],reservaoutrosconsolidadomai[[#Headers],[27]],tabela_registros[REGISTRO],DADOS!$N$6,tabela_registros[TIPO],DADOS!$AJ$5,tabela_registros[CATEGORIA],reservaoutrosconsolidadomai[[#This Row],[ATUAL]])</f>
        <v>0</v>
      </c>
      <c r="AF212" s="91">
        <f>SUMIFS(tabela_registros[VALOR],tabela_registros[MÊS],$AE$1,tabela_registros[DIA],reservaoutrosconsolidadomai[[#Headers],[28]],tabela_registros[REGISTRO],DADOS!$N$6,tabela_registros[TIPO],DADOS!$AJ$5,tabela_registros[CATEGORIA],reservaoutrosconsolidadomai[[#This Row],[ATUAL]])</f>
        <v>0</v>
      </c>
      <c r="AG212" s="91">
        <f>SUMIFS(tabela_registros[VALOR],tabela_registros[MÊS],$AE$1,tabela_registros[DIA],reservaoutrosconsolidadomai[[#Headers],[29]],tabela_registros[REGISTRO],DADOS!$N$6,tabela_registros[TIPO],DADOS!$AJ$5,tabela_registros[CATEGORIA],reservaoutrosconsolidadomai[[#This Row],[ATUAL]])</f>
        <v>0</v>
      </c>
      <c r="AH212" s="91">
        <f>SUMIFS(tabela_registros[VALOR],tabela_registros[MÊS],$AE$1,tabela_registros[DIA],reservaoutrosconsolidadomai[[#Headers],[30]],tabela_registros[REGISTRO],DADOS!$N$6,tabela_registros[TIPO],DADOS!$AJ$5,tabela_registros[CATEGORIA],reservaoutrosconsolidadomai[[#This Row],[ATUAL]])</f>
        <v>0</v>
      </c>
      <c r="AI212" s="101">
        <f>SUMIFS(tabela_registros[VALOR],tabela_registros[MÊS],$AE$1,tabela_registros[DIA],reservaoutrosconsolidadomai[[#Headers],[31]],tabela_registros[REGISTRO],DADOS!$N$6,tabela_registros[TIPO],DADOS!$AJ$5,tabela_registros[CATEGORIA],reservaoutrosconsolidadomai[[#This Row],[ATUAL]])</f>
        <v>0</v>
      </c>
      <c r="AJ212" s="97">
        <f>SUM(reservaoutrosconsolidadomai[[#This Row],[1]:[31]])</f>
        <v>0</v>
      </c>
      <c r="AK212" s="25"/>
    </row>
    <row r="213" spans="2:37" ht="19.5" customHeight="1" thickTop="1" thickBot="1" x14ac:dyDescent="0.3">
      <c r="B213" s="28"/>
      <c r="C213" s="27" t="str">
        <f>DADOS!$AP$10</f>
        <v>📎 OUTROS</v>
      </c>
      <c r="D213" s="26" t="str">
        <f>IF(reservaoutrosconsolidadomai[[#This Row],[TOTAL (R$)]]=0,"",IF(OR(reservaoutrosconsolidadomai[[#This Row],[TOTAL (R$)]]=LARGE($AJ$206:$AJ$213,1),reservaoutrosconsolidadomai[[#This Row],[TOTAL (R$)]]=LARGE($AJ$206:$AJ$213,2)),DADOS!$I$11,""))</f>
        <v/>
      </c>
      <c r="E213" s="96">
        <f>SUMIFS(tabela_registros[VALOR],tabela_registros[MÊS],$AE$1,tabela_registros[DIA],reservaoutrosconsolidadomai[[#Headers],[1]],tabela_registros[REGISTRO],DADOS!$N$6,tabela_registros[TIPO],DADOS!$AJ$5,tabela_registros[CATEGORIA],reservaoutrosconsolidadomai[[#This Row],[ATUAL]])</f>
        <v>0</v>
      </c>
      <c r="F213" s="91">
        <f>SUMIFS(tabela_registros[VALOR],tabela_registros[MÊS],$AE$1,tabela_registros[DIA],reservaoutrosconsolidadomai[[#Headers],[2]],tabela_registros[REGISTRO],DADOS!$N$6,tabela_registros[TIPO],DADOS!$AJ$5,tabela_registros[CATEGORIA],reservaoutrosconsolidadomai[[#This Row],[ATUAL]])</f>
        <v>0</v>
      </c>
      <c r="G213" s="91">
        <f>SUMIFS(tabela_registros[VALOR],tabela_registros[MÊS],$AE$1,tabela_registros[DIA],reservaoutrosconsolidadomai[[#Headers],[3]],tabela_registros[REGISTRO],DADOS!$N$6,tabela_registros[TIPO],DADOS!$AJ$5,tabela_registros[CATEGORIA],reservaoutrosconsolidadomai[[#This Row],[ATUAL]])</f>
        <v>0</v>
      </c>
      <c r="H213" s="91">
        <f>SUMIFS(tabela_registros[VALOR],tabela_registros[MÊS],$AE$1,tabela_registros[DIA],reservaoutrosconsolidadomai[[#Headers],[4]],tabela_registros[REGISTRO],DADOS!$N$6,tabela_registros[TIPO],DADOS!$AJ$5,tabela_registros[CATEGORIA],reservaoutrosconsolidadomai[[#This Row],[ATUAL]])</f>
        <v>0</v>
      </c>
      <c r="I213" s="91">
        <f>SUMIFS(tabela_registros[VALOR],tabela_registros[MÊS],$AE$1,tabela_registros[DIA],reservaoutrosconsolidadomai[[#Headers],[5]],tabela_registros[REGISTRO],DADOS!$N$6,tabela_registros[TIPO],DADOS!$AJ$5,tabela_registros[CATEGORIA],reservaoutrosconsolidadomai[[#This Row],[ATUAL]])</f>
        <v>0</v>
      </c>
      <c r="J213" s="91">
        <f>SUMIFS(tabela_registros[VALOR],tabela_registros[MÊS],$AE$1,tabela_registros[DIA],reservaoutrosconsolidadomai[[#Headers],[6]],tabela_registros[REGISTRO],DADOS!$N$6,tabela_registros[TIPO],DADOS!$AJ$5,tabela_registros[CATEGORIA],reservaoutrosconsolidadomai[[#This Row],[ATUAL]])</f>
        <v>0</v>
      </c>
      <c r="K213" s="91">
        <f>SUMIFS(tabela_registros[VALOR],tabela_registros[MÊS],$AE$1,tabela_registros[DIA],reservaoutrosconsolidadomai[[#Headers],[7]],tabela_registros[REGISTRO],DADOS!$N$6,tabela_registros[TIPO],DADOS!$AJ$5,tabela_registros[CATEGORIA],reservaoutrosconsolidadomai[[#This Row],[ATUAL]])</f>
        <v>0</v>
      </c>
      <c r="L213" s="91">
        <f>SUMIFS(tabela_registros[VALOR],tabela_registros[MÊS],$AE$1,tabela_registros[DIA],reservaoutrosconsolidadomai[[#Headers],[8]],tabela_registros[REGISTRO],DADOS!$N$6,tabela_registros[TIPO],DADOS!$AJ$5,tabela_registros[CATEGORIA],reservaoutrosconsolidadomai[[#This Row],[ATUAL]])</f>
        <v>0</v>
      </c>
      <c r="M213" s="91">
        <f>SUMIFS(tabela_registros[VALOR],tabela_registros[MÊS],$AE$1,tabela_registros[DIA],reservaoutrosconsolidadomai[[#Headers],[9]],tabela_registros[REGISTRO],DADOS!$N$6,tabela_registros[TIPO],DADOS!$AJ$5,tabela_registros[CATEGORIA],reservaoutrosconsolidadomai[[#This Row],[ATUAL]])</f>
        <v>0</v>
      </c>
      <c r="N213" s="91">
        <f>SUMIFS(tabela_registros[VALOR],tabela_registros[MÊS],$AE$1,tabela_registros[DIA],reservaoutrosconsolidadomai[[#Headers],[10]],tabela_registros[REGISTRO],DADOS!$N$6,tabela_registros[TIPO],DADOS!$AJ$5,tabela_registros[CATEGORIA],reservaoutrosconsolidadomai[[#This Row],[ATUAL]])</f>
        <v>0</v>
      </c>
      <c r="O213" s="91">
        <f>SUMIFS(tabela_registros[VALOR],tabela_registros[MÊS],$AE$1,tabela_registros[DIA],reservaoutrosconsolidadomai[[#Headers],[11]],tabela_registros[REGISTRO],DADOS!$N$6,tabela_registros[TIPO],DADOS!$AJ$5,tabela_registros[CATEGORIA],reservaoutrosconsolidadomai[[#This Row],[ATUAL]])</f>
        <v>0</v>
      </c>
      <c r="P213" s="91">
        <f>SUMIFS(tabela_registros[VALOR],tabela_registros[MÊS],$AE$1,tabela_registros[DIA],reservaoutrosconsolidadomai[[#Headers],[12]],tabela_registros[REGISTRO],DADOS!$N$6,tabela_registros[TIPO],DADOS!$AJ$5,tabela_registros[CATEGORIA],reservaoutrosconsolidadomai[[#This Row],[ATUAL]])</f>
        <v>0</v>
      </c>
      <c r="Q213" s="91">
        <f>SUMIFS(tabela_registros[VALOR],tabela_registros[MÊS],$AE$1,tabela_registros[DIA],reservaoutrosconsolidadomai[[#Headers],[13]],tabela_registros[REGISTRO],DADOS!$N$6,tabela_registros[TIPO],DADOS!$AJ$5,tabela_registros[CATEGORIA],reservaoutrosconsolidadomai[[#This Row],[ATUAL]])</f>
        <v>0</v>
      </c>
      <c r="R213" s="91">
        <f>SUMIFS(tabela_registros[VALOR],tabela_registros[MÊS],$AE$1,tabela_registros[DIA],reservaoutrosconsolidadomai[[#Headers],[14]],tabela_registros[REGISTRO],DADOS!$N$6,tabela_registros[TIPO],DADOS!$AJ$5,tabela_registros[CATEGORIA],reservaoutrosconsolidadomai[[#This Row],[ATUAL]])</f>
        <v>0</v>
      </c>
      <c r="S213" s="91">
        <f>SUMIFS(tabela_registros[VALOR],tabela_registros[MÊS],$AE$1,tabela_registros[DIA],reservaoutrosconsolidadomai[[#Headers],[15]],tabela_registros[REGISTRO],DADOS!$N$6,tabela_registros[TIPO],DADOS!$AJ$5,tabela_registros[CATEGORIA],reservaoutrosconsolidadomai[[#This Row],[ATUAL]])</f>
        <v>0</v>
      </c>
      <c r="T213" s="91">
        <f>SUMIFS(tabela_registros[VALOR],tabela_registros[MÊS],$AE$1,tabela_registros[DIA],reservaoutrosconsolidadomai[[#Headers],[16]],tabela_registros[REGISTRO],DADOS!$N$6,tabela_registros[TIPO],DADOS!$AJ$5,tabela_registros[CATEGORIA],reservaoutrosconsolidadomai[[#This Row],[ATUAL]])</f>
        <v>0</v>
      </c>
      <c r="U213" s="91">
        <f>SUMIFS(tabela_registros[VALOR],tabela_registros[MÊS],$AE$1,tabela_registros[DIA],reservaoutrosconsolidadomai[[#Headers],[17]],tabela_registros[REGISTRO],DADOS!$N$6,tabela_registros[TIPO],DADOS!$AJ$5,tabela_registros[CATEGORIA],reservaoutrosconsolidadomai[[#This Row],[ATUAL]])</f>
        <v>0</v>
      </c>
      <c r="V213" s="91">
        <f>SUMIFS(tabela_registros[VALOR],tabela_registros[MÊS],$AE$1,tabela_registros[DIA],reservaoutrosconsolidadomai[[#Headers],[18]],tabela_registros[REGISTRO],DADOS!$N$6,tabela_registros[TIPO],DADOS!$AJ$5,tabela_registros[CATEGORIA],reservaoutrosconsolidadomai[[#This Row],[ATUAL]])</f>
        <v>0</v>
      </c>
      <c r="W213" s="91">
        <f>SUMIFS(tabela_registros[VALOR],tabela_registros[MÊS],$AE$1,tabela_registros[DIA],reservaoutrosconsolidadomai[[#Headers],[19]],tabela_registros[REGISTRO],DADOS!$N$6,tabela_registros[TIPO],DADOS!$AJ$5,tabela_registros[CATEGORIA],reservaoutrosconsolidadomai[[#This Row],[ATUAL]])</f>
        <v>0</v>
      </c>
      <c r="X213" s="91">
        <f>SUMIFS(tabela_registros[VALOR],tabela_registros[MÊS],$AE$1,tabela_registros[DIA],reservaoutrosconsolidadomai[[#Headers],[20]],tabela_registros[REGISTRO],DADOS!$N$6,tabela_registros[TIPO],DADOS!$AJ$5,tabela_registros[CATEGORIA],reservaoutrosconsolidadomai[[#This Row],[ATUAL]])</f>
        <v>0</v>
      </c>
      <c r="Y213" s="91">
        <f>SUMIFS(tabela_registros[VALOR],tabela_registros[MÊS],$AE$1,tabela_registros[DIA],reservaoutrosconsolidadomai[[#Headers],[21]],tabela_registros[REGISTRO],DADOS!$N$6,tabela_registros[TIPO],DADOS!$AJ$5,tabela_registros[CATEGORIA],reservaoutrosconsolidadomai[[#This Row],[ATUAL]])</f>
        <v>0</v>
      </c>
      <c r="Z213" s="91">
        <f>SUMIFS(tabela_registros[VALOR],tabela_registros[MÊS],$AE$1,tabela_registros[DIA],reservaoutrosconsolidadomai[[#Headers],[22]],tabela_registros[REGISTRO],DADOS!$N$6,tabela_registros[TIPO],DADOS!$AJ$5,tabela_registros[CATEGORIA],reservaoutrosconsolidadomai[[#This Row],[ATUAL]])</f>
        <v>0</v>
      </c>
      <c r="AA213" s="91">
        <f>SUMIFS(tabela_registros[VALOR],tabela_registros[MÊS],$AE$1,tabela_registros[DIA],reservaoutrosconsolidadomai[[#Headers],[23]],tabela_registros[REGISTRO],DADOS!$N$6,tabela_registros[TIPO],DADOS!$AJ$5,tabela_registros[CATEGORIA],reservaoutrosconsolidadomai[[#This Row],[ATUAL]])</f>
        <v>0</v>
      </c>
      <c r="AB213" s="91">
        <f>SUMIFS(tabela_registros[VALOR],tabela_registros[MÊS],$AE$1,tabela_registros[DIA],reservaoutrosconsolidadomai[[#Headers],[24]],tabela_registros[REGISTRO],DADOS!$N$6,tabela_registros[TIPO],DADOS!$AJ$5,tabela_registros[CATEGORIA],reservaoutrosconsolidadomai[[#This Row],[ATUAL]])</f>
        <v>0</v>
      </c>
      <c r="AC213" s="91">
        <f>SUMIFS(tabela_registros[VALOR],tabela_registros[MÊS],$AE$1,tabela_registros[DIA],reservaoutrosconsolidadomai[[#Headers],[25]],tabela_registros[REGISTRO],DADOS!$N$6,tabela_registros[TIPO],DADOS!$AJ$5,tabela_registros[CATEGORIA],reservaoutrosconsolidadomai[[#This Row],[ATUAL]])</f>
        <v>0</v>
      </c>
      <c r="AD213" s="91">
        <f>SUMIFS(tabela_registros[VALOR],tabela_registros[MÊS],$AE$1,tabela_registros[DIA],reservaoutrosconsolidadomai[[#Headers],[26]],tabela_registros[REGISTRO],DADOS!$N$6,tabela_registros[TIPO],DADOS!$AJ$5,tabela_registros[CATEGORIA],reservaoutrosconsolidadomai[[#This Row],[ATUAL]])</f>
        <v>0</v>
      </c>
      <c r="AE213" s="91">
        <f>SUMIFS(tabela_registros[VALOR],tabela_registros[MÊS],$AE$1,tabela_registros[DIA],reservaoutrosconsolidadomai[[#Headers],[27]],tabela_registros[REGISTRO],DADOS!$N$6,tabela_registros[TIPO],DADOS!$AJ$5,tabela_registros[CATEGORIA],reservaoutrosconsolidadomai[[#This Row],[ATUAL]])</f>
        <v>0</v>
      </c>
      <c r="AF213" s="91">
        <f>SUMIFS(tabela_registros[VALOR],tabela_registros[MÊS],$AE$1,tabela_registros[DIA],reservaoutrosconsolidadomai[[#Headers],[28]],tabela_registros[REGISTRO],DADOS!$N$6,tabela_registros[TIPO],DADOS!$AJ$5,tabela_registros[CATEGORIA],reservaoutrosconsolidadomai[[#This Row],[ATUAL]])</f>
        <v>0</v>
      </c>
      <c r="AG213" s="91">
        <f>SUMIFS(tabela_registros[VALOR],tabela_registros[MÊS],$AE$1,tabela_registros[DIA],reservaoutrosconsolidadomai[[#Headers],[29]],tabela_registros[REGISTRO],DADOS!$N$6,tabela_registros[TIPO],DADOS!$AJ$5,tabela_registros[CATEGORIA],reservaoutrosconsolidadomai[[#This Row],[ATUAL]])</f>
        <v>0</v>
      </c>
      <c r="AH213" s="91">
        <f>SUMIFS(tabela_registros[VALOR],tabela_registros[MÊS],$AE$1,tabela_registros[DIA],reservaoutrosconsolidadomai[[#Headers],[30]],tabela_registros[REGISTRO],DADOS!$N$6,tabela_registros[TIPO],DADOS!$AJ$5,tabela_registros[CATEGORIA],reservaoutrosconsolidadomai[[#This Row],[ATUAL]])</f>
        <v>0</v>
      </c>
      <c r="AI213" s="102">
        <f>SUMIFS(tabela_registros[VALOR],tabela_registros[MÊS],$AE$1,tabela_registros[DIA],reservaoutrosconsolidadomai[[#Headers],[31]],tabela_registros[REGISTRO],DADOS!$N$6,tabela_registros[TIPO],DADOS!$AJ$5,tabela_registros[CATEGORIA],reservaoutrosconsolidadomai[[#This Row],[ATUAL]])</f>
        <v>0</v>
      </c>
      <c r="AJ213" s="97">
        <f>SUM(reservaoutrosconsolidadomai[[#This Row],[1]:[31]])</f>
        <v>0</v>
      </c>
      <c r="AK213" s="25"/>
    </row>
    <row r="214" spans="2:37" s="16" customFormat="1" ht="21" customHeight="1" thickTop="1" thickBot="1" x14ac:dyDescent="0.35">
      <c r="B214" s="24"/>
      <c r="C214" s="23" t="s">
        <v>19</v>
      </c>
      <c r="D214" s="22"/>
      <c r="E214" s="21">
        <f>SUM(E206:E213)</f>
        <v>0</v>
      </c>
      <c r="F214" s="20">
        <f>SUM(F206:F213)+reservaoutrosconsolidadomai[[#This Row],[1]]</f>
        <v>0</v>
      </c>
      <c r="G214" s="20">
        <f>SUM(G206:G213)+reservaoutrosconsolidadomai[[#This Row],[2]]</f>
        <v>0</v>
      </c>
      <c r="H214" s="20">
        <f>SUM(H206:H213)+reservaoutrosconsolidadomai[[#This Row],[3]]</f>
        <v>0</v>
      </c>
      <c r="I214" s="20">
        <f>SUM(I206:I213)+reservaoutrosconsolidadomai[[#This Row],[4]]</f>
        <v>0</v>
      </c>
      <c r="J214" s="20">
        <f>SUM(J206:J213)+reservaoutrosconsolidadomai[[#This Row],[5]]</f>
        <v>0</v>
      </c>
      <c r="K214" s="20">
        <f>SUM(K206:K213)+reservaoutrosconsolidadomai[[#This Row],[6]]</f>
        <v>0</v>
      </c>
      <c r="L214" s="20">
        <f>SUM(L206:L213)+reservaoutrosconsolidadomai[[#This Row],[7]]</f>
        <v>0</v>
      </c>
      <c r="M214" s="20">
        <f>SUM(M206:M213)+reservaoutrosconsolidadomai[[#This Row],[8]]</f>
        <v>0</v>
      </c>
      <c r="N214" s="20">
        <f>SUM(N206:N213)+reservaoutrosconsolidadomai[[#This Row],[9]]</f>
        <v>0</v>
      </c>
      <c r="O214" s="20">
        <f>SUM(O206:O213)+reservaoutrosconsolidadomai[[#This Row],[10]]</f>
        <v>0</v>
      </c>
      <c r="P214" s="20">
        <f>SUM(P206:P213)+reservaoutrosconsolidadomai[[#This Row],[11]]</f>
        <v>0</v>
      </c>
      <c r="Q214" s="20">
        <f>SUM(Q206:Q213)+reservaoutrosconsolidadomai[[#This Row],[12]]</f>
        <v>0</v>
      </c>
      <c r="R214" s="20">
        <f>SUM(R206:R213)+reservaoutrosconsolidadomai[[#This Row],[13]]</f>
        <v>0</v>
      </c>
      <c r="S214" s="20">
        <f>SUM(S206:S213)+reservaoutrosconsolidadomai[[#This Row],[14]]</f>
        <v>0</v>
      </c>
      <c r="T214" s="20">
        <f>SUM(T206:T213)+reservaoutrosconsolidadomai[[#This Row],[15]]</f>
        <v>0</v>
      </c>
      <c r="U214" s="20">
        <f>SUM(U206:U213)+reservaoutrosconsolidadomai[[#This Row],[16]]</f>
        <v>0</v>
      </c>
      <c r="V214" s="20">
        <f>SUM(V206:V213)+reservaoutrosconsolidadomai[[#This Row],[17]]</f>
        <v>0</v>
      </c>
      <c r="W214" s="20">
        <f>SUM(W206:W213)+reservaoutrosconsolidadomai[[#This Row],[18]]</f>
        <v>0</v>
      </c>
      <c r="X214" s="20">
        <f>SUM(X206:X213)+reservaoutrosconsolidadomai[[#This Row],[19]]</f>
        <v>0</v>
      </c>
      <c r="Y214" s="20">
        <f>SUM(Y206:Y213)+reservaoutrosconsolidadomai[[#This Row],[20]]</f>
        <v>0</v>
      </c>
      <c r="Z214" s="20">
        <f>SUM(Z206:Z213)+reservaoutrosconsolidadomai[[#This Row],[21]]</f>
        <v>0</v>
      </c>
      <c r="AA214" s="20">
        <f>SUM(AA206:AA213)+reservaoutrosconsolidadomai[[#This Row],[22]]</f>
        <v>0</v>
      </c>
      <c r="AB214" s="20">
        <f>SUM(AB206:AB213)+reservaoutrosconsolidadomai[[#This Row],[23]]</f>
        <v>0</v>
      </c>
      <c r="AC214" s="20">
        <f>SUM(AC206:AC213)+reservaoutrosconsolidadomai[[#This Row],[24]]</f>
        <v>0</v>
      </c>
      <c r="AD214" s="20">
        <f>SUM(AD206:AD213)+reservaoutrosconsolidadomai[[#This Row],[25]]</f>
        <v>0</v>
      </c>
      <c r="AE214" s="20">
        <f>SUM(AE206:AE213)+reservaoutrosconsolidadomai[[#This Row],[26]]</f>
        <v>0</v>
      </c>
      <c r="AF214" s="20">
        <f>SUM(AF206:AF213)+reservaoutrosconsolidadomai[[#This Row],[27]]</f>
        <v>0</v>
      </c>
      <c r="AG214" s="20">
        <f>SUM(AG206:AG213)+reservaoutrosconsolidadomai[[#This Row],[28]]</f>
        <v>0</v>
      </c>
      <c r="AH214" s="20">
        <f>SUM(AH206:AH213)+reservaoutrosconsolidadomai[[#This Row],[29]]</f>
        <v>0</v>
      </c>
      <c r="AI214" s="19">
        <f>SUM(AI206:AI213)+reservaoutrosconsolidadomai[[#This Row],[30]]</f>
        <v>0</v>
      </c>
      <c r="AJ214" s="18">
        <f>reservaoutrosconsolidadomai[[#This Row],[31]]</f>
        <v>0</v>
      </c>
      <c r="AK214" s="17"/>
    </row>
    <row r="215" spans="2:37" ht="6.75" customHeight="1" thickTop="1" thickBot="1" x14ac:dyDescent="0.3">
      <c r="B215" s="15"/>
      <c r="C215" s="14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3"/>
      <c r="AE215" s="13"/>
      <c r="AF215" s="13"/>
      <c r="AG215" s="13"/>
      <c r="AH215" s="13"/>
      <c r="AI215" s="12"/>
      <c r="AJ215" s="11"/>
      <c r="AK215" s="10"/>
    </row>
    <row r="216" spans="2:37" ht="12.6" thickTop="1" x14ac:dyDescent="0.25"/>
    <row r="217" spans="2:37" x14ac:dyDescent="0.25"/>
  </sheetData>
  <sheetProtection algorithmName="SHA-512" hashValue="vOjed9j/JctzVXclxH99E15drcgJi2mqeKB6dfPbPXzGF/469TgiH2UuG8jNJkWyw/YKGYmmcq4o8NZDqAH/2Q==" saltValue="vsCkznKQPQrMKja0fxLIOw==" spinCount="100000" sheet="1" objects="1" scenarios="1" selectLockedCells="1" selectUnlockedCells="1"/>
  <mergeCells count="26">
    <mergeCell ref="E202:AI202"/>
    <mergeCell ref="E10:AI10"/>
    <mergeCell ref="E21:AI21"/>
    <mergeCell ref="E33:AI33"/>
    <mergeCell ref="E56:AI56"/>
    <mergeCell ref="E78:AI78"/>
    <mergeCell ref="E92:AI92"/>
    <mergeCell ref="E109:AI109"/>
    <mergeCell ref="E128:AI128"/>
    <mergeCell ref="E147:AI147"/>
    <mergeCell ref="E164:AI164"/>
    <mergeCell ref="E183:AI183"/>
    <mergeCell ref="Z3:AA4"/>
    <mergeCell ref="AC3:AD4"/>
    <mergeCell ref="AF3:AG4"/>
    <mergeCell ref="E4:G4"/>
    <mergeCell ref="I4:K4"/>
    <mergeCell ref="M4:O4"/>
    <mergeCell ref="Q4:S4"/>
    <mergeCell ref="U4:W4"/>
    <mergeCell ref="U3:W3"/>
    <mergeCell ref="C2:C6"/>
    <mergeCell ref="E3:G3"/>
    <mergeCell ref="I3:K3"/>
    <mergeCell ref="M3:O3"/>
    <mergeCell ref="Q3:S3"/>
  </mergeCells>
  <hyperlinks>
    <hyperlink ref="Z3:AA4" location="'🔒'!A1" display="REGISTROS" xr:uid="{E41EDD3B-3851-4930-87A0-FBDA07DFC4A6}"/>
    <hyperlink ref="AF3:AG4" location="ANUAL!A1" display="ANUAL" xr:uid="{4413478B-50E4-4576-A7FF-5339AE10C997}"/>
    <hyperlink ref="AC3:AD4" location="'📈'!A1" display="RADAR" xr:uid="{6581AE23-1722-43F7-A666-19D7C591C847}"/>
  </hyperlinks>
  <pageMargins left="0.511811024" right="0.511811024" top="0.78740157499999996" bottom="0.78740157499999996" header="0.31496062000000002" footer="0.31496062000000002"/>
  <ignoredErrors>
    <ignoredError sqref="E6:AI6" numberStoredAsText="1"/>
    <ignoredError sqref="AJ16:AJ27 D37:AJ214" calculatedColumn="1"/>
  </ignoredErrors>
  <drawing r:id="rId1"/>
  <tableParts count="12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</tableParts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type="column" displayEmptyCellsAs="gap" high="1" low="1" negative="1" minAxisType="custom" maxAxisType="group" xr2:uid="{F2E35664-730C-4DC7-A3C4-34304CEDA684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'5'!E27:AI27</xm:f>
              <xm:sqref>E21</xm:sqref>
            </x14:sparkline>
          </x14:sparklines>
        </x14:sparklineGroup>
        <x14:sparklineGroup manualMax="0" manualMin="0" type="column" displayEmptyCellsAs="gap" high="1" low="1" negative="1" minAxisType="custom" maxAxisType="group" xr2:uid="{D404529E-2FC3-4310-8230-094BF6E4C86C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'5'!E87:AI87</xm:f>
              <xm:sqref>E78</xm:sqref>
            </x14:sparkline>
          </x14:sparklines>
        </x14:sparklineGroup>
        <x14:sparklineGroup manualMax="0" manualMin="0" type="column" displayEmptyCellsAs="gap" high="1" low="1" negative="1" minAxisType="custom" maxAxisType="group" xr2:uid="{85E1DFB6-0A6D-4FEA-91FF-D2AB31F4ADBA}">
          <x14:colorSeries rgb="FFC00000"/>
          <x14:colorNegative rgb="FFC00000"/>
          <x14:colorAxis rgb="FF000000"/>
          <x14:colorMarkers rgb="FF0070C0"/>
          <x14:colorFirst rgb="FFFFC000"/>
          <x14:colorLast rgb="FFFFC000"/>
          <x14:colorHigh rgb="FFFF0000"/>
          <x14:colorLow rgb="FFFFC000"/>
          <x14:sparklines>
            <x14:sparkline>
              <xm:f>'5'!E73:AI73</xm:f>
              <xm:sqref>E56</xm:sqref>
            </x14:sparkline>
          </x14:sparklines>
        </x14:sparklineGroup>
        <x14:sparklineGroup manualMax="0" manualMin="0" type="column" displayEmptyCellsAs="gap" high="1" low="1" negative="1" minAxisType="custom" maxAxisType="group" xr2:uid="{03E47F68-3F35-41F1-BE78-F0807D4E5848}">
          <x14:colorSeries rgb="FFC00000"/>
          <x14:colorNegative rgb="FFC00000"/>
          <x14:colorAxis rgb="FF000000"/>
          <x14:colorMarkers rgb="FF0070C0"/>
          <x14:colorFirst rgb="FFFFC000"/>
          <x14:colorLast rgb="FFFFC000"/>
          <x14:colorHigh rgb="FFFF0000"/>
          <x14:colorLow rgb="FFFFC000"/>
          <x14:sparklines>
            <x14:sparkline>
              <xm:f>'5'!E51:AI51</xm:f>
              <xm:sqref>E33</xm:sqref>
            </x14:sparkline>
          </x14:sparklines>
        </x14:sparklineGroup>
        <x14:sparklineGroup manualMax="0" manualMin="0" type="column" displayEmptyCellsAs="gap" high="1" low="1" negative="1" minAxisType="custom" maxAxisType="group" xr2:uid="{711D3C27-E96C-4030-8BCE-9AD8A56DF14F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'5'!E104:AI104</xm:f>
              <xm:sqref>E92</xm:sqref>
            </x14:sparkline>
          </x14:sparklines>
        </x14:sparklineGroup>
        <x14:sparklineGroup manualMax="0" manualMin="0" type="column" displayEmptyCellsAs="gap" high="1" low="1" negative="1" minAxisType="custom" maxAxisType="group" xr2:uid="{D9FBC23B-EB22-42EC-BAAF-BD292D251BD6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'5'!E123:AI123</xm:f>
              <xm:sqref>E109</xm:sqref>
            </x14:sparkline>
          </x14:sparklines>
        </x14:sparklineGroup>
        <x14:sparklineGroup manualMax="0" manualMin="0" type="column" displayEmptyCellsAs="gap" high="1" low="1" negative="1" minAxisType="custom" maxAxisType="group" xr2:uid="{410423AB-A747-4052-BA7A-97E4EFBA25AF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'5'!E142:AI142</xm:f>
              <xm:sqref>E128</xm:sqref>
            </x14:sparkline>
          </x14:sparklines>
        </x14:sparklineGroup>
        <x14:sparklineGroup manualMax="0" manualMin="0" type="column" displayEmptyCellsAs="gap" high="1" low="1" negative="1" minAxisType="custom" maxAxisType="group" xr2:uid="{ACA9DDD2-5302-4ADF-9443-512496F6A552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'5'!E159:AI159</xm:f>
              <xm:sqref>E147</xm:sqref>
            </x14:sparkline>
          </x14:sparklines>
        </x14:sparklineGroup>
        <x14:sparklineGroup manualMax="0" manualMin="0" type="column" displayEmptyCellsAs="gap" high="1" low="1" negative="1" minAxisType="custom" maxAxisType="group" xr2:uid="{6679F694-70E6-41FF-B345-D28F2D2C8667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'5'!E178:AI178</xm:f>
              <xm:sqref>E164</xm:sqref>
            </x14:sparkline>
          </x14:sparklines>
        </x14:sparklineGroup>
        <x14:sparklineGroup manualMax="0" manualMin="0" type="column" displayEmptyCellsAs="gap" high="1" low="1" negative="1" minAxisType="custom" maxAxisType="group" xr2:uid="{60BC927A-A003-45D2-9C04-5240CA113686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'5'!E197:AI197</xm:f>
              <xm:sqref>E183</xm:sqref>
            </x14:sparkline>
          </x14:sparklines>
        </x14:sparklineGroup>
        <x14:sparklineGroup manualMax="0" manualMin="0" type="column" displayEmptyCellsAs="gap" high="1" low="1" negative="1" minAxisType="custom" maxAxisType="group" xr2:uid="{04CE01ED-349E-41E0-9EDA-28F5F7F1C6CC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'5'!E214:AI214</xm:f>
              <xm:sqref>E202</xm:sqref>
            </x14:sparkline>
          </x14:sparklines>
        </x14:sparklineGroup>
        <x14:sparklineGroup manualMax="0" type="column" displayEmptyCellsAs="gap" high="1" negative="1" maxAxisType="group" xr2:uid="{59C9F467-1321-4F05-A105-0870A89076C0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'5'!E16:AI16</xm:f>
              <xm:sqref>E10</xm:sqref>
            </x14:sparkline>
          </x14:sparklines>
        </x14:sparklineGroup>
      </x14:sparklineGroup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DDC524-A57B-4066-950A-FAAAE561AEC0}">
  <sheetPr codeName="Planilha10">
    <tabColor rgb="FFFFEBAB"/>
  </sheetPr>
  <dimension ref="A1:AL217"/>
  <sheetViews>
    <sheetView showGridLines="0" showRowColHeaders="0" showZeros="0" zoomScale="85" zoomScaleNormal="85" workbookViewId="0">
      <pane xSplit="3" ySplit="6" topLeftCell="D7" activePane="bottomRight" state="frozen"/>
      <selection activeCell="D24" sqref="D24"/>
      <selection pane="topRight" activeCell="D24" sqref="D24"/>
      <selection pane="bottomLeft" activeCell="D24" sqref="D24"/>
      <selection pane="bottomRight" activeCell="D24" sqref="D24"/>
    </sheetView>
  </sheetViews>
  <sheetFormatPr defaultColWidth="0" defaultRowHeight="12" zeroHeight="1" x14ac:dyDescent="0.25"/>
  <cols>
    <col min="1" max="1" width="2.109375" style="4" customWidth="1"/>
    <col min="2" max="2" width="1.5546875" style="4" customWidth="1"/>
    <col min="3" max="3" width="29.33203125" style="4" bestFit="1" customWidth="1"/>
    <col min="4" max="4" width="4.6640625" style="4" customWidth="1"/>
    <col min="5" max="34" width="5.5546875" style="4" customWidth="1"/>
    <col min="35" max="35" width="5.5546875" style="9" hidden="1" customWidth="1"/>
    <col min="36" max="36" width="9.5546875" style="4" customWidth="1"/>
    <col min="37" max="37" width="1.5546875" style="4" customWidth="1"/>
    <col min="38" max="38" width="2" style="4" customWidth="1"/>
    <col min="39" max="16384" width="2.109375" style="4" hidden="1"/>
  </cols>
  <sheetData>
    <row r="1" spans="1:38" ht="29.25" hidden="1" customHeight="1" thickBot="1" x14ac:dyDescent="0.3">
      <c r="A1" s="80"/>
      <c r="B1" s="80"/>
      <c r="C1" s="80"/>
      <c r="D1" s="79"/>
      <c r="AD1" s="4" t="s">
        <v>215</v>
      </c>
      <c r="AE1" s="78">
        <v>6</v>
      </c>
      <c r="AH1" s="4" t="s">
        <v>214</v>
      </c>
      <c r="AI1" s="75">
        <f>IF('⚙️'!$Q$3=$AE$1,'⚙️'!$F$13,0)</f>
        <v>0</v>
      </c>
      <c r="AK1" s="75"/>
    </row>
    <row r="2" spans="1:38" ht="15.75" customHeight="1" thickTop="1" thickBot="1" x14ac:dyDescent="0.3">
      <c r="A2" s="77"/>
      <c r="B2" s="77"/>
      <c r="C2" s="245" t="s">
        <v>69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71"/>
      <c r="U2" s="71"/>
      <c r="V2" s="71"/>
      <c r="W2" s="71"/>
      <c r="X2" s="71"/>
      <c r="Y2" s="71"/>
      <c r="Z2" s="71"/>
      <c r="AA2" s="71"/>
      <c r="AB2" s="71"/>
      <c r="AC2" s="76"/>
      <c r="AD2" s="64"/>
      <c r="AE2" s="64"/>
      <c r="AF2" s="64"/>
      <c r="AG2" s="64"/>
      <c r="AH2" s="64"/>
      <c r="AI2" s="64"/>
      <c r="AJ2" s="64"/>
      <c r="AK2" s="64"/>
      <c r="AL2" s="64"/>
    </row>
    <row r="3" spans="1:38" s="73" customFormat="1" ht="18" customHeight="1" thickTop="1" thickBot="1" x14ac:dyDescent="0.3">
      <c r="A3" s="72"/>
      <c r="B3" s="72"/>
      <c r="C3" s="246"/>
      <c r="D3" s="2"/>
      <c r="E3" s="243" t="s">
        <v>211</v>
      </c>
      <c r="F3" s="243"/>
      <c r="G3" s="243"/>
      <c r="H3" s="71"/>
      <c r="I3" s="243" t="s">
        <v>210</v>
      </c>
      <c r="J3" s="243"/>
      <c r="K3" s="243"/>
      <c r="L3" s="71"/>
      <c r="M3" s="243" t="s">
        <v>209</v>
      </c>
      <c r="N3" s="243"/>
      <c r="O3" s="243"/>
      <c r="P3" s="71"/>
      <c r="Q3" s="243" t="s">
        <v>208</v>
      </c>
      <c r="R3" s="243"/>
      <c r="S3" s="243"/>
      <c r="T3" s="71"/>
      <c r="U3" s="243" t="s">
        <v>207</v>
      </c>
      <c r="V3" s="243"/>
      <c r="W3" s="243"/>
      <c r="X3" s="71"/>
      <c r="Y3" s="71"/>
      <c r="Z3" s="252" t="s">
        <v>23</v>
      </c>
      <c r="AA3" s="253"/>
      <c r="AB3" s="64"/>
      <c r="AC3" s="252" t="s">
        <v>24</v>
      </c>
      <c r="AD3" s="253"/>
      <c r="AE3" s="64"/>
      <c r="AF3" s="252" t="s">
        <v>22</v>
      </c>
      <c r="AG3" s="253"/>
      <c r="AH3" s="74"/>
      <c r="AI3" s="74"/>
      <c r="AJ3" s="74"/>
      <c r="AK3" s="64"/>
      <c r="AL3" s="64"/>
    </row>
    <row r="4" spans="1:38" s="73" customFormat="1" ht="18" customHeight="1" thickTop="1" thickBot="1" x14ac:dyDescent="0.3">
      <c r="A4" s="72"/>
      <c r="B4" s="72"/>
      <c r="C4" s="246"/>
      <c r="D4" s="2"/>
      <c r="E4" s="242">
        <f>$AJ$16</f>
        <v>0</v>
      </c>
      <c r="F4" s="242"/>
      <c r="G4" s="242"/>
      <c r="H4" s="71"/>
      <c r="I4" s="242">
        <f>$AJ$14</f>
        <v>0</v>
      </c>
      <c r="J4" s="242"/>
      <c r="K4" s="242"/>
      <c r="L4" s="71"/>
      <c r="M4" s="242">
        <f>$AJ$15</f>
        <v>0</v>
      </c>
      <c r="N4" s="242"/>
      <c r="O4" s="242"/>
      <c r="P4" s="71"/>
      <c r="Q4" s="242">
        <f>$AJ$25</f>
        <v>0</v>
      </c>
      <c r="R4" s="242"/>
      <c r="S4" s="242"/>
      <c r="T4" s="71"/>
      <c r="U4" s="242">
        <f>$AJ$26</f>
        <v>0</v>
      </c>
      <c r="V4" s="242"/>
      <c r="W4" s="242"/>
      <c r="X4" s="71"/>
      <c r="Y4" s="71"/>
      <c r="Z4" s="254"/>
      <c r="AA4" s="255"/>
      <c r="AB4" s="64"/>
      <c r="AC4" s="254"/>
      <c r="AD4" s="255"/>
      <c r="AE4" s="64"/>
      <c r="AF4" s="254"/>
      <c r="AG4" s="255"/>
      <c r="AH4" s="74"/>
      <c r="AI4" s="74" t="s">
        <v>216</v>
      </c>
      <c r="AJ4" s="74"/>
      <c r="AK4" s="64"/>
      <c r="AL4" s="64"/>
    </row>
    <row r="5" spans="1:38" ht="11.25" customHeight="1" thickTop="1" thickBot="1" x14ac:dyDescent="0.3">
      <c r="A5" s="72"/>
      <c r="B5" s="72"/>
      <c r="C5" s="246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71"/>
      <c r="Y5" s="2"/>
      <c r="Z5" s="2"/>
      <c r="AA5" s="71"/>
      <c r="AB5" s="71"/>
      <c r="AC5" s="70"/>
      <c r="AD5" s="69"/>
      <c r="AE5" s="69"/>
      <c r="AF5" s="69"/>
      <c r="AG5" s="69"/>
      <c r="AH5" s="69"/>
      <c r="AI5" s="69"/>
      <c r="AJ5" s="64"/>
      <c r="AK5" s="64"/>
      <c r="AL5" s="64"/>
    </row>
    <row r="6" spans="1:38" ht="13.5" customHeight="1" thickTop="1" thickBot="1" x14ac:dyDescent="0.3">
      <c r="A6" s="68"/>
      <c r="B6" s="68"/>
      <c r="C6" s="247"/>
      <c r="D6" s="15"/>
      <c r="E6" s="67" t="s">
        <v>197</v>
      </c>
      <c r="F6" s="67" t="s">
        <v>196</v>
      </c>
      <c r="G6" s="66" t="s">
        <v>195</v>
      </c>
      <c r="H6" s="66" t="s">
        <v>194</v>
      </c>
      <c r="I6" s="66" t="s">
        <v>193</v>
      </c>
      <c r="J6" s="66" t="s">
        <v>192</v>
      </c>
      <c r="K6" s="66" t="s">
        <v>191</v>
      </c>
      <c r="L6" s="66" t="s">
        <v>190</v>
      </c>
      <c r="M6" s="66" t="s">
        <v>189</v>
      </c>
      <c r="N6" s="66" t="s">
        <v>188</v>
      </c>
      <c r="O6" s="66" t="s">
        <v>187</v>
      </c>
      <c r="P6" s="66" t="s">
        <v>186</v>
      </c>
      <c r="Q6" s="66" t="s">
        <v>185</v>
      </c>
      <c r="R6" s="66" t="s">
        <v>184</v>
      </c>
      <c r="S6" s="66" t="s">
        <v>183</v>
      </c>
      <c r="T6" s="66" t="s">
        <v>182</v>
      </c>
      <c r="U6" s="66" t="s">
        <v>181</v>
      </c>
      <c r="V6" s="66" t="s">
        <v>180</v>
      </c>
      <c r="W6" s="66" t="s">
        <v>179</v>
      </c>
      <c r="X6" s="66" t="s">
        <v>178</v>
      </c>
      <c r="Y6" s="66" t="s">
        <v>177</v>
      </c>
      <c r="Z6" s="66" t="s">
        <v>176</v>
      </c>
      <c r="AA6" s="66" t="s">
        <v>175</v>
      </c>
      <c r="AB6" s="66" t="s">
        <v>174</v>
      </c>
      <c r="AC6" s="66" t="s">
        <v>173</v>
      </c>
      <c r="AD6" s="66" t="s">
        <v>172</v>
      </c>
      <c r="AE6" s="66" t="s">
        <v>171</v>
      </c>
      <c r="AF6" s="66" t="s">
        <v>170</v>
      </c>
      <c r="AG6" s="66" t="s">
        <v>169</v>
      </c>
      <c r="AH6" s="66" t="s">
        <v>168</v>
      </c>
      <c r="AI6" s="65" t="s">
        <v>167</v>
      </c>
      <c r="AJ6" s="64"/>
      <c r="AK6" s="64"/>
      <c r="AL6" s="64"/>
    </row>
    <row r="7" spans="1:38" ht="12.6" thickTop="1" x14ac:dyDescent="0.25">
      <c r="E7" s="37"/>
      <c r="AI7" s="4"/>
    </row>
    <row r="8" spans="1:38" x14ac:dyDescent="0.25">
      <c r="AI8" s="4"/>
    </row>
    <row r="9" spans="1:38" x14ac:dyDescent="0.25">
      <c r="AI9" s="4"/>
    </row>
    <row r="10" spans="1:38" ht="39.75" customHeight="1" x14ac:dyDescent="0.7">
      <c r="C10" s="36"/>
      <c r="E10" s="240"/>
      <c r="F10" s="240"/>
      <c r="G10" s="240"/>
      <c r="H10" s="240"/>
      <c r="I10" s="240"/>
      <c r="J10" s="240"/>
      <c r="K10" s="240"/>
      <c r="L10" s="240"/>
      <c r="M10" s="240"/>
      <c r="N10" s="240"/>
      <c r="O10" s="240"/>
      <c r="P10" s="240"/>
      <c r="Q10" s="240"/>
      <c r="R10" s="240"/>
      <c r="S10" s="240"/>
      <c r="T10" s="240"/>
      <c r="U10" s="240"/>
      <c r="V10" s="240"/>
      <c r="W10" s="240"/>
      <c r="X10" s="240"/>
      <c r="Y10" s="240"/>
      <c r="Z10" s="240"/>
      <c r="AA10" s="240"/>
      <c r="AB10" s="240"/>
      <c r="AC10" s="240"/>
      <c r="AD10" s="240"/>
      <c r="AE10" s="240"/>
      <c r="AF10" s="240"/>
      <c r="AG10" s="240"/>
      <c r="AH10" s="240"/>
      <c r="AI10" s="240"/>
      <c r="AJ10" s="32" t="s">
        <v>19</v>
      </c>
    </row>
    <row r="11" spans="1:38" ht="12.6" thickBot="1" x14ac:dyDescent="0.3">
      <c r="AI11" s="4"/>
      <c r="AJ11" s="34" t="s">
        <v>202</v>
      </c>
    </row>
    <row r="12" spans="1:38" ht="6.75" customHeight="1" thickTop="1" thickBot="1" x14ac:dyDescent="0.3">
      <c r="B12" s="49"/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49"/>
      <c r="X12" s="49"/>
      <c r="Y12" s="49"/>
      <c r="Z12" s="49"/>
      <c r="AA12" s="49"/>
      <c r="AB12" s="49"/>
      <c r="AC12" s="49"/>
      <c r="AD12" s="49"/>
      <c r="AE12" s="49"/>
      <c r="AF12" s="49"/>
      <c r="AG12" s="49"/>
      <c r="AH12" s="49"/>
      <c r="AI12" s="49"/>
      <c r="AJ12" s="50"/>
      <c r="AK12" s="49"/>
    </row>
    <row r="13" spans="1:38" ht="13.2" hidden="1" thickTop="1" thickBot="1" x14ac:dyDescent="0.3">
      <c r="B13" s="2"/>
      <c r="C13" s="31" t="s">
        <v>199</v>
      </c>
      <c r="D13" s="30" t="s">
        <v>198</v>
      </c>
      <c r="E13" s="30" t="s">
        <v>197</v>
      </c>
      <c r="F13" s="30" t="s">
        <v>196</v>
      </c>
      <c r="G13" s="30" t="s">
        <v>195</v>
      </c>
      <c r="H13" s="30" t="s">
        <v>194</v>
      </c>
      <c r="I13" s="30" t="s">
        <v>193</v>
      </c>
      <c r="J13" s="30" t="s">
        <v>192</v>
      </c>
      <c r="K13" s="30" t="s">
        <v>191</v>
      </c>
      <c r="L13" s="30" t="s">
        <v>190</v>
      </c>
      <c r="M13" s="30" t="s">
        <v>189</v>
      </c>
      <c r="N13" s="30" t="s">
        <v>188</v>
      </c>
      <c r="O13" s="30" t="s">
        <v>187</v>
      </c>
      <c r="P13" s="30" t="s">
        <v>186</v>
      </c>
      <c r="Q13" s="30" t="s">
        <v>185</v>
      </c>
      <c r="R13" s="30" t="s">
        <v>184</v>
      </c>
      <c r="S13" s="30" t="s">
        <v>183</v>
      </c>
      <c r="T13" s="30" t="s">
        <v>182</v>
      </c>
      <c r="U13" s="30" t="s">
        <v>181</v>
      </c>
      <c r="V13" s="30" t="s">
        <v>180</v>
      </c>
      <c r="W13" s="30" t="s">
        <v>179</v>
      </c>
      <c r="X13" s="30" t="s">
        <v>178</v>
      </c>
      <c r="Y13" s="30" t="s">
        <v>177</v>
      </c>
      <c r="Z13" s="30" t="s">
        <v>176</v>
      </c>
      <c r="AA13" s="30" t="s">
        <v>175</v>
      </c>
      <c r="AB13" s="30" t="s">
        <v>174</v>
      </c>
      <c r="AC13" s="30" t="s">
        <v>173</v>
      </c>
      <c r="AD13" s="30" t="s">
        <v>172</v>
      </c>
      <c r="AE13" s="30" t="s">
        <v>171</v>
      </c>
      <c r="AF13" s="30" t="s">
        <v>170</v>
      </c>
      <c r="AG13" s="30" t="s">
        <v>169</v>
      </c>
      <c r="AH13" s="30" t="s">
        <v>168</v>
      </c>
      <c r="AI13" s="30" t="s">
        <v>167</v>
      </c>
      <c r="AJ13" s="29" t="s">
        <v>166</v>
      </c>
      <c r="AK13" s="49"/>
    </row>
    <row r="14" spans="1:38" ht="19.5" customHeight="1" thickTop="1" thickBot="1" x14ac:dyDescent="0.3">
      <c r="B14" s="49"/>
      <c r="C14" s="61" t="s">
        <v>206</v>
      </c>
      <c r="D14" s="60"/>
      <c r="E14" s="88">
        <f>SUMIFS(tabela_registros[VALOR],tabela_registros[MÊS],$AE$1,tabela_registros[DIA],juntotal3059718395[[#Headers],[1]],tabela_registros[REGISTRO],DADOS!$N$3)</f>
        <v>0</v>
      </c>
      <c r="F14" s="88">
        <f>SUMIFS(tabela_registros[VALOR],tabela_registros[MÊS],$AE$1,tabela_registros[DIA],juntotal3059718395[[#Headers],[2]],tabela_registros[REGISTRO],DADOS!$N$3)</f>
        <v>0</v>
      </c>
      <c r="G14" s="88">
        <f>SUMIFS(tabela_registros[VALOR],tabela_registros[MÊS],$AE$1,tabela_registros[DIA],juntotal3059718395[[#Headers],[3]],tabela_registros[REGISTRO],DADOS!$N$3)</f>
        <v>0</v>
      </c>
      <c r="H14" s="88">
        <f>SUMIFS(tabela_registros[VALOR],tabela_registros[MÊS],$AE$1,tabela_registros[DIA],juntotal3059718395[[#Headers],[4]],tabela_registros[REGISTRO],DADOS!$N$3)</f>
        <v>0</v>
      </c>
      <c r="I14" s="88">
        <f>SUMIFS(tabela_registros[VALOR],tabela_registros[MÊS],$AE$1,tabela_registros[DIA],juntotal3059718395[[#Headers],[5]],tabela_registros[REGISTRO],DADOS!$N$3)</f>
        <v>0</v>
      </c>
      <c r="J14" s="88">
        <f>SUMIFS(tabela_registros[VALOR],tabela_registros[MÊS],$AE$1,tabela_registros[DIA],juntotal3059718395[[#Headers],[6]],tabela_registros[REGISTRO],DADOS!$N$3)</f>
        <v>0</v>
      </c>
      <c r="K14" s="88">
        <f>SUMIFS(tabela_registros[VALOR],tabela_registros[MÊS],$AE$1,tabela_registros[DIA],juntotal3059718395[[#Headers],[7]],tabela_registros[REGISTRO],DADOS!$N$3)</f>
        <v>0</v>
      </c>
      <c r="L14" s="88">
        <f>SUMIFS(tabela_registros[VALOR],tabela_registros[MÊS],$AE$1,tabela_registros[DIA],juntotal3059718395[[#Headers],[8]],tabela_registros[REGISTRO],DADOS!$N$3)</f>
        <v>0</v>
      </c>
      <c r="M14" s="88">
        <f>SUMIFS(tabela_registros[VALOR],tabela_registros[MÊS],$AE$1,tabela_registros[DIA],juntotal3059718395[[#Headers],[9]],tabela_registros[REGISTRO],DADOS!$N$3)</f>
        <v>0</v>
      </c>
      <c r="N14" s="88">
        <f>SUMIFS(tabela_registros[VALOR],tabela_registros[MÊS],$AE$1,tabela_registros[DIA],juntotal3059718395[[#Headers],[10]],tabela_registros[REGISTRO],DADOS!$N$3)</f>
        <v>0</v>
      </c>
      <c r="O14" s="88">
        <f>SUMIFS(tabela_registros[VALOR],tabela_registros[MÊS],$AE$1,tabela_registros[DIA],juntotal3059718395[[#Headers],[11]],tabela_registros[REGISTRO],DADOS!$N$3)</f>
        <v>0</v>
      </c>
      <c r="P14" s="88">
        <f>SUMIFS(tabela_registros[VALOR],tabela_registros[MÊS],$AE$1,tabela_registros[DIA],juntotal3059718395[[#Headers],[12]],tabela_registros[REGISTRO],DADOS!$N$3)</f>
        <v>0</v>
      </c>
      <c r="Q14" s="88">
        <f>SUMIFS(tabela_registros[VALOR],tabela_registros[MÊS],$AE$1,tabela_registros[DIA],juntotal3059718395[[#Headers],[13]],tabela_registros[REGISTRO],DADOS!$N$3)</f>
        <v>0</v>
      </c>
      <c r="R14" s="88">
        <f>SUMIFS(tabela_registros[VALOR],tabela_registros[MÊS],$AE$1,tabela_registros[DIA],juntotal3059718395[[#Headers],[14]],tabela_registros[REGISTRO],DADOS!$N$3)</f>
        <v>0</v>
      </c>
      <c r="S14" s="88">
        <f>SUMIFS(tabela_registros[VALOR],tabela_registros[MÊS],$AE$1,tabela_registros[DIA],juntotal3059718395[[#Headers],[15]],tabela_registros[REGISTRO],DADOS!$N$3)</f>
        <v>0</v>
      </c>
      <c r="T14" s="88">
        <f>SUMIFS(tabela_registros[VALOR],tabela_registros[MÊS],$AE$1,tabela_registros[DIA],juntotal3059718395[[#Headers],[16]],tabela_registros[REGISTRO],DADOS!$N$3)</f>
        <v>0</v>
      </c>
      <c r="U14" s="88">
        <f>SUMIFS(tabela_registros[VALOR],tabela_registros[MÊS],$AE$1,tabela_registros[DIA],juntotal3059718395[[#Headers],[17]],tabela_registros[REGISTRO],DADOS!$N$3)</f>
        <v>0</v>
      </c>
      <c r="V14" s="88">
        <f>SUMIFS(tabela_registros[VALOR],tabela_registros[MÊS],$AE$1,tabela_registros[DIA],juntotal3059718395[[#Headers],[18]],tabela_registros[REGISTRO],DADOS!$N$3)</f>
        <v>0</v>
      </c>
      <c r="W14" s="88">
        <f>SUMIFS(tabela_registros[VALOR],tabela_registros[MÊS],$AE$1,tabela_registros[DIA],juntotal3059718395[[#Headers],[19]],tabela_registros[REGISTRO],DADOS!$N$3)</f>
        <v>0</v>
      </c>
      <c r="X14" s="88">
        <f>SUMIFS(tabela_registros[VALOR],tabela_registros[MÊS],$AE$1,tabela_registros[DIA],juntotal3059718395[[#Headers],[20]],tabela_registros[REGISTRO],DADOS!$N$3)</f>
        <v>0</v>
      </c>
      <c r="Y14" s="88">
        <f>SUMIFS(tabela_registros[VALOR],tabela_registros[MÊS],$AE$1,tabela_registros[DIA],juntotal3059718395[[#Headers],[21]],tabela_registros[REGISTRO],DADOS!$N$3)</f>
        <v>0</v>
      </c>
      <c r="Z14" s="88">
        <f>SUMIFS(tabela_registros[VALOR],tabela_registros[MÊS],$AE$1,tabela_registros[DIA],juntotal3059718395[[#Headers],[22]],tabela_registros[REGISTRO],DADOS!$N$3)</f>
        <v>0</v>
      </c>
      <c r="AA14" s="88">
        <f>SUMIFS(tabela_registros[VALOR],tabela_registros[MÊS],$AE$1,tabela_registros[DIA],juntotal3059718395[[#Headers],[23]],tabela_registros[REGISTRO],DADOS!$N$3)</f>
        <v>0</v>
      </c>
      <c r="AB14" s="88">
        <f>SUMIFS(tabela_registros[VALOR],tabela_registros[MÊS],$AE$1,tabela_registros[DIA],juntotal3059718395[[#Headers],[24]],tabela_registros[REGISTRO],DADOS!$N$3)</f>
        <v>0</v>
      </c>
      <c r="AC14" s="88">
        <f>SUMIFS(tabela_registros[VALOR],tabela_registros[MÊS],$AE$1,tabela_registros[DIA],juntotal3059718395[[#Headers],[25]],tabela_registros[REGISTRO],DADOS!$N$3)</f>
        <v>0</v>
      </c>
      <c r="AD14" s="88">
        <f>SUMIFS(tabela_registros[VALOR],tabela_registros[MÊS],$AE$1,tabela_registros[DIA],juntotal3059718395[[#Headers],[26]],tabela_registros[REGISTRO],DADOS!$N$3)</f>
        <v>0</v>
      </c>
      <c r="AE14" s="88">
        <f>SUMIFS(tabela_registros[VALOR],tabela_registros[MÊS],$AE$1,tabela_registros[DIA],juntotal3059718395[[#Headers],[27]],tabela_registros[REGISTRO],DADOS!$N$3)</f>
        <v>0</v>
      </c>
      <c r="AF14" s="88">
        <f>SUMIFS(tabela_registros[VALOR],tabela_registros[MÊS],$AE$1,tabela_registros[DIA],juntotal3059718395[[#Headers],[28]],tabela_registros[REGISTRO],DADOS!$N$3)</f>
        <v>0</v>
      </c>
      <c r="AG14" s="88">
        <f>SUMIFS(tabela_registros[VALOR],tabela_registros[MÊS],$AE$1,tabela_registros[DIA],juntotal3059718395[[#Headers],[29]],tabela_registros[REGISTRO],DADOS!$N$3)</f>
        <v>0</v>
      </c>
      <c r="AH14" s="89">
        <f>SUMIFS(tabela_registros[VALOR],tabela_registros[MÊS],$AE$1,tabela_registros[DIA],juntotal3059718395[[#Headers],[30]],tabela_registros[REGISTRO],DADOS!$N$3)</f>
        <v>0</v>
      </c>
      <c r="AI14" s="90">
        <f>SUMIFS(tabela_registros[VALOR],tabela_registros[MÊS],$AE$1,tabela_registros[DIA],juntotal3059718395[[#Headers],[31]],tabela_registros[REGISTRO],DADOS!$N$3)</f>
        <v>0</v>
      </c>
      <c r="AJ14" s="90">
        <f>SUM(juntotal3059718395[[#This Row],[1]:[31]])</f>
        <v>0</v>
      </c>
      <c r="AK14" s="49"/>
    </row>
    <row r="15" spans="1:38" ht="18" customHeight="1" thickTop="1" thickBot="1" x14ac:dyDescent="0.3">
      <c r="B15" s="49"/>
      <c r="C15" s="61" t="s">
        <v>205</v>
      </c>
      <c r="D15" s="60"/>
      <c r="E15" s="91">
        <f>SUMIFS(tabela_registros[VALOR],tabela_registros[MÊS],$AE$1,tabela_registros[DIA],juntotal3059718395[[#Headers],[1]],tabela_registros[REGISTRO],DADOS!$N$4)</f>
        <v>0</v>
      </c>
      <c r="F15" s="91">
        <f>SUMIFS(tabela_registros[VALOR],tabela_registros[MÊS],$AE$1,tabela_registros[DIA],juntotal3059718395[[#Headers],[2]],tabela_registros[REGISTRO],DADOS!$N$4)</f>
        <v>0</v>
      </c>
      <c r="G15" s="91">
        <f>SUMIFS(tabela_registros[VALOR],tabela_registros[MÊS],$AE$1,tabela_registros[DIA],juntotal3059718395[[#Headers],[3]],tabela_registros[REGISTRO],DADOS!$N$4)</f>
        <v>0</v>
      </c>
      <c r="H15" s="91">
        <f>SUMIFS(tabela_registros[VALOR],tabela_registros[MÊS],$AE$1,tabela_registros[DIA],juntotal3059718395[[#Headers],[4]],tabela_registros[REGISTRO],DADOS!$N$4)</f>
        <v>0</v>
      </c>
      <c r="I15" s="91">
        <f>SUMIFS(tabela_registros[VALOR],tabela_registros[MÊS],$AE$1,tabela_registros[DIA],juntotal3059718395[[#Headers],[5]],tabela_registros[REGISTRO],DADOS!$N$4)</f>
        <v>0</v>
      </c>
      <c r="J15" s="91">
        <f>SUMIFS(tabela_registros[VALOR],tabela_registros[MÊS],$AE$1,tabela_registros[DIA],juntotal3059718395[[#Headers],[6]],tabela_registros[REGISTRO],DADOS!$N$4)</f>
        <v>0</v>
      </c>
      <c r="K15" s="91">
        <f>SUMIFS(tabela_registros[VALOR],tabela_registros[MÊS],$AE$1,tabela_registros[DIA],juntotal3059718395[[#Headers],[7]],tabela_registros[REGISTRO],DADOS!$N$4)</f>
        <v>0</v>
      </c>
      <c r="L15" s="91">
        <f>SUMIFS(tabela_registros[VALOR],tabela_registros[MÊS],$AE$1,tabela_registros[DIA],juntotal3059718395[[#Headers],[8]],tabela_registros[REGISTRO],DADOS!$N$4)</f>
        <v>0</v>
      </c>
      <c r="M15" s="91">
        <f>SUMIFS(tabela_registros[VALOR],tabela_registros[MÊS],$AE$1,tabela_registros[DIA],juntotal3059718395[[#Headers],[9]],tabela_registros[REGISTRO],DADOS!$N$4)</f>
        <v>0</v>
      </c>
      <c r="N15" s="91">
        <f>SUMIFS(tabela_registros[VALOR],tabela_registros[MÊS],$AE$1,tabela_registros[DIA],juntotal3059718395[[#Headers],[10]],tabela_registros[REGISTRO],DADOS!$N$4)</f>
        <v>0</v>
      </c>
      <c r="O15" s="91">
        <f>SUMIFS(tabela_registros[VALOR],tabela_registros[MÊS],$AE$1,tabela_registros[DIA],juntotal3059718395[[#Headers],[11]],tabela_registros[REGISTRO],DADOS!$N$4)</f>
        <v>0</v>
      </c>
      <c r="P15" s="91">
        <f>SUMIFS(tabela_registros[VALOR],tabela_registros[MÊS],$AE$1,tabela_registros[DIA],juntotal3059718395[[#Headers],[12]],tabela_registros[REGISTRO],DADOS!$N$4)</f>
        <v>0</v>
      </c>
      <c r="Q15" s="91">
        <f>SUMIFS(tabela_registros[VALOR],tabela_registros[MÊS],$AE$1,tabela_registros[DIA],juntotal3059718395[[#Headers],[13]],tabela_registros[REGISTRO],DADOS!$N$4)</f>
        <v>0</v>
      </c>
      <c r="R15" s="91">
        <f>SUMIFS(tabela_registros[VALOR],tabela_registros[MÊS],$AE$1,tabela_registros[DIA],juntotal3059718395[[#Headers],[14]],tabela_registros[REGISTRO],DADOS!$N$4)</f>
        <v>0</v>
      </c>
      <c r="S15" s="91">
        <f>SUMIFS(tabela_registros[VALOR],tabela_registros[MÊS],$AE$1,tabela_registros[DIA],juntotal3059718395[[#Headers],[15]],tabela_registros[REGISTRO],DADOS!$N$4)</f>
        <v>0</v>
      </c>
      <c r="T15" s="91">
        <f>SUMIFS(tabela_registros[VALOR],tabela_registros[MÊS],$AE$1,tabela_registros[DIA],juntotal3059718395[[#Headers],[16]],tabela_registros[REGISTRO],DADOS!$N$4)</f>
        <v>0</v>
      </c>
      <c r="U15" s="91">
        <f>SUMIFS(tabela_registros[VALOR],tabela_registros[MÊS],$AE$1,tabela_registros[DIA],juntotal3059718395[[#Headers],[17]],tabela_registros[REGISTRO],DADOS!$N$4)</f>
        <v>0</v>
      </c>
      <c r="V15" s="91">
        <f>SUMIFS(tabela_registros[VALOR],tabela_registros[MÊS],$AE$1,tabela_registros[DIA],juntotal3059718395[[#Headers],[18]],tabela_registros[REGISTRO],DADOS!$N$4)</f>
        <v>0</v>
      </c>
      <c r="W15" s="91">
        <f>SUMIFS(tabela_registros[VALOR],tabela_registros[MÊS],$AE$1,tabela_registros[DIA],juntotal3059718395[[#Headers],[19]],tabela_registros[REGISTRO],DADOS!$N$4)</f>
        <v>0</v>
      </c>
      <c r="X15" s="91">
        <f>SUMIFS(tabela_registros[VALOR],tabela_registros[MÊS],$AE$1,tabela_registros[DIA],juntotal3059718395[[#Headers],[20]],tabela_registros[REGISTRO],DADOS!$N$4)</f>
        <v>0</v>
      </c>
      <c r="Y15" s="91">
        <f>SUMIFS(tabela_registros[VALOR],tabela_registros[MÊS],$AE$1,tabela_registros[DIA],juntotal3059718395[[#Headers],[21]],tabela_registros[REGISTRO],DADOS!$N$4)</f>
        <v>0</v>
      </c>
      <c r="Z15" s="91">
        <f>SUMIFS(tabela_registros[VALOR],tabela_registros[MÊS],$AE$1,tabela_registros[DIA],juntotal3059718395[[#Headers],[22]],tabela_registros[REGISTRO],DADOS!$N$4)</f>
        <v>0</v>
      </c>
      <c r="AA15" s="91">
        <f>SUMIFS(tabela_registros[VALOR],tabela_registros[MÊS],$AE$1,tabela_registros[DIA],juntotal3059718395[[#Headers],[23]],tabela_registros[REGISTRO],DADOS!$N$4)</f>
        <v>0</v>
      </c>
      <c r="AB15" s="91">
        <f>SUMIFS(tabela_registros[VALOR],tabela_registros[MÊS],$AE$1,tabela_registros[DIA],juntotal3059718395[[#Headers],[24]],tabela_registros[REGISTRO],DADOS!$N$4)</f>
        <v>0</v>
      </c>
      <c r="AC15" s="91">
        <f>SUMIFS(tabela_registros[VALOR],tabela_registros[MÊS],$AE$1,tabela_registros[DIA],juntotal3059718395[[#Headers],[25]],tabela_registros[REGISTRO],DADOS!$N$4)</f>
        <v>0</v>
      </c>
      <c r="AD15" s="91">
        <f>SUMIFS(tabela_registros[VALOR],tabela_registros[MÊS],$AE$1,tabela_registros[DIA],juntotal3059718395[[#Headers],[26]],tabela_registros[REGISTRO],DADOS!$N$4)</f>
        <v>0</v>
      </c>
      <c r="AE15" s="91">
        <f>SUMIFS(tabela_registros[VALOR],tabela_registros[MÊS],$AE$1,tabela_registros[DIA],juntotal3059718395[[#Headers],[27]],tabela_registros[REGISTRO],DADOS!$N$4)</f>
        <v>0</v>
      </c>
      <c r="AF15" s="91">
        <f>SUMIFS(tabela_registros[VALOR],tabela_registros[MÊS],$AE$1,tabela_registros[DIA],juntotal3059718395[[#Headers],[28]],tabela_registros[REGISTRO],DADOS!$N$4)</f>
        <v>0</v>
      </c>
      <c r="AG15" s="91">
        <f>SUMIFS(tabela_registros[VALOR],tabela_registros[MÊS],$AE$1,tabela_registros[DIA],juntotal3059718395[[#Headers],[29]],tabela_registros[REGISTRO],DADOS!$N$4)</f>
        <v>0</v>
      </c>
      <c r="AH15" s="92">
        <f>SUMIFS(tabela_registros[VALOR],tabela_registros[MÊS],$AE$1,tabela_registros[DIA],juntotal3059718395[[#Headers],[30]],tabela_registros[REGISTRO],DADOS!$N$4)</f>
        <v>0</v>
      </c>
      <c r="AI15" s="93">
        <f>SUMIFS(tabela_registros[VALOR],tabela_registros[MÊS],$AE$1,tabela_registros[DIA],juntotal3059718395[[#Headers],[31]],tabela_registros[REGISTRO],DADOS!$N$4)</f>
        <v>0</v>
      </c>
      <c r="AJ15" s="93">
        <f>SUM(juntotal3059718395[[#This Row],[1]:[31]])</f>
        <v>0</v>
      </c>
      <c r="AK15" s="49"/>
    </row>
    <row r="16" spans="1:38" s="16" customFormat="1" ht="21" customHeight="1" thickTop="1" thickBot="1" x14ac:dyDescent="0.35">
      <c r="B16" s="52"/>
      <c r="C16" s="57" t="s">
        <v>204</v>
      </c>
      <c r="D16" s="63"/>
      <c r="E16" s="55">
        <f>(E14-E15)+AI1</f>
        <v>0</v>
      </c>
      <c r="F16" s="54">
        <f>juntotal3059718395[[#This Row],[1]]+(F14-F15)</f>
        <v>0</v>
      </c>
      <c r="G16" s="54">
        <f>juntotal3059718395[[#This Row],[2]]+(G14-G15)</f>
        <v>0</v>
      </c>
      <c r="H16" s="54">
        <f>juntotal3059718395[[#This Row],[3]]+(H14-H15)</f>
        <v>0</v>
      </c>
      <c r="I16" s="54">
        <f>juntotal3059718395[[#This Row],[4]]+(I14-I15)</f>
        <v>0</v>
      </c>
      <c r="J16" s="54">
        <f>juntotal3059718395[[#This Row],[5]]+(J14-J15)</f>
        <v>0</v>
      </c>
      <c r="K16" s="54">
        <f>juntotal3059718395[[#This Row],[6]]+(K14-K15)</f>
        <v>0</v>
      </c>
      <c r="L16" s="54">
        <f>juntotal3059718395[[#This Row],[7]]+(L14-L15)</f>
        <v>0</v>
      </c>
      <c r="M16" s="54">
        <f>juntotal3059718395[[#This Row],[8]]+(M14-M15)</f>
        <v>0</v>
      </c>
      <c r="N16" s="54">
        <f>juntotal3059718395[[#This Row],[9]]+(N14-N15)</f>
        <v>0</v>
      </c>
      <c r="O16" s="54">
        <f>juntotal3059718395[[#This Row],[10]]+(O14-O15)</f>
        <v>0</v>
      </c>
      <c r="P16" s="54">
        <f>juntotal3059718395[[#This Row],[11]]+(P14-P15)</f>
        <v>0</v>
      </c>
      <c r="Q16" s="54">
        <f>juntotal3059718395[[#This Row],[12]]+(Q14-Q15)</f>
        <v>0</v>
      </c>
      <c r="R16" s="54">
        <f>juntotal3059718395[[#This Row],[13]]+(R14-R15)</f>
        <v>0</v>
      </c>
      <c r="S16" s="54">
        <f>juntotal3059718395[[#This Row],[14]]+(S14-S15)</f>
        <v>0</v>
      </c>
      <c r="T16" s="54">
        <f>juntotal3059718395[[#This Row],[15]]+(T14-T15)</f>
        <v>0</v>
      </c>
      <c r="U16" s="54">
        <f>juntotal3059718395[[#This Row],[16]]+(U14-U15)</f>
        <v>0</v>
      </c>
      <c r="V16" s="54">
        <f>juntotal3059718395[[#This Row],[17]]+(V14-V15)</f>
        <v>0</v>
      </c>
      <c r="W16" s="54">
        <f>juntotal3059718395[[#This Row],[18]]+(W14-W15)</f>
        <v>0</v>
      </c>
      <c r="X16" s="54">
        <f>juntotal3059718395[[#This Row],[19]]+(X14-X15)</f>
        <v>0</v>
      </c>
      <c r="Y16" s="54">
        <f>juntotal3059718395[[#This Row],[20]]+(Y14-Y15)</f>
        <v>0</v>
      </c>
      <c r="Z16" s="54">
        <f>juntotal3059718395[[#This Row],[21]]+(Z14-Z15)</f>
        <v>0</v>
      </c>
      <c r="AA16" s="54">
        <f>juntotal3059718395[[#This Row],[22]]+(AA14-AA15)</f>
        <v>0</v>
      </c>
      <c r="AB16" s="54">
        <f>juntotal3059718395[[#This Row],[23]]+(AB14-AB15)</f>
        <v>0</v>
      </c>
      <c r="AC16" s="54">
        <f>juntotal3059718395[[#This Row],[24]]+(AC14-AC15)</f>
        <v>0</v>
      </c>
      <c r="AD16" s="54">
        <f>juntotal3059718395[[#This Row],[25]]+(AD14-AD15)</f>
        <v>0</v>
      </c>
      <c r="AE16" s="54">
        <f>juntotal3059718395[[#This Row],[26]]+(AE14-AE15)</f>
        <v>0</v>
      </c>
      <c r="AF16" s="54">
        <f>juntotal3059718395[[#This Row],[27]]+(AF14-AF15)</f>
        <v>0</v>
      </c>
      <c r="AG16" s="54">
        <f>juntotal3059718395[[#This Row],[28]]+(AG14-AG15)</f>
        <v>0</v>
      </c>
      <c r="AH16" s="62">
        <f>juntotal3059718395[[#This Row],[29]]+(AH14-AH15)</f>
        <v>0</v>
      </c>
      <c r="AI16" s="53">
        <f>juntotal3059718395[[#This Row],[30]]+(AI14-AI15)</f>
        <v>0</v>
      </c>
      <c r="AJ16" s="53">
        <f>juntotal3059718395[[#This Row],[31]]</f>
        <v>0</v>
      </c>
      <c r="AK16" s="52"/>
    </row>
    <row r="17" spans="1:37" ht="6.75" customHeight="1" thickTop="1" thickBot="1" x14ac:dyDescent="0.3">
      <c r="B17" s="49"/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49"/>
      <c r="X17" s="49"/>
      <c r="Y17" s="49"/>
      <c r="Z17" s="49"/>
      <c r="AA17" s="49"/>
      <c r="AB17" s="49"/>
      <c r="AC17" s="49"/>
      <c r="AD17" s="49"/>
      <c r="AE17" s="49"/>
      <c r="AF17" s="49"/>
      <c r="AG17" s="49"/>
      <c r="AH17" s="49"/>
      <c r="AI17" s="50"/>
      <c r="AJ17" s="49"/>
      <c r="AK17" s="49"/>
    </row>
    <row r="18" spans="1:37" ht="12.6" thickTop="1" x14ac:dyDescent="0.25">
      <c r="C18" s="46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  <c r="AH18" s="47"/>
      <c r="AI18" s="47"/>
    </row>
    <row r="19" spans="1:37" x14ac:dyDescent="0.25">
      <c r="C19" s="46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  <c r="AA19" s="47"/>
      <c r="AB19" s="47"/>
      <c r="AC19" s="47"/>
      <c r="AD19" s="47"/>
      <c r="AE19" s="47"/>
      <c r="AF19" s="47"/>
      <c r="AG19" s="47"/>
      <c r="AH19" s="47"/>
      <c r="AI19" s="47"/>
    </row>
    <row r="20" spans="1:37" x14ac:dyDescent="0.25">
      <c r="A20" s="46"/>
      <c r="B20" s="46"/>
      <c r="C20" s="46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  <c r="AA20" s="47"/>
      <c r="AB20" s="47"/>
      <c r="AC20" s="47"/>
      <c r="AD20" s="47"/>
      <c r="AE20" s="47"/>
      <c r="AF20" s="47"/>
      <c r="AG20" s="47"/>
      <c r="AH20" s="47"/>
      <c r="AI20" s="47"/>
    </row>
    <row r="21" spans="1:37" ht="39.75" customHeight="1" x14ac:dyDescent="0.25">
      <c r="A21" s="46"/>
      <c r="B21" s="46"/>
      <c r="C21" s="46"/>
      <c r="E21" s="240"/>
      <c r="F21" s="240"/>
      <c r="G21" s="240"/>
      <c r="H21" s="240"/>
      <c r="I21" s="240"/>
      <c r="J21" s="240"/>
      <c r="K21" s="240"/>
      <c r="L21" s="240"/>
      <c r="M21" s="240"/>
      <c r="N21" s="240"/>
      <c r="O21" s="240"/>
      <c r="P21" s="240"/>
      <c r="Q21" s="240"/>
      <c r="R21" s="240"/>
      <c r="S21" s="240"/>
      <c r="T21" s="240"/>
      <c r="U21" s="240"/>
      <c r="V21" s="240"/>
      <c r="W21" s="240"/>
      <c r="X21" s="240"/>
      <c r="Y21" s="240"/>
      <c r="Z21" s="240"/>
      <c r="AA21" s="240"/>
      <c r="AB21" s="240"/>
      <c r="AC21" s="240"/>
      <c r="AD21" s="240"/>
      <c r="AE21" s="240"/>
      <c r="AF21" s="240"/>
      <c r="AG21" s="240"/>
      <c r="AH21" s="240"/>
      <c r="AI21" s="240"/>
      <c r="AJ21" s="32" t="s">
        <v>19</v>
      </c>
    </row>
    <row r="22" spans="1:37" ht="11.25" customHeight="1" thickBot="1" x14ac:dyDescent="0.75">
      <c r="C22" s="36"/>
      <c r="AI22" s="4"/>
      <c r="AJ22" s="34" t="s">
        <v>202</v>
      </c>
    </row>
    <row r="23" spans="1:37" ht="6.75" customHeight="1" thickTop="1" thickBot="1" x14ac:dyDescent="0.3">
      <c r="B23" s="49"/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49"/>
      <c r="X23" s="49"/>
      <c r="Y23" s="49"/>
      <c r="Z23" s="49"/>
      <c r="AA23" s="49"/>
      <c r="AB23" s="49"/>
      <c r="AC23" s="49"/>
      <c r="AD23" s="49"/>
      <c r="AE23" s="49"/>
      <c r="AF23" s="49"/>
      <c r="AG23" s="49"/>
      <c r="AH23" s="49"/>
      <c r="AI23" s="49"/>
      <c r="AJ23" s="50"/>
      <c r="AK23" s="49"/>
    </row>
    <row r="24" spans="1:37" ht="13.2" hidden="1" thickTop="1" thickBot="1" x14ac:dyDescent="0.3">
      <c r="B24" s="2"/>
      <c r="C24" s="30" t="s">
        <v>199</v>
      </c>
      <c r="D24" s="49" t="s">
        <v>198</v>
      </c>
      <c r="E24" s="30" t="s">
        <v>197</v>
      </c>
      <c r="F24" s="30" t="s">
        <v>196</v>
      </c>
      <c r="G24" s="30" t="s">
        <v>195</v>
      </c>
      <c r="H24" s="30" t="s">
        <v>194</v>
      </c>
      <c r="I24" s="30" t="s">
        <v>193</v>
      </c>
      <c r="J24" s="30" t="s">
        <v>192</v>
      </c>
      <c r="K24" s="30" t="s">
        <v>191</v>
      </c>
      <c r="L24" s="30" t="s">
        <v>190</v>
      </c>
      <c r="M24" s="30" t="s">
        <v>189</v>
      </c>
      <c r="N24" s="30" t="s">
        <v>188</v>
      </c>
      <c r="O24" s="30" t="s">
        <v>187</v>
      </c>
      <c r="P24" s="30" t="s">
        <v>186</v>
      </c>
      <c r="Q24" s="30" t="s">
        <v>185</v>
      </c>
      <c r="R24" s="30" t="s">
        <v>184</v>
      </c>
      <c r="S24" s="30" t="s">
        <v>183</v>
      </c>
      <c r="T24" s="30" t="s">
        <v>182</v>
      </c>
      <c r="U24" s="30" t="s">
        <v>181</v>
      </c>
      <c r="V24" s="30" t="s">
        <v>180</v>
      </c>
      <c r="W24" s="30" t="s">
        <v>179</v>
      </c>
      <c r="X24" s="30" t="s">
        <v>178</v>
      </c>
      <c r="Y24" s="30" t="s">
        <v>177</v>
      </c>
      <c r="Z24" s="30" t="s">
        <v>176</v>
      </c>
      <c r="AA24" s="30" t="s">
        <v>175</v>
      </c>
      <c r="AB24" s="30" t="s">
        <v>174</v>
      </c>
      <c r="AC24" s="30" t="s">
        <v>173</v>
      </c>
      <c r="AD24" s="30" t="s">
        <v>172</v>
      </c>
      <c r="AE24" s="30" t="s">
        <v>171</v>
      </c>
      <c r="AF24" s="30" t="s">
        <v>170</v>
      </c>
      <c r="AG24" s="30" t="s">
        <v>169</v>
      </c>
      <c r="AH24" s="30" t="s">
        <v>168</v>
      </c>
      <c r="AI24" s="30" t="s">
        <v>167</v>
      </c>
      <c r="AJ24" s="29" t="s">
        <v>166</v>
      </c>
      <c r="AK24" s="49"/>
    </row>
    <row r="25" spans="1:37" ht="19.5" customHeight="1" thickTop="1" thickBot="1" x14ac:dyDescent="0.3">
      <c r="B25" s="49"/>
      <c r="C25" s="61" t="s">
        <v>7</v>
      </c>
      <c r="D25" s="60"/>
      <c r="E25" s="88">
        <f>SUMIFS(tabela_registros[VALOR],tabela_registros[MÊS],$AE$1,tabela_registros[DIA],juntotal3059718395[[#Headers],[1]],tabela_registros[REGISTRO],DADOS!$N$5)</f>
        <v>0</v>
      </c>
      <c r="F25" s="88">
        <f>SUMIFS(tabela_registros[VALOR],tabela_registros[MÊS],$AE$1,tabela_registros[DIA],juntotal3059718395[[#Headers],[2]],tabela_registros[REGISTRO],DADOS!$N$5)</f>
        <v>0</v>
      </c>
      <c r="G25" s="88">
        <f>SUMIFS(tabela_registros[VALOR],tabela_registros[MÊS],$AE$1,tabela_registros[DIA],juntotal3059718395[[#Headers],[3]],tabela_registros[REGISTRO],DADOS!$N$5)</f>
        <v>0</v>
      </c>
      <c r="H25" s="88">
        <f>SUMIFS(tabela_registros[VALOR],tabela_registros[MÊS],$AE$1,tabela_registros[DIA],juntotal3059718395[[#Headers],[4]],tabela_registros[REGISTRO],DADOS!$N$5)</f>
        <v>0</v>
      </c>
      <c r="I25" s="88">
        <f>SUMIFS(tabela_registros[VALOR],tabela_registros[MÊS],$AE$1,tabela_registros[DIA],juntotal3059718395[[#Headers],[5]],tabela_registros[REGISTRO],DADOS!$N$5)</f>
        <v>0</v>
      </c>
      <c r="J25" s="88">
        <f>SUMIFS(tabela_registros[VALOR],tabela_registros[MÊS],$AE$1,tabela_registros[DIA],juntotal3059718395[[#Headers],[6]],tabela_registros[REGISTRO],DADOS!$N$5)</f>
        <v>0</v>
      </c>
      <c r="K25" s="88">
        <f>SUMIFS(tabela_registros[VALOR],tabela_registros[MÊS],$AE$1,tabela_registros[DIA],juntotal3059718395[[#Headers],[7]],tabela_registros[REGISTRO],DADOS!$N$5)</f>
        <v>0</v>
      </c>
      <c r="L25" s="88">
        <f>SUMIFS(tabela_registros[VALOR],tabela_registros[MÊS],$AE$1,tabela_registros[DIA],juntotal3059718395[[#Headers],[8]],tabela_registros[REGISTRO],DADOS!$N$5)</f>
        <v>0</v>
      </c>
      <c r="M25" s="88">
        <f>SUMIFS(tabela_registros[VALOR],tabela_registros[MÊS],$AE$1,tabela_registros[DIA],juntotal3059718395[[#Headers],[9]],tabela_registros[REGISTRO],DADOS!$N$5)</f>
        <v>0</v>
      </c>
      <c r="N25" s="88">
        <f>SUMIFS(tabela_registros[VALOR],tabela_registros[MÊS],$AE$1,tabela_registros[DIA],juntotal3059718395[[#Headers],[10]],tabela_registros[REGISTRO],DADOS!$N$5)</f>
        <v>0</v>
      </c>
      <c r="O25" s="88">
        <f>SUMIFS(tabela_registros[VALOR],tabela_registros[MÊS],$AE$1,tabela_registros[DIA],juntotal3059718395[[#Headers],[11]],tabela_registros[REGISTRO],DADOS!$N$5)</f>
        <v>0</v>
      </c>
      <c r="P25" s="88">
        <f>SUMIFS(tabela_registros[VALOR],tabela_registros[MÊS],$AE$1,tabela_registros[DIA],juntotal3059718395[[#Headers],[12]],tabela_registros[REGISTRO],DADOS!$N$5)</f>
        <v>0</v>
      </c>
      <c r="Q25" s="88">
        <f>SUMIFS(tabela_registros[VALOR],tabela_registros[MÊS],$AE$1,tabela_registros[DIA],juntotal3059718395[[#Headers],[13]],tabela_registros[REGISTRO],DADOS!$N$5)</f>
        <v>0</v>
      </c>
      <c r="R25" s="88">
        <f>SUMIFS(tabela_registros[VALOR],tabela_registros[MÊS],$AE$1,tabela_registros[DIA],juntotal3059718395[[#Headers],[14]],tabela_registros[REGISTRO],DADOS!$N$5)</f>
        <v>0</v>
      </c>
      <c r="S25" s="88">
        <f>SUMIFS(tabela_registros[VALOR],tabela_registros[MÊS],$AE$1,tabela_registros[DIA],juntotal3059718395[[#Headers],[15]],tabela_registros[REGISTRO],DADOS!$N$5)</f>
        <v>0</v>
      </c>
      <c r="T25" s="88">
        <f>SUMIFS(tabela_registros[VALOR],tabela_registros[MÊS],$AE$1,tabela_registros[DIA],juntotal3059718395[[#Headers],[16]],tabela_registros[REGISTRO],DADOS!$N$5)</f>
        <v>0</v>
      </c>
      <c r="U25" s="88">
        <f>SUMIFS(tabela_registros[VALOR],tabela_registros[MÊS],$AE$1,tabela_registros[DIA],juntotal3059718395[[#Headers],[17]],tabela_registros[REGISTRO],DADOS!$N$5)</f>
        <v>0</v>
      </c>
      <c r="V25" s="88">
        <f>SUMIFS(tabela_registros[VALOR],tabela_registros[MÊS],$AE$1,tabela_registros[DIA],juntotal3059718395[[#Headers],[18]],tabela_registros[REGISTRO],DADOS!$N$5)</f>
        <v>0</v>
      </c>
      <c r="W25" s="88">
        <f>SUMIFS(tabela_registros[VALOR],tabela_registros[MÊS],$AE$1,tabela_registros[DIA],juntotal3059718395[[#Headers],[19]],tabela_registros[REGISTRO],DADOS!$N$5)</f>
        <v>0</v>
      </c>
      <c r="X25" s="88">
        <f>SUMIFS(tabela_registros[VALOR],tabela_registros[MÊS],$AE$1,tabela_registros[DIA],juntotal3059718395[[#Headers],[20]],tabela_registros[REGISTRO],DADOS!$N$5)</f>
        <v>0</v>
      </c>
      <c r="Y25" s="88">
        <f>SUMIFS(tabela_registros[VALOR],tabela_registros[MÊS],$AE$1,tabela_registros[DIA],juntotal3059718395[[#Headers],[21]],tabela_registros[REGISTRO],DADOS!$N$5)</f>
        <v>0</v>
      </c>
      <c r="Z25" s="88">
        <f>SUMIFS(tabela_registros[VALOR],tabela_registros[MÊS],$AE$1,tabela_registros[DIA],juntotal3059718395[[#Headers],[22]],tabela_registros[REGISTRO],DADOS!$N$5)</f>
        <v>0</v>
      </c>
      <c r="AA25" s="88">
        <f>SUMIFS(tabela_registros[VALOR],tabela_registros[MÊS],$AE$1,tabela_registros[DIA],juntotal3059718395[[#Headers],[23]],tabela_registros[REGISTRO],DADOS!$N$5)</f>
        <v>0</v>
      </c>
      <c r="AB25" s="88">
        <f>SUMIFS(tabela_registros[VALOR],tabela_registros[MÊS],$AE$1,tabela_registros[DIA],juntotal3059718395[[#Headers],[24]],tabela_registros[REGISTRO],DADOS!$N$5)</f>
        <v>0</v>
      </c>
      <c r="AC25" s="88">
        <f>SUMIFS(tabela_registros[VALOR],tabela_registros[MÊS],$AE$1,tabela_registros[DIA],juntotal3059718395[[#Headers],[25]],tabela_registros[REGISTRO],DADOS!$N$5)</f>
        <v>0</v>
      </c>
      <c r="AD25" s="88">
        <f>SUMIFS(tabela_registros[VALOR],tabela_registros[MÊS],$AE$1,tabela_registros[DIA],juntotal3059718395[[#Headers],[26]],tabela_registros[REGISTRO],DADOS!$N$5)</f>
        <v>0</v>
      </c>
      <c r="AE25" s="88">
        <f>SUMIFS(tabela_registros[VALOR],tabela_registros[MÊS],$AE$1,tabela_registros[DIA],juntotal3059718395[[#Headers],[27]],tabela_registros[REGISTRO],DADOS!$N$5)</f>
        <v>0</v>
      </c>
      <c r="AF25" s="88">
        <f>SUMIFS(tabela_registros[VALOR],tabela_registros[MÊS],$AE$1,tabela_registros[DIA],juntotal3059718395[[#Headers],[28]],tabela_registros[REGISTRO],DADOS!$N$5)</f>
        <v>0</v>
      </c>
      <c r="AG25" s="88">
        <f>SUMIFS(tabela_registros[VALOR],tabela_registros[MÊS],$AE$1,tabela_registros[DIA],juntotal3059718395[[#Headers],[29]],tabela_registros[REGISTRO],DADOS!$N$5)</f>
        <v>0</v>
      </c>
      <c r="AH25" s="89">
        <f>SUMIFS(tabela_registros[VALOR],tabela_registros[MÊS],$AE$1,tabela_registros[DIA],juntotal3059718395[[#Headers],[30]],tabela_registros[REGISTRO],DADOS!$N$5)</f>
        <v>0</v>
      </c>
      <c r="AI25" s="90">
        <f>SUMIFS(tabela_registros[VALOR],tabela_registros[MÊS],$AE$1,tabela_registros[DIA],juntotal3059718395[[#Headers],[31]],tabela_registros[REGISTRO],DADOS!$N$5)</f>
        <v>0</v>
      </c>
      <c r="AJ25" s="90">
        <f>SUM(E25:AI25)</f>
        <v>0</v>
      </c>
      <c r="AK25" s="49"/>
    </row>
    <row r="26" spans="1:37" ht="18" customHeight="1" thickTop="1" thickBot="1" x14ac:dyDescent="0.3">
      <c r="B26" s="49"/>
      <c r="C26" s="59" t="s">
        <v>8</v>
      </c>
      <c r="D26" s="58"/>
      <c r="E26" s="91">
        <f>SUMIFS(tabela_registros[VALOR],tabela_registros[MÊS],$AE$1,tabela_registros[DIA],juntotal3059718395[[#Headers],[1]],tabela_registros[REGISTRO],DADOS!$N$6)</f>
        <v>0</v>
      </c>
      <c r="F26" s="91">
        <f>SUMIFS(tabela_registros[VALOR],tabela_registros[MÊS],$AE$1,tabela_registros[DIA],juntotal3059718395[[#Headers],[2]],tabela_registros[REGISTRO],DADOS!$N$6)</f>
        <v>0</v>
      </c>
      <c r="G26" s="91">
        <f>SUMIFS(tabela_registros[VALOR],tabela_registros[MÊS],$AE$1,tabela_registros[DIA],juntotal3059718395[[#Headers],[3]],tabela_registros[REGISTRO],DADOS!$N$6)</f>
        <v>0</v>
      </c>
      <c r="H26" s="91">
        <f>SUMIFS(tabela_registros[VALOR],tabela_registros[MÊS],$AE$1,tabela_registros[DIA],juntotal3059718395[[#Headers],[4]],tabela_registros[REGISTRO],DADOS!$N$6)</f>
        <v>0</v>
      </c>
      <c r="I26" s="91">
        <f>SUMIFS(tabela_registros[VALOR],tabela_registros[MÊS],$AE$1,tabela_registros[DIA],juntotal3059718395[[#Headers],[5]],tabela_registros[REGISTRO],DADOS!$N$6)</f>
        <v>0</v>
      </c>
      <c r="J26" s="91">
        <f>SUMIFS(tabela_registros[VALOR],tabela_registros[MÊS],$AE$1,tabela_registros[DIA],juntotal3059718395[[#Headers],[6]],tabela_registros[REGISTRO],DADOS!$N$6)</f>
        <v>0</v>
      </c>
      <c r="K26" s="91">
        <f>SUMIFS(tabela_registros[VALOR],tabela_registros[MÊS],$AE$1,tabela_registros[DIA],juntotal3059718395[[#Headers],[7]],tabela_registros[REGISTRO],DADOS!$N$6)</f>
        <v>0</v>
      </c>
      <c r="L26" s="91">
        <f>SUMIFS(tabela_registros[VALOR],tabela_registros[MÊS],$AE$1,tabela_registros[DIA],juntotal3059718395[[#Headers],[8]],tabela_registros[REGISTRO],DADOS!$N$6)</f>
        <v>0</v>
      </c>
      <c r="M26" s="91">
        <f>SUMIFS(tabela_registros[VALOR],tabela_registros[MÊS],$AE$1,tabela_registros[DIA],juntotal3059718395[[#Headers],[9]],tabela_registros[REGISTRO],DADOS!$N$6)</f>
        <v>0</v>
      </c>
      <c r="N26" s="91">
        <f>SUMIFS(tabela_registros[VALOR],tabela_registros[MÊS],$AE$1,tabela_registros[DIA],juntotal3059718395[[#Headers],[10]],tabela_registros[REGISTRO],DADOS!$N$6)</f>
        <v>0</v>
      </c>
      <c r="O26" s="91">
        <f>SUMIFS(tabela_registros[VALOR],tabela_registros[MÊS],$AE$1,tabela_registros[DIA],juntotal3059718395[[#Headers],[11]],tabela_registros[REGISTRO],DADOS!$N$6)</f>
        <v>0</v>
      </c>
      <c r="P26" s="91">
        <f>SUMIFS(tabela_registros[VALOR],tabela_registros[MÊS],$AE$1,tabela_registros[DIA],juntotal3059718395[[#Headers],[12]],tabela_registros[REGISTRO],DADOS!$N$6)</f>
        <v>0</v>
      </c>
      <c r="Q26" s="91">
        <f>SUMIFS(tabela_registros[VALOR],tabela_registros[MÊS],$AE$1,tabela_registros[DIA],juntotal3059718395[[#Headers],[13]],tabela_registros[REGISTRO],DADOS!$N$6)</f>
        <v>0</v>
      </c>
      <c r="R26" s="91">
        <f>SUMIFS(tabela_registros[VALOR],tabela_registros[MÊS],$AE$1,tabela_registros[DIA],juntotal3059718395[[#Headers],[14]],tabela_registros[REGISTRO],DADOS!$N$6)</f>
        <v>0</v>
      </c>
      <c r="S26" s="91">
        <f>SUMIFS(tabela_registros[VALOR],tabela_registros[MÊS],$AE$1,tabela_registros[DIA],juntotal3059718395[[#Headers],[15]],tabela_registros[REGISTRO],DADOS!$N$6)</f>
        <v>0</v>
      </c>
      <c r="T26" s="91">
        <f>SUMIFS(tabela_registros[VALOR],tabela_registros[MÊS],$AE$1,tabela_registros[DIA],juntotal3059718395[[#Headers],[16]],tabela_registros[REGISTRO],DADOS!$N$6)</f>
        <v>0</v>
      </c>
      <c r="U26" s="91">
        <f>SUMIFS(tabela_registros[VALOR],tabela_registros[MÊS],$AE$1,tabela_registros[DIA],juntotal3059718395[[#Headers],[17]],tabela_registros[REGISTRO],DADOS!$N$6)</f>
        <v>0</v>
      </c>
      <c r="V26" s="91">
        <f>SUMIFS(tabela_registros[VALOR],tabela_registros[MÊS],$AE$1,tabela_registros[DIA],juntotal3059718395[[#Headers],[18]],tabela_registros[REGISTRO],DADOS!$N$6)</f>
        <v>0</v>
      </c>
      <c r="W26" s="91">
        <f>SUMIFS(tabela_registros[VALOR],tabela_registros[MÊS],$AE$1,tabela_registros[DIA],juntotal3059718395[[#Headers],[19]],tabela_registros[REGISTRO],DADOS!$N$6)</f>
        <v>0</v>
      </c>
      <c r="X26" s="91">
        <f>SUMIFS(tabela_registros[VALOR],tabela_registros[MÊS],$AE$1,tabela_registros[DIA],juntotal3059718395[[#Headers],[20]],tabela_registros[REGISTRO],DADOS!$N$6)</f>
        <v>0</v>
      </c>
      <c r="Y26" s="91">
        <f>SUMIFS(tabela_registros[VALOR],tabela_registros[MÊS],$AE$1,tabela_registros[DIA],juntotal3059718395[[#Headers],[21]],tabela_registros[REGISTRO],DADOS!$N$6)</f>
        <v>0</v>
      </c>
      <c r="Z26" s="91">
        <f>SUMIFS(tabela_registros[VALOR],tabela_registros[MÊS],$AE$1,tabela_registros[DIA],juntotal3059718395[[#Headers],[22]],tabela_registros[REGISTRO],DADOS!$N$6)</f>
        <v>0</v>
      </c>
      <c r="AA26" s="91">
        <f>SUMIFS(tabela_registros[VALOR],tabela_registros[MÊS],$AE$1,tabela_registros[DIA],juntotal3059718395[[#Headers],[23]],tabela_registros[REGISTRO],DADOS!$N$6)</f>
        <v>0</v>
      </c>
      <c r="AB26" s="91">
        <f>SUMIFS(tabela_registros[VALOR],tabela_registros[MÊS],$AE$1,tabela_registros[DIA],juntotal3059718395[[#Headers],[24]],tabela_registros[REGISTRO],DADOS!$N$6)</f>
        <v>0</v>
      </c>
      <c r="AC26" s="91">
        <f>SUMIFS(tabela_registros[VALOR],tabela_registros[MÊS],$AE$1,tabela_registros[DIA],juntotal3059718395[[#Headers],[25]],tabela_registros[REGISTRO],DADOS!$N$6)</f>
        <v>0</v>
      </c>
      <c r="AD26" s="91">
        <f>SUMIFS(tabela_registros[VALOR],tabela_registros[MÊS],$AE$1,tabela_registros[DIA],juntotal3059718395[[#Headers],[26]],tabela_registros[REGISTRO],DADOS!$N$6)</f>
        <v>0</v>
      </c>
      <c r="AE26" s="91">
        <f>SUMIFS(tabela_registros[VALOR],tabela_registros[MÊS],$AE$1,tabela_registros[DIA],juntotal3059718395[[#Headers],[27]],tabela_registros[REGISTRO],DADOS!$N$6)</f>
        <v>0</v>
      </c>
      <c r="AF26" s="91">
        <f>SUMIFS(tabela_registros[VALOR],tabela_registros[MÊS],$AE$1,tabela_registros[DIA],juntotal3059718395[[#Headers],[28]],tabela_registros[REGISTRO],DADOS!$N$6)</f>
        <v>0</v>
      </c>
      <c r="AG26" s="91">
        <f>SUMIFS(tabela_registros[VALOR],tabela_registros[MÊS],$AE$1,tabela_registros[DIA],juntotal3059718395[[#Headers],[29]],tabela_registros[REGISTRO],DADOS!$N$6)</f>
        <v>0</v>
      </c>
      <c r="AH26" s="92">
        <f>SUMIFS(tabela_registros[VALOR],tabela_registros[MÊS],$AE$1,tabela_registros[DIA],juntotal3059718395[[#Headers],[30]],tabela_registros[REGISTRO],DADOS!$N$6)</f>
        <v>0</v>
      </c>
      <c r="AI26" s="93">
        <f>SUMIFS(tabela_registros[VALOR],tabela_registros[MÊS],$AE$1,tabela_registros[DIA],juntotal3059718395[[#Headers],[31]],tabela_registros[REGISTRO],DADOS!$N$6)</f>
        <v>0</v>
      </c>
      <c r="AJ26" s="93">
        <f>SUM(E26:AI26)</f>
        <v>0</v>
      </c>
      <c r="AK26" s="49"/>
    </row>
    <row r="27" spans="1:37" s="16" customFormat="1" ht="21" customHeight="1" thickTop="1" thickBot="1" x14ac:dyDescent="0.35">
      <c r="B27" s="52"/>
      <c r="C27" s="57" t="s">
        <v>19</v>
      </c>
      <c r="D27" s="56"/>
      <c r="E27" s="55">
        <f>SUM(E25:E26)</f>
        <v>0</v>
      </c>
      <c r="F27" s="54">
        <f>SUM(F25:F26)+juninvestir2158708294[[#This Row],[1]]</f>
        <v>0</v>
      </c>
      <c r="G27" s="54">
        <f>SUM(G25:G26)+juninvestir2158708294[[#This Row],[2]]</f>
        <v>0</v>
      </c>
      <c r="H27" s="54">
        <f>SUM(H25:H26)+juninvestir2158708294[[#This Row],[3]]</f>
        <v>0</v>
      </c>
      <c r="I27" s="54">
        <f>SUM(I25:I26)+juninvestir2158708294[[#This Row],[4]]</f>
        <v>0</v>
      </c>
      <c r="J27" s="54">
        <f>SUM(J25:J26)+juninvestir2158708294[[#This Row],[5]]</f>
        <v>0</v>
      </c>
      <c r="K27" s="54">
        <f>SUM(K25:K26)+juninvestir2158708294[[#This Row],[6]]</f>
        <v>0</v>
      </c>
      <c r="L27" s="54">
        <f>SUM(L25:L26)+juninvestir2158708294[[#This Row],[7]]</f>
        <v>0</v>
      </c>
      <c r="M27" s="54">
        <f>SUM(M25:M26)+juninvestir2158708294[[#This Row],[8]]</f>
        <v>0</v>
      </c>
      <c r="N27" s="54">
        <f>SUM(N25:N26)+juninvestir2158708294[[#This Row],[9]]</f>
        <v>0</v>
      </c>
      <c r="O27" s="54">
        <f>SUM(O25:O26)+juninvestir2158708294[[#This Row],[10]]</f>
        <v>0</v>
      </c>
      <c r="P27" s="54">
        <f>SUM(P25:P26)+juninvestir2158708294[[#This Row],[11]]</f>
        <v>0</v>
      </c>
      <c r="Q27" s="54">
        <f>SUM(Q25:Q26)+juninvestir2158708294[[#This Row],[12]]</f>
        <v>0</v>
      </c>
      <c r="R27" s="54">
        <f>SUM(R25:R26)+juninvestir2158708294[[#This Row],[13]]</f>
        <v>0</v>
      </c>
      <c r="S27" s="54">
        <f>SUM(S25:S26)+juninvestir2158708294[[#This Row],[14]]</f>
        <v>0</v>
      </c>
      <c r="T27" s="54">
        <f>SUM(T25:T26)+juninvestir2158708294[[#This Row],[15]]</f>
        <v>0</v>
      </c>
      <c r="U27" s="54">
        <f>SUM(U25:U26)+juninvestir2158708294[[#This Row],[16]]</f>
        <v>0</v>
      </c>
      <c r="V27" s="54">
        <f>SUM(V25:V26)+juninvestir2158708294[[#This Row],[17]]</f>
        <v>0</v>
      </c>
      <c r="W27" s="54">
        <f>SUM(W25:W26)+juninvestir2158708294[[#This Row],[18]]</f>
        <v>0</v>
      </c>
      <c r="X27" s="54">
        <f>SUM(X25:X26)+juninvestir2158708294[[#This Row],[19]]</f>
        <v>0</v>
      </c>
      <c r="Y27" s="54">
        <f>SUM(Y25:Y26)+juninvestir2158708294[[#This Row],[20]]</f>
        <v>0</v>
      </c>
      <c r="Z27" s="54">
        <f>SUM(Z25:Z26)+juninvestir2158708294[[#This Row],[21]]</f>
        <v>0</v>
      </c>
      <c r="AA27" s="54">
        <f>SUM(AA25:AA26)+juninvestir2158708294[[#This Row],[22]]</f>
        <v>0</v>
      </c>
      <c r="AB27" s="54">
        <f>SUM(AB25:AB26)+juninvestir2158708294[[#This Row],[23]]</f>
        <v>0</v>
      </c>
      <c r="AC27" s="54">
        <f>SUM(AC25:AC26)+juninvestir2158708294[[#This Row],[24]]</f>
        <v>0</v>
      </c>
      <c r="AD27" s="54">
        <f>SUM(AD25:AD26)+juninvestir2158708294[[#This Row],[25]]</f>
        <v>0</v>
      </c>
      <c r="AE27" s="54">
        <f>SUM(AE25:AE26)+juninvestir2158708294[[#This Row],[26]]</f>
        <v>0</v>
      </c>
      <c r="AF27" s="54">
        <f>SUM(AF25:AF26)+juninvestir2158708294[[#This Row],[27]]</f>
        <v>0</v>
      </c>
      <c r="AG27" s="54">
        <f>SUM(AG25:AG26)+juninvestir2158708294[[#This Row],[28]]</f>
        <v>0</v>
      </c>
      <c r="AH27" s="62">
        <f>SUM(AH25:AH26)+juninvestir2158708294[[#This Row],[29]]</f>
        <v>0</v>
      </c>
      <c r="AI27" s="53">
        <f>SUM(AI25:AI26)+juninvestir2158708294[[#This Row],[30]]</f>
        <v>0</v>
      </c>
      <c r="AJ27" s="53">
        <f>juninvestir2158708294[[#This Row],[31]]</f>
        <v>0</v>
      </c>
      <c r="AK27" s="52"/>
    </row>
    <row r="28" spans="1:37" ht="6.75" hidden="1" customHeight="1" thickTop="1" thickBot="1" x14ac:dyDescent="0.35">
      <c r="B28" s="49"/>
      <c r="C28" t="s">
        <v>204</v>
      </c>
      <c r="D28"/>
      <c r="E28" s="51">
        <f>SUBTOTAL(109,juninvestir2158708294[1])</f>
        <v>0</v>
      </c>
      <c r="F28" s="51">
        <f>SUBTOTAL(109,juninvestir2158708294[2])</f>
        <v>0</v>
      </c>
      <c r="G28" s="51">
        <f>SUBTOTAL(109,juninvestir2158708294[3])</f>
        <v>0</v>
      </c>
      <c r="H28" s="51">
        <f>SUBTOTAL(109,juninvestir2158708294[4])</f>
        <v>0</v>
      </c>
      <c r="I28" s="51">
        <f>SUBTOTAL(109,juninvestir2158708294[5])</f>
        <v>0</v>
      </c>
      <c r="J28" s="51">
        <f>SUBTOTAL(109,juninvestir2158708294[6])</f>
        <v>0</v>
      </c>
      <c r="K28" s="51">
        <f>SUBTOTAL(109,juninvestir2158708294[7])</f>
        <v>0</v>
      </c>
      <c r="L28" s="51">
        <f>SUBTOTAL(109,juninvestir2158708294[8])</f>
        <v>0</v>
      </c>
      <c r="M28" s="51">
        <f>SUBTOTAL(109,juninvestir2158708294[9])</f>
        <v>0</v>
      </c>
      <c r="N28" s="51">
        <f>SUBTOTAL(109,juninvestir2158708294[10])</f>
        <v>0</v>
      </c>
      <c r="O28" s="51">
        <f>SUBTOTAL(109,juninvestir2158708294[11])</f>
        <v>0</v>
      </c>
      <c r="P28" s="51">
        <f>SUBTOTAL(109,juninvestir2158708294[12])</f>
        <v>0</v>
      </c>
      <c r="Q28" s="51">
        <f>SUBTOTAL(109,juninvestir2158708294[13])</f>
        <v>0</v>
      </c>
      <c r="R28" s="51">
        <f>SUBTOTAL(109,juninvestir2158708294[14])</f>
        <v>0</v>
      </c>
      <c r="S28" s="51">
        <f>SUBTOTAL(109,juninvestir2158708294[15])</f>
        <v>0</v>
      </c>
      <c r="T28" s="51">
        <f>SUBTOTAL(109,juninvestir2158708294[16])</f>
        <v>0</v>
      </c>
      <c r="U28" s="51">
        <f>SUBTOTAL(109,juninvestir2158708294[17])</f>
        <v>0</v>
      </c>
      <c r="V28" s="51">
        <f>SUBTOTAL(109,juninvestir2158708294[18])</f>
        <v>0</v>
      </c>
      <c r="W28" s="51">
        <f>SUBTOTAL(109,juninvestir2158708294[19])</f>
        <v>0</v>
      </c>
      <c r="X28" s="51">
        <f>SUBTOTAL(109,juninvestir2158708294[20])</f>
        <v>0</v>
      </c>
      <c r="Y28" s="51">
        <f>SUBTOTAL(109,juninvestir2158708294[21])</f>
        <v>0</v>
      </c>
      <c r="Z28" s="51">
        <f>SUBTOTAL(109,juninvestir2158708294[22])</f>
        <v>0</v>
      </c>
      <c r="AA28" s="51">
        <f>SUBTOTAL(109,juninvestir2158708294[23])</f>
        <v>0</v>
      </c>
      <c r="AB28" s="51">
        <f>SUBTOTAL(109,juninvestir2158708294[24])</f>
        <v>0</v>
      </c>
      <c r="AC28" s="51">
        <f>SUBTOTAL(109,juninvestir2158708294[25])</f>
        <v>0</v>
      </c>
      <c r="AD28" s="51">
        <f>SUBTOTAL(109,juninvestir2158708294[26])</f>
        <v>0</v>
      </c>
      <c r="AE28" s="51">
        <f>SUBTOTAL(109,juninvestir2158708294[27])</f>
        <v>0</v>
      </c>
      <c r="AF28" s="51">
        <f>SUBTOTAL(109,juninvestir2158708294[28])</f>
        <v>0</v>
      </c>
      <c r="AG28" s="51">
        <f>SUBTOTAL(109,juninvestir2158708294[29])</f>
        <v>0</v>
      </c>
      <c r="AH28" s="51">
        <f>SUBTOTAL(109,juninvestir2158708294[30])</f>
        <v>0</v>
      </c>
      <c r="AI28" s="51">
        <f>SUBTOTAL(109,juninvestir2158708294[31])</f>
        <v>0</v>
      </c>
      <c r="AJ28" s="51">
        <f>SUBTOTAL(109,juninvestir2158708294[TOTAL (R$)])</f>
        <v>0</v>
      </c>
      <c r="AK28" s="49"/>
    </row>
    <row r="29" spans="1:37" ht="6.75" customHeight="1" thickTop="1" thickBot="1" x14ac:dyDescent="0.3">
      <c r="B29" s="49"/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49"/>
      <c r="X29" s="49"/>
      <c r="Y29" s="49"/>
      <c r="Z29" s="49"/>
      <c r="AA29" s="49"/>
      <c r="AB29" s="49"/>
      <c r="AC29" s="49"/>
      <c r="AD29" s="49"/>
      <c r="AE29" s="49"/>
      <c r="AF29" s="49"/>
      <c r="AG29" s="49"/>
      <c r="AH29" s="49"/>
      <c r="AI29" s="50"/>
      <c r="AJ29" s="49"/>
      <c r="AK29" s="49"/>
    </row>
    <row r="30" spans="1:37" ht="12.6" thickTop="1" x14ac:dyDescent="0.25">
      <c r="C30" s="46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 s="47"/>
      <c r="Z30" s="47"/>
      <c r="AA30" s="47"/>
      <c r="AB30" s="47"/>
      <c r="AC30" s="47"/>
      <c r="AD30" s="47"/>
      <c r="AE30" s="47"/>
      <c r="AF30" s="47"/>
      <c r="AG30" s="47"/>
      <c r="AH30" s="47"/>
      <c r="AI30" s="47"/>
    </row>
    <row r="31" spans="1:37" x14ac:dyDescent="0.25">
      <c r="C31" s="46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47"/>
      <c r="X31" s="47"/>
      <c r="Y31" s="47"/>
      <c r="Z31" s="47"/>
      <c r="AA31" s="47"/>
      <c r="AB31" s="47"/>
      <c r="AC31" s="47"/>
      <c r="AD31" s="47"/>
      <c r="AE31" s="47"/>
      <c r="AF31" s="47"/>
      <c r="AG31" s="47"/>
      <c r="AH31" s="47"/>
      <c r="AI31" s="47"/>
    </row>
    <row r="32" spans="1:37" x14ac:dyDescent="0.25">
      <c r="C32" s="46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47"/>
      <c r="AB32" s="47"/>
      <c r="AC32" s="47"/>
      <c r="AD32" s="47"/>
      <c r="AE32" s="47"/>
      <c r="AF32" s="47"/>
      <c r="AG32" s="47"/>
      <c r="AH32" s="47"/>
      <c r="AI32" s="47"/>
    </row>
    <row r="33" spans="2:37" ht="39.75" customHeight="1" x14ac:dyDescent="0.25">
      <c r="C33" s="46"/>
      <c r="E33" s="240"/>
      <c r="F33" s="240"/>
      <c r="G33" s="240"/>
      <c r="H33" s="240"/>
      <c r="I33" s="240"/>
      <c r="J33" s="240"/>
      <c r="K33" s="240"/>
      <c r="L33" s="240"/>
      <c r="M33" s="240"/>
      <c r="N33" s="240"/>
      <c r="O33" s="240"/>
      <c r="P33" s="240"/>
      <c r="Q33" s="240"/>
      <c r="R33" s="240"/>
      <c r="S33" s="240"/>
      <c r="T33" s="240"/>
      <c r="U33" s="240"/>
      <c r="V33" s="240"/>
      <c r="W33" s="240"/>
      <c r="X33" s="240"/>
      <c r="Y33" s="240"/>
      <c r="Z33" s="240"/>
      <c r="AA33" s="240"/>
      <c r="AB33" s="240"/>
      <c r="AC33" s="240"/>
      <c r="AD33" s="240"/>
      <c r="AE33" s="240"/>
      <c r="AF33" s="240"/>
      <c r="AG33" s="240"/>
      <c r="AH33" s="240"/>
      <c r="AI33" s="240"/>
      <c r="AJ33" s="32" t="s">
        <v>19</v>
      </c>
    </row>
    <row r="34" spans="2:37" ht="11.25" customHeight="1" thickBot="1" x14ac:dyDescent="0.75">
      <c r="C34" s="36"/>
      <c r="AI34" s="4"/>
      <c r="AJ34" s="34" t="s">
        <v>202</v>
      </c>
    </row>
    <row r="35" spans="2:37" ht="6.75" customHeight="1" thickTop="1" thickBot="1" x14ac:dyDescent="0.3">
      <c r="B35" s="33"/>
      <c r="C35" s="45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F35" s="44"/>
      <c r="AG35" s="44"/>
      <c r="AH35" s="44"/>
      <c r="AI35" s="44"/>
      <c r="AJ35" s="43"/>
      <c r="AK35" s="33"/>
    </row>
    <row r="36" spans="2:37" ht="12.6" hidden="1" thickBot="1" x14ac:dyDescent="0.3">
      <c r="B36" s="2"/>
      <c r="C36" s="31" t="s">
        <v>132</v>
      </c>
      <c r="D36" s="30" t="s">
        <v>198</v>
      </c>
      <c r="E36" s="30" t="s">
        <v>197</v>
      </c>
      <c r="F36" s="30" t="s">
        <v>196</v>
      </c>
      <c r="G36" s="30" t="s">
        <v>195</v>
      </c>
      <c r="H36" s="30" t="s">
        <v>194</v>
      </c>
      <c r="I36" s="30" t="s">
        <v>193</v>
      </c>
      <c r="J36" s="30" t="s">
        <v>192</v>
      </c>
      <c r="K36" s="30" t="s">
        <v>191</v>
      </c>
      <c r="L36" s="30" t="s">
        <v>190</v>
      </c>
      <c r="M36" s="30" t="s">
        <v>189</v>
      </c>
      <c r="N36" s="30" t="s">
        <v>188</v>
      </c>
      <c r="O36" s="30" t="s">
        <v>187</v>
      </c>
      <c r="P36" s="30" t="s">
        <v>186</v>
      </c>
      <c r="Q36" s="30" t="s">
        <v>185</v>
      </c>
      <c r="R36" s="30" t="s">
        <v>184</v>
      </c>
      <c r="S36" s="30" t="s">
        <v>183</v>
      </c>
      <c r="T36" s="30" t="s">
        <v>182</v>
      </c>
      <c r="U36" s="30" t="s">
        <v>181</v>
      </c>
      <c r="V36" s="30" t="s">
        <v>180</v>
      </c>
      <c r="W36" s="30" t="s">
        <v>179</v>
      </c>
      <c r="X36" s="30" t="s">
        <v>178</v>
      </c>
      <c r="Y36" s="30" t="s">
        <v>177</v>
      </c>
      <c r="Z36" s="30" t="s">
        <v>176</v>
      </c>
      <c r="AA36" s="30" t="s">
        <v>175</v>
      </c>
      <c r="AB36" s="30" t="s">
        <v>174</v>
      </c>
      <c r="AC36" s="30" t="s">
        <v>173</v>
      </c>
      <c r="AD36" s="30" t="s">
        <v>172</v>
      </c>
      <c r="AE36" s="30" t="s">
        <v>171</v>
      </c>
      <c r="AF36" s="30" t="s">
        <v>170</v>
      </c>
      <c r="AG36" s="30" t="s">
        <v>169</v>
      </c>
      <c r="AH36" s="30" t="s">
        <v>168</v>
      </c>
      <c r="AI36" s="30" t="s">
        <v>167</v>
      </c>
      <c r="AJ36" s="42" t="s">
        <v>19</v>
      </c>
      <c r="AK36" s="2" t="s">
        <v>203</v>
      </c>
    </row>
    <row r="37" spans="2:37" ht="19.5" customHeight="1" thickTop="1" thickBot="1" x14ac:dyDescent="0.3">
      <c r="B37" s="28"/>
      <c r="C37" s="27" t="str">
        <f>DADOS!$R$3</f>
        <v>💧 ÁGUA</v>
      </c>
      <c r="D37" s="26" t="str">
        <f>IF(despesafixaconsolidadojun[[#This Row],[TOTAL]]=0,"",IF(OR(despesafixaconsolidadojun[[#This Row],[TOTAL]]=LARGE($AJ$37:$AJ$50,1),despesafixaconsolidadojun[[#This Row],[TOTAL]]=LARGE($AJ$37:$AJ$50,2),despesafixaconsolidadojun[[#This Row],[TOTAL]]=LARGE($AJ$37:$AJ$50,3),despesafixaconsolidadojun[[#This Row],[TOTAL]]=LARGE($AJ$37:$AJ$50,4),despesafixaconsolidadojun[[#This Row],[TOTAL]]=LARGE($AJ$37:$AJ$50,5)),DADOS!$I$8,""))</f>
        <v/>
      </c>
      <c r="E37" s="94">
        <f>SUMIFS(tabela_registros[VALOR],tabela_registros[MÊS],$AE$1,tabela_registros[DIA],juntotal3059718395[[#Headers],[1]],tabela_registros[REGISTRO],DADOS!$N$4,tabela_registros[TIPO],DADOS!$P$3,tabela_registros[CATEGORIA],despesafixaconsolidadojun[[#This Row],[DESPESA FIXA]])</f>
        <v>0</v>
      </c>
      <c r="F37" s="88">
        <f>SUMIFS(tabela_registros[VALOR],tabela_registros[MÊS],$AE$1,tabela_registros[DIA],juntotal3059718395[[#Headers],[2]],tabela_registros[REGISTRO],DADOS!$N$4,tabela_registros[TIPO],DADOS!$P$3,tabela_registros[CATEGORIA],despesafixaconsolidadojun[[#This Row],[DESPESA FIXA]])</f>
        <v>0</v>
      </c>
      <c r="G37" s="88">
        <f>SUMIFS(tabela_registros[VALOR],tabela_registros[MÊS],$AE$1,tabela_registros[DIA],juntotal3059718395[[#Headers],[3]],tabela_registros[REGISTRO],DADOS!$N$4,tabela_registros[TIPO],DADOS!$P$3,tabela_registros[CATEGORIA],despesafixaconsolidadojun[[#This Row],[DESPESA FIXA]])</f>
        <v>0</v>
      </c>
      <c r="H37" s="88">
        <f>SUMIFS(tabela_registros[VALOR],tabela_registros[MÊS],$AE$1,tabela_registros[DIA],juntotal3059718395[[#Headers],[4]],tabela_registros[REGISTRO],DADOS!$N$4,tabela_registros[TIPO],DADOS!$P$3,tabela_registros[CATEGORIA],despesafixaconsolidadojun[[#This Row],[DESPESA FIXA]])</f>
        <v>0</v>
      </c>
      <c r="I37" s="88">
        <f>SUMIFS(tabela_registros[VALOR],tabela_registros[MÊS],$AE$1,tabela_registros[DIA],juntotal3059718395[[#Headers],[5]],tabela_registros[REGISTRO],DADOS!$N$4,tabela_registros[TIPO],DADOS!$P$3,tabela_registros[CATEGORIA],despesafixaconsolidadojun[[#This Row],[DESPESA FIXA]])</f>
        <v>0</v>
      </c>
      <c r="J37" s="88">
        <f>SUMIFS(tabela_registros[VALOR],tabela_registros[MÊS],$AE$1,tabela_registros[DIA],juntotal3059718395[[#Headers],[6]],tabela_registros[REGISTRO],DADOS!$N$4,tabela_registros[TIPO],DADOS!$P$3,tabela_registros[CATEGORIA],despesafixaconsolidadojun[[#This Row],[DESPESA FIXA]])</f>
        <v>0</v>
      </c>
      <c r="K37" s="88">
        <f>SUMIFS(tabela_registros[VALOR],tabela_registros[MÊS],$AE$1,tabela_registros[DIA],juntotal3059718395[[#Headers],[7]],tabela_registros[REGISTRO],DADOS!$N$4,tabela_registros[TIPO],DADOS!$P$3,tabela_registros[CATEGORIA],despesafixaconsolidadojun[[#This Row],[DESPESA FIXA]])</f>
        <v>0</v>
      </c>
      <c r="L37" s="88">
        <f>SUMIFS(tabela_registros[VALOR],tabela_registros[MÊS],$AE$1,tabela_registros[DIA],juntotal3059718395[[#Headers],[8]],tabela_registros[REGISTRO],DADOS!$N$4,tabela_registros[TIPO],DADOS!$P$3,tabela_registros[CATEGORIA],despesafixaconsolidadojun[[#This Row],[DESPESA FIXA]])</f>
        <v>0</v>
      </c>
      <c r="M37" s="88">
        <f>SUMIFS(tabela_registros[VALOR],tabela_registros[MÊS],$AE$1,tabela_registros[DIA],juntotal3059718395[[#Headers],[9]],tabela_registros[REGISTRO],DADOS!$N$4,tabela_registros[TIPO],DADOS!$P$3,tabela_registros[CATEGORIA],despesafixaconsolidadojun[[#This Row],[DESPESA FIXA]])</f>
        <v>0</v>
      </c>
      <c r="N37" s="88">
        <f>SUMIFS(tabela_registros[VALOR],tabela_registros[MÊS],$AE$1,tabela_registros[DIA],juntotal3059718395[[#Headers],[10]],tabela_registros[REGISTRO],DADOS!$N$4,tabela_registros[TIPO],DADOS!$P$3,tabela_registros[CATEGORIA],despesafixaconsolidadojun[[#This Row],[DESPESA FIXA]])</f>
        <v>0</v>
      </c>
      <c r="O37" s="88">
        <f>SUMIFS(tabela_registros[VALOR],tabela_registros[MÊS],$AE$1,tabela_registros[DIA],juntotal3059718395[[#Headers],[11]],tabela_registros[REGISTRO],DADOS!$N$4,tabela_registros[TIPO],DADOS!$P$3,tabela_registros[CATEGORIA],despesafixaconsolidadojun[[#This Row],[DESPESA FIXA]])</f>
        <v>0</v>
      </c>
      <c r="P37" s="88">
        <f>SUMIFS(tabela_registros[VALOR],tabela_registros[MÊS],$AE$1,tabela_registros[DIA],juntotal3059718395[[#Headers],[12]],tabela_registros[REGISTRO],DADOS!$N$4,tabela_registros[TIPO],DADOS!$P$3,tabela_registros[CATEGORIA],despesafixaconsolidadojun[[#This Row],[DESPESA FIXA]])</f>
        <v>0</v>
      </c>
      <c r="Q37" s="88">
        <f>SUMIFS(tabela_registros[VALOR],tabela_registros[MÊS],$AE$1,tabela_registros[DIA],juntotal3059718395[[#Headers],[13]],tabela_registros[REGISTRO],DADOS!$N$4,tabela_registros[TIPO],DADOS!$P$3,tabela_registros[CATEGORIA],despesafixaconsolidadojun[[#This Row],[DESPESA FIXA]])</f>
        <v>0</v>
      </c>
      <c r="R37" s="88">
        <f>SUMIFS(tabela_registros[VALOR],tabela_registros[MÊS],$AE$1,tabela_registros[DIA],juntotal3059718395[[#Headers],[14]],tabela_registros[REGISTRO],DADOS!$N$4,tabela_registros[TIPO],DADOS!$P$3,tabela_registros[CATEGORIA],despesafixaconsolidadojun[[#This Row],[DESPESA FIXA]])</f>
        <v>0</v>
      </c>
      <c r="S37" s="88">
        <f>SUMIFS(tabela_registros[VALOR],tabela_registros[MÊS],$AE$1,tabela_registros[DIA],juntotal3059718395[[#Headers],[15]],tabela_registros[REGISTRO],DADOS!$N$4,tabela_registros[TIPO],DADOS!$P$3,tabela_registros[CATEGORIA],despesafixaconsolidadojun[[#This Row],[DESPESA FIXA]])</f>
        <v>0</v>
      </c>
      <c r="T37" s="88">
        <f>SUMIFS(tabela_registros[VALOR],tabela_registros[MÊS],$AE$1,tabela_registros[DIA],juntotal3059718395[[#Headers],[16]],tabela_registros[REGISTRO],DADOS!$N$4,tabela_registros[TIPO],DADOS!$P$3,tabela_registros[CATEGORIA],despesafixaconsolidadojun[[#This Row],[DESPESA FIXA]])</f>
        <v>0</v>
      </c>
      <c r="U37" s="88">
        <f>SUMIFS(tabela_registros[VALOR],tabela_registros[MÊS],$AE$1,tabela_registros[DIA],juntotal3059718395[[#Headers],[17]],tabela_registros[REGISTRO],DADOS!$N$4,tabela_registros[TIPO],DADOS!$P$3,tabela_registros[CATEGORIA],despesafixaconsolidadojun[[#This Row],[DESPESA FIXA]])</f>
        <v>0</v>
      </c>
      <c r="V37" s="88">
        <f>SUMIFS(tabela_registros[VALOR],tabela_registros[MÊS],$AE$1,tabela_registros[DIA],juntotal3059718395[[#Headers],[18]],tabela_registros[REGISTRO],DADOS!$N$4,tabela_registros[TIPO],DADOS!$P$3,tabela_registros[CATEGORIA],despesafixaconsolidadojun[[#This Row],[DESPESA FIXA]])</f>
        <v>0</v>
      </c>
      <c r="W37" s="88">
        <f>SUMIFS(tabela_registros[VALOR],tabela_registros[MÊS],$AE$1,tabela_registros[DIA],juntotal3059718395[[#Headers],[19]],tabela_registros[REGISTRO],DADOS!$N$4,tabela_registros[TIPO],DADOS!$P$3,tabela_registros[CATEGORIA],despesafixaconsolidadojun[[#This Row],[DESPESA FIXA]])</f>
        <v>0</v>
      </c>
      <c r="X37" s="88">
        <f>SUMIFS(tabela_registros[VALOR],tabela_registros[MÊS],$AE$1,tabela_registros[DIA],juntotal3059718395[[#Headers],[20]],tabela_registros[REGISTRO],DADOS!$N$4,tabela_registros[TIPO],DADOS!$P$3,tabela_registros[CATEGORIA],despesafixaconsolidadojun[[#This Row],[DESPESA FIXA]])</f>
        <v>0</v>
      </c>
      <c r="Y37" s="88">
        <f>SUMIFS(tabela_registros[VALOR],tabela_registros[MÊS],$AE$1,tabela_registros[DIA],juntotal3059718395[[#Headers],[21]],tabela_registros[REGISTRO],DADOS!$N$4,tabela_registros[TIPO],DADOS!$P$3,tabela_registros[CATEGORIA],despesafixaconsolidadojun[[#This Row],[DESPESA FIXA]])</f>
        <v>0</v>
      </c>
      <c r="Z37" s="88">
        <f>SUMIFS(tabela_registros[VALOR],tabela_registros[MÊS],$AE$1,tabela_registros[DIA],juntotal3059718395[[#Headers],[22]],tabela_registros[REGISTRO],DADOS!$N$4,tabela_registros[TIPO],DADOS!$P$3,tabela_registros[CATEGORIA],despesafixaconsolidadojun[[#This Row],[DESPESA FIXA]])</f>
        <v>0</v>
      </c>
      <c r="AA37" s="88">
        <f>SUMIFS(tabela_registros[VALOR],tabela_registros[MÊS],$AE$1,tabela_registros[DIA],juntotal3059718395[[#Headers],[23]],tabela_registros[REGISTRO],DADOS!$N$4,tabela_registros[TIPO],DADOS!$P$3,tabela_registros[CATEGORIA],despesafixaconsolidadojun[[#This Row],[DESPESA FIXA]])</f>
        <v>0</v>
      </c>
      <c r="AB37" s="88">
        <f>SUMIFS(tabela_registros[VALOR],tabela_registros[MÊS],$AE$1,tabela_registros[DIA],juntotal3059718395[[#Headers],[24]],tabela_registros[REGISTRO],DADOS!$N$4,tabela_registros[TIPO],DADOS!$P$3,tabela_registros[CATEGORIA],despesafixaconsolidadojun[[#This Row],[DESPESA FIXA]])</f>
        <v>0</v>
      </c>
      <c r="AC37" s="88">
        <f>SUMIFS(tabela_registros[VALOR],tabela_registros[MÊS],$AE$1,tabela_registros[DIA],juntotal3059718395[[#Headers],[25]],tabela_registros[REGISTRO],DADOS!$N$4,tabela_registros[TIPO],DADOS!$P$3,tabela_registros[CATEGORIA],despesafixaconsolidadojun[[#This Row],[DESPESA FIXA]])</f>
        <v>0</v>
      </c>
      <c r="AD37" s="88">
        <f>SUMIFS(tabela_registros[VALOR],tabela_registros[MÊS],$AE$1,tabela_registros[DIA],juntotal3059718395[[#Headers],[26]],tabela_registros[REGISTRO],DADOS!$N$4,tabela_registros[TIPO],DADOS!$P$3,tabela_registros[CATEGORIA],despesafixaconsolidadojun[[#This Row],[DESPESA FIXA]])</f>
        <v>0</v>
      </c>
      <c r="AE37" s="88">
        <f>SUMIFS(tabela_registros[VALOR],tabela_registros[MÊS],$AE$1,tabela_registros[DIA],juntotal3059718395[[#Headers],[27]],tabela_registros[REGISTRO],DADOS!$N$4,tabela_registros[TIPO],DADOS!$P$3,tabela_registros[CATEGORIA],despesafixaconsolidadojun[[#This Row],[DESPESA FIXA]])</f>
        <v>0</v>
      </c>
      <c r="AF37" s="88">
        <f>SUMIFS(tabela_registros[VALOR],tabela_registros[MÊS],$AE$1,tabela_registros[DIA],juntotal3059718395[[#Headers],[28]],tabela_registros[REGISTRO],DADOS!$N$4,tabela_registros[TIPO],DADOS!$P$3,tabela_registros[CATEGORIA],despesafixaconsolidadojun[[#This Row],[DESPESA FIXA]])</f>
        <v>0</v>
      </c>
      <c r="AG37" s="88">
        <f>SUMIFS(tabela_registros[VALOR],tabela_registros[MÊS],$AE$1,tabela_registros[DIA],juntotal3059718395[[#Headers],[29]],tabela_registros[REGISTRO],DADOS!$N$4,tabela_registros[TIPO],DADOS!$P$3,tabela_registros[CATEGORIA],despesafixaconsolidadojun[[#This Row],[DESPESA FIXA]])</f>
        <v>0</v>
      </c>
      <c r="AH37" s="88">
        <f>SUMIFS(tabela_registros[VALOR],tabela_registros[MÊS],$AE$1,tabela_registros[DIA],juntotal3059718395[[#Headers],[30]],tabela_registros[REGISTRO],DADOS!$N$4,tabela_registros[TIPO],DADOS!$P$3,tabela_registros[CATEGORIA],despesafixaconsolidadojun[[#This Row],[DESPESA FIXA]])</f>
        <v>0</v>
      </c>
      <c r="AI37" s="100">
        <f>SUMIFS(tabela_registros[VALOR],tabela_registros[MÊS],$AE$1,tabela_registros[DIA],juntotal3059718395[[#Headers],[31]],tabela_registros[REGISTRO],DADOS!$N$4,tabela_registros[TIPO],DADOS!$P$3,tabela_registros[CATEGORIA],despesafixaconsolidadojun[[#This Row],[DESPESA FIXA]])</f>
        <v>0</v>
      </c>
      <c r="AJ37" s="95">
        <f>SUM(despesafixaconsolidadojun[[#This Row],[1]:[31]])</f>
        <v>0</v>
      </c>
      <c r="AK37" s="28"/>
    </row>
    <row r="38" spans="2:37" ht="18" customHeight="1" thickTop="1" thickBot="1" x14ac:dyDescent="0.3">
      <c r="B38" s="28"/>
      <c r="C38" s="27" t="str">
        <f>DADOS!$R$4</f>
        <v>🐶 ANIMAIS DE ESTIMAÇÃO</v>
      </c>
      <c r="D38" s="26" t="str">
        <f>IF(despesafixaconsolidadojun[[#This Row],[TOTAL]]=0,"",IF(OR(despesafixaconsolidadojun[[#This Row],[TOTAL]]=LARGE($AJ$37:$AJ$50,1),despesafixaconsolidadojun[[#This Row],[TOTAL]]=LARGE($AJ$37:$AJ$50,2),despesafixaconsolidadojun[[#This Row],[TOTAL]]=LARGE($AJ$37:$AJ$50,3),despesafixaconsolidadojun[[#This Row],[TOTAL]]=LARGE($AJ$37:$AJ$50,4),despesafixaconsolidadojun[[#This Row],[TOTAL]]=LARGE($AJ$37:$AJ$50,5)),DADOS!$I$8,""))</f>
        <v/>
      </c>
      <c r="E38" s="96">
        <f>SUMIFS(tabela_registros[VALOR],tabela_registros[MÊS],$AE$1,tabela_registros[DIA],juntotal3059718395[[#Headers],[1]],tabela_registros[REGISTRO],DADOS!$N$4,tabela_registros[TIPO],DADOS!$P$3,tabela_registros[CATEGORIA],despesafixaconsolidadojun[[#This Row],[DESPESA FIXA]])</f>
        <v>0</v>
      </c>
      <c r="F38" s="91">
        <f>SUMIFS(tabela_registros[VALOR],tabela_registros[MÊS],$AE$1,tabela_registros[DIA],juntotal3059718395[[#Headers],[2]],tabela_registros[REGISTRO],DADOS!$N$4,tabela_registros[TIPO],DADOS!$P$3,tabela_registros[CATEGORIA],despesafixaconsolidadojun[[#This Row],[DESPESA FIXA]])</f>
        <v>0</v>
      </c>
      <c r="G38" s="91">
        <f>SUMIFS(tabela_registros[VALOR],tabela_registros[MÊS],$AE$1,tabela_registros[DIA],juntotal3059718395[[#Headers],[3]],tabela_registros[REGISTRO],DADOS!$N$4,tabela_registros[TIPO],DADOS!$P$3,tabela_registros[CATEGORIA],despesafixaconsolidadojun[[#This Row],[DESPESA FIXA]])</f>
        <v>0</v>
      </c>
      <c r="H38" s="91">
        <f>SUMIFS(tabela_registros[VALOR],tabela_registros[MÊS],$AE$1,tabela_registros[DIA],juntotal3059718395[[#Headers],[4]],tabela_registros[REGISTRO],DADOS!$N$4,tabela_registros[TIPO],DADOS!$P$3,tabela_registros[CATEGORIA],despesafixaconsolidadojun[[#This Row],[DESPESA FIXA]])</f>
        <v>0</v>
      </c>
      <c r="I38" s="91">
        <f>SUMIFS(tabela_registros[VALOR],tabela_registros[MÊS],$AE$1,tabela_registros[DIA],juntotal3059718395[[#Headers],[5]],tabela_registros[REGISTRO],DADOS!$N$4,tabela_registros[TIPO],DADOS!$P$3,tabela_registros[CATEGORIA],despesafixaconsolidadojun[[#This Row],[DESPESA FIXA]])</f>
        <v>0</v>
      </c>
      <c r="J38" s="91">
        <f>SUMIFS(tabela_registros[VALOR],tabela_registros[MÊS],$AE$1,tabela_registros[DIA],juntotal3059718395[[#Headers],[6]],tabela_registros[REGISTRO],DADOS!$N$4,tabela_registros[TIPO],DADOS!$P$3,tabela_registros[CATEGORIA],despesafixaconsolidadojun[[#This Row],[DESPESA FIXA]])</f>
        <v>0</v>
      </c>
      <c r="K38" s="91">
        <f>SUMIFS(tabela_registros[VALOR],tabela_registros[MÊS],$AE$1,tabela_registros[DIA],juntotal3059718395[[#Headers],[7]],tabela_registros[REGISTRO],DADOS!$N$4,tabela_registros[TIPO],DADOS!$P$3,tabela_registros[CATEGORIA],despesafixaconsolidadojun[[#This Row],[DESPESA FIXA]])</f>
        <v>0</v>
      </c>
      <c r="L38" s="91">
        <f>SUMIFS(tabela_registros[VALOR],tabela_registros[MÊS],$AE$1,tabela_registros[DIA],juntotal3059718395[[#Headers],[8]],tabela_registros[REGISTRO],DADOS!$N$4,tabela_registros[TIPO],DADOS!$P$3,tabela_registros[CATEGORIA],despesafixaconsolidadojun[[#This Row],[DESPESA FIXA]])</f>
        <v>0</v>
      </c>
      <c r="M38" s="91">
        <f>SUMIFS(tabela_registros[VALOR],tabela_registros[MÊS],$AE$1,tabela_registros[DIA],juntotal3059718395[[#Headers],[9]],tabela_registros[REGISTRO],DADOS!$N$4,tabela_registros[TIPO],DADOS!$P$3,tabela_registros[CATEGORIA],despesafixaconsolidadojun[[#This Row],[DESPESA FIXA]])</f>
        <v>0</v>
      </c>
      <c r="N38" s="91">
        <f>SUMIFS(tabela_registros[VALOR],tabela_registros[MÊS],$AE$1,tabela_registros[DIA],juntotal3059718395[[#Headers],[10]],tabela_registros[REGISTRO],DADOS!$N$4,tabela_registros[TIPO],DADOS!$P$3,tabela_registros[CATEGORIA],despesafixaconsolidadojun[[#This Row],[DESPESA FIXA]])</f>
        <v>0</v>
      </c>
      <c r="O38" s="91">
        <f>SUMIFS(tabela_registros[VALOR],tabela_registros[MÊS],$AE$1,tabela_registros[DIA],juntotal3059718395[[#Headers],[11]],tabela_registros[REGISTRO],DADOS!$N$4,tabela_registros[TIPO],DADOS!$P$3,tabela_registros[CATEGORIA],despesafixaconsolidadojun[[#This Row],[DESPESA FIXA]])</f>
        <v>0</v>
      </c>
      <c r="P38" s="91">
        <f>SUMIFS(tabela_registros[VALOR],tabela_registros[MÊS],$AE$1,tabela_registros[DIA],juntotal3059718395[[#Headers],[12]],tabela_registros[REGISTRO],DADOS!$N$4,tabela_registros[TIPO],DADOS!$P$3,tabela_registros[CATEGORIA],despesafixaconsolidadojun[[#This Row],[DESPESA FIXA]])</f>
        <v>0</v>
      </c>
      <c r="Q38" s="91">
        <f>SUMIFS(tabela_registros[VALOR],tabela_registros[MÊS],$AE$1,tabela_registros[DIA],juntotal3059718395[[#Headers],[13]],tabela_registros[REGISTRO],DADOS!$N$4,tabela_registros[TIPO],DADOS!$P$3,tabela_registros[CATEGORIA],despesafixaconsolidadojun[[#This Row],[DESPESA FIXA]])</f>
        <v>0</v>
      </c>
      <c r="R38" s="91">
        <f>SUMIFS(tabela_registros[VALOR],tabela_registros[MÊS],$AE$1,tabela_registros[DIA],juntotal3059718395[[#Headers],[14]],tabela_registros[REGISTRO],DADOS!$N$4,tabela_registros[TIPO],DADOS!$P$3,tabela_registros[CATEGORIA],despesafixaconsolidadojun[[#This Row],[DESPESA FIXA]])</f>
        <v>0</v>
      </c>
      <c r="S38" s="91">
        <f>SUMIFS(tabela_registros[VALOR],tabela_registros[MÊS],$AE$1,tabela_registros[DIA],juntotal3059718395[[#Headers],[15]],tabela_registros[REGISTRO],DADOS!$N$4,tabela_registros[TIPO],DADOS!$P$3,tabela_registros[CATEGORIA],despesafixaconsolidadojun[[#This Row],[DESPESA FIXA]])</f>
        <v>0</v>
      </c>
      <c r="T38" s="91">
        <f>SUMIFS(tabela_registros[VALOR],tabela_registros[MÊS],$AE$1,tabela_registros[DIA],juntotal3059718395[[#Headers],[16]],tabela_registros[REGISTRO],DADOS!$N$4,tabela_registros[TIPO],DADOS!$P$3,tabela_registros[CATEGORIA],despesafixaconsolidadojun[[#This Row],[DESPESA FIXA]])</f>
        <v>0</v>
      </c>
      <c r="U38" s="91">
        <f>SUMIFS(tabela_registros[VALOR],tabela_registros[MÊS],$AE$1,tabela_registros[DIA],juntotal3059718395[[#Headers],[17]],tabela_registros[REGISTRO],DADOS!$N$4,tabela_registros[TIPO],DADOS!$P$3,tabela_registros[CATEGORIA],despesafixaconsolidadojun[[#This Row],[DESPESA FIXA]])</f>
        <v>0</v>
      </c>
      <c r="V38" s="91">
        <f>SUMIFS(tabela_registros[VALOR],tabela_registros[MÊS],$AE$1,tabela_registros[DIA],juntotal3059718395[[#Headers],[18]],tabela_registros[REGISTRO],DADOS!$N$4,tabela_registros[TIPO],DADOS!$P$3,tabela_registros[CATEGORIA],despesafixaconsolidadojun[[#This Row],[DESPESA FIXA]])</f>
        <v>0</v>
      </c>
      <c r="W38" s="91">
        <f>SUMIFS(tabela_registros[VALOR],tabela_registros[MÊS],$AE$1,tabela_registros[DIA],juntotal3059718395[[#Headers],[19]],tabela_registros[REGISTRO],DADOS!$N$4,tabela_registros[TIPO],DADOS!$P$3,tabela_registros[CATEGORIA],despesafixaconsolidadojun[[#This Row],[DESPESA FIXA]])</f>
        <v>0</v>
      </c>
      <c r="X38" s="91">
        <f>SUMIFS(tabela_registros[VALOR],tabela_registros[MÊS],$AE$1,tabela_registros[DIA],juntotal3059718395[[#Headers],[20]],tabela_registros[REGISTRO],DADOS!$N$4,tabela_registros[TIPO],DADOS!$P$3,tabela_registros[CATEGORIA],despesafixaconsolidadojun[[#This Row],[DESPESA FIXA]])</f>
        <v>0</v>
      </c>
      <c r="Y38" s="91">
        <f>SUMIFS(tabela_registros[VALOR],tabela_registros[MÊS],$AE$1,tabela_registros[DIA],juntotal3059718395[[#Headers],[21]],tabela_registros[REGISTRO],DADOS!$N$4,tabela_registros[TIPO],DADOS!$P$3,tabela_registros[CATEGORIA],despesafixaconsolidadojun[[#This Row],[DESPESA FIXA]])</f>
        <v>0</v>
      </c>
      <c r="Z38" s="91">
        <f>SUMIFS(tabela_registros[VALOR],tabela_registros[MÊS],$AE$1,tabela_registros[DIA],juntotal3059718395[[#Headers],[22]],tabela_registros[REGISTRO],DADOS!$N$4,tabela_registros[TIPO],DADOS!$P$3,tabela_registros[CATEGORIA],despesafixaconsolidadojun[[#This Row],[DESPESA FIXA]])</f>
        <v>0</v>
      </c>
      <c r="AA38" s="91">
        <f>SUMIFS(tabela_registros[VALOR],tabela_registros[MÊS],$AE$1,tabela_registros[DIA],juntotal3059718395[[#Headers],[23]],tabela_registros[REGISTRO],DADOS!$N$4,tabela_registros[TIPO],DADOS!$P$3,tabela_registros[CATEGORIA],despesafixaconsolidadojun[[#This Row],[DESPESA FIXA]])</f>
        <v>0</v>
      </c>
      <c r="AB38" s="91">
        <f>SUMIFS(tabela_registros[VALOR],tabela_registros[MÊS],$AE$1,tabela_registros[DIA],juntotal3059718395[[#Headers],[24]],tabela_registros[REGISTRO],DADOS!$N$4,tabela_registros[TIPO],DADOS!$P$3,tabela_registros[CATEGORIA],despesafixaconsolidadojun[[#This Row],[DESPESA FIXA]])</f>
        <v>0</v>
      </c>
      <c r="AC38" s="91">
        <f>SUMIFS(tabela_registros[VALOR],tabela_registros[MÊS],$AE$1,tabela_registros[DIA],juntotal3059718395[[#Headers],[25]],tabela_registros[REGISTRO],DADOS!$N$4,tabela_registros[TIPO],DADOS!$P$3,tabela_registros[CATEGORIA],despesafixaconsolidadojun[[#This Row],[DESPESA FIXA]])</f>
        <v>0</v>
      </c>
      <c r="AD38" s="91">
        <f>SUMIFS(tabela_registros[VALOR],tabela_registros[MÊS],$AE$1,tabela_registros[DIA],juntotal3059718395[[#Headers],[26]],tabela_registros[REGISTRO],DADOS!$N$4,tabela_registros[TIPO],DADOS!$P$3,tabela_registros[CATEGORIA],despesafixaconsolidadojun[[#This Row],[DESPESA FIXA]])</f>
        <v>0</v>
      </c>
      <c r="AE38" s="91">
        <f>SUMIFS(tabela_registros[VALOR],tabela_registros[MÊS],$AE$1,tabela_registros[DIA],juntotal3059718395[[#Headers],[27]],tabela_registros[REGISTRO],DADOS!$N$4,tabela_registros[TIPO],DADOS!$P$3,tabela_registros[CATEGORIA],despesafixaconsolidadojun[[#This Row],[DESPESA FIXA]])</f>
        <v>0</v>
      </c>
      <c r="AF38" s="91">
        <f>SUMIFS(tabela_registros[VALOR],tabela_registros[MÊS],$AE$1,tabela_registros[DIA],juntotal3059718395[[#Headers],[28]],tabela_registros[REGISTRO],DADOS!$N$4,tabela_registros[TIPO],DADOS!$P$3,tabela_registros[CATEGORIA],despesafixaconsolidadojun[[#This Row],[DESPESA FIXA]])</f>
        <v>0</v>
      </c>
      <c r="AG38" s="91">
        <f>SUMIFS(tabela_registros[VALOR],tabela_registros[MÊS],$AE$1,tabela_registros[DIA],juntotal3059718395[[#Headers],[29]],tabela_registros[REGISTRO],DADOS!$N$4,tabela_registros[TIPO],DADOS!$P$3,tabela_registros[CATEGORIA],despesafixaconsolidadojun[[#This Row],[DESPESA FIXA]])</f>
        <v>0</v>
      </c>
      <c r="AH38" s="91">
        <f>SUMIFS(tabela_registros[VALOR],tabela_registros[MÊS],$AE$1,tabela_registros[DIA],juntotal3059718395[[#Headers],[30]],tabela_registros[REGISTRO],DADOS!$N$4,tabela_registros[TIPO],DADOS!$P$3,tabela_registros[CATEGORIA],despesafixaconsolidadojun[[#This Row],[DESPESA FIXA]])</f>
        <v>0</v>
      </c>
      <c r="AI38" s="101">
        <f>SUMIFS(tabela_registros[VALOR],tabela_registros[MÊS],$AE$1,tabela_registros[DIA],juntotal3059718395[[#Headers],[31]],tabela_registros[REGISTRO],DADOS!$N$4,tabela_registros[TIPO],DADOS!$P$3,tabela_registros[CATEGORIA],despesafixaconsolidadojun[[#This Row],[DESPESA FIXA]])</f>
        <v>0</v>
      </c>
      <c r="AJ38" s="97">
        <f>SUM(despesafixaconsolidadojun[[#This Row],[1]:[31]])</f>
        <v>0</v>
      </c>
      <c r="AK38" s="28"/>
    </row>
    <row r="39" spans="2:37" ht="18" customHeight="1" thickTop="1" thickBot="1" x14ac:dyDescent="0.3">
      <c r="B39" s="28"/>
      <c r="C39" s="27" t="str">
        <f>DADOS!$R$5</f>
        <v>🔖 ASSINATURAS E SERVIÇOS</v>
      </c>
      <c r="D39" s="26" t="str">
        <f>IF(despesafixaconsolidadojun[[#This Row],[TOTAL]]=0,"",IF(OR(despesafixaconsolidadojun[[#This Row],[TOTAL]]=LARGE($AJ$37:$AJ$50,1),despesafixaconsolidadojun[[#This Row],[TOTAL]]=LARGE($AJ$37:$AJ$50,2),despesafixaconsolidadojun[[#This Row],[TOTAL]]=LARGE($AJ$37:$AJ$50,3),despesafixaconsolidadojun[[#This Row],[TOTAL]]=LARGE($AJ$37:$AJ$50,4),despesafixaconsolidadojun[[#This Row],[TOTAL]]=LARGE($AJ$37:$AJ$50,5)),DADOS!$I$8,""))</f>
        <v/>
      </c>
      <c r="E39" s="96">
        <f>SUMIFS(tabela_registros[VALOR],tabela_registros[MÊS],$AE$1,tabela_registros[DIA],juntotal3059718395[[#Headers],[1]],tabela_registros[REGISTRO],DADOS!$N$4,tabela_registros[TIPO],DADOS!$P$3,tabela_registros[CATEGORIA],despesafixaconsolidadojun[[#This Row],[DESPESA FIXA]])</f>
        <v>0</v>
      </c>
      <c r="F39" s="91">
        <f>SUMIFS(tabela_registros[VALOR],tabela_registros[MÊS],$AE$1,tabela_registros[DIA],juntotal3059718395[[#Headers],[2]],tabela_registros[REGISTRO],DADOS!$N$4,tabela_registros[TIPO],DADOS!$P$3,tabela_registros[CATEGORIA],despesafixaconsolidadojun[[#This Row],[DESPESA FIXA]])</f>
        <v>0</v>
      </c>
      <c r="G39" s="91">
        <f>SUMIFS(tabela_registros[VALOR],tabela_registros[MÊS],$AE$1,tabela_registros[DIA],juntotal3059718395[[#Headers],[3]],tabela_registros[REGISTRO],DADOS!$N$4,tabela_registros[TIPO],DADOS!$P$3,tabela_registros[CATEGORIA],despesafixaconsolidadojun[[#This Row],[DESPESA FIXA]])</f>
        <v>0</v>
      </c>
      <c r="H39" s="91">
        <f>SUMIFS(tabela_registros[VALOR],tabela_registros[MÊS],$AE$1,tabela_registros[DIA],juntotal3059718395[[#Headers],[4]],tabela_registros[REGISTRO],DADOS!$N$4,tabela_registros[TIPO],DADOS!$P$3,tabela_registros[CATEGORIA],despesafixaconsolidadojun[[#This Row],[DESPESA FIXA]])</f>
        <v>0</v>
      </c>
      <c r="I39" s="91">
        <f>SUMIFS(tabela_registros[VALOR],tabela_registros[MÊS],$AE$1,tabela_registros[DIA],juntotal3059718395[[#Headers],[5]],tabela_registros[REGISTRO],DADOS!$N$4,tabela_registros[TIPO],DADOS!$P$3,tabela_registros[CATEGORIA],despesafixaconsolidadojun[[#This Row],[DESPESA FIXA]])</f>
        <v>0</v>
      </c>
      <c r="J39" s="91">
        <f>SUMIFS(tabela_registros[VALOR],tabela_registros[MÊS],$AE$1,tabela_registros[DIA],juntotal3059718395[[#Headers],[6]],tabela_registros[REGISTRO],DADOS!$N$4,tabela_registros[TIPO],DADOS!$P$3,tabela_registros[CATEGORIA],despesafixaconsolidadojun[[#This Row],[DESPESA FIXA]])</f>
        <v>0</v>
      </c>
      <c r="K39" s="91">
        <f>SUMIFS(tabela_registros[VALOR],tabela_registros[MÊS],$AE$1,tabela_registros[DIA],juntotal3059718395[[#Headers],[7]],tabela_registros[REGISTRO],DADOS!$N$4,tabela_registros[TIPO],DADOS!$P$3,tabela_registros[CATEGORIA],despesafixaconsolidadojun[[#This Row],[DESPESA FIXA]])</f>
        <v>0</v>
      </c>
      <c r="L39" s="91">
        <f>SUMIFS(tabela_registros[VALOR],tabela_registros[MÊS],$AE$1,tabela_registros[DIA],juntotal3059718395[[#Headers],[8]],tabela_registros[REGISTRO],DADOS!$N$4,tabela_registros[TIPO],DADOS!$P$3,tabela_registros[CATEGORIA],despesafixaconsolidadojun[[#This Row],[DESPESA FIXA]])</f>
        <v>0</v>
      </c>
      <c r="M39" s="91">
        <f>SUMIFS(tabela_registros[VALOR],tabela_registros[MÊS],$AE$1,tabela_registros[DIA],juntotal3059718395[[#Headers],[9]],tabela_registros[REGISTRO],DADOS!$N$4,tabela_registros[TIPO],DADOS!$P$3,tabela_registros[CATEGORIA],despesafixaconsolidadojun[[#This Row],[DESPESA FIXA]])</f>
        <v>0</v>
      </c>
      <c r="N39" s="91">
        <f>SUMIFS(tabela_registros[VALOR],tabela_registros[MÊS],$AE$1,tabela_registros[DIA],juntotal3059718395[[#Headers],[10]],tabela_registros[REGISTRO],DADOS!$N$4,tabela_registros[TIPO],DADOS!$P$3,tabela_registros[CATEGORIA],despesafixaconsolidadojun[[#This Row],[DESPESA FIXA]])</f>
        <v>0</v>
      </c>
      <c r="O39" s="91">
        <f>SUMIFS(tabela_registros[VALOR],tabela_registros[MÊS],$AE$1,tabela_registros[DIA],juntotal3059718395[[#Headers],[11]],tabela_registros[REGISTRO],DADOS!$N$4,tabela_registros[TIPO],DADOS!$P$3,tabela_registros[CATEGORIA],despesafixaconsolidadojun[[#This Row],[DESPESA FIXA]])</f>
        <v>0</v>
      </c>
      <c r="P39" s="91">
        <f>SUMIFS(tabela_registros[VALOR],tabela_registros[MÊS],$AE$1,tabela_registros[DIA],juntotal3059718395[[#Headers],[12]],tabela_registros[REGISTRO],DADOS!$N$4,tabela_registros[TIPO],DADOS!$P$3,tabela_registros[CATEGORIA],despesafixaconsolidadojun[[#This Row],[DESPESA FIXA]])</f>
        <v>0</v>
      </c>
      <c r="Q39" s="91">
        <f>SUMIFS(tabela_registros[VALOR],tabela_registros[MÊS],$AE$1,tabela_registros[DIA],juntotal3059718395[[#Headers],[13]],tabela_registros[REGISTRO],DADOS!$N$4,tabela_registros[TIPO],DADOS!$P$3,tabela_registros[CATEGORIA],despesafixaconsolidadojun[[#This Row],[DESPESA FIXA]])</f>
        <v>0</v>
      </c>
      <c r="R39" s="91">
        <f>SUMIFS(tabela_registros[VALOR],tabela_registros[MÊS],$AE$1,tabela_registros[DIA],juntotal3059718395[[#Headers],[14]],tabela_registros[REGISTRO],DADOS!$N$4,tabela_registros[TIPO],DADOS!$P$3,tabela_registros[CATEGORIA],despesafixaconsolidadojun[[#This Row],[DESPESA FIXA]])</f>
        <v>0</v>
      </c>
      <c r="S39" s="91">
        <f>SUMIFS(tabela_registros[VALOR],tabela_registros[MÊS],$AE$1,tabela_registros[DIA],juntotal3059718395[[#Headers],[15]],tabela_registros[REGISTRO],DADOS!$N$4,tabela_registros[TIPO],DADOS!$P$3,tabela_registros[CATEGORIA],despesafixaconsolidadojun[[#This Row],[DESPESA FIXA]])</f>
        <v>0</v>
      </c>
      <c r="T39" s="91">
        <f>SUMIFS(tabela_registros[VALOR],tabela_registros[MÊS],$AE$1,tabela_registros[DIA],juntotal3059718395[[#Headers],[16]],tabela_registros[REGISTRO],DADOS!$N$4,tabela_registros[TIPO],DADOS!$P$3,tabela_registros[CATEGORIA],despesafixaconsolidadojun[[#This Row],[DESPESA FIXA]])</f>
        <v>0</v>
      </c>
      <c r="U39" s="91">
        <f>SUMIFS(tabela_registros[VALOR],tabela_registros[MÊS],$AE$1,tabela_registros[DIA],juntotal3059718395[[#Headers],[17]],tabela_registros[REGISTRO],DADOS!$N$4,tabela_registros[TIPO],DADOS!$P$3,tabela_registros[CATEGORIA],despesafixaconsolidadojun[[#This Row],[DESPESA FIXA]])</f>
        <v>0</v>
      </c>
      <c r="V39" s="91">
        <f>SUMIFS(tabela_registros[VALOR],tabela_registros[MÊS],$AE$1,tabela_registros[DIA],juntotal3059718395[[#Headers],[18]],tabela_registros[REGISTRO],DADOS!$N$4,tabela_registros[TIPO],DADOS!$P$3,tabela_registros[CATEGORIA],despesafixaconsolidadojun[[#This Row],[DESPESA FIXA]])</f>
        <v>0</v>
      </c>
      <c r="W39" s="91">
        <f>SUMIFS(tabela_registros[VALOR],tabela_registros[MÊS],$AE$1,tabela_registros[DIA],juntotal3059718395[[#Headers],[19]],tabela_registros[REGISTRO],DADOS!$N$4,tabela_registros[TIPO],DADOS!$P$3,tabela_registros[CATEGORIA],despesafixaconsolidadojun[[#This Row],[DESPESA FIXA]])</f>
        <v>0</v>
      </c>
      <c r="X39" s="91">
        <f>SUMIFS(tabela_registros[VALOR],tabela_registros[MÊS],$AE$1,tabela_registros[DIA],juntotal3059718395[[#Headers],[20]],tabela_registros[REGISTRO],DADOS!$N$4,tabela_registros[TIPO],DADOS!$P$3,tabela_registros[CATEGORIA],despesafixaconsolidadojun[[#This Row],[DESPESA FIXA]])</f>
        <v>0</v>
      </c>
      <c r="Y39" s="91">
        <f>SUMIFS(tabela_registros[VALOR],tabela_registros[MÊS],$AE$1,tabela_registros[DIA],juntotal3059718395[[#Headers],[21]],tabela_registros[REGISTRO],DADOS!$N$4,tabela_registros[TIPO],DADOS!$P$3,tabela_registros[CATEGORIA],despesafixaconsolidadojun[[#This Row],[DESPESA FIXA]])</f>
        <v>0</v>
      </c>
      <c r="Z39" s="91">
        <f>SUMIFS(tabela_registros[VALOR],tabela_registros[MÊS],$AE$1,tabela_registros[DIA],juntotal3059718395[[#Headers],[22]],tabela_registros[REGISTRO],DADOS!$N$4,tabela_registros[TIPO],DADOS!$P$3,tabela_registros[CATEGORIA],despesafixaconsolidadojun[[#This Row],[DESPESA FIXA]])</f>
        <v>0</v>
      </c>
      <c r="AA39" s="91">
        <f>SUMIFS(tabela_registros[VALOR],tabela_registros[MÊS],$AE$1,tabela_registros[DIA],juntotal3059718395[[#Headers],[23]],tabela_registros[REGISTRO],DADOS!$N$4,tabela_registros[TIPO],DADOS!$P$3,tabela_registros[CATEGORIA],despesafixaconsolidadojun[[#This Row],[DESPESA FIXA]])</f>
        <v>0</v>
      </c>
      <c r="AB39" s="91">
        <f>SUMIFS(tabela_registros[VALOR],tabela_registros[MÊS],$AE$1,tabela_registros[DIA],juntotal3059718395[[#Headers],[24]],tabela_registros[REGISTRO],DADOS!$N$4,tabela_registros[TIPO],DADOS!$P$3,tabela_registros[CATEGORIA],despesafixaconsolidadojun[[#This Row],[DESPESA FIXA]])</f>
        <v>0</v>
      </c>
      <c r="AC39" s="91">
        <f>SUMIFS(tabela_registros[VALOR],tabela_registros[MÊS],$AE$1,tabela_registros[DIA],juntotal3059718395[[#Headers],[25]],tabela_registros[REGISTRO],DADOS!$N$4,tabela_registros[TIPO],DADOS!$P$3,tabela_registros[CATEGORIA],despesafixaconsolidadojun[[#This Row],[DESPESA FIXA]])</f>
        <v>0</v>
      </c>
      <c r="AD39" s="91">
        <f>SUMIFS(tabela_registros[VALOR],tabela_registros[MÊS],$AE$1,tabela_registros[DIA],juntotal3059718395[[#Headers],[26]],tabela_registros[REGISTRO],DADOS!$N$4,tabela_registros[TIPO],DADOS!$P$3,tabela_registros[CATEGORIA],despesafixaconsolidadojun[[#This Row],[DESPESA FIXA]])</f>
        <v>0</v>
      </c>
      <c r="AE39" s="91">
        <f>SUMIFS(tabela_registros[VALOR],tabela_registros[MÊS],$AE$1,tabela_registros[DIA],juntotal3059718395[[#Headers],[27]],tabela_registros[REGISTRO],DADOS!$N$4,tabela_registros[TIPO],DADOS!$P$3,tabela_registros[CATEGORIA],despesafixaconsolidadojun[[#This Row],[DESPESA FIXA]])</f>
        <v>0</v>
      </c>
      <c r="AF39" s="91">
        <f>SUMIFS(tabela_registros[VALOR],tabela_registros[MÊS],$AE$1,tabela_registros[DIA],juntotal3059718395[[#Headers],[28]],tabela_registros[REGISTRO],DADOS!$N$4,tabela_registros[TIPO],DADOS!$P$3,tabela_registros[CATEGORIA],despesafixaconsolidadojun[[#This Row],[DESPESA FIXA]])</f>
        <v>0</v>
      </c>
      <c r="AG39" s="91">
        <f>SUMIFS(tabela_registros[VALOR],tabela_registros[MÊS],$AE$1,tabela_registros[DIA],juntotal3059718395[[#Headers],[29]],tabela_registros[REGISTRO],DADOS!$N$4,tabela_registros[TIPO],DADOS!$P$3,tabela_registros[CATEGORIA],despesafixaconsolidadojun[[#This Row],[DESPESA FIXA]])</f>
        <v>0</v>
      </c>
      <c r="AH39" s="91">
        <f>SUMIFS(tabela_registros[VALOR],tabela_registros[MÊS],$AE$1,tabela_registros[DIA],juntotal3059718395[[#Headers],[30]],tabela_registros[REGISTRO],DADOS!$N$4,tabela_registros[TIPO],DADOS!$P$3,tabela_registros[CATEGORIA],despesafixaconsolidadojun[[#This Row],[DESPESA FIXA]])</f>
        <v>0</v>
      </c>
      <c r="AI39" s="101">
        <f>SUMIFS(tabela_registros[VALOR],tabela_registros[MÊS],$AE$1,tabela_registros[DIA],juntotal3059718395[[#Headers],[31]],tabela_registros[REGISTRO],DADOS!$N$4,tabela_registros[TIPO],DADOS!$P$3,tabela_registros[CATEGORIA],despesafixaconsolidadojun[[#This Row],[DESPESA FIXA]])</f>
        <v>0</v>
      </c>
      <c r="AJ39" s="97">
        <f>SUM(despesafixaconsolidadojun[[#This Row],[1]:[31]])</f>
        <v>0</v>
      </c>
      <c r="AK39" s="28"/>
    </row>
    <row r="40" spans="2:37" ht="18" customHeight="1" thickTop="1" thickBot="1" x14ac:dyDescent="0.3">
      <c r="B40" s="28"/>
      <c r="C40" s="27" t="str">
        <f>DADOS!$R$6</f>
        <v>📱 CELULAR</v>
      </c>
      <c r="D40" s="26" t="str">
        <f>IF(despesafixaconsolidadojun[[#This Row],[TOTAL]]=0,"",IF(OR(despesafixaconsolidadojun[[#This Row],[TOTAL]]=LARGE($AJ$37:$AJ$50,1),despesafixaconsolidadojun[[#This Row],[TOTAL]]=LARGE($AJ$37:$AJ$50,2),despesafixaconsolidadojun[[#This Row],[TOTAL]]=LARGE($AJ$37:$AJ$50,3),despesafixaconsolidadojun[[#This Row],[TOTAL]]=LARGE($AJ$37:$AJ$50,4),despesafixaconsolidadojun[[#This Row],[TOTAL]]=LARGE($AJ$37:$AJ$50,5)),DADOS!$I$8,""))</f>
        <v/>
      </c>
      <c r="E40" s="96">
        <f>SUMIFS(tabela_registros[VALOR],tabela_registros[MÊS],$AE$1,tabela_registros[DIA],juntotal3059718395[[#Headers],[1]],tabela_registros[REGISTRO],DADOS!$N$4,tabela_registros[TIPO],DADOS!$P$3,tabela_registros[CATEGORIA],despesafixaconsolidadojun[[#This Row],[DESPESA FIXA]])</f>
        <v>0</v>
      </c>
      <c r="F40" s="91">
        <f>SUMIFS(tabela_registros[VALOR],tabela_registros[MÊS],$AE$1,tabela_registros[DIA],juntotal3059718395[[#Headers],[2]],tabela_registros[REGISTRO],DADOS!$N$4,tabela_registros[TIPO],DADOS!$P$3,tabela_registros[CATEGORIA],despesafixaconsolidadojun[[#This Row],[DESPESA FIXA]])</f>
        <v>0</v>
      </c>
      <c r="G40" s="91">
        <f>SUMIFS(tabela_registros[VALOR],tabela_registros[MÊS],$AE$1,tabela_registros[DIA],juntotal3059718395[[#Headers],[3]],tabela_registros[REGISTRO],DADOS!$N$4,tabela_registros[TIPO],DADOS!$P$3,tabela_registros[CATEGORIA],despesafixaconsolidadojun[[#This Row],[DESPESA FIXA]])</f>
        <v>0</v>
      </c>
      <c r="H40" s="91">
        <f>SUMIFS(tabela_registros[VALOR],tabela_registros[MÊS],$AE$1,tabela_registros[DIA],juntotal3059718395[[#Headers],[4]],tabela_registros[REGISTRO],DADOS!$N$4,tabela_registros[TIPO],DADOS!$P$3,tabela_registros[CATEGORIA],despesafixaconsolidadojun[[#This Row],[DESPESA FIXA]])</f>
        <v>0</v>
      </c>
      <c r="I40" s="91">
        <f>SUMIFS(tabela_registros[VALOR],tabela_registros[MÊS],$AE$1,tabela_registros[DIA],juntotal3059718395[[#Headers],[5]],tabela_registros[REGISTRO],DADOS!$N$4,tabela_registros[TIPO],DADOS!$P$3,tabela_registros[CATEGORIA],despesafixaconsolidadojun[[#This Row],[DESPESA FIXA]])</f>
        <v>0</v>
      </c>
      <c r="J40" s="91">
        <f>SUMIFS(tabela_registros[VALOR],tabela_registros[MÊS],$AE$1,tabela_registros[DIA],juntotal3059718395[[#Headers],[6]],tabela_registros[REGISTRO],DADOS!$N$4,tabela_registros[TIPO],DADOS!$P$3,tabela_registros[CATEGORIA],despesafixaconsolidadojun[[#This Row],[DESPESA FIXA]])</f>
        <v>0</v>
      </c>
      <c r="K40" s="91">
        <f>SUMIFS(tabela_registros[VALOR],tabela_registros[MÊS],$AE$1,tabela_registros[DIA],juntotal3059718395[[#Headers],[7]],tabela_registros[REGISTRO],DADOS!$N$4,tabela_registros[TIPO],DADOS!$P$3,tabela_registros[CATEGORIA],despesafixaconsolidadojun[[#This Row],[DESPESA FIXA]])</f>
        <v>0</v>
      </c>
      <c r="L40" s="91">
        <f>SUMIFS(tabela_registros[VALOR],tabela_registros[MÊS],$AE$1,tabela_registros[DIA],juntotal3059718395[[#Headers],[8]],tabela_registros[REGISTRO],DADOS!$N$4,tabela_registros[TIPO],DADOS!$P$3,tabela_registros[CATEGORIA],despesafixaconsolidadojun[[#This Row],[DESPESA FIXA]])</f>
        <v>0</v>
      </c>
      <c r="M40" s="91">
        <f>SUMIFS(tabela_registros[VALOR],tabela_registros[MÊS],$AE$1,tabela_registros[DIA],juntotal3059718395[[#Headers],[9]],tabela_registros[REGISTRO],DADOS!$N$4,tabela_registros[TIPO],DADOS!$P$3,tabela_registros[CATEGORIA],despesafixaconsolidadojun[[#This Row],[DESPESA FIXA]])</f>
        <v>0</v>
      </c>
      <c r="N40" s="91">
        <f>SUMIFS(tabela_registros[VALOR],tabela_registros[MÊS],$AE$1,tabela_registros[DIA],juntotal3059718395[[#Headers],[10]],tabela_registros[REGISTRO],DADOS!$N$4,tabela_registros[TIPO],DADOS!$P$3,tabela_registros[CATEGORIA],despesafixaconsolidadojun[[#This Row],[DESPESA FIXA]])</f>
        <v>0</v>
      </c>
      <c r="O40" s="91">
        <f>SUMIFS(tabela_registros[VALOR],tabela_registros[MÊS],$AE$1,tabela_registros[DIA],juntotal3059718395[[#Headers],[11]],tabela_registros[REGISTRO],DADOS!$N$4,tabela_registros[TIPO],DADOS!$P$3,tabela_registros[CATEGORIA],despesafixaconsolidadojun[[#This Row],[DESPESA FIXA]])</f>
        <v>0</v>
      </c>
      <c r="P40" s="91">
        <f>SUMIFS(tabela_registros[VALOR],tabela_registros[MÊS],$AE$1,tabela_registros[DIA],juntotal3059718395[[#Headers],[12]],tabela_registros[REGISTRO],DADOS!$N$4,tabela_registros[TIPO],DADOS!$P$3,tabela_registros[CATEGORIA],despesafixaconsolidadojun[[#This Row],[DESPESA FIXA]])</f>
        <v>0</v>
      </c>
      <c r="Q40" s="91">
        <f>SUMIFS(tabela_registros[VALOR],tabela_registros[MÊS],$AE$1,tabela_registros[DIA],juntotal3059718395[[#Headers],[13]],tabela_registros[REGISTRO],DADOS!$N$4,tabela_registros[TIPO],DADOS!$P$3,tabela_registros[CATEGORIA],despesafixaconsolidadojun[[#This Row],[DESPESA FIXA]])</f>
        <v>0</v>
      </c>
      <c r="R40" s="91">
        <f>SUMIFS(tabela_registros[VALOR],tabela_registros[MÊS],$AE$1,tabela_registros[DIA],juntotal3059718395[[#Headers],[14]],tabela_registros[REGISTRO],DADOS!$N$4,tabela_registros[TIPO],DADOS!$P$3,tabela_registros[CATEGORIA],despesafixaconsolidadojun[[#This Row],[DESPESA FIXA]])</f>
        <v>0</v>
      </c>
      <c r="S40" s="91">
        <f>SUMIFS(tabela_registros[VALOR],tabela_registros[MÊS],$AE$1,tabela_registros[DIA],juntotal3059718395[[#Headers],[15]],tabela_registros[REGISTRO],DADOS!$N$4,tabela_registros[TIPO],DADOS!$P$3,tabela_registros[CATEGORIA],despesafixaconsolidadojun[[#This Row],[DESPESA FIXA]])</f>
        <v>0</v>
      </c>
      <c r="T40" s="91">
        <f>SUMIFS(tabela_registros[VALOR],tabela_registros[MÊS],$AE$1,tabela_registros[DIA],juntotal3059718395[[#Headers],[16]],tabela_registros[REGISTRO],DADOS!$N$4,tabela_registros[TIPO],DADOS!$P$3,tabela_registros[CATEGORIA],despesafixaconsolidadojun[[#This Row],[DESPESA FIXA]])</f>
        <v>0</v>
      </c>
      <c r="U40" s="91">
        <f>SUMIFS(tabela_registros[VALOR],tabela_registros[MÊS],$AE$1,tabela_registros[DIA],juntotal3059718395[[#Headers],[17]],tabela_registros[REGISTRO],DADOS!$N$4,tabela_registros[TIPO],DADOS!$P$3,tabela_registros[CATEGORIA],despesafixaconsolidadojun[[#This Row],[DESPESA FIXA]])</f>
        <v>0</v>
      </c>
      <c r="V40" s="91">
        <f>SUMIFS(tabela_registros[VALOR],tabela_registros[MÊS],$AE$1,tabela_registros[DIA],juntotal3059718395[[#Headers],[18]],tabela_registros[REGISTRO],DADOS!$N$4,tabela_registros[TIPO],DADOS!$P$3,tabela_registros[CATEGORIA],despesafixaconsolidadojun[[#This Row],[DESPESA FIXA]])</f>
        <v>0</v>
      </c>
      <c r="W40" s="91">
        <f>SUMIFS(tabela_registros[VALOR],tabela_registros[MÊS],$AE$1,tabela_registros[DIA],juntotal3059718395[[#Headers],[19]],tabela_registros[REGISTRO],DADOS!$N$4,tabela_registros[TIPO],DADOS!$P$3,tabela_registros[CATEGORIA],despesafixaconsolidadojun[[#This Row],[DESPESA FIXA]])</f>
        <v>0</v>
      </c>
      <c r="X40" s="91">
        <f>SUMIFS(tabela_registros[VALOR],tabela_registros[MÊS],$AE$1,tabela_registros[DIA],juntotal3059718395[[#Headers],[20]],tabela_registros[REGISTRO],DADOS!$N$4,tabela_registros[TIPO],DADOS!$P$3,tabela_registros[CATEGORIA],despesafixaconsolidadojun[[#This Row],[DESPESA FIXA]])</f>
        <v>0</v>
      </c>
      <c r="Y40" s="91">
        <f>SUMIFS(tabela_registros[VALOR],tabela_registros[MÊS],$AE$1,tabela_registros[DIA],juntotal3059718395[[#Headers],[21]],tabela_registros[REGISTRO],DADOS!$N$4,tabela_registros[TIPO],DADOS!$P$3,tabela_registros[CATEGORIA],despesafixaconsolidadojun[[#This Row],[DESPESA FIXA]])</f>
        <v>0</v>
      </c>
      <c r="Z40" s="91">
        <f>SUMIFS(tabela_registros[VALOR],tabela_registros[MÊS],$AE$1,tabela_registros[DIA],juntotal3059718395[[#Headers],[22]],tabela_registros[REGISTRO],DADOS!$N$4,tabela_registros[TIPO],DADOS!$P$3,tabela_registros[CATEGORIA],despesafixaconsolidadojun[[#This Row],[DESPESA FIXA]])</f>
        <v>0</v>
      </c>
      <c r="AA40" s="91">
        <f>SUMIFS(tabela_registros[VALOR],tabela_registros[MÊS],$AE$1,tabela_registros[DIA],juntotal3059718395[[#Headers],[23]],tabela_registros[REGISTRO],DADOS!$N$4,tabela_registros[TIPO],DADOS!$P$3,tabela_registros[CATEGORIA],despesafixaconsolidadojun[[#This Row],[DESPESA FIXA]])</f>
        <v>0</v>
      </c>
      <c r="AB40" s="91">
        <f>SUMIFS(tabela_registros[VALOR],tabela_registros[MÊS],$AE$1,tabela_registros[DIA],juntotal3059718395[[#Headers],[24]],tabela_registros[REGISTRO],DADOS!$N$4,tabela_registros[TIPO],DADOS!$P$3,tabela_registros[CATEGORIA],despesafixaconsolidadojun[[#This Row],[DESPESA FIXA]])</f>
        <v>0</v>
      </c>
      <c r="AC40" s="91">
        <f>SUMIFS(tabela_registros[VALOR],tabela_registros[MÊS],$AE$1,tabela_registros[DIA],juntotal3059718395[[#Headers],[25]],tabela_registros[REGISTRO],DADOS!$N$4,tabela_registros[TIPO],DADOS!$P$3,tabela_registros[CATEGORIA],despesafixaconsolidadojun[[#This Row],[DESPESA FIXA]])</f>
        <v>0</v>
      </c>
      <c r="AD40" s="91">
        <f>SUMIFS(tabela_registros[VALOR],tabela_registros[MÊS],$AE$1,tabela_registros[DIA],juntotal3059718395[[#Headers],[26]],tabela_registros[REGISTRO],DADOS!$N$4,tabela_registros[TIPO],DADOS!$P$3,tabela_registros[CATEGORIA],despesafixaconsolidadojun[[#This Row],[DESPESA FIXA]])</f>
        <v>0</v>
      </c>
      <c r="AE40" s="91">
        <f>SUMIFS(tabela_registros[VALOR],tabela_registros[MÊS],$AE$1,tabela_registros[DIA],juntotal3059718395[[#Headers],[27]],tabela_registros[REGISTRO],DADOS!$N$4,tabela_registros[TIPO],DADOS!$P$3,tabela_registros[CATEGORIA],despesafixaconsolidadojun[[#This Row],[DESPESA FIXA]])</f>
        <v>0</v>
      </c>
      <c r="AF40" s="91">
        <f>SUMIFS(tabela_registros[VALOR],tabela_registros[MÊS],$AE$1,tabela_registros[DIA],juntotal3059718395[[#Headers],[28]],tabela_registros[REGISTRO],DADOS!$N$4,tabela_registros[TIPO],DADOS!$P$3,tabela_registros[CATEGORIA],despesafixaconsolidadojun[[#This Row],[DESPESA FIXA]])</f>
        <v>0</v>
      </c>
      <c r="AG40" s="91">
        <f>SUMIFS(tabela_registros[VALOR],tabela_registros[MÊS],$AE$1,tabela_registros[DIA],juntotal3059718395[[#Headers],[29]],tabela_registros[REGISTRO],DADOS!$N$4,tabela_registros[TIPO],DADOS!$P$3,tabela_registros[CATEGORIA],despesafixaconsolidadojun[[#This Row],[DESPESA FIXA]])</f>
        <v>0</v>
      </c>
      <c r="AH40" s="91">
        <f>SUMIFS(tabela_registros[VALOR],tabela_registros[MÊS],$AE$1,tabela_registros[DIA],juntotal3059718395[[#Headers],[30]],tabela_registros[REGISTRO],DADOS!$N$4,tabela_registros[TIPO],DADOS!$P$3,tabela_registros[CATEGORIA],despesafixaconsolidadojun[[#This Row],[DESPESA FIXA]])</f>
        <v>0</v>
      </c>
      <c r="AI40" s="101">
        <f>SUMIFS(tabela_registros[VALOR],tabela_registros[MÊS],$AE$1,tabela_registros[DIA],juntotal3059718395[[#Headers],[31]],tabela_registros[REGISTRO],DADOS!$N$4,tabela_registros[TIPO],DADOS!$P$3,tabela_registros[CATEGORIA],despesafixaconsolidadojun[[#This Row],[DESPESA FIXA]])</f>
        <v>0</v>
      </c>
      <c r="AJ40" s="97">
        <f>SUM(despesafixaconsolidadojun[[#This Row],[1]:[31]])</f>
        <v>0</v>
      </c>
      <c r="AK40" s="28"/>
    </row>
    <row r="41" spans="2:37" ht="18" customHeight="1" thickTop="1" thickBot="1" x14ac:dyDescent="0.3">
      <c r="B41" s="28"/>
      <c r="C41" s="27" t="str">
        <f>DADOS!$R$7</f>
        <v>📖 EDUCAÇÃO</v>
      </c>
      <c r="D41" s="26" t="str">
        <f>IF(despesafixaconsolidadojun[[#This Row],[TOTAL]]=0,"",IF(OR(despesafixaconsolidadojun[[#This Row],[TOTAL]]=LARGE($AJ$37:$AJ$50,1),despesafixaconsolidadojun[[#This Row],[TOTAL]]=LARGE($AJ$37:$AJ$50,2),despesafixaconsolidadojun[[#This Row],[TOTAL]]=LARGE($AJ$37:$AJ$50,3),despesafixaconsolidadojun[[#This Row],[TOTAL]]=LARGE($AJ$37:$AJ$50,4),despesafixaconsolidadojun[[#This Row],[TOTAL]]=LARGE($AJ$37:$AJ$50,5)),DADOS!$I$8,""))</f>
        <v/>
      </c>
      <c r="E41" s="96">
        <f>SUMIFS(tabela_registros[VALOR],tabela_registros[MÊS],$AE$1,tabela_registros[DIA],juntotal3059718395[[#Headers],[1]],tabela_registros[REGISTRO],DADOS!$N$4,tabela_registros[TIPO],DADOS!$P$3,tabela_registros[CATEGORIA],despesafixaconsolidadojun[[#This Row],[DESPESA FIXA]])</f>
        <v>0</v>
      </c>
      <c r="F41" s="91">
        <f>SUMIFS(tabela_registros[VALOR],tabela_registros[MÊS],$AE$1,tabela_registros[DIA],juntotal3059718395[[#Headers],[2]],tabela_registros[REGISTRO],DADOS!$N$4,tabela_registros[TIPO],DADOS!$P$3,tabela_registros[CATEGORIA],despesafixaconsolidadojun[[#This Row],[DESPESA FIXA]])</f>
        <v>0</v>
      </c>
      <c r="G41" s="91">
        <f>SUMIFS(tabela_registros[VALOR],tabela_registros[MÊS],$AE$1,tabela_registros[DIA],juntotal3059718395[[#Headers],[3]],tabela_registros[REGISTRO],DADOS!$N$4,tabela_registros[TIPO],DADOS!$P$3,tabela_registros[CATEGORIA],despesafixaconsolidadojun[[#This Row],[DESPESA FIXA]])</f>
        <v>0</v>
      </c>
      <c r="H41" s="91">
        <f>SUMIFS(tabela_registros[VALOR],tabela_registros[MÊS],$AE$1,tabela_registros[DIA],juntotal3059718395[[#Headers],[4]],tabela_registros[REGISTRO],DADOS!$N$4,tabela_registros[TIPO],DADOS!$P$3,tabela_registros[CATEGORIA],despesafixaconsolidadojun[[#This Row],[DESPESA FIXA]])</f>
        <v>0</v>
      </c>
      <c r="I41" s="91">
        <f>SUMIFS(tabela_registros[VALOR],tabela_registros[MÊS],$AE$1,tabela_registros[DIA],juntotal3059718395[[#Headers],[5]],tabela_registros[REGISTRO],DADOS!$N$4,tabela_registros[TIPO],DADOS!$P$3,tabela_registros[CATEGORIA],despesafixaconsolidadojun[[#This Row],[DESPESA FIXA]])</f>
        <v>0</v>
      </c>
      <c r="J41" s="91">
        <f>SUMIFS(tabela_registros[VALOR],tabela_registros[MÊS],$AE$1,tabela_registros[DIA],juntotal3059718395[[#Headers],[6]],tabela_registros[REGISTRO],DADOS!$N$4,tabela_registros[TIPO],DADOS!$P$3,tabela_registros[CATEGORIA],despesafixaconsolidadojun[[#This Row],[DESPESA FIXA]])</f>
        <v>0</v>
      </c>
      <c r="K41" s="91">
        <f>SUMIFS(tabela_registros[VALOR],tabela_registros[MÊS],$AE$1,tabela_registros[DIA],juntotal3059718395[[#Headers],[7]],tabela_registros[REGISTRO],DADOS!$N$4,tabela_registros[TIPO],DADOS!$P$3,tabela_registros[CATEGORIA],despesafixaconsolidadojun[[#This Row],[DESPESA FIXA]])</f>
        <v>0</v>
      </c>
      <c r="L41" s="91">
        <f>SUMIFS(tabela_registros[VALOR],tabela_registros[MÊS],$AE$1,tabela_registros[DIA],juntotal3059718395[[#Headers],[8]],tabela_registros[REGISTRO],DADOS!$N$4,tabela_registros[TIPO],DADOS!$P$3,tabela_registros[CATEGORIA],despesafixaconsolidadojun[[#This Row],[DESPESA FIXA]])</f>
        <v>0</v>
      </c>
      <c r="M41" s="91">
        <f>SUMIFS(tabela_registros[VALOR],tabela_registros[MÊS],$AE$1,tabela_registros[DIA],juntotal3059718395[[#Headers],[9]],tabela_registros[REGISTRO],DADOS!$N$4,tabela_registros[TIPO],DADOS!$P$3,tabela_registros[CATEGORIA],despesafixaconsolidadojun[[#This Row],[DESPESA FIXA]])</f>
        <v>0</v>
      </c>
      <c r="N41" s="91">
        <f>SUMIFS(tabela_registros[VALOR],tabela_registros[MÊS],$AE$1,tabela_registros[DIA],juntotal3059718395[[#Headers],[10]],tabela_registros[REGISTRO],DADOS!$N$4,tabela_registros[TIPO],DADOS!$P$3,tabela_registros[CATEGORIA],despesafixaconsolidadojun[[#This Row],[DESPESA FIXA]])</f>
        <v>0</v>
      </c>
      <c r="O41" s="91">
        <f>SUMIFS(tabela_registros[VALOR],tabela_registros[MÊS],$AE$1,tabela_registros[DIA],juntotal3059718395[[#Headers],[11]],tabela_registros[REGISTRO],DADOS!$N$4,tabela_registros[TIPO],DADOS!$P$3,tabela_registros[CATEGORIA],despesafixaconsolidadojun[[#This Row],[DESPESA FIXA]])</f>
        <v>0</v>
      </c>
      <c r="P41" s="91">
        <f>SUMIFS(tabela_registros[VALOR],tabela_registros[MÊS],$AE$1,tabela_registros[DIA],juntotal3059718395[[#Headers],[12]],tabela_registros[REGISTRO],DADOS!$N$4,tabela_registros[TIPO],DADOS!$P$3,tabela_registros[CATEGORIA],despesafixaconsolidadojun[[#This Row],[DESPESA FIXA]])</f>
        <v>0</v>
      </c>
      <c r="Q41" s="91">
        <f>SUMIFS(tabela_registros[VALOR],tabela_registros[MÊS],$AE$1,tabela_registros[DIA],juntotal3059718395[[#Headers],[13]],tabela_registros[REGISTRO],DADOS!$N$4,tabela_registros[TIPO],DADOS!$P$3,tabela_registros[CATEGORIA],despesafixaconsolidadojun[[#This Row],[DESPESA FIXA]])</f>
        <v>0</v>
      </c>
      <c r="R41" s="91">
        <f>SUMIFS(tabela_registros[VALOR],tabela_registros[MÊS],$AE$1,tabela_registros[DIA],juntotal3059718395[[#Headers],[14]],tabela_registros[REGISTRO],DADOS!$N$4,tabela_registros[TIPO],DADOS!$P$3,tabela_registros[CATEGORIA],despesafixaconsolidadojun[[#This Row],[DESPESA FIXA]])</f>
        <v>0</v>
      </c>
      <c r="S41" s="91">
        <f>SUMIFS(tabela_registros[VALOR],tabela_registros[MÊS],$AE$1,tabela_registros[DIA],juntotal3059718395[[#Headers],[15]],tabela_registros[REGISTRO],DADOS!$N$4,tabela_registros[TIPO],DADOS!$P$3,tabela_registros[CATEGORIA],despesafixaconsolidadojun[[#This Row],[DESPESA FIXA]])</f>
        <v>0</v>
      </c>
      <c r="T41" s="91">
        <f>SUMIFS(tabela_registros[VALOR],tabela_registros[MÊS],$AE$1,tabela_registros[DIA],juntotal3059718395[[#Headers],[16]],tabela_registros[REGISTRO],DADOS!$N$4,tabela_registros[TIPO],DADOS!$P$3,tabela_registros[CATEGORIA],despesafixaconsolidadojun[[#This Row],[DESPESA FIXA]])</f>
        <v>0</v>
      </c>
      <c r="U41" s="91">
        <f>SUMIFS(tabela_registros[VALOR],tabela_registros[MÊS],$AE$1,tabela_registros[DIA],juntotal3059718395[[#Headers],[17]],tabela_registros[REGISTRO],DADOS!$N$4,tabela_registros[TIPO],DADOS!$P$3,tabela_registros[CATEGORIA],despesafixaconsolidadojun[[#This Row],[DESPESA FIXA]])</f>
        <v>0</v>
      </c>
      <c r="V41" s="91">
        <f>SUMIFS(tabela_registros[VALOR],tabela_registros[MÊS],$AE$1,tabela_registros[DIA],juntotal3059718395[[#Headers],[18]],tabela_registros[REGISTRO],DADOS!$N$4,tabela_registros[TIPO],DADOS!$P$3,tabela_registros[CATEGORIA],despesafixaconsolidadojun[[#This Row],[DESPESA FIXA]])</f>
        <v>0</v>
      </c>
      <c r="W41" s="91">
        <f>SUMIFS(tabela_registros[VALOR],tabela_registros[MÊS],$AE$1,tabela_registros[DIA],juntotal3059718395[[#Headers],[19]],tabela_registros[REGISTRO],DADOS!$N$4,tabela_registros[TIPO],DADOS!$P$3,tabela_registros[CATEGORIA],despesafixaconsolidadojun[[#This Row],[DESPESA FIXA]])</f>
        <v>0</v>
      </c>
      <c r="X41" s="91">
        <f>SUMIFS(tabela_registros[VALOR],tabela_registros[MÊS],$AE$1,tabela_registros[DIA],juntotal3059718395[[#Headers],[20]],tabela_registros[REGISTRO],DADOS!$N$4,tabela_registros[TIPO],DADOS!$P$3,tabela_registros[CATEGORIA],despesafixaconsolidadojun[[#This Row],[DESPESA FIXA]])</f>
        <v>0</v>
      </c>
      <c r="Y41" s="91">
        <f>SUMIFS(tabela_registros[VALOR],tabela_registros[MÊS],$AE$1,tabela_registros[DIA],juntotal3059718395[[#Headers],[21]],tabela_registros[REGISTRO],DADOS!$N$4,tabela_registros[TIPO],DADOS!$P$3,tabela_registros[CATEGORIA],despesafixaconsolidadojun[[#This Row],[DESPESA FIXA]])</f>
        <v>0</v>
      </c>
      <c r="Z41" s="91">
        <f>SUMIFS(tabela_registros[VALOR],tabela_registros[MÊS],$AE$1,tabela_registros[DIA],juntotal3059718395[[#Headers],[22]],tabela_registros[REGISTRO],DADOS!$N$4,tabela_registros[TIPO],DADOS!$P$3,tabela_registros[CATEGORIA],despesafixaconsolidadojun[[#This Row],[DESPESA FIXA]])</f>
        <v>0</v>
      </c>
      <c r="AA41" s="91">
        <f>SUMIFS(tabela_registros[VALOR],tabela_registros[MÊS],$AE$1,tabela_registros[DIA],juntotal3059718395[[#Headers],[23]],tabela_registros[REGISTRO],DADOS!$N$4,tabela_registros[TIPO],DADOS!$P$3,tabela_registros[CATEGORIA],despesafixaconsolidadojun[[#This Row],[DESPESA FIXA]])</f>
        <v>0</v>
      </c>
      <c r="AB41" s="91">
        <f>SUMIFS(tabela_registros[VALOR],tabela_registros[MÊS],$AE$1,tabela_registros[DIA],juntotal3059718395[[#Headers],[24]],tabela_registros[REGISTRO],DADOS!$N$4,tabela_registros[TIPO],DADOS!$P$3,tabela_registros[CATEGORIA],despesafixaconsolidadojun[[#This Row],[DESPESA FIXA]])</f>
        <v>0</v>
      </c>
      <c r="AC41" s="91">
        <f>SUMIFS(tabela_registros[VALOR],tabela_registros[MÊS],$AE$1,tabela_registros[DIA],juntotal3059718395[[#Headers],[25]],tabela_registros[REGISTRO],DADOS!$N$4,tabela_registros[TIPO],DADOS!$P$3,tabela_registros[CATEGORIA],despesafixaconsolidadojun[[#This Row],[DESPESA FIXA]])</f>
        <v>0</v>
      </c>
      <c r="AD41" s="91">
        <f>SUMIFS(tabela_registros[VALOR],tabela_registros[MÊS],$AE$1,tabela_registros[DIA],juntotal3059718395[[#Headers],[26]],tabela_registros[REGISTRO],DADOS!$N$4,tabela_registros[TIPO],DADOS!$P$3,tabela_registros[CATEGORIA],despesafixaconsolidadojun[[#This Row],[DESPESA FIXA]])</f>
        <v>0</v>
      </c>
      <c r="AE41" s="91">
        <f>SUMIFS(tabela_registros[VALOR],tabela_registros[MÊS],$AE$1,tabela_registros[DIA],juntotal3059718395[[#Headers],[27]],tabela_registros[REGISTRO],DADOS!$N$4,tabela_registros[TIPO],DADOS!$P$3,tabela_registros[CATEGORIA],despesafixaconsolidadojun[[#This Row],[DESPESA FIXA]])</f>
        <v>0</v>
      </c>
      <c r="AF41" s="91">
        <f>SUMIFS(tabela_registros[VALOR],tabela_registros[MÊS],$AE$1,tabela_registros[DIA],juntotal3059718395[[#Headers],[28]],tabela_registros[REGISTRO],DADOS!$N$4,tabela_registros[TIPO],DADOS!$P$3,tabela_registros[CATEGORIA],despesafixaconsolidadojun[[#This Row],[DESPESA FIXA]])</f>
        <v>0</v>
      </c>
      <c r="AG41" s="91">
        <f>SUMIFS(tabela_registros[VALOR],tabela_registros[MÊS],$AE$1,tabela_registros[DIA],juntotal3059718395[[#Headers],[29]],tabela_registros[REGISTRO],DADOS!$N$4,tabela_registros[TIPO],DADOS!$P$3,tabela_registros[CATEGORIA],despesafixaconsolidadojun[[#This Row],[DESPESA FIXA]])</f>
        <v>0</v>
      </c>
      <c r="AH41" s="91">
        <f>SUMIFS(tabela_registros[VALOR],tabela_registros[MÊS],$AE$1,tabela_registros[DIA],juntotal3059718395[[#Headers],[30]],tabela_registros[REGISTRO],DADOS!$N$4,tabela_registros[TIPO],DADOS!$P$3,tabela_registros[CATEGORIA],despesafixaconsolidadojun[[#This Row],[DESPESA FIXA]])</f>
        <v>0</v>
      </c>
      <c r="AI41" s="101">
        <f>SUMIFS(tabela_registros[VALOR],tabela_registros[MÊS],$AE$1,tabela_registros[DIA],juntotal3059718395[[#Headers],[31]],tabela_registros[REGISTRO],DADOS!$N$4,tabela_registros[TIPO],DADOS!$P$3,tabela_registros[CATEGORIA],despesafixaconsolidadojun[[#This Row],[DESPESA FIXA]])</f>
        <v>0</v>
      </c>
      <c r="AJ41" s="97">
        <f>SUM(despesafixaconsolidadojun[[#This Row],[1]:[31]])</f>
        <v>0</v>
      </c>
      <c r="AK41" s="28"/>
    </row>
    <row r="42" spans="2:37" ht="18" customHeight="1" thickTop="1" thickBot="1" x14ac:dyDescent="0.3">
      <c r="B42" s="28"/>
      <c r="C42" s="27" t="str">
        <f>DADOS!$R$8</f>
        <v>🏦 EMPRÉSTIMO</v>
      </c>
      <c r="D42" s="26" t="str">
        <f>IF(despesafixaconsolidadojun[[#This Row],[TOTAL]]=0,"",IF(OR(despesafixaconsolidadojun[[#This Row],[TOTAL]]=LARGE($AJ$37:$AJ$50,1),despesafixaconsolidadojun[[#This Row],[TOTAL]]=LARGE($AJ$37:$AJ$50,2),despesafixaconsolidadojun[[#This Row],[TOTAL]]=LARGE($AJ$37:$AJ$50,3),despesafixaconsolidadojun[[#This Row],[TOTAL]]=LARGE($AJ$37:$AJ$50,4),despesafixaconsolidadojun[[#This Row],[TOTAL]]=LARGE($AJ$37:$AJ$50,5)),DADOS!$I$8,""))</f>
        <v/>
      </c>
      <c r="E42" s="96">
        <f>SUMIFS(tabela_registros[VALOR],tabela_registros[MÊS],$AE$1,tabela_registros[DIA],juntotal3059718395[[#Headers],[1]],tabela_registros[REGISTRO],DADOS!$N$4,tabela_registros[TIPO],DADOS!$P$3,tabela_registros[CATEGORIA],despesafixaconsolidadojun[[#This Row],[DESPESA FIXA]])</f>
        <v>0</v>
      </c>
      <c r="F42" s="91">
        <f>SUMIFS(tabela_registros[VALOR],tabela_registros[MÊS],$AE$1,tabela_registros[DIA],juntotal3059718395[[#Headers],[2]],tabela_registros[REGISTRO],DADOS!$N$4,tabela_registros[TIPO],DADOS!$P$3,tabela_registros[CATEGORIA],despesafixaconsolidadojun[[#This Row],[DESPESA FIXA]])</f>
        <v>0</v>
      </c>
      <c r="G42" s="91">
        <f>SUMIFS(tabela_registros[VALOR],tabela_registros[MÊS],$AE$1,tabela_registros[DIA],juntotal3059718395[[#Headers],[3]],tabela_registros[REGISTRO],DADOS!$N$4,tabela_registros[TIPO],DADOS!$P$3,tabela_registros[CATEGORIA],despesafixaconsolidadojun[[#This Row],[DESPESA FIXA]])</f>
        <v>0</v>
      </c>
      <c r="H42" s="91">
        <f>SUMIFS(tabela_registros[VALOR],tabela_registros[MÊS],$AE$1,tabela_registros[DIA],juntotal3059718395[[#Headers],[4]],tabela_registros[REGISTRO],DADOS!$N$4,tabela_registros[TIPO],DADOS!$P$3,tabela_registros[CATEGORIA],despesafixaconsolidadojun[[#This Row],[DESPESA FIXA]])</f>
        <v>0</v>
      </c>
      <c r="I42" s="91">
        <f>SUMIFS(tabela_registros[VALOR],tabela_registros[MÊS],$AE$1,tabela_registros[DIA],juntotal3059718395[[#Headers],[5]],tabela_registros[REGISTRO],DADOS!$N$4,tabela_registros[TIPO],DADOS!$P$3,tabela_registros[CATEGORIA],despesafixaconsolidadojun[[#This Row],[DESPESA FIXA]])</f>
        <v>0</v>
      </c>
      <c r="J42" s="91">
        <f>SUMIFS(tabela_registros[VALOR],tabela_registros[MÊS],$AE$1,tabela_registros[DIA],juntotal3059718395[[#Headers],[6]],tabela_registros[REGISTRO],DADOS!$N$4,tabela_registros[TIPO],DADOS!$P$3,tabela_registros[CATEGORIA],despesafixaconsolidadojun[[#This Row],[DESPESA FIXA]])</f>
        <v>0</v>
      </c>
      <c r="K42" s="91">
        <f>SUMIFS(tabela_registros[VALOR],tabela_registros[MÊS],$AE$1,tabela_registros[DIA],juntotal3059718395[[#Headers],[7]],tabela_registros[REGISTRO],DADOS!$N$4,tabela_registros[TIPO],DADOS!$P$3,tabela_registros[CATEGORIA],despesafixaconsolidadojun[[#This Row],[DESPESA FIXA]])</f>
        <v>0</v>
      </c>
      <c r="L42" s="91">
        <f>SUMIFS(tabela_registros[VALOR],tabela_registros[MÊS],$AE$1,tabela_registros[DIA],juntotal3059718395[[#Headers],[8]],tabela_registros[REGISTRO],DADOS!$N$4,tabela_registros[TIPO],DADOS!$P$3,tabela_registros[CATEGORIA],despesafixaconsolidadojun[[#This Row],[DESPESA FIXA]])</f>
        <v>0</v>
      </c>
      <c r="M42" s="91">
        <f>SUMIFS(tabela_registros[VALOR],tabela_registros[MÊS],$AE$1,tabela_registros[DIA],juntotal3059718395[[#Headers],[9]],tabela_registros[REGISTRO],DADOS!$N$4,tabela_registros[TIPO],DADOS!$P$3,tabela_registros[CATEGORIA],despesafixaconsolidadojun[[#This Row],[DESPESA FIXA]])</f>
        <v>0</v>
      </c>
      <c r="N42" s="91">
        <f>SUMIFS(tabela_registros[VALOR],tabela_registros[MÊS],$AE$1,tabela_registros[DIA],juntotal3059718395[[#Headers],[10]],tabela_registros[REGISTRO],DADOS!$N$4,tabela_registros[TIPO],DADOS!$P$3,tabela_registros[CATEGORIA],despesafixaconsolidadojun[[#This Row],[DESPESA FIXA]])</f>
        <v>0</v>
      </c>
      <c r="O42" s="91">
        <f>SUMIFS(tabela_registros[VALOR],tabela_registros[MÊS],$AE$1,tabela_registros[DIA],juntotal3059718395[[#Headers],[11]],tabela_registros[REGISTRO],DADOS!$N$4,tabela_registros[TIPO],DADOS!$P$3,tabela_registros[CATEGORIA],despesafixaconsolidadojun[[#This Row],[DESPESA FIXA]])</f>
        <v>0</v>
      </c>
      <c r="P42" s="91">
        <f>SUMIFS(tabela_registros[VALOR],tabela_registros[MÊS],$AE$1,tabela_registros[DIA],juntotal3059718395[[#Headers],[12]],tabela_registros[REGISTRO],DADOS!$N$4,tabela_registros[TIPO],DADOS!$P$3,tabela_registros[CATEGORIA],despesafixaconsolidadojun[[#This Row],[DESPESA FIXA]])</f>
        <v>0</v>
      </c>
      <c r="Q42" s="91">
        <f>SUMIFS(tabela_registros[VALOR],tabela_registros[MÊS],$AE$1,tabela_registros[DIA],juntotal3059718395[[#Headers],[13]],tabela_registros[REGISTRO],DADOS!$N$4,tabela_registros[TIPO],DADOS!$P$3,tabela_registros[CATEGORIA],despesafixaconsolidadojun[[#This Row],[DESPESA FIXA]])</f>
        <v>0</v>
      </c>
      <c r="R42" s="91">
        <f>SUMIFS(tabela_registros[VALOR],tabela_registros[MÊS],$AE$1,tabela_registros[DIA],juntotal3059718395[[#Headers],[14]],tabela_registros[REGISTRO],DADOS!$N$4,tabela_registros[TIPO],DADOS!$P$3,tabela_registros[CATEGORIA],despesafixaconsolidadojun[[#This Row],[DESPESA FIXA]])</f>
        <v>0</v>
      </c>
      <c r="S42" s="91">
        <f>SUMIFS(tabela_registros[VALOR],tabela_registros[MÊS],$AE$1,tabela_registros[DIA],juntotal3059718395[[#Headers],[15]],tabela_registros[REGISTRO],DADOS!$N$4,tabela_registros[TIPO],DADOS!$P$3,tabela_registros[CATEGORIA],despesafixaconsolidadojun[[#This Row],[DESPESA FIXA]])</f>
        <v>0</v>
      </c>
      <c r="T42" s="91">
        <f>SUMIFS(tabela_registros[VALOR],tabela_registros[MÊS],$AE$1,tabela_registros[DIA],juntotal3059718395[[#Headers],[16]],tabela_registros[REGISTRO],DADOS!$N$4,tabela_registros[TIPO],DADOS!$P$3,tabela_registros[CATEGORIA],despesafixaconsolidadojun[[#This Row],[DESPESA FIXA]])</f>
        <v>0</v>
      </c>
      <c r="U42" s="91">
        <f>SUMIFS(tabela_registros[VALOR],tabela_registros[MÊS],$AE$1,tabela_registros[DIA],juntotal3059718395[[#Headers],[17]],tabela_registros[REGISTRO],DADOS!$N$4,tabela_registros[TIPO],DADOS!$P$3,tabela_registros[CATEGORIA],despesafixaconsolidadojun[[#This Row],[DESPESA FIXA]])</f>
        <v>0</v>
      </c>
      <c r="V42" s="91">
        <f>SUMIFS(tabela_registros[VALOR],tabela_registros[MÊS],$AE$1,tabela_registros[DIA],juntotal3059718395[[#Headers],[18]],tabela_registros[REGISTRO],DADOS!$N$4,tabela_registros[TIPO],DADOS!$P$3,tabela_registros[CATEGORIA],despesafixaconsolidadojun[[#This Row],[DESPESA FIXA]])</f>
        <v>0</v>
      </c>
      <c r="W42" s="91">
        <f>SUMIFS(tabela_registros[VALOR],tabela_registros[MÊS],$AE$1,tabela_registros[DIA],juntotal3059718395[[#Headers],[19]],tabela_registros[REGISTRO],DADOS!$N$4,tabela_registros[TIPO],DADOS!$P$3,tabela_registros[CATEGORIA],despesafixaconsolidadojun[[#This Row],[DESPESA FIXA]])</f>
        <v>0</v>
      </c>
      <c r="X42" s="91">
        <f>SUMIFS(tabela_registros[VALOR],tabela_registros[MÊS],$AE$1,tabela_registros[DIA],juntotal3059718395[[#Headers],[20]],tabela_registros[REGISTRO],DADOS!$N$4,tabela_registros[TIPO],DADOS!$P$3,tabela_registros[CATEGORIA],despesafixaconsolidadojun[[#This Row],[DESPESA FIXA]])</f>
        <v>0</v>
      </c>
      <c r="Y42" s="91">
        <f>SUMIFS(tabela_registros[VALOR],tabela_registros[MÊS],$AE$1,tabela_registros[DIA],juntotal3059718395[[#Headers],[21]],tabela_registros[REGISTRO],DADOS!$N$4,tabela_registros[TIPO],DADOS!$P$3,tabela_registros[CATEGORIA],despesafixaconsolidadojun[[#This Row],[DESPESA FIXA]])</f>
        <v>0</v>
      </c>
      <c r="Z42" s="91">
        <f>SUMIFS(tabela_registros[VALOR],tabela_registros[MÊS],$AE$1,tabela_registros[DIA],juntotal3059718395[[#Headers],[22]],tabela_registros[REGISTRO],DADOS!$N$4,tabela_registros[TIPO],DADOS!$P$3,tabela_registros[CATEGORIA],despesafixaconsolidadojun[[#This Row],[DESPESA FIXA]])</f>
        <v>0</v>
      </c>
      <c r="AA42" s="91">
        <f>SUMIFS(tabela_registros[VALOR],tabela_registros[MÊS],$AE$1,tabela_registros[DIA],juntotal3059718395[[#Headers],[23]],tabela_registros[REGISTRO],DADOS!$N$4,tabela_registros[TIPO],DADOS!$P$3,tabela_registros[CATEGORIA],despesafixaconsolidadojun[[#This Row],[DESPESA FIXA]])</f>
        <v>0</v>
      </c>
      <c r="AB42" s="91">
        <f>SUMIFS(tabela_registros[VALOR],tabela_registros[MÊS],$AE$1,tabela_registros[DIA],juntotal3059718395[[#Headers],[24]],tabela_registros[REGISTRO],DADOS!$N$4,tabela_registros[TIPO],DADOS!$P$3,tabela_registros[CATEGORIA],despesafixaconsolidadojun[[#This Row],[DESPESA FIXA]])</f>
        <v>0</v>
      </c>
      <c r="AC42" s="91">
        <f>SUMIFS(tabela_registros[VALOR],tabela_registros[MÊS],$AE$1,tabela_registros[DIA],juntotal3059718395[[#Headers],[25]],tabela_registros[REGISTRO],DADOS!$N$4,tabela_registros[TIPO],DADOS!$P$3,tabela_registros[CATEGORIA],despesafixaconsolidadojun[[#This Row],[DESPESA FIXA]])</f>
        <v>0</v>
      </c>
      <c r="AD42" s="91">
        <f>SUMIFS(tabela_registros[VALOR],tabela_registros[MÊS],$AE$1,tabela_registros[DIA],juntotal3059718395[[#Headers],[26]],tabela_registros[REGISTRO],DADOS!$N$4,tabela_registros[TIPO],DADOS!$P$3,tabela_registros[CATEGORIA],despesafixaconsolidadojun[[#This Row],[DESPESA FIXA]])</f>
        <v>0</v>
      </c>
      <c r="AE42" s="91">
        <f>SUMIFS(tabela_registros[VALOR],tabela_registros[MÊS],$AE$1,tabela_registros[DIA],juntotal3059718395[[#Headers],[27]],tabela_registros[REGISTRO],DADOS!$N$4,tabela_registros[TIPO],DADOS!$P$3,tabela_registros[CATEGORIA],despesafixaconsolidadojun[[#This Row],[DESPESA FIXA]])</f>
        <v>0</v>
      </c>
      <c r="AF42" s="91">
        <f>SUMIFS(tabela_registros[VALOR],tabela_registros[MÊS],$AE$1,tabela_registros[DIA],juntotal3059718395[[#Headers],[28]],tabela_registros[REGISTRO],DADOS!$N$4,tabela_registros[TIPO],DADOS!$P$3,tabela_registros[CATEGORIA],despesafixaconsolidadojun[[#This Row],[DESPESA FIXA]])</f>
        <v>0</v>
      </c>
      <c r="AG42" s="91">
        <f>SUMIFS(tabela_registros[VALOR],tabela_registros[MÊS],$AE$1,tabela_registros[DIA],juntotal3059718395[[#Headers],[29]],tabela_registros[REGISTRO],DADOS!$N$4,tabela_registros[TIPO],DADOS!$P$3,tabela_registros[CATEGORIA],despesafixaconsolidadojun[[#This Row],[DESPESA FIXA]])</f>
        <v>0</v>
      </c>
      <c r="AH42" s="91">
        <f>SUMIFS(tabela_registros[VALOR],tabela_registros[MÊS],$AE$1,tabela_registros[DIA],juntotal3059718395[[#Headers],[30]],tabela_registros[REGISTRO],DADOS!$N$4,tabela_registros[TIPO],DADOS!$P$3,tabela_registros[CATEGORIA],despesafixaconsolidadojun[[#This Row],[DESPESA FIXA]])</f>
        <v>0</v>
      </c>
      <c r="AI42" s="101">
        <f>SUMIFS(tabela_registros[VALOR],tabela_registros[MÊS],$AE$1,tabela_registros[DIA],juntotal3059718395[[#Headers],[31]],tabela_registros[REGISTRO],DADOS!$N$4,tabela_registros[TIPO],DADOS!$P$3,tabela_registros[CATEGORIA],despesafixaconsolidadojun[[#This Row],[DESPESA FIXA]])</f>
        <v>0</v>
      </c>
      <c r="AJ42" s="97">
        <f>SUM(despesafixaconsolidadojun[[#This Row],[1]:[31]])</f>
        <v>0</v>
      </c>
      <c r="AK42" s="28"/>
    </row>
    <row r="43" spans="2:37" ht="18" customHeight="1" thickTop="1" thickBot="1" x14ac:dyDescent="0.3">
      <c r="B43" s="28"/>
      <c r="C43" s="27" t="str">
        <f>DADOS!$R$9</f>
        <v>💡 ENERGIA</v>
      </c>
      <c r="D43" s="26" t="str">
        <f>IF(despesafixaconsolidadojun[[#This Row],[TOTAL]]=0,"",IF(OR(despesafixaconsolidadojun[[#This Row],[TOTAL]]=LARGE($AJ$37:$AJ$50,1),despesafixaconsolidadojun[[#This Row],[TOTAL]]=LARGE($AJ$37:$AJ$50,2),despesafixaconsolidadojun[[#This Row],[TOTAL]]=LARGE($AJ$37:$AJ$50,3),despesafixaconsolidadojun[[#This Row],[TOTAL]]=LARGE($AJ$37:$AJ$50,4),despesafixaconsolidadojun[[#This Row],[TOTAL]]=LARGE($AJ$37:$AJ$50,5)),DADOS!$I$8,""))</f>
        <v/>
      </c>
      <c r="E43" s="96">
        <f>SUMIFS(tabela_registros[VALOR],tabela_registros[MÊS],$AE$1,tabela_registros[DIA],juntotal3059718395[[#Headers],[1]],tabela_registros[REGISTRO],DADOS!$N$4,tabela_registros[TIPO],DADOS!$P$3,tabela_registros[CATEGORIA],despesafixaconsolidadojun[[#This Row],[DESPESA FIXA]])</f>
        <v>0</v>
      </c>
      <c r="F43" s="91">
        <f>SUMIFS(tabela_registros[VALOR],tabela_registros[MÊS],$AE$1,tabela_registros[DIA],juntotal3059718395[[#Headers],[2]],tabela_registros[REGISTRO],DADOS!$N$4,tabela_registros[TIPO],DADOS!$P$3,tabela_registros[CATEGORIA],despesafixaconsolidadojun[[#This Row],[DESPESA FIXA]])</f>
        <v>0</v>
      </c>
      <c r="G43" s="91">
        <f>SUMIFS(tabela_registros[VALOR],tabela_registros[MÊS],$AE$1,tabela_registros[DIA],juntotal3059718395[[#Headers],[3]],tabela_registros[REGISTRO],DADOS!$N$4,tabela_registros[TIPO],DADOS!$P$3,tabela_registros[CATEGORIA],despesafixaconsolidadojun[[#This Row],[DESPESA FIXA]])</f>
        <v>0</v>
      </c>
      <c r="H43" s="91">
        <f>SUMIFS(tabela_registros[VALOR],tabela_registros[MÊS],$AE$1,tabela_registros[DIA],juntotal3059718395[[#Headers],[4]],tabela_registros[REGISTRO],DADOS!$N$4,tabela_registros[TIPO],DADOS!$P$3,tabela_registros[CATEGORIA],despesafixaconsolidadojun[[#This Row],[DESPESA FIXA]])</f>
        <v>0</v>
      </c>
      <c r="I43" s="91">
        <f>SUMIFS(tabela_registros[VALOR],tabela_registros[MÊS],$AE$1,tabela_registros[DIA],juntotal3059718395[[#Headers],[5]],tabela_registros[REGISTRO],DADOS!$N$4,tabela_registros[TIPO],DADOS!$P$3,tabela_registros[CATEGORIA],despesafixaconsolidadojun[[#This Row],[DESPESA FIXA]])</f>
        <v>0</v>
      </c>
      <c r="J43" s="91">
        <f>SUMIFS(tabela_registros[VALOR],tabela_registros[MÊS],$AE$1,tabela_registros[DIA],juntotal3059718395[[#Headers],[6]],tabela_registros[REGISTRO],DADOS!$N$4,tabela_registros[TIPO],DADOS!$P$3,tabela_registros[CATEGORIA],despesafixaconsolidadojun[[#This Row],[DESPESA FIXA]])</f>
        <v>0</v>
      </c>
      <c r="K43" s="91">
        <f>SUMIFS(tabela_registros[VALOR],tabela_registros[MÊS],$AE$1,tabela_registros[DIA],juntotal3059718395[[#Headers],[7]],tabela_registros[REGISTRO],DADOS!$N$4,tabela_registros[TIPO],DADOS!$P$3,tabela_registros[CATEGORIA],despesafixaconsolidadojun[[#This Row],[DESPESA FIXA]])</f>
        <v>0</v>
      </c>
      <c r="L43" s="91">
        <f>SUMIFS(tabela_registros[VALOR],tabela_registros[MÊS],$AE$1,tabela_registros[DIA],juntotal3059718395[[#Headers],[8]],tabela_registros[REGISTRO],DADOS!$N$4,tabela_registros[TIPO],DADOS!$P$3,tabela_registros[CATEGORIA],despesafixaconsolidadojun[[#This Row],[DESPESA FIXA]])</f>
        <v>0</v>
      </c>
      <c r="M43" s="91">
        <f>SUMIFS(tabela_registros[VALOR],tabela_registros[MÊS],$AE$1,tabela_registros[DIA],juntotal3059718395[[#Headers],[9]],tabela_registros[REGISTRO],DADOS!$N$4,tabela_registros[TIPO],DADOS!$P$3,tabela_registros[CATEGORIA],despesafixaconsolidadojun[[#This Row],[DESPESA FIXA]])</f>
        <v>0</v>
      </c>
      <c r="N43" s="91">
        <f>SUMIFS(tabela_registros[VALOR],tabela_registros[MÊS],$AE$1,tabela_registros[DIA],juntotal3059718395[[#Headers],[10]],tabela_registros[REGISTRO],DADOS!$N$4,tabela_registros[TIPO],DADOS!$P$3,tabela_registros[CATEGORIA],despesafixaconsolidadojun[[#This Row],[DESPESA FIXA]])</f>
        <v>0</v>
      </c>
      <c r="O43" s="91">
        <f>SUMIFS(tabela_registros[VALOR],tabela_registros[MÊS],$AE$1,tabela_registros[DIA],juntotal3059718395[[#Headers],[11]],tabela_registros[REGISTRO],DADOS!$N$4,tabela_registros[TIPO],DADOS!$P$3,tabela_registros[CATEGORIA],despesafixaconsolidadojun[[#This Row],[DESPESA FIXA]])</f>
        <v>0</v>
      </c>
      <c r="P43" s="91">
        <f>SUMIFS(tabela_registros[VALOR],tabela_registros[MÊS],$AE$1,tabela_registros[DIA],juntotal3059718395[[#Headers],[12]],tabela_registros[REGISTRO],DADOS!$N$4,tabela_registros[TIPO],DADOS!$P$3,tabela_registros[CATEGORIA],despesafixaconsolidadojun[[#This Row],[DESPESA FIXA]])</f>
        <v>0</v>
      </c>
      <c r="Q43" s="91">
        <f>SUMIFS(tabela_registros[VALOR],tabela_registros[MÊS],$AE$1,tabela_registros[DIA],juntotal3059718395[[#Headers],[13]],tabela_registros[REGISTRO],DADOS!$N$4,tabela_registros[TIPO],DADOS!$P$3,tabela_registros[CATEGORIA],despesafixaconsolidadojun[[#This Row],[DESPESA FIXA]])</f>
        <v>0</v>
      </c>
      <c r="R43" s="91">
        <f>SUMIFS(tabela_registros[VALOR],tabela_registros[MÊS],$AE$1,tabela_registros[DIA],juntotal3059718395[[#Headers],[14]],tabela_registros[REGISTRO],DADOS!$N$4,tabela_registros[TIPO],DADOS!$P$3,tabela_registros[CATEGORIA],despesafixaconsolidadojun[[#This Row],[DESPESA FIXA]])</f>
        <v>0</v>
      </c>
      <c r="S43" s="91">
        <f>SUMIFS(tabela_registros[VALOR],tabela_registros[MÊS],$AE$1,tabela_registros[DIA],juntotal3059718395[[#Headers],[15]],tabela_registros[REGISTRO],DADOS!$N$4,tabela_registros[TIPO],DADOS!$P$3,tabela_registros[CATEGORIA],despesafixaconsolidadojun[[#This Row],[DESPESA FIXA]])</f>
        <v>0</v>
      </c>
      <c r="T43" s="91">
        <f>SUMIFS(tabela_registros[VALOR],tabela_registros[MÊS],$AE$1,tabela_registros[DIA],juntotal3059718395[[#Headers],[16]],tabela_registros[REGISTRO],DADOS!$N$4,tabela_registros[TIPO],DADOS!$P$3,tabela_registros[CATEGORIA],despesafixaconsolidadojun[[#This Row],[DESPESA FIXA]])</f>
        <v>0</v>
      </c>
      <c r="U43" s="91">
        <f>SUMIFS(tabela_registros[VALOR],tabela_registros[MÊS],$AE$1,tabela_registros[DIA],juntotal3059718395[[#Headers],[17]],tabela_registros[REGISTRO],DADOS!$N$4,tabela_registros[TIPO],DADOS!$P$3,tabela_registros[CATEGORIA],despesafixaconsolidadojun[[#This Row],[DESPESA FIXA]])</f>
        <v>0</v>
      </c>
      <c r="V43" s="91">
        <f>SUMIFS(tabela_registros[VALOR],tabela_registros[MÊS],$AE$1,tabela_registros[DIA],juntotal3059718395[[#Headers],[18]],tabela_registros[REGISTRO],DADOS!$N$4,tabela_registros[TIPO],DADOS!$P$3,tabela_registros[CATEGORIA],despesafixaconsolidadojun[[#This Row],[DESPESA FIXA]])</f>
        <v>0</v>
      </c>
      <c r="W43" s="91">
        <f>SUMIFS(tabela_registros[VALOR],tabela_registros[MÊS],$AE$1,tabela_registros[DIA],juntotal3059718395[[#Headers],[19]],tabela_registros[REGISTRO],DADOS!$N$4,tabela_registros[TIPO],DADOS!$P$3,tabela_registros[CATEGORIA],despesafixaconsolidadojun[[#This Row],[DESPESA FIXA]])</f>
        <v>0</v>
      </c>
      <c r="X43" s="91">
        <f>SUMIFS(tabela_registros[VALOR],tabela_registros[MÊS],$AE$1,tabela_registros[DIA],juntotal3059718395[[#Headers],[20]],tabela_registros[REGISTRO],DADOS!$N$4,tabela_registros[TIPO],DADOS!$P$3,tabela_registros[CATEGORIA],despesafixaconsolidadojun[[#This Row],[DESPESA FIXA]])</f>
        <v>0</v>
      </c>
      <c r="Y43" s="91">
        <f>SUMIFS(tabela_registros[VALOR],tabela_registros[MÊS],$AE$1,tabela_registros[DIA],juntotal3059718395[[#Headers],[21]],tabela_registros[REGISTRO],DADOS!$N$4,tabela_registros[TIPO],DADOS!$P$3,tabela_registros[CATEGORIA],despesafixaconsolidadojun[[#This Row],[DESPESA FIXA]])</f>
        <v>0</v>
      </c>
      <c r="Z43" s="91">
        <f>SUMIFS(tabela_registros[VALOR],tabela_registros[MÊS],$AE$1,tabela_registros[DIA],juntotal3059718395[[#Headers],[22]],tabela_registros[REGISTRO],DADOS!$N$4,tabela_registros[TIPO],DADOS!$P$3,tabela_registros[CATEGORIA],despesafixaconsolidadojun[[#This Row],[DESPESA FIXA]])</f>
        <v>0</v>
      </c>
      <c r="AA43" s="91">
        <f>SUMIFS(tabela_registros[VALOR],tabela_registros[MÊS],$AE$1,tabela_registros[DIA],juntotal3059718395[[#Headers],[23]],tabela_registros[REGISTRO],DADOS!$N$4,tabela_registros[TIPO],DADOS!$P$3,tabela_registros[CATEGORIA],despesafixaconsolidadojun[[#This Row],[DESPESA FIXA]])</f>
        <v>0</v>
      </c>
      <c r="AB43" s="91">
        <f>SUMIFS(tabela_registros[VALOR],tabela_registros[MÊS],$AE$1,tabela_registros[DIA],juntotal3059718395[[#Headers],[24]],tabela_registros[REGISTRO],DADOS!$N$4,tabela_registros[TIPO],DADOS!$P$3,tabela_registros[CATEGORIA],despesafixaconsolidadojun[[#This Row],[DESPESA FIXA]])</f>
        <v>0</v>
      </c>
      <c r="AC43" s="91">
        <f>SUMIFS(tabela_registros[VALOR],tabela_registros[MÊS],$AE$1,tabela_registros[DIA],juntotal3059718395[[#Headers],[25]],tabela_registros[REGISTRO],DADOS!$N$4,tabela_registros[TIPO],DADOS!$P$3,tabela_registros[CATEGORIA],despesafixaconsolidadojun[[#This Row],[DESPESA FIXA]])</f>
        <v>0</v>
      </c>
      <c r="AD43" s="91">
        <f>SUMIFS(tabela_registros[VALOR],tabela_registros[MÊS],$AE$1,tabela_registros[DIA],juntotal3059718395[[#Headers],[26]],tabela_registros[REGISTRO],DADOS!$N$4,tabela_registros[TIPO],DADOS!$P$3,tabela_registros[CATEGORIA],despesafixaconsolidadojun[[#This Row],[DESPESA FIXA]])</f>
        <v>0</v>
      </c>
      <c r="AE43" s="91">
        <f>SUMIFS(tabela_registros[VALOR],tabela_registros[MÊS],$AE$1,tabela_registros[DIA],juntotal3059718395[[#Headers],[27]],tabela_registros[REGISTRO],DADOS!$N$4,tabela_registros[TIPO],DADOS!$P$3,tabela_registros[CATEGORIA],despesafixaconsolidadojun[[#This Row],[DESPESA FIXA]])</f>
        <v>0</v>
      </c>
      <c r="AF43" s="91">
        <f>SUMIFS(tabela_registros[VALOR],tabela_registros[MÊS],$AE$1,tabela_registros[DIA],juntotal3059718395[[#Headers],[28]],tabela_registros[REGISTRO],DADOS!$N$4,tabela_registros[TIPO],DADOS!$P$3,tabela_registros[CATEGORIA],despesafixaconsolidadojun[[#This Row],[DESPESA FIXA]])</f>
        <v>0</v>
      </c>
      <c r="AG43" s="91">
        <f>SUMIFS(tabela_registros[VALOR],tabela_registros[MÊS],$AE$1,tabela_registros[DIA],juntotal3059718395[[#Headers],[29]],tabela_registros[REGISTRO],DADOS!$N$4,tabela_registros[TIPO],DADOS!$P$3,tabela_registros[CATEGORIA],despesafixaconsolidadojun[[#This Row],[DESPESA FIXA]])</f>
        <v>0</v>
      </c>
      <c r="AH43" s="91">
        <f>SUMIFS(tabela_registros[VALOR],tabela_registros[MÊS],$AE$1,tabela_registros[DIA],juntotal3059718395[[#Headers],[30]],tabela_registros[REGISTRO],DADOS!$N$4,tabela_registros[TIPO],DADOS!$P$3,tabela_registros[CATEGORIA],despesafixaconsolidadojun[[#This Row],[DESPESA FIXA]])</f>
        <v>0</v>
      </c>
      <c r="AI43" s="101">
        <f>SUMIFS(tabela_registros[VALOR],tabela_registros[MÊS],$AE$1,tabela_registros[DIA],juntotal3059718395[[#Headers],[31]],tabela_registros[REGISTRO],DADOS!$N$4,tabela_registros[TIPO],DADOS!$P$3,tabela_registros[CATEGORIA],despesafixaconsolidadojun[[#This Row],[DESPESA FIXA]])</f>
        <v>0</v>
      </c>
      <c r="AJ43" s="97">
        <f>SUM(despesafixaconsolidadojun[[#This Row],[1]:[31]])</f>
        <v>0</v>
      </c>
      <c r="AK43" s="28"/>
    </row>
    <row r="44" spans="2:37" ht="18" customHeight="1" thickTop="1" thickBot="1" x14ac:dyDescent="0.3">
      <c r="B44" s="28"/>
      <c r="C44" s="27" t="str">
        <f>DADOS!$R$10</f>
        <v>👨‍👩‍👧 FAMÍLIA</v>
      </c>
      <c r="D44" s="26" t="str">
        <f>IF(despesafixaconsolidadojun[[#This Row],[TOTAL]]=0,"",IF(OR(despesafixaconsolidadojun[[#This Row],[TOTAL]]=LARGE($AJ$37:$AJ$50,1),despesafixaconsolidadojun[[#This Row],[TOTAL]]=LARGE($AJ$37:$AJ$50,2),despesafixaconsolidadojun[[#This Row],[TOTAL]]=LARGE($AJ$37:$AJ$50,3),despesafixaconsolidadojun[[#This Row],[TOTAL]]=LARGE($AJ$37:$AJ$50,4),despesafixaconsolidadojun[[#This Row],[TOTAL]]=LARGE($AJ$37:$AJ$50,5)),DADOS!$I$8,""))</f>
        <v/>
      </c>
      <c r="E44" s="96">
        <f>SUMIFS(tabela_registros[VALOR],tabela_registros[MÊS],$AE$1,tabela_registros[DIA],juntotal3059718395[[#Headers],[1]],tabela_registros[REGISTRO],DADOS!$N$4,tabela_registros[TIPO],DADOS!$P$3,tabela_registros[CATEGORIA],despesafixaconsolidadojun[[#This Row],[DESPESA FIXA]])</f>
        <v>0</v>
      </c>
      <c r="F44" s="91">
        <f>SUMIFS(tabela_registros[VALOR],tabela_registros[MÊS],$AE$1,tabela_registros[DIA],juntotal3059718395[[#Headers],[2]],tabela_registros[REGISTRO],DADOS!$N$4,tabela_registros[TIPO],DADOS!$P$3,tabela_registros[CATEGORIA],despesafixaconsolidadojun[[#This Row],[DESPESA FIXA]])</f>
        <v>0</v>
      </c>
      <c r="G44" s="91">
        <f>SUMIFS(tabela_registros[VALOR],tabela_registros[MÊS],$AE$1,tabela_registros[DIA],juntotal3059718395[[#Headers],[3]],tabela_registros[REGISTRO],DADOS!$N$4,tabela_registros[TIPO],DADOS!$P$3,tabela_registros[CATEGORIA],despesafixaconsolidadojun[[#This Row],[DESPESA FIXA]])</f>
        <v>0</v>
      </c>
      <c r="H44" s="91">
        <f>SUMIFS(tabela_registros[VALOR],tabela_registros[MÊS],$AE$1,tabela_registros[DIA],juntotal3059718395[[#Headers],[4]],tabela_registros[REGISTRO],DADOS!$N$4,tabela_registros[TIPO],DADOS!$P$3,tabela_registros[CATEGORIA],despesafixaconsolidadojun[[#This Row],[DESPESA FIXA]])</f>
        <v>0</v>
      </c>
      <c r="I44" s="91">
        <f>SUMIFS(tabela_registros[VALOR],tabela_registros[MÊS],$AE$1,tabela_registros[DIA],juntotal3059718395[[#Headers],[5]],tabela_registros[REGISTRO],DADOS!$N$4,tabela_registros[TIPO],DADOS!$P$3,tabela_registros[CATEGORIA],despesafixaconsolidadojun[[#This Row],[DESPESA FIXA]])</f>
        <v>0</v>
      </c>
      <c r="J44" s="91">
        <f>SUMIFS(tabela_registros[VALOR],tabela_registros[MÊS],$AE$1,tabela_registros[DIA],juntotal3059718395[[#Headers],[6]],tabela_registros[REGISTRO],DADOS!$N$4,tabela_registros[TIPO],DADOS!$P$3,tabela_registros[CATEGORIA],despesafixaconsolidadojun[[#This Row],[DESPESA FIXA]])</f>
        <v>0</v>
      </c>
      <c r="K44" s="91">
        <f>SUMIFS(tabela_registros[VALOR],tabela_registros[MÊS],$AE$1,tabela_registros[DIA],juntotal3059718395[[#Headers],[7]],tabela_registros[REGISTRO],DADOS!$N$4,tabela_registros[TIPO],DADOS!$P$3,tabela_registros[CATEGORIA],despesafixaconsolidadojun[[#This Row],[DESPESA FIXA]])</f>
        <v>0</v>
      </c>
      <c r="L44" s="91">
        <f>SUMIFS(tabela_registros[VALOR],tabela_registros[MÊS],$AE$1,tabela_registros[DIA],juntotal3059718395[[#Headers],[8]],tabela_registros[REGISTRO],DADOS!$N$4,tabela_registros[TIPO],DADOS!$P$3,tabela_registros[CATEGORIA],despesafixaconsolidadojun[[#This Row],[DESPESA FIXA]])</f>
        <v>0</v>
      </c>
      <c r="M44" s="91">
        <f>SUMIFS(tabela_registros[VALOR],tabela_registros[MÊS],$AE$1,tabela_registros[DIA],juntotal3059718395[[#Headers],[9]],tabela_registros[REGISTRO],DADOS!$N$4,tabela_registros[TIPO],DADOS!$P$3,tabela_registros[CATEGORIA],despesafixaconsolidadojun[[#This Row],[DESPESA FIXA]])</f>
        <v>0</v>
      </c>
      <c r="N44" s="91">
        <f>SUMIFS(tabela_registros[VALOR],tabela_registros[MÊS],$AE$1,tabela_registros[DIA],juntotal3059718395[[#Headers],[10]],tabela_registros[REGISTRO],DADOS!$N$4,tabela_registros[TIPO],DADOS!$P$3,tabela_registros[CATEGORIA],despesafixaconsolidadojun[[#This Row],[DESPESA FIXA]])</f>
        <v>0</v>
      </c>
      <c r="O44" s="91">
        <f>SUMIFS(tabela_registros[VALOR],tabela_registros[MÊS],$AE$1,tabela_registros[DIA],juntotal3059718395[[#Headers],[11]],tabela_registros[REGISTRO],DADOS!$N$4,tabela_registros[TIPO],DADOS!$P$3,tabela_registros[CATEGORIA],despesafixaconsolidadojun[[#This Row],[DESPESA FIXA]])</f>
        <v>0</v>
      </c>
      <c r="P44" s="91">
        <f>SUMIFS(tabela_registros[VALOR],tabela_registros[MÊS],$AE$1,tabela_registros[DIA],juntotal3059718395[[#Headers],[12]],tabela_registros[REGISTRO],DADOS!$N$4,tabela_registros[TIPO],DADOS!$P$3,tabela_registros[CATEGORIA],despesafixaconsolidadojun[[#This Row],[DESPESA FIXA]])</f>
        <v>0</v>
      </c>
      <c r="Q44" s="91">
        <f>SUMIFS(tabela_registros[VALOR],tabela_registros[MÊS],$AE$1,tabela_registros[DIA],juntotal3059718395[[#Headers],[13]],tabela_registros[REGISTRO],DADOS!$N$4,tabela_registros[TIPO],DADOS!$P$3,tabela_registros[CATEGORIA],despesafixaconsolidadojun[[#This Row],[DESPESA FIXA]])</f>
        <v>0</v>
      </c>
      <c r="R44" s="91">
        <f>SUMIFS(tabela_registros[VALOR],tabela_registros[MÊS],$AE$1,tabela_registros[DIA],juntotal3059718395[[#Headers],[14]],tabela_registros[REGISTRO],DADOS!$N$4,tabela_registros[TIPO],DADOS!$P$3,tabela_registros[CATEGORIA],despesafixaconsolidadojun[[#This Row],[DESPESA FIXA]])</f>
        <v>0</v>
      </c>
      <c r="S44" s="91">
        <f>SUMIFS(tabela_registros[VALOR],tabela_registros[MÊS],$AE$1,tabela_registros[DIA],juntotal3059718395[[#Headers],[15]],tabela_registros[REGISTRO],DADOS!$N$4,tabela_registros[TIPO],DADOS!$P$3,tabela_registros[CATEGORIA],despesafixaconsolidadojun[[#This Row],[DESPESA FIXA]])</f>
        <v>0</v>
      </c>
      <c r="T44" s="91">
        <f>SUMIFS(tabela_registros[VALOR],tabela_registros[MÊS],$AE$1,tabela_registros[DIA],juntotal3059718395[[#Headers],[16]],tabela_registros[REGISTRO],DADOS!$N$4,tabela_registros[TIPO],DADOS!$P$3,tabela_registros[CATEGORIA],despesafixaconsolidadojun[[#This Row],[DESPESA FIXA]])</f>
        <v>0</v>
      </c>
      <c r="U44" s="91">
        <f>SUMIFS(tabela_registros[VALOR],tabela_registros[MÊS],$AE$1,tabela_registros[DIA],juntotal3059718395[[#Headers],[17]],tabela_registros[REGISTRO],DADOS!$N$4,tabela_registros[TIPO],DADOS!$P$3,tabela_registros[CATEGORIA],despesafixaconsolidadojun[[#This Row],[DESPESA FIXA]])</f>
        <v>0</v>
      </c>
      <c r="V44" s="91">
        <f>SUMIFS(tabela_registros[VALOR],tabela_registros[MÊS],$AE$1,tabela_registros[DIA],juntotal3059718395[[#Headers],[18]],tabela_registros[REGISTRO],DADOS!$N$4,tabela_registros[TIPO],DADOS!$P$3,tabela_registros[CATEGORIA],despesafixaconsolidadojun[[#This Row],[DESPESA FIXA]])</f>
        <v>0</v>
      </c>
      <c r="W44" s="91">
        <f>SUMIFS(tabela_registros[VALOR],tabela_registros[MÊS],$AE$1,tabela_registros[DIA],juntotal3059718395[[#Headers],[19]],tabela_registros[REGISTRO],DADOS!$N$4,tabela_registros[TIPO],DADOS!$P$3,tabela_registros[CATEGORIA],despesafixaconsolidadojun[[#This Row],[DESPESA FIXA]])</f>
        <v>0</v>
      </c>
      <c r="X44" s="91">
        <f>SUMIFS(tabela_registros[VALOR],tabela_registros[MÊS],$AE$1,tabela_registros[DIA],juntotal3059718395[[#Headers],[20]],tabela_registros[REGISTRO],DADOS!$N$4,tabela_registros[TIPO],DADOS!$P$3,tabela_registros[CATEGORIA],despesafixaconsolidadojun[[#This Row],[DESPESA FIXA]])</f>
        <v>0</v>
      </c>
      <c r="Y44" s="91">
        <f>SUMIFS(tabela_registros[VALOR],tabela_registros[MÊS],$AE$1,tabela_registros[DIA],juntotal3059718395[[#Headers],[21]],tabela_registros[REGISTRO],DADOS!$N$4,tabela_registros[TIPO],DADOS!$P$3,tabela_registros[CATEGORIA],despesafixaconsolidadojun[[#This Row],[DESPESA FIXA]])</f>
        <v>0</v>
      </c>
      <c r="Z44" s="91">
        <f>SUMIFS(tabela_registros[VALOR],tabela_registros[MÊS],$AE$1,tabela_registros[DIA],juntotal3059718395[[#Headers],[22]],tabela_registros[REGISTRO],DADOS!$N$4,tabela_registros[TIPO],DADOS!$P$3,tabela_registros[CATEGORIA],despesafixaconsolidadojun[[#This Row],[DESPESA FIXA]])</f>
        <v>0</v>
      </c>
      <c r="AA44" s="91">
        <f>SUMIFS(tabela_registros[VALOR],tabela_registros[MÊS],$AE$1,tabela_registros[DIA],juntotal3059718395[[#Headers],[23]],tabela_registros[REGISTRO],DADOS!$N$4,tabela_registros[TIPO],DADOS!$P$3,tabela_registros[CATEGORIA],despesafixaconsolidadojun[[#This Row],[DESPESA FIXA]])</f>
        <v>0</v>
      </c>
      <c r="AB44" s="91">
        <f>SUMIFS(tabela_registros[VALOR],tabela_registros[MÊS],$AE$1,tabela_registros[DIA],juntotal3059718395[[#Headers],[24]],tabela_registros[REGISTRO],DADOS!$N$4,tabela_registros[TIPO],DADOS!$P$3,tabela_registros[CATEGORIA],despesafixaconsolidadojun[[#This Row],[DESPESA FIXA]])</f>
        <v>0</v>
      </c>
      <c r="AC44" s="91">
        <f>SUMIFS(tabela_registros[VALOR],tabela_registros[MÊS],$AE$1,tabela_registros[DIA],juntotal3059718395[[#Headers],[25]],tabela_registros[REGISTRO],DADOS!$N$4,tabela_registros[TIPO],DADOS!$P$3,tabela_registros[CATEGORIA],despesafixaconsolidadojun[[#This Row],[DESPESA FIXA]])</f>
        <v>0</v>
      </c>
      <c r="AD44" s="91">
        <f>SUMIFS(tabela_registros[VALOR],tabela_registros[MÊS],$AE$1,tabela_registros[DIA],juntotal3059718395[[#Headers],[26]],tabela_registros[REGISTRO],DADOS!$N$4,tabela_registros[TIPO],DADOS!$P$3,tabela_registros[CATEGORIA],despesafixaconsolidadojun[[#This Row],[DESPESA FIXA]])</f>
        <v>0</v>
      </c>
      <c r="AE44" s="91">
        <f>SUMIFS(tabela_registros[VALOR],tabela_registros[MÊS],$AE$1,tabela_registros[DIA],juntotal3059718395[[#Headers],[27]],tabela_registros[REGISTRO],DADOS!$N$4,tabela_registros[TIPO],DADOS!$P$3,tabela_registros[CATEGORIA],despesafixaconsolidadojun[[#This Row],[DESPESA FIXA]])</f>
        <v>0</v>
      </c>
      <c r="AF44" s="91">
        <f>SUMIFS(tabela_registros[VALOR],tabela_registros[MÊS],$AE$1,tabela_registros[DIA],juntotal3059718395[[#Headers],[28]],tabela_registros[REGISTRO],DADOS!$N$4,tabela_registros[TIPO],DADOS!$P$3,tabela_registros[CATEGORIA],despesafixaconsolidadojun[[#This Row],[DESPESA FIXA]])</f>
        <v>0</v>
      </c>
      <c r="AG44" s="91">
        <f>SUMIFS(tabela_registros[VALOR],tabela_registros[MÊS],$AE$1,tabela_registros[DIA],juntotal3059718395[[#Headers],[29]],tabela_registros[REGISTRO],DADOS!$N$4,tabela_registros[TIPO],DADOS!$P$3,tabela_registros[CATEGORIA],despesafixaconsolidadojun[[#This Row],[DESPESA FIXA]])</f>
        <v>0</v>
      </c>
      <c r="AH44" s="91">
        <f>SUMIFS(tabela_registros[VALOR],tabela_registros[MÊS],$AE$1,tabela_registros[DIA],juntotal3059718395[[#Headers],[30]],tabela_registros[REGISTRO],DADOS!$N$4,tabela_registros[TIPO],DADOS!$P$3,tabela_registros[CATEGORIA],despesafixaconsolidadojun[[#This Row],[DESPESA FIXA]])</f>
        <v>0</v>
      </c>
      <c r="AI44" s="101">
        <f>SUMIFS(tabela_registros[VALOR],tabela_registros[MÊS],$AE$1,tabela_registros[DIA],juntotal3059718395[[#Headers],[31]],tabela_registros[REGISTRO],DADOS!$N$4,tabela_registros[TIPO],DADOS!$P$3,tabela_registros[CATEGORIA],despesafixaconsolidadojun[[#This Row],[DESPESA FIXA]])</f>
        <v>0</v>
      </c>
      <c r="AJ44" s="97">
        <f>SUM(despesafixaconsolidadojun[[#This Row],[1]:[31]])</f>
        <v>0</v>
      </c>
      <c r="AK44" s="28"/>
    </row>
    <row r="45" spans="2:37" ht="18" customHeight="1" thickTop="1" thickBot="1" x14ac:dyDescent="0.3">
      <c r="B45" s="28"/>
      <c r="C45" s="27" t="str">
        <f>DADOS!$R$11</f>
        <v>🔢 IMPOSTOS</v>
      </c>
      <c r="D45" s="26" t="str">
        <f>IF(despesafixaconsolidadojun[[#This Row],[TOTAL]]=0,"",IF(OR(despesafixaconsolidadojun[[#This Row],[TOTAL]]=LARGE($AJ$37:$AJ$50,1),despesafixaconsolidadojun[[#This Row],[TOTAL]]=LARGE($AJ$37:$AJ$50,2),despesafixaconsolidadojun[[#This Row],[TOTAL]]=LARGE($AJ$37:$AJ$50,3),despesafixaconsolidadojun[[#This Row],[TOTAL]]=LARGE($AJ$37:$AJ$50,4),despesafixaconsolidadojun[[#This Row],[TOTAL]]=LARGE($AJ$37:$AJ$50,5)),DADOS!$I$8,""))</f>
        <v/>
      </c>
      <c r="E45" s="96">
        <f>SUMIFS(tabela_registros[VALOR],tabela_registros[MÊS],$AE$1,tabela_registros[DIA],juntotal3059718395[[#Headers],[1]],tabela_registros[REGISTRO],DADOS!$N$4,tabela_registros[TIPO],DADOS!$P$3,tabela_registros[CATEGORIA],despesafixaconsolidadojun[[#This Row],[DESPESA FIXA]])</f>
        <v>0</v>
      </c>
      <c r="F45" s="91">
        <f>SUMIFS(tabela_registros[VALOR],tabela_registros[MÊS],$AE$1,tabela_registros[DIA],juntotal3059718395[[#Headers],[2]],tabela_registros[REGISTRO],DADOS!$N$4,tabela_registros[TIPO],DADOS!$P$3,tabela_registros[CATEGORIA],despesafixaconsolidadojun[[#This Row],[DESPESA FIXA]])</f>
        <v>0</v>
      </c>
      <c r="G45" s="91">
        <f>SUMIFS(tabela_registros[VALOR],tabela_registros[MÊS],$AE$1,tabela_registros[DIA],juntotal3059718395[[#Headers],[3]],tabela_registros[REGISTRO],DADOS!$N$4,tabela_registros[TIPO],DADOS!$P$3,tabela_registros[CATEGORIA],despesafixaconsolidadojun[[#This Row],[DESPESA FIXA]])</f>
        <v>0</v>
      </c>
      <c r="H45" s="91">
        <f>SUMIFS(tabela_registros[VALOR],tabela_registros[MÊS],$AE$1,tabela_registros[DIA],juntotal3059718395[[#Headers],[4]],tabela_registros[REGISTRO],DADOS!$N$4,tabela_registros[TIPO],DADOS!$P$3,tabela_registros[CATEGORIA],despesafixaconsolidadojun[[#This Row],[DESPESA FIXA]])</f>
        <v>0</v>
      </c>
      <c r="I45" s="91">
        <f>SUMIFS(tabela_registros[VALOR],tabela_registros[MÊS],$AE$1,tabela_registros[DIA],juntotal3059718395[[#Headers],[5]],tabela_registros[REGISTRO],DADOS!$N$4,tabela_registros[TIPO],DADOS!$P$3,tabela_registros[CATEGORIA],despesafixaconsolidadojun[[#This Row],[DESPESA FIXA]])</f>
        <v>0</v>
      </c>
      <c r="J45" s="91">
        <f>SUMIFS(tabela_registros[VALOR],tabela_registros[MÊS],$AE$1,tabela_registros[DIA],juntotal3059718395[[#Headers],[6]],tabela_registros[REGISTRO],DADOS!$N$4,tabela_registros[TIPO],DADOS!$P$3,tabela_registros[CATEGORIA],despesafixaconsolidadojun[[#This Row],[DESPESA FIXA]])</f>
        <v>0</v>
      </c>
      <c r="K45" s="91">
        <f>SUMIFS(tabela_registros[VALOR],tabela_registros[MÊS],$AE$1,tabela_registros[DIA],juntotal3059718395[[#Headers],[7]],tabela_registros[REGISTRO],DADOS!$N$4,tabela_registros[TIPO],DADOS!$P$3,tabela_registros[CATEGORIA],despesafixaconsolidadojun[[#This Row],[DESPESA FIXA]])</f>
        <v>0</v>
      </c>
      <c r="L45" s="91">
        <f>SUMIFS(tabela_registros[VALOR],tabela_registros[MÊS],$AE$1,tabela_registros[DIA],juntotal3059718395[[#Headers],[8]],tabela_registros[REGISTRO],DADOS!$N$4,tabela_registros[TIPO],DADOS!$P$3,tabela_registros[CATEGORIA],despesafixaconsolidadojun[[#This Row],[DESPESA FIXA]])</f>
        <v>0</v>
      </c>
      <c r="M45" s="91">
        <f>SUMIFS(tabela_registros[VALOR],tabela_registros[MÊS],$AE$1,tabela_registros[DIA],juntotal3059718395[[#Headers],[9]],tabela_registros[REGISTRO],DADOS!$N$4,tabela_registros[TIPO],DADOS!$P$3,tabela_registros[CATEGORIA],despesafixaconsolidadojun[[#This Row],[DESPESA FIXA]])</f>
        <v>0</v>
      </c>
      <c r="N45" s="91">
        <f>SUMIFS(tabela_registros[VALOR],tabela_registros[MÊS],$AE$1,tabela_registros[DIA],juntotal3059718395[[#Headers],[10]],tabela_registros[REGISTRO],DADOS!$N$4,tabela_registros[TIPO],DADOS!$P$3,tabela_registros[CATEGORIA],despesafixaconsolidadojun[[#This Row],[DESPESA FIXA]])</f>
        <v>0</v>
      </c>
      <c r="O45" s="91">
        <f>SUMIFS(tabela_registros[VALOR],tabela_registros[MÊS],$AE$1,tabela_registros[DIA],juntotal3059718395[[#Headers],[11]],tabela_registros[REGISTRO],DADOS!$N$4,tabela_registros[TIPO],DADOS!$P$3,tabela_registros[CATEGORIA],despesafixaconsolidadojun[[#This Row],[DESPESA FIXA]])</f>
        <v>0</v>
      </c>
      <c r="P45" s="91">
        <f>SUMIFS(tabela_registros[VALOR],tabela_registros[MÊS],$AE$1,tabela_registros[DIA],juntotal3059718395[[#Headers],[12]],tabela_registros[REGISTRO],DADOS!$N$4,tabela_registros[TIPO],DADOS!$P$3,tabela_registros[CATEGORIA],despesafixaconsolidadojun[[#This Row],[DESPESA FIXA]])</f>
        <v>0</v>
      </c>
      <c r="Q45" s="91">
        <f>SUMIFS(tabela_registros[VALOR],tabela_registros[MÊS],$AE$1,tabela_registros[DIA],juntotal3059718395[[#Headers],[13]],tabela_registros[REGISTRO],DADOS!$N$4,tabela_registros[TIPO],DADOS!$P$3,tabela_registros[CATEGORIA],despesafixaconsolidadojun[[#This Row],[DESPESA FIXA]])</f>
        <v>0</v>
      </c>
      <c r="R45" s="91">
        <f>SUMIFS(tabela_registros[VALOR],tabela_registros[MÊS],$AE$1,tabela_registros[DIA],juntotal3059718395[[#Headers],[14]],tabela_registros[REGISTRO],DADOS!$N$4,tabela_registros[TIPO],DADOS!$P$3,tabela_registros[CATEGORIA],despesafixaconsolidadojun[[#This Row],[DESPESA FIXA]])</f>
        <v>0</v>
      </c>
      <c r="S45" s="91">
        <f>SUMIFS(tabela_registros[VALOR],tabela_registros[MÊS],$AE$1,tabela_registros[DIA],juntotal3059718395[[#Headers],[15]],tabela_registros[REGISTRO],DADOS!$N$4,tabela_registros[TIPO],DADOS!$P$3,tabela_registros[CATEGORIA],despesafixaconsolidadojun[[#This Row],[DESPESA FIXA]])</f>
        <v>0</v>
      </c>
      <c r="T45" s="91">
        <f>SUMIFS(tabela_registros[VALOR],tabela_registros[MÊS],$AE$1,tabela_registros[DIA],juntotal3059718395[[#Headers],[16]],tabela_registros[REGISTRO],DADOS!$N$4,tabela_registros[TIPO],DADOS!$P$3,tabela_registros[CATEGORIA],despesafixaconsolidadojun[[#This Row],[DESPESA FIXA]])</f>
        <v>0</v>
      </c>
      <c r="U45" s="91">
        <f>SUMIFS(tabela_registros[VALOR],tabela_registros[MÊS],$AE$1,tabela_registros[DIA],juntotal3059718395[[#Headers],[17]],tabela_registros[REGISTRO],DADOS!$N$4,tabela_registros[TIPO],DADOS!$P$3,tabela_registros[CATEGORIA],despesafixaconsolidadojun[[#This Row],[DESPESA FIXA]])</f>
        <v>0</v>
      </c>
      <c r="V45" s="91">
        <f>SUMIFS(tabela_registros[VALOR],tabela_registros[MÊS],$AE$1,tabela_registros[DIA],juntotal3059718395[[#Headers],[18]],tabela_registros[REGISTRO],DADOS!$N$4,tabela_registros[TIPO],DADOS!$P$3,tabela_registros[CATEGORIA],despesafixaconsolidadojun[[#This Row],[DESPESA FIXA]])</f>
        <v>0</v>
      </c>
      <c r="W45" s="91">
        <f>SUMIFS(tabela_registros[VALOR],tabela_registros[MÊS],$AE$1,tabela_registros[DIA],juntotal3059718395[[#Headers],[19]],tabela_registros[REGISTRO],DADOS!$N$4,tabela_registros[TIPO],DADOS!$P$3,tabela_registros[CATEGORIA],despesafixaconsolidadojun[[#This Row],[DESPESA FIXA]])</f>
        <v>0</v>
      </c>
      <c r="X45" s="91">
        <f>SUMIFS(tabela_registros[VALOR],tabela_registros[MÊS],$AE$1,tabela_registros[DIA],juntotal3059718395[[#Headers],[20]],tabela_registros[REGISTRO],DADOS!$N$4,tabela_registros[TIPO],DADOS!$P$3,tabela_registros[CATEGORIA],despesafixaconsolidadojun[[#This Row],[DESPESA FIXA]])</f>
        <v>0</v>
      </c>
      <c r="Y45" s="91">
        <f>SUMIFS(tabela_registros[VALOR],tabela_registros[MÊS],$AE$1,tabela_registros[DIA],juntotal3059718395[[#Headers],[21]],tabela_registros[REGISTRO],DADOS!$N$4,tabela_registros[TIPO],DADOS!$P$3,tabela_registros[CATEGORIA],despesafixaconsolidadojun[[#This Row],[DESPESA FIXA]])</f>
        <v>0</v>
      </c>
      <c r="Z45" s="91">
        <f>SUMIFS(tabela_registros[VALOR],tabela_registros[MÊS],$AE$1,tabela_registros[DIA],juntotal3059718395[[#Headers],[22]],tabela_registros[REGISTRO],DADOS!$N$4,tabela_registros[TIPO],DADOS!$P$3,tabela_registros[CATEGORIA],despesafixaconsolidadojun[[#This Row],[DESPESA FIXA]])</f>
        <v>0</v>
      </c>
      <c r="AA45" s="91">
        <f>SUMIFS(tabela_registros[VALOR],tabela_registros[MÊS],$AE$1,tabela_registros[DIA],juntotal3059718395[[#Headers],[23]],tabela_registros[REGISTRO],DADOS!$N$4,tabela_registros[TIPO],DADOS!$P$3,tabela_registros[CATEGORIA],despesafixaconsolidadojun[[#This Row],[DESPESA FIXA]])</f>
        <v>0</v>
      </c>
      <c r="AB45" s="91">
        <f>SUMIFS(tabela_registros[VALOR],tabela_registros[MÊS],$AE$1,tabela_registros[DIA],juntotal3059718395[[#Headers],[24]],tabela_registros[REGISTRO],DADOS!$N$4,tabela_registros[TIPO],DADOS!$P$3,tabela_registros[CATEGORIA],despesafixaconsolidadojun[[#This Row],[DESPESA FIXA]])</f>
        <v>0</v>
      </c>
      <c r="AC45" s="91">
        <f>SUMIFS(tabela_registros[VALOR],tabela_registros[MÊS],$AE$1,tabela_registros[DIA],juntotal3059718395[[#Headers],[25]],tabela_registros[REGISTRO],DADOS!$N$4,tabela_registros[TIPO],DADOS!$P$3,tabela_registros[CATEGORIA],despesafixaconsolidadojun[[#This Row],[DESPESA FIXA]])</f>
        <v>0</v>
      </c>
      <c r="AD45" s="91">
        <f>SUMIFS(tabela_registros[VALOR],tabela_registros[MÊS],$AE$1,tabela_registros[DIA],juntotal3059718395[[#Headers],[26]],tabela_registros[REGISTRO],DADOS!$N$4,tabela_registros[TIPO],DADOS!$P$3,tabela_registros[CATEGORIA],despesafixaconsolidadojun[[#This Row],[DESPESA FIXA]])</f>
        <v>0</v>
      </c>
      <c r="AE45" s="91">
        <f>SUMIFS(tabela_registros[VALOR],tabela_registros[MÊS],$AE$1,tabela_registros[DIA],juntotal3059718395[[#Headers],[27]],tabela_registros[REGISTRO],DADOS!$N$4,tabela_registros[TIPO],DADOS!$P$3,tabela_registros[CATEGORIA],despesafixaconsolidadojun[[#This Row],[DESPESA FIXA]])</f>
        <v>0</v>
      </c>
      <c r="AF45" s="91">
        <f>SUMIFS(tabela_registros[VALOR],tabela_registros[MÊS],$AE$1,tabela_registros[DIA],juntotal3059718395[[#Headers],[28]],tabela_registros[REGISTRO],DADOS!$N$4,tabela_registros[TIPO],DADOS!$P$3,tabela_registros[CATEGORIA],despesafixaconsolidadojun[[#This Row],[DESPESA FIXA]])</f>
        <v>0</v>
      </c>
      <c r="AG45" s="91">
        <f>SUMIFS(tabela_registros[VALOR],tabela_registros[MÊS],$AE$1,tabela_registros[DIA],juntotal3059718395[[#Headers],[29]],tabela_registros[REGISTRO],DADOS!$N$4,tabela_registros[TIPO],DADOS!$P$3,tabela_registros[CATEGORIA],despesafixaconsolidadojun[[#This Row],[DESPESA FIXA]])</f>
        <v>0</v>
      </c>
      <c r="AH45" s="91">
        <f>SUMIFS(tabela_registros[VALOR],tabela_registros[MÊS],$AE$1,tabela_registros[DIA],juntotal3059718395[[#Headers],[30]],tabela_registros[REGISTRO],DADOS!$N$4,tabela_registros[TIPO],DADOS!$P$3,tabela_registros[CATEGORIA],despesafixaconsolidadojun[[#This Row],[DESPESA FIXA]])</f>
        <v>0</v>
      </c>
      <c r="AI45" s="101">
        <f>SUMIFS(tabela_registros[VALOR],tabela_registros[MÊS],$AE$1,tabela_registros[DIA],juntotal3059718395[[#Headers],[31]],tabela_registros[REGISTRO],DADOS!$N$4,tabela_registros[TIPO],DADOS!$P$3,tabela_registros[CATEGORIA],despesafixaconsolidadojun[[#This Row],[DESPESA FIXA]])</f>
        <v>0</v>
      </c>
      <c r="AJ45" s="97">
        <f>SUM(despesafixaconsolidadojun[[#This Row],[1]:[31]])</f>
        <v>0</v>
      </c>
      <c r="AK45" s="28"/>
    </row>
    <row r="46" spans="2:37" ht="18" customHeight="1" thickTop="1" thickBot="1" x14ac:dyDescent="0.3">
      <c r="B46" s="28"/>
      <c r="C46" s="27" t="str">
        <f>DADOS!$R$12</f>
        <v>🖱️ INTERNET</v>
      </c>
      <c r="D46" s="26" t="str">
        <f>IF(despesafixaconsolidadojun[[#This Row],[TOTAL]]=0,"",IF(OR(despesafixaconsolidadojun[[#This Row],[TOTAL]]=LARGE($AJ$37:$AJ$50,1),despesafixaconsolidadojun[[#This Row],[TOTAL]]=LARGE($AJ$37:$AJ$50,2),despesafixaconsolidadojun[[#This Row],[TOTAL]]=LARGE($AJ$37:$AJ$50,3),despesafixaconsolidadojun[[#This Row],[TOTAL]]=LARGE($AJ$37:$AJ$50,4),despesafixaconsolidadojun[[#This Row],[TOTAL]]=LARGE($AJ$37:$AJ$50,5)),DADOS!$I$8,""))</f>
        <v/>
      </c>
      <c r="E46" s="96">
        <f>SUMIFS(tabela_registros[VALOR],tabela_registros[MÊS],$AE$1,tabela_registros[DIA],juntotal3059718395[[#Headers],[1]],tabela_registros[REGISTRO],DADOS!$N$4,tabela_registros[TIPO],DADOS!$P$3,tabela_registros[CATEGORIA],despesafixaconsolidadojun[[#This Row],[DESPESA FIXA]])</f>
        <v>0</v>
      </c>
      <c r="F46" s="91">
        <f>SUMIFS(tabela_registros[VALOR],tabela_registros[MÊS],$AE$1,tabela_registros[DIA],juntotal3059718395[[#Headers],[2]],tabela_registros[REGISTRO],DADOS!$N$4,tabela_registros[TIPO],DADOS!$P$3,tabela_registros[CATEGORIA],despesafixaconsolidadojun[[#This Row],[DESPESA FIXA]])</f>
        <v>0</v>
      </c>
      <c r="G46" s="91">
        <f>SUMIFS(tabela_registros[VALOR],tabela_registros[MÊS],$AE$1,tabela_registros[DIA],juntotal3059718395[[#Headers],[3]],tabela_registros[REGISTRO],DADOS!$N$4,tabela_registros[TIPO],DADOS!$P$3,tabela_registros[CATEGORIA],despesafixaconsolidadojun[[#This Row],[DESPESA FIXA]])</f>
        <v>0</v>
      </c>
      <c r="H46" s="91">
        <f>SUMIFS(tabela_registros[VALOR],tabela_registros[MÊS],$AE$1,tabela_registros[DIA],juntotal3059718395[[#Headers],[4]],tabela_registros[REGISTRO],DADOS!$N$4,tabela_registros[TIPO],DADOS!$P$3,tabela_registros[CATEGORIA],despesafixaconsolidadojun[[#This Row],[DESPESA FIXA]])</f>
        <v>0</v>
      </c>
      <c r="I46" s="91">
        <f>SUMIFS(tabela_registros[VALOR],tabela_registros[MÊS],$AE$1,tabela_registros[DIA],juntotal3059718395[[#Headers],[5]],tabela_registros[REGISTRO],DADOS!$N$4,tabela_registros[TIPO],DADOS!$P$3,tabela_registros[CATEGORIA],despesafixaconsolidadojun[[#This Row],[DESPESA FIXA]])</f>
        <v>0</v>
      </c>
      <c r="J46" s="91">
        <f>SUMIFS(tabela_registros[VALOR],tabela_registros[MÊS],$AE$1,tabela_registros[DIA],juntotal3059718395[[#Headers],[6]],tabela_registros[REGISTRO],DADOS!$N$4,tabela_registros[TIPO],DADOS!$P$3,tabela_registros[CATEGORIA],despesafixaconsolidadojun[[#This Row],[DESPESA FIXA]])</f>
        <v>0</v>
      </c>
      <c r="K46" s="91">
        <f>SUMIFS(tabela_registros[VALOR],tabela_registros[MÊS],$AE$1,tabela_registros[DIA],juntotal3059718395[[#Headers],[7]],tabela_registros[REGISTRO],DADOS!$N$4,tabela_registros[TIPO],DADOS!$P$3,tabela_registros[CATEGORIA],despesafixaconsolidadojun[[#This Row],[DESPESA FIXA]])</f>
        <v>0</v>
      </c>
      <c r="L46" s="91">
        <f>SUMIFS(tabela_registros[VALOR],tabela_registros[MÊS],$AE$1,tabela_registros[DIA],juntotal3059718395[[#Headers],[8]],tabela_registros[REGISTRO],DADOS!$N$4,tabela_registros[TIPO],DADOS!$P$3,tabela_registros[CATEGORIA],despesafixaconsolidadojun[[#This Row],[DESPESA FIXA]])</f>
        <v>0</v>
      </c>
      <c r="M46" s="91">
        <f>SUMIFS(tabela_registros[VALOR],tabela_registros[MÊS],$AE$1,tabela_registros[DIA],juntotal3059718395[[#Headers],[9]],tabela_registros[REGISTRO],DADOS!$N$4,tabela_registros[TIPO],DADOS!$P$3,tabela_registros[CATEGORIA],despesafixaconsolidadojun[[#This Row],[DESPESA FIXA]])</f>
        <v>0</v>
      </c>
      <c r="N46" s="91">
        <f>SUMIFS(tabela_registros[VALOR],tabela_registros[MÊS],$AE$1,tabela_registros[DIA],juntotal3059718395[[#Headers],[10]],tabela_registros[REGISTRO],DADOS!$N$4,tabela_registros[TIPO],DADOS!$P$3,tabela_registros[CATEGORIA],despesafixaconsolidadojun[[#This Row],[DESPESA FIXA]])</f>
        <v>0</v>
      </c>
      <c r="O46" s="91">
        <f>SUMIFS(tabela_registros[VALOR],tabela_registros[MÊS],$AE$1,tabela_registros[DIA],juntotal3059718395[[#Headers],[11]],tabela_registros[REGISTRO],DADOS!$N$4,tabela_registros[TIPO],DADOS!$P$3,tabela_registros[CATEGORIA],despesafixaconsolidadojun[[#This Row],[DESPESA FIXA]])</f>
        <v>0</v>
      </c>
      <c r="P46" s="91">
        <f>SUMIFS(tabela_registros[VALOR],tabela_registros[MÊS],$AE$1,tabela_registros[DIA],juntotal3059718395[[#Headers],[12]],tabela_registros[REGISTRO],DADOS!$N$4,tabela_registros[TIPO],DADOS!$P$3,tabela_registros[CATEGORIA],despesafixaconsolidadojun[[#This Row],[DESPESA FIXA]])</f>
        <v>0</v>
      </c>
      <c r="Q46" s="91">
        <f>SUMIFS(tabela_registros[VALOR],tabela_registros[MÊS],$AE$1,tabela_registros[DIA],juntotal3059718395[[#Headers],[13]],tabela_registros[REGISTRO],DADOS!$N$4,tabela_registros[TIPO],DADOS!$P$3,tabela_registros[CATEGORIA],despesafixaconsolidadojun[[#This Row],[DESPESA FIXA]])</f>
        <v>0</v>
      </c>
      <c r="R46" s="91">
        <f>SUMIFS(tabela_registros[VALOR],tabela_registros[MÊS],$AE$1,tabela_registros[DIA],juntotal3059718395[[#Headers],[14]],tabela_registros[REGISTRO],DADOS!$N$4,tabela_registros[TIPO],DADOS!$P$3,tabela_registros[CATEGORIA],despesafixaconsolidadojun[[#This Row],[DESPESA FIXA]])</f>
        <v>0</v>
      </c>
      <c r="S46" s="91">
        <f>SUMIFS(tabela_registros[VALOR],tabela_registros[MÊS],$AE$1,tabela_registros[DIA],juntotal3059718395[[#Headers],[15]],tabela_registros[REGISTRO],DADOS!$N$4,tabela_registros[TIPO],DADOS!$P$3,tabela_registros[CATEGORIA],despesafixaconsolidadojun[[#This Row],[DESPESA FIXA]])</f>
        <v>0</v>
      </c>
      <c r="T46" s="91">
        <f>SUMIFS(tabela_registros[VALOR],tabela_registros[MÊS],$AE$1,tabela_registros[DIA],juntotal3059718395[[#Headers],[16]],tabela_registros[REGISTRO],DADOS!$N$4,tabela_registros[TIPO],DADOS!$P$3,tabela_registros[CATEGORIA],despesafixaconsolidadojun[[#This Row],[DESPESA FIXA]])</f>
        <v>0</v>
      </c>
      <c r="U46" s="91">
        <f>SUMIFS(tabela_registros[VALOR],tabela_registros[MÊS],$AE$1,tabela_registros[DIA],juntotal3059718395[[#Headers],[17]],tabela_registros[REGISTRO],DADOS!$N$4,tabela_registros[TIPO],DADOS!$P$3,tabela_registros[CATEGORIA],despesafixaconsolidadojun[[#This Row],[DESPESA FIXA]])</f>
        <v>0</v>
      </c>
      <c r="V46" s="91">
        <f>SUMIFS(tabela_registros[VALOR],tabela_registros[MÊS],$AE$1,tabela_registros[DIA],juntotal3059718395[[#Headers],[18]],tabela_registros[REGISTRO],DADOS!$N$4,tabela_registros[TIPO],DADOS!$P$3,tabela_registros[CATEGORIA],despesafixaconsolidadojun[[#This Row],[DESPESA FIXA]])</f>
        <v>0</v>
      </c>
      <c r="W46" s="91">
        <f>SUMIFS(tabela_registros[VALOR],tabela_registros[MÊS],$AE$1,tabela_registros[DIA],juntotal3059718395[[#Headers],[19]],tabela_registros[REGISTRO],DADOS!$N$4,tabela_registros[TIPO],DADOS!$P$3,tabela_registros[CATEGORIA],despesafixaconsolidadojun[[#This Row],[DESPESA FIXA]])</f>
        <v>0</v>
      </c>
      <c r="X46" s="91">
        <f>SUMIFS(tabela_registros[VALOR],tabela_registros[MÊS],$AE$1,tabela_registros[DIA],juntotal3059718395[[#Headers],[20]],tabela_registros[REGISTRO],DADOS!$N$4,tabela_registros[TIPO],DADOS!$P$3,tabela_registros[CATEGORIA],despesafixaconsolidadojun[[#This Row],[DESPESA FIXA]])</f>
        <v>0</v>
      </c>
      <c r="Y46" s="91">
        <f>SUMIFS(tabela_registros[VALOR],tabela_registros[MÊS],$AE$1,tabela_registros[DIA],juntotal3059718395[[#Headers],[21]],tabela_registros[REGISTRO],DADOS!$N$4,tabela_registros[TIPO],DADOS!$P$3,tabela_registros[CATEGORIA],despesafixaconsolidadojun[[#This Row],[DESPESA FIXA]])</f>
        <v>0</v>
      </c>
      <c r="Z46" s="91">
        <f>SUMIFS(tabela_registros[VALOR],tabela_registros[MÊS],$AE$1,tabela_registros[DIA],juntotal3059718395[[#Headers],[22]],tabela_registros[REGISTRO],DADOS!$N$4,tabela_registros[TIPO],DADOS!$P$3,tabela_registros[CATEGORIA],despesafixaconsolidadojun[[#This Row],[DESPESA FIXA]])</f>
        <v>0</v>
      </c>
      <c r="AA46" s="91">
        <f>SUMIFS(tabela_registros[VALOR],tabela_registros[MÊS],$AE$1,tabela_registros[DIA],juntotal3059718395[[#Headers],[23]],tabela_registros[REGISTRO],DADOS!$N$4,tabela_registros[TIPO],DADOS!$P$3,tabela_registros[CATEGORIA],despesafixaconsolidadojun[[#This Row],[DESPESA FIXA]])</f>
        <v>0</v>
      </c>
      <c r="AB46" s="91">
        <f>SUMIFS(tabela_registros[VALOR],tabela_registros[MÊS],$AE$1,tabela_registros[DIA],juntotal3059718395[[#Headers],[24]],tabela_registros[REGISTRO],DADOS!$N$4,tabela_registros[TIPO],DADOS!$P$3,tabela_registros[CATEGORIA],despesafixaconsolidadojun[[#This Row],[DESPESA FIXA]])</f>
        <v>0</v>
      </c>
      <c r="AC46" s="91">
        <f>SUMIFS(tabela_registros[VALOR],tabela_registros[MÊS],$AE$1,tabela_registros[DIA],juntotal3059718395[[#Headers],[25]],tabela_registros[REGISTRO],DADOS!$N$4,tabela_registros[TIPO],DADOS!$P$3,tabela_registros[CATEGORIA],despesafixaconsolidadojun[[#This Row],[DESPESA FIXA]])</f>
        <v>0</v>
      </c>
      <c r="AD46" s="91">
        <f>SUMIFS(tabela_registros[VALOR],tabela_registros[MÊS],$AE$1,tabela_registros[DIA],juntotal3059718395[[#Headers],[26]],tabela_registros[REGISTRO],DADOS!$N$4,tabela_registros[TIPO],DADOS!$P$3,tabela_registros[CATEGORIA],despesafixaconsolidadojun[[#This Row],[DESPESA FIXA]])</f>
        <v>0</v>
      </c>
      <c r="AE46" s="91">
        <f>SUMIFS(tabela_registros[VALOR],tabela_registros[MÊS],$AE$1,tabela_registros[DIA],juntotal3059718395[[#Headers],[27]],tabela_registros[REGISTRO],DADOS!$N$4,tabela_registros[TIPO],DADOS!$P$3,tabela_registros[CATEGORIA],despesafixaconsolidadojun[[#This Row],[DESPESA FIXA]])</f>
        <v>0</v>
      </c>
      <c r="AF46" s="91">
        <f>SUMIFS(tabela_registros[VALOR],tabela_registros[MÊS],$AE$1,tabela_registros[DIA],juntotal3059718395[[#Headers],[28]],tabela_registros[REGISTRO],DADOS!$N$4,tabela_registros[TIPO],DADOS!$P$3,tabela_registros[CATEGORIA],despesafixaconsolidadojun[[#This Row],[DESPESA FIXA]])</f>
        <v>0</v>
      </c>
      <c r="AG46" s="91">
        <f>SUMIFS(tabela_registros[VALOR],tabela_registros[MÊS],$AE$1,tabela_registros[DIA],juntotal3059718395[[#Headers],[29]],tabela_registros[REGISTRO],DADOS!$N$4,tabela_registros[TIPO],DADOS!$P$3,tabela_registros[CATEGORIA],despesafixaconsolidadojun[[#This Row],[DESPESA FIXA]])</f>
        <v>0</v>
      </c>
      <c r="AH46" s="91">
        <f>SUMIFS(tabela_registros[VALOR],tabela_registros[MÊS],$AE$1,tabela_registros[DIA],juntotal3059718395[[#Headers],[30]],tabela_registros[REGISTRO],DADOS!$N$4,tabela_registros[TIPO],DADOS!$P$3,tabela_registros[CATEGORIA],despesafixaconsolidadojun[[#This Row],[DESPESA FIXA]])</f>
        <v>0</v>
      </c>
      <c r="AI46" s="101">
        <f>SUMIFS(tabela_registros[VALOR],tabela_registros[MÊS],$AE$1,tabela_registros[DIA],juntotal3059718395[[#Headers],[31]],tabela_registros[REGISTRO],DADOS!$N$4,tabela_registros[TIPO],DADOS!$P$3,tabela_registros[CATEGORIA],despesafixaconsolidadojun[[#This Row],[DESPESA FIXA]])</f>
        <v>0</v>
      </c>
      <c r="AJ46" s="97">
        <f>SUM(despesafixaconsolidadojun[[#This Row],[1]:[31]])</f>
        <v>0</v>
      </c>
      <c r="AK46" s="28"/>
    </row>
    <row r="47" spans="2:37" ht="18" customHeight="1" thickTop="1" thickBot="1" x14ac:dyDescent="0.3">
      <c r="B47" s="28"/>
      <c r="C47" s="27" t="str">
        <f>DADOS!$R$13</f>
        <v>🏠 MORADIA</v>
      </c>
      <c r="D47" s="26" t="str">
        <f>IF(despesafixaconsolidadojun[[#This Row],[TOTAL]]=0,"",IF(OR(despesafixaconsolidadojun[[#This Row],[TOTAL]]=LARGE($AJ$37:$AJ$50,1),despesafixaconsolidadojun[[#This Row],[TOTAL]]=LARGE($AJ$37:$AJ$50,2),despesafixaconsolidadojun[[#This Row],[TOTAL]]=LARGE($AJ$37:$AJ$50,3),despesafixaconsolidadojun[[#This Row],[TOTAL]]=LARGE($AJ$37:$AJ$50,4),despesafixaconsolidadojun[[#This Row],[TOTAL]]=LARGE($AJ$37:$AJ$50,5)),DADOS!$I$8,""))</f>
        <v/>
      </c>
      <c r="E47" s="96">
        <f>SUMIFS(tabela_registros[VALOR],tabela_registros[MÊS],$AE$1,tabela_registros[DIA],juntotal3059718395[[#Headers],[1]],tabela_registros[REGISTRO],DADOS!$N$4,tabela_registros[TIPO],DADOS!$P$3,tabela_registros[CATEGORIA],despesafixaconsolidadojun[[#This Row],[DESPESA FIXA]])</f>
        <v>0</v>
      </c>
      <c r="F47" s="91">
        <f>SUMIFS(tabela_registros[VALOR],tabela_registros[MÊS],$AE$1,tabela_registros[DIA],juntotal3059718395[[#Headers],[2]],tabela_registros[REGISTRO],DADOS!$N$4,tabela_registros[TIPO],DADOS!$P$3,tabela_registros[CATEGORIA],despesafixaconsolidadojun[[#This Row],[DESPESA FIXA]])</f>
        <v>0</v>
      </c>
      <c r="G47" s="91">
        <f>SUMIFS(tabela_registros[VALOR],tabela_registros[MÊS],$AE$1,tabela_registros[DIA],juntotal3059718395[[#Headers],[3]],tabela_registros[REGISTRO],DADOS!$N$4,tabela_registros[TIPO],DADOS!$P$3,tabela_registros[CATEGORIA],despesafixaconsolidadojun[[#This Row],[DESPESA FIXA]])</f>
        <v>0</v>
      </c>
      <c r="H47" s="91">
        <f>SUMIFS(tabela_registros[VALOR],tabela_registros[MÊS],$AE$1,tabela_registros[DIA],juntotal3059718395[[#Headers],[4]],tabela_registros[REGISTRO],DADOS!$N$4,tabela_registros[TIPO],DADOS!$P$3,tabela_registros[CATEGORIA],despesafixaconsolidadojun[[#This Row],[DESPESA FIXA]])</f>
        <v>0</v>
      </c>
      <c r="I47" s="91">
        <f>SUMIFS(tabela_registros[VALOR],tabela_registros[MÊS],$AE$1,tabela_registros[DIA],juntotal3059718395[[#Headers],[5]],tabela_registros[REGISTRO],DADOS!$N$4,tabela_registros[TIPO],DADOS!$P$3,tabela_registros[CATEGORIA],despesafixaconsolidadojun[[#This Row],[DESPESA FIXA]])</f>
        <v>0</v>
      </c>
      <c r="J47" s="91">
        <f>SUMIFS(tabela_registros[VALOR],tabela_registros[MÊS],$AE$1,tabela_registros[DIA],juntotal3059718395[[#Headers],[6]],tabela_registros[REGISTRO],DADOS!$N$4,tabela_registros[TIPO],DADOS!$P$3,tabela_registros[CATEGORIA],despesafixaconsolidadojun[[#This Row],[DESPESA FIXA]])</f>
        <v>0</v>
      </c>
      <c r="K47" s="91">
        <f>SUMIFS(tabela_registros[VALOR],tabela_registros[MÊS],$AE$1,tabela_registros[DIA],juntotal3059718395[[#Headers],[7]],tabela_registros[REGISTRO],DADOS!$N$4,tabela_registros[TIPO],DADOS!$P$3,tabela_registros[CATEGORIA],despesafixaconsolidadojun[[#This Row],[DESPESA FIXA]])</f>
        <v>0</v>
      </c>
      <c r="L47" s="91">
        <f>SUMIFS(tabela_registros[VALOR],tabela_registros[MÊS],$AE$1,tabela_registros[DIA],juntotal3059718395[[#Headers],[8]],tabela_registros[REGISTRO],DADOS!$N$4,tabela_registros[TIPO],DADOS!$P$3,tabela_registros[CATEGORIA],despesafixaconsolidadojun[[#This Row],[DESPESA FIXA]])</f>
        <v>0</v>
      </c>
      <c r="M47" s="91">
        <f>SUMIFS(tabela_registros[VALOR],tabela_registros[MÊS],$AE$1,tabela_registros[DIA],juntotal3059718395[[#Headers],[9]],tabela_registros[REGISTRO],DADOS!$N$4,tabela_registros[TIPO],DADOS!$P$3,tabela_registros[CATEGORIA],despesafixaconsolidadojun[[#This Row],[DESPESA FIXA]])</f>
        <v>0</v>
      </c>
      <c r="N47" s="91">
        <f>SUMIFS(tabela_registros[VALOR],tabela_registros[MÊS],$AE$1,tabela_registros[DIA],juntotal3059718395[[#Headers],[10]],tabela_registros[REGISTRO],DADOS!$N$4,tabela_registros[TIPO],DADOS!$P$3,tabela_registros[CATEGORIA],despesafixaconsolidadojun[[#This Row],[DESPESA FIXA]])</f>
        <v>0</v>
      </c>
      <c r="O47" s="91">
        <f>SUMIFS(tabela_registros[VALOR],tabela_registros[MÊS],$AE$1,tabela_registros[DIA],juntotal3059718395[[#Headers],[11]],tabela_registros[REGISTRO],DADOS!$N$4,tabela_registros[TIPO],DADOS!$P$3,tabela_registros[CATEGORIA],despesafixaconsolidadojun[[#This Row],[DESPESA FIXA]])</f>
        <v>0</v>
      </c>
      <c r="P47" s="91">
        <f>SUMIFS(tabela_registros[VALOR],tabela_registros[MÊS],$AE$1,tabela_registros[DIA],juntotal3059718395[[#Headers],[12]],tabela_registros[REGISTRO],DADOS!$N$4,tabela_registros[TIPO],DADOS!$P$3,tabela_registros[CATEGORIA],despesafixaconsolidadojun[[#This Row],[DESPESA FIXA]])</f>
        <v>0</v>
      </c>
      <c r="Q47" s="91">
        <f>SUMIFS(tabela_registros[VALOR],tabela_registros[MÊS],$AE$1,tabela_registros[DIA],juntotal3059718395[[#Headers],[13]],tabela_registros[REGISTRO],DADOS!$N$4,tabela_registros[TIPO],DADOS!$P$3,tabela_registros[CATEGORIA],despesafixaconsolidadojun[[#This Row],[DESPESA FIXA]])</f>
        <v>0</v>
      </c>
      <c r="R47" s="91">
        <f>SUMIFS(tabela_registros[VALOR],tabela_registros[MÊS],$AE$1,tabela_registros[DIA],juntotal3059718395[[#Headers],[14]],tabela_registros[REGISTRO],DADOS!$N$4,tabela_registros[TIPO],DADOS!$P$3,tabela_registros[CATEGORIA],despesafixaconsolidadojun[[#This Row],[DESPESA FIXA]])</f>
        <v>0</v>
      </c>
      <c r="S47" s="91">
        <f>SUMIFS(tabela_registros[VALOR],tabela_registros[MÊS],$AE$1,tabela_registros[DIA],juntotal3059718395[[#Headers],[15]],tabela_registros[REGISTRO],DADOS!$N$4,tabela_registros[TIPO],DADOS!$P$3,tabela_registros[CATEGORIA],despesafixaconsolidadojun[[#This Row],[DESPESA FIXA]])</f>
        <v>0</v>
      </c>
      <c r="T47" s="91">
        <f>SUMIFS(tabela_registros[VALOR],tabela_registros[MÊS],$AE$1,tabela_registros[DIA],juntotal3059718395[[#Headers],[16]],tabela_registros[REGISTRO],DADOS!$N$4,tabela_registros[TIPO],DADOS!$P$3,tabela_registros[CATEGORIA],despesafixaconsolidadojun[[#This Row],[DESPESA FIXA]])</f>
        <v>0</v>
      </c>
      <c r="U47" s="91">
        <f>SUMIFS(tabela_registros[VALOR],tabela_registros[MÊS],$AE$1,tabela_registros[DIA],juntotal3059718395[[#Headers],[17]],tabela_registros[REGISTRO],DADOS!$N$4,tabela_registros[TIPO],DADOS!$P$3,tabela_registros[CATEGORIA],despesafixaconsolidadojun[[#This Row],[DESPESA FIXA]])</f>
        <v>0</v>
      </c>
      <c r="V47" s="91">
        <f>SUMIFS(tabela_registros[VALOR],tabela_registros[MÊS],$AE$1,tabela_registros[DIA],juntotal3059718395[[#Headers],[18]],tabela_registros[REGISTRO],DADOS!$N$4,tabela_registros[TIPO],DADOS!$P$3,tabela_registros[CATEGORIA],despesafixaconsolidadojun[[#This Row],[DESPESA FIXA]])</f>
        <v>0</v>
      </c>
      <c r="W47" s="91">
        <f>SUMIFS(tabela_registros[VALOR],tabela_registros[MÊS],$AE$1,tabela_registros[DIA],juntotal3059718395[[#Headers],[19]],tabela_registros[REGISTRO],DADOS!$N$4,tabela_registros[TIPO],DADOS!$P$3,tabela_registros[CATEGORIA],despesafixaconsolidadojun[[#This Row],[DESPESA FIXA]])</f>
        <v>0</v>
      </c>
      <c r="X47" s="91">
        <f>SUMIFS(tabela_registros[VALOR],tabela_registros[MÊS],$AE$1,tabela_registros[DIA],juntotal3059718395[[#Headers],[20]],tabela_registros[REGISTRO],DADOS!$N$4,tabela_registros[TIPO],DADOS!$P$3,tabela_registros[CATEGORIA],despesafixaconsolidadojun[[#This Row],[DESPESA FIXA]])</f>
        <v>0</v>
      </c>
      <c r="Y47" s="91">
        <f>SUMIFS(tabela_registros[VALOR],tabela_registros[MÊS],$AE$1,tabela_registros[DIA],juntotal3059718395[[#Headers],[21]],tabela_registros[REGISTRO],DADOS!$N$4,tabela_registros[TIPO],DADOS!$P$3,tabela_registros[CATEGORIA],despesafixaconsolidadojun[[#This Row],[DESPESA FIXA]])</f>
        <v>0</v>
      </c>
      <c r="Z47" s="91">
        <f>SUMIFS(tabela_registros[VALOR],tabela_registros[MÊS],$AE$1,tabela_registros[DIA],juntotal3059718395[[#Headers],[22]],tabela_registros[REGISTRO],DADOS!$N$4,tabela_registros[TIPO],DADOS!$P$3,tabela_registros[CATEGORIA],despesafixaconsolidadojun[[#This Row],[DESPESA FIXA]])</f>
        <v>0</v>
      </c>
      <c r="AA47" s="91">
        <f>SUMIFS(tabela_registros[VALOR],tabela_registros[MÊS],$AE$1,tabela_registros[DIA],juntotal3059718395[[#Headers],[23]],tabela_registros[REGISTRO],DADOS!$N$4,tabela_registros[TIPO],DADOS!$P$3,tabela_registros[CATEGORIA],despesafixaconsolidadojun[[#This Row],[DESPESA FIXA]])</f>
        <v>0</v>
      </c>
      <c r="AB47" s="91">
        <f>SUMIFS(tabela_registros[VALOR],tabela_registros[MÊS],$AE$1,tabela_registros[DIA],juntotal3059718395[[#Headers],[24]],tabela_registros[REGISTRO],DADOS!$N$4,tabela_registros[TIPO],DADOS!$P$3,tabela_registros[CATEGORIA],despesafixaconsolidadojun[[#This Row],[DESPESA FIXA]])</f>
        <v>0</v>
      </c>
      <c r="AC47" s="91">
        <f>SUMIFS(tabela_registros[VALOR],tabela_registros[MÊS],$AE$1,tabela_registros[DIA],juntotal3059718395[[#Headers],[25]],tabela_registros[REGISTRO],DADOS!$N$4,tabela_registros[TIPO],DADOS!$P$3,tabela_registros[CATEGORIA],despesafixaconsolidadojun[[#This Row],[DESPESA FIXA]])</f>
        <v>0</v>
      </c>
      <c r="AD47" s="91">
        <f>SUMIFS(tabela_registros[VALOR],tabela_registros[MÊS],$AE$1,tabela_registros[DIA],juntotal3059718395[[#Headers],[26]],tabela_registros[REGISTRO],DADOS!$N$4,tabela_registros[TIPO],DADOS!$P$3,tabela_registros[CATEGORIA],despesafixaconsolidadojun[[#This Row],[DESPESA FIXA]])</f>
        <v>0</v>
      </c>
      <c r="AE47" s="91">
        <f>SUMIFS(tabela_registros[VALOR],tabela_registros[MÊS],$AE$1,tabela_registros[DIA],juntotal3059718395[[#Headers],[27]],tabela_registros[REGISTRO],DADOS!$N$4,tabela_registros[TIPO],DADOS!$P$3,tabela_registros[CATEGORIA],despesafixaconsolidadojun[[#This Row],[DESPESA FIXA]])</f>
        <v>0</v>
      </c>
      <c r="AF47" s="91">
        <f>SUMIFS(tabela_registros[VALOR],tabela_registros[MÊS],$AE$1,tabela_registros[DIA],juntotal3059718395[[#Headers],[28]],tabela_registros[REGISTRO],DADOS!$N$4,tabela_registros[TIPO],DADOS!$P$3,tabela_registros[CATEGORIA],despesafixaconsolidadojun[[#This Row],[DESPESA FIXA]])</f>
        <v>0</v>
      </c>
      <c r="AG47" s="91">
        <f>SUMIFS(tabela_registros[VALOR],tabela_registros[MÊS],$AE$1,tabela_registros[DIA],juntotal3059718395[[#Headers],[29]],tabela_registros[REGISTRO],DADOS!$N$4,tabela_registros[TIPO],DADOS!$P$3,tabela_registros[CATEGORIA],despesafixaconsolidadojun[[#This Row],[DESPESA FIXA]])</f>
        <v>0</v>
      </c>
      <c r="AH47" s="91">
        <f>SUMIFS(tabela_registros[VALOR],tabela_registros[MÊS],$AE$1,tabela_registros[DIA],juntotal3059718395[[#Headers],[30]],tabela_registros[REGISTRO],DADOS!$N$4,tabela_registros[TIPO],DADOS!$P$3,tabela_registros[CATEGORIA],despesafixaconsolidadojun[[#This Row],[DESPESA FIXA]])</f>
        <v>0</v>
      </c>
      <c r="AI47" s="101">
        <f>SUMIFS(tabela_registros[VALOR],tabela_registros[MÊS],$AE$1,tabela_registros[DIA],juntotal3059718395[[#Headers],[31]],tabela_registros[REGISTRO],DADOS!$N$4,tabela_registros[TIPO],DADOS!$P$3,tabela_registros[CATEGORIA],despesafixaconsolidadojun[[#This Row],[DESPESA FIXA]])</f>
        <v>0</v>
      </c>
      <c r="AJ47" s="97">
        <f>SUM(despesafixaconsolidadojun[[#This Row],[1]:[31]])</f>
        <v>0</v>
      </c>
      <c r="AK47" s="28"/>
    </row>
    <row r="48" spans="2:37" ht="18" customHeight="1" thickTop="1" thickBot="1" x14ac:dyDescent="0.3">
      <c r="B48" s="28"/>
      <c r="C48" s="27" t="str">
        <f>DADOS!$R$14</f>
        <v>💊 SAÚDE</v>
      </c>
      <c r="D48" s="26" t="str">
        <f>IF(despesafixaconsolidadojun[[#This Row],[TOTAL]]=0,"",IF(OR(despesafixaconsolidadojun[[#This Row],[TOTAL]]=LARGE($AJ$37:$AJ$50,1),despesafixaconsolidadojun[[#This Row],[TOTAL]]=LARGE($AJ$37:$AJ$50,2),despesafixaconsolidadojun[[#This Row],[TOTAL]]=LARGE($AJ$37:$AJ$50,3),despesafixaconsolidadojun[[#This Row],[TOTAL]]=LARGE($AJ$37:$AJ$50,4),despesafixaconsolidadojun[[#This Row],[TOTAL]]=LARGE($AJ$37:$AJ$50,5)),DADOS!$I$8,""))</f>
        <v/>
      </c>
      <c r="E48" s="96">
        <f>SUMIFS(tabela_registros[VALOR],tabela_registros[MÊS],$AE$1,tabela_registros[DIA],juntotal3059718395[[#Headers],[1]],tabela_registros[REGISTRO],DADOS!$N$4,tabela_registros[TIPO],DADOS!$P$3,tabela_registros[CATEGORIA],despesafixaconsolidadojun[[#This Row],[DESPESA FIXA]])</f>
        <v>0</v>
      </c>
      <c r="F48" s="91">
        <f>SUMIFS(tabela_registros[VALOR],tabela_registros[MÊS],$AE$1,tabela_registros[DIA],juntotal3059718395[[#Headers],[2]],tabela_registros[REGISTRO],DADOS!$N$4,tabela_registros[TIPO],DADOS!$P$3,tabela_registros[CATEGORIA],despesafixaconsolidadojun[[#This Row],[DESPESA FIXA]])</f>
        <v>0</v>
      </c>
      <c r="G48" s="91">
        <f>SUMIFS(tabela_registros[VALOR],tabela_registros[MÊS],$AE$1,tabela_registros[DIA],juntotal3059718395[[#Headers],[3]],tabela_registros[REGISTRO],DADOS!$N$4,tabela_registros[TIPO],DADOS!$P$3,tabela_registros[CATEGORIA],despesafixaconsolidadojun[[#This Row],[DESPESA FIXA]])</f>
        <v>0</v>
      </c>
      <c r="H48" s="91">
        <f>SUMIFS(tabela_registros[VALOR],tabela_registros[MÊS],$AE$1,tabela_registros[DIA],juntotal3059718395[[#Headers],[4]],tabela_registros[REGISTRO],DADOS!$N$4,tabela_registros[TIPO],DADOS!$P$3,tabela_registros[CATEGORIA],despesafixaconsolidadojun[[#This Row],[DESPESA FIXA]])</f>
        <v>0</v>
      </c>
      <c r="I48" s="91">
        <f>SUMIFS(tabela_registros[VALOR],tabela_registros[MÊS],$AE$1,tabela_registros[DIA],juntotal3059718395[[#Headers],[5]],tabela_registros[REGISTRO],DADOS!$N$4,tabela_registros[TIPO],DADOS!$P$3,tabela_registros[CATEGORIA],despesafixaconsolidadojun[[#This Row],[DESPESA FIXA]])</f>
        <v>0</v>
      </c>
      <c r="J48" s="91">
        <f>SUMIFS(tabela_registros[VALOR],tabela_registros[MÊS],$AE$1,tabela_registros[DIA],juntotal3059718395[[#Headers],[6]],tabela_registros[REGISTRO],DADOS!$N$4,tabela_registros[TIPO],DADOS!$P$3,tabela_registros[CATEGORIA],despesafixaconsolidadojun[[#This Row],[DESPESA FIXA]])</f>
        <v>0</v>
      </c>
      <c r="K48" s="91">
        <f>SUMIFS(tabela_registros[VALOR],tabela_registros[MÊS],$AE$1,tabela_registros[DIA],juntotal3059718395[[#Headers],[7]],tabela_registros[REGISTRO],DADOS!$N$4,tabela_registros[TIPO],DADOS!$P$3,tabela_registros[CATEGORIA],despesafixaconsolidadojun[[#This Row],[DESPESA FIXA]])</f>
        <v>0</v>
      </c>
      <c r="L48" s="91">
        <f>SUMIFS(tabela_registros[VALOR],tabela_registros[MÊS],$AE$1,tabela_registros[DIA],juntotal3059718395[[#Headers],[8]],tabela_registros[REGISTRO],DADOS!$N$4,tabela_registros[TIPO],DADOS!$P$3,tabela_registros[CATEGORIA],despesafixaconsolidadojun[[#This Row],[DESPESA FIXA]])</f>
        <v>0</v>
      </c>
      <c r="M48" s="91">
        <f>SUMIFS(tabela_registros[VALOR],tabela_registros[MÊS],$AE$1,tabela_registros[DIA],juntotal3059718395[[#Headers],[9]],tabela_registros[REGISTRO],DADOS!$N$4,tabela_registros[TIPO],DADOS!$P$3,tabela_registros[CATEGORIA],despesafixaconsolidadojun[[#This Row],[DESPESA FIXA]])</f>
        <v>0</v>
      </c>
      <c r="N48" s="91">
        <f>SUMIFS(tabela_registros[VALOR],tabela_registros[MÊS],$AE$1,tabela_registros[DIA],juntotal3059718395[[#Headers],[10]],tabela_registros[REGISTRO],DADOS!$N$4,tabela_registros[TIPO],DADOS!$P$3,tabela_registros[CATEGORIA],despesafixaconsolidadojun[[#This Row],[DESPESA FIXA]])</f>
        <v>0</v>
      </c>
      <c r="O48" s="91">
        <f>SUMIFS(tabela_registros[VALOR],tabela_registros[MÊS],$AE$1,tabela_registros[DIA],juntotal3059718395[[#Headers],[11]],tabela_registros[REGISTRO],DADOS!$N$4,tabela_registros[TIPO],DADOS!$P$3,tabela_registros[CATEGORIA],despesafixaconsolidadojun[[#This Row],[DESPESA FIXA]])</f>
        <v>0</v>
      </c>
      <c r="P48" s="91">
        <f>SUMIFS(tabela_registros[VALOR],tabela_registros[MÊS],$AE$1,tabela_registros[DIA],juntotal3059718395[[#Headers],[12]],tabela_registros[REGISTRO],DADOS!$N$4,tabela_registros[TIPO],DADOS!$P$3,tabela_registros[CATEGORIA],despesafixaconsolidadojun[[#This Row],[DESPESA FIXA]])</f>
        <v>0</v>
      </c>
      <c r="Q48" s="91">
        <f>SUMIFS(tabela_registros[VALOR],tabela_registros[MÊS],$AE$1,tabela_registros[DIA],juntotal3059718395[[#Headers],[13]],tabela_registros[REGISTRO],DADOS!$N$4,tabela_registros[TIPO],DADOS!$P$3,tabela_registros[CATEGORIA],despesafixaconsolidadojun[[#This Row],[DESPESA FIXA]])</f>
        <v>0</v>
      </c>
      <c r="R48" s="91">
        <f>SUMIFS(tabela_registros[VALOR],tabela_registros[MÊS],$AE$1,tabela_registros[DIA],juntotal3059718395[[#Headers],[14]],tabela_registros[REGISTRO],DADOS!$N$4,tabela_registros[TIPO],DADOS!$P$3,tabela_registros[CATEGORIA],despesafixaconsolidadojun[[#This Row],[DESPESA FIXA]])</f>
        <v>0</v>
      </c>
      <c r="S48" s="91">
        <f>SUMIFS(tabela_registros[VALOR],tabela_registros[MÊS],$AE$1,tabela_registros[DIA],juntotal3059718395[[#Headers],[15]],tabela_registros[REGISTRO],DADOS!$N$4,tabela_registros[TIPO],DADOS!$P$3,tabela_registros[CATEGORIA],despesafixaconsolidadojun[[#This Row],[DESPESA FIXA]])</f>
        <v>0</v>
      </c>
      <c r="T48" s="91">
        <f>SUMIFS(tabela_registros[VALOR],tabela_registros[MÊS],$AE$1,tabela_registros[DIA],juntotal3059718395[[#Headers],[16]],tabela_registros[REGISTRO],DADOS!$N$4,tabela_registros[TIPO],DADOS!$P$3,tabela_registros[CATEGORIA],despesafixaconsolidadojun[[#This Row],[DESPESA FIXA]])</f>
        <v>0</v>
      </c>
      <c r="U48" s="91">
        <f>SUMIFS(tabela_registros[VALOR],tabela_registros[MÊS],$AE$1,tabela_registros[DIA],juntotal3059718395[[#Headers],[17]],tabela_registros[REGISTRO],DADOS!$N$4,tabela_registros[TIPO],DADOS!$P$3,tabela_registros[CATEGORIA],despesafixaconsolidadojun[[#This Row],[DESPESA FIXA]])</f>
        <v>0</v>
      </c>
      <c r="V48" s="91">
        <f>SUMIFS(tabela_registros[VALOR],tabela_registros[MÊS],$AE$1,tabela_registros[DIA],juntotal3059718395[[#Headers],[18]],tabela_registros[REGISTRO],DADOS!$N$4,tabela_registros[TIPO],DADOS!$P$3,tabela_registros[CATEGORIA],despesafixaconsolidadojun[[#This Row],[DESPESA FIXA]])</f>
        <v>0</v>
      </c>
      <c r="W48" s="91">
        <f>SUMIFS(tabela_registros[VALOR],tabela_registros[MÊS],$AE$1,tabela_registros[DIA],juntotal3059718395[[#Headers],[19]],tabela_registros[REGISTRO],DADOS!$N$4,tabela_registros[TIPO],DADOS!$P$3,tabela_registros[CATEGORIA],despesafixaconsolidadojun[[#This Row],[DESPESA FIXA]])</f>
        <v>0</v>
      </c>
      <c r="X48" s="91">
        <f>SUMIFS(tabela_registros[VALOR],tabela_registros[MÊS],$AE$1,tabela_registros[DIA],juntotal3059718395[[#Headers],[20]],tabela_registros[REGISTRO],DADOS!$N$4,tabela_registros[TIPO],DADOS!$P$3,tabela_registros[CATEGORIA],despesafixaconsolidadojun[[#This Row],[DESPESA FIXA]])</f>
        <v>0</v>
      </c>
      <c r="Y48" s="91">
        <f>SUMIFS(tabela_registros[VALOR],tabela_registros[MÊS],$AE$1,tabela_registros[DIA],juntotal3059718395[[#Headers],[21]],tabela_registros[REGISTRO],DADOS!$N$4,tabela_registros[TIPO],DADOS!$P$3,tabela_registros[CATEGORIA],despesafixaconsolidadojun[[#This Row],[DESPESA FIXA]])</f>
        <v>0</v>
      </c>
      <c r="Z48" s="91">
        <f>SUMIFS(tabela_registros[VALOR],tabela_registros[MÊS],$AE$1,tabela_registros[DIA],juntotal3059718395[[#Headers],[22]],tabela_registros[REGISTRO],DADOS!$N$4,tabela_registros[TIPO],DADOS!$P$3,tabela_registros[CATEGORIA],despesafixaconsolidadojun[[#This Row],[DESPESA FIXA]])</f>
        <v>0</v>
      </c>
      <c r="AA48" s="91">
        <f>SUMIFS(tabela_registros[VALOR],tabela_registros[MÊS],$AE$1,tabela_registros[DIA],juntotal3059718395[[#Headers],[23]],tabela_registros[REGISTRO],DADOS!$N$4,tabela_registros[TIPO],DADOS!$P$3,tabela_registros[CATEGORIA],despesafixaconsolidadojun[[#This Row],[DESPESA FIXA]])</f>
        <v>0</v>
      </c>
      <c r="AB48" s="91">
        <f>SUMIFS(tabela_registros[VALOR],tabela_registros[MÊS],$AE$1,tabela_registros[DIA],juntotal3059718395[[#Headers],[24]],tabela_registros[REGISTRO],DADOS!$N$4,tabela_registros[TIPO],DADOS!$P$3,tabela_registros[CATEGORIA],despesafixaconsolidadojun[[#This Row],[DESPESA FIXA]])</f>
        <v>0</v>
      </c>
      <c r="AC48" s="91">
        <f>SUMIFS(tabela_registros[VALOR],tabela_registros[MÊS],$AE$1,tabela_registros[DIA],juntotal3059718395[[#Headers],[25]],tabela_registros[REGISTRO],DADOS!$N$4,tabela_registros[TIPO],DADOS!$P$3,tabela_registros[CATEGORIA],despesafixaconsolidadojun[[#This Row],[DESPESA FIXA]])</f>
        <v>0</v>
      </c>
      <c r="AD48" s="91">
        <f>SUMIFS(tabela_registros[VALOR],tabela_registros[MÊS],$AE$1,tabela_registros[DIA],juntotal3059718395[[#Headers],[26]],tabela_registros[REGISTRO],DADOS!$N$4,tabela_registros[TIPO],DADOS!$P$3,tabela_registros[CATEGORIA],despesafixaconsolidadojun[[#This Row],[DESPESA FIXA]])</f>
        <v>0</v>
      </c>
      <c r="AE48" s="91">
        <f>SUMIFS(tabela_registros[VALOR],tabela_registros[MÊS],$AE$1,tabela_registros[DIA],juntotal3059718395[[#Headers],[27]],tabela_registros[REGISTRO],DADOS!$N$4,tabela_registros[TIPO],DADOS!$P$3,tabela_registros[CATEGORIA],despesafixaconsolidadojun[[#This Row],[DESPESA FIXA]])</f>
        <v>0</v>
      </c>
      <c r="AF48" s="91">
        <f>SUMIFS(tabela_registros[VALOR],tabela_registros[MÊS],$AE$1,tabela_registros[DIA],juntotal3059718395[[#Headers],[28]],tabela_registros[REGISTRO],DADOS!$N$4,tabela_registros[TIPO],DADOS!$P$3,tabela_registros[CATEGORIA],despesafixaconsolidadojun[[#This Row],[DESPESA FIXA]])</f>
        <v>0</v>
      </c>
      <c r="AG48" s="91">
        <f>SUMIFS(tabela_registros[VALOR],tabela_registros[MÊS],$AE$1,tabela_registros[DIA],juntotal3059718395[[#Headers],[29]],tabela_registros[REGISTRO],DADOS!$N$4,tabela_registros[TIPO],DADOS!$P$3,tabela_registros[CATEGORIA],despesafixaconsolidadojun[[#This Row],[DESPESA FIXA]])</f>
        <v>0</v>
      </c>
      <c r="AH48" s="91">
        <f>SUMIFS(tabela_registros[VALOR],tabela_registros[MÊS],$AE$1,tabela_registros[DIA],juntotal3059718395[[#Headers],[30]],tabela_registros[REGISTRO],DADOS!$N$4,tabela_registros[TIPO],DADOS!$P$3,tabela_registros[CATEGORIA],despesafixaconsolidadojun[[#This Row],[DESPESA FIXA]])</f>
        <v>0</v>
      </c>
      <c r="AI48" s="101">
        <f>SUMIFS(tabela_registros[VALOR],tabela_registros[MÊS],$AE$1,tabela_registros[DIA],juntotal3059718395[[#Headers],[31]],tabela_registros[REGISTRO],DADOS!$N$4,tabela_registros[TIPO],DADOS!$P$3,tabela_registros[CATEGORIA],despesafixaconsolidadojun[[#This Row],[DESPESA FIXA]])</f>
        <v>0</v>
      </c>
      <c r="AJ48" s="97">
        <f>SUM(despesafixaconsolidadojun[[#This Row],[1]:[31]])</f>
        <v>0</v>
      </c>
      <c r="AK48" s="28"/>
    </row>
    <row r="49" spans="2:37" ht="18" customHeight="1" thickTop="1" thickBot="1" x14ac:dyDescent="0.3">
      <c r="B49" s="28"/>
      <c r="C49" s="27" t="str">
        <f>DADOS!$R$15</f>
        <v>📞 TELEFONE</v>
      </c>
      <c r="D49" s="26" t="str">
        <f>IF(despesafixaconsolidadojun[[#This Row],[TOTAL]]=0,"",IF(OR(despesafixaconsolidadojun[[#This Row],[TOTAL]]=LARGE($AJ$37:$AJ$50,1),despesafixaconsolidadojun[[#This Row],[TOTAL]]=LARGE($AJ$37:$AJ$50,2),despesafixaconsolidadojun[[#This Row],[TOTAL]]=LARGE($AJ$37:$AJ$50,3),despesafixaconsolidadojun[[#This Row],[TOTAL]]=LARGE($AJ$37:$AJ$50,4),despesafixaconsolidadojun[[#This Row],[TOTAL]]=LARGE($AJ$37:$AJ$50,5)),DADOS!$I$8,""))</f>
        <v/>
      </c>
      <c r="E49" s="96">
        <f>SUMIFS(tabela_registros[VALOR],tabela_registros[MÊS],$AE$1,tabela_registros[DIA],juntotal3059718395[[#Headers],[1]],tabela_registros[REGISTRO],DADOS!$N$4,tabela_registros[TIPO],DADOS!$P$3,tabela_registros[CATEGORIA],despesafixaconsolidadojun[[#This Row],[DESPESA FIXA]])</f>
        <v>0</v>
      </c>
      <c r="F49" s="91">
        <f>SUMIFS(tabela_registros[VALOR],tabela_registros[MÊS],$AE$1,tabela_registros[DIA],juntotal3059718395[[#Headers],[2]],tabela_registros[REGISTRO],DADOS!$N$4,tabela_registros[TIPO],DADOS!$P$3,tabela_registros[CATEGORIA],despesafixaconsolidadojun[[#This Row],[DESPESA FIXA]])</f>
        <v>0</v>
      </c>
      <c r="G49" s="91">
        <f>SUMIFS(tabela_registros[VALOR],tabela_registros[MÊS],$AE$1,tabela_registros[DIA],juntotal3059718395[[#Headers],[3]],tabela_registros[REGISTRO],DADOS!$N$4,tabela_registros[TIPO],DADOS!$P$3,tabela_registros[CATEGORIA],despesafixaconsolidadojun[[#This Row],[DESPESA FIXA]])</f>
        <v>0</v>
      </c>
      <c r="H49" s="91">
        <f>SUMIFS(tabela_registros[VALOR],tabela_registros[MÊS],$AE$1,tabela_registros[DIA],juntotal3059718395[[#Headers],[4]],tabela_registros[REGISTRO],DADOS!$N$4,tabela_registros[TIPO],DADOS!$P$3,tabela_registros[CATEGORIA],despesafixaconsolidadojun[[#This Row],[DESPESA FIXA]])</f>
        <v>0</v>
      </c>
      <c r="I49" s="91">
        <f>SUMIFS(tabela_registros[VALOR],tabela_registros[MÊS],$AE$1,tabela_registros[DIA],juntotal3059718395[[#Headers],[5]],tabela_registros[REGISTRO],DADOS!$N$4,tabela_registros[TIPO],DADOS!$P$3,tabela_registros[CATEGORIA],despesafixaconsolidadojun[[#This Row],[DESPESA FIXA]])</f>
        <v>0</v>
      </c>
      <c r="J49" s="91">
        <f>SUMIFS(tabela_registros[VALOR],tabela_registros[MÊS],$AE$1,tabela_registros[DIA],juntotal3059718395[[#Headers],[6]],tabela_registros[REGISTRO],DADOS!$N$4,tabela_registros[TIPO],DADOS!$P$3,tabela_registros[CATEGORIA],despesafixaconsolidadojun[[#This Row],[DESPESA FIXA]])</f>
        <v>0</v>
      </c>
      <c r="K49" s="91">
        <f>SUMIFS(tabela_registros[VALOR],tabela_registros[MÊS],$AE$1,tabela_registros[DIA],juntotal3059718395[[#Headers],[7]],tabela_registros[REGISTRO],DADOS!$N$4,tabela_registros[TIPO],DADOS!$P$3,tabela_registros[CATEGORIA],despesafixaconsolidadojun[[#This Row],[DESPESA FIXA]])</f>
        <v>0</v>
      </c>
      <c r="L49" s="91">
        <f>SUMIFS(tabela_registros[VALOR],tabela_registros[MÊS],$AE$1,tabela_registros[DIA],juntotal3059718395[[#Headers],[8]],tabela_registros[REGISTRO],DADOS!$N$4,tabela_registros[TIPO],DADOS!$P$3,tabela_registros[CATEGORIA],despesafixaconsolidadojun[[#This Row],[DESPESA FIXA]])</f>
        <v>0</v>
      </c>
      <c r="M49" s="91">
        <f>SUMIFS(tabela_registros[VALOR],tabela_registros[MÊS],$AE$1,tabela_registros[DIA],juntotal3059718395[[#Headers],[9]],tabela_registros[REGISTRO],DADOS!$N$4,tabela_registros[TIPO],DADOS!$P$3,tabela_registros[CATEGORIA],despesafixaconsolidadojun[[#This Row],[DESPESA FIXA]])</f>
        <v>0</v>
      </c>
      <c r="N49" s="91">
        <f>SUMIFS(tabela_registros[VALOR],tabela_registros[MÊS],$AE$1,tabela_registros[DIA],juntotal3059718395[[#Headers],[10]],tabela_registros[REGISTRO],DADOS!$N$4,tabela_registros[TIPO],DADOS!$P$3,tabela_registros[CATEGORIA],despesafixaconsolidadojun[[#This Row],[DESPESA FIXA]])</f>
        <v>0</v>
      </c>
      <c r="O49" s="91">
        <f>SUMIFS(tabela_registros[VALOR],tabela_registros[MÊS],$AE$1,tabela_registros[DIA],juntotal3059718395[[#Headers],[11]],tabela_registros[REGISTRO],DADOS!$N$4,tabela_registros[TIPO],DADOS!$P$3,tabela_registros[CATEGORIA],despesafixaconsolidadojun[[#This Row],[DESPESA FIXA]])</f>
        <v>0</v>
      </c>
      <c r="P49" s="91">
        <f>SUMIFS(tabela_registros[VALOR],tabela_registros[MÊS],$AE$1,tabela_registros[DIA],juntotal3059718395[[#Headers],[12]],tabela_registros[REGISTRO],DADOS!$N$4,tabela_registros[TIPO],DADOS!$P$3,tabela_registros[CATEGORIA],despesafixaconsolidadojun[[#This Row],[DESPESA FIXA]])</f>
        <v>0</v>
      </c>
      <c r="Q49" s="91">
        <f>SUMIFS(tabela_registros[VALOR],tabela_registros[MÊS],$AE$1,tabela_registros[DIA],juntotal3059718395[[#Headers],[13]],tabela_registros[REGISTRO],DADOS!$N$4,tabela_registros[TIPO],DADOS!$P$3,tabela_registros[CATEGORIA],despesafixaconsolidadojun[[#This Row],[DESPESA FIXA]])</f>
        <v>0</v>
      </c>
      <c r="R49" s="91">
        <f>SUMIFS(tabela_registros[VALOR],tabela_registros[MÊS],$AE$1,tabela_registros[DIA],juntotal3059718395[[#Headers],[14]],tabela_registros[REGISTRO],DADOS!$N$4,tabela_registros[TIPO],DADOS!$P$3,tabela_registros[CATEGORIA],despesafixaconsolidadojun[[#This Row],[DESPESA FIXA]])</f>
        <v>0</v>
      </c>
      <c r="S49" s="91">
        <f>SUMIFS(tabela_registros[VALOR],tabela_registros[MÊS],$AE$1,tabela_registros[DIA],juntotal3059718395[[#Headers],[15]],tabela_registros[REGISTRO],DADOS!$N$4,tabela_registros[TIPO],DADOS!$P$3,tabela_registros[CATEGORIA],despesafixaconsolidadojun[[#This Row],[DESPESA FIXA]])</f>
        <v>0</v>
      </c>
      <c r="T49" s="91">
        <f>SUMIFS(tabela_registros[VALOR],tabela_registros[MÊS],$AE$1,tabela_registros[DIA],juntotal3059718395[[#Headers],[16]],tabela_registros[REGISTRO],DADOS!$N$4,tabela_registros[TIPO],DADOS!$P$3,tabela_registros[CATEGORIA],despesafixaconsolidadojun[[#This Row],[DESPESA FIXA]])</f>
        <v>0</v>
      </c>
      <c r="U49" s="91">
        <f>SUMIFS(tabela_registros[VALOR],tabela_registros[MÊS],$AE$1,tabela_registros[DIA],juntotal3059718395[[#Headers],[17]],tabela_registros[REGISTRO],DADOS!$N$4,tabela_registros[TIPO],DADOS!$P$3,tabela_registros[CATEGORIA],despesafixaconsolidadojun[[#This Row],[DESPESA FIXA]])</f>
        <v>0</v>
      </c>
      <c r="V49" s="91">
        <f>SUMIFS(tabela_registros[VALOR],tabela_registros[MÊS],$AE$1,tabela_registros[DIA],juntotal3059718395[[#Headers],[18]],tabela_registros[REGISTRO],DADOS!$N$4,tabela_registros[TIPO],DADOS!$P$3,tabela_registros[CATEGORIA],despesafixaconsolidadojun[[#This Row],[DESPESA FIXA]])</f>
        <v>0</v>
      </c>
      <c r="W49" s="91">
        <f>SUMIFS(tabela_registros[VALOR],tabela_registros[MÊS],$AE$1,tabela_registros[DIA],juntotal3059718395[[#Headers],[19]],tabela_registros[REGISTRO],DADOS!$N$4,tabela_registros[TIPO],DADOS!$P$3,tabela_registros[CATEGORIA],despesafixaconsolidadojun[[#This Row],[DESPESA FIXA]])</f>
        <v>0</v>
      </c>
      <c r="X49" s="91">
        <f>SUMIFS(tabela_registros[VALOR],tabela_registros[MÊS],$AE$1,tabela_registros[DIA],juntotal3059718395[[#Headers],[20]],tabela_registros[REGISTRO],DADOS!$N$4,tabela_registros[TIPO],DADOS!$P$3,tabela_registros[CATEGORIA],despesafixaconsolidadojun[[#This Row],[DESPESA FIXA]])</f>
        <v>0</v>
      </c>
      <c r="Y49" s="91">
        <f>SUMIFS(tabela_registros[VALOR],tabela_registros[MÊS],$AE$1,tabela_registros[DIA],juntotal3059718395[[#Headers],[21]],tabela_registros[REGISTRO],DADOS!$N$4,tabela_registros[TIPO],DADOS!$P$3,tabela_registros[CATEGORIA],despesafixaconsolidadojun[[#This Row],[DESPESA FIXA]])</f>
        <v>0</v>
      </c>
      <c r="Z49" s="91">
        <f>SUMIFS(tabela_registros[VALOR],tabela_registros[MÊS],$AE$1,tabela_registros[DIA],juntotal3059718395[[#Headers],[22]],tabela_registros[REGISTRO],DADOS!$N$4,tabela_registros[TIPO],DADOS!$P$3,tabela_registros[CATEGORIA],despesafixaconsolidadojun[[#This Row],[DESPESA FIXA]])</f>
        <v>0</v>
      </c>
      <c r="AA49" s="91">
        <f>SUMIFS(tabela_registros[VALOR],tabela_registros[MÊS],$AE$1,tabela_registros[DIA],juntotal3059718395[[#Headers],[23]],tabela_registros[REGISTRO],DADOS!$N$4,tabela_registros[TIPO],DADOS!$P$3,tabela_registros[CATEGORIA],despesafixaconsolidadojun[[#This Row],[DESPESA FIXA]])</f>
        <v>0</v>
      </c>
      <c r="AB49" s="91">
        <f>SUMIFS(tabela_registros[VALOR],tabela_registros[MÊS],$AE$1,tabela_registros[DIA],juntotal3059718395[[#Headers],[24]],tabela_registros[REGISTRO],DADOS!$N$4,tabela_registros[TIPO],DADOS!$P$3,tabela_registros[CATEGORIA],despesafixaconsolidadojun[[#This Row],[DESPESA FIXA]])</f>
        <v>0</v>
      </c>
      <c r="AC49" s="91">
        <f>SUMIFS(tabela_registros[VALOR],tabela_registros[MÊS],$AE$1,tabela_registros[DIA],juntotal3059718395[[#Headers],[25]],tabela_registros[REGISTRO],DADOS!$N$4,tabela_registros[TIPO],DADOS!$P$3,tabela_registros[CATEGORIA],despesafixaconsolidadojun[[#This Row],[DESPESA FIXA]])</f>
        <v>0</v>
      </c>
      <c r="AD49" s="91">
        <f>SUMIFS(tabela_registros[VALOR],tabela_registros[MÊS],$AE$1,tabela_registros[DIA],juntotal3059718395[[#Headers],[26]],tabela_registros[REGISTRO],DADOS!$N$4,tabela_registros[TIPO],DADOS!$P$3,tabela_registros[CATEGORIA],despesafixaconsolidadojun[[#This Row],[DESPESA FIXA]])</f>
        <v>0</v>
      </c>
      <c r="AE49" s="91">
        <f>SUMIFS(tabela_registros[VALOR],tabela_registros[MÊS],$AE$1,tabela_registros[DIA],juntotal3059718395[[#Headers],[27]],tabela_registros[REGISTRO],DADOS!$N$4,tabela_registros[TIPO],DADOS!$P$3,tabela_registros[CATEGORIA],despesafixaconsolidadojun[[#This Row],[DESPESA FIXA]])</f>
        <v>0</v>
      </c>
      <c r="AF49" s="91">
        <f>SUMIFS(tabela_registros[VALOR],tabela_registros[MÊS],$AE$1,tabela_registros[DIA],juntotal3059718395[[#Headers],[28]],tabela_registros[REGISTRO],DADOS!$N$4,tabela_registros[TIPO],DADOS!$P$3,tabela_registros[CATEGORIA],despesafixaconsolidadojun[[#This Row],[DESPESA FIXA]])</f>
        <v>0</v>
      </c>
      <c r="AG49" s="91">
        <f>SUMIFS(tabela_registros[VALOR],tabela_registros[MÊS],$AE$1,tabela_registros[DIA],juntotal3059718395[[#Headers],[29]],tabela_registros[REGISTRO],DADOS!$N$4,tabela_registros[TIPO],DADOS!$P$3,tabela_registros[CATEGORIA],despesafixaconsolidadojun[[#This Row],[DESPESA FIXA]])</f>
        <v>0</v>
      </c>
      <c r="AH49" s="91">
        <f>SUMIFS(tabela_registros[VALOR],tabela_registros[MÊS],$AE$1,tabela_registros[DIA],juntotal3059718395[[#Headers],[30]],tabela_registros[REGISTRO],DADOS!$N$4,tabela_registros[TIPO],DADOS!$P$3,tabela_registros[CATEGORIA],despesafixaconsolidadojun[[#This Row],[DESPESA FIXA]])</f>
        <v>0</v>
      </c>
      <c r="AI49" s="101">
        <f>SUMIFS(tabela_registros[VALOR],tabela_registros[MÊS],$AE$1,tabela_registros[DIA],juntotal3059718395[[#Headers],[31]],tabela_registros[REGISTRO],DADOS!$N$4,tabela_registros[TIPO],DADOS!$P$3,tabela_registros[CATEGORIA],despesafixaconsolidadojun[[#This Row],[DESPESA FIXA]])</f>
        <v>0</v>
      </c>
      <c r="AJ49" s="97">
        <f>SUM(despesafixaconsolidadojun[[#This Row],[1]:[31]])</f>
        <v>0</v>
      </c>
      <c r="AK49" s="28"/>
    </row>
    <row r="50" spans="2:37" ht="18" customHeight="1" thickTop="1" thickBot="1" x14ac:dyDescent="0.3">
      <c r="B50" s="28"/>
      <c r="C50" s="27" t="str">
        <f>DADOS!$R$16</f>
        <v>📎 OUTROS</v>
      </c>
      <c r="D50" s="26" t="str">
        <f>IF(despesafixaconsolidadojun[[#This Row],[TOTAL]]=0,"",IF(OR(despesafixaconsolidadojun[[#This Row],[TOTAL]]=LARGE($AJ$37:$AJ$50,1),despesafixaconsolidadojun[[#This Row],[TOTAL]]=LARGE($AJ$37:$AJ$50,2),despesafixaconsolidadojun[[#This Row],[TOTAL]]=LARGE($AJ$37:$AJ$50,3),despesafixaconsolidadojun[[#This Row],[TOTAL]]=LARGE($AJ$37:$AJ$50,4),despesafixaconsolidadojun[[#This Row],[TOTAL]]=LARGE($AJ$37:$AJ$50,5)),DADOS!$I$8,""))</f>
        <v/>
      </c>
      <c r="E50" s="98">
        <f>SUMIFS(tabela_registros[VALOR],tabela_registros[MÊS],$AE$1,tabela_registros[DIA],juntotal3059718395[[#Headers],[1]],tabela_registros[REGISTRO],DADOS!$N$4,tabela_registros[TIPO],DADOS!$P$3,tabela_registros[CATEGORIA],despesafixaconsolidadojun[[#This Row],[DESPESA FIXA]])</f>
        <v>0</v>
      </c>
      <c r="F50" s="99">
        <f>SUMIFS(tabela_registros[VALOR],tabela_registros[MÊS],$AE$1,tabela_registros[DIA],juntotal3059718395[[#Headers],[2]],tabela_registros[REGISTRO],DADOS!$N$4,tabela_registros[TIPO],DADOS!$P$3,tabela_registros[CATEGORIA],despesafixaconsolidadojun[[#This Row],[DESPESA FIXA]])</f>
        <v>0</v>
      </c>
      <c r="G50" s="99">
        <f>SUMIFS(tabela_registros[VALOR],tabela_registros[MÊS],$AE$1,tabela_registros[DIA],juntotal3059718395[[#Headers],[3]],tabela_registros[REGISTRO],DADOS!$N$4,tabela_registros[TIPO],DADOS!$P$3,tabela_registros[CATEGORIA],despesafixaconsolidadojun[[#This Row],[DESPESA FIXA]])</f>
        <v>0</v>
      </c>
      <c r="H50" s="99">
        <f>SUMIFS(tabela_registros[VALOR],tabela_registros[MÊS],$AE$1,tabela_registros[DIA],juntotal3059718395[[#Headers],[4]],tabela_registros[REGISTRO],DADOS!$N$4,tabela_registros[TIPO],DADOS!$P$3,tabela_registros[CATEGORIA],despesafixaconsolidadojun[[#This Row],[DESPESA FIXA]])</f>
        <v>0</v>
      </c>
      <c r="I50" s="99">
        <f>SUMIFS(tabela_registros[VALOR],tabela_registros[MÊS],$AE$1,tabela_registros[DIA],juntotal3059718395[[#Headers],[5]],tabela_registros[REGISTRO],DADOS!$N$4,tabela_registros[TIPO],DADOS!$P$3,tabela_registros[CATEGORIA],despesafixaconsolidadojun[[#This Row],[DESPESA FIXA]])</f>
        <v>0</v>
      </c>
      <c r="J50" s="99">
        <f>SUMIFS(tabela_registros[VALOR],tabela_registros[MÊS],$AE$1,tabela_registros[DIA],juntotal3059718395[[#Headers],[6]],tabela_registros[REGISTRO],DADOS!$N$4,tabela_registros[TIPO],DADOS!$P$3,tabela_registros[CATEGORIA],despesafixaconsolidadojun[[#This Row],[DESPESA FIXA]])</f>
        <v>0</v>
      </c>
      <c r="K50" s="99">
        <f>SUMIFS(tabela_registros[VALOR],tabela_registros[MÊS],$AE$1,tabela_registros[DIA],juntotal3059718395[[#Headers],[7]],tabela_registros[REGISTRO],DADOS!$N$4,tabela_registros[TIPO],DADOS!$P$3,tabela_registros[CATEGORIA],despesafixaconsolidadojun[[#This Row],[DESPESA FIXA]])</f>
        <v>0</v>
      </c>
      <c r="L50" s="99">
        <f>SUMIFS(tabela_registros[VALOR],tabela_registros[MÊS],$AE$1,tabela_registros[DIA],juntotal3059718395[[#Headers],[8]],tabela_registros[REGISTRO],DADOS!$N$4,tabela_registros[TIPO],DADOS!$P$3,tabela_registros[CATEGORIA],despesafixaconsolidadojun[[#This Row],[DESPESA FIXA]])</f>
        <v>0</v>
      </c>
      <c r="M50" s="99">
        <f>SUMIFS(tabela_registros[VALOR],tabela_registros[MÊS],$AE$1,tabela_registros[DIA],juntotal3059718395[[#Headers],[9]],tabela_registros[REGISTRO],DADOS!$N$4,tabela_registros[TIPO],DADOS!$P$3,tabela_registros[CATEGORIA],despesafixaconsolidadojun[[#This Row],[DESPESA FIXA]])</f>
        <v>0</v>
      </c>
      <c r="N50" s="99">
        <f>SUMIFS(tabela_registros[VALOR],tabela_registros[MÊS],$AE$1,tabela_registros[DIA],juntotal3059718395[[#Headers],[10]],tabela_registros[REGISTRO],DADOS!$N$4,tabela_registros[TIPO],DADOS!$P$3,tabela_registros[CATEGORIA],despesafixaconsolidadojun[[#This Row],[DESPESA FIXA]])</f>
        <v>0</v>
      </c>
      <c r="O50" s="99">
        <f>SUMIFS(tabela_registros[VALOR],tabela_registros[MÊS],$AE$1,tabela_registros[DIA],juntotal3059718395[[#Headers],[11]],tabela_registros[REGISTRO],DADOS!$N$4,tabela_registros[TIPO],DADOS!$P$3,tabela_registros[CATEGORIA],despesafixaconsolidadojun[[#This Row],[DESPESA FIXA]])</f>
        <v>0</v>
      </c>
      <c r="P50" s="99">
        <f>SUMIFS(tabela_registros[VALOR],tabela_registros[MÊS],$AE$1,tabela_registros[DIA],juntotal3059718395[[#Headers],[12]],tabela_registros[REGISTRO],DADOS!$N$4,tabela_registros[TIPO],DADOS!$P$3,tabela_registros[CATEGORIA],despesafixaconsolidadojun[[#This Row],[DESPESA FIXA]])</f>
        <v>0</v>
      </c>
      <c r="Q50" s="99">
        <f>SUMIFS(tabela_registros[VALOR],tabela_registros[MÊS],$AE$1,tabela_registros[DIA],juntotal3059718395[[#Headers],[13]],tabela_registros[REGISTRO],DADOS!$N$4,tabela_registros[TIPO],DADOS!$P$3,tabela_registros[CATEGORIA],despesafixaconsolidadojun[[#This Row],[DESPESA FIXA]])</f>
        <v>0</v>
      </c>
      <c r="R50" s="99">
        <f>SUMIFS(tabela_registros[VALOR],tabela_registros[MÊS],$AE$1,tabela_registros[DIA],juntotal3059718395[[#Headers],[14]],tabela_registros[REGISTRO],DADOS!$N$4,tabela_registros[TIPO],DADOS!$P$3,tabela_registros[CATEGORIA],despesafixaconsolidadojun[[#This Row],[DESPESA FIXA]])</f>
        <v>0</v>
      </c>
      <c r="S50" s="99">
        <f>SUMIFS(tabela_registros[VALOR],tabela_registros[MÊS],$AE$1,tabela_registros[DIA],juntotal3059718395[[#Headers],[15]],tabela_registros[REGISTRO],DADOS!$N$4,tabela_registros[TIPO],DADOS!$P$3,tabela_registros[CATEGORIA],despesafixaconsolidadojun[[#This Row],[DESPESA FIXA]])</f>
        <v>0</v>
      </c>
      <c r="T50" s="99">
        <f>SUMIFS(tabela_registros[VALOR],tabela_registros[MÊS],$AE$1,tabela_registros[DIA],juntotal3059718395[[#Headers],[16]],tabela_registros[REGISTRO],DADOS!$N$4,tabela_registros[TIPO],DADOS!$P$3,tabela_registros[CATEGORIA],despesafixaconsolidadojun[[#This Row],[DESPESA FIXA]])</f>
        <v>0</v>
      </c>
      <c r="U50" s="99">
        <f>SUMIFS(tabela_registros[VALOR],tabela_registros[MÊS],$AE$1,tabela_registros[DIA],juntotal3059718395[[#Headers],[17]],tabela_registros[REGISTRO],DADOS!$N$4,tabela_registros[TIPO],DADOS!$P$3,tabela_registros[CATEGORIA],despesafixaconsolidadojun[[#This Row],[DESPESA FIXA]])</f>
        <v>0</v>
      </c>
      <c r="V50" s="99">
        <f>SUMIFS(tabela_registros[VALOR],tabela_registros[MÊS],$AE$1,tabela_registros[DIA],juntotal3059718395[[#Headers],[18]],tabela_registros[REGISTRO],DADOS!$N$4,tabela_registros[TIPO],DADOS!$P$3,tabela_registros[CATEGORIA],despesafixaconsolidadojun[[#This Row],[DESPESA FIXA]])</f>
        <v>0</v>
      </c>
      <c r="W50" s="99">
        <f>SUMIFS(tabela_registros[VALOR],tabela_registros[MÊS],$AE$1,tabela_registros[DIA],juntotal3059718395[[#Headers],[19]],tabela_registros[REGISTRO],DADOS!$N$4,tabela_registros[TIPO],DADOS!$P$3,tabela_registros[CATEGORIA],despesafixaconsolidadojun[[#This Row],[DESPESA FIXA]])</f>
        <v>0</v>
      </c>
      <c r="X50" s="99">
        <f>SUMIFS(tabela_registros[VALOR],tabela_registros[MÊS],$AE$1,tabela_registros[DIA],juntotal3059718395[[#Headers],[20]],tabela_registros[REGISTRO],DADOS!$N$4,tabela_registros[TIPO],DADOS!$P$3,tabela_registros[CATEGORIA],despesafixaconsolidadojun[[#This Row],[DESPESA FIXA]])</f>
        <v>0</v>
      </c>
      <c r="Y50" s="99">
        <f>SUMIFS(tabela_registros[VALOR],tabela_registros[MÊS],$AE$1,tabela_registros[DIA],juntotal3059718395[[#Headers],[21]],tabela_registros[REGISTRO],DADOS!$N$4,tabela_registros[TIPO],DADOS!$P$3,tabela_registros[CATEGORIA],despesafixaconsolidadojun[[#This Row],[DESPESA FIXA]])</f>
        <v>0</v>
      </c>
      <c r="Z50" s="99">
        <f>SUMIFS(tabela_registros[VALOR],tabela_registros[MÊS],$AE$1,tabela_registros[DIA],juntotal3059718395[[#Headers],[22]],tabela_registros[REGISTRO],DADOS!$N$4,tabela_registros[TIPO],DADOS!$P$3,tabela_registros[CATEGORIA],despesafixaconsolidadojun[[#This Row],[DESPESA FIXA]])</f>
        <v>0</v>
      </c>
      <c r="AA50" s="99">
        <f>SUMIFS(tabela_registros[VALOR],tabela_registros[MÊS],$AE$1,tabela_registros[DIA],juntotal3059718395[[#Headers],[23]],tabela_registros[REGISTRO],DADOS!$N$4,tabela_registros[TIPO],DADOS!$P$3,tabela_registros[CATEGORIA],despesafixaconsolidadojun[[#This Row],[DESPESA FIXA]])</f>
        <v>0</v>
      </c>
      <c r="AB50" s="99">
        <f>SUMIFS(tabela_registros[VALOR],tabela_registros[MÊS],$AE$1,tabela_registros[DIA],juntotal3059718395[[#Headers],[24]],tabela_registros[REGISTRO],DADOS!$N$4,tabela_registros[TIPO],DADOS!$P$3,tabela_registros[CATEGORIA],despesafixaconsolidadojun[[#This Row],[DESPESA FIXA]])</f>
        <v>0</v>
      </c>
      <c r="AC50" s="99">
        <f>SUMIFS(tabela_registros[VALOR],tabela_registros[MÊS],$AE$1,tabela_registros[DIA],juntotal3059718395[[#Headers],[25]],tabela_registros[REGISTRO],DADOS!$N$4,tabela_registros[TIPO],DADOS!$P$3,tabela_registros[CATEGORIA],despesafixaconsolidadojun[[#This Row],[DESPESA FIXA]])</f>
        <v>0</v>
      </c>
      <c r="AD50" s="99">
        <f>SUMIFS(tabela_registros[VALOR],tabela_registros[MÊS],$AE$1,tabela_registros[DIA],juntotal3059718395[[#Headers],[26]],tabela_registros[REGISTRO],DADOS!$N$4,tabela_registros[TIPO],DADOS!$P$3,tabela_registros[CATEGORIA],despesafixaconsolidadojun[[#This Row],[DESPESA FIXA]])</f>
        <v>0</v>
      </c>
      <c r="AE50" s="99">
        <f>SUMIFS(tabela_registros[VALOR],tabela_registros[MÊS],$AE$1,tabela_registros[DIA],juntotal3059718395[[#Headers],[27]],tabela_registros[REGISTRO],DADOS!$N$4,tabela_registros[TIPO],DADOS!$P$3,tabela_registros[CATEGORIA],despesafixaconsolidadojun[[#This Row],[DESPESA FIXA]])</f>
        <v>0</v>
      </c>
      <c r="AF50" s="99">
        <f>SUMIFS(tabela_registros[VALOR],tabela_registros[MÊS],$AE$1,tabela_registros[DIA],juntotal3059718395[[#Headers],[28]],tabela_registros[REGISTRO],DADOS!$N$4,tabela_registros[TIPO],DADOS!$P$3,tabela_registros[CATEGORIA],despesafixaconsolidadojun[[#This Row],[DESPESA FIXA]])</f>
        <v>0</v>
      </c>
      <c r="AG50" s="99">
        <f>SUMIFS(tabela_registros[VALOR],tabela_registros[MÊS],$AE$1,tabela_registros[DIA],juntotal3059718395[[#Headers],[29]],tabela_registros[REGISTRO],DADOS!$N$4,tabela_registros[TIPO],DADOS!$P$3,tabela_registros[CATEGORIA],despesafixaconsolidadojun[[#This Row],[DESPESA FIXA]])</f>
        <v>0</v>
      </c>
      <c r="AH50" s="99">
        <f>SUMIFS(tabela_registros[VALOR],tabela_registros[MÊS],$AE$1,tabela_registros[DIA],juntotal3059718395[[#Headers],[30]],tabela_registros[REGISTRO],DADOS!$N$4,tabela_registros[TIPO],DADOS!$P$3,tabela_registros[CATEGORIA],despesafixaconsolidadojun[[#This Row],[DESPESA FIXA]])</f>
        <v>0</v>
      </c>
      <c r="AI50" s="102">
        <f>SUMIFS(tabela_registros[VALOR],tabela_registros[MÊS],$AE$1,tabela_registros[DIA],juntotal3059718395[[#Headers],[31]],tabela_registros[REGISTRO],DADOS!$N$4,tabela_registros[TIPO],DADOS!$P$3,tabela_registros[CATEGORIA],despesafixaconsolidadojun[[#This Row],[DESPESA FIXA]])</f>
        <v>0</v>
      </c>
      <c r="AJ50" s="103">
        <f>SUM(despesafixaconsolidadojun[[#This Row],[1]:[31]])</f>
        <v>0</v>
      </c>
      <c r="AK50" s="28"/>
    </row>
    <row r="51" spans="2:37" s="16" customFormat="1" ht="21" customHeight="1" thickTop="1" thickBot="1" x14ac:dyDescent="0.35">
      <c r="B51" s="24"/>
      <c r="C51" s="23" t="s">
        <v>19</v>
      </c>
      <c r="D51" s="41" t="str">
        <f>IF(despesafixaconsolidadojun[[#This Row],[TOTAL]]=0,"",IF(OR(despesafixaconsolidadojun[[#This Row],[TOTAL]]=SMALL($AJ$37:$AJ$50,1),despesafixaconsolidadojun[[#This Row],[TOTAL]]=SMALL($AJ$37:$AJ$50,2),despesafixaconsolidadojun[[#This Row],[TOTAL]]=SMALL($AJ$37:$AJ$50,3),despesafixaconsolidadojun[[#This Row],[TOTAL]]=SMALL($AJ$37:$AJ$50,4),despesafixaconsolidadojun[[#This Row],[TOTAL]]=SMALL($AJ$37:$AJ$50,5)),DADOS!$I$8,""))</f>
        <v/>
      </c>
      <c r="E51" s="21">
        <f>SUM(E37:E50)</f>
        <v>0</v>
      </c>
      <c r="F51" s="20">
        <f>SUM(F37:F50)+despesafixaconsolidadojun[[#This Row],[1]]</f>
        <v>0</v>
      </c>
      <c r="G51" s="20">
        <f>SUM(G37:G50)+despesafixaconsolidadojun[[#This Row],[2]]</f>
        <v>0</v>
      </c>
      <c r="H51" s="20">
        <f>SUM(H37:H50)+despesafixaconsolidadojun[[#This Row],[3]]</f>
        <v>0</v>
      </c>
      <c r="I51" s="20">
        <f>SUM(I37:I50)+despesafixaconsolidadojun[[#This Row],[4]]</f>
        <v>0</v>
      </c>
      <c r="J51" s="20">
        <f>SUM(J37:J50)+despesafixaconsolidadojun[[#This Row],[5]]</f>
        <v>0</v>
      </c>
      <c r="K51" s="20">
        <f>SUM(K37:K50)+despesafixaconsolidadojun[[#This Row],[6]]</f>
        <v>0</v>
      </c>
      <c r="L51" s="20">
        <f>SUM(L37:L50)+despesafixaconsolidadojun[[#This Row],[7]]</f>
        <v>0</v>
      </c>
      <c r="M51" s="20">
        <f>SUM(M37:M50)+despesafixaconsolidadojun[[#This Row],[8]]</f>
        <v>0</v>
      </c>
      <c r="N51" s="20">
        <f>SUM(N37:N50)+despesafixaconsolidadojun[[#This Row],[9]]</f>
        <v>0</v>
      </c>
      <c r="O51" s="20">
        <f>SUM(O37:O50)+despesafixaconsolidadojun[[#This Row],[10]]</f>
        <v>0</v>
      </c>
      <c r="P51" s="20">
        <f>SUM(P37:P50)+despesafixaconsolidadojun[[#This Row],[11]]</f>
        <v>0</v>
      </c>
      <c r="Q51" s="20">
        <f>SUM(Q37:Q50)+despesafixaconsolidadojun[[#This Row],[12]]</f>
        <v>0</v>
      </c>
      <c r="R51" s="20">
        <f>SUM(R37:R50)+despesafixaconsolidadojun[[#This Row],[13]]</f>
        <v>0</v>
      </c>
      <c r="S51" s="20">
        <f>SUM(S37:S50)+despesafixaconsolidadojun[[#This Row],[14]]</f>
        <v>0</v>
      </c>
      <c r="T51" s="20">
        <f>SUM(T37:T50)+despesafixaconsolidadojun[[#This Row],[15]]</f>
        <v>0</v>
      </c>
      <c r="U51" s="20">
        <f>SUM(U37:U50)+despesafixaconsolidadojun[[#This Row],[16]]</f>
        <v>0</v>
      </c>
      <c r="V51" s="20">
        <f>SUM(V37:V50)+despesafixaconsolidadojun[[#This Row],[17]]</f>
        <v>0</v>
      </c>
      <c r="W51" s="20">
        <f>SUM(W37:W50)+despesafixaconsolidadojun[[#This Row],[18]]</f>
        <v>0</v>
      </c>
      <c r="X51" s="20">
        <f>SUM(X37:X50)+despesafixaconsolidadojun[[#This Row],[19]]</f>
        <v>0</v>
      </c>
      <c r="Y51" s="20">
        <f>SUM(Y37:Y50)+despesafixaconsolidadojun[[#This Row],[20]]</f>
        <v>0</v>
      </c>
      <c r="Z51" s="20">
        <f>SUM(Z37:Z50)+despesafixaconsolidadojun[[#This Row],[21]]</f>
        <v>0</v>
      </c>
      <c r="AA51" s="20">
        <f>SUM(AA37:AA50)+despesafixaconsolidadojun[[#This Row],[22]]</f>
        <v>0</v>
      </c>
      <c r="AB51" s="20">
        <f>SUM(AB37:AB50)+despesafixaconsolidadojun[[#This Row],[23]]</f>
        <v>0</v>
      </c>
      <c r="AC51" s="20">
        <f>SUM(AC37:AC50)+despesafixaconsolidadojun[[#This Row],[24]]</f>
        <v>0</v>
      </c>
      <c r="AD51" s="20">
        <f>SUM(AD37:AD50)+despesafixaconsolidadojun[[#This Row],[25]]</f>
        <v>0</v>
      </c>
      <c r="AE51" s="20">
        <f>SUM(AE37:AE50)+despesafixaconsolidadojun[[#This Row],[26]]</f>
        <v>0</v>
      </c>
      <c r="AF51" s="20">
        <f>SUM(AF37:AF50)+despesafixaconsolidadojun[[#This Row],[27]]</f>
        <v>0</v>
      </c>
      <c r="AG51" s="20">
        <f>SUM(AG37:AG50)+despesafixaconsolidadojun[[#This Row],[28]]</f>
        <v>0</v>
      </c>
      <c r="AH51" s="20">
        <f>SUM(AH37:AH50)+despesafixaconsolidadojun[[#This Row],[29]]</f>
        <v>0</v>
      </c>
      <c r="AI51" s="19">
        <f>SUM(AI37:AI50)+despesafixaconsolidadojun[[#This Row],[30]]</f>
        <v>0</v>
      </c>
      <c r="AJ51" s="18">
        <f>despesafixaconsolidadojun[[#This Row],[31]]</f>
        <v>0</v>
      </c>
      <c r="AK51" s="17"/>
    </row>
    <row r="52" spans="2:37" ht="6.75" customHeight="1" thickTop="1" thickBot="1" x14ac:dyDescent="0.3">
      <c r="B52" s="15"/>
      <c r="C52" s="40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39"/>
      <c r="AG52" s="39"/>
      <c r="AH52" s="39"/>
      <c r="AI52" s="48"/>
      <c r="AJ52" s="15"/>
      <c r="AK52" s="10"/>
    </row>
    <row r="53" spans="2:37" ht="12.6" thickTop="1" x14ac:dyDescent="0.25">
      <c r="C53" s="46"/>
      <c r="D53" s="47"/>
      <c r="E53" s="47"/>
      <c r="F53" s="47"/>
      <c r="G53" s="47"/>
      <c r="H53" s="47"/>
      <c r="I53" s="47"/>
      <c r="J53" s="47"/>
      <c r="K53" s="47"/>
      <c r="L53" s="47"/>
      <c r="M53" s="47"/>
      <c r="N53" s="47"/>
      <c r="O53" s="47"/>
      <c r="P53" s="47"/>
      <c r="Q53" s="47"/>
      <c r="R53" s="47"/>
      <c r="S53" s="47"/>
      <c r="T53" s="47"/>
      <c r="U53" s="47"/>
      <c r="V53" s="47"/>
      <c r="W53" s="47"/>
      <c r="X53" s="47"/>
      <c r="Y53" s="47"/>
      <c r="Z53" s="47"/>
      <c r="AA53" s="47"/>
      <c r="AB53" s="47"/>
      <c r="AC53" s="47"/>
      <c r="AD53" s="47"/>
      <c r="AE53" s="47"/>
      <c r="AF53" s="47"/>
      <c r="AG53" s="47"/>
      <c r="AH53" s="47"/>
      <c r="AI53" s="47"/>
      <c r="AK53" s="37"/>
    </row>
    <row r="54" spans="2:37" x14ac:dyDescent="0.25">
      <c r="C54" s="46"/>
      <c r="D54" s="47"/>
      <c r="E54" s="47"/>
      <c r="F54" s="47"/>
      <c r="G54" s="47"/>
      <c r="H54" s="47"/>
      <c r="I54" s="47"/>
      <c r="J54" s="47"/>
      <c r="K54" s="47"/>
      <c r="L54" s="47"/>
      <c r="M54" s="47"/>
      <c r="N54" s="47"/>
      <c r="O54" s="47"/>
      <c r="P54" s="47"/>
      <c r="Q54" s="47"/>
      <c r="R54" s="47"/>
      <c r="S54" s="47"/>
      <c r="T54" s="47"/>
      <c r="U54" s="47"/>
      <c r="V54" s="47"/>
      <c r="W54" s="47"/>
      <c r="X54" s="47"/>
      <c r="Y54" s="47"/>
      <c r="Z54" s="47"/>
      <c r="AA54" s="47"/>
      <c r="AB54" s="47"/>
      <c r="AC54" s="47"/>
      <c r="AD54" s="47"/>
      <c r="AE54" s="47"/>
      <c r="AF54" s="47"/>
      <c r="AG54" s="47"/>
      <c r="AH54" s="47"/>
      <c r="AI54" s="47"/>
    </row>
    <row r="55" spans="2:37" x14ac:dyDescent="0.25">
      <c r="C55" s="46"/>
      <c r="D55" s="47"/>
      <c r="E55" s="47"/>
      <c r="F55" s="47"/>
      <c r="G55" s="47"/>
      <c r="H55" s="47"/>
      <c r="I55" s="47"/>
      <c r="J55" s="47"/>
      <c r="K55" s="47"/>
      <c r="L55" s="47"/>
      <c r="M55" s="47"/>
      <c r="N55" s="47"/>
      <c r="O55" s="47"/>
      <c r="P55" s="47"/>
      <c r="Q55" s="47"/>
      <c r="R55" s="47"/>
      <c r="S55" s="47"/>
      <c r="T55" s="47"/>
      <c r="U55" s="47"/>
      <c r="V55" s="47"/>
      <c r="W55" s="47"/>
      <c r="X55" s="47"/>
      <c r="Y55" s="47"/>
      <c r="Z55" s="47"/>
      <c r="AA55" s="47"/>
      <c r="AB55" s="47"/>
      <c r="AC55" s="47"/>
      <c r="AD55" s="47"/>
      <c r="AE55" s="47"/>
      <c r="AF55" s="47"/>
      <c r="AG55" s="47"/>
      <c r="AH55" s="47"/>
      <c r="AI55" s="47"/>
    </row>
    <row r="56" spans="2:37" ht="39.75" customHeight="1" x14ac:dyDescent="0.25">
      <c r="C56" s="46"/>
      <c r="E56" s="240"/>
      <c r="F56" s="240"/>
      <c r="G56" s="240"/>
      <c r="H56" s="240"/>
      <c r="I56" s="240"/>
      <c r="J56" s="240"/>
      <c r="K56" s="240"/>
      <c r="L56" s="240"/>
      <c r="M56" s="240"/>
      <c r="N56" s="240"/>
      <c r="O56" s="240"/>
      <c r="P56" s="240"/>
      <c r="Q56" s="240"/>
      <c r="R56" s="240"/>
      <c r="S56" s="240"/>
      <c r="T56" s="240"/>
      <c r="U56" s="240"/>
      <c r="V56" s="240"/>
      <c r="W56" s="240"/>
      <c r="X56" s="240"/>
      <c r="Y56" s="240"/>
      <c r="Z56" s="240"/>
      <c r="AA56" s="240"/>
      <c r="AB56" s="240"/>
      <c r="AC56" s="240"/>
      <c r="AD56" s="240"/>
      <c r="AE56" s="240"/>
      <c r="AF56" s="240"/>
      <c r="AG56" s="240"/>
      <c r="AH56" s="240"/>
      <c r="AI56" s="240"/>
      <c r="AJ56" s="32" t="s">
        <v>19</v>
      </c>
    </row>
    <row r="57" spans="2:37" ht="11.25" customHeight="1" thickBot="1" x14ac:dyDescent="0.75">
      <c r="C57" s="36"/>
      <c r="AI57" s="4"/>
      <c r="AJ57" s="34" t="s">
        <v>202</v>
      </c>
    </row>
    <row r="58" spans="2:37" ht="6.75" customHeight="1" thickTop="1" thickBot="1" x14ac:dyDescent="0.3">
      <c r="B58" s="33"/>
      <c r="C58" s="45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44"/>
      <c r="AH58" s="44"/>
      <c r="AI58" s="44"/>
      <c r="AJ58" s="43"/>
      <c r="AK58" s="33"/>
    </row>
    <row r="59" spans="2:37" ht="12.6" hidden="1" thickBot="1" x14ac:dyDescent="0.3">
      <c r="B59" s="2"/>
      <c r="C59" s="31" t="s">
        <v>116</v>
      </c>
      <c r="D59" s="30" t="s">
        <v>198</v>
      </c>
      <c r="E59" s="30" t="s">
        <v>197</v>
      </c>
      <c r="F59" s="30" t="s">
        <v>196</v>
      </c>
      <c r="G59" s="30" t="s">
        <v>195</v>
      </c>
      <c r="H59" s="30" t="s">
        <v>194</v>
      </c>
      <c r="I59" s="30" t="s">
        <v>193</v>
      </c>
      <c r="J59" s="30" t="s">
        <v>192</v>
      </c>
      <c r="K59" s="30" t="s">
        <v>191</v>
      </c>
      <c r="L59" s="30" t="s">
        <v>190</v>
      </c>
      <c r="M59" s="30" t="s">
        <v>189</v>
      </c>
      <c r="N59" s="30" t="s">
        <v>188</v>
      </c>
      <c r="O59" s="30" t="s">
        <v>187</v>
      </c>
      <c r="P59" s="30" t="s">
        <v>186</v>
      </c>
      <c r="Q59" s="30" t="s">
        <v>185</v>
      </c>
      <c r="R59" s="30" t="s">
        <v>184</v>
      </c>
      <c r="S59" s="30" t="s">
        <v>183</v>
      </c>
      <c r="T59" s="30" t="s">
        <v>182</v>
      </c>
      <c r="U59" s="30" t="s">
        <v>181</v>
      </c>
      <c r="V59" s="30" t="s">
        <v>180</v>
      </c>
      <c r="W59" s="30" t="s">
        <v>179</v>
      </c>
      <c r="X59" s="30" t="s">
        <v>178</v>
      </c>
      <c r="Y59" s="30" t="s">
        <v>177</v>
      </c>
      <c r="Z59" s="30" t="s">
        <v>176</v>
      </c>
      <c r="AA59" s="30" t="s">
        <v>175</v>
      </c>
      <c r="AB59" s="30" t="s">
        <v>174</v>
      </c>
      <c r="AC59" s="30" t="s">
        <v>173</v>
      </c>
      <c r="AD59" s="30" t="s">
        <v>172</v>
      </c>
      <c r="AE59" s="30" t="s">
        <v>171</v>
      </c>
      <c r="AF59" s="30" t="s">
        <v>170</v>
      </c>
      <c r="AG59" s="30" t="s">
        <v>169</v>
      </c>
      <c r="AH59" s="30" t="s">
        <v>168</v>
      </c>
      <c r="AI59" s="30" t="s">
        <v>167</v>
      </c>
      <c r="AJ59" s="42" t="s">
        <v>19</v>
      </c>
      <c r="AK59" s="2" t="s">
        <v>203</v>
      </c>
    </row>
    <row r="60" spans="2:37" ht="19.5" customHeight="1" thickTop="1" thickBot="1" x14ac:dyDescent="0.3">
      <c r="B60" s="28"/>
      <c r="C60" s="27" t="str">
        <f>DADOS!$T$3</f>
        <v>🍕 ALIMENTAÇÃO</v>
      </c>
      <c r="D60" s="26" t="str">
        <f>IF(despesavariávelconsolidadojun[[#This Row],[TOTAL]]=0,"",IF(OR(despesavariávelconsolidadojun[[#This Row],[TOTAL]]=LARGE($AJ$60:$AJ$72,1),despesavariávelconsolidadojun[[#This Row],[TOTAL]]=LARGE($AJ$60:$AJ$72,2),despesavariávelconsolidadojun[[#This Row],[TOTAL]]=LARGE($AJ$60:$AJ$72,3),despesavariávelconsolidadojun[[#This Row],[TOTAL]]=LARGE($AJ$60:$AJ$72,4),despesavariávelconsolidadojun[[#This Row],[TOTAL]]=LARGE($AJ$60:$AJ$72,5)),DADOS!$I$8,""))</f>
        <v/>
      </c>
      <c r="E60" s="94">
        <f>SUMIFS(tabela_registros[VALOR],tabela_registros[MÊS],$AE$1,tabela_registros[DIA],juntotal3059718395[[#Headers],[1]],tabela_registros[REGISTRO],DADOS!$N$4,tabela_registros[TIPO],DADOS!$P$4,tabela_registros[CATEGORIA],despesavariávelconsolidadojun[[#This Row],[DESPESA VARIÁVEL]])</f>
        <v>0</v>
      </c>
      <c r="F60" s="88">
        <f>SUMIFS(tabela_registros[VALOR],tabela_registros[MÊS],$AE$1,tabela_registros[DIA],juntotal3059718395[[#Headers],[2]],tabela_registros[REGISTRO],DADOS!$N$4,tabela_registros[TIPO],DADOS!$P$4,tabela_registros[CATEGORIA],despesavariávelconsolidadojun[[#This Row],[DESPESA VARIÁVEL]])</f>
        <v>0</v>
      </c>
      <c r="G60" s="88">
        <f>SUMIFS(tabela_registros[VALOR],tabela_registros[MÊS],$AE$1,tabela_registros[DIA],juntotal3059718395[[#Headers],[3]],tabela_registros[REGISTRO],DADOS!$N$4,tabela_registros[TIPO],DADOS!$P$4,tabela_registros[CATEGORIA],despesavariávelconsolidadojun[[#This Row],[DESPESA VARIÁVEL]])</f>
        <v>0</v>
      </c>
      <c r="H60" s="88">
        <f>SUMIFS(tabela_registros[VALOR],tabela_registros[MÊS],$AE$1,tabela_registros[DIA],juntotal3059718395[[#Headers],[4]],tabela_registros[REGISTRO],DADOS!$N$4,tabela_registros[TIPO],DADOS!$P$4,tabela_registros[CATEGORIA],despesavariávelconsolidadojun[[#This Row],[DESPESA VARIÁVEL]])</f>
        <v>0</v>
      </c>
      <c r="I60" s="88">
        <f>SUMIFS(tabela_registros[VALOR],tabela_registros[MÊS],$AE$1,tabela_registros[DIA],juntotal3059718395[[#Headers],[5]],tabela_registros[REGISTRO],DADOS!$N$4,tabela_registros[TIPO],DADOS!$P$4,tabela_registros[CATEGORIA],despesavariávelconsolidadojun[[#This Row],[DESPESA VARIÁVEL]])</f>
        <v>0</v>
      </c>
      <c r="J60" s="88">
        <f>SUMIFS(tabela_registros[VALOR],tabela_registros[MÊS],$AE$1,tabela_registros[DIA],juntotal3059718395[[#Headers],[6]],tabela_registros[REGISTRO],DADOS!$N$4,tabela_registros[TIPO],DADOS!$P$4,tabela_registros[CATEGORIA],despesavariávelconsolidadojun[[#This Row],[DESPESA VARIÁVEL]])</f>
        <v>0</v>
      </c>
      <c r="K60" s="88">
        <f>SUMIFS(tabela_registros[VALOR],tabela_registros[MÊS],$AE$1,tabela_registros[DIA],juntotal3059718395[[#Headers],[7]],tabela_registros[REGISTRO],DADOS!$N$4,tabela_registros[TIPO],DADOS!$P$4,tabela_registros[CATEGORIA],despesavariávelconsolidadojun[[#This Row],[DESPESA VARIÁVEL]])</f>
        <v>0</v>
      </c>
      <c r="L60" s="88">
        <f>SUMIFS(tabela_registros[VALOR],tabela_registros[MÊS],$AE$1,tabela_registros[DIA],juntotal3059718395[[#Headers],[8]],tabela_registros[REGISTRO],DADOS!$N$4,tabela_registros[TIPO],DADOS!$P$4,tabela_registros[CATEGORIA],despesavariávelconsolidadojun[[#This Row],[DESPESA VARIÁVEL]])</f>
        <v>0</v>
      </c>
      <c r="M60" s="88">
        <f>SUMIFS(tabela_registros[VALOR],tabela_registros[MÊS],$AE$1,tabela_registros[DIA],juntotal3059718395[[#Headers],[9]],tabela_registros[REGISTRO],DADOS!$N$4,tabela_registros[TIPO],DADOS!$P$4,tabela_registros[CATEGORIA],despesavariávelconsolidadojun[[#This Row],[DESPESA VARIÁVEL]])</f>
        <v>0</v>
      </c>
      <c r="N60" s="88">
        <f>SUMIFS(tabela_registros[VALOR],tabela_registros[MÊS],$AE$1,tabela_registros[DIA],juntotal3059718395[[#Headers],[10]],tabela_registros[REGISTRO],DADOS!$N$4,tabela_registros[TIPO],DADOS!$P$4,tabela_registros[CATEGORIA],despesavariávelconsolidadojun[[#This Row],[DESPESA VARIÁVEL]])</f>
        <v>0</v>
      </c>
      <c r="O60" s="88">
        <f>SUMIFS(tabela_registros[VALOR],tabela_registros[MÊS],$AE$1,tabela_registros[DIA],juntotal3059718395[[#Headers],[11]],tabela_registros[REGISTRO],DADOS!$N$4,tabela_registros[TIPO],DADOS!$P$4,tabela_registros[CATEGORIA],despesavariávelconsolidadojun[[#This Row],[DESPESA VARIÁVEL]])</f>
        <v>0</v>
      </c>
      <c r="P60" s="88">
        <f>SUMIFS(tabela_registros[VALOR],tabela_registros[MÊS],$AE$1,tabela_registros[DIA],juntotal3059718395[[#Headers],[12]],tabela_registros[REGISTRO],DADOS!$N$4,tabela_registros[TIPO],DADOS!$P$4,tabela_registros[CATEGORIA],despesavariávelconsolidadojun[[#This Row],[DESPESA VARIÁVEL]])</f>
        <v>0</v>
      </c>
      <c r="Q60" s="88">
        <f>SUMIFS(tabela_registros[VALOR],tabela_registros[MÊS],$AE$1,tabela_registros[DIA],juntotal3059718395[[#Headers],[13]],tabela_registros[REGISTRO],DADOS!$N$4,tabela_registros[TIPO],DADOS!$P$4,tabela_registros[CATEGORIA],despesavariávelconsolidadojun[[#This Row],[DESPESA VARIÁVEL]])</f>
        <v>0</v>
      </c>
      <c r="R60" s="88">
        <f>SUMIFS(tabela_registros[VALOR],tabela_registros[MÊS],$AE$1,tabela_registros[DIA],juntotal3059718395[[#Headers],[14]],tabela_registros[REGISTRO],DADOS!$N$4,tabela_registros[TIPO],DADOS!$P$4,tabela_registros[CATEGORIA],despesavariávelconsolidadojun[[#This Row],[DESPESA VARIÁVEL]])</f>
        <v>0</v>
      </c>
      <c r="S60" s="88">
        <f>SUMIFS(tabela_registros[VALOR],tabela_registros[MÊS],$AE$1,tabela_registros[DIA],juntotal3059718395[[#Headers],[15]],tabela_registros[REGISTRO],DADOS!$N$4,tabela_registros[TIPO],DADOS!$P$4,tabela_registros[CATEGORIA],despesavariávelconsolidadojun[[#This Row],[DESPESA VARIÁVEL]])</f>
        <v>0</v>
      </c>
      <c r="T60" s="88">
        <f>SUMIFS(tabela_registros[VALOR],tabela_registros[MÊS],$AE$1,tabela_registros[DIA],juntotal3059718395[[#Headers],[16]],tabela_registros[REGISTRO],DADOS!$N$4,tabela_registros[TIPO],DADOS!$P$4,tabela_registros[CATEGORIA],despesavariávelconsolidadojun[[#This Row],[DESPESA VARIÁVEL]])</f>
        <v>0</v>
      </c>
      <c r="U60" s="88">
        <f>SUMIFS(tabela_registros[VALOR],tabela_registros[MÊS],$AE$1,tabela_registros[DIA],juntotal3059718395[[#Headers],[17]],tabela_registros[REGISTRO],DADOS!$N$4,tabela_registros[TIPO],DADOS!$P$4,tabela_registros[CATEGORIA],despesavariávelconsolidadojun[[#This Row],[DESPESA VARIÁVEL]])</f>
        <v>0</v>
      </c>
      <c r="V60" s="88">
        <f>SUMIFS(tabela_registros[VALOR],tabela_registros[MÊS],$AE$1,tabela_registros[DIA],juntotal3059718395[[#Headers],[18]],tabela_registros[REGISTRO],DADOS!$N$4,tabela_registros[TIPO],DADOS!$P$4,tabela_registros[CATEGORIA],despesavariávelconsolidadojun[[#This Row],[DESPESA VARIÁVEL]])</f>
        <v>0</v>
      </c>
      <c r="W60" s="88">
        <f>SUMIFS(tabela_registros[VALOR],tabela_registros[MÊS],$AE$1,tabela_registros[DIA],juntotal3059718395[[#Headers],[19]],tabela_registros[REGISTRO],DADOS!$N$4,tabela_registros[TIPO],DADOS!$P$4,tabela_registros[CATEGORIA],despesavariávelconsolidadojun[[#This Row],[DESPESA VARIÁVEL]])</f>
        <v>0</v>
      </c>
      <c r="X60" s="88">
        <f>SUMIFS(tabela_registros[VALOR],tabela_registros[MÊS],$AE$1,tabela_registros[DIA],juntotal3059718395[[#Headers],[20]],tabela_registros[REGISTRO],DADOS!$N$4,tabela_registros[TIPO],DADOS!$P$4,tabela_registros[CATEGORIA],despesavariávelconsolidadojun[[#This Row],[DESPESA VARIÁVEL]])</f>
        <v>0</v>
      </c>
      <c r="Y60" s="88">
        <f>SUMIFS(tabela_registros[VALOR],tabela_registros[MÊS],$AE$1,tabela_registros[DIA],juntotal3059718395[[#Headers],[21]],tabela_registros[REGISTRO],DADOS!$N$4,tabela_registros[TIPO],DADOS!$P$4,tabela_registros[CATEGORIA],despesavariávelconsolidadojun[[#This Row],[DESPESA VARIÁVEL]])</f>
        <v>0</v>
      </c>
      <c r="Z60" s="88">
        <f>SUMIFS(tabela_registros[VALOR],tabela_registros[MÊS],$AE$1,tabela_registros[DIA],juntotal3059718395[[#Headers],[22]],tabela_registros[REGISTRO],DADOS!$N$4,tabela_registros[TIPO],DADOS!$P$4,tabela_registros[CATEGORIA],despesavariávelconsolidadojun[[#This Row],[DESPESA VARIÁVEL]])</f>
        <v>0</v>
      </c>
      <c r="AA60" s="88">
        <f>SUMIFS(tabela_registros[VALOR],tabela_registros[MÊS],$AE$1,tabela_registros[DIA],juntotal3059718395[[#Headers],[23]],tabela_registros[REGISTRO],DADOS!$N$4,tabela_registros[TIPO],DADOS!$P$4,tabela_registros[CATEGORIA],despesavariávelconsolidadojun[[#This Row],[DESPESA VARIÁVEL]])</f>
        <v>0</v>
      </c>
      <c r="AB60" s="88">
        <f>SUMIFS(tabela_registros[VALOR],tabela_registros[MÊS],$AE$1,tabela_registros[DIA],juntotal3059718395[[#Headers],[24]],tabela_registros[REGISTRO],DADOS!$N$4,tabela_registros[TIPO],DADOS!$P$4,tabela_registros[CATEGORIA],despesavariávelconsolidadojun[[#This Row],[DESPESA VARIÁVEL]])</f>
        <v>0</v>
      </c>
      <c r="AC60" s="88">
        <f>SUMIFS(tabela_registros[VALOR],tabela_registros[MÊS],$AE$1,tabela_registros[DIA],juntotal3059718395[[#Headers],[25]],tabela_registros[REGISTRO],DADOS!$N$4,tabela_registros[TIPO],DADOS!$P$4,tabela_registros[CATEGORIA],despesavariávelconsolidadojun[[#This Row],[DESPESA VARIÁVEL]])</f>
        <v>0</v>
      </c>
      <c r="AD60" s="88">
        <f>SUMIFS(tabela_registros[VALOR],tabela_registros[MÊS],$AE$1,tabela_registros[DIA],juntotal3059718395[[#Headers],[26]],tabela_registros[REGISTRO],DADOS!$N$4,tabela_registros[TIPO],DADOS!$P$4,tabela_registros[CATEGORIA],despesavariávelconsolidadojun[[#This Row],[DESPESA VARIÁVEL]])</f>
        <v>0</v>
      </c>
      <c r="AE60" s="88">
        <f>SUMIFS(tabela_registros[VALOR],tabela_registros[MÊS],$AE$1,tabela_registros[DIA],juntotal3059718395[[#Headers],[27]],tabela_registros[REGISTRO],DADOS!$N$4,tabela_registros[TIPO],DADOS!$P$4,tabela_registros[CATEGORIA],despesavariávelconsolidadojun[[#This Row],[DESPESA VARIÁVEL]])</f>
        <v>0</v>
      </c>
      <c r="AF60" s="88">
        <f>SUMIFS(tabela_registros[VALOR],tabela_registros[MÊS],$AE$1,tabela_registros[DIA],juntotal3059718395[[#Headers],[28]],tabela_registros[REGISTRO],DADOS!$N$4,tabela_registros[TIPO],DADOS!$P$4,tabela_registros[CATEGORIA],despesavariávelconsolidadojun[[#This Row],[DESPESA VARIÁVEL]])</f>
        <v>0</v>
      </c>
      <c r="AG60" s="88">
        <f>SUMIFS(tabela_registros[VALOR],tabela_registros[MÊS],$AE$1,tabela_registros[DIA],juntotal3059718395[[#Headers],[29]],tabela_registros[REGISTRO],DADOS!$N$4,tabela_registros[TIPO],DADOS!$P$4,tabela_registros[CATEGORIA],despesavariávelconsolidadojun[[#This Row],[DESPESA VARIÁVEL]])</f>
        <v>0</v>
      </c>
      <c r="AH60" s="88">
        <f>SUMIFS(tabela_registros[VALOR],tabela_registros[MÊS],$AE$1,tabela_registros[DIA],juntotal3059718395[[#Headers],[30]],tabela_registros[REGISTRO],DADOS!$N$4,tabela_registros[TIPO],DADOS!$P$4,tabela_registros[CATEGORIA],despesavariávelconsolidadojun[[#This Row],[DESPESA VARIÁVEL]])</f>
        <v>0</v>
      </c>
      <c r="AI60" s="100">
        <f>SUMIFS(tabela_registros[VALOR],tabela_registros[MÊS],$AE$1,tabela_registros[DIA],juntotal3059718395[[#Headers],[31]],tabela_registros[REGISTRO],DADOS!$N$4,tabela_registros[TIPO],DADOS!$P$4,tabela_registros[CATEGORIA],despesavariávelconsolidadojun[[#This Row],[DESPESA VARIÁVEL]])</f>
        <v>0</v>
      </c>
      <c r="AJ60" s="95">
        <f>SUM(despesavariávelconsolidadojun[[#This Row],[1]:[31]])</f>
        <v>0</v>
      </c>
      <c r="AK60" s="28"/>
    </row>
    <row r="61" spans="2:37" ht="18" customHeight="1" thickTop="1" thickBot="1" x14ac:dyDescent="0.3">
      <c r="B61" s="28"/>
      <c r="C61" s="27" t="str">
        <f>DADOS!$T$4</f>
        <v>💳 CARTÃO DE CRÉDITO</v>
      </c>
      <c r="D61" s="26" t="str">
        <f>IF(despesavariávelconsolidadojun[[#This Row],[TOTAL]]=0,"",IF(OR(despesavariávelconsolidadojun[[#This Row],[TOTAL]]=LARGE($AJ$60:$AJ$72,1),despesavariávelconsolidadojun[[#This Row],[TOTAL]]=LARGE($AJ$60:$AJ$72,2),despesavariávelconsolidadojun[[#This Row],[TOTAL]]=LARGE($AJ$60:$AJ$72,3),despesavariávelconsolidadojun[[#This Row],[TOTAL]]=LARGE($AJ$60:$AJ$72,4),despesavariávelconsolidadojun[[#This Row],[TOTAL]]=LARGE($AJ$60:$AJ$72,5)),DADOS!$I$8,""))</f>
        <v/>
      </c>
      <c r="E61" s="96">
        <f>SUMIFS(tabela_registros[VALOR],tabela_registros[MÊS],$AE$1,tabela_registros[DIA],juntotal3059718395[[#Headers],[1]],tabela_registros[REGISTRO],DADOS!$N$4,tabela_registros[TIPO],DADOS!$P$4,tabela_registros[CATEGORIA],despesavariávelconsolidadojun[[#This Row],[DESPESA VARIÁVEL]])</f>
        <v>0</v>
      </c>
      <c r="F61" s="91">
        <f>SUMIFS(tabela_registros[VALOR],tabela_registros[MÊS],$AE$1,tabela_registros[DIA],juntotal3059718395[[#Headers],[2]],tabela_registros[REGISTRO],DADOS!$N$4,tabela_registros[TIPO],DADOS!$P$4,tabela_registros[CATEGORIA],despesavariávelconsolidadojun[[#This Row],[DESPESA VARIÁVEL]])</f>
        <v>0</v>
      </c>
      <c r="G61" s="91">
        <f>SUMIFS(tabela_registros[VALOR],tabela_registros[MÊS],$AE$1,tabela_registros[DIA],juntotal3059718395[[#Headers],[3]],tabela_registros[REGISTRO],DADOS!$N$4,tabela_registros[TIPO],DADOS!$P$4,tabela_registros[CATEGORIA],despesavariávelconsolidadojun[[#This Row],[DESPESA VARIÁVEL]])</f>
        <v>0</v>
      </c>
      <c r="H61" s="91">
        <f>SUMIFS(tabela_registros[VALOR],tabela_registros[MÊS],$AE$1,tabela_registros[DIA],juntotal3059718395[[#Headers],[4]],tabela_registros[REGISTRO],DADOS!$N$4,tabela_registros[TIPO],DADOS!$P$4,tabela_registros[CATEGORIA],despesavariávelconsolidadojun[[#This Row],[DESPESA VARIÁVEL]])</f>
        <v>0</v>
      </c>
      <c r="I61" s="91">
        <f>SUMIFS(tabela_registros[VALOR],tabela_registros[MÊS],$AE$1,tabela_registros[DIA],juntotal3059718395[[#Headers],[5]],tabela_registros[REGISTRO],DADOS!$N$4,tabela_registros[TIPO],DADOS!$P$4,tabela_registros[CATEGORIA],despesavariávelconsolidadojun[[#This Row],[DESPESA VARIÁVEL]])</f>
        <v>0</v>
      </c>
      <c r="J61" s="91">
        <f>SUMIFS(tabela_registros[VALOR],tabela_registros[MÊS],$AE$1,tabela_registros[DIA],juntotal3059718395[[#Headers],[6]],tabela_registros[REGISTRO],DADOS!$N$4,tabela_registros[TIPO],DADOS!$P$4,tabela_registros[CATEGORIA],despesavariávelconsolidadojun[[#This Row],[DESPESA VARIÁVEL]])</f>
        <v>0</v>
      </c>
      <c r="K61" s="91">
        <f>SUMIFS(tabela_registros[VALOR],tabela_registros[MÊS],$AE$1,tabela_registros[DIA],juntotal3059718395[[#Headers],[7]],tabela_registros[REGISTRO],DADOS!$N$4,tabela_registros[TIPO],DADOS!$P$4,tabela_registros[CATEGORIA],despesavariávelconsolidadojun[[#This Row],[DESPESA VARIÁVEL]])</f>
        <v>0</v>
      </c>
      <c r="L61" s="91">
        <f>SUMIFS(tabela_registros[VALOR],tabela_registros[MÊS],$AE$1,tabela_registros[DIA],juntotal3059718395[[#Headers],[8]],tabela_registros[REGISTRO],DADOS!$N$4,tabela_registros[TIPO],DADOS!$P$4,tabela_registros[CATEGORIA],despesavariávelconsolidadojun[[#This Row],[DESPESA VARIÁVEL]])</f>
        <v>0</v>
      </c>
      <c r="M61" s="91">
        <f>SUMIFS(tabela_registros[VALOR],tabela_registros[MÊS],$AE$1,tabela_registros[DIA],juntotal3059718395[[#Headers],[9]],tabela_registros[REGISTRO],DADOS!$N$4,tabela_registros[TIPO],DADOS!$P$4,tabela_registros[CATEGORIA],despesavariávelconsolidadojun[[#This Row],[DESPESA VARIÁVEL]])</f>
        <v>0</v>
      </c>
      <c r="N61" s="91">
        <f>SUMIFS(tabela_registros[VALOR],tabela_registros[MÊS],$AE$1,tabela_registros[DIA],juntotal3059718395[[#Headers],[10]],tabela_registros[REGISTRO],DADOS!$N$4,tabela_registros[TIPO],DADOS!$P$4,tabela_registros[CATEGORIA],despesavariávelconsolidadojun[[#This Row],[DESPESA VARIÁVEL]])</f>
        <v>0</v>
      </c>
      <c r="O61" s="91">
        <f>SUMIFS(tabela_registros[VALOR],tabela_registros[MÊS],$AE$1,tabela_registros[DIA],juntotal3059718395[[#Headers],[11]],tabela_registros[REGISTRO],DADOS!$N$4,tabela_registros[TIPO],DADOS!$P$4,tabela_registros[CATEGORIA],despesavariávelconsolidadojun[[#This Row],[DESPESA VARIÁVEL]])</f>
        <v>0</v>
      </c>
      <c r="P61" s="91">
        <f>SUMIFS(tabela_registros[VALOR],tabela_registros[MÊS],$AE$1,tabela_registros[DIA],juntotal3059718395[[#Headers],[12]],tabela_registros[REGISTRO],DADOS!$N$4,tabela_registros[TIPO],DADOS!$P$4,tabela_registros[CATEGORIA],despesavariávelconsolidadojun[[#This Row],[DESPESA VARIÁVEL]])</f>
        <v>0</v>
      </c>
      <c r="Q61" s="91">
        <f>SUMIFS(tabela_registros[VALOR],tabela_registros[MÊS],$AE$1,tabela_registros[DIA],juntotal3059718395[[#Headers],[13]],tabela_registros[REGISTRO],DADOS!$N$4,tabela_registros[TIPO],DADOS!$P$4,tabela_registros[CATEGORIA],despesavariávelconsolidadojun[[#This Row],[DESPESA VARIÁVEL]])</f>
        <v>0</v>
      </c>
      <c r="R61" s="91">
        <f>SUMIFS(tabela_registros[VALOR],tabela_registros[MÊS],$AE$1,tabela_registros[DIA],juntotal3059718395[[#Headers],[14]],tabela_registros[REGISTRO],DADOS!$N$4,tabela_registros[TIPO],DADOS!$P$4,tabela_registros[CATEGORIA],despesavariávelconsolidadojun[[#This Row],[DESPESA VARIÁVEL]])</f>
        <v>0</v>
      </c>
      <c r="S61" s="91">
        <f>SUMIFS(tabela_registros[VALOR],tabela_registros[MÊS],$AE$1,tabela_registros[DIA],juntotal3059718395[[#Headers],[15]],tabela_registros[REGISTRO],DADOS!$N$4,tabela_registros[TIPO],DADOS!$P$4,tabela_registros[CATEGORIA],despesavariávelconsolidadojun[[#This Row],[DESPESA VARIÁVEL]])</f>
        <v>0</v>
      </c>
      <c r="T61" s="91">
        <f>SUMIFS(tabela_registros[VALOR],tabela_registros[MÊS],$AE$1,tabela_registros[DIA],juntotal3059718395[[#Headers],[16]],tabela_registros[REGISTRO],DADOS!$N$4,tabela_registros[TIPO],DADOS!$P$4,tabela_registros[CATEGORIA],despesavariávelconsolidadojun[[#This Row],[DESPESA VARIÁVEL]])</f>
        <v>0</v>
      </c>
      <c r="U61" s="91">
        <f>SUMIFS(tabela_registros[VALOR],tabela_registros[MÊS],$AE$1,tabela_registros[DIA],juntotal3059718395[[#Headers],[17]],tabela_registros[REGISTRO],DADOS!$N$4,tabela_registros[TIPO],DADOS!$P$4,tabela_registros[CATEGORIA],despesavariávelconsolidadojun[[#This Row],[DESPESA VARIÁVEL]])</f>
        <v>0</v>
      </c>
      <c r="V61" s="91">
        <f>SUMIFS(tabela_registros[VALOR],tabela_registros[MÊS],$AE$1,tabela_registros[DIA],juntotal3059718395[[#Headers],[18]],tabela_registros[REGISTRO],DADOS!$N$4,tabela_registros[TIPO],DADOS!$P$4,tabela_registros[CATEGORIA],despesavariávelconsolidadojun[[#This Row],[DESPESA VARIÁVEL]])</f>
        <v>0</v>
      </c>
      <c r="W61" s="91">
        <f>SUMIFS(tabela_registros[VALOR],tabela_registros[MÊS],$AE$1,tabela_registros[DIA],juntotal3059718395[[#Headers],[19]],tabela_registros[REGISTRO],DADOS!$N$4,tabela_registros[TIPO],DADOS!$P$4,tabela_registros[CATEGORIA],despesavariávelconsolidadojun[[#This Row],[DESPESA VARIÁVEL]])</f>
        <v>0</v>
      </c>
      <c r="X61" s="91">
        <f>SUMIFS(tabela_registros[VALOR],tabela_registros[MÊS],$AE$1,tabela_registros[DIA],juntotal3059718395[[#Headers],[20]],tabela_registros[REGISTRO],DADOS!$N$4,tabela_registros[TIPO],DADOS!$P$4,tabela_registros[CATEGORIA],despesavariávelconsolidadojun[[#This Row],[DESPESA VARIÁVEL]])</f>
        <v>0</v>
      </c>
      <c r="Y61" s="91">
        <f>SUMIFS(tabela_registros[VALOR],tabela_registros[MÊS],$AE$1,tabela_registros[DIA],juntotal3059718395[[#Headers],[21]],tabela_registros[REGISTRO],DADOS!$N$4,tabela_registros[TIPO],DADOS!$P$4,tabela_registros[CATEGORIA],despesavariávelconsolidadojun[[#This Row],[DESPESA VARIÁVEL]])</f>
        <v>0</v>
      </c>
      <c r="Z61" s="91">
        <f>SUMIFS(tabela_registros[VALOR],tabela_registros[MÊS],$AE$1,tabela_registros[DIA],juntotal3059718395[[#Headers],[22]],tabela_registros[REGISTRO],DADOS!$N$4,tabela_registros[TIPO],DADOS!$P$4,tabela_registros[CATEGORIA],despesavariávelconsolidadojun[[#This Row],[DESPESA VARIÁVEL]])</f>
        <v>0</v>
      </c>
      <c r="AA61" s="91">
        <f>SUMIFS(tabela_registros[VALOR],tabela_registros[MÊS],$AE$1,tabela_registros[DIA],juntotal3059718395[[#Headers],[23]],tabela_registros[REGISTRO],DADOS!$N$4,tabela_registros[TIPO],DADOS!$P$4,tabela_registros[CATEGORIA],despesavariávelconsolidadojun[[#This Row],[DESPESA VARIÁVEL]])</f>
        <v>0</v>
      </c>
      <c r="AB61" s="91">
        <f>SUMIFS(tabela_registros[VALOR],tabela_registros[MÊS],$AE$1,tabela_registros[DIA],juntotal3059718395[[#Headers],[24]],tabela_registros[REGISTRO],DADOS!$N$4,tabela_registros[TIPO],DADOS!$P$4,tabela_registros[CATEGORIA],despesavariávelconsolidadojun[[#This Row],[DESPESA VARIÁVEL]])</f>
        <v>0</v>
      </c>
      <c r="AC61" s="91">
        <f>SUMIFS(tabela_registros[VALOR],tabela_registros[MÊS],$AE$1,tabela_registros[DIA],juntotal3059718395[[#Headers],[25]],tabela_registros[REGISTRO],DADOS!$N$4,tabela_registros[TIPO],DADOS!$P$4,tabela_registros[CATEGORIA],despesavariávelconsolidadojun[[#This Row],[DESPESA VARIÁVEL]])</f>
        <v>0</v>
      </c>
      <c r="AD61" s="91">
        <f>SUMIFS(tabela_registros[VALOR],tabela_registros[MÊS],$AE$1,tabela_registros[DIA],juntotal3059718395[[#Headers],[26]],tabela_registros[REGISTRO],DADOS!$N$4,tabela_registros[TIPO],DADOS!$P$4,tabela_registros[CATEGORIA],despesavariávelconsolidadojun[[#This Row],[DESPESA VARIÁVEL]])</f>
        <v>0</v>
      </c>
      <c r="AE61" s="91">
        <f>SUMIFS(tabela_registros[VALOR],tabela_registros[MÊS],$AE$1,tabela_registros[DIA],juntotal3059718395[[#Headers],[27]],tabela_registros[REGISTRO],DADOS!$N$4,tabela_registros[TIPO],DADOS!$P$4,tabela_registros[CATEGORIA],despesavariávelconsolidadojun[[#This Row],[DESPESA VARIÁVEL]])</f>
        <v>0</v>
      </c>
      <c r="AF61" s="91">
        <f>SUMIFS(tabela_registros[VALOR],tabela_registros[MÊS],$AE$1,tabela_registros[DIA],juntotal3059718395[[#Headers],[28]],tabela_registros[REGISTRO],DADOS!$N$4,tabela_registros[TIPO],DADOS!$P$4,tabela_registros[CATEGORIA],despesavariávelconsolidadojun[[#This Row],[DESPESA VARIÁVEL]])</f>
        <v>0</v>
      </c>
      <c r="AG61" s="91">
        <f>SUMIFS(tabela_registros[VALOR],tabela_registros[MÊS],$AE$1,tabela_registros[DIA],juntotal3059718395[[#Headers],[29]],tabela_registros[REGISTRO],DADOS!$N$4,tabela_registros[TIPO],DADOS!$P$4,tabela_registros[CATEGORIA],despesavariávelconsolidadojun[[#This Row],[DESPESA VARIÁVEL]])</f>
        <v>0</v>
      </c>
      <c r="AH61" s="91">
        <f>SUMIFS(tabela_registros[VALOR],tabela_registros[MÊS],$AE$1,tabela_registros[DIA],juntotal3059718395[[#Headers],[30]],tabela_registros[REGISTRO],DADOS!$N$4,tabela_registros[TIPO],DADOS!$P$4,tabela_registros[CATEGORIA],despesavariávelconsolidadojun[[#This Row],[DESPESA VARIÁVEL]])</f>
        <v>0</v>
      </c>
      <c r="AI61" s="101">
        <f>SUMIFS(tabela_registros[VALOR],tabela_registros[MÊS],$AE$1,tabela_registros[DIA],juntotal3059718395[[#Headers],[31]],tabela_registros[REGISTRO],DADOS!$N$4,tabela_registros[TIPO],DADOS!$P$4,tabela_registros[CATEGORIA],despesavariávelconsolidadojun[[#This Row],[DESPESA VARIÁVEL]])</f>
        <v>0</v>
      </c>
      <c r="AJ61" s="97">
        <f>SUM(despesavariávelconsolidadojun[[#This Row],[1]:[31]])</f>
        <v>0</v>
      </c>
      <c r="AK61" s="28"/>
    </row>
    <row r="62" spans="2:37" ht="18" customHeight="1" thickTop="1" thickBot="1" x14ac:dyDescent="0.3">
      <c r="B62" s="28"/>
      <c r="C62" s="27" t="str">
        <f>DADOS!$T$5</f>
        <v>✍️ CHEQUE ESPECIAL</v>
      </c>
      <c r="D62" s="26" t="str">
        <f>IF(despesavariávelconsolidadojun[[#This Row],[TOTAL]]=0,"",IF(OR(despesavariávelconsolidadojun[[#This Row],[TOTAL]]=LARGE($AJ$60:$AJ$72,1),despesavariávelconsolidadojun[[#This Row],[TOTAL]]=LARGE($AJ$60:$AJ$72,2),despesavariávelconsolidadojun[[#This Row],[TOTAL]]=LARGE($AJ$60:$AJ$72,3),despesavariávelconsolidadojun[[#This Row],[TOTAL]]=LARGE($AJ$60:$AJ$72,4),despesavariávelconsolidadojun[[#This Row],[TOTAL]]=LARGE($AJ$60:$AJ$72,5)),DADOS!$I$8,""))</f>
        <v/>
      </c>
      <c r="E62" s="96">
        <f>SUMIFS(tabela_registros[VALOR],tabela_registros[MÊS],$AE$1,tabela_registros[DIA],juntotal3059718395[[#Headers],[1]],tabela_registros[REGISTRO],DADOS!$N$4,tabela_registros[TIPO],DADOS!$P$4,tabela_registros[CATEGORIA],despesavariávelconsolidadojun[[#This Row],[DESPESA VARIÁVEL]])</f>
        <v>0</v>
      </c>
      <c r="F62" s="91">
        <f>SUMIFS(tabela_registros[VALOR],tabela_registros[MÊS],$AE$1,tabela_registros[DIA],juntotal3059718395[[#Headers],[2]],tabela_registros[REGISTRO],DADOS!$N$4,tabela_registros[TIPO],DADOS!$P$4,tabela_registros[CATEGORIA],despesavariávelconsolidadojun[[#This Row],[DESPESA VARIÁVEL]])</f>
        <v>0</v>
      </c>
      <c r="G62" s="91">
        <f>SUMIFS(tabela_registros[VALOR],tabela_registros[MÊS],$AE$1,tabela_registros[DIA],juntotal3059718395[[#Headers],[3]],tabela_registros[REGISTRO],DADOS!$N$4,tabela_registros[TIPO],DADOS!$P$4,tabela_registros[CATEGORIA],despesavariávelconsolidadojun[[#This Row],[DESPESA VARIÁVEL]])</f>
        <v>0</v>
      </c>
      <c r="H62" s="91">
        <f>SUMIFS(tabela_registros[VALOR],tabela_registros[MÊS],$AE$1,tabela_registros[DIA],juntotal3059718395[[#Headers],[4]],tabela_registros[REGISTRO],DADOS!$N$4,tabela_registros[TIPO],DADOS!$P$4,tabela_registros[CATEGORIA],despesavariávelconsolidadojun[[#This Row],[DESPESA VARIÁVEL]])</f>
        <v>0</v>
      </c>
      <c r="I62" s="91">
        <f>SUMIFS(tabela_registros[VALOR],tabela_registros[MÊS],$AE$1,tabela_registros[DIA],juntotal3059718395[[#Headers],[5]],tabela_registros[REGISTRO],DADOS!$N$4,tabela_registros[TIPO],DADOS!$P$4,tabela_registros[CATEGORIA],despesavariávelconsolidadojun[[#This Row],[DESPESA VARIÁVEL]])</f>
        <v>0</v>
      </c>
      <c r="J62" s="91">
        <f>SUMIFS(tabela_registros[VALOR],tabela_registros[MÊS],$AE$1,tabela_registros[DIA],juntotal3059718395[[#Headers],[6]],tabela_registros[REGISTRO],DADOS!$N$4,tabela_registros[TIPO],DADOS!$P$4,tabela_registros[CATEGORIA],despesavariávelconsolidadojun[[#This Row],[DESPESA VARIÁVEL]])</f>
        <v>0</v>
      </c>
      <c r="K62" s="91">
        <f>SUMIFS(tabela_registros[VALOR],tabela_registros[MÊS],$AE$1,tabela_registros[DIA],juntotal3059718395[[#Headers],[7]],tabela_registros[REGISTRO],DADOS!$N$4,tabela_registros[TIPO],DADOS!$P$4,tabela_registros[CATEGORIA],despesavariávelconsolidadojun[[#This Row],[DESPESA VARIÁVEL]])</f>
        <v>0</v>
      </c>
      <c r="L62" s="91">
        <f>SUMIFS(tabela_registros[VALOR],tabela_registros[MÊS],$AE$1,tabela_registros[DIA],juntotal3059718395[[#Headers],[8]],tabela_registros[REGISTRO],DADOS!$N$4,tabela_registros[TIPO],DADOS!$P$4,tabela_registros[CATEGORIA],despesavariávelconsolidadojun[[#This Row],[DESPESA VARIÁVEL]])</f>
        <v>0</v>
      </c>
      <c r="M62" s="91">
        <f>SUMIFS(tabela_registros[VALOR],tabela_registros[MÊS],$AE$1,tabela_registros[DIA],juntotal3059718395[[#Headers],[9]],tabela_registros[REGISTRO],DADOS!$N$4,tabela_registros[TIPO],DADOS!$P$4,tabela_registros[CATEGORIA],despesavariávelconsolidadojun[[#This Row],[DESPESA VARIÁVEL]])</f>
        <v>0</v>
      </c>
      <c r="N62" s="91">
        <f>SUMIFS(tabela_registros[VALOR],tabela_registros[MÊS],$AE$1,tabela_registros[DIA],juntotal3059718395[[#Headers],[10]],tabela_registros[REGISTRO],DADOS!$N$4,tabela_registros[TIPO],DADOS!$P$4,tabela_registros[CATEGORIA],despesavariávelconsolidadojun[[#This Row],[DESPESA VARIÁVEL]])</f>
        <v>0</v>
      </c>
      <c r="O62" s="91">
        <f>SUMIFS(tabela_registros[VALOR],tabela_registros[MÊS],$AE$1,tabela_registros[DIA],juntotal3059718395[[#Headers],[11]],tabela_registros[REGISTRO],DADOS!$N$4,tabela_registros[TIPO],DADOS!$P$4,tabela_registros[CATEGORIA],despesavariávelconsolidadojun[[#This Row],[DESPESA VARIÁVEL]])</f>
        <v>0</v>
      </c>
      <c r="P62" s="91">
        <f>SUMIFS(tabela_registros[VALOR],tabela_registros[MÊS],$AE$1,tabela_registros[DIA],juntotal3059718395[[#Headers],[12]],tabela_registros[REGISTRO],DADOS!$N$4,tabela_registros[TIPO],DADOS!$P$4,tabela_registros[CATEGORIA],despesavariávelconsolidadojun[[#This Row],[DESPESA VARIÁVEL]])</f>
        <v>0</v>
      </c>
      <c r="Q62" s="91">
        <f>SUMIFS(tabela_registros[VALOR],tabela_registros[MÊS],$AE$1,tabela_registros[DIA],juntotal3059718395[[#Headers],[13]],tabela_registros[REGISTRO],DADOS!$N$4,tabela_registros[TIPO],DADOS!$P$4,tabela_registros[CATEGORIA],despesavariávelconsolidadojun[[#This Row],[DESPESA VARIÁVEL]])</f>
        <v>0</v>
      </c>
      <c r="R62" s="91">
        <f>SUMIFS(tabela_registros[VALOR],tabela_registros[MÊS],$AE$1,tabela_registros[DIA],juntotal3059718395[[#Headers],[14]],tabela_registros[REGISTRO],DADOS!$N$4,tabela_registros[TIPO],DADOS!$P$4,tabela_registros[CATEGORIA],despesavariávelconsolidadojun[[#This Row],[DESPESA VARIÁVEL]])</f>
        <v>0</v>
      </c>
      <c r="S62" s="91">
        <f>SUMIFS(tabela_registros[VALOR],tabela_registros[MÊS],$AE$1,tabela_registros[DIA],juntotal3059718395[[#Headers],[15]],tabela_registros[REGISTRO],DADOS!$N$4,tabela_registros[TIPO],DADOS!$P$4,tabela_registros[CATEGORIA],despesavariávelconsolidadojun[[#This Row],[DESPESA VARIÁVEL]])</f>
        <v>0</v>
      </c>
      <c r="T62" s="91">
        <f>SUMIFS(tabela_registros[VALOR],tabela_registros[MÊS],$AE$1,tabela_registros[DIA],juntotal3059718395[[#Headers],[16]],tabela_registros[REGISTRO],DADOS!$N$4,tabela_registros[TIPO],DADOS!$P$4,tabela_registros[CATEGORIA],despesavariávelconsolidadojun[[#This Row],[DESPESA VARIÁVEL]])</f>
        <v>0</v>
      </c>
      <c r="U62" s="91">
        <f>SUMIFS(tabela_registros[VALOR],tabela_registros[MÊS],$AE$1,tabela_registros[DIA],juntotal3059718395[[#Headers],[17]],tabela_registros[REGISTRO],DADOS!$N$4,tabela_registros[TIPO],DADOS!$P$4,tabela_registros[CATEGORIA],despesavariávelconsolidadojun[[#This Row],[DESPESA VARIÁVEL]])</f>
        <v>0</v>
      </c>
      <c r="V62" s="91">
        <f>SUMIFS(tabela_registros[VALOR],tabela_registros[MÊS],$AE$1,tabela_registros[DIA],juntotal3059718395[[#Headers],[18]],tabela_registros[REGISTRO],DADOS!$N$4,tabela_registros[TIPO],DADOS!$P$4,tabela_registros[CATEGORIA],despesavariávelconsolidadojun[[#This Row],[DESPESA VARIÁVEL]])</f>
        <v>0</v>
      </c>
      <c r="W62" s="91">
        <f>SUMIFS(tabela_registros[VALOR],tabela_registros[MÊS],$AE$1,tabela_registros[DIA],juntotal3059718395[[#Headers],[19]],tabela_registros[REGISTRO],DADOS!$N$4,tabela_registros[TIPO],DADOS!$P$4,tabela_registros[CATEGORIA],despesavariávelconsolidadojun[[#This Row],[DESPESA VARIÁVEL]])</f>
        <v>0</v>
      </c>
      <c r="X62" s="91">
        <f>SUMIFS(tabela_registros[VALOR],tabela_registros[MÊS],$AE$1,tabela_registros[DIA],juntotal3059718395[[#Headers],[20]],tabela_registros[REGISTRO],DADOS!$N$4,tabela_registros[TIPO],DADOS!$P$4,tabela_registros[CATEGORIA],despesavariávelconsolidadojun[[#This Row],[DESPESA VARIÁVEL]])</f>
        <v>0</v>
      </c>
      <c r="Y62" s="91">
        <f>SUMIFS(tabela_registros[VALOR],tabela_registros[MÊS],$AE$1,tabela_registros[DIA],juntotal3059718395[[#Headers],[21]],tabela_registros[REGISTRO],DADOS!$N$4,tabela_registros[TIPO],DADOS!$P$4,tabela_registros[CATEGORIA],despesavariávelconsolidadojun[[#This Row],[DESPESA VARIÁVEL]])</f>
        <v>0</v>
      </c>
      <c r="Z62" s="91">
        <f>SUMIFS(tabela_registros[VALOR],tabela_registros[MÊS],$AE$1,tabela_registros[DIA],juntotal3059718395[[#Headers],[22]],tabela_registros[REGISTRO],DADOS!$N$4,tabela_registros[TIPO],DADOS!$P$4,tabela_registros[CATEGORIA],despesavariávelconsolidadojun[[#This Row],[DESPESA VARIÁVEL]])</f>
        <v>0</v>
      </c>
      <c r="AA62" s="91">
        <f>SUMIFS(tabela_registros[VALOR],tabela_registros[MÊS],$AE$1,tabela_registros[DIA],juntotal3059718395[[#Headers],[23]],tabela_registros[REGISTRO],DADOS!$N$4,tabela_registros[TIPO],DADOS!$P$4,tabela_registros[CATEGORIA],despesavariávelconsolidadojun[[#This Row],[DESPESA VARIÁVEL]])</f>
        <v>0</v>
      </c>
      <c r="AB62" s="91">
        <f>SUMIFS(tabela_registros[VALOR],tabela_registros[MÊS],$AE$1,tabela_registros[DIA],juntotal3059718395[[#Headers],[24]],tabela_registros[REGISTRO],DADOS!$N$4,tabela_registros[TIPO],DADOS!$P$4,tabela_registros[CATEGORIA],despesavariávelconsolidadojun[[#This Row],[DESPESA VARIÁVEL]])</f>
        <v>0</v>
      </c>
      <c r="AC62" s="91">
        <f>SUMIFS(tabela_registros[VALOR],tabela_registros[MÊS],$AE$1,tabela_registros[DIA],juntotal3059718395[[#Headers],[25]],tabela_registros[REGISTRO],DADOS!$N$4,tabela_registros[TIPO],DADOS!$P$4,tabela_registros[CATEGORIA],despesavariávelconsolidadojun[[#This Row],[DESPESA VARIÁVEL]])</f>
        <v>0</v>
      </c>
      <c r="AD62" s="91">
        <f>SUMIFS(tabela_registros[VALOR],tabela_registros[MÊS],$AE$1,tabela_registros[DIA],juntotal3059718395[[#Headers],[26]],tabela_registros[REGISTRO],DADOS!$N$4,tabela_registros[TIPO],DADOS!$P$4,tabela_registros[CATEGORIA],despesavariávelconsolidadojun[[#This Row],[DESPESA VARIÁVEL]])</f>
        <v>0</v>
      </c>
      <c r="AE62" s="91">
        <f>SUMIFS(tabela_registros[VALOR],tabela_registros[MÊS],$AE$1,tabela_registros[DIA],juntotal3059718395[[#Headers],[27]],tabela_registros[REGISTRO],DADOS!$N$4,tabela_registros[TIPO],DADOS!$P$4,tabela_registros[CATEGORIA],despesavariávelconsolidadojun[[#This Row],[DESPESA VARIÁVEL]])</f>
        <v>0</v>
      </c>
      <c r="AF62" s="91">
        <f>SUMIFS(tabela_registros[VALOR],tabela_registros[MÊS],$AE$1,tabela_registros[DIA],juntotal3059718395[[#Headers],[28]],tabela_registros[REGISTRO],DADOS!$N$4,tabela_registros[TIPO],DADOS!$P$4,tabela_registros[CATEGORIA],despesavariávelconsolidadojun[[#This Row],[DESPESA VARIÁVEL]])</f>
        <v>0</v>
      </c>
      <c r="AG62" s="91">
        <f>SUMIFS(tabela_registros[VALOR],tabela_registros[MÊS],$AE$1,tabela_registros[DIA],juntotal3059718395[[#Headers],[29]],tabela_registros[REGISTRO],DADOS!$N$4,tabela_registros[TIPO],DADOS!$P$4,tabela_registros[CATEGORIA],despesavariávelconsolidadojun[[#This Row],[DESPESA VARIÁVEL]])</f>
        <v>0</v>
      </c>
      <c r="AH62" s="91">
        <f>SUMIFS(tabela_registros[VALOR],tabela_registros[MÊS],$AE$1,tabela_registros[DIA],juntotal3059718395[[#Headers],[30]],tabela_registros[REGISTRO],DADOS!$N$4,tabela_registros[TIPO],DADOS!$P$4,tabela_registros[CATEGORIA],despesavariávelconsolidadojun[[#This Row],[DESPESA VARIÁVEL]])</f>
        <v>0</v>
      </c>
      <c r="AI62" s="101">
        <f>SUMIFS(tabela_registros[VALOR],tabela_registros[MÊS],$AE$1,tabela_registros[DIA],juntotal3059718395[[#Headers],[31]],tabela_registros[REGISTRO],DADOS!$N$4,tabela_registros[TIPO],DADOS!$P$4,tabela_registros[CATEGORIA],despesavariávelconsolidadojun[[#This Row],[DESPESA VARIÁVEL]])</f>
        <v>0</v>
      </c>
      <c r="AJ62" s="97">
        <f>SUM(despesavariávelconsolidadojun[[#This Row],[1]:[31]])</f>
        <v>0</v>
      </c>
      <c r="AK62" s="28"/>
    </row>
    <row r="63" spans="2:37" ht="18" customHeight="1" thickTop="1" thickBot="1" x14ac:dyDescent="0.3">
      <c r="B63" s="28"/>
      <c r="C63" s="27" t="str">
        <f>DADOS!$T$6</f>
        <v>💄 CUIDADOS PESSOAIS</v>
      </c>
      <c r="D63" s="26" t="str">
        <f>IF(despesavariávelconsolidadojun[[#This Row],[TOTAL]]=0,"",IF(OR(despesavariávelconsolidadojun[[#This Row],[TOTAL]]=LARGE($AJ$60:$AJ$72,1),despesavariávelconsolidadojun[[#This Row],[TOTAL]]=LARGE($AJ$60:$AJ$72,2),despesavariávelconsolidadojun[[#This Row],[TOTAL]]=LARGE($AJ$60:$AJ$72,3),despesavariávelconsolidadojun[[#This Row],[TOTAL]]=LARGE($AJ$60:$AJ$72,4),despesavariávelconsolidadojun[[#This Row],[TOTAL]]=LARGE($AJ$60:$AJ$72,5)),DADOS!$I$8,""))</f>
        <v/>
      </c>
      <c r="E63" s="96">
        <f>SUMIFS(tabela_registros[VALOR],tabela_registros[MÊS],$AE$1,tabela_registros[DIA],juntotal3059718395[[#Headers],[1]],tabela_registros[REGISTRO],DADOS!$N$4,tabela_registros[TIPO],DADOS!$P$4,tabela_registros[CATEGORIA],despesavariávelconsolidadojun[[#This Row],[DESPESA VARIÁVEL]])</f>
        <v>0</v>
      </c>
      <c r="F63" s="91">
        <f>SUMIFS(tabela_registros[VALOR],tabela_registros[MÊS],$AE$1,tabela_registros[DIA],juntotal3059718395[[#Headers],[2]],tabela_registros[REGISTRO],DADOS!$N$4,tabela_registros[TIPO],DADOS!$P$4,tabela_registros[CATEGORIA],despesavariávelconsolidadojun[[#This Row],[DESPESA VARIÁVEL]])</f>
        <v>0</v>
      </c>
      <c r="G63" s="91">
        <f>SUMIFS(tabela_registros[VALOR],tabela_registros[MÊS],$AE$1,tabela_registros[DIA],juntotal3059718395[[#Headers],[3]],tabela_registros[REGISTRO],DADOS!$N$4,tabela_registros[TIPO],DADOS!$P$4,tabela_registros[CATEGORIA],despesavariávelconsolidadojun[[#This Row],[DESPESA VARIÁVEL]])</f>
        <v>0</v>
      </c>
      <c r="H63" s="91">
        <f>SUMIFS(tabela_registros[VALOR],tabela_registros[MÊS],$AE$1,tabela_registros[DIA],juntotal3059718395[[#Headers],[4]],tabela_registros[REGISTRO],DADOS!$N$4,tabela_registros[TIPO],DADOS!$P$4,tabela_registros[CATEGORIA],despesavariávelconsolidadojun[[#This Row],[DESPESA VARIÁVEL]])</f>
        <v>0</v>
      </c>
      <c r="I63" s="91">
        <f>SUMIFS(tabela_registros[VALOR],tabela_registros[MÊS],$AE$1,tabela_registros[DIA],juntotal3059718395[[#Headers],[5]],tabela_registros[REGISTRO],DADOS!$N$4,tabela_registros[TIPO],DADOS!$P$4,tabela_registros[CATEGORIA],despesavariávelconsolidadojun[[#This Row],[DESPESA VARIÁVEL]])</f>
        <v>0</v>
      </c>
      <c r="J63" s="91">
        <f>SUMIFS(tabela_registros[VALOR],tabela_registros[MÊS],$AE$1,tabela_registros[DIA],juntotal3059718395[[#Headers],[6]],tabela_registros[REGISTRO],DADOS!$N$4,tabela_registros[TIPO],DADOS!$P$4,tabela_registros[CATEGORIA],despesavariávelconsolidadojun[[#This Row],[DESPESA VARIÁVEL]])</f>
        <v>0</v>
      </c>
      <c r="K63" s="91">
        <f>SUMIFS(tabela_registros[VALOR],tabela_registros[MÊS],$AE$1,tabela_registros[DIA],juntotal3059718395[[#Headers],[7]],tabela_registros[REGISTRO],DADOS!$N$4,tabela_registros[TIPO],DADOS!$P$4,tabela_registros[CATEGORIA],despesavariávelconsolidadojun[[#This Row],[DESPESA VARIÁVEL]])</f>
        <v>0</v>
      </c>
      <c r="L63" s="91">
        <f>SUMIFS(tabela_registros[VALOR],tabela_registros[MÊS],$AE$1,tabela_registros[DIA],juntotal3059718395[[#Headers],[8]],tabela_registros[REGISTRO],DADOS!$N$4,tabela_registros[TIPO],DADOS!$P$4,tabela_registros[CATEGORIA],despesavariávelconsolidadojun[[#This Row],[DESPESA VARIÁVEL]])</f>
        <v>0</v>
      </c>
      <c r="M63" s="91">
        <f>SUMIFS(tabela_registros[VALOR],tabela_registros[MÊS],$AE$1,tabela_registros[DIA],juntotal3059718395[[#Headers],[9]],tabela_registros[REGISTRO],DADOS!$N$4,tabela_registros[TIPO],DADOS!$P$4,tabela_registros[CATEGORIA],despesavariávelconsolidadojun[[#This Row],[DESPESA VARIÁVEL]])</f>
        <v>0</v>
      </c>
      <c r="N63" s="91">
        <f>SUMIFS(tabela_registros[VALOR],tabela_registros[MÊS],$AE$1,tabela_registros[DIA],juntotal3059718395[[#Headers],[10]],tabela_registros[REGISTRO],DADOS!$N$4,tabela_registros[TIPO],DADOS!$P$4,tabela_registros[CATEGORIA],despesavariávelconsolidadojun[[#This Row],[DESPESA VARIÁVEL]])</f>
        <v>0</v>
      </c>
      <c r="O63" s="91">
        <f>SUMIFS(tabela_registros[VALOR],tabela_registros[MÊS],$AE$1,tabela_registros[DIA],juntotal3059718395[[#Headers],[11]],tabela_registros[REGISTRO],DADOS!$N$4,tabela_registros[TIPO],DADOS!$P$4,tabela_registros[CATEGORIA],despesavariávelconsolidadojun[[#This Row],[DESPESA VARIÁVEL]])</f>
        <v>0</v>
      </c>
      <c r="P63" s="91">
        <f>SUMIFS(tabela_registros[VALOR],tabela_registros[MÊS],$AE$1,tabela_registros[DIA],juntotal3059718395[[#Headers],[12]],tabela_registros[REGISTRO],DADOS!$N$4,tabela_registros[TIPO],DADOS!$P$4,tabela_registros[CATEGORIA],despesavariávelconsolidadojun[[#This Row],[DESPESA VARIÁVEL]])</f>
        <v>0</v>
      </c>
      <c r="Q63" s="91">
        <f>SUMIFS(tabela_registros[VALOR],tabela_registros[MÊS],$AE$1,tabela_registros[DIA],juntotal3059718395[[#Headers],[13]],tabela_registros[REGISTRO],DADOS!$N$4,tabela_registros[TIPO],DADOS!$P$4,tabela_registros[CATEGORIA],despesavariávelconsolidadojun[[#This Row],[DESPESA VARIÁVEL]])</f>
        <v>0</v>
      </c>
      <c r="R63" s="91">
        <f>SUMIFS(tabela_registros[VALOR],tabela_registros[MÊS],$AE$1,tabela_registros[DIA],juntotal3059718395[[#Headers],[14]],tabela_registros[REGISTRO],DADOS!$N$4,tabela_registros[TIPO],DADOS!$P$4,tabela_registros[CATEGORIA],despesavariávelconsolidadojun[[#This Row],[DESPESA VARIÁVEL]])</f>
        <v>0</v>
      </c>
      <c r="S63" s="91">
        <f>SUMIFS(tabela_registros[VALOR],tabela_registros[MÊS],$AE$1,tabela_registros[DIA],juntotal3059718395[[#Headers],[15]],tabela_registros[REGISTRO],DADOS!$N$4,tabela_registros[TIPO],DADOS!$P$4,tabela_registros[CATEGORIA],despesavariávelconsolidadojun[[#This Row],[DESPESA VARIÁVEL]])</f>
        <v>0</v>
      </c>
      <c r="T63" s="91">
        <f>SUMIFS(tabela_registros[VALOR],tabela_registros[MÊS],$AE$1,tabela_registros[DIA],juntotal3059718395[[#Headers],[16]],tabela_registros[REGISTRO],DADOS!$N$4,tabela_registros[TIPO],DADOS!$P$4,tabela_registros[CATEGORIA],despesavariávelconsolidadojun[[#This Row],[DESPESA VARIÁVEL]])</f>
        <v>0</v>
      </c>
      <c r="U63" s="91">
        <f>SUMIFS(tabela_registros[VALOR],tabela_registros[MÊS],$AE$1,tabela_registros[DIA],juntotal3059718395[[#Headers],[17]],tabela_registros[REGISTRO],DADOS!$N$4,tabela_registros[TIPO],DADOS!$P$4,tabela_registros[CATEGORIA],despesavariávelconsolidadojun[[#This Row],[DESPESA VARIÁVEL]])</f>
        <v>0</v>
      </c>
      <c r="V63" s="91">
        <f>SUMIFS(tabela_registros[VALOR],tabela_registros[MÊS],$AE$1,tabela_registros[DIA],juntotal3059718395[[#Headers],[18]],tabela_registros[REGISTRO],DADOS!$N$4,tabela_registros[TIPO],DADOS!$P$4,tabela_registros[CATEGORIA],despesavariávelconsolidadojun[[#This Row],[DESPESA VARIÁVEL]])</f>
        <v>0</v>
      </c>
      <c r="W63" s="91">
        <f>SUMIFS(tabela_registros[VALOR],tabela_registros[MÊS],$AE$1,tabela_registros[DIA],juntotal3059718395[[#Headers],[19]],tabela_registros[REGISTRO],DADOS!$N$4,tabela_registros[TIPO],DADOS!$P$4,tabela_registros[CATEGORIA],despesavariávelconsolidadojun[[#This Row],[DESPESA VARIÁVEL]])</f>
        <v>0</v>
      </c>
      <c r="X63" s="91">
        <f>SUMIFS(tabela_registros[VALOR],tabela_registros[MÊS],$AE$1,tabela_registros[DIA],juntotal3059718395[[#Headers],[20]],tabela_registros[REGISTRO],DADOS!$N$4,tabela_registros[TIPO],DADOS!$P$4,tabela_registros[CATEGORIA],despesavariávelconsolidadojun[[#This Row],[DESPESA VARIÁVEL]])</f>
        <v>0</v>
      </c>
      <c r="Y63" s="91">
        <f>SUMIFS(tabela_registros[VALOR],tabela_registros[MÊS],$AE$1,tabela_registros[DIA],juntotal3059718395[[#Headers],[21]],tabela_registros[REGISTRO],DADOS!$N$4,tabela_registros[TIPO],DADOS!$P$4,tabela_registros[CATEGORIA],despesavariávelconsolidadojun[[#This Row],[DESPESA VARIÁVEL]])</f>
        <v>0</v>
      </c>
      <c r="Z63" s="91">
        <f>SUMIFS(tabela_registros[VALOR],tabela_registros[MÊS],$AE$1,tabela_registros[DIA],juntotal3059718395[[#Headers],[22]],tabela_registros[REGISTRO],DADOS!$N$4,tabela_registros[TIPO],DADOS!$P$4,tabela_registros[CATEGORIA],despesavariávelconsolidadojun[[#This Row],[DESPESA VARIÁVEL]])</f>
        <v>0</v>
      </c>
      <c r="AA63" s="91">
        <f>SUMIFS(tabela_registros[VALOR],tabela_registros[MÊS],$AE$1,tabela_registros[DIA],juntotal3059718395[[#Headers],[23]],tabela_registros[REGISTRO],DADOS!$N$4,tabela_registros[TIPO],DADOS!$P$4,tabela_registros[CATEGORIA],despesavariávelconsolidadojun[[#This Row],[DESPESA VARIÁVEL]])</f>
        <v>0</v>
      </c>
      <c r="AB63" s="91">
        <f>SUMIFS(tabela_registros[VALOR],tabela_registros[MÊS],$AE$1,tabela_registros[DIA],juntotal3059718395[[#Headers],[24]],tabela_registros[REGISTRO],DADOS!$N$4,tabela_registros[TIPO],DADOS!$P$4,tabela_registros[CATEGORIA],despesavariávelconsolidadojun[[#This Row],[DESPESA VARIÁVEL]])</f>
        <v>0</v>
      </c>
      <c r="AC63" s="91">
        <f>SUMIFS(tabela_registros[VALOR],tabela_registros[MÊS],$AE$1,tabela_registros[DIA],juntotal3059718395[[#Headers],[25]],tabela_registros[REGISTRO],DADOS!$N$4,tabela_registros[TIPO],DADOS!$P$4,tabela_registros[CATEGORIA],despesavariávelconsolidadojun[[#This Row],[DESPESA VARIÁVEL]])</f>
        <v>0</v>
      </c>
      <c r="AD63" s="91">
        <f>SUMIFS(tabela_registros[VALOR],tabela_registros[MÊS],$AE$1,tabela_registros[DIA],juntotal3059718395[[#Headers],[26]],tabela_registros[REGISTRO],DADOS!$N$4,tabela_registros[TIPO],DADOS!$P$4,tabela_registros[CATEGORIA],despesavariávelconsolidadojun[[#This Row],[DESPESA VARIÁVEL]])</f>
        <v>0</v>
      </c>
      <c r="AE63" s="91">
        <f>SUMIFS(tabela_registros[VALOR],tabela_registros[MÊS],$AE$1,tabela_registros[DIA],juntotal3059718395[[#Headers],[27]],tabela_registros[REGISTRO],DADOS!$N$4,tabela_registros[TIPO],DADOS!$P$4,tabela_registros[CATEGORIA],despesavariávelconsolidadojun[[#This Row],[DESPESA VARIÁVEL]])</f>
        <v>0</v>
      </c>
      <c r="AF63" s="91">
        <f>SUMIFS(tabela_registros[VALOR],tabela_registros[MÊS],$AE$1,tabela_registros[DIA],juntotal3059718395[[#Headers],[28]],tabela_registros[REGISTRO],DADOS!$N$4,tabela_registros[TIPO],DADOS!$P$4,tabela_registros[CATEGORIA],despesavariávelconsolidadojun[[#This Row],[DESPESA VARIÁVEL]])</f>
        <v>0</v>
      </c>
      <c r="AG63" s="91">
        <f>SUMIFS(tabela_registros[VALOR],tabela_registros[MÊS],$AE$1,tabela_registros[DIA],juntotal3059718395[[#Headers],[29]],tabela_registros[REGISTRO],DADOS!$N$4,tabela_registros[TIPO],DADOS!$P$4,tabela_registros[CATEGORIA],despesavariávelconsolidadojun[[#This Row],[DESPESA VARIÁVEL]])</f>
        <v>0</v>
      </c>
      <c r="AH63" s="91">
        <f>SUMIFS(tabela_registros[VALOR],tabela_registros[MÊS],$AE$1,tabela_registros[DIA],juntotal3059718395[[#Headers],[30]],tabela_registros[REGISTRO],DADOS!$N$4,tabela_registros[TIPO],DADOS!$P$4,tabela_registros[CATEGORIA],despesavariávelconsolidadojun[[#This Row],[DESPESA VARIÁVEL]])</f>
        <v>0</v>
      </c>
      <c r="AI63" s="101">
        <f>SUMIFS(tabela_registros[VALOR],tabela_registros[MÊS],$AE$1,tabela_registros[DIA],juntotal3059718395[[#Headers],[31]],tabela_registros[REGISTRO],DADOS!$N$4,tabela_registros[TIPO],DADOS!$P$4,tabela_registros[CATEGORIA],despesavariávelconsolidadojun[[#This Row],[DESPESA VARIÁVEL]])</f>
        <v>0</v>
      </c>
      <c r="AJ63" s="97">
        <f>SUM(despesavariávelconsolidadojun[[#This Row],[1]:[31]])</f>
        <v>0</v>
      </c>
      <c r="AK63" s="28"/>
    </row>
    <row r="64" spans="2:37" ht="18" customHeight="1" thickTop="1" thickBot="1" x14ac:dyDescent="0.3">
      <c r="B64" s="28"/>
      <c r="C64" s="27" t="str">
        <f>DADOS!$T$7</f>
        <v>🤝 DOAÇÃO</v>
      </c>
      <c r="D64" s="26" t="str">
        <f>IF(despesavariávelconsolidadojun[[#This Row],[TOTAL]]=0,"",IF(OR(despesavariávelconsolidadojun[[#This Row],[TOTAL]]=LARGE($AJ$60:$AJ$72,1),despesavariávelconsolidadojun[[#This Row],[TOTAL]]=LARGE($AJ$60:$AJ$72,2),despesavariávelconsolidadojun[[#This Row],[TOTAL]]=LARGE($AJ$60:$AJ$72,3),despesavariávelconsolidadojun[[#This Row],[TOTAL]]=LARGE($AJ$60:$AJ$72,4),despesavariávelconsolidadojun[[#This Row],[TOTAL]]=LARGE($AJ$60:$AJ$72,5)),DADOS!$I$8,""))</f>
        <v/>
      </c>
      <c r="E64" s="96">
        <f>SUMIFS(tabela_registros[VALOR],tabela_registros[MÊS],$AE$1,tabela_registros[DIA],juntotal3059718395[[#Headers],[1]],tabela_registros[REGISTRO],DADOS!$N$4,tabela_registros[TIPO],DADOS!$P$4,tabela_registros[CATEGORIA],despesavariávelconsolidadojun[[#This Row],[DESPESA VARIÁVEL]])</f>
        <v>0</v>
      </c>
      <c r="F64" s="91">
        <f>SUMIFS(tabela_registros[VALOR],tabela_registros[MÊS],$AE$1,tabela_registros[DIA],juntotal3059718395[[#Headers],[2]],tabela_registros[REGISTRO],DADOS!$N$4,tabela_registros[TIPO],DADOS!$P$4,tabela_registros[CATEGORIA],despesavariávelconsolidadojun[[#This Row],[DESPESA VARIÁVEL]])</f>
        <v>0</v>
      </c>
      <c r="G64" s="91">
        <f>SUMIFS(tabela_registros[VALOR],tabela_registros[MÊS],$AE$1,tabela_registros[DIA],juntotal3059718395[[#Headers],[3]],tabela_registros[REGISTRO],DADOS!$N$4,tabela_registros[TIPO],DADOS!$P$4,tabela_registros[CATEGORIA],despesavariávelconsolidadojun[[#This Row],[DESPESA VARIÁVEL]])</f>
        <v>0</v>
      </c>
      <c r="H64" s="91">
        <f>SUMIFS(tabela_registros[VALOR],tabela_registros[MÊS],$AE$1,tabela_registros[DIA],juntotal3059718395[[#Headers],[4]],tabela_registros[REGISTRO],DADOS!$N$4,tabela_registros[TIPO],DADOS!$P$4,tabela_registros[CATEGORIA],despesavariávelconsolidadojun[[#This Row],[DESPESA VARIÁVEL]])</f>
        <v>0</v>
      </c>
      <c r="I64" s="91">
        <f>SUMIFS(tabela_registros[VALOR],tabela_registros[MÊS],$AE$1,tabela_registros[DIA],juntotal3059718395[[#Headers],[5]],tabela_registros[REGISTRO],DADOS!$N$4,tabela_registros[TIPO],DADOS!$P$4,tabela_registros[CATEGORIA],despesavariávelconsolidadojun[[#This Row],[DESPESA VARIÁVEL]])</f>
        <v>0</v>
      </c>
      <c r="J64" s="91">
        <f>SUMIFS(tabela_registros[VALOR],tabela_registros[MÊS],$AE$1,tabela_registros[DIA],juntotal3059718395[[#Headers],[6]],tabela_registros[REGISTRO],DADOS!$N$4,tabela_registros[TIPO],DADOS!$P$4,tabela_registros[CATEGORIA],despesavariávelconsolidadojun[[#This Row],[DESPESA VARIÁVEL]])</f>
        <v>0</v>
      </c>
      <c r="K64" s="91">
        <f>SUMIFS(tabela_registros[VALOR],tabela_registros[MÊS],$AE$1,tabela_registros[DIA],juntotal3059718395[[#Headers],[7]],tabela_registros[REGISTRO],DADOS!$N$4,tabela_registros[TIPO],DADOS!$P$4,tabela_registros[CATEGORIA],despesavariávelconsolidadojun[[#This Row],[DESPESA VARIÁVEL]])</f>
        <v>0</v>
      </c>
      <c r="L64" s="91">
        <f>SUMIFS(tabela_registros[VALOR],tabela_registros[MÊS],$AE$1,tabela_registros[DIA],juntotal3059718395[[#Headers],[8]],tabela_registros[REGISTRO],DADOS!$N$4,tabela_registros[TIPO],DADOS!$P$4,tabela_registros[CATEGORIA],despesavariávelconsolidadojun[[#This Row],[DESPESA VARIÁVEL]])</f>
        <v>0</v>
      </c>
      <c r="M64" s="91">
        <f>SUMIFS(tabela_registros[VALOR],tabela_registros[MÊS],$AE$1,tabela_registros[DIA],juntotal3059718395[[#Headers],[9]],tabela_registros[REGISTRO],DADOS!$N$4,tabela_registros[TIPO],DADOS!$P$4,tabela_registros[CATEGORIA],despesavariávelconsolidadojun[[#This Row],[DESPESA VARIÁVEL]])</f>
        <v>0</v>
      </c>
      <c r="N64" s="91">
        <f>SUMIFS(tabela_registros[VALOR],tabela_registros[MÊS],$AE$1,tabela_registros[DIA],juntotal3059718395[[#Headers],[10]],tabela_registros[REGISTRO],DADOS!$N$4,tabela_registros[TIPO],DADOS!$P$4,tabela_registros[CATEGORIA],despesavariávelconsolidadojun[[#This Row],[DESPESA VARIÁVEL]])</f>
        <v>0</v>
      </c>
      <c r="O64" s="91">
        <f>SUMIFS(tabela_registros[VALOR],tabela_registros[MÊS],$AE$1,tabela_registros[DIA],juntotal3059718395[[#Headers],[11]],tabela_registros[REGISTRO],DADOS!$N$4,tabela_registros[TIPO],DADOS!$P$4,tabela_registros[CATEGORIA],despesavariávelconsolidadojun[[#This Row],[DESPESA VARIÁVEL]])</f>
        <v>0</v>
      </c>
      <c r="P64" s="91">
        <f>SUMIFS(tabela_registros[VALOR],tabela_registros[MÊS],$AE$1,tabela_registros[DIA],juntotal3059718395[[#Headers],[12]],tabela_registros[REGISTRO],DADOS!$N$4,tabela_registros[TIPO],DADOS!$P$4,tabela_registros[CATEGORIA],despesavariávelconsolidadojun[[#This Row],[DESPESA VARIÁVEL]])</f>
        <v>0</v>
      </c>
      <c r="Q64" s="91">
        <f>SUMIFS(tabela_registros[VALOR],tabela_registros[MÊS],$AE$1,tabela_registros[DIA],juntotal3059718395[[#Headers],[13]],tabela_registros[REGISTRO],DADOS!$N$4,tabela_registros[TIPO],DADOS!$P$4,tabela_registros[CATEGORIA],despesavariávelconsolidadojun[[#This Row],[DESPESA VARIÁVEL]])</f>
        <v>0</v>
      </c>
      <c r="R64" s="91">
        <f>SUMIFS(tabela_registros[VALOR],tabela_registros[MÊS],$AE$1,tabela_registros[DIA],juntotal3059718395[[#Headers],[14]],tabela_registros[REGISTRO],DADOS!$N$4,tabela_registros[TIPO],DADOS!$P$4,tabela_registros[CATEGORIA],despesavariávelconsolidadojun[[#This Row],[DESPESA VARIÁVEL]])</f>
        <v>0</v>
      </c>
      <c r="S64" s="91">
        <f>SUMIFS(tabela_registros[VALOR],tabela_registros[MÊS],$AE$1,tabela_registros[DIA],juntotal3059718395[[#Headers],[15]],tabela_registros[REGISTRO],DADOS!$N$4,tabela_registros[TIPO],DADOS!$P$4,tabela_registros[CATEGORIA],despesavariávelconsolidadojun[[#This Row],[DESPESA VARIÁVEL]])</f>
        <v>0</v>
      </c>
      <c r="T64" s="91">
        <f>SUMIFS(tabela_registros[VALOR],tabela_registros[MÊS],$AE$1,tabela_registros[DIA],juntotal3059718395[[#Headers],[16]],tabela_registros[REGISTRO],DADOS!$N$4,tabela_registros[TIPO],DADOS!$P$4,tabela_registros[CATEGORIA],despesavariávelconsolidadojun[[#This Row],[DESPESA VARIÁVEL]])</f>
        <v>0</v>
      </c>
      <c r="U64" s="91">
        <f>SUMIFS(tabela_registros[VALOR],tabela_registros[MÊS],$AE$1,tabela_registros[DIA],juntotal3059718395[[#Headers],[17]],tabela_registros[REGISTRO],DADOS!$N$4,tabela_registros[TIPO],DADOS!$P$4,tabela_registros[CATEGORIA],despesavariávelconsolidadojun[[#This Row],[DESPESA VARIÁVEL]])</f>
        <v>0</v>
      </c>
      <c r="V64" s="91">
        <f>SUMIFS(tabela_registros[VALOR],tabela_registros[MÊS],$AE$1,tabela_registros[DIA],juntotal3059718395[[#Headers],[18]],tabela_registros[REGISTRO],DADOS!$N$4,tabela_registros[TIPO],DADOS!$P$4,tabela_registros[CATEGORIA],despesavariávelconsolidadojun[[#This Row],[DESPESA VARIÁVEL]])</f>
        <v>0</v>
      </c>
      <c r="W64" s="91">
        <f>SUMIFS(tabela_registros[VALOR],tabela_registros[MÊS],$AE$1,tabela_registros[DIA],juntotal3059718395[[#Headers],[19]],tabela_registros[REGISTRO],DADOS!$N$4,tabela_registros[TIPO],DADOS!$P$4,tabela_registros[CATEGORIA],despesavariávelconsolidadojun[[#This Row],[DESPESA VARIÁVEL]])</f>
        <v>0</v>
      </c>
      <c r="X64" s="91">
        <f>SUMIFS(tabela_registros[VALOR],tabela_registros[MÊS],$AE$1,tabela_registros[DIA],juntotal3059718395[[#Headers],[20]],tabela_registros[REGISTRO],DADOS!$N$4,tabela_registros[TIPO],DADOS!$P$4,tabela_registros[CATEGORIA],despesavariávelconsolidadojun[[#This Row],[DESPESA VARIÁVEL]])</f>
        <v>0</v>
      </c>
      <c r="Y64" s="91">
        <f>SUMIFS(tabela_registros[VALOR],tabela_registros[MÊS],$AE$1,tabela_registros[DIA],juntotal3059718395[[#Headers],[21]],tabela_registros[REGISTRO],DADOS!$N$4,tabela_registros[TIPO],DADOS!$P$4,tabela_registros[CATEGORIA],despesavariávelconsolidadojun[[#This Row],[DESPESA VARIÁVEL]])</f>
        <v>0</v>
      </c>
      <c r="Z64" s="91">
        <f>SUMIFS(tabela_registros[VALOR],tabela_registros[MÊS],$AE$1,tabela_registros[DIA],juntotal3059718395[[#Headers],[22]],tabela_registros[REGISTRO],DADOS!$N$4,tabela_registros[TIPO],DADOS!$P$4,tabela_registros[CATEGORIA],despesavariávelconsolidadojun[[#This Row],[DESPESA VARIÁVEL]])</f>
        <v>0</v>
      </c>
      <c r="AA64" s="91">
        <f>SUMIFS(tabela_registros[VALOR],tabela_registros[MÊS],$AE$1,tabela_registros[DIA],juntotal3059718395[[#Headers],[23]],tabela_registros[REGISTRO],DADOS!$N$4,tabela_registros[TIPO],DADOS!$P$4,tabela_registros[CATEGORIA],despesavariávelconsolidadojun[[#This Row],[DESPESA VARIÁVEL]])</f>
        <v>0</v>
      </c>
      <c r="AB64" s="91">
        <f>SUMIFS(tabela_registros[VALOR],tabela_registros[MÊS],$AE$1,tabela_registros[DIA],juntotal3059718395[[#Headers],[24]],tabela_registros[REGISTRO],DADOS!$N$4,tabela_registros[TIPO],DADOS!$P$4,tabela_registros[CATEGORIA],despesavariávelconsolidadojun[[#This Row],[DESPESA VARIÁVEL]])</f>
        <v>0</v>
      </c>
      <c r="AC64" s="91">
        <f>SUMIFS(tabela_registros[VALOR],tabela_registros[MÊS],$AE$1,tabela_registros[DIA],juntotal3059718395[[#Headers],[25]],tabela_registros[REGISTRO],DADOS!$N$4,tabela_registros[TIPO],DADOS!$P$4,tabela_registros[CATEGORIA],despesavariávelconsolidadojun[[#This Row],[DESPESA VARIÁVEL]])</f>
        <v>0</v>
      </c>
      <c r="AD64" s="91">
        <f>SUMIFS(tabela_registros[VALOR],tabela_registros[MÊS],$AE$1,tabela_registros[DIA],juntotal3059718395[[#Headers],[26]],tabela_registros[REGISTRO],DADOS!$N$4,tabela_registros[TIPO],DADOS!$P$4,tabela_registros[CATEGORIA],despesavariávelconsolidadojun[[#This Row],[DESPESA VARIÁVEL]])</f>
        <v>0</v>
      </c>
      <c r="AE64" s="91">
        <f>SUMIFS(tabela_registros[VALOR],tabela_registros[MÊS],$AE$1,tabela_registros[DIA],juntotal3059718395[[#Headers],[27]],tabela_registros[REGISTRO],DADOS!$N$4,tabela_registros[TIPO],DADOS!$P$4,tabela_registros[CATEGORIA],despesavariávelconsolidadojun[[#This Row],[DESPESA VARIÁVEL]])</f>
        <v>0</v>
      </c>
      <c r="AF64" s="91">
        <f>SUMIFS(tabela_registros[VALOR],tabela_registros[MÊS],$AE$1,tabela_registros[DIA],juntotal3059718395[[#Headers],[28]],tabela_registros[REGISTRO],DADOS!$N$4,tabela_registros[TIPO],DADOS!$P$4,tabela_registros[CATEGORIA],despesavariávelconsolidadojun[[#This Row],[DESPESA VARIÁVEL]])</f>
        <v>0</v>
      </c>
      <c r="AG64" s="91">
        <f>SUMIFS(tabela_registros[VALOR],tabela_registros[MÊS],$AE$1,tabela_registros[DIA],juntotal3059718395[[#Headers],[29]],tabela_registros[REGISTRO],DADOS!$N$4,tabela_registros[TIPO],DADOS!$P$4,tabela_registros[CATEGORIA],despesavariávelconsolidadojun[[#This Row],[DESPESA VARIÁVEL]])</f>
        <v>0</v>
      </c>
      <c r="AH64" s="91">
        <f>SUMIFS(tabela_registros[VALOR],tabela_registros[MÊS],$AE$1,tabela_registros[DIA],juntotal3059718395[[#Headers],[30]],tabela_registros[REGISTRO],DADOS!$N$4,tabela_registros[TIPO],DADOS!$P$4,tabela_registros[CATEGORIA],despesavariávelconsolidadojun[[#This Row],[DESPESA VARIÁVEL]])</f>
        <v>0</v>
      </c>
      <c r="AI64" s="101">
        <f>SUMIFS(tabela_registros[VALOR],tabela_registros[MÊS],$AE$1,tabela_registros[DIA],juntotal3059718395[[#Headers],[31]],tabela_registros[REGISTRO],DADOS!$N$4,tabela_registros[TIPO],DADOS!$P$4,tabela_registros[CATEGORIA],despesavariávelconsolidadojun[[#This Row],[DESPESA VARIÁVEL]])</f>
        <v>0</v>
      </c>
      <c r="AJ64" s="97">
        <f>SUM(despesavariávelconsolidadojun[[#This Row],[1]:[31]])</f>
        <v>0</v>
      </c>
      <c r="AK64" s="28"/>
    </row>
    <row r="65" spans="2:37" ht="18" customHeight="1" thickTop="1" thickBot="1" x14ac:dyDescent="0.3">
      <c r="B65" s="28"/>
      <c r="C65" s="27" t="str">
        <f>DADOS!$T$8</f>
        <v>📖 EDUCAÇÃO</v>
      </c>
      <c r="D65" s="26" t="str">
        <f>IF(despesavariávelconsolidadojun[[#This Row],[TOTAL]]=0,"",IF(OR(despesavariávelconsolidadojun[[#This Row],[TOTAL]]=LARGE($AJ$60:$AJ$72,1),despesavariávelconsolidadojun[[#This Row],[TOTAL]]=LARGE($AJ$60:$AJ$72,2),despesavariávelconsolidadojun[[#This Row],[TOTAL]]=LARGE($AJ$60:$AJ$72,3),despesavariávelconsolidadojun[[#This Row],[TOTAL]]=LARGE($AJ$60:$AJ$72,4),despesavariávelconsolidadojun[[#This Row],[TOTAL]]=LARGE($AJ$60:$AJ$72,5)),DADOS!$I$8,""))</f>
        <v/>
      </c>
      <c r="E65" s="96">
        <f>SUMIFS(tabela_registros[VALOR],tabela_registros[MÊS],$AE$1,tabela_registros[DIA],juntotal3059718395[[#Headers],[1]],tabela_registros[REGISTRO],DADOS!$N$4,tabela_registros[TIPO],DADOS!$P$4,tabela_registros[CATEGORIA],despesavariávelconsolidadojun[[#This Row],[DESPESA VARIÁVEL]])</f>
        <v>0</v>
      </c>
      <c r="F65" s="91">
        <f>SUMIFS(tabela_registros[VALOR],tabela_registros[MÊS],$AE$1,tabela_registros[DIA],juntotal3059718395[[#Headers],[2]],tabela_registros[REGISTRO],DADOS!$N$4,tabela_registros[TIPO],DADOS!$P$4,tabela_registros[CATEGORIA],despesavariávelconsolidadojun[[#This Row],[DESPESA VARIÁVEL]])</f>
        <v>0</v>
      </c>
      <c r="G65" s="91">
        <f>SUMIFS(tabela_registros[VALOR],tabela_registros[MÊS],$AE$1,tabela_registros[DIA],juntotal3059718395[[#Headers],[3]],tabela_registros[REGISTRO],DADOS!$N$4,tabela_registros[TIPO],DADOS!$P$4,tabela_registros[CATEGORIA],despesavariávelconsolidadojun[[#This Row],[DESPESA VARIÁVEL]])</f>
        <v>0</v>
      </c>
      <c r="H65" s="91">
        <f>SUMIFS(tabela_registros[VALOR],tabela_registros[MÊS],$AE$1,tabela_registros[DIA],juntotal3059718395[[#Headers],[4]],tabela_registros[REGISTRO],DADOS!$N$4,tabela_registros[TIPO],DADOS!$P$4,tabela_registros[CATEGORIA],despesavariávelconsolidadojun[[#This Row],[DESPESA VARIÁVEL]])</f>
        <v>0</v>
      </c>
      <c r="I65" s="91">
        <f>SUMIFS(tabela_registros[VALOR],tabela_registros[MÊS],$AE$1,tabela_registros[DIA],juntotal3059718395[[#Headers],[5]],tabela_registros[REGISTRO],DADOS!$N$4,tabela_registros[TIPO],DADOS!$P$4,tabela_registros[CATEGORIA],despesavariávelconsolidadojun[[#This Row],[DESPESA VARIÁVEL]])</f>
        <v>0</v>
      </c>
      <c r="J65" s="91">
        <f>SUMIFS(tabela_registros[VALOR],tabela_registros[MÊS],$AE$1,tabela_registros[DIA],juntotal3059718395[[#Headers],[6]],tabela_registros[REGISTRO],DADOS!$N$4,tabela_registros[TIPO],DADOS!$P$4,tabela_registros[CATEGORIA],despesavariávelconsolidadojun[[#This Row],[DESPESA VARIÁVEL]])</f>
        <v>0</v>
      </c>
      <c r="K65" s="91">
        <f>SUMIFS(tabela_registros[VALOR],tabela_registros[MÊS],$AE$1,tabela_registros[DIA],juntotal3059718395[[#Headers],[7]],tabela_registros[REGISTRO],DADOS!$N$4,tabela_registros[TIPO],DADOS!$P$4,tabela_registros[CATEGORIA],despesavariávelconsolidadojun[[#This Row],[DESPESA VARIÁVEL]])</f>
        <v>0</v>
      </c>
      <c r="L65" s="91">
        <f>SUMIFS(tabela_registros[VALOR],tabela_registros[MÊS],$AE$1,tabela_registros[DIA],juntotal3059718395[[#Headers],[8]],tabela_registros[REGISTRO],DADOS!$N$4,tabela_registros[TIPO],DADOS!$P$4,tabela_registros[CATEGORIA],despesavariávelconsolidadojun[[#This Row],[DESPESA VARIÁVEL]])</f>
        <v>0</v>
      </c>
      <c r="M65" s="91">
        <f>SUMIFS(tabela_registros[VALOR],tabela_registros[MÊS],$AE$1,tabela_registros[DIA],juntotal3059718395[[#Headers],[9]],tabela_registros[REGISTRO],DADOS!$N$4,tabela_registros[TIPO],DADOS!$P$4,tabela_registros[CATEGORIA],despesavariávelconsolidadojun[[#This Row],[DESPESA VARIÁVEL]])</f>
        <v>0</v>
      </c>
      <c r="N65" s="91">
        <f>SUMIFS(tabela_registros[VALOR],tabela_registros[MÊS],$AE$1,tabela_registros[DIA],juntotal3059718395[[#Headers],[10]],tabela_registros[REGISTRO],DADOS!$N$4,tabela_registros[TIPO],DADOS!$P$4,tabela_registros[CATEGORIA],despesavariávelconsolidadojun[[#This Row],[DESPESA VARIÁVEL]])</f>
        <v>0</v>
      </c>
      <c r="O65" s="91">
        <f>SUMIFS(tabela_registros[VALOR],tabela_registros[MÊS],$AE$1,tabela_registros[DIA],juntotal3059718395[[#Headers],[11]],tabela_registros[REGISTRO],DADOS!$N$4,tabela_registros[TIPO],DADOS!$P$4,tabela_registros[CATEGORIA],despesavariávelconsolidadojun[[#This Row],[DESPESA VARIÁVEL]])</f>
        <v>0</v>
      </c>
      <c r="P65" s="91">
        <f>SUMIFS(tabela_registros[VALOR],tabela_registros[MÊS],$AE$1,tabela_registros[DIA],juntotal3059718395[[#Headers],[12]],tabela_registros[REGISTRO],DADOS!$N$4,tabela_registros[TIPO],DADOS!$P$4,tabela_registros[CATEGORIA],despesavariávelconsolidadojun[[#This Row],[DESPESA VARIÁVEL]])</f>
        <v>0</v>
      </c>
      <c r="Q65" s="91">
        <f>SUMIFS(tabela_registros[VALOR],tabela_registros[MÊS],$AE$1,tabela_registros[DIA],juntotal3059718395[[#Headers],[13]],tabela_registros[REGISTRO],DADOS!$N$4,tabela_registros[TIPO],DADOS!$P$4,tabela_registros[CATEGORIA],despesavariávelconsolidadojun[[#This Row],[DESPESA VARIÁVEL]])</f>
        <v>0</v>
      </c>
      <c r="R65" s="91">
        <f>SUMIFS(tabela_registros[VALOR],tabela_registros[MÊS],$AE$1,tabela_registros[DIA],juntotal3059718395[[#Headers],[14]],tabela_registros[REGISTRO],DADOS!$N$4,tabela_registros[TIPO],DADOS!$P$4,tabela_registros[CATEGORIA],despesavariávelconsolidadojun[[#This Row],[DESPESA VARIÁVEL]])</f>
        <v>0</v>
      </c>
      <c r="S65" s="91">
        <f>SUMIFS(tabela_registros[VALOR],tabela_registros[MÊS],$AE$1,tabela_registros[DIA],juntotal3059718395[[#Headers],[15]],tabela_registros[REGISTRO],DADOS!$N$4,tabela_registros[TIPO],DADOS!$P$4,tabela_registros[CATEGORIA],despesavariávelconsolidadojun[[#This Row],[DESPESA VARIÁVEL]])</f>
        <v>0</v>
      </c>
      <c r="T65" s="91">
        <f>SUMIFS(tabela_registros[VALOR],tabela_registros[MÊS],$AE$1,tabela_registros[DIA],juntotal3059718395[[#Headers],[16]],tabela_registros[REGISTRO],DADOS!$N$4,tabela_registros[TIPO],DADOS!$P$4,tabela_registros[CATEGORIA],despesavariávelconsolidadojun[[#This Row],[DESPESA VARIÁVEL]])</f>
        <v>0</v>
      </c>
      <c r="U65" s="91">
        <f>SUMIFS(tabela_registros[VALOR],tabela_registros[MÊS],$AE$1,tabela_registros[DIA],juntotal3059718395[[#Headers],[17]],tabela_registros[REGISTRO],DADOS!$N$4,tabela_registros[TIPO],DADOS!$P$4,tabela_registros[CATEGORIA],despesavariávelconsolidadojun[[#This Row],[DESPESA VARIÁVEL]])</f>
        <v>0</v>
      </c>
      <c r="V65" s="91">
        <f>SUMIFS(tabela_registros[VALOR],tabela_registros[MÊS],$AE$1,tabela_registros[DIA],juntotal3059718395[[#Headers],[18]],tabela_registros[REGISTRO],DADOS!$N$4,tabela_registros[TIPO],DADOS!$P$4,tabela_registros[CATEGORIA],despesavariávelconsolidadojun[[#This Row],[DESPESA VARIÁVEL]])</f>
        <v>0</v>
      </c>
      <c r="W65" s="91">
        <f>SUMIFS(tabela_registros[VALOR],tabela_registros[MÊS],$AE$1,tabela_registros[DIA],juntotal3059718395[[#Headers],[19]],tabela_registros[REGISTRO],DADOS!$N$4,tabela_registros[TIPO],DADOS!$P$4,tabela_registros[CATEGORIA],despesavariávelconsolidadojun[[#This Row],[DESPESA VARIÁVEL]])</f>
        <v>0</v>
      </c>
      <c r="X65" s="91">
        <f>SUMIFS(tabela_registros[VALOR],tabela_registros[MÊS],$AE$1,tabela_registros[DIA],juntotal3059718395[[#Headers],[20]],tabela_registros[REGISTRO],DADOS!$N$4,tabela_registros[TIPO],DADOS!$P$4,tabela_registros[CATEGORIA],despesavariávelconsolidadojun[[#This Row],[DESPESA VARIÁVEL]])</f>
        <v>0</v>
      </c>
      <c r="Y65" s="91">
        <f>SUMIFS(tabela_registros[VALOR],tabela_registros[MÊS],$AE$1,tabela_registros[DIA],juntotal3059718395[[#Headers],[21]],tabela_registros[REGISTRO],DADOS!$N$4,tabela_registros[TIPO],DADOS!$P$4,tabela_registros[CATEGORIA],despesavariávelconsolidadojun[[#This Row],[DESPESA VARIÁVEL]])</f>
        <v>0</v>
      </c>
      <c r="Z65" s="91">
        <f>SUMIFS(tabela_registros[VALOR],tabela_registros[MÊS],$AE$1,tabela_registros[DIA],juntotal3059718395[[#Headers],[22]],tabela_registros[REGISTRO],DADOS!$N$4,tabela_registros[TIPO],DADOS!$P$4,tabela_registros[CATEGORIA],despesavariávelconsolidadojun[[#This Row],[DESPESA VARIÁVEL]])</f>
        <v>0</v>
      </c>
      <c r="AA65" s="91">
        <f>SUMIFS(tabela_registros[VALOR],tabela_registros[MÊS],$AE$1,tabela_registros[DIA],juntotal3059718395[[#Headers],[23]],tabela_registros[REGISTRO],DADOS!$N$4,tabela_registros[TIPO],DADOS!$P$4,tabela_registros[CATEGORIA],despesavariávelconsolidadojun[[#This Row],[DESPESA VARIÁVEL]])</f>
        <v>0</v>
      </c>
      <c r="AB65" s="91">
        <f>SUMIFS(tabela_registros[VALOR],tabela_registros[MÊS],$AE$1,tabela_registros[DIA],juntotal3059718395[[#Headers],[24]],tabela_registros[REGISTRO],DADOS!$N$4,tabela_registros[TIPO],DADOS!$P$4,tabela_registros[CATEGORIA],despesavariávelconsolidadojun[[#This Row],[DESPESA VARIÁVEL]])</f>
        <v>0</v>
      </c>
      <c r="AC65" s="91">
        <f>SUMIFS(tabela_registros[VALOR],tabela_registros[MÊS],$AE$1,tabela_registros[DIA],juntotal3059718395[[#Headers],[25]],tabela_registros[REGISTRO],DADOS!$N$4,tabela_registros[TIPO],DADOS!$P$4,tabela_registros[CATEGORIA],despesavariávelconsolidadojun[[#This Row],[DESPESA VARIÁVEL]])</f>
        <v>0</v>
      </c>
      <c r="AD65" s="91">
        <f>SUMIFS(tabela_registros[VALOR],tabela_registros[MÊS],$AE$1,tabela_registros[DIA],juntotal3059718395[[#Headers],[26]],tabela_registros[REGISTRO],DADOS!$N$4,tabela_registros[TIPO],DADOS!$P$4,tabela_registros[CATEGORIA],despesavariávelconsolidadojun[[#This Row],[DESPESA VARIÁVEL]])</f>
        <v>0</v>
      </c>
      <c r="AE65" s="91">
        <f>SUMIFS(tabela_registros[VALOR],tabela_registros[MÊS],$AE$1,tabela_registros[DIA],juntotal3059718395[[#Headers],[27]],tabela_registros[REGISTRO],DADOS!$N$4,tabela_registros[TIPO],DADOS!$P$4,tabela_registros[CATEGORIA],despesavariávelconsolidadojun[[#This Row],[DESPESA VARIÁVEL]])</f>
        <v>0</v>
      </c>
      <c r="AF65" s="91">
        <f>SUMIFS(tabela_registros[VALOR],tabela_registros[MÊS],$AE$1,tabela_registros[DIA],juntotal3059718395[[#Headers],[28]],tabela_registros[REGISTRO],DADOS!$N$4,tabela_registros[TIPO],DADOS!$P$4,tabela_registros[CATEGORIA],despesavariávelconsolidadojun[[#This Row],[DESPESA VARIÁVEL]])</f>
        <v>0</v>
      </c>
      <c r="AG65" s="91">
        <f>SUMIFS(tabela_registros[VALOR],tabela_registros[MÊS],$AE$1,tabela_registros[DIA],juntotal3059718395[[#Headers],[29]],tabela_registros[REGISTRO],DADOS!$N$4,tabela_registros[TIPO],DADOS!$P$4,tabela_registros[CATEGORIA],despesavariávelconsolidadojun[[#This Row],[DESPESA VARIÁVEL]])</f>
        <v>0</v>
      </c>
      <c r="AH65" s="91">
        <f>SUMIFS(tabela_registros[VALOR],tabela_registros[MÊS],$AE$1,tabela_registros[DIA],juntotal3059718395[[#Headers],[30]],tabela_registros[REGISTRO],DADOS!$N$4,tabela_registros[TIPO],DADOS!$P$4,tabela_registros[CATEGORIA],despesavariávelconsolidadojun[[#This Row],[DESPESA VARIÁVEL]])</f>
        <v>0</v>
      </c>
      <c r="AI65" s="101">
        <f>SUMIFS(tabela_registros[VALOR],tabela_registros[MÊS],$AE$1,tabela_registros[DIA],juntotal3059718395[[#Headers],[31]],tabela_registros[REGISTRO],DADOS!$N$4,tabela_registros[TIPO],DADOS!$P$4,tabela_registros[CATEGORIA],despesavariávelconsolidadojun[[#This Row],[DESPESA VARIÁVEL]])</f>
        <v>0</v>
      </c>
      <c r="AJ65" s="97">
        <f>SUM(despesavariávelconsolidadojun[[#This Row],[1]:[31]])</f>
        <v>0</v>
      </c>
      <c r="AK65" s="28"/>
    </row>
    <row r="66" spans="2:37" ht="18" customHeight="1" thickTop="1" thickBot="1" x14ac:dyDescent="0.3">
      <c r="B66" s="28"/>
      <c r="C66" s="27" t="str">
        <f>DADOS!$T$9</f>
        <v>🎭 LAZER</v>
      </c>
      <c r="D66" s="26" t="str">
        <f>IF(despesavariávelconsolidadojun[[#This Row],[TOTAL]]=0,"",IF(OR(despesavariávelconsolidadojun[[#This Row],[TOTAL]]=LARGE($AJ$60:$AJ$72,1),despesavariávelconsolidadojun[[#This Row],[TOTAL]]=LARGE($AJ$60:$AJ$72,2),despesavariávelconsolidadojun[[#This Row],[TOTAL]]=LARGE($AJ$60:$AJ$72,3),despesavariávelconsolidadojun[[#This Row],[TOTAL]]=LARGE($AJ$60:$AJ$72,4),despesavariávelconsolidadojun[[#This Row],[TOTAL]]=LARGE($AJ$60:$AJ$72,5)),DADOS!$I$8,""))</f>
        <v/>
      </c>
      <c r="E66" s="96">
        <f>SUMIFS(tabela_registros[VALOR],tabela_registros[MÊS],$AE$1,tabela_registros[DIA],juntotal3059718395[[#Headers],[1]],tabela_registros[REGISTRO],DADOS!$N$4,tabela_registros[TIPO],DADOS!$P$4,tabela_registros[CATEGORIA],despesavariávelconsolidadojun[[#This Row],[DESPESA VARIÁVEL]])</f>
        <v>0</v>
      </c>
      <c r="F66" s="91">
        <f>SUMIFS(tabela_registros[VALOR],tabela_registros[MÊS],$AE$1,tabela_registros[DIA],juntotal3059718395[[#Headers],[2]],tabela_registros[REGISTRO],DADOS!$N$4,tabela_registros[TIPO],DADOS!$P$4,tabela_registros[CATEGORIA],despesavariávelconsolidadojun[[#This Row],[DESPESA VARIÁVEL]])</f>
        <v>0</v>
      </c>
      <c r="G66" s="91">
        <f>SUMIFS(tabela_registros[VALOR],tabela_registros[MÊS],$AE$1,tabela_registros[DIA],juntotal3059718395[[#Headers],[3]],tabela_registros[REGISTRO],DADOS!$N$4,tabela_registros[TIPO],DADOS!$P$4,tabela_registros[CATEGORIA],despesavariávelconsolidadojun[[#This Row],[DESPESA VARIÁVEL]])</f>
        <v>0</v>
      </c>
      <c r="H66" s="91">
        <f>SUMIFS(tabela_registros[VALOR],tabela_registros[MÊS],$AE$1,tabela_registros[DIA],juntotal3059718395[[#Headers],[4]],tabela_registros[REGISTRO],DADOS!$N$4,tabela_registros[TIPO],DADOS!$P$4,tabela_registros[CATEGORIA],despesavariávelconsolidadojun[[#This Row],[DESPESA VARIÁVEL]])</f>
        <v>0</v>
      </c>
      <c r="I66" s="91">
        <f>SUMIFS(tabela_registros[VALOR],tabela_registros[MÊS],$AE$1,tabela_registros[DIA],juntotal3059718395[[#Headers],[5]],tabela_registros[REGISTRO],DADOS!$N$4,tabela_registros[TIPO],DADOS!$P$4,tabela_registros[CATEGORIA],despesavariávelconsolidadojun[[#This Row],[DESPESA VARIÁVEL]])</f>
        <v>0</v>
      </c>
      <c r="J66" s="91">
        <f>SUMIFS(tabela_registros[VALOR],tabela_registros[MÊS],$AE$1,tabela_registros[DIA],juntotal3059718395[[#Headers],[6]],tabela_registros[REGISTRO],DADOS!$N$4,tabela_registros[TIPO],DADOS!$P$4,tabela_registros[CATEGORIA],despesavariávelconsolidadojun[[#This Row],[DESPESA VARIÁVEL]])</f>
        <v>0</v>
      </c>
      <c r="K66" s="91">
        <f>SUMIFS(tabela_registros[VALOR],tabela_registros[MÊS],$AE$1,tabela_registros[DIA],juntotal3059718395[[#Headers],[7]],tabela_registros[REGISTRO],DADOS!$N$4,tabela_registros[TIPO],DADOS!$P$4,tabela_registros[CATEGORIA],despesavariávelconsolidadojun[[#This Row],[DESPESA VARIÁVEL]])</f>
        <v>0</v>
      </c>
      <c r="L66" s="91">
        <f>SUMIFS(tabela_registros[VALOR],tabela_registros[MÊS],$AE$1,tabela_registros[DIA],juntotal3059718395[[#Headers],[8]],tabela_registros[REGISTRO],DADOS!$N$4,tabela_registros[TIPO],DADOS!$P$4,tabela_registros[CATEGORIA],despesavariávelconsolidadojun[[#This Row],[DESPESA VARIÁVEL]])</f>
        <v>0</v>
      </c>
      <c r="M66" s="91">
        <f>SUMIFS(tabela_registros[VALOR],tabela_registros[MÊS],$AE$1,tabela_registros[DIA],juntotal3059718395[[#Headers],[9]],tabela_registros[REGISTRO],DADOS!$N$4,tabela_registros[TIPO],DADOS!$P$4,tabela_registros[CATEGORIA],despesavariávelconsolidadojun[[#This Row],[DESPESA VARIÁVEL]])</f>
        <v>0</v>
      </c>
      <c r="N66" s="91">
        <f>SUMIFS(tabela_registros[VALOR],tabela_registros[MÊS],$AE$1,tabela_registros[DIA],juntotal3059718395[[#Headers],[10]],tabela_registros[REGISTRO],DADOS!$N$4,tabela_registros[TIPO],DADOS!$P$4,tabela_registros[CATEGORIA],despesavariávelconsolidadojun[[#This Row],[DESPESA VARIÁVEL]])</f>
        <v>0</v>
      </c>
      <c r="O66" s="91">
        <f>SUMIFS(tabela_registros[VALOR],tabela_registros[MÊS],$AE$1,tabela_registros[DIA],juntotal3059718395[[#Headers],[11]],tabela_registros[REGISTRO],DADOS!$N$4,tabela_registros[TIPO],DADOS!$P$4,tabela_registros[CATEGORIA],despesavariávelconsolidadojun[[#This Row],[DESPESA VARIÁVEL]])</f>
        <v>0</v>
      </c>
      <c r="P66" s="91">
        <f>SUMIFS(tabela_registros[VALOR],tabela_registros[MÊS],$AE$1,tabela_registros[DIA],juntotal3059718395[[#Headers],[12]],tabela_registros[REGISTRO],DADOS!$N$4,tabela_registros[TIPO],DADOS!$P$4,tabela_registros[CATEGORIA],despesavariávelconsolidadojun[[#This Row],[DESPESA VARIÁVEL]])</f>
        <v>0</v>
      </c>
      <c r="Q66" s="91">
        <f>SUMIFS(tabela_registros[VALOR],tabela_registros[MÊS],$AE$1,tabela_registros[DIA],juntotal3059718395[[#Headers],[13]],tabela_registros[REGISTRO],DADOS!$N$4,tabela_registros[TIPO],DADOS!$P$4,tabela_registros[CATEGORIA],despesavariávelconsolidadojun[[#This Row],[DESPESA VARIÁVEL]])</f>
        <v>0</v>
      </c>
      <c r="R66" s="91">
        <f>SUMIFS(tabela_registros[VALOR],tabela_registros[MÊS],$AE$1,tabela_registros[DIA],juntotal3059718395[[#Headers],[14]],tabela_registros[REGISTRO],DADOS!$N$4,tabela_registros[TIPO],DADOS!$P$4,tabela_registros[CATEGORIA],despesavariávelconsolidadojun[[#This Row],[DESPESA VARIÁVEL]])</f>
        <v>0</v>
      </c>
      <c r="S66" s="91">
        <f>SUMIFS(tabela_registros[VALOR],tabela_registros[MÊS],$AE$1,tabela_registros[DIA],juntotal3059718395[[#Headers],[15]],tabela_registros[REGISTRO],DADOS!$N$4,tabela_registros[TIPO],DADOS!$P$4,tabela_registros[CATEGORIA],despesavariávelconsolidadojun[[#This Row],[DESPESA VARIÁVEL]])</f>
        <v>0</v>
      </c>
      <c r="T66" s="91">
        <f>SUMIFS(tabela_registros[VALOR],tabela_registros[MÊS],$AE$1,tabela_registros[DIA],juntotal3059718395[[#Headers],[16]],tabela_registros[REGISTRO],DADOS!$N$4,tabela_registros[TIPO],DADOS!$P$4,tabela_registros[CATEGORIA],despesavariávelconsolidadojun[[#This Row],[DESPESA VARIÁVEL]])</f>
        <v>0</v>
      </c>
      <c r="U66" s="91">
        <f>SUMIFS(tabela_registros[VALOR],tabela_registros[MÊS],$AE$1,tabela_registros[DIA],juntotal3059718395[[#Headers],[17]],tabela_registros[REGISTRO],DADOS!$N$4,tabela_registros[TIPO],DADOS!$P$4,tabela_registros[CATEGORIA],despesavariávelconsolidadojun[[#This Row],[DESPESA VARIÁVEL]])</f>
        <v>0</v>
      </c>
      <c r="V66" s="91">
        <f>SUMIFS(tabela_registros[VALOR],tabela_registros[MÊS],$AE$1,tabela_registros[DIA],juntotal3059718395[[#Headers],[18]],tabela_registros[REGISTRO],DADOS!$N$4,tabela_registros[TIPO],DADOS!$P$4,tabela_registros[CATEGORIA],despesavariávelconsolidadojun[[#This Row],[DESPESA VARIÁVEL]])</f>
        <v>0</v>
      </c>
      <c r="W66" s="91">
        <f>SUMIFS(tabela_registros[VALOR],tabela_registros[MÊS],$AE$1,tabela_registros[DIA],juntotal3059718395[[#Headers],[19]],tabela_registros[REGISTRO],DADOS!$N$4,tabela_registros[TIPO],DADOS!$P$4,tabela_registros[CATEGORIA],despesavariávelconsolidadojun[[#This Row],[DESPESA VARIÁVEL]])</f>
        <v>0</v>
      </c>
      <c r="X66" s="91">
        <f>SUMIFS(tabela_registros[VALOR],tabela_registros[MÊS],$AE$1,tabela_registros[DIA],juntotal3059718395[[#Headers],[20]],tabela_registros[REGISTRO],DADOS!$N$4,tabela_registros[TIPO],DADOS!$P$4,tabela_registros[CATEGORIA],despesavariávelconsolidadojun[[#This Row],[DESPESA VARIÁVEL]])</f>
        <v>0</v>
      </c>
      <c r="Y66" s="91">
        <f>SUMIFS(tabela_registros[VALOR],tabela_registros[MÊS],$AE$1,tabela_registros[DIA],juntotal3059718395[[#Headers],[21]],tabela_registros[REGISTRO],DADOS!$N$4,tabela_registros[TIPO],DADOS!$P$4,tabela_registros[CATEGORIA],despesavariávelconsolidadojun[[#This Row],[DESPESA VARIÁVEL]])</f>
        <v>0</v>
      </c>
      <c r="Z66" s="91">
        <f>SUMIFS(tabela_registros[VALOR],tabela_registros[MÊS],$AE$1,tabela_registros[DIA],juntotal3059718395[[#Headers],[22]],tabela_registros[REGISTRO],DADOS!$N$4,tabela_registros[TIPO],DADOS!$P$4,tabela_registros[CATEGORIA],despesavariávelconsolidadojun[[#This Row],[DESPESA VARIÁVEL]])</f>
        <v>0</v>
      </c>
      <c r="AA66" s="91">
        <f>SUMIFS(tabela_registros[VALOR],tabela_registros[MÊS],$AE$1,tabela_registros[DIA],juntotal3059718395[[#Headers],[23]],tabela_registros[REGISTRO],DADOS!$N$4,tabela_registros[TIPO],DADOS!$P$4,tabela_registros[CATEGORIA],despesavariávelconsolidadojun[[#This Row],[DESPESA VARIÁVEL]])</f>
        <v>0</v>
      </c>
      <c r="AB66" s="91">
        <f>SUMIFS(tabela_registros[VALOR],tabela_registros[MÊS],$AE$1,tabela_registros[DIA],juntotal3059718395[[#Headers],[24]],tabela_registros[REGISTRO],DADOS!$N$4,tabela_registros[TIPO],DADOS!$P$4,tabela_registros[CATEGORIA],despesavariávelconsolidadojun[[#This Row],[DESPESA VARIÁVEL]])</f>
        <v>0</v>
      </c>
      <c r="AC66" s="91">
        <f>SUMIFS(tabela_registros[VALOR],tabela_registros[MÊS],$AE$1,tabela_registros[DIA],juntotal3059718395[[#Headers],[25]],tabela_registros[REGISTRO],DADOS!$N$4,tabela_registros[TIPO],DADOS!$P$4,tabela_registros[CATEGORIA],despesavariávelconsolidadojun[[#This Row],[DESPESA VARIÁVEL]])</f>
        <v>0</v>
      </c>
      <c r="AD66" s="91">
        <f>SUMIFS(tabela_registros[VALOR],tabela_registros[MÊS],$AE$1,tabela_registros[DIA],juntotal3059718395[[#Headers],[26]],tabela_registros[REGISTRO],DADOS!$N$4,tabela_registros[TIPO],DADOS!$P$4,tabela_registros[CATEGORIA],despesavariávelconsolidadojun[[#This Row],[DESPESA VARIÁVEL]])</f>
        <v>0</v>
      </c>
      <c r="AE66" s="91">
        <f>SUMIFS(tabela_registros[VALOR],tabela_registros[MÊS],$AE$1,tabela_registros[DIA],juntotal3059718395[[#Headers],[27]],tabela_registros[REGISTRO],DADOS!$N$4,tabela_registros[TIPO],DADOS!$P$4,tabela_registros[CATEGORIA],despesavariávelconsolidadojun[[#This Row],[DESPESA VARIÁVEL]])</f>
        <v>0</v>
      </c>
      <c r="AF66" s="91">
        <f>SUMIFS(tabela_registros[VALOR],tabela_registros[MÊS],$AE$1,tabela_registros[DIA],juntotal3059718395[[#Headers],[28]],tabela_registros[REGISTRO],DADOS!$N$4,tabela_registros[TIPO],DADOS!$P$4,tabela_registros[CATEGORIA],despesavariávelconsolidadojun[[#This Row],[DESPESA VARIÁVEL]])</f>
        <v>0</v>
      </c>
      <c r="AG66" s="91">
        <f>SUMIFS(tabela_registros[VALOR],tabela_registros[MÊS],$AE$1,tabela_registros[DIA],juntotal3059718395[[#Headers],[29]],tabela_registros[REGISTRO],DADOS!$N$4,tabela_registros[TIPO],DADOS!$P$4,tabela_registros[CATEGORIA],despesavariávelconsolidadojun[[#This Row],[DESPESA VARIÁVEL]])</f>
        <v>0</v>
      </c>
      <c r="AH66" s="91">
        <f>SUMIFS(tabela_registros[VALOR],tabela_registros[MÊS],$AE$1,tabela_registros[DIA],juntotal3059718395[[#Headers],[30]],tabela_registros[REGISTRO],DADOS!$N$4,tabela_registros[TIPO],DADOS!$P$4,tabela_registros[CATEGORIA],despesavariávelconsolidadojun[[#This Row],[DESPESA VARIÁVEL]])</f>
        <v>0</v>
      </c>
      <c r="AI66" s="101">
        <f>SUMIFS(tabela_registros[VALOR],tabela_registros[MÊS],$AE$1,tabela_registros[DIA],juntotal3059718395[[#Headers],[31]],tabela_registros[REGISTRO],DADOS!$N$4,tabela_registros[TIPO],DADOS!$P$4,tabela_registros[CATEGORIA],despesavariávelconsolidadojun[[#This Row],[DESPESA VARIÁVEL]])</f>
        <v>0</v>
      </c>
      <c r="AJ66" s="97">
        <f>SUM(despesavariávelconsolidadojun[[#This Row],[1]:[31]])</f>
        <v>0</v>
      </c>
      <c r="AK66" s="28"/>
    </row>
    <row r="67" spans="2:37" ht="18" customHeight="1" thickTop="1" thickBot="1" x14ac:dyDescent="0.3">
      <c r="B67" s="28"/>
      <c r="C67" s="27" t="str">
        <f>DADOS!$T$10</f>
        <v>🛒 MERCADO</v>
      </c>
      <c r="D67" s="26" t="str">
        <f>IF(despesavariávelconsolidadojun[[#This Row],[TOTAL]]=0,"",IF(OR(despesavariávelconsolidadojun[[#This Row],[TOTAL]]=LARGE($AJ$60:$AJ$72,1),despesavariávelconsolidadojun[[#This Row],[TOTAL]]=LARGE($AJ$60:$AJ$72,2),despesavariávelconsolidadojun[[#This Row],[TOTAL]]=LARGE($AJ$60:$AJ$72,3),despesavariávelconsolidadojun[[#This Row],[TOTAL]]=LARGE($AJ$60:$AJ$72,4),despesavariávelconsolidadojun[[#This Row],[TOTAL]]=LARGE($AJ$60:$AJ$72,5)),DADOS!$I$8,""))</f>
        <v/>
      </c>
      <c r="E67" s="96">
        <f>SUMIFS(tabela_registros[VALOR],tabela_registros[MÊS],$AE$1,tabela_registros[DIA],juntotal3059718395[[#Headers],[1]],tabela_registros[REGISTRO],DADOS!$N$4,tabela_registros[TIPO],DADOS!$P$4,tabela_registros[CATEGORIA],despesavariávelconsolidadojun[[#This Row],[DESPESA VARIÁVEL]])</f>
        <v>0</v>
      </c>
      <c r="F67" s="91">
        <f>SUMIFS(tabela_registros[VALOR],tabela_registros[MÊS],$AE$1,tabela_registros[DIA],juntotal3059718395[[#Headers],[2]],tabela_registros[REGISTRO],DADOS!$N$4,tabela_registros[TIPO],DADOS!$P$4,tabela_registros[CATEGORIA],despesavariávelconsolidadojun[[#This Row],[DESPESA VARIÁVEL]])</f>
        <v>0</v>
      </c>
      <c r="G67" s="91">
        <f>SUMIFS(tabela_registros[VALOR],tabela_registros[MÊS],$AE$1,tabela_registros[DIA],juntotal3059718395[[#Headers],[3]],tabela_registros[REGISTRO],DADOS!$N$4,tabela_registros[TIPO],DADOS!$P$4,tabela_registros[CATEGORIA],despesavariávelconsolidadojun[[#This Row],[DESPESA VARIÁVEL]])</f>
        <v>0</v>
      </c>
      <c r="H67" s="91">
        <f>SUMIFS(tabela_registros[VALOR],tabela_registros[MÊS],$AE$1,tabela_registros[DIA],juntotal3059718395[[#Headers],[4]],tabela_registros[REGISTRO],DADOS!$N$4,tabela_registros[TIPO],DADOS!$P$4,tabela_registros[CATEGORIA],despesavariávelconsolidadojun[[#This Row],[DESPESA VARIÁVEL]])</f>
        <v>0</v>
      </c>
      <c r="I67" s="91">
        <f>SUMIFS(tabela_registros[VALOR],tabela_registros[MÊS],$AE$1,tabela_registros[DIA],juntotal3059718395[[#Headers],[5]],tabela_registros[REGISTRO],DADOS!$N$4,tabela_registros[TIPO],DADOS!$P$4,tabela_registros[CATEGORIA],despesavariávelconsolidadojun[[#This Row],[DESPESA VARIÁVEL]])</f>
        <v>0</v>
      </c>
      <c r="J67" s="91">
        <f>SUMIFS(tabela_registros[VALOR],tabela_registros[MÊS],$AE$1,tabela_registros[DIA],juntotal3059718395[[#Headers],[6]],tabela_registros[REGISTRO],DADOS!$N$4,tabela_registros[TIPO],DADOS!$P$4,tabela_registros[CATEGORIA],despesavariávelconsolidadojun[[#This Row],[DESPESA VARIÁVEL]])</f>
        <v>0</v>
      </c>
      <c r="K67" s="91">
        <f>SUMIFS(tabela_registros[VALOR],tabela_registros[MÊS],$AE$1,tabela_registros[DIA],juntotal3059718395[[#Headers],[7]],tabela_registros[REGISTRO],DADOS!$N$4,tabela_registros[TIPO],DADOS!$P$4,tabela_registros[CATEGORIA],despesavariávelconsolidadojun[[#This Row],[DESPESA VARIÁVEL]])</f>
        <v>0</v>
      </c>
      <c r="L67" s="91">
        <f>SUMIFS(tabela_registros[VALOR],tabela_registros[MÊS],$AE$1,tabela_registros[DIA],juntotal3059718395[[#Headers],[8]],tabela_registros[REGISTRO],DADOS!$N$4,tabela_registros[TIPO],DADOS!$P$4,tabela_registros[CATEGORIA],despesavariávelconsolidadojun[[#This Row],[DESPESA VARIÁVEL]])</f>
        <v>0</v>
      </c>
      <c r="M67" s="91">
        <f>SUMIFS(tabela_registros[VALOR],tabela_registros[MÊS],$AE$1,tabela_registros[DIA],juntotal3059718395[[#Headers],[9]],tabela_registros[REGISTRO],DADOS!$N$4,tabela_registros[TIPO],DADOS!$P$4,tabela_registros[CATEGORIA],despesavariávelconsolidadojun[[#This Row],[DESPESA VARIÁVEL]])</f>
        <v>0</v>
      </c>
      <c r="N67" s="91">
        <f>SUMIFS(tabela_registros[VALOR],tabela_registros[MÊS],$AE$1,tabela_registros[DIA],juntotal3059718395[[#Headers],[10]],tabela_registros[REGISTRO],DADOS!$N$4,tabela_registros[TIPO],DADOS!$P$4,tabela_registros[CATEGORIA],despesavariávelconsolidadojun[[#This Row],[DESPESA VARIÁVEL]])</f>
        <v>0</v>
      </c>
      <c r="O67" s="91">
        <f>SUMIFS(tabela_registros[VALOR],tabela_registros[MÊS],$AE$1,tabela_registros[DIA],juntotal3059718395[[#Headers],[11]],tabela_registros[REGISTRO],DADOS!$N$4,tabela_registros[TIPO],DADOS!$P$4,tabela_registros[CATEGORIA],despesavariávelconsolidadojun[[#This Row],[DESPESA VARIÁVEL]])</f>
        <v>0</v>
      </c>
      <c r="P67" s="91">
        <f>SUMIFS(tabela_registros[VALOR],tabela_registros[MÊS],$AE$1,tabela_registros[DIA],juntotal3059718395[[#Headers],[12]],tabela_registros[REGISTRO],DADOS!$N$4,tabela_registros[TIPO],DADOS!$P$4,tabela_registros[CATEGORIA],despesavariávelconsolidadojun[[#This Row],[DESPESA VARIÁVEL]])</f>
        <v>0</v>
      </c>
      <c r="Q67" s="91">
        <f>SUMIFS(tabela_registros[VALOR],tabela_registros[MÊS],$AE$1,tabela_registros[DIA],juntotal3059718395[[#Headers],[13]],tabela_registros[REGISTRO],DADOS!$N$4,tabela_registros[TIPO],DADOS!$P$4,tabela_registros[CATEGORIA],despesavariávelconsolidadojun[[#This Row],[DESPESA VARIÁVEL]])</f>
        <v>0</v>
      </c>
      <c r="R67" s="91">
        <f>SUMIFS(tabela_registros[VALOR],tabela_registros[MÊS],$AE$1,tabela_registros[DIA],juntotal3059718395[[#Headers],[14]],tabela_registros[REGISTRO],DADOS!$N$4,tabela_registros[TIPO],DADOS!$P$4,tabela_registros[CATEGORIA],despesavariávelconsolidadojun[[#This Row],[DESPESA VARIÁVEL]])</f>
        <v>0</v>
      </c>
      <c r="S67" s="91">
        <f>SUMIFS(tabela_registros[VALOR],tabela_registros[MÊS],$AE$1,tabela_registros[DIA],juntotal3059718395[[#Headers],[15]],tabela_registros[REGISTRO],DADOS!$N$4,tabela_registros[TIPO],DADOS!$P$4,tabela_registros[CATEGORIA],despesavariávelconsolidadojun[[#This Row],[DESPESA VARIÁVEL]])</f>
        <v>0</v>
      </c>
      <c r="T67" s="91">
        <f>SUMIFS(tabela_registros[VALOR],tabela_registros[MÊS],$AE$1,tabela_registros[DIA],juntotal3059718395[[#Headers],[16]],tabela_registros[REGISTRO],DADOS!$N$4,tabela_registros[TIPO],DADOS!$P$4,tabela_registros[CATEGORIA],despesavariávelconsolidadojun[[#This Row],[DESPESA VARIÁVEL]])</f>
        <v>0</v>
      </c>
      <c r="U67" s="91">
        <f>SUMIFS(tabela_registros[VALOR],tabela_registros[MÊS],$AE$1,tabela_registros[DIA],juntotal3059718395[[#Headers],[17]],tabela_registros[REGISTRO],DADOS!$N$4,tabela_registros[TIPO],DADOS!$P$4,tabela_registros[CATEGORIA],despesavariávelconsolidadojun[[#This Row],[DESPESA VARIÁVEL]])</f>
        <v>0</v>
      </c>
      <c r="V67" s="91">
        <f>SUMIFS(tabela_registros[VALOR],tabela_registros[MÊS],$AE$1,tabela_registros[DIA],juntotal3059718395[[#Headers],[18]],tabela_registros[REGISTRO],DADOS!$N$4,tabela_registros[TIPO],DADOS!$P$4,tabela_registros[CATEGORIA],despesavariávelconsolidadojun[[#This Row],[DESPESA VARIÁVEL]])</f>
        <v>0</v>
      </c>
      <c r="W67" s="91">
        <f>SUMIFS(tabela_registros[VALOR],tabela_registros[MÊS],$AE$1,tabela_registros[DIA],juntotal3059718395[[#Headers],[19]],tabela_registros[REGISTRO],DADOS!$N$4,tabela_registros[TIPO],DADOS!$P$4,tabela_registros[CATEGORIA],despesavariávelconsolidadojun[[#This Row],[DESPESA VARIÁVEL]])</f>
        <v>0</v>
      </c>
      <c r="X67" s="91">
        <f>SUMIFS(tabela_registros[VALOR],tabela_registros[MÊS],$AE$1,tabela_registros[DIA],juntotal3059718395[[#Headers],[20]],tabela_registros[REGISTRO],DADOS!$N$4,tabela_registros[TIPO],DADOS!$P$4,tabela_registros[CATEGORIA],despesavariávelconsolidadojun[[#This Row],[DESPESA VARIÁVEL]])</f>
        <v>0</v>
      </c>
      <c r="Y67" s="91">
        <f>SUMIFS(tabela_registros[VALOR],tabela_registros[MÊS],$AE$1,tabela_registros[DIA],juntotal3059718395[[#Headers],[21]],tabela_registros[REGISTRO],DADOS!$N$4,tabela_registros[TIPO],DADOS!$P$4,tabela_registros[CATEGORIA],despesavariávelconsolidadojun[[#This Row],[DESPESA VARIÁVEL]])</f>
        <v>0</v>
      </c>
      <c r="Z67" s="91">
        <f>SUMIFS(tabela_registros[VALOR],tabela_registros[MÊS],$AE$1,tabela_registros[DIA],juntotal3059718395[[#Headers],[22]],tabela_registros[REGISTRO],DADOS!$N$4,tabela_registros[TIPO],DADOS!$P$4,tabela_registros[CATEGORIA],despesavariávelconsolidadojun[[#This Row],[DESPESA VARIÁVEL]])</f>
        <v>0</v>
      </c>
      <c r="AA67" s="91">
        <f>SUMIFS(tabela_registros[VALOR],tabela_registros[MÊS],$AE$1,tabela_registros[DIA],juntotal3059718395[[#Headers],[23]],tabela_registros[REGISTRO],DADOS!$N$4,tabela_registros[TIPO],DADOS!$P$4,tabela_registros[CATEGORIA],despesavariávelconsolidadojun[[#This Row],[DESPESA VARIÁVEL]])</f>
        <v>0</v>
      </c>
      <c r="AB67" s="91">
        <f>SUMIFS(tabela_registros[VALOR],tabela_registros[MÊS],$AE$1,tabela_registros[DIA],juntotal3059718395[[#Headers],[24]],tabela_registros[REGISTRO],DADOS!$N$4,tabela_registros[TIPO],DADOS!$P$4,tabela_registros[CATEGORIA],despesavariávelconsolidadojun[[#This Row],[DESPESA VARIÁVEL]])</f>
        <v>0</v>
      </c>
      <c r="AC67" s="91">
        <f>SUMIFS(tabela_registros[VALOR],tabela_registros[MÊS],$AE$1,tabela_registros[DIA],juntotal3059718395[[#Headers],[25]],tabela_registros[REGISTRO],DADOS!$N$4,tabela_registros[TIPO],DADOS!$P$4,tabela_registros[CATEGORIA],despesavariávelconsolidadojun[[#This Row],[DESPESA VARIÁVEL]])</f>
        <v>0</v>
      </c>
      <c r="AD67" s="91">
        <f>SUMIFS(tabela_registros[VALOR],tabela_registros[MÊS],$AE$1,tabela_registros[DIA],juntotal3059718395[[#Headers],[26]],tabela_registros[REGISTRO],DADOS!$N$4,tabela_registros[TIPO],DADOS!$P$4,tabela_registros[CATEGORIA],despesavariávelconsolidadojun[[#This Row],[DESPESA VARIÁVEL]])</f>
        <v>0</v>
      </c>
      <c r="AE67" s="91">
        <f>SUMIFS(tabela_registros[VALOR],tabela_registros[MÊS],$AE$1,tabela_registros[DIA],juntotal3059718395[[#Headers],[27]],tabela_registros[REGISTRO],DADOS!$N$4,tabela_registros[TIPO],DADOS!$P$4,tabela_registros[CATEGORIA],despesavariávelconsolidadojun[[#This Row],[DESPESA VARIÁVEL]])</f>
        <v>0</v>
      </c>
      <c r="AF67" s="91">
        <f>SUMIFS(tabela_registros[VALOR],tabela_registros[MÊS],$AE$1,tabela_registros[DIA],juntotal3059718395[[#Headers],[28]],tabela_registros[REGISTRO],DADOS!$N$4,tabela_registros[TIPO],DADOS!$P$4,tabela_registros[CATEGORIA],despesavariávelconsolidadojun[[#This Row],[DESPESA VARIÁVEL]])</f>
        <v>0</v>
      </c>
      <c r="AG67" s="91">
        <f>SUMIFS(tabela_registros[VALOR],tabela_registros[MÊS],$AE$1,tabela_registros[DIA],juntotal3059718395[[#Headers],[29]],tabela_registros[REGISTRO],DADOS!$N$4,tabela_registros[TIPO],DADOS!$P$4,tabela_registros[CATEGORIA],despesavariávelconsolidadojun[[#This Row],[DESPESA VARIÁVEL]])</f>
        <v>0</v>
      </c>
      <c r="AH67" s="91">
        <f>SUMIFS(tabela_registros[VALOR],tabela_registros[MÊS],$AE$1,tabela_registros[DIA],juntotal3059718395[[#Headers],[30]],tabela_registros[REGISTRO],DADOS!$N$4,tabela_registros[TIPO],DADOS!$P$4,tabela_registros[CATEGORIA],despesavariávelconsolidadojun[[#This Row],[DESPESA VARIÁVEL]])</f>
        <v>0</v>
      </c>
      <c r="AI67" s="101">
        <f>SUMIFS(tabela_registros[VALOR],tabela_registros[MÊS],$AE$1,tabela_registros[DIA],juntotal3059718395[[#Headers],[31]],tabela_registros[REGISTRO],DADOS!$N$4,tabela_registros[TIPO],DADOS!$P$4,tabela_registros[CATEGORIA],despesavariávelconsolidadojun[[#This Row],[DESPESA VARIÁVEL]])</f>
        <v>0</v>
      </c>
      <c r="AJ67" s="97">
        <f>SUM(despesavariávelconsolidadojun[[#This Row],[1]:[31]])</f>
        <v>0</v>
      </c>
      <c r="AK67" s="28"/>
    </row>
    <row r="68" spans="2:37" ht="18" customHeight="1" thickTop="1" thickBot="1" x14ac:dyDescent="0.3">
      <c r="B68" s="28"/>
      <c r="C68" s="27" t="str">
        <f>DADOS!$T$11</f>
        <v>🎁 PRESENTES</v>
      </c>
      <c r="D68" s="26" t="str">
        <f>IF(despesavariávelconsolidadojun[[#This Row],[TOTAL]]=0,"",IF(OR(despesavariávelconsolidadojun[[#This Row],[TOTAL]]=LARGE($AJ$60:$AJ$72,1),despesavariávelconsolidadojun[[#This Row],[TOTAL]]=LARGE($AJ$60:$AJ$72,2),despesavariávelconsolidadojun[[#This Row],[TOTAL]]=LARGE($AJ$60:$AJ$72,3),despesavariávelconsolidadojun[[#This Row],[TOTAL]]=LARGE($AJ$60:$AJ$72,4),despesavariávelconsolidadojun[[#This Row],[TOTAL]]=LARGE($AJ$60:$AJ$72,5)),DADOS!$I$8,""))</f>
        <v/>
      </c>
      <c r="E68" s="96">
        <f>SUMIFS(tabela_registros[VALOR],tabela_registros[MÊS],$AE$1,tabela_registros[DIA],juntotal3059718395[[#Headers],[1]],tabela_registros[REGISTRO],DADOS!$N$4,tabela_registros[TIPO],DADOS!$P$4,tabela_registros[CATEGORIA],despesavariávelconsolidadojun[[#This Row],[DESPESA VARIÁVEL]])</f>
        <v>0</v>
      </c>
      <c r="F68" s="91">
        <f>SUMIFS(tabela_registros[VALOR],tabela_registros[MÊS],$AE$1,tabela_registros[DIA],juntotal3059718395[[#Headers],[2]],tabela_registros[REGISTRO],DADOS!$N$4,tabela_registros[TIPO],DADOS!$P$4,tabela_registros[CATEGORIA],despesavariávelconsolidadojun[[#This Row],[DESPESA VARIÁVEL]])</f>
        <v>0</v>
      </c>
      <c r="G68" s="91">
        <f>SUMIFS(tabela_registros[VALOR],tabela_registros[MÊS],$AE$1,tabela_registros[DIA],juntotal3059718395[[#Headers],[3]],tabela_registros[REGISTRO],DADOS!$N$4,tabela_registros[TIPO],DADOS!$P$4,tabela_registros[CATEGORIA],despesavariávelconsolidadojun[[#This Row],[DESPESA VARIÁVEL]])</f>
        <v>0</v>
      </c>
      <c r="H68" s="91">
        <f>SUMIFS(tabela_registros[VALOR],tabela_registros[MÊS],$AE$1,tabela_registros[DIA],juntotal3059718395[[#Headers],[4]],tabela_registros[REGISTRO],DADOS!$N$4,tabela_registros[TIPO],DADOS!$P$4,tabela_registros[CATEGORIA],despesavariávelconsolidadojun[[#This Row],[DESPESA VARIÁVEL]])</f>
        <v>0</v>
      </c>
      <c r="I68" s="91">
        <f>SUMIFS(tabela_registros[VALOR],tabela_registros[MÊS],$AE$1,tabela_registros[DIA],juntotal3059718395[[#Headers],[5]],tabela_registros[REGISTRO],DADOS!$N$4,tabela_registros[TIPO],DADOS!$P$4,tabela_registros[CATEGORIA],despesavariávelconsolidadojun[[#This Row],[DESPESA VARIÁVEL]])</f>
        <v>0</v>
      </c>
      <c r="J68" s="91">
        <f>SUMIFS(tabela_registros[VALOR],tabela_registros[MÊS],$AE$1,tabela_registros[DIA],juntotal3059718395[[#Headers],[6]],tabela_registros[REGISTRO],DADOS!$N$4,tabela_registros[TIPO],DADOS!$P$4,tabela_registros[CATEGORIA],despesavariávelconsolidadojun[[#This Row],[DESPESA VARIÁVEL]])</f>
        <v>0</v>
      </c>
      <c r="K68" s="91">
        <f>SUMIFS(tabela_registros[VALOR],tabela_registros[MÊS],$AE$1,tabela_registros[DIA],juntotal3059718395[[#Headers],[7]],tabela_registros[REGISTRO],DADOS!$N$4,tabela_registros[TIPO],DADOS!$P$4,tabela_registros[CATEGORIA],despesavariávelconsolidadojun[[#This Row],[DESPESA VARIÁVEL]])</f>
        <v>0</v>
      </c>
      <c r="L68" s="91">
        <f>SUMIFS(tabela_registros[VALOR],tabela_registros[MÊS],$AE$1,tabela_registros[DIA],juntotal3059718395[[#Headers],[8]],tabela_registros[REGISTRO],DADOS!$N$4,tabela_registros[TIPO],DADOS!$P$4,tabela_registros[CATEGORIA],despesavariávelconsolidadojun[[#This Row],[DESPESA VARIÁVEL]])</f>
        <v>0</v>
      </c>
      <c r="M68" s="91">
        <f>SUMIFS(tabela_registros[VALOR],tabela_registros[MÊS],$AE$1,tabela_registros[DIA],juntotal3059718395[[#Headers],[9]],tabela_registros[REGISTRO],DADOS!$N$4,tabela_registros[TIPO],DADOS!$P$4,tabela_registros[CATEGORIA],despesavariávelconsolidadojun[[#This Row],[DESPESA VARIÁVEL]])</f>
        <v>0</v>
      </c>
      <c r="N68" s="91">
        <f>SUMIFS(tabela_registros[VALOR],tabela_registros[MÊS],$AE$1,tabela_registros[DIA],juntotal3059718395[[#Headers],[10]],tabela_registros[REGISTRO],DADOS!$N$4,tabela_registros[TIPO],DADOS!$P$4,tabela_registros[CATEGORIA],despesavariávelconsolidadojun[[#This Row],[DESPESA VARIÁVEL]])</f>
        <v>0</v>
      </c>
      <c r="O68" s="91">
        <f>SUMIFS(tabela_registros[VALOR],tabela_registros[MÊS],$AE$1,tabela_registros[DIA],juntotal3059718395[[#Headers],[11]],tabela_registros[REGISTRO],DADOS!$N$4,tabela_registros[TIPO],DADOS!$P$4,tabela_registros[CATEGORIA],despesavariávelconsolidadojun[[#This Row],[DESPESA VARIÁVEL]])</f>
        <v>0</v>
      </c>
      <c r="P68" s="91">
        <f>SUMIFS(tabela_registros[VALOR],tabela_registros[MÊS],$AE$1,tabela_registros[DIA],juntotal3059718395[[#Headers],[12]],tabela_registros[REGISTRO],DADOS!$N$4,tabela_registros[TIPO],DADOS!$P$4,tabela_registros[CATEGORIA],despesavariávelconsolidadojun[[#This Row],[DESPESA VARIÁVEL]])</f>
        <v>0</v>
      </c>
      <c r="Q68" s="91">
        <f>SUMIFS(tabela_registros[VALOR],tabela_registros[MÊS],$AE$1,tabela_registros[DIA],juntotal3059718395[[#Headers],[13]],tabela_registros[REGISTRO],DADOS!$N$4,tabela_registros[TIPO],DADOS!$P$4,tabela_registros[CATEGORIA],despesavariávelconsolidadojun[[#This Row],[DESPESA VARIÁVEL]])</f>
        <v>0</v>
      </c>
      <c r="R68" s="91">
        <f>SUMIFS(tabela_registros[VALOR],tabela_registros[MÊS],$AE$1,tabela_registros[DIA],juntotal3059718395[[#Headers],[14]],tabela_registros[REGISTRO],DADOS!$N$4,tabela_registros[TIPO],DADOS!$P$4,tabela_registros[CATEGORIA],despesavariávelconsolidadojun[[#This Row],[DESPESA VARIÁVEL]])</f>
        <v>0</v>
      </c>
      <c r="S68" s="91">
        <f>SUMIFS(tabela_registros[VALOR],tabela_registros[MÊS],$AE$1,tabela_registros[DIA],juntotal3059718395[[#Headers],[15]],tabela_registros[REGISTRO],DADOS!$N$4,tabela_registros[TIPO],DADOS!$P$4,tabela_registros[CATEGORIA],despesavariávelconsolidadojun[[#This Row],[DESPESA VARIÁVEL]])</f>
        <v>0</v>
      </c>
      <c r="T68" s="91">
        <f>SUMIFS(tabela_registros[VALOR],tabela_registros[MÊS],$AE$1,tabela_registros[DIA],juntotal3059718395[[#Headers],[16]],tabela_registros[REGISTRO],DADOS!$N$4,tabela_registros[TIPO],DADOS!$P$4,tabela_registros[CATEGORIA],despesavariávelconsolidadojun[[#This Row],[DESPESA VARIÁVEL]])</f>
        <v>0</v>
      </c>
      <c r="U68" s="91">
        <f>SUMIFS(tabela_registros[VALOR],tabela_registros[MÊS],$AE$1,tabela_registros[DIA],juntotal3059718395[[#Headers],[17]],tabela_registros[REGISTRO],DADOS!$N$4,tabela_registros[TIPO],DADOS!$P$4,tabela_registros[CATEGORIA],despesavariávelconsolidadojun[[#This Row],[DESPESA VARIÁVEL]])</f>
        <v>0</v>
      </c>
      <c r="V68" s="91">
        <f>SUMIFS(tabela_registros[VALOR],tabela_registros[MÊS],$AE$1,tabela_registros[DIA],juntotal3059718395[[#Headers],[18]],tabela_registros[REGISTRO],DADOS!$N$4,tabela_registros[TIPO],DADOS!$P$4,tabela_registros[CATEGORIA],despesavariávelconsolidadojun[[#This Row],[DESPESA VARIÁVEL]])</f>
        <v>0</v>
      </c>
      <c r="W68" s="91">
        <f>SUMIFS(tabela_registros[VALOR],tabela_registros[MÊS],$AE$1,tabela_registros[DIA],juntotal3059718395[[#Headers],[19]],tabela_registros[REGISTRO],DADOS!$N$4,tabela_registros[TIPO],DADOS!$P$4,tabela_registros[CATEGORIA],despesavariávelconsolidadojun[[#This Row],[DESPESA VARIÁVEL]])</f>
        <v>0</v>
      </c>
      <c r="X68" s="91">
        <f>SUMIFS(tabela_registros[VALOR],tabela_registros[MÊS],$AE$1,tabela_registros[DIA],juntotal3059718395[[#Headers],[20]],tabela_registros[REGISTRO],DADOS!$N$4,tabela_registros[TIPO],DADOS!$P$4,tabela_registros[CATEGORIA],despesavariávelconsolidadojun[[#This Row],[DESPESA VARIÁVEL]])</f>
        <v>0</v>
      </c>
      <c r="Y68" s="91">
        <f>SUMIFS(tabela_registros[VALOR],tabela_registros[MÊS],$AE$1,tabela_registros[DIA],juntotal3059718395[[#Headers],[21]],tabela_registros[REGISTRO],DADOS!$N$4,tabela_registros[TIPO],DADOS!$P$4,tabela_registros[CATEGORIA],despesavariávelconsolidadojun[[#This Row],[DESPESA VARIÁVEL]])</f>
        <v>0</v>
      </c>
      <c r="Z68" s="91">
        <f>SUMIFS(tabela_registros[VALOR],tabela_registros[MÊS],$AE$1,tabela_registros[DIA],juntotal3059718395[[#Headers],[22]],tabela_registros[REGISTRO],DADOS!$N$4,tabela_registros[TIPO],DADOS!$P$4,tabela_registros[CATEGORIA],despesavariávelconsolidadojun[[#This Row],[DESPESA VARIÁVEL]])</f>
        <v>0</v>
      </c>
      <c r="AA68" s="91">
        <f>SUMIFS(tabela_registros[VALOR],tabela_registros[MÊS],$AE$1,tabela_registros[DIA],juntotal3059718395[[#Headers],[23]],tabela_registros[REGISTRO],DADOS!$N$4,tabela_registros[TIPO],DADOS!$P$4,tabela_registros[CATEGORIA],despesavariávelconsolidadojun[[#This Row],[DESPESA VARIÁVEL]])</f>
        <v>0</v>
      </c>
      <c r="AB68" s="91">
        <f>SUMIFS(tabela_registros[VALOR],tabela_registros[MÊS],$AE$1,tabela_registros[DIA],juntotal3059718395[[#Headers],[24]],tabela_registros[REGISTRO],DADOS!$N$4,tabela_registros[TIPO],DADOS!$P$4,tabela_registros[CATEGORIA],despesavariávelconsolidadojun[[#This Row],[DESPESA VARIÁVEL]])</f>
        <v>0</v>
      </c>
      <c r="AC68" s="91">
        <f>SUMIFS(tabela_registros[VALOR],tabela_registros[MÊS],$AE$1,tabela_registros[DIA],juntotal3059718395[[#Headers],[25]],tabela_registros[REGISTRO],DADOS!$N$4,tabela_registros[TIPO],DADOS!$P$4,tabela_registros[CATEGORIA],despesavariávelconsolidadojun[[#This Row],[DESPESA VARIÁVEL]])</f>
        <v>0</v>
      </c>
      <c r="AD68" s="91">
        <f>SUMIFS(tabela_registros[VALOR],tabela_registros[MÊS],$AE$1,tabela_registros[DIA],juntotal3059718395[[#Headers],[26]],tabela_registros[REGISTRO],DADOS!$N$4,tabela_registros[TIPO],DADOS!$P$4,tabela_registros[CATEGORIA],despesavariávelconsolidadojun[[#This Row],[DESPESA VARIÁVEL]])</f>
        <v>0</v>
      </c>
      <c r="AE68" s="91">
        <f>SUMIFS(tabela_registros[VALOR],tabela_registros[MÊS],$AE$1,tabela_registros[DIA],juntotal3059718395[[#Headers],[27]],tabela_registros[REGISTRO],DADOS!$N$4,tabela_registros[TIPO],DADOS!$P$4,tabela_registros[CATEGORIA],despesavariávelconsolidadojun[[#This Row],[DESPESA VARIÁVEL]])</f>
        <v>0</v>
      </c>
      <c r="AF68" s="91">
        <f>SUMIFS(tabela_registros[VALOR],tabela_registros[MÊS],$AE$1,tabela_registros[DIA],juntotal3059718395[[#Headers],[28]],tabela_registros[REGISTRO],DADOS!$N$4,tabela_registros[TIPO],DADOS!$P$4,tabela_registros[CATEGORIA],despesavariávelconsolidadojun[[#This Row],[DESPESA VARIÁVEL]])</f>
        <v>0</v>
      </c>
      <c r="AG68" s="91">
        <f>SUMIFS(tabela_registros[VALOR],tabela_registros[MÊS],$AE$1,tabela_registros[DIA],juntotal3059718395[[#Headers],[29]],tabela_registros[REGISTRO],DADOS!$N$4,tabela_registros[TIPO],DADOS!$P$4,tabela_registros[CATEGORIA],despesavariávelconsolidadojun[[#This Row],[DESPESA VARIÁVEL]])</f>
        <v>0</v>
      </c>
      <c r="AH68" s="91">
        <f>SUMIFS(tabela_registros[VALOR],tabela_registros[MÊS],$AE$1,tabela_registros[DIA],juntotal3059718395[[#Headers],[30]],tabela_registros[REGISTRO],DADOS!$N$4,tabela_registros[TIPO],DADOS!$P$4,tabela_registros[CATEGORIA],despesavariávelconsolidadojun[[#This Row],[DESPESA VARIÁVEL]])</f>
        <v>0</v>
      </c>
      <c r="AI68" s="101">
        <f>SUMIFS(tabela_registros[VALOR],tabela_registros[MÊS],$AE$1,tabela_registros[DIA],juntotal3059718395[[#Headers],[31]],tabela_registros[REGISTRO],DADOS!$N$4,tabela_registros[TIPO],DADOS!$P$4,tabela_registros[CATEGORIA],despesavariávelconsolidadojun[[#This Row],[DESPESA VARIÁVEL]])</f>
        <v>0</v>
      </c>
      <c r="AJ68" s="97">
        <f>SUM(despesavariávelconsolidadojun[[#This Row],[1]:[31]])</f>
        <v>0</v>
      </c>
      <c r="AK68" s="28"/>
    </row>
    <row r="69" spans="2:37" ht="18" customHeight="1" thickTop="1" thickBot="1" x14ac:dyDescent="0.3">
      <c r="B69" s="28"/>
      <c r="C69" s="27" t="str">
        <f>DADOS!$T$12</f>
        <v>💊 SAÚDE</v>
      </c>
      <c r="D69" s="26" t="str">
        <f>IF(despesavariávelconsolidadojun[[#This Row],[TOTAL]]=0,"",IF(OR(despesavariávelconsolidadojun[[#This Row],[TOTAL]]=LARGE($AJ$60:$AJ$72,1),despesavariávelconsolidadojun[[#This Row],[TOTAL]]=LARGE($AJ$60:$AJ$72,2),despesavariávelconsolidadojun[[#This Row],[TOTAL]]=LARGE($AJ$60:$AJ$72,3),despesavariávelconsolidadojun[[#This Row],[TOTAL]]=LARGE($AJ$60:$AJ$72,4),despesavariávelconsolidadojun[[#This Row],[TOTAL]]=LARGE($AJ$60:$AJ$72,5)),DADOS!$I$8,""))</f>
        <v/>
      </c>
      <c r="E69" s="96">
        <f>SUMIFS(tabela_registros[VALOR],tabela_registros[MÊS],$AE$1,tabela_registros[DIA],juntotal3059718395[[#Headers],[1]],tabela_registros[REGISTRO],DADOS!$N$4,tabela_registros[TIPO],DADOS!$P$4,tabela_registros[CATEGORIA],despesavariávelconsolidadojun[[#This Row],[DESPESA VARIÁVEL]])</f>
        <v>0</v>
      </c>
      <c r="F69" s="91">
        <f>SUMIFS(tabela_registros[VALOR],tabela_registros[MÊS],$AE$1,tabela_registros[DIA],juntotal3059718395[[#Headers],[2]],tabela_registros[REGISTRO],DADOS!$N$4,tabela_registros[TIPO],DADOS!$P$4,tabela_registros[CATEGORIA],despesavariávelconsolidadojun[[#This Row],[DESPESA VARIÁVEL]])</f>
        <v>0</v>
      </c>
      <c r="G69" s="91">
        <f>SUMIFS(tabela_registros[VALOR],tabela_registros[MÊS],$AE$1,tabela_registros[DIA],juntotal3059718395[[#Headers],[3]],tabela_registros[REGISTRO],DADOS!$N$4,tabela_registros[TIPO],DADOS!$P$4,tabela_registros[CATEGORIA],despesavariávelconsolidadojun[[#This Row],[DESPESA VARIÁVEL]])</f>
        <v>0</v>
      </c>
      <c r="H69" s="91">
        <f>SUMIFS(tabela_registros[VALOR],tabela_registros[MÊS],$AE$1,tabela_registros[DIA],juntotal3059718395[[#Headers],[4]],tabela_registros[REGISTRO],DADOS!$N$4,tabela_registros[TIPO],DADOS!$P$4,tabela_registros[CATEGORIA],despesavariávelconsolidadojun[[#This Row],[DESPESA VARIÁVEL]])</f>
        <v>0</v>
      </c>
      <c r="I69" s="91">
        <f>SUMIFS(tabela_registros[VALOR],tabela_registros[MÊS],$AE$1,tabela_registros[DIA],juntotal3059718395[[#Headers],[5]],tabela_registros[REGISTRO],DADOS!$N$4,tabela_registros[TIPO],DADOS!$P$4,tabela_registros[CATEGORIA],despesavariávelconsolidadojun[[#This Row],[DESPESA VARIÁVEL]])</f>
        <v>0</v>
      </c>
      <c r="J69" s="91">
        <f>SUMIFS(tabela_registros[VALOR],tabela_registros[MÊS],$AE$1,tabela_registros[DIA],juntotal3059718395[[#Headers],[6]],tabela_registros[REGISTRO],DADOS!$N$4,tabela_registros[TIPO],DADOS!$P$4,tabela_registros[CATEGORIA],despesavariávelconsolidadojun[[#This Row],[DESPESA VARIÁVEL]])</f>
        <v>0</v>
      </c>
      <c r="K69" s="91">
        <f>SUMIFS(tabela_registros[VALOR],tabela_registros[MÊS],$AE$1,tabela_registros[DIA],juntotal3059718395[[#Headers],[7]],tabela_registros[REGISTRO],DADOS!$N$4,tabela_registros[TIPO],DADOS!$P$4,tabela_registros[CATEGORIA],despesavariávelconsolidadojun[[#This Row],[DESPESA VARIÁVEL]])</f>
        <v>0</v>
      </c>
      <c r="L69" s="91">
        <f>SUMIFS(tabela_registros[VALOR],tabela_registros[MÊS],$AE$1,tabela_registros[DIA],juntotal3059718395[[#Headers],[8]],tabela_registros[REGISTRO],DADOS!$N$4,tabela_registros[TIPO],DADOS!$P$4,tabela_registros[CATEGORIA],despesavariávelconsolidadojun[[#This Row],[DESPESA VARIÁVEL]])</f>
        <v>0</v>
      </c>
      <c r="M69" s="91">
        <f>SUMIFS(tabela_registros[VALOR],tabela_registros[MÊS],$AE$1,tabela_registros[DIA],juntotal3059718395[[#Headers],[9]],tabela_registros[REGISTRO],DADOS!$N$4,tabela_registros[TIPO],DADOS!$P$4,tabela_registros[CATEGORIA],despesavariávelconsolidadojun[[#This Row],[DESPESA VARIÁVEL]])</f>
        <v>0</v>
      </c>
      <c r="N69" s="91">
        <f>SUMIFS(tabela_registros[VALOR],tabela_registros[MÊS],$AE$1,tabela_registros[DIA],juntotal3059718395[[#Headers],[10]],tabela_registros[REGISTRO],DADOS!$N$4,tabela_registros[TIPO],DADOS!$P$4,tabela_registros[CATEGORIA],despesavariávelconsolidadojun[[#This Row],[DESPESA VARIÁVEL]])</f>
        <v>0</v>
      </c>
      <c r="O69" s="91">
        <f>SUMIFS(tabela_registros[VALOR],tabela_registros[MÊS],$AE$1,tabela_registros[DIA],juntotal3059718395[[#Headers],[11]],tabela_registros[REGISTRO],DADOS!$N$4,tabela_registros[TIPO],DADOS!$P$4,tabela_registros[CATEGORIA],despesavariávelconsolidadojun[[#This Row],[DESPESA VARIÁVEL]])</f>
        <v>0</v>
      </c>
      <c r="P69" s="91">
        <f>SUMIFS(tabela_registros[VALOR],tabela_registros[MÊS],$AE$1,tabela_registros[DIA],juntotal3059718395[[#Headers],[12]],tabela_registros[REGISTRO],DADOS!$N$4,tabela_registros[TIPO],DADOS!$P$4,tabela_registros[CATEGORIA],despesavariávelconsolidadojun[[#This Row],[DESPESA VARIÁVEL]])</f>
        <v>0</v>
      </c>
      <c r="Q69" s="91">
        <f>SUMIFS(tabela_registros[VALOR],tabela_registros[MÊS],$AE$1,tabela_registros[DIA],juntotal3059718395[[#Headers],[13]],tabela_registros[REGISTRO],DADOS!$N$4,tabela_registros[TIPO],DADOS!$P$4,tabela_registros[CATEGORIA],despesavariávelconsolidadojun[[#This Row],[DESPESA VARIÁVEL]])</f>
        <v>0</v>
      </c>
      <c r="R69" s="91">
        <f>SUMIFS(tabela_registros[VALOR],tabela_registros[MÊS],$AE$1,tabela_registros[DIA],juntotal3059718395[[#Headers],[14]],tabela_registros[REGISTRO],DADOS!$N$4,tabela_registros[TIPO],DADOS!$P$4,tabela_registros[CATEGORIA],despesavariávelconsolidadojun[[#This Row],[DESPESA VARIÁVEL]])</f>
        <v>0</v>
      </c>
      <c r="S69" s="91">
        <f>SUMIFS(tabela_registros[VALOR],tabela_registros[MÊS],$AE$1,tabela_registros[DIA],juntotal3059718395[[#Headers],[15]],tabela_registros[REGISTRO],DADOS!$N$4,tabela_registros[TIPO],DADOS!$P$4,tabela_registros[CATEGORIA],despesavariávelconsolidadojun[[#This Row],[DESPESA VARIÁVEL]])</f>
        <v>0</v>
      </c>
      <c r="T69" s="91">
        <f>SUMIFS(tabela_registros[VALOR],tabela_registros[MÊS],$AE$1,tabela_registros[DIA],juntotal3059718395[[#Headers],[16]],tabela_registros[REGISTRO],DADOS!$N$4,tabela_registros[TIPO],DADOS!$P$4,tabela_registros[CATEGORIA],despesavariávelconsolidadojun[[#This Row],[DESPESA VARIÁVEL]])</f>
        <v>0</v>
      </c>
      <c r="U69" s="91">
        <f>SUMIFS(tabela_registros[VALOR],tabela_registros[MÊS],$AE$1,tabela_registros[DIA],juntotal3059718395[[#Headers],[17]],tabela_registros[REGISTRO],DADOS!$N$4,tabela_registros[TIPO],DADOS!$P$4,tabela_registros[CATEGORIA],despesavariávelconsolidadojun[[#This Row],[DESPESA VARIÁVEL]])</f>
        <v>0</v>
      </c>
      <c r="V69" s="91">
        <f>SUMIFS(tabela_registros[VALOR],tabela_registros[MÊS],$AE$1,tabela_registros[DIA],juntotal3059718395[[#Headers],[18]],tabela_registros[REGISTRO],DADOS!$N$4,tabela_registros[TIPO],DADOS!$P$4,tabela_registros[CATEGORIA],despesavariávelconsolidadojun[[#This Row],[DESPESA VARIÁVEL]])</f>
        <v>0</v>
      </c>
      <c r="W69" s="91">
        <f>SUMIFS(tabela_registros[VALOR],tabela_registros[MÊS],$AE$1,tabela_registros[DIA],juntotal3059718395[[#Headers],[19]],tabela_registros[REGISTRO],DADOS!$N$4,tabela_registros[TIPO],DADOS!$P$4,tabela_registros[CATEGORIA],despesavariávelconsolidadojun[[#This Row],[DESPESA VARIÁVEL]])</f>
        <v>0</v>
      </c>
      <c r="X69" s="91">
        <f>SUMIFS(tabela_registros[VALOR],tabela_registros[MÊS],$AE$1,tabela_registros[DIA],juntotal3059718395[[#Headers],[20]],tabela_registros[REGISTRO],DADOS!$N$4,tabela_registros[TIPO],DADOS!$P$4,tabela_registros[CATEGORIA],despesavariávelconsolidadojun[[#This Row],[DESPESA VARIÁVEL]])</f>
        <v>0</v>
      </c>
      <c r="Y69" s="91">
        <f>SUMIFS(tabela_registros[VALOR],tabela_registros[MÊS],$AE$1,tabela_registros[DIA],juntotal3059718395[[#Headers],[21]],tabela_registros[REGISTRO],DADOS!$N$4,tabela_registros[TIPO],DADOS!$P$4,tabela_registros[CATEGORIA],despesavariávelconsolidadojun[[#This Row],[DESPESA VARIÁVEL]])</f>
        <v>0</v>
      </c>
      <c r="Z69" s="91">
        <f>SUMIFS(tabela_registros[VALOR],tabela_registros[MÊS],$AE$1,tabela_registros[DIA],juntotal3059718395[[#Headers],[22]],tabela_registros[REGISTRO],DADOS!$N$4,tabela_registros[TIPO],DADOS!$P$4,tabela_registros[CATEGORIA],despesavariávelconsolidadojun[[#This Row],[DESPESA VARIÁVEL]])</f>
        <v>0</v>
      </c>
      <c r="AA69" s="91">
        <f>SUMIFS(tabela_registros[VALOR],tabela_registros[MÊS],$AE$1,tabela_registros[DIA],juntotal3059718395[[#Headers],[23]],tabela_registros[REGISTRO],DADOS!$N$4,tabela_registros[TIPO],DADOS!$P$4,tabela_registros[CATEGORIA],despesavariávelconsolidadojun[[#This Row],[DESPESA VARIÁVEL]])</f>
        <v>0</v>
      </c>
      <c r="AB69" s="91">
        <f>SUMIFS(tabela_registros[VALOR],tabela_registros[MÊS],$AE$1,tabela_registros[DIA],juntotal3059718395[[#Headers],[24]],tabela_registros[REGISTRO],DADOS!$N$4,tabela_registros[TIPO],DADOS!$P$4,tabela_registros[CATEGORIA],despesavariávelconsolidadojun[[#This Row],[DESPESA VARIÁVEL]])</f>
        <v>0</v>
      </c>
      <c r="AC69" s="91">
        <f>SUMIFS(tabela_registros[VALOR],tabela_registros[MÊS],$AE$1,tabela_registros[DIA],juntotal3059718395[[#Headers],[25]],tabela_registros[REGISTRO],DADOS!$N$4,tabela_registros[TIPO],DADOS!$P$4,tabela_registros[CATEGORIA],despesavariávelconsolidadojun[[#This Row],[DESPESA VARIÁVEL]])</f>
        <v>0</v>
      </c>
      <c r="AD69" s="91">
        <f>SUMIFS(tabela_registros[VALOR],tabela_registros[MÊS],$AE$1,tabela_registros[DIA],juntotal3059718395[[#Headers],[26]],tabela_registros[REGISTRO],DADOS!$N$4,tabela_registros[TIPO],DADOS!$P$4,tabela_registros[CATEGORIA],despesavariávelconsolidadojun[[#This Row],[DESPESA VARIÁVEL]])</f>
        <v>0</v>
      </c>
      <c r="AE69" s="91">
        <f>SUMIFS(tabela_registros[VALOR],tabela_registros[MÊS],$AE$1,tabela_registros[DIA],juntotal3059718395[[#Headers],[27]],tabela_registros[REGISTRO],DADOS!$N$4,tabela_registros[TIPO],DADOS!$P$4,tabela_registros[CATEGORIA],despesavariávelconsolidadojun[[#This Row],[DESPESA VARIÁVEL]])</f>
        <v>0</v>
      </c>
      <c r="AF69" s="91">
        <f>SUMIFS(tabela_registros[VALOR],tabela_registros[MÊS],$AE$1,tabela_registros[DIA],juntotal3059718395[[#Headers],[28]],tabela_registros[REGISTRO],DADOS!$N$4,tabela_registros[TIPO],DADOS!$P$4,tabela_registros[CATEGORIA],despesavariávelconsolidadojun[[#This Row],[DESPESA VARIÁVEL]])</f>
        <v>0</v>
      </c>
      <c r="AG69" s="91">
        <f>SUMIFS(tabela_registros[VALOR],tabela_registros[MÊS],$AE$1,tabela_registros[DIA],juntotal3059718395[[#Headers],[29]],tabela_registros[REGISTRO],DADOS!$N$4,tabela_registros[TIPO],DADOS!$P$4,tabela_registros[CATEGORIA],despesavariávelconsolidadojun[[#This Row],[DESPESA VARIÁVEL]])</f>
        <v>0</v>
      </c>
      <c r="AH69" s="91">
        <f>SUMIFS(tabela_registros[VALOR],tabela_registros[MÊS],$AE$1,tabela_registros[DIA],juntotal3059718395[[#Headers],[30]],tabela_registros[REGISTRO],DADOS!$N$4,tabela_registros[TIPO],DADOS!$P$4,tabela_registros[CATEGORIA],despesavariávelconsolidadojun[[#This Row],[DESPESA VARIÁVEL]])</f>
        <v>0</v>
      </c>
      <c r="AI69" s="101">
        <f>SUMIFS(tabela_registros[VALOR],tabela_registros[MÊS],$AE$1,tabela_registros[DIA],juntotal3059718395[[#Headers],[31]],tabela_registros[REGISTRO],DADOS!$N$4,tabela_registros[TIPO],DADOS!$P$4,tabela_registros[CATEGORIA],despesavariávelconsolidadojun[[#This Row],[DESPESA VARIÁVEL]])</f>
        <v>0</v>
      </c>
      <c r="AJ69" s="97">
        <f>SUM(despesavariávelconsolidadojun[[#This Row],[1]:[31]])</f>
        <v>0</v>
      </c>
      <c r="AK69" s="28"/>
    </row>
    <row r="70" spans="2:37" ht="18" customHeight="1" thickTop="1" thickBot="1" x14ac:dyDescent="0.3">
      <c r="B70" s="28"/>
      <c r="C70" s="27" t="str">
        <f>DADOS!$T$13</f>
        <v>🚍 TRANSPORTE</v>
      </c>
      <c r="D70" s="26" t="str">
        <f>IF(despesavariávelconsolidadojun[[#This Row],[TOTAL]]=0,"",IF(OR(despesavariávelconsolidadojun[[#This Row],[TOTAL]]=LARGE($AJ$60:$AJ$72,1),despesavariávelconsolidadojun[[#This Row],[TOTAL]]=LARGE($AJ$60:$AJ$72,2),despesavariávelconsolidadojun[[#This Row],[TOTAL]]=LARGE($AJ$60:$AJ$72,3),despesavariávelconsolidadojun[[#This Row],[TOTAL]]=LARGE($AJ$60:$AJ$72,4),despesavariávelconsolidadojun[[#This Row],[TOTAL]]=LARGE($AJ$60:$AJ$72,5)),DADOS!$I$8,""))</f>
        <v/>
      </c>
      <c r="E70" s="96">
        <f>SUMIFS(tabela_registros[VALOR],tabela_registros[MÊS],$AE$1,tabela_registros[DIA],juntotal3059718395[[#Headers],[1]],tabela_registros[REGISTRO],DADOS!$N$4,tabela_registros[TIPO],DADOS!$P$4,tabela_registros[CATEGORIA],despesavariávelconsolidadojun[[#This Row],[DESPESA VARIÁVEL]])</f>
        <v>0</v>
      </c>
      <c r="F70" s="91">
        <f>SUMIFS(tabela_registros[VALOR],tabela_registros[MÊS],$AE$1,tabela_registros[DIA],juntotal3059718395[[#Headers],[2]],tabela_registros[REGISTRO],DADOS!$N$4,tabela_registros[TIPO],DADOS!$P$4,tabela_registros[CATEGORIA],despesavariávelconsolidadojun[[#This Row],[DESPESA VARIÁVEL]])</f>
        <v>0</v>
      </c>
      <c r="G70" s="91">
        <f>SUMIFS(tabela_registros[VALOR],tabela_registros[MÊS],$AE$1,tabela_registros[DIA],juntotal3059718395[[#Headers],[3]],tabela_registros[REGISTRO],DADOS!$N$4,tabela_registros[TIPO],DADOS!$P$4,tabela_registros[CATEGORIA],despesavariávelconsolidadojun[[#This Row],[DESPESA VARIÁVEL]])</f>
        <v>0</v>
      </c>
      <c r="H70" s="91">
        <f>SUMIFS(tabela_registros[VALOR],tabela_registros[MÊS],$AE$1,tabela_registros[DIA],juntotal3059718395[[#Headers],[4]],tabela_registros[REGISTRO],DADOS!$N$4,tabela_registros[TIPO],DADOS!$P$4,tabela_registros[CATEGORIA],despesavariávelconsolidadojun[[#This Row],[DESPESA VARIÁVEL]])</f>
        <v>0</v>
      </c>
      <c r="I70" s="91">
        <f>SUMIFS(tabela_registros[VALOR],tabela_registros[MÊS],$AE$1,tabela_registros[DIA],juntotal3059718395[[#Headers],[5]],tabela_registros[REGISTRO],DADOS!$N$4,tabela_registros[TIPO],DADOS!$P$4,tabela_registros[CATEGORIA],despesavariávelconsolidadojun[[#This Row],[DESPESA VARIÁVEL]])</f>
        <v>0</v>
      </c>
      <c r="J70" s="91">
        <f>SUMIFS(tabela_registros[VALOR],tabela_registros[MÊS],$AE$1,tabela_registros[DIA],juntotal3059718395[[#Headers],[6]],tabela_registros[REGISTRO],DADOS!$N$4,tabela_registros[TIPO],DADOS!$P$4,tabela_registros[CATEGORIA],despesavariávelconsolidadojun[[#This Row],[DESPESA VARIÁVEL]])</f>
        <v>0</v>
      </c>
      <c r="K70" s="91">
        <f>SUMIFS(tabela_registros[VALOR],tabela_registros[MÊS],$AE$1,tabela_registros[DIA],juntotal3059718395[[#Headers],[7]],tabela_registros[REGISTRO],DADOS!$N$4,tabela_registros[TIPO],DADOS!$P$4,tabela_registros[CATEGORIA],despesavariávelconsolidadojun[[#This Row],[DESPESA VARIÁVEL]])</f>
        <v>0</v>
      </c>
      <c r="L70" s="91">
        <f>SUMIFS(tabela_registros[VALOR],tabela_registros[MÊS],$AE$1,tabela_registros[DIA],juntotal3059718395[[#Headers],[8]],tabela_registros[REGISTRO],DADOS!$N$4,tabela_registros[TIPO],DADOS!$P$4,tabela_registros[CATEGORIA],despesavariávelconsolidadojun[[#This Row],[DESPESA VARIÁVEL]])</f>
        <v>0</v>
      </c>
      <c r="M70" s="91">
        <f>SUMIFS(tabela_registros[VALOR],tabela_registros[MÊS],$AE$1,tabela_registros[DIA],juntotal3059718395[[#Headers],[9]],tabela_registros[REGISTRO],DADOS!$N$4,tabela_registros[TIPO],DADOS!$P$4,tabela_registros[CATEGORIA],despesavariávelconsolidadojun[[#This Row],[DESPESA VARIÁVEL]])</f>
        <v>0</v>
      </c>
      <c r="N70" s="91">
        <f>SUMIFS(tabela_registros[VALOR],tabela_registros[MÊS],$AE$1,tabela_registros[DIA],juntotal3059718395[[#Headers],[10]],tabela_registros[REGISTRO],DADOS!$N$4,tabela_registros[TIPO],DADOS!$P$4,tabela_registros[CATEGORIA],despesavariávelconsolidadojun[[#This Row],[DESPESA VARIÁVEL]])</f>
        <v>0</v>
      </c>
      <c r="O70" s="91">
        <f>SUMIFS(tabela_registros[VALOR],tabela_registros[MÊS],$AE$1,tabela_registros[DIA],juntotal3059718395[[#Headers],[11]],tabela_registros[REGISTRO],DADOS!$N$4,tabela_registros[TIPO],DADOS!$P$4,tabela_registros[CATEGORIA],despesavariávelconsolidadojun[[#This Row],[DESPESA VARIÁVEL]])</f>
        <v>0</v>
      </c>
      <c r="P70" s="91">
        <f>SUMIFS(tabela_registros[VALOR],tabela_registros[MÊS],$AE$1,tabela_registros[DIA],juntotal3059718395[[#Headers],[12]],tabela_registros[REGISTRO],DADOS!$N$4,tabela_registros[TIPO],DADOS!$P$4,tabela_registros[CATEGORIA],despesavariávelconsolidadojun[[#This Row],[DESPESA VARIÁVEL]])</f>
        <v>0</v>
      </c>
      <c r="Q70" s="91">
        <f>SUMIFS(tabela_registros[VALOR],tabela_registros[MÊS],$AE$1,tabela_registros[DIA],juntotal3059718395[[#Headers],[13]],tabela_registros[REGISTRO],DADOS!$N$4,tabela_registros[TIPO],DADOS!$P$4,tabela_registros[CATEGORIA],despesavariávelconsolidadojun[[#This Row],[DESPESA VARIÁVEL]])</f>
        <v>0</v>
      </c>
      <c r="R70" s="91">
        <f>SUMIFS(tabela_registros[VALOR],tabela_registros[MÊS],$AE$1,tabela_registros[DIA],juntotal3059718395[[#Headers],[14]],tabela_registros[REGISTRO],DADOS!$N$4,tabela_registros[TIPO],DADOS!$P$4,tabela_registros[CATEGORIA],despesavariávelconsolidadojun[[#This Row],[DESPESA VARIÁVEL]])</f>
        <v>0</v>
      </c>
      <c r="S70" s="91">
        <f>SUMIFS(tabela_registros[VALOR],tabela_registros[MÊS],$AE$1,tabela_registros[DIA],juntotal3059718395[[#Headers],[15]],tabela_registros[REGISTRO],DADOS!$N$4,tabela_registros[TIPO],DADOS!$P$4,tabela_registros[CATEGORIA],despesavariávelconsolidadojun[[#This Row],[DESPESA VARIÁVEL]])</f>
        <v>0</v>
      </c>
      <c r="T70" s="91">
        <f>SUMIFS(tabela_registros[VALOR],tabela_registros[MÊS],$AE$1,tabela_registros[DIA],juntotal3059718395[[#Headers],[16]],tabela_registros[REGISTRO],DADOS!$N$4,tabela_registros[TIPO],DADOS!$P$4,tabela_registros[CATEGORIA],despesavariávelconsolidadojun[[#This Row],[DESPESA VARIÁVEL]])</f>
        <v>0</v>
      </c>
      <c r="U70" s="91">
        <f>SUMIFS(tabela_registros[VALOR],tabela_registros[MÊS],$AE$1,tabela_registros[DIA],juntotal3059718395[[#Headers],[17]],tabela_registros[REGISTRO],DADOS!$N$4,tabela_registros[TIPO],DADOS!$P$4,tabela_registros[CATEGORIA],despesavariávelconsolidadojun[[#This Row],[DESPESA VARIÁVEL]])</f>
        <v>0</v>
      </c>
      <c r="V70" s="91">
        <f>SUMIFS(tabela_registros[VALOR],tabela_registros[MÊS],$AE$1,tabela_registros[DIA],juntotal3059718395[[#Headers],[18]],tabela_registros[REGISTRO],DADOS!$N$4,tabela_registros[TIPO],DADOS!$P$4,tabela_registros[CATEGORIA],despesavariávelconsolidadojun[[#This Row],[DESPESA VARIÁVEL]])</f>
        <v>0</v>
      </c>
      <c r="W70" s="91">
        <f>SUMIFS(tabela_registros[VALOR],tabela_registros[MÊS],$AE$1,tabela_registros[DIA],juntotal3059718395[[#Headers],[19]],tabela_registros[REGISTRO],DADOS!$N$4,tabela_registros[TIPO],DADOS!$P$4,tabela_registros[CATEGORIA],despesavariávelconsolidadojun[[#This Row],[DESPESA VARIÁVEL]])</f>
        <v>0</v>
      </c>
      <c r="X70" s="91">
        <f>SUMIFS(tabela_registros[VALOR],tabela_registros[MÊS],$AE$1,tabela_registros[DIA],juntotal3059718395[[#Headers],[20]],tabela_registros[REGISTRO],DADOS!$N$4,tabela_registros[TIPO],DADOS!$P$4,tabela_registros[CATEGORIA],despesavariávelconsolidadojun[[#This Row],[DESPESA VARIÁVEL]])</f>
        <v>0</v>
      </c>
      <c r="Y70" s="91">
        <f>SUMIFS(tabela_registros[VALOR],tabela_registros[MÊS],$AE$1,tabela_registros[DIA],juntotal3059718395[[#Headers],[21]],tabela_registros[REGISTRO],DADOS!$N$4,tabela_registros[TIPO],DADOS!$P$4,tabela_registros[CATEGORIA],despesavariávelconsolidadojun[[#This Row],[DESPESA VARIÁVEL]])</f>
        <v>0</v>
      </c>
      <c r="Z70" s="91">
        <f>SUMIFS(tabela_registros[VALOR],tabela_registros[MÊS],$AE$1,tabela_registros[DIA],juntotal3059718395[[#Headers],[22]],tabela_registros[REGISTRO],DADOS!$N$4,tabela_registros[TIPO],DADOS!$P$4,tabela_registros[CATEGORIA],despesavariávelconsolidadojun[[#This Row],[DESPESA VARIÁVEL]])</f>
        <v>0</v>
      </c>
      <c r="AA70" s="91">
        <f>SUMIFS(tabela_registros[VALOR],tabela_registros[MÊS],$AE$1,tabela_registros[DIA],juntotal3059718395[[#Headers],[23]],tabela_registros[REGISTRO],DADOS!$N$4,tabela_registros[TIPO],DADOS!$P$4,tabela_registros[CATEGORIA],despesavariávelconsolidadojun[[#This Row],[DESPESA VARIÁVEL]])</f>
        <v>0</v>
      </c>
      <c r="AB70" s="91">
        <f>SUMIFS(tabela_registros[VALOR],tabela_registros[MÊS],$AE$1,tabela_registros[DIA],juntotal3059718395[[#Headers],[24]],tabela_registros[REGISTRO],DADOS!$N$4,tabela_registros[TIPO],DADOS!$P$4,tabela_registros[CATEGORIA],despesavariávelconsolidadojun[[#This Row],[DESPESA VARIÁVEL]])</f>
        <v>0</v>
      </c>
      <c r="AC70" s="91">
        <f>SUMIFS(tabela_registros[VALOR],tabela_registros[MÊS],$AE$1,tabela_registros[DIA],juntotal3059718395[[#Headers],[25]],tabela_registros[REGISTRO],DADOS!$N$4,tabela_registros[TIPO],DADOS!$P$4,tabela_registros[CATEGORIA],despesavariávelconsolidadojun[[#This Row],[DESPESA VARIÁVEL]])</f>
        <v>0</v>
      </c>
      <c r="AD70" s="91">
        <f>SUMIFS(tabela_registros[VALOR],tabela_registros[MÊS],$AE$1,tabela_registros[DIA],juntotal3059718395[[#Headers],[26]],tabela_registros[REGISTRO],DADOS!$N$4,tabela_registros[TIPO],DADOS!$P$4,tabela_registros[CATEGORIA],despesavariávelconsolidadojun[[#This Row],[DESPESA VARIÁVEL]])</f>
        <v>0</v>
      </c>
      <c r="AE70" s="91">
        <f>SUMIFS(tabela_registros[VALOR],tabela_registros[MÊS],$AE$1,tabela_registros[DIA],juntotal3059718395[[#Headers],[27]],tabela_registros[REGISTRO],DADOS!$N$4,tabela_registros[TIPO],DADOS!$P$4,tabela_registros[CATEGORIA],despesavariávelconsolidadojun[[#This Row],[DESPESA VARIÁVEL]])</f>
        <v>0</v>
      </c>
      <c r="AF70" s="91">
        <f>SUMIFS(tabela_registros[VALOR],tabela_registros[MÊS],$AE$1,tabela_registros[DIA],juntotal3059718395[[#Headers],[28]],tabela_registros[REGISTRO],DADOS!$N$4,tabela_registros[TIPO],DADOS!$P$4,tabela_registros[CATEGORIA],despesavariávelconsolidadojun[[#This Row],[DESPESA VARIÁVEL]])</f>
        <v>0</v>
      </c>
      <c r="AG70" s="91">
        <f>SUMIFS(tabela_registros[VALOR],tabela_registros[MÊS],$AE$1,tabela_registros[DIA],juntotal3059718395[[#Headers],[29]],tabela_registros[REGISTRO],DADOS!$N$4,tabela_registros[TIPO],DADOS!$P$4,tabela_registros[CATEGORIA],despesavariávelconsolidadojun[[#This Row],[DESPESA VARIÁVEL]])</f>
        <v>0</v>
      </c>
      <c r="AH70" s="91">
        <f>SUMIFS(tabela_registros[VALOR],tabela_registros[MÊS],$AE$1,tabela_registros[DIA],juntotal3059718395[[#Headers],[30]],tabela_registros[REGISTRO],DADOS!$N$4,tabela_registros[TIPO],DADOS!$P$4,tabela_registros[CATEGORIA],despesavariávelconsolidadojun[[#This Row],[DESPESA VARIÁVEL]])</f>
        <v>0</v>
      </c>
      <c r="AI70" s="101">
        <f>SUMIFS(tabela_registros[VALOR],tabela_registros[MÊS],$AE$1,tabela_registros[DIA],juntotal3059718395[[#Headers],[31]],tabela_registros[REGISTRO],DADOS!$N$4,tabela_registros[TIPO],DADOS!$P$4,tabela_registros[CATEGORIA],despesavariávelconsolidadojun[[#This Row],[DESPESA VARIÁVEL]])</f>
        <v>0</v>
      </c>
      <c r="AJ70" s="97">
        <f>SUM(despesavariávelconsolidadojun[[#This Row],[1]:[31]])</f>
        <v>0</v>
      </c>
      <c r="AK70" s="28"/>
    </row>
    <row r="71" spans="2:37" ht="18" customHeight="1" thickTop="1" thickBot="1" x14ac:dyDescent="0.3">
      <c r="B71" s="28"/>
      <c r="C71" s="27" t="str">
        <f>DADOS!$T$14</f>
        <v>🛍️ VESTUÁRIO</v>
      </c>
      <c r="D71" s="26" t="str">
        <f>IF(despesavariávelconsolidadojun[[#This Row],[TOTAL]]=0,"",IF(OR(despesavariávelconsolidadojun[[#This Row],[TOTAL]]=LARGE($AJ$60:$AJ$72,1),despesavariávelconsolidadojun[[#This Row],[TOTAL]]=LARGE($AJ$60:$AJ$72,2),despesavariávelconsolidadojun[[#This Row],[TOTAL]]=LARGE($AJ$60:$AJ$72,3),despesavariávelconsolidadojun[[#This Row],[TOTAL]]=LARGE($AJ$60:$AJ$72,4),despesavariávelconsolidadojun[[#This Row],[TOTAL]]=LARGE($AJ$60:$AJ$72,5)),DADOS!$I$8,""))</f>
        <v/>
      </c>
      <c r="E71" s="96">
        <f>SUMIFS(tabela_registros[VALOR],tabela_registros[MÊS],$AE$1,tabela_registros[DIA],juntotal3059718395[[#Headers],[1]],tabela_registros[REGISTRO],DADOS!$N$4,tabela_registros[TIPO],DADOS!$P$4,tabela_registros[CATEGORIA],despesavariávelconsolidadojun[[#This Row],[DESPESA VARIÁVEL]])</f>
        <v>0</v>
      </c>
      <c r="F71" s="91">
        <f>SUMIFS(tabela_registros[VALOR],tabela_registros[MÊS],$AE$1,tabela_registros[DIA],juntotal3059718395[[#Headers],[2]],tabela_registros[REGISTRO],DADOS!$N$4,tabela_registros[TIPO],DADOS!$P$4,tabela_registros[CATEGORIA],despesavariávelconsolidadojun[[#This Row],[DESPESA VARIÁVEL]])</f>
        <v>0</v>
      </c>
      <c r="G71" s="91">
        <f>SUMIFS(tabela_registros[VALOR],tabela_registros[MÊS],$AE$1,tabela_registros[DIA],juntotal3059718395[[#Headers],[3]],tabela_registros[REGISTRO],DADOS!$N$4,tabela_registros[TIPO],DADOS!$P$4,tabela_registros[CATEGORIA],despesavariávelconsolidadojun[[#This Row],[DESPESA VARIÁVEL]])</f>
        <v>0</v>
      </c>
      <c r="H71" s="91">
        <f>SUMIFS(tabela_registros[VALOR],tabela_registros[MÊS],$AE$1,tabela_registros[DIA],juntotal3059718395[[#Headers],[4]],tabela_registros[REGISTRO],DADOS!$N$4,tabela_registros[TIPO],DADOS!$P$4,tabela_registros[CATEGORIA],despesavariávelconsolidadojun[[#This Row],[DESPESA VARIÁVEL]])</f>
        <v>0</v>
      </c>
      <c r="I71" s="91">
        <f>SUMIFS(tabela_registros[VALOR],tabela_registros[MÊS],$AE$1,tabela_registros[DIA],juntotal3059718395[[#Headers],[5]],tabela_registros[REGISTRO],DADOS!$N$4,tabela_registros[TIPO],DADOS!$P$4,tabela_registros[CATEGORIA],despesavariávelconsolidadojun[[#This Row],[DESPESA VARIÁVEL]])</f>
        <v>0</v>
      </c>
      <c r="J71" s="91">
        <f>SUMIFS(tabela_registros[VALOR],tabela_registros[MÊS],$AE$1,tabela_registros[DIA],juntotal3059718395[[#Headers],[6]],tabela_registros[REGISTRO],DADOS!$N$4,tabela_registros[TIPO],DADOS!$P$4,tabela_registros[CATEGORIA],despesavariávelconsolidadojun[[#This Row],[DESPESA VARIÁVEL]])</f>
        <v>0</v>
      </c>
      <c r="K71" s="91">
        <f>SUMIFS(tabela_registros[VALOR],tabela_registros[MÊS],$AE$1,tabela_registros[DIA],juntotal3059718395[[#Headers],[7]],tabela_registros[REGISTRO],DADOS!$N$4,tabela_registros[TIPO],DADOS!$P$4,tabela_registros[CATEGORIA],despesavariávelconsolidadojun[[#This Row],[DESPESA VARIÁVEL]])</f>
        <v>0</v>
      </c>
      <c r="L71" s="91">
        <f>SUMIFS(tabela_registros[VALOR],tabela_registros[MÊS],$AE$1,tabela_registros[DIA],juntotal3059718395[[#Headers],[8]],tabela_registros[REGISTRO],DADOS!$N$4,tabela_registros[TIPO],DADOS!$P$4,tabela_registros[CATEGORIA],despesavariávelconsolidadojun[[#This Row],[DESPESA VARIÁVEL]])</f>
        <v>0</v>
      </c>
      <c r="M71" s="91">
        <f>SUMIFS(tabela_registros[VALOR],tabela_registros[MÊS],$AE$1,tabela_registros[DIA],juntotal3059718395[[#Headers],[9]],tabela_registros[REGISTRO],DADOS!$N$4,tabela_registros[TIPO],DADOS!$P$4,tabela_registros[CATEGORIA],despesavariávelconsolidadojun[[#This Row],[DESPESA VARIÁVEL]])</f>
        <v>0</v>
      </c>
      <c r="N71" s="91">
        <f>SUMIFS(tabela_registros[VALOR],tabela_registros[MÊS],$AE$1,tabela_registros[DIA],juntotal3059718395[[#Headers],[10]],tabela_registros[REGISTRO],DADOS!$N$4,tabela_registros[TIPO],DADOS!$P$4,tabela_registros[CATEGORIA],despesavariávelconsolidadojun[[#This Row],[DESPESA VARIÁVEL]])</f>
        <v>0</v>
      </c>
      <c r="O71" s="91">
        <f>SUMIFS(tabela_registros[VALOR],tabela_registros[MÊS],$AE$1,tabela_registros[DIA],juntotal3059718395[[#Headers],[11]],tabela_registros[REGISTRO],DADOS!$N$4,tabela_registros[TIPO],DADOS!$P$4,tabela_registros[CATEGORIA],despesavariávelconsolidadojun[[#This Row],[DESPESA VARIÁVEL]])</f>
        <v>0</v>
      </c>
      <c r="P71" s="91">
        <f>SUMIFS(tabela_registros[VALOR],tabela_registros[MÊS],$AE$1,tabela_registros[DIA],juntotal3059718395[[#Headers],[12]],tabela_registros[REGISTRO],DADOS!$N$4,tabela_registros[TIPO],DADOS!$P$4,tabela_registros[CATEGORIA],despesavariávelconsolidadojun[[#This Row],[DESPESA VARIÁVEL]])</f>
        <v>0</v>
      </c>
      <c r="Q71" s="91">
        <f>SUMIFS(tabela_registros[VALOR],tabela_registros[MÊS],$AE$1,tabela_registros[DIA],juntotal3059718395[[#Headers],[13]],tabela_registros[REGISTRO],DADOS!$N$4,tabela_registros[TIPO],DADOS!$P$4,tabela_registros[CATEGORIA],despesavariávelconsolidadojun[[#This Row],[DESPESA VARIÁVEL]])</f>
        <v>0</v>
      </c>
      <c r="R71" s="91">
        <f>SUMIFS(tabela_registros[VALOR],tabela_registros[MÊS],$AE$1,tabela_registros[DIA],juntotal3059718395[[#Headers],[14]],tabela_registros[REGISTRO],DADOS!$N$4,tabela_registros[TIPO],DADOS!$P$4,tabela_registros[CATEGORIA],despesavariávelconsolidadojun[[#This Row],[DESPESA VARIÁVEL]])</f>
        <v>0</v>
      </c>
      <c r="S71" s="91">
        <f>SUMIFS(tabela_registros[VALOR],tabela_registros[MÊS],$AE$1,tabela_registros[DIA],juntotal3059718395[[#Headers],[15]],tabela_registros[REGISTRO],DADOS!$N$4,tabela_registros[TIPO],DADOS!$P$4,tabela_registros[CATEGORIA],despesavariávelconsolidadojun[[#This Row],[DESPESA VARIÁVEL]])</f>
        <v>0</v>
      </c>
      <c r="T71" s="91">
        <f>SUMIFS(tabela_registros[VALOR],tabela_registros[MÊS],$AE$1,tabela_registros[DIA],juntotal3059718395[[#Headers],[16]],tabela_registros[REGISTRO],DADOS!$N$4,tabela_registros[TIPO],DADOS!$P$4,tabela_registros[CATEGORIA],despesavariávelconsolidadojun[[#This Row],[DESPESA VARIÁVEL]])</f>
        <v>0</v>
      </c>
      <c r="U71" s="91">
        <f>SUMIFS(tabela_registros[VALOR],tabela_registros[MÊS],$AE$1,tabela_registros[DIA],juntotal3059718395[[#Headers],[17]],tabela_registros[REGISTRO],DADOS!$N$4,tabela_registros[TIPO],DADOS!$P$4,tabela_registros[CATEGORIA],despesavariávelconsolidadojun[[#This Row],[DESPESA VARIÁVEL]])</f>
        <v>0</v>
      </c>
      <c r="V71" s="91">
        <f>SUMIFS(tabela_registros[VALOR],tabela_registros[MÊS],$AE$1,tabela_registros[DIA],juntotal3059718395[[#Headers],[18]],tabela_registros[REGISTRO],DADOS!$N$4,tabela_registros[TIPO],DADOS!$P$4,tabela_registros[CATEGORIA],despesavariávelconsolidadojun[[#This Row],[DESPESA VARIÁVEL]])</f>
        <v>0</v>
      </c>
      <c r="W71" s="91">
        <f>SUMIFS(tabela_registros[VALOR],tabela_registros[MÊS],$AE$1,tabela_registros[DIA],juntotal3059718395[[#Headers],[19]],tabela_registros[REGISTRO],DADOS!$N$4,tabela_registros[TIPO],DADOS!$P$4,tabela_registros[CATEGORIA],despesavariávelconsolidadojun[[#This Row],[DESPESA VARIÁVEL]])</f>
        <v>0</v>
      </c>
      <c r="X71" s="91">
        <f>SUMIFS(tabela_registros[VALOR],tabela_registros[MÊS],$AE$1,tabela_registros[DIA],juntotal3059718395[[#Headers],[20]],tabela_registros[REGISTRO],DADOS!$N$4,tabela_registros[TIPO],DADOS!$P$4,tabela_registros[CATEGORIA],despesavariávelconsolidadojun[[#This Row],[DESPESA VARIÁVEL]])</f>
        <v>0</v>
      </c>
      <c r="Y71" s="91">
        <f>SUMIFS(tabela_registros[VALOR],tabela_registros[MÊS],$AE$1,tabela_registros[DIA],juntotal3059718395[[#Headers],[21]],tabela_registros[REGISTRO],DADOS!$N$4,tabela_registros[TIPO],DADOS!$P$4,tabela_registros[CATEGORIA],despesavariávelconsolidadojun[[#This Row],[DESPESA VARIÁVEL]])</f>
        <v>0</v>
      </c>
      <c r="Z71" s="91">
        <f>SUMIFS(tabela_registros[VALOR],tabela_registros[MÊS],$AE$1,tabela_registros[DIA],juntotal3059718395[[#Headers],[22]],tabela_registros[REGISTRO],DADOS!$N$4,tabela_registros[TIPO],DADOS!$P$4,tabela_registros[CATEGORIA],despesavariávelconsolidadojun[[#This Row],[DESPESA VARIÁVEL]])</f>
        <v>0</v>
      </c>
      <c r="AA71" s="91">
        <f>SUMIFS(tabela_registros[VALOR],tabela_registros[MÊS],$AE$1,tabela_registros[DIA],juntotal3059718395[[#Headers],[23]],tabela_registros[REGISTRO],DADOS!$N$4,tabela_registros[TIPO],DADOS!$P$4,tabela_registros[CATEGORIA],despesavariávelconsolidadojun[[#This Row],[DESPESA VARIÁVEL]])</f>
        <v>0</v>
      </c>
      <c r="AB71" s="91">
        <f>SUMIFS(tabela_registros[VALOR],tabela_registros[MÊS],$AE$1,tabela_registros[DIA],juntotal3059718395[[#Headers],[24]],tabela_registros[REGISTRO],DADOS!$N$4,tabela_registros[TIPO],DADOS!$P$4,tabela_registros[CATEGORIA],despesavariávelconsolidadojun[[#This Row],[DESPESA VARIÁVEL]])</f>
        <v>0</v>
      </c>
      <c r="AC71" s="91">
        <f>SUMIFS(tabela_registros[VALOR],tabela_registros[MÊS],$AE$1,tabela_registros[DIA],juntotal3059718395[[#Headers],[25]],tabela_registros[REGISTRO],DADOS!$N$4,tabela_registros[TIPO],DADOS!$P$4,tabela_registros[CATEGORIA],despesavariávelconsolidadojun[[#This Row],[DESPESA VARIÁVEL]])</f>
        <v>0</v>
      </c>
      <c r="AD71" s="91">
        <f>SUMIFS(tabela_registros[VALOR],tabela_registros[MÊS],$AE$1,tabela_registros[DIA],juntotal3059718395[[#Headers],[26]],tabela_registros[REGISTRO],DADOS!$N$4,tabela_registros[TIPO],DADOS!$P$4,tabela_registros[CATEGORIA],despesavariávelconsolidadojun[[#This Row],[DESPESA VARIÁVEL]])</f>
        <v>0</v>
      </c>
      <c r="AE71" s="91">
        <f>SUMIFS(tabela_registros[VALOR],tabela_registros[MÊS],$AE$1,tabela_registros[DIA],juntotal3059718395[[#Headers],[27]],tabela_registros[REGISTRO],DADOS!$N$4,tabela_registros[TIPO],DADOS!$P$4,tabela_registros[CATEGORIA],despesavariávelconsolidadojun[[#This Row],[DESPESA VARIÁVEL]])</f>
        <v>0</v>
      </c>
      <c r="AF71" s="91">
        <f>SUMIFS(tabela_registros[VALOR],tabela_registros[MÊS],$AE$1,tabela_registros[DIA],juntotal3059718395[[#Headers],[28]],tabela_registros[REGISTRO],DADOS!$N$4,tabela_registros[TIPO],DADOS!$P$4,tabela_registros[CATEGORIA],despesavariávelconsolidadojun[[#This Row],[DESPESA VARIÁVEL]])</f>
        <v>0</v>
      </c>
      <c r="AG71" s="91">
        <f>SUMIFS(tabela_registros[VALOR],tabela_registros[MÊS],$AE$1,tabela_registros[DIA],juntotal3059718395[[#Headers],[29]],tabela_registros[REGISTRO],DADOS!$N$4,tabela_registros[TIPO],DADOS!$P$4,tabela_registros[CATEGORIA],despesavariávelconsolidadojun[[#This Row],[DESPESA VARIÁVEL]])</f>
        <v>0</v>
      </c>
      <c r="AH71" s="91">
        <f>SUMIFS(tabela_registros[VALOR],tabela_registros[MÊS],$AE$1,tabela_registros[DIA],juntotal3059718395[[#Headers],[30]],tabela_registros[REGISTRO],DADOS!$N$4,tabela_registros[TIPO],DADOS!$P$4,tabela_registros[CATEGORIA],despesavariávelconsolidadojun[[#This Row],[DESPESA VARIÁVEL]])</f>
        <v>0</v>
      </c>
      <c r="AI71" s="101">
        <f>SUMIFS(tabela_registros[VALOR],tabela_registros[MÊS],$AE$1,tabela_registros[DIA],juntotal3059718395[[#Headers],[31]],tabela_registros[REGISTRO],DADOS!$N$4,tabela_registros[TIPO],DADOS!$P$4,tabela_registros[CATEGORIA],despesavariávelconsolidadojun[[#This Row],[DESPESA VARIÁVEL]])</f>
        <v>0</v>
      </c>
      <c r="AJ71" s="97">
        <f>SUM(despesavariávelconsolidadojun[[#This Row],[1]:[31]])</f>
        <v>0</v>
      </c>
      <c r="AK71" s="28"/>
    </row>
    <row r="72" spans="2:37" ht="18" customHeight="1" thickTop="1" thickBot="1" x14ac:dyDescent="0.3">
      <c r="B72" s="28"/>
      <c r="C72" s="27" t="str">
        <f>DADOS!$T$15</f>
        <v>📎 OUTROS</v>
      </c>
      <c r="D72" s="26" t="str">
        <f>IF(despesavariávelconsolidadojun[[#This Row],[TOTAL]]=0,"",IF(OR(despesavariávelconsolidadojun[[#This Row],[TOTAL]]=LARGE($AJ$60:$AJ$72,1),despesavariávelconsolidadojun[[#This Row],[TOTAL]]=LARGE($AJ$60:$AJ$72,2),despesavariávelconsolidadojun[[#This Row],[TOTAL]]=LARGE($AJ$60:$AJ$72,3),despesavariávelconsolidadojun[[#This Row],[TOTAL]]=LARGE($AJ$60:$AJ$72,4),despesavariávelconsolidadojun[[#This Row],[TOTAL]]=LARGE($AJ$60:$AJ$72,5)),DADOS!$I$8,""))</f>
        <v/>
      </c>
      <c r="E72" s="96">
        <f>SUMIFS(tabela_registros[VALOR],tabela_registros[MÊS],$AE$1,tabela_registros[DIA],juntotal3059718395[[#Headers],[1]],tabela_registros[REGISTRO],DADOS!$N$4,tabela_registros[TIPO],DADOS!$P$4,tabela_registros[CATEGORIA],despesavariávelconsolidadojun[[#This Row],[DESPESA VARIÁVEL]])</f>
        <v>0</v>
      </c>
      <c r="F72" s="91">
        <f>SUMIFS(tabela_registros[VALOR],tabela_registros[MÊS],$AE$1,tabela_registros[DIA],juntotal3059718395[[#Headers],[2]],tabela_registros[REGISTRO],DADOS!$N$4,tabela_registros[TIPO],DADOS!$P$4,tabela_registros[CATEGORIA],despesavariávelconsolidadojun[[#This Row],[DESPESA VARIÁVEL]])</f>
        <v>0</v>
      </c>
      <c r="G72" s="91">
        <f>SUMIFS(tabela_registros[VALOR],tabela_registros[MÊS],$AE$1,tabela_registros[DIA],juntotal3059718395[[#Headers],[3]],tabela_registros[REGISTRO],DADOS!$N$4,tabela_registros[TIPO],DADOS!$P$4,tabela_registros[CATEGORIA],despesavariávelconsolidadojun[[#This Row],[DESPESA VARIÁVEL]])</f>
        <v>0</v>
      </c>
      <c r="H72" s="91">
        <f>SUMIFS(tabela_registros[VALOR],tabela_registros[MÊS],$AE$1,tabela_registros[DIA],juntotal3059718395[[#Headers],[4]],tabela_registros[REGISTRO],DADOS!$N$4,tabela_registros[TIPO],DADOS!$P$4,tabela_registros[CATEGORIA],despesavariávelconsolidadojun[[#This Row],[DESPESA VARIÁVEL]])</f>
        <v>0</v>
      </c>
      <c r="I72" s="91">
        <f>SUMIFS(tabela_registros[VALOR],tabela_registros[MÊS],$AE$1,tabela_registros[DIA],juntotal3059718395[[#Headers],[5]],tabela_registros[REGISTRO],DADOS!$N$4,tabela_registros[TIPO],DADOS!$P$4,tabela_registros[CATEGORIA],despesavariávelconsolidadojun[[#This Row],[DESPESA VARIÁVEL]])</f>
        <v>0</v>
      </c>
      <c r="J72" s="91">
        <f>SUMIFS(tabela_registros[VALOR],tabela_registros[MÊS],$AE$1,tabela_registros[DIA],juntotal3059718395[[#Headers],[6]],tabela_registros[REGISTRO],DADOS!$N$4,tabela_registros[TIPO],DADOS!$P$4,tabela_registros[CATEGORIA],despesavariávelconsolidadojun[[#This Row],[DESPESA VARIÁVEL]])</f>
        <v>0</v>
      </c>
      <c r="K72" s="91">
        <f>SUMIFS(tabela_registros[VALOR],tabela_registros[MÊS],$AE$1,tabela_registros[DIA],juntotal3059718395[[#Headers],[7]],tabela_registros[REGISTRO],DADOS!$N$4,tabela_registros[TIPO],DADOS!$P$4,tabela_registros[CATEGORIA],despesavariávelconsolidadojun[[#This Row],[DESPESA VARIÁVEL]])</f>
        <v>0</v>
      </c>
      <c r="L72" s="91">
        <f>SUMIFS(tabela_registros[VALOR],tabela_registros[MÊS],$AE$1,tabela_registros[DIA],juntotal3059718395[[#Headers],[8]],tabela_registros[REGISTRO],DADOS!$N$4,tabela_registros[TIPO],DADOS!$P$4,tabela_registros[CATEGORIA],despesavariávelconsolidadojun[[#This Row],[DESPESA VARIÁVEL]])</f>
        <v>0</v>
      </c>
      <c r="M72" s="91">
        <f>SUMIFS(tabela_registros[VALOR],tabela_registros[MÊS],$AE$1,tabela_registros[DIA],juntotal3059718395[[#Headers],[9]],tabela_registros[REGISTRO],DADOS!$N$4,tabela_registros[TIPO],DADOS!$P$4,tabela_registros[CATEGORIA],despesavariávelconsolidadojun[[#This Row],[DESPESA VARIÁVEL]])</f>
        <v>0</v>
      </c>
      <c r="N72" s="91">
        <f>SUMIFS(tabela_registros[VALOR],tabela_registros[MÊS],$AE$1,tabela_registros[DIA],juntotal3059718395[[#Headers],[10]],tabela_registros[REGISTRO],DADOS!$N$4,tabela_registros[TIPO],DADOS!$P$4,tabela_registros[CATEGORIA],despesavariávelconsolidadojun[[#This Row],[DESPESA VARIÁVEL]])</f>
        <v>0</v>
      </c>
      <c r="O72" s="91">
        <f>SUMIFS(tabela_registros[VALOR],tabela_registros[MÊS],$AE$1,tabela_registros[DIA],juntotal3059718395[[#Headers],[11]],tabela_registros[REGISTRO],DADOS!$N$4,tabela_registros[TIPO],DADOS!$P$4,tabela_registros[CATEGORIA],despesavariávelconsolidadojun[[#This Row],[DESPESA VARIÁVEL]])</f>
        <v>0</v>
      </c>
      <c r="P72" s="91">
        <f>SUMIFS(tabela_registros[VALOR],tabela_registros[MÊS],$AE$1,tabela_registros[DIA],juntotal3059718395[[#Headers],[12]],tabela_registros[REGISTRO],DADOS!$N$4,tabela_registros[TIPO],DADOS!$P$4,tabela_registros[CATEGORIA],despesavariávelconsolidadojun[[#This Row],[DESPESA VARIÁVEL]])</f>
        <v>0</v>
      </c>
      <c r="Q72" s="91">
        <f>SUMIFS(tabela_registros[VALOR],tabela_registros[MÊS],$AE$1,tabela_registros[DIA],juntotal3059718395[[#Headers],[13]],tabela_registros[REGISTRO],DADOS!$N$4,tabela_registros[TIPO],DADOS!$P$4,tabela_registros[CATEGORIA],despesavariávelconsolidadojun[[#This Row],[DESPESA VARIÁVEL]])</f>
        <v>0</v>
      </c>
      <c r="R72" s="91">
        <f>SUMIFS(tabela_registros[VALOR],tabela_registros[MÊS],$AE$1,tabela_registros[DIA],juntotal3059718395[[#Headers],[14]],tabela_registros[REGISTRO],DADOS!$N$4,tabela_registros[TIPO],DADOS!$P$4,tabela_registros[CATEGORIA],despesavariávelconsolidadojun[[#This Row],[DESPESA VARIÁVEL]])</f>
        <v>0</v>
      </c>
      <c r="S72" s="91">
        <f>SUMIFS(tabela_registros[VALOR],tabela_registros[MÊS],$AE$1,tabela_registros[DIA],juntotal3059718395[[#Headers],[15]],tabela_registros[REGISTRO],DADOS!$N$4,tabela_registros[TIPO],DADOS!$P$4,tabela_registros[CATEGORIA],despesavariávelconsolidadojun[[#This Row],[DESPESA VARIÁVEL]])</f>
        <v>0</v>
      </c>
      <c r="T72" s="91">
        <f>SUMIFS(tabela_registros[VALOR],tabela_registros[MÊS],$AE$1,tabela_registros[DIA],juntotal3059718395[[#Headers],[16]],tabela_registros[REGISTRO],DADOS!$N$4,tabela_registros[TIPO],DADOS!$P$4,tabela_registros[CATEGORIA],despesavariávelconsolidadojun[[#This Row],[DESPESA VARIÁVEL]])</f>
        <v>0</v>
      </c>
      <c r="U72" s="91">
        <f>SUMIFS(tabela_registros[VALOR],tabela_registros[MÊS],$AE$1,tabela_registros[DIA],juntotal3059718395[[#Headers],[17]],tabela_registros[REGISTRO],DADOS!$N$4,tabela_registros[TIPO],DADOS!$P$4,tabela_registros[CATEGORIA],despesavariávelconsolidadojun[[#This Row],[DESPESA VARIÁVEL]])</f>
        <v>0</v>
      </c>
      <c r="V72" s="91">
        <f>SUMIFS(tabela_registros[VALOR],tabela_registros[MÊS],$AE$1,tabela_registros[DIA],juntotal3059718395[[#Headers],[18]],tabela_registros[REGISTRO],DADOS!$N$4,tabela_registros[TIPO],DADOS!$P$4,tabela_registros[CATEGORIA],despesavariávelconsolidadojun[[#This Row],[DESPESA VARIÁVEL]])</f>
        <v>0</v>
      </c>
      <c r="W72" s="91">
        <f>SUMIFS(tabela_registros[VALOR],tabela_registros[MÊS],$AE$1,tabela_registros[DIA],juntotal3059718395[[#Headers],[19]],tabela_registros[REGISTRO],DADOS!$N$4,tabela_registros[TIPO],DADOS!$P$4,tabela_registros[CATEGORIA],despesavariávelconsolidadojun[[#This Row],[DESPESA VARIÁVEL]])</f>
        <v>0</v>
      </c>
      <c r="X72" s="91">
        <f>SUMIFS(tabela_registros[VALOR],tabela_registros[MÊS],$AE$1,tabela_registros[DIA],juntotal3059718395[[#Headers],[20]],tabela_registros[REGISTRO],DADOS!$N$4,tabela_registros[TIPO],DADOS!$P$4,tabela_registros[CATEGORIA],despesavariávelconsolidadojun[[#This Row],[DESPESA VARIÁVEL]])</f>
        <v>0</v>
      </c>
      <c r="Y72" s="91">
        <f>SUMIFS(tabela_registros[VALOR],tabela_registros[MÊS],$AE$1,tabela_registros[DIA],juntotal3059718395[[#Headers],[21]],tabela_registros[REGISTRO],DADOS!$N$4,tabela_registros[TIPO],DADOS!$P$4,tabela_registros[CATEGORIA],despesavariávelconsolidadojun[[#This Row],[DESPESA VARIÁVEL]])</f>
        <v>0</v>
      </c>
      <c r="Z72" s="91">
        <f>SUMIFS(tabela_registros[VALOR],tabela_registros[MÊS],$AE$1,tabela_registros[DIA],juntotal3059718395[[#Headers],[22]],tabela_registros[REGISTRO],DADOS!$N$4,tabela_registros[TIPO],DADOS!$P$4,tabela_registros[CATEGORIA],despesavariávelconsolidadojun[[#This Row],[DESPESA VARIÁVEL]])</f>
        <v>0</v>
      </c>
      <c r="AA72" s="91">
        <f>SUMIFS(tabela_registros[VALOR],tabela_registros[MÊS],$AE$1,tabela_registros[DIA],juntotal3059718395[[#Headers],[23]],tabela_registros[REGISTRO],DADOS!$N$4,tabela_registros[TIPO],DADOS!$P$4,tabela_registros[CATEGORIA],despesavariávelconsolidadojun[[#This Row],[DESPESA VARIÁVEL]])</f>
        <v>0</v>
      </c>
      <c r="AB72" s="91">
        <f>SUMIFS(tabela_registros[VALOR],tabela_registros[MÊS],$AE$1,tabela_registros[DIA],juntotal3059718395[[#Headers],[24]],tabela_registros[REGISTRO],DADOS!$N$4,tabela_registros[TIPO],DADOS!$P$4,tabela_registros[CATEGORIA],despesavariávelconsolidadojun[[#This Row],[DESPESA VARIÁVEL]])</f>
        <v>0</v>
      </c>
      <c r="AC72" s="91">
        <f>SUMIFS(tabela_registros[VALOR],tabela_registros[MÊS],$AE$1,tabela_registros[DIA],juntotal3059718395[[#Headers],[25]],tabela_registros[REGISTRO],DADOS!$N$4,tabela_registros[TIPO],DADOS!$P$4,tabela_registros[CATEGORIA],despesavariávelconsolidadojun[[#This Row],[DESPESA VARIÁVEL]])</f>
        <v>0</v>
      </c>
      <c r="AD72" s="91">
        <f>SUMIFS(tabela_registros[VALOR],tabela_registros[MÊS],$AE$1,tabela_registros[DIA],juntotal3059718395[[#Headers],[26]],tabela_registros[REGISTRO],DADOS!$N$4,tabela_registros[TIPO],DADOS!$P$4,tabela_registros[CATEGORIA],despesavariávelconsolidadojun[[#This Row],[DESPESA VARIÁVEL]])</f>
        <v>0</v>
      </c>
      <c r="AE72" s="91">
        <f>SUMIFS(tabela_registros[VALOR],tabela_registros[MÊS],$AE$1,tabela_registros[DIA],juntotal3059718395[[#Headers],[27]],tabela_registros[REGISTRO],DADOS!$N$4,tabela_registros[TIPO],DADOS!$P$4,tabela_registros[CATEGORIA],despesavariávelconsolidadojun[[#This Row],[DESPESA VARIÁVEL]])</f>
        <v>0</v>
      </c>
      <c r="AF72" s="91">
        <f>SUMIFS(tabela_registros[VALOR],tabela_registros[MÊS],$AE$1,tabela_registros[DIA],juntotal3059718395[[#Headers],[28]],tabela_registros[REGISTRO],DADOS!$N$4,tabela_registros[TIPO],DADOS!$P$4,tabela_registros[CATEGORIA],despesavariávelconsolidadojun[[#This Row],[DESPESA VARIÁVEL]])</f>
        <v>0</v>
      </c>
      <c r="AG72" s="91">
        <f>SUMIFS(tabela_registros[VALOR],tabela_registros[MÊS],$AE$1,tabela_registros[DIA],juntotal3059718395[[#Headers],[29]],tabela_registros[REGISTRO],DADOS!$N$4,tabela_registros[TIPO],DADOS!$P$4,tabela_registros[CATEGORIA],despesavariávelconsolidadojun[[#This Row],[DESPESA VARIÁVEL]])</f>
        <v>0</v>
      </c>
      <c r="AH72" s="91">
        <f>SUMIFS(tabela_registros[VALOR],tabela_registros[MÊS],$AE$1,tabela_registros[DIA],juntotal3059718395[[#Headers],[30]],tabela_registros[REGISTRO],DADOS!$N$4,tabela_registros[TIPO],DADOS!$P$4,tabela_registros[CATEGORIA],despesavariávelconsolidadojun[[#This Row],[DESPESA VARIÁVEL]])</f>
        <v>0</v>
      </c>
      <c r="AI72" s="102">
        <f>SUMIFS(tabela_registros[VALOR],tabela_registros[MÊS],$AE$1,tabela_registros[DIA],juntotal3059718395[[#Headers],[31]],tabela_registros[REGISTRO],DADOS!$N$4,tabela_registros[TIPO],DADOS!$P$4,tabela_registros[CATEGORIA],despesavariávelconsolidadojun[[#This Row],[DESPESA VARIÁVEL]])</f>
        <v>0</v>
      </c>
      <c r="AJ72" s="97">
        <f>SUM(despesavariávelconsolidadojun[[#This Row],[1]:[31]])</f>
        <v>0</v>
      </c>
      <c r="AK72" s="28"/>
    </row>
    <row r="73" spans="2:37" s="16" customFormat="1" ht="21" customHeight="1" thickTop="1" thickBot="1" x14ac:dyDescent="0.35">
      <c r="B73" s="24"/>
      <c r="C73" s="23" t="s">
        <v>19</v>
      </c>
      <c r="D73" s="41" t="str">
        <f>IF(despesavariávelconsolidadojun[[#This Row],[TOTAL]]=0,"",IF(OR(despesavariávelconsolidadojun[[#This Row],[TOTAL]]=SMALL(despesavariávelconsolidadojun[TOTAL],1),despesavariávelconsolidadojun[[#This Row],[TOTAL]]=SMALL(despesavariávelconsolidadojun[TOTAL],2),despesavariávelconsolidadojun[[#This Row],[TOTAL]]=SMALL(despesavariávelconsolidadojun[TOTAL],3),despesavariávelconsolidadojun[[#This Row],[TOTAL]]=SMALL(despesavariávelconsolidadojun[TOTAL],4),despesavariávelconsolidadojun[[#This Row],[TOTAL]]=SMALL(despesavariávelconsolidadojun[TOTAL],5)),DADOS!$I$8,""))</f>
        <v/>
      </c>
      <c r="E73" s="21">
        <f>SUM(E60:E72)</f>
        <v>0</v>
      </c>
      <c r="F73" s="20">
        <f>SUM(F60:F72)+despesavariávelconsolidadojun[[#This Row],[1]]</f>
        <v>0</v>
      </c>
      <c r="G73" s="20">
        <f>SUM(G60:G72)+despesavariávelconsolidadojun[[#This Row],[2]]</f>
        <v>0</v>
      </c>
      <c r="H73" s="20">
        <f>SUM(H60:H72)+despesavariávelconsolidadojun[[#This Row],[3]]</f>
        <v>0</v>
      </c>
      <c r="I73" s="20">
        <f>SUM(I60:I72)+despesavariávelconsolidadojun[[#This Row],[4]]</f>
        <v>0</v>
      </c>
      <c r="J73" s="20">
        <f>SUM(J60:J72)+despesavariávelconsolidadojun[[#This Row],[5]]</f>
        <v>0</v>
      </c>
      <c r="K73" s="20">
        <f>SUM(K60:K72)+despesavariávelconsolidadojun[[#This Row],[6]]</f>
        <v>0</v>
      </c>
      <c r="L73" s="20">
        <f>SUM(L60:L72)+despesavariávelconsolidadojun[[#This Row],[7]]</f>
        <v>0</v>
      </c>
      <c r="M73" s="20">
        <f>SUM(M60:M72)+despesavariávelconsolidadojun[[#This Row],[8]]</f>
        <v>0</v>
      </c>
      <c r="N73" s="20">
        <f>SUM(N60:N72)+despesavariávelconsolidadojun[[#This Row],[9]]</f>
        <v>0</v>
      </c>
      <c r="O73" s="20">
        <f>SUM(O60:O72)+despesavariávelconsolidadojun[[#This Row],[10]]</f>
        <v>0</v>
      </c>
      <c r="P73" s="20">
        <f>SUM(P60:P72)+despesavariávelconsolidadojun[[#This Row],[11]]</f>
        <v>0</v>
      </c>
      <c r="Q73" s="20">
        <f>SUM(Q60:Q72)+despesavariávelconsolidadojun[[#This Row],[12]]</f>
        <v>0</v>
      </c>
      <c r="R73" s="20">
        <f>SUM(R60:R72)+despesavariávelconsolidadojun[[#This Row],[13]]</f>
        <v>0</v>
      </c>
      <c r="S73" s="20">
        <f>SUM(S60:S72)+despesavariávelconsolidadojun[[#This Row],[14]]</f>
        <v>0</v>
      </c>
      <c r="T73" s="20">
        <f>SUM(T60:T72)+despesavariávelconsolidadojun[[#This Row],[15]]</f>
        <v>0</v>
      </c>
      <c r="U73" s="20">
        <f>SUM(U60:U72)+despesavariávelconsolidadojun[[#This Row],[16]]</f>
        <v>0</v>
      </c>
      <c r="V73" s="20">
        <f>SUM(V60:V72)+despesavariávelconsolidadojun[[#This Row],[17]]</f>
        <v>0</v>
      </c>
      <c r="W73" s="20">
        <f>SUM(W60:W72)+despesavariávelconsolidadojun[[#This Row],[18]]</f>
        <v>0</v>
      </c>
      <c r="X73" s="20">
        <f>SUM(X60:X72)+despesavariávelconsolidadojun[[#This Row],[19]]</f>
        <v>0</v>
      </c>
      <c r="Y73" s="20">
        <f>SUM(Y60:Y72)+despesavariávelconsolidadojun[[#This Row],[20]]</f>
        <v>0</v>
      </c>
      <c r="Z73" s="20">
        <f>SUM(Z60:Z72)+despesavariávelconsolidadojun[[#This Row],[21]]</f>
        <v>0</v>
      </c>
      <c r="AA73" s="20">
        <f>SUM(AA60:AA72)+despesavariávelconsolidadojun[[#This Row],[22]]</f>
        <v>0</v>
      </c>
      <c r="AB73" s="20">
        <f>SUM(AB60:AB72)+despesavariávelconsolidadojun[[#This Row],[23]]</f>
        <v>0</v>
      </c>
      <c r="AC73" s="20">
        <f>SUM(AC60:AC72)+despesavariávelconsolidadojun[[#This Row],[24]]</f>
        <v>0</v>
      </c>
      <c r="AD73" s="20">
        <f>SUM(AD60:AD72)+despesavariávelconsolidadojun[[#This Row],[25]]</f>
        <v>0</v>
      </c>
      <c r="AE73" s="20">
        <f>SUM(AE60:AE72)+despesavariávelconsolidadojun[[#This Row],[26]]</f>
        <v>0</v>
      </c>
      <c r="AF73" s="20">
        <f>SUM(AF60:AF72)+despesavariávelconsolidadojun[[#This Row],[27]]</f>
        <v>0</v>
      </c>
      <c r="AG73" s="20">
        <f>SUM(AG60:AG72)+despesavariávelconsolidadojun[[#This Row],[28]]</f>
        <v>0</v>
      </c>
      <c r="AH73" s="20">
        <f>SUM(AH60:AH72)+despesavariávelconsolidadojun[[#This Row],[29]]</f>
        <v>0</v>
      </c>
      <c r="AI73" s="19">
        <f>SUM(AI60:AI72)+despesavariávelconsolidadojun[[#This Row],[30]]</f>
        <v>0</v>
      </c>
      <c r="AJ73" s="18">
        <f>despesavariávelconsolidadojun[[#This Row],[31]]</f>
        <v>0</v>
      </c>
      <c r="AK73" s="17"/>
    </row>
    <row r="74" spans="2:37" ht="6.75" customHeight="1" thickTop="1" thickBot="1" x14ac:dyDescent="0.3">
      <c r="B74" s="15"/>
      <c r="C74" s="40"/>
      <c r="D74" s="39"/>
      <c r="E74" s="39"/>
      <c r="F74" s="39"/>
      <c r="G74" s="39"/>
      <c r="H74" s="39"/>
      <c r="I74" s="39"/>
      <c r="J74" s="39"/>
      <c r="K74" s="39"/>
      <c r="L74" s="39"/>
      <c r="M74" s="39"/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  <c r="AG74" s="39"/>
      <c r="AH74" s="39"/>
      <c r="AI74" s="38"/>
      <c r="AJ74" s="15"/>
      <c r="AK74" s="10"/>
    </row>
    <row r="75" spans="2:37" ht="12.6" thickTop="1" x14ac:dyDescent="0.25">
      <c r="E75" s="37"/>
      <c r="AI75" s="4"/>
    </row>
    <row r="76" spans="2:37" x14ac:dyDescent="0.25">
      <c r="AI76" s="4"/>
    </row>
    <row r="77" spans="2:37" x14ac:dyDescent="0.25">
      <c r="AI77" s="4"/>
    </row>
    <row r="78" spans="2:37" ht="39.75" customHeight="1" x14ac:dyDescent="0.7">
      <c r="C78" s="36"/>
      <c r="E78" s="240"/>
      <c r="F78" s="240"/>
      <c r="G78" s="240"/>
      <c r="H78" s="240"/>
      <c r="I78" s="240"/>
      <c r="J78" s="240"/>
      <c r="K78" s="240"/>
      <c r="L78" s="240"/>
      <c r="M78" s="240"/>
      <c r="N78" s="240"/>
      <c r="O78" s="240"/>
      <c r="P78" s="240"/>
      <c r="Q78" s="240"/>
      <c r="R78" s="240"/>
      <c r="S78" s="240"/>
      <c r="T78" s="240"/>
      <c r="U78" s="240"/>
      <c r="V78" s="240"/>
      <c r="W78" s="240"/>
      <c r="X78" s="240"/>
      <c r="Y78" s="240"/>
      <c r="Z78" s="240"/>
      <c r="AA78" s="240"/>
      <c r="AB78" s="240"/>
      <c r="AC78" s="240"/>
      <c r="AD78" s="240"/>
      <c r="AE78" s="240"/>
      <c r="AF78" s="240"/>
      <c r="AG78" s="240"/>
      <c r="AH78" s="240"/>
      <c r="AI78" s="240"/>
      <c r="AJ78" s="32" t="s">
        <v>19</v>
      </c>
    </row>
    <row r="79" spans="2:37" ht="12.6" thickBot="1" x14ac:dyDescent="0.3">
      <c r="B79" s="35"/>
      <c r="AI79" s="4"/>
      <c r="AJ79" s="34" t="s">
        <v>202</v>
      </c>
    </row>
    <row r="80" spans="2:37" ht="6.75" customHeight="1" thickTop="1" thickBot="1" x14ac:dyDescent="0.3">
      <c r="B80" s="2"/>
      <c r="C80" s="14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I80" s="13"/>
      <c r="AJ80" s="12"/>
      <c r="AK80" s="33"/>
    </row>
    <row r="81" spans="2:37" ht="13.2" hidden="1" thickTop="1" thickBot="1" x14ac:dyDescent="0.3">
      <c r="B81" s="2"/>
      <c r="C81" s="31" t="s">
        <v>199</v>
      </c>
      <c r="D81" s="30" t="s">
        <v>198</v>
      </c>
      <c r="E81" s="30" t="s">
        <v>197</v>
      </c>
      <c r="F81" s="30" t="s">
        <v>196</v>
      </c>
      <c r="G81" s="30" t="s">
        <v>195</v>
      </c>
      <c r="H81" s="30" t="s">
        <v>194</v>
      </c>
      <c r="I81" s="30" t="s">
        <v>193</v>
      </c>
      <c r="J81" s="30" t="s">
        <v>192</v>
      </c>
      <c r="K81" s="30" t="s">
        <v>191</v>
      </c>
      <c r="L81" s="30" t="s">
        <v>190</v>
      </c>
      <c r="M81" s="30" t="s">
        <v>189</v>
      </c>
      <c r="N81" s="30" t="s">
        <v>188</v>
      </c>
      <c r="O81" s="30" t="s">
        <v>187</v>
      </c>
      <c r="P81" s="30" t="s">
        <v>186</v>
      </c>
      <c r="Q81" s="30" t="s">
        <v>185</v>
      </c>
      <c r="R81" s="30" t="s">
        <v>184</v>
      </c>
      <c r="S81" s="30" t="s">
        <v>183</v>
      </c>
      <c r="T81" s="30" t="s">
        <v>182</v>
      </c>
      <c r="U81" s="30" t="s">
        <v>181</v>
      </c>
      <c r="V81" s="30" t="s">
        <v>180</v>
      </c>
      <c r="W81" s="30" t="s">
        <v>179</v>
      </c>
      <c r="X81" s="30" t="s">
        <v>178</v>
      </c>
      <c r="Y81" s="30" t="s">
        <v>177</v>
      </c>
      <c r="Z81" s="30" t="s">
        <v>176</v>
      </c>
      <c r="AA81" s="30" t="s">
        <v>175</v>
      </c>
      <c r="AB81" s="30" t="s">
        <v>174</v>
      </c>
      <c r="AC81" s="30" t="s">
        <v>173</v>
      </c>
      <c r="AD81" s="30" t="s">
        <v>172</v>
      </c>
      <c r="AE81" s="30" t="s">
        <v>171</v>
      </c>
      <c r="AF81" s="30" t="s">
        <v>170</v>
      </c>
      <c r="AG81" s="30" t="s">
        <v>169</v>
      </c>
      <c r="AH81" s="30" t="s">
        <v>168</v>
      </c>
      <c r="AI81" s="30" t="s">
        <v>167</v>
      </c>
      <c r="AJ81" s="29" t="s">
        <v>166</v>
      </c>
      <c r="AK81" s="2"/>
    </row>
    <row r="82" spans="2:37" ht="19.5" customHeight="1" thickTop="1" thickBot="1" x14ac:dyDescent="0.3">
      <c r="B82" s="28"/>
      <c r="C82" s="27" t="str">
        <f>DADOS!$X$3</f>
        <v>💵 ALUGUEL</v>
      </c>
      <c r="D82" s="26" t="str">
        <f>IF(receitasfixasconsolidadojun[[#This Row],[TOTAL (R$)]]=0,"",IF(OR(receitasfixasconsolidadojun[[#This Row],[TOTAL (R$)]]=LARGE($AJ$82:$AJ$86,1),receitasfixasconsolidadojun[[#This Row],[TOTAL (R$)]]=LARGE($AJ$82:$AJ$86,2)),DADOS!$I$9,""))</f>
        <v/>
      </c>
      <c r="E82" s="94">
        <f>SUMIFS(tabela_registros[VALOR],tabela_registros[MÊS],$AE$1,tabela_registros[DIA],receitasfixasconsolidadojun[[#Headers],[1]],tabela_registros[REGISTRO],DADOS!$N$3,tabela_registros[TIPO],DADOS!$V$3,tabela_registros[CATEGORIA],receitasfixasconsolidadojun[[#This Row],[ATUAL]])</f>
        <v>0</v>
      </c>
      <c r="F82" s="88">
        <f>SUMIFS(tabela_registros[VALOR],tabela_registros[MÊS],$AE$1,tabela_registros[DIA],receitasfixasconsolidadojun[[#Headers],[2]],tabela_registros[REGISTRO],DADOS!$N$3,tabela_registros[TIPO],DADOS!$V$3,tabela_registros[CATEGORIA],receitasfixasconsolidadojun[[#This Row],[ATUAL]])</f>
        <v>0</v>
      </c>
      <c r="G82" s="88">
        <f>SUMIFS(tabela_registros[VALOR],tabela_registros[MÊS],$AE$1,tabela_registros[DIA],receitasfixasconsolidadojun[[#Headers],[3]],tabela_registros[REGISTRO],DADOS!$N$3,tabela_registros[TIPO],DADOS!$V$3,tabela_registros[CATEGORIA],receitasfixasconsolidadojun[[#This Row],[ATUAL]])</f>
        <v>0</v>
      </c>
      <c r="H82" s="88">
        <f>SUMIFS(tabela_registros[VALOR],tabela_registros[MÊS],$AE$1,tabela_registros[DIA],receitasfixasconsolidadojun[[#Headers],[4]],tabela_registros[REGISTRO],DADOS!$N$3,tabela_registros[TIPO],DADOS!$V$3,tabela_registros[CATEGORIA],receitasfixasconsolidadojun[[#This Row],[ATUAL]])</f>
        <v>0</v>
      </c>
      <c r="I82" s="88">
        <f>SUMIFS(tabela_registros[VALOR],tabela_registros[MÊS],$AE$1,tabela_registros[DIA],receitasfixasconsolidadojun[[#Headers],[5]],tabela_registros[REGISTRO],DADOS!$N$3,tabela_registros[TIPO],DADOS!$V$3,tabela_registros[CATEGORIA],receitasfixasconsolidadojun[[#This Row],[ATUAL]])</f>
        <v>0</v>
      </c>
      <c r="J82" s="88">
        <f>SUMIFS(tabela_registros[VALOR],tabela_registros[MÊS],$AE$1,tabela_registros[DIA],receitasfixasconsolidadojun[[#Headers],[6]],tabela_registros[REGISTRO],DADOS!$N$3,tabela_registros[TIPO],DADOS!$V$3,tabela_registros[CATEGORIA],receitasfixasconsolidadojun[[#This Row],[ATUAL]])</f>
        <v>0</v>
      </c>
      <c r="K82" s="88">
        <f>SUMIFS(tabela_registros[VALOR],tabela_registros[MÊS],$AE$1,tabela_registros[DIA],receitasfixasconsolidadojun[[#Headers],[7]],tabela_registros[REGISTRO],DADOS!$N$3,tabela_registros[TIPO],DADOS!$V$3,tabela_registros[CATEGORIA],receitasfixasconsolidadojun[[#This Row],[ATUAL]])</f>
        <v>0</v>
      </c>
      <c r="L82" s="88">
        <f>SUMIFS(tabela_registros[VALOR],tabela_registros[MÊS],$AE$1,tabela_registros[DIA],receitasfixasconsolidadojun[[#Headers],[8]],tabela_registros[REGISTRO],DADOS!$N$3,tabela_registros[TIPO],DADOS!$V$3,tabela_registros[CATEGORIA],receitasfixasconsolidadojun[[#This Row],[ATUAL]])</f>
        <v>0</v>
      </c>
      <c r="M82" s="88">
        <f>SUMIFS(tabela_registros[VALOR],tabela_registros[MÊS],$AE$1,tabela_registros[DIA],receitasfixasconsolidadojun[[#Headers],[9]],tabela_registros[REGISTRO],DADOS!$N$3,tabela_registros[TIPO],DADOS!$V$3,tabela_registros[CATEGORIA],receitasfixasconsolidadojun[[#This Row],[ATUAL]])</f>
        <v>0</v>
      </c>
      <c r="N82" s="88">
        <f>SUMIFS(tabela_registros[VALOR],tabela_registros[MÊS],$AE$1,tabela_registros[DIA],receitasfixasconsolidadojun[[#Headers],[10]],tabela_registros[REGISTRO],DADOS!$N$3,tabela_registros[TIPO],DADOS!$V$3,tabela_registros[CATEGORIA],receitasfixasconsolidadojun[[#This Row],[ATUAL]])</f>
        <v>0</v>
      </c>
      <c r="O82" s="88">
        <f>SUMIFS(tabela_registros[VALOR],tabela_registros[MÊS],$AE$1,tabela_registros[DIA],receitasfixasconsolidadojun[[#Headers],[11]],tabela_registros[REGISTRO],DADOS!$N$3,tabela_registros[TIPO],DADOS!$V$3,tabela_registros[CATEGORIA],receitasfixasconsolidadojun[[#This Row],[ATUAL]])</f>
        <v>0</v>
      </c>
      <c r="P82" s="88">
        <f>SUMIFS(tabela_registros[VALOR],tabela_registros[MÊS],$AE$1,tabela_registros[DIA],receitasfixasconsolidadojun[[#Headers],[12]],tabela_registros[REGISTRO],DADOS!$N$3,tabela_registros[TIPO],DADOS!$V$3,tabela_registros[CATEGORIA],receitasfixasconsolidadojun[[#This Row],[ATUAL]])</f>
        <v>0</v>
      </c>
      <c r="Q82" s="88">
        <f>SUMIFS(tabela_registros[VALOR],tabela_registros[MÊS],$AE$1,tabela_registros[DIA],receitasfixasconsolidadojun[[#Headers],[13]],tabela_registros[REGISTRO],DADOS!$N$3,tabela_registros[TIPO],DADOS!$V$3,tabela_registros[CATEGORIA],receitasfixasconsolidadojun[[#This Row],[ATUAL]])</f>
        <v>0</v>
      </c>
      <c r="R82" s="88">
        <f>SUMIFS(tabela_registros[VALOR],tabela_registros[MÊS],$AE$1,tabela_registros[DIA],receitasfixasconsolidadojun[[#Headers],[14]],tabela_registros[REGISTRO],DADOS!$N$3,tabela_registros[TIPO],DADOS!$V$3,tabela_registros[CATEGORIA],receitasfixasconsolidadojun[[#This Row],[ATUAL]])</f>
        <v>0</v>
      </c>
      <c r="S82" s="88">
        <f>SUMIFS(tabela_registros[VALOR],tabela_registros[MÊS],$AE$1,tabela_registros[DIA],receitasfixasconsolidadojun[[#Headers],[15]],tabela_registros[REGISTRO],DADOS!$N$3,tabela_registros[TIPO],DADOS!$V$3,tabela_registros[CATEGORIA],receitasfixasconsolidadojun[[#This Row],[ATUAL]])</f>
        <v>0</v>
      </c>
      <c r="T82" s="88">
        <f>SUMIFS(tabela_registros[VALOR],tabela_registros[MÊS],$AE$1,tabela_registros[DIA],receitasfixasconsolidadojun[[#Headers],[16]],tabela_registros[REGISTRO],DADOS!$N$3,tabela_registros[TIPO],DADOS!$V$3,tabela_registros[CATEGORIA],receitasfixasconsolidadojun[[#This Row],[ATUAL]])</f>
        <v>0</v>
      </c>
      <c r="U82" s="88">
        <f>SUMIFS(tabela_registros[VALOR],tabela_registros[MÊS],$AE$1,tabela_registros[DIA],receitasfixasconsolidadojun[[#Headers],[17]],tabela_registros[REGISTRO],DADOS!$N$3,tabela_registros[TIPO],DADOS!$V$3,tabela_registros[CATEGORIA],receitasfixasconsolidadojun[[#This Row],[ATUAL]])</f>
        <v>0</v>
      </c>
      <c r="V82" s="88">
        <f>SUMIFS(tabela_registros[VALOR],tabela_registros[MÊS],$AE$1,tabela_registros[DIA],receitasfixasconsolidadojun[[#Headers],[18]],tabela_registros[REGISTRO],DADOS!$N$3,tabela_registros[TIPO],DADOS!$V$3,tabela_registros[CATEGORIA],receitasfixasconsolidadojun[[#This Row],[ATUAL]])</f>
        <v>0</v>
      </c>
      <c r="W82" s="88">
        <f>SUMIFS(tabela_registros[VALOR],tabela_registros[MÊS],$AE$1,tabela_registros[DIA],receitasfixasconsolidadojun[[#Headers],[19]],tabela_registros[REGISTRO],DADOS!$N$3,tabela_registros[TIPO],DADOS!$V$3,tabela_registros[CATEGORIA],receitasfixasconsolidadojun[[#This Row],[ATUAL]])</f>
        <v>0</v>
      </c>
      <c r="X82" s="88">
        <f>SUMIFS(tabela_registros[VALOR],tabela_registros[MÊS],$AE$1,tabela_registros[DIA],receitasfixasconsolidadojun[[#Headers],[20]],tabela_registros[REGISTRO],DADOS!$N$3,tabela_registros[TIPO],DADOS!$V$3,tabela_registros[CATEGORIA],receitasfixasconsolidadojun[[#This Row],[ATUAL]])</f>
        <v>0</v>
      </c>
      <c r="Y82" s="88">
        <f>SUMIFS(tabela_registros[VALOR],tabela_registros[MÊS],$AE$1,tabela_registros[DIA],receitasfixasconsolidadojun[[#Headers],[21]],tabela_registros[REGISTRO],DADOS!$N$3,tabela_registros[TIPO],DADOS!$V$3,tabela_registros[CATEGORIA],receitasfixasconsolidadojun[[#This Row],[ATUAL]])</f>
        <v>0</v>
      </c>
      <c r="Z82" s="88">
        <f>SUMIFS(tabela_registros[VALOR],tabela_registros[MÊS],$AE$1,tabela_registros[DIA],receitasfixasconsolidadojun[[#Headers],[22]],tabela_registros[REGISTRO],DADOS!$N$3,tabela_registros[TIPO],DADOS!$V$3,tabela_registros[CATEGORIA],receitasfixasconsolidadojun[[#This Row],[ATUAL]])</f>
        <v>0</v>
      </c>
      <c r="AA82" s="88">
        <f>SUMIFS(tabela_registros[VALOR],tabela_registros[MÊS],$AE$1,tabela_registros[DIA],receitasfixasconsolidadojun[[#Headers],[23]],tabela_registros[REGISTRO],DADOS!$N$3,tabela_registros[TIPO],DADOS!$V$3,tabela_registros[CATEGORIA],receitasfixasconsolidadojun[[#This Row],[ATUAL]])</f>
        <v>0</v>
      </c>
      <c r="AB82" s="88">
        <f>SUMIFS(tabela_registros[VALOR],tabela_registros[MÊS],$AE$1,tabela_registros[DIA],receitasfixasconsolidadojun[[#Headers],[24]],tabela_registros[REGISTRO],DADOS!$N$3,tabela_registros[TIPO],DADOS!$V$3,tabela_registros[CATEGORIA],receitasfixasconsolidadojun[[#This Row],[ATUAL]])</f>
        <v>0</v>
      </c>
      <c r="AC82" s="88">
        <f>SUMIFS(tabela_registros[VALOR],tabela_registros[MÊS],$AE$1,tabela_registros[DIA],receitasfixasconsolidadojun[[#Headers],[25]],tabela_registros[REGISTRO],DADOS!$N$3,tabela_registros[TIPO],DADOS!$V$3,tabela_registros[CATEGORIA],receitasfixasconsolidadojun[[#This Row],[ATUAL]])</f>
        <v>0</v>
      </c>
      <c r="AD82" s="88">
        <f>SUMIFS(tabela_registros[VALOR],tabela_registros[MÊS],$AE$1,tabela_registros[DIA],receitasfixasconsolidadojun[[#Headers],[26]],tabela_registros[REGISTRO],DADOS!$N$3,tabela_registros[TIPO],DADOS!$V$3,tabela_registros[CATEGORIA],receitasfixasconsolidadojun[[#This Row],[ATUAL]])</f>
        <v>0</v>
      </c>
      <c r="AE82" s="88">
        <f>SUMIFS(tabela_registros[VALOR],tabela_registros[MÊS],$AE$1,tabela_registros[DIA],receitasfixasconsolidadojun[[#Headers],[27]],tabela_registros[REGISTRO],DADOS!$N$3,tabela_registros[TIPO],DADOS!$V$3,tabela_registros[CATEGORIA],receitasfixasconsolidadojun[[#This Row],[ATUAL]])</f>
        <v>0</v>
      </c>
      <c r="AF82" s="88">
        <f>SUMIFS(tabela_registros[VALOR],tabela_registros[MÊS],$AE$1,tabela_registros[DIA],receitasfixasconsolidadojun[[#Headers],[28]],tabela_registros[REGISTRO],DADOS!$N$3,tabela_registros[TIPO],DADOS!$V$3,tabela_registros[CATEGORIA],receitasfixasconsolidadojun[[#This Row],[ATUAL]])</f>
        <v>0</v>
      </c>
      <c r="AG82" s="88">
        <f>SUMIFS(tabela_registros[VALOR],tabela_registros[MÊS],$AE$1,tabela_registros[DIA],receitasfixasconsolidadojun[[#Headers],[29]],tabela_registros[REGISTRO],DADOS!$N$3,tabela_registros[TIPO],DADOS!$V$3,tabela_registros[CATEGORIA],receitasfixasconsolidadojun[[#This Row],[ATUAL]])</f>
        <v>0</v>
      </c>
      <c r="AH82" s="88">
        <f>SUMIFS(tabela_registros[VALOR],tabela_registros[MÊS],$AE$1,tabela_registros[DIA],receitasfixasconsolidadojun[[#Headers],[30]],tabela_registros[REGISTRO],DADOS!$N$3,tabela_registros[TIPO],DADOS!$V$3,tabela_registros[CATEGORIA],receitasfixasconsolidadojun[[#This Row],[ATUAL]])</f>
        <v>0</v>
      </c>
      <c r="AI82" s="100">
        <f>SUMIFS(tabela_registros[VALOR],tabela_registros[MÊS],$AE$1,tabela_registros[DIA],receitasfixasconsolidadojun[[#Headers],[31]],tabela_registros[REGISTRO],DADOS!$N$3,tabela_registros[TIPO],DADOS!$V$3,tabela_registros[CATEGORIA],receitasfixasconsolidadojun[[#This Row],[ATUAL]])</f>
        <v>0</v>
      </c>
      <c r="AJ82" s="97">
        <f>SUM(receitasfixasconsolidadojun[[#This Row],[1]:[31]])</f>
        <v>0</v>
      </c>
      <c r="AK82" s="25"/>
    </row>
    <row r="83" spans="2:37" ht="19.5" customHeight="1" thickTop="1" thickBot="1" x14ac:dyDescent="0.3">
      <c r="B83" s="28"/>
      <c r="C83" s="27" t="str">
        <f>DADOS!$X$4</f>
        <v>💸APOSENTADORIA</v>
      </c>
      <c r="D83" s="26" t="str">
        <f>IF(receitasfixasconsolidadojun[[#This Row],[TOTAL (R$)]]=0,"",IF(OR(receitasfixasconsolidadojun[[#This Row],[TOTAL (R$)]]=LARGE($AJ$82:$AJ$86,1),receitasfixasconsolidadojun[[#This Row],[TOTAL (R$)]]=LARGE($AJ$82:$AJ$86,2)),DADOS!$I$9,""))</f>
        <v/>
      </c>
      <c r="E83" s="96">
        <f>SUMIFS(tabela_registros[VALOR],tabela_registros[MÊS],$AE$1,tabela_registros[DIA],receitasfixasconsolidadojun[[#Headers],[1]],tabela_registros[REGISTRO],DADOS!$N$3,tabela_registros[TIPO],DADOS!$V$3,tabela_registros[CATEGORIA],receitasfixasconsolidadojun[[#This Row],[ATUAL]])</f>
        <v>0</v>
      </c>
      <c r="F83" s="91">
        <f>SUMIFS(tabela_registros[VALOR],tabela_registros[MÊS],$AE$1,tabela_registros[DIA],receitasfixasconsolidadojun[[#Headers],[2]],tabela_registros[REGISTRO],DADOS!$N$3,tabela_registros[TIPO],DADOS!$V$3,tabela_registros[CATEGORIA],receitasfixasconsolidadojun[[#This Row],[ATUAL]])</f>
        <v>0</v>
      </c>
      <c r="G83" s="91">
        <f>SUMIFS(tabela_registros[VALOR],tabela_registros[MÊS],$AE$1,tabela_registros[DIA],receitasfixasconsolidadojun[[#Headers],[3]],tabela_registros[REGISTRO],DADOS!$N$3,tabela_registros[TIPO],DADOS!$V$3,tabela_registros[CATEGORIA],receitasfixasconsolidadojun[[#This Row],[ATUAL]])</f>
        <v>0</v>
      </c>
      <c r="H83" s="91">
        <f>SUMIFS(tabela_registros[VALOR],tabela_registros[MÊS],$AE$1,tabela_registros[DIA],receitasfixasconsolidadojun[[#Headers],[4]],tabela_registros[REGISTRO],DADOS!$N$3,tabela_registros[TIPO],DADOS!$V$3,tabela_registros[CATEGORIA],receitasfixasconsolidadojun[[#This Row],[ATUAL]])</f>
        <v>0</v>
      </c>
      <c r="I83" s="91">
        <f>SUMIFS(tabela_registros[VALOR],tabela_registros[MÊS],$AE$1,tabela_registros[DIA],receitasfixasconsolidadojun[[#Headers],[5]],tabela_registros[REGISTRO],DADOS!$N$3,tabela_registros[TIPO],DADOS!$V$3,tabela_registros[CATEGORIA],receitasfixasconsolidadojun[[#This Row],[ATUAL]])</f>
        <v>0</v>
      </c>
      <c r="J83" s="91">
        <f>SUMIFS(tabela_registros[VALOR],tabela_registros[MÊS],$AE$1,tabela_registros[DIA],receitasfixasconsolidadojun[[#Headers],[6]],tabela_registros[REGISTRO],DADOS!$N$3,tabela_registros[TIPO],DADOS!$V$3,tabela_registros[CATEGORIA],receitasfixasconsolidadojun[[#This Row],[ATUAL]])</f>
        <v>0</v>
      </c>
      <c r="K83" s="91">
        <f>SUMIFS(tabela_registros[VALOR],tabela_registros[MÊS],$AE$1,tabela_registros[DIA],receitasfixasconsolidadojun[[#Headers],[7]],tabela_registros[REGISTRO],DADOS!$N$3,tabela_registros[TIPO],DADOS!$V$3,tabela_registros[CATEGORIA],receitasfixasconsolidadojun[[#This Row],[ATUAL]])</f>
        <v>0</v>
      </c>
      <c r="L83" s="91">
        <f>SUMIFS(tabela_registros[VALOR],tabela_registros[MÊS],$AE$1,tabela_registros[DIA],receitasfixasconsolidadojun[[#Headers],[8]],tabela_registros[REGISTRO],DADOS!$N$3,tabela_registros[TIPO],DADOS!$V$3,tabela_registros[CATEGORIA],receitasfixasconsolidadojun[[#This Row],[ATUAL]])</f>
        <v>0</v>
      </c>
      <c r="M83" s="91">
        <f>SUMIFS(tabela_registros[VALOR],tabela_registros[MÊS],$AE$1,tabela_registros[DIA],receitasfixasconsolidadojun[[#Headers],[9]],tabela_registros[REGISTRO],DADOS!$N$3,tabela_registros[TIPO],DADOS!$V$3,tabela_registros[CATEGORIA],receitasfixasconsolidadojun[[#This Row],[ATUAL]])</f>
        <v>0</v>
      </c>
      <c r="N83" s="91">
        <f>SUMIFS(tabela_registros[VALOR],tabela_registros[MÊS],$AE$1,tabela_registros[DIA],receitasfixasconsolidadojun[[#Headers],[10]],tabela_registros[REGISTRO],DADOS!$N$3,tabela_registros[TIPO],DADOS!$V$3,tabela_registros[CATEGORIA],receitasfixasconsolidadojun[[#This Row],[ATUAL]])</f>
        <v>0</v>
      </c>
      <c r="O83" s="91">
        <f>SUMIFS(tabela_registros[VALOR],tabela_registros[MÊS],$AE$1,tabela_registros[DIA],receitasfixasconsolidadojun[[#Headers],[11]],tabela_registros[REGISTRO],DADOS!$N$3,tabela_registros[TIPO],DADOS!$V$3,tabela_registros[CATEGORIA],receitasfixasconsolidadojun[[#This Row],[ATUAL]])</f>
        <v>0</v>
      </c>
      <c r="P83" s="91">
        <f>SUMIFS(tabela_registros[VALOR],tabela_registros[MÊS],$AE$1,tabela_registros[DIA],receitasfixasconsolidadojun[[#Headers],[12]],tabela_registros[REGISTRO],DADOS!$N$3,tabela_registros[TIPO],DADOS!$V$3,tabela_registros[CATEGORIA],receitasfixasconsolidadojun[[#This Row],[ATUAL]])</f>
        <v>0</v>
      </c>
      <c r="Q83" s="91">
        <f>SUMIFS(tabela_registros[VALOR],tabela_registros[MÊS],$AE$1,tabela_registros[DIA],receitasfixasconsolidadojun[[#Headers],[13]],tabela_registros[REGISTRO],DADOS!$N$3,tabela_registros[TIPO],DADOS!$V$3,tabela_registros[CATEGORIA],receitasfixasconsolidadojun[[#This Row],[ATUAL]])</f>
        <v>0</v>
      </c>
      <c r="R83" s="91">
        <f>SUMIFS(tabela_registros[VALOR],tabela_registros[MÊS],$AE$1,tabela_registros[DIA],receitasfixasconsolidadojun[[#Headers],[14]],tabela_registros[REGISTRO],DADOS!$N$3,tabela_registros[TIPO],DADOS!$V$3,tabela_registros[CATEGORIA],receitasfixasconsolidadojun[[#This Row],[ATUAL]])</f>
        <v>0</v>
      </c>
      <c r="S83" s="91">
        <f>SUMIFS(tabela_registros[VALOR],tabela_registros[MÊS],$AE$1,tabela_registros[DIA],receitasfixasconsolidadojun[[#Headers],[15]],tabela_registros[REGISTRO],DADOS!$N$3,tabela_registros[TIPO],DADOS!$V$3,tabela_registros[CATEGORIA],receitasfixasconsolidadojun[[#This Row],[ATUAL]])</f>
        <v>0</v>
      </c>
      <c r="T83" s="91">
        <f>SUMIFS(tabela_registros[VALOR],tabela_registros[MÊS],$AE$1,tabela_registros[DIA],receitasfixasconsolidadojun[[#Headers],[16]],tabela_registros[REGISTRO],DADOS!$N$3,tabela_registros[TIPO],DADOS!$V$3,tabela_registros[CATEGORIA],receitasfixasconsolidadojun[[#This Row],[ATUAL]])</f>
        <v>0</v>
      </c>
      <c r="U83" s="91">
        <f>SUMIFS(tabela_registros[VALOR],tabela_registros[MÊS],$AE$1,tabela_registros[DIA],receitasfixasconsolidadojun[[#Headers],[17]],tabela_registros[REGISTRO],DADOS!$N$3,tabela_registros[TIPO],DADOS!$V$3,tabela_registros[CATEGORIA],receitasfixasconsolidadojun[[#This Row],[ATUAL]])</f>
        <v>0</v>
      </c>
      <c r="V83" s="91">
        <f>SUMIFS(tabela_registros[VALOR],tabela_registros[MÊS],$AE$1,tabela_registros[DIA],receitasfixasconsolidadojun[[#Headers],[18]],tabela_registros[REGISTRO],DADOS!$N$3,tabela_registros[TIPO],DADOS!$V$3,tabela_registros[CATEGORIA],receitasfixasconsolidadojun[[#This Row],[ATUAL]])</f>
        <v>0</v>
      </c>
      <c r="W83" s="91">
        <f>SUMIFS(tabela_registros[VALOR],tabela_registros[MÊS],$AE$1,tabela_registros[DIA],receitasfixasconsolidadojun[[#Headers],[19]],tabela_registros[REGISTRO],DADOS!$N$3,tabela_registros[TIPO],DADOS!$V$3,tabela_registros[CATEGORIA],receitasfixasconsolidadojun[[#This Row],[ATUAL]])</f>
        <v>0</v>
      </c>
      <c r="X83" s="91">
        <f>SUMIFS(tabela_registros[VALOR],tabela_registros[MÊS],$AE$1,tabela_registros[DIA],receitasfixasconsolidadojun[[#Headers],[20]],tabela_registros[REGISTRO],DADOS!$N$3,tabela_registros[TIPO],DADOS!$V$3,tabela_registros[CATEGORIA],receitasfixasconsolidadojun[[#This Row],[ATUAL]])</f>
        <v>0</v>
      </c>
      <c r="Y83" s="91">
        <f>SUMIFS(tabela_registros[VALOR],tabela_registros[MÊS],$AE$1,tabela_registros[DIA],receitasfixasconsolidadojun[[#Headers],[21]],tabela_registros[REGISTRO],DADOS!$N$3,tabela_registros[TIPO],DADOS!$V$3,tabela_registros[CATEGORIA],receitasfixasconsolidadojun[[#This Row],[ATUAL]])</f>
        <v>0</v>
      </c>
      <c r="Z83" s="91">
        <f>SUMIFS(tabela_registros[VALOR],tabela_registros[MÊS],$AE$1,tabela_registros[DIA],receitasfixasconsolidadojun[[#Headers],[22]],tabela_registros[REGISTRO],DADOS!$N$3,tabela_registros[TIPO],DADOS!$V$3,tabela_registros[CATEGORIA],receitasfixasconsolidadojun[[#This Row],[ATUAL]])</f>
        <v>0</v>
      </c>
      <c r="AA83" s="91">
        <f>SUMIFS(tabela_registros[VALOR],tabela_registros[MÊS],$AE$1,tabela_registros[DIA],receitasfixasconsolidadojun[[#Headers],[23]],tabela_registros[REGISTRO],DADOS!$N$3,tabela_registros[TIPO],DADOS!$V$3,tabela_registros[CATEGORIA],receitasfixasconsolidadojun[[#This Row],[ATUAL]])</f>
        <v>0</v>
      </c>
      <c r="AB83" s="91">
        <f>SUMIFS(tabela_registros[VALOR],tabela_registros[MÊS],$AE$1,tabela_registros[DIA],receitasfixasconsolidadojun[[#Headers],[24]],tabela_registros[REGISTRO],DADOS!$N$3,tabela_registros[TIPO],DADOS!$V$3,tabela_registros[CATEGORIA],receitasfixasconsolidadojun[[#This Row],[ATUAL]])</f>
        <v>0</v>
      </c>
      <c r="AC83" s="91">
        <f>SUMIFS(tabela_registros[VALOR],tabela_registros[MÊS],$AE$1,tabela_registros[DIA],receitasfixasconsolidadojun[[#Headers],[25]],tabela_registros[REGISTRO],DADOS!$N$3,tabela_registros[TIPO],DADOS!$V$3,tabela_registros[CATEGORIA],receitasfixasconsolidadojun[[#This Row],[ATUAL]])</f>
        <v>0</v>
      </c>
      <c r="AD83" s="91">
        <f>SUMIFS(tabela_registros[VALOR],tabela_registros[MÊS],$AE$1,tabela_registros[DIA],receitasfixasconsolidadojun[[#Headers],[26]],tabela_registros[REGISTRO],DADOS!$N$3,tabela_registros[TIPO],DADOS!$V$3,tabela_registros[CATEGORIA],receitasfixasconsolidadojun[[#This Row],[ATUAL]])</f>
        <v>0</v>
      </c>
      <c r="AE83" s="91">
        <f>SUMIFS(tabela_registros[VALOR],tabela_registros[MÊS],$AE$1,tabela_registros[DIA],receitasfixasconsolidadojun[[#Headers],[27]],tabela_registros[REGISTRO],DADOS!$N$3,tabela_registros[TIPO],DADOS!$V$3,tabela_registros[CATEGORIA],receitasfixasconsolidadojun[[#This Row],[ATUAL]])</f>
        <v>0</v>
      </c>
      <c r="AF83" s="91">
        <f>SUMIFS(tabela_registros[VALOR],tabela_registros[MÊS],$AE$1,tabela_registros[DIA],receitasfixasconsolidadojun[[#Headers],[28]],tabela_registros[REGISTRO],DADOS!$N$3,tabela_registros[TIPO],DADOS!$V$3,tabela_registros[CATEGORIA],receitasfixasconsolidadojun[[#This Row],[ATUAL]])</f>
        <v>0</v>
      </c>
      <c r="AG83" s="91">
        <f>SUMIFS(tabela_registros[VALOR],tabela_registros[MÊS],$AE$1,tabela_registros[DIA],receitasfixasconsolidadojun[[#Headers],[29]],tabela_registros[REGISTRO],DADOS!$N$3,tabela_registros[TIPO],DADOS!$V$3,tabela_registros[CATEGORIA],receitasfixasconsolidadojun[[#This Row],[ATUAL]])</f>
        <v>0</v>
      </c>
      <c r="AH83" s="91">
        <f>SUMIFS(tabela_registros[VALOR],tabela_registros[MÊS],$AE$1,tabela_registros[DIA],receitasfixasconsolidadojun[[#Headers],[30]],tabela_registros[REGISTRO],DADOS!$N$3,tabela_registros[TIPO],DADOS!$V$3,tabela_registros[CATEGORIA],receitasfixasconsolidadojun[[#This Row],[ATUAL]])</f>
        <v>0</v>
      </c>
      <c r="AI83" s="101">
        <f>SUMIFS(tabela_registros[VALOR],tabela_registros[MÊS],$AE$1,tabela_registros[DIA],receitasfixasconsolidadojun[[#Headers],[31]],tabela_registros[REGISTRO],DADOS!$N$3,tabela_registros[TIPO],DADOS!$V$3,tabela_registros[CATEGORIA],receitasfixasconsolidadojun[[#This Row],[ATUAL]])</f>
        <v>0</v>
      </c>
      <c r="AJ83" s="97">
        <f>SUM(receitasfixasconsolidadojun[[#This Row],[1]:[31]])</f>
        <v>0</v>
      </c>
      <c r="AK83" s="25"/>
    </row>
    <row r="84" spans="2:37" ht="19.5" customHeight="1" thickTop="1" thickBot="1" x14ac:dyDescent="0.3">
      <c r="B84" s="28"/>
      <c r="C84" s="27" t="str">
        <f>DADOS!$X$5</f>
        <v>🎀 MESADA</v>
      </c>
      <c r="D84" s="26" t="str">
        <f>IF(receitasfixasconsolidadojun[[#This Row],[TOTAL (R$)]]=0,"",IF(OR(receitasfixasconsolidadojun[[#This Row],[TOTAL (R$)]]=LARGE($AJ$82:$AJ$86,1),receitasfixasconsolidadojun[[#This Row],[TOTAL (R$)]]=LARGE($AJ$82:$AJ$86,2)),DADOS!$I$9,""))</f>
        <v/>
      </c>
      <c r="E84" s="96">
        <f>SUMIFS(tabela_registros[VALOR],tabela_registros[MÊS],$AE$1,tabela_registros[DIA],receitasfixasconsolidadojun[[#Headers],[1]],tabela_registros[REGISTRO],DADOS!$N$3,tabela_registros[TIPO],DADOS!$V$3,tabela_registros[CATEGORIA],receitasfixasconsolidadojun[[#This Row],[ATUAL]])</f>
        <v>0</v>
      </c>
      <c r="F84" s="91">
        <f>SUMIFS(tabela_registros[VALOR],tabela_registros[MÊS],$AE$1,tabela_registros[DIA],receitasfixasconsolidadojun[[#Headers],[2]],tabela_registros[REGISTRO],DADOS!$N$3,tabela_registros[TIPO],DADOS!$V$3,tabela_registros[CATEGORIA],receitasfixasconsolidadojun[[#This Row],[ATUAL]])</f>
        <v>0</v>
      </c>
      <c r="G84" s="91">
        <f>SUMIFS(tabela_registros[VALOR],tabela_registros[MÊS],$AE$1,tabela_registros[DIA],receitasfixasconsolidadojun[[#Headers],[3]],tabela_registros[REGISTRO],DADOS!$N$3,tabela_registros[TIPO],DADOS!$V$3,tabela_registros[CATEGORIA],receitasfixasconsolidadojun[[#This Row],[ATUAL]])</f>
        <v>0</v>
      </c>
      <c r="H84" s="91">
        <f>SUMIFS(tabela_registros[VALOR],tabela_registros[MÊS],$AE$1,tabela_registros[DIA],receitasfixasconsolidadojun[[#Headers],[4]],tabela_registros[REGISTRO],DADOS!$N$3,tabela_registros[TIPO],DADOS!$V$3,tabela_registros[CATEGORIA],receitasfixasconsolidadojun[[#This Row],[ATUAL]])</f>
        <v>0</v>
      </c>
      <c r="I84" s="91">
        <f>SUMIFS(tabela_registros[VALOR],tabela_registros[MÊS],$AE$1,tabela_registros[DIA],receitasfixasconsolidadojun[[#Headers],[5]],tabela_registros[REGISTRO],DADOS!$N$3,tabela_registros[TIPO],DADOS!$V$3,tabela_registros[CATEGORIA],receitasfixasconsolidadojun[[#This Row],[ATUAL]])</f>
        <v>0</v>
      </c>
      <c r="J84" s="91">
        <f>SUMIFS(tabela_registros[VALOR],tabela_registros[MÊS],$AE$1,tabela_registros[DIA],receitasfixasconsolidadojun[[#Headers],[6]],tabela_registros[REGISTRO],DADOS!$N$3,tabela_registros[TIPO],DADOS!$V$3,tabela_registros[CATEGORIA],receitasfixasconsolidadojun[[#This Row],[ATUAL]])</f>
        <v>0</v>
      </c>
      <c r="K84" s="91">
        <f>SUMIFS(tabela_registros[VALOR],tabela_registros[MÊS],$AE$1,tabela_registros[DIA],receitasfixasconsolidadojun[[#Headers],[7]],tabela_registros[REGISTRO],DADOS!$N$3,tabela_registros[TIPO],DADOS!$V$3,tabela_registros[CATEGORIA],receitasfixasconsolidadojun[[#This Row],[ATUAL]])</f>
        <v>0</v>
      </c>
      <c r="L84" s="91">
        <f>SUMIFS(tabela_registros[VALOR],tabela_registros[MÊS],$AE$1,tabela_registros[DIA],receitasfixasconsolidadojun[[#Headers],[8]],tabela_registros[REGISTRO],DADOS!$N$3,tabela_registros[TIPO],DADOS!$V$3,tabela_registros[CATEGORIA],receitasfixasconsolidadojun[[#This Row],[ATUAL]])</f>
        <v>0</v>
      </c>
      <c r="M84" s="91">
        <f>SUMIFS(tabela_registros[VALOR],tabela_registros[MÊS],$AE$1,tabela_registros[DIA],receitasfixasconsolidadojun[[#Headers],[9]],tabela_registros[REGISTRO],DADOS!$N$3,tabela_registros[TIPO],DADOS!$V$3,tabela_registros[CATEGORIA],receitasfixasconsolidadojun[[#This Row],[ATUAL]])</f>
        <v>0</v>
      </c>
      <c r="N84" s="91">
        <f>SUMIFS(tabela_registros[VALOR],tabela_registros[MÊS],$AE$1,tabela_registros[DIA],receitasfixasconsolidadojun[[#Headers],[10]],tabela_registros[REGISTRO],DADOS!$N$3,tabela_registros[TIPO],DADOS!$V$3,tabela_registros[CATEGORIA],receitasfixasconsolidadojun[[#This Row],[ATUAL]])</f>
        <v>0</v>
      </c>
      <c r="O84" s="91">
        <f>SUMIFS(tabela_registros[VALOR],tabela_registros[MÊS],$AE$1,tabela_registros[DIA],receitasfixasconsolidadojun[[#Headers],[11]],tabela_registros[REGISTRO],DADOS!$N$3,tabela_registros[TIPO],DADOS!$V$3,tabela_registros[CATEGORIA],receitasfixasconsolidadojun[[#This Row],[ATUAL]])</f>
        <v>0</v>
      </c>
      <c r="P84" s="91">
        <f>SUMIFS(tabela_registros[VALOR],tabela_registros[MÊS],$AE$1,tabela_registros[DIA],receitasfixasconsolidadojun[[#Headers],[12]],tabela_registros[REGISTRO],DADOS!$N$3,tabela_registros[TIPO],DADOS!$V$3,tabela_registros[CATEGORIA],receitasfixasconsolidadojun[[#This Row],[ATUAL]])</f>
        <v>0</v>
      </c>
      <c r="Q84" s="91">
        <f>SUMIFS(tabela_registros[VALOR],tabela_registros[MÊS],$AE$1,tabela_registros[DIA],receitasfixasconsolidadojun[[#Headers],[13]],tabela_registros[REGISTRO],DADOS!$N$3,tabela_registros[TIPO],DADOS!$V$3,tabela_registros[CATEGORIA],receitasfixasconsolidadojun[[#This Row],[ATUAL]])</f>
        <v>0</v>
      </c>
      <c r="R84" s="91">
        <f>SUMIFS(tabela_registros[VALOR],tabela_registros[MÊS],$AE$1,tabela_registros[DIA],receitasfixasconsolidadojun[[#Headers],[14]],tabela_registros[REGISTRO],DADOS!$N$3,tabela_registros[TIPO],DADOS!$V$3,tabela_registros[CATEGORIA],receitasfixasconsolidadojun[[#This Row],[ATUAL]])</f>
        <v>0</v>
      </c>
      <c r="S84" s="91">
        <f>SUMIFS(tabela_registros[VALOR],tabela_registros[MÊS],$AE$1,tabela_registros[DIA],receitasfixasconsolidadojun[[#Headers],[15]],tabela_registros[REGISTRO],DADOS!$N$3,tabela_registros[TIPO],DADOS!$V$3,tabela_registros[CATEGORIA],receitasfixasconsolidadojun[[#This Row],[ATUAL]])</f>
        <v>0</v>
      </c>
      <c r="T84" s="91">
        <f>SUMIFS(tabela_registros[VALOR],tabela_registros[MÊS],$AE$1,tabela_registros[DIA],receitasfixasconsolidadojun[[#Headers],[16]],tabela_registros[REGISTRO],DADOS!$N$3,tabela_registros[TIPO],DADOS!$V$3,tabela_registros[CATEGORIA],receitasfixasconsolidadojun[[#This Row],[ATUAL]])</f>
        <v>0</v>
      </c>
      <c r="U84" s="91">
        <f>SUMIFS(tabela_registros[VALOR],tabela_registros[MÊS],$AE$1,tabela_registros[DIA],receitasfixasconsolidadojun[[#Headers],[17]],tabela_registros[REGISTRO],DADOS!$N$3,tabela_registros[TIPO],DADOS!$V$3,tabela_registros[CATEGORIA],receitasfixasconsolidadojun[[#This Row],[ATUAL]])</f>
        <v>0</v>
      </c>
      <c r="V84" s="91">
        <f>SUMIFS(tabela_registros[VALOR],tabela_registros[MÊS],$AE$1,tabela_registros[DIA],receitasfixasconsolidadojun[[#Headers],[18]],tabela_registros[REGISTRO],DADOS!$N$3,tabela_registros[TIPO],DADOS!$V$3,tabela_registros[CATEGORIA],receitasfixasconsolidadojun[[#This Row],[ATUAL]])</f>
        <v>0</v>
      </c>
      <c r="W84" s="91">
        <f>SUMIFS(tabela_registros[VALOR],tabela_registros[MÊS],$AE$1,tabela_registros[DIA],receitasfixasconsolidadojun[[#Headers],[19]],tabela_registros[REGISTRO],DADOS!$N$3,tabela_registros[TIPO],DADOS!$V$3,tabela_registros[CATEGORIA],receitasfixasconsolidadojun[[#This Row],[ATUAL]])</f>
        <v>0</v>
      </c>
      <c r="X84" s="91">
        <f>SUMIFS(tabela_registros[VALOR],tabela_registros[MÊS],$AE$1,tabela_registros[DIA],receitasfixasconsolidadojun[[#Headers],[20]],tabela_registros[REGISTRO],DADOS!$N$3,tabela_registros[TIPO],DADOS!$V$3,tabela_registros[CATEGORIA],receitasfixasconsolidadojun[[#This Row],[ATUAL]])</f>
        <v>0</v>
      </c>
      <c r="Y84" s="91">
        <f>SUMIFS(tabela_registros[VALOR],tabela_registros[MÊS],$AE$1,tabela_registros[DIA],receitasfixasconsolidadojun[[#Headers],[21]],tabela_registros[REGISTRO],DADOS!$N$3,tabela_registros[TIPO],DADOS!$V$3,tabela_registros[CATEGORIA],receitasfixasconsolidadojun[[#This Row],[ATUAL]])</f>
        <v>0</v>
      </c>
      <c r="Z84" s="91">
        <f>SUMIFS(tabela_registros[VALOR],tabela_registros[MÊS],$AE$1,tabela_registros[DIA],receitasfixasconsolidadojun[[#Headers],[22]],tabela_registros[REGISTRO],DADOS!$N$3,tabela_registros[TIPO],DADOS!$V$3,tabela_registros[CATEGORIA],receitasfixasconsolidadojun[[#This Row],[ATUAL]])</f>
        <v>0</v>
      </c>
      <c r="AA84" s="91">
        <f>SUMIFS(tabela_registros[VALOR],tabela_registros[MÊS],$AE$1,tabela_registros[DIA],receitasfixasconsolidadojun[[#Headers],[23]],tabela_registros[REGISTRO],DADOS!$N$3,tabela_registros[TIPO],DADOS!$V$3,tabela_registros[CATEGORIA],receitasfixasconsolidadojun[[#This Row],[ATUAL]])</f>
        <v>0</v>
      </c>
      <c r="AB84" s="91">
        <f>SUMIFS(tabela_registros[VALOR],tabela_registros[MÊS],$AE$1,tabela_registros[DIA],receitasfixasconsolidadojun[[#Headers],[24]],tabela_registros[REGISTRO],DADOS!$N$3,tabela_registros[TIPO],DADOS!$V$3,tabela_registros[CATEGORIA],receitasfixasconsolidadojun[[#This Row],[ATUAL]])</f>
        <v>0</v>
      </c>
      <c r="AC84" s="91">
        <f>SUMIFS(tabela_registros[VALOR],tabela_registros[MÊS],$AE$1,tabela_registros[DIA],receitasfixasconsolidadojun[[#Headers],[25]],tabela_registros[REGISTRO],DADOS!$N$3,tabela_registros[TIPO],DADOS!$V$3,tabela_registros[CATEGORIA],receitasfixasconsolidadojun[[#This Row],[ATUAL]])</f>
        <v>0</v>
      </c>
      <c r="AD84" s="91">
        <f>SUMIFS(tabela_registros[VALOR],tabela_registros[MÊS],$AE$1,tabela_registros[DIA],receitasfixasconsolidadojun[[#Headers],[26]],tabela_registros[REGISTRO],DADOS!$N$3,tabela_registros[TIPO],DADOS!$V$3,tabela_registros[CATEGORIA],receitasfixasconsolidadojun[[#This Row],[ATUAL]])</f>
        <v>0</v>
      </c>
      <c r="AE84" s="91">
        <f>SUMIFS(tabela_registros[VALOR],tabela_registros[MÊS],$AE$1,tabela_registros[DIA],receitasfixasconsolidadojun[[#Headers],[27]],tabela_registros[REGISTRO],DADOS!$N$3,tabela_registros[TIPO],DADOS!$V$3,tabela_registros[CATEGORIA],receitasfixasconsolidadojun[[#This Row],[ATUAL]])</f>
        <v>0</v>
      </c>
      <c r="AF84" s="91">
        <f>SUMIFS(tabela_registros[VALOR],tabela_registros[MÊS],$AE$1,tabela_registros[DIA],receitasfixasconsolidadojun[[#Headers],[28]],tabela_registros[REGISTRO],DADOS!$N$3,tabela_registros[TIPO],DADOS!$V$3,tabela_registros[CATEGORIA],receitasfixasconsolidadojun[[#This Row],[ATUAL]])</f>
        <v>0</v>
      </c>
      <c r="AG84" s="91">
        <f>SUMIFS(tabela_registros[VALOR],tabela_registros[MÊS],$AE$1,tabela_registros[DIA],receitasfixasconsolidadojun[[#Headers],[29]],tabela_registros[REGISTRO],DADOS!$N$3,tabela_registros[TIPO],DADOS!$V$3,tabela_registros[CATEGORIA],receitasfixasconsolidadojun[[#This Row],[ATUAL]])</f>
        <v>0</v>
      </c>
      <c r="AH84" s="91">
        <f>SUMIFS(tabela_registros[VALOR],tabela_registros[MÊS],$AE$1,tabela_registros[DIA],receitasfixasconsolidadojun[[#Headers],[30]],tabela_registros[REGISTRO],DADOS!$N$3,tabela_registros[TIPO],DADOS!$V$3,tabela_registros[CATEGORIA],receitasfixasconsolidadojun[[#This Row],[ATUAL]])</f>
        <v>0</v>
      </c>
      <c r="AI84" s="101">
        <f>SUMIFS(tabela_registros[VALOR],tabela_registros[MÊS],$AE$1,tabela_registros[DIA],receitasfixasconsolidadojun[[#Headers],[31]],tabela_registros[REGISTRO],DADOS!$N$3,tabela_registros[TIPO],DADOS!$V$3,tabela_registros[CATEGORIA],receitasfixasconsolidadojun[[#This Row],[ATUAL]])</f>
        <v>0</v>
      </c>
      <c r="AJ84" s="97">
        <f>SUM(receitasfixasconsolidadojun[[#This Row],[1]:[31]])</f>
        <v>0</v>
      </c>
      <c r="AK84" s="25"/>
    </row>
    <row r="85" spans="2:37" ht="19.5" customHeight="1" thickTop="1" thickBot="1" x14ac:dyDescent="0.3">
      <c r="B85" s="28"/>
      <c r="C85" s="27" t="str">
        <f>DADOS!$X$6</f>
        <v>💰 SALÁRIO</v>
      </c>
      <c r="D85" s="26" t="str">
        <f>IF(receitasfixasconsolidadojun[[#This Row],[TOTAL (R$)]]=0,"",IF(OR(receitasfixasconsolidadojun[[#This Row],[TOTAL (R$)]]=LARGE($AJ$82:$AJ$86,1),receitasfixasconsolidadojun[[#This Row],[TOTAL (R$)]]=LARGE($AJ$82:$AJ$86,2)),DADOS!$I$9,""))</f>
        <v/>
      </c>
      <c r="E85" s="96">
        <f>SUMIFS(tabela_registros[VALOR],tabela_registros[MÊS],$AE$1,tabela_registros[DIA],receitasfixasconsolidadojun[[#Headers],[1]],tabela_registros[REGISTRO],DADOS!$N$3,tabela_registros[TIPO],DADOS!$V$3,tabela_registros[CATEGORIA],receitasfixasconsolidadojun[[#This Row],[ATUAL]])</f>
        <v>0</v>
      </c>
      <c r="F85" s="91">
        <f>SUMIFS(tabela_registros[VALOR],tabela_registros[MÊS],$AE$1,tabela_registros[DIA],receitasfixasconsolidadojun[[#Headers],[2]],tabela_registros[REGISTRO],DADOS!$N$3,tabela_registros[TIPO],DADOS!$V$3,tabela_registros[CATEGORIA],receitasfixasconsolidadojun[[#This Row],[ATUAL]])</f>
        <v>0</v>
      </c>
      <c r="G85" s="91">
        <f>SUMIFS(tabela_registros[VALOR],tabela_registros[MÊS],$AE$1,tabela_registros[DIA],receitasfixasconsolidadojun[[#Headers],[3]],tabela_registros[REGISTRO],DADOS!$N$3,tabela_registros[TIPO],DADOS!$V$3,tabela_registros[CATEGORIA],receitasfixasconsolidadojun[[#This Row],[ATUAL]])</f>
        <v>0</v>
      </c>
      <c r="H85" s="91">
        <f>SUMIFS(tabela_registros[VALOR],tabela_registros[MÊS],$AE$1,tabela_registros[DIA],receitasfixasconsolidadojun[[#Headers],[4]],tabela_registros[REGISTRO],DADOS!$N$3,tabela_registros[TIPO],DADOS!$V$3,tabela_registros[CATEGORIA],receitasfixasconsolidadojun[[#This Row],[ATUAL]])</f>
        <v>0</v>
      </c>
      <c r="I85" s="91">
        <f>SUMIFS(tabela_registros[VALOR],tabela_registros[MÊS],$AE$1,tabela_registros[DIA],receitasfixasconsolidadojun[[#Headers],[5]],tabela_registros[REGISTRO],DADOS!$N$3,tabela_registros[TIPO],DADOS!$V$3,tabela_registros[CATEGORIA],receitasfixasconsolidadojun[[#This Row],[ATUAL]])</f>
        <v>0</v>
      </c>
      <c r="J85" s="91">
        <f>SUMIFS(tabela_registros[VALOR],tabela_registros[MÊS],$AE$1,tabela_registros[DIA],receitasfixasconsolidadojun[[#Headers],[6]],tabela_registros[REGISTRO],DADOS!$N$3,tabela_registros[TIPO],DADOS!$V$3,tabela_registros[CATEGORIA],receitasfixasconsolidadojun[[#This Row],[ATUAL]])</f>
        <v>0</v>
      </c>
      <c r="K85" s="91">
        <f>SUMIFS(tabela_registros[VALOR],tabela_registros[MÊS],$AE$1,tabela_registros[DIA],receitasfixasconsolidadojun[[#Headers],[7]],tabela_registros[REGISTRO],DADOS!$N$3,tabela_registros[TIPO],DADOS!$V$3,tabela_registros[CATEGORIA],receitasfixasconsolidadojun[[#This Row],[ATUAL]])</f>
        <v>0</v>
      </c>
      <c r="L85" s="91">
        <f>SUMIFS(tabela_registros[VALOR],tabela_registros[MÊS],$AE$1,tabela_registros[DIA],receitasfixasconsolidadojun[[#Headers],[8]],tabela_registros[REGISTRO],DADOS!$N$3,tabela_registros[TIPO],DADOS!$V$3,tabela_registros[CATEGORIA],receitasfixasconsolidadojun[[#This Row],[ATUAL]])</f>
        <v>0</v>
      </c>
      <c r="M85" s="91">
        <f>SUMIFS(tabela_registros[VALOR],tabela_registros[MÊS],$AE$1,tabela_registros[DIA],receitasfixasconsolidadojun[[#Headers],[9]],tabela_registros[REGISTRO],DADOS!$N$3,tabela_registros[TIPO],DADOS!$V$3,tabela_registros[CATEGORIA],receitasfixasconsolidadojun[[#This Row],[ATUAL]])</f>
        <v>0</v>
      </c>
      <c r="N85" s="91">
        <f>SUMIFS(tabela_registros[VALOR],tabela_registros[MÊS],$AE$1,tabela_registros[DIA],receitasfixasconsolidadojun[[#Headers],[10]],tabela_registros[REGISTRO],DADOS!$N$3,tabela_registros[TIPO],DADOS!$V$3,tabela_registros[CATEGORIA],receitasfixasconsolidadojun[[#This Row],[ATUAL]])</f>
        <v>0</v>
      </c>
      <c r="O85" s="91">
        <f>SUMIFS(tabela_registros[VALOR],tabela_registros[MÊS],$AE$1,tabela_registros[DIA],receitasfixasconsolidadojun[[#Headers],[11]],tabela_registros[REGISTRO],DADOS!$N$3,tabela_registros[TIPO],DADOS!$V$3,tabela_registros[CATEGORIA],receitasfixasconsolidadojun[[#This Row],[ATUAL]])</f>
        <v>0</v>
      </c>
      <c r="P85" s="91">
        <f>SUMIFS(tabela_registros[VALOR],tabela_registros[MÊS],$AE$1,tabela_registros[DIA],receitasfixasconsolidadojun[[#Headers],[12]],tabela_registros[REGISTRO],DADOS!$N$3,tabela_registros[TIPO],DADOS!$V$3,tabela_registros[CATEGORIA],receitasfixasconsolidadojun[[#This Row],[ATUAL]])</f>
        <v>0</v>
      </c>
      <c r="Q85" s="91">
        <f>SUMIFS(tabela_registros[VALOR],tabela_registros[MÊS],$AE$1,tabela_registros[DIA],receitasfixasconsolidadojun[[#Headers],[13]],tabela_registros[REGISTRO],DADOS!$N$3,tabela_registros[TIPO],DADOS!$V$3,tabela_registros[CATEGORIA],receitasfixasconsolidadojun[[#This Row],[ATUAL]])</f>
        <v>0</v>
      </c>
      <c r="R85" s="91">
        <f>SUMIFS(tabela_registros[VALOR],tabela_registros[MÊS],$AE$1,tabela_registros[DIA],receitasfixasconsolidadojun[[#Headers],[14]],tabela_registros[REGISTRO],DADOS!$N$3,tabela_registros[TIPO],DADOS!$V$3,tabela_registros[CATEGORIA],receitasfixasconsolidadojun[[#This Row],[ATUAL]])</f>
        <v>0</v>
      </c>
      <c r="S85" s="91">
        <f>SUMIFS(tabela_registros[VALOR],tabela_registros[MÊS],$AE$1,tabela_registros[DIA],receitasfixasconsolidadojun[[#Headers],[15]],tabela_registros[REGISTRO],DADOS!$N$3,tabela_registros[TIPO],DADOS!$V$3,tabela_registros[CATEGORIA],receitasfixasconsolidadojun[[#This Row],[ATUAL]])</f>
        <v>0</v>
      </c>
      <c r="T85" s="91">
        <f>SUMIFS(tabela_registros[VALOR],tabela_registros[MÊS],$AE$1,tabela_registros[DIA],receitasfixasconsolidadojun[[#Headers],[16]],tabela_registros[REGISTRO],DADOS!$N$3,tabela_registros[TIPO],DADOS!$V$3,tabela_registros[CATEGORIA],receitasfixasconsolidadojun[[#This Row],[ATUAL]])</f>
        <v>0</v>
      </c>
      <c r="U85" s="91">
        <f>SUMIFS(tabela_registros[VALOR],tabela_registros[MÊS],$AE$1,tabela_registros[DIA],receitasfixasconsolidadojun[[#Headers],[17]],tabela_registros[REGISTRO],DADOS!$N$3,tabela_registros[TIPO],DADOS!$V$3,tabela_registros[CATEGORIA],receitasfixasconsolidadojun[[#This Row],[ATUAL]])</f>
        <v>0</v>
      </c>
      <c r="V85" s="91">
        <f>SUMIFS(tabela_registros[VALOR],tabela_registros[MÊS],$AE$1,tabela_registros[DIA],receitasfixasconsolidadojun[[#Headers],[18]],tabela_registros[REGISTRO],DADOS!$N$3,tabela_registros[TIPO],DADOS!$V$3,tabela_registros[CATEGORIA],receitasfixasconsolidadojun[[#This Row],[ATUAL]])</f>
        <v>0</v>
      </c>
      <c r="W85" s="91">
        <f>SUMIFS(tabela_registros[VALOR],tabela_registros[MÊS],$AE$1,tabela_registros[DIA],receitasfixasconsolidadojun[[#Headers],[19]],tabela_registros[REGISTRO],DADOS!$N$3,tabela_registros[TIPO],DADOS!$V$3,tabela_registros[CATEGORIA],receitasfixasconsolidadojun[[#This Row],[ATUAL]])</f>
        <v>0</v>
      </c>
      <c r="X85" s="91">
        <f>SUMIFS(tabela_registros[VALOR],tabela_registros[MÊS],$AE$1,tabela_registros[DIA],receitasfixasconsolidadojun[[#Headers],[20]],tabela_registros[REGISTRO],DADOS!$N$3,tabela_registros[TIPO],DADOS!$V$3,tabela_registros[CATEGORIA],receitasfixasconsolidadojun[[#This Row],[ATUAL]])</f>
        <v>0</v>
      </c>
      <c r="Y85" s="91">
        <f>SUMIFS(tabela_registros[VALOR],tabela_registros[MÊS],$AE$1,tabela_registros[DIA],receitasfixasconsolidadojun[[#Headers],[21]],tabela_registros[REGISTRO],DADOS!$N$3,tabela_registros[TIPO],DADOS!$V$3,tabela_registros[CATEGORIA],receitasfixasconsolidadojun[[#This Row],[ATUAL]])</f>
        <v>0</v>
      </c>
      <c r="Z85" s="91">
        <f>SUMIFS(tabela_registros[VALOR],tabela_registros[MÊS],$AE$1,tabela_registros[DIA],receitasfixasconsolidadojun[[#Headers],[22]],tabela_registros[REGISTRO],DADOS!$N$3,tabela_registros[TIPO],DADOS!$V$3,tabela_registros[CATEGORIA],receitasfixasconsolidadojun[[#This Row],[ATUAL]])</f>
        <v>0</v>
      </c>
      <c r="AA85" s="91">
        <f>SUMIFS(tabela_registros[VALOR],tabela_registros[MÊS],$AE$1,tabela_registros[DIA],receitasfixasconsolidadojun[[#Headers],[23]],tabela_registros[REGISTRO],DADOS!$N$3,tabela_registros[TIPO],DADOS!$V$3,tabela_registros[CATEGORIA],receitasfixasconsolidadojun[[#This Row],[ATUAL]])</f>
        <v>0</v>
      </c>
      <c r="AB85" s="91">
        <f>SUMIFS(tabela_registros[VALOR],tabela_registros[MÊS],$AE$1,tabela_registros[DIA],receitasfixasconsolidadojun[[#Headers],[24]],tabela_registros[REGISTRO],DADOS!$N$3,tabela_registros[TIPO],DADOS!$V$3,tabela_registros[CATEGORIA],receitasfixasconsolidadojun[[#This Row],[ATUAL]])</f>
        <v>0</v>
      </c>
      <c r="AC85" s="91">
        <f>SUMIFS(tabela_registros[VALOR],tabela_registros[MÊS],$AE$1,tabela_registros[DIA],receitasfixasconsolidadojun[[#Headers],[25]],tabela_registros[REGISTRO],DADOS!$N$3,tabela_registros[TIPO],DADOS!$V$3,tabela_registros[CATEGORIA],receitasfixasconsolidadojun[[#This Row],[ATUAL]])</f>
        <v>0</v>
      </c>
      <c r="AD85" s="91">
        <f>SUMIFS(tabela_registros[VALOR],tabela_registros[MÊS],$AE$1,tabela_registros[DIA],receitasfixasconsolidadojun[[#Headers],[26]],tabela_registros[REGISTRO],DADOS!$N$3,tabela_registros[TIPO],DADOS!$V$3,tabela_registros[CATEGORIA],receitasfixasconsolidadojun[[#This Row],[ATUAL]])</f>
        <v>0</v>
      </c>
      <c r="AE85" s="91">
        <f>SUMIFS(tabela_registros[VALOR],tabela_registros[MÊS],$AE$1,tabela_registros[DIA],receitasfixasconsolidadojun[[#Headers],[27]],tabela_registros[REGISTRO],DADOS!$N$3,tabela_registros[TIPO],DADOS!$V$3,tabela_registros[CATEGORIA],receitasfixasconsolidadojun[[#This Row],[ATUAL]])</f>
        <v>0</v>
      </c>
      <c r="AF85" s="91">
        <f>SUMIFS(tabela_registros[VALOR],tabela_registros[MÊS],$AE$1,tabela_registros[DIA],receitasfixasconsolidadojun[[#Headers],[28]],tabela_registros[REGISTRO],DADOS!$N$3,tabela_registros[TIPO],DADOS!$V$3,tabela_registros[CATEGORIA],receitasfixasconsolidadojun[[#This Row],[ATUAL]])</f>
        <v>0</v>
      </c>
      <c r="AG85" s="91">
        <f>SUMIFS(tabela_registros[VALOR],tabela_registros[MÊS],$AE$1,tabela_registros[DIA],receitasfixasconsolidadojun[[#Headers],[29]],tabela_registros[REGISTRO],DADOS!$N$3,tabela_registros[TIPO],DADOS!$V$3,tabela_registros[CATEGORIA],receitasfixasconsolidadojun[[#This Row],[ATUAL]])</f>
        <v>0</v>
      </c>
      <c r="AH85" s="91">
        <f>SUMIFS(tabela_registros[VALOR],tabela_registros[MÊS],$AE$1,tabela_registros[DIA],receitasfixasconsolidadojun[[#Headers],[30]],tabela_registros[REGISTRO],DADOS!$N$3,tabela_registros[TIPO],DADOS!$V$3,tabela_registros[CATEGORIA],receitasfixasconsolidadojun[[#This Row],[ATUAL]])</f>
        <v>0</v>
      </c>
      <c r="AI85" s="101">
        <f>SUMIFS(tabela_registros[VALOR],tabela_registros[MÊS],$AE$1,tabela_registros[DIA],receitasfixasconsolidadojun[[#Headers],[31]],tabela_registros[REGISTRO],DADOS!$N$3,tabela_registros[TIPO],DADOS!$V$3,tabela_registros[CATEGORIA],receitasfixasconsolidadojun[[#This Row],[ATUAL]])</f>
        <v>0</v>
      </c>
      <c r="AJ85" s="97">
        <f>SUM(receitasfixasconsolidadojun[[#This Row],[1]:[31]])</f>
        <v>0</v>
      </c>
      <c r="AK85" s="25"/>
    </row>
    <row r="86" spans="2:37" ht="18" customHeight="1" thickTop="1" thickBot="1" x14ac:dyDescent="0.3">
      <c r="B86" s="28"/>
      <c r="C86" s="27" t="str">
        <f>DADOS!$X$7</f>
        <v>📎 OUTROS</v>
      </c>
      <c r="D86" s="26" t="str">
        <f>IF(receitasfixasconsolidadojun[[#This Row],[TOTAL (R$)]]=0,"",IF(OR(receitasfixasconsolidadojun[[#This Row],[TOTAL (R$)]]=LARGE($AJ$82:$AJ$86,1),receitasfixasconsolidadojun[[#This Row],[TOTAL (R$)]]=LARGE($AJ$82:$AJ$86,2)),DADOS!$I$9,""))</f>
        <v/>
      </c>
      <c r="E86" s="96">
        <f>SUMIFS(tabela_registros[VALOR],tabela_registros[MÊS],$AE$1,tabela_registros[DIA],receitasfixasconsolidadojun[[#Headers],[1]],tabela_registros[REGISTRO],DADOS!$N$3,tabela_registros[TIPO],DADOS!$V$3,tabela_registros[CATEGORIA],receitasfixasconsolidadojun[[#This Row],[ATUAL]])</f>
        <v>0</v>
      </c>
      <c r="F86" s="91">
        <f>SUMIFS(tabela_registros[VALOR],tabela_registros[MÊS],$AE$1,tabela_registros[DIA],receitasfixasconsolidadojun[[#Headers],[2]],tabela_registros[REGISTRO],DADOS!$N$3,tabela_registros[TIPO],DADOS!$V$3,tabela_registros[CATEGORIA],receitasfixasconsolidadojun[[#This Row],[ATUAL]])</f>
        <v>0</v>
      </c>
      <c r="G86" s="91">
        <f>SUMIFS(tabela_registros[VALOR],tabela_registros[MÊS],$AE$1,tabela_registros[DIA],receitasfixasconsolidadojun[[#Headers],[3]],tabela_registros[REGISTRO],DADOS!$N$3,tabela_registros[TIPO],DADOS!$V$3,tabela_registros[CATEGORIA],receitasfixasconsolidadojun[[#This Row],[ATUAL]])</f>
        <v>0</v>
      </c>
      <c r="H86" s="91">
        <f>SUMIFS(tabela_registros[VALOR],tabela_registros[MÊS],$AE$1,tabela_registros[DIA],receitasfixasconsolidadojun[[#Headers],[4]],tabela_registros[REGISTRO],DADOS!$N$3,tabela_registros[TIPO],DADOS!$V$3,tabela_registros[CATEGORIA],receitasfixasconsolidadojun[[#This Row],[ATUAL]])</f>
        <v>0</v>
      </c>
      <c r="I86" s="91">
        <f>SUMIFS(tabela_registros[VALOR],tabela_registros[MÊS],$AE$1,tabela_registros[DIA],receitasfixasconsolidadojun[[#Headers],[5]],tabela_registros[REGISTRO],DADOS!$N$3,tabela_registros[TIPO],DADOS!$V$3,tabela_registros[CATEGORIA],receitasfixasconsolidadojun[[#This Row],[ATUAL]])</f>
        <v>0</v>
      </c>
      <c r="J86" s="91">
        <f>SUMIFS(tabela_registros[VALOR],tabela_registros[MÊS],$AE$1,tabela_registros[DIA],receitasfixasconsolidadojun[[#Headers],[6]],tabela_registros[REGISTRO],DADOS!$N$3,tabela_registros[TIPO],DADOS!$V$3,tabela_registros[CATEGORIA],receitasfixasconsolidadojun[[#This Row],[ATUAL]])</f>
        <v>0</v>
      </c>
      <c r="K86" s="91">
        <f>SUMIFS(tabela_registros[VALOR],tabela_registros[MÊS],$AE$1,tabela_registros[DIA],receitasfixasconsolidadojun[[#Headers],[7]],tabela_registros[REGISTRO],DADOS!$N$3,tabela_registros[TIPO],DADOS!$V$3,tabela_registros[CATEGORIA],receitasfixasconsolidadojun[[#This Row],[ATUAL]])</f>
        <v>0</v>
      </c>
      <c r="L86" s="91">
        <f>SUMIFS(tabela_registros[VALOR],tabela_registros[MÊS],$AE$1,tabela_registros[DIA],receitasfixasconsolidadojun[[#Headers],[8]],tabela_registros[REGISTRO],DADOS!$N$3,tabela_registros[TIPO],DADOS!$V$3,tabela_registros[CATEGORIA],receitasfixasconsolidadojun[[#This Row],[ATUAL]])</f>
        <v>0</v>
      </c>
      <c r="M86" s="91">
        <f>SUMIFS(tabela_registros[VALOR],tabela_registros[MÊS],$AE$1,tabela_registros[DIA],receitasfixasconsolidadojun[[#Headers],[9]],tabela_registros[REGISTRO],DADOS!$N$3,tabela_registros[TIPO],DADOS!$V$3,tabela_registros[CATEGORIA],receitasfixasconsolidadojun[[#This Row],[ATUAL]])</f>
        <v>0</v>
      </c>
      <c r="N86" s="91">
        <f>SUMIFS(tabela_registros[VALOR],tabela_registros[MÊS],$AE$1,tabela_registros[DIA],receitasfixasconsolidadojun[[#Headers],[10]],tabela_registros[REGISTRO],DADOS!$N$3,tabela_registros[TIPO],DADOS!$V$3,tabela_registros[CATEGORIA],receitasfixasconsolidadojun[[#This Row],[ATUAL]])</f>
        <v>0</v>
      </c>
      <c r="O86" s="91">
        <f>SUMIFS(tabela_registros[VALOR],tabela_registros[MÊS],$AE$1,tabela_registros[DIA],receitasfixasconsolidadojun[[#Headers],[11]],tabela_registros[REGISTRO],DADOS!$N$3,tabela_registros[TIPO],DADOS!$V$3,tabela_registros[CATEGORIA],receitasfixasconsolidadojun[[#This Row],[ATUAL]])</f>
        <v>0</v>
      </c>
      <c r="P86" s="91">
        <f>SUMIFS(tabela_registros[VALOR],tabela_registros[MÊS],$AE$1,tabela_registros[DIA],receitasfixasconsolidadojun[[#Headers],[12]],tabela_registros[REGISTRO],DADOS!$N$3,tabela_registros[TIPO],DADOS!$V$3,tabela_registros[CATEGORIA],receitasfixasconsolidadojun[[#This Row],[ATUAL]])</f>
        <v>0</v>
      </c>
      <c r="Q86" s="91">
        <f>SUMIFS(tabela_registros[VALOR],tabela_registros[MÊS],$AE$1,tabela_registros[DIA],receitasfixasconsolidadojun[[#Headers],[13]],tabela_registros[REGISTRO],DADOS!$N$3,tabela_registros[TIPO],DADOS!$V$3,tabela_registros[CATEGORIA],receitasfixasconsolidadojun[[#This Row],[ATUAL]])</f>
        <v>0</v>
      </c>
      <c r="R86" s="91">
        <f>SUMIFS(tabela_registros[VALOR],tabela_registros[MÊS],$AE$1,tabela_registros[DIA],receitasfixasconsolidadojun[[#Headers],[14]],tabela_registros[REGISTRO],DADOS!$N$3,tabela_registros[TIPO],DADOS!$V$3,tabela_registros[CATEGORIA],receitasfixasconsolidadojun[[#This Row],[ATUAL]])</f>
        <v>0</v>
      </c>
      <c r="S86" s="91">
        <f>SUMIFS(tabela_registros[VALOR],tabela_registros[MÊS],$AE$1,tabela_registros[DIA],receitasfixasconsolidadojun[[#Headers],[15]],tabela_registros[REGISTRO],DADOS!$N$3,tabela_registros[TIPO],DADOS!$V$3,tabela_registros[CATEGORIA],receitasfixasconsolidadojun[[#This Row],[ATUAL]])</f>
        <v>0</v>
      </c>
      <c r="T86" s="91">
        <f>SUMIFS(tabela_registros[VALOR],tabela_registros[MÊS],$AE$1,tabela_registros[DIA],receitasfixasconsolidadojun[[#Headers],[16]],tabela_registros[REGISTRO],DADOS!$N$3,tabela_registros[TIPO],DADOS!$V$3,tabela_registros[CATEGORIA],receitasfixasconsolidadojun[[#This Row],[ATUAL]])</f>
        <v>0</v>
      </c>
      <c r="U86" s="91">
        <f>SUMIFS(tabela_registros[VALOR],tabela_registros[MÊS],$AE$1,tabela_registros[DIA],receitasfixasconsolidadojun[[#Headers],[17]],tabela_registros[REGISTRO],DADOS!$N$3,tabela_registros[TIPO],DADOS!$V$3,tabela_registros[CATEGORIA],receitasfixasconsolidadojun[[#This Row],[ATUAL]])</f>
        <v>0</v>
      </c>
      <c r="V86" s="91">
        <f>SUMIFS(tabela_registros[VALOR],tabela_registros[MÊS],$AE$1,tabela_registros[DIA],receitasfixasconsolidadojun[[#Headers],[18]],tabela_registros[REGISTRO],DADOS!$N$3,tabela_registros[TIPO],DADOS!$V$3,tabela_registros[CATEGORIA],receitasfixasconsolidadojun[[#This Row],[ATUAL]])</f>
        <v>0</v>
      </c>
      <c r="W86" s="91">
        <f>SUMIFS(tabela_registros[VALOR],tabela_registros[MÊS],$AE$1,tabela_registros[DIA],receitasfixasconsolidadojun[[#Headers],[19]],tabela_registros[REGISTRO],DADOS!$N$3,tabela_registros[TIPO],DADOS!$V$3,tabela_registros[CATEGORIA],receitasfixasconsolidadojun[[#This Row],[ATUAL]])</f>
        <v>0</v>
      </c>
      <c r="X86" s="91">
        <f>SUMIFS(tabela_registros[VALOR],tabela_registros[MÊS],$AE$1,tabela_registros[DIA],receitasfixasconsolidadojun[[#Headers],[20]],tabela_registros[REGISTRO],DADOS!$N$3,tabela_registros[TIPO],DADOS!$V$3,tabela_registros[CATEGORIA],receitasfixasconsolidadojun[[#This Row],[ATUAL]])</f>
        <v>0</v>
      </c>
      <c r="Y86" s="91">
        <f>SUMIFS(tabela_registros[VALOR],tabela_registros[MÊS],$AE$1,tabela_registros[DIA],receitasfixasconsolidadojun[[#Headers],[21]],tabela_registros[REGISTRO],DADOS!$N$3,tabela_registros[TIPO],DADOS!$V$3,tabela_registros[CATEGORIA],receitasfixasconsolidadojun[[#This Row],[ATUAL]])</f>
        <v>0</v>
      </c>
      <c r="Z86" s="91">
        <f>SUMIFS(tabela_registros[VALOR],tabela_registros[MÊS],$AE$1,tabela_registros[DIA],receitasfixasconsolidadojun[[#Headers],[22]],tabela_registros[REGISTRO],DADOS!$N$3,tabela_registros[TIPO],DADOS!$V$3,tabela_registros[CATEGORIA],receitasfixasconsolidadojun[[#This Row],[ATUAL]])</f>
        <v>0</v>
      </c>
      <c r="AA86" s="91">
        <f>SUMIFS(tabela_registros[VALOR],tabela_registros[MÊS],$AE$1,tabela_registros[DIA],receitasfixasconsolidadojun[[#Headers],[23]],tabela_registros[REGISTRO],DADOS!$N$3,tabela_registros[TIPO],DADOS!$V$3,tabela_registros[CATEGORIA],receitasfixasconsolidadojun[[#This Row],[ATUAL]])</f>
        <v>0</v>
      </c>
      <c r="AB86" s="91">
        <f>SUMIFS(tabela_registros[VALOR],tabela_registros[MÊS],$AE$1,tabela_registros[DIA],receitasfixasconsolidadojun[[#Headers],[24]],tabela_registros[REGISTRO],DADOS!$N$3,tabela_registros[TIPO],DADOS!$V$3,tabela_registros[CATEGORIA],receitasfixasconsolidadojun[[#This Row],[ATUAL]])</f>
        <v>0</v>
      </c>
      <c r="AC86" s="91">
        <f>SUMIFS(tabela_registros[VALOR],tabela_registros[MÊS],$AE$1,tabela_registros[DIA],receitasfixasconsolidadojun[[#Headers],[25]],tabela_registros[REGISTRO],DADOS!$N$3,tabela_registros[TIPO],DADOS!$V$3,tabela_registros[CATEGORIA],receitasfixasconsolidadojun[[#This Row],[ATUAL]])</f>
        <v>0</v>
      </c>
      <c r="AD86" s="91">
        <f>SUMIFS(tabela_registros[VALOR],tabela_registros[MÊS],$AE$1,tabela_registros[DIA],receitasfixasconsolidadojun[[#Headers],[26]],tabela_registros[REGISTRO],DADOS!$N$3,tabela_registros[TIPO],DADOS!$V$3,tabela_registros[CATEGORIA],receitasfixasconsolidadojun[[#This Row],[ATUAL]])</f>
        <v>0</v>
      </c>
      <c r="AE86" s="91">
        <f>SUMIFS(tabela_registros[VALOR],tabela_registros[MÊS],$AE$1,tabela_registros[DIA],receitasfixasconsolidadojun[[#Headers],[27]],tabela_registros[REGISTRO],DADOS!$N$3,tabela_registros[TIPO],DADOS!$V$3,tabela_registros[CATEGORIA],receitasfixasconsolidadojun[[#This Row],[ATUAL]])</f>
        <v>0</v>
      </c>
      <c r="AF86" s="91">
        <f>SUMIFS(tabela_registros[VALOR],tabela_registros[MÊS],$AE$1,tabela_registros[DIA],receitasfixasconsolidadojun[[#Headers],[28]],tabela_registros[REGISTRO],DADOS!$N$3,tabela_registros[TIPO],DADOS!$V$3,tabela_registros[CATEGORIA],receitasfixasconsolidadojun[[#This Row],[ATUAL]])</f>
        <v>0</v>
      </c>
      <c r="AG86" s="91">
        <f>SUMIFS(tabela_registros[VALOR],tabela_registros[MÊS],$AE$1,tabela_registros[DIA],receitasfixasconsolidadojun[[#Headers],[29]],tabela_registros[REGISTRO],DADOS!$N$3,tabela_registros[TIPO],DADOS!$V$3,tabela_registros[CATEGORIA],receitasfixasconsolidadojun[[#This Row],[ATUAL]])</f>
        <v>0</v>
      </c>
      <c r="AH86" s="91">
        <f>SUMIFS(tabela_registros[VALOR],tabela_registros[MÊS],$AE$1,tabela_registros[DIA],receitasfixasconsolidadojun[[#Headers],[30]],tabela_registros[REGISTRO],DADOS!$N$3,tabela_registros[TIPO],DADOS!$V$3,tabela_registros[CATEGORIA],receitasfixasconsolidadojun[[#This Row],[ATUAL]])</f>
        <v>0</v>
      </c>
      <c r="AI86" s="102">
        <f>SUMIFS(tabela_registros[VALOR],tabela_registros[MÊS],$AE$1,tabela_registros[DIA],receitasfixasconsolidadojun[[#Headers],[31]],tabela_registros[REGISTRO],DADOS!$N$3,tabela_registros[TIPO],DADOS!$V$3,tabela_registros[CATEGORIA],receitasfixasconsolidadojun[[#This Row],[ATUAL]])</f>
        <v>0</v>
      </c>
      <c r="AJ86" s="97">
        <f>SUM(receitasfixasconsolidadojun[[#This Row],[1]:[31]])</f>
        <v>0</v>
      </c>
      <c r="AK86" s="25"/>
    </row>
    <row r="87" spans="2:37" s="16" customFormat="1" ht="21" customHeight="1" thickTop="1" thickBot="1" x14ac:dyDescent="0.35">
      <c r="B87" s="24"/>
      <c r="C87" s="23" t="s">
        <v>19</v>
      </c>
      <c r="D87" s="22"/>
      <c r="E87" s="21">
        <f>SUM(E82:E86)</f>
        <v>0</v>
      </c>
      <c r="F87" s="20">
        <f>SUM(F82:F86)+receitasfixasconsolidadojun[[#This Row],[1]]</f>
        <v>0</v>
      </c>
      <c r="G87" s="20">
        <f>SUM(G82:G86)+receitasfixasconsolidadojun[[#This Row],[2]]</f>
        <v>0</v>
      </c>
      <c r="H87" s="20">
        <f>SUM(H82:H86)+receitasfixasconsolidadojun[[#This Row],[3]]</f>
        <v>0</v>
      </c>
      <c r="I87" s="20">
        <f>SUM(I82:I86)+receitasfixasconsolidadojun[[#This Row],[4]]</f>
        <v>0</v>
      </c>
      <c r="J87" s="20">
        <f>SUM(J82:J86)+receitasfixasconsolidadojun[[#This Row],[5]]</f>
        <v>0</v>
      </c>
      <c r="K87" s="20">
        <f>SUM(K82:K86)+receitasfixasconsolidadojun[[#This Row],[6]]</f>
        <v>0</v>
      </c>
      <c r="L87" s="20">
        <f>SUM(L82:L86)+receitasfixasconsolidadojun[[#This Row],[7]]</f>
        <v>0</v>
      </c>
      <c r="M87" s="20">
        <f>SUM(M82:M86)+receitasfixasconsolidadojun[[#This Row],[8]]</f>
        <v>0</v>
      </c>
      <c r="N87" s="20">
        <f>SUM(N82:N86)+receitasfixasconsolidadojun[[#This Row],[9]]</f>
        <v>0</v>
      </c>
      <c r="O87" s="20">
        <f>SUM(O82:O86)+receitasfixasconsolidadojun[[#This Row],[10]]</f>
        <v>0</v>
      </c>
      <c r="P87" s="20">
        <f>SUM(P82:P86)+receitasfixasconsolidadojun[[#This Row],[11]]</f>
        <v>0</v>
      </c>
      <c r="Q87" s="20">
        <f>SUM(Q82:Q86)+receitasfixasconsolidadojun[[#This Row],[12]]</f>
        <v>0</v>
      </c>
      <c r="R87" s="20">
        <f>SUM(R82:R86)+receitasfixasconsolidadojun[[#This Row],[13]]</f>
        <v>0</v>
      </c>
      <c r="S87" s="20">
        <f>SUM(S82:S86)+receitasfixasconsolidadojun[[#This Row],[14]]</f>
        <v>0</v>
      </c>
      <c r="T87" s="20">
        <f>SUM(T82:T86)+receitasfixasconsolidadojun[[#This Row],[15]]</f>
        <v>0</v>
      </c>
      <c r="U87" s="20">
        <f>SUM(U82:U86)+receitasfixasconsolidadojun[[#This Row],[16]]</f>
        <v>0</v>
      </c>
      <c r="V87" s="20">
        <f>SUM(V82:V86)+receitasfixasconsolidadojun[[#This Row],[17]]</f>
        <v>0</v>
      </c>
      <c r="W87" s="20">
        <f>SUM(W82:W86)+receitasfixasconsolidadojun[[#This Row],[18]]</f>
        <v>0</v>
      </c>
      <c r="X87" s="20">
        <f>SUM(X82:X86)+receitasfixasconsolidadojun[[#This Row],[19]]</f>
        <v>0</v>
      </c>
      <c r="Y87" s="20">
        <f>SUM(Y82:Y86)+receitasfixasconsolidadojun[[#This Row],[20]]</f>
        <v>0</v>
      </c>
      <c r="Z87" s="20">
        <f>SUM(Z82:Z86)+receitasfixasconsolidadojun[[#This Row],[21]]</f>
        <v>0</v>
      </c>
      <c r="AA87" s="20">
        <f>SUM(AA82:AA86)+receitasfixasconsolidadojun[[#This Row],[22]]</f>
        <v>0</v>
      </c>
      <c r="AB87" s="20">
        <f>SUM(AB82:AB86)+receitasfixasconsolidadojun[[#This Row],[23]]</f>
        <v>0</v>
      </c>
      <c r="AC87" s="20">
        <f>SUM(AC82:AC86)+receitasfixasconsolidadojun[[#This Row],[24]]</f>
        <v>0</v>
      </c>
      <c r="AD87" s="20">
        <f>SUM(AD82:AD86)+receitasfixasconsolidadojun[[#This Row],[25]]</f>
        <v>0</v>
      </c>
      <c r="AE87" s="20">
        <f>SUM(AE82:AE86)+receitasfixasconsolidadojun[[#This Row],[26]]</f>
        <v>0</v>
      </c>
      <c r="AF87" s="20">
        <f>SUM(AF82:AF86)+receitasfixasconsolidadojun[[#This Row],[27]]</f>
        <v>0</v>
      </c>
      <c r="AG87" s="20">
        <f>SUM(AG82:AG86)+receitasfixasconsolidadojun[[#This Row],[28]]</f>
        <v>0</v>
      </c>
      <c r="AH87" s="20">
        <f>SUM(AH82:AH86)+receitasfixasconsolidadojun[[#This Row],[29]]</f>
        <v>0</v>
      </c>
      <c r="AI87" s="19">
        <f>SUM(AI82:AI86)+receitasfixasconsolidadojun[[#This Row],[30]]</f>
        <v>0</v>
      </c>
      <c r="AJ87" s="18">
        <f>receitasfixasconsolidadojun[[#This Row],[31]]</f>
        <v>0</v>
      </c>
      <c r="AK87" s="17"/>
    </row>
    <row r="88" spans="2:37" ht="6.75" customHeight="1" thickTop="1" thickBot="1" x14ac:dyDescent="0.3">
      <c r="B88" s="15"/>
      <c r="C88" s="14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2"/>
      <c r="AJ88" s="11"/>
      <c r="AK88" s="10"/>
    </row>
    <row r="89" spans="2:37" ht="12.6" thickTop="1" x14ac:dyDescent="0.25">
      <c r="E89" s="37"/>
      <c r="AI89" s="4"/>
    </row>
    <row r="90" spans="2:37" x14ac:dyDescent="0.25">
      <c r="AI90" s="4"/>
    </row>
    <row r="91" spans="2:37" x14ac:dyDescent="0.25">
      <c r="AI91" s="4"/>
    </row>
    <row r="92" spans="2:37" ht="39.75" customHeight="1" x14ac:dyDescent="0.7">
      <c r="C92" s="36"/>
      <c r="E92" s="240"/>
      <c r="F92" s="240"/>
      <c r="G92" s="240"/>
      <c r="H92" s="240"/>
      <c r="I92" s="240"/>
      <c r="J92" s="240"/>
      <c r="K92" s="240"/>
      <c r="L92" s="240"/>
      <c r="M92" s="240"/>
      <c r="N92" s="240"/>
      <c r="O92" s="240"/>
      <c r="P92" s="240"/>
      <c r="Q92" s="240"/>
      <c r="R92" s="240"/>
      <c r="S92" s="240"/>
      <c r="T92" s="240"/>
      <c r="U92" s="240"/>
      <c r="V92" s="240"/>
      <c r="W92" s="240"/>
      <c r="X92" s="240"/>
      <c r="Y92" s="240"/>
      <c r="Z92" s="240"/>
      <c r="AA92" s="240"/>
      <c r="AB92" s="240"/>
      <c r="AC92" s="240"/>
      <c r="AD92" s="240"/>
      <c r="AE92" s="240"/>
      <c r="AF92" s="240"/>
      <c r="AG92" s="240"/>
      <c r="AH92" s="240"/>
      <c r="AI92" s="240"/>
      <c r="AJ92" s="32" t="s">
        <v>19</v>
      </c>
    </row>
    <row r="93" spans="2:37" ht="12.6" thickBot="1" x14ac:dyDescent="0.3">
      <c r="B93" s="35"/>
      <c r="AI93" s="4"/>
      <c r="AJ93" s="34" t="s">
        <v>202</v>
      </c>
    </row>
    <row r="94" spans="2:37" ht="6.75" customHeight="1" thickTop="1" thickBot="1" x14ac:dyDescent="0.3">
      <c r="B94" s="2"/>
      <c r="C94" s="14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2"/>
      <c r="AK94" s="33"/>
    </row>
    <row r="95" spans="2:37" ht="13.2" hidden="1" thickTop="1" thickBot="1" x14ac:dyDescent="0.3">
      <c r="B95" s="2"/>
      <c r="C95" s="31" t="s">
        <v>199</v>
      </c>
      <c r="D95" s="30" t="s">
        <v>198</v>
      </c>
      <c r="E95" s="30" t="s">
        <v>197</v>
      </c>
      <c r="F95" s="30" t="s">
        <v>196</v>
      </c>
      <c r="G95" s="30" t="s">
        <v>195</v>
      </c>
      <c r="H95" s="30" t="s">
        <v>194</v>
      </c>
      <c r="I95" s="30" t="s">
        <v>193</v>
      </c>
      <c r="J95" s="30" t="s">
        <v>192</v>
      </c>
      <c r="K95" s="30" t="s">
        <v>191</v>
      </c>
      <c r="L95" s="30" t="s">
        <v>190</v>
      </c>
      <c r="M95" s="30" t="s">
        <v>189</v>
      </c>
      <c r="N95" s="30" t="s">
        <v>188</v>
      </c>
      <c r="O95" s="30" t="s">
        <v>187</v>
      </c>
      <c r="P95" s="30" t="s">
        <v>186</v>
      </c>
      <c r="Q95" s="30" t="s">
        <v>185</v>
      </c>
      <c r="R95" s="30" t="s">
        <v>184</v>
      </c>
      <c r="S95" s="30" t="s">
        <v>183</v>
      </c>
      <c r="T95" s="30" t="s">
        <v>182</v>
      </c>
      <c r="U95" s="30" t="s">
        <v>181</v>
      </c>
      <c r="V95" s="30" t="s">
        <v>180</v>
      </c>
      <c r="W95" s="30" t="s">
        <v>179</v>
      </c>
      <c r="X95" s="30" t="s">
        <v>178</v>
      </c>
      <c r="Y95" s="30" t="s">
        <v>177</v>
      </c>
      <c r="Z95" s="30" t="s">
        <v>176</v>
      </c>
      <c r="AA95" s="30" t="s">
        <v>175</v>
      </c>
      <c r="AB95" s="30" t="s">
        <v>174</v>
      </c>
      <c r="AC95" s="30" t="s">
        <v>173</v>
      </c>
      <c r="AD95" s="30" t="s">
        <v>172</v>
      </c>
      <c r="AE95" s="30" t="s">
        <v>171</v>
      </c>
      <c r="AF95" s="30" t="s">
        <v>170</v>
      </c>
      <c r="AG95" s="30" t="s">
        <v>169</v>
      </c>
      <c r="AH95" s="30" t="s">
        <v>168</v>
      </c>
      <c r="AI95" s="30" t="s">
        <v>167</v>
      </c>
      <c r="AJ95" s="29" t="s">
        <v>166</v>
      </c>
      <c r="AK95" s="2"/>
    </row>
    <row r="96" spans="2:37" ht="19.5" customHeight="1" thickTop="1" thickBot="1" x14ac:dyDescent="0.3">
      <c r="B96" s="28"/>
      <c r="C96" s="27" t="str">
        <f>DADOS!$Z$3</f>
        <v>🏅 BÔNUS</v>
      </c>
      <c r="D96" s="26" t="str">
        <f>IF(receitasvariáveisconsolidadojun[[#This Row],[TOTAL (R$)]]=0,"",IF(OR(receitasvariáveisconsolidadojun[[#This Row],[TOTAL (R$)]]=LARGE($AJ$96:$AJ$103,1),receitasvariáveisconsolidadojun[[#This Row],[TOTAL (R$)]]=LARGE($AJ$96:$AJ$103,2)),DADOS!$I$9,""))</f>
        <v/>
      </c>
      <c r="E96" s="96">
        <f>SUMIFS(tabela_registros[VALOR],tabela_registros[MÊS],$AE$1,tabela_registros[DIA],receitasvariáveisconsolidadojun[[#Headers],[1]],tabela_registros[REGISTRO],DADOS!$N$3,tabela_registros[TIPO],DADOS!$V$4,tabela_registros[CATEGORIA],receitasvariáveisconsolidadojun[[#This Row],[ATUAL]])</f>
        <v>0</v>
      </c>
      <c r="F96" s="91">
        <f>SUMIFS(tabela_registros[VALOR],tabela_registros[MÊS],$AE$1,tabela_registros[DIA],receitasvariáveisconsolidadojun[[#Headers],[2]],tabela_registros[REGISTRO],DADOS!$N$3,tabela_registros[TIPO],DADOS!$V$4,tabela_registros[CATEGORIA],receitasvariáveisconsolidadojun[[#This Row],[ATUAL]])</f>
        <v>0</v>
      </c>
      <c r="G96" s="91">
        <f>SUMIFS(tabela_registros[VALOR],tabela_registros[MÊS],$AE$1,tabela_registros[DIA],receitasvariáveisconsolidadojun[[#Headers],[3]],tabela_registros[REGISTRO],DADOS!$N$3,tabela_registros[TIPO],DADOS!$V$4,tabela_registros[CATEGORIA],receitasvariáveisconsolidadojun[[#This Row],[ATUAL]])</f>
        <v>0</v>
      </c>
      <c r="H96" s="91">
        <f>SUMIFS(tabela_registros[VALOR],tabela_registros[MÊS],$AE$1,tabela_registros[DIA],receitasvariáveisconsolidadojun[[#Headers],[4]],tabela_registros[REGISTRO],DADOS!$N$3,tabela_registros[TIPO],DADOS!$V$4,tabela_registros[CATEGORIA],receitasvariáveisconsolidadojun[[#This Row],[ATUAL]])</f>
        <v>0</v>
      </c>
      <c r="I96" s="91">
        <f>SUMIFS(tabela_registros[VALOR],tabela_registros[MÊS],$AE$1,tabela_registros[DIA],receitasvariáveisconsolidadojun[[#Headers],[5]],tabela_registros[REGISTRO],DADOS!$N$3,tabela_registros[TIPO],DADOS!$V$4,tabela_registros[CATEGORIA],receitasvariáveisconsolidadojun[[#This Row],[ATUAL]])</f>
        <v>0</v>
      </c>
      <c r="J96" s="91">
        <f>SUMIFS(tabela_registros[VALOR],tabela_registros[MÊS],$AE$1,tabela_registros[DIA],receitasvariáveisconsolidadojun[[#Headers],[6]],tabela_registros[REGISTRO],DADOS!$N$3,tabela_registros[TIPO],DADOS!$V$4,tabela_registros[CATEGORIA],receitasvariáveisconsolidadojun[[#This Row],[ATUAL]])</f>
        <v>0</v>
      </c>
      <c r="K96" s="91">
        <f>SUMIFS(tabela_registros[VALOR],tabela_registros[MÊS],$AE$1,tabela_registros[DIA],receitasvariáveisconsolidadojun[[#Headers],[7]],tabela_registros[REGISTRO],DADOS!$N$3,tabela_registros[TIPO],DADOS!$V$4,tabela_registros[CATEGORIA],receitasvariáveisconsolidadojun[[#This Row],[ATUAL]])</f>
        <v>0</v>
      </c>
      <c r="L96" s="91">
        <f>SUMIFS(tabela_registros[VALOR],tabela_registros[MÊS],$AE$1,tabela_registros[DIA],receitasvariáveisconsolidadojun[[#Headers],[8]],tabela_registros[REGISTRO],DADOS!$N$3,tabela_registros[TIPO],DADOS!$V$4,tabela_registros[CATEGORIA],receitasvariáveisconsolidadojun[[#This Row],[ATUAL]])</f>
        <v>0</v>
      </c>
      <c r="M96" s="91">
        <f>SUMIFS(tabela_registros[VALOR],tabela_registros[MÊS],$AE$1,tabela_registros[DIA],receitasvariáveisconsolidadojun[[#Headers],[9]],tabela_registros[REGISTRO],DADOS!$N$3,tabela_registros[TIPO],DADOS!$V$4,tabela_registros[CATEGORIA],receitasvariáveisconsolidadojun[[#This Row],[ATUAL]])</f>
        <v>0</v>
      </c>
      <c r="N96" s="91">
        <f>SUMIFS(tabela_registros[VALOR],tabela_registros[MÊS],$AE$1,tabela_registros[DIA],receitasvariáveisconsolidadojun[[#Headers],[10]],tabela_registros[REGISTRO],DADOS!$N$3,tabela_registros[TIPO],DADOS!$V$4,tabela_registros[CATEGORIA],receitasvariáveisconsolidadojun[[#This Row],[ATUAL]])</f>
        <v>0</v>
      </c>
      <c r="O96" s="91">
        <f>SUMIFS(tabela_registros[VALOR],tabela_registros[MÊS],$AE$1,tabela_registros[DIA],receitasvariáveisconsolidadojun[[#Headers],[11]],tabela_registros[REGISTRO],DADOS!$N$3,tabela_registros[TIPO],DADOS!$V$4,tabela_registros[CATEGORIA],receitasvariáveisconsolidadojun[[#This Row],[ATUAL]])</f>
        <v>0</v>
      </c>
      <c r="P96" s="91">
        <f>SUMIFS(tabela_registros[VALOR],tabela_registros[MÊS],$AE$1,tabela_registros[DIA],receitasvariáveisconsolidadojun[[#Headers],[12]],tabela_registros[REGISTRO],DADOS!$N$3,tabela_registros[TIPO],DADOS!$V$4,tabela_registros[CATEGORIA],receitasvariáveisconsolidadojun[[#This Row],[ATUAL]])</f>
        <v>0</v>
      </c>
      <c r="Q96" s="91">
        <f>SUMIFS(tabela_registros[VALOR],tabela_registros[MÊS],$AE$1,tabela_registros[DIA],receitasvariáveisconsolidadojun[[#Headers],[13]],tabela_registros[REGISTRO],DADOS!$N$3,tabela_registros[TIPO],DADOS!$V$4,tabela_registros[CATEGORIA],receitasvariáveisconsolidadojun[[#This Row],[ATUAL]])</f>
        <v>0</v>
      </c>
      <c r="R96" s="91">
        <f>SUMIFS(tabela_registros[VALOR],tabela_registros[MÊS],$AE$1,tabela_registros[DIA],receitasvariáveisconsolidadojun[[#Headers],[14]],tabela_registros[REGISTRO],DADOS!$N$3,tabela_registros[TIPO],DADOS!$V$4,tabela_registros[CATEGORIA],receitasvariáveisconsolidadojun[[#This Row],[ATUAL]])</f>
        <v>0</v>
      </c>
      <c r="S96" s="91">
        <f>SUMIFS(tabela_registros[VALOR],tabela_registros[MÊS],$AE$1,tabela_registros[DIA],receitasvariáveisconsolidadojun[[#Headers],[15]],tabela_registros[REGISTRO],DADOS!$N$3,tabela_registros[TIPO],DADOS!$V$4,tabela_registros[CATEGORIA],receitasvariáveisconsolidadojun[[#This Row],[ATUAL]])</f>
        <v>0</v>
      </c>
      <c r="T96" s="91">
        <f>SUMIFS(tabela_registros[VALOR],tabela_registros[MÊS],$AE$1,tabela_registros[DIA],receitasvariáveisconsolidadojun[[#Headers],[16]],tabela_registros[REGISTRO],DADOS!$N$3,tabela_registros[TIPO],DADOS!$V$4,tabela_registros[CATEGORIA],receitasvariáveisconsolidadojun[[#This Row],[ATUAL]])</f>
        <v>0</v>
      </c>
      <c r="U96" s="91">
        <f>SUMIFS(tabela_registros[VALOR],tabela_registros[MÊS],$AE$1,tabela_registros[DIA],receitasvariáveisconsolidadojun[[#Headers],[17]],tabela_registros[REGISTRO],DADOS!$N$3,tabela_registros[TIPO],DADOS!$V$4,tabela_registros[CATEGORIA],receitasvariáveisconsolidadojun[[#This Row],[ATUAL]])</f>
        <v>0</v>
      </c>
      <c r="V96" s="91">
        <f>SUMIFS(tabela_registros[VALOR],tabela_registros[MÊS],$AE$1,tabela_registros[DIA],receitasvariáveisconsolidadojun[[#Headers],[18]],tabela_registros[REGISTRO],DADOS!$N$3,tabela_registros[TIPO],DADOS!$V$4,tabela_registros[CATEGORIA],receitasvariáveisconsolidadojun[[#This Row],[ATUAL]])</f>
        <v>0</v>
      </c>
      <c r="W96" s="91">
        <f>SUMIFS(tabela_registros[VALOR],tabela_registros[MÊS],$AE$1,tabela_registros[DIA],receitasvariáveisconsolidadojun[[#Headers],[19]],tabela_registros[REGISTRO],DADOS!$N$3,tabela_registros[TIPO],DADOS!$V$4,tabela_registros[CATEGORIA],receitasvariáveisconsolidadojun[[#This Row],[ATUAL]])</f>
        <v>0</v>
      </c>
      <c r="X96" s="91">
        <f>SUMIFS(tabela_registros[VALOR],tabela_registros[MÊS],$AE$1,tabela_registros[DIA],receitasvariáveisconsolidadojun[[#Headers],[20]],tabela_registros[REGISTRO],DADOS!$N$3,tabela_registros[TIPO],DADOS!$V$4,tabela_registros[CATEGORIA],receitasvariáveisconsolidadojun[[#This Row],[ATUAL]])</f>
        <v>0</v>
      </c>
      <c r="Y96" s="91">
        <f>SUMIFS(tabela_registros[VALOR],tabela_registros[MÊS],$AE$1,tabela_registros[DIA],receitasvariáveisconsolidadojun[[#Headers],[21]],tabela_registros[REGISTRO],DADOS!$N$3,tabela_registros[TIPO],DADOS!$V$4,tabela_registros[CATEGORIA],receitasvariáveisconsolidadojun[[#This Row],[ATUAL]])</f>
        <v>0</v>
      </c>
      <c r="Z96" s="91">
        <f>SUMIFS(tabela_registros[VALOR],tabela_registros[MÊS],$AE$1,tabela_registros[DIA],receitasvariáveisconsolidadojun[[#Headers],[22]],tabela_registros[REGISTRO],DADOS!$N$3,tabela_registros[TIPO],DADOS!$V$4,tabela_registros[CATEGORIA],receitasvariáveisconsolidadojun[[#This Row],[ATUAL]])</f>
        <v>0</v>
      </c>
      <c r="AA96" s="91">
        <f>SUMIFS(tabela_registros[VALOR],tabela_registros[MÊS],$AE$1,tabela_registros[DIA],receitasvariáveisconsolidadojun[[#Headers],[23]],tabela_registros[REGISTRO],DADOS!$N$3,tabela_registros[TIPO],DADOS!$V$4,tabela_registros[CATEGORIA],receitasvariáveisconsolidadojun[[#This Row],[ATUAL]])</f>
        <v>0</v>
      </c>
      <c r="AB96" s="91">
        <f>SUMIFS(tabela_registros[VALOR],tabela_registros[MÊS],$AE$1,tabela_registros[DIA],receitasvariáveisconsolidadojun[[#Headers],[24]],tabela_registros[REGISTRO],DADOS!$N$3,tabela_registros[TIPO],DADOS!$V$4,tabela_registros[CATEGORIA],receitasvariáveisconsolidadojun[[#This Row],[ATUAL]])</f>
        <v>0</v>
      </c>
      <c r="AC96" s="91">
        <f>SUMIFS(tabela_registros[VALOR],tabela_registros[MÊS],$AE$1,tabela_registros[DIA],receitasvariáveisconsolidadojun[[#Headers],[25]],tabela_registros[REGISTRO],DADOS!$N$3,tabela_registros[TIPO],DADOS!$V$4,tabela_registros[CATEGORIA],receitasvariáveisconsolidadojun[[#This Row],[ATUAL]])</f>
        <v>0</v>
      </c>
      <c r="AD96" s="91">
        <f>SUMIFS(tabela_registros[VALOR],tabela_registros[MÊS],$AE$1,tabela_registros[DIA],receitasvariáveisconsolidadojun[[#Headers],[26]],tabela_registros[REGISTRO],DADOS!$N$3,tabela_registros[TIPO],DADOS!$V$4,tabela_registros[CATEGORIA],receitasvariáveisconsolidadojun[[#This Row],[ATUAL]])</f>
        <v>0</v>
      </c>
      <c r="AE96" s="91">
        <f>SUMIFS(tabela_registros[VALOR],tabela_registros[MÊS],$AE$1,tabela_registros[DIA],receitasvariáveisconsolidadojun[[#Headers],[27]],tabela_registros[REGISTRO],DADOS!$N$3,tabela_registros[TIPO],DADOS!$V$4,tabela_registros[CATEGORIA],receitasvariáveisconsolidadojun[[#This Row],[ATUAL]])</f>
        <v>0</v>
      </c>
      <c r="AF96" s="91">
        <f>SUMIFS(tabela_registros[VALOR],tabela_registros[MÊS],$AE$1,tabela_registros[DIA],receitasvariáveisconsolidadojun[[#Headers],[28]],tabela_registros[REGISTRO],DADOS!$N$3,tabela_registros[TIPO],DADOS!$V$4,tabela_registros[CATEGORIA],receitasvariáveisconsolidadojun[[#This Row],[ATUAL]])</f>
        <v>0</v>
      </c>
      <c r="AG96" s="91">
        <f>SUMIFS(tabela_registros[VALOR],tabela_registros[MÊS],$AE$1,tabela_registros[DIA],receitasvariáveisconsolidadojun[[#Headers],[29]],tabela_registros[REGISTRO],DADOS!$N$3,tabela_registros[TIPO],DADOS!$V$4,tabela_registros[CATEGORIA],receitasvariáveisconsolidadojun[[#This Row],[ATUAL]])</f>
        <v>0</v>
      </c>
      <c r="AH96" s="91">
        <f>SUMIFS(tabela_registros[VALOR],tabela_registros[MÊS],$AE$1,tabela_registros[DIA],receitasvariáveisconsolidadojun[[#Headers],[30]],tabela_registros[REGISTRO],DADOS!$N$3,tabela_registros[TIPO],DADOS!$V$4,tabela_registros[CATEGORIA],receitasvariáveisconsolidadojun[[#This Row],[ATUAL]])</f>
        <v>0</v>
      </c>
      <c r="AI96" s="101">
        <f>SUMIFS(tabela_registros[VALOR],tabela_registros[MÊS],$AE$1,tabela_registros[DIA],receitasvariáveisconsolidadojun[[#Headers],[31]],tabela_registros[REGISTRO],DADOS!$N$3,tabela_registros[TIPO],DADOS!$V$4,tabela_registros[CATEGORIA],receitasvariáveisconsolidadojun[[#This Row],[ATUAL]])</f>
        <v>0</v>
      </c>
      <c r="AJ96" s="97">
        <f>SUM(receitasvariáveisconsolidadojun[[#This Row],[1]:[31]])</f>
        <v>0</v>
      </c>
      <c r="AK96" s="25"/>
    </row>
    <row r="97" spans="2:37" ht="19.5" customHeight="1" thickTop="1" thickBot="1" x14ac:dyDescent="0.3">
      <c r="B97" s="28"/>
      <c r="C97" s="27" t="str">
        <f>DADOS!$Z$4</f>
        <v>🤑 COMISSÃO</v>
      </c>
      <c r="D97" s="26" t="str">
        <f>IF(receitasvariáveisconsolidadojun[[#This Row],[TOTAL (R$)]]=0,"",IF(OR(receitasvariáveisconsolidadojun[[#This Row],[TOTAL (R$)]]=LARGE($AJ$96:$AJ$103,1),receitasvariáveisconsolidadojun[[#This Row],[TOTAL (R$)]]=LARGE($AJ$96:$AJ$103,2)),DADOS!$I$9,""))</f>
        <v/>
      </c>
      <c r="E97" s="96">
        <f>SUMIFS(tabela_registros[VALOR],tabela_registros[MÊS],$AE$1,tabela_registros[DIA],receitasvariáveisconsolidadojun[[#Headers],[1]],tabela_registros[REGISTRO],DADOS!$N$3,tabela_registros[TIPO],DADOS!$V$4,tabela_registros[CATEGORIA],receitasvariáveisconsolidadojun[[#This Row],[ATUAL]])</f>
        <v>0</v>
      </c>
      <c r="F97" s="91">
        <f>SUMIFS(tabela_registros[VALOR],tabela_registros[MÊS],$AE$1,tabela_registros[DIA],receitasvariáveisconsolidadojun[[#Headers],[2]],tabela_registros[REGISTRO],DADOS!$N$3,tabela_registros[TIPO],DADOS!$V$4,tabela_registros[CATEGORIA],receitasvariáveisconsolidadojun[[#This Row],[ATUAL]])</f>
        <v>0</v>
      </c>
      <c r="G97" s="91">
        <f>SUMIFS(tabela_registros[VALOR],tabela_registros[MÊS],$AE$1,tabela_registros[DIA],receitasvariáveisconsolidadojun[[#Headers],[3]],tabela_registros[REGISTRO],DADOS!$N$3,tabela_registros[TIPO],DADOS!$V$4,tabela_registros[CATEGORIA],receitasvariáveisconsolidadojun[[#This Row],[ATUAL]])</f>
        <v>0</v>
      </c>
      <c r="H97" s="91">
        <f>SUMIFS(tabela_registros[VALOR],tabela_registros[MÊS],$AE$1,tabela_registros[DIA],receitasvariáveisconsolidadojun[[#Headers],[4]],tabela_registros[REGISTRO],DADOS!$N$3,tabela_registros[TIPO],DADOS!$V$4,tabela_registros[CATEGORIA],receitasvariáveisconsolidadojun[[#This Row],[ATUAL]])</f>
        <v>0</v>
      </c>
      <c r="I97" s="91">
        <f>SUMIFS(tabela_registros[VALOR],tabela_registros[MÊS],$AE$1,tabela_registros[DIA],receitasvariáveisconsolidadojun[[#Headers],[5]],tabela_registros[REGISTRO],DADOS!$N$3,tabela_registros[TIPO],DADOS!$V$4,tabela_registros[CATEGORIA],receitasvariáveisconsolidadojun[[#This Row],[ATUAL]])</f>
        <v>0</v>
      </c>
      <c r="J97" s="91">
        <f>SUMIFS(tabela_registros[VALOR],tabela_registros[MÊS],$AE$1,tabela_registros[DIA],receitasvariáveisconsolidadojun[[#Headers],[6]],tabela_registros[REGISTRO],DADOS!$N$3,tabela_registros[TIPO],DADOS!$V$4,tabela_registros[CATEGORIA],receitasvariáveisconsolidadojun[[#This Row],[ATUAL]])</f>
        <v>0</v>
      </c>
      <c r="K97" s="91">
        <f>SUMIFS(tabela_registros[VALOR],tabela_registros[MÊS],$AE$1,tabela_registros[DIA],receitasvariáveisconsolidadojun[[#Headers],[7]],tabela_registros[REGISTRO],DADOS!$N$3,tabela_registros[TIPO],DADOS!$V$4,tabela_registros[CATEGORIA],receitasvariáveisconsolidadojun[[#This Row],[ATUAL]])</f>
        <v>0</v>
      </c>
      <c r="L97" s="91">
        <f>SUMIFS(tabela_registros[VALOR],tabela_registros[MÊS],$AE$1,tabela_registros[DIA],receitasvariáveisconsolidadojun[[#Headers],[8]],tabela_registros[REGISTRO],DADOS!$N$3,tabela_registros[TIPO],DADOS!$V$4,tabela_registros[CATEGORIA],receitasvariáveisconsolidadojun[[#This Row],[ATUAL]])</f>
        <v>0</v>
      </c>
      <c r="M97" s="91">
        <f>SUMIFS(tabela_registros[VALOR],tabela_registros[MÊS],$AE$1,tabela_registros[DIA],receitasvariáveisconsolidadojun[[#Headers],[9]],tabela_registros[REGISTRO],DADOS!$N$3,tabela_registros[TIPO],DADOS!$V$4,tabela_registros[CATEGORIA],receitasvariáveisconsolidadojun[[#This Row],[ATUAL]])</f>
        <v>0</v>
      </c>
      <c r="N97" s="91">
        <f>SUMIFS(tabela_registros[VALOR],tabela_registros[MÊS],$AE$1,tabela_registros[DIA],receitasvariáveisconsolidadojun[[#Headers],[10]],tabela_registros[REGISTRO],DADOS!$N$3,tabela_registros[TIPO],DADOS!$V$4,tabela_registros[CATEGORIA],receitasvariáveisconsolidadojun[[#This Row],[ATUAL]])</f>
        <v>0</v>
      </c>
      <c r="O97" s="91">
        <f>SUMIFS(tabela_registros[VALOR],tabela_registros[MÊS],$AE$1,tabela_registros[DIA],receitasvariáveisconsolidadojun[[#Headers],[11]],tabela_registros[REGISTRO],DADOS!$N$3,tabela_registros[TIPO],DADOS!$V$4,tabela_registros[CATEGORIA],receitasvariáveisconsolidadojun[[#This Row],[ATUAL]])</f>
        <v>0</v>
      </c>
      <c r="P97" s="91">
        <f>SUMIFS(tabela_registros[VALOR],tabela_registros[MÊS],$AE$1,tabela_registros[DIA],receitasvariáveisconsolidadojun[[#Headers],[12]],tabela_registros[REGISTRO],DADOS!$N$3,tabela_registros[TIPO],DADOS!$V$4,tabela_registros[CATEGORIA],receitasvariáveisconsolidadojun[[#This Row],[ATUAL]])</f>
        <v>0</v>
      </c>
      <c r="Q97" s="91">
        <f>SUMIFS(tabela_registros[VALOR],tabela_registros[MÊS],$AE$1,tabela_registros[DIA],receitasvariáveisconsolidadojun[[#Headers],[13]],tabela_registros[REGISTRO],DADOS!$N$3,tabela_registros[TIPO],DADOS!$V$4,tabela_registros[CATEGORIA],receitasvariáveisconsolidadojun[[#This Row],[ATUAL]])</f>
        <v>0</v>
      </c>
      <c r="R97" s="91">
        <f>SUMIFS(tabela_registros[VALOR],tabela_registros[MÊS],$AE$1,tabela_registros[DIA],receitasvariáveisconsolidadojun[[#Headers],[14]],tabela_registros[REGISTRO],DADOS!$N$3,tabela_registros[TIPO],DADOS!$V$4,tabela_registros[CATEGORIA],receitasvariáveisconsolidadojun[[#This Row],[ATUAL]])</f>
        <v>0</v>
      </c>
      <c r="S97" s="91">
        <f>SUMIFS(tabela_registros[VALOR],tabela_registros[MÊS],$AE$1,tabela_registros[DIA],receitasvariáveisconsolidadojun[[#Headers],[15]],tabela_registros[REGISTRO],DADOS!$N$3,tabela_registros[TIPO],DADOS!$V$4,tabela_registros[CATEGORIA],receitasvariáveisconsolidadojun[[#This Row],[ATUAL]])</f>
        <v>0</v>
      </c>
      <c r="T97" s="91">
        <f>SUMIFS(tabela_registros[VALOR],tabela_registros[MÊS],$AE$1,tabela_registros[DIA],receitasvariáveisconsolidadojun[[#Headers],[16]],tabela_registros[REGISTRO],DADOS!$N$3,tabela_registros[TIPO],DADOS!$V$4,tabela_registros[CATEGORIA],receitasvariáveisconsolidadojun[[#This Row],[ATUAL]])</f>
        <v>0</v>
      </c>
      <c r="U97" s="91">
        <f>SUMIFS(tabela_registros[VALOR],tabela_registros[MÊS],$AE$1,tabela_registros[DIA],receitasvariáveisconsolidadojun[[#Headers],[17]],tabela_registros[REGISTRO],DADOS!$N$3,tabela_registros[TIPO],DADOS!$V$4,tabela_registros[CATEGORIA],receitasvariáveisconsolidadojun[[#This Row],[ATUAL]])</f>
        <v>0</v>
      </c>
      <c r="V97" s="91">
        <f>SUMIFS(tabela_registros[VALOR],tabela_registros[MÊS],$AE$1,tabela_registros[DIA],receitasvariáveisconsolidadojun[[#Headers],[18]],tabela_registros[REGISTRO],DADOS!$N$3,tabela_registros[TIPO],DADOS!$V$4,tabela_registros[CATEGORIA],receitasvariáveisconsolidadojun[[#This Row],[ATUAL]])</f>
        <v>0</v>
      </c>
      <c r="W97" s="91">
        <f>SUMIFS(tabela_registros[VALOR],tabela_registros[MÊS],$AE$1,tabela_registros[DIA],receitasvariáveisconsolidadojun[[#Headers],[19]],tabela_registros[REGISTRO],DADOS!$N$3,tabela_registros[TIPO],DADOS!$V$4,tabela_registros[CATEGORIA],receitasvariáveisconsolidadojun[[#This Row],[ATUAL]])</f>
        <v>0</v>
      </c>
      <c r="X97" s="91">
        <f>SUMIFS(tabela_registros[VALOR],tabela_registros[MÊS],$AE$1,tabela_registros[DIA],receitasvariáveisconsolidadojun[[#Headers],[20]],tabela_registros[REGISTRO],DADOS!$N$3,tabela_registros[TIPO],DADOS!$V$4,tabela_registros[CATEGORIA],receitasvariáveisconsolidadojun[[#This Row],[ATUAL]])</f>
        <v>0</v>
      </c>
      <c r="Y97" s="91">
        <f>SUMIFS(tabela_registros[VALOR],tabela_registros[MÊS],$AE$1,tabela_registros[DIA],receitasvariáveisconsolidadojun[[#Headers],[21]],tabela_registros[REGISTRO],DADOS!$N$3,tabela_registros[TIPO],DADOS!$V$4,tabela_registros[CATEGORIA],receitasvariáveisconsolidadojun[[#This Row],[ATUAL]])</f>
        <v>0</v>
      </c>
      <c r="Z97" s="91">
        <f>SUMIFS(tabela_registros[VALOR],tabela_registros[MÊS],$AE$1,tabela_registros[DIA],receitasvariáveisconsolidadojun[[#Headers],[22]],tabela_registros[REGISTRO],DADOS!$N$3,tabela_registros[TIPO],DADOS!$V$4,tabela_registros[CATEGORIA],receitasvariáveisconsolidadojun[[#This Row],[ATUAL]])</f>
        <v>0</v>
      </c>
      <c r="AA97" s="91">
        <f>SUMIFS(tabela_registros[VALOR],tabela_registros[MÊS],$AE$1,tabela_registros[DIA],receitasvariáveisconsolidadojun[[#Headers],[23]],tabela_registros[REGISTRO],DADOS!$N$3,tabela_registros[TIPO],DADOS!$V$4,tabela_registros[CATEGORIA],receitasvariáveisconsolidadojun[[#This Row],[ATUAL]])</f>
        <v>0</v>
      </c>
      <c r="AB97" s="91">
        <f>SUMIFS(tabela_registros[VALOR],tabela_registros[MÊS],$AE$1,tabela_registros[DIA],receitasvariáveisconsolidadojun[[#Headers],[24]],tabela_registros[REGISTRO],DADOS!$N$3,tabela_registros[TIPO],DADOS!$V$4,tabela_registros[CATEGORIA],receitasvariáveisconsolidadojun[[#This Row],[ATUAL]])</f>
        <v>0</v>
      </c>
      <c r="AC97" s="91">
        <f>SUMIFS(tabela_registros[VALOR],tabela_registros[MÊS],$AE$1,tabela_registros[DIA],receitasvariáveisconsolidadojun[[#Headers],[25]],tabela_registros[REGISTRO],DADOS!$N$3,tabela_registros[TIPO],DADOS!$V$4,tabela_registros[CATEGORIA],receitasvariáveisconsolidadojun[[#This Row],[ATUAL]])</f>
        <v>0</v>
      </c>
      <c r="AD97" s="91">
        <f>SUMIFS(tabela_registros[VALOR],tabela_registros[MÊS],$AE$1,tabela_registros[DIA],receitasvariáveisconsolidadojun[[#Headers],[26]],tabela_registros[REGISTRO],DADOS!$N$3,tabela_registros[TIPO],DADOS!$V$4,tabela_registros[CATEGORIA],receitasvariáveisconsolidadojun[[#This Row],[ATUAL]])</f>
        <v>0</v>
      </c>
      <c r="AE97" s="91">
        <f>SUMIFS(tabela_registros[VALOR],tabela_registros[MÊS],$AE$1,tabela_registros[DIA],receitasvariáveisconsolidadojun[[#Headers],[27]],tabela_registros[REGISTRO],DADOS!$N$3,tabela_registros[TIPO],DADOS!$V$4,tabela_registros[CATEGORIA],receitasvariáveisconsolidadojun[[#This Row],[ATUAL]])</f>
        <v>0</v>
      </c>
      <c r="AF97" s="91">
        <f>SUMIFS(tabela_registros[VALOR],tabela_registros[MÊS],$AE$1,tabela_registros[DIA],receitasvariáveisconsolidadojun[[#Headers],[28]],tabela_registros[REGISTRO],DADOS!$N$3,tabela_registros[TIPO],DADOS!$V$4,tabela_registros[CATEGORIA],receitasvariáveisconsolidadojun[[#This Row],[ATUAL]])</f>
        <v>0</v>
      </c>
      <c r="AG97" s="91">
        <f>SUMIFS(tabela_registros[VALOR],tabela_registros[MÊS],$AE$1,tabela_registros[DIA],receitasvariáveisconsolidadojun[[#Headers],[29]],tabela_registros[REGISTRO],DADOS!$N$3,tabela_registros[TIPO],DADOS!$V$4,tabela_registros[CATEGORIA],receitasvariáveisconsolidadojun[[#This Row],[ATUAL]])</f>
        <v>0</v>
      </c>
      <c r="AH97" s="91">
        <f>SUMIFS(tabela_registros[VALOR],tabela_registros[MÊS],$AE$1,tabela_registros[DIA],receitasvariáveisconsolidadojun[[#Headers],[30]],tabela_registros[REGISTRO],DADOS!$N$3,tabela_registros[TIPO],DADOS!$V$4,tabela_registros[CATEGORIA],receitasvariáveisconsolidadojun[[#This Row],[ATUAL]])</f>
        <v>0</v>
      </c>
      <c r="AI97" s="101">
        <f>SUMIFS(tabela_registros[VALOR],tabela_registros[MÊS],$AE$1,tabela_registros[DIA],receitasvariáveisconsolidadojun[[#Headers],[31]],tabela_registros[REGISTRO],DADOS!$N$3,tabela_registros[TIPO],DADOS!$V$4,tabela_registros[CATEGORIA],receitasvariáveisconsolidadojun[[#This Row],[ATUAL]])</f>
        <v>0</v>
      </c>
      <c r="AJ97" s="97">
        <f>SUM(receitasvariáveisconsolidadojun[[#This Row],[1]:[31]])</f>
        <v>0</v>
      </c>
      <c r="AK97" s="25"/>
    </row>
    <row r="98" spans="2:37" ht="19.5" customHeight="1" thickTop="1" thickBot="1" x14ac:dyDescent="0.3">
      <c r="B98" s="28"/>
      <c r="C98" s="27" t="str">
        <f>DADOS!$Z$5</f>
        <v>🎗️ HERANÇA</v>
      </c>
      <c r="D98" s="26" t="str">
        <f>IF(receitasvariáveisconsolidadojun[[#This Row],[TOTAL (R$)]]=0,"",IF(OR(receitasvariáveisconsolidadojun[[#This Row],[TOTAL (R$)]]=LARGE($AJ$96:$AJ$103,1),receitasvariáveisconsolidadojun[[#This Row],[TOTAL (R$)]]=LARGE($AJ$96:$AJ$103,2)),DADOS!$I$9,""))</f>
        <v/>
      </c>
      <c r="E98" s="96">
        <f>SUMIFS(tabela_registros[VALOR],tabela_registros[MÊS],$AE$1,tabela_registros[DIA],receitasvariáveisconsolidadojun[[#Headers],[1]],tabela_registros[REGISTRO],DADOS!$N$3,tabela_registros[TIPO],DADOS!$V$4,tabela_registros[CATEGORIA],receitasvariáveisconsolidadojun[[#This Row],[ATUAL]])</f>
        <v>0</v>
      </c>
      <c r="F98" s="91">
        <f>SUMIFS(tabela_registros[VALOR],tabela_registros[MÊS],$AE$1,tabela_registros[DIA],receitasvariáveisconsolidadojun[[#Headers],[2]],tabela_registros[REGISTRO],DADOS!$N$3,tabela_registros[TIPO],DADOS!$V$4,tabela_registros[CATEGORIA],receitasvariáveisconsolidadojun[[#This Row],[ATUAL]])</f>
        <v>0</v>
      </c>
      <c r="G98" s="91">
        <f>SUMIFS(tabela_registros[VALOR],tabela_registros[MÊS],$AE$1,tabela_registros[DIA],receitasvariáveisconsolidadojun[[#Headers],[3]],tabela_registros[REGISTRO],DADOS!$N$3,tabela_registros[TIPO],DADOS!$V$4,tabela_registros[CATEGORIA],receitasvariáveisconsolidadojun[[#This Row],[ATUAL]])</f>
        <v>0</v>
      </c>
      <c r="H98" s="91">
        <f>SUMIFS(tabela_registros[VALOR],tabela_registros[MÊS],$AE$1,tabela_registros[DIA],receitasvariáveisconsolidadojun[[#Headers],[4]],tabela_registros[REGISTRO],DADOS!$N$3,tabela_registros[TIPO],DADOS!$V$4,tabela_registros[CATEGORIA],receitasvariáveisconsolidadojun[[#This Row],[ATUAL]])</f>
        <v>0</v>
      </c>
      <c r="I98" s="91">
        <f>SUMIFS(tabela_registros[VALOR],tabela_registros[MÊS],$AE$1,tabela_registros[DIA],receitasvariáveisconsolidadojun[[#Headers],[5]],tabela_registros[REGISTRO],DADOS!$N$3,tabela_registros[TIPO],DADOS!$V$4,tabela_registros[CATEGORIA],receitasvariáveisconsolidadojun[[#This Row],[ATUAL]])</f>
        <v>0</v>
      </c>
      <c r="J98" s="91">
        <f>SUMIFS(tabela_registros[VALOR],tabela_registros[MÊS],$AE$1,tabela_registros[DIA],receitasvariáveisconsolidadojun[[#Headers],[6]],tabela_registros[REGISTRO],DADOS!$N$3,tabela_registros[TIPO],DADOS!$V$4,tabela_registros[CATEGORIA],receitasvariáveisconsolidadojun[[#This Row],[ATUAL]])</f>
        <v>0</v>
      </c>
      <c r="K98" s="91">
        <f>SUMIFS(tabela_registros[VALOR],tabela_registros[MÊS],$AE$1,tabela_registros[DIA],receitasvariáveisconsolidadojun[[#Headers],[7]],tabela_registros[REGISTRO],DADOS!$N$3,tabela_registros[TIPO],DADOS!$V$4,tabela_registros[CATEGORIA],receitasvariáveisconsolidadojun[[#This Row],[ATUAL]])</f>
        <v>0</v>
      </c>
      <c r="L98" s="91">
        <f>SUMIFS(tabela_registros[VALOR],tabela_registros[MÊS],$AE$1,tabela_registros[DIA],receitasvariáveisconsolidadojun[[#Headers],[8]],tabela_registros[REGISTRO],DADOS!$N$3,tabela_registros[TIPO],DADOS!$V$4,tabela_registros[CATEGORIA],receitasvariáveisconsolidadojun[[#This Row],[ATUAL]])</f>
        <v>0</v>
      </c>
      <c r="M98" s="91">
        <f>SUMIFS(tabela_registros[VALOR],tabela_registros[MÊS],$AE$1,tabela_registros[DIA],receitasvariáveisconsolidadojun[[#Headers],[9]],tabela_registros[REGISTRO],DADOS!$N$3,tabela_registros[TIPO],DADOS!$V$4,tabela_registros[CATEGORIA],receitasvariáveisconsolidadojun[[#This Row],[ATUAL]])</f>
        <v>0</v>
      </c>
      <c r="N98" s="91">
        <f>SUMIFS(tabela_registros[VALOR],tabela_registros[MÊS],$AE$1,tabela_registros[DIA],receitasvariáveisconsolidadojun[[#Headers],[10]],tabela_registros[REGISTRO],DADOS!$N$3,tabela_registros[TIPO],DADOS!$V$4,tabela_registros[CATEGORIA],receitasvariáveisconsolidadojun[[#This Row],[ATUAL]])</f>
        <v>0</v>
      </c>
      <c r="O98" s="91">
        <f>SUMIFS(tabela_registros[VALOR],tabela_registros[MÊS],$AE$1,tabela_registros[DIA],receitasvariáveisconsolidadojun[[#Headers],[11]],tabela_registros[REGISTRO],DADOS!$N$3,tabela_registros[TIPO],DADOS!$V$4,tabela_registros[CATEGORIA],receitasvariáveisconsolidadojun[[#This Row],[ATUAL]])</f>
        <v>0</v>
      </c>
      <c r="P98" s="91">
        <f>SUMIFS(tabela_registros[VALOR],tabela_registros[MÊS],$AE$1,tabela_registros[DIA],receitasvariáveisconsolidadojun[[#Headers],[12]],tabela_registros[REGISTRO],DADOS!$N$3,tabela_registros[TIPO],DADOS!$V$4,tabela_registros[CATEGORIA],receitasvariáveisconsolidadojun[[#This Row],[ATUAL]])</f>
        <v>0</v>
      </c>
      <c r="Q98" s="91">
        <f>SUMIFS(tabela_registros[VALOR],tabela_registros[MÊS],$AE$1,tabela_registros[DIA],receitasvariáveisconsolidadojun[[#Headers],[13]],tabela_registros[REGISTRO],DADOS!$N$3,tabela_registros[TIPO],DADOS!$V$4,tabela_registros[CATEGORIA],receitasvariáveisconsolidadojun[[#This Row],[ATUAL]])</f>
        <v>0</v>
      </c>
      <c r="R98" s="91">
        <f>SUMIFS(tabela_registros[VALOR],tabela_registros[MÊS],$AE$1,tabela_registros[DIA],receitasvariáveisconsolidadojun[[#Headers],[14]],tabela_registros[REGISTRO],DADOS!$N$3,tabela_registros[TIPO],DADOS!$V$4,tabela_registros[CATEGORIA],receitasvariáveisconsolidadojun[[#This Row],[ATUAL]])</f>
        <v>0</v>
      </c>
      <c r="S98" s="91">
        <f>SUMIFS(tabela_registros[VALOR],tabela_registros[MÊS],$AE$1,tabela_registros[DIA],receitasvariáveisconsolidadojun[[#Headers],[15]],tabela_registros[REGISTRO],DADOS!$N$3,tabela_registros[TIPO],DADOS!$V$4,tabela_registros[CATEGORIA],receitasvariáveisconsolidadojun[[#This Row],[ATUAL]])</f>
        <v>0</v>
      </c>
      <c r="T98" s="91">
        <f>SUMIFS(tabela_registros[VALOR],tabela_registros[MÊS],$AE$1,tabela_registros[DIA],receitasvariáveisconsolidadojun[[#Headers],[16]],tabela_registros[REGISTRO],DADOS!$N$3,tabela_registros[TIPO],DADOS!$V$4,tabela_registros[CATEGORIA],receitasvariáveisconsolidadojun[[#This Row],[ATUAL]])</f>
        <v>0</v>
      </c>
      <c r="U98" s="91">
        <f>SUMIFS(tabela_registros[VALOR],tabela_registros[MÊS],$AE$1,tabela_registros[DIA],receitasvariáveisconsolidadojun[[#Headers],[17]],tabela_registros[REGISTRO],DADOS!$N$3,tabela_registros[TIPO],DADOS!$V$4,tabela_registros[CATEGORIA],receitasvariáveisconsolidadojun[[#This Row],[ATUAL]])</f>
        <v>0</v>
      </c>
      <c r="V98" s="91">
        <f>SUMIFS(tabela_registros[VALOR],tabela_registros[MÊS],$AE$1,tabela_registros[DIA],receitasvariáveisconsolidadojun[[#Headers],[18]],tabela_registros[REGISTRO],DADOS!$N$3,tabela_registros[TIPO],DADOS!$V$4,tabela_registros[CATEGORIA],receitasvariáveisconsolidadojun[[#This Row],[ATUAL]])</f>
        <v>0</v>
      </c>
      <c r="W98" s="91">
        <f>SUMIFS(tabela_registros[VALOR],tabela_registros[MÊS],$AE$1,tabela_registros[DIA],receitasvariáveisconsolidadojun[[#Headers],[19]],tabela_registros[REGISTRO],DADOS!$N$3,tabela_registros[TIPO],DADOS!$V$4,tabela_registros[CATEGORIA],receitasvariáveisconsolidadojun[[#This Row],[ATUAL]])</f>
        <v>0</v>
      </c>
      <c r="X98" s="91">
        <f>SUMIFS(tabela_registros[VALOR],tabela_registros[MÊS],$AE$1,tabela_registros[DIA],receitasvariáveisconsolidadojun[[#Headers],[20]],tabela_registros[REGISTRO],DADOS!$N$3,tabela_registros[TIPO],DADOS!$V$4,tabela_registros[CATEGORIA],receitasvariáveisconsolidadojun[[#This Row],[ATUAL]])</f>
        <v>0</v>
      </c>
      <c r="Y98" s="91">
        <f>SUMIFS(tabela_registros[VALOR],tabela_registros[MÊS],$AE$1,tabela_registros[DIA],receitasvariáveisconsolidadojun[[#Headers],[21]],tabela_registros[REGISTRO],DADOS!$N$3,tabela_registros[TIPO],DADOS!$V$4,tabela_registros[CATEGORIA],receitasvariáveisconsolidadojun[[#This Row],[ATUAL]])</f>
        <v>0</v>
      </c>
      <c r="Z98" s="91">
        <f>SUMIFS(tabela_registros[VALOR],tabela_registros[MÊS],$AE$1,tabela_registros[DIA],receitasvariáveisconsolidadojun[[#Headers],[22]],tabela_registros[REGISTRO],DADOS!$N$3,tabela_registros[TIPO],DADOS!$V$4,tabela_registros[CATEGORIA],receitasvariáveisconsolidadojun[[#This Row],[ATUAL]])</f>
        <v>0</v>
      </c>
      <c r="AA98" s="91">
        <f>SUMIFS(tabela_registros[VALOR],tabela_registros[MÊS],$AE$1,tabela_registros[DIA],receitasvariáveisconsolidadojun[[#Headers],[23]],tabela_registros[REGISTRO],DADOS!$N$3,tabela_registros[TIPO],DADOS!$V$4,tabela_registros[CATEGORIA],receitasvariáveisconsolidadojun[[#This Row],[ATUAL]])</f>
        <v>0</v>
      </c>
      <c r="AB98" s="91">
        <f>SUMIFS(tabela_registros[VALOR],tabela_registros[MÊS],$AE$1,tabela_registros[DIA],receitasvariáveisconsolidadojun[[#Headers],[24]],tabela_registros[REGISTRO],DADOS!$N$3,tabela_registros[TIPO],DADOS!$V$4,tabela_registros[CATEGORIA],receitasvariáveisconsolidadojun[[#This Row],[ATUAL]])</f>
        <v>0</v>
      </c>
      <c r="AC98" s="91">
        <f>SUMIFS(tabela_registros[VALOR],tabela_registros[MÊS],$AE$1,tabela_registros[DIA],receitasvariáveisconsolidadojun[[#Headers],[25]],tabela_registros[REGISTRO],DADOS!$N$3,tabela_registros[TIPO],DADOS!$V$4,tabela_registros[CATEGORIA],receitasvariáveisconsolidadojun[[#This Row],[ATUAL]])</f>
        <v>0</v>
      </c>
      <c r="AD98" s="91">
        <f>SUMIFS(tabela_registros[VALOR],tabela_registros[MÊS],$AE$1,tabela_registros[DIA],receitasvariáveisconsolidadojun[[#Headers],[26]],tabela_registros[REGISTRO],DADOS!$N$3,tabela_registros[TIPO],DADOS!$V$4,tabela_registros[CATEGORIA],receitasvariáveisconsolidadojun[[#This Row],[ATUAL]])</f>
        <v>0</v>
      </c>
      <c r="AE98" s="91">
        <f>SUMIFS(tabela_registros[VALOR],tabela_registros[MÊS],$AE$1,tabela_registros[DIA],receitasvariáveisconsolidadojun[[#Headers],[27]],tabela_registros[REGISTRO],DADOS!$N$3,tabela_registros[TIPO],DADOS!$V$4,tabela_registros[CATEGORIA],receitasvariáveisconsolidadojun[[#This Row],[ATUAL]])</f>
        <v>0</v>
      </c>
      <c r="AF98" s="91">
        <f>SUMIFS(tabela_registros[VALOR],tabela_registros[MÊS],$AE$1,tabela_registros[DIA],receitasvariáveisconsolidadojun[[#Headers],[28]],tabela_registros[REGISTRO],DADOS!$N$3,tabela_registros[TIPO],DADOS!$V$4,tabela_registros[CATEGORIA],receitasvariáveisconsolidadojun[[#This Row],[ATUAL]])</f>
        <v>0</v>
      </c>
      <c r="AG98" s="91">
        <f>SUMIFS(tabela_registros[VALOR],tabela_registros[MÊS],$AE$1,tabela_registros[DIA],receitasvariáveisconsolidadojun[[#Headers],[29]],tabela_registros[REGISTRO],DADOS!$N$3,tabela_registros[TIPO],DADOS!$V$4,tabela_registros[CATEGORIA],receitasvariáveisconsolidadojun[[#This Row],[ATUAL]])</f>
        <v>0</v>
      </c>
      <c r="AH98" s="91">
        <f>SUMIFS(tabela_registros[VALOR],tabela_registros[MÊS],$AE$1,tabela_registros[DIA],receitasvariáveisconsolidadojun[[#Headers],[30]],tabela_registros[REGISTRO],DADOS!$N$3,tabela_registros[TIPO],DADOS!$V$4,tabela_registros[CATEGORIA],receitasvariáveisconsolidadojun[[#This Row],[ATUAL]])</f>
        <v>0</v>
      </c>
      <c r="AI98" s="101">
        <f>SUMIFS(tabela_registros[VALOR],tabela_registros[MÊS],$AE$1,tabela_registros[DIA],receitasvariáveisconsolidadojun[[#Headers],[31]],tabela_registros[REGISTRO],DADOS!$N$3,tabela_registros[TIPO],DADOS!$V$4,tabela_registros[CATEGORIA],receitasvariáveisconsolidadojun[[#This Row],[ATUAL]])</f>
        <v>0</v>
      </c>
      <c r="AJ98" s="97">
        <f>SUM(receitasvariáveisconsolidadojun[[#This Row],[1]:[31]])</f>
        <v>0</v>
      </c>
      <c r="AK98" s="25"/>
    </row>
    <row r="99" spans="2:37" ht="19.5" customHeight="1" thickTop="1" thickBot="1" x14ac:dyDescent="0.3">
      <c r="B99" s="28"/>
      <c r="C99" s="27" t="str">
        <f>DADOS!$Z$6</f>
        <v>💲 INVESTIMENTOS</v>
      </c>
      <c r="D99" s="26" t="str">
        <f>IF(receitasvariáveisconsolidadojun[[#This Row],[TOTAL (R$)]]=0,"",IF(OR(receitasvariáveisconsolidadojun[[#This Row],[TOTAL (R$)]]=LARGE($AJ$96:$AJ$103,1),receitasvariáveisconsolidadojun[[#This Row],[TOTAL (R$)]]=LARGE($AJ$96:$AJ$103,2)),DADOS!$I$9,""))</f>
        <v/>
      </c>
      <c r="E99" s="96">
        <f>SUMIFS(tabela_registros[VALOR],tabela_registros[MÊS],$AE$1,tabela_registros[DIA],receitasvariáveisconsolidadojun[[#Headers],[1]],tabela_registros[REGISTRO],DADOS!$N$3,tabela_registros[TIPO],DADOS!$V$4,tabela_registros[CATEGORIA],receitasvariáveisconsolidadojun[[#This Row],[ATUAL]])</f>
        <v>0</v>
      </c>
      <c r="F99" s="91">
        <f>SUMIFS(tabela_registros[VALOR],tabela_registros[MÊS],$AE$1,tabela_registros[DIA],receitasvariáveisconsolidadojun[[#Headers],[2]],tabela_registros[REGISTRO],DADOS!$N$3,tabela_registros[TIPO],DADOS!$V$4,tabela_registros[CATEGORIA],receitasvariáveisconsolidadojun[[#This Row],[ATUAL]])</f>
        <v>0</v>
      </c>
      <c r="G99" s="91">
        <f>SUMIFS(tabela_registros[VALOR],tabela_registros[MÊS],$AE$1,tabela_registros[DIA],receitasvariáveisconsolidadojun[[#Headers],[3]],tabela_registros[REGISTRO],DADOS!$N$3,tabela_registros[TIPO],DADOS!$V$4,tabela_registros[CATEGORIA],receitasvariáveisconsolidadojun[[#This Row],[ATUAL]])</f>
        <v>0</v>
      </c>
      <c r="H99" s="91">
        <f>SUMIFS(tabela_registros[VALOR],tabela_registros[MÊS],$AE$1,tabela_registros[DIA],receitasvariáveisconsolidadojun[[#Headers],[4]],tabela_registros[REGISTRO],DADOS!$N$3,tabela_registros[TIPO],DADOS!$V$4,tabela_registros[CATEGORIA],receitasvariáveisconsolidadojun[[#This Row],[ATUAL]])</f>
        <v>0</v>
      </c>
      <c r="I99" s="91">
        <f>SUMIFS(tabela_registros[VALOR],tabela_registros[MÊS],$AE$1,tabela_registros[DIA],receitasvariáveisconsolidadojun[[#Headers],[5]],tabela_registros[REGISTRO],DADOS!$N$3,tabela_registros[TIPO],DADOS!$V$4,tabela_registros[CATEGORIA],receitasvariáveisconsolidadojun[[#This Row],[ATUAL]])</f>
        <v>0</v>
      </c>
      <c r="J99" s="91">
        <f>SUMIFS(tabela_registros[VALOR],tabela_registros[MÊS],$AE$1,tabela_registros[DIA],receitasvariáveisconsolidadojun[[#Headers],[6]],tabela_registros[REGISTRO],DADOS!$N$3,tabela_registros[TIPO],DADOS!$V$4,tabela_registros[CATEGORIA],receitasvariáveisconsolidadojun[[#This Row],[ATUAL]])</f>
        <v>0</v>
      </c>
      <c r="K99" s="91">
        <f>SUMIFS(tabela_registros[VALOR],tabela_registros[MÊS],$AE$1,tabela_registros[DIA],receitasvariáveisconsolidadojun[[#Headers],[7]],tabela_registros[REGISTRO],DADOS!$N$3,tabela_registros[TIPO],DADOS!$V$4,tabela_registros[CATEGORIA],receitasvariáveisconsolidadojun[[#This Row],[ATUAL]])</f>
        <v>0</v>
      </c>
      <c r="L99" s="91">
        <f>SUMIFS(tabela_registros[VALOR],tabela_registros[MÊS],$AE$1,tabela_registros[DIA],receitasvariáveisconsolidadojun[[#Headers],[8]],tabela_registros[REGISTRO],DADOS!$N$3,tabela_registros[TIPO],DADOS!$V$4,tabela_registros[CATEGORIA],receitasvariáveisconsolidadojun[[#This Row],[ATUAL]])</f>
        <v>0</v>
      </c>
      <c r="M99" s="91">
        <f>SUMIFS(tabela_registros[VALOR],tabela_registros[MÊS],$AE$1,tabela_registros[DIA],receitasvariáveisconsolidadojun[[#Headers],[9]],tabela_registros[REGISTRO],DADOS!$N$3,tabela_registros[TIPO],DADOS!$V$4,tabela_registros[CATEGORIA],receitasvariáveisconsolidadojun[[#This Row],[ATUAL]])</f>
        <v>0</v>
      </c>
      <c r="N99" s="91">
        <f>SUMIFS(tabela_registros[VALOR],tabela_registros[MÊS],$AE$1,tabela_registros[DIA],receitasvariáveisconsolidadojun[[#Headers],[10]],tabela_registros[REGISTRO],DADOS!$N$3,tabela_registros[TIPO],DADOS!$V$4,tabela_registros[CATEGORIA],receitasvariáveisconsolidadojun[[#This Row],[ATUAL]])</f>
        <v>0</v>
      </c>
      <c r="O99" s="91">
        <f>SUMIFS(tabela_registros[VALOR],tabela_registros[MÊS],$AE$1,tabela_registros[DIA],receitasvariáveisconsolidadojun[[#Headers],[11]],tabela_registros[REGISTRO],DADOS!$N$3,tabela_registros[TIPO],DADOS!$V$4,tabela_registros[CATEGORIA],receitasvariáveisconsolidadojun[[#This Row],[ATUAL]])</f>
        <v>0</v>
      </c>
      <c r="P99" s="91">
        <f>SUMIFS(tabela_registros[VALOR],tabela_registros[MÊS],$AE$1,tabela_registros[DIA],receitasvariáveisconsolidadojun[[#Headers],[12]],tabela_registros[REGISTRO],DADOS!$N$3,tabela_registros[TIPO],DADOS!$V$4,tabela_registros[CATEGORIA],receitasvariáveisconsolidadojun[[#This Row],[ATUAL]])</f>
        <v>0</v>
      </c>
      <c r="Q99" s="91">
        <f>SUMIFS(tabela_registros[VALOR],tabela_registros[MÊS],$AE$1,tabela_registros[DIA],receitasvariáveisconsolidadojun[[#Headers],[13]],tabela_registros[REGISTRO],DADOS!$N$3,tabela_registros[TIPO],DADOS!$V$4,tabela_registros[CATEGORIA],receitasvariáveisconsolidadojun[[#This Row],[ATUAL]])</f>
        <v>0</v>
      </c>
      <c r="R99" s="91">
        <f>SUMIFS(tabela_registros[VALOR],tabela_registros[MÊS],$AE$1,tabela_registros[DIA],receitasvariáveisconsolidadojun[[#Headers],[14]],tabela_registros[REGISTRO],DADOS!$N$3,tabela_registros[TIPO],DADOS!$V$4,tabela_registros[CATEGORIA],receitasvariáveisconsolidadojun[[#This Row],[ATUAL]])</f>
        <v>0</v>
      </c>
      <c r="S99" s="91">
        <f>SUMIFS(tabela_registros[VALOR],tabela_registros[MÊS],$AE$1,tabela_registros[DIA],receitasvariáveisconsolidadojun[[#Headers],[15]],tabela_registros[REGISTRO],DADOS!$N$3,tabela_registros[TIPO],DADOS!$V$4,tabela_registros[CATEGORIA],receitasvariáveisconsolidadojun[[#This Row],[ATUAL]])</f>
        <v>0</v>
      </c>
      <c r="T99" s="91">
        <f>SUMIFS(tabela_registros[VALOR],tabela_registros[MÊS],$AE$1,tabela_registros[DIA],receitasvariáveisconsolidadojun[[#Headers],[16]],tabela_registros[REGISTRO],DADOS!$N$3,tabela_registros[TIPO],DADOS!$V$4,tabela_registros[CATEGORIA],receitasvariáveisconsolidadojun[[#This Row],[ATUAL]])</f>
        <v>0</v>
      </c>
      <c r="U99" s="91">
        <f>SUMIFS(tabela_registros[VALOR],tabela_registros[MÊS],$AE$1,tabela_registros[DIA],receitasvariáveisconsolidadojun[[#Headers],[17]],tabela_registros[REGISTRO],DADOS!$N$3,tabela_registros[TIPO],DADOS!$V$4,tabela_registros[CATEGORIA],receitasvariáveisconsolidadojun[[#This Row],[ATUAL]])</f>
        <v>0</v>
      </c>
      <c r="V99" s="91">
        <f>SUMIFS(tabela_registros[VALOR],tabela_registros[MÊS],$AE$1,tabela_registros[DIA],receitasvariáveisconsolidadojun[[#Headers],[18]],tabela_registros[REGISTRO],DADOS!$N$3,tabela_registros[TIPO],DADOS!$V$4,tabela_registros[CATEGORIA],receitasvariáveisconsolidadojun[[#This Row],[ATUAL]])</f>
        <v>0</v>
      </c>
      <c r="W99" s="91">
        <f>SUMIFS(tabela_registros[VALOR],tabela_registros[MÊS],$AE$1,tabela_registros[DIA],receitasvariáveisconsolidadojun[[#Headers],[19]],tabela_registros[REGISTRO],DADOS!$N$3,tabela_registros[TIPO],DADOS!$V$4,tabela_registros[CATEGORIA],receitasvariáveisconsolidadojun[[#This Row],[ATUAL]])</f>
        <v>0</v>
      </c>
      <c r="X99" s="91">
        <f>SUMIFS(tabela_registros[VALOR],tabela_registros[MÊS],$AE$1,tabela_registros[DIA],receitasvariáveisconsolidadojun[[#Headers],[20]],tabela_registros[REGISTRO],DADOS!$N$3,tabela_registros[TIPO],DADOS!$V$4,tabela_registros[CATEGORIA],receitasvariáveisconsolidadojun[[#This Row],[ATUAL]])</f>
        <v>0</v>
      </c>
      <c r="Y99" s="91">
        <f>SUMIFS(tabela_registros[VALOR],tabela_registros[MÊS],$AE$1,tabela_registros[DIA],receitasvariáveisconsolidadojun[[#Headers],[21]],tabela_registros[REGISTRO],DADOS!$N$3,tabela_registros[TIPO],DADOS!$V$4,tabela_registros[CATEGORIA],receitasvariáveisconsolidadojun[[#This Row],[ATUAL]])</f>
        <v>0</v>
      </c>
      <c r="Z99" s="91">
        <f>SUMIFS(tabela_registros[VALOR],tabela_registros[MÊS],$AE$1,tabela_registros[DIA],receitasvariáveisconsolidadojun[[#Headers],[22]],tabela_registros[REGISTRO],DADOS!$N$3,tabela_registros[TIPO],DADOS!$V$4,tabela_registros[CATEGORIA],receitasvariáveisconsolidadojun[[#This Row],[ATUAL]])</f>
        <v>0</v>
      </c>
      <c r="AA99" s="91">
        <f>SUMIFS(tabela_registros[VALOR],tabela_registros[MÊS],$AE$1,tabela_registros[DIA],receitasvariáveisconsolidadojun[[#Headers],[23]],tabela_registros[REGISTRO],DADOS!$N$3,tabela_registros[TIPO],DADOS!$V$4,tabela_registros[CATEGORIA],receitasvariáveisconsolidadojun[[#This Row],[ATUAL]])</f>
        <v>0</v>
      </c>
      <c r="AB99" s="91">
        <f>SUMIFS(tabela_registros[VALOR],tabela_registros[MÊS],$AE$1,tabela_registros[DIA],receitasvariáveisconsolidadojun[[#Headers],[24]],tabela_registros[REGISTRO],DADOS!$N$3,tabela_registros[TIPO],DADOS!$V$4,tabela_registros[CATEGORIA],receitasvariáveisconsolidadojun[[#This Row],[ATUAL]])</f>
        <v>0</v>
      </c>
      <c r="AC99" s="91">
        <f>SUMIFS(tabela_registros[VALOR],tabela_registros[MÊS],$AE$1,tabela_registros[DIA],receitasvariáveisconsolidadojun[[#Headers],[25]],tabela_registros[REGISTRO],DADOS!$N$3,tabela_registros[TIPO],DADOS!$V$4,tabela_registros[CATEGORIA],receitasvariáveisconsolidadojun[[#This Row],[ATUAL]])</f>
        <v>0</v>
      </c>
      <c r="AD99" s="91">
        <f>SUMIFS(tabela_registros[VALOR],tabela_registros[MÊS],$AE$1,tabela_registros[DIA],receitasvariáveisconsolidadojun[[#Headers],[26]],tabela_registros[REGISTRO],DADOS!$N$3,tabela_registros[TIPO],DADOS!$V$4,tabela_registros[CATEGORIA],receitasvariáveisconsolidadojun[[#This Row],[ATUAL]])</f>
        <v>0</v>
      </c>
      <c r="AE99" s="91">
        <f>SUMIFS(tabela_registros[VALOR],tabela_registros[MÊS],$AE$1,tabela_registros[DIA],receitasvariáveisconsolidadojun[[#Headers],[27]],tabela_registros[REGISTRO],DADOS!$N$3,tabela_registros[TIPO],DADOS!$V$4,tabela_registros[CATEGORIA],receitasvariáveisconsolidadojun[[#This Row],[ATUAL]])</f>
        <v>0</v>
      </c>
      <c r="AF99" s="91">
        <f>SUMIFS(tabela_registros[VALOR],tabela_registros[MÊS],$AE$1,tabela_registros[DIA],receitasvariáveisconsolidadojun[[#Headers],[28]],tabela_registros[REGISTRO],DADOS!$N$3,tabela_registros[TIPO],DADOS!$V$4,tabela_registros[CATEGORIA],receitasvariáveisconsolidadojun[[#This Row],[ATUAL]])</f>
        <v>0</v>
      </c>
      <c r="AG99" s="91">
        <f>SUMIFS(tabela_registros[VALOR],tabela_registros[MÊS],$AE$1,tabela_registros[DIA],receitasvariáveisconsolidadojun[[#Headers],[29]],tabela_registros[REGISTRO],DADOS!$N$3,tabela_registros[TIPO],DADOS!$V$4,tabela_registros[CATEGORIA],receitasvariáveisconsolidadojun[[#This Row],[ATUAL]])</f>
        <v>0</v>
      </c>
      <c r="AH99" s="91">
        <f>SUMIFS(tabela_registros[VALOR],tabela_registros[MÊS],$AE$1,tabela_registros[DIA],receitasvariáveisconsolidadojun[[#Headers],[30]],tabela_registros[REGISTRO],DADOS!$N$3,tabela_registros[TIPO],DADOS!$V$4,tabela_registros[CATEGORIA],receitasvariáveisconsolidadojun[[#This Row],[ATUAL]])</f>
        <v>0</v>
      </c>
      <c r="AI99" s="101">
        <f>SUMIFS(tabela_registros[VALOR],tabela_registros[MÊS],$AE$1,tabela_registros[DIA],receitasvariáveisconsolidadojun[[#Headers],[31]],tabela_registros[REGISTRO],DADOS!$N$3,tabela_registros[TIPO],DADOS!$V$4,tabela_registros[CATEGORIA],receitasvariáveisconsolidadojun[[#This Row],[ATUAL]])</f>
        <v>0</v>
      </c>
      <c r="AJ99" s="97">
        <f>SUM(receitasvariáveisconsolidadojun[[#This Row],[1]:[31]])</f>
        <v>0</v>
      </c>
      <c r="AK99" s="25"/>
    </row>
    <row r="100" spans="2:37" ht="19.5" customHeight="1" thickTop="1" thickBot="1" x14ac:dyDescent="0.3">
      <c r="B100" s="28"/>
      <c r="C100" s="27" t="str">
        <f>DADOS!$Z$7</f>
        <v>🧾 NOTA DE SERVIÇO</v>
      </c>
      <c r="D100" s="26" t="str">
        <f>IF(receitasvariáveisconsolidadojun[[#This Row],[TOTAL (R$)]]=0,"",IF(OR(receitasvariáveisconsolidadojun[[#This Row],[TOTAL (R$)]]=LARGE($AJ$96:$AJ$103,1),receitasvariáveisconsolidadojun[[#This Row],[TOTAL (R$)]]=LARGE($AJ$96:$AJ$103,2)),DADOS!$I$9,""))</f>
        <v/>
      </c>
      <c r="E100" s="96">
        <f>SUMIFS(tabela_registros[VALOR],tabela_registros[MÊS],$AE$1,tabela_registros[DIA],receitasvariáveisconsolidadojun[[#Headers],[1]],tabela_registros[REGISTRO],DADOS!$N$3,tabela_registros[TIPO],DADOS!$V$4,tabela_registros[CATEGORIA],receitasvariáveisconsolidadojun[[#This Row],[ATUAL]])</f>
        <v>0</v>
      </c>
      <c r="F100" s="91">
        <f>SUMIFS(tabela_registros[VALOR],tabela_registros[MÊS],$AE$1,tabela_registros[DIA],receitasvariáveisconsolidadojun[[#Headers],[2]],tabela_registros[REGISTRO],DADOS!$N$3,tabela_registros[TIPO],DADOS!$V$4,tabela_registros[CATEGORIA],receitasvariáveisconsolidadojun[[#This Row],[ATUAL]])</f>
        <v>0</v>
      </c>
      <c r="G100" s="91">
        <f>SUMIFS(tabela_registros[VALOR],tabela_registros[MÊS],$AE$1,tabela_registros[DIA],receitasvariáveisconsolidadojun[[#Headers],[3]],tabela_registros[REGISTRO],DADOS!$N$3,tabela_registros[TIPO],DADOS!$V$4,tabela_registros[CATEGORIA],receitasvariáveisconsolidadojun[[#This Row],[ATUAL]])</f>
        <v>0</v>
      </c>
      <c r="H100" s="91">
        <f>SUMIFS(tabela_registros[VALOR],tabela_registros[MÊS],$AE$1,tabela_registros[DIA],receitasvariáveisconsolidadojun[[#Headers],[4]],tabela_registros[REGISTRO],DADOS!$N$3,tabela_registros[TIPO],DADOS!$V$4,tabela_registros[CATEGORIA],receitasvariáveisconsolidadojun[[#This Row],[ATUAL]])</f>
        <v>0</v>
      </c>
      <c r="I100" s="91">
        <f>SUMIFS(tabela_registros[VALOR],tabela_registros[MÊS],$AE$1,tabela_registros[DIA],receitasvariáveisconsolidadojun[[#Headers],[5]],tabela_registros[REGISTRO],DADOS!$N$3,tabela_registros[TIPO],DADOS!$V$4,tabela_registros[CATEGORIA],receitasvariáveisconsolidadojun[[#This Row],[ATUAL]])</f>
        <v>0</v>
      </c>
      <c r="J100" s="91">
        <f>SUMIFS(tabela_registros[VALOR],tabela_registros[MÊS],$AE$1,tabela_registros[DIA],receitasvariáveisconsolidadojun[[#Headers],[6]],tabela_registros[REGISTRO],DADOS!$N$3,tabela_registros[TIPO],DADOS!$V$4,tabela_registros[CATEGORIA],receitasvariáveisconsolidadojun[[#This Row],[ATUAL]])</f>
        <v>0</v>
      </c>
      <c r="K100" s="91">
        <f>SUMIFS(tabela_registros[VALOR],tabela_registros[MÊS],$AE$1,tabela_registros[DIA],receitasvariáveisconsolidadojun[[#Headers],[7]],tabela_registros[REGISTRO],DADOS!$N$3,tabela_registros[TIPO],DADOS!$V$4,tabela_registros[CATEGORIA],receitasvariáveisconsolidadojun[[#This Row],[ATUAL]])</f>
        <v>0</v>
      </c>
      <c r="L100" s="91">
        <f>SUMIFS(tabela_registros[VALOR],tabela_registros[MÊS],$AE$1,tabela_registros[DIA],receitasvariáveisconsolidadojun[[#Headers],[8]],tabela_registros[REGISTRO],DADOS!$N$3,tabela_registros[TIPO],DADOS!$V$4,tabela_registros[CATEGORIA],receitasvariáveisconsolidadojun[[#This Row],[ATUAL]])</f>
        <v>0</v>
      </c>
      <c r="M100" s="91">
        <f>SUMIFS(tabela_registros[VALOR],tabela_registros[MÊS],$AE$1,tabela_registros[DIA],receitasvariáveisconsolidadojun[[#Headers],[9]],tabela_registros[REGISTRO],DADOS!$N$3,tabela_registros[TIPO],DADOS!$V$4,tabela_registros[CATEGORIA],receitasvariáveisconsolidadojun[[#This Row],[ATUAL]])</f>
        <v>0</v>
      </c>
      <c r="N100" s="91">
        <f>SUMIFS(tabela_registros[VALOR],tabela_registros[MÊS],$AE$1,tabela_registros[DIA],receitasvariáveisconsolidadojun[[#Headers],[10]],tabela_registros[REGISTRO],DADOS!$N$3,tabela_registros[TIPO],DADOS!$V$4,tabela_registros[CATEGORIA],receitasvariáveisconsolidadojun[[#This Row],[ATUAL]])</f>
        <v>0</v>
      </c>
      <c r="O100" s="91">
        <f>SUMIFS(tabela_registros[VALOR],tabela_registros[MÊS],$AE$1,tabela_registros[DIA],receitasvariáveisconsolidadojun[[#Headers],[11]],tabela_registros[REGISTRO],DADOS!$N$3,tabela_registros[TIPO],DADOS!$V$4,tabela_registros[CATEGORIA],receitasvariáveisconsolidadojun[[#This Row],[ATUAL]])</f>
        <v>0</v>
      </c>
      <c r="P100" s="91">
        <f>SUMIFS(tabela_registros[VALOR],tabela_registros[MÊS],$AE$1,tabela_registros[DIA],receitasvariáveisconsolidadojun[[#Headers],[12]],tabela_registros[REGISTRO],DADOS!$N$3,tabela_registros[TIPO],DADOS!$V$4,tabela_registros[CATEGORIA],receitasvariáveisconsolidadojun[[#This Row],[ATUAL]])</f>
        <v>0</v>
      </c>
      <c r="Q100" s="91">
        <f>SUMIFS(tabela_registros[VALOR],tabela_registros[MÊS],$AE$1,tabela_registros[DIA],receitasvariáveisconsolidadojun[[#Headers],[13]],tabela_registros[REGISTRO],DADOS!$N$3,tabela_registros[TIPO],DADOS!$V$4,tabela_registros[CATEGORIA],receitasvariáveisconsolidadojun[[#This Row],[ATUAL]])</f>
        <v>0</v>
      </c>
      <c r="R100" s="91">
        <f>SUMIFS(tabela_registros[VALOR],tabela_registros[MÊS],$AE$1,tabela_registros[DIA],receitasvariáveisconsolidadojun[[#Headers],[14]],tabela_registros[REGISTRO],DADOS!$N$3,tabela_registros[TIPO],DADOS!$V$4,tabela_registros[CATEGORIA],receitasvariáveisconsolidadojun[[#This Row],[ATUAL]])</f>
        <v>0</v>
      </c>
      <c r="S100" s="91">
        <f>SUMIFS(tabela_registros[VALOR],tabela_registros[MÊS],$AE$1,tabela_registros[DIA],receitasvariáveisconsolidadojun[[#Headers],[15]],tabela_registros[REGISTRO],DADOS!$N$3,tabela_registros[TIPO],DADOS!$V$4,tabela_registros[CATEGORIA],receitasvariáveisconsolidadojun[[#This Row],[ATUAL]])</f>
        <v>0</v>
      </c>
      <c r="T100" s="91">
        <f>SUMIFS(tabela_registros[VALOR],tabela_registros[MÊS],$AE$1,tabela_registros[DIA],receitasvariáveisconsolidadojun[[#Headers],[16]],tabela_registros[REGISTRO],DADOS!$N$3,tabela_registros[TIPO],DADOS!$V$4,tabela_registros[CATEGORIA],receitasvariáveisconsolidadojun[[#This Row],[ATUAL]])</f>
        <v>0</v>
      </c>
      <c r="U100" s="91">
        <f>SUMIFS(tabela_registros[VALOR],tabela_registros[MÊS],$AE$1,tabela_registros[DIA],receitasvariáveisconsolidadojun[[#Headers],[17]],tabela_registros[REGISTRO],DADOS!$N$3,tabela_registros[TIPO],DADOS!$V$4,tabela_registros[CATEGORIA],receitasvariáveisconsolidadojun[[#This Row],[ATUAL]])</f>
        <v>0</v>
      </c>
      <c r="V100" s="91">
        <f>SUMIFS(tabela_registros[VALOR],tabela_registros[MÊS],$AE$1,tabela_registros[DIA],receitasvariáveisconsolidadojun[[#Headers],[18]],tabela_registros[REGISTRO],DADOS!$N$3,tabela_registros[TIPO],DADOS!$V$4,tabela_registros[CATEGORIA],receitasvariáveisconsolidadojun[[#This Row],[ATUAL]])</f>
        <v>0</v>
      </c>
      <c r="W100" s="91">
        <f>SUMIFS(tabela_registros[VALOR],tabela_registros[MÊS],$AE$1,tabela_registros[DIA],receitasvariáveisconsolidadojun[[#Headers],[19]],tabela_registros[REGISTRO],DADOS!$N$3,tabela_registros[TIPO],DADOS!$V$4,tabela_registros[CATEGORIA],receitasvariáveisconsolidadojun[[#This Row],[ATUAL]])</f>
        <v>0</v>
      </c>
      <c r="X100" s="91">
        <f>SUMIFS(tabela_registros[VALOR],tabela_registros[MÊS],$AE$1,tabela_registros[DIA],receitasvariáveisconsolidadojun[[#Headers],[20]],tabela_registros[REGISTRO],DADOS!$N$3,tabela_registros[TIPO],DADOS!$V$4,tabela_registros[CATEGORIA],receitasvariáveisconsolidadojun[[#This Row],[ATUAL]])</f>
        <v>0</v>
      </c>
      <c r="Y100" s="91">
        <f>SUMIFS(tabela_registros[VALOR],tabela_registros[MÊS],$AE$1,tabela_registros[DIA],receitasvariáveisconsolidadojun[[#Headers],[21]],tabela_registros[REGISTRO],DADOS!$N$3,tabela_registros[TIPO],DADOS!$V$4,tabela_registros[CATEGORIA],receitasvariáveisconsolidadojun[[#This Row],[ATUAL]])</f>
        <v>0</v>
      </c>
      <c r="Z100" s="91">
        <f>SUMIFS(tabela_registros[VALOR],tabela_registros[MÊS],$AE$1,tabela_registros[DIA],receitasvariáveisconsolidadojun[[#Headers],[22]],tabela_registros[REGISTRO],DADOS!$N$3,tabela_registros[TIPO],DADOS!$V$4,tabela_registros[CATEGORIA],receitasvariáveisconsolidadojun[[#This Row],[ATUAL]])</f>
        <v>0</v>
      </c>
      <c r="AA100" s="91">
        <f>SUMIFS(tabela_registros[VALOR],tabela_registros[MÊS],$AE$1,tabela_registros[DIA],receitasvariáveisconsolidadojun[[#Headers],[23]],tabela_registros[REGISTRO],DADOS!$N$3,tabela_registros[TIPO],DADOS!$V$4,tabela_registros[CATEGORIA],receitasvariáveisconsolidadojun[[#This Row],[ATUAL]])</f>
        <v>0</v>
      </c>
      <c r="AB100" s="91">
        <f>SUMIFS(tabela_registros[VALOR],tabela_registros[MÊS],$AE$1,tabela_registros[DIA],receitasvariáveisconsolidadojun[[#Headers],[24]],tabela_registros[REGISTRO],DADOS!$N$3,tabela_registros[TIPO],DADOS!$V$4,tabela_registros[CATEGORIA],receitasvariáveisconsolidadojun[[#This Row],[ATUAL]])</f>
        <v>0</v>
      </c>
      <c r="AC100" s="91">
        <f>SUMIFS(tabela_registros[VALOR],tabela_registros[MÊS],$AE$1,tabela_registros[DIA],receitasvariáveisconsolidadojun[[#Headers],[25]],tabela_registros[REGISTRO],DADOS!$N$3,tabela_registros[TIPO],DADOS!$V$4,tabela_registros[CATEGORIA],receitasvariáveisconsolidadojun[[#This Row],[ATUAL]])</f>
        <v>0</v>
      </c>
      <c r="AD100" s="91">
        <f>SUMIFS(tabela_registros[VALOR],tabela_registros[MÊS],$AE$1,tabela_registros[DIA],receitasvariáveisconsolidadojun[[#Headers],[26]],tabela_registros[REGISTRO],DADOS!$N$3,tabela_registros[TIPO],DADOS!$V$4,tabela_registros[CATEGORIA],receitasvariáveisconsolidadojun[[#This Row],[ATUAL]])</f>
        <v>0</v>
      </c>
      <c r="AE100" s="91">
        <f>SUMIFS(tabela_registros[VALOR],tabela_registros[MÊS],$AE$1,tabela_registros[DIA],receitasvariáveisconsolidadojun[[#Headers],[27]],tabela_registros[REGISTRO],DADOS!$N$3,tabela_registros[TIPO],DADOS!$V$4,tabela_registros[CATEGORIA],receitasvariáveisconsolidadojun[[#This Row],[ATUAL]])</f>
        <v>0</v>
      </c>
      <c r="AF100" s="91">
        <f>SUMIFS(tabela_registros[VALOR],tabela_registros[MÊS],$AE$1,tabela_registros[DIA],receitasvariáveisconsolidadojun[[#Headers],[28]],tabela_registros[REGISTRO],DADOS!$N$3,tabela_registros[TIPO],DADOS!$V$4,tabela_registros[CATEGORIA],receitasvariáveisconsolidadojun[[#This Row],[ATUAL]])</f>
        <v>0</v>
      </c>
      <c r="AG100" s="91">
        <f>SUMIFS(tabela_registros[VALOR],tabela_registros[MÊS],$AE$1,tabela_registros[DIA],receitasvariáveisconsolidadojun[[#Headers],[29]],tabela_registros[REGISTRO],DADOS!$N$3,tabela_registros[TIPO],DADOS!$V$4,tabela_registros[CATEGORIA],receitasvariáveisconsolidadojun[[#This Row],[ATUAL]])</f>
        <v>0</v>
      </c>
      <c r="AH100" s="91">
        <f>SUMIFS(tabela_registros[VALOR],tabela_registros[MÊS],$AE$1,tabela_registros[DIA],receitasvariáveisconsolidadojun[[#Headers],[30]],tabela_registros[REGISTRO],DADOS!$N$3,tabela_registros[TIPO],DADOS!$V$4,tabela_registros[CATEGORIA],receitasvariáveisconsolidadojun[[#This Row],[ATUAL]])</f>
        <v>0</v>
      </c>
      <c r="AI100" s="101">
        <f>SUMIFS(tabela_registros[VALOR],tabela_registros[MÊS],$AE$1,tabela_registros[DIA],receitasvariáveisconsolidadojun[[#Headers],[31]],tabela_registros[REGISTRO],DADOS!$N$3,tabela_registros[TIPO],DADOS!$V$4,tabela_registros[CATEGORIA],receitasvariáveisconsolidadojun[[#This Row],[ATUAL]])</f>
        <v>0</v>
      </c>
      <c r="AJ100" s="97">
        <f>SUM(receitasvariáveisconsolidadojun[[#This Row],[1]:[31]])</f>
        <v>0</v>
      </c>
      <c r="AK100" s="25"/>
    </row>
    <row r="101" spans="2:37" ht="19.5" customHeight="1" thickTop="1" thickBot="1" x14ac:dyDescent="0.3">
      <c r="B101" s="28"/>
      <c r="C101" s="27" t="str">
        <f>DADOS!$Z$8</f>
        <v>🎁 PRESENTE</v>
      </c>
      <c r="D101" s="26" t="str">
        <f>IF(receitasvariáveisconsolidadojun[[#This Row],[TOTAL (R$)]]=0,"",IF(OR(receitasvariáveisconsolidadojun[[#This Row],[TOTAL (R$)]]=LARGE($AJ$96:$AJ$103,1),receitasvariáveisconsolidadojun[[#This Row],[TOTAL (R$)]]=LARGE($AJ$96:$AJ$103,2)),DADOS!$I$9,""))</f>
        <v/>
      </c>
      <c r="E101" s="96">
        <f>SUMIFS(tabela_registros[VALOR],tabela_registros[MÊS],$AE$1,tabela_registros[DIA],receitasvariáveisconsolidadojun[[#Headers],[1]],tabela_registros[REGISTRO],DADOS!$N$3,tabela_registros[TIPO],DADOS!$V$4,tabela_registros[CATEGORIA],receitasvariáveisconsolidadojun[[#This Row],[ATUAL]])</f>
        <v>0</v>
      </c>
      <c r="F101" s="91">
        <f>SUMIFS(tabela_registros[VALOR],tabela_registros[MÊS],$AE$1,tabela_registros[DIA],receitasvariáveisconsolidadojun[[#Headers],[2]],tabela_registros[REGISTRO],DADOS!$N$3,tabela_registros[TIPO],DADOS!$V$4,tabela_registros[CATEGORIA],receitasvariáveisconsolidadojun[[#This Row],[ATUAL]])</f>
        <v>0</v>
      </c>
      <c r="G101" s="91">
        <f>SUMIFS(tabela_registros[VALOR],tabela_registros[MÊS],$AE$1,tabela_registros[DIA],receitasvariáveisconsolidadojun[[#Headers],[3]],tabela_registros[REGISTRO],DADOS!$N$3,tabela_registros[TIPO],DADOS!$V$4,tabela_registros[CATEGORIA],receitasvariáveisconsolidadojun[[#This Row],[ATUAL]])</f>
        <v>0</v>
      </c>
      <c r="H101" s="91">
        <f>SUMIFS(tabela_registros[VALOR],tabela_registros[MÊS],$AE$1,tabela_registros[DIA],receitasvariáveisconsolidadojun[[#Headers],[4]],tabela_registros[REGISTRO],DADOS!$N$3,tabela_registros[TIPO],DADOS!$V$4,tabela_registros[CATEGORIA],receitasvariáveisconsolidadojun[[#This Row],[ATUAL]])</f>
        <v>0</v>
      </c>
      <c r="I101" s="91">
        <f>SUMIFS(tabela_registros[VALOR],tabela_registros[MÊS],$AE$1,tabela_registros[DIA],receitasvariáveisconsolidadojun[[#Headers],[5]],tabela_registros[REGISTRO],DADOS!$N$3,tabela_registros[TIPO],DADOS!$V$4,tabela_registros[CATEGORIA],receitasvariáveisconsolidadojun[[#This Row],[ATUAL]])</f>
        <v>0</v>
      </c>
      <c r="J101" s="91">
        <f>SUMIFS(tabela_registros[VALOR],tabela_registros[MÊS],$AE$1,tabela_registros[DIA],receitasvariáveisconsolidadojun[[#Headers],[6]],tabela_registros[REGISTRO],DADOS!$N$3,tabela_registros[TIPO],DADOS!$V$4,tabela_registros[CATEGORIA],receitasvariáveisconsolidadojun[[#This Row],[ATUAL]])</f>
        <v>0</v>
      </c>
      <c r="K101" s="91">
        <f>SUMIFS(tabela_registros[VALOR],tabela_registros[MÊS],$AE$1,tabela_registros[DIA],receitasvariáveisconsolidadojun[[#Headers],[7]],tabela_registros[REGISTRO],DADOS!$N$3,tabela_registros[TIPO],DADOS!$V$4,tabela_registros[CATEGORIA],receitasvariáveisconsolidadojun[[#This Row],[ATUAL]])</f>
        <v>0</v>
      </c>
      <c r="L101" s="91">
        <f>SUMIFS(tabela_registros[VALOR],tabela_registros[MÊS],$AE$1,tabela_registros[DIA],receitasvariáveisconsolidadojun[[#Headers],[8]],tabela_registros[REGISTRO],DADOS!$N$3,tabela_registros[TIPO],DADOS!$V$4,tabela_registros[CATEGORIA],receitasvariáveisconsolidadojun[[#This Row],[ATUAL]])</f>
        <v>0</v>
      </c>
      <c r="M101" s="91">
        <f>SUMIFS(tabela_registros[VALOR],tabela_registros[MÊS],$AE$1,tabela_registros[DIA],receitasvariáveisconsolidadojun[[#Headers],[9]],tabela_registros[REGISTRO],DADOS!$N$3,tabela_registros[TIPO],DADOS!$V$4,tabela_registros[CATEGORIA],receitasvariáveisconsolidadojun[[#This Row],[ATUAL]])</f>
        <v>0</v>
      </c>
      <c r="N101" s="91">
        <f>SUMIFS(tabela_registros[VALOR],tabela_registros[MÊS],$AE$1,tabela_registros[DIA],receitasvariáveisconsolidadojun[[#Headers],[10]],tabela_registros[REGISTRO],DADOS!$N$3,tabela_registros[TIPO],DADOS!$V$4,tabela_registros[CATEGORIA],receitasvariáveisconsolidadojun[[#This Row],[ATUAL]])</f>
        <v>0</v>
      </c>
      <c r="O101" s="91">
        <f>SUMIFS(tabela_registros[VALOR],tabela_registros[MÊS],$AE$1,tabela_registros[DIA],receitasvariáveisconsolidadojun[[#Headers],[11]],tabela_registros[REGISTRO],DADOS!$N$3,tabela_registros[TIPO],DADOS!$V$4,tabela_registros[CATEGORIA],receitasvariáveisconsolidadojun[[#This Row],[ATUAL]])</f>
        <v>0</v>
      </c>
      <c r="P101" s="91">
        <f>SUMIFS(tabela_registros[VALOR],tabela_registros[MÊS],$AE$1,tabela_registros[DIA],receitasvariáveisconsolidadojun[[#Headers],[12]],tabela_registros[REGISTRO],DADOS!$N$3,tabela_registros[TIPO],DADOS!$V$4,tabela_registros[CATEGORIA],receitasvariáveisconsolidadojun[[#This Row],[ATUAL]])</f>
        <v>0</v>
      </c>
      <c r="Q101" s="91">
        <f>SUMIFS(tabela_registros[VALOR],tabela_registros[MÊS],$AE$1,tabela_registros[DIA],receitasvariáveisconsolidadojun[[#Headers],[13]],tabela_registros[REGISTRO],DADOS!$N$3,tabela_registros[TIPO],DADOS!$V$4,tabela_registros[CATEGORIA],receitasvariáveisconsolidadojun[[#This Row],[ATUAL]])</f>
        <v>0</v>
      </c>
      <c r="R101" s="91">
        <f>SUMIFS(tabela_registros[VALOR],tabela_registros[MÊS],$AE$1,tabela_registros[DIA],receitasvariáveisconsolidadojun[[#Headers],[14]],tabela_registros[REGISTRO],DADOS!$N$3,tabela_registros[TIPO],DADOS!$V$4,tabela_registros[CATEGORIA],receitasvariáveisconsolidadojun[[#This Row],[ATUAL]])</f>
        <v>0</v>
      </c>
      <c r="S101" s="91">
        <f>SUMIFS(tabela_registros[VALOR],tabela_registros[MÊS],$AE$1,tabela_registros[DIA],receitasvariáveisconsolidadojun[[#Headers],[15]],tabela_registros[REGISTRO],DADOS!$N$3,tabela_registros[TIPO],DADOS!$V$4,tabela_registros[CATEGORIA],receitasvariáveisconsolidadojun[[#This Row],[ATUAL]])</f>
        <v>0</v>
      </c>
      <c r="T101" s="91">
        <f>SUMIFS(tabela_registros[VALOR],tabela_registros[MÊS],$AE$1,tabela_registros[DIA],receitasvariáveisconsolidadojun[[#Headers],[16]],tabela_registros[REGISTRO],DADOS!$N$3,tabela_registros[TIPO],DADOS!$V$4,tabela_registros[CATEGORIA],receitasvariáveisconsolidadojun[[#This Row],[ATUAL]])</f>
        <v>0</v>
      </c>
      <c r="U101" s="91">
        <f>SUMIFS(tabela_registros[VALOR],tabela_registros[MÊS],$AE$1,tabela_registros[DIA],receitasvariáveisconsolidadojun[[#Headers],[17]],tabela_registros[REGISTRO],DADOS!$N$3,tabela_registros[TIPO],DADOS!$V$4,tabela_registros[CATEGORIA],receitasvariáveisconsolidadojun[[#This Row],[ATUAL]])</f>
        <v>0</v>
      </c>
      <c r="V101" s="91">
        <f>SUMIFS(tabela_registros[VALOR],tabela_registros[MÊS],$AE$1,tabela_registros[DIA],receitasvariáveisconsolidadojun[[#Headers],[18]],tabela_registros[REGISTRO],DADOS!$N$3,tabela_registros[TIPO],DADOS!$V$4,tabela_registros[CATEGORIA],receitasvariáveisconsolidadojun[[#This Row],[ATUAL]])</f>
        <v>0</v>
      </c>
      <c r="W101" s="91">
        <f>SUMIFS(tabela_registros[VALOR],tabela_registros[MÊS],$AE$1,tabela_registros[DIA],receitasvariáveisconsolidadojun[[#Headers],[19]],tabela_registros[REGISTRO],DADOS!$N$3,tabela_registros[TIPO],DADOS!$V$4,tabela_registros[CATEGORIA],receitasvariáveisconsolidadojun[[#This Row],[ATUAL]])</f>
        <v>0</v>
      </c>
      <c r="X101" s="91">
        <f>SUMIFS(tabela_registros[VALOR],tabela_registros[MÊS],$AE$1,tabela_registros[DIA],receitasvariáveisconsolidadojun[[#Headers],[20]],tabela_registros[REGISTRO],DADOS!$N$3,tabela_registros[TIPO],DADOS!$V$4,tabela_registros[CATEGORIA],receitasvariáveisconsolidadojun[[#This Row],[ATUAL]])</f>
        <v>0</v>
      </c>
      <c r="Y101" s="91">
        <f>SUMIFS(tabela_registros[VALOR],tabela_registros[MÊS],$AE$1,tabela_registros[DIA],receitasvariáveisconsolidadojun[[#Headers],[21]],tabela_registros[REGISTRO],DADOS!$N$3,tabela_registros[TIPO],DADOS!$V$4,tabela_registros[CATEGORIA],receitasvariáveisconsolidadojun[[#This Row],[ATUAL]])</f>
        <v>0</v>
      </c>
      <c r="Z101" s="91">
        <f>SUMIFS(tabela_registros[VALOR],tabela_registros[MÊS],$AE$1,tabela_registros[DIA],receitasvariáveisconsolidadojun[[#Headers],[22]],tabela_registros[REGISTRO],DADOS!$N$3,tabela_registros[TIPO],DADOS!$V$4,tabela_registros[CATEGORIA],receitasvariáveisconsolidadojun[[#This Row],[ATUAL]])</f>
        <v>0</v>
      </c>
      <c r="AA101" s="91">
        <f>SUMIFS(tabela_registros[VALOR],tabela_registros[MÊS],$AE$1,tabela_registros[DIA],receitasvariáveisconsolidadojun[[#Headers],[23]],tabela_registros[REGISTRO],DADOS!$N$3,tabela_registros[TIPO],DADOS!$V$4,tabela_registros[CATEGORIA],receitasvariáveisconsolidadojun[[#This Row],[ATUAL]])</f>
        <v>0</v>
      </c>
      <c r="AB101" s="91">
        <f>SUMIFS(tabela_registros[VALOR],tabela_registros[MÊS],$AE$1,tabela_registros[DIA],receitasvariáveisconsolidadojun[[#Headers],[24]],tabela_registros[REGISTRO],DADOS!$N$3,tabela_registros[TIPO],DADOS!$V$4,tabela_registros[CATEGORIA],receitasvariáveisconsolidadojun[[#This Row],[ATUAL]])</f>
        <v>0</v>
      </c>
      <c r="AC101" s="91">
        <f>SUMIFS(tabela_registros[VALOR],tabela_registros[MÊS],$AE$1,tabela_registros[DIA],receitasvariáveisconsolidadojun[[#Headers],[25]],tabela_registros[REGISTRO],DADOS!$N$3,tabela_registros[TIPO],DADOS!$V$4,tabela_registros[CATEGORIA],receitasvariáveisconsolidadojun[[#This Row],[ATUAL]])</f>
        <v>0</v>
      </c>
      <c r="AD101" s="91">
        <f>SUMIFS(tabela_registros[VALOR],tabela_registros[MÊS],$AE$1,tabela_registros[DIA],receitasvariáveisconsolidadojun[[#Headers],[26]],tabela_registros[REGISTRO],DADOS!$N$3,tabela_registros[TIPO],DADOS!$V$4,tabela_registros[CATEGORIA],receitasvariáveisconsolidadojun[[#This Row],[ATUAL]])</f>
        <v>0</v>
      </c>
      <c r="AE101" s="91">
        <f>SUMIFS(tabela_registros[VALOR],tabela_registros[MÊS],$AE$1,tabela_registros[DIA],receitasvariáveisconsolidadojun[[#Headers],[27]],tabela_registros[REGISTRO],DADOS!$N$3,tabela_registros[TIPO],DADOS!$V$4,tabela_registros[CATEGORIA],receitasvariáveisconsolidadojun[[#This Row],[ATUAL]])</f>
        <v>0</v>
      </c>
      <c r="AF101" s="91">
        <f>SUMIFS(tabela_registros[VALOR],tabela_registros[MÊS],$AE$1,tabela_registros[DIA],receitasvariáveisconsolidadojun[[#Headers],[28]],tabela_registros[REGISTRO],DADOS!$N$3,tabela_registros[TIPO],DADOS!$V$4,tabela_registros[CATEGORIA],receitasvariáveisconsolidadojun[[#This Row],[ATUAL]])</f>
        <v>0</v>
      </c>
      <c r="AG101" s="91">
        <f>SUMIFS(tabela_registros[VALOR],tabela_registros[MÊS],$AE$1,tabela_registros[DIA],receitasvariáveisconsolidadojun[[#Headers],[29]],tabela_registros[REGISTRO],DADOS!$N$3,tabela_registros[TIPO],DADOS!$V$4,tabela_registros[CATEGORIA],receitasvariáveisconsolidadojun[[#This Row],[ATUAL]])</f>
        <v>0</v>
      </c>
      <c r="AH101" s="91">
        <f>SUMIFS(tabela_registros[VALOR],tabela_registros[MÊS],$AE$1,tabela_registros[DIA],receitasvariáveisconsolidadojun[[#Headers],[30]],tabela_registros[REGISTRO],DADOS!$N$3,tabela_registros[TIPO],DADOS!$V$4,tabela_registros[CATEGORIA],receitasvariáveisconsolidadojun[[#This Row],[ATUAL]])</f>
        <v>0</v>
      </c>
      <c r="AI101" s="101">
        <f>SUMIFS(tabela_registros[VALOR],tabela_registros[MÊS],$AE$1,tabela_registros[DIA],receitasvariáveisconsolidadojun[[#Headers],[31]],tabela_registros[REGISTRO],DADOS!$N$3,tabela_registros[TIPO],DADOS!$V$4,tabela_registros[CATEGORIA],receitasvariáveisconsolidadojun[[#This Row],[ATUAL]])</f>
        <v>0</v>
      </c>
      <c r="AJ101" s="97">
        <f>SUM(receitasvariáveisconsolidadojun[[#This Row],[1]:[31]])</f>
        <v>0</v>
      </c>
      <c r="AK101" s="25"/>
    </row>
    <row r="102" spans="2:37" ht="19.5" customHeight="1" thickTop="1" thickBot="1" x14ac:dyDescent="0.3">
      <c r="B102" s="28"/>
      <c r="C102" s="27" t="str">
        <f>DADOS!$Z$9</f>
        <v>👷‍♀️ TRABALHO TEMPORÁRIO</v>
      </c>
      <c r="D102" s="26" t="str">
        <f>IF(receitasvariáveisconsolidadojun[[#This Row],[TOTAL (R$)]]=0,"",IF(OR(receitasvariáveisconsolidadojun[[#This Row],[TOTAL (R$)]]=LARGE($AJ$96:$AJ$103,1),receitasvariáveisconsolidadojun[[#This Row],[TOTAL (R$)]]=LARGE($AJ$96:$AJ$103,2)),DADOS!$I$9,""))</f>
        <v/>
      </c>
      <c r="E102" s="96">
        <f>SUMIFS(tabela_registros[VALOR],tabela_registros[MÊS],$AE$1,tabela_registros[DIA],receitasvariáveisconsolidadojun[[#Headers],[1]],tabela_registros[REGISTRO],DADOS!$N$3,tabela_registros[TIPO],DADOS!$V$4,tabela_registros[CATEGORIA],receitasvariáveisconsolidadojun[[#This Row],[ATUAL]])</f>
        <v>0</v>
      </c>
      <c r="F102" s="91">
        <f>SUMIFS(tabela_registros[VALOR],tabela_registros[MÊS],$AE$1,tabela_registros[DIA],receitasvariáveisconsolidadojun[[#Headers],[2]],tabela_registros[REGISTRO],DADOS!$N$3,tabela_registros[TIPO],DADOS!$V$4,tabela_registros[CATEGORIA],receitasvariáveisconsolidadojun[[#This Row],[ATUAL]])</f>
        <v>0</v>
      </c>
      <c r="G102" s="91">
        <f>SUMIFS(tabela_registros[VALOR],tabela_registros[MÊS],$AE$1,tabela_registros[DIA],receitasvariáveisconsolidadojun[[#Headers],[3]],tabela_registros[REGISTRO],DADOS!$N$3,tabela_registros[TIPO],DADOS!$V$4,tabela_registros[CATEGORIA],receitasvariáveisconsolidadojun[[#This Row],[ATUAL]])</f>
        <v>0</v>
      </c>
      <c r="H102" s="91">
        <f>SUMIFS(tabela_registros[VALOR],tabela_registros[MÊS],$AE$1,tabela_registros[DIA],receitasvariáveisconsolidadojun[[#Headers],[4]],tabela_registros[REGISTRO],DADOS!$N$3,tabela_registros[TIPO],DADOS!$V$4,tabela_registros[CATEGORIA],receitasvariáveisconsolidadojun[[#This Row],[ATUAL]])</f>
        <v>0</v>
      </c>
      <c r="I102" s="91">
        <f>SUMIFS(tabela_registros[VALOR],tabela_registros[MÊS],$AE$1,tabela_registros[DIA],receitasvariáveisconsolidadojun[[#Headers],[5]],tabela_registros[REGISTRO],DADOS!$N$3,tabela_registros[TIPO],DADOS!$V$4,tabela_registros[CATEGORIA],receitasvariáveisconsolidadojun[[#This Row],[ATUAL]])</f>
        <v>0</v>
      </c>
      <c r="J102" s="91">
        <f>SUMIFS(tabela_registros[VALOR],tabela_registros[MÊS],$AE$1,tabela_registros[DIA],receitasvariáveisconsolidadojun[[#Headers],[6]],tabela_registros[REGISTRO],DADOS!$N$3,tabela_registros[TIPO],DADOS!$V$4,tabela_registros[CATEGORIA],receitasvariáveisconsolidadojun[[#This Row],[ATUAL]])</f>
        <v>0</v>
      </c>
      <c r="K102" s="91">
        <f>SUMIFS(tabela_registros[VALOR],tabela_registros[MÊS],$AE$1,tabela_registros[DIA],receitasvariáveisconsolidadojun[[#Headers],[7]],tabela_registros[REGISTRO],DADOS!$N$3,tabela_registros[TIPO],DADOS!$V$4,tabela_registros[CATEGORIA],receitasvariáveisconsolidadojun[[#This Row],[ATUAL]])</f>
        <v>0</v>
      </c>
      <c r="L102" s="91">
        <f>SUMIFS(tabela_registros[VALOR],tabela_registros[MÊS],$AE$1,tabela_registros[DIA],receitasvariáveisconsolidadojun[[#Headers],[8]],tabela_registros[REGISTRO],DADOS!$N$3,tabela_registros[TIPO],DADOS!$V$4,tabela_registros[CATEGORIA],receitasvariáveisconsolidadojun[[#This Row],[ATUAL]])</f>
        <v>0</v>
      </c>
      <c r="M102" s="91">
        <f>SUMIFS(tabela_registros[VALOR],tabela_registros[MÊS],$AE$1,tabela_registros[DIA],receitasvariáveisconsolidadojun[[#Headers],[9]],tabela_registros[REGISTRO],DADOS!$N$3,tabela_registros[TIPO],DADOS!$V$4,tabela_registros[CATEGORIA],receitasvariáveisconsolidadojun[[#This Row],[ATUAL]])</f>
        <v>0</v>
      </c>
      <c r="N102" s="91">
        <f>SUMIFS(tabela_registros[VALOR],tabela_registros[MÊS],$AE$1,tabela_registros[DIA],receitasvariáveisconsolidadojun[[#Headers],[10]],tabela_registros[REGISTRO],DADOS!$N$3,tabela_registros[TIPO],DADOS!$V$4,tabela_registros[CATEGORIA],receitasvariáveisconsolidadojun[[#This Row],[ATUAL]])</f>
        <v>0</v>
      </c>
      <c r="O102" s="91">
        <f>SUMIFS(tabela_registros[VALOR],tabela_registros[MÊS],$AE$1,tabela_registros[DIA],receitasvariáveisconsolidadojun[[#Headers],[11]],tabela_registros[REGISTRO],DADOS!$N$3,tabela_registros[TIPO],DADOS!$V$4,tabela_registros[CATEGORIA],receitasvariáveisconsolidadojun[[#This Row],[ATUAL]])</f>
        <v>0</v>
      </c>
      <c r="P102" s="91">
        <f>SUMIFS(tabela_registros[VALOR],tabela_registros[MÊS],$AE$1,tabela_registros[DIA],receitasvariáveisconsolidadojun[[#Headers],[12]],tabela_registros[REGISTRO],DADOS!$N$3,tabela_registros[TIPO],DADOS!$V$4,tabela_registros[CATEGORIA],receitasvariáveisconsolidadojun[[#This Row],[ATUAL]])</f>
        <v>0</v>
      </c>
      <c r="Q102" s="91">
        <f>SUMIFS(tabela_registros[VALOR],tabela_registros[MÊS],$AE$1,tabela_registros[DIA],receitasvariáveisconsolidadojun[[#Headers],[13]],tabela_registros[REGISTRO],DADOS!$N$3,tabela_registros[TIPO],DADOS!$V$4,tabela_registros[CATEGORIA],receitasvariáveisconsolidadojun[[#This Row],[ATUAL]])</f>
        <v>0</v>
      </c>
      <c r="R102" s="91">
        <f>SUMIFS(tabela_registros[VALOR],tabela_registros[MÊS],$AE$1,tabela_registros[DIA],receitasvariáveisconsolidadojun[[#Headers],[14]],tabela_registros[REGISTRO],DADOS!$N$3,tabela_registros[TIPO],DADOS!$V$4,tabela_registros[CATEGORIA],receitasvariáveisconsolidadojun[[#This Row],[ATUAL]])</f>
        <v>0</v>
      </c>
      <c r="S102" s="91">
        <f>SUMIFS(tabela_registros[VALOR],tabela_registros[MÊS],$AE$1,tabela_registros[DIA],receitasvariáveisconsolidadojun[[#Headers],[15]],tabela_registros[REGISTRO],DADOS!$N$3,tabela_registros[TIPO],DADOS!$V$4,tabela_registros[CATEGORIA],receitasvariáveisconsolidadojun[[#This Row],[ATUAL]])</f>
        <v>0</v>
      </c>
      <c r="T102" s="91">
        <f>SUMIFS(tabela_registros[VALOR],tabela_registros[MÊS],$AE$1,tabela_registros[DIA],receitasvariáveisconsolidadojun[[#Headers],[16]],tabela_registros[REGISTRO],DADOS!$N$3,tabela_registros[TIPO],DADOS!$V$4,tabela_registros[CATEGORIA],receitasvariáveisconsolidadojun[[#This Row],[ATUAL]])</f>
        <v>0</v>
      </c>
      <c r="U102" s="91">
        <f>SUMIFS(tabela_registros[VALOR],tabela_registros[MÊS],$AE$1,tabela_registros[DIA],receitasvariáveisconsolidadojun[[#Headers],[17]],tabela_registros[REGISTRO],DADOS!$N$3,tabela_registros[TIPO],DADOS!$V$4,tabela_registros[CATEGORIA],receitasvariáveisconsolidadojun[[#This Row],[ATUAL]])</f>
        <v>0</v>
      </c>
      <c r="V102" s="91">
        <f>SUMIFS(tabela_registros[VALOR],tabela_registros[MÊS],$AE$1,tabela_registros[DIA],receitasvariáveisconsolidadojun[[#Headers],[18]],tabela_registros[REGISTRO],DADOS!$N$3,tabela_registros[TIPO],DADOS!$V$4,tabela_registros[CATEGORIA],receitasvariáveisconsolidadojun[[#This Row],[ATUAL]])</f>
        <v>0</v>
      </c>
      <c r="W102" s="91">
        <f>SUMIFS(tabela_registros[VALOR],tabela_registros[MÊS],$AE$1,tabela_registros[DIA],receitasvariáveisconsolidadojun[[#Headers],[19]],tabela_registros[REGISTRO],DADOS!$N$3,tabela_registros[TIPO],DADOS!$V$4,tabela_registros[CATEGORIA],receitasvariáveisconsolidadojun[[#This Row],[ATUAL]])</f>
        <v>0</v>
      </c>
      <c r="X102" s="91">
        <f>SUMIFS(tabela_registros[VALOR],tabela_registros[MÊS],$AE$1,tabela_registros[DIA],receitasvariáveisconsolidadojun[[#Headers],[20]],tabela_registros[REGISTRO],DADOS!$N$3,tabela_registros[TIPO],DADOS!$V$4,tabela_registros[CATEGORIA],receitasvariáveisconsolidadojun[[#This Row],[ATUAL]])</f>
        <v>0</v>
      </c>
      <c r="Y102" s="91">
        <f>SUMIFS(tabela_registros[VALOR],tabela_registros[MÊS],$AE$1,tabela_registros[DIA],receitasvariáveisconsolidadojun[[#Headers],[21]],tabela_registros[REGISTRO],DADOS!$N$3,tabela_registros[TIPO],DADOS!$V$4,tabela_registros[CATEGORIA],receitasvariáveisconsolidadojun[[#This Row],[ATUAL]])</f>
        <v>0</v>
      </c>
      <c r="Z102" s="91">
        <f>SUMIFS(tabela_registros[VALOR],tabela_registros[MÊS],$AE$1,tabela_registros[DIA],receitasvariáveisconsolidadojun[[#Headers],[22]],tabela_registros[REGISTRO],DADOS!$N$3,tabela_registros[TIPO],DADOS!$V$4,tabela_registros[CATEGORIA],receitasvariáveisconsolidadojun[[#This Row],[ATUAL]])</f>
        <v>0</v>
      </c>
      <c r="AA102" s="91">
        <f>SUMIFS(tabela_registros[VALOR],tabela_registros[MÊS],$AE$1,tabela_registros[DIA],receitasvariáveisconsolidadojun[[#Headers],[23]],tabela_registros[REGISTRO],DADOS!$N$3,tabela_registros[TIPO],DADOS!$V$4,tabela_registros[CATEGORIA],receitasvariáveisconsolidadojun[[#This Row],[ATUAL]])</f>
        <v>0</v>
      </c>
      <c r="AB102" s="91">
        <f>SUMIFS(tabela_registros[VALOR],tabela_registros[MÊS],$AE$1,tabela_registros[DIA],receitasvariáveisconsolidadojun[[#Headers],[24]],tabela_registros[REGISTRO],DADOS!$N$3,tabela_registros[TIPO],DADOS!$V$4,tabela_registros[CATEGORIA],receitasvariáveisconsolidadojun[[#This Row],[ATUAL]])</f>
        <v>0</v>
      </c>
      <c r="AC102" s="91">
        <f>SUMIFS(tabela_registros[VALOR],tabela_registros[MÊS],$AE$1,tabela_registros[DIA],receitasvariáveisconsolidadojun[[#Headers],[25]],tabela_registros[REGISTRO],DADOS!$N$3,tabela_registros[TIPO],DADOS!$V$4,tabela_registros[CATEGORIA],receitasvariáveisconsolidadojun[[#This Row],[ATUAL]])</f>
        <v>0</v>
      </c>
      <c r="AD102" s="91">
        <f>SUMIFS(tabela_registros[VALOR],tabela_registros[MÊS],$AE$1,tabela_registros[DIA],receitasvariáveisconsolidadojun[[#Headers],[26]],tabela_registros[REGISTRO],DADOS!$N$3,tabela_registros[TIPO],DADOS!$V$4,tabela_registros[CATEGORIA],receitasvariáveisconsolidadojun[[#This Row],[ATUAL]])</f>
        <v>0</v>
      </c>
      <c r="AE102" s="91">
        <f>SUMIFS(tabela_registros[VALOR],tabela_registros[MÊS],$AE$1,tabela_registros[DIA],receitasvariáveisconsolidadojun[[#Headers],[27]],tabela_registros[REGISTRO],DADOS!$N$3,tabela_registros[TIPO],DADOS!$V$4,tabela_registros[CATEGORIA],receitasvariáveisconsolidadojun[[#This Row],[ATUAL]])</f>
        <v>0</v>
      </c>
      <c r="AF102" s="91">
        <f>SUMIFS(tabela_registros[VALOR],tabela_registros[MÊS],$AE$1,tabela_registros[DIA],receitasvariáveisconsolidadojun[[#Headers],[28]],tabela_registros[REGISTRO],DADOS!$N$3,tabela_registros[TIPO],DADOS!$V$4,tabela_registros[CATEGORIA],receitasvariáveisconsolidadojun[[#This Row],[ATUAL]])</f>
        <v>0</v>
      </c>
      <c r="AG102" s="91">
        <f>SUMIFS(tabela_registros[VALOR],tabela_registros[MÊS],$AE$1,tabela_registros[DIA],receitasvariáveisconsolidadojun[[#Headers],[29]],tabela_registros[REGISTRO],DADOS!$N$3,tabela_registros[TIPO],DADOS!$V$4,tabela_registros[CATEGORIA],receitasvariáveisconsolidadojun[[#This Row],[ATUAL]])</f>
        <v>0</v>
      </c>
      <c r="AH102" s="91">
        <f>SUMIFS(tabela_registros[VALOR],tabela_registros[MÊS],$AE$1,tabela_registros[DIA],receitasvariáveisconsolidadojun[[#Headers],[30]],tabela_registros[REGISTRO],DADOS!$N$3,tabela_registros[TIPO],DADOS!$V$4,tabela_registros[CATEGORIA],receitasvariáveisconsolidadojun[[#This Row],[ATUAL]])</f>
        <v>0</v>
      </c>
      <c r="AI102" s="101">
        <f>SUMIFS(tabela_registros[VALOR],tabela_registros[MÊS],$AE$1,tabela_registros[DIA],receitasvariáveisconsolidadojun[[#Headers],[31]],tabela_registros[REGISTRO],DADOS!$N$3,tabela_registros[TIPO],DADOS!$V$4,tabela_registros[CATEGORIA],receitasvariáveisconsolidadojun[[#This Row],[ATUAL]])</f>
        <v>0</v>
      </c>
      <c r="AJ102" s="97">
        <f>SUM(receitasvariáveisconsolidadojun[[#This Row],[1]:[31]])</f>
        <v>0</v>
      </c>
      <c r="AK102" s="25"/>
    </row>
    <row r="103" spans="2:37" ht="18" customHeight="1" thickTop="1" thickBot="1" x14ac:dyDescent="0.3">
      <c r="B103" s="28"/>
      <c r="C103" s="27" t="str">
        <f>DADOS!$Z$10</f>
        <v>📎 OUTROS</v>
      </c>
      <c r="D103" s="26" t="str">
        <f>IF(receitasvariáveisconsolidadojun[[#This Row],[TOTAL (R$)]]=0,"",IF(OR(receitasvariáveisconsolidadojun[[#This Row],[TOTAL (R$)]]=LARGE($AJ$96:$AJ$103,1),receitasvariáveisconsolidadojun[[#This Row],[TOTAL (R$)]]=LARGE($AJ$96:$AJ$103,2)),DADOS!$I$9,""))</f>
        <v/>
      </c>
      <c r="E103" s="96">
        <f>SUMIFS(tabela_registros[VALOR],tabela_registros[MÊS],$AE$1,tabela_registros[DIA],receitasvariáveisconsolidadojun[[#Headers],[1]],tabela_registros[REGISTRO],DADOS!$N$3,tabela_registros[TIPO],DADOS!$V$4,tabela_registros[CATEGORIA],receitasvariáveisconsolidadojun[[#This Row],[ATUAL]])</f>
        <v>0</v>
      </c>
      <c r="F103" s="91">
        <f>SUMIFS(tabela_registros[VALOR],tabela_registros[MÊS],$AE$1,tabela_registros[DIA],receitasvariáveisconsolidadojun[[#Headers],[2]],tabela_registros[REGISTRO],DADOS!$N$3,tabela_registros[TIPO],DADOS!$V$4,tabela_registros[CATEGORIA],receitasvariáveisconsolidadojun[[#This Row],[ATUAL]])</f>
        <v>0</v>
      </c>
      <c r="G103" s="91">
        <f>SUMIFS(tabela_registros[VALOR],tabela_registros[MÊS],$AE$1,tabela_registros[DIA],receitasvariáveisconsolidadojun[[#Headers],[3]],tabela_registros[REGISTRO],DADOS!$N$3,tabela_registros[TIPO],DADOS!$V$4,tabela_registros[CATEGORIA],receitasvariáveisconsolidadojun[[#This Row],[ATUAL]])</f>
        <v>0</v>
      </c>
      <c r="H103" s="91">
        <f>SUMIFS(tabela_registros[VALOR],tabela_registros[MÊS],$AE$1,tabela_registros[DIA],receitasvariáveisconsolidadojun[[#Headers],[4]],tabela_registros[REGISTRO],DADOS!$N$3,tabela_registros[TIPO],DADOS!$V$4,tabela_registros[CATEGORIA],receitasvariáveisconsolidadojun[[#This Row],[ATUAL]])</f>
        <v>0</v>
      </c>
      <c r="I103" s="91">
        <f>SUMIFS(tabela_registros[VALOR],tabela_registros[MÊS],$AE$1,tabela_registros[DIA],receitasvariáveisconsolidadojun[[#Headers],[5]],tabela_registros[REGISTRO],DADOS!$N$3,tabela_registros[TIPO],DADOS!$V$4,tabela_registros[CATEGORIA],receitasvariáveisconsolidadojun[[#This Row],[ATUAL]])</f>
        <v>0</v>
      </c>
      <c r="J103" s="91">
        <f>SUMIFS(tabela_registros[VALOR],tabela_registros[MÊS],$AE$1,tabela_registros[DIA],receitasvariáveisconsolidadojun[[#Headers],[6]],tabela_registros[REGISTRO],DADOS!$N$3,tabela_registros[TIPO],DADOS!$V$4,tabela_registros[CATEGORIA],receitasvariáveisconsolidadojun[[#This Row],[ATUAL]])</f>
        <v>0</v>
      </c>
      <c r="K103" s="91">
        <f>SUMIFS(tabela_registros[VALOR],tabela_registros[MÊS],$AE$1,tabela_registros[DIA],receitasvariáveisconsolidadojun[[#Headers],[7]],tabela_registros[REGISTRO],DADOS!$N$3,tabela_registros[TIPO],DADOS!$V$4,tabela_registros[CATEGORIA],receitasvariáveisconsolidadojun[[#This Row],[ATUAL]])</f>
        <v>0</v>
      </c>
      <c r="L103" s="91">
        <f>SUMIFS(tabela_registros[VALOR],tabela_registros[MÊS],$AE$1,tabela_registros[DIA],receitasvariáveisconsolidadojun[[#Headers],[8]],tabela_registros[REGISTRO],DADOS!$N$3,tabela_registros[TIPO],DADOS!$V$4,tabela_registros[CATEGORIA],receitasvariáveisconsolidadojun[[#This Row],[ATUAL]])</f>
        <v>0</v>
      </c>
      <c r="M103" s="91">
        <f>SUMIFS(tabela_registros[VALOR],tabela_registros[MÊS],$AE$1,tabela_registros[DIA],receitasvariáveisconsolidadojun[[#Headers],[9]],tabela_registros[REGISTRO],DADOS!$N$3,tabela_registros[TIPO],DADOS!$V$4,tabela_registros[CATEGORIA],receitasvariáveisconsolidadojun[[#This Row],[ATUAL]])</f>
        <v>0</v>
      </c>
      <c r="N103" s="91">
        <f>SUMIFS(tabela_registros[VALOR],tabela_registros[MÊS],$AE$1,tabela_registros[DIA],receitasvariáveisconsolidadojun[[#Headers],[10]],tabela_registros[REGISTRO],DADOS!$N$3,tabela_registros[TIPO],DADOS!$V$4,tabela_registros[CATEGORIA],receitasvariáveisconsolidadojun[[#This Row],[ATUAL]])</f>
        <v>0</v>
      </c>
      <c r="O103" s="91">
        <f>SUMIFS(tabela_registros[VALOR],tabela_registros[MÊS],$AE$1,tabela_registros[DIA],receitasvariáveisconsolidadojun[[#Headers],[11]],tabela_registros[REGISTRO],DADOS!$N$3,tabela_registros[TIPO],DADOS!$V$4,tabela_registros[CATEGORIA],receitasvariáveisconsolidadojun[[#This Row],[ATUAL]])</f>
        <v>0</v>
      </c>
      <c r="P103" s="91">
        <f>SUMIFS(tabela_registros[VALOR],tabela_registros[MÊS],$AE$1,tabela_registros[DIA],receitasvariáveisconsolidadojun[[#Headers],[12]],tabela_registros[REGISTRO],DADOS!$N$3,tabela_registros[TIPO],DADOS!$V$4,tabela_registros[CATEGORIA],receitasvariáveisconsolidadojun[[#This Row],[ATUAL]])</f>
        <v>0</v>
      </c>
      <c r="Q103" s="91">
        <f>SUMIFS(tabela_registros[VALOR],tabela_registros[MÊS],$AE$1,tabela_registros[DIA],receitasvariáveisconsolidadojun[[#Headers],[13]],tabela_registros[REGISTRO],DADOS!$N$3,tabela_registros[TIPO],DADOS!$V$4,tabela_registros[CATEGORIA],receitasvariáveisconsolidadojun[[#This Row],[ATUAL]])</f>
        <v>0</v>
      </c>
      <c r="R103" s="91">
        <f>SUMIFS(tabela_registros[VALOR],tabela_registros[MÊS],$AE$1,tabela_registros[DIA],receitasvariáveisconsolidadojun[[#Headers],[14]],tabela_registros[REGISTRO],DADOS!$N$3,tabela_registros[TIPO],DADOS!$V$4,tabela_registros[CATEGORIA],receitasvariáveisconsolidadojun[[#This Row],[ATUAL]])</f>
        <v>0</v>
      </c>
      <c r="S103" s="91">
        <f>SUMIFS(tabela_registros[VALOR],tabela_registros[MÊS],$AE$1,tabela_registros[DIA],receitasvariáveisconsolidadojun[[#Headers],[15]],tabela_registros[REGISTRO],DADOS!$N$3,tabela_registros[TIPO],DADOS!$V$4,tabela_registros[CATEGORIA],receitasvariáveisconsolidadojun[[#This Row],[ATUAL]])</f>
        <v>0</v>
      </c>
      <c r="T103" s="91">
        <f>SUMIFS(tabela_registros[VALOR],tabela_registros[MÊS],$AE$1,tabela_registros[DIA],receitasvariáveisconsolidadojun[[#Headers],[16]],tabela_registros[REGISTRO],DADOS!$N$3,tabela_registros[TIPO],DADOS!$V$4,tabela_registros[CATEGORIA],receitasvariáveisconsolidadojun[[#This Row],[ATUAL]])</f>
        <v>0</v>
      </c>
      <c r="U103" s="91">
        <f>SUMIFS(tabela_registros[VALOR],tabela_registros[MÊS],$AE$1,tabela_registros[DIA],receitasvariáveisconsolidadojun[[#Headers],[17]],tabela_registros[REGISTRO],DADOS!$N$3,tabela_registros[TIPO],DADOS!$V$4,tabela_registros[CATEGORIA],receitasvariáveisconsolidadojun[[#This Row],[ATUAL]])</f>
        <v>0</v>
      </c>
      <c r="V103" s="91">
        <f>SUMIFS(tabela_registros[VALOR],tabela_registros[MÊS],$AE$1,tabela_registros[DIA],receitasvariáveisconsolidadojun[[#Headers],[18]],tabela_registros[REGISTRO],DADOS!$N$3,tabela_registros[TIPO],DADOS!$V$4,tabela_registros[CATEGORIA],receitasvariáveisconsolidadojun[[#This Row],[ATUAL]])</f>
        <v>0</v>
      </c>
      <c r="W103" s="91">
        <f>SUMIFS(tabela_registros[VALOR],tabela_registros[MÊS],$AE$1,tabela_registros[DIA],receitasvariáveisconsolidadojun[[#Headers],[19]],tabela_registros[REGISTRO],DADOS!$N$3,tabela_registros[TIPO],DADOS!$V$4,tabela_registros[CATEGORIA],receitasvariáveisconsolidadojun[[#This Row],[ATUAL]])</f>
        <v>0</v>
      </c>
      <c r="X103" s="91">
        <f>SUMIFS(tabela_registros[VALOR],tabela_registros[MÊS],$AE$1,tabela_registros[DIA],receitasvariáveisconsolidadojun[[#Headers],[20]],tabela_registros[REGISTRO],DADOS!$N$3,tabela_registros[TIPO],DADOS!$V$4,tabela_registros[CATEGORIA],receitasvariáveisconsolidadojun[[#This Row],[ATUAL]])</f>
        <v>0</v>
      </c>
      <c r="Y103" s="91">
        <f>SUMIFS(tabela_registros[VALOR],tabela_registros[MÊS],$AE$1,tabela_registros[DIA],receitasvariáveisconsolidadojun[[#Headers],[21]],tabela_registros[REGISTRO],DADOS!$N$3,tabela_registros[TIPO],DADOS!$V$4,tabela_registros[CATEGORIA],receitasvariáveisconsolidadojun[[#This Row],[ATUAL]])</f>
        <v>0</v>
      </c>
      <c r="Z103" s="91">
        <f>SUMIFS(tabela_registros[VALOR],tabela_registros[MÊS],$AE$1,tabela_registros[DIA],receitasvariáveisconsolidadojun[[#Headers],[22]],tabela_registros[REGISTRO],DADOS!$N$3,tabela_registros[TIPO],DADOS!$V$4,tabela_registros[CATEGORIA],receitasvariáveisconsolidadojun[[#This Row],[ATUAL]])</f>
        <v>0</v>
      </c>
      <c r="AA103" s="91">
        <f>SUMIFS(tabela_registros[VALOR],tabela_registros[MÊS],$AE$1,tabela_registros[DIA],receitasvariáveisconsolidadojun[[#Headers],[23]],tabela_registros[REGISTRO],DADOS!$N$3,tabela_registros[TIPO],DADOS!$V$4,tabela_registros[CATEGORIA],receitasvariáveisconsolidadojun[[#This Row],[ATUAL]])</f>
        <v>0</v>
      </c>
      <c r="AB103" s="91">
        <f>SUMIFS(tabela_registros[VALOR],tabela_registros[MÊS],$AE$1,tabela_registros[DIA],receitasvariáveisconsolidadojun[[#Headers],[24]],tabela_registros[REGISTRO],DADOS!$N$3,tabela_registros[TIPO],DADOS!$V$4,tabela_registros[CATEGORIA],receitasvariáveisconsolidadojun[[#This Row],[ATUAL]])</f>
        <v>0</v>
      </c>
      <c r="AC103" s="91">
        <f>SUMIFS(tabela_registros[VALOR],tabela_registros[MÊS],$AE$1,tabela_registros[DIA],receitasvariáveisconsolidadojun[[#Headers],[25]],tabela_registros[REGISTRO],DADOS!$N$3,tabela_registros[TIPO],DADOS!$V$4,tabela_registros[CATEGORIA],receitasvariáveisconsolidadojun[[#This Row],[ATUAL]])</f>
        <v>0</v>
      </c>
      <c r="AD103" s="91">
        <f>SUMIFS(tabela_registros[VALOR],tabela_registros[MÊS],$AE$1,tabela_registros[DIA],receitasvariáveisconsolidadojun[[#Headers],[26]],tabela_registros[REGISTRO],DADOS!$N$3,tabela_registros[TIPO],DADOS!$V$4,tabela_registros[CATEGORIA],receitasvariáveisconsolidadojun[[#This Row],[ATUAL]])</f>
        <v>0</v>
      </c>
      <c r="AE103" s="91">
        <f>SUMIFS(tabela_registros[VALOR],tabela_registros[MÊS],$AE$1,tabela_registros[DIA],receitasvariáveisconsolidadojun[[#Headers],[27]],tabela_registros[REGISTRO],DADOS!$N$3,tabela_registros[TIPO],DADOS!$V$4,tabela_registros[CATEGORIA],receitasvariáveisconsolidadojun[[#This Row],[ATUAL]])</f>
        <v>0</v>
      </c>
      <c r="AF103" s="91">
        <f>SUMIFS(tabela_registros[VALOR],tabela_registros[MÊS],$AE$1,tabela_registros[DIA],receitasvariáveisconsolidadojun[[#Headers],[28]],tabela_registros[REGISTRO],DADOS!$N$3,tabela_registros[TIPO],DADOS!$V$4,tabela_registros[CATEGORIA],receitasvariáveisconsolidadojun[[#This Row],[ATUAL]])</f>
        <v>0</v>
      </c>
      <c r="AG103" s="91">
        <f>SUMIFS(tabela_registros[VALOR],tabela_registros[MÊS],$AE$1,tabela_registros[DIA],receitasvariáveisconsolidadojun[[#Headers],[29]],tabela_registros[REGISTRO],DADOS!$N$3,tabela_registros[TIPO],DADOS!$V$4,tabela_registros[CATEGORIA],receitasvariáveisconsolidadojun[[#This Row],[ATUAL]])</f>
        <v>0</v>
      </c>
      <c r="AH103" s="91">
        <f>SUMIFS(tabela_registros[VALOR],tabela_registros[MÊS],$AE$1,tabela_registros[DIA],receitasvariáveisconsolidadojun[[#Headers],[30]],tabela_registros[REGISTRO],DADOS!$N$3,tabela_registros[TIPO],DADOS!$V$4,tabela_registros[CATEGORIA],receitasvariáveisconsolidadojun[[#This Row],[ATUAL]])</f>
        <v>0</v>
      </c>
      <c r="AI103" s="102">
        <f>SUMIFS(tabela_registros[VALOR],tabela_registros[MÊS],$AE$1,tabela_registros[DIA],receitasvariáveisconsolidadojun[[#Headers],[31]],tabela_registros[REGISTRO],DADOS!$N$3,tabela_registros[TIPO],DADOS!$V$4,tabela_registros[CATEGORIA],receitasvariáveisconsolidadojun[[#This Row],[ATUAL]])</f>
        <v>0</v>
      </c>
      <c r="AJ103" s="97">
        <f>SUM(receitasvariáveisconsolidadojun[[#This Row],[1]:[31]])</f>
        <v>0</v>
      </c>
      <c r="AK103" s="25"/>
    </row>
    <row r="104" spans="2:37" s="16" customFormat="1" ht="21" customHeight="1" thickTop="1" thickBot="1" x14ac:dyDescent="0.35">
      <c r="B104" s="24"/>
      <c r="C104" s="23" t="s">
        <v>19</v>
      </c>
      <c r="D104" s="22"/>
      <c r="E104" s="21">
        <f>SUM(E96:E103)</f>
        <v>0</v>
      </c>
      <c r="F104" s="20">
        <f>SUM(F96:F103)+receitasvariáveisconsolidadojun[[#This Row],[1]]</f>
        <v>0</v>
      </c>
      <c r="G104" s="20">
        <f>SUM(G96:G103)+receitasvariáveisconsolidadojun[[#This Row],[2]]</f>
        <v>0</v>
      </c>
      <c r="H104" s="20">
        <f>SUM(H96:H103)+receitasvariáveisconsolidadojun[[#This Row],[3]]</f>
        <v>0</v>
      </c>
      <c r="I104" s="20">
        <f>SUM(I96:I103)+receitasvariáveisconsolidadojun[[#This Row],[4]]</f>
        <v>0</v>
      </c>
      <c r="J104" s="20">
        <f>SUM(J96:J103)+receitasvariáveisconsolidadojun[[#This Row],[5]]</f>
        <v>0</v>
      </c>
      <c r="K104" s="20">
        <f>SUM(K96:K103)+receitasvariáveisconsolidadojun[[#This Row],[6]]</f>
        <v>0</v>
      </c>
      <c r="L104" s="20">
        <f>SUM(L96:L103)+receitasvariáveisconsolidadojun[[#This Row],[7]]</f>
        <v>0</v>
      </c>
      <c r="M104" s="20">
        <f>SUM(M96:M103)+receitasvariáveisconsolidadojun[[#This Row],[8]]</f>
        <v>0</v>
      </c>
      <c r="N104" s="20">
        <f>SUM(N96:N103)+receitasvariáveisconsolidadojun[[#This Row],[9]]</f>
        <v>0</v>
      </c>
      <c r="O104" s="20">
        <f>SUM(O96:O103)+receitasvariáveisconsolidadojun[[#This Row],[10]]</f>
        <v>0</v>
      </c>
      <c r="P104" s="20">
        <f>SUM(P96:P103)+receitasvariáveisconsolidadojun[[#This Row],[11]]</f>
        <v>0</v>
      </c>
      <c r="Q104" s="20">
        <f>SUM(Q96:Q103)+receitasvariáveisconsolidadojun[[#This Row],[12]]</f>
        <v>0</v>
      </c>
      <c r="R104" s="20">
        <f>SUM(R96:R103)+receitasvariáveisconsolidadojun[[#This Row],[13]]</f>
        <v>0</v>
      </c>
      <c r="S104" s="20">
        <f>SUM(S96:S103)+receitasvariáveisconsolidadojun[[#This Row],[14]]</f>
        <v>0</v>
      </c>
      <c r="T104" s="20">
        <f>SUM(T96:T103)+receitasvariáveisconsolidadojun[[#This Row],[15]]</f>
        <v>0</v>
      </c>
      <c r="U104" s="20">
        <f>SUM(U96:U103)+receitasvariáveisconsolidadojun[[#This Row],[16]]</f>
        <v>0</v>
      </c>
      <c r="V104" s="20">
        <f>SUM(V96:V103)+receitasvariáveisconsolidadojun[[#This Row],[17]]</f>
        <v>0</v>
      </c>
      <c r="W104" s="20">
        <f>SUM(W96:W103)+receitasvariáveisconsolidadojun[[#This Row],[18]]</f>
        <v>0</v>
      </c>
      <c r="X104" s="20">
        <f>SUM(X96:X103)+receitasvariáveisconsolidadojun[[#This Row],[19]]</f>
        <v>0</v>
      </c>
      <c r="Y104" s="20">
        <f>SUM(Y96:Y103)+receitasvariáveisconsolidadojun[[#This Row],[20]]</f>
        <v>0</v>
      </c>
      <c r="Z104" s="20">
        <f>SUM(Z96:Z103)+receitasvariáveisconsolidadojun[[#This Row],[21]]</f>
        <v>0</v>
      </c>
      <c r="AA104" s="20">
        <f>SUM(AA96:AA103)+receitasvariáveisconsolidadojun[[#This Row],[22]]</f>
        <v>0</v>
      </c>
      <c r="AB104" s="20">
        <f>SUM(AB96:AB103)+receitasvariáveisconsolidadojun[[#This Row],[23]]</f>
        <v>0</v>
      </c>
      <c r="AC104" s="20">
        <f>SUM(AC96:AC103)+receitasvariáveisconsolidadojun[[#This Row],[24]]</f>
        <v>0</v>
      </c>
      <c r="AD104" s="20">
        <f>SUM(AD96:AD103)+receitasvariáveisconsolidadojun[[#This Row],[25]]</f>
        <v>0</v>
      </c>
      <c r="AE104" s="20">
        <f>SUM(AE96:AE103)+receitasvariáveisconsolidadojun[[#This Row],[26]]</f>
        <v>0</v>
      </c>
      <c r="AF104" s="20">
        <f>SUM(AF96:AF103)+receitasvariáveisconsolidadojun[[#This Row],[27]]</f>
        <v>0</v>
      </c>
      <c r="AG104" s="20">
        <f>SUM(AG96:AG103)+receitasvariáveisconsolidadojun[[#This Row],[28]]</f>
        <v>0</v>
      </c>
      <c r="AH104" s="20">
        <f>SUM(AH96:AH103)+receitasvariáveisconsolidadojun[[#This Row],[29]]</f>
        <v>0</v>
      </c>
      <c r="AI104" s="19">
        <f>SUM(AI96:AI103)+receitasvariáveisconsolidadojun[[#This Row],[30]]</f>
        <v>0</v>
      </c>
      <c r="AJ104" s="18">
        <f>receitasvariáveisconsolidadojun[[#This Row],[31]]</f>
        <v>0</v>
      </c>
      <c r="AK104" s="17"/>
    </row>
    <row r="105" spans="2:37" ht="6.75" customHeight="1" thickTop="1" thickBot="1" x14ac:dyDescent="0.3">
      <c r="B105" s="15"/>
      <c r="C105" s="14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2"/>
      <c r="AJ105" s="11"/>
      <c r="AK105" s="10"/>
    </row>
    <row r="106" spans="2:37" ht="12.6" thickTop="1" x14ac:dyDescent="0.25">
      <c r="E106" s="37"/>
      <c r="AI106" s="4"/>
    </row>
    <row r="107" spans="2:37" x14ac:dyDescent="0.25">
      <c r="AI107" s="4"/>
    </row>
    <row r="108" spans="2:37" x14ac:dyDescent="0.25">
      <c r="AI108" s="4"/>
    </row>
    <row r="109" spans="2:37" ht="39.75" customHeight="1" x14ac:dyDescent="0.7">
      <c r="C109" s="36"/>
      <c r="E109" s="240"/>
      <c r="F109" s="240"/>
      <c r="G109" s="240"/>
      <c r="H109" s="240"/>
      <c r="I109" s="240"/>
      <c r="J109" s="240"/>
      <c r="K109" s="240"/>
      <c r="L109" s="240"/>
      <c r="M109" s="240"/>
      <c r="N109" s="240"/>
      <c r="O109" s="240"/>
      <c r="P109" s="240"/>
      <c r="Q109" s="240"/>
      <c r="R109" s="240"/>
      <c r="S109" s="240"/>
      <c r="T109" s="240"/>
      <c r="U109" s="240"/>
      <c r="V109" s="240"/>
      <c r="W109" s="240"/>
      <c r="X109" s="240"/>
      <c r="Y109" s="240"/>
      <c r="Z109" s="240"/>
      <c r="AA109" s="240"/>
      <c r="AB109" s="240"/>
      <c r="AC109" s="240"/>
      <c r="AD109" s="240"/>
      <c r="AE109" s="240"/>
      <c r="AF109" s="240"/>
      <c r="AG109" s="240"/>
      <c r="AH109" s="240"/>
      <c r="AI109" s="240"/>
      <c r="AJ109" s="32" t="s">
        <v>19</v>
      </c>
    </row>
    <row r="110" spans="2:37" ht="12.6" thickBot="1" x14ac:dyDescent="0.3">
      <c r="B110" s="35"/>
      <c r="AI110" s="4"/>
      <c r="AJ110" s="34" t="s">
        <v>202</v>
      </c>
    </row>
    <row r="111" spans="2:37" ht="6.75" customHeight="1" thickTop="1" thickBot="1" x14ac:dyDescent="0.3">
      <c r="B111" s="2"/>
      <c r="C111" s="14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2"/>
      <c r="AK111" s="33"/>
    </row>
    <row r="112" spans="2:37" ht="13.2" hidden="1" thickTop="1" thickBot="1" x14ac:dyDescent="0.3">
      <c r="B112" s="2"/>
      <c r="C112" s="31" t="s">
        <v>199</v>
      </c>
      <c r="D112" s="30" t="s">
        <v>198</v>
      </c>
      <c r="E112" s="30" t="s">
        <v>197</v>
      </c>
      <c r="F112" s="30" t="s">
        <v>196</v>
      </c>
      <c r="G112" s="30" t="s">
        <v>195</v>
      </c>
      <c r="H112" s="30" t="s">
        <v>194</v>
      </c>
      <c r="I112" s="30" t="s">
        <v>193</v>
      </c>
      <c r="J112" s="30" t="s">
        <v>192</v>
      </c>
      <c r="K112" s="30" t="s">
        <v>191</v>
      </c>
      <c r="L112" s="30" t="s">
        <v>190</v>
      </c>
      <c r="M112" s="30" t="s">
        <v>189</v>
      </c>
      <c r="N112" s="30" t="s">
        <v>188</v>
      </c>
      <c r="O112" s="30" t="s">
        <v>187</v>
      </c>
      <c r="P112" s="30" t="s">
        <v>186</v>
      </c>
      <c r="Q112" s="30" t="s">
        <v>185</v>
      </c>
      <c r="R112" s="30" t="s">
        <v>184</v>
      </c>
      <c r="S112" s="30" t="s">
        <v>183</v>
      </c>
      <c r="T112" s="30" t="s">
        <v>182</v>
      </c>
      <c r="U112" s="30" t="s">
        <v>181</v>
      </c>
      <c r="V112" s="30" t="s">
        <v>180</v>
      </c>
      <c r="W112" s="30" t="s">
        <v>179</v>
      </c>
      <c r="X112" s="30" t="s">
        <v>178</v>
      </c>
      <c r="Y112" s="30" t="s">
        <v>177</v>
      </c>
      <c r="Z112" s="30" t="s">
        <v>176</v>
      </c>
      <c r="AA112" s="30" t="s">
        <v>175</v>
      </c>
      <c r="AB112" s="30" t="s">
        <v>174</v>
      </c>
      <c r="AC112" s="30" t="s">
        <v>173</v>
      </c>
      <c r="AD112" s="30" t="s">
        <v>172</v>
      </c>
      <c r="AE112" s="30" t="s">
        <v>171</v>
      </c>
      <c r="AF112" s="30" t="s">
        <v>170</v>
      </c>
      <c r="AG112" s="30" t="s">
        <v>169</v>
      </c>
      <c r="AH112" s="30" t="s">
        <v>168</v>
      </c>
      <c r="AI112" s="30" t="s">
        <v>167</v>
      </c>
      <c r="AJ112" s="29" t="s">
        <v>166</v>
      </c>
      <c r="AK112" s="2"/>
    </row>
    <row r="113" spans="2:37" ht="19.5" customHeight="1" thickTop="1" thickBot="1" x14ac:dyDescent="0.3">
      <c r="B113" s="28"/>
      <c r="C113" s="27" t="str">
        <f>DADOS!$AD$3</f>
        <v>📝 CDB</v>
      </c>
      <c r="D113" s="26" t="str">
        <f>IF(investirrendafixaconsolidadojun[[#This Row],[TOTAL (R$)]]=0,"",IF(OR(investirrendafixaconsolidadojun[[#This Row],[TOTAL (R$)]]=LARGE($AJ$113:$AJ$122,1),investirrendafixaconsolidadojun[[#This Row],[TOTAL (R$)]]=LARGE($AJ$113:$AJ$122,2)),DADOS!$I$10,""))</f>
        <v/>
      </c>
      <c r="E113" s="96">
        <f>SUMIFS(tabela_registros[VALOR],tabela_registros[MÊS],$AE$1,tabela_registros[DIA],investirrendafixaconsolidadojun[[#Headers],[1]],tabela_registros[REGISTRO],DADOS!$N$5,tabela_registros[TIPO],DADOS!$AB$3,tabela_registros[CATEGORIA],investirrendafixaconsolidadojun[[#This Row],[ATUAL]])</f>
        <v>0</v>
      </c>
      <c r="F113" s="91">
        <f>SUMIFS(tabela_registros[VALOR],tabela_registros[MÊS],$AE$1,tabela_registros[DIA],investirrendafixaconsolidadojun[[#Headers],[2]],tabela_registros[REGISTRO],DADOS!$N$5,tabela_registros[TIPO],DADOS!$AB$3,tabela_registros[CATEGORIA],investirrendafixaconsolidadojun[[#This Row],[ATUAL]])</f>
        <v>0</v>
      </c>
      <c r="G113" s="91">
        <f>SUMIFS(tabela_registros[VALOR],tabela_registros[MÊS],$AE$1,tabela_registros[DIA],investirrendafixaconsolidadojun[[#Headers],[3]],tabela_registros[REGISTRO],DADOS!$N$5,tabela_registros[TIPO],DADOS!$AB$3,tabela_registros[CATEGORIA],investirrendafixaconsolidadojun[[#This Row],[ATUAL]])</f>
        <v>0</v>
      </c>
      <c r="H113" s="91">
        <f>SUMIFS(tabela_registros[VALOR],tabela_registros[MÊS],$AE$1,tabela_registros[DIA],investirrendafixaconsolidadojun[[#Headers],[4]],tabela_registros[REGISTRO],DADOS!$N$5,tabela_registros[TIPO],DADOS!$AB$3,tabela_registros[CATEGORIA],investirrendafixaconsolidadojun[[#This Row],[ATUAL]])</f>
        <v>0</v>
      </c>
      <c r="I113" s="91">
        <f>SUMIFS(tabela_registros[VALOR],tabela_registros[MÊS],$AE$1,tabela_registros[DIA],investirrendafixaconsolidadojun[[#Headers],[5]],tabela_registros[REGISTRO],DADOS!$N$5,tabela_registros[TIPO],DADOS!$AB$3,tabela_registros[CATEGORIA],investirrendafixaconsolidadojun[[#This Row],[ATUAL]])</f>
        <v>0</v>
      </c>
      <c r="J113" s="91">
        <f>SUMIFS(tabela_registros[VALOR],tabela_registros[MÊS],$AE$1,tabela_registros[DIA],investirrendafixaconsolidadojun[[#Headers],[6]],tabela_registros[REGISTRO],DADOS!$N$5,tabela_registros[TIPO],DADOS!$AB$3,tabela_registros[CATEGORIA],investirrendafixaconsolidadojun[[#This Row],[ATUAL]])</f>
        <v>0</v>
      </c>
      <c r="K113" s="91">
        <f>SUMIFS(tabela_registros[VALOR],tabela_registros[MÊS],$AE$1,tabela_registros[DIA],investirrendafixaconsolidadojun[[#Headers],[7]],tabela_registros[REGISTRO],DADOS!$N$5,tabela_registros[TIPO],DADOS!$AB$3,tabela_registros[CATEGORIA],investirrendafixaconsolidadojun[[#This Row],[ATUAL]])</f>
        <v>0</v>
      </c>
      <c r="L113" s="91">
        <f>SUMIFS(tabela_registros[VALOR],tabela_registros[MÊS],$AE$1,tabela_registros[DIA],investirrendafixaconsolidadojun[[#Headers],[8]],tabela_registros[REGISTRO],DADOS!$N$5,tabela_registros[TIPO],DADOS!$AB$3,tabela_registros[CATEGORIA],investirrendafixaconsolidadojun[[#This Row],[ATUAL]])</f>
        <v>0</v>
      </c>
      <c r="M113" s="91">
        <f>SUMIFS(tabela_registros[VALOR],tabela_registros[MÊS],$AE$1,tabela_registros[DIA],investirrendafixaconsolidadojun[[#Headers],[9]],tabela_registros[REGISTRO],DADOS!$N$5,tabela_registros[TIPO],DADOS!$AB$3,tabela_registros[CATEGORIA],investirrendafixaconsolidadojun[[#This Row],[ATUAL]])</f>
        <v>0</v>
      </c>
      <c r="N113" s="91">
        <f>SUMIFS(tabela_registros[VALOR],tabela_registros[MÊS],$AE$1,tabela_registros[DIA],investirrendafixaconsolidadojun[[#Headers],[10]],tabela_registros[REGISTRO],DADOS!$N$5,tabela_registros[TIPO],DADOS!$AB$3,tabela_registros[CATEGORIA],investirrendafixaconsolidadojun[[#This Row],[ATUAL]])</f>
        <v>0</v>
      </c>
      <c r="O113" s="91">
        <f>SUMIFS(tabela_registros[VALOR],tabela_registros[MÊS],$AE$1,tabela_registros[DIA],investirrendafixaconsolidadojun[[#Headers],[11]],tabela_registros[REGISTRO],DADOS!$N$5,tabela_registros[TIPO],DADOS!$AB$3,tabela_registros[CATEGORIA],investirrendafixaconsolidadojun[[#This Row],[ATUAL]])</f>
        <v>0</v>
      </c>
      <c r="P113" s="91">
        <f>SUMIFS(tabela_registros[VALOR],tabela_registros[MÊS],$AE$1,tabela_registros[DIA],investirrendafixaconsolidadojun[[#Headers],[12]],tabela_registros[REGISTRO],DADOS!$N$5,tabela_registros[TIPO],DADOS!$AB$3,tabela_registros[CATEGORIA],investirrendafixaconsolidadojun[[#This Row],[ATUAL]])</f>
        <v>0</v>
      </c>
      <c r="Q113" s="91">
        <f>SUMIFS(tabela_registros[VALOR],tabela_registros[MÊS],$AE$1,tabela_registros[DIA],investirrendafixaconsolidadojun[[#Headers],[13]],tabela_registros[REGISTRO],DADOS!$N$5,tabela_registros[TIPO],DADOS!$AB$3,tabela_registros[CATEGORIA],investirrendafixaconsolidadojun[[#This Row],[ATUAL]])</f>
        <v>0</v>
      </c>
      <c r="R113" s="91">
        <f>SUMIFS(tabela_registros[VALOR],tabela_registros[MÊS],$AE$1,tabela_registros[DIA],investirrendafixaconsolidadojun[[#Headers],[14]],tabela_registros[REGISTRO],DADOS!$N$5,tabela_registros[TIPO],DADOS!$AB$3,tabela_registros[CATEGORIA],investirrendafixaconsolidadojun[[#This Row],[ATUAL]])</f>
        <v>0</v>
      </c>
      <c r="S113" s="91">
        <f>SUMIFS(tabela_registros[VALOR],tabela_registros[MÊS],$AE$1,tabela_registros[DIA],investirrendafixaconsolidadojun[[#Headers],[15]],tabela_registros[REGISTRO],DADOS!$N$5,tabela_registros[TIPO],DADOS!$AB$3,tabela_registros[CATEGORIA],investirrendafixaconsolidadojun[[#This Row],[ATUAL]])</f>
        <v>0</v>
      </c>
      <c r="T113" s="91">
        <f>SUMIFS(tabela_registros[VALOR],tabela_registros[MÊS],$AE$1,tabela_registros[DIA],investirrendafixaconsolidadojun[[#Headers],[16]],tabela_registros[REGISTRO],DADOS!$N$5,tabela_registros[TIPO],DADOS!$AB$3,tabela_registros[CATEGORIA],investirrendafixaconsolidadojun[[#This Row],[ATUAL]])</f>
        <v>0</v>
      </c>
      <c r="U113" s="91">
        <f>SUMIFS(tabela_registros[VALOR],tabela_registros[MÊS],$AE$1,tabela_registros[DIA],investirrendafixaconsolidadojun[[#Headers],[17]],tabela_registros[REGISTRO],DADOS!$N$5,tabela_registros[TIPO],DADOS!$AB$3,tabela_registros[CATEGORIA],investirrendafixaconsolidadojun[[#This Row],[ATUAL]])</f>
        <v>0</v>
      </c>
      <c r="V113" s="91">
        <f>SUMIFS(tabela_registros[VALOR],tabela_registros[MÊS],$AE$1,tabela_registros[DIA],investirrendafixaconsolidadojun[[#Headers],[18]],tabela_registros[REGISTRO],DADOS!$N$5,tabela_registros[TIPO],DADOS!$AB$3,tabela_registros[CATEGORIA],investirrendafixaconsolidadojun[[#This Row],[ATUAL]])</f>
        <v>0</v>
      </c>
      <c r="W113" s="91">
        <f>SUMIFS(tabela_registros[VALOR],tabela_registros[MÊS],$AE$1,tabela_registros[DIA],investirrendafixaconsolidadojun[[#Headers],[19]],tabela_registros[REGISTRO],DADOS!$N$5,tabela_registros[TIPO],DADOS!$AB$3,tabela_registros[CATEGORIA],investirrendafixaconsolidadojun[[#This Row],[ATUAL]])</f>
        <v>0</v>
      </c>
      <c r="X113" s="91">
        <f>SUMIFS(tabela_registros[VALOR],tabela_registros[MÊS],$AE$1,tabela_registros[DIA],investirrendafixaconsolidadojun[[#Headers],[20]],tabela_registros[REGISTRO],DADOS!$N$5,tabela_registros[TIPO],DADOS!$AB$3,tabela_registros[CATEGORIA],investirrendafixaconsolidadojun[[#This Row],[ATUAL]])</f>
        <v>0</v>
      </c>
      <c r="Y113" s="91">
        <f>SUMIFS(tabela_registros[VALOR],tabela_registros[MÊS],$AE$1,tabela_registros[DIA],investirrendafixaconsolidadojun[[#Headers],[21]],tabela_registros[REGISTRO],DADOS!$N$5,tabela_registros[TIPO],DADOS!$AB$3,tabela_registros[CATEGORIA],investirrendafixaconsolidadojun[[#This Row],[ATUAL]])</f>
        <v>0</v>
      </c>
      <c r="Z113" s="91">
        <f>SUMIFS(tabela_registros[VALOR],tabela_registros[MÊS],$AE$1,tabela_registros[DIA],investirrendafixaconsolidadojun[[#Headers],[22]],tabela_registros[REGISTRO],DADOS!$N$5,tabela_registros[TIPO],DADOS!$AB$3,tabela_registros[CATEGORIA],investirrendafixaconsolidadojun[[#This Row],[ATUAL]])</f>
        <v>0</v>
      </c>
      <c r="AA113" s="91">
        <f>SUMIFS(tabela_registros[VALOR],tabela_registros[MÊS],$AE$1,tabela_registros[DIA],investirrendafixaconsolidadojun[[#Headers],[23]],tabela_registros[REGISTRO],DADOS!$N$5,tabela_registros[TIPO],DADOS!$AB$3,tabela_registros[CATEGORIA],investirrendafixaconsolidadojun[[#This Row],[ATUAL]])</f>
        <v>0</v>
      </c>
      <c r="AB113" s="91">
        <f>SUMIFS(tabela_registros[VALOR],tabela_registros[MÊS],$AE$1,tabela_registros[DIA],investirrendafixaconsolidadojun[[#Headers],[24]],tabela_registros[REGISTRO],DADOS!$N$5,tabela_registros[TIPO],DADOS!$AB$3,tabela_registros[CATEGORIA],investirrendafixaconsolidadojun[[#This Row],[ATUAL]])</f>
        <v>0</v>
      </c>
      <c r="AC113" s="91">
        <f>SUMIFS(tabela_registros[VALOR],tabela_registros[MÊS],$AE$1,tabela_registros[DIA],investirrendafixaconsolidadojun[[#Headers],[25]],tabela_registros[REGISTRO],DADOS!$N$5,tabela_registros[TIPO],DADOS!$AB$3,tabela_registros[CATEGORIA],investirrendafixaconsolidadojun[[#This Row],[ATUAL]])</f>
        <v>0</v>
      </c>
      <c r="AD113" s="91">
        <f>SUMIFS(tabela_registros[VALOR],tabela_registros[MÊS],$AE$1,tabela_registros[DIA],investirrendafixaconsolidadojun[[#Headers],[26]],tabela_registros[REGISTRO],DADOS!$N$5,tabela_registros[TIPO],DADOS!$AB$3,tabela_registros[CATEGORIA],investirrendafixaconsolidadojun[[#This Row],[ATUAL]])</f>
        <v>0</v>
      </c>
      <c r="AE113" s="91">
        <f>SUMIFS(tabela_registros[VALOR],tabela_registros[MÊS],$AE$1,tabela_registros[DIA],investirrendafixaconsolidadojun[[#Headers],[27]],tabela_registros[REGISTRO],DADOS!$N$5,tabela_registros[TIPO],DADOS!$AB$3,tabela_registros[CATEGORIA],investirrendafixaconsolidadojun[[#This Row],[ATUAL]])</f>
        <v>0</v>
      </c>
      <c r="AF113" s="91">
        <f>SUMIFS(tabela_registros[VALOR],tabela_registros[MÊS],$AE$1,tabela_registros[DIA],investirrendafixaconsolidadojun[[#Headers],[28]],tabela_registros[REGISTRO],DADOS!$N$5,tabela_registros[TIPO],DADOS!$AB$3,tabela_registros[CATEGORIA],investirrendafixaconsolidadojun[[#This Row],[ATUAL]])</f>
        <v>0</v>
      </c>
      <c r="AG113" s="91">
        <f>SUMIFS(tabela_registros[VALOR],tabela_registros[MÊS],$AE$1,tabela_registros[DIA],investirrendafixaconsolidadojun[[#Headers],[29]],tabela_registros[REGISTRO],DADOS!$N$5,tabela_registros[TIPO],DADOS!$AB$3,tabela_registros[CATEGORIA],investirrendafixaconsolidadojun[[#This Row],[ATUAL]])</f>
        <v>0</v>
      </c>
      <c r="AH113" s="91">
        <f>SUMIFS(tabela_registros[VALOR],tabela_registros[MÊS],$AE$1,tabela_registros[DIA],investirrendafixaconsolidadojun[[#Headers],[30]],tabela_registros[REGISTRO],DADOS!$N$5,tabela_registros[TIPO],DADOS!$AB$3,tabela_registros[CATEGORIA],investirrendafixaconsolidadojun[[#This Row],[ATUAL]])</f>
        <v>0</v>
      </c>
      <c r="AI113" s="101">
        <f>SUMIFS(tabela_registros[VALOR],tabela_registros[MÊS],$AE$1,tabela_registros[DIA],investirrendafixaconsolidadojun[[#Headers],[31]],tabela_registros[REGISTRO],DADOS!$N$5,tabela_registros[TIPO],DADOS!$AB$3,tabela_registros[CATEGORIA],investirrendafixaconsolidadojun[[#This Row],[ATUAL]])</f>
        <v>0</v>
      </c>
      <c r="AJ113" s="97">
        <f>SUM(investirrendafixaconsolidadojun[[#This Row],[1]:[31]])</f>
        <v>0</v>
      </c>
      <c r="AK113" s="25"/>
    </row>
    <row r="114" spans="2:37" ht="19.5" customHeight="1" thickTop="1" thickBot="1" x14ac:dyDescent="0.3">
      <c r="B114" s="28"/>
      <c r="C114" s="27" t="str">
        <f>DADOS!$AD$4</f>
        <v>📝 CRA</v>
      </c>
      <c r="D114" s="26" t="str">
        <f>IF(investirrendafixaconsolidadojun[[#This Row],[TOTAL (R$)]]=0,"",IF(OR(investirrendafixaconsolidadojun[[#This Row],[TOTAL (R$)]]=LARGE($AJ$113:$AJ$122,1),investirrendafixaconsolidadojun[[#This Row],[TOTAL (R$)]]=LARGE($AJ$113:$AJ$122,2)),DADOS!$I$10,""))</f>
        <v/>
      </c>
      <c r="E114" s="96">
        <f>SUMIFS(tabela_registros[VALOR],tabela_registros[MÊS],$AE$1,tabela_registros[DIA],investirrendafixaconsolidadojun[[#Headers],[1]],tabela_registros[REGISTRO],DADOS!$N$5,tabela_registros[TIPO],DADOS!$AB$3,tabela_registros[CATEGORIA],investirrendafixaconsolidadojun[[#This Row],[ATUAL]])</f>
        <v>0</v>
      </c>
      <c r="F114" s="91">
        <f>SUMIFS(tabela_registros[VALOR],tabela_registros[MÊS],$AE$1,tabela_registros[DIA],investirrendafixaconsolidadojun[[#Headers],[2]],tabela_registros[REGISTRO],DADOS!$N$5,tabela_registros[TIPO],DADOS!$AB$3,tabela_registros[CATEGORIA],investirrendafixaconsolidadojun[[#This Row],[ATUAL]])</f>
        <v>0</v>
      </c>
      <c r="G114" s="91">
        <f>SUMIFS(tabela_registros[VALOR],tabela_registros[MÊS],$AE$1,tabela_registros[DIA],investirrendafixaconsolidadojun[[#Headers],[3]],tabela_registros[REGISTRO],DADOS!$N$5,tabela_registros[TIPO],DADOS!$AB$3,tabela_registros[CATEGORIA],investirrendafixaconsolidadojun[[#This Row],[ATUAL]])</f>
        <v>0</v>
      </c>
      <c r="H114" s="91">
        <f>SUMIFS(tabela_registros[VALOR],tabela_registros[MÊS],$AE$1,tabela_registros[DIA],investirrendafixaconsolidadojun[[#Headers],[4]],tabela_registros[REGISTRO],DADOS!$N$5,tabela_registros[TIPO],DADOS!$AB$3,tabela_registros[CATEGORIA],investirrendafixaconsolidadojun[[#This Row],[ATUAL]])</f>
        <v>0</v>
      </c>
      <c r="I114" s="91">
        <f>SUMIFS(tabela_registros[VALOR],tabela_registros[MÊS],$AE$1,tabela_registros[DIA],investirrendafixaconsolidadojun[[#Headers],[5]],tabela_registros[REGISTRO],DADOS!$N$5,tabela_registros[TIPO],DADOS!$AB$3,tabela_registros[CATEGORIA],investirrendafixaconsolidadojun[[#This Row],[ATUAL]])</f>
        <v>0</v>
      </c>
      <c r="J114" s="91">
        <f>SUMIFS(tabela_registros[VALOR],tabela_registros[MÊS],$AE$1,tabela_registros[DIA],investirrendafixaconsolidadojun[[#Headers],[6]],tabela_registros[REGISTRO],DADOS!$N$5,tabela_registros[TIPO],DADOS!$AB$3,tabela_registros[CATEGORIA],investirrendafixaconsolidadojun[[#This Row],[ATUAL]])</f>
        <v>0</v>
      </c>
      <c r="K114" s="91">
        <f>SUMIFS(tabela_registros[VALOR],tabela_registros[MÊS],$AE$1,tabela_registros[DIA],investirrendafixaconsolidadojun[[#Headers],[7]],tabela_registros[REGISTRO],DADOS!$N$5,tabela_registros[TIPO],DADOS!$AB$3,tabela_registros[CATEGORIA],investirrendafixaconsolidadojun[[#This Row],[ATUAL]])</f>
        <v>0</v>
      </c>
      <c r="L114" s="91">
        <f>SUMIFS(tabela_registros[VALOR],tabela_registros[MÊS],$AE$1,tabela_registros[DIA],investirrendafixaconsolidadojun[[#Headers],[8]],tabela_registros[REGISTRO],DADOS!$N$5,tabela_registros[TIPO],DADOS!$AB$3,tabela_registros[CATEGORIA],investirrendafixaconsolidadojun[[#This Row],[ATUAL]])</f>
        <v>0</v>
      </c>
      <c r="M114" s="91">
        <f>SUMIFS(tabela_registros[VALOR],tabela_registros[MÊS],$AE$1,tabela_registros[DIA],investirrendafixaconsolidadojun[[#Headers],[9]],tabela_registros[REGISTRO],DADOS!$N$5,tabela_registros[TIPO],DADOS!$AB$3,tabela_registros[CATEGORIA],investirrendafixaconsolidadojun[[#This Row],[ATUAL]])</f>
        <v>0</v>
      </c>
      <c r="N114" s="91">
        <f>SUMIFS(tabela_registros[VALOR],tabela_registros[MÊS],$AE$1,tabela_registros[DIA],investirrendafixaconsolidadojun[[#Headers],[10]],tabela_registros[REGISTRO],DADOS!$N$5,tabela_registros[TIPO],DADOS!$AB$3,tabela_registros[CATEGORIA],investirrendafixaconsolidadojun[[#This Row],[ATUAL]])</f>
        <v>0</v>
      </c>
      <c r="O114" s="91">
        <f>SUMIFS(tabela_registros[VALOR],tabela_registros[MÊS],$AE$1,tabela_registros[DIA],investirrendafixaconsolidadojun[[#Headers],[11]],tabela_registros[REGISTRO],DADOS!$N$5,tabela_registros[TIPO],DADOS!$AB$3,tabela_registros[CATEGORIA],investirrendafixaconsolidadojun[[#This Row],[ATUAL]])</f>
        <v>0</v>
      </c>
      <c r="P114" s="91">
        <f>SUMIFS(tabela_registros[VALOR],tabela_registros[MÊS],$AE$1,tabela_registros[DIA],investirrendafixaconsolidadojun[[#Headers],[12]],tabela_registros[REGISTRO],DADOS!$N$5,tabela_registros[TIPO],DADOS!$AB$3,tabela_registros[CATEGORIA],investirrendafixaconsolidadojun[[#This Row],[ATUAL]])</f>
        <v>0</v>
      </c>
      <c r="Q114" s="91">
        <f>SUMIFS(tabela_registros[VALOR],tabela_registros[MÊS],$AE$1,tabela_registros[DIA],investirrendafixaconsolidadojun[[#Headers],[13]],tabela_registros[REGISTRO],DADOS!$N$5,tabela_registros[TIPO],DADOS!$AB$3,tabela_registros[CATEGORIA],investirrendafixaconsolidadojun[[#This Row],[ATUAL]])</f>
        <v>0</v>
      </c>
      <c r="R114" s="91">
        <f>SUMIFS(tabela_registros[VALOR],tabela_registros[MÊS],$AE$1,tabela_registros[DIA],investirrendafixaconsolidadojun[[#Headers],[14]],tabela_registros[REGISTRO],DADOS!$N$5,tabela_registros[TIPO],DADOS!$AB$3,tabela_registros[CATEGORIA],investirrendafixaconsolidadojun[[#This Row],[ATUAL]])</f>
        <v>0</v>
      </c>
      <c r="S114" s="91">
        <f>SUMIFS(tabela_registros[VALOR],tabela_registros[MÊS],$AE$1,tabela_registros[DIA],investirrendafixaconsolidadojun[[#Headers],[15]],tabela_registros[REGISTRO],DADOS!$N$5,tabela_registros[TIPO],DADOS!$AB$3,tabela_registros[CATEGORIA],investirrendafixaconsolidadojun[[#This Row],[ATUAL]])</f>
        <v>0</v>
      </c>
      <c r="T114" s="91">
        <f>SUMIFS(tabela_registros[VALOR],tabela_registros[MÊS],$AE$1,tabela_registros[DIA],investirrendafixaconsolidadojun[[#Headers],[16]],tabela_registros[REGISTRO],DADOS!$N$5,tabela_registros[TIPO],DADOS!$AB$3,tabela_registros[CATEGORIA],investirrendafixaconsolidadojun[[#This Row],[ATUAL]])</f>
        <v>0</v>
      </c>
      <c r="U114" s="91">
        <f>SUMIFS(tabela_registros[VALOR],tabela_registros[MÊS],$AE$1,tabela_registros[DIA],investirrendafixaconsolidadojun[[#Headers],[17]],tabela_registros[REGISTRO],DADOS!$N$5,tabela_registros[TIPO],DADOS!$AB$3,tabela_registros[CATEGORIA],investirrendafixaconsolidadojun[[#This Row],[ATUAL]])</f>
        <v>0</v>
      </c>
      <c r="V114" s="91">
        <f>SUMIFS(tabela_registros[VALOR],tabela_registros[MÊS],$AE$1,tabela_registros[DIA],investirrendafixaconsolidadojun[[#Headers],[18]],tabela_registros[REGISTRO],DADOS!$N$5,tabela_registros[TIPO],DADOS!$AB$3,tabela_registros[CATEGORIA],investirrendafixaconsolidadojun[[#This Row],[ATUAL]])</f>
        <v>0</v>
      </c>
      <c r="W114" s="91">
        <f>SUMIFS(tabela_registros[VALOR],tabela_registros[MÊS],$AE$1,tabela_registros[DIA],investirrendafixaconsolidadojun[[#Headers],[19]],tabela_registros[REGISTRO],DADOS!$N$5,tabela_registros[TIPO],DADOS!$AB$3,tabela_registros[CATEGORIA],investirrendafixaconsolidadojun[[#This Row],[ATUAL]])</f>
        <v>0</v>
      </c>
      <c r="X114" s="91">
        <f>SUMIFS(tabela_registros[VALOR],tabela_registros[MÊS],$AE$1,tabela_registros[DIA],investirrendafixaconsolidadojun[[#Headers],[20]],tabela_registros[REGISTRO],DADOS!$N$5,tabela_registros[TIPO],DADOS!$AB$3,tabela_registros[CATEGORIA],investirrendafixaconsolidadojun[[#This Row],[ATUAL]])</f>
        <v>0</v>
      </c>
      <c r="Y114" s="91">
        <f>SUMIFS(tabela_registros[VALOR],tabela_registros[MÊS],$AE$1,tabela_registros[DIA],investirrendafixaconsolidadojun[[#Headers],[21]],tabela_registros[REGISTRO],DADOS!$N$5,tabela_registros[TIPO],DADOS!$AB$3,tabela_registros[CATEGORIA],investirrendafixaconsolidadojun[[#This Row],[ATUAL]])</f>
        <v>0</v>
      </c>
      <c r="Z114" s="91">
        <f>SUMIFS(tabela_registros[VALOR],tabela_registros[MÊS],$AE$1,tabela_registros[DIA],investirrendafixaconsolidadojun[[#Headers],[22]],tabela_registros[REGISTRO],DADOS!$N$5,tabela_registros[TIPO],DADOS!$AB$3,tabela_registros[CATEGORIA],investirrendafixaconsolidadojun[[#This Row],[ATUAL]])</f>
        <v>0</v>
      </c>
      <c r="AA114" s="91">
        <f>SUMIFS(tabela_registros[VALOR],tabela_registros[MÊS],$AE$1,tabela_registros[DIA],investirrendafixaconsolidadojun[[#Headers],[23]],tabela_registros[REGISTRO],DADOS!$N$5,tabela_registros[TIPO],DADOS!$AB$3,tabela_registros[CATEGORIA],investirrendafixaconsolidadojun[[#This Row],[ATUAL]])</f>
        <v>0</v>
      </c>
      <c r="AB114" s="91">
        <f>SUMIFS(tabela_registros[VALOR],tabela_registros[MÊS],$AE$1,tabela_registros[DIA],investirrendafixaconsolidadojun[[#Headers],[24]],tabela_registros[REGISTRO],DADOS!$N$5,tabela_registros[TIPO],DADOS!$AB$3,tabela_registros[CATEGORIA],investirrendafixaconsolidadojun[[#This Row],[ATUAL]])</f>
        <v>0</v>
      </c>
      <c r="AC114" s="91">
        <f>SUMIFS(tabela_registros[VALOR],tabela_registros[MÊS],$AE$1,tabela_registros[DIA],investirrendafixaconsolidadojun[[#Headers],[25]],tabela_registros[REGISTRO],DADOS!$N$5,tabela_registros[TIPO],DADOS!$AB$3,tabela_registros[CATEGORIA],investirrendafixaconsolidadojun[[#This Row],[ATUAL]])</f>
        <v>0</v>
      </c>
      <c r="AD114" s="91">
        <f>SUMIFS(tabela_registros[VALOR],tabela_registros[MÊS],$AE$1,tabela_registros[DIA],investirrendafixaconsolidadojun[[#Headers],[26]],tabela_registros[REGISTRO],DADOS!$N$5,tabela_registros[TIPO],DADOS!$AB$3,tabela_registros[CATEGORIA],investirrendafixaconsolidadojun[[#This Row],[ATUAL]])</f>
        <v>0</v>
      </c>
      <c r="AE114" s="91">
        <f>SUMIFS(tabela_registros[VALOR],tabela_registros[MÊS],$AE$1,tabela_registros[DIA],investirrendafixaconsolidadojun[[#Headers],[27]],tabela_registros[REGISTRO],DADOS!$N$5,tabela_registros[TIPO],DADOS!$AB$3,tabela_registros[CATEGORIA],investirrendafixaconsolidadojun[[#This Row],[ATUAL]])</f>
        <v>0</v>
      </c>
      <c r="AF114" s="91">
        <f>SUMIFS(tabela_registros[VALOR],tabela_registros[MÊS],$AE$1,tabela_registros[DIA],investirrendafixaconsolidadojun[[#Headers],[28]],tabela_registros[REGISTRO],DADOS!$N$5,tabela_registros[TIPO],DADOS!$AB$3,tabela_registros[CATEGORIA],investirrendafixaconsolidadojun[[#This Row],[ATUAL]])</f>
        <v>0</v>
      </c>
      <c r="AG114" s="91">
        <f>SUMIFS(tabela_registros[VALOR],tabela_registros[MÊS],$AE$1,tabela_registros[DIA],investirrendafixaconsolidadojun[[#Headers],[29]],tabela_registros[REGISTRO],DADOS!$N$5,tabela_registros[TIPO],DADOS!$AB$3,tabela_registros[CATEGORIA],investirrendafixaconsolidadojun[[#This Row],[ATUAL]])</f>
        <v>0</v>
      </c>
      <c r="AH114" s="91">
        <f>SUMIFS(tabela_registros[VALOR],tabela_registros[MÊS],$AE$1,tabela_registros[DIA],investirrendafixaconsolidadojun[[#Headers],[30]],tabela_registros[REGISTRO],DADOS!$N$5,tabela_registros[TIPO],DADOS!$AB$3,tabela_registros[CATEGORIA],investirrendafixaconsolidadojun[[#This Row],[ATUAL]])</f>
        <v>0</v>
      </c>
      <c r="AI114" s="101">
        <f>SUMIFS(tabela_registros[VALOR],tabela_registros[MÊS],$AE$1,tabela_registros[DIA],investirrendafixaconsolidadojun[[#Headers],[31]],tabela_registros[REGISTRO],DADOS!$N$5,tabela_registros[TIPO],DADOS!$AB$3,tabela_registros[CATEGORIA],investirrendafixaconsolidadojun[[#This Row],[ATUAL]])</f>
        <v>0</v>
      </c>
      <c r="AJ114" s="97">
        <f>SUM(investirrendafixaconsolidadojun[[#This Row],[1]:[31]])</f>
        <v>0</v>
      </c>
      <c r="AK114" s="25"/>
    </row>
    <row r="115" spans="2:37" ht="19.5" customHeight="1" thickTop="1" thickBot="1" x14ac:dyDescent="0.3">
      <c r="B115" s="28"/>
      <c r="C115" s="27" t="str">
        <f>DADOS!$AD$5</f>
        <v>📝 CRI</v>
      </c>
      <c r="D115" s="26" t="str">
        <f>IF(investirrendafixaconsolidadojun[[#This Row],[TOTAL (R$)]]=0,"",IF(OR(investirrendafixaconsolidadojun[[#This Row],[TOTAL (R$)]]=LARGE($AJ$113:$AJ$122,1),investirrendafixaconsolidadojun[[#This Row],[TOTAL (R$)]]=LARGE($AJ$113:$AJ$122,2)),DADOS!$I$10,""))</f>
        <v/>
      </c>
      <c r="E115" s="96">
        <f>SUMIFS(tabela_registros[VALOR],tabela_registros[MÊS],$AE$1,tabela_registros[DIA],investirrendafixaconsolidadojun[[#Headers],[1]],tabela_registros[REGISTRO],DADOS!$N$5,tabela_registros[TIPO],DADOS!$AB$3,tabela_registros[CATEGORIA],investirrendafixaconsolidadojun[[#This Row],[ATUAL]])</f>
        <v>0</v>
      </c>
      <c r="F115" s="91">
        <f>SUMIFS(tabela_registros[VALOR],tabela_registros[MÊS],$AE$1,tabela_registros[DIA],investirrendafixaconsolidadojun[[#Headers],[2]],tabela_registros[REGISTRO],DADOS!$N$5,tabela_registros[TIPO],DADOS!$AB$3,tabela_registros[CATEGORIA],investirrendafixaconsolidadojun[[#This Row],[ATUAL]])</f>
        <v>0</v>
      </c>
      <c r="G115" s="91">
        <f>SUMIFS(tabela_registros[VALOR],tabela_registros[MÊS],$AE$1,tabela_registros[DIA],investirrendafixaconsolidadojun[[#Headers],[3]],tabela_registros[REGISTRO],DADOS!$N$5,tabela_registros[TIPO],DADOS!$AB$3,tabela_registros[CATEGORIA],investirrendafixaconsolidadojun[[#This Row],[ATUAL]])</f>
        <v>0</v>
      </c>
      <c r="H115" s="91">
        <f>SUMIFS(tabela_registros[VALOR],tabela_registros[MÊS],$AE$1,tabela_registros[DIA],investirrendafixaconsolidadojun[[#Headers],[4]],tabela_registros[REGISTRO],DADOS!$N$5,tabela_registros[TIPO],DADOS!$AB$3,tabela_registros[CATEGORIA],investirrendafixaconsolidadojun[[#This Row],[ATUAL]])</f>
        <v>0</v>
      </c>
      <c r="I115" s="91">
        <f>SUMIFS(tabela_registros[VALOR],tabela_registros[MÊS],$AE$1,tabela_registros[DIA],investirrendafixaconsolidadojun[[#Headers],[5]],tabela_registros[REGISTRO],DADOS!$N$5,tabela_registros[TIPO],DADOS!$AB$3,tabela_registros[CATEGORIA],investirrendafixaconsolidadojun[[#This Row],[ATUAL]])</f>
        <v>0</v>
      </c>
      <c r="J115" s="91">
        <f>SUMIFS(tabela_registros[VALOR],tabela_registros[MÊS],$AE$1,tabela_registros[DIA],investirrendafixaconsolidadojun[[#Headers],[6]],tabela_registros[REGISTRO],DADOS!$N$5,tabela_registros[TIPO],DADOS!$AB$3,tabela_registros[CATEGORIA],investirrendafixaconsolidadojun[[#This Row],[ATUAL]])</f>
        <v>0</v>
      </c>
      <c r="K115" s="91">
        <f>SUMIFS(tabela_registros[VALOR],tabela_registros[MÊS],$AE$1,tabela_registros[DIA],investirrendafixaconsolidadojun[[#Headers],[7]],tabela_registros[REGISTRO],DADOS!$N$5,tabela_registros[TIPO],DADOS!$AB$3,tabela_registros[CATEGORIA],investirrendafixaconsolidadojun[[#This Row],[ATUAL]])</f>
        <v>0</v>
      </c>
      <c r="L115" s="91">
        <f>SUMIFS(tabela_registros[VALOR],tabela_registros[MÊS],$AE$1,tabela_registros[DIA],investirrendafixaconsolidadojun[[#Headers],[8]],tabela_registros[REGISTRO],DADOS!$N$5,tabela_registros[TIPO],DADOS!$AB$3,tabela_registros[CATEGORIA],investirrendafixaconsolidadojun[[#This Row],[ATUAL]])</f>
        <v>0</v>
      </c>
      <c r="M115" s="91">
        <f>SUMIFS(tabela_registros[VALOR],tabela_registros[MÊS],$AE$1,tabela_registros[DIA],investirrendafixaconsolidadojun[[#Headers],[9]],tabela_registros[REGISTRO],DADOS!$N$5,tabela_registros[TIPO],DADOS!$AB$3,tabela_registros[CATEGORIA],investirrendafixaconsolidadojun[[#This Row],[ATUAL]])</f>
        <v>0</v>
      </c>
      <c r="N115" s="91">
        <f>SUMIFS(tabela_registros[VALOR],tabela_registros[MÊS],$AE$1,tabela_registros[DIA],investirrendafixaconsolidadojun[[#Headers],[10]],tabela_registros[REGISTRO],DADOS!$N$5,tabela_registros[TIPO],DADOS!$AB$3,tabela_registros[CATEGORIA],investirrendafixaconsolidadojun[[#This Row],[ATUAL]])</f>
        <v>0</v>
      </c>
      <c r="O115" s="91">
        <f>SUMIFS(tabela_registros[VALOR],tabela_registros[MÊS],$AE$1,tabela_registros[DIA],investirrendafixaconsolidadojun[[#Headers],[11]],tabela_registros[REGISTRO],DADOS!$N$5,tabela_registros[TIPO],DADOS!$AB$3,tabela_registros[CATEGORIA],investirrendafixaconsolidadojun[[#This Row],[ATUAL]])</f>
        <v>0</v>
      </c>
      <c r="P115" s="91">
        <f>SUMIFS(tabela_registros[VALOR],tabela_registros[MÊS],$AE$1,tabela_registros[DIA],investirrendafixaconsolidadojun[[#Headers],[12]],tabela_registros[REGISTRO],DADOS!$N$5,tabela_registros[TIPO],DADOS!$AB$3,tabela_registros[CATEGORIA],investirrendafixaconsolidadojun[[#This Row],[ATUAL]])</f>
        <v>0</v>
      </c>
      <c r="Q115" s="91">
        <f>SUMIFS(tabela_registros[VALOR],tabela_registros[MÊS],$AE$1,tabela_registros[DIA],investirrendafixaconsolidadojun[[#Headers],[13]],tabela_registros[REGISTRO],DADOS!$N$5,tabela_registros[TIPO],DADOS!$AB$3,tabela_registros[CATEGORIA],investirrendafixaconsolidadojun[[#This Row],[ATUAL]])</f>
        <v>0</v>
      </c>
      <c r="R115" s="91">
        <f>SUMIFS(tabela_registros[VALOR],tabela_registros[MÊS],$AE$1,tabela_registros[DIA],investirrendafixaconsolidadojun[[#Headers],[14]],tabela_registros[REGISTRO],DADOS!$N$5,tabela_registros[TIPO],DADOS!$AB$3,tabela_registros[CATEGORIA],investirrendafixaconsolidadojun[[#This Row],[ATUAL]])</f>
        <v>0</v>
      </c>
      <c r="S115" s="91">
        <f>SUMIFS(tabela_registros[VALOR],tabela_registros[MÊS],$AE$1,tabela_registros[DIA],investirrendafixaconsolidadojun[[#Headers],[15]],tabela_registros[REGISTRO],DADOS!$N$5,tabela_registros[TIPO],DADOS!$AB$3,tabela_registros[CATEGORIA],investirrendafixaconsolidadojun[[#This Row],[ATUAL]])</f>
        <v>0</v>
      </c>
      <c r="T115" s="91">
        <f>SUMIFS(tabela_registros[VALOR],tabela_registros[MÊS],$AE$1,tabela_registros[DIA],investirrendafixaconsolidadojun[[#Headers],[16]],tabela_registros[REGISTRO],DADOS!$N$5,tabela_registros[TIPO],DADOS!$AB$3,tabela_registros[CATEGORIA],investirrendafixaconsolidadojun[[#This Row],[ATUAL]])</f>
        <v>0</v>
      </c>
      <c r="U115" s="91">
        <f>SUMIFS(tabela_registros[VALOR],tabela_registros[MÊS],$AE$1,tabela_registros[DIA],investirrendafixaconsolidadojun[[#Headers],[17]],tabela_registros[REGISTRO],DADOS!$N$5,tabela_registros[TIPO],DADOS!$AB$3,tabela_registros[CATEGORIA],investirrendafixaconsolidadojun[[#This Row],[ATUAL]])</f>
        <v>0</v>
      </c>
      <c r="V115" s="91">
        <f>SUMIFS(tabela_registros[VALOR],tabela_registros[MÊS],$AE$1,tabela_registros[DIA],investirrendafixaconsolidadojun[[#Headers],[18]],tabela_registros[REGISTRO],DADOS!$N$5,tabela_registros[TIPO],DADOS!$AB$3,tabela_registros[CATEGORIA],investirrendafixaconsolidadojun[[#This Row],[ATUAL]])</f>
        <v>0</v>
      </c>
      <c r="W115" s="91">
        <f>SUMIFS(tabela_registros[VALOR],tabela_registros[MÊS],$AE$1,tabela_registros[DIA],investirrendafixaconsolidadojun[[#Headers],[19]],tabela_registros[REGISTRO],DADOS!$N$5,tabela_registros[TIPO],DADOS!$AB$3,tabela_registros[CATEGORIA],investirrendafixaconsolidadojun[[#This Row],[ATUAL]])</f>
        <v>0</v>
      </c>
      <c r="X115" s="91">
        <f>SUMIFS(tabela_registros[VALOR],tabela_registros[MÊS],$AE$1,tabela_registros[DIA],investirrendafixaconsolidadojun[[#Headers],[20]],tabela_registros[REGISTRO],DADOS!$N$5,tabela_registros[TIPO],DADOS!$AB$3,tabela_registros[CATEGORIA],investirrendafixaconsolidadojun[[#This Row],[ATUAL]])</f>
        <v>0</v>
      </c>
      <c r="Y115" s="91">
        <f>SUMIFS(tabela_registros[VALOR],tabela_registros[MÊS],$AE$1,tabela_registros[DIA],investirrendafixaconsolidadojun[[#Headers],[21]],tabela_registros[REGISTRO],DADOS!$N$5,tabela_registros[TIPO],DADOS!$AB$3,tabela_registros[CATEGORIA],investirrendafixaconsolidadojun[[#This Row],[ATUAL]])</f>
        <v>0</v>
      </c>
      <c r="Z115" s="91">
        <f>SUMIFS(tabela_registros[VALOR],tabela_registros[MÊS],$AE$1,tabela_registros[DIA],investirrendafixaconsolidadojun[[#Headers],[22]],tabela_registros[REGISTRO],DADOS!$N$5,tabela_registros[TIPO],DADOS!$AB$3,tabela_registros[CATEGORIA],investirrendafixaconsolidadojun[[#This Row],[ATUAL]])</f>
        <v>0</v>
      </c>
      <c r="AA115" s="91">
        <f>SUMIFS(tabela_registros[VALOR],tabela_registros[MÊS],$AE$1,tabela_registros[DIA],investirrendafixaconsolidadojun[[#Headers],[23]],tabela_registros[REGISTRO],DADOS!$N$5,tabela_registros[TIPO],DADOS!$AB$3,tabela_registros[CATEGORIA],investirrendafixaconsolidadojun[[#This Row],[ATUAL]])</f>
        <v>0</v>
      </c>
      <c r="AB115" s="91">
        <f>SUMIFS(tabela_registros[VALOR],tabela_registros[MÊS],$AE$1,tabela_registros[DIA],investirrendafixaconsolidadojun[[#Headers],[24]],tabela_registros[REGISTRO],DADOS!$N$5,tabela_registros[TIPO],DADOS!$AB$3,tabela_registros[CATEGORIA],investirrendafixaconsolidadojun[[#This Row],[ATUAL]])</f>
        <v>0</v>
      </c>
      <c r="AC115" s="91">
        <f>SUMIFS(tabela_registros[VALOR],tabela_registros[MÊS],$AE$1,tabela_registros[DIA],investirrendafixaconsolidadojun[[#Headers],[25]],tabela_registros[REGISTRO],DADOS!$N$5,tabela_registros[TIPO],DADOS!$AB$3,tabela_registros[CATEGORIA],investirrendafixaconsolidadojun[[#This Row],[ATUAL]])</f>
        <v>0</v>
      </c>
      <c r="AD115" s="91">
        <f>SUMIFS(tabela_registros[VALOR],tabela_registros[MÊS],$AE$1,tabela_registros[DIA],investirrendafixaconsolidadojun[[#Headers],[26]],tabela_registros[REGISTRO],DADOS!$N$5,tabela_registros[TIPO],DADOS!$AB$3,tabela_registros[CATEGORIA],investirrendafixaconsolidadojun[[#This Row],[ATUAL]])</f>
        <v>0</v>
      </c>
      <c r="AE115" s="91">
        <f>SUMIFS(tabela_registros[VALOR],tabela_registros[MÊS],$AE$1,tabela_registros[DIA],investirrendafixaconsolidadojun[[#Headers],[27]],tabela_registros[REGISTRO],DADOS!$N$5,tabela_registros[TIPO],DADOS!$AB$3,tabela_registros[CATEGORIA],investirrendafixaconsolidadojun[[#This Row],[ATUAL]])</f>
        <v>0</v>
      </c>
      <c r="AF115" s="91">
        <f>SUMIFS(tabela_registros[VALOR],tabela_registros[MÊS],$AE$1,tabela_registros[DIA],investirrendafixaconsolidadojun[[#Headers],[28]],tabela_registros[REGISTRO],DADOS!$N$5,tabela_registros[TIPO],DADOS!$AB$3,tabela_registros[CATEGORIA],investirrendafixaconsolidadojun[[#This Row],[ATUAL]])</f>
        <v>0</v>
      </c>
      <c r="AG115" s="91">
        <f>SUMIFS(tabela_registros[VALOR],tabela_registros[MÊS],$AE$1,tabela_registros[DIA],investirrendafixaconsolidadojun[[#Headers],[29]],tabela_registros[REGISTRO],DADOS!$N$5,tabela_registros[TIPO],DADOS!$AB$3,tabela_registros[CATEGORIA],investirrendafixaconsolidadojun[[#This Row],[ATUAL]])</f>
        <v>0</v>
      </c>
      <c r="AH115" s="91">
        <f>SUMIFS(tabela_registros[VALOR],tabela_registros[MÊS],$AE$1,tabela_registros[DIA],investirrendafixaconsolidadojun[[#Headers],[30]],tabela_registros[REGISTRO],DADOS!$N$5,tabela_registros[TIPO],DADOS!$AB$3,tabela_registros[CATEGORIA],investirrendafixaconsolidadojun[[#This Row],[ATUAL]])</f>
        <v>0</v>
      </c>
      <c r="AI115" s="101">
        <f>SUMIFS(tabela_registros[VALOR],tabela_registros[MÊS],$AE$1,tabela_registros[DIA],investirrendafixaconsolidadojun[[#Headers],[31]],tabela_registros[REGISTRO],DADOS!$N$5,tabela_registros[TIPO],DADOS!$AB$3,tabela_registros[CATEGORIA],investirrendafixaconsolidadojun[[#This Row],[ATUAL]])</f>
        <v>0</v>
      </c>
      <c r="AJ115" s="97">
        <f>SUM(investirrendafixaconsolidadojun[[#This Row],[1]:[31]])</f>
        <v>0</v>
      </c>
      <c r="AK115" s="25"/>
    </row>
    <row r="116" spans="2:37" ht="19.5" customHeight="1" thickTop="1" thickBot="1" x14ac:dyDescent="0.3">
      <c r="B116" s="28"/>
      <c r="C116" s="27" t="str">
        <f>DADOS!$AD$6</f>
        <v>📝 DEBÊNTURE</v>
      </c>
      <c r="D116" s="26" t="str">
        <f>IF(investirrendafixaconsolidadojun[[#This Row],[TOTAL (R$)]]=0,"",IF(OR(investirrendafixaconsolidadojun[[#This Row],[TOTAL (R$)]]=LARGE($AJ$113:$AJ$122,1),investirrendafixaconsolidadojun[[#This Row],[TOTAL (R$)]]=LARGE($AJ$113:$AJ$122,2)),DADOS!$I$10,""))</f>
        <v/>
      </c>
      <c r="E116" s="96">
        <f>SUMIFS(tabela_registros[VALOR],tabela_registros[MÊS],$AE$1,tabela_registros[DIA],investirrendafixaconsolidadojun[[#Headers],[1]],tabela_registros[REGISTRO],DADOS!$N$5,tabela_registros[TIPO],DADOS!$AB$3,tabela_registros[CATEGORIA],investirrendafixaconsolidadojun[[#This Row],[ATUAL]])</f>
        <v>0</v>
      </c>
      <c r="F116" s="91">
        <f>SUMIFS(tabela_registros[VALOR],tabela_registros[MÊS],$AE$1,tabela_registros[DIA],investirrendafixaconsolidadojun[[#Headers],[2]],tabela_registros[REGISTRO],DADOS!$N$5,tabela_registros[TIPO],DADOS!$AB$3,tabela_registros[CATEGORIA],investirrendafixaconsolidadojun[[#This Row],[ATUAL]])</f>
        <v>0</v>
      </c>
      <c r="G116" s="91">
        <f>SUMIFS(tabela_registros[VALOR],tabela_registros[MÊS],$AE$1,tabela_registros[DIA],investirrendafixaconsolidadojun[[#Headers],[3]],tabela_registros[REGISTRO],DADOS!$N$5,tabela_registros[TIPO],DADOS!$AB$3,tabela_registros[CATEGORIA],investirrendafixaconsolidadojun[[#This Row],[ATUAL]])</f>
        <v>0</v>
      </c>
      <c r="H116" s="91">
        <f>SUMIFS(tabela_registros[VALOR],tabela_registros[MÊS],$AE$1,tabela_registros[DIA],investirrendafixaconsolidadojun[[#Headers],[4]],tabela_registros[REGISTRO],DADOS!$N$5,tabela_registros[TIPO],DADOS!$AB$3,tabela_registros[CATEGORIA],investirrendafixaconsolidadojun[[#This Row],[ATUAL]])</f>
        <v>0</v>
      </c>
      <c r="I116" s="91">
        <f>SUMIFS(tabela_registros[VALOR],tabela_registros[MÊS],$AE$1,tabela_registros[DIA],investirrendafixaconsolidadojun[[#Headers],[5]],tabela_registros[REGISTRO],DADOS!$N$5,tabela_registros[TIPO],DADOS!$AB$3,tabela_registros[CATEGORIA],investirrendafixaconsolidadojun[[#This Row],[ATUAL]])</f>
        <v>0</v>
      </c>
      <c r="J116" s="91">
        <f>SUMIFS(tabela_registros[VALOR],tabela_registros[MÊS],$AE$1,tabela_registros[DIA],investirrendafixaconsolidadojun[[#Headers],[6]],tabela_registros[REGISTRO],DADOS!$N$5,tabela_registros[TIPO],DADOS!$AB$3,tabela_registros[CATEGORIA],investirrendafixaconsolidadojun[[#This Row],[ATUAL]])</f>
        <v>0</v>
      </c>
      <c r="K116" s="91">
        <f>SUMIFS(tabela_registros[VALOR],tabela_registros[MÊS],$AE$1,tabela_registros[DIA],investirrendafixaconsolidadojun[[#Headers],[7]],tabela_registros[REGISTRO],DADOS!$N$5,tabela_registros[TIPO],DADOS!$AB$3,tabela_registros[CATEGORIA],investirrendafixaconsolidadojun[[#This Row],[ATUAL]])</f>
        <v>0</v>
      </c>
      <c r="L116" s="91">
        <f>SUMIFS(tabela_registros[VALOR],tabela_registros[MÊS],$AE$1,tabela_registros[DIA],investirrendafixaconsolidadojun[[#Headers],[8]],tabela_registros[REGISTRO],DADOS!$N$5,tabela_registros[TIPO],DADOS!$AB$3,tabela_registros[CATEGORIA],investirrendafixaconsolidadojun[[#This Row],[ATUAL]])</f>
        <v>0</v>
      </c>
      <c r="M116" s="91">
        <f>SUMIFS(tabela_registros[VALOR],tabela_registros[MÊS],$AE$1,tabela_registros[DIA],investirrendafixaconsolidadojun[[#Headers],[9]],tabela_registros[REGISTRO],DADOS!$N$5,tabela_registros[TIPO],DADOS!$AB$3,tabela_registros[CATEGORIA],investirrendafixaconsolidadojun[[#This Row],[ATUAL]])</f>
        <v>0</v>
      </c>
      <c r="N116" s="91">
        <f>SUMIFS(tabela_registros[VALOR],tabela_registros[MÊS],$AE$1,tabela_registros[DIA],investirrendafixaconsolidadojun[[#Headers],[10]],tabela_registros[REGISTRO],DADOS!$N$5,tabela_registros[TIPO],DADOS!$AB$3,tabela_registros[CATEGORIA],investirrendafixaconsolidadojun[[#This Row],[ATUAL]])</f>
        <v>0</v>
      </c>
      <c r="O116" s="91">
        <f>SUMIFS(tabela_registros[VALOR],tabela_registros[MÊS],$AE$1,tabela_registros[DIA],investirrendafixaconsolidadojun[[#Headers],[11]],tabela_registros[REGISTRO],DADOS!$N$5,tabela_registros[TIPO],DADOS!$AB$3,tabela_registros[CATEGORIA],investirrendafixaconsolidadojun[[#This Row],[ATUAL]])</f>
        <v>0</v>
      </c>
      <c r="P116" s="91">
        <f>SUMIFS(tabela_registros[VALOR],tabela_registros[MÊS],$AE$1,tabela_registros[DIA],investirrendafixaconsolidadojun[[#Headers],[12]],tabela_registros[REGISTRO],DADOS!$N$5,tabela_registros[TIPO],DADOS!$AB$3,tabela_registros[CATEGORIA],investirrendafixaconsolidadojun[[#This Row],[ATUAL]])</f>
        <v>0</v>
      </c>
      <c r="Q116" s="91">
        <f>SUMIFS(tabela_registros[VALOR],tabela_registros[MÊS],$AE$1,tabela_registros[DIA],investirrendafixaconsolidadojun[[#Headers],[13]],tabela_registros[REGISTRO],DADOS!$N$5,tabela_registros[TIPO],DADOS!$AB$3,tabela_registros[CATEGORIA],investirrendafixaconsolidadojun[[#This Row],[ATUAL]])</f>
        <v>0</v>
      </c>
      <c r="R116" s="91">
        <f>SUMIFS(tabela_registros[VALOR],tabela_registros[MÊS],$AE$1,tabela_registros[DIA],investirrendafixaconsolidadojun[[#Headers],[14]],tabela_registros[REGISTRO],DADOS!$N$5,tabela_registros[TIPO],DADOS!$AB$3,tabela_registros[CATEGORIA],investirrendafixaconsolidadojun[[#This Row],[ATUAL]])</f>
        <v>0</v>
      </c>
      <c r="S116" s="91">
        <f>SUMIFS(tabela_registros[VALOR],tabela_registros[MÊS],$AE$1,tabela_registros[DIA],investirrendafixaconsolidadojun[[#Headers],[15]],tabela_registros[REGISTRO],DADOS!$N$5,tabela_registros[TIPO],DADOS!$AB$3,tabela_registros[CATEGORIA],investirrendafixaconsolidadojun[[#This Row],[ATUAL]])</f>
        <v>0</v>
      </c>
      <c r="T116" s="91">
        <f>SUMIFS(tabela_registros[VALOR],tabela_registros[MÊS],$AE$1,tabela_registros[DIA],investirrendafixaconsolidadojun[[#Headers],[16]],tabela_registros[REGISTRO],DADOS!$N$5,tabela_registros[TIPO],DADOS!$AB$3,tabela_registros[CATEGORIA],investirrendafixaconsolidadojun[[#This Row],[ATUAL]])</f>
        <v>0</v>
      </c>
      <c r="U116" s="91">
        <f>SUMIFS(tabela_registros[VALOR],tabela_registros[MÊS],$AE$1,tabela_registros[DIA],investirrendafixaconsolidadojun[[#Headers],[17]],tabela_registros[REGISTRO],DADOS!$N$5,tabela_registros[TIPO],DADOS!$AB$3,tabela_registros[CATEGORIA],investirrendafixaconsolidadojun[[#This Row],[ATUAL]])</f>
        <v>0</v>
      </c>
      <c r="V116" s="91">
        <f>SUMIFS(tabela_registros[VALOR],tabela_registros[MÊS],$AE$1,tabela_registros[DIA],investirrendafixaconsolidadojun[[#Headers],[18]],tabela_registros[REGISTRO],DADOS!$N$5,tabela_registros[TIPO],DADOS!$AB$3,tabela_registros[CATEGORIA],investirrendafixaconsolidadojun[[#This Row],[ATUAL]])</f>
        <v>0</v>
      </c>
      <c r="W116" s="91">
        <f>SUMIFS(tabela_registros[VALOR],tabela_registros[MÊS],$AE$1,tabela_registros[DIA],investirrendafixaconsolidadojun[[#Headers],[19]],tabela_registros[REGISTRO],DADOS!$N$5,tabela_registros[TIPO],DADOS!$AB$3,tabela_registros[CATEGORIA],investirrendafixaconsolidadojun[[#This Row],[ATUAL]])</f>
        <v>0</v>
      </c>
      <c r="X116" s="91">
        <f>SUMIFS(tabela_registros[VALOR],tabela_registros[MÊS],$AE$1,tabela_registros[DIA],investirrendafixaconsolidadojun[[#Headers],[20]],tabela_registros[REGISTRO],DADOS!$N$5,tabela_registros[TIPO],DADOS!$AB$3,tabela_registros[CATEGORIA],investirrendafixaconsolidadojun[[#This Row],[ATUAL]])</f>
        <v>0</v>
      </c>
      <c r="Y116" s="91">
        <f>SUMIFS(tabela_registros[VALOR],tabela_registros[MÊS],$AE$1,tabela_registros[DIA],investirrendafixaconsolidadojun[[#Headers],[21]],tabela_registros[REGISTRO],DADOS!$N$5,tabela_registros[TIPO],DADOS!$AB$3,tabela_registros[CATEGORIA],investirrendafixaconsolidadojun[[#This Row],[ATUAL]])</f>
        <v>0</v>
      </c>
      <c r="Z116" s="91">
        <f>SUMIFS(tabela_registros[VALOR],tabela_registros[MÊS],$AE$1,tabela_registros[DIA],investirrendafixaconsolidadojun[[#Headers],[22]],tabela_registros[REGISTRO],DADOS!$N$5,tabela_registros[TIPO],DADOS!$AB$3,tabela_registros[CATEGORIA],investirrendafixaconsolidadojun[[#This Row],[ATUAL]])</f>
        <v>0</v>
      </c>
      <c r="AA116" s="91">
        <f>SUMIFS(tabela_registros[VALOR],tabela_registros[MÊS],$AE$1,tabela_registros[DIA],investirrendafixaconsolidadojun[[#Headers],[23]],tabela_registros[REGISTRO],DADOS!$N$5,tabela_registros[TIPO],DADOS!$AB$3,tabela_registros[CATEGORIA],investirrendafixaconsolidadojun[[#This Row],[ATUAL]])</f>
        <v>0</v>
      </c>
      <c r="AB116" s="91">
        <f>SUMIFS(tabela_registros[VALOR],tabela_registros[MÊS],$AE$1,tabela_registros[DIA],investirrendafixaconsolidadojun[[#Headers],[24]],tabela_registros[REGISTRO],DADOS!$N$5,tabela_registros[TIPO],DADOS!$AB$3,tabela_registros[CATEGORIA],investirrendafixaconsolidadojun[[#This Row],[ATUAL]])</f>
        <v>0</v>
      </c>
      <c r="AC116" s="91">
        <f>SUMIFS(tabela_registros[VALOR],tabela_registros[MÊS],$AE$1,tabela_registros[DIA],investirrendafixaconsolidadojun[[#Headers],[25]],tabela_registros[REGISTRO],DADOS!$N$5,tabela_registros[TIPO],DADOS!$AB$3,tabela_registros[CATEGORIA],investirrendafixaconsolidadojun[[#This Row],[ATUAL]])</f>
        <v>0</v>
      </c>
      <c r="AD116" s="91">
        <f>SUMIFS(tabela_registros[VALOR],tabela_registros[MÊS],$AE$1,tabela_registros[DIA],investirrendafixaconsolidadojun[[#Headers],[26]],tabela_registros[REGISTRO],DADOS!$N$5,tabela_registros[TIPO],DADOS!$AB$3,tabela_registros[CATEGORIA],investirrendafixaconsolidadojun[[#This Row],[ATUAL]])</f>
        <v>0</v>
      </c>
      <c r="AE116" s="91">
        <f>SUMIFS(tabela_registros[VALOR],tabela_registros[MÊS],$AE$1,tabela_registros[DIA],investirrendafixaconsolidadojun[[#Headers],[27]],tabela_registros[REGISTRO],DADOS!$N$5,tabela_registros[TIPO],DADOS!$AB$3,tabela_registros[CATEGORIA],investirrendafixaconsolidadojun[[#This Row],[ATUAL]])</f>
        <v>0</v>
      </c>
      <c r="AF116" s="91">
        <f>SUMIFS(tabela_registros[VALOR],tabela_registros[MÊS],$AE$1,tabela_registros[DIA],investirrendafixaconsolidadojun[[#Headers],[28]],tabela_registros[REGISTRO],DADOS!$N$5,tabela_registros[TIPO],DADOS!$AB$3,tabela_registros[CATEGORIA],investirrendafixaconsolidadojun[[#This Row],[ATUAL]])</f>
        <v>0</v>
      </c>
      <c r="AG116" s="91">
        <f>SUMIFS(tabela_registros[VALOR],tabela_registros[MÊS],$AE$1,tabela_registros[DIA],investirrendafixaconsolidadojun[[#Headers],[29]],tabela_registros[REGISTRO],DADOS!$N$5,tabela_registros[TIPO],DADOS!$AB$3,tabela_registros[CATEGORIA],investirrendafixaconsolidadojun[[#This Row],[ATUAL]])</f>
        <v>0</v>
      </c>
      <c r="AH116" s="91">
        <f>SUMIFS(tabela_registros[VALOR],tabela_registros[MÊS],$AE$1,tabela_registros[DIA],investirrendafixaconsolidadojun[[#Headers],[30]],tabela_registros[REGISTRO],DADOS!$N$5,tabela_registros[TIPO],DADOS!$AB$3,tabela_registros[CATEGORIA],investirrendafixaconsolidadojun[[#This Row],[ATUAL]])</f>
        <v>0</v>
      </c>
      <c r="AI116" s="101">
        <f>SUMIFS(tabela_registros[VALOR],tabela_registros[MÊS],$AE$1,tabela_registros[DIA],investirrendafixaconsolidadojun[[#Headers],[31]],tabela_registros[REGISTRO],DADOS!$N$5,tabela_registros[TIPO],DADOS!$AB$3,tabela_registros[CATEGORIA],investirrendafixaconsolidadojun[[#This Row],[ATUAL]])</f>
        <v>0</v>
      </c>
      <c r="AJ116" s="97">
        <f>SUM(investirrendafixaconsolidadojun[[#This Row],[1]:[31]])</f>
        <v>0</v>
      </c>
      <c r="AK116" s="25"/>
    </row>
    <row r="117" spans="2:37" ht="19.5" customHeight="1" thickTop="1" thickBot="1" x14ac:dyDescent="0.3">
      <c r="B117" s="28"/>
      <c r="C117" s="27" t="str">
        <f>DADOS!$AD$7</f>
        <v>📝 EXTERIOR</v>
      </c>
      <c r="D117" s="26" t="str">
        <f>IF(investirrendafixaconsolidadojun[[#This Row],[TOTAL (R$)]]=0,"",IF(OR(investirrendafixaconsolidadojun[[#This Row],[TOTAL (R$)]]=LARGE($AJ$113:$AJ$122,1),investirrendafixaconsolidadojun[[#This Row],[TOTAL (R$)]]=LARGE($AJ$113:$AJ$122,2)),DADOS!$I$10,""))</f>
        <v/>
      </c>
      <c r="E117" s="96">
        <f>SUMIFS(tabela_registros[VALOR],tabela_registros[MÊS],$AE$1,tabela_registros[DIA],investirrendafixaconsolidadojun[[#Headers],[1]],tabela_registros[REGISTRO],DADOS!$N$5,tabela_registros[TIPO],DADOS!$AB$3,tabela_registros[CATEGORIA],investirrendafixaconsolidadojun[[#This Row],[ATUAL]])</f>
        <v>0</v>
      </c>
      <c r="F117" s="91">
        <f>SUMIFS(tabela_registros[VALOR],tabela_registros[MÊS],$AE$1,tabela_registros[DIA],investirrendafixaconsolidadojun[[#Headers],[2]],tabela_registros[REGISTRO],DADOS!$N$5,tabela_registros[TIPO],DADOS!$AB$3,tabela_registros[CATEGORIA],investirrendafixaconsolidadojun[[#This Row],[ATUAL]])</f>
        <v>0</v>
      </c>
      <c r="G117" s="91">
        <f>SUMIFS(tabela_registros[VALOR],tabela_registros[MÊS],$AE$1,tabela_registros[DIA],investirrendafixaconsolidadojun[[#Headers],[3]],tabela_registros[REGISTRO],DADOS!$N$5,tabela_registros[TIPO],DADOS!$AB$3,tabela_registros[CATEGORIA],investirrendafixaconsolidadojun[[#This Row],[ATUAL]])</f>
        <v>0</v>
      </c>
      <c r="H117" s="91">
        <f>SUMIFS(tabela_registros[VALOR],tabela_registros[MÊS],$AE$1,tabela_registros[DIA],investirrendafixaconsolidadojun[[#Headers],[4]],tabela_registros[REGISTRO],DADOS!$N$5,tabela_registros[TIPO],DADOS!$AB$3,tabela_registros[CATEGORIA],investirrendafixaconsolidadojun[[#This Row],[ATUAL]])</f>
        <v>0</v>
      </c>
      <c r="I117" s="91">
        <f>SUMIFS(tabela_registros[VALOR],tabela_registros[MÊS],$AE$1,tabela_registros[DIA],investirrendafixaconsolidadojun[[#Headers],[5]],tabela_registros[REGISTRO],DADOS!$N$5,tabela_registros[TIPO],DADOS!$AB$3,tabela_registros[CATEGORIA],investirrendafixaconsolidadojun[[#This Row],[ATUAL]])</f>
        <v>0</v>
      </c>
      <c r="J117" s="91">
        <f>SUMIFS(tabela_registros[VALOR],tabela_registros[MÊS],$AE$1,tabela_registros[DIA],investirrendafixaconsolidadojun[[#Headers],[6]],tabela_registros[REGISTRO],DADOS!$N$5,tabela_registros[TIPO],DADOS!$AB$3,tabela_registros[CATEGORIA],investirrendafixaconsolidadojun[[#This Row],[ATUAL]])</f>
        <v>0</v>
      </c>
      <c r="K117" s="91">
        <f>SUMIFS(tabela_registros[VALOR],tabela_registros[MÊS],$AE$1,tabela_registros[DIA],investirrendafixaconsolidadojun[[#Headers],[7]],tabela_registros[REGISTRO],DADOS!$N$5,tabela_registros[TIPO],DADOS!$AB$3,tabela_registros[CATEGORIA],investirrendafixaconsolidadojun[[#This Row],[ATUAL]])</f>
        <v>0</v>
      </c>
      <c r="L117" s="91">
        <f>SUMIFS(tabela_registros[VALOR],tabela_registros[MÊS],$AE$1,tabela_registros[DIA],investirrendafixaconsolidadojun[[#Headers],[8]],tabela_registros[REGISTRO],DADOS!$N$5,tabela_registros[TIPO],DADOS!$AB$3,tabela_registros[CATEGORIA],investirrendafixaconsolidadojun[[#This Row],[ATUAL]])</f>
        <v>0</v>
      </c>
      <c r="M117" s="91">
        <f>SUMIFS(tabela_registros[VALOR],tabela_registros[MÊS],$AE$1,tabela_registros[DIA],investirrendafixaconsolidadojun[[#Headers],[9]],tabela_registros[REGISTRO],DADOS!$N$5,tabela_registros[TIPO],DADOS!$AB$3,tabela_registros[CATEGORIA],investirrendafixaconsolidadojun[[#This Row],[ATUAL]])</f>
        <v>0</v>
      </c>
      <c r="N117" s="91">
        <f>SUMIFS(tabela_registros[VALOR],tabela_registros[MÊS],$AE$1,tabela_registros[DIA],investirrendafixaconsolidadojun[[#Headers],[10]],tabela_registros[REGISTRO],DADOS!$N$5,tabela_registros[TIPO],DADOS!$AB$3,tabela_registros[CATEGORIA],investirrendafixaconsolidadojun[[#This Row],[ATUAL]])</f>
        <v>0</v>
      </c>
      <c r="O117" s="91">
        <f>SUMIFS(tabela_registros[VALOR],tabela_registros[MÊS],$AE$1,tabela_registros[DIA],investirrendafixaconsolidadojun[[#Headers],[11]],tabela_registros[REGISTRO],DADOS!$N$5,tabela_registros[TIPO],DADOS!$AB$3,tabela_registros[CATEGORIA],investirrendafixaconsolidadojun[[#This Row],[ATUAL]])</f>
        <v>0</v>
      </c>
      <c r="P117" s="91">
        <f>SUMIFS(tabela_registros[VALOR],tabela_registros[MÊS],$AE$1,tabela_registros[DIA],investirrendafixaconsolidadojun[[#Headers],[12]],tabela_registros[REGISTRO],DADOS!$N$5,tabela_registros[TIPO],DADOS!$AB$3,tabela_registros[CATEGORIA],investirrendafixaconsolidadojun[[#This Row],[ATUAL]])</f>
        <v>0</v>
      </c>
      <c r="Q117" s="91">
        <f>SUMIFS(tabela_registros[VALOR],tabela_registros[MÊS],$AE$1,tabela_registros[DIA],investirrendafixaconsolidadojun[[#Headers],[13]],tabela_registros[REGISTRO],DADOS!$N$5,tabela_registros[TIPO],DADOS!$AB$3,tabela_registros[CATEGORIA],investirrendafixaconsolidadojun[[#This Row],[ATUAL]])</f>
        <v>0</v>
      </c>
      <c r="R117" s="91">
        <f>SUMIFS(tabela_registros[VALOR],tabela_registros[MÊS],$AE$1,tabela_registros[DIA],investirrendafixaconsolidadojun[[#Headers],[14]],tabela_registros[REGISTRO],DADOS!$N$5,tabela_registros[TIPO],DADOS!$AB$3,tabela_registros[CATEGORIA],investirrendafixaconsolidadojun[[#This Row],[ATUAL]])</f>
        <v>0</v>
      </c>
      <c r="S117" s="91">
        <f>SUMIFS(tabela_registros[VALOR],tabela_registros[MÊS],$AE$1,tabela_registros[DIA],investirrendafixaconsolidadojun[[#Headers],[15]],tabela_registros[REGISTRO],DADOS!$N$5,tabela_registros[TIPO],DADOS!$AB$3,tabela_registros[CATEGORIA],investirrendafixaconsolidadojun[[#This Row],[ATUAL]])</f>
        <v>0</v>
      </c>
      <c r="T117" s="91">
        <f>SUMIFS(tabela_registros[VALOR],tabela_registros[MÊS],$AE$1,tabela_registros[DIA],investirrendafixaconsolidadojun[[#Headers],[16]],tabela_registros[REGISTRO],DADOS!$N$5,tabela_registros[TIPO],DADOS!$AB$3,tabela_registros[CATEGORIA],investirrendafixaconsolidadojun[[#This Row],[ATUAL]])</f>
        <v>0</v>
      </c>
      <c r="U117" s="91">
        <f>SUMIFS(tabela_registros[VALOR],tabela_registros[MÊS],$AE$1,tabela_registros[DIA],investirrendafixaconsolidadojun[[#Headers],[17]],tabela_registros[REGISTRO],DADOS!$N$5,tabela_registros[TIPO],DADOS!$AB$3,tabela_registros[CATEGORIA],investirrendafixaconsolidadojun[[#This Row],[ATUAL]])</f>
        <v>0</v>
      </c>
      <c r="V117" s="91">
        <f>SUMIFS(tabela_registros[VALOR],tabela_registros[MÊS],$AE$1,tabela_registros[DIA],investirrendafixaconsolidadojun[[#Headers],[18]],tabela_registros[REGISTRO],DADOS!$N$5,tabela_registros[TIPO],DADOS!$AB$3,tabela_registros[CATEGORIA],investirrendafixaconsolidadojun[[#This Row],[ATUAL]])</f>
        <v>0</v>
      </c>
      <c r="W117" s="91">
        <f>SUMIFS(tabela_registros[VALOR],tabela_registros[MÊS],$AE$1,tabela_registros[DIA],investirrendafixaconsolidadojun[[#Headers],[19]],tabela_registros[REGISTRO],DADOS!$N$5,tabela_registros[TIPO],DADOS!$AB$3,tabela_registros[CATEGORIA],investirrendafixaconsolidadojun[[#This Row],[ATUAL]])</f>
        <v>0</v>
      </c>
      <c r="X117" s="91">
        <f>SUMIFS(tabela_registros[VALOR],tabela_registros[MÊS],$AE$1,tabela_registros[DIA],investirrendafixaconsolidadojun[[#Headers],[20]],tabela_registros[REGISTRO],DADOS!$N$5,tabela_registros[TIPO],DADOS!$AB$3,tabela_registros[CATEGORIA],investirrendafixaconsolidadojun[[#This Row],[ATUAL]])</f>
        <v>0</v>
      </c>
      <c r="Y117" s="91">
        <f>SUMIFS(tabela_registros[VALOR],tabela_registros[MÊS],$AE$1,tabela_registros[DIA],investirrendafixaconsolidadojun[[#Headers],[21]],tabela_registros[REGISTRO],DADOS!$N$5,tabela_registros[TIPO],DADOS!$AB$3,tabela_registros[CATEGORIA],investirrendafixaconsolidadojun[[#This Row],[ATUAL]])</f>
        <v>0</v>
      </c>
      <c r="Z117" s="91">
        <f>SUMIFS(tabela_registros[VALOR],tabela_registros[MÊS],$AE$1,tabela_registros[DIA],investirrendafixaconsolidadojun[[#Headers],[22]],tabela_registros[REGISTRO],DADOS!$N$5,tabela_registros[TIPO],DADOS!$AB$3,tabela_registros[CATEGORIA],investirrendafixaconsolidadojun[[#This Row],[ATUAL]])</f>
        <v>0</v>
      </c>
      <c r="AA117" s="91">
        <f>SUMIFS(tabela_registros[VALOR],tabela_registros[MÊS],$AE$1,tabela_registros[DIA],investirrendafixaconsolidadojun[[#Headers],[23]],tabela_registros[REGISTRO],DADOS!$N$5,tabela_registros[TIPO],DADOS!$AB$3,tabela_registros[CATEGORIA],investirrendafixaconsolidadojun[[#This Row],[ATUAL]])</f>
        <v>0</v>
      </c>
      <c r="AB117" s="91">
        <f>SUMIFS(tabela_registros[VALOR],tabela_registros[MÊS],$AE$1,tabela_registros[DIA],investirrendafixaconsolidadojun[[#Headers],[24]],tabela_registros[REGISTRO],DADOS!$N$5,tabela_registros[TIPO],DADOS!$AB$3,tabela_registros[CATEGORIA],investirrendafixaconsolidadojun[[#This Row],[ATUAL]])</f>
        <v>0</v>
      </c>
      <c r="AC117" s="91">
        <f>SUMIFS(tabela_registros[VALOR],tabela_registros[MÊS],$AE$1,tabela_registros[DIA],investirrendafixaconsolidadojun[[#Headers],[25]],tabela_registros[REGISTRO],DADOS!$N$5,tabela_registros[TIPO],DADOS!$AB$3,tabela_registros[CATEGORIA],investirrendafixaconsolidadojun[[#This Row],[ATUAL]])</f>
        <v>0</v>
      </c>
      <c r="AD117" s="91">
        <f>SUMIFS(tabela_registros[VALOR],tabela_registros[MÊS],$AE$1,tabela_registros[DIA],investirrendafixaconsolidadojun[[#Headers],[26]],tabela_registros[REGISTRO],DADOS!$N$5,tabela_registros[TIPO],DADOS!$AB$3,tabela_registros[CATEGORIA],investirrendafixaconsolidadojun[[#This Row],[ATUAL]])</f>
        <v>0</v>
      </c>
      <c r="AE117" s="91">
        <f>SUMIFS(tabela_registros[VALOR],tabela_registros[MÊS],$AE$1,tabela_registros[DIA],investirrendafixaconsolidadojun[[#Headers],[27]],tabela_registros[REGISTRO],DADOS!$N$5,tabela_registros[TIPO],DADOS!$AB$3,tabela_registros[CATEGORIA],investirrendafixaconsolidadojun[[#This Row],[ATUAL]])</f>
        <v>0</v>
      </c>
      <c r="AF117" s="91">
        <f>SUMIFS(tabela_registros[VALOR],tabela_registros[MÊS],$AE$1,tabela_registros[DIA],investirrendafixaconsolidadojun[[#Headers],[28]],tabela_registros[REGISTRO],DADOS!$N$5,tabela_registros[TIPO],DADOS!$AB$3,tabela_registros[CATEGORIA],investirrendafixaconsolidadojun[[#This Row],[ATUAL]])</f>
        <v>0</v>
      </c>
      <c r="AG117" s="91">
        <f>SUMIFS(tabela_registros[VALOR],tabela_registros[MÊS],$AE$1,tabela_registros[DIA],investirrendafixaconsolidadojun[[#Headers],[29]],tabela_registros[REGISTRO],DADOS!$N$5,tabela_registros[TIPO],DADOS!$AB$3,tabela_registros[CATEGORIA],investirrendafixaconsolidadojun[[#This Row],[ATUAL]])</f>
        <v>0</v>
      </c>
      <c r="AH117" s="91">
        <f>SUMIFS(tabela_registros[VALOR],tabela_registros[MÊS],$AE$1,tabela_registros[DIA],investirrendafixaconsolidadojun[[#Headers],[30]],tabela_registros[REGISTRO],DADOS!$N$5,tabela_registros[TIPO],DADOS!$AB$3,tabela_registros[CATEGORIA],investirrendafixaconsolidadojun[[#This Row],[ATUAL]])</f>
        <v>0</v>
      </c>
      <c r="AI117" s="101">
        <f>SUMIFS(tabela_registros[VALOR],tabela_registros[MÊS],$AE$1,tabela_registros[DIA],investirrendafixaconsolidadojun[[#Headers],[31]],tabela_registros[REGISTRO],DADOS!$N$5,tabela_registros[TIPO],DADOS!$AB$3,tabela_registros[CATEGORIA],investirrendafixaconsolidadojun[[#This Row],[ATUAL]])</f>
        <v>0</v>
      </c>
      <c r="AJ117" s="97">
        <f>SUM(investirrendafixaconsolidadojun[[#This Row],[1]:[31]])</f>
        <v>0</v>
      </c>
      <c r="AK117" s="25"/>
    </row>
    <row r="118" spans="2:37" ht="19.5" customHeight="1" thickTop="1" thickBot="1" x14ac:dyDescent="0.3">
      <c r="B118" s="28"/>
      <c r="C118" s="27" t="str">
        <f>DADOS!$AD$8</f>
        <v>📝 LC</v>
      </c>
      <c r="D118" s="26" t="str">
        <f>IF(investirrendafixaconsolidadojun[[#This Row],[TOTAL (R$)]]=0,"",IF(OR(investirrendafixaconsolidadojun[[#This Row],[TOTAL (R$)]]=LARGE($AJ$113:$AJ$122,1),investirrendafixaconsolidadojun[[#This Row],[TOTAL (R$)]]=LARGE($AJ$113:$AJ$122,2)),DADOS!$I$10,""))</f>
        <v/>
      </c>
      <c r="E118" s="96">
        <f>SUMIFS(tabela_registros[VALOR],tabela_registros[MÊS],$AE$1,tabela_registros[DIA],investirrendafixaconsolidadojun[[#Headers],[1]],tabela_registros[REGISTRO],DADOS!$N$5,tabela_registros[TIPO],DADOS!$AB$3,tabela_registros[CATEGORIA],investirrendafixaconsolidadojun[[#This Row],[ATUAL]])</f>
        <v>0</v>
      </c>
      <c r="F118" s="91">
        <f>SUMIFS(tabela_registros[VALOR],tabela_registros[MÊS],$AE$1,tabela_registros[DIA],investirrendafixaconsolidadojun[[#Headers],[2]],tabela_registros[REGISTRO],DADOS!$N$5,tabela_registros[TIPO],DADOS!$AB$3,tabela_registros[CATEGORIA],investirrendafixaconsolidadojun[[#This Row],[ATUAL]])</f>
        <v>0</v>
      </c>
      <c r="G118" s="91">
        <f>SUMIFS(tabela_registros[VALOR],tabela_registros[MÊS],$AE$1,tabela_registros[DIA],investirrendafixaconsolidadojun[[#Headers],[3]],tabela_registros[REGISTRO],DADOS!$N$5,tabela_registros[TIPO],DADOS!$AB$3,tabela_registros[CATEGORIA],investirrendafixaconsolidadojun[[#This Row],[ATUAL]])</f>
        <v>0</v>
      </c>
      <c r="H118" s="91">
        <f>SUMIFS(tabela_registros[VALOR],tabela_registros[MÊS],$AE$1,tabela_registros[DIA],investirrendafixaconsolidadojun[[#Headers],[4]],tabela_registros[REGISTRO],DADOS!$N$5,tabela_registros[TIPO],DADOS!$AB$3,tabela_registros[CATEGORIA],investirrendafixaconsolidadojun[[#This Row],[ATUAL]])</f>
        <v>0</v>
      </c>
      <c r="I118" s="91">
        <f>SUMIFS(tabela_registros[VALOR],tabela_registros[MÊS],$AE$1,tabela_registros[DIA],investirrendafixaconsolidadojun[[#Headers],[5]],tabela_registros[REGISTRO],DADOS!$N$5,tabela_registros[TIPO],DADOS!$AB$3,tabela_registros[CATEGORIA],investirrendafixaconsolidadojun[[#This Row],[ATUAL]])</f>
        <v>0</v>
      </c>
      <c r="J118" s="91">
        <f>SUMIFS(tabela_registros[VALOR],tabela_registros[MÊS],$AE$1,tabela_registros[DIA],investirrendafixaconsolidadojun[[#Headers],[6]],tabela_registros[REGISTRO],DADOS!$N$5,tabela_registros[TIPO],DADOS!$AB$3,tabela_registros[CATEGORIA],investirrendafixaconsolidadojun[[#This Row],[ATUAL]])</f>
        <v>0</v>
      </c>
      <c r="K118" s="91">
        <f>SUMIFS(tabela_registros[VALOR],tabela_registros[MÊS],$AE$1,tabela_registros[DIA],investirrendafixaconsolidadojun[[#Headers],[7]],tabela_registros[REGISTRO],DADOS!$N$5,tabela_registros[TIPO],DADOS!$AB$3,tabela_registros[CATEGORIA],investirrendafixaconsolidadojun[[#This Row],[ATUAL]])</f>
        <v>0</v>
      </c>
      <c r="L118" s="91">
        <f>SUMIFS(tabela_registros[VALOR],tabela_registros[MÊS],$AE$1,tabela_registros[DIA],investirrendafixaconsolidadojun[[#Headers],[8]],tabela_registros[REGISTRO],DADOS!$N$5,tabela_registros[TIPO],DADOS!$AB$3,tabela_registros[CATEGORIA],investirrendafixaconsolidadojun[[#This Row],[ATUAL]])</f>
        <v>0</v>
      </c>
      <c r="M118" s="91">
        <f>SUMIFS(tabela_registros[VALOR],tabela_registros[MÊS],$AE$1,tabela_registros[DIA],investirrendafixaconsolidadojun[[#Headers],[9]],tabela_registros[REGISTRO],DADOS!$N$5,tabela_registros[TIPO],DADOS!$AB$3,tabela_registros[CATEGORIA],investirrendafixaconsolidadojun[[#This Row],[ATUAL]])</f>
        <v>0</v>
      </c>
      <c r="N118" s="91">
        <f>SUMIFS(tabela_registros[VALOR],tabela_registros[MÊS],$AE$1,tabela_registros[DIA],investirrendafixaconsolidadojun[[#Headers],[10]],tabela_registros[REGISTRO],DADOS!$N$5,tabela_registros[TIPO],DADOS!$AB$3,tabela_registros[CATEGORIA],investirrendafixaconsolidadojun[[#This Row],[ATUAL]])</f>
        <v>0</v>
      </c>
      <c r="O118" s="91">
        <f>SUMIFS(tabela_registros[VALOR],tabela_registros[MÊS],$AE$1,tabela_registros[DIA],investirrendafixaconsolidadojun[[#Headers],[11]],tabela_registros[REGISTRO],DADOS!$N$5,tabela_registros[TIPO],DADOS!$AB$3,tabela_registros[CATEGORIA],investirrendafixaconsolidadojun[[#This Row],[ATUAL]])</f>
        <v>0</v>
      </c>
      <c r="P118" s="91">
        <f>SUMIFS(tabela_registros[VALOR],tabela_registros[MÊS],$AE$1,tabela_registros[DIA],investirrendafixaconsolidadojun[[#Headers],[12]],tabela_registros[REGISTRO],DADOS!$N$5,tabela_registros[TIPO],DADOS!$AB$3,tabela_registros[CATEGORIA],investirrendafixaconsolidadojun[[#This Row],[ATUAL]])</f>
        <v>0</v>
      </c>
      <c r="Q118" s="91">
        <f>SUMIFS(tabela_registros[VALOR],tabela_registros[MÊS],$AE$1,tabela_registros[DIA],investirrendafixaconsolidadojun[[#Headers],[13]],tabela_registros[REGISTRO],DADOS!$N$5,tabela_registros[TIPO],DADOS!$AB$3,tabela_registros[CATEGORIA],investirrendafixaconsolidadojun[[#This Row],[ATUAL]])</f>
        <v>0</v>
      </c>
      <c r="R118" s="91">
        <f>SUMIFS(tabela_registros[VALOR],tabela_registros[MÊS],$AE$1,tabela_registros[DIA],investirrendafixaconsolidadojun[[#Headers],[14]],tabela_registros[REGISTRO],DADOS!$N$5,tabela_registros[TIPO],DADOS!$AB$3,tabela_registros[CATEGORIA],investirrendafixaconsolidadojun[[#This Row],[ATUAL]])</f>
        <v>0</v>
      </c>
      <c r="S118" s="91">
        <f>SUMIFS(tabela_registros[VALOR],tabela_registros[MÊS],$AE$1,tabela_registros[DIA],investirrendafixaconsolidadojun[[#Headers],[15]],tabela_registros[REGISTRO],DADOS!$N$5,tabela_registros[TIPO],DADOS!$AB$3,tabela_registros[CATEGORIA],investirrendafixaconsolidadojun[[#This Row],[ATUAL]])</f>
        <v>0</v>
      </c>
      <c r="T118" s="91">
        <f>SUMIFS(tabela_registros[VALOR],tabela_registros[MÊS],$AE$1,tabela_registros[DIA],investirrendafixaconsolidadojun[[#Headers],[16]],tabela_registros[REGISTRO],DADOS!$N$5,tabela_registros[TIPO],DADOS!$AB$3,tabela_registros[CATEGORIA],investirrendafixaconsolidadojun[[#This Row],[ATUAL]])</f>
        <v>0</v>
      </c>
      <c r="U118" s="91">
        <f>SUMIFS(tabela_registros[VALOR],tabela_registros[MÊS],$AE$1,tabela_registros[DIA],investirrendafixaconsolidadojun[[#Headers],[17]],tabela_registros[REGISTRO],DADOS!$N$5,tabela_registros[TIPO],DADOS!$AB$3,tabela_registros[CATEGORIA],investirrendafixaconsolidadojun[[#This Row],[ATUAL]])</f>
        <v>0</v>
      </c>
      <c r="V118" s="91">
        <f>SUMIFS(tabela_registros[VALOR],tabela_registros[MÊS],$AE$1,tabela_registros[DIA],investirrendafixaconsolidadojun[[#Headers],[18]],tabela_registros[REGISTRO],DADOS!$N$5,tabela_registros[TIPO],DADOS!$AB$3,tabela_registros[CATEGORIA],investirrendafixaconsolidadojun[[#This Row],[ATUAL]])</f>
        <v>0</v>
      </c>
      <c r="W118" s="91">
        <f>SUMIFS(tabela_registros[VALOR],tabela_registros[MÊS],$AE$1,tabela_registros[DIA],investirrendafixaconsolidadojun[[#Headers],[19]],tabela_registros[REGISTRO],DADOS!$N$5,tabela_registros[TIPO],DADOS!$AB$3,tabela_registros[CATEGORIA],investirrendafixaconsolidadojun[[#This Row],[ATUAL]])</f>
        <v>0</v>
      </c>
      <c r="X118" s="91">
        <f>SUMIFS(tabela_registros[VALOR],tabela_registros[MÊS],$AE$1,tabela_registros[DIA],investirrendafixaconsolidadojun[[#Headers],[20]],tabela_registros[REGISTRO],DADOS!$N$5,tabela_registros[TIPO],DADOS!$AB$3,tabela_registros[CATEGORIA],investirrendafixaconsolidadojun[[#This Row],[ATUAL]])</f>
        <v>0</v>
      </c>
      <c r="Y118" s="91">
        <f>SUMIFS(tabela_registros[VALOR],tabela_registros[MÊS],$AE$1,tabela_registros[DIA],investirrendafixaconsolidadojun[[#Headers],[21]],tabela_registros[REGISTRO],DADOS!$N$5,tabela_registros[TIPO],DADOS!$AB$3,tabela_registros[CATEGORIA],investirrendafixaconsolidadojun[[#This Row],[ATUAL]])</f>
        <v>0</v>
      </c>
      <c r="Z118" s="91">
        <f>SUMIFS(tabela_registros[VALOR],tabela_registros[MÊS],$AE$1,tabela_registros[DIA],investirrendafixaconsolidadojun[[#Headers],[22]],tabela_registros[REGISTRO],DADOS!$N$5,tabela_registros[TIPO],DADOS!$AB$3,tabela_registros[CATEGORIA],investirrendafixaconsolidadojun[[#This Row],[ATUAL]])</f>
        <v>0</v>
      </c>
      <c r="AA118" s="91">
        <f>SUMIFS(tabela_registros[VALOR],tabela_registros[MÊS],$AE$1,tabela_registros[DIA],investirrendafixaconsolidadojun[[#Headers],[23]],tabela_registros[REGISTRO],DADOS!$N$5,tabela_registros[TIPO],DADOS!$AB$3,tabela_registros[CATEGORIA],investirrendafixaconsolidadojun[[#This Row],[ATUAL]])</f>
        <v>0</v>
      </c>
      <c r="AB118" s="91">
        <f>SUMIFS(tabela_registros[VALOR],tabela_registros[MÊS],$AE$1,tabela_registros[DIA],investirrendafixaconsolidadojun[[#Headers],[24]],tabela_registros[REGISTRO],DADOS!$N$5,tabela_registros[TIPO],DADOS!$AB$3,tabela_registros[CATEGORIA],investirrendafixaconsolidadojun[[#This Row],[ATUAL]])</f>
        <v>0</v>
      </c>
      <c r="AC118" s="91">
        <f>SUMIFS(tabela_registros[VALOR],tabela_registros[MÊS],$AE$1,tabela_registros[DIA],investirrendafixaconsolidadojun[[#Headers],[25]],tabela_registros[REGISTRO],DADOS!$N$5,tabela_registros[TIPO],DADOS!$AB$3,tabela_registros[CATEGORIA],investirrendafixaconsolidadojun[[#This Row],[ATUAL]])</f>
        <v>0</v>
      </c>
      <c r="AD118" s="91">
        <f>SUMIFS(tabela_registros[VALOR],tabela_registros[MÊS],$AE$1,tabela_registros[DIA],investirrendafixaconsolidadojun[[#Headers],[26]],tabela_registros[REGISTRO],DADOS!$N$5,tabela_registros[TIPO],DADOS!$AB$3,tabela_registros[CATEGORIA],investirrendafixaconsolidadojun[[#This Row],[ATUAL]])</f>
        <v>0</v>
      </c>
      <c r="AE118" s="91">
        <f>SUMIFS(tabela_registros[VALOR],tabela_registros[MÊS],$AE$1,tabela_registros[DIA],investirrendafixaconsolidadojun[[#Headers],[27]],tabela_registros[REGISTRO],DADOS!$N$5,tabela_registros[TIPO],DADOS!$AB$3,tabela_registros[CATEGORIA],investirrendafixaconsolidadojun[[#This Row],[ATUAL]])</f>
        <v>0</v>
      </c>
      <c r="AF118" s="91">
        <f>SUMIFS(tabela_registros[VALOR],tabela_registros[MÊS],$AE$1,tabela_registros[DIA],investirrendafixaconsolidadojun[[#Headers],[28]],tabela_registros[REGISTRO],DADOS!$N$5,tabela_registros[TIPO],DADOS!$AB$3,tabela_registros[CATEGORIA],investirrendafixaconsolidadojun[[#This Row],[ATUAL]])</f>
        <v>0</v>
      </c>
      <c r="AG118" s="91">
        <f>SUMIFS(tabela_registros[VALOR],tabela_registros[MÊS],$AE$1,tabela_registros[DIA],investirrendafixaconsolidadojun[[#Headers],[29]],tabela_registros[REGISTRO],DADOS!$N$5,tabela_registros[TIPO],DADOS!$AB$3,tabela_registros[CATEGORIA],investirrendafixaconsolidadojun[[#This Row],[ATUAL]])</f>
        <v>0</v>
      </c>
      <c r="AH118" s="91">
        <f>SUMIFS(tabela_registros[VALOR],tabela_registros[MÊS],$AE$1,tabela_registros[DIA],investirrendafixaconsolidadojun[[#Headers],[30]],tabela_registros[REGISTRO],DADOS!$N$5,tabela_registros[TIPO],DADOS!$AB$3,tabela_registros[CATEGORIA],investirrendafixaconsolidadojun[[#This Row],[ATUAL]])</f>
        <v>0</v>
      </c>
      <c r="AI118" s="101">
        <f>SUMIFS(tabela_registros[VALOR],tabela_registros[MÊS],$AE$1,tabela_registros[DIA],investirrendafixaconsolidadojun[[#Headers],[31]],tabela_registros[REGISTRO],DADOS!$N$5,tabela_registros[TIPO],DADOS!$AB$3,tabela_registros[CATEGORIA],investirrendafixaconsolidadojun[[#This Row],[ATUAL]])</f>
        <v>0</v>
      </c>
      <c r="AJ118" s="97">
        <f>SUM(investirrendafixaconsolidadojun[[#This Row],[1]:[31]])</f>
        <v>0</v>
      </c>
      <c r="AK118" s="25"/>
    </row>
    <row r="119" spans="2:37" ht="19.5" customHeight="1" thickTop="1" thickBot="1" x14ac:dyDescent="0.3">
      <c r="B119" s="28"/>
      <c r="C119" s="27" t="str">
        <f>DADOS!$AD$9</f>
        <v>📝 LCA</v>
      </c>
      <c r="D119" s="26" t="str">
        <f>IF(investirrendafixaconsolidadojun[[#This Row],[TOTAL (R$)]]=0,"",IF(OR(investirrendafixaconsolidadojun[[#This Row],[TOTAL (R$)]]=LARGE($AJ$113:$AJ$122,1),investirrendafixaconsolidadojun[[#This Row],[TOTAL (R$)]]=LARGE($AJ$113:$AJ$122,2)),DADOS!$I$10,""))</f>
        <v/>
      </c>
      <c r="E119" s="96">
        <f>SUMIFS(tabela_registros[VALOR],tabela_registros[MÊS],$AE$1,tabela_registros[DIA],investirrendafixaconsolidadojun[[#Headers],[1]],tabela_registros[REGISTRO],DADOS!$N$5,tabela_registros[TIPO],DADOS!$AB$3,tabela_registros[CATEGORIA],investirrendafixaconsolidadojun[[#This Row],[ATUAL]])</f>
        <v>0</v>
      </c>
      <c r="F119" s="91">
        <f>SUMIFS(tabela_registros[VALOR],tabela_registros[MÊS],$AE$1,tabela_registros[DIA],investirrendafixaconsolidadojun[[#Headers],[2]],tabela_registros[REGISTRO],DADOS!$N$5,tabela_registros[TIPO],DADOS!$AB$3,tabela_registros[CATEGORIA],investirrendafixaconsolidadojun[[#This Row],[ATUAL]])</f>
        <v>0</v>
      </c>
      <c r="G119" s="91">
        <f>SUMIFS(tabela_registros[VALOR],tabela_registros[MÊS],$AE$1,tabela_registros[DIA],investirrendafixaconsolidadojun[[#Headers],[3]],tabela_registros[REGISTRO],DADOS!$N$5,tabela_registros[TIPO],DADOS!$AB$3,tabela_registros[CATEGORIA],investirrendafixaconsolidadojun[[#This Row],[ATUAL]])</f>
        <v>0</v>
      </c>
      <c r="H119" s="91">
        <f>SUMIFS(tabela_registros[VALOR],tabela_registros[MÊS],$AE$1,tabela_registros[DIA],investirrendafixaconsolidadojun[[#Headers],[4]],tabela_registros[REGISTRO],DADOS!$N$5,tabela_registros[TIPO],DADOS!$AB$3,tabela_registros[CATEGORIA],investirrendafixaconsolidadojun[[#This Row],[ATUAL]])</f>
        <v>0</v>
      </c>
      <c r="I119" s="91">
        <f>SUMIFS(tabela_registros[VALOR],tabela_registros[MÊS],$AE$1,tabela_registros[DIA],investirrendafixaconsolidadojun[[#Headers],[5]],tabela_registros[REGISTRO],DADOS!$N$5,tabela_registros[TIPO],DADOS!$AB$3,tabela_registros[CATEGORIA],investirrendafixaconsolidadojun[[#This Row],[ATUAL]])</f>
        <v>0</v>
      </c>
      <c r="J119" s="91">
        <f>SUMIFS(tabela_registros[VALOR],tabela_registros[MÊS],$AE$1,tabela_registros[DIA],investirrendafixaconsolidadojun[[#Headers],[6]],tabela_registros[REGISTRO],DADOS!$N$5,tabela_registros[TIPO],DADOS!$AB$3,tabela_registros[CATEGORIA],investirrendafixaconsolidadojun[[#This Row],[ATUAL]])</f>
        <v>0</v>
      </c>
      <c r="K119" s="91">
        <f>SUMIFS(tabela_registros[VALOR],tabela_registros[MÊS],$AE$1,tabela_registros[DIA],investirrendafixaconsolidadojun[[#Headers],[7]],tabela_registros[REGISTRO],DADOS!$N$5,tabela_registros[TIPO],DADOS!$AB$3,tabela_registros[CATEGORIA],investirrendafixaconsolidadojun[[#This Row],[ATUAL]])</f>
        <v>0</v>
      </c>
      <c r="L119" s="91">
        <f>SUMIFS(tabela_registros[VALOR],tabela_registros[MÊS],$AE$1,tabela_registros[DIA],investirrendafixaconsolidadojun[[#Headers],[8]],tabela_registros[REGISTRO],DADOS!$N$5,tabela_registros[TIPO],DADOS!$AB$3,tabela_registros[CATEGORIA],investirrendafixaconsolidadojun[[#This Row],[ATUAL]])</f>
        <v>0</v>
      </c>
      <c r="M119" s="91">
        <f>SUMIFS(tabela_registros[VALOR],tabela_registros[MÊS],$AE$1,tabela_registros[DIA],investirrendafixaconsolidadojun[[#Headers],[9]],tabela_registros[REGISTRO],DADOS!$N$5,tabela_registros[TIPO],DADOS!$AB$3,tabela_registros[CATEGORIA],investirrendafixaconsolidadojun[[#This Row],[ATUAL]])</f>
        <v>0</v>
      </c>
      <c r="N119" s="91">
        <f>SUMIFS(tabela_registros[VALOR],tabela_registros[MÊS],$AE$1,tabela_registros[DIA],investirrendafixaconsolidadojun[[#Headers],[10]],tabela_registros[REGISTRO],DADOS!$N$5,tabela_registros[TIPO],DADOS!$AB$3,tabela_registros[CATEGORIA],investirrendafixaconsolidadojun[[#This Row],[ATUAL]])</f>
        <v>0</v>
      </c>
      <c r="O119" s="91">
        <f>SUMIFS(tabela_registros[VALOR],tabela_registros[MÊS],$AE$1,tabela_registros[DIA],investirrendafixaconsolidadojun[[#Headers],[11]],tabela_registros[REGISTRO],DADOS!$N$5,tabela_registros[TIPO],DADOS!$AB$3,tabela_registros[CATEGORIA],investirrendafixaconsolidadojun[[#This Row],[ATUAL]])</f>
        <v>0</v>
      </c>
      <c r="P119" s="91">
        <f>SUMIFS(tabela_registros[VALOR],tabela_registros[MÊS],$AE$1,tabela_registros[DIA],investirrendafixaconsolidadojun[[#Headers],[12]],tabela_registros[REGISTRO],DADOS!$N$5,tabela_registros[TIPO],DADOS!$AB$3,tabela_registros[CATEGORIA],investirrendafixaconsolidadojun[[#This Row],[ATUAL]])</f>
        <v>0</v>
      </c>
      <c r="Q119" s="91">
        <f>SUMIFS(tabela_registros[VALOR],tabela_registros[MÊS],$AE$1,tabela_registros[DIA],investirrendafixaconsolidadojun[[#Headers],[13]],tabela_registros[REGISTRO],DADOS!$N$5,tabela_registros[TIPO],DADOS!$AB$3,tabela_registros[CATEGORIA],investirrendafixaconsolidadojun[[#This Row],[ATUAL]])</f>
        <v>0</v>
      </c>
      <c r="R119" s="91">
        <f>SUMIFS(tabela_registros[VALOR],tabela_registros[MÊS],$AE$1,tabela_registros[DIA],investirrendafixaconsolidadojun[[#Headers],[14]],tabela_registros[REGISTRO],DADOS!$N$5,tabela_registros[TIPO],DADOS!$AB$3,tabela_registros[CATEGORIA],investirrendafixaconsolidadojun[[#This Row],[ATUAL]])</f>
        <v>0</v>
      </c>
      <c r="S119" s="91">
        <f>SUMIFS(tabela_registros[VALOR],tabela_registros[MÊS],$AE$1,tabela_registros[DIA],investirrendafixaconsolidadojun[[#Headers],[15]],tabela_registros[REGISTRO],DADOS!$N$5,tabela_registros[TIPO],DADOS!$AB$3,tabela_registros[CATEGORIA],investirrendafixaconsolidadojun[[#This Row],[ATUAL]])</f>
        <v>0</v>
      </c>
      <c r="T119" s="91">
        <f>SUMIFS(tabela_registros[VALOR],tabela_registros[MÊS],$AE$1,tabela_registros[DIA],investirrendafixaconsolidadojun[[#Headers],[16]],tabela_registros[REGISTRO],DADOS!$N$5,tabela_registros[TIPO],DADOS!$AB$3,tabela_registros[CATEGORIA],investirrendafixaconsolidadojun[[#This Row],[ATUAL]])</f>
        <v>0</v>
      </c>
      <c r="U119" s="91">
        <f>SUMIFS(tabela_registros[VALOR],tabela_registros[MÊS],$AE$1,tabela_registros[DIA],investirrendafixaconsolidadojun[[#Headers],[17]],tabela_registros[REGISTRO],DADOS!$N$5,tabela_registros[TIPO],DADOS!$AB$3,tabela_registros[CATEGORIA],investirrendafixaconsolidadojun[[#This Row],[ATUAL]])</f>
        <v>0</v>
      </c>
      <c r="V119" s="91">
        <f>SUMIFS(tabela_registros[VALOR],tabela_registros[MÊS],$AE$1,tabela_registros[DIA],investirrendafixaconsolidadojun[[#Headers],[18]],tabela_registros[REGISTRO],DADOS!$N$5,tabela_registros[TIPO],DADOS!$AB$3,tabela_registros[CATEGORIA],investirrendafixaconsolidadojun[[#This Row],[ATUAL]])</f>
        <v>0</v>
      </c>
      <c r="W119" s="91">
        <f>SUMIFS(tabela_registros[VALOR],tabela_registros[MÊS],$AE$1,tabela_registros[DIA],investirrendafixaconsolidadojun[[#Headers],[19]],tabela_registros[REGISTRO],DADOS!$N$5,tabela_registros[TIPO],DADOS!$AB$3,tabela_registros[CATEGORIA],investirrendafixaconsolidadojun[[#This Row],[ATUAL]])</f>
        <v>0</v>
      </c>
      <c r="X119" s="91">
        <f>SUMIFS(tabela_registros[VALOR],tabela_registros[MÊS],$AE$1,tabela_registros[DIA],investirrendafixaconsolidadojun[[#Headers],[20]],tabela_registros[REGISTRO],DADOS!$N$5,tabela_registros[TIPO],DADOS!$AB$3,tabela_registros[CATEGORIA],investirrendafixaconsolidadojun[[#This Row],[ATUAL]])</f>
        <v>0</v>
      </c>
      <c r="Y119" s="91">
        <f>SUMIFS(tabela_registros[VALOR],tabela_registros[MÊS],$AE$1,tabela_registros[DIA],investirrendafixaconsolidadojun[[#Headers],[21]],tabela_registros[REGISTRO],DADOS!$N$5,tabela_registros[TIPO],DADOS!$AB$3,tabela_registros[CATEGORIA],investirrendafixaconsolidadojun[[#This Row],[ATUAL]])</f>
        <v>0</v>
      </c>
      <c r="Z119" s="91">
        <f>SUMIFS(tabela_registros[VALOR],tabela_registros[MÊS],$AE$1,tabela_registros[DIA],investirrendafixaconsolidadojun[[#Headers],[22]],tabela_registros[REGISTRO],DADOS!$N$5,tabela_registros[TIPO],DADOS!$AB$3,tabela_registros[CATEGORIA],investirrendafixaconsolidadojun[[#This Row],[ATUAL]])</f>
        <v>0</v>
      </c>
      <c r="AA119" s="91">
        <f>SUMIFS(tabela_registros[VALOR],tabela_registros[MÊS],$AE$1,tabela_registros[DIA],investirrendafixaconsolidadojun[[#Headers],[23]],tabela_registros[REGISTRO],DADOS!$N$5,tabela_registros[TIPO],DADOS!$AB$3,tabela_registros[CATEGORIA],investirrendafixaconsolidadojun[[#This Row],[ATUAL]])</f>
        <v>0</v>
      </c>
      <c r="AB119" s="91">
        <f>SUMIFS(tabela_registros[VALOR],tabela_registros[MÊS],$AE$1,tabela_registros[DIA],investirrendafixaconsolidadojun[[#Headers],[24]],tabela_registros[REGISTRO],DADOS!$N$5,tabela_registros[TIPO],DADOS!$AB$3,tabela_registros[CATEGORIA],investirrendafixaconsolidadojun[[#This Row],[ATUAL]])</f>
        <v>0</v>
      </c>
      <c r="AC119" s="91">
        <f>SUMIFS(tabela_registros[VALOR],tabela_registros[MÊS],$AE$1,tabela_registros[DIA],investirrendafixaconsolidadojun[[#Headers],[25]],tabela_registros[REGISTRO],DADOS!$N$5,tabela_registros[TIPO],DADOS!$AB$3,tabela_registros[CATEGORIA],investirrendafixaconsolidadojun[[#This Row],[ATUAL]])</f>
        <v>0</v>
      </c>
      <c r="AD119" s="91">
        <f>SUMIFS(tabela_registros[VALOR],tabela_registros[MÊS],$AE$1,tabela_registros[DIA],investirrendafixaconsolidadojun[[#Headers],[26]],tabela_registros[REGISTRO],DADOS!$N$5,tabela_registros[TIPO],DADOS!$AB$3,tabela_registros[CATEGORIA],investirrendafixaconsolidadojun[[#This Row],[ATUAL]])</f>
        <v>0</v>
      </c>
      <c r="AE119" s="91">
        <f>SUMIFS(tabela_registros[VALOR],tabela_registros[MÊS],$AE$1,tabela_registros[DIA],investirrendafixaconsolidadojun[[#Headers],[27]],tabela_registros[REGISTRO],DADOS!$N$5,tabela_registros[TIPO],DADOS!$AB$3,tabela_registros[CATEGORIA],investirrendafixaconsolidadojun[[#This Row],[ATUAL]])</f>
        <v>0</v>
      </c>
      <c r="AF119" s="91">
        <f>SUMIFS(tabela_registros[VALOR],tabela_registros[MÊS],$AE$1,tabela_registros[DIA],investirrendafixaconsolidadojun[[#Headers],[28]],tabela_registros[REGISTRO],DADOS!$N$5,tabela_registros[TIPO],DADOS!$AB$3,tabela_registros[CATEGORIA],investirrendafixaconsolidadojun[[#This Row],[ATUAL]])</f>
        <v>0</v>
      </c>
      <c r="AG119" s="91">
        <f>SUMIFS(tabela_registros[VALOR],tabela_registros[MÊS],$AE$1,tabela_registros[DIA],investirrendafixaconsolidadojun[[#Headers],[29]],tabela_registros[REGISTRO],DADOS!$N$5,tabela_registros[TIPO],DADOS!$AB$3,tabela_registros[CATEGORIA],investirrendafixaconsolidadojun[[#This Row],[ATUAL]])</f>
        <v>0</v>
      </c>
      <c r="AH119" s="91">
        <f>SUMIFS(tabela_registros[VALOR],tabela_registros[MÊS],$AE$1,tabela_registros[DIA],investirrendafixaconsolidadojun[[#Headers],[30]],tabela_registros[REGISTRO],DADOS!$N$5,tabela_registros[TIPO],DADOS!$AB$3,tabela_registros[CATEGORIA],investirrendafixaconsolidadojun[[#This Row],[ATUAL]])</f>
        <v>0</v>
      </c>
      <c r="AI119" s="101">
        <f>SUMIFS(tabela_registros[VALOR],tabela_registros[MÊS],$AE$1,tabela_registros[DIA],investirrendafixaconsolidadojun[[#Headers],[31]],tabela_registros[REGISTRO],DADOS!$N$5,tabela_registros[TIPO],DADOS!$AB$3,tabela_registros[CATEGORIA],investirrendafixaconsolidadojun[[#This Row],[ATUAL]])</f>
        <v>0</v>
      </c>
      <c r="AJ119" s="97">
        <f>SUM(investirrendafixaconsolidadojun[[#This Row],[1]:[31]])</f>
        <v>0</v>
      </c>
      <c r="AK119" s="25"/>
    </row>
    <row r="120" spans="2:37" ht="19.5" customHeight="1" thickTop="1" thickBot="1" x14ac:dyDescent="0.3">
      <c r="B120" s="28"/>
      <c r="C120" s="27" t="str">
        <f>DADOS!$AD$10</f>
        <v>📝 LCI</v>
      </c>
      <c r="D120" s="26" t="str">
        <f>IF(investirrendafixaconsolidadojun[[#This Row],[TOTAL (R$)]]=0,"",IF(OR(investirrendafixaconsolidadojun[[#This Row],[TOTAL (R$)]]=LARGE($AJ$113:$AJ$122,1),investirrendafixaconsolidadojun[[#This Row],[TOTAL (R$)]]=LARGE($AJ$113:$AJ$122,2)),DADOS!$I$10,""))</f>
        <v/>
      </c>
      <c r="E120" s="96">
        <f>SUMIFS(tabela_registros[VALOR],tabela_registros[MÊS],$AE$1,tabela_registros[DIA],investirrendafixaconsolidadojun[[#Headers],[1]],tabela_registros[REGISTRO],DADOS!$N$5,tabela_registros[TIPO],DADOS!$AB$3,tabela_registros[CATEGORIA],investirrendafixaconsolidadojun[[#This Row],[ATUAL]])</f>
        <v>0</v>
      </c>
      <c r="F120" s="91">
        <f>SUMIFS(tabela_registros[VALOR],tabela_registros[MÊS],$AE$1,tabela_registros[DIA],investirrendafixaconsolidadojun[[#Headers],[2]],tabela_registros[REGISTRO],DADOS!$N$5,tabela_registros[TIPO],DADOS!$AB$3,tabela_registros[CATEGORIA],investirrendafixaconsolidadojun[[#This Row],[ATUAL]])</f>
        <v>0</v>
      </c>
      <c r="G120" s="91">
        <f>SUMIFS(tabela_registros[VALOR],tabela_registros[MÊS],$AE$1,tabela_registros[DIA],investirrendafixaconsolidadojun[[#Headers],[3]],tabela_registros[REGISTRO],DADOS!$N$5,tabela_registros[TIPO],DADOS!$AB$3,tabela_registros[CATEGORIA],investirrendafixaconsolidadojun[[#This Row],[ATUAL]])</f>
        <v>0</v>
      </c>
      <c r="H120" s="91">
        <f>SUMIFS(tabela_registros[VALOR],tabela_registros[MÊS],$AE$1,tabela_registros[DIA],investirrendafixaconsolidadojun[[#Headers],[4]],tabela_registros[REGISTRO],DADOS!$N$5,tabela_registros[TIPO],DADOS!$AB$3,tabela_registros[CATEGORIA],investirrendafixaconsolidadojun[[#This Row],[ATUAL]])</f>
        <v>0</v>
      </c>
      <c r="I120" s="91">
        <f>SUMIFS(tabela_registros[VALOR],tabela_registros[MÊS],$AE$1,tabela_registros[DIA],investirrendafixaconsolidadojun[[#Headers],[5]],tabela_registros[REGISTRO],DADOS!$N$5,tabela_registros[TIPO],DADOS!$AB$3,tabela_registros[CATEGORIA],investirrendafixaconsolidadojun[[#This Row],[ATUAL]])</f>
        <v>0</v>
      </c>
      <c r="J120" s="91">
        <f>SUMIFS(tabela_registros[VALOR],tabela_registros[MÊS],$AE$1,tabela_registros[DIA],investirrendafixaconsolidadojun[[#Headers],[6]],tabela_registros[REGISTRO],DADOS!$N$5,tabela_registros[TIPO],DADOS!$AB$3,tabela_registros[CATEGORIA],investirrendafixaconsolidadojun[[#This Row],[ATUAL]])</f>
        <v>0</v>
      </c>
      <c r="K120" s="91">
        <f>SUMIFS(tabela_registros[VALOR],tabela_registros[MÊS],$AE$1,tabela_registros[DIA],investirrendafixaconsolidadojun[[#Headers],[7]],tabela_registros[REGISTRO],DADOS!$N$5,tabela_registros[TIPO],DADOS!$AB$3,tabela_registros[CATEGORIA],investirrendafixaconsolidadojun[[#This Row],[ATUAL]])</f>
        <v>0</v>
      </c>
      <c r="L120" s="91">
        <f>SUMIFS(tabela_registros[VALOR],tabela_registros[MÊS],$AE$1,tabela_registros[DIA],investirrendafixaconsolidadojun[[#Headers],[8]],tabela_registros[REGISTRO],DADOS!$N$5,tabela_registros[TIPO],DADOS!$AB$3,tabela_registros[CATEGORIA],investirrendafixaconsolidadojun[[#This Row],[ATUAL]])</f>
        <v>0</v>
      </c>
      <c r="M120" s="91">
        <f>SUMIFS(tabela_registros[VALOR],tabela_registros[MÊS],$AE$1,tabela_registros[DIA],investirrendafixaconsolidadojun[[#Headers],[9]],tabela_registros[REGISTRO],DADOS!$N$5,tabela_registros[TIPO],DADOS!$AB$3,tabela_registros[CATEGORIA],investirrendafixaconsolidadojun[[#This Row],[ATUAL]])</f>
        <v>0</v>
      </c>
      <c r="N120" s="91">
        <f>SUMIFS(tabela_registros[VALOR],tabela_registros[MÊS],$AE$1,tabela_registros[DIA],investirrendafixaconsolidadojun[[#Headers],[10]],tabela_registros[REGISTRO],DADOS!$N$5,tabela_registros[TIPO],DADOS!$AB$3,tabela_registros[CATEGORIA],investirrendafixaconsolidadojun[[#This Row],[ATUAL]])</f>
        <v>0</v>
      </c>
      <c r="O120" s="91">
        <f>SUMIFS(tabela_registros[VALOR],tabela_registros[MÊS],$AE$1,tabela_registros[DIA],investirrendafixaconsolidadojun[[#Headers],[11]],tabela_registros[REGISTRO],DADOS!$N$5,tabela_registros[TIPO],DADOS!$AB$3,tabela_registros[CATEGORIA],investirrendafixaconsolidadojun[[#This Row],[ATUAL]])</f>
        <v>0</v>
      </c>
      <c r="P120" s="91">
        <f>SUMIFS(tabela_registros[VALOR],tabela_registros[MÊS],$AE$1,tabela_registros[DIA],investirrendafixaconsolidadojun[[#Headers],[12]],tabela_registros[REGISTRO],DADOS!$N$5,tabela_registros[TIPO],DADOS!$AB$3,tabela_registros[CATEGORIA],investirrendafixaconsolidadojun[[#This Row],[ATUAL]])</f>
        <v>0</v>
      </c>
      <c r="Q120" s="91">
        <f>SUMIFS(tabela_registros[VALOR],tabela_registros[MÊS],$AE$1,tabela_registros[DIA],investirrendafixaconsolidadojun[[#Headers],[13]],tabela_registros[REGISTRO],DADOS!$N$5,tabela_registros[TIPO],DADOS!$AB$3,tabela_registros[CATEGORIA],investirrendafixaconsolidadojun[[#This Row],[ATUAL]])</f>
        <v>0</v>
      </c>
      <c r="R120" s="91">
        <f>SUMIFS(tabela_registros[VALOR],tabela_registros[MÊS],$AE$1,tabela_registros[DIA],investirrendafixaconsolidadojun[[#Headers],[14]],tabela_registros[REGISTRO],DADOS!$N$5,tabela_registros[TIPO],DADOS!$AB$3,tabela_registros[CATEGORIA],investirrendafixaconsolidadojun[[#This Row],[ATUAL]])</f>
        <v>0</v>
      </c>
      <c r="S120" s="91">
        <f>SUMIFS(tabela_registros[VALOR],tabela_registros[MÊS],$AE$1,tabela_registros[DIA],investirrendafixaconsolidadojun[[#Headers],[15]],tabela_registros[REGISTRO],DADOS!$N$5,tabela_registros[TIPO],DADOS!$AB$3,tabela_registros[CATEGORIA],investirrendafixaconsolidadojun[[#This Row],[ATUAL]])</f>
        <v>0</v>
      </c>
      <c r="T120" s="91">
        <f>SUMIFS(tabela_registros[VALOR],tabela_registros[MÊS],$AE$1,tabela_registros[DIA],investirrendafixaconsolidadojun[[#Headers],[16]],tabela_registros[REGISTRO],DADOS!$N$5,tabela_registros[TIPO],DADOS!$AB$3,tabela_registros[CATEGORIA],investirrendafixaconsolidadojun[[#This Row],[ATUAL]])</f>
        <v>0</v>
      </c>
      <c r="U120" s="91">
        <f>SUMIFS(tabela_registros[VALOR],tabela_registros[MÊS],$AE$1,tabela_registros[DIA],investirrendafixaconsolidadojun[[#Headers],[17]],tabela_registros[REGISTRO],DADOS!$N$5,tabela_registros[TIPO],DADOS!$AB$3,tabela_registros[CATEGORIA],investirrendafixaconsolidadojun[[#This Row],[ATUAL]])</f>
        <v>0</v>
      </c>
      <c r="V120" s="91">
        <f>SUMIFS(tabela_registros[VALOR],tabela_registros[MÊS],$AE$1,tabela_registros[DIA],investirrendafixaconsolidadojun[[#Headers],[18]],tabela_registros[REGISTRO],DADOS!$N$5,tabela_registros[TIPO],DADOS!$AB$3,tabela_registros[CATEGORIA],investirrendafixaconsolidadojun[[#This Row],[ATUAL]])</f>
        <v>0</v>
      </c>
      <c r="W120" s="91">
        <f>SUMIFS(tabela_registros[VALOR],tabela_registros[MÊS],$AE$1,tabela_registros[DIA],investirrendafixaconsolidadojun[[#Headers],[19]],tabela_registros[REGISTRO],DADOS!$N$5,tabela_registros[TIPO],DADOS!$AB$3,tabela_registros[CATEGORIA],investirrendafixaconsolidadojun[[#This Row],[ATUAL]])</f>
        <v>0</v>
      </c>
      <c r="X120" s="91">
        <f>SUMIFS(tabela_registros[VALOR],tabela_registros[MÊS],$AE$1,tabela_registros[DIA],investirrendafixaconsolidadojun[[#Headers],[20]],tabela_registros[REGISTRO],DADOS!$N$5,tabela_registros[TIPO],DADOS!$AB$3,tabela_registros[CATEGORIA],investirrendafixaconsolidadojun[[#This Row],[ATUAL]])</f>
        <v>0</v>
      </c>
      <c r="Y120" s="91">
        <f>SUMIFS(tabela_registros[VALOR],tabela_registros[MÊS],$AE$1,tabela_registros[DIA],investirrendafixaconsolidadojun[[#Headers],[21]],tabela_registros[REGISTRO],DADOS!$N$5,tabela_registros[TIPO],DADOS!$AB$3,tabela_registros[CATEGORIA],investirrendafixaconsolidadojun[[#This Row],[ATUAL]])</f>
        <v>0</v>
      </c>
      <c r="Z120" s="91">
        <f>SUMIFS(tabela_registros[VALOR],tabela_registros[MÊS],$AE$1,tabela_registros[DIA],investirrendafixaconsolidadojun[[#Headers],[22]],tabela_registros[REGISTRO],DADOS!$N$5,tabela_registros[TIPO],DADOS!$AB$3,tabela_registros[CATEGORIA],investirrendafixaconsolidadojun[[#This Row],[ATUAL]])</f>
        <v>0</v>
      </c>
      <c r="AA120" s="91">
        <f>SUMIFS(tabela_registros[VALOR],tabela_registros[MÊS],$AE$1,tabela_registros[DIA],investirrendafixaconsolidadojun[[#Headers],[23]],tabela_registros[REGISTRO],DADOS!$N$5,tabela_registros[TIPO],DADOS!$AB$3,tabela_registros[CATEGORIA],investirrendafixaconsolidadojun[[#This Row],[ATUAL]])</f>
        <v>0</v>
      </c>
      <c r="AB120" s="91">
        <f>SUMIFS(tabela_registros[VALOR],tabela_registros[MÊS],$AE$1,tabela_registros[DIA],investirrendafixaconsolidadojun[[#Headers],[24]],tabela_registros[REGISTRO],DADOS!$N$5,tabela_registros[TIPO],DADOS!$AB$3,tabela_registros[CATEGORIA],investirrendafixaconsolidadojun[[#This Row],[ATUAL]])</f>
        <v>0</v>
      </c>
      <c r="AC120" s="91">
        <f>SUMIFS(tabela_registros[VALOR],tabela_registros[MÊS],$AE$1,tabela_registros[DIA],investirrendafixaconsolidadojun[[#Headers],[25]],tabela_registros[REGISTRO],DADOS!$N$5,tabela_registros[TIPO],DADOS!$AB$3,tabela_registros[CATEGORIA],investirrendafixaconsolidadojun[[#This Row],[ATUAL]])</f>
        <v>0</v>
      </c>
      <c r="AD120" s="91">
        <f>SUMIFS(tabela_registros[VALOR],tabela_registros[MÊS],$AE$1,tabela_registros[DIA],investirrendafixaconsolidadojun[[#Headers],[26]],tabela_registros[REGISTRO],DADOS!$N$5,tabela_registros[TIPO],DADOS!$AB$3,tabela_registros[CATEGORIA],investirrendafixaconsolidadojun[[#This Row],[ATUAL]])</f>
        <v>0</v>
      </c>
      <c r="AE120" s="91">
        <f>SUMIFS(tabela_registros[VALOR],tabela_registros[MÊS],$AE$1,tabela_registros[DIA],investirrendafixaconsolidadojun[[#Headers],[27]],tabela_registros[REGISTRO],DADOS!$N$5,tabela_registros[TIPO],DADOS!$AB$3,tabela_registros[CATEGORIA],investirrendafixaconsolidadojun[[#This Row],[ATUAL]])</f>
        <v>0</v>
      </c>
      <c r="AF120" s="91">
        <f>SUMIFS(tabela_registros[VALOR],tabela_registros[MÊS],$AE$1,tabela_registros[DIA],investirrendafixaconsolidadojun[[#Headers],[28]],tabela_registros[REGISTRO],DADOS!$N$5,tabela_registros[TIPO],DADOS!$AB$3,tabela_registros[CATEGORIA],investirrendafixaconsolidadojun[[#This Row],[ATUAL]])</f>
        <v>0</v>
      </c>
      <c r="AG120" s="91">
        <f>SUMIFS(tabela_registros[VALOR],tabela_registros[MÊS],$AE$1,tabela_registros[DIA],investirrendafixaconsolidadojun[[#Headers],[29]],tabela_registros[REGISTRO],DADOS!$N$5,tabela_registros[TIPO],DADOS!$AB$3,tabela_registros[CATEGORIA],investirrendafixaconsolidadojun[[#This Row],[ATUAL]])</f>
        <v>0</v>
      </c>
      <c r="AH120" s="91">
        <f>SUMIFS(tabela_registros[VALOR],tabela_registros[MÊS],$AE$1,tabela_registros[DIA],investirrendafixaconsolidadojun[[#Headers],[30]],tabela_registros[REGISTRO],DADOS!$N$5,tabela_registros[TIPO],DADOS!$AB$3,tabela_registros[CATEGORIA],investirrendafixaconsolidadojun[[#This Row],[ATUAL]])</f>
        <v>0</v>
      </c>
      <c r="AI120" s="101">
        <f>SUMIFS(tabela_registros[VALOR],tabela_registros[MÊS],$AE$1,tabela_registros[DIA],investirrendafixaconsolidadojun[[#Headers],[31]],tabela_registros[REGISTRO],DADOS!$N$5,tabela_registros[TIPO],DADOS!$AB$3,tabela_registros[CATEGORIA],investirrendafixaconsolidadojun[[#This Row],[ATUAL]])</f>
        <v>0</v>
      </c>
      <c r="AJ120" s="97">
        <f>SUM(investirrendafixaconsolidadojun[[#This Row],[1]:[31]])</f>
        <v>0</v>
      </c>
      <c r="AK120" s="25"/>
    </row>
    <row r="121" spans="2:37" ht="19.5" customHeight="1" thickTop="1" thickBot="1" x14ac:dyDescent="0.3">
      <c r="B121" s="28"/>
      <c r="C121" s="27" t="str">
        <f>DADOS!$AD$11</f>
        <v>📝 TESOURO DIRETO</v>
      </c>
      <c r="D121" s="26" t="str">
        <f>IF(investirrendafixaconsolidadojun[[#This Row],[TOTAL (R$)]]=0,"",IF(OR(investirrendafixaconsolidadojun[[#This Row],[TOTAL (R$)]]=LARGE($AJ$113:$AJ$122,1),investirrendafixaconsolidadojun[[#This Row],[TOTAL (R$)]]=LARGE($AJ$113:$AJ$122,2)),DADOS!$I$10,""))</f>
        <v/>
      </c>
      <c r="E121" s="96">
        <f>SUMIFS(tabela_registros[VALOR],tabela_registros[MÊS],$AE$1,tabela_registros[DIA],investirrendafixaconsolidadojun[[#Headers],[1]],tabela_registros[REGISTRO],DADOS!$N$5,tabela_registros[TIPO],DADOS!$AB$3,tabela_registros[CATEGORIA],investirrendafixaconsolidadojun[[#This Row],[ATUAL]])</f>
        <v>0</v>
      </c>
      <c r="F121" s="91">
        <f>SUMIFS(tabela_registros[VALOR],tabela_registros[MÊS],$AE$1,tabela_registros[DIA],investirrendafixaconsolidadojun[[#Headers],[2]],tabela_registros[REGISTRO],DADOS!$N$5,tabela_registros[TIPO],DADOS!$AB$3,tabela_registros[CATEGORIA],investirrendafixaconsolidadojun[[#This Row],[ATUAL]])</f>
        <v>0</v>
      </c>
      <c r="G121" s="91">
        <f>SUMIFS(tabela_registros[VALOR],tabela_registros[MÊS],$AE$1,tabela_registros[DIA],investirrendafixaconsolidadojun[[#Headers],[3]],tabela_registros[REGISTRO],DADOS!$N$5,tabela_registros[TIPO],DADOS!$AB$3,tabela_registros[CATEGORIA],investirrendafixaconsolidadojun[[#This Row],[ATUAL]])</f>
        <v>0</v>
      </c>
      <c r="H121" s="91">
        <f>SUMIFS(tabela_registros[VALOR],tabela_registros[MÊS],$AE$1,tabela_registros[DIA],investirrendafixaconsolidadojun[[#Headers],[4]],tabela_registros[REGISTRO],DADOS!$N$5,tabela_registros[TIPO],DADOS!$AB$3,tabela_registros[CATEGORIA],investirrendafixaconsolidadojun[[#This Row],[ATUAL]])</f>
        <v>0</v>
      </c>
      <c r="I121" s="91">
        <f>SUMIFS(tabela_registros[VALOR],tabela_registros[MÊS],$AE$1,tabela_registros[DIA],investirrendafixaconsolidadojun[[#Headers],[5]],tabela_registros[REGISTRO],DADOS!$N$5,tabela_registros[TIPO],DADOS!$AB$3,tabela_registros[CATEGORIA],investirrendafixaconsolidadojun[[#This Row],[ATUAL]])</f>
        <v>0</v>
      </c>
      <c r="J121" s="91">
        <f>SUMIFS(tabela_registros[VALOR],tabela_registros[MÊS],$AE$1,tabela_registros[DIA],investirrendafixaconsolidadojun[[#Headers],[6]],tabela_registros[REGISTRO],DADOS!$N$5,tabela_registros[TIPO],DADOS!$AB$3,tabela_registros[CATEGORIA],investirrendafixaconsolidadojun[[#This Row],[ATUAL]])</f>
        <v>0</v>
      </c>
      <c r="K121" s="91">
        <f>SUMIFS(tabela_registros[VALOR],tabela_registros[MÊS],$AE$1,tabela_registros[DIA],investirrendafixaconsolidadojun[[#Headers],[7]],tabela_registros[REGISTRO],DADOS!$N$5,tabela_registros[TIPO],DADOS!$AB$3,tabela_registros[CATEGORIA],investirrendafixaconsolidadojun[[#This Row],[ATUAL]])</f>
        <v>0</v>
      </c>
      <c r="L121" s="91">
        <f>SUMIFS(tabela_registros[VALOR],tabela_registros[MÊS],$AE$1,tabela_registros[DIA],investirrendafixaconsolidadojun[[#Headers],[8]],tabela_registros[REGISTRO],DADOS!$N$5,tabela_registros[TIPO],DADOS!$AB$3,tabela_registros[CATEGORIA],investirrendafixaconsolidadojun[[#This Row],[ATUAL]])</f>
        <v>0</v>
      </c>
      <c r="M121" s="91">
        <f>SUMIFS(tabela_registros[VALOR],tabela_registros[MÊS],$AE$1,tabela_registros[DIA],investirrendafixaconsolidadojun[[#Headers],[9]],tabela_registros[REGISTRO],DADOS!$N$5,tabela_registros[TIPO],DADOS!$AB$3,tabela_registros[CATEGORIA],investirrendafixaconsolidadojun[[#This Row],[ATUAL]])</f>
        <v>0</v>
      </c>
      <c r="N121" s="91">
        <f>SUMIFS(tabela_registros[VALOR],tabela_registros[MÊS],$AE$1,tabela_registros[DIA],investirrendafixaconsolidadojun[[#Headers],[10]],tabela_registros[REGISTRO],DADOS!$N$5,tabela_registros[TIPO],DADOS!$AB$3,tabela_registros[CATEGORIA],investirrendafixaconsolidadojun[[#This Row],[ATUAL]])</f>
        <v>0</v>
      </c>
      <c r="O121" s="91">
        <f>SUMIFS(tabela_registros[VALOR],tabela_registros[MÊS],$AE$1,tabela_registros[DIA],investirrendafixaconsolidadojun[[#Headers],[11]],tabela_registros[REGISTRO],DADOS!$N$5,tabela_registros[TIPO],DADOS!$AB$3,tabela_registros[CATEGORIA],investirrendafixaconsolidadojun[[#This Row],[ATUAL]])</f>
        <v>0</v>
      </c>
      <c r="P121" s="91">
        <f>SUMIFS(tabela_registros[VALOR],tabela_registros[MÊS],$AE$1,tabela_registros[DIA],investirrendafixaconsolidadojun[[#Headers],[12]],tabela_registros[REGISTRO],DADOS!$N$5,tabela_registros[TIPO],DADOS!$AB$3,tabela_registros[CATEGORIA],investirrendafixaconsolidadojun[[#This Row],[ATUAL]])</f>
        <v>0</v>
      </c>
      <c r="Q121" s="91">
        <f>SUMIFS(tabela_registros[VALOR],tabela_registros[MÊS],$AE$1,tabela_registros[DIA],investirrendafixaconsolidadojun[[#Headers],[13]],tabela_registros[REGISTRO],DADOS!$N$5,tabela_registros[TIPO],DADOS!$AB$3,tabela_registros[CATEGORIA],investirrendafixaconsolidadojun[[#This Row],[ATUAL]])</f>
        <v>0</v>
      </c>
      <c r="R121" s="91">
        <f>SUMIFS(tabela_registros[VALOR],tabela_registros[MÊS],$AE$1,tabela_registros[DIA],investirrendafixaconsolidadojun[[#Headers],[14]],tabela_registros[REGISTRO],DADOS!$N$5,tabela_registros[TIPO],DADOS!$AB$3,tabela_registros[CATEGORIA],investirrendafixaconsolidadojun[[#This Row],[ATUAL]])</f>
        <v>0</v>
      </c>
      <c r="S121" s="91">
        <f>SUMIFS(tabela_registros[VALOR],tabela_registros[MÊS],$AE$1,tabela_registros[DIA],investirrendafixaconsolidadojun[[#Headers],[15]],tabela_registros[REGISTRO],DADOS!$N$5,tabela_registros[TIPO],DADOS!$AB$3,tabela_registros[CATEGORIA],investirrendafixaconsolidadojun[[#This Row],[ATUAL]])</f>
        <v>0</v>
      </c>
      <c r="T121" s="91">
        <f>SUMIFS(tabela_registros[VALOR],tabela_registros[MÊS],$AE$1,tabela_registros[DIA],investirrendafixaconsolidadojun[[#Headers],[16]],tabela_registros[REGISTRO],DADOS!$N$5,tabela_registros[TIPO],DADOS!$AB$3,tabela_registros[CATEGORIA],investirrendafixaconsolidadojun[[#This Row],[ATUAL]])</f>
        <v>0</v>
      </c>
      <c r="U121" s="91">
        <f>SUMIFS(tabela_registros[VALOR],tabela_registros[MÊS],$AE$1,tabela_registros[DIA],investirrendafixaconsolidadojun[[#Headers],[17]],tabela_registros[REGISTRO],DADOS!$N$5,tabela_registros[TIPO],DADOS!$AB$3,tabela_registros[CATEGORIA],investirrendafixaconsolidadojun[[#This Row],[ATUAL]])</f>
        <v>0</v>
      </c>
      <c r="V121" s="91">
        <f>SUMIFS(tabela_registros[VALOR],tabela_registros[MÊS],$AE$1,tabela_registros[DIA],investirrendafixaconsolidadojun[[#Headers],[18]],tabela_registros[REGISTRO],DADOS!$N$5,tabela_registros[TIPO],DADOS!$AB$3,tabela_registros[CATEGORIA],investirrendafixaconsolidadojun[[#This Row],[ATUAL]])</f>
        <v>0</v>
      </c>
      <c r="W121" s="91">
        <f>SUMIFS(tabela_registros[VALOR],tabela_registros[MÊS],$AE$1,tabela_registros[DIA],investirrendafixaconsolidadojun[[#Headers],[19]],tabela_registros[REGISTRO],DADOS!$N$5,tabela_registros[TIPO],DADOS!$AB$3,tabela_registros[CATEGORIA],investirrendafixaconsolidadojun[[#This Row],[ATUAL]])</f>
        <v>0</v>
      </c>
      <c r="X121" s="91">
        <f>SUMIFS(tabela_registros[VALOR],tabela_registros[MÊS],$AE$1,tabela_registros[DIA],investirrendafixaconsolidadojun[[#Headers],[20]],tabela_registros[REGISTRO],DADOS!$N$5,tabela_registros[TIPO],DADOS!$AB$3,tabela_registros[CATEGORIA],investirrendafixaconsolidadojun[[#This Row],[ATUAL]])</f>
        <v>0</v>
      </c>
      <c r="Y121" s="91">
        <f>SUMIFS(tabela_registros[VALOR],tabela_registros[MÊS],$AE$1,tabela_registros[DIA],investirrendafixaconsolidadojun[[#Headers],[21]],tabela_registros[REGISTRO],DADOS!$N$5,tabela_registros[TIPO],DADOS!$AB$3,tabela_registros[CATEGORIA],investirrendafixaconsolidadojun[[#This Row],[ATUAL]])</f>
        <v>0</v>
      </c>
      <c r="Z121" s="91">
        <f>SUMIFS(tabela_registros[VALOR],tabela_registros[MÊS],$AE$1,tabela_registros[DIA],investirrendafixaconsolidadojun[[#Headers],[22]],tabela_registros[REGISTRO],DADOS!$N$5,tabela_registros[TIPO],DADOS!$AB$3,tabela_registros[CATEGORIA],investirrendafixaconsolidadojun[[#This Row],[ATUAL]])</f>
        <v>0</v>
      </c>
      <c r="AA121" s="91">
        <f>SUMIFS(tabela_registros[VALOR],tabela_registros[MÊS],$AE$1,tabela_registros[DIA],investirrendafixaconsolidadojun[[#Headers],[23]],tabela_registros[REGISTRO],DADOS!$N$5,tabela_registros[TIPO],DADOS!$AB$3,tabela_registros[CATEGORIA],investirrendafixaconsolidadojun[[#This Row],[ATUAL]])</f>
        <v>0</v>
      </c>
      <c r="AB121" s="91">
        <f>SUMIFS(tabela_registros[VALOR],tabela_registros[MÊS],$AE$1,tabela_registros[DIA],investirrendafixaconsolidadojun[[#Headers],[24]],tabela_registros[REGISTRO],DADOS!$N$5,tabela_registros[TIPO],DADOS!$AB$3,tabela_registros[CATEGORIA],investirrendafixaconsolidadojun[[#This Row],[ATUAL]])</f>
        <v>0</v>
      </c>
      <c r="AC121" s="91">
        <f>SUMIFS(tabela_registros[VALOR],tabela_registros[MÊS],$AE$1,tabela_registros[DIA],investirrendafixaconsolidadojun[[#Headers],[25]],tabela_registros[REGISTRO],DADOS!$N$5,tabela_registros[TIPO],DADOS!$AB$3,tabela_registros[CATEGORIA],investirrendafixaconsolidadojun[[#This Row],[ATUAL]])</f>
        <v>0</v>
      </c>
      <c r="AD121" s="91">
        <f>SUMIFS(tabela_registros[VALOR],tabela_registros[MÊS],$AE$1,tabela_registros[DIA],investirrendafixaconsolidadojun[[#Headers],[26]],tabela_registros[REGISTRO],DADOS!$N$5,tabela_registros[TIPO],DADOS!$AB$3,tabela_registros[CATEGORIA],investirrendafixaconsolidadojun[[#This Row],[ATUAL]])</f>
        <v>0</v>
      </c>
      <c r="AE121" s="91">
        <f>SUMIFS(tabela_registros[VALOR],tabela_registros[MÊS],$AE$1,tabela_registros[DIA],investirrendafixaconsolidadojun[[#Headers],[27]],tabela_registros[REGISTRO],DADOS!$N$5,tabela_registros[TIPO],DADOS!$AB$3,tabela_registros[CATEGORIA],investirrendafixaconsolidadojun[[#This Row],[ATUAL]])</f>
        <v>0</v>
      </c>
      <c r="AF121" s="91">
        <f>SUMIFS(tabela_registros[VALOR],tabela_registros[MÊS],$AE$1,tabela_registros[DIA],investirrendafixaconsolidadojun[[#Headers],[28]],tabela_registros[REGISTRO],DADOS!$N$5,tabela_registros[TIPO],DADOS!$AB$3,tabela_registros[CATEGORIA],investirrendafixaconsolidadojun[[#This Row],[ATUAL]])</f>
        <v>0</v>
      </c>
      <c r="AG121" s="91">
        <f>SUMIFS(tabela_registros[VALOR],tabela_registros[MÊS],$AE$1,tabela_registros[DIA],investirrendafixaconsolidadojun[[#Headers],[29]],tabela_registros[REGISTRO],DADOS!$N$5,tabela_registros[TIPO],DADOS!$AB$3,tabela_registros[CATEGORIA],investirrendafixaconsolidadojun[[#This Row],[ATUAL]])</f>
        <v>0</v>
      </c>
      <c r="AH121" s="91">
        <f>SUMIFS(tabela_registros[VALOR],tabela_registros[MÊS],$AE$1,tabela_registros[DIA],investirrendafixaconsolidadojun[[#Headers],[30]],tabela_registros[REGISTRO],DADOS!$N$5,tabela_registros[TIPO],DADOS!$AB$3,tabela_registros[CATEGORIA],investirrendafixaconsolidadojun[[#This Row],[ATUAL]])</f>
        <v>0</v>
      </c>
      <c r="AI121" s="101">
        <f>SUMIFS(tabela_registros[VALOR],tabela_registros[MÊS],$AE$1,tabela_registros[DIA],investirrendafixaconsolidadojun[[#Headers],[31]],tabela_registros[REGISTRO],DADOS!$N$5,tabela_registros[TIPO],DADOS!$AB$3,tabela_registros[CATEGORIA],investirrendafixaconsolidadojun[[#This Row],[ATUAL]])</f>
        <v>0</v>
      </c>
      <c r="AJ121" s="97">
        <f>SUM(investirrendafixaconsolidadojun[[#This Row],[1]:[31]])</f>
        <v>0</v>
      </c>
      <c r="AK121" s="25"/>
    </row>
    <row r="122" spans="2:37" ht="19.5" customHeight="1" thickTop="1" thickBot="1" x14ac:dyDescent="0.3">
      <c r="B122" s="28"/>
      <c r="C122" s="27" t="str">
        <f>DADOS!$AD$12</f>
        <v>📎 OUTROS</v>
      </c>
      <c r="D122" s="26" t="str">
        <f>IF(investirrendafixaconsolidadojun[[#This Row],[TOTAL (R$)]]=0,"",IF(OR(investirrendafixaconsolidadojun[[#This Row],[TOTAL (R$)]]=LARGE($AJ$113:$AJ$122,1),investirrendafixaconsolidadojun[[#This Row],[TOTAL (R$)]]=LARGE($AJ$113:$AJ$122,2)),DADOS!$I$10,""))</f>
        <v/>
      </c>
      <c r="E122" s="96">
        <f>SUMIFS(tabela_registros[VALOR],tabela_registros[MÊS],$AE$1,tabela_registros[DIA],investirrendafixaconsolidadojun[[#Headers],[1]],tabela_registros[REGISTRO],DADOS!$N$5,tabela_registros[TIPO],DADOS!$AB$3,tabela_registros[CATEGORIA],investirrendafixaconsolidadojun[[#This Row],[ATUAL]])</f>
        <v>0</v>
      </c>
      <c r="F122" s="91">
        <f>SUMIFS(tabela_registros[VALOR],tabela_registros[MÊS],$AE$1,tabela_registros[DIA],investirrendafixaconsolidadojun[[#Headers],[2]],tabela_registros[REGISTRO],DADOS!$N$5,tabela_registros[TIPO],DADOS!$AB$3,tabela_registros[CATEGORIA],investirrendafixaconsolidadojun[[#This Row],[ATUAL]])</f>
        <v>0</v>
      </c>
      <c r="G122" s="91">
        <f>SUMIFS(tabela_registros[VALOR],tabela_registros[MÊS],$AE$1,tabela_registros[DIA],investirrendafixaconsolidadojun[[#Headers],[3]],tabela_registros[REGISTRO],DADOS!$N$5,tabela_registros[TIPO],DADOS!$AB$3,tabela_registros[CATEGORIA],investirrendafixaconsolidadojun[[#This Row],[ATUAL]])</f>
        <v>0</v>
      </c>
      <c r="H122" s="91">
        <f>SUMIFS(tabela_registros[VALOR],tabela_registros[MÊS],$AE$1,tabela_registros[DIA],investirrendafixaconsolidadojun[[#Headers],[4]],tabela_registros[REGISTRO],DADOS!$N$5,tabela_registros[TIPO],DADOS!$AB$3,tabela_registros[CATEGORIA],investirrendafixaconsolidadojun[[#This Row],[ATUAL]])</f>
        <v>0</v>
      </c>
      <c r="I122" s="91">
        <f>SUMIFS(tabela_registros[VALOR],tabela_registros[MÊS],$AE$1,tabela_registros[DIA],investirrendafixaconsolidadojun[[#Headers],[5]],tabela_registros[REGISTRO],DADOS!$N$5,tabela_registros[TIPO],DADOS!$AB$3,tabela_registros[CATEGORIA],investirrendafixaconsolidadojun[[#This Row],[ATUAL]])</f>
        <v>0</v>
      </c>
      <c r="J122" s="91">
        <f>SUMIFS(tabela_registros[VALOR],tabela_registros[MÊS],$AE$1,tabela_registros[DIA],investirrendafixaconsolidadojun[[#Headers],[6]],tabela_registros[REGISTRO],DADOS!$N$5,tabela_registros[TIPO],DADOS!$AB$3,tabela_registros[CATEGORIA],investirrendafixaconsolidadojun[[#This Row],[ATUAL]])</f>
        <v>0</v>
      </c>
      <c r="K122" s="91">
        <f>SUMIFS(tabela_registros[VALOR],tabela_registros[MÊS],$AE$1,tabela_registros[DIA],investirrendafixaconsolidadojun[[#Headers],[7]],tabela_registros[REGISTRO],DADOS!$N$5,tabela_registros[TIPO],DADOS!$AB$3,tabela_registros[CATEGORIA],investirrendafixaconsolidadojun[[#This Row],[ATUAL]])</f>
        <v>0</v>
      </c>
      <c r="L122" s="91">
        <f>SUMIFS(tabela_registros[VALOR],tabela_registros[MÊS],$AE$1,tabela_registros[DIA],investirrendafixaconsolidadojun[[#Headers],[8]],tabela_registros[REGISTRO],DADOS!$N$5,tabela_registros[TIPO],DADOS!$AB$3,tabela_registros[CATEGORIA],investirrendafixaconsolidadojun[[#This Row],[ATUAL]])</f>
        <v>0</v>
      </c>
      <c r="M122" s="91">
        <f>SUMIFS(tabela_registros[VALOR],tabela_registros[MÊS],$AE$1,tabela_registros[DIA],investirrendafixaconsolidadojun[[#Headers],[9]],tabela_registros[REGISTRO],DADOS!$N$5,tabela_registros[TIPO],DADOS!$AB$3,tabela_registros[CATEGORIA],investirrendafixaconsolidadojun[[#This Row],[ATUAL]])</f>
        <v>0</v>
      </c>
      <c r="N122" s="91">
        <f>SUMIFS(tabela_registros[VALOR],tabela_registros[MÊS],$AE$1,tabela_registros[DIA],investirrendafixaconsolidadojun[[#Headers],[10]],tabela_registros[REGISTRO],DADOS!$N$5,tabela_registros[TIPO],DADOS!$AB$3,tabela_registros[CATEGORIA],investirrendafixaconsolidadojun[[#This Row],[ATUAL]])</f>
        <v>0</v>
      </c>
      <c r="O122" s="91">
        <f>SUMIFS(tabela_registros[VALOR],tabela_registros[MÊS],$AE$1,tabela_registros[DIA],investirrendafixaconsolidadojun[[#Headers],[11]],tabela_registros[REGISTRO],DADOS!$N$5,tabela_registros[TIPO],DADOS!$AB$3,tabela_registros[CATEGORIA],investirrendafixaconsolidadojun[[#This Row],[ATUAL]])</f>
        <v>0</v>
      </c>
      <c r="P122" s="91">
        <f>SUMIFS(tabela_registros[VALOR],tabela_registros[MÊS],$AE$1,tabela_registros[DIA],investirrendafixaconsolidadojun[[#Headers],[12]],tabela_registros[REGISTRO],DADOS!$N$5,tabela_registros[TIPO],DADOS!$AB$3,tabela_registros[CATEGORIA],investirrendafixaconsolidadojun[[#This Row],[ATUAL]])</f>
        <v>0</v>
      </c>
      <c r="Q122" s="91">
        <f>SUMIFS(tabela_registros[VALOR],tabela_registros[MÊS],$AE$1,tabela_registros[DIA],investirrendafixaconsolidadojun[[#Headers],[13]],tabela_registros[REGISTRO],DADOS!$N$5,tabela_registros[TIPO],DADOS!$AB$3,tabela_registros[CATEGORIA],investirrendafixaconsolidadojun[[#This Row],[ATUAL]])</f>
        <v>0</v>
      </c>
      <c r="R122" s="91">
        <f>SUMIFS(tabela_registros[VALOR],tabela_registros[MÊS],$AE$1,tabela_registros[DIA],investirrendafixaconsolidadojun[[#Headers],[14]],tabela_registros[REGISTRO],DADOS!$N$5,tabela_registros[TIPO],DADOS!$AB$3,tabela_registros[CATEGORIA],investirrendafixaconsolidadojun[[#This Row],[ATUAL]])</f>
        <v>0</v>
      </c>
      <c r="S122" s="91">
        <f>SUMIFS(tabela_registros[VALOR],tabela_registros[MÊS],$AE$1,tabela_registros[DIA],investirrendafixaconsolidadojun[[#Headers],[15]],tabela_registros[REGISTRO],DADOS!$N$5,tabela_registros[TIPO],DADOS!$AB$3,tabela_registros[CATEGORIA],investirrendafixaconsolidadojun[[#This Row],[ATUAL]])</f>
        <v>0</v>
      </c>
      <c r="T122" s="91">
        <f>SUMIFS(tabela_registros[VALOR],tabela_registros[MÊS],$AE$1,tabela_registros[DIA],investirrendafixaconsolidadojun[[#Headers],[16]],tabela_registros[REGISTRO],DADOS!$N$5,tabela_registros[TIPO],DADOS!$AB$3,tabela_registros[CATEGORIA],investirrendafixaconsolidadojun[[#This Row],[ATUAL]])</f>
        <v>0</v>
      </c>
      <c r="U122" s="91">
        <f>SUMIFS(tabela_registros[VALOR],tabela_registros[MÊS],$AE$1,tabela_registros[DIA],investirrendafixaconsolidadojun[[#Headers],[17]],tabela_registros[REGISTRO],DADOS!$N$5,tabela_registros[TIPO],DADOS!$AB$3,tabela_registros[CATEGORIA],investirrendafixaconsolidadojun[[#This Row],[ATUAL]])</f>
        <v>0</v>
      </c>
      <c r="V122" s="91">
        <f>SUMIFS(tabela_registros[VALOR],tabela_registros[MÊS],$AE$1,tabela_registros[DIA],investirrendafixaconsolidadojun[[#Headers],[18]],tabela_registros[REGISTRO],DADOS!$N$5,tabela_registros[TIPO],DADOS!$AB$3,tabela_registros[CATEGORIA],investirrendafixaconsolidadojun[[#This Row],[ATUAL]])</f>
        <v>0</v>
      </c>
      <c r="W122" s="91">
        <f>SUMIFS(tabela_registros[VALOR],tabela_registros[MÊS],$AE$1,tabela_registros[DIA],investirrendafixaconsolidadojun[[#Headers],[19]],tabela_registros[REGISTRO],DADOS!$N$5,tabela_registros[TIPO],DADOS!$AB$3,tabela_registros[CATEGORIA],investirrendafixaconsolidadojun[[#This Row],[ATUAL]])</f>
        <v>0</v>
      </c>
      <c r="X122" s="91">
        <f>SUMIFS(tabela_registros[VALOR],tabela_registros[MÊS],$AE$1,tabela_registros[DIA],investirrendafixaconsolidadojun[[#Headers],[20]],tabela_registros[REGISTRO],DADOS!$N$5,tabela_registros[TIPO],DADOS!$AB$3,tabela_registros[CATEGORIA],investirrendafixaconsolidadojun[[#This Row],[ATUAL]])</f>
        <v>0</v>
      </c>
      <c r="Y122" s="91">
        <f>SUMIFS(tabela_registros[VALOR],tabela_registros[MÊS],$AE$1,tabela_registros[DIA],investirrendafixaconsolidadojun[[#Headers],[21]],tabela_registros[REGISTRO],DADOS!$N$5,tabela_registros[TIPO],DADOS!$AB$3,tabela_registros[CATEGORIA],investirrendafixaconsolidadojun[[#This Row],[ATUAL]])</f>
        <v>0</v>
      </c>
      <c r="Z122" s="91">
        <f>SUMIFS(tabela_registros[VALOR],tabela_registros[MÊS],$AE$1,tabela_registros[DIA],investirrendafixaconsolidadojun[[#Headers],[22]],tabela_registros[REGISTRO],DADOS!$N$5,tabela_registros[TIPO],DADOS!$AB$3,tabela_registros[CATEGORIA],investirrendafixaconsolidadojun[[#This Row],[ATUAL]])</f>
        <v>0</v>
      </c>
      <c r="AA122" s="91">
        <f>SUMIFS(tabela_registros[VALOR],tabela_registros[MÊS],$AE$1,tabela_registros[DIA],investirrendafixaconsolidadojun[[#Headers],[23]],tabela_registros[REGISTRO],DADOS!$N$5,tabela_registros[TIPO],DADOS!$AB$3,tabela_registros[CATEGORIA],investirrendafixaconsolidadojun[[#This Row],[ATUAL]])</f>
        <v>0</v>
      </c>
      <c r="AB122" s="91">
        <f>SUMIFS(tabela_registros[VALOR],tabela_registros[MÊS],$AE$1,tabela_registros[DIA],investirrendafixaconsolidadojun[[#Headers],[24]],tabela_registros[REGISTRO],DADOS!$N$5,tabela_registros[TIPO],DADOS!$AB$3,tabela_registros[CATEGORIA],investirrendafixaconsolidadojun[[#This Row],[ATUAL]])</f>
        <v>0</v>
      </c>
      <c r="AC122" s="91">
        <f>SUMIFS(tabela_registros[VALOR],tabela_registros[MÊS],$AE$1,tabela_registros[DIA],investirrendafixaconsolidadojun[[#Headers],[25]],tabela_registros[REGISTRO],DADOS!$N$5,tabela_registros[TIPO],DADOS!$AB$3,tabela_registros[CATEGORIA],investirrendafixaconsolidadojun[[#This Row],[ATUAL]])</f>
        <v>0</v>
      </c>
      <c r="AD122" s="91">
        <f>SUMIFS(tabela_registros[VALOR],tabela_registros[MÊS],$AE$1,tabela_registros[DIA],investirrendafixaconsolidadojun[[#Headers],[26]],tabela_registros[REGISTRO],DADOS!$N$5,tabela_registros[TIPO],DADOS!$AB$3,tabela_registros[CATEGORIA],investirrendafixaconsolidadojun[[#This Row],[ATUAL]])</f>
        <v>0</v>
      </c>
      <c r="AE122" s="91">
        <f>SUMIFS(tabela_registros[VALOR],tabela_registros[MÊS],$AE$1,tabela_registros[DIA],investirrendafixaconsolidadojun[[#Headers],[27]],tabela_registros[REGISTRO],DADOS!$N$5,tabela_registros[TIPO],DADOS!$AB$3,tabela_registros[CATEGORIA],investirrendafixaconsolidadojun[[#This Row],[ATUAL]])</f>
        <v>0</v>
      </c>
      <c r="AF122" s="91">
        <f>SUMIFS(tabela_registros[VALOR],tabela_registros[MÊS],$AE$1,tabela_registros[DIA],investirrendafixaconsolidadojun[[#Headers],[28]],tabela_registros[REGISTRO],DADOS!$N$5,tabela_registros[TIPO],DADOS!$AB$3,tabela_registros[CATEGORIA],investirrendafixaconsolidadojun[[#This Row],[ATUAL]])</f>
        <v>0</v>
      </c>
      <c r="AG122" s="91">
        <f>SUMIFS(tabela_registros[VALOR],tabela_registros[MÊS],$AE$1,tabela_registros[DIA],investirrendafixaconsolidadojun[[#Headers],[29]],tabela_registros[REGISTRO],DADOS!$N$5,tabela_registros[TIPO],DADOS!$AB$3,tabela_registros[CATEGORIA],investirrendafixaconsolidadojun[[#This Row],[ATUAL]])</f>
        <v>0</v>
      </c>
      <c r="AH122" s="91">
        <f>SUMIFS(tabela_registros[VALOR],tabela_registros[MÊS],$AE$1,tabela_registros[DIA],investirrendafixaconsolidadojun[[#Headers],[30]],tabela_registros[REGISTRO],DADOS!$N$5,tabela_registros[TIPO],DADOS!$AB$3,tabela_registros[CATEGORIA],investirrendafixaconsolidadojun[[#This Row],[ATUAL]])</f>
        <v>0</v>
      </c>
      <c r="AI122" s="102">
        <f>SUMIFS(tabela_registros[VALOR],tabela_registros[MÊS],$AE$1,tabela_registros[DIA],investirrendafixaconsolidadojun[[#Headers],[31]],tabela_registros[REGISTRO],DADOS!$N$5,tabela_registros[TIPO],DADOS!$AB$3,tabela_registros[CATEGORIA],investirrendafixaconsolidadojun[[#This Row],[ATUAL]])</f>
        <v>0</v>
      </c>
      <c r="AJ122" s="97">
        <f>SUM(investirrendafixaconsolidadojun[[#This Row],[1]:[31]])</f>
        <v>0</v>
      </c>
      <c r="AK122" s="25"/>
    </row>
    <row r="123" spans="2:37" s="16" customFormat="1" ht="21" customHeight="1" thickTop="1" thickBot="1" x14ac:dyDescent="0.35">
      <c r="B123" s="24"/>
      <c r="C123" s="23" t="s">
        <v>19</v>
      </c>
      <c r="D123" s="22"/>
      <c r="E123" s="21">
        <f>SUM(E113:E122)</f>
        <v>0</v>
      </c>
      <c r="F123" s="20">
        <f>SUM(F113:F122)+investirrendafixaconsolidadojun[[#This Row],[1]]</f>
        <v>0</v>
      </c>
      <c r="G123" s="20">
        <f>SUM(G113:G122)+investirrendafixaconsolidadojun[[#This Row],[2]]</f>
        <v>0</v>
      </c>
      <c r="H123" s="20">
        <f>SUM(H113:H122)+investirrendafixaconsolidadojun[[#This Row],[3]]</f>
        <v>0</v>
      </c>
      <c r="I123" s="20">
        <f>SUM(I113:I122)+investirrendafixaconsolidadojun[[#This Row],[4]]</f>
        <v>0</v>
      </c>
      <c r="J123" s="20">
        <f>SUM(J113:J122)+investirrendafixaconsolidadojun[[#This Row],[5]]</f>
        <v>0</v>
      </c>
      <c r="K123" s="20">
        <f>SUM(K113:K122)+investirrendafixaconsolidadojun[[#This Row],[6]]</f>
        <v>0</v>
      </c>
      <c r="L123" s="20">
        <f>SUM(L113:L122)+investirrendafixaconsolidadojun[[#This Row],[7]]</f>
        <v>0</v>
      </c>
      <c r="M123" s="20">
        <f>SUM(M113:M122)+investirrendafixaconsolidadojun[[#This Row],[8]]</f>
        <v>0</v>
      </c>
      <c r="N123" s="20">
        <f>SUM(N113:N122)+investirrendafixaconsolidadojun[[#This Row],[9]]</f>
        <v>0</v>
      </c>
      <c r="O123" s="20">
        <f>SUM(O113:O122)+investirrendafixaconsolidadojun[[#This Row],[10]]</f>
        <v>0</v>
      </c>
      <c r="P123" s="20">
        <f>SUM(P113:P122)+investirrendafixaconsolidadojun[[#This Row],[11]]</f>
        <v>0</v>
      </c>
      <c r="Q123" s="20">
        <f>SUM(Q113:Q122)+investirrendafixaconsolidadojun[[#This Row],[12]]</f>
        <v>0</v>
      </c>
      <c r="R123" s="20">
        <f>SUM(R113:R122)+investirrendafixaconsolidadojun[[#This Row],[13]]</f>
        <v>0</v>
      </c>
      <c r="S123" s="20">
        <f>SUM(S113:S122)+investirrendafixaconsolidadojun[[#This Row],[14]]</f>
        <v>0</v>
      </c>
      <c r="T123" s="20">
        <f>SUM(T113:T122)+investirrendafixaconsolidadojun[[#This Row],[15]]</f>
        <v>0</v>
      </c>
      <c r="U123" s="20">
        <f>SUM(U113:U122)+investirrendafixaconsolidadojun[[#This Row],[16]]</f>
        <v>0</v>
      </c>
      <c r="V123" s="20">
        <f>SUM(V113:V122)+investirrendafixaconsolidadojun[[#This Row],[17]]</f>
        <v>0</v>
      </c>
      <c r="W123" s="20">
        <f>SUM(W113:W122)+investirrendafixaconsolidadojun[[#This Row],[18]]</f>
        <v>0</v>
      </c>
      <c r="X123" s="20">
        <f>SUM(X113:X122)+investirrendafixaconsolidadojun[[#This Row],[19]]</f>
        <v>0</v>
      </c>
      <c r="Y123" s="20">
        <f>SUM(Y113:Y122)+investirrendafixaconsolidadojun[[#This Row],[20]]</f>
        <v>0</v>
      </c>
      <c r="Z123" s="20">
        <f>SUM(Z113:Z122)+investirrendafixaconsolidadojun[[#This Row],[21]]</f>
        <v>0</v>
      </c>
      <c r="AA123" s="20">
        <f>SUM(AA113:AA122)+investirrendafixaconsolidadojun[[#This Row],[22]]</f>
        <v>0</v>
      </c>
      <c r="AB123" s="20">
        <f>SUM(AB113:AB122)+investirrendafixaconsolidadojun[[#This Row],[23]]</f>
        <v>0</v>
      </c>
      <c r="AC123" s="20">
        <f>SUM(AC113:AC122)+investirrendafixaconsolidadojun[[#This Row],[24]]</f>
        <v>0</v>
      </c>
      <c r="AD123" s="20">
        <f>SUM(AD113:AD122)+investirrendafixaconsolidadojun[[#This Row],[25]]</f>
        <v>0</v>
      </c>
      <c r="AE123" s="20">
        <f>SUM(AE113:AE122)+investirrendafixaconsolidadojun[[#This Row],[26]]</f>
        <v>0</v>
      </c>
      <c r="AF123" s="20">
        <f>SUM(AF113:AF122)+investirrendafixaconsolidadojun[[#This Row],[27]]</f>
        <v>0</v>
      </c>
      <c r="AG123" s="20">
        <f>SUM(AG113:AG122)+investirrendafixaconsolidadojun[[#This Row],[28]]</f>
        <v>0</v>
      </c>
      <c r="AH123" s="20">
        <f>SUM(AH113:AH122)+investirrendafixaconsolidadojun[[#This Row],[29]]</f>
        <v>0</v>
      </c>
      <c r="AI123" s="19">
        <f>SUM(AI113:AI122)+investirrendafixaconsolidadojun[[#This Row],[30]]</f>
        <v>0</v>
      </c>
      <c r="AJ123" s="18">
        <f>investirrendafixaconsolidadojun[[#This Row],[31]]</f>
        <v>0</v>
      </c>
      <c r="AK123" s="17"/>
    </row>
    <row r="124" spans="2:37" ht="6.75" customHeight="1" thickTop="1" thickBot="1" x14ac:dyDescent="0.3">
      <c r="B124" s="15"/>
      <c r="C124" s="14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  <c r="AI124" s="12"/>
      <c r="AJ124" s="11"/>
      <c r="AK124" s="10"/>
    </row>
    <row r="125" spans="2:37" ht="12.6" thickTop="1" x14ac:dyDescent="0.25">
      <c r="E125" s="37"/>
      <c r="AI125" s="4"/>
    </row>
    <row r="126" spans="2:37" x14ac:dyDescent="0.25">
      <c r="AI126" s="4"/>
    </row>
    <row r="127" spans="2:37" x14ac:dyDescent="0.25">
      <c r="AI127" s="4"/>
    </row>
    <row r="128" spans="2:37" ht="39.75" customHeight="1" x14ac:dyDescent="0.7">
      <c r="C128" s="36"/>
      <c r="E128" s="240"/>
      <c r="F128" s="240"/>
      <c r="G128" s="240"/>
      <c r="H128" s="240"/>
      <c r="I128" s="240"/>
      <c r="J128" s="240"/>
      <c r="K128" s="240"/>
      <c r="L128" s="240"/>
      <c r="M128" s="240"/>
      <c r="N128" s="240"/>
      <c r="O128" s="240"/>
      <c r="P128" s="240"/>
      <c r="Q128" s="240"/>
      <c r="R128" s="240"/>
      <c r="S128" s="240"/>
      <c r="T128" s="240"/>
      <c r="U128" s="240"/>
      <c r="V128" s="240"/>
      <c r="W128" s="240"/>
      <c r="X128" s="240"/>
      <c r="Y128" s="240"/>
      <c r="Z128" s="240"/>
      <c r="AA128" s="240"/>
      <c r="AB128" s="240"/>
      <c r="AC128" s="240"/>
      <c r="AD128" s="240"/>
      <c r="AE128" s="240"/>
      <c r="AF128" s="240"/>
      <c r="AG128" s="240"/>
      <c r="AH128" s="240"/>
      <c r="AI128" s="240"/>
      <c r="AJ128" s="32" t="s">
        <v>19</v>
      </c>
    </row>
    <row r="129" spans="2:37" ht="12.6" thickBot="1" x14ac:dyDescent="0.3">
      <c r="B129" s="35"/>
      <c r="AI129" s="4"/>
      <c r="AJ129" s="34" t="s">
        <v>202</v>
      </c>
    </row>
    <row r="130" spans="2:37" ht="6.75" customHeight="1" thickTop="1" thickBot="1" x14ac:dyDescent="0.3">
      <c r="B130" s="2"/>
      <c r="C130" s="14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  <c r="AA130" s="13"/>
      <c r="AB130" s="13"/>
      <c r="AC130" s="13"/>
      <c r="AD130" s="13"/>
      <c r="AE130" s="13"/>
      <c r="AF130" s="13"/>
      <c r="AG130" s="13"/>
      <c r="AH130" s="13"/>
      <c r="AI130" s="13"/>
      <c r="AJ130" s="12"/>
      <c r="AK130" s="33"/>
    </row>
    <row r="131" spans="2:37" ht="13.2" hidden="1" thickTop="1" thickBot="1" x14ac:dyDescent="0.3">
      <c r="B131" s="2"/>
      <c r="C131" s="31" t="s">
        <v>199</v>
      </c>
      <c r="D131" s="30" t="s">
        <v>198</v>
      </c>
      <c r="E131" s="30" t="s">
        <v>197</v>
      </c>
      <c r="F131" s="30" t="s">
        <v>196</v>
      </c>
      <c r="G131" s="30" t="s">
        <v>195</v>
      </c>
      <c r="H131" s="30" t="s">
        <v>194</v>
      </c>
      <c r="I131" s="30" t="s">
        <v>193</v>
      </c>
      <c r="J131" s="30" t="s">
        <v>192</v>
      </c>
      <c r="K131" s="30" t="s">
        <v>191</v>
      </c>
      <c r="L131" s="30" t="s">
        <v>190</v>
      </c>
      <c r="M131" s="30" t="s">
        <v>189</v>
      </c>
      <c r="N131" s="30" t="s">
        <v>188</v>
      </c>
      <c r="O131" s="30" t="s">
        <v>187</v>
      </c>
      <c r="P131" s="30" t="s">
        <v>186</v>
      </c>
      <c r="Q131" s="30" t="s">
        <v>185</v>
      </c>
      <c r="R131" s="30" t="s">
        <v>184</v>
      </c>
      <c r="S131" s="30" t="s">
        <v>183</v>
      </c>
      <c r="T131" s="30" t="s">
        <v>182</v>
      </c>
      <c r="U131" s="30" t="s">
        <v>181</v>
      </c>
      <c r="V131" s="30" t="s">
        <v>180</v>
      </c>
      <c r="W131" s="30" t="s">
        <v>179</v>
      </c>
      <c r="X131" s="30" t="s">
        <v>178</v>
      </c>
      <c r="Y131" s="30" t="s">
        <v>177</v>
      </c>
      <c r="Z131" s="30" t="s">
        <v>176</v>
      </c>
      <c r="AA131" s="30" t="s">
        <v>175</v>
      </c>
      <c r="AB131" s="30" t="s">
        <v>174</v>
      </c>
      <c r="AC131" s="30" t="s">
        <v>173</v>
      </c>
      <c r="AD131" s="30" t="s">
        <v>172</v>
      </c>
      <c r="AE131" s="30" t="s">
        <v>171</v>
      </c>
      <c r="AF131" s="30" t="s">
        <v>170</v>
      </c>
      <c r="AG131" s="30" t="s">
        <v>169</v>
      </c>
      <c r="AH131" s="30" t="s">
        <v>168</v>
      </c>
      <c r="AI131" s="30" t="s">
        <v>167</v>
      </c>
      <c r="AJ131" s="29" t="s">
        <v>166</v>
      </c>
      <c r="AK131" s="2"/>
    </row>
    <row r="132" spans="2:37" ht="19.5" customHeight="1" thickTop="1" thickBot="1" x14ac:dyDescent="0.3">
      <c r="B132" s="28"/>
      <c r="C132" s="27" t="str">
        <f>DADOS!$AF$3</f>
        <v>📝 AÇÃO</v>
      </c>
      <c r="D132" s="26" t="str">
        <f>IF(investirrendavariávelconsolidadojun[[#This Row],[TOTAL (R$)]]=0,"",IF(OR(investirrendavariávelconsolidadojun[[#This Row],[TOTAL (R$)]]=LARGE($AJ$132:$AJ$141,1),investirrendavariávelconsolidadojun[[#This Row],[TOTAL (R$)]]=LARGE($AJ$132:$AJ$141,2)),DADOS!$I$10,""))</f>
        <v/>
      </c>
      <c r="E132" s="96">
        <f>SUMIFS(tabela_registros[VALOR],tabela_registros[MÊS],$AE$1,tabela_registros[DIA],investirrendavariávelconsolidadojun[[#Headers],[1]],tabela_registros[REGISTRO],DADOS!$N$5,tabela_registros[TIPO],DADOS!$AB$4,tabela_registros[CATEGORIA],investirrendavariávelconsolidadojun[[#This Row],[ATUAL]])</f>
        <v>0</v>
      </c>
      <c r="F132" s="91">
        <f>SUMIFS(tabela_registros[VALOR],tabela_registros[MÊS],$AE$1,tabela_registros[DIA],investirrendavariávelconsolidadojun[[#Headers],[2]],tabela_registros[REGISTRO],DADOS!$N$5,tabela_registros[TIPO],DADOS!$AB$4,tabela_registros[CATEGORIA],investirrendavariávelconsolidadojun[[#This Row],[ATUAL]])</f>
        <v>0</v>
      </c>
      <c r="G132" s="91">
        <f>SUMIFS(tabela_registros[VALOR],tabela_registros[MÊS],$AE$1,tabela_registros[DIA],investirrendavariávelconsolidadojun[[#Headers],[3]],tabela_registros[REGISTRO],DADOS!$N$5,tabela_registros[TIPO],DADOS!$AB$4,tabela_registros[CATEGORIA],investirrendavariávelconsolidadojun[[#This Row],[ATUAL]])</f>
        <v>0</v>
      </c>
      <c r="H132" s="91">
        <f>SUMIFS(tabela_registros[VALOR],tabela_registros[MÊS],$AE$1,tabela_registros[DIA],investirrendavariávelconsolidadojun[[#Headers],[4]],tabela_registros[REGISTRO],DADOS!$N$5,tabela_registros[TIPO],DADOS!$AB$4,tabela_registros[CATEGORIA],investirrendavariávelconsolidadojun[[#This Row],[ATUAL]])</f>
        <v>0</v>
      </c>
      <c r="I132" s="91">
        <f>SUMIFS(tabela_registros[VALOR],tabela_registros[MÊS],$AE$1,tabela_registros[DIA],investirrendavariávelconsolidadojun[[#Headers],[5]],tabela_registros[REGISTRO],DADOS!$N$5,tabela_registros[TIPO],DADOS!$AB$4,tabela_registros[CATEGORIA],investirrendavariávelconsolidadojun[[#This Row],[ATUAL]])</f>
        <v>0</v>
      </c>
      <c r="J132" s="91">
        <f>SUMIFS(tabela_registros[VALOR],tabela_registros[MÊS],$AE$1,tabela_registros[DIA],investirrendavariávelconsolidadojun[[#Headers],[6]],tabela_registros[REGISTRO],DADOS!$N$5,tabela_registros[TIPO],DADOS!$AB$4,tabela_registros[CATEGORIA],investirrendavariávelconsolidadojun[[#This Row],[ATUAL]])</f>
        <v>0</v>
      </c>
      <c r="K132" s="91">
        <f>SUMIFS(tabela_registros[VALOR],tabela_registros[MÊS],$AE$1,tabela_registros[DIA],investirrendavariávelconsolidadojun[[#Headers],[7]],tabela_registros[REGISTRO],DADOS!$N$5,tabela_registros[TIPO],DADOS!$AB$4,tabela_registros[CATEGORIA],investirrendavariávelconsolidadojun[[#This Row],[ATUAL]])</f>
        <v>0</v>
      </c>
      <c r="L132" s="91">
        <f>SUMIFS(tabela_registros[VALOR],tabela_registros[MÊS],$AE$1,tabela_registros[DIA],investirrendavariávelconsolidadojun[[#Headers],[8]],tabela_registros[REGISTRO],DADOS!$N$5,tabela_registros[TIPO],DADOS!$AB$4,tabela_registros[CATEGORIA],investirrendavariávelconsolidadojun[[#This Row],[ATUAL]])</f>
        <v>0</v>
      </c>
      <c r="M132" s="91">
        <f>SUMIFS(tabela_registros[VALOR],tabela_registros[MÊS],$AE$1,tabela_registros[DIA],investirrendavariávelconsolidadojun[[#Headers],[9]],tabela_registros[REGISTRO],DADOS!$N$5,tabela_registros[TIPO],DADOS!$AB$4,tabela_registros[CATEGORIA],investirrendavariávelconsolidadojun[[#This Row],[ATUAL]])</f>
        <v>0</v>
      </c>
      <c r="N132" s="91">
        <f>SUMIFS(tabela_registros[VALOR],tabela_registros[MÊS],$AE$1,tabela_registros[DIA],investirrendavariávelconsolidadojun[[#Headers],[10]],tabela_registros[REGISTRO],DADOS!$N$5,tabela_registros[TIPO],DADOS!$AB$4,tabela_registros[CATEGORIA],investirrendavariávelconsolidadojun[[#This Row],[ATUAL]])</f>
        <v>0</v>
      </c>
      <c r="O132" s="91">
        <f>SUMIFS(tabela_registros[VALOR],tabela_registros[MÊS],$AE$1,tabela_registros[DIA],investirrendavariávelconsolidadojun[[#Headers],[11]],tabela_registros[REGISTRO],DADOS!$N$5,tabela_registros[TIPO],DADOS!$AB$4,tabela_registros[CATEGORIA],investirrendavariávelconsolidadojun[[#This Row],[ATUAL]])</f>
        <v>0</v>
      </c>
      <c r="P132" s="91">
        <f>SUMIFS(tabela_registros[VALOR],tabela_registros[MÊS],$AE$1,tabela_registros[DIA],investirrendavariávelconsolidadojun[[#Headers],[12]],tabela_registros[REGISTRO],DADOS!$N$5,tabela_registros[TIPO],DADOS!$AB$4,tabela_registros[CATEGORIA],investirrendavariávelconsolidadojun[[#This Row],[ATUAL]])</f>
        <v>0</v>
      </c>
      <c r="Q132" s="91">
        <f>SUMIFS(tabela_registros[VALOR],tabela_registros[MÊS],$AE$1,tabela_registros[DIA],investirrendavariávelconsolidadojun[[#Headers],[13]],tabela_registros[REGISTRO],DADOS!$N$5,tabela_registros[TIPO],DADOS!$AB$4,tabela_registros[CATEGORIA],investirrendavariávelconsolidadojun[[#This Row],[ATUAL]])</f>
        <v>0</v>
      </c>
      <c r="R132" s="91">
        <f>SUMIFS(tabela_registros[VALOR],tabela_registros[MÊS],$AE$1,tabela_registros[DIA],investirrendavariávelconsolidadojun[[#Headers],[14]],tabela_registros[REGISTRO],DADOS!$N$5,tabela_registros[TIPO],DADOS!$AB$4,tabela_registros[CATEGORIA],investirrendavariávelconsolidadojun[[#This Row],[ATUAL]])</f>
        <v>0</v>
      </c>
      <c r="S132" s="91">
        <f>SUMIFS(tabela_registros[VALOR],tabela_registros[MÊS],$AE$1,tabela_registros[DIA],investirrendavariávelconsolidadojun[[#Headers],[15]],tabela_registros[REGISTRO],DADOS!$N$5,tabela_registros[TIPO],DADOS!$AB$4,tabela_registros[CATEGORIA],investirrendavariávelconsolidadojun[[#This Row],[ATUAL]])</f>
        <v>0</v>
      </c>
      <c r="T132" s="91">
        <f>SUMIFS(tabela_registros[VALOR],tabela_registros[MÊS],$AE$1,tabela_registros[DIA],investirrendavariávelconsolidadojun[[#Headers],[16]],tabela_registros[REGISTRO],DADOS!$N$5,tabela_registros[TIPO],DADOS!$AB$4,tabela_registros[CATEGORIA],investirrendavariávelconsolidadojun[[#This Row],[ATUAL]])</f>
        <v>0</v>
      </c>
      <c r="U132" s="91">
        <f>SUMIFS(tabela_registros[VALOR],tabela_registros[MÊS],$AE$1,tabela_registros[DIA],investirrendavariávelconsolidadojun[[#Headers],[17]],tabela_registros[REGISTRO],DADOS!$N$5,tabela_registros[TIPO],DADOS!$AB$4,tabela_registros[CATEGORIA],investirrendavariávelconsolidadojun[[#This Row],[ATUAL]])</f>
        <v>0</v>
      </c>
      <c r="V132" s="91">
        <f>SUMIFS(tabela_registros[VALOR],tabela_registros[MÊS],$AE$1,tabela_registros[DIA],investirrendavariávelconsolidadojun[[#Headers],[18]],tabela_registros[REGISTRO],DADOS!$N$5,tabela_registros[TIPO],DADOS!$AB$4,tabela_registros[CATEGORIA],investirrendavariávelconsolidadojun[[#This Row],[ATUAL]])</f>
        <v>0</v>
      </c>
      <c r="W132" s="91">
        <f>SUMIFS(tabela_registros[VALOR],tabela_registros[MÊS],$AE$1,tabela_registros[DIA],investirrendavariávelconsolidadojun[[#Headers],[19]],tabela_registros[REGISTRO],DADOS!$N$5,tabela_registros[TIPO],DADOS!$AB$4,tabela_registros[CATEGORIA],investirrendavariávelconsolidadojun[[#This Row],[ATUAL]])</f>
        <v>0</v>
      </c>
      <c r="X132" s="91">
        <f>SUMIFS(tabela_registros[VALOR],tabela_registros[MÊS],$AE$1,tabela_registros[DIA],investirrendavariávelconsolidadojun[[#Headers],[20]],tabela_registros[REGISTRO],DADOS!$N$5,tabela_registros[TIPO],DADOS!$AB$4,tabela_registros[CATEGORIA],investirrendavariávelconsolidadojun[[#This Row],[ATUAL]])</f>
        <v>0</v>
      </c>
      <c r="Y132" s="91">
        <f>SUMIFS(tabela_registros[VALOR],tabela_registros[MÊS],$AE$1,tabela_registros[DIA],investirrendavariávelconsolidadojun[[#Headers],[21]],tabela_registros[REGISTRO],DADOS!$N$5,tabela_registros[TIPO],DADOS!$AB$4,tabela_registros[CATEGORIA],investirrendavariávelconsolidadojun[[#This Row],[ATUAL]])</f>
        <v>0</v>
      </c>
      <c r="Z132" s="91">
        <f>SUMIFS(tabela_registros[VALOR],tabela_registros[MÊS],$AE$1,tabela_registros[DIA],investirrendavariávelconsolidadojun[[#Headers],[22]],tabela_registros[REGISTRO],DADOS!$N$5,tabela_registros[TIPO],DADOS!$AB$4,tabela_registros[CATEGORIA],investirrendavariávelconsolidadojun[[#This Row],[ATUAL]])</f>
        <v>0</v>
      </c>
      <c r="AA132" s="91">
        <f>SUMIFS(tabela_registros[VALOR],tabela_registros[MÊS],$AE$1,tabela_registros[DIA],investirrendavariávelconsolidadojun[[#Headers],[23]],tabela_registros[REGISTRO],DADOS!$N$5,tabela_registros[TIPO],DADOS!$AB$4,tabela_registros[CATEGORIA],investirrendavariávelconsolidadojun[[#This Row],[ATUAL]])</f>
        <v>0</v>
      </c>
      <c r="AB132" s="91">
        <f>SUMIFS(tabela_registros[VALOR],tabela_registros[MÊS],$AE$1,tabela_registros[DIA],investirrendavariávelconsolidadojun[[#Headers],[24]],tabela_registros[REGISTRO],DADOS!$N$5,tabela_registros[TIPO],DADOS!$AB$4,tabela_registros[CATEGORIA],investirrendavariávelconsolidadojun[[#This Row],[ATUAL]])</f>
        <v>0</v>
      </c>
      <c r="AC132" s="91">
        <f>SUMIFS(tabela_registros[VALOR],tabela_registros[MÊS],$AE$1,tabela_registros[DIA],investirrendavariávelconsolidadojun[[#Headers],[25]],tabela_registros[REGISTRO],DADOS!$N$5,tabela_registros[TIPO],DADOS!$AB$4,tabela_registros[CATEGORIA],investirrendavariávelconsolidadojun[[#This Row],[ATUAL]])</f>
        <v>0</v>
      </c>
      <c r="AD132" s="91">
        <f>SUMIFS(tabela_registros[VALOR],tabela_registros[MÊS],$AE$1,tabela_registros[DIA],investirrendavariávelconsolidadojun[[#Headers],[26]],tabela_registros[REGISTRO],DADOS!$N$5,tabela_registros[TIPO],DADOS!$AB$4,tabela_registros[CATEGORIA],investirrendavariávelconsolidadojun[[#This Row],[ATUAL]])</f>
        <v>0</v>
      </c>
      <c r="AE132" s="91">
        <f>SUMIFS(tabela_registros[VALOR],tabela_registros[MÊS],$AE$1,tabela_registros[DIA],investirrendavariávelconsolidadojun[[#Headers],[27]],tabela_registros[REGISTRO],DADOS!$N$5,tabela_registros[TIPO],DADOS!$AB$4,tabela_registros[CATEGORIA],investirrendavariávelconsolidadojun[[#This Row],[ATUAL]])</f>
        <v>0</v>
      </c>
      <c r="AF132" s="91">
        <f>SUMIFS(tabela_registros[VALOR],tabela_registros[MÊS],$AE$1,tabela_registros[DIA],investirrendavariávelconsolidadojun[[#Headers],[28]],tabela_registros[REGISTRO],DADOS!$N$5,tabela_registros[TIPO],DADOS!$AB$4,tabela_registros[CATEGORIA],investirrendavariávelconsolidadojun[[#This Row],[ATUAL]])</f>
        <v>0</v>
      </c>
      <c r="AG132" s="91">
        <f>SUMIFS(tabela_registros[VALOR],tabela_registros[MÊS],$AE$1,tabela_registros[DIA],investirrendavariávelconsolidadojun[[#Headers],[29]],tabela_registros[REGISTRO],DADOS!$N$5,tabela_registros[TIPO],DADOS!$AB$4,tabela_registros[CATEGORIA],investirrendavariávelconsolidadojun[[#This Row],[ATUAL]])</f>
        <v>0</v>
      </c>
      <c r="AH132" s="91">
        <f>SUMIFS(tabela_registros[VALOR],tabela_registros[MÊS],$AE$1,tabela_registros[DIA],investirrendavariávelconsolidadojun[[#Headers],[30]],tabela_registros[REGISTRO],DADOS!$N$5,tabela_registros[TIPO],DADOS!$AB$4,tabela_registros[CATEGORIA],investirrendavariávelconsolidadojun[[#This Row],[ATUAL]])</f>
        <v>0</v>
      </c>
      <c r="AI132" s="101">
        <f>SUMIFS(tabela_registros[VALOR],tabela_registros[MÊS],$AE$1,tabela_registros[DIA],investirrendavariávelconsolidadojun[[#Headers],[31]],tabela_registros[REGISTRO],DADOS!$N$5,tabela_registros[TIPO],DADOS!$AB$4,tabela_registros[CATEGORIA],investirrendavariávelconsolidadojun[[#This Row],[ATUAL]])</f>
        <v>0</v>
      </c>
      <c r="AJ132" s="97">
        <f>SUM(investirrendavariávelconsolidadojun[[#This Row],[1]:[31]])</f>
        <v>0</v>
      </c>
      <c r="AK132" s="25"/>
    </row>
    <row r="133" spans="2:37" ht="19.5" customHeight="1" thickTop="1" thickBot="1" x14ac:dyDescent="0.3">
      <c r="B133" s="28"/>
      <c r="C133" s="27" t="str">
        <f>DADOS!$AF$4</f>
        <v>📝 COMÓDITE</v>
      </c>
      <c r="D133" s="26" t="str">
        <f>IF(investirrendavariávelconsolidadojun[[#This Row],[TOTAL (R$)]]=0,"",IF(OR(investirrendavariávelconsolidadojun[[#This Row],[TOTAL (R$)]]=LARGE($AJ$132:$AJ$141,1),investirrendavariávelconsolidadojun[[#This Row],[TOTAL (R$)]]=LARGE($AJ$132:$AJ$141,2)),DADOS!$I$10,""))</f>
        <v/>
      </c>
      <c r="E133" s="96">
        <f>SUMIFS(tabela_registros[VALOR],tabela_registros[MÊS],$AE$1,tabela_registros[DIA],investirrendavariávelconsolidadojun[[#Headers],[1]],tabela_registros[REGISTRO],DADOS!$N$5,tabela_registros[TIPO],DADOS!$AB$4,tabela_registros[CATEGORIA],investirrendavariávelconsolidadojun[[#This Row],[ATUAL]])</f>
        <v>0</v>
      </c>
      <c r="F133" s="91">
        <f>SUMIFS(tabela_registros[VALOR],tabela_registros[MÊS],$AE$1,tabela_registros[DIA],investirrendavariávelconsolidadojun[[#Headers],[2]],tabela_registros[REGISTRO],DADOS!$N$5,tabela_registros[TIPO],DADOS!$AB$4,tabela_registros[CATEGORIA],investirrendavariávelconsolidadojun[[#This Row],[ATUAL]])</f>
        <v>0</v>
      </c>
      <c r="G133" s="91">
        <f>SUMIFS(tabela_registros[VALOR],tabela_registros[MÊS],$AE$1,tabela_registros[DIA],investirrendavariávelconsolidadojun[[#Headers],[3]],tabela_registros[REGISTRO],DADOS!$N$5,tabela_registros[TIPO],DADOS!$AB$4,tabela_registros[CATEGORIA],investirrendavariávelconsolidadojun[[#This Row],[ATUAL]])</f>
        <v>0</v>
      </c>
      <c r="H133" s="91">
        <f>SUMIFS(tabela_registros[VALOR],tabela_registros[MÊS],$AE$1,tabela_registros[DIA],investirrendavariávelconsolidadojun[[#Headers],[4]],tabela_registros[REGISTRO],DADOS!$N$5,tabela_registros[TIPO],DADOS!$AB$4,tabela_registros[CATEGORIA],investirrendavariávelconsolidadojun[[#This Row],[ATUAL]])</f>
        <v>0</v>
      </c>
      <c r="I133" s="91">
        <f>SUMIFS(tabela_registros[VALOR],tabela_registros[MÊS],$AE$1,tabela_registros[DIA],investirrendavariávelconsolidadojun[[#Headers],[5]],tabela_registros[REGISTRO],DADOS!$N$5,tabela_registros[TIPO],DADOS!$AB$4,tabela_registros[CATEGORIA],investirrendavariávelconsolidadojun[[#This Row],[ATUAL]])</f>
        <v>0</v>
      </c>
      <c r="J133" s="91">
        <f>SUMIFS(tabela_registros[VALOR],tabela_registros[MÊS],$AE$1,tabela_registros[DIA],investirrendavariávelconsolidadojun[[#Headers],[6]],tabela_registros[REGISTRO],DADOS!$N$5,tabela_registros[TIPO],DADOS!$AB$4,tabela_registros[CATEGORIA],investirrendavariávelconsolidadojun[[#This Row],[ATUAL]])</f>
        <v>0</v>
      </c>
      <c r="K133" s="91">
        <f>SUMIFS(tabela_registros[VALOR],tabela_registros[MÊS],$AE$1,tabela_registros[DIA],investirrendavariávelconsolidadojun[[#Headers],[7]],tabela_registros[REGISTRO],DADOS!$N$5,tabela_registros[TIPO],DADOS!$AB$4,tabela_registros[CATEGORIA],investirrendavariávelconsolidadojun[[#This Row],[ATUAL]])</f>
        <v>0</v>
      </c>
      <c r="L133" s="91">
        <f>SUMIFS(tabela_registros[VALOR],tabela_registros[MÊS],$AE$1,tabela_registros[DIA],investirrendavariávelconsolidadojun[[#Headers],[8]],tabela_registros[REGISTRO],DADOS!$N$5,tabela_registros[TIPO],DADOS!$AB$4,tabela_registros[CATEGORIA],investirrendavariávelconsolidadojun[[#This Row],[ATUAL]])</f>
        <v>0</v>
      </c>
      <c r="M133" s="91">
        <f>SUMIFS(tabela_registros[VALOR],tabela_registros[MÊS],$AE$1,tabela_registros[DIA],investirrendavariávelconsolidadojun[[#Headers],[9]],tabela_registros[REGISTRO],DADOS!$N$5,tabela_registros[TIPO],DADOS!$AB$4,tabela_registros[CATEGORIA],investirrendavariávelconsolidadojun[[#This Row],[ATUAL]])</f>
        <v>0</v>
      </c>
      <c r="N133" s="91">
        <f>SUMIFS(tabela_registros[VALOR],tabela_registros[MÊS],$AE$1,tabela_registros[DIA],investirrendavariávelconsolidadojun[[#Headers],[10]],tabela_registros[REGISTRO],DADOS!$N$5,tabela_registros[TIPO],DADOS!$AB$4,tabela_registros[CATEGORIA],investirrendavariávelconsolidadojun[[#This Row],[ATUAL]])</f>
        <v>0</v>
      </c>
      <c r="O133" s="91">
        <f>SUMIFS(tabela_registros[VALOR],tabela_registros[MÊS],$AE$1,tabela_registros[DIA],investirrendavariávelconsolidadojun[[#Headers],[11]],tabela_registros[REGISTRO],DADOS!$N$5,tabela_registros[TIPO],DADOS!$AB$4,tabela_registros[CATEGORIA],investirrendavariávelconsolidadojun[[#This Row],[ATUAL]])</f>
        <v>0</v>
      </c>
      <c r="P133" s="91">
        <f>SUMIFS(tabela_registros[VALOR],tabela_registros[MÊS],$AE$1,tabela_registros[DIA],investirrendavariávelconsolidadojun[[#Headers],[12]],tabela_registros[REGISTRO],DADOS!$N$5,tabela_registros[TIPO],DADOS!$AB$4,tabela_registros[CATEGORIA],investirrendavariávelconsolidadojun[[#This Row],[ATUAL]])</f>
        <v>0</v>
      </c>
      <c r="Q133" s="91">
        <f>SUMIFS(tabela_registros[VALOR],tabela_registros[MÊS],$AE$1,tabela_registros[DIA],investirrendavariávelconsolidadojun[[#Headers],[13]],tabela_registros[REGISTRO],DADOS!$N$5,tabela_registros[TIPO],DADOS!$AB$4,tabela_registros[CATEGORIA],investirrendavariávelconsolidadojun[[#This Row],[ATUAL]])</f>
        <v>0</v>
      </c>
      <c r="R133" s="91">
        <f>SUMIFS(tabela_registros[VALOR],tabela_registros[MÊS],$AE$1,tabela_registros[DIA],investirrendavariávelconsolidadojun[[#Headers],[14]],tabela_registros[REGISTRO],DADOS!$N$5,tabela_registros[TIPO],DADOS!$AB$4,tabela_registros[CATEGORIA],investirrendavariávelconsolidadojun[[#This Row],[ATUAL]])</f>
        <v>0</v>
      </c>
      <c r="S133" s="91">
        <f>SUMIFS(tabela_registros[VALOR],tabela_registros[MÊS],$AE$1,tabela_registros[DIA],investirrendavariávelconsolidadojun[[#Headers],[15]],tabela_registros[REGISTRO],DADOS!$N$5,tabela_registros[TIPO],DADOS!$AB$4,tabela_registros[CATEGORIA],investirrendavariávelconsolidadojun[[#This Row],[ATUAL]])</f>
        <v>0</v>
      </c>
      <c r="T133" s="91">
        <f>SUMIFS(tabela_registros[VALOR],tabela_registros[MÊS],$AE$1,tabela_registros[DIA],investirrendavariávelconsolidadojun[[#Headers],[16]],tabela_registros[REGISTRO],DADOS!$N$5,tabela_registros[TIPO],DADOS!$AB$4,tabela_registros[CATEGORIA],investirrendavariávelconsolidadojun[[#This Row],[ATUAL]])</f>
        <v>0</v>
      </c>
      <c r="U133" s="91">
        <f>SUMIFS(tabela_registros[VALOR],tabela_registros[MÊS],$AE$1,tabela_registros[DIA],investirrendavariávelconsolidadojun[[#Headers],[17]],tabela_registros[REGISTRO],DADOS!$N$5,tabela_registros[TIPO],DADOS!$AB$4,tabela_registros[CATEGORIA],investirrendavariávelconsolidadojun[[#This Row],[ATUAL]])</f>
        <v>0</v>
      </c>
      <c r="V133" s="91">
        <f>SUMIFS(tabela_registros[VALOR],tabela_registros[MÊS],$AE$1,tabela_registros[DIA],investirrendavariávelconsolidadojun[[#Headers],[18]],tabela_registros[REGISTRO],DADOS!$N$5,tabela_registros[TIPO],DADOS!$AB$4,tabela_registros[CATEGORIA],investirrendavariávelconsolidadojun[[#This Row],[ATUAL]])</f>
        <v>0</v>
      </c>
      <c r="W133" s="91">
        <f>SUMIFS(tabela_registros[VALOR],tabela_registros[MÊS],$AE$1,tabela_registros[DIA],investirrendavariávelconsolidadojun[[#Headers],[19]],tabela_registros[REGISTRO],DADOS!$N$5,tabela_registros[TIPO],DADOS!$AB$4,tabela_registros[CATEGORIA],investirrendavariávelconsolidadojun[[#This Row],[ATUAL]])</f>
        <v>0</v>
      </c>
      <c r="X133" s="91">
        <f>SUMIFS(tabela_registros[VALOR],tabela_registros[MÊS],$AE$1,tabela_registros[DIA],investirrendavariávelconsolidadojun[[#Headers],[20]],tabela_registros[REGISTRO],DADOS!$N$5,tabela_registros[TIPO],DADOS!$AB$4,tabela_registros[CATEGORIA],investirrendavariávelconsolidadojun[[#This Row],[ATUAL]])</f>
        <v>0</v>
      </c>
      <c r="Y133" s="91">
        <f>SUMIFS(tabela_registros[VALOR],tabela_registros[MÊS],$AE$1,tabela_registros[DIA],investirrendavariávelconsolidadojun[[#Headers],[21]],tabela_registros[REGISTRO],DADOS!$N$5,tabela_registros[TIPO],DADOS!$AB$4,tabela_registros[CATEGORIA],investirrendavariávelconsolidadojun[[#This Row],[ATUAL]])</f>
        <v>0</v>
      </c>
      <c r="Z133" s="91">
        <f>SUMIFS(tabela_registros[VALOR],tabela_registros[MÊS],$AE$1,tabela_registros[DIA],investirrendavariávelconsolidadojun[[#Headers],[22]],tabela_registros[REGISTRO],DADOS!$N$5,tabela_registros[TIPO],DADOS!$AB$4,tabela_registros[CATEGORIA],investirrendavariávelconsolidadojun[[#This Row],[ATUAL]])</f>
        <v>0</v>
      </c>
      <c r="AA133" s="91">
        <f>SUMIFS(tabela_registros[VALOR],tabela_registros[MÊS],$AE$1,tabela_registros[DIA],investirrendavariávelconsolidadojun[[#Headers],[23]],tabela_registros[REGISTRO],DADOS!$N$5,tabela_registros[TIPO],DADOS!$AB$4,tabela_registros[CATEGORIA],investirrendavariávelconsolidadojun[[#This Row],[ATUAL]])</f>
        <v>0</v>
      </c>
      <c r="AB133" s="91">
        <f>SUMIFS(tabela_registros[VALOR],tabela_registros[MÊS],$AE$1,tabela_registros[DIA],investirrendavariávelconsolidadojun[[#Headers],[24]],tabela_registros[REGISTRO],DADOS!$N$5,tabela_registros[TIPO],DADOS!$AB$4,tabela_registros[CATEGORIA],investirrendavariávelconsolidadojun[[#This Row],[ATUAL]])</f>
        <v>0</v>
      </c>
      <c r="AC133" s="91">
        <f>SUMIFS(tabela_registros[VALOR],tabela_registros[MÊS],$AE$1,tabela_registros[DIA],investirrendavariávelconsolidadojun[[#Headers],[25]],tabela_registros[REGISTRO],DADOS!$N$5,tabela_registros[TIPO],DADOS!$AB$4,tabela_registros[CATEGORIA],investirrendavariávelconsolidadojun[[#This Row],[ATUAL]])</f>
        <v>0</v>
      </c>
      <c r="AD133" s="91">
        <f>SUMIFS(tabela_registros[VALOR],tabela_registros[MÊS],$AE$1,tabela_registros[DIA],investirrendavariávelconsolidadojun[[#Headers],[26]],tabela_registros[REGISTRO],DADOS!$N$5,tabela_registros[TIPO],DADOS!$AB$4,tabela_registros[CATEGORIA],investirrendavariávelconsolidadojun[[#This Row],[ATUAL]])</f>
        <v>0</v>
      </c>
      <c r="AE133" s="91">
        <f>SUMIFS(tabela_registros[VALOR],tabela_registros[MÊS],$AE$1,tabela_registros[DIA],investirrendavariávelconsolidadojun[[#Headers],[27]],tabela_registros[REGISTRO],DADOS!$N$5,tabela_registros[TIPO],DADOS!$AB$4,tabela_registros[CATEGORIA],investirrendavariávelconsolidadojun[[#This Row],[ATUAL]])</f>
        <v>0</v>
      </c>
      <c r="AF133" s="91">
        <f>SUMIFS(tabela_registros[VALOR],tabela_registros[MÊS],$AE$1,tabela_registros[DIA],investirrendavariávelconsolidadojun[[#Headers],[28]],tabela_registros[REGISTRO],DADOS!$N$5,tabela_registros[TIPO],DADOS!$AB$4,tabela_registros[CATEGORIA],investirrendavariávelconsolidadojun[[#This Row],[ATUAL]])</f>
        <v>0</v>
      </c>
      <c r="AG133" s="91">
        <f>SUMIFS(tabela_registros[VALOR],tabela_registros[MÊS],$AE$1,tabela_registros[DIA],investirrendavariávelconsolidadojun[[#Headers],[29]],tabela_registros[REGISTRO],DADOS!$N$5,tabela_registros[TIPO],DADOS!$AB$4,tabela_registros[CATEGORIA],investirrendavariávelconsolidadojun[[#This Row],[ATUAL]])</f>
        <v>0</v>
      </c>
      <c r="AH133" s="91">
        <f>SUMIFS(tabela_registros[VALOR],tabela_registros[MÊS],$AE$1,tabela_registros[DIA],investirrendavariávelconsolidadojun[[#Headers],[30]],tabela_registros[REGISTRO],DADOS!$N$5,tabela_registros[TIPO],DADOS!$AB$4,tabela_registros[CATEGORIA],investirrendavariávelconsolidadojun[[#This Row],[ATUAL]])</f>
        <v>0</v>
      </c>
      <c r="AI133" s="101">
        <f>SUMIFS(tabela_registros[VALOR],tabela_registros[MÊS],$AE$1,tabela_registros[DIA],investirrendavariávelconsolidadojun[[#Headers],[31]],tabela_registros[REGISTRO],DADOS!$N$5,tabela_registros[TIPO],DADOS!$AB$4,tabela_registros[CATEGORIA],investirrendavariávelconsolidadojun[[#This Row],[ATUAL]])</f>
        <v>0</v>
      </c>
      <c r="AJ133" s="97">
        <f>SUM(investirrendavariávelconsolidadojun[[#This Row],[1]:[31]])</f>
        <v>0</v>
      </c>
      <c r="AK133" s="25"/>
    </row>
    <row r="134" spans="2:37" ht="19.5" customHeight="1" thickTop="1" thickBot="1" x14ac:dyDescent="0.3">
      <c r="B134" s="28"/>
      <c r="C134" s="27" t="str">
        <f>DADOS!$AF$5</f>
        <v>📝 CONTRATO DE FUTUROS</v>
      </c>
      <c r="D134" s="26" t="str">
        <f>IF(investirrendavariávelconsolidadojun[[#This Row],[TOTAL (R$)]]=0,"",IF(OR(investirrendavariávelconsolidadojun[[#This Row],[TOTAL (R$)]]=LARGE($AJ$132:$AJ$141,1),investirrendavariávelconsolidadojun[[#This Row],[TOTAL (R$)]]=LARGE($AJ$132:$AJ$141,2)),DADOS!$I$10,""))</f>
        <v/>
      </c>
      <c r="E134" s="96">
        <f>SUMIFS(tabela_registros[VALOR],tabela_registros[MÊS],$AE$1,tabela_registros[DIA],investirrendavariávelconsolidadojun[[#Headers],[1]],tabela_registros[REGISTRO],DADOS!$N$5,tabela_registros[TIPO],DADOS!$AB$4,tabela_registros[CATEGORIA],investirrendavariávelconsolidadojun[[#This Row],[ATUAL]])</f>
        <v>0</v>
      </c>
      <c r="F134" s="91">
        <f>SUMIFS(tabela_registros[VALOR],tabela_registros[MÊS],$AE$1,tabela_registros[DIA],investirrendavariávelconsolidadojun[[#Headers],[2]],tabela_registros[REGISTRO],DADOS!$N$5,tabela_registros[TIPO],DADOS!$AB$4,tabela_registros[CATEGORIA],investirrendavariávelconsolidadojun[[#This Row],[ATUAL]])</f>
        <v>0</v>
      </c>
      <c r="G134" s="91">
        <f>SUMIFS(tabela_registros[VALOR],tabela_registros[MÊS],$AE$1,tabela_registros[DIA],investirrendavariávelconsolidadojun[[#Headers],[3]],tabela_registros[REGISTRO],DADOS!$N$5,tabela_registros[TIPO],DADOS!$AB$4,tabela_registros[CATEGORIA],investirrendavariávelconsolidadojun[[#This Row],[ATUAL]])</f>
        <v>0</v>
      </c>
      <c r="H134" s="91">
        <f>SUMIFS(tabela_registros[VALOR],tabela_registros[MÊS],$AE$1,tabela_registros[DIA],investirrendavariávelconsolidadojun[[#Headers],[4]],tabela_registros[REGISTRO],DADOS!$N$5,tabela_registros[TIPO],DADOS!$AB$4,tabela_registros[CATEGORIA],investirrendavariávelconsolidadojun[[#This Row],[ATUAL]])</f>
        <v>0</v>
      </c>
      <c r="I134" s="91">
        <f>SUMIFS(tabela_registros[VALOR],tabela_registros[MÊS],$AE$1,tabela_registros[DIA],investirrendavariávelconsolidadojun[[#Headers],[5]],tabela_registros[REGISTRO],DADOS!$N$5,tabela_registros[TIPO],DADOS!$AB$4,tabela_registros[CATEGORIA],investirrendavariávelconsolidadojun[[#This Row],[ATUAL]])</f>
        <v>0</v>
      </c>
      <c r="J134" s="91">
        <f>SUMIFS(tabela_registros[VALOR],tabela_registros[MÊS],$AE$1,tabela_registros[DIA],investirrendavariávelconsolidadojun[[#Headers],[6]],tabela_registros[REGISTRO],DADOS!$N$5,tabela_registros[TIPO],DADOS!$AB$4,tabela_registros[CATEGORIA],investirrendavariávelconsolidadojun[[#This Row],[ATUAL]])</f>
        <v>0</v>
      </c>
      <c r="K134" s="91">
        <f>SUMIFS(tabela_registros[VALOR],tabela_registros[MÊS],$AE$1,tabela_registros[DIA],investirrendavariávelconsolidadojun[[#Headers],[7]],tabela_registros[REGISTRO],DADOS!$N$5,tabela_registros[TIPO],DADOS!$AB$4,tabela_registros[CATEGORIA],investirrendavariávelconsolidadojun[[#This Row],[ATUAL]])</f>
        <v>0</v>
      </c>
      <c r="L134" s="91">
        <f>SUMIFS(tabela_registros[VALOR],tabela_registros[MÊS],$AE$1,tabela_registros[DIA],investirrendavariávelconsolidadojun[[#Headers],[8]],tabela_registros[REGISTRO],DADOS!$N$5,tabela_registros[TIPO],DADOS!$AB$4,tabela_registros[CATEGORIA],investirrendavariávelconsolidadojun[[#This Row],[ATUAL]])</f>
        <v>0</v>
      </c>
      <c r="M134" s="91">
        <f>SUMIFS(tabela_registros[VALOR],tabela_registros[MÊS],$AE$1,tabela_registros[DIA],investirrendavariávelconsolidadojun[[#Headers],[9]],tabela_registros[REGISTRO],DADOS!$N$5,tabela_registros[TIPO],DADOS!$AB$4,tabela_registros[CATEGORIA],investirrendavariávelconsolidadojun[[#This Row],[ATUAL]])</f>
        <v>0</v>
      </c>
      <c r="N134" s="91">
        <f>SUMIFS(tabela_registros[VALOR],tabela_registros[MÊS],$AE$1,tabela_registros[DIA],investirrendavariávelconsolidadojun[[#Headers],[10]],tabela_registros[REGISTRO],DADOS!$N$5,tabela_registros[TIPO],DADOS!$AB$4,tabela_registros[CATEGORIA],investirrendavariávelconsolidadojun[[#This Row],[ATUAL]])</f>
        <v>0</v>
      </c>
      <c r="O134" s="91">
        <f>SUMIFS(tabela_registros[VALOR],tabela_registros[MÊS],$AE$1,tabela_registros[DIA],investirrendavariávelconsolidadojun[[#Headers],[11]],tabela_registros[REGISTRO],DADOS!$N$5,tabela_registros[TIPO],DADOS!$AB$4,tabela_registros[CATEGORIA],investirrendavariávelconsolidadojun[[#This Row],[ATUAL]])</f>
        <v>0</v>
      </c>
      <c r="P134" s="91">
        <f>SUMIFS(tabela_registros[VALOR],tabela_registros[MÊS],$AE$1,tabela_registros[DIA],investirrendavariávelconsolidadojun[[#Headers],[12]],tabela_registros[REGISTRO],DADOS!$N$5,tabela_registros[TIPO],DADOS!$AB$4,tabela_registros[CATEGORIA],investirrendavariávelconsolidadojun[[#This Row],[ATUAL]])</f>
        <v>0</v>
      </c>
      <c r="Q134" s="91">
        <f>SUMIFS(tabela_registros[VALOR],tabela_registros[MÊS],$AE$1,tabela_registros[DIA],investirrendavariávelconsolidadojun[[#Headers],[13]],tabela_registros[REGISTRO],DADOS!$N$5,tabela_registros[TIPO],DADOS!$AB$4,tabela_registros[CATEGORIA],investirrendavariávelconsolidadojun[[#This Row],[ATUAL]])</f>
        <v>0</v>
      </c>
      <c r="R134" s="91">
        <f>SUMIFS(tabela_registros[VALOR],tabela_registros[MÊS],$AE$1,tabela_registros[DIA],investirrendavariávelconsolidadojun[[#Headers],[14]],tabela_registros[REGISTRO],DADOS!$N$5,tabela_registros[TIPO],DADOS!$AB$4,tabela_registros[CATEGORIA],investirrendavariávelconsolidadojun[[#This Row],[ATUAL]])</f>
        <v>0</v>
      </c>
      <c r="S134" s="91">
        <f>SUMIFS(tabela_registros[VALOR],tabela_registros[MÊS],$AE$1,tabela_registros[DIA],investirrendavariávelconsolidadojun[[#Headers],[15]],tabela_registros[REGISTRO],DADOS!$N$5,tabela_registros[TIPO],DADOS!$AB$4,tabela_registros[CATEGORIA],investirrendavariávelconsolidadojun[[#This Row],[ATUAL]])</f>
        <v>0</v>
      </c>
      <c r="T134" s="91">
        <f>SUMIFS(tabela_registros[VALOR],tabela_registros[MÊS],$AE$1,tabela_registros[DIA],investirrendavariávelconsolidadojun[[#Headers],[16]],tabela_registros[REGISTRO],DADOS!$N$5,tabela_registros[TIPO],DADOS!$AB$4,tabela_registros[CATEGORIA],investirrendavariávelconsolidadojun[[#This Row],[ATUAL]])</f>
        <v>0</v>
      </c>
      <c r="U134" s="91">
        <f>SUMIFS(tabela_registros[VALOR],tabela_registros[MÊS],$AE$1,tabela_registros[DIA],investirrendavariávelconsolidadojun[[#Headers],[17]],tabela_registros[REGISTRO],DADOS!$N$5,tabela_registros[TIPO],DADOS!$AB$4,tabela_registros[CATEGORIA],investirrendavariávelconsolidadojun[[#This Row],[ATUAL]])</f>
        <v>0</v>
      </c>
      <c r="V134" s="91">
        <f>SUMIFS(tabela_registros[VALOR],tabela_registros[MÊS],$AE$1,tabela_registros[DIA],investirrendavariávelconsolidadojun[[#Headers],[18]],tabela_registros[REGISTRO],DADOS!$N$5,tabela_registros[TIPO],DADOS!$AB$4,tabela_registros[CATEGORIA],investirrendavariávelconsolidadojun[[#This Row],[ATUAL]])</f>
        <v>0</v>
      </c>
      <c r="W134" s="91">
        <f>SUMIFS(tabela_registros[VALOR],tabela_registros[MÊS],$AE$1,tabela_registros[DIA],investirrendavariávelconsolidadojun[[#Headers],[19]],tabela_registros[REGISTRO],DADOS!$N$5,tabela_registros[TIPO],DADOS!$AB$4,tabela_registros[CATEGORIA],investirrendavariávelconsolidadojun[[#This Row],[ATUAL]])</f>
        <v>0</v>
      </c>
      <c r="X134" s="91">
        <f>SUMIFS(tabela_registros[VALOR],tabela_registros[MÊS],$AE$1,tabela_registros[DIA],investirrendavariávelconsolidadojun[[#Headers],[20]],tabela_registros[REGISTRO],DADOS!$N$5,tabela_registros[TIPO],DADOS!$AB$4,tabela_registros[CATEGORIA],investirrendavariávelconsolidadojun[[#This Row],[ATUAL]])</f>
        <v>0</v>
      </c>
      <c r="Y134" s="91">
        <f>SUMIFS(tabela_registros[VALOR],tabela_registros[MÊS],$AE$1,tabela_registros[DIA],investirrendavariávelconsolidadojun[[#Headers],[21]],tabela_registros[REGISTRO],DADOS!$N$5,tabela_registros[TIPO],DADOS!$AB$4,tabela_registros[CATEGORIA],investirrendavariávelconsolidadojun[[#This Row],[ATUAL]])</f>
        <v>0</v>
      </c>
      <c r="Z134" s="91">
        <f>SUMIFS(tabela_registros[VALOR],tabela_registros[MÊS],$AE$1,tabela_registros[DIA],investirrendavariávelconsolidadojun[[#Headers],[22]],tabela_registros[REGISTRO],DADOS!$N$5,tabela_registros[TIPO],DADOS!$AB$4,tabela_registros[CATEGORIA],investirrendavariávelconsolidadojun[[#This Row],[ATUAL]])</f>
        <v>0</v>
      </c>
      <c r="AA134" s="91">
        <f>SUMIFS(tabela_registros[VALOR],tabela_registros[MÊS],$AE$1,tabela_registros[DIA],investirrendavariávelconsolidadojun[[#Headers],[23]],tabela_registros[REGISTRO],DADOS!$N$5,tabela_registros[TIPO],DADOS!$AB$4,tabela_registros[CATEGORIA],investirrendavariávelconsolidadojun[[#This Row],[ATUAL]])</f>
        <v>0</v>
      </c>
      <c r="AB134" s="91">
        <f>SUMIFS(tabela_registros[VALOR],tabela_registros[MÊS],$AE$1,tabela_registros[DIA],investirrendavariávelconsolidadojun[[#Headers],[24]],tabela_registros[REGISTRO],DADOS!$N$5,tabela_registros[TIPO],DADOS!$AB$4,tabela_registros[CATEGORIA],investirrendavariávelconsolidadojun[[#This Row],[ATUAL]])</f>
        <v>0</v>
      </c>
      <c r="AC134" s="91">
        <f>SUMIFS(tabela_registros[VALOR],tabela_registros[MÊS],$AE$1,tabela_registros[DIA],investirrendavariávelconsolidadojun[[#Headers],[25]],tabela_registros[REGISTRO],DADOS!$N$5,tabela_registros[TIPO],DADOS!$AB$4,tabela_registros[CATEGORIA],investirrendavariávelconsolidadojun[[#This Row],[ATUAL]])</f>
        <v>0</v>
      </c>
      <c r="AD134" s="91">
        <f>SUMIFS(tabela_registros[VALOR],tabela_registros[MÊS],$AE$1,tabela_registros[DIA],investirrendavariávelconsolidadojun[[#Headers],[26]],tabela_registros[REGISTRO],DADOS!$N$5,tabela_registros[TIPO],DADOS!$AB$4,tabela_registros[CATEGORIA],investirrendavariávelconsolidadojun[[#This Row],[ATUAL]])</f>
        <v>0</v>
      </c>
      <c r="AE134" s="91">
        <f>SUMIFS(tabela_registros[VALOR],tabela_registros[MÊS],$AE$1,tabela_registros[DIA],investirrendavariávelconsolidadojun[[#Headers],[27]],tabela_registros[REGISTRO],DADOS!$N$5,tabela_registros[TIPO],DADOS!$AB$4,tabela_registros[CATEGORIA],investirrendavariávelconsolidadojun[[#This Row],[ATUAL]])</f>
        <v>0</v>
      </c>
      <c r="AF134" s="91">
        <f>SUMIFS(tabela_registros[VALOR],tabela_registros[MÊS],$AE$1,tabela_registros[DIA],investirrendavariávelconsolidadojun[[#Headers],[28]],tabela_registros[REGISTRO],DADOS!$N$5,tabela_registros[TIPO],DADOS!$AB$4,tabela_registros[CATEGORIA],investirrendavariávelconsolidadojun[[#This Row],[ATUAL]])</f>
        <v>0</v>
      </c>
      <c r="AG134" s="91">
        <f>SUMIFS(tabela_registros[VALOR],tabela_registros[MÊS],$AE$1,tabela_registros[DIA],investirrendavariávelconsolidadojun[[#Headers],[29]],tabela_registros[REGISTRO],DADOS!$N$5,tabela_registros[TIPO],DADOS!$AB$4,tabela_registros[CATEGORIA],investirrendavariávelconsolidadojun[[#This Row],[ATUAL]])</f>
        <v>0</v>
      </c>
      <c r="AH134" s="91">
        <f>SUMIFS(tabela_registros[VALOR],tabela_registros[MÊS],$AE$1,tabela_registros[DIA],investirrendavariávelconsolidadojun[[#Headers],[30]],tabela_registros[REGISTRO],DADOS!$N$5,tabela_registros[TIPO],DADOS!$AB$4,tabela_registros[CATEGORIA],investirrendavariávelconsolidadojun[[#This Row],[ATUAL]])</f>
        <v>0</v>
      </c>
      <c r="AI134" s="101">
        <f>SUMIFS(tabela_registros[VALOR],tabela_registros[MÊS],$AE$1,tabela_registros[DIA],investirrendavariávelconsolidadojun[[#Headers],[31]],tabela_registros[REGISTRO],DADOS!$N$5,tabela_registros[TIPO],DADOS!$AB$4,tabela_registros[CATEGORIA],investirrendavariávelconsolidadojun[[#This Row],[ATUAL]])</f>
        <v>0</v>
      </c>
      <c r="AJ134" s="97">
        <f>SUM(investirrendavariávelconsolidadojun[[#This Row],[1]:[31]])</f>
        <v>0</v>
      </c>
      <c r="AK134" s="25"/>
    </row>
    <row r="135" spans="2:37" ht="19.5" customHeight="1" thickTop="1" thickBot="1" x14ac:dyDescent="0.3">
      <c r="B135" s="28"/>
      <c r="C135" s="27" t="str">
        <f>DADOS!$AF$6</f>
        <v>📝 CONTRATO DE OPÇÕES</v>
      </c>
      <c r="D135" s="26" t="str">
        <f>IF(investirrendavariávelconsolidadojun[[#This Row],[TOTAL (R$)]]=0,"",IF(OR(investirrendavariávelconsolidadojun[[#This Row],[TOTAL (R$)]]=LARGE($AJ$132:$AJ$141,1),investirrendavariávelconsolidadojun[[#This Row],[TOTAL (R$)]]=LARGE($AJ$132:$AJ$141,2)),DADOS!$I$10,""))</f>
        <v/>
      </c>
      <c r="E135" s="96">
        <f>SUMIFS(tabela_registros[VALOR],tabela_registros[MÊS],$AE$1,tabela_registros[DIA],investirrendavariávelconsolidadojun[[#Headers],[1]],tabela_registros[REGISTRO],DADOS!$N$5,tabela_registros[TIPO],DADOS!$AB$4,tabela_registros[CATEGORIA],investirrendavariávelconsolidadojun[[#This Row],[ATUAL]])</f>
        <v>0</v>
      </c>
      <c r="F135" s="91">
        <f>SUMIFS(tabela_registros[VALOR],tabela_registros[MÊS],$AE$1,tabela_registros[DIA],investirrendavariávelconsolidadojun[[#Headers],[2]],tabela_registros[REGISTRO],DADOS!$N$5,tabela_registros[TIPO],DADOS!$AB$4,tabela_registros[CATEGORIA],investirrendavariávelconsolidadojun[[#This Row],[ATUAL]])</f>
        <v>0</v>
      </c>
      <c r="G135" s="91">
        <f>SUMIFS(tabela_registros[VALOR],tabela_registros[MÊS],$AE$1,tabela_registros[DIA],investirrendavariávelconsolidadojun[[#Headers],[3]],tabela_registros[REGISTRO],DADOS!$N$5,tabela_registros[TIPO],DADOS!$AB$4,tabela_registros[CATEGORIA],investirrendavariávelconsolidadojun[[#This Row],[ATUAL]])</f>
        <v>0</v>
      </c>
      <c r="H135" s="91">
        <f>SUMIFS(tabela_registros[VALOR],tabela_registros[MÊS],$AE$1,tabela_registros[DIA],investirrendavariávelconsolidadojun[[#Headers],[4]],tabela_registros[REGISTRO],DADOS!$N$5,tabela_registros[TIPO],DADOS!$AB$4,tabela_registros[CATEGORIA],investirrendavariávelconsolidadojun[[#This Row],[ATUAL]])</f>
        <v>0</v>
      </c>
      <c r="I135" s="91">
        <f>SUMIFS(tabela_registros[VALOR],tabela_registros[MÊS],$AE$1,tabela_registros[DIA],investirrendavariávelconsolidadojun[[#Headers],[5]],tabela_registros[REGISTRO],DADOS!$N$5,tabela_registros[TIPO],DADOS!$AB$4,tabela_registros[CATEGORIA],investirrendavariávelconsolidadojun[[#This Row],[ATUAL]])</f>
        <v>0</v>
      </c>
      <c r="J135" s="91">
        <f>SUMIFS(tabela_registros[VALOR],tabela_registros[MÊS],$AE$1,tabela_registros[DIA],investirrendavariávelconsolidadojun[[#Headers],[6]],tabela_registros[REGISTRO],DADOS!$N$5,tabela_registros[TIPO],DADOS!$AB$4,tabela_registros[CATEGORIA],investirrendavariávelconsolidadojun[[#This Row],[ATUAL]])</f>
        <v>0</v>
      </c>
      <c r="K135" s="91">
        <f>SUMIFS(tabela_registros[VALOR],tabela_registros[MÊS],$AE$1,tabela_registros[DIA],investirrendavariávelconsolidadojun[[#Headers],[7]],tabela_registros[REGISTRO],DADOS!$N$5,tabela_registros[TIPO],DADOS!$AB$4,tabela_registros[CATEGORIA],investirrendavariávelconsolidadojun[[#This Row],[ATUAL]])</f>
        <v>0</v>
      </c>
      <c r="L135" s="91">
        <f>SUMIFS(tabela_registros[VALOR],tabela_registros[MÊS],$AE$1,tabela_registros[DIA],investirrendavariávelconsolidadojun[[#Headers],[8]],tabela_registros[REGISTRO],DADOS!$N$5,tabela_registros[TIPO],DADOS!$AB$4,tabela_registros[CATEGORIA],investirrendavariávelconsolidadojun[[#This Row],[ATUAL]])</f>
        <v>0</v>
      </c>
      <c r="M135" s="91">
        <f>SUMIFS(tabela_registros[VALOR],tabela_registros[MÊS],$AE$1,tabela_registros[DIA],investirrendavariávelconsolidadojun[[#Headers],[9]],tabela_registros[REGISTRO],DADOS!$N$5,tabela_registros[TIPO],DADOS!$AB$4,tabela_registros[CATEGORIA],investirrendavariávelconsolidadojun[[#This Row],[ATUAL]])</f>
        <v>0</v>
      </c>
      <c r="N135" s="91">
        <f>SUMIFS(tabela_registros[VALOR],tabela_registros[MÊS],$AE$1,tabela_registros[DIA],investirrendavariávelconsolidadojun[[#Headers],[10]],tabela_registros[REGISTRO],DADOS!$N$5,tabela_registros[TIPO],DADOS!$AB$4,tabela_registros[CATEGORIA],investirrendavariávelconsolidadojun[[#This Row],[ATUAL]])</f>
        <v>0</v>
      </c>
      <c r="O135" s="91">
        <f>SUMIFS(tabela_registros[VALOR],tabela_registros[MÊS],$AE$1,tabela_registros[DIA],investirrendavariávelconsolidadojun[[#Headers],[11]],tabela_registros[REGISTRO],DADOS!$N$5,tabela_registros[TIPO],DADOS!$AB$4,tabela_registros[CATEGORIA],investirrendavariávelconsolidadojun[[#This Row],[ATUAL]])</f>
        <v>0</v>
      </c>
      <c r="P135" s="91">
        <f>SUMIFS(tabela_registros[VALOR],tabela_registros[MÊS],$AE$1,tabela_registros[DIA],investirrendavariávelconsolidadojun[[#Headers],[12]],tabela_registros[REGISTRO],DADOS!$N$5,tabela_registros[TIPO],DADOS!$AB$4,tabela_registros[CATEGORIA],investirrendavariávelconsolidadojun[[#This Row],[ATUAL]])</f>
        <v>0</v>
      </c>
      <c r="Q135" s="91">
        <f>SUMIFS(tabela_registros[VALOR],tabela_registros[MÊS],$AE$1,tabela_registros[DIA],investirrendavariávelconsolidadojun[[#Headers],[13]],tabela_registros[REGISTRO],DADOS!$N$5,tabela_registros[TIPO],DADOS!$AB$4,tabela_registros[CATEGORIA],investirrendavariávelconsolidadojun[[#This Row],[ATUAL]])</f>
        <v>0</v>
      </c>
      <c r="R135" s="91">
        <f>SUMIFS(tabela_registros[VALOR],tabela_registros[MÊS],$AE$1,tabela_registros[DIA],investirrendavariávelconsolidadojun[[#Headers],[14]],tabela_registros[REGISTRO],DADOS!$N$5,tabela_registros[TIPO],DADOS!$AB$4,tabela_registros[CATEGORIA],investirrendavariávelconsolidadojun[[#This Row],[ATUAL]])</f>
        <v>0</v>
      </c>
      <c r="S135" s="91">
        <f>SUMIFS(tabela_registros[VALOR],tabela_registros[MÊS],$AE$1,tabela_registros[DIA],investirrendavariávelconsolidadojun[[#Headers],[15]],tabela_registros[REGISTRO],DADOS!$N$5,tabela_registros[TIPO],DADOS!$AB$4,tabela_registros[CATEGORIA],investirrendavariávelconsolidadojun[[#This Row],[ATUAL]])</f>
        <v>0</v>
      </c>
      <c r="T135" s="91">
        <f>SUMIFS(tabela_registros[VALOR],tabela_registros[MÊS],$AE$1,tabela_registros[DIA],investirrendavariávelconsolidadojun[[#Headers],[16]],tabela_registros[REGISTRO],DADOS!$N$5,tabela_registros[TIPO],DADOS!$AB$4,tabela_registros[CATEGORIA],investirrendavariávelconsolidadojun[[#This Row],[ATUAL]])</f>
        <v>0</v>
      </c>
      <c r="U135" s="91">
        <f>SUMIFS(tabela_registros[VALOR],tabela_registros[MÊS],$AE$1,tabela_registros[DIA],investirrendavariávelconsolidadojun[[#Headers],[17]],tabela_registros[REGISTRO],DADOS!$N$5,tabela_registros[TIPO],DADOS!$AB$4,tabela_registros[CATEGORIA],investirrendavariávelconsolidadojun[[#This Row],[ATUAL]])</f>
        <v>0</v>
      </c>
      <c r="V135" s="91">
        <f>SUMIFS(tabela_registros[VALOR],tabela_registros[MÊS],$AE$1,tabela_registros[DIA],investirrendavariávelconsolidadojun[[#Headers],[18]],tabela_registros[REGISTRO],DADOS!$N$5,tabela_registros[TIPO],DADOS!$AB$4,tabela_registros[CATEGORIA],investirrendavariávelconsolidadojun[[#This Row],[ATUAL]])</f>
        <v>0</v>
      </c>
      <c r="W135" s="91">
        <f>SUMIFS(tabela_registros[VALOR],tabela_registros[MÊS],$AE$1,tabela_registros[DIA],investirrendavariávelconsolidadojun[[#Headers],[19]],tabela_registros[REGISTRO],DADOS!$N$5,tabela_registros[TIPO],DADOS!$AB$4,tabela_registros[CATEGORIA],investirrendavariávelconsolidadojun[[#This Row],[ATUAL]])</f>
        <v>0</v>
      </c>
      <c r="X135" s="91">
        <f>SUMIFS(tabela_registros[VALOR],tabela_registros[MÊS],$AE$1,tabela_registros[DIA],investirrendavariávelconsolidadojun[[#Headers],[20]],tabela_registros[REGISTRO],DADOS!$N$5,tabela_registros[TIPO],DADOS!$AB$4,tabela_registros[CATEGORIA],investirrendavariávelconsolidadojun[[#This Row],[ATUAL]])</f>
        <v>0</v>
      </c>
      <c r="Y135" s="91">
        <f>SUMIFS(tabela_registros[VALOR],tabela_registros[MÊS],$AE$1,tabela_registros[DIA],investirrendavariávelconsolidadojun[[#Headers],[21]],tabela_registros[REGISTRO],DADOS!$N$5,tabela_registros[TIPO],DADOS!$AB$4,tabela_registros[CATEGORIA],investirrendavariávelconsolidadojun[[#This Row],[ATUAL]])</f>
        <v>0</v>
      </c>
      <c r="Z135" s="91">
        <f>SUMIFS(tabela_registros[VALOR],tabela_registros[MÊS],$AE$1,tabela_registros[DIA],investirrendavariávelconsolidadojun[[#Headers],[22]],tabela_registros[REGISTRO],DADOS!$N$5,tabela_registros[TIPO],DADOS!$AB$4,tabela_registros[CATEGORIA],investirrendavariávelconsolidadojun[[#This Row],[ATUAL]])</f>
        <v>0</v>
      </c>
      <c r="AA135" s="91">
        <f>SUMIFS(tabela_registros[VALOR],tabela_registros[MÊS],$AE$1,tabela_registros[DIA],investirrendavariávelconsolidadojun[[#Headers],[23]],tabela_registros[REGISTRO],DADOS!$N$5,tabela_registros[TIPO],DADOS!$AB$4,tabela_registros[CATEGORIA],investirrendavariávelconsolidadojun[[#This Row],[ATUAL]])</f>
        <v>0</v>
      </c>
      <c r="AB135" s="91">
        <f>SUMIFS(tabela_registros[VALOR],tabela_registros[MÊS],$AE$1,tabela_registros[DIA],investirrendavariávelconsolidadojun[[#Headers],[24]],tabela_registros[REGISTRO],DADOS!$N$5,tabela_registros[TIPO],DADOS!$AB$4,tabela_registros[CATEGORIA],investirrendavariávelconsolidadojun[[#This Row],[ATUAL]])</f>
        <v>0</v>
      </c>
      <c r="AC135" s="91">
        <f>SUMIFS(tabela_registros[VALOR],tabela_registros[MÊS],$AE$1,tabela_registros[DIA],investirrendavariávelconsolidadojun[[#Headers],[25]],tabela_registros[REGISTRO],DADOS!$N$5,tabela_registros[TIPO],DADOS!$AB$4,tabela_registros[CATEGORIA],investirrendavariávelconsolidadojun[[#This Row],[ATUAL]])</f>
        <v>0</v>
      </c>
      <c r="AD135" s="91">
        <f>SUMIFS(tabela_registros[VALOR],tabela_registros[MÊS],$AE$1,tabela_registros[DIA],investirrendavariávelconsolidadojun[[#Headers],[26]],tabela_registros[REGISTRO],DADOS!$N$5,tabela_registros[TIPO],DADOS!$AB$4,tabela_registros[CATEGORIA],investirrendavariávelconsolidadojun[[#This Row],[ATUAL]])</f>
        <v>0</v>
      </c>
      <c r="AE135" s="91">
        <f>SUMIFS(tabela_registros[VALOR],tabela_registros[MÊS],$AE$1,tabela_registros[DIA],investirrendavariávelconsolidadojun[[#Headers],[27]],tabela_registros[REGISTRO],DADOS!$N$5,tabela_registros[TIPO],DADOS!$AB$4,tabela_registros[CATEGORIA],investirrendavariávelconsolidadojun[[#This Row],[ATUAL]])</f>
        <v>0</v>
      </c>
      <c r="AF135" s="91">
        <f>SUMIFS(tabela_registros[VALOR],tabela_registros[MÊS],$AE$1,tabela_registros[DIA],investirrendavariávelconsolidadojun[[#Headers],[28]],tabela_registros[REGISTRO],DADOS!$N$5,tabela_registros[TIPO],DADOS!$AB$4,tabela_registros[CATEGORIA],investirrendavariávelconsolidadojun[[#This Row],[ATUAL]])</f>
        <v>0</v>
      </c>
      <c r="AG135" s="91">
        <f>SUMIFS(tabela_registros[VALOR],tabela_registros[MÊS],$AE$1,tabela_registros[DIA],investirrendavariávelconsolidadojun[[#Headers],[29]],tabela_registros[REGISTRO],DADOS!$N$5,tabela_registros[TIPO],DADOS!$AB$4,tabela_registros[CATEGORIA],investirrendavariávelconsolidadojun[[#This Row],[ATUAL]])</f>
        <v>0</v>
      </c>
      <c r="AH135" s="91">
        <f>SUMIFS(tabela_registros[VALOR],tabela_registros[MÊS],$AE$1,tabela_registros[DIA],investirrendavariávelconsolidadojun[[#Headers],[30]],tabela_registros[REGISTRO],DADOS!$N$5,tabela_registros[TIPO],DADOS!$AB$4,tabela_registros[CATEGORIA],investirrendavariávelconsolidadojun[[#This Row],[ATUAL]])</f>
        <v>0</v>
      </c>
      <c r="AI135" s="101">
        <f>SUMIFS(tabela_registros[VALOR],tabela_registros[MÊS],$AE$1,tabela_registros[DIA],investirrendavariávelconsolidadojun[[#Headers],[31]],tabela_registros[REGISTRO],DADOS!$N$5,tabela_registros[TIPO],DADOS!$AB$4,tabela_registros[CATEGORIA],investirrendavariávelconsolidadojun[[#This Row],[ATUAL]])</f>
        <v>0</v>
      </c>
      <c r="AJ135" s="97">
        <f>SUM(investirrendavariávelconsolidadojun[[#This Row],[1]:[31]])</f>
        <v>0</v>
      </c>
      <c r="AK135" s="25"/>
    </row>
    <row r="136" spans="2:37" ht="19.5" customHeight="1" thickTop="1" thickBot="1" x14ac:dyDescent="0.3">
      <c r="B136" s="28"/>
      <c r="C136" s="27" t="str">
        <f>DADOS!$AF$7</f>
        <v>📝 CRIPTOMOEDA</v>
      </c>
      <c r="D136" s="26" t="str">
        <f>IF(investirrendavariávelconsolidadojun[[#This Row],[TOTAL (R$)]]=0,"",IF(OR(investirrendavariávelconsolidadojun[[#This Row],[TOTAL (R$)]]=LARGE($AJ$132:$AJ$141,1),investirrendavariávelconsolidadojun[[#This Row],[TOTAL (R$)]]=LARGE($AJ$132:$AJ$141,2)),DADOS!$I$10,""))</f>
        <v/>
      </c>
      <c r="E136" s="96">
        <f>SUMIFS(tabela_registros[VALOR],tabela_registros[MÊS],$AE$1,tabela_registros[DIA],investirrendavariávelconsolidadojun[[#Headers],[1]],tabela_registros[REGISTRO],DADOS!$N$5,tabela_registros[TIPO],DADOS!$AB$4,tabela_registros[CATEGORIA],investirrendavariávelconsolidadojun[[#This Row],[ATUAL]])</f>
        <v>0</v>
      </c>
      <c r="F136" s="91">
        <f>SUMIFS(tabela_registros[VALOR],tabela_registros[MÊS],$AE$1,tabela_registros[DIA],investirrendavariávelconsolidadojun[[#Headers],[2]],tabela_registros[REGISTRO],DADOS!$N$5,tabela_registros[TIPO],DADOS!$AB$4,tabela_registros[CATEGORIA],investirrendavariávelconsolidadojun[[#This Row],[ATUAL]])</f>
        <v>0</v>
      </c>
      <c r="G136" s="91">
        <f>SUMIFS(tabela_registros[VALOR],tabela_registros[MÊS],$AE$1,tabela_registros[DIA],investirrendavariávelconsolidadojun[[#Headers],[3]],tabela_registros[REGISTRO],DADOS!$N$5,tabela_registros[TIPO],DADOS!$AB$4,tabela_registros[CATEGORIA],investirrendavariávelconsolidadojun[[#This Row],[ATUAL]])</f>
        <v>0</v>
      </c>
      <c r="H136" s="91">
        <f>SUMIFS(tabela_registros[VALOR],tabela_registros[MÊS],$AE$1,tabela_registros[DIA],investirrendavariávelconsolidadojun[[#Headers],[4]],tabela_registros[REGISTRO],DADOS!$N$5,tabela_registros[TIPO],DADOS!$AB$4,tabela_registros[CATEGORIA],investirrendavariávelconsolidadojun[[#This Row],[ATUAL]])</f>
        <v>0</v>
      </c>
      <c r="I136" s="91">
        <f>SUMIFS(tabela_registros[VALOR],tabela_registros[MÊS],$AE$1,tabela_registros[DIA],investirrendavariávelconsolidadojun[[#Headers],[5]],tabela_registros[REGISTRO],DADOS!$N$5,tabela_registros[TIPO],DADOS!$AB$4,tabela_registros[CATEGORIA],investirrendavariávelconsolidadojun[[#This Row],[ATUAL]])</f>
        <v>0</v>
      </c>
      <c r="J136" s="91">
        <f>SUMIFS(tabela_registros[VALOR],tabela_registros[MÊS],$AE$1,tabela_registros[DIA],investirrendavariávelconsolidadojun[[#Headers],[6]],tabela_registros[REGISTRO],DADOS!$N$5,tabela_registros[TIPO],DADOS!$AB$4,tabela_registros[CATEGORIA],investirrendavariávelconsolidadojun[[#This Row],[ATUAL]])</f>
        <v>0</v>
      </c>
      <c r="K136" s="91">
        <f>SUMIFS(tabela_registros[VALOR],tabela_registros[MÊS],$AE$1,tabela_registros[DIA],investirrendavariávelconsolidadojun[[#Headers],[7]],tabela_registros[REGISTRO],DADOS!$N$5,tabela_registros[TIPO],DADOS!$AB$4,tabela_registros[CATEGORIA],investirrendavariávelconsolidadojun[[#This Row],[ATUAL]])</f>
        <v>0</v>
      </c>
      <c r="L136" s="91">
        <f>SUMIFS(tabela_registros[VALOR],tabela_registros[MÊS],$AE$1,tabela_registros[DIA],investirrendavariávelconsolidadojun[[#Headers],[8]],tabela_registros[REGISTRO],DADOS!$N$5,tabela_registros[TIPO],DADOS!$AB$4,tabela_registros[CATEGORIA],investirrendavariávelconsolidadojun[[#This Row],[ATUAL]])</f>
        <v>0</v>
      </c>
      <c r="M136" s="91">
        <f>SUMIFS(tabela_registros[VALOR],tabela_registros[MÊS],$AE$1,tabela_registros[DIA],investirrendavariávelconsolidadojun[[#Headers],[9]],tabela_registros[REGISTRO],DADOS!$N$5,tabela_registros[TIPO],DADOS!$AB$4,tabela_registros[CATEGORIA],investirrendavariávelconsolidadojun[[#This Row],[ATUAL]])</f>
        <v>0</v>
      </c>
      <c r="N136" s="91">
        <f>SUMIFS(tabela_registros[VALOR],tabela_registros[MÊS],$AE$1,tabela_registros[DIA],investirrendavariávelconsolidadojun[[#Headers],[10]],tabela_registros[REGISTRO],DADOS!$N$5,tabela_registros[TIPO],DADOS!$AB$4,tabela_registros[CATEGORIA],investirrendavariávelconsolidadojun[[#This Row],[ATUAL]])</f>
        <v>0</v>
      </c>
      <c r="O136" s="91">
        <f>SUMIFS(tabela_registros[VALOR],tabela_registros[MÊS],$AE$1,tabela_registros[DIA],investirrendavariávelconsolidadojun[[#Headers],[11]],tabela_registros[REGISTRO],DADOS!$N$5,tabela_registros[TIPO],DADOS!$AB$4,tabela_registros[CATEGORIA],investirrendavariávelconsolidadojun[[#This Row],[ATUAL]])</f>
        <v>0</v>
      </c>
      <c r="P136" s="91">
        <f>SUMIFS(tabela_registros[VALOR],tabela_registros[MÊS],$AE$1,tabela_registros[DIA],investirrendavariávelconsolidadojun[[#Headers],[12]],tabela_registros[REGISTRO],DADOS!$N$5,tabela_registros[TIPO],DADOS!$AB$4,tabela_registros[CATEGORIA],investirrendavariávelconsolidadojun[[#This Row],[ATUAL]])</f>
        <v>0</v>
      </c>
      <c r="Q136" s="91">
        <f>SUMIFS(tabela_registros[VALOR],tabela_registros[MÊS],$AE$1,tabela_registros[DIA],investirrendavariávelconsolidadojun[[#Headers],[13]],tabela_registros[REGISTRO],DADOS!$N$5,tabela_registros[TIPO],DADOS!$AB$4,tabela_registros[CATEGORIA],investirrendavariávelconsolidadojun[[#This Row],[ATUAL]])</f>
        <v>0</v>
      </c>
      <c r="R136" s="91">
        <f>SUMIFS(tabela_registros[VALOR],tabela_registros[MÊS],$AE$1,tabela_registros[DIA],investirrendavariávelconsolidadojun[[#Headers],[14]],tabela_registros[REGISTRO],DADOS!$N$5,tabela_registros[TIPO],DADOS!$AB$4,tabela_registros[CATEGORIA],investirrendavariávelconsolidadojun[[#This Row],[ATUAL]])</f>
        <v>0</v>
      </c>
      <c r="S136" s="91">
        <f>SUMIFS(tabela_registros[VALOR],tabela_registros[MÊS],$AE$1,tabela_registros[DIA],investirrendavariávelconsolidadojun[[#Headers],[15]],tabela_registros[REGISTRO],DADOS!$N$5,tabela_registros[TIPO],DADOS!$AB$4,tabela_registros[CATEGORIA],investirrendavariávelconsolidadojun[[#This Row],[ATUAL]])</f>
        <v>0</v>
      </c>
      <c r="T136" s="91">
        <f>SUMIFS(tabela_registros[VALOR],tabela_registros[MÊS],$AE$1,tabela_registros[DIA],investirrendavariávelconsolidadojun[[#Headers],[16]],tabela_registros[REGISTRO],DADOS!$N$5,tabela_registros[TIPO],DADOS!$AB$4,tabela_registros[CATEGORIA],investirrendavariávelconsolidadojun[[#This Row],[ATUAL]])</f>
        <v>0</v>
      </c>
      <c r="U136" s="91">
        <f>SUMIFS(tabela_registros[VALOR],tabela_registros[MÊS],$AE$1,tabela_registros[DIA],investirrendavariávelconsolidadojun[[#Headers],[17]],tabela_registros[REGISTRO],DADOS!$N$5,tabela_registros[TIPO],DADOS!$AB$4,tabela_registros[CATEGORIA],investirrendavariávelconsolidadojun[[#This Row],[ATUAL]])</f>
        <v>0</v>
      </c>
      <c r="V136" s="91">
        <f>SUMIFS(tabela_registros[VALOR],tabela_registros[MÊS],$AE$1,tabela_registros[DIA],investirrendavariávelconsolidadojun[[#Headers],[18]],tabela_registros[REGISTRO],DADOS!$N$5,tabela_registros[TIPO],DADOS!$AB$4,tabela_registros[CATEGORIA],investirrendavariávelconsolidadojun[[#This Row],[ATUAL]])</f>
        <v>0</v>
      </c>
      <c r="W136" s="91">
        <f>SUMIFS(tabela_registros[VALOR],tabela_registros[MÊS],$AE$1,tabela_registros[DIA],investirrendavariávelconsolidadojun[[#Headers],[19]],tabela_registros[REGISTRO],DADOS!$N$5,tabela_registros[TIPO],DADOS!$AB$4,tabela_registros[CATEGORIA],investirrendavariávelconsolidadojun[[#This Row],[ATUAL]])</f>
        <v>0</v>
      </c>
      <c r="X136" s="91">
        <f>SUMIFS(tabela_registros[VALOR],tabela_registros[MÊS],$AE$1,tabela_registros[DIA],investirrendavariávelconsolidadojun[[#Headers],[20]],tabela_registros[REGISTRO],DADOS!$N$5,tabela_registros[TIPO],DADOS!$AB$4,tabela_registros[CATEGORIA],investirrendavariávelconsolidadojun[[#This Row],[ATUAL]])</f>
        <v>0</v>
      </c>
      <c r="Y136" s="91">
        <f>SUMIFS(tabela_registros[VALOR],tabela_registros[MÊS],$AE$1,tabela_registros[DIA],investirrendavariávelconsolidadojun[[#Headers],[21]],tabela_registros[REGISTRO],DADOS!$N$5,tabela_registros[TIPO],DADOS!$AB$4,tabela_registros[CATEGORIA],investirrendavariávelconsolidadojun[[#This Row],[ATUAL]])</f>
        <v>0</v>
      </c>
      <c r="Z136" s="91">
        <f>SUMIFS(tabela_registros[VALOR],tabela_registros[MÊS],$AE$1,tabela_registros[DIA],investirrendavariávelconsolidadojun[[#Headers],[22]],tabela_registros[REGISTRO],DADOS!$N$5,tabela_registros[TIPO],DADOS!$AB$4,tabela_registros[CATEGORIA],investirrendavariávelconsolidadojun[[#This Row],[ATUAL]])</f>
        <v>0</v>
      </c>
      <c r="AA136" s="91">
        <f>SUMIFS(tabela_registros[VALOR],tabela_registros[MÊS],$AE$1,tabela_registros[DIA],investirrendavariávelconsolidadojun[[#Headers],[23]],tabela_registros[REGISTRO],DADOS!$N$5,tabela_registros[TIPO],DADOS!$AB$4,tabela_registros[CATEGORIA],investirrendavariávelconsolidadojun[[#This Row],[ATUAL]])</f>
        <v>0</v>
      </c>
      <c r="AB136" s="91">
        <f>SUMIFS(tabela_registros[VALOR],tabela_registros[MÊS],$AE$1,tabela_registros[DIA],investirrendavariávelconsolidadojun[[#Headers],[24]],tabela_registros[REGISTRO],DADOS!$N$5,tabela_registros[TIPO],DADOS!$AB$4,tabela_registros[CATEGORIA],investirrendavariávelconsolidadojun[[#This Row],[ATUAL]])</f>
        <v>0</v>
      </c>
      <c r="AC136" s="91">
        <f>SUMIFS(tabela_registros[VALOR],tabela_registros[MÊS],$AE$1,tabela_registros[DIA],investirrendavariávelconsolidadojun[[#Headers],[25]],tabela_registros[REGISTRO],DADOS!$N$5,tabela_registros[TIPO],DADOS!$AB$4,tabela_registros[CATEGORIA],investirrendavariávelconsolidadojun[[#This Row],[ATUAL]])</f>
        <v>0</v>
      </c>
      <c r="AD136" s="91">
        <f>SUMIFS(tabela_registros[VALOR],tabela_registros[MÊS],$AE$1,tabela_registros[DIA],investirrendavariávelconsolidadojun[[#Headers],[26]],tabela_registros[REGISTRO],DADOS!$N$5,tabela_registros[TIPO],DADOS!$AB$4,tabela_registros[CATEGORIA],investirrendavariávelconsolidadojun[[#This Row],[ATUAL]])</f>
        <v>0</v>
      </c>
      <c r="AE136" s="91">
        <f>SUMIFS(tabela_registros[VALOR],tabela_registros[MÊS],$AE$1,tabela_registros[DIA],investirrendavariávelconsolidadojun[[#Headers],[27]],tabela_registros[REGISTRO],DADOS!$N$5,tabela_registros[TIPO],DADOS!$AB$4,tabela_registros[CATEGORIA],investirrendavariávelconsolidadojun[[#This Row],[ATUAL]])</f>
        <v>0</v>
      </c>
      <c r="AF136" s="91">
        <f>SUMIFS(tabela_registros[VALOR],tabela_registros[MÊS],$AE$1,tabela_registros[DIA],investirrendavariávelconsolidadojun[[#Headers],[28]],tabela_registros[REGISTRO],DADOS!$N$5,tabela_registros[TIPO],DADOS!$AB$4,tabela_registros[CATEGORIA],investirrendavariávelconsolidadojun[[#This Row],[ATUAL]])</f>
        <v>0</v>
      </c>
      <c r="AG136" s="91">
        <f>SUMIFS(tabela_registros[VALOR],tabela_registros[MÊS],$AE$1,tabela_registros[DIA],investirrendavariávelconsolidadojun[[#Headers],[29]],tabela_registros[REGISTRO],DADOS!$N$5,tabela_registros[TIPO],DADOS!$AB$4,tabela_registros[CATEGORIA],investirrendavariávelconsolidadojun[[#This Row],[ATUAL]])</f>
        <v>0</v>
      </c>
      <c r="AH136" s="91">
        <f>SUMIFS(tabela_registros[VALOR],tabela_registros[MÊS],$AE$1,tabela_registros[DIA],investirrendavariávelconsolidadojun[[#Headers],[30]],tabela_registros[REGISTRO],DADOS!$N$5,tabela_registros[TIPO],DADOS!$AB$4,tabela_registros[CATEGORIA],investirrendavariávelconsolidadojun[[#This Row],[ATUAL]])</f>
        <v>0</v>
      </c>
      <c r="AI136" s="101">
        <f>SUMIFS(tabela_registros[VALOR],tabela_registros[MÊS],$AE$1,tabela_registros[DIA],investirrendavariávelconsolidadojun[[#Headers],[31]],tabela_registros[REGISTRO],DADOS!$N$5,tabela_registros[TIPO],DADOS!$AB$4,tabela_registros[CATEGORIA],investirrendavariávelconsolidadojun[[#This Row],[ATUAL]])</f>
        <v>0</v>
      </c>
      <c r="AJ136" s="97">
        <f>SUM(investirrendavariávelconsolidadojun[[#This Row],[1]:[31]])</f>
        <v>0</v>
      </c>
      <c r="AK136" s="25"/>
    </row>
    <row r="137" spans="2:37" ht="19.5" customHeight="1" thickTop="1" thickBot="1" x14ac:dyDescent="0.3">
      <c r="B137" s="28"/>
      <c r="C137" s="27" t="str">
        <f>DADOS!$AF$8</f>
        <v>📝 ETF</v>
      </c>
      <c r="D137" s="26" t="str">
        <f>IF(investirrendavariávelconsolidadojun[[#This Row],[TOTAL (R$)]]=0,"",IF(OR(investirrendavariávelconsolidadojun[[#This Row],[TOTAL (R$)]]=LARGE($AJ$132:$AJ$141,1),investirrendavariávelconsolidadojun[[#This Row],[TOTAL (R$)]]=LARGE($AJ$132:$AJ$141,2)),DADOS!$I$10,""))</f>
        <v/>
      </c>
      <c r="E137" s="96">
        <f>SUMIFS(tabela_registros[VALOR],tabela_registros[MÊS],$AE$1,tabela_registros[DIA],investirrendavariávelconsolidadojun[[#Headers],[1]],tabela_registros[REGISTRO],DADOS!$N$5,tabela_registros[TIPO],DADOS!$AB$4,tabela_registros[CATEGORIA],investirrendavariávelconsolidadojun[[#This Row],[ATUAL]])</f>
        <v>0</v>
      </c>
      <c r="F137" s="91">
        <f>SUMIFS(tabela_registros[VALOR],tabela_registros[MÊS],$AE$1,tabela_registros[DIA],investirrendavariávelconsolidadojun[[#Headers],[2]],tabela_registros[REGISTRO],DADOS!$N$5,tabela_registros[TIPO],DADOS!$AB$4,tabela_registros[CATEGORIA],investirrendavariávelconsolidadojun[[#This Row],[ATUAL]])</f>
        <v>0</v>
      </c>
      <c r="G137" s="91">
        <f>SUMIFS(tabela_registros[VALOR],tabela_registros[MÊS],$AE$1,tabela_registros[DIA],investirrendavariávelconsolidadojun[[#Headers],[3]],tabela_registros[REGISTRO],DADOS!$N$5,tabela_registros[TIPO],DADOS!$AB$4,tabela_registros[CATEGORIA],investirrendavariávelconsolidadojun[[#This Row],[ATUAL]])</f>
        <v>0</v>
      </c>
      <c r="H137" s="91">
        <f>SUMIFS(tabela_registros[VALOR],tabela_registros[MÊS],$AE$1,tabela_registros[DIA],investirrendavariávelconsolidadojun[[#Headers],[4]],tabela_registros[REGISTRO],DADOS!$N$5,tabela_registros[TIPO],DADOS!$AB$4,tabela_registros[CATEGORIA],investirrendavariávelconsolidadojun[[#This Row],[ATUAL]])</f>
        <v>0</v>
      </c>
      <c r="I137" s="91">
        <f>SUMIFS(tabela_registros[VALOR],tabela_registros[MÊS],$AE$1,tabela_registros[DIA],investirrendavariávelconsolidadojun[[#Headers],[5]],tabela_registros[REGISTRO],DADOS!$N$5,tabela_registros[TIPO],DADOS!$AB$4,tabela_registros[CATEGORIA],investirrendavariávelconsolidadojun[[#This Row],[ATUAL]])</f>
        <v>0</v>
      </c>
      <c r="J137" s="91">
        <f>SUMIFS(tabela_registros[VALOR],tabela_registros[MÊS],$AE$1,tabela_registros[DIA],investirrendavariávelconsolidadojun[[#Headers],[6]],tabela_registros[REGISTRO],DADOS!$N$5,tabela_registros[TIPO],DADOS!$AB$4,tabela_registros[CATEGORIA],investirrendavariávelconsolidadojun[[#This Row],[ATUAL]])</f>
        <v>0</v>
      </c>
      <c r="K137" s="91">
        <f>SUMIFS(tabela_registros[VALOR],tabela_registros[MÊS],$AE$1,tabela_registros[DIA],investirrendavariávelconsolidadojun[[#Headers],[7]],tabela_registros[REGISTRO],DADOS!$N$5,tabela_registros[TIPO],DADOS!$AB$4,tabela_registros[CATEGORIA],investirrendavariávelconsolidadojun[[#This Row],[ATUAL]])</f>
        <v>0</v>
      </c>
      <c r="L137" s="91">
        <f>SUMIFS(tabela_registros[VALOR],tabela_registros[MÊS],$AE$1,tabela_registros[DIA],investirrendavariávelconsolidadojun[[#Headers],[8]],tabela_registros[REGISTRO],DADOS!$N$5,tabela_registros[TIPO],DADOS!$AB$4,tabela_registros[CATEGORIA],investirrendavariávelconsolidadojun[[#This Row],[ATUAL]])</f>
        <v>0</v>
      </c>
      <c r="M137" s="91">
        <f>SUMIFS(tabela_registros[VALOR],tabela_registros[MÊS],$AE$1,tabela_registros[DIA],investirrendavariávelconsolidadojun[[#Headers],[9]],tabela_registros[REGISTRO],DADOS!$N$5,tabela_registros[TIPO],DADOS!$AB$4,tabela_registros[CATEGORIA],investirrendavariávelconsolidadojun[[#This Row],[ATUAL]])</f>
        <v>0</v>
      </c>
      <c r="N137" s="91">
        <f>SUMIFS(tabela_registros[VALOR],tabela_registros[MÊS],$AE$1,tabela_registros[DIA],investirrendavariávelconsolidadojun[[#Headers],[10]],tabela_registros[REGISTRO],DADOS!$N$5,tabela_registros[TIPO],DADOS!$AB$4,tabela_registros[CATEGORIA],investirrendavariávelconsolidadojun[[#This Row],[ATUAL]])</f>
        <v>0</v>
      </c>
      <c r="O137" s="91">
        <f>SUMIFS(tabela_registros[VALOR],tabela_registros[MÊS],$AE$1,tabela_registros[DIA],investirrendavariávelconsolidadojun[[#Headers],[11]],tabela_registros[REGISTRO],DADOS!$N$5,tabela_registros[TIPO],DADOS!$AB$4,tabela_registros[CATEGORIA],investirrendavariávelconsolidadojun[[#This Row],[ATUAL]])</f>
        <v>0</v>
      </c>
      <c r="P137" s="91">
        <f>SUMIFS(tabela_registros[VALOR],tabela_registros[MÊS],$AE$1,tabela_registros[DIA],investirrendavariávelconsolidadojun[[#Headers],[12]],tabela_registros[REGISTRO],DADOS!$N$5,tabela_registros[TIPO],DADOS!$AB$4,tabela_registros[CATEGORIA],investirrendavariávelconsolidadojun[[#This Row],[ATUAL]])</f>
        <v>0</v>
      </c>
      <c r="Q137" s="91">
        <f>SUMIFS(tabela_registros[VALOR],tabela_registros[MÊS],$AE$1,tabela_registros[DIA],investirrendavariávelconsolidadojun[[#Headers],[13]],tabela_registros[REGISTRO],DADOS!$N$5,tabela_registros[TIPO],DADOS!$AB$4,tabela_registros[CATEGORIA],investirrendavariávelconsolidadojun[[#This Row],[ATUAL]])</f>
        <v>0</v>
      </c>
      <c r="R137" s="91">
        <f>SUMIFS(tabela_registros[VALOR],tabela_registros[MÊS],$AE$1,tabela_registros[DIA],investirrendavariávelconsolidadojun[[#Headers],[14]],tabela_registros[REGISTRO],DADOS!$N$5,tabela_registros[TIPO],DADOS!$AB$4,tabela_registros[CATEGORIA],investirrendavariávelconsolidadojun[[#This Row],[ATUAL]])</f>
        <v>0</v>
      </c>
      <c r="S137" s="91">
        <f>SUMIFS(tabela_registros[VALOR],tabela_registros[MÊS],$AE$1,tabela_registros[DIA],investirrendavariávelconsolidadojun[[#Headers],[15]],tabela_registros[REGISTRO],DADOS!$N$5,tabela_registros[TIPO],DADOS!$AB$4,tabela_registros[CATEGORIA],investirrendavariávelconsolidadojun[[#This Row],[ATUAL]])</f>
        <v>0</v>
      </c>
      <c r="T137" s="91">
        <f>SUMIFS(tabela_registros[VALOR],tabela_registros[MÊS],$AE$1,tabela_registros[DIA],investirrendavariávelconsolidadojun[[#Headers],[16]],tabela_registros[REGISTRO],DADOS!$N$5,tabela_registros[TIPO],DADOS!$AB$4,tabela_registros[CATEGORIA],investirrendavariávelconsolidadojun[[#This Row],[ATUAL]])</f>
        <v>0</v>
      </c>
      <c r="U137" s="91">
        <f>SUMIFS(tabela_registros[VALOR],tabela_registros[MÊS],$AE$1,tabela_registros[DIA],investirrendavariávelconsolidadojun[[#Headers],[17]],tabela_registros[REGISTRO],DADOS!$N$5,tabela_registros[TIPO],DADOS!$AB$4,tabela_registros[CATEGORIA],investirrendavariávelconsolidadojun[[#This Row],[ATUAL]])</f>
        <v>0</v>
      </c>
      <c r="V137" s="91">
        <f>SUMIFS(tabela_registros[VALOR],tabela_registros[MÊS],$AE$1,tabela_registros[DIA],investirrendavariávelconsolidadojun[[#Headers],[18]],tabela_registros[REGISTRO],DADOS!$N$5,tabela_registros[TIPO],DADOS!$AB$4,tabela_registros[CATEGORIA],investirrendavariávelconsolidadojun[[#This Row],[ATUAL]])</f>
        <v>0</v>
      </c>
      <c r="W137" s="91">
        <f>SUMIFS(tabela_registros[VALOR],tabela_registros[MÊS],$AE$1,tabela_registros[DIA],investirrendavariávelconsolidadojun[[#Headers],[19]],tabela_registros[REGISTRO],DADOS!$N$5,tabela_registros[TIPO],DADOS!$AB$4,tabela_registros[CATEGORIA],investirrendavariávelconsolidadojun[[#This Row],[ATUAL]])</f>
        <v>0</v>
      </c>
      <c r="X137" s="91">
        <f>SUMIFS(tabela_registros[VALOR],tabela_registros[MÊS],$AE$1,tabela_registros[DIA],investirrendavariávelconsolidadojun[[#Headers],[20]],tabela_registros[REGISTRO],DADOS!$N$5,tabela_registros[TIPO],DADOS!$AB$4,tabela_registros[CATEGORIA],investirrendavariávelconsolidadojun[[#This Row],[ATUAL]])</f>
        <v>0</v>
      </c>
      <c r="Y137" s="91">
        <f>SUMIFS(tabela_registros[VALOR],tabela_registros[MÊS],$AE$1,tabela_registros[DIA],investirrendavariávelconsolidadojun[[#Headers],[21]],tabela_registros[REGISTRO],DADOS!$N$5,tabela_registros[TIPO],DADOS!$AB$4,tabela_registros[CATEGORIA],investirrendavariávelconsolidadojun[[#This Row],[ATUAL]])</f>
        <v>0</v>
      </c>
      <c r="Z137" s="91">
        <f>SUMIFS(tabela_registros[VALOR],tabela_registros[MÊS],$AE$1,tabela_registros[DIA],investirrendavariávelconsolidadojun[[#Headers],[22]],tabela_registros[REGISTRO],DADOS!$N$5,tabela_registros[TIPO],DADOS!$AB$4,tabela_registros[CATEGORIA],investirrendavariávelconsolidadojun[[#This Row],[ATUAL]])</f>
        <v>0</v>
      </c>
      <c r="AA137" s="91">
        <f>SUMIFS(tabela_registros[VALOR],tabela_registros[MÊS],$AE$1,tabela_registros[DIA],investirrendavariávelconsolidadojun[[#Headers],[23]],tabela_registros[REGISTRO],DADOS!$N$5,tabela_registros[TIPO],DADOS!$AB$4,tabela_registros[CATEGORIA],investirrendavariávelconsolidadojun[[#This Row],[ATUAL]])</f>
        <v>0</v>
      </c>
      <c r="AB137" s="91">
        <f>SUMIFS(tabela_registros[VALOR],tabela_registros[MÊS],$AE$1,tabela_registros[DIA],investirrendavariávelconsolidadojun[[#Headers],[24]],tabela_registros[REGISTRO],DADOS!$N$5,tabela_registros[TIPO],DADOS!$AB$4,tabela_registros[CATEGORIA],investirrendavariávelconsolidadojun[[#This Row],[ATUAL]])</f>
        <v>0</v>
      </c>
      <c r="AC137" s="91">
        <f>SUMIFS(tabela_registros[VALOR],tabela_registros[MÊS],$AE$1,tabela_registros[DIA],investirrendavariávelconsolidadojun[[#Headers],[25]],tabela_registros[REGISTRO],DADOS!$N$5,tabela_registros[TIPO],DADOS!$AB$4,tabela_registros[CATEGORIA],investirrendavariávelconsolidadojun[[#This Row],[ATUAL]])</f>
        <v>0</v>
      </c>
      <c r="AD137" s="91">
        <f>SUMIFS(tabela_registros[VALOR],tabela_registros[MÊS],$AE$1,tabela_registros[DIA],investirrendavariávelconsolidadojun[[#Headers],[26]],tabela_registros[REGISTRO],DADOS!$N$5,tabela_registros[TIPO],DADOS!$AB$4,tabela_registros[CATEGORIA],investirrendavariávelconsolidadojun[[#This Row],[ATUAL]])</f>
        <v>0</v>
      </c>
      <c r="AE137" s="91">
        <f>SUMIFS(tabela_registros[VALOR],tabela_registros[MÊS],$AE$1,tabela_registros[DIA],investirrendavariávelconsolidadojun[[#Headers],[27]],tabela_registros[REGISTRO],DADOS!$N$5,tabela_registros[TIPO],DADOS!$AB$4,tabela_registros[CATEGORIA],investirrendavariávelconsolidadojun[[#This Row],[ATUAL]])</f>
        <v>0</v>
      </c>
      <c r="AF137" s="91">
        <f>SUMIFS(tabela_registros[VALOR],tabela_registros[MÊS],$AE$1,tabela_registros[DIA],investirrendavariávelconsolidadojun[[#Headers],[28]],tabela_registros[REGISTRO],DADOS!$N$5,tabela_registros[TIPO],DADOS!$AB$4,tabela_registros[CATEGORIA],investirrendavariávelconsolidadojun[[#This Row],[ATUAL]])</f>
        <v>0</v>
      </c>
      <c r="AG137" s="91">
        <f>SUMIFS(tabela_registros[VALOR],tabela_registros[MÊS],$AE$1,tabela_registros[DIA],investirrendavariávelconsolidadojun[[#Headers],[29]],tabela_registros[REGISTRO],DADOS!$N$5,tabela_registros[TIPO],DADOS!$AB$4,tabela_registros[CATEGORIA],investirrendavariávelconsolidadojun[[#This Row],[ATUAL]])</f>
        <v>0</v>
      </c>
      <c r="AH137" s="91">
        <f>SUMIFS(tabela_registros[VALOR],tabela_registros[MÊS],$AE$1,tabela_registros[DIA],investirrendavariávelconsolidadojun[[#Headers],[30]],tabela_registros[REGISTRO],DADOS!$N$5,tabela_registros[TIPO],DADOS!$AB$4,tabela_registros[CATEGORIA],investirrendavariávelconsolidadojun[[#This Row],[ATUAL]])</f>
        <v>0</v>
      </c>
      <c r="AI137" s="101">
        <f>SUMIFS(tabela_registros[VALOR],tabela_registros[MÊS],$AE$1,tabela_registros[DIA],investirrendavariávelconsolidadojun[[#Headers],[31]],tabela_registros[REGISTRO],DADOS!$N$5,tabela_registros[TIPO],DADOS!$AB$4,tabela_registros[CATEGORIA],investirrendavariávelconsolidadojun[[#This Row],[ATUAL]])</f>
        <v>0</v>
      </c>
      <c r="AJ137" s="97">
        <f>SUM(investirrendavariávelconsolidadojun[[#This Row],[1]:[31]])</f>
        <v>0</v>
      </c>
      <c r="AK137" s="25"/>
    </row>
    <row r="138" spans="2:37" ht="19.5" customHeight="1" thickTop="1" thickBot="1" x14ac:dyDescent="0.3">
      <c r="B138" s="28"/>
      <c r="C138" s="27" t="str">
        <f>DADOS!$AF$9</f>
        <v>📝 EXTERIOR</v>
      </c>
      <c r="D138" s="26" t="str">
        <f>IF(investirrendavariávelconsolidadojun[[#This Row],[TOTAL (R$)]]=0,"",IF(OR(investirrendavariávelconsolidadojun[[#This Row],[TOTAL (R$)]]=LARGE($AJ$132:$AJ$141,1),investirrendavariávelconsolidadojun[[#This Row],[TOTAL (R$)]]=LARGE($AJ$132:$AJ$141,2)),DADOS!$I$10,""))</f>
        <v/>
      </c>
      <c r="E138" s="96">
        <f>SUMIFS(tabela_registros[VALOR],tabela_registros[MÊS],$AE$1,tabela_registros[DIA],investirrendavariávelconsolidadojun[[#Headers],[1]],tabela_registros[REGISTRO],DADOS!$N$5,tabela_registros[TIPO],DADOS!$AB$4,tabela_registros[CATEGORIA],investirrendavariávelconsolidadojun[[#This Row],[ATUAL]])</f>
        <v>0</v>
      </c>
      <c r="F138" s="91">
        <f>SUMIFS(tabela_registros[VALOR],tabela_registros[MÊS],$AE$1,tabela_registros[DIA],investirrendavariávelconsolidadojun[[#Headers],[2]],tabela_registros[REGISTRO],DADOS!$N$5,tabela_registros[TIPO],DADOS!$AB$4,tabela_registros[CATEGORIA],investirrendavariávelconsolidadojun[[#This Row],[ATUAL]])</f>
        <v>0</v>
      </c>
      <c r="G138" s="91">
        <f>SUMIFS(tabela_registros[VALOR],tabela_registros[MÊS],$AE$1,tabela_registros[DIA],investirrendavariávelconsolidadojun[[#Headers],[3]],tabela_registros[REGISTRO],DADOS!$N$5,tabela_registros[TIPO],DADOS!$AB$4,tabela_registros[CATEGORIA],investirrendavariávelconsolidadojun[[#This Row],[ATUAL]])</f>
        <v>0</v>
      </c>
      <c r="H138" s="91">
        <f>SUMIFS(tabela_registros[VALOR],tabela_registros[MÊS],$AE$1,tabela_registros[DIA],investirrendavariávelconsolidadojun[[#Headers],[4]],tabela_registros[REGISTRO],DADOS!$N$5,tabela_registros[TIPO],DADOS!$AB$4,tabela_registros[CATEGORIA],investirrendavariávelconsolidadojun[[#This Row],[ATUAL]])</f>
        <v>0</v>
      </c>
      <c r="I138" s="91">
        <f>SUMIFS(tabela_registros[VALOR],tabela_registros[MÊS],$AE$1,tabela_registros[DIA],investirrendavariávelconsolidadojun[[#Headers],[5]],tabela_registros[REGISTRO],DADOS!$N$5,tabela_registros[TIPO],DADOS!$AB$4,tabela_registros[CATEGORIA],investirrendavariávelconsolidadojun[[#This Row],[ATUAL]])</f>
        <v>0</v>
      </c>
      <c r="J138" s="91">
        <f>SUMIFS(tabela_registros[VALOR],tabela_registros[MÊS],$AE$1,tabela_registros[DIA],investirrendavariávelconsolidadojun[[#Headers],[6]],tabela_registros[REGISTRO],DADOS!$N$5,tabela_registros[TIPO],DADOS!$AB$4,tabela_registros[CATEGORIA],investirrendavariávelconsolidadojun[[#This Row],[ATUAL]])</f>
        <v>0</v>
      </c>
      <c r="K138" s="91">
        <f>SUMIFS(tabela_registros[VALOR],tabela_registros[MÊS],$AE$1,tabela_registros[DIA],investirrendavariávelconsolidadojun[[#Headers],[7]],tabela_registros[REGISTRO],DADOS!$N$5,tabela_registros[TIPO],DADOS!$AB$4,tabela_registros[CATEGORIA],investirrendavariávelconsolidadojun[[#This Row],[ATUAL]])</f>
        <v>0</v>
      </c>
      <c r="L138" s="91">
        <f>SUMIFS(tabela_registros[VALOR],tabela_registros[MÊS],$AE$1,tabela_registros[DIA],investirrendavariávelconsolidadojun[[#Headers],[8]],tabela_registros[REGISTRO],DADOS!$N$5,tabela_registros[TIPO],DADOS!$AB$4,tabela_registros[CATEGORIA],investirrendavariávelconsolidadojun[[#This Row],[ATUAL]])</f>
        <v>0</v>
      </c>
      <c r="M138" s="91">
        <f>SUMIFS(tabela_registros[VALOR],tabela_registros[MÊS],$AE$1,tabela_registros[DIA],investirrendavariávelconsolidadojun[[#Headers],[9]],tabela_registros[REGISTRO],DADOS!$N$5,tabela_registros[TIPO],DADOS!$AB$4,tabela_registros[CATEGORIA],investirrendavariávelconsolidadojun[[#This Row],[ATUAL]])</f>
        <v>0</v>
      </c>
      <c r="N138" s="91">
        <f>SUMIFS(tabela_registros[VALOR],tabela_registros[MÊS],$AE$1,tabela_registros[DIA],investirrendavariávelconsolidadojun[[#Headers],[10]],tabela_registros[REGISTRO],DADOS!$N$5,tabela_registros[TIPO],DADOS!$AB$4,tabela_registros[CATEGORIA],investirrendavariávelconsolidadojun[[#This Row],[ATUAL]])</f>
        <v>0</v>
      </c>
      <c r="O138" s="91">
        <f>SUMIFS(tabela_registros[VALOR],tabela_registros[MÊS],$AE$1,tabela_registros[DIA],investirrendavariávelconsolidadojun[[#Headers],[11]],tabela_registros[REGISTRO],DADOS!$N$5,tabela_registros[TIPO],DADOS!$AB$4,tabela_registros[CATEGORIA],investirrendavariávelconsolidadojun[[#This Row],[ATUAL]])</f>
        <v>0</v>
      </c>
      <c r="P138" s="91">
        <f>SUMIFS(tabela_registros[VALOR],tabela_registros[MÊS],$AE$1,tabela_registros[DIA],investirrendavariávelconsolidadojun[[#Headers],[12]],tabela_registros[REGISTRO],DADOS!$N$5,tabela_registros[TIPO],DADOS!$AB$4,tabela_registros[CATEGORIA],investirrendavariávelconsolidadojun[[#This Row],[ATUAL]])</f>
        <v>0</v>
      </c>
      <c r="Q138" s="91">
        <f>SUMIFS(tabela_registros[VALOR],tabela_registros[MÊS],$AE$1,tabela_registros[DIA],investirrendavariávelconsolidadojun[[#Headers],[13]],tabela_registros[REGISTRO],DADOS!$N$5,tabela_registros[TIPO],DADOS!$AB$4,tabela_registros[CATEGORIA],investirrendavariávelconsolidadojun[[#This Row],[ATUAL]])</f>
        <v>0</v>
      </c>
      <c r="R138" s="91">
        <f>SUMIFS(tabela_registros[VALOR],tabela_registros[MÊS],$AE$1,tabela_registros[DIA],investirrendavariávelconsolidadojun[[#Headers],[14]],tabela_registros[REGISTRO],DADOS!$N$5,tabela_registros[TIPO],DADOS!$AB$4,tabela_registros[CATEGORIA],investirrendavariávelconsolidadojun[[#This Row],[ATUAL]])</f>
        <v>0</v>
      </c>
      <c r="S138" s="91">
        <f>SUMIFS(tabela_registros[VALOR],tabela_registros[MÊS],$AE$1,tabela_registros[DIA],investirrendavariávelconsolidadojun[[#Headers],[15]],tabela_registros[REGISTRO],DADOS!$N$5,tabela_registros[TIPO],DADOS!$AB$4,tabela_registros[CATEGORIA],investirrendavariávelconsolidadojun[[#This Row],[ATUAL]])</f>
        <v>0</v>
      </c>
      <c r="T138" s="91">
        <f>SUMIFS(tabela_registros[VALOR],tabela_registros[MÊS],$AE$1,tabela_registros[DIA],investirrendavariávelconsolidadojun[[#Headers],[16]],tabela_registros[REGISTRO],DADOS!$N$5,tabela_registros[TIPO],DADOS!$AB$4,tabela_registros[CATEGORIA],investirrendavariávelconsolidadojun[[#This Row],[ATUAL]])</f>
        <v>0</v>
      </c>
      <c r="U138" s="91">
        <f>SUMIFS(tabela_registros[VALOR],tabela_registros[MÊS],$AE$1,tabela_registros[DIA],investirrendavariávelconsolidadojun[[#Headers],[17]],tabela_registros[REGISTRO],DADOS!$N$5,tabela_registros[TIPO],DADOS!$AB$4,tabela_registros[CATEGORIA],investirrendavariávelconsolidadojun[[#This Row],[ATUAL]])</f>
        <v>0</v>
      </c>
      <c r="V138" s="91">
        <f>SUMIFS(tabela_registros[VALOR],tabela_registros[MÊS],$AE$1,tabela_registros[DIA],investirrendavariávelconsolidadojun[[#Headers],[18]],tabela_registros[REGISTRO],DADOS!$N$5,tabela_registros[TIPO],DADOS!$AB$4,tabela_registros[CATEGORIA],investirrendavariávelconsolidadojun[[#This Row],[ATUAL]])</f>
        <v>0</v>
      </c>
      <c r="W138" s="91">
        <f>SUMIFS(tabela_registros[VALOR],tabela_registros[MÊS],$AE$1,tabela_registros[DIA],investirrendavariávelconsolidadojun[[#Headers],[19]],tabela_registros[REGISTRO],DADOS!$N$5,tabela_registros[TIPO],DADOS!$AB$4,tabela_registros[CATEGORIA],investirrendavariávelconsolidadojun[[#This Row],[ATUAL]])</f>
        <v>0</v>
      </c>
      <c r="X138" s="91">
        <f>SUMIFS(tabela_registros[VALOR],tabela_registros[MÊS],$AE$1,tabela_registros[DIA],investirrendavariávelconsolidadojun[[#Headers],[20]],tabela_registros[REGISTRO],DADOS!$N$5,tabela_registros[TIPO],DADOS!$AB$4,tabela_registros[CATEGORIA],investirrendavariávelconsolidadojun[[#This Row],[ATUAL]])</f>
        <v>0</v>
      </c>
      <c r="Y138" s="91">
        <f>SUMIFS(tabela_registros[VALOR],tabela_registros[MÊS],$AE$1,tabela_registros[DIA],investirrendavariávelconsolidadojun[[#Headers],[21]],tabela_registros[REGISTRO],DADOS!$N$5,tabela_registros[TIPO],DADOS!$AB$4,tabela_registros[CATEGORIA],investirrendavariávelconsolidadojun[[#This Row],[ATUAL]])</f>
        <v>0</v>
      </c>
      <c r="Z138" s="91">
        <f>SUMIFS(tabela_registros[VALOR],tabela_registros[MÊS],$AE$1,tabela_registros[DIA],investirrendavariávelconsolidadojun[[#Headers],[22]],tabela_registros[REGISTRO],DADOS!$N$5,tabela_registros[TIPO],DADOS!$AB$4,tabela_registros[CATEGORIA],investirrendavariávelconsolidadojun[[#This Row],[ATUAL]])</f>
        <v>0</v>
      </c>
      <c r="AA138" s="91">
        <f>SUMIFS(tabela_registros[VALOR],tabela_registros[MÊS],$AE$1,tabela_registros[DIA],investirrendavariávelconsolidadojun[[#Headers],[23]],tabela_registros[REGISTRO],DADOS!$N$5,tabela_registros[TIPO],DADOS!$AB$4,tabela_registros[CATEGORIA],investirrendavariávelconsolidadojun[[#This Row],[ATUAL]])</f>
        <v>0</v>
      </c>
      <c r="AB138" s="91">
        <f>SUMIFS(tabela_registros[VALOR],tabela_registros[MÊS],$AE$1,tabela_registros[DIA],investirrendavariávelconsolidadojun[[#Headers],[24]],tabela_registros[REGISTRO],DADOS!$N$5,tabela_registros[TIPO],DADOS!$AB$4,tabela_registros[CATEGORIA],investirrendavariávelconsolidadojun[[#This Row],[ATUAL]])</f>
        <v>0</v>
      </c>
      <c r="AC138" s="91">
        <f>SUMIFS(tabela_registros[VALOR],tabela_registros[MÊS],$AE$1,tabela_registros[DIA],investirrendavariávelconsolidadojun[[#Headers],[25]],tabela_registros[REGISTRO],DADOS!$N$5,tabela_registros[TIPO],DADOS!$AB$4,tabela_registros[CATEGORIA],investirrendavariávelconsolidadojun[[#This Row],[ATUAL]])</f>
        <v>0</v>
      </c>
      <c r="AD138" s="91">
        <f>SUMIFS(tabela_registros[VALOR],tabela_registros[MÊS],$AE$1,tabela_registros[DIA],investirrendavariávelconsolidadojun[[#Headers],[26]],tabela_registros[REGISTRO],DADOS!$N$5,tabela_registros[TIPO],DADOS!$AB$4,tabela_registros[CATEGORIA],investirrendavariávelconsolidadojun[[#This Row],[ATUAL]])</f>
        <v>0</v>
      </c>
      <c r="AE138" s="91">
        <f>SUMIFS(tabela_registros[VALOR],tabela_registros[MÊS],$AE$1,tabela_registros[DIA],investirrendavariávelconsolidadojun[[#Headers],[27]],tabela_registros[REGISTRO],DADOS!$N$5,tabela_registros[TIPO],DADOS!$AB$4,tabela_registros[CATEGORIA],investirrendavariávelconsolidadojun[[#This Row],[ATUAL]])</f>
        <v>0</v>
      </c>
      <c r="AF138" s="91">
        <f>SUMIFS(tabela_registros[VALOR],tabela_registros[MÊS],$AE$1,tabela_registros[DIA],investirrendavariávelconsolidadojun[[#Headers],[28]],tabela_registros[REGISTRO],DADOS!$N$5,tabela_registros[TIPO],DADOS!$AB$4,tabela_registros[CATEGORIA],investirrendavariávelconsolidadojun[[#This Row],[ATUAL]])</f>
        <v>0</v>
      </c>
      <c r="AG138" s="91">
        <f>SUMIFS(tabela_registros[VALOR],tabela_registros[MÊS],$AE$1,tabela_registros[DIA],investirrendavariávelconsolidadojun[[#Headers],[29]],tabela_registros[REGISTRO],DADOS!$N$5,tabela_registros[TIPO],DADOS!$AB$4,tabela_registros[CATEGORIA],investirrendavariávelconsolidadojun[[#This Row],[ATUAL]])</f>
        <v>0</v>
      </c>
      <c r="AH138" s="91">
        <f>SUMIFS(tabela_registros[VALOR],tabela_registros[MÊS],$AE$1,tabela_registros[DIA],investirrendavariávelconsolidadojun[[#Headers],[30]],tabela_registros[REGISTRO],DADOS!$N$5,tabela_registros[TIPO],DADOS!$AB$4,tabela_registros[CATEGORIA],investirrendavariávelconsolidadojun[[#This Row],[ATUAL]])</f>
        <v>0</v>
      </c>
      <c r="AI138" s="101">
        <f>SUMIFS(tabela_registros[VALOR],tabela_registros[MÊS],$AE$1,tabela_registros[DIA],investirrendavariávelconsolidadojun[[#Headers],[31]],tabela_registros[REGISTRO],DADOS!$N$5,tabela_registros[TIPO],DADOS!$AB$4,tabela_registros[CATEGORIA],investirrendavariávelconsolidadojun[[#This Row],[ATUAL]])</f>
        <v>0</v>
      </c>
      <c r="AJ138" s="97">
        <f>SUM(investirrendavariávelconsolidadojun[[#This Row],[1]:[31]])</f>
        <v>0</v>
      </c>
      <c r="AK138" s="25"/>
    </row>
    <row r="139" spans="2:37" ht="19.5" customHeight="1" thickTop="1" thickBot="1" x14ac:dyDescent="0.3">
      <c r="B139" s="28"/>
      <c r="C139" s="27" t="str">
        <f>DADOS!$AF$10</f>
        <v>📝 FII</v>
      </c>
      <c r="D139" s="26" t="str">
        <f>IF(investirrendavariávelconsolidadojun[[#This Row],[TOTAL (R$)]]=0,"",IF(OR(investirrendavariávelconsolidadojun[[#This Row],[TOTAL (R$)]]=LARGE($AJ$132:$AJ$141,1),investirrendavariávelconsolidadojun[[#This Row],[TOTAL (R$)]]=LARGE($AJ$132:$AJ$141,2)),DADOS!$I$10,""))</f>
        <v/>
      </c>
      <c r="E139" s="96">
        <f>SUMIFS(tabela_registros[VALOR],tabela_registros[MÊS],$AE$1,tabela_registros[DIA],investirrendavariávelconsolidadojun[[#Headers],[1]],tabela_registros[REGISTRO],DADOS!$N$5,tabela_registros[TIPO],DADOS!$AB$4,tabela_registros[CATEGORIA],investirrendavariávelconsolidadojun[[#This Row],[ATUAL]])</f>
        <v>0</v>
      </c>
      <c r="F139" s="91">
        <f>SUMIFS(tabela_registros[VALOR],tabela_registros[MÊS],$AE$1,tabela_registros[DIA],investirrendavariávelconsolidadojun[[#Headers],[2]],tabela_registros[REGISTRO],DADOS!$N$5,tabela_registros[TIPO],DADOS!$AB$4,tabela_registros[CATEGORIA],investirrendavariávelconsolidadojun[[#This Row],[ATUAL]])</f>
        <v>0</v>
      </c>
      <c r="G139" s="91">
        <f>SUMIFS(tabela_registros[VALOR],tabela_registros[MÊS],$AE$1,tabela_registros[DIA],investirrendavariávelconsolidadojun[[#Headers],[3]],tabela_registros[REGISTRO],DADOS!$N$5,tabela_registros[TIPO],DADOS!$AB$4,tabela_registros[CATEGORIA],investirrendavariávelconsolidadojun[[#This Row],[ATUAL]])</f>
        <v>0</v>
      </c>
      <c r="H139" s="91">
        <f>SUMIFS(tabela_registros[VALOR],tabela_registros[MÊS],$AE$1,tabela_registros[DIA],investirrendavariávelconsolidadojun[[#Headers],[4]],tabela_registros[REGISTRO],DADOS!$N$5,tabela_registros[TIPO],DADOS!$AB$4,tabela_registros[CATEGORIA],investirrendavariávelconsolidadojun[[#This Row],[ATUAL]])</f>
        <v>0</v>
      </c>
      <c r="I139" s="91">
        <f>SUMIFS(tabela_registros[VALOR],tabela_registros[MÊS],$AE$1,tabela_registros[DIA],investirrendavariávelconsolidadojun[[#Headers],[5]],tabela_registros[REGISTRO],DADOS!$N$5,tabela_registros[TIPO],DADOS!$AB$4,tabela_registros[CATEGORIA],investirrendavariávelconsolidadojun[[#This Row],[ATUAL]])</f>
        <v>0</v>
      </c>
      <c r="J139" s="91">
        <f>SUMIFS(tabela_registros[VALOR],tabela_registros[MÊS],$AE$1,tabela_registros[DIA],investirrendavariávelconsolidadojun[[#Headers],[6]],tabela_registros[REGISTRO],DADOS!$N$5,tabela_registros[TIPO],DADOS!$AB$4,tabela_registros[CATEGORIA],investirrendavariávelconsolidadojun[[#This Row],[ATUAL]])</f>
        <v>0</v>
      </c>
      <c r="K139" s="91">
        <f>SUMIFS(tabela_registros[VALOR],tabela_registros[MÊS],$AE$1,tabela_registros[DIA],investirrendavariávelconsolidadojun[[#Headers],[7]],tabela_registros[REGISTRO],DADOS!$N$5,tabela_registros[TIPO],DADOS!$AB$4,tabela_registros[CATEGORIA],investirrendavariávelconsolidadojun[[#This Row],[ATUAL]])</f>
        <v>0</v>
      </c>
      <c r="L139" s="91">
        <f>SUMIFS(tabela_registros[VALOR],tabela_registros[MÊS],$AE$1,tabela_registros[DIA],investirrendavariávelconsolidadojun[[#Headers],[8]],tabela_registros[REGISTRO],DADOS!$N$5,tabela_registros[TIPO],DADOS!$AB$4,tabela_registros[CATEGORIA],investirrendavariávelconsolidadojun[[#This Row],[ATUAL]])</f>
        <v>0</v>
      </c>
      <c r="M139" s="91">
        <f>SUMIFS(tabela_registros[VALOR],tabela_registros[MÊS],$AE$1,tabela_registros[DIA],investirrendavariávelconsolidadojun[[#Headers],[9]],tabela_registros[REGISTRO],DADOS!$N$5,tabela_registros[TIPO],DADOS!$AB$4,tabela_registros[CATEGORIA],investirrendavariávelconsolidadojun[[#This Row],[ATUAL]])</f>
        <v>0</v>
      </c>
      <c r="N139" s="91">
        <f>SUMIFS(tabela_registros[VALOR],tabela_registros[MÊS],$AE$1,tabela_registros[DIA],investirrendavariávelconsolidadojun[[#Headers],[10]],tabela_registros[REGISTRO],DADOS!$N$5,tabela_registros[TIPO],DADOS!$AB$4,tabela_registros[CATEGORIA],investirrendavariávelconsolidadojun[[#This Row],[ATUAL]])</f>
        <v>0</v>
      </c>
      <c r="O139" s="91">
        <f>SUMIFS(tabela_registros[VALOR],tabela_registros[MÊS],$AE$1,tabela_registros[DIA],investirrendavariávelconsolidadojun[[#Headers],[11]],tabela_registros[REGISTRO],DADOS!$N$5,tabela_registros[TIPO],DADOS!$AB$4,tabela_registros[CATEGORIA],investirrendavariávelconsolidadojun[[#This Row],[ATUAL]])</f>
        <v>0</v>
      </c>
      <c r="P139" s="91">
        <f>SUMIFS(tabela_registros[VALOR],tabela_registros[MÊS],$AE$1,tabela_registros[DIA],investirrendavariávelconsolidadojun[[#Headers],[12]],tabela_registros[REGISTRO],DADOS!$N$5,tabela_registros[TIPO],DADOS!$AB$4,tabela_registros[CATEGORIA],investirrendavariávelconsolidadojun[[#This Row],[ATUAL]])</f>
        <v>0</v>
      </c>
      <c r="Q139" s="91">
        <f>SUMIFS(tabela_registros[VALOR],tabela_registros[MÊS],$AE$1,tabela_registros[DIA],investirrendavariávelconsolidadojun[[#Headers],[13]],tabela_registros[REGISTRO],DADOS!$N$5,tabela_registros[TIPO],DADOS!$AB$4,tabela_registros[CATEGORIA],investirrendavariávelconsolidadojun[[#This Row],[ATUAL]])</f>
        <v>0</v>
      </c>
      <c r="R139" s="91">
        <f>SUMIFS(tabela_registros[VALOR],tabela_registros[MÊS],$AE$1,tabela_registros[DIA],investirrendavariávelconsolidadojun[[#Headers],[14]],tabela_registros[REGISTRO],DADOS!$N$5,tabela_registros[TIPO],DADOS!$AB$4,tabela_registros[CATEGORIA],investirrendavariávelconsolidadojun[[#This Row],[ATUAL]])</f>
        <v>0</v>
      </c>
      <c r="S139" s="91">
        <f>SUMIFS(tabela_registros[VALOR],tabela_registros[MÊS],$AE$1,tabela_registros[DIA],investirrendavariávelconsolidadojun[[#Headers],[15]],tabela_registros[REGISTRO],DADOS!$N$5,tabela_registros[TIPO],DADOS!$AB$4,tabela_registros[CATEGORIA],investirrendavariávelconsolidadojun[[#This Row],[ATUAL]])</f>
        <v>0</v>
      </c>
      <c r="T139" s="91">
        <f>SUMIFS(tabela_registros[VALOR],tabela_registros[MÊS],$AE$1,tabela_registros[DIA],investirrendavariávelconsolidadojun[[#Headers],[16]],tabela_registros[REGISTRO],DADOS!$N$5,tabela_registros[TIPO],DADOS!$AB$4,tabela_registros[CATEGORIA],investirrendavariávelconsolidadojun[[#This Row],[ATUAL]])</f>
        <v>0</v>
      </c>
      <c r="U139" s="91">
        <f>SUMIFS(tabela_registros[VALOR],tabela_registros[MÊS],$AE$1,tabela_registros[DIA],investirrendavariávelconsolidadojun[[#Headers],[17]],tabela_registros[REGISTRO],DADOS!$N$5,tabela_registros[TIPO],DADOS!$AB$4,tabela_registros[CATEGORIA],investirrendavariávelconsolidadojun[[#This Row],[ATUAL]])</f>
        <v>0</v>
      </c>
      <c r="V139" s="91">
        <f>SUMIFS(tabela_registros[VALOR],tabela_registros[MÊS],$AE$1,tabela_registros[DIA],investirrendavariávelconsolidadojun[[#Headers],[18]],tabela_registros[REGISTRO],DADOS!$N$5,tabela_registros[TIPO],DADOS!$AB$4,tabela_registros[CATEGORIA],investirrendavariávelconsolidadojun[[#This Row],[ATUAL]])</f>
        <v>0</v>
      </c>
      <c r="W139" s="91">
        <f>SUMIFS(tabela_registros[VALOR],tabela_registros[MÊS],$AE$1,tabela_registros[DIA],investirrendavariávelconsolidadojun[[#Headers],[19]],tabela_registros[REGISTRO],DADOS!$N$5,tabela_registros[TIPO],DADOS!$AB$4,tabela_registros[CATEGORIA],investirrendavariávelconsolidadojun[[#This Row],[ATUAL]])</f>
        <v>0</v>
      </c>
      <c r="X139" s="91">
        <f>SUMIFS(tabela_registros[VALOR],tabela_registros[MÊS],$AE$1,tabela_registros[DIA],investirrendavariávelconsolidadojun[[#Headers],[20]],tabela_registros[REGISTRO],DADOS!$N$5,tabela_registros[TIPO],DADOS!$AB$4,tabela_registros[CATEGORIA],investirrendavariávelconsolidadojun[[#This Row],[ATUAL]])</f>
        <v>0</v>
      </c>
      <c r="Y139" s="91">
        <f>SUMIFS(tabela_registros[VALOR],tabela_registros[MÊS],$AE$1,tabela_registros[DIA],investirrendavariávelconsolidadojun[[#Headers],[21]],tabela_registros[REGISTRO],DADOS!$N$5,tabela_registros[TIPO],DADOS!$AB$4,tabela_registros[CATEGORIA],investirrendavariávelconsolidadojun[[#This Row],[ATUAL]])</f>
        <v>0</v>
      </c>
      <c r="Z139" s="91">
        <f>SUMIFS(tabela_registros[VALOR],tabela_registros[MÊS],$AE$1,tabela_registros[DIA],investirrendavariávelconsolidadojun[[#Headers],[22]],tabela_registros[REGISTRO],DADOS!$N$5,tabela_registros[TIPO],DADOS!$AB$4,tabela_registros[CATEGORIA],investirrendavariávelconsolidadojun[[#This Row],[ATUAL]])</f>
        <v>0</v>
      </c>
      <c r="AA139" s="91">
        <f>SUMIFS(tabela_registros[VALOR],tabela_registros[MÊS],$AE$1,tabela_registros[DIA],investirrendavariávelconsolidadojun[[#Headers],[23]],tabela_registros[REGISTRO],DADOS!$N$5,tabela_registros[TIPO],DADOS!$AB$4,tabela_registros[CATEGORIA],investirrendavariávelconsolidadojun[[#This Row],[ATUAL]])</f>
        <v>0</v>
      </c>
      <c r="AB139" s="91">
        <f>SUMIFS(tabela_registros[VALOR],tabela_registros[MÊS],$AE$1,tabela_registros[DIA],investirrendavariávelconsolidadojun[[#Headers],[24]],tabela_registros[REGISTRO],DADOS!$N$5,tabela_registros[TIPO],DADOS!$AB$4,tabela_registros[CATEGORIA],investirrendavariávelconsolidadojun[[#This Row],[ATUAL]])</f>
        <v>0</v>
      </c>
      <c r="AC139" s="91">
        <f>SUMIFS(tabela_registros[VALOR],tabela_registros[MÊS],$AE$1,tabela_registros[DIA],investirrendavariávelconsolidadojun[[#Headers],[25]],tabela_registros[REGISTRO],DADOS!$N$5,tabela_registros[TIPO],DADOS!$AB$4,tabela_registros[CATEGORIA],investirrendavariávelconsolidadojun[[#This Row],[ATUAL]])</f>
        <v>0</v>
      </c>
      <c r="AD139" s="91">
        <f>SUMIFS(tabela_registros[VALOR],tabela_registros[MÊS],$AE$1,tabela_registros[DIA],investirrendavariávelconsolidadojun[[#Headers],[26]],tabela_registros[REGISTRO],DADOS!$N$5,tabela_registros[TIPO],DADOS!$AB$4,tabela_registros[CATEGORIA],investirrendavariávelconsolidadojun[[#This Row],[ATUAL]])</f>
        <v>0</v>
      </c>
      <c r="AE139" s="91">
        <f>SUMIFS(tabela_registros[VALOR],tabela_registros[MÊS],$AE$1,tabela_registros[DIA],investirrendavariávelconsolidadojun[[#Headers],[27]],tabela_registros[REGISTRO],DADOS!$N$5,tabela_registros[TIPO],DADOS!$AB$4,tabela_registros[CATEGORIA],investirrendavariávelconsolidadojun[[#This Row],[ATUAL]])</f>
        <v>0</v>
      </c>
      <c r="AF139" s="91">
        <f>SUMIFS(tabela_registros[VALOR],tabela_registros[MÊS],$AE$1,tabela_registros[DIA],investirrendavariávelconsolidadojun[[#Headers],[28]],tabela_registros[REGISTRO],DADOS!$N$5,tabela_registros[TIPO],DADOS!$AB$4,tabela_registros[CATEGORIA],investirrendavariávelconsolidadojun[[#This Row],[ATUAL]])</f>
        <v>0</v>
      </c>
      <c r="AG139" s="91">
        <f>SUMIFS(tabela_registros[VALOR],tabela_registros[MÊS],$AE$1,tabela_registros[DIA],investirrendavariávelconsolidadojun[[#Headers],[29]],tabela_registros[REGISTRO],DADOS!$N$5,tabela_registros[TIPO],DADOS!$AB$4,tabela_registros[CATEGORIA],investirrendavariávelconsolidadojun[[#This Row],[ATUAL]])</f>
        <v>0</v>
      </c>
      <c r="AH139" s="91">
        <f>SUMIFS(tabela_registros[VALOR],tabela_registros[MÊS],$AE$1,tabela_registros[DIA],investirrendavariávelconsolidadojun[[#Headers],[30]],tabela_registros[REGISTRO],DADOS!$N$5,tabela_registros[TIPO],DADOS!$AB$4,tabela_registros[CATEGORIA],investirrendavariávelconsolidadojun[[#This Row],[ATUAL]])</f>
        <v>0</v>
      </c>
      <c r="AI139" s="101">
        <f>SUMIFS(tabela_registros[VALOR],tabela_registros[MÊS],$AE$1,tabela_registros[DIA],investirrendavariávelconsolidadojun[[#Headers],[31]],tabela_registros[REGISTRO],DADOS!$N$5,tabela_registros[TIPO],DADOS!$AB$4,tabela_registros[CATEGORIA],investirrendavariávelconsolidadojun[[#This Row],[ATUAL]])</f>
        <v>0</v>
      </c>
      <c r="AJ139" s="97">
        <f>SUM(investirrendavariávelconsolidadojun[[#This Row],[1]:[31]])</f>
        <v>0</v>
      </c>
      <c r="AK139" s="25"/>
    </row>
    <row r="140" spans="2:37" ht="19.5" customHeight="1" thickTop="1" thickBot="1" x14ac:dyDescent="0.3">
      <c r="B140" s="28"/>
      <c r="C140" s="27" t="str">
        <f>DADOS!$AF$11</f>
        <v>📝 MOEDA</v>
      </c>
      <c r="D140" s="26" t="str">
        <f>IF(investirrendavariávelconsolidadojun[[#This Row],[TOTAL (R$)]]=0,"",IF(OR(investirrendavariávelconsolidadojun[[#This Row],[TOTAL (R$)]]=LARGE($AJ$132:$AJ$141,1),investirrendavariávelconsolidadojun[[#This Row],[TOTAL (R$)]]=LARGE($AJ$132:$AJ$141,2)),DADOS!$I$10,""))</f>
        <v/>
      </c>
      <c r="E140" s="96">
        <f>SUMIFS(tabela_registros[VALOR],tabela_registros[MÊS],$AE$1,tabela_registros[DIA],investirrendavariávelconsolidadojun[[#Headers],[1]],tabela_registros[REGISTRO],DADOS!$N$5,tabela_registros[TIPO],DADOS!$AB$4,tabela_registros[CATEGORIA],investirrendavariávelconsolidadojun[[#This Row],[ATUAL]])</f>
        <v>0</v>
      </c>
      <c r="F140" s="91">
        <f>SUMIFS(tabela_registros[VALOR],tabela_registros[MÊS],$AE$1,tabela_registros[DIA],investirrendavariávelconsolidadojun[[#Headers],[2]],tabela_registros[REGISTRO],DADOS!$N$5,tabela_registros[TIPO],DADOS!$AB$4,tabela_registros[CATEGORIA],investirrendavariávelconsolidadojun[[#This Row],[ATUAL]])</f>
        <v>0</v>
      </c>
      <c r="G140" s="91">
        <f>SUMIFS(tabela_registros[VALOR],tabela_registros[MÊS],$AE$1,tabela_registros[DIA],investirrendavariávelconsolidadojun[[#Headers],[3]],tabela_registros[REGISTRO],DADOS!$N$5,tabela_registros[TIPO],DADOS!$AB$4,tabela_registros[CATEGORIA],investirrendavariávelconsolidadojun[[#This Row],[ATUAL]])</f>
        <v>0</v>
      </c>
      <c r="H140" s="91">
        <f>SUMIFS(tabela_registros[VALOR],tabela_registros[MÊS],$AE$1,tabela_registros[DIA],investirrendavariávelconsolidadojun[[#Headers],[4]],tabela_registros[REGISTRO],DADOS!$N$5,tabela_registros[TIPO],DADOS!$AB$4,tabela_registros[CATEGORIA],investirrendavariávelconsolidadojun[[#This Row],[ATUAL]])</f>
        <v>0</v>
      </c>
      <c r="I140" s="91">
        <f>SUMIFS(tabela_registros[VALOR],tabela_registros[MÊS],$AE$1,tabela_registros[DIA],investirrendavariávelconsolidadojun[[#Headers],[5]],tabela_registros[REGISTRO],DADOS!$N$5,tabela_registros[TIPO],DADOS!$AB$4,tabela_registros[CATEGORIA],investirrendavariávelconsolidadojun[[#This Row],[ATUAL]])</f>
        <v>0</v>
      </c>
      <c r="J140" s="91">
        <f>SUMIFS(tabela_registros[VALOR],tabela_registros[MÊS],$AE$1,tabela_registros[DIA],investirrendavariávelconsolidadojun[[#Headers],[6]],tabela_registros[REGISTRO],DADOS!$N$5,tabela_registros[TIPO],DADOS!$AB$4,tabela_registros[CATEGORIA],investirrendavariávelconsolidadojun[[#This Row],[ATUAL]])</f>
        <v>0</v>
      </c>
      <c r="K140" s="91">
        <f>SUMIFS(tabela_registros[VALOR],tabela_registros[MÊS],$AE$1,tabela_registros[DIA],investirrendavariávelconsolidadojun[[#Headers],[7]],tabela_registros[REGISTRO],DADOS!$N$5,tabela_registros[TIPO],DADOS!$AB$4,tabela_registros[CATEGORIA],investirrendavariávelconsolidadojun[[#This Row],[ATUAL]])</f>
        <v>0</v>
      </c>
      <c r="L140" s="91">
        <f>SUMIFS(tabela_registros[VALOR],tabela_registros[MÊS],$AE$1,tabela_registros[DIA],investirrendavariávelconsolidadojun[[#Headers],[8]],tabela_registros[REGISTRO],DADOS!$N$5,tabela_registros[TIPO],DADOS!$AB$4,tabela_registros[CATEGORIA],investirrendavariávelconsolidadojun[[#This Row],[ATUAL]])</f>
        <v>0</v>
      </c>
      <c r="M140" s="91">
        <f>SUMIFS(tabela_registros[VALOR],tabela_registros[MÊS],$AE$1,tabela_registros[DIA],investirrendavariávelconsolidadojun[[#Headers],[9]],tabela_registros[REGISTRO],DADOS!$N$5,tabela_registros[TIPO],DADOS!$AB$4,tabela_registros[CATEGORIA],investirrendavariávelconsolidadojun[[#This Row],[ATUAL]])</f>
        <v>0</v>
      </c>
      <c r="N140" s="91">
        <f>SUMIFS(tabela_registros[VALOR],tabela_registros[MÊS],$AE$1,tabela_registros[DIA],investirrendavariávelconsolidadojun[[#Headers],[10]],tabela_registros[REGISTRO],DADOS!$N$5,tabela_registros[TIPO],DADOS!$AB$4,tabela_registros[CATEGORIA],investirrendavariávelconsolidadojun[[#This Row],[ATUAL]])</f>
        <v>0</v>
      </c>
      <c r="O140" s="91">
        <f>SUMIFS(tabela_registros[VALOR],tabela_registros[MÊS],$AE$1,tabela_registros[DIA],investirrendavariávelconsolidadojun[[#Headers],[11]],tabela_registros[REGISTRO],DADOS!$N$5,tabela_registros[TIPO],DADOS!$AB$4,tabela_registros[CATEGORIA],investirrendavariávelconsolidadojun[[#This Row],[ATUAL]])</f>
        <v>0</v>
      </c>
      <c r="P140" s="91">
        <f>SUMIFS(tabela_registros[VALOR],tabela_registros[MÊS],$AE$1,tabela_registros[DIA],investirrendavariávelconsolidadojun[[#Headers],[12]],tabela_registros[REGISTRO],DADOS!$N$5,tabela_registros[TIPO],DADOS!$AB$4,tabela_registros[CATEGORIA],investirrendavariávelconsolidadojun[[#This Row],[ATUAL]])</f>
        <v>0</v>
      </c>
      <c r="Q140" s="91">
        <f>SUMIFS(tabela_registros[VALOR],tabela_registros[MÊS],$AE$1,tabela_registros[DIA],investirrendavariávelconsolidadojun[[#Headers],[13]],tabela_registros[REGISTRO],DADOS!$N$5,tabela_registros[TIPO],DADOS!$AB$4,tabela_registros[CATEGORIA],investirrendavariávelconsolidadojun[[#This Row],[ATUAL]])</f>
        <v>0</v>
      </c>
      <c r="R140" s="91">
        <f>SUMIFS(tabela_registros[VALOR],tabela_registros[MÊS],$AE$1,tabela_registros[DIA],investirrendavariávelconsolidadojun[[#Headers],[14]],tabela_registros[REGISTRO],DADOS!$N$5,tabela_registros[TIPO],DADOS!$AB$4,tabela_registros[CATEGORIA],investirrendavariávelconsolidadojun[[#This Row],[ATUAL]])</f>
        <v>0</v>
      </c>
      <c r="S140" s="91">
        <f>SUMIFS(tabela_registros[VALOR],tabela_registros[MÊS],$AE$1,tabela_registros[DIA],investirrendavariávelconsolidadojun[[#Headers],[15]],tabela_registros[REGISTRO],DADOS!$N$5,tabela_registros[TIPO],DADOS!$AB$4,tabela_registros[CATEGORIA],investirrendavariávelconsolidadojun[[#This Row],[ATUAL]])</f>
        <v>0</v>
      </c>
      <c r="T140" s="91">
        <f>SUMIFS(tabela_registros[VALOR],tabela_registros[MÊS],$AE$1,tabela_registros[DIA],investirrendavariávelconsolidadojun[[#Headers],[16]],tabela_registros[REGISTRO],DADOS!$N$5,tabela_registros[TIPO],DADOS!$AB$4,tabela_registros[CATEGORIA],investirrendavariávelconsolidadojun[[#This Row],[ATUAL]])</f>
        <v>0</v>
      </c>
      <c r="U140" s="91">
        <f>SUMIFS(tabela_registros[VALOR],tabela_registros[MÊS],$AE$1,tabela_registros[DIA],investirrendavariávelconsolidadojun[[#Headers],[17]],tabela_registros[REGISTRO],DADOS!$N$5,tabela_registros[TIPO],DADOS!$AB$4,tabela_registros[CATEGORIA],investirrendavariávelconsolidadojun[[#This Row],[ATUAL]])</f>
        <v>0</v>
      </c>
      <c r="V140" s="91">
        <f>SUMIFS(tabela_registros[VALOR],tabela_registros[MÊS],$AE$1,tabela_registros[DIA],investirrendavariávelconsolidadojun[[#Headers],[18]],tabela_registros[REGISTRO],DADOS!$N$5,tabela_registros[TIPO],DADOS!$AB$4,tabela_registros[CATEGORIA],investirrendavariávelconsolidadojun[[#This Row],[ATUAL]])</f>
        <v>0</v>
      </c>
      <c r="W140" s="91">
        <f>SUMIFS(tabela_registros[VALOR],tabela_registros[MÊS],$AE$1,tabela_registros[DIA],investirrendavariávelconsolidadojun[[#Headers],[19]],tabela_registros[REGISTRO],DADOS!$N$5,tabela_registros[TIPO],DADOS!$AB$4,tabela_registros[CATEGORIA],investirrendavariávelconsolidadojun[[#This Row],[ATUAL]])</f>
        <v>0</v>
      </c>
      <c r="X140" s="91">
        <f>SUMIFS(tabela_registros[VALOR],tabela_registros[MÊS],$AE$1,tabela_registros[DIA],investirrendavariávelconsolidadojun[[#Headers],[20]],tabela_registros[REGISTRO],DADOS!$N$5,tabela_registros[TIPO],DADOS!$AB$4,tabela_registros[CATEGORIA],investirrendavariávelconsolidadojun[[#This Row],[ATUAL]])</f>
        <v>0</v>
      </c>
      <c r="Y140" s="91">
        <f>SUMIFS(tabela_registros[VALOR],tabela_registros[MÊS],$AE$1,tabela_registros[DIA],investirrendavariávelconsolidadojun[[#Headers],[21]],tabela_registros[REGISTRO],DADOS!$N$5,tabela_registros[TIPO],DADOS!$AB$4,tabela_registros[CATEGORIA],investirrendavariávelconsolidadojun[[#This Row],[ATUAL]])</f>
        <v>0</v>
      </c>
      <c r="Z140" s="91">
        <f>SUMIFS(tabela_registros[VALOR],tabela_registros[MÊS],$AE$1,tabela_registros[DIA],investirrendavariávelconsolidadojun[[#Headers],[22]],tabela_registros[REGISTRO],DADOS!$N$5,tabela_registros[TIPO],DADOS!$AB$4,tabela_registros[CATEGORIA],investirrendavariávelconsolidadojun[[#This Row],[ATUAL]])</f>
        <v>0</v>
      </c>
      <c r="AA140" s="91">
        <f>SUMIFS(tabela_registros[VALOR],tabela_registros[MÊS],$AE$1,tabela_registros[DIA],investirrendavariávelconsolidadojun[[#Headers],[23]],tabela_registros[REGISTRO],DADOS!$N$5,tabela_registros[TIPO],DADOS!$AB$4,tabela_registros[CATEGORIA],investirrendavariávelconsolidadojun[[#This Row],[ATUAL]])</f>
        <v>0</v>
      </c>
      <c r="AB140" s="91">
        <f>SUMIFS(tabela_registros[VALOR],tabela_registros[MÊS],$AE$1,tabela_registros[DIA],investirrendavariávelconsolidadojun[[#Headers],[24]],tabela_registros[REGISTRO],DADOS!$N$5,tabela_registros[TIPO],DADOS!$AB$4,tabela_registros[CATEGORIA],investirrendavariávelconsolidadojun[[#This Row],[ATUAL]])</f>
        <v>0</v>
      </c>
      <c r="AC140" s="91">
        <f>SUMIFS(tabela_registros[VALOR],tabela_registros[MÊS],$AE$1,tabela_registros[DIA],investirrendavariávelconsolidadojun[[#Headers],[25]],tabela_registros[REGISTRO],DADOS!$N$5,tabela_registros[TIPO],DADOS!$AB$4,tabela_registros[CATEGORIA],investirrendavariávelconsolidadojun[[#This Row],[ATUAL]])</f>
        <v>0</v>
      </c>
      <c r="AD140" s="91">
        <f>SUMIFS(tabela_registros[VALOR],tabela_registros[MÊS],$AE$1,tabela_registros[DIA],investirrendavariávelconsolidadojun[[#Headers],[26]],tabela_registros[REGISTRO],DADOS!$N$5,tabela_registros[TIPO],DADOS!$AB$4,tabela_registros[CATEGORIA],investirrendavariávelconsolidadojun[[#This Row],[ATUAL]])</f>
        <v>0</v>
      </c>
      <c r="AE140" s="91">
        <f>SUMIFS(tabela_registros[VALOR],tabela_registros[MÊS],$AE$1,tabela_registros[DIA],investirrendavariávelconsolidadojun[[#Headers],[27]],tabela_registros[REGISTRO],DADOS!$N$5,tabela_registros[TIPO],DADOS!$AB$4,tabela_registros[CATEGORIA],investirrendavariávelconsolidadojun[[#This Row],[ATUAL]])</f>
        <v>0</v>
      </c>
      <c r="AF140" s="91">
        <f>SUMIFS(tabela_registros[VALOR],tabela_registros[MÊS],$AE$1,tabela_registros[DIA],investirrendavariávelconsolidadojun[[#Headers],[28]],tabela_registros[REGISTRO],DADOS!$N$5,tabela_registros[TIPO],DADOS!$AB$4,tabela_registros[CATEGORIA],investirrendavariávelconsolidadojun[[#This Row],[ATUAL]])</f>
        <v>0</v>
      </c>
      <c r="AG140" s="91">
        <f>SUMIFS(tabela_registros[VALOR],tabela_registros[MÊS],$AE$1,tabela_registros[DIA],investirrendavariávelconsolidadojun[[#Headers],[29]],tabela_registros[REGISTRO],DADOS!$N$5,tabela_registros[TIPO],DADOS!$AB$4,tabela_registros[CATEGORIA],investirrendavariávelconsolidadojun[[#This Row],[ATUAL]])</f>
        <v>0</v>
      </c>
      <c r="AH140" s="91">
        <f>SUMIFS(tabela_registros[VALOR],tabela_registros[MÊS],$AE$1,tabela_registros[DIA],investirrendavariávelconsolidadojun[[#Headers],[30]],tabela_registros[REGISTRO],DADOS!$N$5,tabela_registros[TIPO],DADOS!$AB$4,tabela_registros[CATEGORIA],investirrendavariávelconsolidadojun[[#This Row],[ATUAL]])</f>
        <v>0</v>
      </c>
      <c r="AI140" s="101">
        <f>SUMIFS(tabela_registros[VALOR],tabela_registros[MÊS],$AE$1,tabela_registros[DIA],investirrendavariávelconsolidadojun[[#Headers],[31]],tabela_registros[REGISTRO],DADOS!$N$5,tabela_registros[TIPO],DADOS!$AB$4,tabela_registros[CATEGORIA],investirrendavariávelconsolidadojun[[#This Row],[ATUAL]])</f>
        <v>0</v>
      </c>
      <c r="AJ140" s="97">
        <f>SUM(investirrendavariávelconsolidadojun[[#This Row],[1]:[31]])</f>
        <v>0</v>
      </c>
      <c r="AK140" s="25"/>
    </row>
    <row r="141" spans="2:37" ht="19.5" customHeight="1" thickTop="1" thickBot="1" x14ac:dyDescent="0.3">
      <c r="B141" s="28"/>
      <c r="C141" s="27" t="str">
        <f>DADOS!$AF$12</f>
        <v>📎 OUTROS</v>
      </c>
      <c r="D141" s="26" t="str">
        <f>IF(investirrendavariávelconsolidadojun[[#This Row],[TOTAL (R$)]]=0,"",IF(OR(investirrendavariávelconsolidadojun[[#This Row],[TOTAL (R$)]]=LARGE($AJ$132:$AJ$141,1),investirrendavariávelconsolidadojun[[#This Row],[TOTAL (R$)]]=LARGE($AJ$132:$AJ$141,2)),DADOS!$I$10,""))</f>
        <v/>
      </c>
      <c r="E141" s="96">
        <f>SUMIFS(tabela_registros[VALOR],tabela_registros[MÊS],$AE$1,tabela_registros[DIA],investirrendavariávelconsolidadojun[[#Headers],[1]],tabela_registros[REGISTRO],DADOS!$N$5,tabela_registros[TIPO],DADOS!$AB$4,tabela_registros[CATEGORIA],investirrendavariávelconsolidadojun[[#This Row],[ATUAL]])</f>
        <v>0</v>
      </c>
      <c r="F141" s="91">
        <f>SUMIFS(tabela_registros[VALOR],tabela_registros[MÊS],$AE$1,tabela_registros[DIA],investirrendavariávelconsolidadojun[[#Headers],[2]],tabela_registros[REGISTRO],DADOS!$N$5,tabela_registros[TIPO],DADOS!$AB$4,tabela_registros[CATEGORIA],investirrendavariávelconsolidadojun[[#This Row],[ATUAL]])</f>
        <v>0</v>
      </c>
      <c r="G141" s="91">
        <f>SUMIFS(tabela_registros[VALOR],tabela_registros[MÊS],$AE$1,tabela_registros[DIA],investirrendavariávelconsolidadojun[[#Headers],[3]],tabela_registros[REGISTRO],DADOS!$N$5,tabela_registros[TIPO],DADOS!$AB$4,tabela_registros[CATEGORIA],investirrendavariávelconsolidadojun[[#This Row],[ATUAL]])</f>
        <v>0</v>
      </c>
      <c r="H141" s="91">
        <f>SUMIFS(tabela_registros[VALOR],tabela_registros[MÊS],$AE$1,tabela_registros[DIA],investirrendavariávelconsolidadojun[[#Headers],[4]],tabela_registros[REGISTRO],DADOS!$N$5,tabela_registros[TIPO],DADOS!$AB$4,tabela_registros[CATEGORIA],investirrendavariávelconsolidadojun[[#This Row],[ATUAL]])</f>
        <v>0</v>
      </c>
      <c r="I141" s="91">
        <f>SUMIFS(tabela_registros[VALOR],tabela_registros[MÊS],$AE$1,tabela_registros[DIA],investirrendavariávelconsolidadojun[[#Headers],[5]],tabela_registros[REGISTRO],DADOS!$N$5,tabela_registros[TIPO],DADOS!$AB$4,tabela_registros[CATEGORIA],investirrendavariávelconsolidadojun[[#This Row],[ATUAL]])</f>
        <v>0</v>
      </c>
      <c r="J141" s="91">
        <f>SUMIFS(tabela_registros[VALOR],tabela_registros[MÊS],$AE$1,tabela_registros[DIA],investirrendavariávelconsolidadojun[[#Headers],[6]],tabela_registros[REGISTRO],DADOS!$N$5,tabela_registros[TIPO],DADOS!$AB$4,tabela_registros[CATEGORIA],investirrendavariávelconsolidadojun[[#This Row],[ATUAL]])</f>
        <v>0</v>
      </c>
      <c r="K141" s="91">
        <f>SUMIFS(tabela_registros[VALOR],tabela_registros[MÊS],$AE$1,tabela_registros[DIA],investirrendavariávelconsolidadojun[[#Headers],[7]],tabela_registros[REGISTRO],DADOS!$N$5,tabela_registros[TIPO],DADOS!$AB$4,tabela_registros[CATEGORIA],investirrendavariávelconsolidadojun[[#This Row],[ATUAL]])</f>
        <v>0</v>
      </c>
      <c r="L141" s="91">
        <f>SUMIFS(tabela_registros[VALOR],tabela_registros[MÊS],$AE$1,tabela_registros[DIA],investirrendavariávelconsolidadojun[[#Headers],[8]],tabela_registros[REGISTRO],DADOS!$N$5,tabela_registros[TIPO],DADOS!$AB$4,tabela_registros[CATEGORIA],investirrendavariávelconsolidadojun[[#This Row],[ATUAL]])</f>
        <v>0</v>
      </c>
      <c r="M141" s="91">
        <f>SUMIFS(tabela_registros[VALOR],tabela_registros[MÊS],$AE$1,tabela_registros[DIA],investirrendavariávelconsolidadojun[[#Headers],[9]],tabela_registros[REGISTRO],DADOS!$N$5,tabela_registros[TIPO],DADOS!$AB$4,tabela_registros[CATEGORIA],investirrendavariávelconsolidadojun[[#This Row],[ATUAL]])</f>
        <v>0</v>
      </c>
      <c r="N141" s="91">
        <f>SUMIFS(tabela_registros[VALOR],tabela_registros[MÊS],$AE$1,tabela_registros[DIA],investirrendavariávelconsolidadojun[[#Headers],[10]],tabela_registros[REGISTRO],DADOS!$N$5,tabela_registros[TIPO],DADOS!$AB$4,tabela_registros[CATEGORIA],investirrendavariávelconsolidadojun[[#This Row],[ATUAL]])</f>
        <v>0</v>
      </c>
      <c r="O141" s="91">
        <f>SUMIFS(tabela_registros[VALOR],tabela_registros[MÊS],$AE$1,tabela_registros[DIA],investirrendavariávelconsolidadojun[[#Headers],[11]],tabela_registros[REGISTRO],DADOS!$N$5,tabela_registros[TIPO],DADOS!$AB$4,tabela_registros[CATEGORIA],investirrendavariávelconsolidadojun[[#This Row],[ATUAL]])</f>
        <v>0</v>
      </c>
      <c r="P141" s="91">
        <f>SUMIFS(tabela_registros[VALOR],tabela_registros[MÊS],$AE$1,tabela_registros[DIA],investirrendavariávelconsolidadojun[[#Headers],[12]],tabela_registros[REGISTRO],DADOS!$N$5,tabela_registros[TIPO],DADOS!$AB$4,tabela_registros[CATEGORIA],investirrendavariávelconsolidadojun[[#This Row],[ATUAL]])</f>
        <v>0</v>
      </c>
      <c r="Q141" s="91">
        <f>SUMIFS(tabela_registros[VALOR],tabela_registros[MÊS],$AE$1,tabela_registros[DIA],investirrendavariávelconsolidadojun[[#Headers],[13]],tabela_registros[REGISTRO],DADOS!$N$5,tabela_registros[TIPO],DADOS!$AB$4,tabela_registros[CATEGORIA],investirrendavariávelconsolidadojun[[#This Row],[ATUAL]])</f>
        <v>0</v>
      </c>
      <c r="R141" s="91">
        <f>SUMIFS(tabela_registros[VALOR],tabela_registros[MÊS],$AE$1,tabela_registros[DIA],investirrendavariávelconsolidadojun[[#Headers],[14]],tabela_registros[REGISTRO],DADOS!$N$5,tabela_registros[TIPO],DADOS!$AB$4,tabela_registros[CATEGORIA],investirrendavariávelconsolidadojun[[#This Row],[ATUAL]])</f>
        <v>0</v>
      </c>
      <c r="S141" s="91">
        <f>SUMIFS(tabela_registros[VALOR],tabela_registros[MÊS],$AE$1,tabela_registros[DIA],investirrendavariávelconsolidadojun[[#Headers],[15]],tabela_registros[REGISTRO],DADOS!$N$5,tabela_registros[TIPO],DADOS!$AB$4,tabela_registros[CATEGORIA],investirrendavariávelconsolidadojun[[#This Row],[ATUAL]])</f>
        <v>0</v>
      </c>
      <c r="T141" s="91">
        <f>SUMIFS(tabela_registros[VALOR],tabela_registros[MÊS],$AE$1,tabela_registros[DIA],investirrendavariávelconsolidadojun[[#Headers],[16]],tabela_registros[REGISTRO],DADOS!$N$5,tabela_registros[TIPO],DADOS!$AB$4,tabela_registros[CATEGORIA],investirrendavariávelconsolidadojun[[#This Row],[ATUAL]])</f>
        <v>0</v>
      </c>
      <c r="U141" s="91">
        <f>SUMIFS(tabela_registros[VALOR],tabela_registros[MÊS],$AE$1,tabela_registros[DIA],investirrendavariávelconsolidadojun[[#Headers],[17]],tabela_registros[REGISTRO],DADOS!$N$5,tabela_registros[TIPO],DADOS!$AB$4,tabela_registros[CATEGORIA],investirrendavariávelconsolidadojun[[#This Row],[ATUAL]])</f>
        <v>0</v>
      </c>
      <c r="V141" s="91">
        <f>SUMIFS(tabela_registros[VALOR],tabela_registros[MÊS],$AE$1,tabela_registros[DIA],investirrendavariávelconsolidadojun[[#Headers],[18]],tabela_registros[REGISTRO],DADOS!$N$5,tabela_registros[TIPO],DADOS!$AB$4,tabela_registros[CATEGORIA],investirrendavariávelconsolidadojun[[#This Row],[ATUAL]])</f>
        <v>0</v>
      </c>
      <c r="W141" s="91">
        <f>SUMIFS(tabela_registros[VALOR],tabela_registros[MÊS],$AE$1,tabela_registros[DIA],investirrendavariávelconsolidadojun[[#Headers],[19]],tabela_registros[REGISTRO],DADOS!$N$5,tabela_registros[TIPO],DADOS!$AB$4,tabela_registros[CATEGORIA],investirrendavariávelconsolidadojun[[#This Row],[ATUAL]])</f>
        <v>0</v>
      </c>
      <c r="X141" s="91">
        <f>SUMIFS(tabela_registros[VALOR],tabela_registros[MÊS],$AE$1,tabela_registros[DIA],investirrendavariávelconsolidadojun[[#Headers],[20]],tabela_registros[REGISTRO],DADOS!$N$5,tabela_registros[TIPO],DADOS!$AB$4,tabela_registros[CATEGORIA],investirrendavariávelconsolidadojun[[#This Row],[ATUAL]])</f>
        <v>0</v>
      </c>
      <c r="Y141" s="91">
        <f>SUMIFS(tabela_registros[VALOR],tabela_registros[MÊS],$AE$1,tabela_registros[DIA],investirrendavariávelconsolidadojun[[#Headers],[21]],tabela_registros[REGISTRO],DADOS!$N$5,tabela_registros[TIPO],DADOS!$AB$4,tabela_registros[CATEGORIA],investirrendavariávelconsolidadojun[[#This Row],[ATUAL]])</f>
        <v>0</v>
      </c>
      <c r="Z141" s="91">
        <f>SUMIFS(tabela_registros[VALOR],tabela_registros[MÊS],$AE$1,tabela_registros[DIA],investirrendavariávelconsolidadojun[[#Headers],[22]],tabela_registros[REGISTRO],DADOS!$N$5,tabela_registros[TIPO],DADOS!$AB$4,tabela_registros[CATEGORIA],investirrendavariávelconsolidadojun[[#This Row],[ATUAL]])</f>
        <v>0</v>
      </c>
      <c r="AA141" s="91">
        <f>SUMIFS(tabela_registros[VALOR],tabela_registros[MÊS],$AE$1,tabela_registros[DIA],investirrendavariávelconsolidadojun[[#Headers],[23]],tabela_registros[REGISTRO],DADOS!$N$5,tabela_registros[TIPO],DADOS!$AB$4,tabela_registros[CATEGORIA],investirrendavariávelconsolidadojun[[#This Row],[ATUAL]])</f>
        <v>0</v>
      </c>
      <c r="AB141" s="91">
        <f>SUMIFS(tabela_registros[VALOR],tabela_registros[MÊS],$AE$1,tabela_registros[DIA],investirrendavariávelconsolidadojun[[#Headers],[24]],tabela_registros[REGISTRO],DADOS!$N$5,tabela_registros[TIPO],DADOS!$AB$4,tabela_registros[CATEGORIA],investirrendavariávelconsolidadojun[[#This Row],[ATUAL]])</f>
        <v>0</v>
      </c>
      <c r="AC141" s="91">
        <f>SUMIFS(tabela_registros[VALOR],tabela_registros[MÊS],$AE$1,tabela_registros[DIA],investirrendavariávelconsolidadojun[[#Headers],[25]],tabela_registros[REGISTRO],DADOS!$N$5,tabela_registros[TIPO],DADOS!$AB$4,tabela_registros[CATEGORIA],investirrendavariávelconsolidadojun[[#This Row],[ATUAL]])</f>
        <v>0</v>
      </c>
      <c r="AD141" s="91">
        <f>SUMIFS(tabela_registros[VALOR],tabela_registros[MÊS],$AE$1,tabela_registros[DIA],investirrendavariávelconsolidadojun[[#Headers],[26]],tabela_registros[REGISTRO],DADOS!$N$5,tabela_registros[TIPO],DADOS!$AB$4,tabela_registros[CATEGORIA],investirrendavariávelconsolidadojun[[#This Row],[ATUAL]])</f>
        <v>0</v>
      </c>
      <c r="AE141" s="91">
        <f>SUMIFS(tabela_registros[VALOR],tabela_registros[MÊS],$AE$1,tabela_registros[DIA],investirrendavariávelconsolidadojun[[#Headers],[27]],tabela_registros[REGISTRO],DADOS!$N$5,tabela_registros[TIPO],DADOS!$AB$4,tabela_registros[CATEGORIA],investirrendavariávelconsolidadojun[[#This Row],[ATUAL]])</f>
        <v>0</v>
      </c>
      <c r="AF141" s="91">
        <f>SUMIFS(tabela_registros[VALOR],tabela_registros[MÊS],$AE$1,tabela_registros[DIA],investirrendavariávelconsolidadojun[[#Headers],[28]],tabela_registros[REGISTRO],DADOS!$N$5,tabela_registros[TIPO],DADOS!$AB$4,tabela_registros[CATEGORIA],investirrendavariávelconsolidadojun[[#This Row],[ATUAL]])</f>
        <v>0</v>
      </c>
      <c r="AG141" s="91">
        <f>SUMIFS(tabela_registros[VALOR],tabela_registros[MÊS],$AE$1,tabela_registros[DIA],investirrendavariávelconsolidadojun[[#Headers],[29]],tabela_registros[REGISTRO],DADOS!$N$5,tabela_registros[TIPO],DADOS!$AB$4,tabela_registros[CATEGORIA],investirrendavariávelconsolidadojun[[#This Row],[ATUAL]])</f>
        <v>0</v>
      </c>
      <c r="AH141" s="91">
        <f>SUMIFS(tabela_registros[VALOR],tabela_registros[MÊS],$AE$1,tabela_registros[DIA],investirrendavariávelconsolidadojun[[#Headers],[30]],tabela_registros[REGISTRO],DADOS!$N$5,tabela_registros[TIPO],DADOS!$AB$4,tabela_registros[CATEGORIA],investirrendavariávelconsolidadojun[[#This Row],[ATUAL]])</f>
        <v>0</v>
      </c>
      <c r="AI141" s="102">
        <f>SUMIFS(tabela_registros[VALOR],tabela_registros[MÊS],$AE$1,tabela_registros[DIA],investirrendavariávelconsolidadojun[[#Headers],[31]],tabela_registros[REGISTRO],DADOS!$N$5,tabela_registros[TIPO],DADOS!$AB$4,tabela_registros[CATEGORIA],investirrendavariávelconsolidadojun[[#This Row],[ATUAL]])</f>
        <v>0</v>
      </c>
      <c r="AJ141" s="97">
        <f>SUM(investirrendavariávelconsolidadojun[[#This Row],[1]:[31]])</f>
        <v>0</v>
      </c>
      <c r="AK141" s="25"/>
    </row>
    <row r="142" spans="2:37" s="16" customFormat="1" ht="21" customHeight="1" thickTop="1" thickBot="1" x14ac:dyDescent="0.35">
      <c r="B142" s="24"/>
      <c r="C142" s="23" t="s">
        <v>19</v>
      </c>
      <c r="D142" s="22"/>
      <c r="E142" s="21">
        <f>SUM(E132:E141)</f>
        <v>0</v>
      </c>
      <c r="F142" s="20">
        <f>SUM(F132:F141)+investirrendavariávelconsolidadojun[[#This Row],[1]]</f>
        <v>0</v>
      </c>
      <c r="G142" s="20">
        <f>SUM(G132:G141)+investirrendavariávelconsolidadojun[[#This Row],[2]]</f>
        <v>0</v>
      </c>
      <c r="H142" s="20">
        <f>SUM(H132:H141)+investirrendavariávelconsolidadojun[[#This Row],[3]]</f>
        <v>0</v>
      </c>
      <c r="I142" s="20">
        <f>SUM(I132:I141)+investirrendavariávelconsolidadojun[[#This Row],[4]]</f>
        <v>0</v>
      </c>
      <c r="J142" s="20">
        <f>SUM(J132:J141)+investirrendavariávelconsolidadojun[[#This Row],[5]]</f>
        <v>0</v>
      </c>
      <c r="K142" s="20">
        <f>SUM(K132:K141)+investirrendavariávelconsolidadojun[[#This Row],[6]]</f>
        <v>0</v>
      </c>
      <c r="L142" s="20">
        <f>SUM(L132:L141)+investirrendavariávelconsolidadojun[[#This Row],[7]]</f>
        <v>0</v>
      </c>
      <c r="M142" s="20">
        <f>SUM(M132:M141)+investirrendavariávelconsolidadojun[[#This Row],[8]]</f>
        <v>0</v>
      </c>
      <c r="N142" s="20">
        <f>SUM(N132:N141)+investirrendavariávelconsolidadojun[[#This Row],[9]]</f>
        <v>0</v>
      </c>
      <c r="O142" s="20">
        <f>SUM(O132:O141)+investirrendavariávelconsolidadojun[[#This Row],[10]]</f>
        <v>0</v>
      </c>
      <c r="P142" s="20">
        <f>SUM(P132:P141)+investirrendavariávelconsolidadojun[[#This Row],[11]]</f>
        <v>0</v>
      </c>
      <c r="Q142" s="20">
        <f>SUM(Q132:Q141)+investirrendavariávelconsolidadojun[[#This Row],[12]]</f>
        <v>0</v>
      </c>
      <c r="R142" s="20">
        <f>SUM(R132:R141)+investirrendavariávelconsolidadojun[[#This Row],[13]]</f>
        <v>0</v>
      </c>
      <c r="S142" s="20">
        <f>SUM(S132:S141)+investirrendavariávelconsolidadojun[[#This Row],[14]]</f>
        <v>0</v>
      </c>
      <c r="T142" s="20">
        <f>SUM(T132:T141)+investirrendavariávelconsolidadojun[[#This Row],[15]]</f>
        <v>0</v>
      </c>
      <c r="U142" s="20">
        <f>SUM(U132:U141)+investirrendavariávelconsolidadojun[[#This Row],[16]]</f>
        <v>0</v>
      </c>
      <c r="V142" s="20">
        <f>SUM(V132:V141)+investirrendavariávelconsolidadojun[[#This Row],[17]]</f>
        <v>0</v>
      </c>
      <c r="W142" s="20">
        <f>SUM(W132:W141)+investirrendavariávelconsolidadojun[[#This Row],[18]]</f>
        <v>0</v>
      </c>
      <c r="X142" s="20">
        <f>SUM(X132:X141)+investirrendavariávelconsolidadojun[[#This Row],[19]]</f>
        <v>0</v>
      </c>
      <c r="Y142" s="20">
        <f>SUM(Y132:Y141)+investirrendavariávelconsolidadojun[[#This Row],[20]]</f>
        <v>0</v>
      </c>
      <c r="Z142" s="20">
        <f>SUM(Z132:Z141)+investirrendavariávelconsolidadojun[[#This Row],[21]]</f>
        <v>0</v>
      </c>
      <c r="AA142" s="20">
        <f>SUM(AA132:AA141)+investirrendavariávelconsolidadojun[[#This Row],[22]]</f>
        <v>0</v>
      </c>
      <c r="AB142" s="20">
        <f>SUM(AB132:AB141)+investirrendavariávelconsolidadojun[[#This Row],[23]]</f>
        <v>0</v>
      </c>
      <c r="AC142" s="20">
        <f>SUM(AC132:AC141)+investirrendavariávelconsolidadojun[[#This Row],[24]]</f>
        <v>0</v>
      </c>
      <c r="AD142" s="20">
        <f>SUM(AD132:AD141)+investirrendavariávelconsolidadojun[[#This Row],[25]]</f>
        <v>0</v>
      </c>
      <c r="AE142" s="20">
        <f>SUM(AE132:AE141)+investirrendavariávelconsolidadojun[[#This Row],[26]]</f>
        <v>0</v>
      </c>
      <c r="AF142" s="20">
        <f>SUM(AF132:AF141)+investirrendavariávelconsolidadojun[[#This Row],[27]]</f>
        <v>0</v>
      </c>
      <c r="AG142" s="20">
        <f>SUM(AG132:AG141)+investirrendavariávelconsolidadojun[[#This Row],[28]]</f>
        <v>0</v>
      </c>
      <c r="AH142" s="20">
        <f>SUM(AH132:AH141)+investirrendavariávelconsolidadojun[[#This Row],[29]]</f>
        <v>0</v>
      </c>
      <c r="AI142" s="19">
        <f>SUM(AI132:AI141)+investirrendavariávelconsolidadojun[[#This Row],[30]]</f>
        <v>0</v>
      </c>
      <c r="AJ142" s="18">
        <f>investirrendavariávelconsolidadojun[[#This Row],[31]]</f>
        <v>0</v>
      </c>
      <c r="AK142" s="17"/>
    </row>
    <row r="143" spans="2:37" ht="6.75" customHeight="1" thickTop="1" thickBot="1" x14ac:dyDescent="0.3">
      <c r="B143" s="15"/>
      <c r="C143" s="14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  <c r="AE143" s="13"/>
      <c r="AF143" s="13"/>
      <c r="AG143" s="13"/>
      <c r="AH143" s="13"/>
      <c r="AI143" s="12"/>
      <c r="AJ143" s="11"/>
      <c r="AK143" s="10"/>
    </row>
    <row r="144" spans="2:37" ht="12.6" thickTop="1" x14ac:dyDescent="0.25">
      <c r="E144" s="37"/>
      <c r="AI144" s="4"/>
    </row>
    <row r="145" spans="2:37" x14ac:dyDescent="0.25">
      <c r="AI145" s="4"/>
    </row>
    <row r="146" spans="2:37" x14ac:dyDescent="0.25">
      <c r="AI146" s="4"/>
    </row>
    <row r="147" spans="2:37" ht="39.75" customHeight="1" x14ac:dyDescent="0.7">
      <c r="C147" s="36"/>
      <c r="E147" s="240"/>
      <c r="F147" s="240"/>
      <c r="G147" s="240"/>
      <c r="H147" s="240"/>
      <c r="I147" s="240"/>
      <c r="J147" s="240"/>
      <c r="K147" s="240"/>
      <c r="L147" s="240"/>
      <c r="M147" s="240"/>
      <c r="N147" s="240"/>
      <c r="O147" s="240"/>
      <c r="P147" s="240"/>
      <c r="Q147" s="240"/>
      <c r="R147" s="240"/>
      <c r="S147" s="240"/>
      <c r="T147" s="240"/>
      <c r="U147" s="240"/>
      <c r="V147" s="240"/>
      <c r="W147" s="240"/>
      <c r="X147" s="240"/>
      <c r="Y147" s="240"/>
      <c r="Z147" s="240"/>
      <c r="AA147" s="240"/>
      <c r="AB147" s="240"/>
      <c r="AC147" s="240"/>
      <c r="AD147" s="240"/>
      <c r="AE147" s="240"/>
      <c r="AF147" s="240"/>
      <c r="AG147" s="240"/>
      <c r="AH147" s="240"/>
      <c r="AI147" s="240"/>
      <c r="AJ147" s="32" t="s">
        <v>19</v>
      </c>
    </row>
    <row r="148" spans="2:37" ht="12.6" thickBot="1" x14ac:dyDescent="0.3">
      <c r="B148" s="35"/>
      <c r="AI148" s="4"/>
      <c r="AJ148" s="34" t="s">
        <v>202</v>
      </c>
    </row>
    <row r="149" spans="2:37" ht="6.75" customHeight="1" thickTop="1" thickBot="1" x14ac:dyDescent="0.3">
      <c r="B149" s="2"/>
      <c r="C149" s="14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F149" s="13"/>
      <c r="AG149" s="13"/>
      <c r="AH149" s="13"/>
      <c r="AI149" s="13"/>
      <c r="AJ149" s="12"/>
      <c r="AK149" s="33"/>
    </row>
    <row r="150" spans="2:37" ht="13.2" hidden="1" thickTop="1" thickBot="1" x14ac:dyDescent="0.3">
      <c r="B150" s="2"/>
      <c r="C150" s="31" t="s">
        <v>199</v>
      </c>
      <c r="D150" s="30" t="s">
        <v>198</v>
      </c>
      <c r="E150" s="30" t="s">
        <v>197</v>
      </c>
      <c r="F150" s="30" t="s">
        <v>196</v>
      </c>
      <c r="G150" s="30" t="s">
        <v>195</v>
      </c>
      <c r="H150" s="30" t="s">
        <v>194</v>
      </c>
      <c r="I150" s="30" t="s">
        <v>193</v>
      </c>
      <c r="J150" s="30" t="s">
        <v>192</v>
      </c>
      <c r="K150" s="30" t="s">
        <v>191</v>
      </c>
      <c r="L150" s="30" t="s">
        <v>190</v>
      </c>
      <c r="M150" s="30" t="s">
        <v>189</v>
      </c>
      <c r="N150" s="30" t="s">
        <v>188</v>
      </c>
      <c r="O150" s="30" t="s">
        <v>187</v>
      </c>
      <c r="P150" s="30" t="s">
        <v>186</v>
      </c>
      <c r="Q150" s="30" t="s">
        <v>185</v>
      </c>
      <c r="R150" s="30" t="s">
        <v>184</v>
      </c>
      <c r="S150" s="30" t="s">
        <v>183</v>
      </c>
      <c r="T150" s="30" t="s">
        <v>182</v>
      </c>
      <c r="U150" s="30" t="s">
        <v>181</v>
      </c>
      <c r="V150" s="30" t="s">
        <v>180</v>
      </c>
      <c r="W150" s="30" t="s">
        <v>179</v>
      </c>
      <c r="X150" s="30" t="s">
        <v>178</v>
      </c>
      <c r="Y150" s="30" t="s">
        <v>177</v>
      </c>
      <c r="Z150" s="30" t="s">
        <v>176</v>
      </c>
      <c r="AA150" s="30" t="s">
        <v>175</v>
      </c>
      <c r="AB150" s="30" t="s">
        <v>174</v>
      </c>
      <c r="AC150" s="30" t="s">
        <v>173</v>
      </c>
      <c r="AD150" s="30" t="s">
        <v>172</v>
      </c>
      <c r="AE150" s="30" t="s">
        <v>171</v>
      </c>
      <c r="AF150" s="30" t="s">
        <v>170</v>
      </c>
      <c r="AG150" s="30" t="s">
        <v>169</v>
      </c>
      <c r="AH150" s="30" t="s">
        <v>168</v>
      </c>
      <c r="AI150" s="30" t="s">
        <v>167</v>
      </c>
      <c r="AJ150" s="29" t="s">
        <v>166</v>
      </c>
      <c r="AK150" s="2"/>
    </row>
    <row r="151" spans="2:37" ht="19.5" customHeight="1" thickTop="1" thickBot="1" x14ac:dyDescent="0.3">
      <c r="B151" s="28"/>
      <c r="C151" s="27" t="str">
        <f>DADOS!$AH$3</f>
        <v>📝 COE</v>
      </c>
      <c r="D151" s="26" t="str">
        <f>IF(investiroutrosconsolidadojun[[#This Row],[TOTAL (R$)]]=0,"",IF(OR(investiroutrosconsolidadojun[[#This Row],[TOTAL (R$)]]=LARGE($AJ$151:$AJ$158,1),investiroutrosconsolidadojun[[#This Row],[TOTAL (R$)]]=LARGE($AJ$151:$AJ$158,2)),DADOS!$I$10,""))</f>
        <v/>
      </c>
      <c r="E151" s="96">
        <f>SUMIFS(tabela_registros[VALOR],tabela_registros[MÊS],$AE$1,tabela_registros[DIA],investiroutrosconsolidadojun[[#Headers],[1]],tabela_registros[REGISTRO],DADOS!$N$5,tabela_registros[TIPO],DADOS!$AB$5,tabela_registros[CATEGORIA],investiroutrosconsolidadojun[[#This Row],[ATUAL]])</f>
        <v>0</v>
      </c>
      <c r="F151" s="91">
        <f>SUMIFS(tabela_registros[VALOR],tabela_registros[MÊS],$AE$1,tabela_registros[DIA],investiroutrosconsolidadojun[[#Headers],[2]],tabela_registros[REGISTRO],DADOS!$N$5,tabela_registros[TIPO],DADOS!$AB$5,tabela_registros[CATEGORIA],investiroutrosconsolidadojun[[#This Row],[ATUAL]])</f>
        <v>0</v>
      </c>
      <c r="G151" s="91">
        <f>SUMIFS(tabela_registros[VALOR],tabela_registros[MÊS],$AE$1,tabela_registros[DIA],investiroutrosconsolidadojun[[#Headers],[3]],tabela_registros[REGISTRO],DADOS!$N$5,tabela_registros[TIPO],DADOS!$AB$5,tabela_registros[CATEGORIA],investiroutrosconsolidadojun[[#This Row],[ATUAL]])</f>
        <v>0</v>
      </c>
      <c r="H151" s="91">
        <f>SUMIFS(tabela_registros[VALOR],tabela_registros[MÊS],$AE$1,tabela_registros[DIA],investiroutrosconsolidadojun[[#Headers],[4]],tabela_registros[REGISTRO],DADOS!$N$5,tabela_registros[TIPO],DADOS!$AB$5,tabela_registros[CATEGORIA],investiroutrosconsolidadojun[[#This Row],[ATUAL]])</f>
        <v>0</v>
      </c>
      <c r="I151" s="91">
        <f>SUMIFS(tabela_registros[VALOR],tabela_registros[MÊS],$AE$1,tabela_registros[DIA],investiroutrosconsolidadojun[[#Headers],[5]],tabela_registros[REGISTRO],DADOS!$N$5,tabela_registros[TIPO],DADOS!$AB$5,tabela_registros[CATEGORIA],investiroutrosconsolidadojun[[#This Row],[ATUAL]])</f>
        <v>0</v>
      </c>
      <c r="J151" s="91">
        <f>SUMIFS(tabela_registros[VALOR],tabela_registros[MÊS],$AE$1,tabela_registros[DIA],investiroutrosconsolidadojun[[#Headers],[6]],tabela_registros[REGISTRO],DADOS!$N$5,tabela_registros[TIPO],DADOS!$AB$5,tabela_registros[CATEGORIA],investiroutrosconsolidadojun[[#This Row],[ATUAL]])</f>
        <v>0</v>
      </c>
      <c r="K151" s="91">
        <f>SUMIFS(tabela_registros[VALOR],tabela_registros[MÊS],$AE$1,tabela_registros[DIA],investiroutrosconsolidadojun[[#Headers],[7]],tabela_registros[REGISTRO],DADOS!$N$5,tabela_registros[TIPO],DADOS!$AB$5,tabela_registros[CATEGORIA],investiroutrosconsolidadojun[[#This Row],[ATUAL]])</f>
        <v>0</v>
      </c>
      <c r="L151" s="91">
        <f>SUMIFS(tabela_registros[VALOR],tabela_registros[MÊS],$AE$1,tabela_registros[DIA],investiroutrosconsolidadojun[[#Headers],[8]],tabela_registros[REGISTRO],DADOS!$N$5,tabela_registros[TIPO],DADOS!$AB$5,tabela_registros[CATEGORIA],investiroutrosconsolidadojun[[#This Row],[ATUAL]])</f>
        <v>0</v>
      </c>
      <c r="M151" s="91">
        <f>SUMIFS(tabela_registros[VALOR],tabela_registros[MÊS],$AE$1,tabela_registros[DIA],investiroutrosconsolidadojun[[#Headers],[9]],tabela_registros[REGISTRO],DADOS!$N$5,tabela_registros[TIPO],DADOS!$AB$5,tabela_registros[CATEGORIA],investiroutrosconsolidadojun[[#This Row],[ATUAL]])</f>
        <v>0</v>
      </c>
      <c r="N151" s="91">
        <f>SUMIFS(tabela_registros[VALOR],tabela_registros[MÊS],$AE$1,tabela_registros[DIA],investiroutrosconsolidadojun[[#Headers],[10]],tabela_registros[REGISTRO],DADOS!$N$5,tabela_registros[TIPO],DADOS!$AB$5,tabela_registros[CATEGORIA],investiroutrosconsolidadojun[[#This Row],[ATUAL]])</f>
        <v>0</v>
      </c>
      <c r="O151" s="91">
        <f>SUMIFS(tabela_registros[VALOR],tabela_registros[MÊS],$AE$1,tabela_registros[DIA],investiroutrosconsolidadojun[[#Headers],[11]],tabela_registros[REGISTRO],DADOS!$N$5,tabela_registros[TIPO],DADOS!$AB$5,tabela_registros[CATEGORIA],investiroutrosconsolidadojun[[#This Row],[ATUAL]])</f>
        <v>0</v>
      </c>
      <c r="P151" s="91">
        <f>SUMIFS(tabela_registros[VALOR],tabela_registros[MÊS],$AE$1,tabela_registros[DIA],investiroutrosconsolidadojun[[#Headers],[12]],tabela_registros[REGISTRO],DADOS!$N$5,tabela_registros[TIPO],DADOS!$AB$5,tabela_registros[CATEGORIA],investiroutrosconsolidadojun[[#This Row],[ATUAL]])</f>
        <v>0</v>
      </c>
      <c r="Q151" s="91">
        <f>SUMIFS(tabela_registros[VALOR],tabela_registros[MÊS],$AE$1,tabela_registros[DIA],investiroutrosconsolidadojun[[#Headers],[13]],tabela_registros[REGISTRO],DADOS!$N$5,tabela_registros[TIPO],DADOS!$AB$5,tabela_registros[CATEGORIA],investiroutrosconsolidadojun[[#This Row],[ATUAL]])</f>
        <v>0</v>
      </c>
      <c r="R151" s="91">
        <f>SUMIFS(tabela_registros[VALOR],tabela_registros[MÊS],$AE$1,tabela_registros[DIA],investiroutrosconsolidadojun[[#Headers],[14]],tabela_registros[REGISTRO],DADOS!$N$5,tabela_registros[TIPO],DADOS!$AB$5,tabela_registros[CATEGORIA],investiroutrosconsolidadojun[[#This Row],[ATUAL]])</f>
        <v>0</v>
      </c>
      <c r="S151" s="91">
        <f>SUMIFS(tabela_registros[VALOR],tabela_registros[MÊS],$AE$1,tabela_registros[DIA],investiroutrosconsolidadojun[[#Headers],[15]],tabela_registros[REGISTRO],DADOS!$N$5,tabela_registros[TIPO],DADOS!$AB$5,tabela_registros[CATEGORIA],investiroutrosconsolidadojun[[#This Row],[ATUAL]])</f>
        <v>0</v>
      </c>
      <c r="T151" s="91">
        <f>SUMIFS(tabela_registros[VALOR],tabela_registros[MÊS],$AE$1,tabela_registros[DIA],investiroutrosconsolidadojun[[#Headers],[16]],tabela_registros[REGISTRO],DADOS!$N$5,tabela_registros[TIPO],DADOS!$AB$5,tabela_registros[CATEGORIA],investiroutrosconsolidadojun[[#This Row],[ATUAL]])</f>
        <v>0</v>
      </c>
      <c r="U151" s="91">
        <f>SUMIFS(tabela_registros[VALOR],tabela_registros[MÊS],$AE$1,tabela_registros[DIA],investiroutrosconsolidadojun[[#Headers],[17]],tabela_registros[REGISTRO],DADOS!$N$5,tabela_registros[TIPO],DADOS!$AB$5,tabela_registros[CATEGORIA],investiroutrosconsolidadojun[[#This Row],[ATUAL]])</f>
        <v>0</v>
      </c>
      <c r="V151" s="91">
        <f>SUMIFS(tabela_registros[VALOR],tabela_registros[MÊS],$AE$1,tabela_registros[DIA],investiroutrosconsolidadojun[[#Headers],[18]],tabela_registros[REGISTRO],DADOS!$N$5,tabela_registros[TIPO],DADOS!$AB$5,tabela_registros[CATEGORIA],investiroutrosconsolidadojun[[#This Row],[ATUAL]])</f>
        <v>0</v>
      </c>
      <c r="W151" s="91">
        <f>SUMIFS(tabela_registros[VALOR],tabela_registros[MÊS],$AE$1,tabela_registros[DIA],investiroutrosconsolidadojun[[#Headers],[19]],tabela_registros[REGISTRO],DADOS!$N$5,tabela_registros[TIPO],DADOS!$AB$5,tabela_registros[CATEGORIA],investiroutrosconsolidadojun[[#This Row],[ATUAL]])</f>
        <v>0</v>
      </c>
      <c r="X151" s="91">
        <f>SUMIFS(tabela_registros[VALOR],tabela_registros[MÊS],$AE$1,tabela_registros[DIA],investiroutrosconsolidadojun[[#Headers],[20]],tabela_registros[REGISTRO],DADOS!$N$5,tabela_registros[TIPO],DADOS!$AB$5,tabela_registros[CATEGORIA],investiroutrosconsolidadojun[[#This Row],[ATUAL]])</f>
        <v>0</v>
      </c>
      <c r="Y151" s="91">
        <f>SUMIFS(tabela_registros[VALOR],tabela_registros[MÊS],$AE$1,tabela_registros[DIA],investiroutrosconsolidadojun[[#Headers],[21]],tabela_registros[REGISTRO],DADOS!$N$5,tabela_registros[TIPO],DADOS!$AB$5,tabela_registros[CATEGORIA],investiroutrosconsolidadojun[[#This Row],[ATUAL]])</f>
        <v>0</v>
      </c>
      <c r="Z151" s="91">
        <f>SUMIFS(tabela_registros[VALOR],tabela_registros[MÊS],$AE$1,tabela_registros[DIA],investiroutrosconsolidadojun[[#Headers],[22]],tabela_registros[REGISTRO],DADOS!$N$5,tabela_registros[TIPO],DADOS!$AB$5,tabela_registros[CATEGORIA],investiroutrosconsolidadojun[[#This Row],[ATUAL]])</f>
        <v>0</v>
      </c>
      <c r="AA151" s="91">
        <f>SUMIFS(tabela_registros[VALOR],tabela_registros[MÊS],$AE$1,tabela_registros[DIA],investiroutrosconsolidadojun[[#Headers],[23]],tabela_registros[REGISTRO],DADOS!$N$5,tabela_registros[TIPO],DADOS!$AB$5,tabela_registros[CATEGORIA],investiroutrosconsolidadojun[[#This Row],[ATUAL]])</f>
        <v>0</v>
      </c>
      <c r="AB151" s="91">
        <f>SUMIFS(tabela_registros[VALOR],tabela_registros[MÊS],$AE$1,tabela_registros[DIA],investiroutrosconsolidadojun[[#Headers],[24]],tabela_registros[REGISTRO],DADOS!$N$5,tabela_registros[TIPO],DADOS!$AB$5,tabela_registros[CATEGORIA],investiroutrosconsolidadojun[[#This Row],[ATUAL]])</f>
        <v>0</v>
      </c>
      <c r="AC151" s="91">
        <f>SUMIFS(tabela_registros[VALOR],tabela_registros[MÊS],$AE$1,tabela_registros[DIA],investiroutrosconsolidadojun[[#Headers],[25]],tabela_registros[REGISTRO],DADOS!$N$5,tabela_registros[TIPO],DADOS!$AB$5,tabela_registros[CATEGORIA],investiroutrosconsolidadojun[[#This Row],[ATUAL]])</f>
        <v>0</v>
      </c>
      <c r="AD151" s="91">
        <f>SUMIFS(tabela_registros[VALOR],tabela_registros[MÊS],$AE$1,tabela_registros[DIA],investiroutrosconsolidadojun[[#Headers],[26]],tabela_registros[REGISTRO],DADOS!$N$5,tabela_registros[TIPO],DADOS!$AB$5,tabela_registros[CATEGORIA],investiroutrosconsolidadojun[[#This Row],[ATUAL]])</f>
        <v>0</v>
      </c>
      <c r="AE151" s="91">
        <f>SUMIFS(tabela_registros[VALOR],tabela_registros[MÊS],$AE$1,tabela_registros[DIA],investiroutrosconsolidadojun[[#Headers],[27]],tabela_registros[REGISTRO],DADOS!$N$5,tabela_registros[TIPO],DADOS!$AB$5,tabela_registros[CATEGORIA],investiroutrosconsolidadojun[[#This Row],[ATUAL]])</f>
        <v>0</v>
      </c>
      <c r="AF151" s="91">
        <f>SUMIFS(tabela_registros[VALOR],tabela_registros[MÊS],$AE$1,tabela_registros[DIA],investiroutrosconsolidadojun[[#Headers],[28]],tabela_registros[REGISTRO],DADOS!$N$5,tabela_registros[TIPO],DADOS!$AB$5,tabela_registros[CATEGORIA],investiroutrosconsolidadojun[[#This Row],[ATUAL]])</f>
        <v>0</v>
      </c>
      <c r="AG151" s="91">
        <f>SUMIFS(tabela_registros[VALOR],tabela_registros[MÊS],$AE$1,tabela_registros[DIA],investiroutrosconsolidadojun[[#Headers],[29]],tabela_registros[REGISTRO],DADOS!$N$5,tabela_registros[TIPO],DADOS!$AB$5,tabela_registros[CATEGORIA],investiroutrosconsolidadojun[[#This Row],[ATUAL]])</f>
        <v>0</v>
      </c>
      <c r="AH151" s="91">
        <f>SUMIFS(tabela_registros[VALOR],tabela_registros[MÊS],$AE$1,tabela_registros[DIA],investiroutrosconsolidadojun[[#Headers],[30]],tabela_registros[REGISTRO],DADOS!$N$5,tabela_registros[TIPO],DADOS!$AB$5,tabela_registros[CATEGORIA],investiroutrosconsolidadojun[[#This Row],[ATUAL]])</f>
        <v>0</v>
      </c>
      <c r="AI151" s="101">
        <f>SUMIFS(tabela_registros[VALOR],tabela_registros[MÊS],$AE$1,tabela_registros[DIA],investiroutrosconsolidadojun[[#Headers],[31]],tabela_registros[REGISTRO],DADOS!$N$5,tabela_registros[TIPO],DADOS!$AB$5,tabela_registros[CATEGORIA],investiroutrosconsolidadojun[[#This Row],[ATUAL]])</f>
        <v>0</v>
      </c>
      <c r="AJ151" s="97">
        <f>SUM(investiroutrosconsolidadojun[[#This Row],[1]:[31]])</f>
        <v>0</v>
      </c>
      <c r="AK151" s="25"/>
    </row>
    <row r="152" spans="2:37" ht="19.5" customHeight="1" thickTop="1" thickBot="1" x14ac:dyDescent="0.3">
      <c r="B152" s="28"/>
      <c r="C152" s="27" t="str">
        <f>DADOS!$AH$4</f>
        <v>📝 FOREX</v>
      </c>
      <c r="D152" s="26" t="str">
        <f>IF(investiroutrosconsolidadojun[[#This Row],[TOTAL (R$)]]=0,"",IF(OR(investiroutrosconsolidadojun[[#This Row],[TOTAL (R$)]]=LARGE($AJ$151:$AJ$158,1),investiroutrosconsolidadojun[[#This Row],[TOTAL (R$)]]=LARGE($AJ$151:$AJ$158,2)),DADOS!$I$10,""))</f>
        <v/>
      </c>
      <c r="E152" s="96">
        <f>SUMIFS(tabela_registros[VALOR],tabela_registros[MÊS],$AE$1,tabela_registros[DIA],investiroutrosconsolidadojun[[#Headers],[1]],tabela_registros[REGISTRO],DADOS!$N$5,tabela_registros[TIPO],DADOS!$AB$5,tabela_registros[CATEGORIA],investiroutrosconsolidadojun[[#This Row],[ATUAL]])</f>
        <v>0</v>
      </c>
      <c r="F152" s="91">
        <f>SUMIFS(tabela_registros[VALOR],tabela_registros[MÊS],$AE$1,tabela_registros[DIA],investiroutrosconsolidadojun[[#Headers],[2]],tabela_registros[REGISTRO],DADOS!$N$5,tabela_registros[TIPO],DADOS!$AB$5,tabela_registros[CATEGORIA],investiroutrosconsolidadojun[[#This Row],[ATUAL]])</f>
        <v>0</v>
      </c>
      <c r="G152" s="91">
        <f>SUMIFS(tabela_registros[VALOR],tabela_registros[MÊS],$AE$1,tabela_registros[DIA],investiroutrosconsolidadojun[[#Headers],[3]],tabela_registros[REGISTRO],DADOS!$N$5,tabela_registros[TIPO],DADOS!$AB$5,tabela_registros[CATEGORIA],investiroutrosconsolidadojun[[#This Row],[ATUAL]])</f>
        <v>0</v>
      </c>
      <c r="H152" s="91">
        <f>SUMIFS(tabela_registros[VALOR],tabela_registros[MÊS],$AE$1,tabela_registros[DIA],investiroutrosconsolidadojun[[#Headers],[4]],tabela_registros[REGISTRO],DADOS!$N$5,tabela_registros[TIPO],DADOS!$AB$5,tabela_registros[CATEGORIA],investiroutrosconsolidadojun[[#This Row],[ATUAL]])</f>
        <v>0</v>
      </c>
      <c r="I152" s="91">
        <f>SUMIFS(tabela_registros[VALOR],tabela_registros[MÊS],$AE$1,tabela_registros[DIA],investiroutrosconsolidadojun[[#Headers],[5]],tabela_registros[REGISTRO],DADOS!$N$5,tabela_registros[TIPO],DADOS!$AB$5,tabela_registros[CATEGORIA],investiroutrosconsolidadojun[[#This Row],[ATUAL]])</f>
        <v>0</v>
      </c>
      <c r="J152" s="91">
        <f>SUMIFS(tabela_registros[VALOR],tabela_registros[MÊS],$AE$1,tabela_registros[DIA],investiroutrosconsolidadojun[[#Headers],[6]],tabela_registros[REGISTRO],DADOS!$N$5,tabela_registros[TIPO],DADOS!$AB$5,tabela_registros[CATEGORIA],investiroutrosconsolidadojun[[#This Row],[ATUAL]])</f>
        <v>0</v>
      </c>
      <c r="K152" s="91">
        <f>SUMIFS(tabela_registros[VALOR],tabela_registros[MÊS],$AE$1,tabela_registros[DIA],investiroutrosconsolidadojun[[#Headers],[7]],tabela_registros[REGISTRO],DADOS!$N$5,tabela_registros[TIPO],DADOS!$AB$5,tabela_registros[CATEGORIA],investiroutrosconsolidadojun[[#This Row],[ATUAL]])</f>
        <v>0</v>
      </c>
      <c r="L152" s="91">
        <f>SUMIFS(tabela_registros[VALOR],tabela_registros[MÊS],$AE$1,tabela_registros[DIA],investiroutrosconsolidadojun[[#Headers],[8]],tabela_registros[REGISTRO],DADOS!$N$5,tabela_registros[TIPO],DADOS!$AB$5,tabela_registros[CATEGORIA],investiroutrosconsolidadojun[[#This Row],[ATUAL]])</f>
        <v>0</v>
      </c>
      <c r="M152" s="91">
        <f>SUMIFS(tabela_registros[VALOR],tabela_registros[MÊS],$AE$1,tabela_registros[DIA],investiroutrosconsolidadojun[[#Headers],[9]],tabela_registros[REGISTRO],DADOS!$N$5,tabela_registros[TIPO],DADOS!$AB$5,tabela_registros[CATEGORIA],investiroutrosconsolidadojun[[#This Row],[ATUAL]])</f>
        <v>0</v>
      </c>
      <c r="N152" s="91">
        <f>SUMIFS(tabela_registros[VALOR],tabela_registros[MÊS],$AE$1,tabela_registros[DIA],investiroutrosconsolidadojun[[#Headers],[10]],tabela_registros[REGISTRO],DADOS!$N$5,tabela_registros[TIPO],DADOS!$AB$5,tabela_registros[CATEGORIA],investiroutrosconsolidadojun[[#This Row],[ATUAL]])</f>
        <v>0</v>
      </c>
      <c r="O152" s="91">
        <f>SUMIFS(tabela_registros[VALOR],tabela_registros[MÊS],$AE$1,tabela_registros[DIA],investiroutrosconsolidadojun[[#Headers],[11]],tabela_registros[REGISTRO],DADOS!$N$5,tabela_registros[TIPO],DADOS!$AB$5,tabela_registros[CATEGORIA],investiroutrosconsolidadojun[[#This Row],[ATUAL]])</f>
        <v>0</v>
      </c>
      <c r="P152" s="91">
        <f>SUMIFS(tabela_registros[VALOR],tabela_registros[MÊS],$AE$1,tabela_registros[DIA],investiroutrosconsolidadojun[[#Headers],[12]],tabela_registros[REGISTRO],DADOS!$N$5,tabela_registros[TIPO],DADOS!$AB$5,tabela_registros[CATEGORIA],investiroutrosconsolidadojun[[#This Row],[ATUAL]])</f>
        <v>0</v>
      </c>
      <c r="Q152" s="91">
        <f>SUMIFS(tabela_registros[VALOR],tabela_registros[MÊS],$AE$1,tabela_registros[DIA],investiroutrosconsolidadojun[[#Headers],[13]],tabela_registros[REGISTRO],DADOS!$N$5,tabela_registros[TIPO],DADOS!$AB$5,tabela_registros[CATEGORIA],investiroutrosconsolidadojun[[#This Row],[ATUAL]])</f>
        <v>0</v>
      </c>
      <c r="R152" s="91">
        <f>SUMIFS(tabela_registros[VALOR],tabela_registros[MÊS],$AE$1,tabela_registros[DIA],investiroutrosconsolidadojun[[#Headers],[14]],tabela_registros[REGISTRO],DADOS!$N$5,tabela_registros[TIPO],DADOS!$AB$5,tabela_registros[CATEGORIA],investiroutrosconsolidadojun[[#This Row],[ATUAL]])</f>
        <v>0</v>
      </c>
      <c r="S152" s="91">
        <f>SUMIFS(tabela_registros[VALOR],tabela_registros[MÊS],$AE$1,tabela_registros[DIA],investiroutrosconsolidadojun[[#Headers],[15]],tabela_registros[REGISTRO],DADOS!$N$5,tabela_registros[TIPO],DADOS!$AB$5,tabela_registros[CATEGORIA],investiroutrosconsolidadojun[[#This Row],[ATUAL]])</f>
        <v>0</v>
      </c>
      <c r="T152" s="91">
        <f>SUMIFS(tabela_registros[VALOR],tabela_registros[MÊS],$AE$1,tabela_registros[DIA],investiroutrosconsolidadojun[[#Headers],[16]],tabela_registros[REGISTRO],DADOS!$N$5,tabela_registros[TIPO],DADOS!$AB$5,tabela_registros[CATEGORIA],investiroutrosconsolidadojun[[#This Row],[ATUAL]])</f>
        <v>0</v>
      </c>
      <c r="U152" s="91">
        <f>SUMIFS(tabela_registros[VALOR],tabela_registros[MÊS],$AE$1,tabela_registros[DIA],investiroutrosconsolidadojun[[#Headers],[17]],tabela_registros[REGISTRO],DADOS!$N$5,tabela_registros[TIPO],DADOS!$AB$5,tabela_registros[CATEGORIA],investiroutrosconsolidadojun[[#This Row],[ATUAL]])</f>
        <v>0</v>
      </c>
      <c r="V152" s="91">
        <f>SUMIFS(tabela_registros[VALOR],tabela_registros[MÊS],$AE$1,tabela_registros[DIA],investiroutrosconsolidadojun[[#Headers],[18]],tabela_registros[REGISTRO],DADOS!$N$5,tabela_registros[TIPO],DADOS!$AB$5,tabela_registros[CATEGORIA],investiroutrosconsolidadojun[[#This Row],[ATUAL]])</f>
        <v>0</v>
      </c>
      <c r="W152" s="91">
        <f>SUMIFS(tabela_registros[VALOR],tabela_registros[MÊS],$AE$1,tabela_registros[DIA],investiroutrosconsolidadojun[[#Headers],[19]],tabela_registros[REGISTRO],DADOS!$N$5,tabela_registros[TIPO],DADOS!$AB$5,tabela_registros[CATEGORIA],investiroutrosconsolidadojun[[#This Row],[ATUAL]])</f>
        <v>0</v>
      </c>
      <c r="X152" s="91">
        <f>SUMIFS(tabela_registros[VALOR],tabela_registros[MÊS],$AE$1,tabela_registros[DIA],investiroutrosconsolidadojun[[#Headers],[20]],tabela_registros[REGISTRO],DADOS!$N$5,tabela_registros[TIPO],DADOS!$AB$5,tabela_registros[CATEGORIA],investiroutrosconsolidadojun[[#This Row],[ATUAL]])</f>
        <v>0</v>
      </c>
      <c r="Y152" s="91">
        <f>SUMIFS(tabela_registros[VALOR],tabela_registros[MÊS],$AE$1,tabela_registros[DIA],investiroutrosconsolidadojun[[#Headers],[21]],tabela_registros[REGISTRO],DADOS!$N$5,tabela_registros[TIPO],DADOS!$AB$5,tabela_registros[CATEGORIA],investiroutrosconsolidadojun[[#This Row],[ATUAL]])</f>
        <v>0</v>
      </c>
      <c r="Z152" s="91">
        <f>SUMIFS(tabela_registros[VALOR],tabela_registros[MÊS],$AE$1,tabela_registros[DIA],investiroutrosconsolidadojun[[#Headers],[22]],tabela_registros[REGISTRO],DADOS!$N$5,tabela_registros[TIPO],DADOS!$AB$5,tabela_registros[CATEGORIA],investiroutrosconsolidadojun[[#This Row],[ATUAL]])</f>
        <v>0</v>
      </c>
      <c r="AA152" s="91">
        <f>SUMIFS(tabela_registros[VALOR],tabela_registros[MÊS],$AE$1,tabela_registros[DIA],investiroutrosconsolidadojun[[#Headers],[23]],tabela_registros[REGISTRO],DADOS!$N$5,tabela_registros[TIPO],DADOS!$AB$5,tabela_registros[CATEGORIA],investiroutrosconsolidadojun[[#This Row],[ATUAL]])</f>
        <v>0</v>
      </c>
      <c r="AB152" s="91">
        <f>SUMIFS(tabela_registros[VALOR],tabela_registros[MÊS],$AE$1,tabela_registros[DIA],investiroutrosconsolidadojun[[#Headers],[24]],tabela_registros[REGISTRO],DADOS!$N$5,tabela_registros[TIPO],DADOS!$AB$5,tabela_registros[CATEGORIA],investiroutrosconsolidadojun[[#This Row],[ATUAL]])</f>
        <v>0</v>
      </c>
      <c r="AC152" s="91">
        <f>SUMIFS(tabela_registros[VALOR],tabela_registros[MÊS],$AE$1,tabela_registros[DIA],investiroutrosconsolidadojun[[#Headers],[25]],tabela_registros[REGISTRO],DADOS!$N$5,tabela_registros[TIPO],DADOS!$AB$5,tabela_registros[CATEGORIA],investiroutrosconsolidadojun[[#This Row],[ATUAL]])</f>
        <v>0</v>
      </c>
      <c r="AD152" s="91">
        <f>SUMIFS(tabela_registros[VALOR],tabela_registros[MÊS],$AE$1,tabela_registros[DIA],investiroutrosconsolidadojun[[#Headers],[26]],tabela_registros[REGISTRO],DADOS!$N$5,tabela_registros[TIPO],DADOS!$AB$5,tabela_registros[CATEGORIA],investiroutrosconsolidadojun[[#This Row],[ATUAL]])</f>
        <v>0</v>
      </c>
      <c r="AE152" s="91">
        <f>SUMIFS(tabela_registros[VALOR],tabela_registros[MÊS],$AE$1,tabela_registros[DIA],investiroutrosconsolidadojun[[#Headers],[27]],tabela_registros[REGISTRO],DADOS!$N$5,tabela_registros[TIPO],DADOS!$AB$5,tabela_registros[CATEGORIA],investiroutrosconsolidadojun[[#This Row],[ATUAL]])</f>
        <v>0</v>
      </c>
      <c r="AF152" s="91">
        <f>SUMIFS(tabela_registros[VALOR],tabela_registros[MÊS],$AE$1,tabela_registros[DIA],investiroutrosconsolidadojun[[#Headers],[28]],tabela_registros[REGISTRO],DADOS!$N$5,tabela_registros[TIPO],DADOS!$AB$5,tabela_registros[CATEGORIA],investiroutrosconsolidadojun[[#This Row],[ATUAL]])</f>
        <v>0</v>
      </c>
      <c r="AG152" s="91">
        <f>SUMIFS(tabela_registros[VALOR],tabela_registros[MÊS],$AE$1,tabela_registros[DIA],investiroutrosconsolidadojun[[#Headers],[29]],tabela_registros[REGISTRO],DADOS!$N$5,tabela_registros[TIPO],DADOS!$AB$5,tabela_registros[CATEGORIA],investiroutrosconsolidadojun[[#This Row],[ATUAL]])</f>
        <v>0</v>
      </c>
      <c r="AH152" s="91">
        <f>SUMIFS(tabela_registros[VALOR],tabela_registros[MÊS],$AE$1,tabela_registros[DIA],investiroutrosconsolidadojun[[#Headers],[30]],tabela_registros[REGISTRO],DADOS!$N$5,tabela_registros[TIPO],DADOS!$AB$5,tabela_registros[CATEGORIA],investiroutrosconsolidadojun[[#This Row],[ATUAL]])</f>
        <v>0</v>
      </c>
      <c r="AI152" s="101">
        <f>SUMIFS(tabela_registros[VALOR],tabela_registros[MÊS],$AE$1,tabela_registros[DIA],investiroutrosconsolidadojun[[#Headers],[31]],tabela_registros[REGISTRO],DADOS!$N$5,tabela_registros[TIPO],DADOS!$AB$5,tabela_registros[CATEGORIA],investiroutrosconsolidadojun[[#This Row],[ATUAL]])</f>
        <v>0</v>
      </c>
      <c r="AJ152" s="97">
        <f>SUM(investiroutrosconsolidadojun[[#This Row],[1]:[31]])</f>
        <v>0</v>
      </c>
      <c r="AK152" s="25"/>
    </row>
    <row r="153" spans="2:37" ht="19.5" customHeight="1" thickTop="1" thickBot="1" x14ac:dyDescent="0.3">
      <c r="B153" s="28"/>
      <c r="C153" s="27" t="str">
        <f>DADOS!$AH$5</f>
        <v>📝 FUNDO DE INVESTIMENTO</v>
      </c>
      <c r="D153" s="26" t="str">
        <f>IF(investiroutrosconsolidadojun[[#This Row],[TOTAL (R$)]]=0,"",IF(OR(investiroutrosconsolidadojun[[#This Row],[TOTAL (R$)]]=LARGE($AJ$151:$AJ$158,1),investiroutrosconsolidadojun[[#This Row],[TOTAL (R$)]]=LARGE($AJ$151:$AJ$158,2)),DADOS!$I$10,""))</f>
        <v/>
      </c>
      <c r="E153" s="96">
        <f>SUMIFS(tabela_registros[VALOR],tabela_registros[MÊS],$AE$1,tabela_registros[DIA],investiroutrosconsolidadojun[[#Headers],[1]],tabela_registros[REGISTRO],DADOS!$N$5,tabela_registros[TIPO],DADOS!$AB$5,tabela_registros[CATEGORIA],investiroutrosconsolidadojun[[#This Row],[ATUAL]])</f>
        <v>0</v>
      </c>
      <c r="F153" s="91">
        <f>SUMIFS(tabela_registros[VALOR],tabela_registros[MÊS],$AE$1,tabela_registros[DIA],investiroutrosconsolidadojun[[#Headers],[2]],tabela_registros[REGISTRO],DADOS!$N$5,tabela_registros[TIPO],DADOS!$AB$5,tabela_registros[CATEGORIA],investiroutrosconsolidadojun[[#This Row],[ATUAL]])</f>
        <v>0</v>
      </c>
      <c r="G153" s="91">
        <f>SUMIFS(tabela_registros[VALOR],tabela_registros[MÊS],$AE$1,tabela_registros[DIA],investiroutrosconsolidadojun[[#Headers],[3]],tabela_registros[REGISTRO],DADOS!$N$5,tabela_registros[TIPO],DADOS!$AB$5,tabela_registros[CATEGORIA],investiroutrosconsolidadojun[[#This Row],[ATUAL]])</f>
        <v>0</v>
      </c>
      <c r="H153" s="91">
        <f>SUMIFS(tabela_registros[VALOR],tabela_registros[MÊS],$AE$1,tabela_registros[DIA],investiroutrosconsolidadojun[[#Headers],[4]],tabela_registros[REGISTRO],DADOS!$N$5,tabela_registros[TIPO],DADOS!$AB$5,tabela_registros[CATEGORIA],investiroutrosconsolidadojun[[#This Row],[ATUAL]])</f>
        <v>0</v>
      </c>
      <c r="I153" s="91">
        <f>SUMIFS(tabela_registros[VALOR],tabela_registros[MÊS],$AE$1,tabela_registros[DIA],investiroutrosconsolidadojun[[#Headers],[5]],tabela_registros[REGISTRO],DADOS!$N$5,tabela_registros[TIPO],DADOS!$AB$5,tabela_registros[CATEGORIA],investiroutrosconsolidadojun[[#This Row],[ATUAL]])</f>
        <v>0</v>
      </c>
      <c r="J153" s="91">
        <f>SUMIFS(tabela_registros[VALOR],tabela_registros[MÊS],$AE$1,tabela_registros[DIA],investiroutrosconsolidadojun[[#Headers],[6]],tabela_registros[REGISTRO],DADOS!$N$5,tabela_registros[TIPO],DADOS!$AB$5,tabela_registros[CATEGORIA],investiroutrosconsolidadojun[[#This Row],[ATUAL]])</f>
        <v>0</v>
      </c>
      <c r="K153" s="91">
        <f>SUMIFS(tabela_registros[VALOR],tabela_registros[MÊS],$AE$1,tabela_registros[DIA],investiroutrosconsolidadojun[[#Headers],[7]],tabela_registros[REGISTRO],DADOS!$N$5,tabela_registros[TIPO],DADOS!$AB$5,tabela_registros[CATEGORIA],investiroutrosconsolidadojun[[#This Row],[ATUAL]])</f>
        <v>0</v>
      </c>
      <c r="L153" s="91">
        <f>SUMIFS(tabela_registros[VALOR],tabela_registros[MÊS],$AE$1,tabela_registros[DIA],investiroutrosconsolidadojun[[#Headers],[8]],tabela_registros[REGISTRO],DADOS!$N$5,tabela_registros[TIPO],DADOS!$AB$5,tabela_registros[CATEGORIA],investiroutrosconsolidadojun[[#This Row],[ATUAL]])</f>
        <v>0</v>
      </c>
      <c r="M153" s="91">
        <f>SUMIFS(tabela_registros[VALOR],tabela_registros[MÊS],$AE$1,tabela_registros[DIA],investiroutrosconsolidadojun[[#Headers],[9]],tabela_registros[REGISTRO],DADOS!$N$5,tabela_registros[TIPO],DADOS!$AB$5,tabela_registros[CATEGORIA],investiroutrosconsolidadojun[[#This Row],[ATUAL]])</f>
        <v>0</v>
      </c>
      <c r="N153" s="91">
        <f>SUMIFS(tabela_registros[VALOR],tabela_registros[MÊS],$AE$1,tabela_registros[DIA],investiroutrosconsolidadojun[[#Headers],[10]],tabela_registros[REGISTRO],DADOS!$N$5,tabela_registros[TIPO],DADOS!$AB$5,tabela_registros[CATEGORIA],investiroutrosconsolidadojun[[#This Row],[ATUAL]])</f>
        <v>0</v>
      </c>
      <c r="O153" s="91">
        <f>SUMIFS(tabela_registros[VALOR],tabela_registros[MÊS],$AE$1,tabela_registros[DIA],investiroutrosconsolidadojun[[#Headers],[11]],tabela_registros[REGISTRO],DADOS!$N$5,tabela_registros[TIPO],DADOS!$AB$5,tabela_registros[CATEGORIA],investiroutrosconsolidadojun[[#This Row],[ATUAL]])</f>
        <v>0</v>
      </c>
      <c r="P153" s="91">
        <f>SUMIFS(tabela_registros[VALOR],tabela_registros[MÊS],$AE$1,tabela_registros[DIA],investiroutrosconsolidadojun[[#Headers],[12]],tabela_registros[REGISTRO],DADOS!$N$5,tabela_registros[TIPO],DADOS!$AB$5,tabela_registros[CATEGORIA],investiroutrosconsolidadojun[[#This Row],[ATUAL]])</f>
        <v>0</v>
      </c>
      <c r="Q153" s="91">
        <f>SUMIFS(tabela_registros[VALOR],tabela_registros[MÊS],$AE$1,tabela_registros[DIA],investiroutrosconsolidadojun[[#Headers],[13]],tabela_registros[REGISTRO],DADOS!$N$5,tabela_registros[TIPO],DADOS!$AB$5,tabela_registros[CATEGORIA],investiroutrosconsolidadojun[[#This Row],[ATUAL]])</f>
        <v>0</v>
      </c>
      <c r="R153" s="91">
        <f>SUMIFS(tabela_registros[VALOR],tabela_registros[MÊS],$AE$1,tabela_registros[DIA],investiroutrosconsolidadojun[[#Headers],[14]],tabela_registros[REGISTRO],DADOS!$N$5,tabela_registros[TIPO],DADOS!$AB$5,tabela_registros[CATEGORIA],investiroutrosconsolidadojun[[#This Row],[ATUAL]])</f>
        <v>0</v>
      </c>
      <c r="S153" s="91">
        <f>SUMIFS(tabela_registros[VALOR],tabela_registros[MÊS],$AE$1,tabela_registros[DIA],investiroutrosconsolidadojun[[#Headers],[15]],tabela_registros[REGISTRO],DADOS!$N$5,tabela_registros[TIPO],DADOS!$AB$5,tabela_registros[CATEGORIA],investiroutrosconsolidadojun[[#This Row],[ATUAL]])</f>
        <v>0</v>
      </c>
      <c r="T153" s="91">
        <f>SUMIFS(tabela_registros[VALOR],tabela_registros[MÊS],$AE$1,tabela_registros[DIA],investiroutrosconsolidadojun[[#Headers],[16]],tabela_registros[REGISTRO],DADOS!$N$5,tabela_registros[TIPO],DADOS!$AB$5,tabela_registros[CATEGORIA],investiroutrosconsolidadojun[[#This Row],[ATUAL]])</f>
        <v>0</v>
      </c>
      <c r="U153" s="91">
        <f>SUMIFS(tabela_registros[VALOR],tabela_registros[MÊS],$AE$1,tabela_registros[DIA],investiroutrosconsolidadojun[[#Headers],[17]],tabela_registros[REGISTRO],DADOS!$N$5,tabela_registros[TIPO],DADOS!$AB$5,tabela_registros[CATEGORIA],investiroutrosconsolidadojun[[#This Row],[ATUAL]])</f>
        <v>0</v>
      </c>
      <c r="V153" s="91">
        <f>SUMIFS(tabela_registros[VALOR],tabela_registros[MÊS],$AE$1,tabela_registros[DIA],investiroutrosconsolidadojun[[#Headers],[18]],tabela_registros[REGISTRO],DADOS!$N$5,tabela_registros[TIPO],DADOS!$AB$5,tabela_registros[CATEGORIA],investiroutrosconsolidadojun[[#This Row],[ATUAL]])</f>
        <v>0</v>
      </c>
      <c r="W153" s="91">
        <f>SUMIFS(tabela_registros[VALOR],tabela_registros[MÊS],$AE$1,tabela_registros[DIA],investiroutrosconsolidadojun[[#Headers],[19]],tabela_registros[REGISTRO],DADOS!$N$5,tabela_registros[TIPO],DADOS!$AB$5,tabela_registros[CATEGORIA],investiroutrosconsolidadojun[[#This Row],[ATUAL]])</f>
        <v>0</v>
      </c>
      <c r="X153" s="91">
        <f>SUMIFS(tabela_registros[VALOR],tabela_registros[MÊS],$AE$1,tabela_registros[DIA],investiroutrosconsolidadojun[[#Headers],[20]],tabela_registros[REGISTRO],DADOS!$N$5,tabela_registros[TIPO],DADOS!$AB$5,tabela_registros[CATEGORIA],investiroutrosconsolidadojun[[#This Row],[ATUAL]])</f>
        <v>0</v>
      </c>
      <c r="Y153" s="91">
        <f>SUMIFS(tabela_registros[VALOR],tabela_registros[MÊS],$AE$1,tabela_registros[DIA],investiroutrosconsolidadojun[[#Headers],[21]],tabela_registros[REGISTRO],DADOS!$N$5,tabela_registros[TIPO],DADOS!$AB$5,tabela_registros[CATEGORIA],investiroutrosconsolidadojun[[#This Row],[ATUAL]])</f>
        <v>0</v>
      </c>
      <c r="Z153" s="91">
        <f>SUMIFS(tabela_registros[VALOR],tabela_registros[MÊS],$AE$1,tabela_registros[DIA],investiroutrosconsolidadojun[[#Headers],[22]],tabela_registros[REGISTRO],DADOS!$N$5,tabela_registros[TIPO],DADOS!$AB$5,tabela_registros[CATEGORIA],investiroutrosconsolidadojun[[#This Row],[ATUAL]])</f>
        <v>0</v>
      </c>
      <c r="AA153" s="91">
        <f>SUMIFS(tabela_registros[VALOR],tabela_registros[MÊS],$AE$1,tabela_registros[DIA],investiroutrosconsolidadojun[[#Headers],[23]],tabela_registros[REGISTRO],DADOS!$N$5,tabela_registros[TIPO],DADOS!$AB$5,tabela_registros[CATEGORIA],investiroutrosconsolidadojun[[#This Row],[ATUAL]])</f>
        <v>0</v>
      </c>
      <c r="AB153" s="91">
        <f>SUMIFS(tabela_registros[VALOR],tabela_registros[MÊS],$AE$1,tabela_registros[DIA],investiroutrosconsolidadojun[[#Headers],[24]],tabela_registros[REGISTRO],DADOS!$N$5,tabela_registros[TIPO],DADOS!$AB$5,tabela_registros[CATEGORIA],investiroutrosconsolidadojun[[#This Row],[ATUAL]])</f>
        <v>0</v>
      </c>
      <c r="AC153" s="91">
        <f>SUMIFS(tabela_registros[VALOR],tabela_registros[MÊS],$AE$1,tabela_registros[DIA],investiroutrosconsolidadojun[[#Headers],[25]],tabela_registros[REGISTRO],DADOS!$N$5,tabela_registros[TIPO],DADOS!$AB$5,tabela_registros[CATEGORIA],investiroutrosconsolidadojun[[#This Row],[ATUAL]])</f>
        <v>0</v>
      </c>
      <c r="AD153" s="91">
        <f>SUMIFS(tabela_registros[VALOR],tabela_registros[MÊS],$AE$1,tabela_registros[DIA],investiroutrosconsolidadojun[[#Headers],[26]],tabela_registros[REGISTRO],DADOS!$N$5,tabela_registros[TIPO],DADOS!$AB$5,tabela_registros[CATEGORIA],investiroutrosconsolidadojun[[#This Row],[ATUAL]])</f>
        <v>0</v>
      </c>
      <c r="AE153" s="91">
        <f>SUMIFS(tabela_registros[VALOR],tabela_registros[MÊS],$AE$1,tabela_registros[DIA],investiroutrosconsolidadojun[[#Headers],[27]],tabela_registros[REGISTRO],DADOS!$N$5,tabela_registros[TIPO],DADOS!$AB$5,tabela_registros[CATEGORIA],investiroutrosconsolidadojun[[#This Row],[ATUAL]])</f>
        <v>0</v>
      </c>
      <c r="AF153" s="91">
        <f>SUMIFS(tabela_registros[VALOR],tabela_registros[MÊS],$AE$1,tabela_registros[DIA],investiroutrosconsolidadojun[[#Headers],[28]],tabela_registros[REGISTRO],DADOS!$N$5,tabela_registros[TIPO],DADOS!$AB$5,tabela_registros[CATEGORIA],investiroutrosconsolidadojun[[#This Row],[ATUAL]])</f>
        <v>0</v>
      </c>
      <c r="AG153" s="91">
        <f>SUMIFS(tabela_registros[VALOR],tabela_registros[MÊS],$AE$1,tabela_registros[DIA],investiroutrosconsolidadojun[[#Headers],[29]],tabela_registros[REGISTRO],DADOS!$N$5,tabela_registros[TIPO],DADOS!$AB$5,tabela_registros[CATEGORIA],investiroutrosconsolidadojun[[#This Row],[ATUAL]])</f>
        <v>0</v>
      </c>
      <c r="AH153" s="91">
        <f>SUMIFS(tabela_registros[VALOR],tabela_registros[MÊS],$AE$1,tabela_registros[DIA],investiroutrosconsolidadojun[[#Headers],[30]],tabela_registros[REGISTRO],DADOS!$N$5,tabela_registros[TIPO],DADOS!$AB$5,tabela_registros[CATEGORIA],investiroutrosconsolidadojun[[#This Row],[ATUAL]])</f>
        <v>0</v>
      </c>
      <c r="AI153" s="101">
        <f>SUMIFS(tabela_registros[VALOR],tabela_registros[MÊS],$AE$1,tabela_registros[DIA],investiroutrosconsolidadojun[[#Headers],[31]],tabela_registros[REGISTRO],DADOS!$N$5,tabela_registros[TIPO],DADOS!$AB$5,tabela_registros[CATEGORIA],investiroutrosconsolidadojun[[#This Row],[ATUAL]])</f>
        <v>0</v>
      </c>
      <c r="AJ153" s="97">
        <f>SUM(investiroutrosconsolidadojun[[#This Row],[1]:[31]])</f>
        <v>0</v>
      </c>
      <c r="AK153" s="25"/>
    </row>
    <row r="154" spans="2:37" ht="19.5" customHeight="1" thickTop="1" thickBot="1" x14ac:dyDescent="0.3">
      <c r="B154" s="28"/>
      <c r="C154" s="27" t="str">
        <f>DADOS!$AH$6</f>
        <v>📝 NOVA EMPRESA</v>
      </c>
      <c r="D154" s="26" t="str">
        <f>IF(investiroutrosconsolidadojun[[#This Row],[TOTAL (R$)]]=0,"",IF(OR(investiroutrosconsolidadojun[[#This Row],[TOTAL (R$)]]=LARGE($AJ$151:$AJ$158,1),investiroutrosconsolidadojun[[#This Row],[TOTAL (R$)]]=LARGE($AJ$151:$AJ$158,2)),DADOS!$I$10,""))</f>
        <v/>
      </c>
      <c r="E154" s="96">
        <f>SUMIFS(tabela_registros[VALOR],tabela_registros[MÊS],$AE$1,tabela_registros[DIA],investiroutrosconsolidadojun[[#Headers],[1]],tabela_registros[REGISTRO],DADOS!$N$5,tabela_registros[TIPO],DADOS!$AB$5,tabela_registros[CATEGORIA],investiroutrosconsolidadojun[[#This Row],[ATUAL]])</f>
        <v>0</v>
      </c>
      <c r="F154" s="91">
        <f>SUMIFS(tabela_registros[VALOR],tabela_registros[MÊS],$AE$1,tabela_registros[DIA],investiroutrosconsolidadojun[[#Headers],[2]],tabela_registros[REGISTRO],DADOS!$N$5,tabela_registros[TIPO],DADOS!$AB$5,tabela_registros[CATEGORIA],investiroutrosconsolidadojun[[#This Row],[ATUAL]])</f>
        <v>0</v>
      </c>
      <c r="G154" s="91">
        <f>SUMIFS(tabela_registros[VALOR],tabela_registros[MÊS],$AE$1,tabela_registros[DIA],investiroutrosconsolidadojun[[#Headers],[3]],tabela_registros[REGISTRO],DADOS!$N$5,tabela_registros[TIPO],DADOS!$AB$5,tabela_registros[CATEGORIA],investiroutrosconsolidadojun[[#This Row],[ATUAL]])</f>
        <v>0</v>
      </c>
      <c r="H154" s="91">
        <f>SUMIFS(tabela_registros[VALOR],tabela_registros[MÊS],$AE$1,tabela_registros[DIA],investiroutrosconsolidadojun[[#Headers],[4]],tabela_registros[REGISTRO],DADOS!$N$5,tabela_registros[TIPO],DADOS!$AB$5,tabela_registros[CATEGORIA],investiroutrosconsolidadojun[[#This Row],[ATUAL]])</f>
        <v>0</v>
      </c>
      <c r="I154" s="91">
        <f>SUMIFS(tabela_registros[VALOR],tabela_registros[MÊS],$AE$1,tabela_registros[DIA],investiroutrosconsolidadojun[[#Headers],[5]],tabela_registros[REGISTRO],DADOS!$N$5,tabela_registros[TIPO],DADOS!$AB$5,tabela_registros[CATEGORIA],investiroutrosconsolidadojun[[#This Row],[ATUAL]])</f>
        <v>0</v>
      </c>
      <c r="J154" s="91">
        <f>SUMIFS(tabela_registros[VALOR],tabela_registros[MÊS],$AE$1,tabela_registros[DIA],investiroutrosconsolidadojun[[#Headers],[6]],tabela_registros[REGISTRO],DADOS!$N$5,tabela_registros[TIPO],DADOS!$AB$5,tabela_registros[CATEGORIA],investiroutrosconsolidadojun[[#This Row],[ATUAL]])</f>
        <v>0</v>
      </c>
      <c r="K154" s="91">
        <f>SUMIFS(tabela_registros[VALOR],tabela_registros[MÊS],$AE$1,tabela_registros[DIA],investiroutrosconsolidadojun[[#Headers],[7]],tabela_registros[REGISTRO],DADOS!$N$5,tabela_registros[TIPO],DADOS!$AB$5,tabela_registros[CATEGORIA],investiroutrosconsolidadojun[[#This Row],[ATUAL]])</f>
        <v>0</v>
      </c>
      <c r="L154" s="91">
        <f>SUMIFS(tabela_registros[VALOR],tabela_registros[MÊS],$AE$1,tabela_registros[DIA],investiroutrosconsolidadojun[[#Headers],[8]],tabela_registros[REGISTRO],DADOS!$N$5,tabela_registros[TIPO],DADOS!$AB$5,tabela_registros[CATEGORIA],investiroutrosconsolidadojun[[#This Row],[ATUAL]])</f>
        <v>0</v>
      </c>
      <c r="M154" s="91">
        <f>SUMIFS(tabela_registros[VALOR],tabela_registros[MÊS],$AE$1,tabela_registros[DIA],investiroutrosconsolidadojun[[#Headers],[9]],tabela_registros[REGISTRO],DADOS!$N$5,tabela_registros[TIPO],DADOS!$AB$5,tabela_registros[CATEGORIA],investiroutrosconsolidadojun[[#This Row],[ATUAL]])</f>
        <v>0</v>
      </c>
      <c r="N154" s="91">
        <f>SUMIFS(tabela_registros[VALOR],tabela_registros[MÊS],$AE$1,tabela_registros[DIA],investiroutrosconsolidadojun[[#Headers],[10]],tabela_registros[REGISTRO],DADOS!$N$5,tabela_registros[TIPO],DADOS!$AB$5,tabela_registros[CATEGORIA],investiroutrosconsolidadojun[[#This Row],[ATUAL]])</f>
        <v>0</v>
      </c>
      <c r="O154" s="91">
        <f>SUMIFS(tabela_registros[VALOR],tabela_registros[MÊS],$AE$1,tabela_registros[DIA],investiroutrosconsolidadojun[[#Headers],[11]],tabela_registros[REGISTRO],DADOS!$N$5,tabela_registros[TIPO],DADOS!$AB$5,tabela_registros[CATEGORIA],investiroutrosconsolidadojun[[#This Row],[ATUAL]])</f>
        <v>0</v>
      </c>
      <c r="P154" s="91">
        <f>SUMIFS(tabela_registros[VALOR],tabela_registros[MÊS],$AE$1,tabela_registros[DIA],investiroutrosconsolidadojun[[#Headers],[12]],tabela_registros[REGISTRO],DADOS!$N$5,tabela_registros[TIPO],DADOS!$AB$5,tabela_registros[CATEGORIA],investiroutrosconsolidadojun[[#This Row],[ATUAL]])</f>
        <v>0</v>
      </c>
      <c r="Q154" s="91">
        <f>SUMIFS(tabela_registros[VALOR],tabela_registros[MÊS],$AE$1,tabela_registros[DIA],investiroutrosconsolidadojun[[#Headers],[13]],tabela_registros[REGISTRO],DADOS!$N$5,tabela_registros[TIPO],DADOS!$AB$5,tabela_registros[CATEGORIA],investiroutrosconsolidadojun[[#This Row],[ATUAL]])</f>
        <v>0</v>
      </c>
      <c r="R154" s="91">
        <f>SUMIFS(tabela_registros[VALOR],tabela_registros[MÊS],$AE$1,tabela_registros[DIA],investiroutrosconsolidadojun[[#Headers],[14]],tabela_registros[REGISTRO],DADOS!$N$5,tabela_registros[TIPO],DADOS!$AB$5,tabela_registros[CATEGORIA],investiroutrosconsolidadojun[[#This Row],[ATUAL]])</f>
        <v>0</v>
      </c>
      <c r="S154" s="91">
        <f>SUMIFS(tabela_registros[VALOR],tabela_registros[MÊS],$AE$1,tabela_registros[DIA],investiroutrosconsolidadojun[[#Headers],[15]],tabela_registros[REGISTRO],DADOS!$N$5,tabela_registros[TIPO],DADOS!$AB$5,tabela_registros[CATEGORIA],investiroutrosconsolidadojun[[#This Row],[ATUAL]])</f>
        <v>0</v>
      </c>
      <c r="T154" s="91">
        <f>SUMIFS(tabela_registros[VALOR],tabela_registros[MÊS],$AE$1,tabela_registros[DIA],investiroutrosconsolidadojun[[#Headers],[16]],tabela_registros[REGISTRO],DADOS!$N$5,tabela_registros[TIPO],DADOS!$AB$5,tabela_registros[CATEGORIA],investiroutrosconsolidadojun[[#This Row],[ATUAL]])</f>
        <v>0</v>
      </c>
      <c r="U154" s="91">
        <f>SUMIFS(tabela_registros[VALOR],tabela_registros[MÊS],$AE$1,tabela_registros[DIA],investiroutrosconsolidadojun[[#Headers],[17]],tabela_registros[REGISTRO],DADOS!$N$5,tabela_registros[TIPO],DADOS!$AB$5,tabela_registros[CATEGORIA],investiroutrosconsolidadojun[[#This Row],[ATUAL]])</f>
        <v>0</v>
      </c>
      <c r="V154" s="91">
        <f>SUMIFS(tabela_registros[VALOR],tabela_registros[MÊS],$AE$1,tabela_registros[DIA],investiroutrosconsolidadojun[[#Headers],[18]],tabela_registros[REGISTRO],DADOS!$N$5,tabela_registros[TIPO],DADOS!$AB$5,tabela_registros[CATEGORIA],investiroutrosconsolidadojun[[#This Row],[ATUAL]])</f>
        <v>0</v>
      </c>
      <c r="W154" s="91">
        <f>SUMIFS(tabela_registros[VALOR],tabela_registros[MÊS],$AE$1,tabela_registros[DIA],investiroutrosconsolidadojun[[#Headers],[19]],tabela_registros[REGISTRO],DADOS!$N$5,tabela_registros[TIPO],DADOS!$AB$5,tabela_registros[CATEGORIA],investiroutrosconsolidadojun[[#This Row],[ATUAL]])</f>
        <v>0</v>
      </c>
      <c r="X154" s="91">
        <f>SUMIFS(tabela_registros[VALOR],tabela_registros[MÊS],$AE$1,tabela_registros[DIA],investiroutrosconsolidadojun[[#Headers],[20]],tabela_registros[REGISTRO],DADOS!$N$5,tabela_registros[TIPO],DADOS!$AB$5,tabela_registros[CATEGORIA],investiroutrosconsolidadojun[[#This Row],[ATUAL]])</f>
        <v>0</v>
      </c>
      <c r="Y154" s="91">
        <f>SUMIFS(tabela_registros[VALOR],tabela_registros[MÊS],$AE$1,tabela_registros[DIA],investiroutrosconsolidadojun[[#Headers],[21]],tabela_registros[REGISTRO],DADOS!$N$5,tabela_registros[TIPO],DADOS!$AB$5,tabela_registros[CATEGORIA],investiroutrosconsolidadojun[[#This Row],[ATUAL]])</f>
        <v>0</v>
      </c>
      <c r="Z154" s="91">
        <f>SUMIFS(tabela_registros[VALOR],tabela_registros[MÊS],$AE$1,tabela_registros[DIA],investiroutrosconsolidadojun[[#Headers],[22]],tabela_registros[REGISTRO],DADOS!$N$5,tabela_registros[TIPO],DADOS!$AB$5,tabela_registros[CATEGORIA],investiroutrosconsolidadojun[[#This Row],[ATUAL]])</f>
        <v>0</v>
      </c>
      <c r="AA154" s="91">
        <f>SUMIFS(tabela_registros[VALOR],tabela_registros[MÊS],$AE$1,tabela_registros[DIA],investiroutrosconsolidadojun[[#Headers],[23]],tabela_registros[REGISTRO],DADOS!$N$5,tabela_registros[TIPO],DADOS!$AB$5,tabela_registros[CATEGORIA],investiroutrosconsolidadojun[[#This Row],[ATUAL]])</f>
        <v>0</v>
      </c>
      <c r="AB154" s="91">
        <f>SUMIFS(tabela_registros[VALOR],tabela_registros[MÊS],$AE$1,tabela_registros[DIA],investiroutrosconsolidadojun[[#Headers],[24]],tabela_registros[REGISTRO],DADOS!$N$5,tabela_registros[TIPO],DADOS!$AB$5,tabela_registros[CATEGORIA],investiroutrosconsolidadojun[[#This Row],[ATUAL]])</f>
        <v>0</v>
      </c>
      <c r="AC154" s="91">
        <f>SUMIFS(tabela_registros[VALOR],tabela_registros[MÊS],$AE$1,tabela_registros[DIA],investiroutrosconsolidadojun[[#Headers],[25]],tabela_registros[REGISTRO],DADOS!$N$5,tabela_registros[TIPO],DADOS!$AB$5,tabela_registros[CATEGORIA],investiroutrosconsolidadojun[[#This Row],[ATUAL]])</f>
        <v>0</v>
      </c>
      <c r="AD154" s="91">
        <f>SUMIFS(tabela_registros[VALOR],tabela_registros[MÊS],$AE$1,tabela_registros[DIA],investiroutrosconsolidadojun[[#Headers],[26]],tabela_registros[REGISTRO],DADOS!$N$5,tabela_registros[TIPO],DADOS!$AB$5,tabela_registros[CATEGORIA],investiroutrosconsolidadojun[[#This Row],[ATUAL]])</f>
        <v>0</v>
      </c>
      <c r="AE154" s="91">
        <f>SUMIFS(tabela_registros[VALOR],tabela_registros[MÊS],$AE$1,tabela_registros[DIA],investiroutrosconsolidadojun[[#Headers],[27]],tabela_registros[REGISTRO],DADOS!$N$5,tabela_registros[TIPO],DADOS!$AB$5,tabela_registros[CATEGORIA],investiroutrosconsolidadojun[[#This Row],[ATUAL]])</f>
        <v>0</v>
      </c>
      <c r="AF154" s="91">
        <f>SUMIFS(tabela_registros[VALOR],tabela_registros[MÊS],$AE$1,tabela_registros[DIA],investiroutrosconsolidadojun[[#Headers],[28]],tabela_registros[REGISTRO],DADOS!$N$5,tabela_registros[TIPO],DADOS!$AB$5,tabela_registros[CATEGORIA],investiroutrosconsolidadojun[[#This Row],[ATUAL]])</f>
        <v>0</v>
      </c>
      <c r="AG154" s="91">
        <f>SUMIFS(tabela_registros[VALOR],tabela_registros[MÊS],$AE$1,tabela_registros[DIA],investiroutrosconsolidadojun[[#Headers],[29]],tabela_registros[REGISTRO],DADOS!$N$5,tabela_registros[TIPO],DADOS!$AB$5,tabela_registros[CATEGORIA],investiroutrosconsolidadojun[[#This Row],[ATUAL]])</f>
        <v>0</v>
      </c>
      <c r="AH154" s="91">
        <f>SUMIFS(tabela_registros[VALOR],tabela_registros[MÊS],$AE$1,tabela_registros[DIA],investiroutrosconsolidadojun[[#Headers],[30]],tabela_registros[REGISTRO],DADOS!$N$5,tabela_registros[TIPO],DADOS!$AB$5,tabela_registros[CATEGORIA],investiroutrosconsolidadojun[[#This Row],[ATUAL]])</f>
        <v>0</v>
      </c>
      <c r="AI154" s="101">
        <f>SUMIFS(tabela_registros[VALOR],tabela_registros[MÊS],$AE$1,tabela_registros[DIA],investiroutrosconsolidadojun[[#Headers],[31]],tabela_registros[REGISTRO],DADOS!$N$5,tabela_registros[TIPO],DADOS!$AB$5,tabela_registros[CATEGORIA],investiroutrosconsolidadojun[[#This Row],[ATUAL]])</f>
        <v>0</v>
      </c>
      <c r="AJ154" s="97">
        <f>SUM(investiroutrosconsolidadojun[[#This Row],[1]:[31]])</f>
        <v>0</v>
      </c>
      <c r="AK154" s="25"/>
    </row>
    <row r="155" spans="2:37" ht="19.5" customHeight="1" thickTop="1" thickBot="1" x14ac:dyDescent="0.3">
      <c r="B155" s="28"/>
      <c r="C155" s="27" t="str">
        <f>DADOS!$AH$7</f>
        <v>📝 PEER TO COMPANY</v>
      </c>
      <c r="D155" s="26" t="str">
        <f>IF(investiroutrosconsolidadojun[[#This Row],[TOTAL (R$)]]=0,"",IF(OR(investiroutrosconsolidadojun[[#This Row],[TOTAL (R$)]]=LARGE($AJ$151:$AJ$158,1),investiroutrosconsolidadojun[[#This Row],[TOTAL (R$)]]=LARGE($AJ$151:$AJ$158,2)),DADOS!$I$10,""))</f>
        <v/>
      </c>
      <c r="E155" s="96">
        <f>SUMIFS(tabela_registros[VALOR],tabela_registros[MÊS],$AE$1,tabela_registros[DIA],investiroutrosconsolidadojun[[#Headers],[1]],tabela_registros[REGISTRO],DADOS!$N$5,tabela_registros[TIPO],DADOS!$AB$5,tabela_registros[CATEGORIA],investiroutrosconsolidadojun[[#This Row],[ATUAL]])</f>
        <v>0</v>
      </c>
      <c r="F155" s="91">
        <f>SUMIFS(tabela_registros[VALOR],tabela_registros[MÊS],$AE$1,tabela_registros[DIA],investiroutrosconsolidadojun[[#Headers],[2]],tabela_registros[REGISTRO],DADOS!$N$5,tabela_registros[TIPO],DADOS!$AB$5,tabela_registros[CATEGORIA],investiroutrosconsolidadojun[[#This Row],[ATUAL]])</f>
        <v>0</v>
      </c>
      <c r="G155" s="91">
        <f>SUMIFS(tabela_registros[VALOR],tabela_registros[MÊS],$AE$1,tabela_registros[DIA],investiroutrosconsolidadojun[[#Headers],[3]],tabela_registros[REGISTRO],DADOS!$N$5,tabela_registros[TIPO],DADOS!$AB$5,tabela_registros[CATEGORIA],investiroutrosconsolidadojun[[#This Row],[ATUAL]])</f>
        <v>0</v>
      </c>
      <c r="H155" s="91">
        <f>SUMIFS(tabela_registros[VALOR],tabela_registros[MÊS],$AE$1,tabela_registros[DIA],investiroutrosconsolidadojun[[#Headers],[4]],tabela_registros[REGISTRO],DADOS!$N$5,tabela_registros[TIPO],DADOS!$AB$5,tabela_registros[CATEGORIA],investiroutrosconsolidadojun[[#This Row],[ATUAL]])</f>
        <v>0</v>
      </c>
      <c r="I155" s="91">
        <f>SUMIFS(tabela_registros[VALOR],tabela_registros[MÊS],$AE$1,tabela_registros[DIA],investiroutrosconsolidadojun[[#Headers],[5]],tabela_registros[REGISTRO],DADOS!$N$5,tabela_registros[TIPO],DADOS!$AB$5,tabela_registros[CATEGORIA],investiroutrosconsolidadojun[[#This Row],[ATUAL]])</f>
        <v>0</v>
      </c>
      <c r="J155" s="91">
        <f>SUMIFS(tabela_registros[VALOR],tabela_registros[MÊS],$AE$1,tabela_registros[DIA],investiroutrosconsolidadojun[[#Headers],[6]],tabela_registros[REGISTRO],DADOS!$N$5,tabela_registros[TIPO],DADOS!$AB$5,tabela_registros[CATEGORIA],investiroutrosconsolidadojun[[#This Row],[ATUAL]])</f>
        <v>0</v>
      </c>
      <c r="K155" s="91">
        <f>SUMIFS(tabela_registros[VALOR],tabela_registros[MÊS],$AE$1,tabela_registros[DIA],investiroutrosconsolidadojun[[#Headers],[7]],tabela_registros[REGISTRO],DADOS!$N$5,tabela_registros[TIPO],DADOS!$AB$5,tabela_registros[CATEGORIA],investiroutrosconsolidadojun[[#This Row],[ATUAL]])</f>
        <v>0</v>
      </c>
      <c r="L155" s="91">
        <f>SUMIFS(tabela_registros[VALOR],tabela_registros[MÊS],$AE$1,tabela_registros[DIA],investiroutrosconsolidadojun[[#Headers],[8]],tabela_registros[REGISTRO],DADOS!$N$5,tabela_registros[TIPO],DADOS!$AB$5,tabela_registros[CATEGORIA],investiroutrosconsolidadojun[[#This Row],[ATUAL]])</f>
        <v>0</v>
      </c>
      <c r="M155" s="91">
        <f>SUMIFS(tabela_registros[VALOR],tabela_registros[MÊS],$AE$1,tabela_registros[DIA],investiroutrosconsolidadojun[[#Headers],[9]],tabela_registros[REGISTRO],DADOS!$N$5,tabela_registros[TIPO],DADOS!$AB$5,tabela_registros[CATEGORIA],investiroutrosconsolidadojun[[#This Row],[ATUAL]])</f>
        <v>0</v>
      </c>
      <c r="N155" s="91">
        <f>SUMIFS(tabela_registros[VALOR],tabela_registros[MÊS],$AE$1,tabela_registros[DIA],investiroutrosconsolidadojun[[#Headers],[10]],tabela_registros[REGISTRO],DADOS!$N$5,tabela_registros[TIPO],DADOS!$AB$5,tabela_registros[CATEGORIA],investiroutrosconsolidadojun[[#This Row],[ATUAL]])</f>
        <v>0</v>
      </c>
      <c r="O155" s="91">
        <f>SUMIFS(tabela_registros[VALOR],tabela_registros[MÊS],$AE$1,tabela_registros[DIA],investiroutrosconsolidadojun[[#Headers],[11]],tabela_registros[REGISTRO],DADOS!$N$5,tabela_registros[TIPO],DADOS!$AB$5,tabela_registros[CATEGORIA],investiroutrosconsolidadojun[[#This Row],[ATUAL]])</f>
        <v>0</v>
      </c>
      <c r="P155" s="91">
        <f>SUMIFS(tabela_registros[VALOR],tabela_registros[MÊS],$AE$1,tabela_registros[DIA],investiroutrosconsolidadojun[[#Headers],[12]],tabela_registros[REGISTRO],DADOS!$N$5,tabela_registros[TIPO],DADOS!$AB$5,tabela_registros[CATEGORIA],investiroutrosconsolidadojun[[#This Row],[ATUAL]])</f>
        <v>0</v>
      </c>
      <c r="Q155" s="91">
        <f>SUMIFS(tabela_registros[VALOR],tabela_registros[MÊS],$AE$1,tabela_registros[DIA],investiroutrosconsolidadojun[[#Headers],[13]],tabela_registros[REGISTRO],DADOS!$N$5,tabela_registros[TIPO],DADOS!$AB$5,tabela_registros[CATEGORIA],investiroutrosconsolidadojun[[#This Row],[ATUAL]])</f>
        <v>0</v>
      </c>
      <c r="R155" s="91">
        <f>SUMIFS(tabela_registros[VALOR],tabela_registros[MÊS],$AE$1,tabela_registros[DIA],investiroutrosconsolidadojun[[#Headers],[14]],tabela_registros[REGISTRO],DADOS!$N$5,tabela_registros[TIPO],DADOS!$AB$5,tabela_registros[CATEGORIA],investiroutrosconsolidadojun[[#This Row],[ATUAL]])</f>
        <v>0</v>
      </c>
      <c r="S155" s="91">
        <f>SUMIFS(tabela_registros[VALOR],tabela_registros[MÊS],$AE$1,tabela_registros[DIA],investiroutrosconsolidadojun[[#Headers],[15]],tabela_registros[REGISTRO],DADOS!$N$5,tabela_registros[TIPO],DADOS!$AB$5,tabela_registros[CATEGORIA],investiroutrosconsolidadojun[[#This Row],[ATUAL]])</f>
        <v>0</v>
      </c>
      <c r="T155" s="91">
        <f>SUMIFS(tabela_registros[VALOR],tabela_registros[MÊS],$AE$1,tabela_registros[DIA],investiroutrosconsolidadojun[[#Headers],[16]],tabela_registros[REGISTRO],DADOS!$N$5,tabela_registros[TIPO],DADOS!$AB$5,tabela_registros[CATEGORIA],investiroutrosconsolidadojun[[#This Row],[ATUAL]])</f>
        <v>0</v>
      </c>
      <c r="U155" s="91">
        <f>SUMIFS(tabela_registros[VALOR],tabela_registros[MÊS],$AE$1,tabela_registros[DIA],investiroutrosconsolidadojun[[#Headers],[17]],tabela_registros[REGISTRO],DADOS!$N$5,tabela_registros[TIPO],DADOS!$AB$5,tabela_registros[CATEGORIA],investiroutrosconsolidadojun[[#This Row],[ATUAL]])</f>
        <v>0</v>
      </c>
      <c r="V155" s="91">
        <f>SUMIFS(tabela_registros[VALOR],tabela_registros[MÊS],$AE$1,tabela_registros[DIA],investiroutrosconsolidadojun[[#Headers],[18]],tabela_registros[REGISTRO],DADOS!$N$5,tabela_registros[TIPO],DADOS!$AB$5,tabela_registros[CATEGORIA],investiroutrosconsolidadojun[[#This Row],[ATUAL]])</f>
        <v>0</v>
      </c>
      <c r="W155" s="91">
        <f>SUMIFS(tabela_registros[VALOR],tabela_registros[MÊS],$AE$1,tabela_registros[DIA],investiroutrosconsolidadojun[[#Headers],[19]],tabela_registros[REGISTRO],DADOS!$N$5,tabela_registros[TIPO],DADOS!$AB$5,tabela_registros[CATEGORIA],investiroutrosconsolidadojun[[#This Row],[ATUAL]])</f>
        <v>0</v>
      </c>
      <c r="X155" s="91">
        <f>SUMIFS(tabela_registros[VALOR],tabela_registros[MÊS],$AE$1,tabela_registros[DIA],investiroutrosconsolidadojun[[#Headers],[20]],tabela_registros[REGISTRO],DADOS!$N$5,tabela_registros[TIPO],DADOS!$AB$5,tabela_registros[CATEGORIA],investiroutrosconsolidadojun[[#This Row],[ATUAL]])</f>
        <v>0</v>
      </c>
      <c r="Y155" s="91">
        <f>SUMIFS(tabela_registros[VALOR],tabela_registros[MÊS],$AE$1,tabela_registros[DIA],investiroutrosconsolidadojun[[#Headers],[21]],tabela_registros[REGISTRO],DADOS!$N$5,tabela_registros[TIPO],DADOS!$AB$5,tabela_registros[CATEGORIA],investiroutrosconsolidadojun[[#This Row],[ATUAL]])</f>
        <v>0</v>
      </c>
      <c r="Z155" s="91">
        <f>SUMIFS(tabela_registros[VALOR],tabela_registros[MÊS],$AE$1,tabela_registros[DIA],investiroutrosconsolidadojun[[#Headers],[22]],tabela_registros[REGISTRO],DADOS!$N$5,tabela_registros[TIPO],DADOS!$AB$5,tabela_registros[CATEGORIA],investiroutrosconsolidadojun[[#This Row],[ATUAL]])</f>
        <v>0</v>
      </c>
      <c r="AA155" s="91">
        <f>SUMIFS(tabela_registros[VALOR],tabela_registros[MÊS],$AE$1,tabela_registros[DIA],investiroutrosconsolidadojun[[#Headers],[23]],tabela_registros[REGISTRO],DADOS!$N$5,tabela_registros[TIPO],DADOS!$AB$5,tabela_registros[CATEGORIA],investiroutrosconsolidadojun[[#This Row],[ATUAL]])</f>
        <v>0</v>
      </c>
      <c r="AB155" s="91">
        <f>SUMIFS(tabela_registros[VALOR],tabela_registros[MÊS],$AE$1,tabela_registros[DIA],investiroutrosconsolidadojun[[#Headers],[24]],tabela_registros[REGISTRO],DADOS!$N$5,tabela_registros[TIPO],DADOS!$AB$5,tabela_registros[CATEGORIA],investiroutrosconsolidadojun[[#This Row],[ATUAL]])</f>
        <v>0</v>
      </c>
      <c r="AC155" s="91">
        <f>SUMIFS(tabela_registros[VALOR],tabela_registros[MÊS],$AE$1,tabela_registros[DIA],investiroutrosconsolidadojun[[#Headers],[25]],tabela_registros[REGISTRO],DADOS!$N$5,tabela_registros[TIPO],DADOS!$AB$5,tabela_registros[CATEGORIA],investiroutrosconsolidadojun[[#This Row],[ATUAL]])</f>
        <v>0</v>
      </c>
      <c r="AD155" s="91">
        <f>SUMIFS(tabela_registros[VALOR],tabela_registros[MÊS],$AE$1,tabela_registros[DIA],investiroutrosconsolidadojun[[#Headers],[26]],tabela_registros[REGISTRO],DADOS!$N$5,tabela_registros[TIPO],DADOS!$AB$5,tabela_registros[CATEGORIA],investiroutrosconsolidadojun[[#This Row],[ATUAL]])</f>
        <v>0</v>
      </c>
      <c r="AE155" s="91">
        <f>SUMIFS(tabela_registros[VALOR],tabela_registros[MÊS],$AE$1,tabela_registros[DIA],investiroutrosconsolidadojun[[#Headers],[27]],tabela_registros[REGISTRO],DADOS!$N$5,tabela_registros[TIPO],DADOS!$AB$5,tabela_registros[CATEGORIA],investiroutrosconsolidadojun[[#This Row],[ATUAL]])</f>
        <v>0</v>
      </c>
      <c r="AF155" s="91">
        <f>SUMIFS(tabela_registros[VALOR],tabela_registros[MÊS],$AE$1,tabela_registros[DIA],investiroutrosconsolidadojun[[#Headers],[28]],tabela_registros[REGISTRO],DADOS!$N$5,tabela_registros[TIPO],DADOS!$AB$5,tabela_registros[CATEGORIA],investiroutrosconsolidadojun[[#This Row],[ATUAL]])</f>
        <v>0</v>
      </c>
      <c r="AG155" s="91">
        <f>SUMIFS(tabela_registros[VALOR],tabela_registros[MÊS],$AE$1,tabela_registros[DIA],investiroutrosconsolidadojun[[#Headers],[29]],tabela_registros[REGISTRO],DADOS!$N$5,tabela_registros[TIPO],DADOS!$AB$5,tabela_registros[CATEGORIA],investiroutrosconsolidadojun[[#This Row],[ATUAL]])</f>
        <v>0</v>
      </c>
      <c r="AH155" s="91">
        <f>SUMIFS(tabela_registros[VALOR],tabela_registros[MÊS],$AE$1,tabela_registros[DIA],investiroutrosconsolidadojun[[#Headers],[30]],tabela_registros[REGISTRO],DADOS!$N$5,tabela_registros[TIPO],DADOS!$AB$5,tabela_registros[CATEGORIA],investiroutrosconsolidadojun[[#This Row],[ATUAL]])</f>
        <v>0</v>
      </c>
      <c r="AI155" s="101">
        <f>SUMIFS(tabela_registros[VALOR],tabela_registros[MÊS],$AE$1,tabela_registros[DIA],investiroutrosconsolidadojun[[#Headers],[31]],tabela_registros[REGISTRO],DADOS!$N$5,tabela_registros[TIPO],DADOS!$AB$5,tabela_registros[CATEGORIA],investiroutrosconsolidadojun[[#This Row],[ATUAL]])</f>
        <v>0</v>
      </c>
      <c r="AJ155" s="97">
        <f>SUM(investiroutrosconsolidadojun[[#This Row],[1]:[31]])</f>
        <v>0</v>
      </c>
      <c r="AK155" s="25"/>
    </row>
    <row r="156" spans="2:37" ht="19.5" customHeight="1" thickTop="1" thickBot="1" x14ac:dyDescent="0.3">
      <c r="B156" s="28"/>
      <c r="C156" s="27" t="str">
        <f>DADOS!$AH$8</f>
        <v>📝 PEER TO PEER</v>
      </c>
      <c r="D156" s="26" t="str">
        <f>IF(investiroutrosconsolidadojun[[#This Row],[TOTAL (R$)]]=0,"",IF(OR(investiroutrosconsolidadojun[[#This Row],[TOTAL (R$)]]=LARGE($AJ$151:$AJ$158,1),investiroutrosconsolidadojun[[#This Row],[TOTAL (R$)]]=LARGE($AJ$151:$AJ$158,2)),DADOS!$I$10,""))</f>
        <v/>
      </c>
      <c r="E156" s="96">
        <f>SUMIFS(tabela_registros[VALOR],tabela_registros[MÊS],$AE$1,tabela_registros[DIA],investiroutrosconsolidadojun[[#Headers],[1]],tabela_registros[REGISTRO],DADOS!$N$5,tabela_registros[TIPO],DADOS!$AB$5,tabela_registros[CATEGORIA],investiroutrosconsolidadojun[[#This Row],[ATUAL]])</f>
        <v>0</v>
      </c>
      <c r="F156" s="91">
        <f>SUMIFS(tabela_registros[VALOR],tabela_registros[MÊS],$AE$1,tabela_registros[DIA],investiroutrosconsolidadojun[[#Headers],[2]],tabela_registros[REGISTRO],DADOS!$N$5,tabela_registros[TIPO],DADOS!$AB$5,tabela_registros[CATEGORIA],investiroutrosconsolidadojun[[#This Row],[ATUAL]])</f>
        <v>0</v>
      </c>
      <c r="G156" s="91">
        <f>SUMIFS(tabela_registros[VALOR],tabela_registros[MÊS],$AE$1,tabela_registros[DIA],investiroutrosconsolidadojun[[#Headers],[3]],tabela_registros[REGISTRO],DADOS!$N$5,tabela_registros[TIPO],DADOS!$AB$5,tabela_registros[CATEGORIA],investiroutrosconsolidadojun[[#This Row],[ATUAL]])</f>
        <v>0</v>
      </c>
      <c r="H156" s="91">
        <f>SUMIFS(tabela_registros[VALOR],tabela_registros[MÊS],$AE$1,tabela_registros[DIA],investiroutrosconsolidadojun[[#Headers],[4]],tabela_registros[REGISTRO],DADOS!$N$5,tabela_registros[TIPO],DADOS!$AB$5,tabela_registros[CATEGORIA],investiroutrosconsolidadojun[[#This Row],[ATUAL]])</f>
        <v>0</v>
      </c>
      <c r="I156" s="91">
        <f>SUMIFS(tabela_registros[VALOR],tabela_registros[MÊS],$AE$1,tabela_registros[DIA],investiroutrosconsolidadojun[[#Headers],[5]],tabela_registros[REGISTRO],DADOS!$N$5,tabela_registros[TIPO],DADOS!$AB$5,tabela_registros[CATEGORIA],investiroutrosconsolidadojun[[#This Row],[ATUAL]])</f>
        <v>0</v>
      </c>
      <c r="J156" s="91">
        <f>SUMIFS(tabela_registros[VALOR],tabela_registros[MÊS],$AE$1,tabela_registros[DIA],investiroutrosconsolidadojun[[#Headers],[6]],tabela_registros[REGISTRO],DADOS!$N$5,tabela_registros[TIPO],DADOS!$AB$5,tabela_registros[CATEGORIA],investiroutrosconsolidadojun[[#This Row],[ATUAL]])</f>
        <v>0</v>
      </c>
      <c r="K156" s="91">
        <f>SUMIFS(tabela_registros[VALOR],tabela_registros[MÊS],$AE$1,tabela_registros[DIA],investiroutrosconsolidadojun[[#Headers],[7]],tabela_registros[REGISTRO],DADOS!$N$5,tabela_registros[TIPO],DADOS!$AB$5,tabela_registros[CATEGORIA],investiroutrosconsolidadojun[[#This Row],[ATUAL]])</f>
        <v>0</v>
      </c>
      <c r="L156" s="91">
        <f>SUMIFS(tabela_registros[VALOR],tabela_registros[MÊS],$AE$1,tabela_registros[DIA],investiroutrosconsolidadojun[[#Headers],[8]],tabela_registros[REGISTRO],DADOS!$N$5,tabela_registros[TIPO],DADOS!$AB$5,tabela_registros[CATEGORIA],investiroutrosconsolidadojun[[#This Row],[ATUAL]])</f>
        <v>0</v>
      </c>
      <c r="M156" s="91">
        <f>SUMIFS(tabela_registros[VALOR],tabela_registros[MÊS],$AE$1,tabela_registros[DIA],investiroutrosconsolidadojun[[#Headers],[9]],tabela_registros[REGISTRO],DADOS!$N$5,tabela_registros[TIPO],DADOS!$AB$5,tabela_registros[CATEGORIA],investiroutrosconsolidadojun[[#This Row],[ATUAL]])</f>
        <v>0</v>
      </c>
      <c r="N156" s="91">
        <f>SUMIFS(tabela_registros[VALOR],tabela_registros[MÊS],$AE$1,tabela_registros[DIA],investiroutrosconsolidadojun[[#Headers],[10]],tabela_registros[REGISTRO],DADOS!$N$5,tabela_registros[TIPO],DADOS!$AB$5,tabela_registros[CATEGORIA],investiroutrosconsolidadojun[[#This Row],[ATUAL]])</f>
        <v>0</v>
      </c>
      <c r="O156" s="91">
        <f>SUMIFS(tabela_registros[VALOR],tabela_registros[MÊS],$AE$1,tabela_registros[DIA],investiroutrosconsolidadojun[[#Headers],[11]],tabela_registros[REGISTRO],DADOS!$N$5,tabela_registros[TIPO],DADOS!$AB$5,tabela_registros[CATEGORIA],investiroutrosconsolidadojun[[#This Row],[ATUAL]])</f>
        <v>0</v>
      </c>
      <c r="P156" s="91">
        <f>SUMIFS(tabela_registros[VALOR],tabela_registros[MÊS],$AE$1,tabela_registros[DIA],investiroutrosconsolidadojun[[#Headers],[12]],tabela_registros[REGISTRO],DADOS!$N$5,tabela_registros[TIPO],DADOS!$AB$5,tabela_registros[CATEGORIA],investiroutrosconsolidadojun[[#This Row],[ATUAL]])</f>
        <v>0</v>
      </c>
      <c r="Q156" s="91">
        <f>SUMIFS(tabela_registros[VALOR],tabela_registros[MÊS],$AE$1,tabela_registros[DIA],investiroutrosconsolidadojun[[#Headers],[13]],tabela_registros[REGISTRO],DADOS!$N$5,tabela_registros[TIPO],DADOS!$AB$5,tabela_registros[CATEGORIA],investiroutrosconsolidadojun[[#This Row],[ATUAL]])</f>
        <v>0</v>
      </c>
      <c r="R156" s="91">
        <f>SUMIFS(tabela_registros[VALOR],tabela_registros[MÊS],$AE$1,tabela_registros[DIA],investiroutrosconsolidadojun[[#Headers],[14]],tabela_registros[REGISTRO],DADOS!$N$5,tabela_registros[TIPO],DADOS!$AB$5,tabela_registros[CATEGORIA],investiroutrosconsolidadojun[[#This Row],[ATUAL]])</f>
        <v>0</v>
      </c>
      <c r="S156" s="91">
        <f>SUMIFS(tabela_registros[VALOR],tabela_registros[MÊS],$AE$1,tabela_registros[DIA],investiroutrosconsolidadojun[[#Headers],[15]],tabela_registros[REGISTRO],DADOS!$N$5,tabela_registros[TIPO],DADOS!$AB$5,tabela_registros[CATEGORIA],investiroutrosconsolidadojun[[#This Row],[ATUAL]])</f>
        <v>0</v>
      </c>
      <c r="T156" s="91">
        <f>SUMIFS(tabela_registros[VALOR],tabela_registros[MÊS],$AE$1,tabela_registros[DIA],investiroutrosconsolidadojun[[#Headers],[16]],tabela_registros[REGISTRO],DADOS!$N$5,tabela_registros[TIPO],DADOS!$AB$5,tabela_registros[CATEGORIA],investiroutrosconsolidadojun[[#This Row],[ATUAL]])</f>
        <v>0</v>
      </c>
      <c r="U156" s="91">
        <f>SUMIFS(tabela_registros[VALOR],tabela_registros[MÊS],$AE$1,tabela_registros[DIA],investiroutrosconsolidadojun[[#Headers],[17]],tabela_registros[REGISTRO],DADOS!$N$5,tabela_registros[TIPO],DADOS!$AB$5,tabela_registros[CATEGORIA],investiroutrosconsolidadojun[[#This Row],[ATUAL]])</f>
        <v>0</v>
      </c>
      <c r="V156" s="91">
        <f>SUMIFS(tabela_registros[VALOR],tabela_registros[MÊS],$AE$1,tabela_registros[DIA],investiroutrosconsolidadojun[[#Headers],[18]],tabela_registros[REGISTRO],DADOS!$N$5,tabela_registros[TIPO],DADOS!$AB$5,tabela_registros[CATEGORIA],investiroutrosconsolidadojun[[#This Row],[ATUAL]])</f>
        <v>0</v>
      </c>
      <c r="W156" s="91">
        <f>SUMIFS(tabela_registros[VALOR],tabela_registros[MÊS],$AE$1,tabela_registros[DIA],investiroutrosconsolidadojun[[#Headers],[19]],tabela_registros[REGISTRO],DADOS!$N$5,tabela_registros[TIPO],DADOS!$AB$5,tabela_registros[CATEGORIA],investiroutrosconsolidadojun[[#This Row],[ATUAL]])</f>
        <v>0</v>
      </c>
      <c r="X156" s="91">
        <f>SUMIFS(tabela_registros[VALOR],tabela_registros[MÊS],$AE$1,tabela_registros[DIA],investiroutrosconsolidadojun[[#Headers],[20]],tabela_registros[REGISTRO],DADOS!$N$5,tabela_registros[TIPO],DADOS!$AB$5,tabela_registros[CATEGORIA],investiroutrosconsolidadojun[[#This Row],[ATUAL]])</f>
        <v>0</v>
      </c>
      <c r="Y156" s="91">
        <f>SUMIFS(tabela_registros[VALOR],tabela_registros[MÊS],$AE$1,tabela_registros[DIA],investiroutrosconsolidadojun[[#Headers],[21]],tabela_registros[REGISTRO],DADOS!$N$5,tabela_registros[TIPO],DADOS!$AB$5,tabela_registros[CATEGORIA],investiroutrosconsolidadojun[[#This Row],[ATUAL]])</f>
        <v>0</v>
      </c>
      <c r="Z156" s="91">
        <f>SUMIFS(tabela_registros[VALOR],tabela_registros[MÊS],$AE$1,tabela_registros[DIA],investiroutrosconsolidadojun[[#Headers],[22]],tabela_registros[REGISTRO],DADOS!$N$5,tabela_registros[TIPO],DADOS!$AB$5,tabela_registros[CATEGORIA],investiroutrosconsolidadojun[[#This Row],[ATUAL]])</f>
        <v>0</v>
      </c>
      <c r="AA156" s="91">
        <f>SUMIFS(tabela_registros[VALOR],tabela_registros[MÊS],$AE$1,tabela_registros[DIA],investiroutrosconsolidadojun[[#Headers],[23]],tabela_registros[REGISTRO],DADOS!$N$5,tabela_registros[TIPO],DADOS!$AB$5,tabela_registros[CATEGORIA],investiroutrosconsolidadojun[[#This Row],[ATUAL]])</f>
        <v>0</v>
      </c>
      <c r="AB156" s="91">
        <f>SUMIFS(tabela_registros[VALOR],tabela_registros[MÊS],$AE$1,tabela_registros[DIA],investiroutrosconsolidadojun[[#Headers],[24]],tabela_registros[REGISTRO],DADOS!$N$5,tabela_registros[TIPO],DADOS!$AB$5,tabela_registros[CATEGORIA],investiroutrosconsolidadojun[[#This Row],[ATUAL]])</f>
        <v>0</v>
      </c>
      <c r="AC156" s="91">
        <f>SUMIFS(tabela_registros[VALOR],tabela_registros[MÊS],$AE$1,tabela_registros[DIA],investiroutrosconsolidadojun[[#Headers],[25]],tabela_registros[REGISTRO],DADOS!$N$5,tabela_registros[TIPO],DADOS!$AB$5,tabela_registros[CATEGORIA],investiroutrosconsolidadojun[[#This Row],[ATUAL]])</f>
        <v>0</v>
      </c>
      <c r="AD156" s="91">
        <f>SUMIFS(tabela_registros[VALOR],tabela_registros[MÊS],$AE$1,tabela_registros[DIA],investiroutrosconsolidadojun[[#Headers],[26]],tabela_registros[REGISTRO],DADOS!$N$5,tabela_registros[TIPO],DADOS!$AB$5,tabela_registros[CATEGORIA],investiroutrosconsolidadojun[[#This Row],[ATUAL]])</f>
        <v>0</v>
      </c>
      <c r="AE156" s="91">
        <f>SUMIFS(tabela_registros[VALOR],tabela_registros[MÊS],$AE$1,tabela_registros[DIA],investiroutrosconsolidadojun[[#Headers],[27]],tabela_registros[REGISTRO],DADOS!$N$5,tabela_registros[TIPO],DADOS!$AB$5,tabela_registros[CATEGORIA],investiroutrosconsolidadojun[[#This Row],[ATUAL]])</f>
        <v>0</v>
      </c>
      <c r="AF156" s="91">
        <f>SUMIFS(tabela_registros[VALOR],tabela_registros[MÊS],$AE$1,tabela_registros[DIA],investiroutrosconsolidadojun[[#Headers],[28]],tabela_registros[REGISTRO],DADOS!$N$5,tabela_registros[TIPO],DADOS!$AB$5,tabela_registros[CATEGORIA],investiroutrosconsolidadojun[[#This Row],[ATUAL]])</f>
        <v>0</v>
      </c>
      <c r="AG156" s="91">
        <f>SUMIFS(tabela_registros[VALOR],tabela_registros[MÊS],$AE$1,tabela_registros[DIA],investiroutrosconsolidadojun[[#Headers],[29]],tabela_registros[REGISTRO],DADOS!$N$5,tabela_registros[TIPO],DADOS!$AB$5,tabela_registros[CATEGORIA],investiroutrosconsolidadojun[[#This Row],[ATUAL]])</f>
        <v>0</v>
      </c>
      <c r="AH156" s="91">
        <f>SUMIFS(tabela_registros[VALOR],tabela_registros[MÊS],$AE$1,tabela_registros[DIA],investiroutrosconsolidadojun[[#Headers],[30]],tabela_registros[REGISTRO],DADOS!$N$5,tabela_registros[TIPO],DADOS!$AB$5,tabela_registros[CATEGORIA],investiroutrosconsolidadojun[[#This Row],[ATUAL]])</f>
        <v>0</v>
      </c>
      <c r="AI156" s="101">
        <f>SUMIFS(tabela_registros[VALOR],tabela_registros[MÊS],$AE$1,tabela_registros[DIA],investiroutrosconsolidadojun[[#Headers],[31]],tabela_registros[REGISTRO],DADOS!$N$5,tabela_registros[TIPO],DADOS!$AB$5,tabela_registros[CATEGORIA],investiroutrosconsolidadojun[[#This Row],[ATUAL]])</f>
        <v>0</v>
      </c>
      <c r="AJ156" s="97">
        <f>SUM(investiroutrosconsolidadojun[[#This Row],[1]:[31]])</f>
        <v>0</v>
      </c>
      <c r="AK156" s="25"/>
    </row>
    <row r="157" spans="2:37" ht="19.5" customHeight="1" thickTop="1" thickBot="1" x14ac:dyDescent="0.3">
      <c r="B157" s="28"/>
      <c r="C157" s="27" t="str">
        <f>DADOS!$AH$9</f>
        <v>📝 PREVIDÊNCIA PRIVADA</v>
      </c>
      <c r="D157" s="26" t="str">
        <f>IF(investiroutrosconsolidadojun[[#This Row],[TOTAL (R$)]]=0,"",IF(OR(investiroutrosconsolidadojun[[#This Row],[TOTAL (R$)]]=LARGE($AJ$151:$AJ$158,1),investiroutrosconsolidadojun[[#This Row],[TOTAL (R$)]]=LARGE($AJ$151:$AJ$158,2)),DADOS!$I$10,""))</f>
        <v/>
      </c>
      <c r="E157" s="96">
        <f>SUMIFS(tabela_registros[VALOR],tabela_registros[MÊS],$AE$1,tabela_registros[DIA],investiroutrosconsolidadojun[[#Headers],[1]],tabela_registros[REGISTRO],DADOS!$N$5,tabela_registros[TIPO],DADOS!$AB$5,tabela_registros[CATEGORIA],investiroutrosconsolidadojun[[#This Row],[ATUAL]])</f>
        <v>0</v>
      </c>
      <c r="F157" s="91">
        <f>SUMIFS(tabela_registros[VALOR],tabela_registros[MÊS],$AE$1,tabela_registros[DIA],investiroutrosconsolidadojun[[#Headers],[2]],tabela_registros[REGISTRO],DADOS!$N$5,tabela_registros[TIPO],DADOS!$AB$5,tabela_registros[CATEGORIA],investiroutrosconsolidadojun[[#This Row],[ATUAL]])</f>
        <v>0</v>
      </c>
      <c r="G157" s="91">
        <f>SUMIFS(tabela_registros[VALOR],tabela_registros[MÊS],$AE$1,tabela_registros[DIA],investiroutrosconsolidadojun[[#Headers],[3]],tabela_registros[REGISTRO],DADOS!$N$5,tabela_registros[TIPO],DADOS!$AB$5,tabela_registros[CATEGORIA],investiroutrosconsolidadojun[[#This Row],[ATUAL]])</f>
        <v>0</v>
      </c>
      <c r="H157" s="91">
        <f>SUMIFS(tabela_registros[VALOR],tabela_registros[MÊS],$AE$1,tabela_registros[DIA],investiroutrosconsolidadojun[[#Headers],[4]],tabela_registros[REGISTRO],DADOS!$N$5,tabela_registros[TIPO],DADOS!$AB$5,tabela_registros[CATEGORIA],investiroutrosconsolidadojun[[#This Row],[ATUAL]])</f>
        <v>0</v>
      </c>
      <c r="I157" s="91">
        <f>SUMIFS(tabela_registros[VALOR],tabela_registros[MÊS],$AE$1,tabela_registros[DIA],investiroutrosconsolidadojun[[#Headers],[5]],tabela_registros[REGISTRO],DADOS!$N$5,tabela_registros[TIPO],DADOS!$AB$5,tabela_registros[CATEGORIA],investiroutrosconsolidadojun[[#This Row],[ATUAL]])</f>
        <v>0</v>
      </c>
      <c r="J157" s="91">
        <f>SUMIFS(tabela_registros[VALOR],tabela_registros[MÊS],$AE$1,tabela_registros[DIA],investiroutrosconsolidadojun[[#Headers],[6]],tabela_registros[REGISTRO],DADOS!$N$5,tabela_registros[TIPO],DADOS!$AB$5,tabela_registros[CATEGORIA],investiroutrosconsolidadojun[[#This Row],[ATUAL]])</f>
        <v>0</v>
      </c>
      <c r="K157" s="91">
        <f>SUMIFS(tabela_registros[VALOR],tabela_registros[MÊS],$AE$1,tabela_registros[DIA],investiroutrosconsolidadojun[[#Headers],[7]],tabela_registros[REGISTRO],DADOS!$N$5,tabela_registros[TIPO],DADOS!$AB$5,tabela_registros[CATEGORIA],investiroutrosconsolidadojun[[#This Row],[ATUAL]])</f>
        <v>0</v>
      </c>
      <c r="L157" s="91">
        <f>SUMIFS(tabela_registros[VALOR],tabela_registros[MÊS],$AE$1,tabela_registros[DIA],investiroutrosconsolidadojun[[#Headers],[8]],tabela_registros[REGISTRO],DADOS!$N$5,tabela_registros[TIPO],DADOS!$AB$5,tabela_registros[CATEGORIA],investiroutrosconsolidadojun[[#This Row],[ATUAL]])</f>
        <v>0</v>
      </c>
      <c r="M157" s="91">
        <f>SUMIFS(tabela_registros[VALOR],tabela_registros[MÊS],$AE$1,tabela_registros[DIA],investiroutrosconsolidadojun[[#Headers],[9]],tabela_registros[REGISTRO],DADOS!$N$5,tabela_registros[TIPO],DADOS!$AB$5,tabela_registros[CATEGORIA],investiroutrosconsolidadojun[[#This Row],[ATUAL]])</f>
        <v>0</v>
      </c>
      <c r="N157" s="91">
        <f>SUMIFS(tabela_registros[VALOR],tabela_registros[MÊS],$AE$1,tabela_registros[DIA],investiroutrosconsolidadojun[[#Headers],[10]],tabela_registros[REGISTRO],DADOS!$N$5,tabela_registros[TIPO],DADOS!$AB$5,tabela_registros[CATEGORIA],investiroutrosconsolidadojun[[#This Row],[ATUAL]])</f>
        <v>0</v>
      </c>
      <c r="O157" s="91">
        <f>SUMIFS(tabela_registros[VALOR],tabela_registros[MÊS],$AE$1,tabela_registros[DIA],investiroutrosconsolidadojun[[#Headers],[11]],tabela_registros[REGISTRO],DADOS!$N$5,tabela_registros[TIPO],DADOS!$AB$5,tabela_registros[CATEGORIA],investiroutrosconsolidadojun[[#This Row],[ATUAL]])</f>
        <v>0</v>
      </c>
      <c r="P157" s="91">
        <f>SUMIFS(tabela_registros[VALOR],tabela_registros[MÊS],$AE$1,tabela_registros[DIA],investiroutrosconsolidadojun[[#Headers],[12]],tabela_registros[REGISTRO],DADOS!$N$5,tabela_registros[TIPO],DADOS!$AB$5,tabela_registros[CATEGORIA],investiroutrosconsolidadojun[[#This Row],[ATUAL]])</f>
        <v>0</v>
      </c>
      <c r="Q157" s="91">
        <f>SUMIFS(tabela_registros[VALOR],tabela_registros[MÊS],$AE$1,tabela_registros[DIA],investiroutrosconsolidadojun[[#Headers],[13]],tabela_registros[REGISTRO],DADOS!$N$5,tabela_registros[TIPO],DADOS!$AB$5,tabela_registros[CATEGORIA],investiroutrosconsolidadojun[[#This Row],[ATUAL]])</f>
        <v>0</v>
      </c>
      <c r="R157" s="91">
        <f>SUMIFS(tabela_registros[VALOR],tabela_registros[MÊS],$AE$1,tabela_registros[DIA],investiroutrosconsolidadojun[[#Headers],[14]],tabela_registros[REGISTRO],DADOS!$N$5,tabela_registros[TIPO],DADOS!$AB$5,tabela_registros[CATEGORIA],investiroutrosconsolidadojun[[#This Row],[ATUAL]])</f>
        <v>0</v>
      </c>
      <c r="S157" s="91">
        <f>SUMIFS(tabela_registros[VALOR],tabela_registros[MÊS],$AE$1,tabela_registros[DIA],investiroutrosconsolidadojun[[#Headers],[15]],tabela_registros[REGISTRO],DADOS!$N$5,tabela_registros[TIPO],DADOS!$AB$5,tabela_registros[CATEGORIA],investiroutrosconsolidadojun[[#This Row],[ATUAL]])</f>
        <v>0</v>
      </c>
      <c r="T157" s="91">
        <f>SUMIFS(tabela_registros[VALOR],tabela_registros[MÊS],$AE$1,tabela_registros[DIA],investiroutrosconsolidadojun[[#Headers],[16]],tabela_registros[REGISTRO],DADOS!$N$5,tabela_registros[TIPO],DADOS!$AB$5,tabela_registros[CATEGORIA],investiroutrosconsolidadojun[[#This Row],[ATUAL]])</f>
        <v>0</v>
      </c>
      <c r="U157" s="91">
        <f>SUMIFS(tabela_registros[VALOR],tabela_registros[MÊS],$AE$1,tabela_registros[DIA],investiroutrosconsolidadojun[[#Headers],[17]],tabela_registros[REGISTRO],DADOS!$N$5,tabela_registros[TIPO],DADOS!$AB$5,tabela_registros[CATEGORIA],investiroutrosconsolidadojun[[#This Row],[ATUAL]])</f>
        <v>0</v>
      </c>
      <c r="V157" s="91">
        <f>SUMIFS(tabela_registros[VALOR],tabela_registros[MÊS],$AE$1,tabela_registros[DIA],investiroutrosconsolidadojun[[#Headers],[18]],tabela_registros[REGISTRO],DADOS!$N$5,tabela_registros[TIPO],DADOS!$AB$5,tabela_registros[CATEGORIA],investiroutrosconsolidadojun[[#This Row],[ATUAL]])</f>
        <v>0</v>
      </c>
      <c r="W157" s="91">
        <f>SUMIFS(tabela_registros[VALOR],tabela_registros[MÊS],$AE$1,tabela_registros[DIA],investiroutrosconsolidadojun[[#Headers],[19]],tabela_registros[REGISTRO],DADOS!$N$5,tabela_registros[TIPO],DADOS!$AB$5,tabela_registros[CATEGORIA],investiroutrosconsolidadojun[[#This Row],[ATUAL]])</f>
        <v>0</v>
      </c>
      <c r="X157" s="91">
        <f>SUMIFS(tabela_registros[VALOR],tabela_registros[MÊS],$AE$1,tabela_registros[DIA],investiroutrosconsolidadojun[[#Headers],[20]],tabela_registros[REGISTRO],DADOS!$N$5,tabela_registros[TIPO],DADOS!$AB$5,tabela_registros[CATEGORIA],investiroutrosconsolidadojun[[#This Row],[ATUAL]])</f>
        <v>0</v>
      </c>
      <c r="Y157" s="91">
        <f>SUMIFS(tabela_registros[VALOR],tabela_registros[MÊS],$AE$1,tabela_registros[DIA],investiroutrosconsolidadojun[[#Headers],[21]],tabela_registros[REGISTRO],DADOS!$N$5,tabela_registros[TIPO],DADOS!$AB$5,tabela_registros[CATEGORIA],investiroutrosconsolidadojun[[#This Row],[ATUAL]])</f>
        <v>0</v>
      </c>
      <c r="Z157" s="91">
        <f>SUMIFS(tabela_registros[VALOR],tabela_registros[MÊS],$AE$1,tabela_registros[DIA],investiroutrosconsolidadojun[[#Headers],[22]],tabela_registros[REGISTRO],DADOS!$N$5,tabela_registros[TIPO],DADOS!$AB$5,tabela_registros[CATEGORIA],investiroutrosconsolidadojun[[#This Row],[ATUAL]])</f>
        <v>0</v>
      </c>
      <c r="AA157" s="91">
        <f>SUMIFS(tabela_registros[VALOR],tabela_registros[MÊS],$AE$1,tabela_registros[DIA],investiroutrosconsolidadojun[[#Headers],[23]],tabela_registros[REGISTRO],DADOS!$N$5,tabela_registros[TIPO],DADOS!$AB$5,tabela_registros[CATEGORIA],investiroutrosconsolidadojun[[#This Row],[ATUAL]])</f>
        <v>0</v>
      </c>
      <c r="AB157" s="91">
        <f>SUMIFS(tabela_registros[VALOR],tabela_registros[MÊS],$AE$1,tabela_registros[DIA],investiroutrosconsolidadojun[[#Headers],[24]],tabela_registros[REGISTRO],DADOS!$N$5,tabela_registros[TIPO],DADOS!$AB$5,tabela_registros[CATEGORIA],investiroutrosconsolidadojun[[#This Row],[ATUAL]])</f>
        <v>0</v>
      </c>
      <c r="AC157" s="91">
        <f>SUMIFS(tabela_registros[VALOR],tabela_registros[MÊS],$AE$1,tabela_registros[DIA],investiroutrosconsolidadojun[[#Headers],[25]],tabela_registros[REGISTRO],DADOS!$N$5,tabela_registros[TIPO],DADOS!$AB$5,tabela_registros[CATEGORIA],investiroutrosconsolidadojun[[#This Row],[ATUAL]])</f>
        <v>0</v>
      </c>
      <c r="AD157" s="91">
        <f>SUMIFS(tabela_registros[VALOR],tabela_registros[MÊS],$AE$1,tabela_registros[DIA],investiroutrosconsolidadojun[[#Headers],[26]],tabela_registros[REGISTRO],DADOS!$N$5,tabela_registros[TIPO],DADOS!$AB$5,tabela_registros[CATEGORIA],investiroutrosconsolidadojun[[#This Row],[ATUAL]])</f>
        <v>0</v>
      </c>
      <c r="AE157" s="91">
        <f>SUMIFS(tabela_registros[VALOR],tabela_registros[MÊS],$AE$1,tabela_registros[DIA],investiroutrosconsolidadojun[[#Headers],[27]],tabela_registros[REGISTRO],DADOS!$N$5,tabela_registros[TIPO],DADOS!$AB$5,tabela_registros[CATEGORIA],investiroutrosconsolidadojun[[#This Row],[ATUAL]])</f>
        <v>0</v>
      </c>
      <c r="AF157" s="91">
        <f>SUMIFS(tabela_registros[VALOR],tabela_registros[MÊS],$AE$1,tabela_registros[DIA],investiroutrosconsolidadojun[[#Headers],[28]],tabela_registros[REGISTRO],DADOS!$N$5,tabela_registros[TIPO],DADOS!$AB$5,tabela_registros[CATEGORIA],investiroutrosconsolidadojun[[#This Row],[ATUAL]])</f>
        <v>0</v>
      </c>
      <c r="AG157" s="91">
        <f>SUMIFS(tabela_registros[VALOR],tabela_registros[MÊS],$AE$1,tabela_registros[DIA],investiroutrosconsolidadojun[[#Headers],[29]],tabela_registros[REGISTRO],DADOS!$N$5,tabela_registros[TIPO],DADOS!$AB$5,tabela_registros[CATEGORIA],investiroutrosconsolidadojun[[#This Row],[ATUAL]])</f>
        <v>0</v>
      </c>
      <c r="AH157" s="91">
        <f>SUMIFS(tabela_registros[VALOR],tabela_registros[MÊS],$AE$1,tabela_registros[DIA],investiroutrosconsolidadojun[[#Headers],[30]],tabela_registros[REGISTRO],DADOS!$N$5,tabela_registros[TIPO],DADOS!$AB$5,tabela_registros[CATEGORIA],investiroutrosconsolidadojun[[#This Row],[ATUAL]])</f>
        <v>0</v>
      </c>
      <c r="AI157" s="101">
        <f>SUMIFS(tabela_registros[VALOR],tabela_registros[MÊS],$AE$1,tabela_registros[DIA],investiroutrosconsolidadojun[[#Headers],[31]],tabela_registros[REGISTRO],DADOS!$N$5,tabela_registros[TIPO],DADOS!$AB$5,tabela_registros[CATEGORIA],investiroutrosconsolidadojun[[#This Row],[ATUAL]])</f>
        <v>0</v>
      </c>
      <c r="AJ157" s="97">
        <f>SUM(investiroutrosconsolidadojun[[#This Row],[1]:[31]])</f>
        <v>0</v>
      </c>
      <c r="AK157" s="25"/>
    </row>
    <row r="158" spans="2:37" ht="19.5" customHeight="1" thickTop="1" thickBot="1" x14ac:dyDescent="0.3">
      <c r="B158" s="28"/>
      <c r="C158" s="27" t="str">
        <f>DADOS!$AH$10</f>
        <v>📎 OUTROS</v>
      </c>
      <c r="D158" s="26" t="str">
        <f>IF(investiroutrosconsolidadojun[[#This Row],[TOTAL (R$)]]=0,"",IF(OR(investiroutrosconsolidadojun[[#This Row],[TOTAL (R$)]]=LARGE($AJ$151:$AJ$158,1),investiroutrosconsolidadojun[[#This Row],[TOTAL (R$)]]=LARGE($AJ$151:$AJ$158,2)),DADOS!$I$10,""))</f>
        <v/>
      </c>
      <c r="E158" s="96">
        <f>SUMIFS(tabela_registros[VALOR],tabela_registros[MÊS],$AE$1,tabela_registros[DIA],investiroutrosconsolidadojun[[#Headers],[1]],tabela_registros[REGISTRO],DADOS!$N$5,tabela_registros[TIPO],DADOS!$AB$5,tabela_registros[CATEGORIA],investiroutrosconsolidadojun[[#This Row],[ATUAL]])</f>
        <v>0</v>
      </c>
      <c r="F158" s="91">
        <f>SUMIFS(tabela_registros[VALOR],tabela_registros[MÊS],$AE$1,tabela_registros[DIA],investiroutrosconsolidadojun[[#Headers],[2]],tabela_registros[REGISTRO],DADOS!$N$5,tabela_registros[TIPO],DADOS!$AB$5,tabela_registros[CATEGORIA],investiroutrosconsolidadojun[[#This Row],[ATUAL]])</f>
        <v>0</v>
      </c>
      <c r="G158" s="91">
        <f>SUMIFS(tabela_registros[VALOR],tabela_registros[MÊS],$AE$1,tabela_registros[DIA],investiroutrosconsolidadojun[[#Headers],[3]],tabela_registros[REGISTRO],DADOS!$N$5,tabela_registros[TIPO],DADOS!$AB$5,tabela_registros[CATEGORIA],investiroutrosconsolidadojun[[#This Row],[ATUAL]])</f>
        <v>0</v>
      </c>
      <c r="H158" s="91">
        <f>SUMIFS(tabela_registros[VALOR],tabela_registros[MÊS],$AE$1,tabela_registros[DIA],investiroutrosconsolidadojun[[#Headers],[4]],tabela_registros[REGISTRO],DADOS!$N$5,tabela_registros[TIPO],DADOS!$AB$5,tabela_registros[CATEGORIA],investiroutrosconsolidadojun[[#This Row],[ATUAL]])</f>
        <v>0</v>
      </c>
      <c r="I158" s="91">
        <f>SUMIFS(tabela_registros[VALOR],tabela_registros[MÊS],$AE$1,tabela_registros[DIA],investiroutrosconsolidadojun[[#Headers],[5]],tabela_registros[REGISTRO],DADOS!$N$5,tabela_registros[TIPO],DADOS!$AB$5,tabela_registros[CATEGORIA],investiroutrosconsolidadojun[[#This Row],[ATUAL]])</f>
        <v>0</v>
      </c>
      <c r="J158" s="91">
        <f>SUMIFS(tabela_registros[VALOR],tabela_registros[MÊS],$AE$1,tabela_registros[DIA],investiroutrosconsolidadojun[[#Headers],[6]],tabela_registros[REGISTRO],DADOS!$N$5,tabela_registros[TIPO],DADOS!$AB$5,tabela_registros[CATEGORIA],investiroutrosconsolidadojun[[#This Row],[ATUAL]])</f>
        <v>0</v>
      </c>
      <c r="K158" s="91">
        <f>SUMIFS(tabela_registros[VALOR],tabela_registros[MÊS],$AE$1,tabela_registros[DIA],investiroutrosconsolidadojun[[#Headers],[7]],tabela_registros[REGISTRO],DADOS!$N$5,tabela_registros[TIPO],DADOS!$AB$5,tabela_registros[CATEGORIA],investiroutrosconsolidadojun[[#This Row],[ATUAL]])</f>
        <v>0</v>
      </c>
      <c r="L158" s="91">
        <f>SUMIFS(tabela_registros[VALOR],tabela_registros[MÊS],$AE$1,tabela_registros[DIA],investiroutrosconsolidadojun[[#Headers],[8]],tabela_registros[REGISTRO],DADOS!$N$5,tabela_registros[TIPO],DADOS!$AB$5,tabela_registros[CATEGORIA],investiroutrosconsolidadojun[[#This Row],[ATUAL]])</f>
        <v>0</v>
      </c>
      <c r="M158" s="91">
        <f>SUMIFS(tabela_registros[VALOR],tabela_registros[MÊS],$AE$1,tabela_registros[DIA],investiroutrosconsolidadojun[[#Headers],[9]],tabela_registros[REGISTRO],DADOS!$N$5,tabela_registros[TIPO],DADOS!$AB$5,tabela_registros[CATEGORIA],investiroutrosconsolidadojun[[#This Row],[ATUAL]])</f>
        <v>0</v>
      </c>
      <c r="N158" s="91">
        <f>SUMIFS(tabela_registros[VALOR],tabela_registros[MÊS],$AE$1,tabela_registros[DIA],investiroutrosconsolidadojun[[#Headers],[10]],tabela_registros[REGISTRO],DADOS!$N$5,tabela_registros[TIPO],DADOS!$AB$5,tabela_registros[CATEGORIA],investiroutrosconsolidadojun[[#This Row],[ATUAL]])</f>
        <v>0</v>
      </c>
      <c r="O158" s="91">
        <f>SUMIFS(tabela_registros[VALOR],tabela_registros[MÊS],$AE$1,tabela_registros[DIA],investiroutrosconsolidadojun[[#Headers],[11]],tabela_registros[REGISTRO],DADOS!$N$5,tabela_registros[TIPO],DADOS!$AB$5,tabela_registros[CATEGORIA],investiroutrosconsolidadojun[[#This Row],[ATUAL]])</f>
        <v>0</v>
      </c>
      <c r="P158" s="91">
        <f>SUMIFS(tabela_registros[VALOR],tabela_registros[MÊS],$AE$1,tabela_registros[DIA],investiroutrosconsolidadojun[[#Headers],[12]],tabela_registros[REGISTRO],DADOS!$N$5,tabela_registros[TIPO],DADOS!$AB$5,tabela_registros[CATEGORIA],investiroutrosconsolidadojun[[#This Row],[ATUAL]])</f>
        <v>0</v>
      </c>
      <c r="Q158" s="91">
        <f>SUMIFS(tabela_registros[VALOR],tabela_registros[MÊS],$AE$1,tabela_registros[DIA],investiroutrosconsolidadojun[[#Headers],[13]],tabela_registros[REGISTRO],DADOS!$N$5,tabela_registros[TIPO],DADOS!$AB$5,tabela_registros[CATEGORIA],investiroutrosconsolidadojun[[#This Row],[ATUAL]])</f>
        <v>0</v>
      </c>
      <c r="R158" s="91">
        <f>SUMIFS(tabela_registros[VALOR],tabela_registros[MÊS],$AE$1,tabela_registros[DIA],investiroutrosconsolidadojun[[#Headers],[14]],tabela_registros[REGISTRO],DADOS!$N$5,tabela_registros[TIPO],DADOS!$AB$5,tabela_registros[CATEGORIA],investiroutrosconsolidadojun[[#This Row],[ATUAL]])</f>
        <v>0</v>
      </c>
      <c r="S158" s="91">
        <f>SUMIFS(tabela_registros[VALOR],tabela_registros[MÊS],$AE$1,tabela_registros[DIA],investiroutrosconsolidadojun[[#Headers],[15]],tabela_registros[REGISTRO],DADOS!$N$5,tabela_registros[TIPO],DADOS!$AB$5,tabela_registros[CATEGORIA],investiroutrosconsolidadojun[[#This Row],[ATUAL]])</f>
        <v>0</v>
      </c>
      <c r="T158" s="91">
        <f>SUMIFS(tabela_registros[VALOR],tabela_registros[MÊS],$AE$1,tabela_registros[DIA],investiroutrosconsolidadojun[[#Headers],[16]],tabela_registros[REGISTRO],DADOS!$N$5,tabela_registros[TIPO],DADOS!$AB$5,tabela_registros[CATEGORIA],investiroutrosconsolidadojun[[#This Row],[ATUAL]])</f>
        <v>0</v>
      </c>
      <c r="U158" s="91">
        <f>SUMIFS(tabela_registros[VALOR],tabela_registros[MÊS],$AE$1,tabela_registros[DIA],investiroutrosconsolidadojun[[#Headers],[17]],tabela_registros[REGISTRO],DADOS!$N$5,tabela_registros[TIPO],DADOS!$AB$5,tabela_registros[CATEGORIA],investiroutrosconsolidadojun[[#This Row],[ATUAL]])</f>
        <v>0</v>
      </c>
      <c r="V158" s="91">
        <f>SUMIFS(tabela_registros[VALOR],tabela_registros[MÊS],$AE$1,tabela_registros[DIA],investiroutrosconsolidadojun[[#Headers],[18]],tabela_registros[REGISTRO],DADOS!$N$5,tabela_registros[TIPO],DADOS!$AB$5,tabela_registros[CATEGORIA],investiroutrosconsolidadojun[[#This Row],[ATUAL]])</f>
        <v>0</v>
      </c>
      <c r="W158" s="91">
        <f>SUMIFS(tabela_registros[VALOR],tabela_registros[MÊS],$AE$1,tabela_registros[DIA],investiroutrosconsolidadojun[[#Headers],[19]],tabela_registros[REGISTRO],DADOS!$N$5,tabela_registros[TIPO],DADOS!$AB$5,tabela_registros[CATEGORIA],investiroutrosconsolidadojun[[#This Row],[ATUAL]])</f>
        <v>0</v>
      </c>
      <c r="X158" s="91">
        <f>SUMIFS(tabela_registros[VALOR],tabela_registros[MÊS],$AE$1,tabela_registros[DIA],investiroutrosconsolidadojun[[#Headers],[20]],tabela_registros[REGISTRO],DADOS!$N$5,tabela_registros[TIPO],DADOS!$AB$5,tabela_registros[CATEGORIA],investiroutrosconsolidadojun[[#This Row],[ATUAL]])</f>
        <v>0</v>
      </c>
      <c r="Y158" s="91">
        <f>SUMIFS(tabela_registros[VALOR],tabela_registros[MÊS],$AE$1,tabela_registros[DIA],investiroutrosconsolidadojun[[#Headers],[21]],tabela_registros[REGISTRO],DADOS!$N$5,tabela_registros[TIPO],DADOS!$AB$5,tabela_registros[CATEGORIA],investiroutrosconsolidadojun[[#This Row],[ATUAL]])</f>
        <v>0</v>
      </c>
      <c r="Z158" s="91">
        <f>SUMIFS(tabela_registros[VALOR],tabela_registros[MÊS],$AE$1,tabela_registros[DIA],investiroutrosconsolidadojun[[#Headers],[22]],tabela_registros[REGISTRO],DADOS!$N$5,tabela_registros[TIPO],DADOS!$AB$5,tabela_registros[CATEGORIA],investiroutrosconsolidadojun[[#This Row],[ATUAL]])</f>
        <v>0</v>
      </c>
      <c r="AA158" s="91">
        <f>SUMIFS(tabela_registros[VALOR],tabela_registros[MÊS],$AE$1,tabela_registros[DIA],investiroutrosconsolidadojun[[#Headers],[23]],tabela_registros[REGISTRO],DADOS!$N$5,tabela_registros[TIPO],DADOS!$AB$5,tabela_registros[CATEGORIA],investiroutrosconsolidadojun[[#This Row],[ATUAL]])</f>
        <v>0</v>
      </c>
      <c r="AB158" s="91">
        <f>SUMIFS(tabela_registros[VALOR],tabela_registros[MÊS],$AE$1,tabela_registros[DIA],investiroutrosconsolidadojun[[#Headers],[24]],tabela_registros[REGISTRO],DADOS!$N$5,tabela_registros[TIPO],DADOS!$AB$5,tabela_registros[CATEGORIA],investiroutrosconsolidadojun[[#This Row],[ATUAL]])</f>
        <v>0</v>
      </c>
      <c r="AC158" s="91">
        <f>SUMIFS(tabela_registros[VALOR],tabela_registros[MÊS],$AE$1,tabela_registros[DIA],investiroutrosconsolidadojun[[#Headers],[25]],tabela_registros[REGISTRO],DADOS!$N$5,tabela_registros[TIPO],DADOS!$AB$5,tabela_registros[CATEGORIA],investiroutrosconsolidadojun[[#This Row],[ATUAL]])</f>
        <v>0</v>
      </c>
      <c r="AD158" s="91">
        <f>SUMIFS(tabela_registros[VALOR],tabela_registros[MÊS],$AE$1,tabela_registros[DIA],investiroutrosconsolidadojun[[#Headers],[26]],tabela_registros[REGISTRO],DADOS!$N$5,tabela_registros[TIPO],DADOS!$AB$5,tabela_registros[CATEGORIA],investiroutrosconsolidadojun[[#This Row],[ATUAL]])</f>
        <v>0</v>
      </c>
      <c r="AE158" s="91">
        <f>SUMIFS(tabela_registros[VALOR],tabela_registros[MÊS],$AE$1,tabela_registros[DIA],investiroutrosconsolidadojun[[#Headers],[27]],tabela_registros[REGISTRO],DADOS!$N$5,tabela_registros[TIPO],DADOS!$AB$5,tabela_registros[CATEGORIA],investiroutrosconsolidadojun[[#This Row],[ATUAL]])</f>
        <v>0</v>
      </c>
      <c r="AF158" s="91">
        <f>SUMIFS(tabela_registros[VALOR],tabela_registros[MÊS],$AE$1,tabela_registros[DIA],investiroutrosconsolidadojun[[#Headers],[28]],tabela_registros[REGISTRO],DADOS!$N$5,tabela_registros[TIPO],DADOS!$AB$5,tabela_registros[CATEGORIA],investiroutrosconsolidadojun[[#This Row],[ATUAL]])</f>
        <v>0</v>
      </c>
      <c r="AG158" s="91">
        <f>SUMIFS(tabela_registros[VALOR],tabela_registros[MÊS],$AE$1,tabela_registros[DIA],investiroutrosconsolidadojun[[#Headers],[29]],tabela_registros[REGISTRO],DADOS!$N$5,tabela_registros[TIPO],DADOS!$AB$5,tabela_registros[CATEGORIA],investiroutrosconsolidadojun[[#This Row],[ATUAL]])</f>
        <v>0</v>
      </c>
      <c r="AH158" s="91">
        <f>SUMIFS(tabela_registros[VALOR],tabela_registros[MÊS],$AE$1,tabela_registros[DIA],investiroutrosconsolidadojun[[#Headers],[30]],tabela_registros[REGISTRO],DADOS!$N$5,tabela_registros[TIPO],DADOS!$AB$5,tabela_registros[CATEGORIA],investiroutrosconsolidadojun[[#This Row],[ATUAL]])</f>
        <v>0</v>
      </c>
      <c r="AI158" s="102">
        <f>SUMIFS(tabela_registros[VALOR],tabela_registros[MÊS],$AE$1,tabela_registros[DIA],investiroutrosconsolidadojun[[#Headers],[31]],tabela_registros[REGISTRO],DADOS!$N$5,tabela_registros[TIPO],DADOS!$AB$5,tabela_registros[CATEGORIA],investiroutrosconsolidadojun[[#This Row],[ATUAL]])</f>
        <v>0</v>
      </c>
      <c r="AJ158" s="97">
        <f>SUM(investiroutrosconsolidadojun[[#This Row],[1]:[31]])</f>
        <v>0</v>
      </c>
      <c r="AK158" s="25"/>
    </row>
    <row r="159" spans="2:37" s="16" customFormat="1" ht="21" customHeight="1" thickTop="1" thickBot="1" x14ac:dyDescent="0.35">
      <c r="B159" s="24"/>
      <c r="C159" s="23" t="s">
        <v>19</v>
      </c>
      <c r="D159" s="22"/>
      <c r="E159" s="21">
        <f>SUM(E151:E158)</f>
        <v>0</v>
      </c>
      <c r="F159" s="20">
        <f>SUM(F151:F158)+investiroutrosconsolidadojun[[#This Row],[1]]</f>
        <v>0</v>
      </c>
      <c r="G159" s="20">
        <f>SUM(G151:G158)+investiroutrosconsolidadojun[[#This Row],[2]]</f>
        <v>0</v>
      </c>
      <c r="H159" s="20">
        <f>SUM(H151:H158)+investiroutrosconsolidadojun[[#This Row],[3]]</f>
        <v>0</v>
      </c>
      <c r="I159" s="20">
        <f>SUM(I151:I158)+investiroutrosconsolidadojun[[#This Row],[4]]</f>
        <v>0</v>
      </c>
      <c r="J159" s="20">
        <f>SUM(J151:J158)+investiroutrosconsolidadojun[[#This Row],[5]]</f>
        <v>0</v>
      </c>
      <c r="K159" s="20">
        <f>SUM(K151:K158)+investiroutrosconsolidadojun[[#This Row],[6]]</f>
        <v>0</v>
      </c>
      <c r="L159" s="20">
        <f>SUM(L151:L158)+investiroutrosconsolidadojun[[#This Row],[7]]</f>
        <v>0</v>
      </c>
      <c r="M159" s="20">
        <f>SUM(M151:M158)+investiroutrosconsolidadojun[[#This Row],[8]]</f>
        <v>0</v>
      </c>
      <c r="N159" s="20">
        <f>SUM(N151:N158)+investiroutrosconsolidadojun[[#This Row],[9]]</f>
        <v>0</v>
      </c>
      <c r="O159" s="20">
        <f>SUM(O151:O158)+investiroutrosconsolidadojun[[#This Row],[10]]</f>
        <v>0</v>
      </c>
      <c r="P159" s="20">
        <f>SUM(P151:P158)+investiroutrosconsolidadojun[[#This Row],[11]]</f>
        <v>0</v>
      </c>
      <c r="Q159" s="20">
        <f>SUM(Q151:Q158)+investiroutrosconsolidadojun[[#This Row],[12]]</f>
        <v>0</v>
      </c>
      <c r="R159" s="20">
        <f>SUM(R151:R158)+investiroutrosconsolidadojun[[#This Row],[13]]</f>
        <v>0</v>
      </c>
      <c r="S159" s="20">
        <f>SUM(S151:S158)+investiroutrosconsolidadojun[[#This Row],[14]]</f>
        <v>0</v>
      </c>
      <c r="T159" s="20">
        <f>SUM(T151:T158)+investiroutrosconsolidadojun[[#This Row],[15]]</f>
        <v>0</v>
      </c>
      <c r="U159" s="20">
        <f>SUM(U151:U158)+investiroutrosconsolidadojun[[#This Row],[16]]</f>
        <v>0</v>
      </c>
      <c r="V159" s="20">
        <f>SUM(V151:V158)+investiroutrosconsolidadojun[[#This Row],[17]]</f>
        <v>0</v>
      </c>
      <c r="W159" s="20">
        <f>SUM(W151:W158)+investiroutrosconsolidadojun[[#This Row],[18]]</f>
        <v>0</v>
      </c>
      <c r="X159" s="20">
        <f>SUM(X151:X158)+investiroutrosconsolidadojun[[#This Row],[19]]</f>
        <v>0</v>
      </c>
      <c r="Y159" s="20">
        <f>SUM(Y151:Y158)+investiroutrosconsolidadojun[[#This Row],[20]]</f>
        <v>0</v>
      </c>
      <c r="Z159" s="20">
        <f>SUM(Z151:Z158)+investiroutrosconsolidadojun[[#This Row],[21]]</f>
        <v>0</v>
      </c>
      <c r="AA159" s="20">
        <f>SUM(AA151:AA158)+investiroutrosconsolidadojun[[#This Row],[22]]</f>
        <v>0</v>
      </c>
      <c r="AB159" s="20">
        <f>SUM(AB151:AB158)+investiroutrosconsolidadojun[[#This Row],[23]]</f>
        <v>0</v>
      </c>
      <c r="AC159" s="20">
        <f>SUM(AC151:AC158)+investiroutrosconsolidadojun[[#This Row],[24]]</f>
        <v>0</v>
      </c>
      <c r="AD159" s="20">
        <f>SUM(AD151:AD158)+investiroutrosconsolidadojun[[#This Row],[25]]</f>
        <v>0</v>
      </c>
      <c r="AE159" s="20">
        <f>SUM(AE151:AE158)+investiroutrosconsolidadojun[[#This Row],[26]]</f>
        <v>0</v>
      </c>
      <c r="AF159" s="20">
        <f>SUM(AF151:AF158)+investiroutrosconsolidadojun[[#This Row],[27]]</f>
        <v>0</v>
      </c>
      <c r="AG159" s="20">
        <f>SUM(AG151:AG158)+investiroutrosconsolidadojun[[#This Row],[28]]</f>
        <v>0</v>
      </c>
      <c r="AH159" s="20">
        <f>SUM(AH151:AH158)+investiroutrosconsolidadojun[[#This Row],[29]]</f>
        <v>0</v>
      </c>
      <c r="AI159" s="19">
        <f>SUM(AI151:AI158)+investiroutrosconsolidadojun[[#This Row],[30]]</f>
        <v>0</v>
      </c>
      <c r="AJ159" s="18">
        <f>investiroutrosconsolidadojun[[#This Row],[31]]</f>
        <v>0</v>
      </c>
      <c r="AK159" s="17"/>
    </row>
    <row r="160" spans="2:37" ht="6.75" customHeight="1" thickTop="1" thickBot="1" x14ac:dyDescent="0.3">
      <c r="B160" s="15"/>
      <c r="C160" s="14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  <c r="AA160" s="13"/>
      <c r="AB160" s="13"/>
      <c r="AC160" s="13"/>
      <c r="AD160" s="13"/>
      <c r="AE160" s="13"/>
      <c r="AF160" s="13"/>
      <c r="AG160" s="13"/>
      <c r="AH160" s="13"/>
      <c r="AI160" s="12"/>
      <c r="AJ160" s="11"/>
      <c r="AK160" s="10"/>
    </row>
    <row r="161" spans="2:37" ht="12.6" thickTop="1" x14ac:dyDescent="0.25">
      <c r="E161" s="37"/>
      <c r="AI161" s="4"/>
    </row>
    <row r="162" spans="2:37" x14ac:dyDescent="0.25">
      <c r="AI162" s="4"/>
    </row>
    <row r="163" spans="2:37" x14ac:dyDescent="0.25">
      <c r="AI163" s="4"/>
    </row>
    <row r="164" spans="2:37" ht="39.75" customHeight="1" x14ac:dyDescent="0.7">
      <c r="C164" s="36"/>
      <c r="E164" s="240"/>
      <c r="F164" s="240"/>
      <c r="G164" s="240"/>
      <c r="H164" s="240"/>
      <c r="I164" s="240"/>
      <c r="J164" s="240"/>
      <c r="K164" s="240"/>
      <c r="L164" s="240"/>
      <c r="M164" s="240"/>
      <c r="N164" s="240"/>
      <c r="O164" s="240"/>
      <c r="P164" s="240"/>
      <c r="Q164" s="240"/>
      <c r="R164" s="240"/>
      <c r="S164" s="240"/>
      <c r="T164" s="240"/>
      <c r="U164" s="240"/>
      <c r="V164" s="240"/>
      <c r="W164" s="240"/>
      <c r="X164" s="240"/>
      <c r="Y164" s="240"/>
      <c r="Z164" s="240"/>
      <c r="AA164" s="240"/>
      <c r="AB164" s="240"/>
      <c r="AC164" s="240"/>
      <c r="AD164" s="240"/>
      <c r="AE164" s="240"/>
      <c r="AF164" s="240"/>
      <c r="AG164" s="240"/>
      <c r="AH164" s="240"/>
      <c r="AI164" s="240"/>
      <c r="AJ164" s="32" t="s">
        <v>19</v>
      </c>
    </row>
    <row r="165" spans="2:37" ht="12.6" thickBot="1" x14ac:dyDescent="0.3">
      <c r="B165" s="35"/>
      <c r="AI165" s="4"/>
      <c r="AJ165" s="34" t="s">
        <v>202</v>
      </c>
    </row>
    <row r="166" spans="2:37" ht="6.75" customHeight="1" thickTop="1" thickBot="1" x14ac:dyDescent="0.3">
      <c r="B166" s="2"/>
      <c r="C166" s="14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F166" s="13"/>
      <c r="AG166" s="13"/>
      <c r="AH166" s="13"/>
      <c r="AI166" s="13"/>
      <c r="AJ166" s="12"/>
      <c r="AK166" s="33"/>
    </row>
    <row r="167" spans="2:37" ht="13.2" hidden="1" thickTop="1" thickBot="1" x14ac:dyDescent="0.3">
      <c r="B167" s="2"/>
      <c r="C167" s="31" t="s">
        <v>199</v>
      </c>
      <c r="D167" s="30" t="s">
        <v>198</v>
      </c>
      <c r="E167" s="30" t="s">
        <v>197</v>
      </c>
      <c r="F167" s="30" t="s">
        <v>196</v>
      </c>
      <c r="G167" s="30" t="s">
        <v>195</v>
      </c>
      <c r="H167" s="30" t="s">
        <v>194</v>
      </c>
      <c r="I167" s="30" t="s">
        <v>193</v>
      </c>
      <c r="J167" s="30" t="s">
        <v>192</v>
      </c>
      <c r="K167" s="30" t="s">
        <v>191</v>
      </c>
      <c r="L167" s="30" t="s">
        <v>190</v>
      </c>
      <c r="M167" s="30" t="s">
        <v>189</v>
      </c>
      <c r="N167" s="30" t="s">
        <v>188</v>
      </c>
      <c r="O167" s="30" t="s">
        <v>187</v>
      </c>
      <c r="P167" s="30" t="s">
        <v>186</v>
      </c>
      <c r="Q167" s="30" t="s">
        <v>185</v>
      </c>
      <c r="R167" s="30" t="s">
        <v>184</v>
      </c>
      <c r="S167" s="30" t="s">
        <v>183</v>
      </c>
      <c r="T167" s="30" t="s">
        <v>182</v>
      </c>
      <c r="U167" s="30" t="s">
        <v>181</v>
      </c>
      <c r="V167" s="30" t="s">
        <v>180</v>
      </c>
      <c r="W167" s="30" t="s">
        <v>179</v>
      </c>
      <c r="X167" s="30" t="s">
        <v>178</v>
      </c>
      <c r="Y167" s="30" t="s">
        <v>177</v>
      </c>
      <c r="Z167" s="30" t="s">
        <v>176</v>
      </c>
      <c r="AA167" s="30" t="s">
        <v>175</v>
      </c>
      <c r="AB167" s="30" t="s">
        <v>174</v>
      </c>
      <c r="AC167" s="30" t="s">
        <v>173</v>
      </c>
      <c r="AD167" s="30" t="s">
        <v>172</v>
      </c>
      <c r="AE167" s="30" t="s">
        <v>171</v>
      </c>
      <c r="AF167" s="30" t="s">
        <v>170</v>
      </c>
      <c r="AG167" s="30" t="s">
        <v>169</v>
      </c>
      <c r="AH167" s="30" t="s">
        <v>168</v>
      </c>
      <c r="AI167" s="30" t="s">
        <v>167</v>
      </c>
      <c r="AJ167" s="29" t="s">
        <v>166</v>
      </c>
      <c r="AK167" s="2"/>
    </row>
    <row r="168" spans="2:37" ht="19.5" customHeight="1" thickTop="1" thickBot="1" x14ac:dyDescent="0.3">
      <c r="B168" s="28"/>
      <c r="C168" s="27" t="str">
        <f>DADOS!$AL$3</f>
        <v>📝 CDB</v>
      </c>
      <c r="D168" s="26" t="str">
        <f>IF(reservafixaconsolidadojun[[#This Row],[TOTAL (R$)]]=0,"",IF(OR(reservafixaconsolidadojun[[#This Row],[TOTAL (R$)]]=LARGE($AJ$168:$AJ$177,1),reservafixaconsolidadojun[[#This Row],[TOTAL (R$)]]=LARGE($AJ$168:$AJ$177,2)),DADOS!$I$11,""))</f>
        <v/>
      </c>
      <c r="E168" s="96">
        <f>SUMIFS(tabela_registros[VALOR],tabela_registros[MÊS],$AE$1,tabela_registros[DIA],reservafixaconsolidadojun[[#Headers],[1]],tabela_registros[REGISTRO],DADOS!$N$6,tabela_registros[TIPO],DADOS!$AJ$3,tabela_registros[CATEGORIA],reservafixaconsolidadojun[[#This Row],[ATUAL]])</f>
        <v>0</v>
      </c>
      <c r="F168" s="91">
        <f>SUMIFS(tabela_registros[VALOR],tabela_registros[MÊS],$AE$1,tabela_registros[DIA],reservafixaconsolidadojun[[#Headers],[2]],tabela_registros[REGISTRO],DADOS!$N$6,tabela_registros[TIPO],DADOS!$AJ$3,tabela_registros[CATEGORIA],reservafixaconsolidadojun[[#This Row],[ATUAL]])</f>
        <v>0</v>
      </c>
      <c r="G168" s="91">
        <f>SUMIFS(tabela_registros[VALOR],tabela_registros[MÊS],$AE$1,tabela_registros[DIA],reservafixaconsolidadojun[[#Headers],[3]],tabela_registros[REGISTRO],DADOS!$N$6,tabela_registros[TIPO],DADOS!$AJ$3,tabela_registros[CATEGORIA],reservafixaconsolidadojun[[#This Row],[ATUAL]])</f>
        <v>0</v>
      </c>
      <c r="H168" s="91">
        <f>SUMIFS(tabela_registros[VALOR],tabela_registros[MÊS],$AE$1,tabela_registros[DIA],reservafixaconsolidadojun[[#Headers],[4]],tabela_registros[REGISTRO],DADOS!$N$6,tabela_registros[TIPO],DADOS!$AJ$3,tabela_registros[CATEGORIA],reservafixaconsolidadojun[[#This Row],[ATUAL]])</f>
        <v>0</v>
      </c>
      <c r="I168" s="91">
        <f>SUMIFS(tabela_registros[VALOR],tabela_registros[MÊS],$AE$1,tabela_registros[DIA],reservafixaconsolidadojun[[#Headers],[5]],tabela_registros[REGISTRO],DADOS!$N$6,tabela_registros[TIPO],DADOS!$AJ$3,tabela_registros[CATEGORIA],reservafixaconsolidadojun[[#This Row],[ATUAL]])</f>
        <v>0</v>
      </c>
      <c r="J168" s="91">
        <f>SUMIFS(tabela_registros[VALOR],tabela_registros[MÊS],$AE$1,tabela_registros[DIA],reservafixaconsolidadojun[[#Headers],[6]],tabela_registros[REGISTRO],DADOS!$N$6,tabela_registros[TIPO],DADOS!$AJ$3,tabela_registros[CATEGORIA],reservafixaconsolidadojun[[#This Row],[ATUAL]])</f>
        <v>0</v>
      </c>
      <c r="K168" s="91">
        <f>SUMIFS(tabela_registros[VALOR],tabela_registros[MÊS],$AE$1,tabela_registros[DIA],reservafixaconsolidadojun[[#Headers],[7]],tabela_registros[REGISTRO],DADOS!$N$6,tabela_registros[TIPO],DADOS!$AJ$3,tabela_registros[CATEGORIA],reservafixaconsolidadojun[[#This Row],[ATUAL]])</f>
        <v>0</v>
      </c>
      <c r="L168" s="91">
        <f>SUMIFS(tabela_registros[VALOR],tabela_registros[MÊS],$AE$1,tabela_registros[DIA],reservafixaconsolidadojun[[#Headers],[8]],tabela_registros[REGISTRO],DADOS!$N$6,tabela_registros[TIPO],DADOS!$AJ$3,tabela_registros[CATEGORIA],reservafixaconsolidadojun[[#This Row],[ATUAL]])</f>
        <v>0</v>
      </c>
      <c r="M168" s="91">
        <f>SUMIFS(tabela_registros[VALOR],tabela_registros[MÊS],$AE$1,tabela_registros[DIA],reservafixaconsolidadojun[[#Headers],[9]],tabela_registros[REGISTRO],DADOS!$N$6,tabela_registros[TIPO],DADOS!$AJ$3,tabela_registros[CATEGORIA],reservafixaconsolidadojun[[#This Row],[ATUAL]])</f>
        <v>0</v>
      </c>
      <c r="N168" s="91">
        <f>SUMIFS(tabela_registros[VALOR],tabela_registros[MÊS],$AE$1,tabela_registros[DIA],reservafixaconsolidadojun[[#Headers],[10]],tabela_registros[REGISTRO],DADOS!$N$6,tabela_registros[TIPO],DADOS!$AJ$3,tabela_registros[CATEGORIA],reservafixaconsolidadojun[[#This Row],[ATUAL]])</f>
        <v>0</v>
      </c>
      <c r="O168" s="91">
        <f>SUMIFS(tabela_registros[VALOR],tabela_registros[MÊS],$AE$1,tabela_registros[DIA],reservafixaconsolidadojun[[#Headers],[11]],tabela_registros[REGISTRO],DADOS!$N$6,tabela_registros[TIPO],DADOS!$AJ$3,tabela_registros[CATEGORIA],reservafixaconsolidadojun[[#This Row],[ATUAL]])</f>
        <v>0</v>
      </c>
      <c r="P168" s="91">
        <f>SUMIFS(tabela_registros[VALOR],tabela_registros[MÊS],$AE$1,tabela_registros[DIA],reservafixaconsolidadojun[[#Headers],[12]],tabela_registros[REGISTRO],DADOS!$N$6,tabela_registros[TIPO],DADOS!$AJ$3,tabela_registros[CATEGORIA],reservafixaconsolidadojun[[#This Row],[ATUAL]])</f>
        <v>0</v>
      </c>
      <c r="Q168" s="91">
        <f>SUMIFS(tabela_registros[VALOR],tabela_registros[MÊS],$AE$1,tabela_registros[DIA],reservafixaconsolidadojun[[#Headers],[13]],tabela_registros[REGISTRO],DADOS!$N$6,tabela_registros[TIPO],DADOS!$AJ$3,tabela_registros[CATEGORIA],reservafixaconsolidadojun[[#This Row],[ATUAL]])</f>
        <v>0</v>
      </c>
      <c r="R168" s="91">
        <f>SUMIFS(tabela_registros[VALOR],tabela_registros[MÊS],$AE$1,tabela_registros[DIA],reservafixaconsolidadojun[[#Headers],[14]],tabela_registros[REGISTRO],DADOS!$N$6,tabela_registros[TIPO],DADOS!$AJ$3,tabela_registros[CATEGORIA],reservafixaconsolidadojun[[#This Row],[ATUAL]])</f>
        <v>0</v>
      </c>
      <c r="S168" s="91">
        <f>SUMIFS(tabela_registros[VALOR],tabela_registros[MÊS],$AE$1,tabela_registros[DIA],reservafixaconsolidadojun[[#Headers],[15]],tabela_registros[REGISTRO],DADOS!$N$6,tabela_registros[TIPO],DADOS!$AJ$3,tabela_registros[CATEGORIA],reservafixaconsolidadojun[[#This Row],[ATUAL]])</f>
        <v>0</v>
      </c>
      <c r="T168" s="91">
        <f>SUMIFS(tabela_registros[VALOR],tabela_registros[MÊS],$AE$1,tabela_registros[DIA],reservafixaconsolidadojun[[#Headers],[16]],tabela_registros[REGISTRO],DADOS!$N$6,tabela_registros[TIPO],DADOS!$AJ$3,tabela_registros[CATEGORIA],reservafixaconsolidadojun[[#This Row],[ATUAL]])</f>
        <v>0</v>
      </c>
      <c r="U168" s="91">
        <f>SUMIFS(tabela_registros[VALOR],tabela_registros[MÊS],$AE$1,tabela_registros[DIA],reservafixaconsolidadojun[[#Headers],[17]],tabela_registros[REGISTRO],DADOS!$N$6,tabela_registros[TIPO],DADOS!$AJ$3,tabela_registros[CATEGORIA],reservafixaconsolidadojun[[#This Row],[ATUAL]])</f>
        <v>0</v>
      </c>
      <c r="V168" s="91">
        <f>SUMIFS(tabela_registros[VALOR],tabela_registros[MÊS],$AE$1,tabela_registros[DIA],reservafixaconsolidadojun[[#Headers],[18]],tabela_registros[REGISTRO],DADOS!$N$6,tabela_registros[TIPO],DADOS!$AJ$3,tabela_registros[CATEGORIA],reservafixaconsolidadojun[[#This Row],[ATUAL]])</f>
        <v>0</v>
      </c>
      <c r="W168" s="91">
        <f>SUMIFS(tabela_registros[VALOR],tabela_registros[MÊS],$AE$1,tabela_registros[DIA],reservafixaconsolidadojun[[#Headers],[19]],tabela_registros[REGISTRO],DADOS!$N$6,tabela_registros[TIPO],DADOS!$AJ$3,tabela_registros[CATEGORIA],reservafixaconsolidadojun[[#This Row],[ATUAL]])</f>
        <v>0</v>
      </c>
      <c r="X168" s="91">
        <f>SUMIFS(tabela_registros[VALOR],tabela_registros[MÊS],$AE$1,tabela_registros[DIA],reservafixaconsolidadojun[[#Headers],[20]],tabela_registros[REGISTRO],DADOS!$N$6,tabela_registros[TIPO],DADOS!$AJ$3,tabela_registros[CATEGORIA],reservafixaconsolidadojun[[#This Row],[ATUAL]])</f>
        <v>0</v>
      </c>
      <c r="Y168" s="91">
        <f>SUMIFS(tabela_registros[VALOR],tabela_registros[MÊS],$AE$1,tabela_registros[DIA],reservafixaconsolidadojun[[#Headers],[21]],tabela_registros[REGISTRO],DADOS!$N$6,tabela_registros[TIPO],DADOS!$AJ$3,tabela_registros[CATEGORIA],reservafixaconsolidadojun[[#This Row],[ATUAL]])</f>
        <v>0</v>
      </c>
      <c r="Z168" s="91">
        <f>SUMIFS(tabela_registros[VALOR],tabela_registros[MÊS],$AE$1,tabela_registros[DIA],reservafixaconsolidadojun[[#Headers],[22]],tabela_registros[REGISTRO],DADOS!$N$6,tabela_registros[TIPO],DADOS!$AJ$3,tabela_registros[CATEGORIA],reservafixaconsolidadojun[[#This Row],[ATUAL]])</f>
        <v>0</v>
      </c>
      <c r="AA168" s="91">
        <f>SUMIFS(tabela_registros[VALOR],tabela_registros[MÊS],$AE$1,tabela_registros[DIA],reservafixaconsolidadojun[[#Headers],[23]],tabela_registros[REGISTRO],DADOS!$N$6,tabela_registros[TIPO],DADOS!$AJ$3,tabela_registros[CATEGORIA],reservafixaconsolidadojun[[#This Row],[ATUAL]])</f>
        <v>0</v>
      </c>
      <c r="AB168" s="91">
        <f>SUMIFS(tabela_registros[VALOR],tabela_registros[MÊS],$AE$1,tabela_registros[DIA],reservafixaconsolidadojun[[#Headers],[24]],tabela_registros[REGISTRO],DADOS!$N$6,tabela_registros[TIPO],DADOS!$AJ$3,tabela_registros[CATEGORIA],reservafixaconsolidadojun[[#This Row],[ATUAL]])</f>
        <v>0</v>
      </c>
      <c r="AC168" s="91">
        <f>SUMIFS(tabela_registros[VALOR],tabela_registros[MÊS],$AE$1,tabela_registros[DIA],reservafixaconsolidadojun[[#Headers],[25]],tabela_registros[REGISTRO],DADOS!$N$6,tabela_registros[TIPO],DADOS!$AJ$3,tabela_registros[CATEGORIA],reservafixaconsolidadojun[[#This Row],[ATUAL]])</f>
        <v>0</v>
      </c>
      <c r="AD168" s="91">
        <f>SUMIFS(tabela_registros[VALOR],tabela_registros[MÊS],$AE$1,tabela_registros[DIA],reservafixaconsolidadojun[[#Headers],[26]],tabela_registros[REGISTRO],DADOS!$N$6,tabela_registros[TIPO],DADOS!$AJ$3,tabela_registros[CATEGORIA],reservafixaconsolidadojun[[#This Row],[ATUAL]])</f>
        <v>0</v>
      </c>
      <c r="AE168" s="91">
        <f>SUMIFS(tabela_registros[VALOR],tabela_registros[MÊS],$AE$1,tabela_registros[DIA],reservafixaconsolidadojun[[#Headers],[27]],tabela_registros[REGISTRO],DADOS!$N$6,tabela_registros[TIPO],DADOS!$AJ$3,tabela_registros[CATEGORIA],reservafixaconsolidadojun[[#This Row],[ATUAL]])</f>
        <v>0</v>
      </c>
      <c r="AF168" s="91">
        <f>SUMIFS(tabela_registros[VALOR],tabela_registros[MÊS],$AE$1,tabela_registros[DIA],reservafixaconsolidadojun[[#Headers],[28]],tabela_registros[REGISTRO],DADOS!$N$6,tabela_registros[TIPO],DADOS!$AJ$3,tabela_registros[CATEGORIA],reservafixaconsolidadojun[[#This Row],[ATUAL]])</f>
        <v>0</v>
      </c>
      <c r="AG168" s="91">
        <f>SUMIFS(tabela_registros[VALOR],tabela_registros[MÊS],$AE$1,tabela_registros[DIA],reservafixaconsolidadojun[[#Headers],[29]],tabela_registros[REGISTRO],DADOS!$N$6,tabela_registros[TIPO],DADOS!$AJ$3,tabela_registros[CATEGORIA],reservafixaconsolidadojun[[#This Row],[ATUAL]])</f>
        <v>0</v>
      </c>
      <c r="AH168" s="91">
        <f>SUMIFS(tabela_registros[VALOR],tabela_registros[MÊS],$AE$1,tabela_registros[DIA],reservafixaconsolidadojun[[#Headers],[30]],tabela_registros[REGISTRO],DADOS!$N$6,tabela_registros[TIPO],DADOS!$AJ$3,tabela_registros[CATEGORIA],reservafixaconsolidadojun[[#This Row],[ATUAL]])</f>
        <v>0</v>
      </c>
      <c r="AI168" s="101">
        <f>SUMIFS(tabela_registros[VALOR],tabela_registros[MÊS],$AE$1,tabela_registros[DIA],reservafixaconsolidadojun[[#Headers],[31]],tabela_registros[REGISTRO],DADOS!$N$6,tabela_registros[TIPO],DADOS!$AJ$3,tabela_registros[CATEGORIA],reservafixaconsolidadojun[[#This Row],[ATUAL]])</f>
        <v>0</v>
      </c>
      <c r="AJ168" s="97">
        <f>SUM(reservafixaconsolidadojun[[#This Row],[1]:[31]])</f>
        <v>0</v>
      </c>
      <c r="AK168" s="25"/>
    </row>
    <row r="169" spans="2:37" ht="19.5" customHeight="1" thickTop="1" thickBot="1" x14ac:dyDescent="0.3">
      <c r="B169" s="28"/>
      <c r="C169" s="27" t="str">
        <f>DADOS!$AL$4</f>
        <v>📝 CRA</v>
      </c>
      <c r="D169" s="26" t="str">
        <f>IF(reservafixaconsolidadojun[[#This Row],[TOTAL (R$)]]=0,"",IF(OR(reservafixaconsolidadojun[[#This Row],[TOTAL (R$)]]=LARGE($AJ$168:$AJ$177,1),reservafixaconsolidadojun[[#This Row],[TOTAL (R$)]]=LARGE($AJ$168:$AJ$177,2)),DADOS!$I$11,""))</f>
        <v/>
      </c>
      <c r="E169" s="96">
        <f>SUMIFS(tabela_registros[VALOR],tabela_registros[MÊS],$AE$1,tabela_registros[DIA],reservafixaconsolidadojun[[#Headers],[1]],tabela_registros[REGISTRO],DADOS!$N$6,tabela_registros[TIPO],DADOS!$AJ$3,tabela_registros[CATEGORIA],reservafixaconsolidadojun[[#This Row],[ATUAL]])</f>
        <v>0</v>
      </c>
      <c r="F169" s="91">
        <f>SUMIFS(tabela_registros[VALOR],tabela_registros[MÊS],$AE$1,tabela_registros[DIA],reservafixaconsolidadojun[[#Headers],[2]],tabela_registros[REGISTRO],DADOS!$N$6,tabela_registros[TIPO],DADOS!$AJ$3,tabela_registros[CATEGORIA],reservafixaconsolidadojun[[#This Row],[ATUAL]])</f>
        <v>0</v>
      </c>
      <c r="G169" s="91">
        <f>SUMIFS(tabela_registros[VALOR],tabela_registros[MÊS],$AE$1,tabela_registros[DIA],reservafixaconsolidadojun[[#Headers],[3]],tabela_registros[REGISTRO],DADOS!$N$6,tabela_registros[TIPO],DADOS!$AJ$3,tabela_registros[CATEGORIA],reservafixaconsolidadojun[[#This Row],[ATUAL]])</f>
        <v>0</v>
      </c>
      <c r="H169" s="91">
        <f>SUMIFS(tabela_registros[VALOR],tabela_registros[MÊS],$AE$1,tabela_registros[DIA],reservafixaconsolidadojun[[#Headers],[4]],tabela_registros[REGISTRO],DADOS!$N$6,tabela_registros[TIPO],DADOS!$AJ$3,tabela_registros[CATEGORIA],reservafixaconsolidadojun[[#This Row],[ATUAL]])</f>
        <v>0</v>
      </c>
      <c r="I169" s="91">
        <f>SUMIFS(tabela_registros[VALOR],tabela_registros[MÊS],$AE$1,tabela_registros[DIA],reservafixaconsolidadojun[[#Headers],[5]],tabela_registros[REGISTRO],DADOS!$N$6,tabela_registros[TIPO],DADOS!$AJ$3,tabela_registros[CATEGORIA],reservafixaconsolidadojun[[#This Row],[ATUAL]])</f>
        <v>0</v>
      </c>
      <c r="J169" s="91">
        <f>SUMIFS(tabela_registros[VALOR],tabela_registros[MÊS],$AE$1,tabela_registros[DIA],reservafixaconsolidadojun[[#Headers],[6]],tabela_registros[REGISTRO],DADOS!$N$6,tabela_registros[TIPO],DADOS!$AJ$3,tabela_registros[CATEGORIA],reservafixaconsolidadojun[[#This Row],[ATUAL]])</f>
        <v>0</v>
      </c>
      <c r="K169" s="91">
        <f>SUMIFS(tabela_registros[VALOR],tabela_registros[MÊS],$AE$1,tabela_registros[DIA],reservafixaconsolidadojun[[#Headers],[7]],tabela_registros[REGISTRO],DADOS!$N$6,tabela_registros[TIPO],DADOS!$AJ$3,tabela_registros[CATEGORIA],reservafixaconsolidadojun[[#This Row],[ATUAL]])</f>
        <v>0</v>
      </c>
      <c r="L169" s="91">
        <f>SUMIFS(tabela_registros[VALOR],tabela_registros[MÊS],$AE$1,tabela_registros[DIA],reservafixaconsolidadojun[[#Headers],[8]],tabela_registros[REGISTRO],DADOS!$N$6,tabela_registros[TIPO],DADOS!$AJ$3,tabela_registros[CATEGORIA],reservafixaconsolidadojun[[#This Row],[ATUAL]])</f>
        <v>0</v>
      </c>
      <c r="M169" s="91">
        <f>SUMIFS(tabela_registros[VALOR],tabela_registros[MÊS],$AE$1,tabela_registros[DIA],reservafixaconsolidadojun[[#Headers],[9]],tabela_registros[REGISTRO],DADOS!$N$6,tabela_registros[TIPO],DADOS!$AJ$3,tabela_registros[CATEGORIA],reservafixaconsolidadojun[[#This Row],[ATUAL]])</f>
        <v>0</v>
      </c>
      <c r="N169" s="91">
        <f>SUMIFS(tabela_registros[VALOR],tabela_registros[MÊS],$AE$1,tabela_registros[DIA],reservafixaconsolidadojun[[#Headers],[10]],tabela_registros[REGISTRO],DADOS!$N$6,tabela_registros[TIPO],DADOS!$AJ$3,tabela_registros[CATEGORIA],reservafixaconsolidadojun[[#This Row],[ATUAL]])</f>
        <v>0</v>
      </c>
      <c r="O169" s="91">
        <f>SUMIFS(tabela_registros[VALOR],tabela_registros[MÊS],$AE$1,tabela_registros[DIA],reservafixaconsolidadojun[[#Headers],[11]],tabela_registros[REGISTRO],DADOS!$N$6,tabela_registros[TIPO],DADOS!$AJ$3,tabela_registros[CATEGORIA],reservafixaconsolidadojun[[#This Row],[ATUAL]])</f>
        <v>0</v>
      </c>
      <c r="P169" s="91">
        <f>SUMIFS(tabela_registros[VALOR],tabela_registros[MÊS],$AE$1,tabela_registros[DIA],reservafixaconsolidadojun[[#Headers],[12]],tabela_registros[REGISTRO],DADOS!$N$6,tabela_registros[TIPO],DADOS!$AJ$3,tabela_registros[CATEGORIA],reservafixaconsolidadojun[[#This Row],[ATUAL]])</f>
        <v>0</v>
      </c>
      <c r="Q169" s="91">
        <f>SUMIFS(tabela_registros[VALOR],tabela_registros[MÊS],$AE$1,tabela_registros[DIA],reservafixaconsolidadojun[[#Headers],[13]],tabela_registros[REGISTRO],DADOS!$N$6,tabela_registros[TIPO],DADOS!$AJ$3,tabela_registros[CATEGORIA],reservafixaconsolidadojun[[#This Row],[ATUAL]])</f>
        <v>0</v>
      </c>
      <c r="R169" s="91">
        <f>SUMIFS(tabela_registros[VALOR],tabela_registros[MÊS],$AE$1,tabela_registros[DIA],reservafixaconsolidadojun[[#Headers],[14]],tabela_registros[REGISTRO],DADOS!$N$6,tabela_registros[TIPO],DADOS!$AJ$3,tabela_registros[CATEGORIA],reservafixaconsolidadojun[[#This Row],[ATUAL]])</f>
        <v>0</v>
      </c>
      <c r="S169" s="91">
        <f>SUMIFS(tabela_registros[VALOR],tabela_registros[MÊS],$AE$1,tabela_registros[DIA],reservafixaconsolidadojun[[#Headers],[15]],tabela_registros[REGISTRO],DADOS!$N$6,tabela_registros[TIPO],DADOS!$AJ$3,tabela_registros[CATEGORIA],reservafixaconsolidadojun[[#This Row],[ATUAL]])</f>
        <v>0</v>
      </c>
      <c r="T169" s="91">
        <f>SUMIFS(tabela_registros[VALOR],tabela_registros[MÊS],$AE$1,tabela_registros[DIA],reservafixaconsolidadojun[[#Headers],[16]],tabela_registros[REGISTRO],DADOS!$N$6,tabela_registros[TIPO],DADOS!$AJ$3,tabela_registros[CATEGORIA],reservafixaconsolidadojun[[#This Row],[ATUAL]])</f>
        <v>0</v>
      </c>
      <c r="U169" s="91">
        <f>SUMIFS(tabela_registros[VALOR],tabela_registros[MÊS],$AE$1,tabela_registros[DIA],reservafixaconsolidadojun[[#Headers],[17]],tabela_registros[REGISTRO],DADOS!$N$6,tabela_registros[TIPO],DADOS!$AJ$3,tabela_registros[CATEGORIA],reservafixaconsolidadojun[[#This Row],[ATUAL]])</f>
        <v>0</v>
      </c>
      <c r="V169" s="91">
        <f>SUMIFS(tabela_registros[VALOR],tabela_registros[MÊS],$AE$1,tabela_registros[DIA],reservafixaconsolidadojun[[#Headers],[18]],tabela_registros[REGISTRO],DADOS!$N$6,tabela_registros[TIPO],DADOS!$AJ$3,tabela_registros[CATEGORIA],reservafixaconsolidadojun[[#This Row],[ATUAL]])</f>
        <v>0</v>
      </c>
      <c r="W169" s="91">
        <f>SUMIFS(tabela_registros[VALOR],tabela_registros[MÊS],$AE$1,tabela_registros[DIA],reservafixaconsolidadojun[[#Headers],[19]],tabela_registros[REGISTRO],DADOS!$N$6,tabela_registros[TIPO],DADOS!$AJ$3,tabela_registros[CATEGORIA],reservafixaconsolidadojun[[#This Row],[ATUAL]])</f>
        <v>0</v>
      </c>
      <c r="X169" s="91">
        <f>SUMIFS(tabela_registros[VALOR],tabela_registros[MÊS],$AE$1,tabela_registros[DIA],reservafixaconsolidadojun[[#Headers],[20]],tabela_registros[REGISTRO],DADOS!$N$6,tabela_registros[TIPO],DADOS!$AJ$3,tabela_registros[CATEGORIA],reservafixaconsolidadojun[[#This Row],[ATUAL]])</f>
        <v>0</v>
      </c>
      <c r="Y169" s="91">
        <f>SUMIFS(tabela_registros[VALOR],tabela_registros[MÊS],$AE$1,tabela_registros[DIA],reservafixaconsolidadojun[[#Headers],[21]],tabela_registros[REGISTRO],DADOS!$N$6,tabela_registros[TIPO],DADOS!$AJ$3,tabela_registros[CATEGORIA],reservafixaconsolidadojun[[#This Row],[ATUAL]])</f>
        <v>0</v>
      </c>
      <c r="Z169" s="91">
        <f>SUMIFS(tabela_registros[VALOR],tabela_registros[MÊS],$AE$1,tabela_registros[DIA],reservafixaconsolidadojun[[#Headers],[22]],tabela_registros[REGISTRO],DADOS!$N$6,tabela_registros[TIPO],DADOS!$AJ$3,tabela_registros[CATEGORIA],reservafixaconsolidadojun[[#This Row],[ATUAL]])</f>
        <v>0</v>
      </c>
      <c r="AA169" s="91">
        <f>SUMIFS(tabela_registros[VALOR],tabela_registros[MÊS],$AE$1,tabela_registros[DIA],reservafixaconsolidadojun[[#Headers],[23]],tabela_registros[REGISTRO],DADOS!$N$6,tabela_registros[TIPO],DADOS!$AJ$3,tabela_registros[CATEGORIA],reservafixaconsolidadojun[[#This Row],[ATUAL]])</f>
        <v>0</v>
      </c>
      <c r="AB169" s="91">
        <f>SUMIFS(tabela_registros[VALOR],tabela_registros[MÊS],$AE$1,tabela_registros[DIA],reservafixaconsolidadojun[[#Headers],[24]],tabela_registros[REGISTRO],DADOS!$N$6,tabela_registros[TIPO],DADOS!$AJ$3,tabela_registros[CATEGORIA],reservafixaconsolidadojun[[#This Row],[ATUAL]])</f>
        <v>0</v>
      </c>
      <c r="AC169" s="91">
        <f>SUMIFS(tabela_registros[VALOR],tabela_registros[MÊS],$AE$1,tabela_registros[DIA],reservafixaconsolidadojun[[#Headers],[25]],tabela_registros[REGISTRO],DADOS!$N$6,tabela_registros[TIPO],DADOS!$AJ$3,tabela_registros[CATEGORIA],reservafixaconsolidadojun[[#This Row],[ATUAL]])</f>
        <v>0</v>
      </c>
      <c r="AD169" s="91">
        <f>SUMIFS(tabela_registros[VALOR],tabela_registros[MÊS],$AE$1,tabela_registros[DIA],reservafixaconsolidadojun[[#Headers],[26]],tabela_registros[REGISTRO],DADOS!$N$6,tabela_registros[TIPO],DADOS!$AJ$3,tabela_registros[CATEGORIA],reservafixaconsolidadojun[[#This Row],[ATUAL]])</f>
        <v>0</v>
      </c>
      <c r="AE169" s="91">
        <f>SUMIFS(tabela_registros[VALOR],tabela_registros[MÊS],$AE$1,tabela_registros[DIA],reservafixaconsolidadojun[[#Headers],[27]],tabela_registros[REGISTRO],DADOS!$N$6,tabela_registros[TIPO],DADOS!$AJ$3,tabela_registros[CATEGORIA],reservafixaconsolidadojun[[#This Row],[ATUAL]])</f>
        <v>0</v>
      </c>
      <c r="AF169" s="91">
        <f>SUMIFS(tabela_registros[VALOR],tabela_registros[MÊS],$AE$1,tabela_registros[DIA],reservafixaconsolidadojun[[#Headers],[28]],tabela_registros[REGISTRO],DADOS!$N$6,tabela_registros[TIPO],DADOS!$AJ$3,tabela_registros[CATEGORIA],reservafixaconsolidadojun[[#This Row],[ATUAL]])</f>
        <v>0</v>
      </c>
      <c r="AG169" s="91">
        <f>SUMIFS(tabela_registros[VALOR],tabela_registros[MÊS],$AE$1,tabela_registros[DIA],reservafixaconsolidadojun[[#Headers],[29]],tabela_registros[REGISTRO],DADOS!$N$6,tabela_registros[TIPO],DADOS!$AJ$3,tabela_registros[CATEGORIA],reservafixaconsolidadojun[[#This Row],[ATUAL]])</f>
        <v>0</v>
      </c>
      <c r="AH169" s="91">
        <f>SUMIFS(tabela_registros[VALOR],tabela_registros[MÊS],$AE$1,tabela_registros[DIA],reservafixaconsolidadojun[[#Headers],[30]],tabela_registros[REGISTRO],DADOS!$N$6,tabela_registros[TIPO],DADOS!$AJ$3,tabela_registros[CATEGORIA],reservafixaconsolidadojun[[#This Row],[ATUAL]])</f>
        <v>0</v>
      </c>
      <c r="AI169" s="101">
        <f>SUMIFS(tabela_registros[VALOR],tabela_registros[MÊS],$AE$1,tabela_registros[DIA],reservafixaconsolidadojun[[#Headers],[31]],tabela_registros[REGISTRO],DADOS!$N$6,tabela_registros[TIPO],DADOS!$AJ$3,tabela_registros[CATEGORIA],reservafixaconsolidadojun[[#This Row],[ATUAL]])</f>
        <v>0</v>
      </c>
      <c r="AJ169" s="97">
        <f>SUM(reservafixaconsolidadojun[[#This Row],[1]:[31]])</f>
        <v>0</v>
      </c>
      <c r="AK169" s="25"/>
    </row>
    <row r="170" spans="2:37" ht="19.5" customHeight="1" thickTop="1" thickBot="1" x14ac:dyDescent="0.3">
      <c r="B170" s="28"/>
      <c r="C170" s="27" t="str">
        <f>DADOS!$AL$5</f>
        <v>📝 CRI</v>
      </c>
      <c r="D170" s="26" t="str">
        <f>IF(reservafixaconsolidadojun[[#This Row],[TOTAL (R$)]]=0,"",IF(OR(reservafixaconsolidadojun[[#This Row],[TOTAL (R$)]]=LARGE($AJ$168:$AJ$177,1),reservafixaconsolidadojun[[#This Row],[TOTAL (R$)]]=LARGE($AJ$168:$AJ$177,2)),DADOS!$I$11,""))</f>
        <v/>
      </c>
      <c r="E170" s="96">
        <f>SUMIFS(tabela_registros[VALOR],tabela_registros[MÊS],$AE$1,tabela_registros[DIA],reservafixaconsolidadojun[[#Headers],[1]],tabela_registros[REGISTRO],DADOS!$N$6,tabela_registros[TIPO],DADOS!$AJ$3,tabela_registros[CATEGORIA],reservafixaconsolidadojun[[#This Row],[ATUAL]])</f>
        <v>0</v>
      </c>
      <c r="F170" s="91">
        <f>SUMIFS(tabela_registros[VALOR],tabela_registros[MÊS],$AE$1,tabela_registros[DIA],reservafixaconsolidadojun[[#Headers],[2]],tabela_registros[REGISTRO],DADOS!$N$6,tabela_registros[TIPO],DADOS!$AJ$3,tabela_registros[CATEGORIA],reservafixaconsolidadojun[[#This Row],[ATUAL]])</f>
        <v>0</v>
      </c>
      <c r="G170" s="91">
        <f>SUMIFS(tabela_registros[VALOR],tabela_registros[MÊS],$AE$1,tabela_registros[DIA],reservafixaconsolidadojun[[#Headers],[3]],tabela_registros[REGISTRO],DADOS!$N$6,tabela_registros[TIPO],DADOS!$AJ$3,tabela_registros[CATEGORIA],reservafixaconsolidadojun[[#This Row],[ATUAL]])</f>
        <v>0</v>
      </c>
      <c r="H170" s="91">
        <f>SUMIFS(tabela_registros[VALOR],tabela_registros[MÊS],$AE$1,tabela_registros[DIA],reservafixaconsolidadojun[[#Headers],[4]],tabela_registros[REGISTRO],DADOS!$N$6,tabela_registros[TIPO],DADOS!$AJ$3,tabela_registros[CATEGORIA],reservafixaconsolidadojun[[#This Row],[ATUAL]])</f>
        <v>0</v>
      </c>
      <c r="I170" s="91">
        <f>SUMIFS(tabela_registros[VALOR],tabela_registros[MÊS],$AE$1,tabela_registros[DIA],reservafixaconsolidadojun[[#Headers],[5]],tabela_registros[REGISTRO],DADOS!$N$6,tabela_registros[TIPO],DADOS!$AJ$3,tabela_registros[CATEGORIA],reservafixaconsolidadojun[[#This Row],[ATUAL]])</f>
        <v>0</v>
      </c>
      <c r="J170" s="91">
        <f>SUMIFS(tabela_registros[VALOR],tabela_registros[MÊS],$AE$1,tabela_registros[DIA],reservafixaconsolidadojun[[#Headers],[6]],tabela_registros[REGISTRO],DADOS!$N$6,tabela_registros[TIPO],DADOS!$AJ$3,tabela_registros[CATEGORIA],reservafixaconsolidadojun[[#This Row],[ATUAL]])</f>
        <v>0</v>
      </c>
      <c r="K170" s="91">
        <f>SUMIFS(tabela_registros[VALOR],tabela_registros[MÊS],$AE$1,tabela_registros[DIA],reservafixaconsolidadojun[[#Headers],[7]],tabela_registros[REGISTRO],DADOS!$N$6,tabela_registros[TIPO],DADOS!$AJ$3,tabela_registros[CATEGORIA],reservafixaconsolidadojun[[#This Row],[ATUAL]])</f>
        <v>0</v>
      </c>
      <c r="L170" s="91">
        <f>SUMIFS(tabela_registros[VALOR],tabela_registros[MÊS],$AE$1,tabela_registros[DIA],reservafixaconsolidadojun[[#Headers],[8]],tabela_registros[REGISTRO],DADOS!$N$6,tabela_registros[TIPO],DADOS!$AJ$3,tabela_registros[CATEGORIA],reservafixaconsolidadojun[[#This Row],[ATUAL]])</f>
        <v>0</v>
      </c>
      <c r="M170" s="91">
        <f>SUMIFS(tabela_registros[VALOR],tabela_registros[MÊS],$AE$1,tabela_registros[DIA],reservafixaconsolidadojun[[#Headers],[9]],tabela_registros[REGISTRO],DADOS!$N$6,tabela_registros[TIPO],DADOS!$AJ$3,tabela_registros[CATEGORIA],reservafixaconsolidadojun[[#This Row],[ATUAL]])</f>
        <v>0</v>
      </c>
      <c r="N170" s="91">
        <f>SUMIFS(tabela_registros[VALOR],tabela_registros[MÊS],$AE$1,tabela_registros[DIA],reservafixaconsolidadojun[[#Headers],[10]],tabela_registros[REGISTRO],DADOS!$N$6,tabela_registros[TIPO],DADOS!$AJ$3,tabela_registros[CATEGORIA],reservafixaconsolidadojun[[#This Row],[ATUAL]])</f>
        <v>0</v>
      </c>
      <c r="O170" s="91">
        <f>SUMIFS(tabela_registros[VALOR],tabela_registros[MÊS],$AE$1,tabela_registros[DIA],reservafixaconsolidadojun[[#Headers],[11]],tabela_registros[REGISTRO],DADOS!$N$6,tabela_registros[TIPO],DADOS!$AJ$3,tabela_registros[CATEGORIA],reservafixaconsolidadojun[[#This Row],[ATUAL]])</f>
        <v>0</v>
      </c>
      <c r="P170" s="91">
        <f>SUMIFS(tabela_registros[VALOR],tabela_registros[MÊS],$AE$1,tabela_registros[DIA],reservafixaconsolidadojun[[#Headers],[12]],tabela_registros[REGISTRO],DADOS!$N$6,tabela_registros[TIPO],DADOS!$AJ$3,tabela_registros[CATEGORIA],reservafixaconsolidadojun[[#This Row],[ATUAL]])</f>
        <v>0</v>
      </c>
      <c r="Q170" s="91">
        <f>SUMIFS(tabela_registros[VALOR],tabela_registros[MÊS],$AE$1,tabela_registros[DIA],reservafixaconsolidadojun[[#Headers],[13]],tabela_registros[REGISTRO],DADOS!$N$6,tabela_registros[TIPO],DADOS!$AJ$3,tabela_registros[CATEGORIA],reservafixaconsolidadojun[[#This Row],[ATUAL]])</f>
        <v>0</v>
      </c>
      <c r="R170" s="91">
        <f>SUMIFS(tabela_registros[VALOR],tabela_registros[MÊS],$AE$1,tabela_registros[DIA],reservafixaconsolidadojun[[#Headers],[14]],tabela_registros[REGISTRO],DADOS!$N$6,tabela_registros[TIPO],DADOS!$AJ$3,tabela_registros[CATEGORIA],reservafixaconsolidadojun[[#This Row],[ATUAL]])</f>
        <v>0</v>
      </c>
      <c r="S170" s="91">
        <f>SUMIFS(tabela_registros[VALOR],tabela_registros[MÊS],$AE$1,tabela_registros[DIA],reservafixaconsolidadojun[[#Headers],[15]],tabela_registros[REGISTRO],DADOS!$N$6,tabela_registros[TIPO],DADOS!$AJ$3,tabela_registros[CATEGORIA],reservafixaconsolidadojun[[#This Row],[ATUAL]])</f>
        <v>0</v>
      </c>
      <c r="T170" s="91">
        <f>SUMIFS(tabela_registros[VALOR],tabela_registros[MÊS],$AE$1,tabela_registros[DIA],reservafixaconsolidadojun[[#Headers],[16]],tabela_registros[REGISTRO],DADOS!$N$6,tabela_registros[TIPO],DADOS!$AJ$3,tabela_registros[CATEGORIA],reservafixaconsolidadojun[[#This Row],[ATUAL]])</f>
        <v>0</v>
      </c>
      <c r="U170" s="91">
        <f>SUMIFS(tabela_registros[VALOR],tabela_registros[MÊS],$AE$1,tabela_registros[DIA],reservafixaconsolidadojun[[#Headers],[17]],tabela_registros[REGISTRO],DADOS!$N$6,tabela_registros[TIPO],DADOS!$AJ$3,tabela_registros[CATEGORIA],reservafixaconsolidadojun[[#This Row],[ATUAL]])</f>
        <v>0</v>
      </c>
      <c r="V170" s="91">
        <f>SUMIFS(tabela_registros[VALOR],tabela_registros[MÊS],$AE$1,tabela_registros[DIA],reservafixaconsolidadojun[[#Headers],[18]],tabela_registros[REGISTRO],DADOS!$N$6,tabela_registros[TIPO],DADOS!$AJ$3,tabela_registros[CATEGORIA],reservafixaconsolidadojun[[#This Row],[ATUAL]])</f>
        <v>0</v>
      </c>
      <c r="W170" s="91">
        <f>SUMIFS(tabela_registros[VALOR],tabela_registros[MÊS],$AE$1,tabela_registros[DIA],reservafixaconsolidadojun[[#Headers],[19]],tabela_registros[REGISTRO],DADOS!$N$6,tabela_registros[TIPO],DADOS!$AJ$3,tabela_registros[CATEGORIA],reservafixaconsolidadojun[[#This Row],[ATUAL]])</f>
        <v>0</v>
      </c>
      <c r="X170" s="91">
        <f>SUMIFS(tabela_registros[VALOR],tabela_registros[MÊS],$AE$1,tabela_registros[DIA],reservafixaconsolidadojun[[#Headers],[20]],tabela_registros[REGISTRO],DADOS!$N$6,tabela_registros[TIPO],DADOS!$AJ$3,tabela_registros[CATEGORIA],reservafixaconsolidadojun[[#This Row],[ATUAL]])</f>
        <v>0</v>
      </c>
      <c r="Y170" s="91">
        <f>SUMIFS(tabela_registros[VALOR],tabela_registros[MÊS],$AE$1,tabela_registros[DIA],reservafixaconsolidadojun[[#Headers],[21]],tabela_registros[REGISTRO],DADOS!$N$6,tabela_registros[TIPO],DADOS!$AJ$3,tabela_registros[CATEGORIA],reservafixaconsolidadojun[[#This Row],[ATUAL]])</f>
        <v>0</v>
      </c>
      <c r="Z170" s="91">
        <f>SUMIFS(tabela_registros[VALOR],tabela_registros[MÊS],$AE$1,tabela_registros[DIA],reservafixaconsolidadojun[[#Headers],[22]],tabela_registros[REGISTRO],DADOS!$N$6,tabela_registros[TIPO],DADOS!$AJ$3,tabela_registros[CATEGORIA],reservafixaconsolidadojun[[#This Row],[ATUAL]])</f>
        <v>0</v>
      </c>
      <c r="AA170" s="91">
        <f>SUMIFS(tabela_registros[VALOR],tabela_registros[MÊS],$AE$1,tabela_registros[DIA],reservafixaconsolidadojun[[#Headers],[23]],tabela_registros[REGISTRO],DADOS!$N$6,tabela_registros[TIPO],DADOS!$AJ$3,tabela_registros[CATEGORIA],reservafixaconsolidadojun[[#This Row],[ATUAL]])</f>
        <v>0</v>
      </c>
      <c r="AB170" s="91">
        <f>SUMIFS(tabela_registros[VALOR],tabela_registros[MÊS],$AE$1,tabela_registros[DIA],reservafixaconsolidadojun[[#Headers],[24]],tabela_registros[REGISTRO],DADOS!$N$6,tabela_registros[TIPO],DADOS!$AJ$3,tabela_registros[CATEGORIA],reservafixaconsolidadojun[[#This Row],[ATUAL]])</f>
        <v>0</v>
      </c>
      <c r="AC170" s="91">
        <f>SUMIFS(tabela_registros[VALOR],tabela_registros[MÊS],$AE$1,tabela_registros[DIA],reservafixaconsolidadojun[[#Headers],[25]],tabela_registros[REGISTRO],DADOS!$N$6,tabela_registros[TIPO],DADOS!$AJ$3,tabela_registros[CATEGORIA],reservafixaconsolidadojun[[#This Row],[ATUAL]])</f>
        <v>0</v>
      </c>
      <c r="AD170" s="91">
        <f>SUMIFS(tabela_registros[VALOR],tabela_registros[MÊS],$AE$1,tabela_registros[DIA],reservafixaconsolidadojun[[#Headers],[26]],tabela_registros[REGISTRO],DADOS!$N$6,tabela_registros[TIPO],DADOS!$AJ$3,tabela_registros[CATEGORIA],reservafixaconsolidadojun[[#This Row],[ATUAL]])</f>
        <v>0</v>
      </c>
      <c r="AE170" s="91">
        <f>SUMIFS(tabela_registros[VALOR],tabela_registros[MÊS],$AE$1,tabela_registros[DIA],reservafixaconsolidadojun[[#Headers],[27]],tabela_registros[REGISTRO],DADOS!$N$6,tabela_registros[TIPO],DADOS!$AJ$3,tabela_registros[CATEGORIA],reservafixaconsolidadojun[[#This Row],[ATUAL]])</f>
        <v>0</v>
      </c>
      <c r="AF170" s="91">
        <f>SUMIFS(tabela_registros[VALOR],tabela_registros[MÊS],$AE$1,tabela_registros[DIA],reservafixaconsolidadojun[[#Headers],[28]],tabela_registros[REGISTRO],DADOS!$N$6,tabela_registros[TIPO],DADOS!$AJ$3,tabela_registros[CATEGORIA],reservafixaconsolidadojun[[#This Row],[ATUAL]])</f>
        <v>0</v>
      </c>
      <c r="AG170" s="91">
        <f>SUMIFS(tabela_registros[VALOR],tabela_registros[MÊS],$AE$1,tabela_registros[DIA],reservafixaconsolidadojun[[#Headers],[29]],tabela_registros[REGISTRO],DADOS!$N$6,tabela_registros[TIPO],DADOS!$AJ$3,tabela_registros[CATEGORIA],reservafixaconsolidadojun[[#This Row],[ATUAL]])</f>
        <v>0</v>
      </c>
      <c r="AH170" s="91">
        <f>SUMIFS(tabela_registros[VALOR],tabela_registros[MÊS],$AE$1,tabela_registros[DIA],reservafixaconsolidadojun[[#Headers],[30]],tabela_registros[REGISTRO],DADOS!$N$6,tabela_registros[TIPO],DADOS!$AJ$3,tabela_registros[CATEGORIA],reservafixaconsolidadojun[[#This Row],[ATUAL]])</f>
        <v>0</v>
      </c>
      <c r="AI170" s="101">
        <f>SUMIFS(tabela_registros[VALOR],tabela_registros[MÊS],$AE$1,tabela_registros[DIA],reservafixaconsolidadojun[[#Headers],[31]],tabela_registros[REGISTRO],DADOS!$N$6,tabela_registros[TIPO],DADOS!$AJ$3,tabela_registros[CATEGORIA],reservafixaconsolidadojun[[#This Row],[ATUAL]])</f>
        <v>0</v>
      </c>
      <c r="AJ170" s="97">
        <f>SUM(reservafixaconsolidadojun[[#This Row],[1]:[31]])</f>
        <v>0</v>
      </c>
      <c r="AK170" s="25"/>
    </row>
    <row r="171" spans="2:37" ht="19.5" customHeight="1" thickTop="1" thickBot="1" x14ac:dyDescent="0.3">
      <c r="B171" s="28"/>
      <c r="C171" s="27" t="str">
        <f>DADOS!$AL$6</f>
        <v>📝 DEBÊNTURE</v>
      </c>
      <c r="D171" s="26" t="str">
        <f>IF(reservafixaconsolidadojun[[#This Row],[TOTAL (R$)]]=0,"",IF(OR(reservafixaconsolidadojun[[#This Row],[TOTAL (R$)]]=LARGE($AJ$168:$AJ$177,1),reservafixaconsolidadojun[[#This Row],[TOTAL (R$)]]=LARGE($AJ$168:$AJ$177,2)),DADOS!$I$11,""))</f>
        <v/>
      </c>
      <c r="E171" s="96">
        <f>SUMIFS(tabela_registros[VALOR],tabela_registros[MÊS],$AE$1,tabela_registros[DIA],reservafixaconsolidadojun[[#Headers],[1]],tabela_registros[REGISTRO],DADOS!$N$6,tabela_registros[TIPO],DADOS!$AJ$3,tabela_registros[CATEGORIA],reservafixaconsolidadojun[[#This Row],[ATUAL]])</f>
        <v>0</v>
      </c>
      <c r="F171" s="91">
        <f>SUMIFS(tabela_registros[VALOR],tabela_registros[MÊS],$AE$1,tabela_registros[DIA],reservafixaconsolidadojun[[#Headers],[2]],tabela_registros[REGISTRO],DADOS!$N$6,tabela_registros[TIPO],DADOS!$AJ$3,tabela_registros[CATEGORIA],reservafixaconsolidadojun[[#This Row],[ATUAL]])</f>
        <v>0</v>
      </c>
      <c r="G171" s="91">
        <f>SUMIFS(tabela_registros[VALOR],tabela_registros[MÊS],$AE$1,tabela_registros[DIA],reservafixaconsolidadojun[[#Headers],[3]],tabela_registros[REGISTRO],DADOS!$N$6,tabela_registros[TIPO],DADOS!$AJ$3,tabela_registros[CATEGORIA],reservafixaconsolidadojun[[#This Row],[ATUAL]])</f>
        <v>0</v>
      </c>
      <c r="H171" s="91">
        <f>SUMIFS(tabela_registros[VALOR],tabela_registros[MÊS],$AE$1,tabela_registros[DIA],reservafixaconsolidadojun[[#Headers],[4]],tabela_registros[REGISTRO],DADOS!$N$6,tabela_registros[TIPO],DADOS!$AJ$3,tabela_registros[CATEGORIA],reservafixaconsolidadojun[[#This Row],[ATUAL]])</f>
        <v>0</v>
      </c>
      <c r="I171" s="91">
        <f>SUMIFS(tabela_registros[VALOR],tabela_registros[MÊS],$AE$1,tabela_registros[DIA],reservafixaconsolidadojun[[#Headers],[5]],tabela_registros[REGISTRO],DADOS!$N$6,tabela_registros[TIPO],DADOS!$AJ$3,tabela_registros[CATEGORIA],reservafixaconsolidadojun[[#This Row],[ATUAL]])</f>
        <v>0</v>
      </c>
      <c r="J171" s="91">
        <f>SUMIFS(tabela_registros[VALOR],tabela_registros[MÊS],$AE$1,tabela_registros[DIA],reservafixaconsolidadojun[[#Headers],[6]],tabela_registros[REGISTRO],DADOS!$N$6,tabela_registros[TIPO],DADOS!$AJ$3,tabela_registros[CATEGORIA],reservafixaconsolidadojun[[#This Row],[ATUAL]])</f>
        <v>0</v>
      </c>
      <c r="K171" s="91">
        <f>SUMIFS(tabela_registros[VALOR],tabela_registros[MÊS],$AE$1,tabela_registros[DIA],reservafixaconsolidadojun[[#Headers],[7]],tabela_registros[REGISTRO],DADOS!$N$6,tabela_registros[TIPO],DADOS!$AJ$3,tabela_registros[CATEGORIA],reservafixaconsolidadojun[[#This Row],[ATUAL]])</f>
        <v>0</v>
      </c>
      <c r="L171" s="91">
        <f>SUMIFS(tabela_registros[VALOR],tabela_registros[MÊS],$AE$1,tabela_registros[DIA],reservafixaconsolidadojun[[#Headers],[8]],tabela_registros[REGISTRO],DADOS!$N$6,tabela_registros[TIPO],DADOS!$AJ$3,tabela_registros[CATEGORIA],reservafixaconsolidadojun[[#This Row],[ATUAL]])</f>
        <v>0</v>
      </c>
      <c r="M171" s="91">
        <f>SUMIFS(tabela_registros[VALOR],tabela_registros[MÊS],$AE$1,tabela_registros[DIA],reservafixaconsolidadojun[[#Headers],[9]],tabela_registros[REGISTRO],DADOS!$N$6,tabela_registros[TIPO],DADOS!$AJ$3,tabela_registros[CATEGORIA],reservafixaconsolidadojun[[#This Row],[ATUAL]])</f>
        <v>0</v>
      </c>
      <c r="N171" s="91">
        <f>SUMIFS(tabela_registros[VALOR],tabela_registros[MÊS],$AE$1,tabela_registros[DIA],reservafixaconsolidadojun[[#Headers],[10]],tabela_registros[REGISTRO],DADOS!$N$6,tabela_registros[TIPO],DADOS!$AJ$3,tabela_registros[CATEGORIA],reservafixaconsolidadojun[[#This Row],[ATUAL]])</f>
        <v>0</v>
      </c>
      <c r="O171" s="91">
        <f>SUMIFS(tabela_registros[VALOR],tabela_registros[MÊS],$AE$1,tabela_registros[DIA],reservafixaconsolidadojun[[#Headers],[11]],tabela_registros[REGISTRO],DADOS!$N$6,tabela_registros[TIPO],DADOS!$AJ$3,tabela_registros[CATEGORIA],reservafixaconsolidadojun[[#This Row],[ATUAL]])</f>
        <v>0</v>
      </c>
      <c r="P171" s="91">
        <f>SUMIFS(tabela_registros[VALOR],tabela_registros[MÊS],$AE$1,tabela_registros[DIA],reservafixaconsolidadojun[[#Headers],[12]],tabela_registros[REGISTRO],DADOS!$N$6,tabela_registros[TIPO],DADOS!$AJ$3,tabela_registros[CATEGORIA],reservafixaconsolidadojun[[#This Row],[ATUAL]])</f>
        <v>0</v>
      </c>
      <c r="Q171" s="91">
        <f>SUMIFS(tabela_registros[VALOR],tabela_registros[MÊS],$AE$1,tabela_registros[DIA],reservafixaconsolidadojun[[#Headers],[13]],tabela_registros[REGISTRO],DADOS!$N$6,tabela_registros[TIPO],DADOS!$AJ$3,tabela_registros[CATEGORIA],reservafixaconsolidadojun[[#This Row],[ATUAL]])</f>
        <v>0</v>
      </c>
      <c r="R171" s="91">
        <f>SUMIFS(tabela_registros[VALOR],tabela_registros[MÊS],$AE$1,tabela_registros[DIA],reservafixaconsolidadojun[[#Headers],[14]],tabela_registros[REGISTRO],DADOS!$N$6,tabela_registros[TIPO],DADOS!$AJ$3,tabela_registros[CATEGORIA],reservafixaconsolidadojun[[#This Row],[ATUAL]])</f>
        <v>0</v>
      </c>
      <c r="S171" s="91">
        <f>SUMIFS(tabela_registros[VALOR],tabela_registros[MÊS],$AE$1,tabela_registros[DIA],reservafixaconsolidadojun[[#Headers],[15]],tabela_registros[REGISTRO],DADOS!$N$6,tabela_registros[TIPO],DADOS!$AJ$3,tabela_registros[CATEGORIA],reservafixaconsolidadojun[[#This Row],[ATUAL]])</f>
        <v>0</v>
      </c>
      <c r="T171" s="91">
        <f>SUMIFS(tabela_registros[VALOR],tabela_registros[MÊS],$AE$1,tabela_registros[DIA],reservafixaconsolidadojun[[#Headers],[16]],tabela_registros[REGISTRO],DADOS!$N$6,tabela_registros[TIPO],DADOS!$AJ$3,tabela_registros[CATEGORIA],reservafixaconsolidadojun[[#This Row],[ATUAL]])</f>
        <v>0</v>
      </c>
      <c r="U171" s="91">
        <f>SUMIFS(tabela_registros[VALOR],tabela_registros[MÊS],$AE$1,tabela_registros[DIA],reservafixaconsolidadojun[[#Headers],[17]],tabela_registros[REGISTRO],DADOS!$N$6,tabela_registros[TIPO],DADOS!$AJ$3,tabela_registros[CATEGORIA],reservafixaconsolidadojun[[#This Row],[ATUAL]])</f>
        <v>0</v>
      </c>
      <c r="V171" s="91">
        <f>SUMIFS(tabela_registros[VALOR],tabela_registros[MÊS],$AE$1,tabela_registros[DIA],reservafixaconsolidadojun[[#Headers],[18]],tabela_registros[REGISTRO],DADOS!$N$6,tabela_registros[TIPO],DADOS!$AJ$3,tabela_registros[CATEGORIA],reservafixaconsolidadojun[[#This Row],[ATUAL]])</f>
        <v>0</v>
      </c>
      <c r="W171" s="91">
        <f>SUMIFS(tabela_registros[VALOR],tabela_registros[MÊS],$AE$1,tabela_registros[DIA],reservafixaconsolidadojun[[#Headers],[19]],tabela_registros[REGISTRO],DADOS!$N$6,tabela_registros[TIPO],DADOS!$AJ$3,tabela_registros[CATEGORIA],reservafixaconsolidadojun[[#This Row],[ATUAL]])</f>
        <v>0</v>
      </c>
      <c r="X171" s="91">
        <f>SUMIFS(tabela_registros[VALOR],tabela_registros[MÊS],$AE$1,tabela_registros[DIA],reservafixaconsolidadojun[[#Headers],[20]],tabela_registros[REGISTRO],DADOS!$N$6,tabela_registros[TIPO],DADOS!$AJ$3,tabela_registros[CATEGORIA],reservafixaconsolidadojun[[#This Row],[ATUAL]])</f>
        <v>0</v>
      </c>
      <c r="Y171" s="91">
        <f>SUMIFS(tabela_registros[VALOR],tabela_registros[MÊS],$AE$1,tabela_registros[DIA],reservafixaconsolidadojun[[#Headers],[21]],tabela_registros[REGISTRO],DADOS!$N$6,tabela_registros[TIPO],DADOS!$AJ$3,tabela_registros[CATEGORIA],reservafixaconsolidadojun[[#This Row],[ATUAL]])</f>
        <v>0</v>
      </c>
      <c r="Z171" s="91">
        <f>SUMIFS(tabela_registros[VALOR],tabela_registros[MÊS],$AE$1,tabela_registros[DIA],reservafixaconsolidadojun[[#Headers],[22]],tabela_registros[REGISTRO],DADOS!$N$6,tabela_registros[TIPO],DADOS!$AJ$3,tabela_registros[CATEGORIA],reservafixaconsolidadojun[[#This Row],[ATUAL]])</f>
        <v>0</v>
      </c>
      <c r="AA171" s="91">
        <f>SUMIFS(tabela_registros[VALOR],tabela_registros[MÊS],$AE$1,tabela_registros[DIA],reservafixaconsolidadojun[[#Headers],[23]],tabela_registros[REGISTRO],DADOS!$N$6,tabela_registros[TIPO],DADOS!$AJ$3,tabela_registros[CATEGORIA],reservafixaconsolidadojun[[#This Row],[ATUAL]])</f>
        <v>0</v>
      </c>
      <c r="AB171" s="91">
        <f>SUMIFS(tabela_registros[VALOR],tabela_registros[MÊS],$AE$1,tabela_registros[DIA],reservafixaconsolidadojun[[#Headers],[24]],tabela_registros[REGISTRO],DADOS!$N$6,tabela_registros[TIPO],DADOS!$AJ$3,tabela_registros[CATEGORIA],reservafixaconsolidadojun[[#This Row],[ATUAL]])</f>
        <v>0</v>
      </c>
      <c r="AC171" s="91">
        <f>SUMIFS(tabela_registros[VALOR],tabela_registros[MÊS],$AE$1,tabela_registros[DIA],reservafixaconsolidadojun[[#Headers],[25]],tabela_registros[REGISTRO],DADOS!$N$6,tabela_registros[TIPO],DADOS!$AJ$3,tabela_registros[CATEGORIA],reservafixaconsolidadojun[[#This Row],[ATUAL]])</f>
        <v>0</v>
      </c>
      <c r="AD171" s="91">
        <f>SUMIFS(tabela_registros[VALOR],tabela_registros[MÊS],$AE$1,tabela_registros[DIA],reservafixaconsolidadojun[[#Headers],[26]],tabela_registros[REGISTRO],DADOS!$N$6,tabela_registros[TIPO],DADOS!$AJ$3,tabela_registros[CATEGORIA],reservafixaconsolidadojun[[#This Row],[ATUAL]])</f>
        <v>0</v>
      </c>
      <c r="AE171" s="91">
        <f>SUMIFS(tabela_registros[VALOR],tabela_registros[MÊS],$AE$1,tabela_registros[DIA],reservafixaconsolidadojun[[#Headers],[27]],tabela_registros[REGISTRO],DADOS!$N$6,tabela_registros[TIPO],DADOS!$AJ$3,tabela_registros[CATEGORIA],reservafixaconsolidadojun[[#This Row],[ATUAL]])</f>
        <v>0</v>
      </c>
      <c r="AF171" s="91">
        <f>SUMIFS(tabela_registros[VALOR],tabela_registros[MÊS],$AE$1,tabela_registros[DIA],reservafixaconsolidadojun[[#Headers],[28]],tabela_registros[REGISTRO],DADOS!$N$6,tabela_registros[TIPO],DADOS!$AJ$3,tabela_registros[CATEGORIA],reservafixaconsolidadojun[[#This Row],[ATUAL]])</f>
        <v>0</v>
      </c>
      <c r="AG171" s="91">
        <f>SUMIFS(tabela_registros[VALOR],tabela_registros[MÊS],$AE$1,tabela_registros[DIA],reservafixaconsolidadojun[[#Headers],[29]],tabela_registros[REGISTRO],DADOS!$N$6,tabela_registros[TIPO],DADOS!$AJ$3,tabela_registros[CATEGORIA],reservafixaconsolidadojun[[#This Row],[ATUAL]])</f>
        <v>0</v>
      </c>
      <c r="AH171" s="91">
        <f>SUMIFS(tabela_registros[VALOR],tabela_registros[MÊS],$AE$1,tabela_registros[DIA],reservafixaconsolidadojun[[#Headers],[30]],tabela_registros[REGISTRO],DADOS!$N$6,tabela_registros[TIPO],DADOS!$AJ$3,tabela_registros[CATEGORIA],reservafixaconsolidadojun[[#This Row],[ATUAL]])</f>
        <v>0</v>
      </c>
      <c r="AI171" s="101">
        <f>SUMIFS(tabela_registros[VALOR],tabela_registros[MÊS],$AE$1,tabela_registros[DIA],reservafixaconsolidadojun[[#Headers],[31]],tabela_registros[REGISTRO],DADOS!$N$6,tabela_registros[TIPO],DADOS!$AJ$3,tabela_registros[CATEGORIA],reservafixaconsolidadojun[[#This Row],[ATUAL]])</f>
        <v>0</v>
      </c>
      <c r="AJ171" s="97">
        <f>SUM(reservafixaconsolidadojun[[#This Row],[1]:[31]])</f>
        <v>0</v>
      </c>
      <c r="AK171" s="25"/>
    </row>
    <row r="172" spans="2:37" ht="19.5" customHeight="1" thickTop="1" thickBot="1" x14ac:dyDescent="0.3">
      <c r="B172" s="28"/>
      <c r="C172" s="27" t="str">
        <f>DADOS!$AL$7</f>
        <v>📝 EXTERIOR</v>
      </c>
      <c r="D172" s="26" t="str">
        <f>IF(reservafixaconsolidadojun[[#This Row],[TOTAL (R$)]]=0,"",IF(OR(reservafixaconsolidadojun[[#This Row],[TOTAL (R$)]]=LARGE($AJ$168:$AJ$177,1),reservafixaconsolidadojun[[#This Row],[TOTAL (R$)]]=LARGE($AJ$168:$AJ$177,2)),DADOS!$I$11,""))</f>
        <v/>
      </c>
      <c r="E172" s="96">
        <f>SUMIFS(tabela_registros[VALOR],tabela_registros[MÊS],$AE$1,tabela_registros[DIA],reservafixaconsolidadojun[[#Headers],[1]],tabela_registros[REGISTRO],DADOS!$N$6,tabela_registros[TIPO],DADOS!$AJ$3,tabela_registros[CATEGORIA],reservafixaconsolidadojun[[#This Row],[ATUAL]])</f>
        <v>0</v>
      </c>
      <c r="F172" s="91">
        <f>SUMIFS(tabela_registros[VALOR],tabela_registros[MÊS],$AE$1,tabela_registros[DIA],reservafixaconsolidadojun[[#Headers],[2]],tabela_registros[REGISTRO],DADOS!$N$6,tabela_registros[TIPO],DADOS!$AJ$3,tabela_registros[CATEGORIA],reservafixaconsolidadojun[[#This Row],[ATUAL]])</f>
        <v>0</v>
      </c>
      <c r="G172" s="91">
        <f>SUMIFS(tabela_registros[VALOR],tabela_registros[MÊS],$AE$1,tabela_registros[DIA],reservafixaconsolidadojun[[#Headers],[3]],tabela_registros[REGISTRO],DADOS!$N$6,tabela_registros[TIPO],DADOS!$AJ$3,tabela_registros[CATEGORIA],reservafixaconsolidadojun[[#This Row],[ATUAL]])</f>
        <v>0</v>
      </c>
      <c r="H172" s="91">
        <f>SUMIFS(tabela_registros[VALOR],tabela_registros[MÊS],$AE$1,tabela_registros[DIA],reservafixaconsolidadojun[[#Headers],[4]],tabela_registros[REGISTRO],DADOS!$N$6,tabela_registros[TIPO],DADOS!$AJ$3,tabela_registros[CATEGORIA],reservafixaconsolidadojun[[#This Row],[ATUAL]])</f>
        <v>0</v>
      </c>
      <c r="I172" s="91">
        <f>SUMIFS(tabela_registros[VALOR],tabela_registros[MÊS],$AE$1,tabela_registros[DIA],reservafixaconsolidadojun[[#Headers],[5]],tabela_registros[REGISTRO],DADOS!$N$6,tabela_registros[TIPO],DADOS!$AJ$3,tabela_registros[CATEGORIA],reservafixaconsolidadojun[[#This Row],[ATUAL]])</f>
        <v>0</v>
      </c>
      <c r="J172" s="91">
        <f>SUMIFS(tabela_registros[VALOR],tabela_registros[MÊS],$AE$1,tabela_registros[DIA],reservafixaconsolidadojun[[#Headers],[6]],tabela_registros[REGISTRO],DADOS!$N$6,tabela_registros[TIPO],DADOS!$AJ$3,tabela_registros[CATEGORIA],reservafixaconsolidadojun[[#This Row],[ATUAL]])</f>
        <v>0</v>
      </c>
      <c r="K172" s="91">
        <f>SUMIFS(tabela_registros[VALOR],tabela_registros[MÊS],$AE$1,tabela_registros[DIA],reservafixaconsolidadojun[[#Headers],[7]],tabela_registros[REGISTRO],DADOS!$N$6,tabela_registros[TIPO],DADOS!$AJ$3,tabela_registros[CATEGORIA],reservafixaconsolidadojun[[#This Row],[ATUAL]])</f>
        <v>0</v>
      </c>
      <c r="L172" s="91">
        <f>SUMIFS(tabela_registros[VALOR],tabela_registros[MÊS],$AE$1,tabela_registros[DIA],reservafixaconsolidadojun[[#Headers],[8]],tabela_registros[REGISTRO],DADOS!$N$6,tabela_registros[TIPO],DADOS!$AJ$3,tabela_registros[CATEGORIA],reservafixaconsolidadojun[[#This Row],[ATUAL]])</f>
        <v>0</v>
      </c>
      <c r="M172" s="91">
        <f>SUMIFS(tabela_registros[VALOR],tabela_registros[MÊS],$AE$1,tabela_registros[DIA],reservafixaconsolidadojun[[#Headers],[9]],tabela_registros[REGISTRO],DADOS!$N$6,tabela_registros[TIPO],DADOS!$AJ$3,tabela_registros[CATEGORIA],reservafixaconsolidadojun[[#This Row],[ATUAL]])</f>
        <v>0</v>
      </c>
      <c r="N172" s="91">
        <f>SUMIFS(tabela_registros[VALOR],tabela_registros[MÊS],$AE$1,tabela_registros[DIA],reservafixaconsolidadojun[[#Headers],[10]],tabela_registros[REGISTRO],DADOS!$N$6,tabela_registros[TIPO],DADOS!$AJ$3,tabela_registros[CATEGORIA],reservafixaconsolidadojun[[#This Row],[ATUAL]])</f>
        <v>0</v>
      </c>
      <c r="O172" s="91">
        <f>SUMIFS(tabela_registros[VALOR],tabela_registros[MÊS],$AE$1,tabela_registros[DIA],reservafixaconsolidadojun[[#Headers],[11]],tabela_registros[REGISTRO],DADOS!$N$6,tabela_registros[TIPO],DADOS!$AJ$3,tabela_registros[CATEGORIA],reservafixaconsolidadojun[[#This Row],[ATUAL]])</f>
        <v>0</v>
      </c>
      <c r="P172" s="91">
        <f>SUMIFS(tabela_registros[VALOR],tabela_registros[MÊS],$AE$1,tabela_registros[DIA],reservafixaconsolidadojun[[#Headers],[12]],tabela_registros[REGISTRO],DADOS!$N$6,tabela_registros[TIPO],DADOS!$AJ$3,tabela_registros[CATEGORIA],reservafixaconsolidadojun[[#This Row],[ATUAL]])</f>
        <v>0</v>
      </c>
      <c r="Q172" s="91">
        <f>SUMIFS(tabela_registros[VALOR],tabela_registros[MÊS],$AE$1,tabela_registros[DIA],reservafixaconsolidadojun[[#Headers],[13]],tabela_registros[REGISTRO],DADOS!$N$6,tabela_registros[TIPO],DADOS!$AJ$3,tabela_registros[CATEGORIA],reservafixaconsolidadojun[[#This Row],[ATUAL]])</f>
        <v>0</v>
      </c>
      <c r="R172" s="91">
        <f>SUMIFS(tabela_registros[VALOR],tabela_registros[MÊS],$AE$1,tabela_registros[DIA],reservafixaconsolidadojun[[#Headers],[14]],tabela_registros[REGISTRO],DADOS!$N$6,tabela_registros[TIPO],DADOS!$AJ$3,tabela_registros[CATEGORIA],reservafixaconsolidadojun[[#This Row],[ATUAL]])</f>
        <v>0</v>
      </c>
      <c r="S172" s="91">
        <f>SUMIFS(tabela_registros[VALOR],tabela_registros[MÊS],$AE$1,tabela_registros[DIA],reservafixaconsolidadojun[[#Headers],[15]],tabela_registros[REGISTRO],DADOS!$N$6,tabela_registros[TIPO],DADOS!$AJ$3,tabela_registros[CATEGORIA],reservafixaconsolidadojun[[#This Row],[ATUAL]])</f>
        <v>0</v>
      </c>
      <c r="T172" s="91">
        <f>SUMIFS(tabela_registros[VALOR],tabela_registros[MÊS],$AE$1,tabela_registros[DIA],reservafixaconsolidadojun[[#Headers],[16]],tabela_registros[REGISTRO],DADOS!$N$6,tabela_registros[TIPO],DADOS!$AJ$3,tabela_registros[CATEGORIA],reservafixaconsolidadojun[[#This Row],[ATUAL]])</f>
        <v>0</v>
      </c>
      <c r="U172" s="91">
        <f>SUMIFS(tabela_registros[VALOR],tabela_registros[MÊS],$AE$1,tabela_registros[DIA],reservafixaconsolidadojun[[#Headers],[17]],tabela_registros[REGISTRO],DADOS!$N$6,tabela_registros[TIPO],DADOS!$AJ$3,tabela_registros[CATEGORIA],reservafixaconsolidadojun[[#This Row],[ATUAL]])</f>
        <v>0</v>
      </c>
      <c r="V172" s="91">
        <f>SUMIFS(tabela_registros[VALOR],tabela_registros[MÊS],$AE$1,tabela_registros[DIA],reservafixaconsolidadojun[[#Headers],[18]],tabela_registros[REGISTRO],DADOS!$N$6,tabela_registros[TIPO],DADOS!$AJ$3,tabela_registros[CATEGORIA],reservafixaconsolidadojun[[#This Row],[ATUAL]])</f>
        <v>0</v>
      </c>
      <c r="W172" s="91">
        <f>SUMIFS(tabela_registros[VALOR],tabela_registros[MÊS],$AE$1,tabela_registros[DIA],reservafixaconsolidadojun[[#Headers],[19]],tabela_registros[REGISTRO],DADOS!$N$6,tabela_registros[TIPO],DADOS!$AJ$3,tabela_registros[CATEGORIA],reservafixaconsolidadojun[[#This Row],[ATUAL]])</f>
        <v>0</v>
      </c>
      <c r="X172" s="91">
        <f>SUMIFS(tabela_registros[VALOR],tabela_registros[MÊS],$AE$1,tabela_registros[DIA],reservafixaconsolidadojun[[#Headers],[20]],tabela_registros[REGISTRO],DADOS!$N$6,tabela_registros[TIPO],DADOS!$AJ$3,tabela_registros[CATEGORIA],reservafixaconsolidadojun[[#This Row],[ATUAL]])</f>
        <v>0</v>
      </c>
      <c r="Y172" s="91">
        <f>SUMIFS(tabela_registros[VALOR],tabela_registros[MÊS],$AE$1,tabela_registros[DIA],reservafixaconsolidadojun[[#Headers],[21]],tabela_registros[REGISTRO],DADOS!$N$6,tabela_registros[TIPO],DADOS!$AJ$3,tabela_registros[CATEGORIA],reservafixaconsolidadojun[[#This Row],[ATUAL]])</f>
        <v>0</v>
      </c>
      <c r="Z172" s="91">
        <f>SUMIFS(tabela_registros[VALOR],tabela_registros[MÊS],$AE$1,tabela_registros[DIA],reservafixaconsolidadojun[[#Headers],[22]],tabela_registros[REGISTRO],DADOS!$N$6,tabela_registros[TIPO],DADOS!$AJ$3,tabela_registros[CATEGORIA],reservafixaconsolidadojun[[#This Row],[ATUAL]])</f>
        <v>0</v>
      </c>
      <c r="AA172" s="91">
        <f>SUMIFS(tabela_registros[VALOR],tabela_registros[MÊS],$AE$1,tabela_registros[DIA],reservafixaconsolidadojun[[#Headers],[23]],tabela_registros[REGISTRO],DADOS!$N$6,tabela_registros[TIPO],DADOS!$AJ$3,tabela_registros[CATEGORIA],reservafixaconsolidadojun[[#This Row],[ATUAL]])</f>
        <v>0</v>
      </c>
      <c r="AB172" s="91">
        <f>SUMIFS(tabela_registros[VALOR],tabela_registros[MÊS],$AE$1,tabela_registros[DIA],reservafixaconsolidadojun[[#Headers],[24]],tabela_registros[REGISTRO],DADOS!$N$6,tabela_registros[TIPO],DADOS!$AJ$3,tabela_registros[CATEGORIA],reservafixaconsolidadojun[[#This Row],[ATUAL]])</f>
        <v>0</v>
      </c>
      <c r="AC172" s="91">
        <f>SUMIFS(tabela_registros[VALOR],tabela_registros[MÊS],$AE$1,tabela_registros[DIA],reservafixaconsolidadojun[[#Headers],[25]],tabela_registros[REGISTRO],DADOS!$N$6,tabela_registros[TIPO],DADOS!$AJ$3,tabela_registros[CATEGORIA],reservafixaconsolidadojun[[#This Row],[ATUAL]])</f>
        <v>0</v>
      </c>
      <c r="AD172" s="91">
        <f>SUMIFS(tabela_registros[VALOR],tabela_registros[MÊS],$AE$1,tabela_registros[DIA],reservafixaconsolidadojun[[#Headers],[26]],tabela_registros[REGISTRO],DADOS!$N$6,tabela_registros[TIPO],DADOS!$AJ$3,tabela_registros[CATEGORIA],reservafixaconsolidadojun[[#This Row],[ATUAL]])</f>
        <v>0</v>
      </c>
      <c r="AE172" s="91">
        <f>SUMIFS(tabela_registros[VALOR],tabela_registros[MÊS],$AE$1,tabela_registros[DIA],reservafixaconsolidadojun[[#Headers],[27]],tabela_registros[REGISTRO],DADOS!$N$6,tabela_registros[TIPO],DADOS!$AJ$3,tabela_registros[CATEGORIA],reservafixaconsolidadojun[[#This Row],[ATUAL]])</f>
        <v>0</v>
      </c>
      <c r="AF172" s="91">
        <f>SUMIFS(tabela_registros[VALOR],tabela_registros[MÊS],$AE$1,tabela_registros[DIA],reservafixaconsolidadojun[[#Headers],[28]],tabela_registros[REGISTRO],DADOS!$N$6,tabela_registros[TIPO],DADOS!$AJ$3,tabela_registros[CATEGORIA],reservafixaconsolidadojun[[#This Row],[ATUAL]])</f>
        <v>0</v>
      </c>
      <c r="AG172" s="91">
        <f>SUMIFS(tabela_registros[VALOR],tabela_registros[MÊS],$AE$1,tabela_registros[DIA],reservafixaconsolidadojun[[#Headers],[29]],tabela_registros[REGISTRO],DADOS!$N$6,tabela_registros[TIPO],DADOS!$AJ$3,tabela_registros[CATEGORIA],reservafixaconsolidadojun[[#This Row],[ATUAL]])</f>
        <v>0</v>
      </c>
      <c r="AH172" s="91">
        <f>SUMIFS(tabela_registros[VALOR],tabela_registros[MÊS],$AE$1,tabela_registros[DIA],reservafixaconsolidadojun[[#Headers],[30]],tabela_registros[REGISTRO],DADOS!$N$6,tabela_registros[TIPO],DADOS!$AJ$3,tabela_registros[CATEGORIA],reservafixaconsolidadojun[[#This Row],[ATUAL]])</f>
        <v>0</v>
      </c>
      <c r="AI172" s="101">
        <f>SUMIFS(tabela_registros[VALOR],tabela_registros[MÊS],$AE$1,tabela_registros[DIA],reservafixaconsolidadojun[[#Headers],[31]],tabela_registros[REGISTRO],DADOS!$N$6,tabela_registros[TIPO],DADOS!$AJ$3,tabela_registros[CATEGORIA],reservafixaconsolidadojun[[#This Row],[ATUAL]])</f>
        <v>0</v>
      </c>
      <c r="AJ172" s="97">
        <f>SUM(reservafixaconsolidadojun[[#This Row],[1]:[31]])</f>
        <v>0</v>
      </c>
      <c r="AK172" s="25"/>
    </row>
    <row r="173" spans="2:37" ht="19.5" customHeight="1" thickTop="1" thickBot="1" x14ac:dyDescent="0.3">
      <c r="B173" s="28"/>
      <c r="C173" s="27" t="str">
        <f>DADOS!$AL$8</f>
        <v>📝 LC</v>
      </c>
      <c r="D173" s="26" t="str">
        <f>IF(reservafixaconsolidadojun[[#This Row],[TOTAL (R$)]]=0,"",IF(OR(reservafixaconsolidadojun[[#This Row],[TOTAL (R$)]]=LARGE($AJ$168:$AJ$177,1),reservafixaconsolidadojun[[#This Row],[TOTAL (R$)]]=LARGE($AJ$168:$AJ$177,2)),DADOS!$I$11,""))</f>
        <v/>
      </c>
      <c r="E173" s="96">
        <f>SUMIFS(tabela_registros[VALOR],tabela_registros[MÊS],$AE$1,tabela_registros[DIA],reservafixaconsolidadojun[[#Headers],[1]],tabela_registros[REGISTRO],DADOS!$N$6,tabela_registros[TIPO],DADOS!$AJ$3,tabela_registros[CATEGORIA],reservafixaconsolidadojun[[#This Row],[ATUAL]])</f>
        <v>0</v>
      </c>
      <c r="F173" s="91">
        <f>SUMIFS(tabela_registros[VALOR],tabela_registros[MÊS],$AE$1,tabela_registros[DIA],reservafixaconsolidadojun[[#Headers],[2]],tabela_registros[REGISTRO],DADOS!$N$6,tabela_registros[TIPO],DADOS!$AJ$3,tabela_registros[CATEGORIA],reservafixaconsolidadojun[[#This Row],[ATUAL]])</f>
        <v>0</v>
      </c>
      <c r="G173" s="91">
        <f>SUMIFS(tabela_registros[VALOR],tabela_registros[MÊS],$AE$1,tabela_registros[DIA],reservafixaconsolidadojun[[#Headers],[3]],tabela_registros[REGISTRO],DADOS!$N$6,tabela_registros[TIPO],DADOS!$AJ$3,tabela_registros[CATEGORIA],reservafixaconsolidadojun[[#This Row],[ATUAL]])</f>
        <v>0</v>
      </c>
      <c r="H173" s="91">
        <f>SUMIFS(tabela_registros[VALOR],tabela_registros[MÊS],$AE$1,tabela_registros[DIA],reservafixaconsolidadojun[[#Headers],[4]],tabela_registros[REGISTRO],DADOS!$N$6,tabela_registros[TIPO],DADOS!$AJ$3,tabela_registros[CATEGORIA],reservafixaconsolidadojun[[#This Row],[ATUAL]])</f>
        <v>0</v>
      </c>
      <c r="I173" s="91">
        <f>SUMIFS(tabela_registros[VALOR],tabela_registros[MÊS],$AE$1,tabela_registros[DIA],reservafixaconsolidadojun[[#Headers],[5]],tabela_registros[REGISTRO],DADOS!$N$6,tabela_registros[TIPO],DADOS!$AJ$3,tabela_registros[CATEGORIA],reservafixaconsolidadojun[[#This Row],[ATUAL]])</f>
        <v>0</v>
      </c>
      <c r="J173" s="91">
        <f>SUMIFS(tabela_registros[VALOR],tabela_registros[MÊS],$AE$1,tabela_registros[DIA],reservafixaconsolidadojun[[#Headers],[6]],tabela_registros[REGISTRO],DADOS!$N$6,tabela_registros[TIPO],DADOS!$AJ$3,tabela_registros[CATEGORIA],reservafixaconsolidadojun[[#This Row],[ATUAL]])</f>
        <v>0</v>
      </c>
      <c r="K173" s="91">
        <f>SUMIFS(tabela_registros[VALOR],tabela_registros[MÊS],$AE$1,tabela_registros[DIA],reservafixaconsolidadojun[[#Headers],[7]],tabela_registros[REGISTRO],DADOS!$N$6,tabela_registros[TIPO],DADOS!$AJ$3,tabela_registros[CATEGORIA],reservafixaconsolidadojun[[#This Row],[ATUAL]])</f>
        <v>0</v>
      </c>
      <c r="L173" s="91">
        <f>SUMIFS(tabela_registros[VALOR],tabela_registros[MÊS],$AE$1,tabela_registros[DIA],reservafixaconsolidadojun[[#Headers],[8]],tabela_registros[REGISTRO],DADOS!$N$6,tabela_registros[TIPO],DADOS!$AJ$3,tabela_registros[CATEGORIA],reservafixaconsolidadojun[[#This Row],[ATUAL]])</f>
        <v>0</v>
      </c>
      <c r="M173" s="91">
        <f>SUMIFS(tabela_registros[VALOR],tabela_registros[MÊS],$AE$1,tabela_registros[DIA],reservafixaconsolidadojun[[#Headers],[9]],tabela_registros[REGISTRO],DADOS!$N$6,tabela_registros[TIPO],DADOS!$AJ$3,tabela_registros[CATEGORIA],reservafixaconsolidadojun[[#This Row],[ATUAL]])</f>
        <v>0</v>
      </c>
      <c r="N173" s="91">
        <f>SUMIFS(tabela_registros[VALOR],tabela_registros[MÊS],$AE$1,tabela_registros[DIA],reservafixaconsolidadojun[[#Headers],[10]],tabela_registros[REGISTRO],DADOS!$N$6,tabela_registros[TIPO],DADOS!$AJ$3,tabela_registros[CATEGORIA],reservafixaconsolidadojun[[#This Row],[ATUAL]])</f>
        <v>0</v>
      </c>
      <c r="O173" s="91">
        <f>SUMIFS(tabela_registros[VALOR],tabela_registros[MÊS],$AE$1,tabela_registros[DIA],reservafixaconsolidadojun[[#Headers],[11]],tabela_registros[REGISTRO],DADOS!$N$6,tabela_registros[TIPO],DADOS!$AJ$3,tabela_registros[CATEGORIA],reservafixaconsolidadojun[[#This Row],[ATUAL]])</f>
        <v>0</v>
      </c>
      <c r="P173" s="91">
        <f>SUMIFS(tabela_registros[VALOR],tabela_registros[MÊS],$AE$1,tabela_registros[DIA],reservafixaconsolidadojun[[#Headers],[12]],tabela_registros[REGISTRO],DADOS!$N$6,tabela_registros[TIPO],DADOS!$AJ$3,tabela_registros[CATEGORIA],reservafixaconsolidadojun[[#This Row],[ATUAL]])</f>
        <v>0</v>
      </c>
      <c r="Q173" s="91">
        <f>SUMIFS(tabela_registros[VALOR],tabela_registros[MÊS],$AE$1,tabela_registros[DIA],reservafixaconsolidadojun[[#Headers],[13]],tabela_registros[REGISTRO],DADOS!$N$6,tabela_registros[TIPO],DADOS!$AJ$3,tabela_registros[CATEGORIA],reservafixaconsolidadojun[[#This Row],[ATUAL]])</f>
        <v>0</v>
      </c>
      <c r="R173" s="91">
        <f>SUMIFS(tabela_registros[VALOR],tabela_registros[MÊS],$AE$1,tabela_registros[DIA],reservafixaconsolidadojun[[#Headers],[14]],tabela_registros[REGISTRO],DADOS!$N$6,tabela_registros[TIPO],DADOS!$AJ$3,tabela_registros[CATEGORIA],reservafixaconsolidadojun[[#This Row],[ATUAL]])</f>
        <v>0</v>
      </c>
      <c r="S173" s="91">
        <f>SUMIFS(tabela_registros[VALOR],tabela_registros[MÊS],$AE$1,tabela_registros[DIA],reservafixaconsolidadojun[[#Headers],[15]],tabela_registros[REGISTRO],DADOS!$N$6,tabela_registros[TIPO],DADOS!$AJ$3,tabela_registros[CATEGORIA],reservafixaconsolidadojun[[#This Row],[ATUAL]])</f>
        <v>0</v>
      </c>
      <c r="T173" s="91">
        <f>SUMIFS(tabela_registros[VALOR],tabela_registros[MÊS],$AE$1,tabela_registros[DIA],reservafixaconsolidadojun[[#Headers],[16]],tabela_registros[REGISTRO],DADOS!$N$6,tabela_registros[TIPO],DADOS!$AJ$3,tabela_registros[CATEGORIA],reservafixaconsolidadojun[[#This Row],[ATUAL]])</f>
        <v>0</v>
      </c>
      <c r="U173" s="91">
        <f>SUMIFS(tabela_registros[VALOR],tabela_registros[MÊS],$AE$1,tabela_registros[DIA],reservafixaconsolidadojun[[#Headers],[17]],tabela_registros[REGISTRO],DADOS!$N$6,tabela_registros[TIPO],DADOS!$AJ$3,tabela_registros[CATEGORIA],reservafixaconsolidadojun[[#This Row],[ATUAL]])</f>
        <v>0</v>
      </c>
      <c r="V173" s="91">
        <f>SUMIFS(tabela_registros[VALOR],tabela_registros[MÊS],$AE$1,tabela_registros[DIA],reservafixaconsolidadojun[[#Headers],[18]],tabela_registros[REGISTRO],DADOS!$N$6,tabela_registros[TIPO],DADOS!$AJ$3,tabela_registros[CATEGORIA],reservafixaconsolidadojun[[#This Row],[ATUAL]])</f>
        <v>0</v>
      </c>
      <c r="W173" s="91">
        <f>SUMIFS(tabela_registros[VALOR],tabela_registros[MÊS],$AE$1,tabela_registros[DIA],reservafixaconsolidadojun[[#Headers],[19]],tabela_registros[REGISTRO],DADOS!$N$6,tabela_registros[TIPO],DADOS!$AJ$3,tabela_registros[CATEGORIA],reservafixaconsolidadojun[[#This Row],[ATUAL]])</f>
        <v>0</v>
      </c>
      <c r="X173" s="91">
        <f>SUMIFS(tabela_registros[VALOR],tabela_registros[MÊS],$AE$1,tabela_registros[DIA],reservafixaconsolidadojun[[#Headers],[20]],tabela_registros[REGISTRO],DADOS!$N$6,tabela_registros[TIPO],DADOS!$AJ$3,tabela_registros[CATEGORIA],reservafixaconsolidadojun[[#This Row],[ATUAL]])</f>
        <v>0</v>
      </c>
      <c r="Y173" s="91">
        <f>SUMIFS(tabela_registros[VALOR],tabela_registros[MÊS],$AE$1,tabela_registros[DIA],reservafixaconsolidadojun[[#Headers],[21]],tabela_registros[REGISTRO],DADOS!$N$6,tabela_registros[TIPO],DADOS!$AJ$3,tabela_registros[CATEGORIA],reservafixaconsolidadojun[[#This Row],[ATUAL]])</f>
        <v>0</v>
      </c>
      <c r="Z173" s="91">
        <f>SUMIFS(tabela_registros[VALOR],tabela_registros[MÊS],$AE$1,tabela_registros[DIA],reservafixaconsolidadojun[[#Headers],[22]],tabela_registros[REGISTRO],DADOS!$N$6,tabela_registros[TIPO],DADOS!$AJ$3,tabela_registros[CATEGORIA],reservafixaconsolidadojun[[#This Row],[ATUAL]])</f>
        <v>0</v>
      </c>
      <c r="AA173" s="91">
        <f>SUMIFS(tabela_registros[VALOR],tabela_registros[MÊS],$AE$1,tabela_registros[DIA],reservafixaconsolidadojun[[#Headers],[23]],tabela_registros[REGISTRO],DADOS!$N$6,tabela_registros[TIPO],DADOS!$AJ$3,tabela_registros[CATEGORIA],reservafixaconsolidadojun[[#This Row],[ATUAL]])</f>
        <v>0</v>
      </c>
      <c r="AB173" s="91">
        <f>SUMIFS(tabela_registros[VALOR],tabela_registros[MÊS],$AE$1,tabela_registros[DIA],reservafixaconsolidadojun[[#Headers],[24]],tabela_registros[REGISTRO],DADOS!$N$6,tabela_registros[TIPO],DADOS!$AJ$3,tabela_registros[CATEGORIA],reservafixaconsolidadojun[[#This Row],[ATUAL]])</f>
        <v>0</v>
      </c>
      <c r="AC173" s="91">
        <f>SUMIFS(tabela_registros[VALOR],tabela_registros[MÊS],$AE$1,tabela_registros[DIA],reservafixaconsolidadojun[[#Headers],[25]],tabela_registros[REGISTRO],DADOS!$N$6,tabela_registros[TIPO],DADOS!$AJ$3,tabela_registros[CATEGORIA],reservafixaconsolidadojun[[#This Row],[ATUAL]])</f>
        <v>0</v>
      </c>
      <c r="AD173" s="91">
        <f>SUMIFS(tabela_registros[VALOR],tabela_registros[MÊS],$AE$1,tabela_registros[DIA],reservafixaconsolidadojun[[#Headers],[26]],tabela_registros[REGISTRO],DADOS!$N$6,tabela_registros[TIPO],DADOS!$AJ$3,tabela_registros[CATEGORIA],reservafixaconsolidadojun[[#This Row],[ATUAL]])</f>
        <v>0</v>
      </c>
      <c r="AE173" s="91">
        <f>SUMIFS(tabela_registros[VALOR],tabela_registros[MÊS],$AE$1,tabela_registros[DIA],reservafixaconsolidadojun[[#Headers],[27]],tabela_registros[REGISTRO],DADOS!$N$6,tabela_registros[TIPO],DADOS!$AJ$3,tabela_registros[CATEGORIA],reservafixaconsolidadojun[[#This Row],[ATUAL]])</f>
        <v>0</v>
      </c>
      <c r="AF173" s="91">
        <f>SUMIFS(tabela_registros[VALOR],tabela_registros[MÊS],$AE$1,tabela_registros[DIA],reservafixaconsolidadojun[[#Headers],[28]],tabela_registros[REGISTRO],DADOS!$N$6,tabela_registros[TIPO],DADOS!$AJ$3,tabela_registros[CATEGORIA],reservafixaconsolidadojun[[#This Row],[ATUAL]])</f>
        <v>0</v>
      </c>
      <c r="AG173" s="91">
        <f>SUMIFS(tabela_registros[VALOR],tabela_registros[MÊS],$AE$1,tabela_registros[DIA],reservafixaconsolidadojun[[#Headers],[29]],tabela_registros[REGISTRO],DADOS!$N$6,tabela_registros[TIPO],DADOS!$AJ$3,tabela_registros[CATEGORIA],reservafixaconsolidadojun[[#This Row],[ATUAL]])</f>
        <v>0</v>
      </c>
      <c r="AH173" s="91">
        <f>SUMIFS(tabela_registros[VALOR],tabela_registros[MÊS],$AE$1,tabela_registros[DIA],reservafixaconsolidadojun[[#Headers],[30]],tabela_registros[REGISTRO],DADOS!$N$6,tabela_registros[TIPO],DADOS!$AJ$3,tabela_registros[CATEGORIA],reservafixaconsolidadojun[[#This Row],[ATUAL]])</f>
        <v>0</v>
      </c>
      <c r="AI173" s="101">
        <f>SUMIFS(tabela_registros[VALOR],tabela_registros[MÊS],$AE$1,tabela_registros[DIA],reservafixaconsolidadojun[[#Headers],[31]],tabela_registros[REGISTRO],DADOS!$N$6,tabela_registros[TIPO],DADOS!$AJ$3,tabela_registros[CATEGORIA],reservafixaconsolidadojun[[#This Row],[ATUAL]])</f>
        <v>0</v>
      </c>
      <c r="AJ173" s="97">
        <f>SUM(reservafixaconsolidadojun[[#This Row],[1]:[31]])</f>
        <v>0</v>
      </c>
      <c r="AK173" s="25"/>
    </row>
    <row r="174" spans="2:37" ht="19.5" customHeight="1" thickTop="1" thickBot="1" x14ac:dyDescent="0.3">
      <c r="B174" s="28"/>
      <c r="C174" s="27" t="str">
        <f>DADOS!$AL$9</f>
        <v>📝 LCA</v>
      </c>
      <c r="D174" s="26" t="str">
        <f>IF(reservafixaconsolidadojun[[#This Row],[TOTAL (R$)]]=0,"",IF(OR(reservafixaconsolidadojun[[#This Row],[TOTAL (R$)]]=LARGE($AJ$168:$AJ$177,1),reservafixaconsolidadojun[[#This Row],[TOTAL (R$)]]=LARGE($AJ$168:$AJ$177,2)),DADOS!$I$11,""))</f>
        <v/>
      </c>
      <c r="E174" s="96">
        <f>SUMIFS(tabela_registros[VALOR],tabela_registros[MÊS],$AE$1,tabela_registros[DIA],reservafixaconsolidadojun[[#Headers],[1]],tabela_registros[REGISTRO],DADOS!$N$6,tabela_registros[TIPO],DADOS!$AJ$3,tabela_registros[CATEGORIA],reservafixaconsolidadojun[[#This Row],[ATUAL]])</f>
        <v>0</v>
      </c>
      <c r="F174" s="91">
        <f>SUMIFS(tabela_registros[VALOR],tabela_registros[MÊS],$AE$1,tabela_registros[DIA],reservafixaconsolidadojun[[#Headers],[2]],tabela_registros[REGISTRO],DADOS!$N$6,tabela_registros[TIPO],DADOS!$AJ$3,tabela_registros[CATEGORIA],reservafixaconsolidadojun[[#This Row],[ATUAL]])</f>
        <v>0</v>
      </c>
      <c r="G174" s="91">
        <f>SUMIFS(tabela_registros[VALOR],tabela_registros[MÊS],$AE$1,tabela_registros[DIA],reservafixaconsolidadojun[[#Headers],[3]],tabela_registros[REGISTRO],DADOS!$N$6,tabela_registros[TIPO],DADOS!$AJ$3,tabela_registros[CATEGORIA],reservafixaconsolidadojun[[#This Row],[ATUAL]])</f>
        <v>0</v>
      </c>
      <c r="H174" s="91">
        <f>SUMIFS(tabela_registros[VALOR],tabela_registros[MÊS],$AE$1,tabela_registros[DIA],reservafixaconsolidadojun[[#Headers],[4]],tabela_registros[REGISTRO],DADOS!$N$6,tabela_registros[TIPO],DADOS!$AJ$3,tabela_registros[CATEGORIA],reservafixaconsolidadojun[[#This Row],[ATUAL]])</f>
        <v>0</v>
      </c>
      <c r="I174" s="91">
        <f>SUMIFS(tabela_registros[VALOR],tabela_registros[MÊS],$AE$1,tabela_registros[DIA],reservafixaconsolidadojun[[#Headers],[5]],tabela_registros[REGISTRO],DADOS!$N$6,tabela_registros[TIPO],DADOS!$AJ$3,tabela_registros[CATEGORIA],reservafixaconsolidadojun[[#This Row],[ATUAL]])</f>
        <v>0</v>
      </c>
      <c r="J174" s="91">
        <f>SUMIFS(tabela_registros[VALOR],tabela_registros[MÊS],$AE$1,tabela_registros[DIA],reservafixaconsolidadojun[[#Headers],[6]],tabela_registros[REGISTRO],DADOS!$N$6,tabela_registros[TIPO],DADOS!$AJ$3,tabela_registros[CATEGORIA],reservafixaconsolidadojun[[#This Row],[ATUAL]])</f>
        <v>0</v>
      </c>
      <c r="K174" s="91">
        <f>SUMIFS(tabela_registros[VALOR],tabela_registros[MÊS],$AE$1,tabela_registros[DIA],reservafixaconsolidadojun[[#Headers],[7]],tabela_registros[REGISTRO],DADOS!$N$6,tabela_registros[TIPO],DADOS!$AJ$3,tabela_registros[CATEGORIA],reservafixaconsolidadojun[[#This Row],[ATUAL]])</f>
        <v>0</v>
      </c>
      <c r="L174" s="91">
        <f>SUMIFS(tabela_registros[VALOR],tabela_registros[MÊS],$AE$1,tabela_registros[DIA],reservafixaconsolidadojun[[#Headers],[8]],tabela_registros[REGISTRO],DADOS!$N$6,tabela_registros[TIPO],DADOS!$AJ$3,tabela_registros[CATEGORIA],reservafixaconsolidadojun[[#This Row],[ATUAL]])</f>
        <v>0</v>
      </c>
      <c r="M174" s="91">
        <f>SUMIFS(tabela_registros[VALOR],tabela_registros[MÊS],$AE$1,tabela_registros[DIA],reservafixaconsolidadojun[[#Headers],[9]],tabela_registros[REGISTRO],DADOS!$N$6,tabela_registros[TIPO],DADOS!$AJ$3,tabela_registros[CATEGORIA],reservafixaconsolidadojun[[#This Row],[ATUAL]])</f>
        <v>0</v>
      </c>
      <c r="N174" s="91">
        <f>SUMIFS(tabela_registros[VALOR],tabela_registros[MÊS],$AE$1,tabela_registros[DIA],reservafixaconsolidadojun[[#Headers],[10]],tabela_registros[REGISTRO],DADOS!$N$6,tabela_registros[TIPO],DADOS!$AJ$3,tabela_registros[CATEGORIA],reservafixaconsolidadojun[[#This Row],[ATUAL]])</f>
        <v>0</v>
      </c>
      <c r="O174" s="91">
        <f>SUMIFS(tabela_registros[VALOR],tabela_registros[MÊS],$AE$1,tabela_registros[DIA],reservafixaconsolidadojun[[#Headers],[11]],tabela_registros[REGISTRO],DADOS!$N$6,tabela_registros[TIPO],DADOS!$AJ$3,tabela_registros[CATEGORIA],reservafixaconsolidadojun[[#This Row],[ATUAL]])</f>
        <v>0</v>
      </c>
      <c r="P174" s="91">
        <f>SUMIFS(tabela_registros[VALOR],tabela_registros[MÊS],$AE$1,tabela_registros[DIA],reservafixaconsolidadojun[[#Headers],[12]],tabela_registros[REGISTRO],DADOS!$N$6,tabela_registros[TIPO],DADOS!$AJ$3,tabela_registros[CATEGORIA],reservafixaconsolidadojun[[#This Row],[ATUAL]])</f>
        <v>0</v>
      </c>
      <c r="Q174" s="91">
        <f>SUMIFS(tabela_registros[VALOR],tabela_registros[MÊS],$AE$1,tabela_registros[DIA],reservafixaconsolidadojun[[#Headers],[13]],tabela_registros[REGISTRO],DADOS!$N$6,tabela_registros[TIPO],DADOS!$AJ$3,tabela_registros[CATEGORIA],reservafixaconsolidadojun[[#This Row],[ATUAL]])</f>
        <v>0</v>
      </c>
      <c r="R174" s="91">
        <f>SUMIFS(tabela_registros[VALOR],tabela_registros[MÊS],$AE$1,tabela_registros[DIA],reservafixaconsolidadojun[[#Headers],[14]],tabela_registros[REGISTRO],DADOS!$N$6,tabela_registros[TIPO],DADOS!$AJ$3,tabela_registros[CATEGORIA],reservafixaconsolidadojun[[#This Row],[ATUAL]])</f>
        <v>0</v>
      </c>
      <c r="S174" s="91">
        <f>SUMIFS(tabela_registros[VALOR],tabela_registros[MÊS],$AE$1,tabela_registros[DIA],reservafixaconsolidadojun[[#Headers],[15]],tabela_registros[REGISTRO],DADOS!$N$6,tabela_registros[TIPO],DADOS!$AJ$3,tabela_registros[CATEGORIA],reservafixaconsolidadojun[[#This Row],[ATUAL]])</f>
        <v>0</v>
      </c>
      <c r="T174" s="91">
        <f>SUMIFS(tabela_registros[VALOR],tabela_registros[MÊS],$AE$1,tabela_registros[DIA],reservafixaconsolidadojun[[#Headers],[16]],tabela_registros[REGISTRO],DADOS!$N$6,tabela_registros[TIPO],DADOS!$AJ$3,tabela_registros[CATEGORIA],reservafixaconsolidadojun[[#This Row],[ATUAL]])</f>
        <v>0</v>
      </c>
      <c r="U174" s="91">
        <f>SUMIFS(tabela_registros[VALOR],tabela_registros[MÊS],$AE$1,tabela_registros[DIA],reservafixaconsolidadojun[[#Headers],[17]],tabela_registros[REGISTRO],DADOS!$N$6,tabela_registros[TIPO],DADOS!$AJ$3,tabela_registros[CATEGORIA],reservafixaconsolidadojun[[#This Row],[ATUAL]])</f>
        <v>0</v>
      </c>
      <c r="V174" s="91">
        <f>SUMIFS(tabela_registros[VALOR],tabela_registros[MÊS],$AE$1,tabela_registros[DIA],reservafixaconsolidadojun[[#Headers],[18]],tabela_registros[REGISTRO],DADOS!$N$6,tabela_registros[TIPO],DADOS!$AJ$3,tabela_registros[CATEGORIA],reservafixaconsolidadojun[[#This Row],[ATUAL]])</f>
        <v>0</v>
      </c>
      <c r="W174" s="91">
        <f>SUMIFS(tabela_registros[VALOR],tabela_registros[MÊS],$AE$1,tabela_registros[DIA],reservafixaconsolidadojun[[#Headers],[19]],tabela_registros[REGISTRO],DADOS!$N$6,tabela_registros[TIPO],DADOS!$AJ$3,tabela_registros[CATEGORIA],reservafixaconsolidadojun[[#This Row],[ATUAL]])</f>
        <v>0</v>
      </c>
      <c r="X174" s="91">
        <f>SUMIFS(tabela_registros[VALOR],tabela_registros[MÊS],$AE$1,tabela_registros[DIA],reservafixaconsolidadojun[[#Headers],[20]],tabela_registros[REGISTRO],DADOS!$N$6,tabela_registros[TIPO],DADOS!$AJ$3,tabela_registros[CATEGORIA],reservafixaconsolidadojun[[#This Row],[ATUAL]])</f>
        <v>0</v>
      </c>
      <c r="Y174" s="91">
        <f>SUMIFS(tabela_registros[VALOR],tabela_registros[MÊS],$AE$1,tabela_registros[DIA],reservafixaconsolidadojun[[#Headers],[21]],tabela_registros[REGISTRO],DADOS!$N$6,tabela_registros[TIPO],DADOS!$AJ$3,tabela_registros[CATEGORIA],reservafixaconsolidadojun[[#This Row],[ATUAL]])</f>
        <v>0</v>
      </c>
      <c r="Z174" s="91">
        <f>SUMIFS(tabela_registros[VALOR],tabela_registros[MÊS],$AE$1,tabela_registros[DIA],reservafixaconsolidadojun[[#Headers],[22]],tabela_registros[REGISTRO],DADOS!$N$6,tabela_registros[TIPO],DADOS!$AJ$3,tabela_registros[CATEGORIA],reservafixaconsolidadojun[[#This Row],[ATUAL]])</f>
        <v>0</v>
      </c>
      <c r="AA174" s="91">
        <f>SUMIFS(tabela_registros[VALOR],tabela_registros[MÊS],$AE$1,tabela_registros[DIA],reservafixaconsolidadojun[[#Headers],[23]],tabela_registros[REGISTRO],DADOS!$N$6,tabela_registros[TIPO],DADOS!$AJ$3,tabela_registros[CATEGORIA],reservafixaconsolidadojun[[#This Row],[ATUAL]])</f>
        <v>0</v>
      </c>
      <c r="AB174" s="91">
        <f>SUMIFS(tabela_registros[VALOR],tabela_registros[MÊS],$AE$1,tabela_registros[DIA],reservafixaconsolidadojun[[#Headers],[24]],tabela_registros[REGISTRO],DADOS!$N$6,tabela_registros[TIPO],DADOS!$AJ$3,tabela_registros[CATEGORIA],reservafixaconsolidadojun[[#This Row],[ATUAL]])</f>
        <v>0</v>
      </c>
      <c r="AC174" s="91">
        <f>SUMIFS(tabela_registros[VALOR],tabela_registros[MÊS],$AE$1,tabela_registros[DIA],reservafixaconsolidadojun[[#Headers],[25]],tabela_registros[REGISTRO],DADOS!$N$6,tabela_registros[TIPO],DADOS!$AJ$3,tabela_registros[CATEGORIA],reservafixaconsolidadojun[[#This Row],[ATUAL]])</f>
        <v>0</v>
      </c>
      <c r="AD174" s="91">
        <f>SUMIFS(tabela_registros[VALOR],tabela_registros[MÊS],$AE$1,tabela_registros[DIA],reservafixaconsolidadojun[[#Headers],[26]],tabela_registros[REGISTRO],DADOS!$N$6,tabela_registros[TIPO],DADOS!$AJ$3,tabela_registros[CATEGORIA],reservafixaconsolidadojun[[#This Row],[ATUAL]])</f>
        <v>0</v>
      </c>
      <c r="AE174" s="91">
        <f>SUMIFS(tabela_registros[VALOR],tabela_registros[MÊS],$AE$1,tabela_registros[DIA],reservafixaconsolidadojun[[#Headers],[27]],tabela_registros[REGISTRO],DADOS!$N$6,tabela_registros[TIPO],DADOS!$AJ$3,tabela_registros[CATEGORIA],reservafixaconsolidadojun[[#This Row],[ATUAL]])</f>
        <v>0</v>
      </c>
      <c r="AF174" s="91">
        <f>SUMIFS(tabela_registros[VALOR],tabela_registros[MÊS],$AE$1,tabela_registros[DIA],reservafixaconsolidadojun[[#Headers],[28]],tabela_registros[REGISTRO],DADOS!$N$6,tabela_registros[TIPO],DADOS!$AJ$3,tabela_registros[CATEGORIA],reservafixaconsolidadojun[[#This Row],[ATUAL]])</f>
        <v>0</v>
      </c>
      <c r="AG174" s="91">
        <f>SUMIFS(tabela_registros[VALOR],tabela_registros[MÊS],$AE$1,tabela_registros[DIA],reservafixaconsolidadojun[[#Headers],[29]],tabela_registros[REGISTRO],DADOS!$N$6,tabela_registros[TIPO],DADOS!$AJ$3,tabela_registros[CATEGORIA],reservafixaconsolidadojun[[#This Row],[ATUAL]])</f>
        <v>0</v>
      </c>
      <c r="AH174" s="91">
        <f>SUMIFS(tabela_registros[VALOR],tabela_registros[MÊS],$AE$1,tabela_registros[DIA],reservafixaconsolidadojun[[#Headers],[30]],tabela_registros[REGISTRO],DADOS!$N$6,tabela_registros[TIPO],DADOS!$AJ$3,tabela_registros[CATEGORIA],reservafixaconsolidadojun[[#This Row],[ATUAL]])</f>
        <v>0</v>
      </c>
      <c r="AI174" s="101">
        <f>SUMIFS(tabela_registros[VALOR],tabela_registros[MÊS],$AE$1,tabela_registros[DIA],reservafixaconsolidadojun[[#Headers],[31]],tabela_registros[REGISTRO],DADOS!$N$6,tabela_registros[TIPO],DADOS!$AJ$3,tabela_registros[CATEGORIA],reservafixaconsolidadojun[[#This Row],[ATUAL]])</f>
        <v>0</v>
      </c>
      <c r="AJ174" s="97">
        <f>SUM(reservafixaconsolidadojun[[#This Row],[1]:[31]])</f>
        <v>0</v>
      </c>
      <c r="AK174" s="25"/>
    </row>
    <row r="175" spans="2:37" ht="19.5" customHeight="1" thickTop="1" thickBot="1" x14ac:dyDescent="0.3">
      <c r="B175" s="28"/>
      <c r="C175" s="27" t="str">
        <f>DADOS!$AL$10</f>
        <v>📝 LCI</v>
      </c>
      <c r="D175" s="26" t="str">
        <f>IF(reservafixaconsolidadojun[[#This Row],[TOTAL (R$)]]=0,"",IF(OR(reservafixaconsolidadojun[[#This Row],[TOTAL (R$)]]=LARGE($AJ$168:$AJ$177,1),reservafixaconsolidadojun[[#This Row],[TOTAL (R$)]]=LARGE($AJ$168:$AJ$177,2)),DADOS!$I$11,""))</f>
        <v/>
      </c>
      <c r="E175" s="96">
        <f>SUMIFS(tabela_registros[VALOR],tabela_registros[MÊS],$AE$1,tabela_registros[DIA],reservafixaconsolidadojun[[#Headers],[1]],tabela_registros[REGISTRO],DADOS!$N$6,tabela_registros[TIPO],DADOS!$AJ$3,tabela_registros[CATEGORIA],reservafixaconsolidadojun[[#This Row],[ATUAL]])</f>
        <v>0</v>
      </c>
      <c r="F175" s="91">
        <f>SUMIFS(tabela_registros[VALOR],tabela_registros[MÊS],$AE$1,tabela_registros[DIA],reservafixaconsolidadojun[[#Headers],[2]],tabela_registros[REGISTRO],DADOS!$N$6,tabela_registros[TIPO],DADOS!$AJ$3,tabela_registros[CATEGORIA],reservafixaconsolidadojun[[#This Row],[ATUAL]])</f>
        <v>0</v>
      </c>
      <c r="G175" s="91">
        <f>SUMIFS(tabela_registros[VALOR],tabela_registros[MÊS],$AE$1,tabela_registros[DIA],reservafixaconsolidadojun[[#Headers],[3]],tabela_registros[REGISTRO],DADOS!$N$6,tabela_registros[TIPO],DADOS!$AJ$3,tabela_registros[CATEGORIA],reservafixaconsolidadojun[[#This Row],[ATUAL]])</f>
        <v>0</v>
      </c>
      <c r="H175" s="91">
        <f>SUMIFS(tabela_registros[VALOR],tabela_registros[MÊS],$AE$1,tabela_registros[DIA],reservafixaconsolidadojun[[#Headers],[4]],tabela_registros[REGISTRO],DADOS!$N$6,tabela_registros[TIPO],DADOS!$AJ$3,tabela_registros[CATEGORIA],reservafixaconsolidadojun[[#This Row],[ATUAL]])</f>
        <v>0</v>
      </c>
      <c r="I175" s="91">
        <f>SUMIFS(tabela_registros[VALOR],tabela_registros[MÊS],$AE$1,tabela_registros[DIA],reservafixaconsolidadojun[[#Headers],[5]],tabela_registros[REGISTRO],DADOS!$N$6,tabela_registros[TIPO],DADOS!$AJ$3,tabela_registros[CATEGORIA],reservafixaconsolidadojun[[#This Row],[ATUAL]])</f>
        <v>0</v>
      </c>
      <c r="J175" s="91">
        <f>SUMIFS(tabela_registros[VALOR],tabela_registros[MÊS],$AE$1,tabela_registros[DIA],reservafixaconsolidadojun[[#Headers],[6]],tabela_registros[REGISTRO],DADOS!$N$6,tabela_registros[TIPO],DADOS!$AJ$3,tabela_registros[CATEGORIA],reservafixaconsolidadojun[[#This Row],[ATUAL]])</f>
        <v>0</v>
      </c>
      <c r="K175" s="91">
        <f>SUMIFS(tabela_registros[VALOR],tabela_registros[MÊS],$AE$1,tabela_registros[DIA],reservafixaconsolidadojun[[#Headers],[7]],tabela_registros[REGISTRO],DADOS!$N$6,tabela_registros[TIPO],DADOS!$AJ$3,tabela_registros[CATEGORIA],reservafixaconsolidadojun[[#This Row],[ATUAL]])</f>
        <v>0</v>
      </c>
      <c r="L175" s="91">
        <f>SUMIFS(tabela_registros[VALOR],tabela_registros[MÊS],$AE$1,tabela_registros[DIA],reservafixaconsolidadojun[[#Headers],[8]],tabela_registros[REGISTRO],DADOS!$N$6,tabela_registros[TIPO],DADOS!$AJ$3,tabela_registros[CATEGORIA],reservafixaconsolidadojun[[#This Row],[ATUAL]])</f>
        <v>0</v>
      </c>
      <c r="M175" s="91">
        <f>SUMIFS(tabela_registros[VALOR],tabela_registros[MÊS],$AE$1,tabela_registros[DIA],reservafixaconsolidadojun[[#Headers],[9]],tabela_registros[REGISTRO],DADOS!$N$6,tabela_registros[TIPO],DADOS!$AJ$3,tabela_registros[CATEGORIA],reservafixaconsolidadojun[[#This Row],[ATUAL]])</f>
        <v>0</v>
      </c>
      <c r="N175" s="91">
        <f>SUMIFS(tabela_registros[VALOR],tabela_registros[MÊS],$AE$1,tabela_registros[DIA],reservafixaconsolidadojun[[#Headers],[10]],tabela_registros[REGISTRO],DADOS!$N$6,tabela_registros[TIPO],DADOS!$AJ$3,tabela_registros[CATEGORIA],reservafixaconsolidadojun[[#This Row],[ATUAL]])</f>
        <v>0</v>
      </c>
      <c r="O175" s="91">
        <f>SUMIFS(tabela_registros[VALOR],tabela_registros[MÊS],$AE$1,tabela_registros[DIA],reservafixaconsolidadojun[[#Headers],[11]],tabela_registros[REGISTRO],DADOS!$N$6,tabela_registros[TIPO],DADOS!$AJ$3,tabela_registros[CATEGORIA],reservafixaconsolidadojun[[#This Row],[ATUAL]])</f>
        <v>0</v>
      </c>
      <c r="P175" s="91">
        <f>SUMIFS(tabela_registros[VALOR],tabela_registros[MÊS],$AE$1,tabela_registros[DIA],reservafixaconsolidadojun[[#Headers],[12]],tabela_registros[REGISTRO],DADOS!$N$6,tabela_registros[TIPO],DADOS!$AJ$3,tabela_registros[CATEGORIA],reservafixaconsolidadojun[[#This Row],[ATUAL]])</f>
        <v>0</v>
      </c>
      <c r="Q175" s="91">
        <f>SUMIFS(tabela_registros[VALOR],tabela_registros[MÊS],$AE$1,tabela_registros[DIA],reservafixaconsolidadojun[[#Headers],[13]],tabela_registros[REGISTRO],DADOS!$N$6,tabela_registros[TIPO],DADOS!$AJ$3,tabela_registros[CATEGORIA],reservafixaconsolidadojun[[#This Row],[ATUAL]])</f>
        <v>0</v>
      </c>
      <c r="R175" s="91">
        <f>SUMIFS(tabela_registros[VALOR],tabela_registros[MÊS],$AE$1,tabela_registros[DIA],reservafixaconsolidadojun[[#Headers],[14]],tabela_registros[REGISTRO],DADOS!$N$6,tabela_registros[TIPO],DADOS!$AJ$3,tabela_registros[CATEGORIA],reservafixaconsolidadojun[[#This Row],[ATUAL]])</f>
        <v>0</v>
      </c>
      <c r="S175" s="91">
        <f>SUMIFS(tabela_registros[VALOR],tabela_registros[MÊS],$AE$1,tabela_registros[DIA],reservafixaconsolidadojun[[#Headers],[15]],tabela_registros[REGISTRO],DADOS!$N$6,tabela_registros[TIPO],DADOS!$AJ$3,tabela_registros[CATEGORIA],reservafixaconsolidadojun[[#This Row],[ATUAL]])</f>
        <v>0</v>
      </c>
      <c r="T175" s="91">
        <f>SUMIFS(tabela_registros[VALOR],tabela_registros[MÊS],$AE$1,tabela_registros[DIA],reservafixaconsolidadojun[[#Headers],[16]],tabela_registros[REGISTRO],DADOS!$N$6,tabela_registros[TIPO],DADOS!$AJ$3,tabela_registros[CATEGORIA],reservafixaconsolidadojun[[#This Row],[ATUAL]])</f>
        <v>0</v>
      </c>
      <c r="U175" s="91">
        <f>SUMIFS(tabela_registros[VALOR],tabela_registros[MÊS],$AE$1,tabela_registros[DIA],reservafixaconsolidadojun[[#Headers],[17]],tabela_registros[REGISTRO],DADOS!$N$6,tabela_registros[TIPO],DADOS!$AJ$3,tabela_registros[CATEGORIA],reservafixaconsolidadojun[[#This Row],[ATUAL]])</f>
        <v>0</v>
      </c>
      <c r="V175" s="91">
        <f>SUMIFS(tabela_registros[VALOR],tabela_registros[MÊS],$AE$1,tabela_registros[DIA],reservafixaconsolidadojun[[#Headers],[18]],tabela_registros[REGISTRO],DADOS!$N$6,tabela_registros[TIPO],DADOS!$AJ$3,tabela_registros[CATEGORIA],reservafixaconsolidadojun[[#This Row],[ATUAL]])</f>
        <v>0</v>
      </c>
      <c r="W175" s="91">
        <f>SUMIFS(tabela_registros[VALOR],tabela_registros[MÊS],$AE$1,tabela_registros[DIA],reservafixaconsolidadojun[[#Headers],[19]],tabela_registros[REGISTRO],DADOS!$N$6,tabela_registros[TIPO],DADOS!$AJ$3,tabela_registros[CATEGORIA],reservafixaconsolidadojun[[#This Row],[ATUAL]])</f>
        <v>0</v>
      </c>
      <c r="X175" s="91">
        <f>SUMIFS(tabela_registros[VALOR],tabela_registros[MÊS],$AE$1,tabela_registros[DIA],reservafixaconsolidadojun[[#Headers],[20]],tabela_registros[REGISTRO],DADOS!$N$6,tabela_registros[TIPO],DADOS!$AJ$3,tabela_registros[CATEGORIA],reservafixaconsolidadojun[[#This Row],[ATUAL]])</f>
        <v>0</v>
      </c>
      <c r="Y175" s="91">
        <f>SUMIFS(tabela_registros[VALOR],tabela_registros[MÊS],$AE$1,tabela_registros[DIA],reservafixaconsolidadojun[[#Headers],[21]],tabela_registros[REGISTRO],DADOS!$N$6,tabela_registros[TIPO],DADOS!$AJ$3,tabela_registros[CATEGORIA],reservafixaconsolidadojun[[#This Row],[ATUAL]])</f>
        <v>0</v>
      </c>
      <c r="Z175" s="91">
        <f>SUMIFS(tabela_registros[VALOR],tabela_registros[MÊS],$AE$1,tabela_registros[DIA],reservafixaconsolidadojun[[#Headers],[22]],tabela_registros[REGISTRO],DADOS!$N$6,tabela_registros[TIPO],DADOS!$AJ$3,tabela_registros[CATEGORIA],reservafixaconsolidadojun[[#This Row],[ATUAL]])</f>
        <v>0</v>
      </c>
      <c r="AA175" s="91">
        <f>SUMIFS(tabela_registros[VALOR],tabela_registros[MÊS],$AE$1,tabela_registros[DIA],reservafixaconsolidadojun[[#Headers],[23]],tabela_registros[REGISTRO],DADOS!$N$6,tabela_registros[TIPO],DADOS!$AJ$3,tabela_registros[CATEGORIA],reservafixaconsolidadojun[[#This Row],[ATUAL]])</f>
        <v>0</v>
      </c>
      <c r="AB175" s="91">
        <f>SUMIFS(tabela_registros[VALOR],tabela_registros[MÊS],$AE$1,tabela_registros[DIA],reservafixaconsolidadojun[[#Headers],[24]],tabela_registros[REGISTRO],DADOS!$N$6,tabela_registros[TIPO],DADOS!$AJ$3,tabela_registros[CATEGORIA],reservafixaconsolidadojun[[#This Row],[ATUAL]])</f>
        <v>0</v>
      </c>
      <c r="AC175" s="91">
        <f>SUMIFS(tabela_registros[VALOR],tabela_registros[MÊS],$AE$1,tabela_registros[DIA],reservafixaconsolidadojun[[#Headers],[25]],tabela_registros[REGISTRO],DADOS!$N$6,tabela_registros[TIPO],DADOS!$AJ$3,tabela_registros[CATEGORIA],reservafixaconsolidadojun[[#This Row],[ATUAL]])</f>
        <v>0</v>
      </c>
      <c r="AD175" s="91">
        <f>SUMIFS(tabela_registros[VALOR],tabela_registros[MÊS],$AE$1,tabela_registros[DIA],reservafixaconsolidadojun[[#Headers],[26]],tabela_registros[REGISTRO],DADOS!$N$6,tabela_registros[TIPO],DADOS!$AJ$3,tabela_registros[CATEGORIA],reservafixaconsolidadojun[[#This Row],[ATUAL]])</f>
        <v>0</v>
      </c>
      <c r="AE175" s="91">
        <f>SUMIFS(tabela_registros[VALOR],tabela_registros[MÊS],$AE$1,tabela_registros[DIA],reservafixaconsolidadojun[[#Headers],[27]],tabela_registros[REGISTRO],DADOS!$N$6,tabela_registros[TIPO],DADOS!$AJ$3,tabela_registros[CATEGORIA],reservafixaconsolidadojun[[#This Row],[ATUAL]])</f>
        <v>0</v>
      </c>
      <c r="AF175" s="91">
        <f>SUMIFS(tabela_registros[VALOR],tabela_registros[MÊS],$AE$1,tabela_registros[DIA],reservafixaconsolidadojun[[#Headers],[28]],tabela_registros[REGISTRO],DADOS!$N$6,tabela_registros[TIPO],DADOS!$AJ$3,tabela_registros[CATEGORIA],reservafixaconsolidadojun[[#This Row],[ATUAL]])</f>
        <v>0</v>
      </c>
      <c r="AG175" s="91">
        <f>SUMIFS(tabela_registros[VALOR],tabela_registros[MÊS],$AE$1,tabela_registros[DIA],reservafixaconsolidadojun[[#Headers],[29]],tabela_registros[REGISTRO],DADOS!$N$6,tabela_registros[TIPO],DADOS!$AJ$3,tabela_registros[CATEGORIA],reservafixaconsolidadojun[[#This Row],[ATUAL]])</f>
        <v>0</v>
      </c>
      <c r="AH175" s="91">
        <f>SUMIFS(tabela_registros[VALOR],tabela_registros[MÊS],$AE$1,tabela_registros[DIA],reservafixaconsolidadojun[[#Headers],[30]],tabela_registros[REGISTRO],DADOS!$N$6,tabela_registros[TIPO],DADOS!$AJ$3,tabela_registros[CATEGORIA],reservafixaconsolidadojun[[#This Row],[ATUAL]])</f>
        <v>0</v>
      </c>
      <c r="AI175" s="101">
        <f>SUMIFS(tabela_registros[VALOR],tabela_registros[MÊS],$AE$1,tabela_registros[DIA],reservafixaconsolidadojun[[#Headers],[31]],tabela_registros[REGISTRO],DADOS!$N$6,tabela_registros[TIPO],DADOS!$AJ$3,tabela_registros[CATEGORIA],reservafixaconsolidadojun[[#This Row],[ATUAL]])</f>
        <v>0</v>
      </c>
      <c r="AJ175" s="97">
        <f>SUM(reservafixaconsolidadojun[[#This Row],[1]:[31]])</f>
        <v>0</v>
      </c>
      <c r="AK175" s="25"/>
    </row>
    <row r="176" spans="2:37" ht="19.5" customHeight="1" thickTop="1" thickBot="1" x14ac:dyDescent="0.3">
      <c r="B176" s="28"/>
      <c r="C176" s="27" t="str">
        <f>DADOS!$AL$11</f>
        <v>📝 TESOURO DIRETO</v>
      </c>
      <c r="D176" s="26" t="str">
        <f>IF(reservafixaconsolidadojun[[#This Row],[TOTAL (R$)]]=0,"",IF(OR(reservafixaconsolidadojun[[#This Row],[TOTAL (R$)]]=LARGE($AJ$168:$AJ$177,1),reservafixaconsolidadojun[[#This Row],[TOTAL (R$)]]=LARGE($AJ$168:$AJ$177,2)),DADOS!$I$11,""))</f>
        <v/>
      </c>
      <c r="E176" s="96">
        <f>SUMIFS(tabela_registros[VALOR],tabela_registros[MÊS],$AE$1,tabela_registros[DIA],reservafixaconsolidadojun[[#Headers],[1]],tabela_registros[REGISTRO],DADOS!$N$6,tabela_registros[TIPO],DADOS!$AJ$3,tabela_registros[CATEGORIA],reservafixaconsolidadojun[[#This Row],[ATUAL]])</f>
        <v>0</v>
      </c>
      <c r="F176" s="91">
        <f>SUMIFS(tabela_registros[VALOR],tabela_registros[MÊS],$AE$1,tabela_registros[DIA],reservafixaconsolidadojun[[#Headers],[2]],tabela_registros[REGISTRO],DADOS!$N$6,tabela_registros[TIPO],DADOS!$AJ$3,tabela_registros[CATEGORIA],reservafixaconsolidadojun[[#This Row],[ATUAL]])</f>
        <v>0</v>
      </c>
      <c r="G176" s="91">
        <f>SUMIFS(tabela_registros[VALOR],tabela_registros[MÊS],$AE$1,tabela_registros[DIA],reservafixaconsolidadojun[[#Headers],[3]],tabela_registros[REGISTRO],DADOS!$N$6,tabela_registros[TIPO],DADOS!$AJ$3,tabela_registros[CATEGORIA],reservafixaconsolidadojun[[#This Row],[ATUAL]])</f>
        <v>0</v>
      </c>
      <c r="H176" s="91">
        <f>SUMIFS(tabela_registros[VALOR],tabela_registros[MÊS],$AE$1,tabela_registros[DIA],reservafixaconsolidadojun[[#Headers],[4]],tabela_registros[REGISTRO],DADOS!$N$6,tabela_registros[TIPO],DADOS!$AJ$3,tabela_registros[CATEGORIA],reservafixaconsolidadojun[[#This Row],[ATUAL]])</f>
        <v>0</v>
      </c>
      <c r="I176" s="91">
        <f>SUMIFS(tabela_registros[VALOR],tabela_registros[MÊS],$AE$1,tabela_registros[DIA],reservafixaconsolidadojun[[#Headers],[5]],tabela_registros[REGISTRO],DADOS!$N$6,tabela_registros[TIPO],DADOS!$AJ$3,tabela_registros[CATEGORIA],reservafixaconsolidadojun[[#This Row],[ATUAL]])</f>
        <v>0</v>
      </c>
      <c r="J176" s="91">
        <f>SUMIFS(tabela_registros[VALOR],tabela_registros[MÊS],$AE$1,tabela_registros[DIA],reservafixaconsolidadojun[[#Headers],[6]],tabela_registros[REGISTRO],DADOS!$N$6,tabela_registros[TIPO],DADOS!$AJ$3,tabela_registros[CATEGORIA],reservafixaconsolidadojun[[#This Row],[ATUAL]])</f>
        <v>0</v>
      </c>
      <c r="K176" s="91">
        <f>SUMIFS(tabela_registros[VALOR],tabela_registros[MÊS],$AE$1,tabela_registros[DIA],reservafixaconsolidadojun[[#Headers],[7]],tabela_registros[REGISTRO],DADOS!$N$6,tabela_registros[TIPO],DADOS!$AJ$3,tabela_registros[CATEGORIA],reservafixaconsolidadojun[[#This Row],[ATUAL]])</f>
        <v>0</v>
      </c>
      <c r="L176" s="91">
        <f>SUMIFS(tabela_registros[VALOR],tabela_registros[MÊS],$AE$1,tabela_registros[DIA],reservafixaconsolidadojun[[#Headers],[8]],tabela_registros[REGISTRO],DADOS!$N$6,tabela_registros[TIPO],DADOS!$AJ$3,tabela_registros[CATEGORIA],reservafixaconsolidadojun[[#This Row],[ATUAL]])</f>
        <v>0</v>
      </c>
      <c r="M176" s="91">
        <f>SUMIFS(tabela_registros[VALOR],tabela_registros[MÊS],$AE$1,tabela_registros[DIA],reservafixaconsolidadojun[[#Headers],[9]],tabela_registros[REGISTRO],DADOS!$N$6,tabela_registros[TIPO],DADOS!$AJ$3,tabela_registros[CATEGORIA],reservafixaconsolidadojun[[#This Row],[ATUAL]])</f>
        <v>0</v>
      </c>
      <c r="N176" s="91">
        <f>SUMIFS(tabela_registros[VALOR],tabela_registros[MÊS],$AE$1,tabela_registros[DIA],reservafixaconsolidadojun[[#Headers],[10]],tabela_registros[REGISTRO],DADOS!$N$6,tabela_registros[TIPO],DADOS!$AJ$3,tabela_registros[CATEGORIA],reservafixaconsolidadojun[[#This Row],[ATUAL]])</f>
        <v>0</v>
      </c>
      <c r="O176" s="91">
        <f>SUMIFS(tabela_registros[VALOR],tabela_registros[MÊS],$AE$1,tabela_registros[DIA],reservafixaconsolidadojun[[#Headers],[11]],tabela_registros[REGISTRO],DADOS!$N$6,tabela_registros[TIPO],DADOS!$AJ$3,tabela_registros[CATEGORIA],reservafixaconsolidadojun[[#This Row],[ATUAL]])</f>
        <v>0</v>
      </c>
      <c r="P176" s="91">
        <f>SUMIFS(tabela_registros[VALOR],tabela_registros[MÊS],$AE$1,tabela_registros[DIA],reservafixaconsolidadojun[[#Headers],[12]],tabela_registros[REGISTRO],DADOS!$N$6,tabela_registros[TIPO],DADOS!$AJ$3,tabela_registros[CATEGORIA],reservafixaconsolidadojun[[#This Row],[ATUAL]])</f>
        <v>0</v>
      </c>
      <c r="Q176" s="91">
        <f>SUMIFS(tabela_registros[VALOR],tabela_registros[MÊS],$AE$1,tabela_registros[DIA],reservafixaconsolidadojun[[#Headers],[13]],tabela_registros[REGISTRO],DADOS!$N$6,tabela_registros[TIPO],DADOS!$AJ$3,tabela_registros[CATEGORIA],reservafixaconsolidadojun[[#This Row],[ATUAL]])</f>
        <v>0</v>
      </c>
      <c r="R176" s="91">
        <f>SUMIFS(tabela_registros[VALOR],tabela_registros[MÊS],$AE$1,tabela_registros[DIA],reservafixaconsolidadojun[[#Headers],[14]],tabela_registros[REGISTRO],DADOS!$N$6,tabela_registros[TIPO],DADOS!$AJ$3,tabela_registros[CATEGORIA],reservafixaconsolidadojun[[#This Row],[ATUAL]])</f>
        <v>0</v>
      </c>
      <c r="S176" s="91">
        <f>SUMIFS(tabela_registros[VALOR],tabela_registros[MÊS],$AE$1,tabela_registros[DIA],reservafixaconsolidadojun[[#Headers],[15]],tabela_registros[REGISTRO],DADOS!$N$6,tabela_registros[TIPO],DADOS!$AJ$3,tabela_registros[CATEGORIA],reservafixaconsolidadojun[[#This Row],[ATUAL]])</f>
        <v>0</v>
      </c>
      <c r="T176" s="91">
        <f>SUMIFS(tabela_registros[VALOR],tabela_registros[MÊS],$AE$1,tabela_registros[DIA],reservafixaconsolidadojun[[#Headers],[16]],tabela_registros[REGISTRO],DADOS!$N$6,tabela_registros[TIPO],DADOS!$AJ$3,tabela_registros[CATEGORIA],reservafixaconsolidadojun[[#This Row],[ATUAL]])</f>
        <v>0</v>
      </c>
      <c r="U176" s="91">
        <f>SUMIFS(tabela_registros[VALOR],tabela_registros[MÊS],$AE$1,tabela_registros[DIA],reservafixaconsolidadojun[[#Headers],[17]],tabela_registros[REGISTRO],DADOS!$N$6,tabela_registros[TIPO],DADOS!$AJ$3,tabela_registros[CATEGORIA],reservafixaconsolidadojun[[#This Row],[ATUAL]])</f>
        <v>0</v>
      </c>
      <c r="V176" s="91">
        <f>SUMIFS(tabela_registros[VALOR],tabela_registros[MÊS],$AE$1,tabela_registros[DIA],reservafixaconsolidadojun[[#Headers],[18]],tabela_registros[REGISTRO],DADOS!$N$6,tabela_registros[TIPO],DADOS!$AJ$3,tabela_registros[CATEGORIA],reservafixaconsolidadojun[[#This Row],[ATUAL]])</f>
        <v>0</v>
      </c>
      <c r="W176" s="91">
        <f>SUMIFS(tabela_registros[VALOR],tabela_registros[MÊS],$AE$1,tabela_registros[DIA],reservafixaconsolidadojun[[#Headers],[19]],tabela_registros[REGISTRO],DADOS!$N$6,tabela_registros[TIPO],DADOS!$AJ$3,tabela_registros[CATEGORIA],reservafixaconsolidadojun[[#This Row],[ATUAL]])</f>
        <v>0</v>
      </c>
      <c r="X176" s="91">
        <f>SUMIFS(tabela_registros[VALOR],tabela_registros[MÊS],$AE$1,tabela_registros[DIA],reservafixaconsolidadojun[[#Headers],[20]],tabela_registros[REGISTRO],DADOS!$N$6,tabela_registros[TIPO],DADOS!$AJ$3,tabela_registros[CATEGORIA],reservafixaconsolidadojun[[#This Row],[ATUAL]])</f>
        <v>0</v>
      </c>
      <c r="Y176" s="91">
        <f>SUMIFS(tabela_registros[VALOR],tabela_registros[MÊS],$AE$1,tabela_registros[DIA],reservafixaconsolidadojun[[#Headers],[21]],tabela_registros[REGISTRO],DADOS!$N$6,tabela_registros[TIPO],DADOS!$AJ$3,tabela_registros[CATEGORIA],reservafixaconsolidadojun[[#This Row],[ATUAL]])</f>
        <v>0</v>
      </c>
      <c r="Z176" s="91">
        <f>SUMIFS(tabela_registros[VALOR],tabela_registros[MÊS],$AE$1,tabela_registros[DIA],reservafixaconsolidadojun[[#Headers],[22]],tabela_registros[REGISTRO],DADOS!$N$6,tabela_registros[TIPO],DADOS!$AJ$3,tabela_registros[CATEGORIA],reservafixaconsolidadojun[[#This Row],[ATUAL]])</f>
        <v>0</v>
      </c>
      <c r="AA176" s="91">
        <f>SUMIFS(tabela_registros[VALOR],tabela_registros[MÊS],$AE$1,tabela_registros[DIA],reservafixaconsolidadojun[[#Headers],[23]],tabela_registros[REGISTRO],DADOS!$N$6,tabela_registros[TIPO],DADOS!$AJ$3,tabela_registros[CATEGORIA],reservafixaconsolidadojun[[#This Row],[ATUAL]])</f>
        <v>0</v>
      </c>
      <c r="AB176" s="91">
        <f>SUMIFS(tabela_registros[VALOR],tabela_registros[MÊS],$AE$1,tabela_registros[DIA],reservafixaconsolidadojun[[#Headers],[24]],tabela_registros[REGISTRO],DADOS!$N$6,tabela_registros[TIPO],DADOS!$AJ$3,tabela_registros[CATEGORIA],reservafixaconsolidadojun[[#This Row],[ATUAL]])</f>
        <v>0</v>
      </c>
      <c r="AC176" s="91">
        <f>SUMIFS(tabela_registros[VALOR],tabela_registros[MÊS],$AE$1,tabela_registros[DIA],reservafixaconsolidadojun[[#Headers],[25]],tabela_registros[REGISTRO],DADOS!$N$6,tabela_registros[TIPO],DADOS!$AJ$3,tabela_registros[CATEGORIA],reservafixaconsolidadojun[[#This Row],[ATUAL]])</f>
        <v>0</v>
      </c>
      <c r="AD176" s="91">
        <f>SUMIFS(tabela_registros[VALOR],tabela_registros[MÊS],$AE$1,tabela_registros[DIA],reservafixaconsolidadojun[[#Headers],[26]],tabela_registros[REGISTRO],DADOS!$N$6,tabela_registros[TIPO],DADOS!$AJ$3,tabela_registros[CATEGORIA],reservafixaconsolidadojun[[#This Row],[ATUAL]])</f>
        <v>0</v>
      </c>
      <c r="AE176" s="91">
        <f>SUMIFS(tabela_registros[VALOR],tabela_registros[MÊS],$AE$1,tabela_registros[DIA],reservafixaconsolidadojun[[#Headers],[27]],tabela_registros[REGISTRO],DADOS!$N$6,tabela_registros[TIPO],DADOS!$AJ$3,tabela_registros[CATEGORIA],reservafixaconsolidadojun[[#This Row],[ATUAL]])</f>
        <v>0</v>
      </c>
      <c r="AF176" s="91">
        <f>SUMIFS(tabela_registros[VALOR],tabela_registros[MÊS],$AE$1,tabela_registros[DIA],reservafixaconsolidadojun[[#Headers],[28]],tabela_registros[REGISTRO],DADOS!$N$6,tabela_registros[TIPO],DADOS!$AJ$3,tabela_registros[CATEGORIA],reservafixaconsolidadojun[[#This Row],[ATUAL]])</f>
        <v>0</v>
      </c>
      <c r="AG176" s="91">
        <f>SUMIFS(tabela_registros[VALOR],tabela_registros[MÊS],$AE$1,tabela_registros[DIA],reservafixaconsolidadojun[[#Headers],[29]],tabela_registros[REGISTRO],DADOS!$N$6,tabela_registros[TIPO],DADOS!$AJ$3,tabela_registros[CATEGORIA],reservafixaconsolidadojun[[#This Row],[ATUAL]])</f>
        <v>0</v>
      </c>
      <c r="AH176" s="91">
        <f>SUMIFS(tabela_registros[VALOR],tabela_registros[MÊS],$AE$1,tabela_registros[DIA],reservafixaconsolidadojun[[#Headers],[30]],tabela_registros[REGISTRO],DADOS!$N$6,tabela_registros[TIPO],DADOS!$AJ$3,tabela_registros[CATEGORIA],reservafixaconsolidadojun[[#This Row],[ATUAL]])</f>
        <v>0</v>
      </c>
      <c r="AI176" s="101">
        <f>SUMIFS(tabela_registros[VALOR],tabela_registros[MÊS],$AE$1,tabela_registros[DIA],reservafixaconsolidadojun[[#Headers],[31]],tabela_registros[REGISTRO],DADOS!$N$6,tabela_registros[TIPO],DADOS!$AJ$3,tabela_registros[CATEGORIA],reservafixaconsolidadojun[[#This Row],[ATUAL]])</f>
        <v>0</v>
      </c>
      <c r="AJ176" s="97">
        <f>SUM(reservafixaconsolidadojun[[#This Row],[1]:[31]])</f>
        <v>0</v>
      </c>
      <c r="AK176" s="25"/>
    </row>
    <row r="177" spans="2:37" ht="19.5" customHeight="1" thickTop="1" thickBot="1" x14ac:dyDescent="0.3">
      <c r="B177" s="28"/>
      <c r="C177" s="27" t="str">
        <f>DADOS!$AL$12</f>
        <v>📎 OUTROS</v>
      </c>
      <c r="D177" s="26" t="str">
        <f>IF(reservafixaconsolidadojun[[#This Row],[TOTAL (R$)]]=0,"",IF(OR(reservafixaconsolidadojun[[#This Row],[TOTAL (R$)]]=LARGE($AJ$168:$AJ$177,1),reservafixaconsolidadojun[[#This Row],[TOTAL (R$)]]=LARGE($AJ$168:$AJ$177,2)),DADOS!$I$11,""))</f>
        <v/>
      </c>
      <c r="E177" s="96">
        <f>SUMIFS(tabela_registros[VALOR],tabela_registros[MÊS],$AE$1,tabela_registros[DIA],reservafixaconsolidadojun[[#Headers],[1]],tabela_registros[REGISTRO],DADOS!$N$6,tabela_registros[TIPO],DADOS!$AJ$3,tabela_registros[CATEGORIA],reservafixaconsolidadojun[[#This Row],[ATUAL]])</f>
        <v>0</v>
      </c>
      <c r="F177" s="91">
        <f>SUMIFS(tabela_registros[VALOR],tabela_registros[MÊS],$AE$1,tabela_registros[DIA],reservafixaconsolidadojun[[#Headers],[2]],tabela_registros[REGISTRO],DADOS!$N$6,tabela_registros[TIPO],DADOS!$AJ$3,tabela_registros[CATEGORIA],reservafixaconsolidadojun[[#This Row],[ATUAL]])</f>
        <v>0</v>
      </c>
      <c r="G177" s="91">
        <f>SUMIFS(tabela_registros[VALOR],tabela_registros[MÊS],$AE$1,tabela_registros[DIA],reservafixaconsolidadojun[[#Headers],[3]],tabela_registros[REGISTRO],DADOS!$N$6,tabela_registros[TIPO],DADOS!$AJ$3,tabela_registros[CATEGORIA],reservafixaconsolidadojun[[#This Row],[ATUAL]])</f>
        <v>0</v>
      </c>
      <c r="H177" s="91">
        <f>SUMIFS(tabela_registros[VALOR],tabela_registros[MÊS],$AE$1,tabela_registros[DIA],reservafixaconsolidadojun[[#Headers],[4]],tabela_registros[REGISTRO],DADOS!$N$6,tabela_registros[TIPO],DADOS!$AJ$3,tabela_registros[CATEGORIA],reservafixaconsolidadojun[[#This Row],[ATUAL]])</f>
        <v>0</v>
      </c>
      <c r="I177" s="91">
        <f>SUMIFS(tabela_registros[VALOR],tabela_registros[MÊS],$AE$1,tabela_registros[DIA],reservafixaconsolidadojun[[#Headers],[5]],tabela_registros[REGISTRO],DADOS!$N$6,tabela_registros[TIPO],DADOS!$AJ$3,tabela_registros[CATEGORIA],reservafixaconsolidadojun[[#This Row],[ATUAL]])</f>
        <v>0</v>
      </c>
      <c r="J177" s="91">
        <f>SUMIFS(tabela_registros[VALOR],tabela_registros[MÊS],$AE$1,tabela_registros[DIA],reservafixaconsolidadojun[[#Headers],[6]],tabela_registros[REGISTRO],DADOS!$N$6,tabela_registros[TIPO],DADOS!$AJ$3,tabela_registros[CATEGORIA],reservafixaconsolidadojun[[#This Row],[ATUAL]])</f>
        <v>0</v>
      </c>
      <c r="K177" s="91">
        <f>SUMIFS(tabela_registros[VALOR],tabela_registros[MÊS],$AE$1,tabela_registros[DIA],reservafixaconsolidadojun[[#Headers],[7]],tabela_registros[REGISTRO],DADOS!$N$6,tabela_registros[TIPO],DADOS!$AJ$3,tabela_registros[CATEGORIA],reservafixaconsolidadojun[[#This Row],[ATUAL]])</f>
        <v>0</v>
      </c>
      <c r="L177" s="91">
        <f>SUMIFS(tabela_registros[VALOR],tabela_registros[MÊS],$AE$1,tabela_registros[DIA],reservafixaconsolidadojun[[#Headers],[8]],tabela_registros[REGISTRO],DADOS!$N$6,tabela_registros[TIPO],DADOS!$AJ$3,tabela_registros[CATEGORIA],reservafixaconsolidadojun[[#This Row],[ATUAL]])</f>
        <v>0</v>
      </c>
      <c r="M177" s="91">
        <f>SUMIFS(tabela_registros[VALOR],tabela_registros[MÊS],$AE$1,tabela_registros[DIA],reservafixaconsolidadojun[[#Headers],[9]],tabela_registros[REGISTRO],DADOS!$N$6,tabela_registros[TIPO],DADOS!$AJ$3,tabela_registros[CATEGORIA],reservafixaconsolidadojun[[#This Row],[ATUAL]])</f>
        <v>0</v>
      </c>
      <c r="N177" s="91">
        <f>SUMIFS(tabela_registros[VALOR],tabela_registros[MÊS],$AE$1,tabela_registros[DIA],reservafixaconsolidadojun[[#Headers],[10]],tabela_registros[REGISTRO],DADOS!$N$6,tabela_registros[TIPO],DADOS!$AJ$3,tabela_registros[CATEGORIA],reservafixaconsolidadojun[[#This Row],[ATUAL]])</f>
        <v>0</v>
      </c>
      <c r="O177" s="91">
        <f>SUMIFS(tabela_registros[VALOR],tabela_registros[MÊS],$AE$1,tabela_registros[DIA],reservafixaconsolidadojun[[#Headers],[11]],tabela_registros[REGISTRO],DADOS!$N$6,tabela_registros[TIPO],DADOS!$AJ$3,tabela_registros[CATEGORIA],reservafixaconsolidadojun[[#This Row],[ATUAL]])</f>
        <v>0</v>
      </c>
      <c r="P177" s="91">
        <f>SUMIFS(tabela_registros[VALOR],tabela_registros[MÊS],$AE$1,tabela_registros[DIA],reservafixaconsolidadojun[[#Headers],[12]],tabela_registros[REGISTRO],DADOS!$N$6,tabela_registros[TIPO],DADOS!$AJ$3,tabela_registros[CATEGORIA],reservafixaconsolidadojun[[#This Row],[ATUAL]])</f>
        <v>0</v>
      </c>
      <c r="Q177" s="91">
        <f>SUMIFS(tabela_registros[VALOR],tabela_registros[MÊS],$AE$1,tabela_registros[DIA],reservafixaconsolidadojun[[#Headers],[13]],tabela_registros[REGISTRO],DADOS!$N$6,tabela_registros[TIPO],DADOS!$AJ$3,tabela_registros[CATEGORIA],reservafixaconsolidadojun[[#This Row],[ATUAL]])</f>
        <v>0</v>
      </c>
      <c r="R177" s="91">
        <f>SUMIFS(tabela_registros[VALOR],tabela_registros[MÊS],$AE$1,tabela_registros[DIA],reservafixaconsolidadojun[[#Headers],[14]],tabela_registros[REGISTRO],DADOS!$N$6,tabela_registros[TIPO],DADOS!$AJ$3,tabela_registros[CATEGORIA],reservafixaconsolidadojun[[#This Row],[ATUAL]])</f>
        <v>0</v>
      </c>
      <c r="S177" s="91">
        <f>SUMIFS(tabela_registros[VALOR],tabela_registros[MÊS],$AE$1,tabela_registros[DIA],reservafixaconsolidadojun[[#Headers],[15]],tabela_registros[REGISTRO],DADOS!$N$6,tabela_registros[TIPO],DADOS!$AJ$3,tabela_registros[CATEGORIA],reservafixaconsolidadojun[[#This Row],[ATUAL]])</f>
        <v>0</v>
      </c>
      <c r="T177" s="91">
        <f>SUMIFS(tabela_registros[VALOR],tabela_registros[MÊS],$AE$1,tabela_registros[DIA],reservafixaconsolidadojun[[#Headers],[16]],tabela_registros[REGISTRO],DADOS!$N$6,tabela_registros[TIPO],DADOS!$AJ$3,tabela_registros[CATEGORIA],reservafixaconsolidadojun[[#This Row],[ATUAL]])</f>
        <v>0</v>
      </c>
      <c r="U177" s="91">
        <f>SUMIFS(tabela_registros[VALOR],tabela_registros[MÊS],$AE$1,tabela_registros[DIA],reservafixaconsolidadojun[[#Headers],[17]],tabela_registros[REGISTRO],DADOS!$N$6,tabela_registros[TIPO],DADOS!$AJ$3,tabela_registros[CATEGORIA],reservafixaconsolidadojun[[#This Row],[ATUAL]])</f>
        <v>0</v>
      </c>
      <c r="V177" s="91">
        <f>SUMIFS(tabela_registros[VALOR],tabela_registros[MÊS],$AE$1,tabela_registros[DIA],reservafixaconsolidadojun[[#Headers],[18]],tabela_registros[REGISTRO],DADOS!$N$6,tabela_registros[TIPO],DADOS!$AJ$3,tabela_registros[CATEGORIA],reservafixaconsolidadojun[[#This Row],[ATUAL]])</f>
        <v>0</v>
      </c>
      <c r="W177" s="91">
        <f>SUMIFS(tabela_registros[VALOR],tabela_registros[MÊS],$AE$1,tabela_registros[DIA],reservafixaconsolidadojun[[#Headers],[19]],tabela_registros[REGISTRO],DADOS!$N$6,tabela_registros[TIPO],DADOS!$AJ$3,tabela_registros[CATEGORIA],reservafixaconsolidadojun[[#This Row],[ATUAL]])</f>
        <v>0</v>
      </c>
      <c r="X177" s="91">
        <f>SUMIFS(tabela_registros[VALOR],tabela_registros[MÊS],$AE$1,tabela_registros[DIA],reservafixaconsolidadojun[[#Headers],[20]],tabela_registros[REGISTRO],DADOS!$N$6,tabela_registros[TIPO],DADOS!$AJ$3,tabela_registros[CATEGORIA],reservafixaconsolidadojun[[#This Row],[ATUAL]])</f>
        <v>0</v>
      </c>
      <c r="Y177" s="91">
        <f>SUMIFS(tabela_registros[VALOR],tabela_registros[MÊS],$AE$1,tabela_registros[DIA],reservafixaconsolidadojun[[#Headers],[21]],tabela_registros[REGISTRO],DADOS!$N$6,tabela_registros[TIPO],DADOS!$AJ$3,tabela_registros[CATEGORIA],reservafixaconsolidadojun[[#This Row],[ATUAL]])</f>
        <v>0</v>
      </c>
      <c r="Z177" s="91">
        <f>SUMIFS(tabela_registros[VALOR],tabela_registros[MÊS],$AE$1,tabela_registros[DIA],reservafixaconsolidadojun[[#Headers],[22]],tabela_registros[REGISTRO],DADOS!$N$6,tabela_registros[TIPO],DADOS!$AJ$3,tabela_registros[CATEGORIA],reservafixaconsolidadojun[[#This Row],[ATUAL]])</f>
        <v>0</v>
      </c>
      <c r="AA177" s="91">
        <f>SUMIFS(tabela_registros[VALOR],tabela_registros[MÊS],$AE$1,tabela_registros[DIA],reservafixaconsolidadojun[[#Headers],[23]],tabela_registros[REGISTRO],DADOS!$N$6,tabela_registros[TIPO],DADOS!$AJ$3,tabela_registros[CATEGORIA],reservafixaconsolidadojun[[#This Row],[ATUAL]])</f>
        <v>0</v>
      </c>
      <c r="AB177" s="91">
        <f>SUMIFS(tabela_registros[VALOR],tabela_registros[MÊS],$AE$1,tabela_registros[DIA],reservafixaconsolidadojun[[#Headers],[24]],tabela_registros[REGISTRO],DADOS!$N$6,tabela_registros[TIPO],DADOS!$AJ$3,tabela_registros[CATEGORIA],reservafixaconsolidadojun[[#This Row],[ATUAL]])</f>
        <v>0</v>
      </c>
      <c r="AC177" s="91">
        <f>SUMIFS(tabela_registros[VALOR],tabela_registros[MÊS],$AE$1,tabela_registros[DIA],reservafixaconsolidadojun[[#Headers],[25]],tabela_registros[REGISTRO],DADOS!$N$6,tabela_registros[TIPO],DADOS!$AJ$3,tabela_registros[CATEGORIA],reservafixaconsolidadojun[[#This Row],[ATUAL]])</f>
        <v>0</v>
      </c>
      <c r="AD177" s="91">
        <f>SUMIFS(tabela_registros[VALOR],tabela_registros[MÊS],$AE$1,tabela_registros[DIA],reservafixaconsolidadojun[[#Headers],[26]],tabela_registros[REGISTRO],DADOS!$N$6,tabela_registros[TIPO],DADOS!$AJ$3,tabela_registros[CATEGORIA],reservafixaconsolidadojun[[#This Row],[ATUAL]])</f>
        <v>0</v>
      </c>
      <c r="AE177" s="91">
        <f>SUMIFS(tabela_registros[VALOR],tabela_registros[MÊS],$AE$1,tabela_registros[DIA],reservafixaconsolidadojun[[#Headers],[27]],tabela_registros[REGISTRO],DADOS!$N$6,tabela_registros[TIPO],DADOS!$AJ$3,tabela_registros[CATEGORIA],reservafixaconsolidadojun[[#This Row],[ATUAL]])</f>
        <v>0</v>
      </c>
      <c r="AF177" s="91">
        <f>SUMIFS(tabela_registros[VALOR],tabela_registros[MÊS],$AE$1,tabela_registros[DIA],reservafixaconsolidadojun[[#Headers],[28]],tabela_registros[REGISTRO],DADOS!$N$6,tabela_registros[TIPO],DADOS!$AJ$3,tabela_registros[CATEGORIA],reservafixaconsolidadojun[[#This Row],[ATUAL]])</f>
        <v>0</v>
      </c>
      <c r="AG177" s="91">
        <f>SUMIFS(tabela_registros[VALOR],tabela_registros[MÊS],$AE$1,tabela_registros[DIA],reservafixaconsolidadojun[[#Headers],[29]],tabela_registros[REGISTRO],DADOS!$N$6,tabela_registros[TIPO],DADOS!$AJ$3,tabela_registros[CATEGORIA],reservafixaconsolidadojun[[#This Row],[ATUAL]])</f>
        <v>0</v>
      </c>
      <c r="AH177" s="91">
        <f>SUMIFS(tabela_registros[VALOR],tabela_registros[MÊS],$AE$1,tabela_registros[DIA],reservafixaconsolidadojun[[#Headers],[30]],tabela_registros[REGISTRO],DADOS!$N$6,tabela_registros[TIPO],DADOS!$AJ$3,tabela_registros[CATEGORIA],reservafixaconsolidadojun[[#This Row],[ATUAL]])</f>
        <v>0</v>
      </c>
      <c r="AI177" s="102">
        <f>SUMIFS(tabela_registros[VALOR],tabela_registros[MÊS],$AE$1,tabela_registros[DIA],reservafixaconsolidadojun[[#Headers],[31]],tabela_registros[REGISTRO],DADOS!$N$6,tabela_registros[TIPO],DADOS!$AJ$3,tabela_registros[CATEGORIA],reservafixaconsolidadojun[[#This Row],[ATUAL]])</f>
        <v>0</v>
      </c>
      <c r="AJ177" s="97">
        <f>SUM(reservafixaconsolidadojun[[#This Row],[1]:[31]])</f>
        <v>0</v>
      </c>
      <c r="AK177" s="25"/>
    </row>
    <row r="178" spans="2:37" s="16" customFormat="1" ht="21" customHeight="1" thickTop="1" thickBot="1" x14ac:dyDescent="0.35">
      <c r="B178" s="24"/>
      <c r="C178" s="23" t="s">
        <v>19</v>
      </c>
      <c r="D178" s="22"/>
      <c r="E178" s="21">
        <f>SUM(E168:E177)</f>
        <v>0</v>
      </c>
      <c r="F178" s="20">
        <f>SUM(F168:F177)+reservafixaconsolidadojun[[#This Row],[1]]</f>
        <v>0</v>
      </c>
      <c r="G178" s="20">
        <f>SUM(G168:G177)+reservafixaconsolidadojun[[#This Row],[2]]</f>
        <v>0</v>
      </c>
      <c r="H178" s="20">
        <f>SUM(H168:H177)+reservafixaconsolidadojun[[#This Row],[3]]</f>
        <v>0</v>
      </c>
      <c r="I178" s="20">
        <f>SUM(I168:I177)+reservafixaconsolidadojun[[#This Row],[4]]</f>
        <v>0</v>
      </c>
      <c r="J178" s="20">
        <f>SUM(J168:J177)+reservafixaconsolidadojun[[#This Row],[5]]</f>
        <v>0</v>
      </c>
      <c r="K178" s="20">
        <f>SUM(K168:K177)+reservafixaconsolidadojun[[#This Row],[6]]</f>
        <v>0</v>
      </c>
      <c r="L178" s="20">
        <f>SUM(L168:L177)+reservafixaconsolidadojun[[#This Row],[7]]</f>
        <v>0</v>
      </c>
      <c r="M178" s="20">
        <f>SUM(M168:M177)+reservafixaconsolidadojun[[#This Row],[8]]</f>
        <v>0</v>
      </c>
      <c r="N178" s="20">
        <f>SUM(N168:N177)+reservafixaconsolidadojun[[#This Row],[9]]</f>
        <v>0</v>
      </c>
      <c r="O178" s="20">
        <f>SUM(O168:O177)+reservafixaconsolidadojun[[#This Row],[10]]</f>
        <v>0</v>
      </c>
      <c r="P178" s="20">
        <f>SUM(P168:P177)+reservafixaconsolidadojun[[#This Row],[11]]</f>
        <v>0</v>
      </c>
      <c r="Q178" s="20">
        <f>SUM(Q168:Q177)+reservafixaconsolidadojun[[#This Row],[12]]</f>
        <v>0</v>
      </c>
      <c r="R178" s="20">
        <f>SUM(R168:R177)+reservafixaconsolidadojun[[#This Row],[13]]</f>
        <v>0</v>
      </c>
      <c r="S178" s="20">
        <f>SUM(S168:S177)+reservafixaconsolidadojun[[#This Row],[14]]</f>
        <v>0</v>
      </c>
      <c r="T178" s="20">
        <f>SUM(T168:T177)+reservafixaconsolidadojun[[#This Row],[15]]</f>
        <v>0</v>
      </c>
      <c r="U178" s="20">
        <f>SUM(U168:U177)+reservafixaconsolidadojun[[#This Row],[16]]</f>
        <v>0</v>
      </c>
      <c r="V178" s="20">
        <f>SUM(V168:V177)+reservafixaconsolidadojun[[#This Row],[17]]</f>
        <v>0</v>
      </c>
      <c r="W178" s="20">
        <f>SUM(W168:W177)+reservafixaconsolidadojun[[#This Row],[18]]</f>
        <v>0</v>
      </c>
      <c r="X178" s="20">
        <f>SUM(X168:X177)+reservafixaconsolidadojun[[#This Row],[19]]</f>
        <v>0</v>
      </c>
      <c r="Y178" s="20">
        <f>SUM(Y168:Y177)+reservafixaconsolidadojun[[#This Row],[20]]</f>
        <v>0</v>
      </c>
      <c r="Z178" s="20">
        <f>SUM(Z168:Z177)+reservafixaconsolidadojun[[#This Row],[21]]</f>
        <v>0</v>
      </c>
      <c r="AA178" s="20">
        <f>SUM(AA168:AA177)+reservafixaconsolidadojun[[#This Row],[22]]</f>
        <v>0</v>
      </c>
      <c r="AB178" s="20">
        <f>SUM(AB168:AB177)+reservafixaconsolidadojun[[#This Row],[23]]</f>
        <v>0</v>
      </c>
      <c r="AC178" s="20">
        <f>SUM(AC168:AC177)+reservafixaconsolidadojun[[#This Row],[24]]</f>
        <v>0</v>
      </c>
      <c r="AD178" s="20">
        <f>SUM(AD168:AD177)+reservafixaconsolidadojun[[#This Row],[25]]</f>
        <v>0</v>
      </c>
      <c r="AE178" s="20">
        <f>SUM(AE168:AE177)+reservafixaconsolidadojun[[#This Row],[26]]</f>
        <v>0</v>
      </c>
      <c r="AF178" s="20">
        <f>SUM(AF168:AF177)+reservafixaconsolidadojun[[#This Row],[27]]</f>
        <v>0</v>
      </c>
      <c r="AG178" s="20">
        <f>SUM(AG168:AG177)+reservafixaconsolidadojun[[#This Row],[28]]</f>
        <v>0</v>
      </c>
      <c r="AH178" s="20">
        <f>SUM(AH168:AH177)+reservafixaconsolidadojun[[#This Row],[29]]</f>
        <v>0</v>
      </c>
      <c r="AI178" s="19">
        <f>SUM(AI168:AI177)+reservafixaconsolidadojun[[#This Row],[30]]</f>
        <v>0</v>
      </c>
      <c r="AJ178" s="18">
        <f>reservafixaconsolidadojun[[#This Row],[31]]</f>
        <v>0</v>
      </c>
      <c r="AK178" s="17"/>
    </row>
    <row r="179" spans="2:37" ht="6.75" customHeight="1" thickTop="1" thickBot="1" x14ac:dyDescent="0.3">
      <c r="B179" s="15"/>
      <c r="C179" s="14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3"/>
      <c r="AF179" s="13"/>
      <c r="AG179" s="13"/>
      <c r="AH179" s="13"/>
      <c r="AI179" s="12"/>
      <c r="AJ179" s="11"/>
      <c r="AK179" s="10"/>
    </row>
    <row r="180" spans="2:37" ht="12.6" thickTop="1" x14ac:dyDescent="0.25">
      <c r="E180" s="37"/>
      <c r="AI180" s="4"/>
    </row>
    <row r="181" spans="2:37" x14ac:dyDescent="0.25">
      <c r="AI181" s="4"/>
    </row>
    <row r="182" spans="2:37" x14ac:dyDescent="0.25">
      <c r="AI182" s="4"/>
    </row>
    <row r="183" spans="2:37" ht="39.75" customHeight="1" x14ac:dyDescent="0.7">
      <c r="C183" s="36"/>
      <c r="E183" s="240"/>
      <c r="F183" s="240"/>
      <c r="G183" s="240"/>
      <c r="H183" s="240"/>
      <c r="I183" s="240"/>
      <c r="J183" s="240"/>
      <c r="K183" s="240"/>
      <c r="L183" s="240"/>
      <c r="M183" s="240"/>
      <c r="N183" s="240"/>
      <c r="O183" s="240"/>
      <c r="P183" s="240"/>
      <c r="Q183" s="240"/>
      <c r="R183" s="240"/>
      <c r="S183" s="240"/>
      <c r="T183" s="240"/>
      <c r="U183" s="240"/>
      <c r="V183" s="240"/>
      <c r="W183" s="240"/>
      <c r="X183" s="240"/>
      <c r="Y183" s="240"/>
      <c r="Z183" s="240"/>
      <c r="AA183" s="240"/>
      <c r="AB183" s="240"/>
      <c r="AC183" s="240"/>
      <c r="AD183" s="240"/>
      <c r="AE183" s="240"/>
      <c r="AF183" s="240"/>
      <c r="AG183" s="240"/>
      <c r="AH183" s="240"/>
      <c r="AI183" s="240"/>
      <c r="AJ183" s="32" t="s">
        <v>19</v>
      </c>
    </row>
    <row r="184" spans="2:37" ht="12.6" thickBot="1" x14ac:dyDescent="0.3">
      <c r="B184" s="35"/>
      <c r="AI184" s="4"/>
      <c r="AJ184" s="34" t="s">
        <v>202</v>
      </c>
    </row>
    <row r="185" spans="2:37" ht="6.75" customHeight="1" thickTop="1" thickBot="1" x14ac:dyDescent="0.3">
      <c r="B185" s="2"/>
      <c r="C185" s="14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  <c r="AF185" s="13"/>
      <c r="AG185" s="13"/>
      <c r="AH185" s="13"/>
      <c r="AI185" s="13"/>
      <c r="AJ185" s="12"/>
      <c r="AK185" s="33"/>
    </row>
    <row r="186" spans="2:37" ht="13.2" hidden="1" thickTop="1" thickBot="1" x14ac:dyDescent="0.3">
      <c r="B186" s="2"/>
      <c r="C186" s="31" t="s">
        <v>199</v>
      </c>
      <c r="D186" s="30" t="s">
        <v>198</v>
      </c>
      <c r="E186" s="30" t="s">
        <v>197</v>
      </c>
      <c r="F186" s="30" t="s">
        <v>196</v>
      </c>
      <c r="G186" s="30" t="s">
        <v>195</v>
      </c>
      <c r="H186" s="30" t="s">
        <v>194</v>
      </c>
      <c r="I186" s="30" t="s">
        <v>193</v>
      </c>
      <c r="J186" s="30" t="s">
        <v>192</v>
      </c>
      <c r="K186" s="30" t="s">
        <v>191</v>
      </c>
      <c r="L186" s="30" t="s">
        <v>190</v>
      </c>
      <c r="M186" s="30" t="s">
        <v>189</v>
      </c>
      <c r="N186" s="30" t="s">
        <v>188</v>
      </c>
      <c r="O186" s="30" t="s">
        <v>187</v>
      </c>
      <c r="P186" s="30" t="s">
        <v>186</v>
      </c>
      <c r="Q186" s="30" t="s">
        <v>185</v>
      </c>
      <c r="R186" s="30" t="s">
        <v>184</v>
      </c>
      <c r="S186" s="30" t="s">
        <v>183</v>
      </c>
      <c r="T186" s="30" t="s">
        <v>182</v>
      </c>
      <c r="U186" s="30" t="s">
        <v>181</v>
      </c>
      <c r="V186" s="30" t="s">
        <v>180</v>
      </c>
      <c r="W186" s="30" t="s">
        <v>179</v>
      </c>
      <c r="X186" s="30" t="s">
        <v>178</v>
      </c>
      <c r="Y186" s="30" t="s">
        <v>177</v>
      </c>
      <c r="Z186" s="30" t="s">
        <v>176</v>
      </c>
      <c r="AA186" s="30" t="s">
        <v>175</v>
      </c>
      <c r="AB186" s="30" t="s">
        <v>174</v>
      </c>
      <c r="AC186" s="30" t="s">
        <v>173</v>
      </c>
      <c r="AD186" s="30" t="s">
        <v>172</v>
      </c>
      <c r="AE186" s="30" t="s">
        <v>171</v>
      </c>
      <c r="AF186" s="30" t="s">
        <v>170</v>
      </c>
      <c r="AG186" s="30" t="s">
        <v>169</v>
      </c>
      <c r="AH186" s="30" t="s">
        <v>168</v>
      </c>
      <c r="AI186" s="30" t="s">
        <v>167</v>
      </c>
      <c r="AJ186" s="29" t="s">
        <v>166</v>
      </c>
      <c r="AK186" s="2"/>
    </row>
    <row r="187" spans="2:37" ht="19.5" customHeight="1" thickTop="1" thickBot="1" x14ac:dyDescent="0.3">
      <c r="B187" s="28"/>
      <c r="C187" s="27" t="str">
        <f>DADOS!$AN$3</f>
        <v>📝 AÇÃO</v>
      </c>
      <c r="D187" s="26" t="str">
        <f>IF(reservavariáveisconsolidadojun[[#This Row],[TOTAL (R$)]]=0,"",IF(OR(reservavariáveisconsolidadojun[[#This Row],[TOTAL (R$)]]=LARGE($AJ$187:$AJ$196,1),reservavariáveisconsolidadojun[[#This Row],[TOTAL (R$)]]=LARGE($AJ$187:$AJ$196,2)),DADOS!$I$11,""))</f>
        <v/>
      </c>
      <c r="E187" s="96">
        <f>SUMIFS(tabela_registros[VALOR],tabela_registros[MÊS],$AE$1,tabela_registros[DIA],reservavariáveisconsolidadojun[[#Headers],[1]],tabela_registros[REGISTRO],DADOS!$N$6,tabela_registros[TIPO],DADOS!$AJ$4,tabela_registros[CATEGORIA],reservavariáveisconsolidadojun[[#This Row],[ATUAL]])</f>
        <v>0</v>
      </c>
      <c r="F187" s="91">
        <f>SUMIFS(tabela_registros[VALOR],tabela_registros[MÊS],$AE$1,tabela_registros[DIA],reservavariáveisconsolidadojun[[#Headers],[2]],tabela_registros[REGISTRO],DADOS!$N$6,tabela_registros[TIPO],DADOS!$AJ$4,tabela_registros[CATEGORIA],reservavariáveisconsolidadojun[[#This Row],[ATUAL]])</f>
        <v>0</v>
      </c>
      <c r="G187" s="91">
        <f>SUMIFS(tabela_registros[VALOR],tabela_registros[MÊS],$AE$1,tabela_registros[DIA],reservavariáveisconsolidadojun[[#Headers],[3]],tabela_registros[REGISTRO],DADOS!$N$6,tabela_registros[TIPO],DADOS!$AJ$4,tabela_registros[CATEGORIA],reservavariáveisconsolidadojun[[#This Row],[ATUAL]])</f>
        <v>0</v>
      </c>
      <c r="H187" s="91">
        <f>SUMIFS(tabela_registros[VALOR],tabela_registros[MÊS],$AE$1,tabela_registros[DIA],reservavariáveisconsolidadojun[[#Headers],[4]],tabela_registros[REGISTRO],DADOS!$N$6,tabela_registros[TIPO],DADOS!$AJ$4,tabela_registros[CATEGORIA],reservavariáveisconsolidadojun[[#This Row],[ATUAL]])</f>
        <v>0</v>
      </c>
      <c r="I187" s="91">
        <f>SUMIFS(tabela_registros[VALOR],tabela_registros[MÊS],$AE$1,tabela_registros[DIA],reservavariáveisconsolidadojun[[#Headers],[5]],tabela_registros[REGISTRO],DADOS!$N$6,tabela_registros[TIPO],DADOS!$AJ$4,tabela_registros[CATEGORIA],reservavariáveisconsolidadojun[[#This Row],[ATUAL]])</f>
        <v>0</v>
      </c>
      <c r="J187" s="91">
        <f>SUMIFS(tabela_registros[VALOR],tabela_registros[MÊS],$AE$1,tabela_registros[DIA],reservavariáveisconsolidadojun[[#Headers],[6]],tabela_registros[REGISTRO],DADOS!$N$6,tabela_registros[TIPO],DADOS!$AJ$4,tabela_registros[CATEGORIA],reservavariáveisconsolidadojun[[#This Row],[ATUAL]])</f>
        <v>0</v>
      </c>
      <c r="K187" s="91">
        <f>SUMIFS(tabela_registros[VALOR],tabela_registros[MÊS],$AE$1,tabela_registros[DIA],reservavariáveisconsolidadojun[[#Headers],[7]],tabela_registros[REGISTRO],DADOS!$N$6,tabela_registros[TIPO],DADOS!$AJ$4,tabela_registros[CATEGORIA],reservavariáveisconsolidadojun[[#This Row],[ATUAL]])</f>
        <v>0</v>
      </c>
      <c r="L187" s="91">
        <f>SUMIFS(tabela_registros[VALOR],tabela_registros[MÊS],$AE$1,tabela_registros[DIA],reservavariáveisconsolidadojun[[#Headers],[8]],tabela_registros[REGISTRO],DADOS!$N$6,tabela_registros[TIPO],DADOS!$AJ$4,tabela_registros[CATEGORIA],reservavariáveisconsolidadojun[[#This Row],[ATUAL]])</f>
        <v>0</v>
      </c>
      <c r="M187" s="91">
        <f>SUMIFS(tabela_registros[VALOR],tabela_registros[MÊS],$AE$1,tabela_registros[DIA],reservavariáveisconsolidadojun[[#Headers],[9]],tabela_registros[REGISTRO],DADOS!$N$6,tabela_registros[TIPO],DADOS!$AJ$4,tabela_registros[CATEGORIA],reservavariáveisconsolidadojun[[#This Row],[ATUAL]])</f>
        <v>0</v>
      </c>
      <c r="N187" s="91">
        <f>SUMIFS(tabela_registros[VALOR],tabela_registros[MÊS],$AE$1,tabela_registros[DIA],reservavariáveisconsolidadojun[[#Headers],[10]],tabela_registros[REGISTRO],DADOS!$N$6,tabela_registros[TIPO],DADOS!$AJ$4,tabela_registros[CATEGORIA],reservavariáveisconsolidadojun[[#This Row],[ATUAL]])</f>
        <v>0</v>
      </c>
      <c r="O187" s="91">
        <f>SUMIFS(tabela_registros[VALOR],tabela_registros[MÊS],$AE$1,tabela_registros[DIA],reservavariáveisconsolidadojun[[#Headers],[11]],tabela_registros[REGISTRO],DADOS!$N$6,tabela_registros[TIPO],DADOS!$AJ$4,tabela_registros[CATEGORIA],reservavariáveisconsolidadojun[[#This Row],[ATUAL]])</f>
        <v>0</v>
      </c>
      <c r="P187" s="91">
        <f>SUMIFS(tabela_registros[VALOR],tabela_registros[MÊS],$AE$1,tabela_registros[DIA],reservavariáveisconsolidadojun[[#Headers],[12]],tabela_registros[REGISTRO],DADOS!$N$6,tabela_registros[TIPO],DADOS!$AJ$4,tabela_registros[CATEGORIA],reservavariáveisconsolidadojun[[#This Row],[ATUAL]])</f>
        <v>0</v>
      </c>
      <c r="Q187" s="91">
        <f>SUMIFS(tabela_registros[VALOR],tabela_registros[MÊS],$AE$1,tabela_registros[DIA],reservavariáveisconsolidadojun[[#Headers],[13]],tabela_registros[REGISTRO],DADOS!$N$6,tabela_registros[TIPO],DADOS!$AJ$4,tabela_registros[CATEGORIA],reservavariáveisconsolidadojun[[#This Row],[ATUAL]])</f>
        <v>0</v>
      </c>
      <c r="R187" s="91">
        <f>SUMIFS(tabela_registros[VALOR],tabela_registros[MÊS],$AE$1,tabela_registros[DIA],reservavariáveisconsolidadojun[[#Headers],[14]],tabela_registros[REGISTRO],DADOS!$N$6,tabela_registros[TIPO],DADOS!$AJ$4,tabela_registros[CATEGORIA],reservavariáveisconsolidadojun[[#This Row],[ATUAL]])</f>
        <v>0</v>
      </c>
      <c r="S187" s="91">
        <f>SUMIFS(tabela_registros[VALOR],tabela_registros[MÊS],$AE$1,tabela_registros[DIA],reservavariáveisconsolidadojun[[#Headers],[15]],tabela_registros[REGISTRO],DADOS!$N$6,tabela_registros[TIPO],DADOS!$AJ$4,tabela_registros[CATEGORIA],reservavariáveisconsolidadojun[[#This Row],[ATUAL]])</f>
        <v>0</v>
      </c>
      <c r="T187" s="91">
        <f>SUMIFS(tabela_registros[VALOR],tabela_registros[MÊS],$AE$1,tabela_registros[DIA],reservavariáveisconsolidadojun[[#Headers],[16]],tabela_registros[REGISTRO],DADOS!$N$6,tabela_registros[TIPO],DADOS!$AJ$4,tabela_registros[CATEGORIA],reservavariáveisconsolidadojun[[#This Row],[ATUAL]])</f>
        <v>0</v>
      </c>
      <c r="U187" s="91">
        <f>SUMIFS(tabela_registros[VALOR],tabela_registros[MÊS],$AE$1,tabela_registros[DIA],reservavariáveisconsolidadojun[[#Headers],[17]],tabela_registros[REGISTRO],DADOS!$N$6,tabela_registros[TIPO],DADOS!$AJ$4,tabela_registros[CATEGORIA],reservavariáveisconsolidadojun[[#This Row],[ATUAL]])</f>
        <v>0</v>
      </c>
      <c r="V187" s="91">
        <f>SUMIFS(tabela_registros[VALOR],tabela_registros[MÊS],$AE$1,tabela_registros[DIA],reservavariáveisconsolidadojun[[#Headers],[18]],tabela_registros[REGISTRO],DADOS!$N$6,tabela_registros[TIPO],DADOS!$AJ$4,tabela_registros[CATEGORIA],reservavariáveisconsolidadojun[[#This Row],[ATUAL]])</f>
        <v>0</v>
      </c>
      <c r="W187" s="91">
        <f>SUMIFS(tabela_registros[VALOR],tabela_registros[MÊS],$AE$1,tabela_registros[DIA],reservavariáveisconsolidadojun[[#Headers],[19]],tabela_registros[REGISTRO],DADOS!$N$6,tabela_registros[TIPO],DADOS!$AJ$4,tabela_registros[CATEGORIA],reservavariáveisconsolidadojun[[#This Row],[ATUAL]])</f>
        <v>0</v>
      </c>
      <c r="X187" s="91">
        <f>SUMIFS(tabela_registros[VALOR],tabela_registros[MÊS],$AE$1,tabela_registros[DIA],reservavariáveisconsolidadojun[[#Headers],[20]],tabela_registros[REGISTRO],DADOS!$N$6,tabela_registros[TIPO],DADOS!$AJ$4,tabela_registros[CATEGORIA],reservavariáveisconsolidadojun[[#This Row],[ATUAL]])</f>
        <v>0</v>
      </c>
      <c r="Y187" s="91">
        <f>SUMIFS(tabela_registros[VALOR],tabela_registros[MÊS],$AE$1,tabela_registros[DIA],reservavariáveisconsolidadojun[[#Headers],[21]],tabela_registros[REGISTRO],DADOS!$N$6,tabela_registros[TIPO],DADOS!$AJ$4,tabela_registros[CATEGORIA],reservavariáveisconsolidadojun[[#This Row],[ATUAL]])</f>
        <v>0</v>
      </c>
      <c r="Z187" s="91">
        <f>SUMIFS(tabela_registros[VALOR],tabela_registros[MÊS],$AE$1,tabela_registros[DIA],reservavariáveisconsolidadojun[[#Headers],[22]],tabela_registros[REGISTRO],DADOS!$N$6,tabela_registros[TIPO],DADOS!$AJ$4,tabela_registros[CATEGORIA],reservavariáveisconsolidadojun[[#This Row],[ATUAL]])</f>
        <v>0</v>
      </c>
      <c r="AA187" s="91">
        <f>SUMIFS(tabela_registros[VALOR],tabela_registros[MÊS],$AE$1,tabela_registros[DIA],reservavariáveisconsolidadojun[[#Headers],[23]],tabela_registros[REGISTRO],DADOS!$N$6,tabela_registros[TIPO],DADOS!$AJ$4,tabela_registros[CATEGORIA],reservavariáveisconsolidadojun[[#This Row],[ATUAL]])</f>
        <v>0</v>
      </c>
      <c r="AB187" s="91">
        <f>SUMIFS(tabela_registros[VALOR],tabela_registros[MÊS],$AE$1,tabela_registros[DIA],reservavariáveisconsolidadojun[[#Headers],[24]],tabela_registros[REGISTRO],DADOS!$N$6,tabela_registros[TIPO],DADOS!$AJ$4,tabela_registros[CATEGORIA],reservavariáveisconsolidadojun[[#This Row],[ATUAL]])</f>
        <v>0</v>
      </c>
      <c r="AC187" s="91">
        <f>SUMIFS(tabela_registros[VALOR],tabela_registros[MÊS],$AE$1,tabela_registros[DIA],reservavariáveisconsolidadojun[[#Headers],[25]],tabela_registros[REGISTRO],DADOS!$N$6,tabela_registros[TIPO],DADOS!$AJ$4,tabela_registros[CATEGORIA],reservavariáveisconsolidadojun[[#This Row],[ATUAL]])</f>
        <v>0</v>
      </c>
      <c r="AD187" s="91">
        <f>SUMIFS(tabela_registros[VALOR],tabela_registros[MÊS],$AE$1,tabela_registros[DIA],reservavariáveisconsolidadojun[[#Headers],[26]],tabela_registros[REGISTRO],DADOS!$N$6,tabela_registros[TIPO],DADOS!$AJ$4,tabela_registros[CATEGORIA],reservavariáveisconsolidadojun[[#This Row],[ATUAL]])</f>
        <v>0</v>
      </c>
      <c r="AE187" s="91">
        <f>SUMIFS(tabela_registros[VALOR],tabela_registros[MÊS],$AE$1,tabela_registros[DIA],reservavariáveisconsolidadojun[[#Headers],[27]],tabela_registros[REGISTRO],DADOS!$N$6,tabela_registros[TIPO],DADOS!$AJ$4,tabela_registros[CATEGORIA],reservavariáveisconsolidadojun[[#This Row],[ATUAL]])</f>
        <v>0</v>
      </c>
      <c r="AF187" s="91">
        <f>SUMIFS(tabela_registros[VALOR],tabela_registros[MÊS],$AE$1,tabela_registros[DIA],reservavariáveisconsolidadojun[[#Headers],[28]],tabela_registros[REGISTRO],DADOS!$N$6,tabela_registros[TIPO],DADOS!$AJ$4,tabela_registros[CATEGORIA],reservavariáveisconsolidadojun[[#This Row],[ATUAL]])</f>
        <v>0</v>
      </c>
      <c r="AG187" s="91">
        <f>SUMIFS(tabela_registros[VALOR],tabela_registros[MÊS],$AE$1,tabela_registros[DIA],reservavariáveisconsolidadojun[[#Headers],[29]],tabela_registros[REGISTRO],DADOS!$N$6,tabela_registros[TIPO],DADOS!$AJ$4,tabela_registros[CATEGORIA],reservavariáveisconsolidadojun[[#This Row],[ATUAL]])</f>
        <v>0</v>
      </c>
      <c r="AH187" s="91">
        <f>SUMIFS(tabela_registros[VALOR],tabela_registros[MÊS],$AE$1,tabela_registros[DIA],reservavariáveisconsolidadojun[[#Headers],[30]],tabela_registros[REGISTRO],DADOS!$N$6,tabela_registros[TIPO],DADOS!$AJ$4,tabela_registros[CATEGORIA],reservavariáveisconsolidadojun[[#This Row],[ATUAL]])</f>
        <v>0</v>
      </c>
      <c r="AI187" s="101">
        <f>SUMIFS(tabela_registros[VALOR],tabela_registros[MÊS],$AE$1,tabela_registros[DIA],reservavariáveisconsolidadojun[[#Headers],[31]],tabela_registros[REGISTRO],DADOS!$N$6,tabela_registros[TIPO],DADOS!$AJ$4,tabela_registros[CATEGORIA],reservavariáveisconsolidadojun[[#This Row],[ATUAL]])</f>
        <v>0</v>
      </c>
      <c r="AJ187" s="97">
        <f>SUM(reservavariáveisconsolidadojun[[#This Row],[1]:[31]])</f>
        <v>0</v>
      </c>
      <c r="AK187" s="25"/>
    </row>
    <row r="188" spans="2:37" ht="19.5" customHeight="1" thickTop="1" thickBot="1" x14ac:dyDescent="0.3">
      <c r="B188" s="28"/>
      <c r="C188" s="27" t="str">
        <f>DADOS!$AN$4</f>
        <v>📝 COMÓDITE</v>
      </c>
      <c r="D188" s="26" t="str">
        <f>IF(reservavariáveisconsolidadojun[[#This Row],[TOTAL (R$)]]=0,"",IF(OR(reservavariáveisconsolidadojun[[#This Row],[TOTAL (R$)]]=LARGE($AJ$187:$AJ$196,1),reservavariáveisconsolidadojun[[#This Row],[TOTAL (R$)]]=LARGE($AJ$187:$AJ$196,2)),DADOS!$I$11,""))</f>
        <v/>
      </c>
      <c r="E188" s="96">
        <f>SUMIFS(tabela_registros[VALOR],tabela_registros[MÊS],$AE$1,tabela_registros[DIA],reservavariáveisconsolidadojun[[#Headers],[1]],tabela_registros[REGISTRO],DADOS!$N$6,tabela_registros[TIPO],DADOS!$AJ$4,tabela_registros[CATEGORIA],reservavariáveisconsolidadojun[[#This Row],[ATUAL]])</f>
        <v>0</v>
      </c>
      <c r="F188" s="91">
        <f>SUMIFS(tabela_registros[VALOR],tabela_registros[MÊS],$AE$1,tabela_registros[DIA],reservavariáveisconsolidadojun[[#Headers],[2]],tabela_registros[REGISTRO],DADOS!$N$6,tabela_registros[TIPO],DADOS!$AJ$4,tabela_registros[CATEGORIA],reservavariáveisconsolidadojun[[#This Row],[ATUAL]])</f>
        <v>0</v>
      </c>
      <c r="G188" s="91">
        <f>SUMIFS(tabela_registros[VALOR],tabela_registros[MÊS],$AE$1,tabela_registros[DIA],reservavariáveisconsolidadojun[[#Headers],[3]],tabela_registros[REGISTRO],DADOS!$N$6,tabela_registros[TIPO],DADOS!$AJ$4,tabela_registros[CATEGORIA],reservavariáveisconsolidadojun[[#This Row],[ATUAL]])</f>
        <v>0</v>
      </c>
      <c r="H188" s="91">
        <f>SUMIFS(tabela_registros[VALOR],tabela_registros[MÊS],$AE$1,tabela_registros[DIA],reservavariáveisconsolidadojun[[#Headers],[4]],tabela_registros[REGISTRO],DADOS!$N$6,tabela_registros[TIPO],DADOS!$AJ$4,tabela_registros[CATEGORIA],reservavariáveisconsolidadojun[[#This Row],[ATUAL]])</f>
        <v>0</v>
      </c>
      <c r="I188" s="91">
        <f>SUMIFS(tabela_registros[VALOR],tabela_registros[MÊS],$AE$1,tabela_registros[DIA],reservavariáveisconsolidadojun[[#Headers],[5]],tabela_registros[REGISTRO],DADOS!$N$6,tabela_registros[TIPO],DADOS!$AJ$4,tabela_registros[CATEGORIA],reservavariáveisconsolidadojun[[#This Row],[ATUAL]])</f>
        <v>0</v>
      </c>
      <c r="J188" s="91">
        <f>SUMIFS(tabela_registros[VALOR],tabela_registros[MÊS],$AE$1,tabela_registros[DIA],reservavariáveisconsolidadojun[[#Headers],[6]],tabela_registros[REGISTRO],DADOS!$N$6,tabela_registros[TIPO],DADOS!$AJ$4,tabela_registros[CATEGORIA],reservavariáveisconsolidadojun[[#This Row],[ATUAL]])</f>
        <v>0</v>
      </c>
      <c r="K188" s="91">
        <f>SUMIFS(tabela_registros[VALOR],tabela_registros[MÊS],$AE$1,tabela_registros[DIA],reservavariáveisconsolidadojun[[#Headers],[7]],tabela_registros[REGISTRO],DADOS!$N$6,tabela_registros[TIPO],DADOS!$AJ$4,tabela_registros[CATEGORIA],reservavariáveisconsolidadojun[[#This Row],[ATUAL]])</f>
        <v>0</v>
      </c>
      <c r="L188" s="91">
        <f>SUMIFS(tabela_registros[VALOR],tabela_registros[MÊS],$AE$1,tabela_registros[DIA],reservavariáveisconsolidadojun[[#Headers],[8]],tabela_registros[REGISTRO],DADOS!$N$6,tabela_registros[TIPO],DADOS!$AJ$4,tabela_registros[CATEGORIA],reservavariáveisconsolidadojun[[#This Row],[ATUAL]])</f>
        <v>0</v>
      </c>
      <c r="M188" s="91">
        <f>SUMIFS(tabela_registros[VALOR],tabela_registros[MÊS],$AE$1,tabela_registros[DIA],reservavariáveisconsolidadojun[[#Headers],[9]],tabela_registros[REGISTRO],DADOS!$N$6,tabela_registros[TIPO],DADOS!$AJ$4,tabela_registros[CATEGORIA],reservavariáveisconsolidadojun[[#This Row],[ATUAL]])</f>
        <v>0</v>
      </c>
      <c r="N188" s="91">
        <f>SUMIFS(tabela_registros[VALOR],tabela_registros[MÊS],$AE$1,tabela_registros[DIA],reservavariáveisconsolidadojun[[#Headers],[10]],tabela_registros[REGISTRO],DADOS!$N$6,tabela_registros[TIPO],DADOS!$AJ$4,tabela_registros[CATEGORIA],reservavariáveisconsolidadojun[[#This Row],[ATUAL]])</f>
        <v>0</v>
      </c>
      <c r="O188" s="91">
        <f>SUMIFS(tabela_registros[VALOR],tabela_registros[MÊS],$AE$1,tabela_registros[DIA],reservavariáveisconsolidadojun[[#Headers],[11]],tabela_registros[REGISTRO],DADOS!$N$6,tabela_registros[TIPO],DADOS!$AJ$4,tabela_registros[CATEGORIA],reservavariáveisconsolidadojun[[#This Row],[ATUAL]])</f>
        <v>0</v>
      </c>
      <c r="P188" s="91">
        <f>SUMIFS(tabela_registros[VALOR],tabela_registros[MÊS],$AE$1,tabela_registros[DIA],reservavariáveisconsolidadojun[[#Headers],[12]],tabela_registros[REGISTRO],DADOS!$N$6,tabela_registros[TIPO],DADOS!$AJ$4,tabela_registros[CATEGORIA],reservavariáveisconsolidadojun[[#This Row],[ATUAL]])</f>
        <v>0</v>
      </c>
      <c r="Q188" s="91">
        <f>SUMIFS(tabela_registros[VALOR],tabela_registros[MÊS],$AE$1,tabela_registros[DIA],reservavariáveisconsolidadojun[[#Headers],[13]],tabela_registros[REGISTRO],DADOS!$N$6,tabela_registros[TIPO],DADOS!$AJ$4,tabela_registros[CATEGORIA],reservavariáveisconsolidadojun[[#This Row],[ATUAL]])</f>
        <v>0</v>
      </c>
      <c r="R188" s="91">
        <f>SUMIFS(tabela_registros[VALOR],tabela_registros[MÊS],$AE$1,tabela_registros[DIA],reservavariáveisconsolidadojun[[#Headers],[14]],tabela_registros[REGISTRO],DADOS!$N$6,tabela_registros[TIPO],DADOS!$AJ$4,tabela_registros[CATEGORIA],reservavariáveisconsolidadojun[[#This Row],[ATUAL]])</f>
        <v>0</v>
      </c>
      <c r="S188" s="91">
        <f>SUMIFS(tabela_registros[VALOR],tabela_registros[MÊS],$AE$1,tabela_registros[DIA],reservavariáveisconsolidadojun[[#Headers],[15]],tabela_registros[REGISTRO],DADOS!$N$6,tabela_registros[TIPO],DADOS!$AJ$4,tabela_registros[CATEGORIA],reservavariáveisconsolidadojun[[#This Row],[ATUAL]])</f>
        <v>0</v>
      </c>
      <c r="T188" s="91">
        <f>SUMIFS(tabela_registros[VALOR],tabela_registros[MÊS],$AE$1,tabela_registros[DIA],reservavariáveisconsolidadojun[[#Headers],[16]],tabela_registros[REGISTRO],DADOS!$N$6,tabela_registros[TIPO],DADOS!$AJ$4,tabela_registros[CATEGORIA],reservavariáveisconsolidadojun[[#This Row],[ATUAL]])</f>
        <v>0</v>
      </c>
      <c r="U188" s="91">
        <f>SUMIFS(tabela_registros[VALOR],tabela_registros[MÊS],$AE$1,tabela_registros[DIA],reservavariáveisconsolidadojun[[#Headers],[17]],tabela_registros[REGISTRO],DADOS!$N$6,tabela_registros[TIPO],DADOS!$AJ$4,tabela_registros[CATEGORIA],reservavariáveisconsolidadojun[[#This Row],[ATUAL]])</f>
        <v>0</v>
      </c>
      <c r="V188" s="91">
        <f>SUMIFS(tabela_registros[VALOR],tabela_registros[MÊS],$AE$1,tabela_registros[DIA],reservavariáveisconsolidadojun[[#Headers],[18]],tabela_registros[REGISTRO],DADOS!$N$6,tabela_registros[TIPO],DADOS!$AJ$4,tabela_registros[CATEGORIA],reservavariáveisconsolidadojun[[#This Row],[ATUAL]])</f>
        <v>0</v>
      </c>
      <c r="W188" s="91">
        <f>SUMIFS(tabela_registros[VALOR],tabela_registros[MÊS],$AE$1,tabela_registros[DIA],reservavariáveisconsolidadojun[[#Headers],[19]],tabela_registros[REGISTRO],DADOS!$N$6,tabela_registros[TIPO],DADOS!$AJ$4,tabela_registros[CATEGORIA],reservavariáveisconsolidadojun[[#This Row],[ATUAL]])</f>
        <v>0</v>
      </c>
      <c r="X188" s="91">
        <f>SUMIFS(tabela_registros[VALOR],tabela_registros[MÊS],$AE$1,tabela_registros[DIA],reservavariáveisconsolidadojun[[#Headers],[20]],tabela_registros[REGISTRO],DADOS!$N$6,tabela_registros[TIPO],DADOS!$AJ$4,tabela_registros[CATEGORIA],reservavariáveisconsolidadojun[[#This Row],[ATUAL]])</f>
        <v>0</v>
      </c>
      <c r="Y188" s="91">
        <f>SUMIFS(tabela_registros[VALOR],tabela_registros[MÊS],$AE$1,tabela_registros[DIA],reservavariáveisconsolidadojun[[#Headers],[21]],tabela_registros[REGISTRO],DADOS!$N$6,tabela_registros[TIPO],DADOS!$AJ$4,tabela_registros[CATEGORIA],reservavariáveisconsolidadojun[[#This Row],[ATUAL]])</f>
        <v>0</v>
      </c>
      <c r="Z188" s="91">
        <f>SUMIFS(tabela_registros[VALOR],tabela_registros[MÊS],$AE$1,tabela_registros[DIA],reservavariáveisconsolidadojun[[#Headers],[22]],tabela_registros[REGISTRO],DADOS!$N$6,tabela_registros[TIPO],DADOS!$AJ$4,tabela_registros[CATEGORIA],reservavariáveisconsolidadojun[[#This Row],[ATUAL]])</f>
        <v>0</v>
      </c>
      <c r="AA188" s="91">
        <f>SUMIFS(tabela_registros[VALOR],tabela_registros[MÊS],$AE$1,tabela_registros[DIA],reservavariáveisconsolidadojun[[#Headers],[23]],tabela_registros[REGISTRO],DADOS!$N$6,tabela_registros[TIPO],DADOS!$AJ$4,tabela_registros[CATEGORIA],reservavariáveisconsolidadojun[[#This Row],[ATUAL]])</f>
        <v>0</v>
      </c>
      <c r="AB188" s="91">
        <f>SUMIFS(tabela_registros[VALOR],tabela_registros[MÊS],$AE$1,tabela_registros[DIA],reservavariáveisconsolidadojun[[#Headers],[24]],tabela_registros[REGISTRO],DADOS!$N$6,tabela_registros[TIPO],DADOS!$AJ$4,tabela_registros[CATEGORIA],reservavariáveisconsolidadojun[[#This Row],[ATUAL]])</f>
        <v>0</v>
      </c>
      <c r="AC188" s="91">
        <f>SUMIFS(tabela_registros[VALOR],tabela_registros[MÊS],$AE$1,tabela_registros[DIA],reservavariáveisconsolidadojun[[#Headers],[25]],tabela_registros[REGISTRO],DADOS!$N$6,tabela_registros[TIPO],DADOS!$AJ$4,tabela_registros[CATEGORIA],reservavariáveisconsolidadojun[[#This Row],[ATUAL]])</f>
        <v>0</v>
      </c>
      <c r="AD188" s="91">
        <f>SUMIFS(tabela_registros[VALOR],tabela_registros[MÊS],$AE$1,tabela_registros[DIA],reservavariáveisconsolidadojun[[#Headers],[26]],tabela_registros[REGISTRO],DADOS!$N$6,tabela_registros[TIPO],DADOS!$AJ$4,tabela_registros[CATEGORIA],reservavariáveisconsolidadojun[[#This Row],[ATUAL]])</f>
        <v>0</v>
      </c>
      <c r="AE188" s="91">
        <f>SUMIFS(tabela_registros[VALOR],tabela_registros[MÊS],$AE$1,tabela_registros[DIA],reservavariáveisconsolidadojun[[#Headers],[27]],tabela_registros[REGISTRO],DADOS!$N$6,tabela_registros[TIPO],DADOS!$AJ$4,tabela_registros[CATEGORIA],reservavariáveisconsolidadojun[[#This Row],[ATUAL]])</f>
        <v>0</v>
      </c>
      <c r="AF188" s="91">
        <f>SUMIFS(tabela_registros[VALOR],tabela_registros[MÊS],$AE$1,tabela_registros[DIA],reservavariáveisconsolidadojun[[#Headers],[28]],tabela_registros[REGISTRO],DADOS!$N$6,tabela_registros[TIPO],DADOS!$AJ$4,tabela_registros[CATEGORIA],reservavariáveisconsolidadojun[[#This Row],[ATUAL]])</f>
        <v>0</v>
      </c>
      <c r="AG188" s="91">
        <f>SUMIFS(tabela_registros[VALOR],tabela_registros[MÊS],$AE$1,tabela_registros[DIA],reservavariáveisconsolidadojun[[#Headers],[29]],tabela_registros[REGISTRO],DADOS!$N$6,tabela_registros[TIPO],DADOS!$AJ$4,tabela_registros[CATEGORIA],reservavariáveisconsolidadojun[[#This Row],[ATUAL]])</f>
        <v>0</v>
      </c>
      <c r="AH188" s="91">
        <f>SUMIFS(tabela_registros[VALOR],tabela_registros[MÊS],$AE$1,tabela_registros[DIA],reservavariáveisconsolidadojun[[#Headers],[30]],tabela_registros[REGISTRO],DADOS!$N$6,tabela_registros[TIPO],DADOS!$AJ$4,tabela_registros[CATEGORIA],reservavariáveisconsolidadojun[[#This Row],[ATUAL]])</f>
        <v>0</v>
      </c>
      <c r="AI188" s="101">
        <f>SUMIFS(tabela_registros[VALOR],tabela_registros[MÊS],$AE$1,tabela_registros[DIA],reservavariáveisconsolidadojun[[#Headers],[31]],tabela_registros[REGISTRO],DADOS!$N$6,tabela_registros[TIPO],DADOS!$AJ$4,tabela_registros[CATEGORIA],reservavariáveisconsolidadojun[[#This Row],[ATUAL]])</f>
        <v>0</v>
      </c>
      <c r="AJ188" s="97">
        <f>SUM(reservavariáveisconsolidadojun[[#This Row],[1]:[31]])</f>
        <v>0</v>
      </c>
      <c r="AK188" s="25"/>
    </row>
    <row r="189" spans="2:37" ht="19.5" customHeight="1" thickTop="1" thickBot="1" x14ac:dyDescent="0.3">
      <c r="B189" s="28"/>
      <c r="C189" s="27" t="str">
        <f>DADOS!$AN$5</f>
        <v>📝 CONTRATO DE FUTUROS</v>
      </c>
      <c r="D189" s="26" t="str">
        <f>IF(reservavariáveisconsolidadojun[[#This Row],[TOTAL (R$)]]=0,"",IF(OR(reservavariáveisconsolidadojun[[#This Row],[TOTAL (R$)]]=LARGE($AJ$187:$AJ$196,1),reservavariáveisconsolidadojun[[#This Row],[TOTAL (R$)]]=LARGE($AJ$187:$AJ$196,2)),DADOS!$I$11,""))</f>
        <v/>
      </c>
      <c r="E189" s="96">
        <f>SUMIFS(tabela_registros[VALOR],tabela_registros[MÊS],$AE$1,tabela_registros[DIA],reservavariáveisconsolidadojun[[#Headers],[1]],tabela_registros[REGISTRO],DADOS!$N$6,tabela_registros[TIPO],DADOS!$AJ$4,tabela_registros[CATEGORIA],reservavariáveisconsolidadojun[[#This Row],[ATUAL]])</f>
        <v>0</v>
      </c>
      <c r="F189" s="91">
        <f>SUMIFS(tabela_registros[VALOR],tabela_registros[MÊS],$AE$1,tabela_registros[DIA],reservavariáveisconsolidadojun[[#Headers],[2]],tabela_registros[REGISTRO],DADOS!$N$6,tabela_registros[TIPO],DADOS!$AJ$4,tabela_registros[CATEGORIA],reservavariáveisconsolidadojun[[#This Row],[ATUAL]])</f>
        <v>0</v>
      </c>
      <c r="G189" s="91">
        <f>SUMIFS(tabela_registros[VALOR],tabela_registros[MÊS],$AE$1,tabela_registros[DIA],reservavariáveisconsolidadojun[[#Headers],[3]],tabela_registros[REGISTRO],DADOS!$N$6,tabela_registros[TIPO],DADOS!$AJ$4,tabela_registros[CATEGORIA],reservavariáveisconsolidadojun[[#This Row],[ATUAL]])</f>
        <v>0</v>
      </c>
      <c r="H189" s="91">
        <f>SUMIFS(tabela_registros[VALOR],tabela_registros[MÊS],$AE$1,tabela_registros[DIA],reservavariáveisconsolidadojun[[#Headers],[4]],tabela_registros[REGISTRO],DADOS!$N$6,tabela_registros[TIPO],DADOS!$AJ$4,tabela_registros[CATEGORIA],reservavariáveisconsolidadojun[[#This Row],[ATUAL]])</f>
        <v>0</v>
      </c>
      <c r="I189" s="91">
        <f>SUMIFS(tabela_registros[VALOR],tabela_registros[MÊS],$AE$1,tabela_registros[DIA],reservavariáveisconsolidadojun[[#Headers],[5]],tabela_registros[REGISTRO],DADOS!$N$6,tabela_registros[TIPO],DADOS!$AJ$4,tabela_registros[CATEGORIA],reservavariáveisconsolidadojun[[#This Row],[ATUAL]])</f>
        <v>0</v>
      </c>
      <c r="J189" s="91">
        <f>SUMIFS(tabela_registros[VALOR],tabela_registros[MÊS],$AE$1,tabela_registros[DIA],reservavariáveisconsolidadojun[[#Headers],[6]],tabela_registros[REGISTRO],DADOS!$N$6,tabela_registros[TIPO],DADOS!$AJ$4,tabela_registros[CATEGORIA],reservavariáveisconsolidadojun[[#This Row],[ATUAL]])</f>
        <v>0</v>
      </c>
      <c r="K189" s="91">
        <f>SUMIFS(tabela_registros[VALOR],tabela_registros[MÊS],$AE$1,tabela_registros[DIA],reservavariáveisconsolidadojun[[#Headers],[7]],tabela_registros[REGISTRO],DADOS!$N$6,tabela_registros[TIPO],DADOS!$AJ$4,tabela_registros[CATEGORIA],reservavariáveisconsolidadojun[[#This Row],[ATUAL]])</f>
        <v>0</v>
      </c>
      <c r="L189" s="91">
        <f>SUMIFS(tabela_registros[VALOR],tabela_registros[MÊS],$AE$1,tabela_registros[DIA],reservavariáveisconsolidadojun[[#Headers],[8]],tabela_registros[REGISTRO],DADOS!$N$6,tabela_registros[TIPO],DADOS!$AJ$4,tabela_registros[CATEGORIA],reservavariáveisconsolidadojun[[#This Row],[ATUAL]])</f>
        <v>0</v>
      </c>
      <c r="M189" s="91">
        <f>SUMIFS(tabela_registros[VALOR],tabela_registros[MÊS],$AE$1,tabela_registros[DIA],reservavariáveisconsolidadojun[[#Headers],[9]],tabela_registros[REGISTRO],DADOS!$N$6,tabela_registros[TIPO],DADOS!$AJ$4,tabela_registros[CATEGORIA],reservavariáveisconsolidadojun[[#This Row],[ATUAL]])</f>
        <v>0</v>
      </c>
      <c r="N189" s="91">
        <f>SUMIFS(tabela_registros[VALOR],tabela_registros[MÊS],$AE$1,tabela_registros[DIA],reservavariáveisconsolidadojun[[#Headers],[10]],tabela_registros[REGISTRO],DADOS!$N$6,tabela_registros[TIPO],DADOS!$AJ$4,tabela_registros[CATEGORIA],reservavariáveisconsolidadojun[[#This Row],[ATUAL]])</f>
        <v>0</v>
      </c>
      <c r="O189" s="91">
        <f>SUMIFS(tabela_registros[VALOR],tabela_registros[MÊS],$AE$1,tabela_registros[DIA],reservavariáveisconsolidadojun[[#Headers],[11]],tabela_registros[REGISTRO],DADOS!$N$6,tabela_registros[TIPO],DADOS!$AJ$4,tabela_registros[CATEGORIA],reservavariáveisconsolidadojun[[#This Row],[ATUAL]])</f>
        <v>0</v>
      </c>
      <c r="P189" s="91">
        <f>SUMIFS(tabela_registros[VALOR],tabela_registros[MÊS],$AE$1,tabela_registros[DIA],reservavariáveisconsolidadojun[[#Headers],[12]],tabela_registros[REGISTRO],DADOS!$N$6,tabela_registros[TIPO],DADOS!$AJ$4,tabela_registros[CATEGORIA],reservavariáveisconsolidadojun[[#This Row],[ATUAL]])</f>
        <v>0</v>
      </c>
      <c r="Q189" s="91">
        <f>SUMIFS(tabela_registros[VALOR],tabela_registros[MÊS],$AE$1,tabela_registros[DIA],reservavariáveisconsolidadojun[[#Headers],[13]],tabela_registros[REGISTRO],DADOS!$N$6,tabela_registros[TIPO],DADOS!$AJ$4,tabela_registros[CATEGORIA],reservavariáveisconsolidadojun[[#This Row],[ATUAL]])</f>
        <v>0</v>
      </c>
      <c r="R189" s="91">
        <f>SUMIFS(tabela_registros[VALOR],tabela_registros[MÊS],$AE$1,tabela_registros[DIA],reservavariáveisconsolidadojun[[#Headers],[14]],tabela_registros[REGISTRO],DADOS!$N$6,tabela_registros[TIPO],DADOS!$AJ$4,tabela_registros[CATEGORIA],reservavariáveisconsolidadojun[[#This Row],[ATUAL]])</f>
        <v>0</v>
      </c>
      <c r="S189" s="91">
        <f>SUMIFS(tabela_registros[VALOR],tabela_registros[MÊS],$AE$1,tabela_registros[DIA],reservavariáveisconsolidadojun[[#Headers],[15]],tabela_registros[REGISTRO],DADOS!$N$6,tabela_registros[TIPO],DADOS!$AJ$4,tabela_registros[CATEGORIA],reservavariáveisconsolidadojun[[#This Row],[ATUAL]])</f>
        <v>0</v>
      </c>
      <c r="T189" s="91">
        <f>SUMIFS(tabela_registros[VALOR],tabela_registros[MÊS],$AE$1,tabela_registros[DIA],reservavariáveisconsolidadojun[[#Headers],[16]],tabela_registros[REGISTRO],DADOS!$N$6,tabela_registros[TIPO],DADOS!$AJ$4,tabela_registros[CATEGORIA],reservavariáveisconsolidadojun[[#This Row],[ATUAL]])</f>
        <v>0</v>
      </c>
      <c r="U189" s="91">
        <f>SUMIFS(tabela_registros[VALOR],tabela_registros[MÊS],$AE$1,tabela_registros[DIA],reservavariáveisconsolidadojun[[#Headers],[17]],tabela_registros[REGISTRO],DADOS!$N$6,tabela_registros[TIPO],DADOS!$AJ$4,tabela_registros[CATEGORIA],reservavariáveisconsolidadojun[[#This Row],[ATUAL]])</f>
        <v>0</v>
      </c>
      <c r="V189" s="91">
        <f>SUMIFS(tabela_registros[VALOR],tabela_registros[MÊS],$AE$1,tabela_registros[DIA],reservavariáveisconsolidadojun[[#Headers],[18]],tabela_registros[REGISTRO],DADOS!$N$6,tabela_registros[TIPO],DADOS!$AJ$4,tabela_registros[CATEGORIA],reservavariáveisconsolidadojun[[#This Row],[ATUAL]])</f>
        <v>0</v>
      </c>
      <c r="W189" s="91">
        <f>SUMIFS(tabela_registros[VALOR],tabela_registros[MÊS],$AE$1,tabela_registros[DIA],reservavariáveisconsolidadojun[[#Headers],[19]],tabela_registros[REGISTRO],DADOS!$N$6,tabela_registros[TIPO],DADOS!$AJ$4,tabela_registros[CATEGORIA],reservavariáveisconsolidadojun[[#This Row],[ATUAL]])</f>
        <v>0</v>
      </c>
      <c r="X189" s="91">
        <f>SUMIFS(tabela_registros[VALOR],tabela_registros[MÊS],$AE$1,tabela_registros[DIA],reservavariáveisconsolidadojun[[#Headers],[20]],tabela_registros[REGISTRO],DADOS!$N$6,tabela_registros[TIPO],DADOS!$AJ$4,tabela_registros[CATEGORIA],reservavariáveisconsolidadojun[[#This Row],[ATUAL]])</f>
        <v>0</v>
      </c>
      <c r="Y189" s="91">
        <f>SUMIFS(tabela_registros[VALOR],tabela_registros[MÊS],$AE$1,tabela_registros[DIA],reservavariáveisconsolidadojun[[#Headers],[21]],tabela_registros[REGISTRO],DADOS!$N$6,tabela_registros[TIPO],DADOS!$AJ$4,tabela_registros[CATEGORIA],reservavariáveisconsolidadojun[[#This Row],[ATUAL]])</f>
        <v>0</v>
      </c>
      <c r="Z189" s="91">
        <f>SUMIFS(tabela_registros[VALOR],tabela_registros[MÊS],$AE$1,tabela_registros[DIA],reservavariáveisconsolidadojun[[#Headers],[22]],tabela_registros[REGISTRO],DADOS!$N$6,tabela_registros[TIPO],DADOS!$AJ$4,tabela_registros[CATEGORIA],reservavariáveisconsolidadojun[[#This Row],[ATUAL]])</f>
        <v>0</v>
      </c>
      <c r="AA189" s="91">
        <f>SUMIFS(tabela_registros[VALOR],tabela_registros[MÊS],$AE$1,tabela_registros[DIA],reservavariáveisconsolidadojun[[#Headers],[23]],tabela_registros[REGISTRO],DADOS!$N$6,tabela_registros[TIPO],DADOS!$AJ$4,tabela_registros[CATEGORIA],reservavariáveisconsolidadojun[[#This Row],[ATUAL]])</f>
        <v>0</v>
      </c>
      <c r="AB189" s="91">
        <f>SUMIFS(tabela_registros[VALOR],tabela_registros[MÊS],$AE$1,tabela_registros[DIA],reservavariáveisconsolidadojun[[#Headers],[24]],tabela_registros[REGISTRO],DADOS!$N$6,tabela_registros[TIPO],DADOS!$AJ$4,tabela_registros[CATEGORIA],reservavariáveisconsolidadojun[[#This Row],[ATUAL]])</f>
        <v>0</v>
      </c>
      <c r="AC189" s="91">
        <f>SUMIFS(tabela_registros[VALOR],tabela_registros[MÊS],$AE$1,tabela_registros[DIA],reservavariáveisconsolidadojun[[#Headers],[25]],tabela_registros[REGISTRO],DADOS!$N$6,tabela_registros[TIPO],DADOS!$AJ$4,tabela_registros[CATEGORIA],reservavariáveisconsolidadojun[[#This Row],[ATUAL]])</f>
        <v>0</v>
      </c>
      <c r="AD189" s="91">
        <f>SUMIFS(tabela_registros[VALOR],tabela_registros[MÊS],$AE$1,tabela_registros[DIA],reservavariáveisconsolidadojun[[#Headers],[26]],tabela_registros[REGISTRO],DADOS!$N$6,tabela_registros[TIPO],DADOS!$AJ$4,tabela_registros[CATEGORIA],reservavariáveisconsolidadojun[[#This Row],[ATUAL]])</f>
        <v>0</v>
      </c>
      <c r="AE189" s="91">
        <f>SUMIFS(tabela_registros[VALOR],tabela_registros[MÊS],$AE$1,tabela_registros[DIA],reservavariáveisconsolidadojun[[#Headers],[27]],tabela_registros[REGISTRO],DADOS!$N$6,tabela_registros[TIPO],DADOS!$AJ$4,tabela_registros[CATEGORIA],reservavariáveisconsolidadojun[[#This Row],[ATUAL]])</f>
        <v>0</v>
      </c>
      <c r="AF189" s="91">
        <f>SUMIFS(tabela_registros[VALOR],tabela_registros[MÊS],$AE$1,tabela_registros[DIA],reservavariáveisconsolidadojun[[#Headers],[28]],tabela_registros[REGISTRO],DADOS!$N$6,tabela_registros[TIPO],DADOS!$AJ$4,tabela_registros[CATEGORIA],reservavariáveisconsolidadojun[[#This Row],[ATUAL]])</f>
        <v>0</v>
      </c>
      <c r="AG189" s="91">
        <f>SUMIFS(tabela_registros[VALOR],tabela_registros[MÊS],$AE$1,tabela_registros[DIA],reservavariáveisconsolidadojun[[#Headers],[29]],tabela_registros[REGISTRO],DADOS!$N$6,tabela_registros[TIPO],DADOS!$AJ$4,tabela_registros[CATEGORIA],reservavariáveisconsolidadojun[[#This Row],[ATUAL]])</f>
        <v>0</v>
      </c>
      <c r="AH189" s="91">
        <f>SUMIFS(tabela_registros[VALOR],tabela_registros[MÊS],$AE$1,tabela_registros[DIA],reservavariáveisconsolidadojun[[#Headers],[30]],tabela_registros[REGISTRO],DADOS!$N$6,tabela_registros[TIPO],DADOS!$AJ$4,tabela_registros[CATEGORIA],reservavariáveisconsolidadojun[[#This Row],[ATUAL]])</f>
        <v>0</v>
      </c>
      <c r="AI189" s="101">
        <f>SUMIFS(tabela_registros[VALOR],tabela_registros[MÊS],$AE$1,tabela_registros[DIA],reservavariáveisconsolidadojun[[#Headers],[31]],tabela_registros[REGISTRO],DADOS!$N$6,tabela_registros[TIPO],DADOS!$AJ$4,tabela_registros[CATEGORIA],reservavariáveisconsolidadojun[[#This Row],[ATUAL]])</f>
        <v>0</v>
      </c>
      <c r="AJ189" s="97">
        <f>SUM(reservavariáveisconsolidadojun[[#This Row],[1]:[31]])</f>
        <v>0</v>
      </c>
      <c r="AK189" s="25"/>
    </row>
    <row r="190" spans="2:37" ht="19.5" customHeight="1" thickTop="1" thickBot="1" x14ac:dyDescent="0.3">
      <c r="B190" s="28"/>
      <c r="C190" s="27" t="str">
        <f>DADOS!$AN$6</f>
        <v>📝 CONTRATO DE OPÇÕES</v>
      </c>
      <c r="D190" s="26" t="str">
        <f>IF(reservavariáveisconsolidadojun[[#This Row],[TOTAL (R$)]]=0,"",IF(OR(reservavariáveisconsolidadojun[[#This Row],[TOTAL (R$)]]=LARGE($AJ$187:$AJ$196,1),reservavariáveisconsolidadojun[[#This Row],[TOTAL (R$)]]=LARGE($AJ$187:$AJ$196,2)),DADOS!$I$11,""))</f>
        <v/>
      </c>
      <c r="E190" s="96">
        <f>SUMIFS(tabela_registros[VALOR],tabela_registros[MÊS],$AE$1,tabela_registros[DIA],reservavariáveisconsolidadojun[[#Headers],[1]],tabela_registros[REGISTRO],DADOS!$N$6,tabela_registros[TIPO],DADOS!$AJ$4,tabela_registros[CATEGORIA],reservavariáveisconsolidadojun[[#This Row],[ATUAL]])</f>
        <v>0</v>
      </c>
      <c r="F190" s="91">
        <f>SUMIFS(tabela_registros[VALOR],tabela_registros[MÊS],$AE$1,tabela_registros[DIA],reservavariáveisconsolidadojun[[#Headers],[2]],tabela_registros[REGISTRO],DADOS!$N$6,tabela_registros[TIPO],DADOS!$AJ$4,tabela_registros[CATEGORIA],reservavariáveisconsolidadojun[[#This Row],[ATUAL]])</f>
        <v>0</v>
      </c>
      <c r="G190" s="91">
        <f>SUMIFS(tabela_registros[VALOR],tabela_registros[MÊS],$AE$1,tabela_registros[DIA],reservavariáveisconsolidadojun[[#Headers],[3]],tabela_registros[REGISTRO],DADOS!$N$6,tabela_registros[TIPO],DADOS!$AJ$4,tabela_registros[CATEGORIA],reservavariáveisconsolidadojun[[#This Row],[ATUAL]])</f>
        <v>0</v>
      </c>
      <c r="H190" s="91">
        <f>SUMIFS(tabela_registros[VALOR],tabela_registros[MÊS],$AE$1,tabela_registros[DIA],reservavariáveisconsolidadojun[[#Headers],[4]],tabela_registros[REGISTRO],DADOS!$N$6,tabela_registros[TIPO],DADOS!$AJ$4,tabela_registros[CATEGORIA],reservavariáveisconsolidadojun[[#This Row],[ATUAL]])</f>
        <v>0</v>
      </c>
      <c r="I190" s="91">
        <f>SUMIFS(tabela_registros[VALOR],tabela_registros[MÊS],$AE$1,tabela_registros[DIA],reservavariáveisconsolidadojun[[#Headers],[5]],tabela_registros[REGISTRO],DADOS!$N$6,tabela_registros[TIPO],DADOS!$AJ$4,tabela_registros[CATEGORIA],reservavariáveisconsolidadojun[[#This Row],[ATUAL]])</f>
        <v>0</v>
      </c>
      <c r="J190" s="91">
        <f>SUMIFS(tabela_registros[VALOR],tabela_registros[MÊS],$AE$1,tabela_registros[DIA],reservavariáveisconsolidadojun[[#Headers],[6]],tabela_registros[REGISTRO],DADOS!$N$6,tabela_registros[TIPO],DADOS!$AJ$4,tabela_registros[CATEGORIA],reservavariáveisconsolidadojun[[#This Row],[ATUAL]])</f>
        <v>0</v>
      </c>
      <c r="K190" s="91">
        <f>SUMIFS(tabela_registros[VALOR],tabela_registros[MÊS],$AE$1,tabela_registros[DIA],reservavariáveisconsolidadojun[[#Headers],[7]],tabela_registros[REGISTRO],DADOS!$N$6,tabela_registros[TIPO],DADOS!$AJ$4,tabela_registros[CATEGORIA],reservavariáveisconsolidadojun[[#This Row],[ATUAL]])</f>
        <v>0</v>
      </c>
      <c r="L190" s="91">
        <f>SUMIFS(tabela_registros[VALOR],tabela_registros[MÊS],$AE$1,tabela_registros[DIA],reservavariáveisconsolidadojun[[#Headers],[8]],tabela_registros[REGISTRO],DADOS!$N$6,tabela_registros[TIPO],DADOS!$AJ$4,tabela_registros[CATEGORIA],reservavariáveisconsolidadojun[[#This Row],[ATUAL]])</f>
        <v>0</v>
      </c>
      <c r="M190" s="91">
        <f>SUMIFS(tabela_registros[VALOR],tabela_registros[MÊS],$AE$1,tabela_registros[DIA],reservavariáveisconsolidadojun[[#Headers],[9]],tabela_registros[REGISTRO],DADOS!$N$6,tabela_registros[TIPO],DADOS!$AJ$4,tabela_registros[CATEGORIA],reservavariáveisconsolidadojun[[#This Row],[ATUAL]])</f>
        <v>0</v>
      </c>
      <c r="N190" s="91">
        <f>SUMIFS(tabela_registros[VALOR],tabela_registros[MÊS],$AE$1,tabela_registros[DIA],reservavariáveisconsolidadojun[[#Headers],[10]],tabela_registros[REGISTRO],DADOS!$N$6,tabela_registros[TIPO],DADOS!$AJ$4,tabela_registros[CATEGORIA],reservavariáveisconsolidadojun[[#This Row],[ATUAL]])</f>
        <v>0</v>
      </c>
      <c r="O190" s="91">
        <f>SUMIFS(tabela_registros[VALOR],tabela_registros[MÊS],$AE$1,tabela_registros[DIA],reservavariáveisconsolidadojun[[#Headers],[11]],tabela_registros[REGISTRO],DADOS!$N$6,tabela_registros[TIPO],DADOS!$AJ$4,tabela_registros[CATEGORIA],reservavariáveisconsolidadojun[[#This Row],[ATUAL]])</f>
        <v>0</v>
      </c>
      <c r="P190" s="91">
        <f>SUMIFS(tabela_registros[VALOR],tabela_registros[MÊS],$AE$1,tabela_registros[DIA],reservavariáveisconsolidadojun[[#Headers],[12]],tabela_registros[REGISTRO],DADOS!$N$6,tabela_registros[TIPO],DADOS!$AJ$4,tabela_registros[CATEGORIA],reservavariáveisconsolidadojun[[#This Row],[ATUAL]])</f>
        <v>0</v>
      </c>
      <c r="Q190" s="91">
        <f>SUMIFS(tabela_registros[VALOR],tabela_registros[MÊS],$AE$1,tabela_registros[DIA],reservavariáveisconsolidadojun[[#Headers],[13]],tabela_registros[REGISTRO],DADOS!$N$6,tabela_registros[TIPO],DADOS!$AJ$4,tabela_registros[CATEGORIA],reservavariáveisconsolidadojun[[#This Row],[ATUAL]])</f>
        <v>0</v>
      </c>
      <c r="R190" s="91">
        <f>SUMIFS(tabela_registros[VALOR],tabela_registros[MÊS],$AE$1,tabela_registros[DIA],reservavariáveisconsolidadojun[[#Headers],[14]],tabela_registros[REGISTRO],DADOS!$N$6,tabela_registros[TIPO],DADOS!$AJ$4,tabela_registros[CATEGORIA],reservavariáveisconsolidadojun[[#This Row],[ATUAL]])</f>
        <v>0</v>
      </c>
      <c r="S190" s="91">
        <f>SUMIFS(tabela_registros[VALOR],tabela_registros[MÊS],$AE$1,tabela_registros[DIA],reservavariáveisconsolidadojun[[#Headers],[15]],tabela_registros[REGISTRO],DADOS!$N$6,tabela_registros[TIPO],DADOS!$AJ$4,tabela_registros[CATEGORIA],reservavariáveisconsolidadojun[[#This Row],[ATUAL]])</f>
        <v>0</v>
      </c>
      <c r="T190" s="91">
        <f>SUMIFS(tabela_registros[VALOR],tabela_registros[MÊS],$AE$1,tabela_registros[DIA],reservavariáveisconsolidadojun[[#Headers],[16]],tabela_registros[REGISTRO],DADOS!$N$6,tabela_registros[TIPO],DADOS!$AJ$4,tabela_registros[CATEGORIA],reservavariáveisconsolidadojun[[#This Row],[ATUAL]])</f>
        <v>0</v>
      </c>
      <c r="U190" s="91">
        <f>SUMIFS(tabela_registros[VALOR],tabela_registros[MÊS],$AE$1,tabela_registros[DIA],reservavariáveisconsolidadojun[[#Headers],[17]],tabela_registros[REGISTRO],DADOS!$N$6,tabela_registros[TIPO],DADOS!$AJ$4,tabela_registros[CATEGORIA],reservavariáveisconsolidadojun[[#This Row],[ATUAL]])</f>
        <v>0</v>
      </c>
      <c r="V190" s="91">
        <f>SUMIFS(tabela_registros[VALOR],tabela_registros[MÊS],$AE$1,tabela_registros[DIA],reservavariáveisconsolidadojun[[#Headers],[18]],tabela_registros[REGISTRO],DADOS!$N$6,tabela_registros[TIPO],DADOS!$AJ$4,tabela_registros[CATEGORIA],reservavariáveisconsolidadojun[[#This Row],[ATUAL]])</f>
        <v>0</v>
      </c>
      <c r="W190" s="91">
        <f>SUMIFS(tabela_registros[VALOR],tabela_registros[MÊS],$AE$1,tabela_registros[DIA],reservavariáveisconsolidadojun[[#Headers],[19]],tabela_registros[REGISTRO],DADOS!$N$6,tabela_registros[TIPO],DADOS!$AJ$4,tabela_registros[CATEGORIA],reservavariáveisconsolidadojun[[#This Row],[ATUAL]])</f>
        <v>0</v>
      </c>
      <c r="X190" s="91">
        <f>SUMIFS(tabela_registros[VALOR],tabela_registros[MÊS],$AE$1,tabela_registros[DIA],reservavariáveisconsolidadojun[[#Headers],[20]],tabela_registros[REGISTRO],DADOS!$N$6,tabela_registros[TIPO],DADOS!$AJ$4,tabela_registros[CATEGORIA],reservavariáveisconsolidadojun[[#This Row],[ATUAL]])</f>
        <v>0</v>
      </c>
      <c r="Y190" s="91">
        <f>SUMIFS(tabela_registros[VALOR],tabela_registros[MÊS],$AE$1,tabela_registros[DIA],reservavariáveisconsolidadojun[[#Headers],[21]],tabela_registros[REGISTRO],DADOS!$N$6,tabela_registros[TIPO],DADOS!$AJ$4,tabela_registros[CATEGORIA],reservavariáveisconsolidadojun[[#This Row],[ATUAL]])</f>
        <v>0</v>
      </c>
      <c r="Z190" s="91">
        <f>SUMIFS(tabela_registros[VALOR],tabela_registros[MÊS],$AE$1,tabela_registros[DIA],reservavariáveisconsolidadojun[[#Headers],[22]],tabela_registros[REGISTRO],DADOS!$N$6,tabela_registros[TIPO],DADOS!$AJ$4,tabela_registros[CATEGORIA],reservavariáveisconsolidadojun[[#This Row],[ATUAL]])</f>
        <v>0</v>
      </c>
      <c r="AA190" s="91">
        <f>SUMIFS(tabela_registros[VALOR],tabela_registros[MÊS],$AE$1,tabela_registros[DIA],reservavariáveisconsolidadojun[[#Headers],[23]],tabela_registros[REGISTRO],DADOS!$N$6,tabela_registros[TIPO],DADOS!$AJ$4,tabela_registros[CATEGORIA],reservavariáveisconsolidadojun[[#This Row],[ATUAL]])</f>
        <v>0</v>
      </c>
      <c r="AB190" s="91">
        <f>SUMIFS(tabela_registros[VALOR],tabela_registros[MÊS],$AE$1,tabela_registros[DIA],reservavariáveisconsolidadojun[[#Headers],[24]],tabela_registros[REGISTRO],DADOS!$N$6,tabela_registros[TIPO],DADOS!$AJ$4,tabela_registros[CATEGORIA],reservavariáveisconsolidadojun[[#This Row],[ATUAL]])</f>
        <v>0</v>
      </c>
      <c r="AC190" s="91">
        <f>SUMIFS(tabela_registros[VALOR],tabela_registros[MÊS],$AE$1,tabela_registros[DIA],reservavariáveisconsolidadojun[[#Headers],[25]],tabela_registros[REGISTRO],DADOS!$N$6,tabela_registros[TIPO],DADOS!$AJ$4,tabela_registros[CATEGORIA],reservavariáveisconsolidadojun[[#This Row],[ATUAL]])</f>
        <v>0</v>
      </c>
      <c r="AD190" s="91">
        <f>SUMIFS(tabela_registros[VALOR],tabela_registros[MÊS],$AE$1,tabela_registros[DIA],reservavariáveisconsolidadojun[[#Headers],[26]],tabela_registros[REGISTRO],DADOS!$N$6,tabela_registros[TIPO],DADOS!$AJ$4,tabela_registros[CATEGORIA],reservavariáveisconsolidadojun[[#This Row],[ATUAL]])</f>
        <v>0</v>
      </c>
      <c r="AE190" s="91">
        <f>SUMIFS(tabela_registros[VALOR],tabela_registros[MÊS],$AE$1,tabela_registros[DIA],reservavariáveisconsolidadojun[[#Headers],[27]],tabela_registros[REGISTRO],DADOS!$N$6,tabela_registros[TIPO],DADOS!$AJ$4,tabela_registros[CATEGORIA],reservavariáveisconsolidadojun[[#This Row],[ATUAL]])</f>
        <v>0</v>
      </c>
      <c r="AF190" s="91">
        <f>SUMIFS(tabela_registros[VALOR],tabela_registros[MÊS],$AE$1,tabela_registros[DIA],reservavariáveisconsolidadojun[[#Headers],[28]],tabela_registros[REGISTRO],DADOS!$N$6,tabela_registros[TIPO],DADOS!$AJ$4,tabela_registros[CATEGORIA],reservavariáveisconsolidadojun[[#This Row],[ATUAL]])</f>
        <v>0</v>
      </c>
      <c r="AG190" s="91">
        <f>SUMIFS(tabela_registros[VALOR],tabela_registros[MÊS],$AE$1,tabela_registros[DIA],reservavariáveisconsolidadojun[[#Headers],[29]],tabela_registros[REGISTRO],DADOS!$N$6,tabela_registros[TIPO],DADOS!$AJ$4,tabela_registros[CATEGORIA],reservavariáveisconsolidadojun[[#This Row],[ATUAL]])</f>
        <v>0</v>
      </c>
      <c r="AH190" s="91">
        <f>SUMIFS(tabela_registros[VALOR],tabela_registros[MÊS],$AE$1,tabela_registros[DIA],reservavariáveisconsolidadojun[[#Headers],[30]],tabela_registros[REGISTRO],DADOS!$N$6,tabela_registros[TIPO],DADOS!$AJ$4,tabela_registros[CATEGORIA],reservavariáveisconsolidadojun[[#This Row],[ATUAL]])</f>
        <v>0</v>
      </c>
      <c r="AI190" s="101">
        <f>SUMIFS(tabela_registros[VALOR],tabela_registros[MÊS],$AE$1,tabela_registros[DIA],reservavariáveisconsolidadojun[[#Headers],[31]],tabela_registros[REGISTRO],DADOS!$N$6,tabela_registros[TIPO],DADOS!$AJ$4,tabela_registros[CATEGORIA],reservavariáveisconsolidadojun[[#This Row],[ATUAL]])</f>
        <v>0</v>
      </c>
      <c r="AJ190" s="97">
        <f>SUM(reservavariáveisconsolidadojun[[#This Row],[1]:[31]])</f>
        <v>0</v>
      </c>
      <c r="AK190" s="25"/>
    </row>
    <row r="191" spans="2:37" ht="19.5" customHeight="1" thickTop="1" thickBot="1" x14ac:dyDescent="0.3">
      <c r="B191" s="28"/>
      <c r="C191" s="27" t="str">
        <f>DADOS!$AN$7</f>
        <v>📝 CRIPTOMOEDA</v>
      </c>
      <c r="D191" s="26" t="str">
        <f>IF(reservavariáveisconsolidadojun[[#This Row],[TOTAL (R$)]]=0,"",IF(OR(reservavariáveisconsolidadojun[[#This Row],[TOTAL (R$)]]=LARGE($AJ$187:$AJ$196,1),reservavariáveisconsolidadojun[[#This Row],[TOTAL (R$)]]=LARGE($AJ$187:$AJ$196,2)),DADOS!$I$11,""))</f>
        <v/>
      </c>
      <c r="E191" s="96">
        <f>SUMIFS(tabela_registros[VALOR],tabela_registros[MÊS],$AE$1,tabela_registros[DIA],reservavariáveisconsolidadojun[[#Headers],[1]],tabela_registros[REGISTRO],DADOS!$N$6,tabela_registros[TIPO],DADOS!$AJ$4,tabela_registros[CATEGORIA],reservavariáveisconsolidadojun[[#This Row],[ATUAL]])</f>
        <v>0</v>
      </c>
      <c r="F191" s="91">
        <f>SUMIFS(tabela_registros[VALOR],tabela_registros[MÊS],$AE$1,tabela_registros[DIA],reservavariáveisconsolidadojun[[#Headers],[2]],tabela_registros[REGISTRO],DADOS!$N$6,tabela_registros[TIPO],DADOS!$AJ$4,tabela_registros[CATEGORIA],reservavariáveisconsolidadojun[[#This Row],[ATUAL]])</f>
        <v>0</v>
      </c>
      <c r="G191" s="91">
        <f>SUMIFS(tabela_registros[VALOR],tabela_registros[MÊS],$AE$1,tabela_registros[DIA],reservavariáveisconsolidadojun[[#Headers],[3]],tabela_registros[REGISTRO],DADOS!$N$6,tabela_registros[TIPO],DADOS!$AJ$4,tabela_registros[CATEGORIA],reservavariáveisconsolidadojun[[#This Row],[ATUAL]])</f>
        <v>0</v>
      </c>
      <c r="H191" s="91">
        <f>SUMIFS(tabela_registros[VALOR],tabela_registros[MÊS],$AE$1,tabela_registros[DIA],reservavariáveisconsolidadojun[[#Headers],[4]],tabela_registros[REGISTRO],DADOS!$N$6,tabela_registros[TIPO],DADOS!$AJ$4,tabela_registros[CATEGORIA],reservavariáveisconsolidadojun[[#This Row],[ATUAL]])</f>
        <v>0</v>
      </c>
      <c r="I191" s="91">
        <f>SUMIFS(tabela_registros[VALOR],tabela_registros[MÊS],$AE$1,tabela_registros[DIA],reservavariáveisconsolidadojun[[#Headers],[5]],tabela_registros[REGISTRO],DADOS!$N$6,tabela_registros[TIPO],DADOS!$AJ$4,tabela_registros[CATEGORIA],reservavariáveisconsolidadojun[[#This Row],[ATUAL]])</f>
        <v>0</v>
      </c>
      <c r="J191" s="91">
        <f>SUMIFS(tabela_registros[VALOR],tabela_registros[MÊS],$AE$1,tabela_registros[DIA],reservavariáveisconsolidadojun[[#Headers],[6]],tabela_registros[REGISTRO],DADOS!$N$6,tabela_registros[TIPO],DADOS!$AJ$4,tabela_registros[CATEGORIA],reservavariáveisconsolidadojun[[#This Row],[ATUAL]])</f>
        <v>0</v>
      </c>
      <c r="K191" s="91">
        <f>SUMIFS(tabela_registros[VALOR],tabela_registros[MÊS],$AE$1,tabela_registros[DIA],reservavariáveisconsolidadojun[[#Headers],[7]],tabela_registros[REGISTRO],DADOS!$N$6,tabela_registros[TIPO],DADOS!$AJ$4,tabela_registros[CATEGORIA],reservavariáveisconsolidadojun[[#This Row],[ATUAL]])</f>
        <v>0</v>
      </c>
      <c r="L191" s="91">
        <f>SUMIFS(tabela_registros[VALOR],tabela_registros[MÊS],$AE$1,tabela_registros[DIA],reservavariáveisconsolidadojun[[#Headers],[8]],tabela_registros[REGISTRO],DADOS!$N$6,tabela_registros[TIPO],DADOS!$AJ$4,tabela_registros[CATEGORIA],reservavariáveisconsolidadojun[[#This Row],[ATUAL]])</f>
        <v>0</v>
      </c>
      <c r="M191" s="91">
        <f>SUMIFS(tabela_registros[VALOR],tabela_registros[MÊS],$AE$1,tabela_registros[DIA],reservavariáveisconsolidadojun[[#Headers],[9]],tabela_registros[REGISTRO],DADOS!$N$6,tabela_registros[TIPO],DADOS!$AJ$4,tabela_registros[CATEGORIA],reservavariáveisconsolidadojun[[#This Row],[ATUAL]])</f>
        <v>0</v>
      </c>
      <c r="N191" s="91">
        <f>SUMIFS(tabela_registros[VALOR],tabela_registros[MÊS],$AE$1,tabela_registros[DIA],reservavariáveisconsolidadojun[[#Headers],[10]],tabela_registros[REGISTRO],DADOS!$N$6,tabela_registros[TIPO],DADOS!$AJ$4,tabela_registros[CATEGORIA],reservavariáveisconsolidadojun[[#This Row],[ATUAL]])</f>
        <v>0</v>
      </c>
      <c r="O191" s="91">
        <f>SUMIFS(tabela_registros[VALOR],tabela_registros[MÊS],$AE$1,tabela_registros[DIA],reservavariáveisconsolidadojun[[#Headers],[11]],tabela_registros[REGISTRO],DADOS!$N$6,tabela_registros[TIPO],DADOS!$AJ$4,tabela_registros[CATEGORIA],reservavariáveisconsolidadojun[[#This Row],[ATUAL]])</f>
        <v>0</v>
      </c>
      <c r="P191" s="91">
        <f>SUMIFS(tabela_registros[VALOR],tabela_registros[MÊS],$AE$1,tabela_registros[DIA],reservavariáveisconsolidadojun[[#Headers],[12]],tabela_registros[REGISTRO],DADOS!$N$6,tabela_registros[TIPO],DADOS!$AJ$4,tabela_registros[CATEGORIA],reservavariáveisconsolidadojun[[#This Row],[ATUAL]])</f>
        <v>0</v>
      </c>
      <c r="Q191" s="91">
        <f>SUMIFS(tabela_registros[VALOR],tabela_registros[MÊS],$AE$1,tabela_registros[DIA],reservavariáveisconsolidadojun[[#Headers],[13]],tabela_registros[REGISTRO],DADOS!$N$6,tabela_registros[TIPO],DADOS!$AJ$4,tabela_registros[CATEGORIA],reservavariáveisconsolidadojun[[#This Row],[ATUAL]])</f>
        <v>0</v>
      </c>
      <c r="R191" s="91">
        <f>SUMIFS(tabela_registros[VALOR],tabela_registros[MÊS],$AE$1,tabela_registros[DIA],reservavariáveisconsolidadojun[[#Headers],[14]],tabela_registros[REGISTRO],DADOS!$N$6,tabela_registros[TIPO],DADOS!$AJ$4,tabela_registros[CATEGORIA],reservavariáveisconsolidadojun[[#This Row],[ATUAL]])</f>
        <v>0</v>
      </c>
      <c r="S191" s="91">
        <f>SUMIFS(tabela_registros[VALOR],tabela_registros[MÊS],$AE$1,tabela_registros[DIA],reservavariáveisconsolidadojun[[#Headers],[15]],tabela_registros[REGISTRO],DADOS!$N$6,tabela_registros[TIPO],DADOS!$AJ$4,tabela_registros[CATEGORIA],reservavariáveisconsolidadojun[[#This Row],[ATUAL]])</f>
        <v>0</v>
      </c>
      <c r="T191" s="91">
        <f>SUMIFS(tabela_registros[VALOR],tabela_registros[MÊS],$AE$1,tabela_registros[DIA],reservavariáveisconsolidadojun[[#Headers],[16]],tabela_registros[REGISTRO],DADOS!$N$6,tabela_registros[TIPO],DADOS!$AJ$4,tabela_registros[CATEGORIA],reservavariáveisconsolidadojun[[#This Row],[ATUAL]])</f>
        <v>0</v>
      </c>
      <c r="U191" s="91">
        <f>SUMIFS(tabela_registros[VALOR],tabela_registros[MÊS],$AE$1,tabela_registros[DIA],reservavariáveisconsolidadojun[[#Headers],[17]],tabela_registros[REGISTRO],DADOS!$N$6,tabela_registros[TIPO],DADOS!$AJ$4,tabela_registros[CATEGORIA],reservavariáveisconsolidadojun[[#This Row],[ATUAL]])</f>
        <v>0</v>
      </c>
      <c r="V191" s="91">
        <f>SUMIFS(tabela_registros[VALOR],tabela_registros[MÊS],$AE$1,tabela_registros[DIA],reservavariáveisconsolidadojun[[#Headers],[18]],tabela_registros[REGISTRO],DADOS!$N$6,tabela_registros[TIPO],DADOS!$AJ$4,tabela_registros[CATEGORIA],reservavariáveisconsolidadojun[[#This Row],[ATUAL]])</f>
        <v>0</v>
      </c>
      <c r="W191" s="91">
        <f>SUMIFS(tabela_registros[VALOR],tabela_registros[MÊS],$AE$1,tabela_registros[DIA],reservavariáveisconsolidadojun[[#Headers],[19]],tabela_registros[REGISTRO],DADOS!$N$6,tabela_registros[TIPO],DADOS!$AJ$4,tabela_registros[CATEGORIA],reservavariáveisconsolidadojun[[#This Row],[ATUAL]])</f>
        <v>0</v>
      </c>
      <c r="X191" s="91">
        <f>SUMIFS(tabela_registros[VALOR],tabela_registros[MÊS],$AE$1,tabela_registros[DIA],reservavariáveisconsolidadojun[[#Headers],[20]],tabela_registros[REGISTRO],DADOS!$N$6,tabela_registros[TIPO],DADOS!$AJ$4,tabela_registros[CATEGORIA],reservavariáveisconsolidadojun[[#This Row],[ATUAL]])</f>
        <v>0</v>
      </c>
      <c r="Y191" s="91">
        <f>SUMIFS(tabela_registros[VALOR],tabela_registros[MÊS],$AE$1,tabela_registros[DIA],reservavariáveisconsolidadojun[[#Headers],[21]],tabela_registros[REGISTRO],DADOS!$N$6,tabela_registros[TIPO],DADOS!$AJ$4,tabela_registros[CATEGORIA],reservavariáveisconsolidadojun[[#This Row],[ATUAL]])</f>
        <v>0</v>
      </c>
      <c r="Z191" s="91">
        <f>SUMIFS(tabela_registros[VALOR],tabela_registros[MÊS],$AE$1,tabela_registros[DIA],reservavariáveisconsolidadojun[[#Headers],[22]],tabela_registros[REGISTRO],DADOS!$N$6,tabela_registros[TIPO],DADOS!$AJ$4,tabela_registros[CATEGORIA],reservavariáveisconsolidadojun[[#This Row],[ATUAL]])</f>
        <v>0</v>
      </c>
      <c r="AA191" s="91">
        <f>SUMIFS(tabela_registros[VALOR],tabela_registros[MÊS],$AE$1,tabela_registros[DIA],reservavariáveisconsolidadojun[[#Headers],[23]],tabela_registros[REGISTRO],DADOS!$N$6,tabela_registros[TIPO],DADOS!$AJ$4,tabela_registros[CATEGORIA],reservavariáveisconsolidadojun[[#This Row],[ATUAL]])</f>
        <v>0</v>
      </c>
      <c r="AB191" s="91">
        <f>SUMIFS(tabela_registros[VALOR],tabela_registros[MÊS],$AE$1,tabela_registros[DIA],reservavariáveisconsolidadojun[[#Headers],[24]],tabela_registros[REGISTRO],DADOS!$N$6,tabela_registros[TIPO],DADOS!$AJ$4,tabela_registros[CATEGORIA],reservavariáveisconsolidadojun[[#This Row],[ATUAL]])</f>
        <v>0</v>
      </c>
      <c r="AC191" s="91">
        <f>SUMIFS(tabela_registros[VALOR],tabela_registros[MÊS],$AE$1,tabela_registros[DIA],reservavariáveisconsolidadojun[[#Headers],[25]],tabela_registros[REGISTRO],DADOS!$N$6,tabela_registros[TIPO],DADOS!$AJ$4,tabela_registros[CATEGORIA],reservavariáveisconsolidadojun[[#This Row],[ATUAL]])</f>
        <v>0</v>
      </c>
      <c r="AD191" s="91">
        <f>SUMIFS(tabela_registros[VALOR],tabela_registros[MÊS],$AE$1,tabela_registros[DIA],reservavariáveisconsolidadojun[[#Headers],[26]],tabela_registros[REGISTRO],DADOS!$N$6,tabela_registros[TIPO],DADOS!$AJ$4,tabela_registros[CATEGORIA],reservavariáveisconsolidadojun[[#This Row],[ATUAL]])</f>
        <v>0</v>
      </c>
      <c r="AE191" s="91">
        <f>SUMIFS(tabela_registros[VALOR],tabela_registros[MÊS],$AE$1,tabela_registros[DIA],reservavariáveisconsolidadojun[[#Headers],[27]],tabela_registros[REGISTRO],DADOS!$N$6,tabela_registros[TIPO],DADOS!$AJ$4,tabela_registros[CATEGORIA],reservavariáveisconsolidadojun[[#This Row],[ATUAL]])</f>
        <v>0</v>
      </c>
      <c r="AF191" s="91">
        <f>SUMIFS(tabela_registros[VALOR],tabela_registros[MÊS],$AE$1,tabela_registros[DIA],reservavariáveisconsolidadojun[[#Headers],[28]],tabela_registros[REGISTRO],DADOS!$N$6,tabela_registros[TIPO],DADOS!$AJ$4,tabela_registros[CATEGORIA],reservavariáveisconsolidadojun[[#This Row],[ATUAL]])</f>
        <v>0</v>
      </c>
      <c r="AG191" s="91">
        <f>SUMIFS(tabela_registros[VALOR],tabela_registros[MÊS],$AE$1,tabela_registros[DIA],reservavariáveisconsolidadojun[[#Headers],[29]],tabela_registros[REGISTRO],DADOS!$N$6,tabela_registros[TIPO],DADOS!$AJ$4,tabela_registros[CATEGORIA],reservavariáveisconsolidadojun[[#This Row],[ATUAL]])</f>
        <v>0</v>
      </c>
      <c r="AH191" s="91">
        <f>SUMIFS(tabela_registros[VALOR],tabela_registros[MÊS],$AE$1,tabela_registros[DIA],reservavariáveisconsolidadojun[[#Headers],[30]],tabela_registros[REGISTRO],DADOS!$N$6,tabela_registros[TIPO],DADOS!$AJ$4,tabela_registros[CATEGORIA],reservavariáveisconsolidadojun[[#This Row],[ATUAL]])</f>
        <v>0</v>
      </c>
      <c r="AI191" s="101">
        <f>SUMIFS(tabela_registros[VALOR],tabela_registros[MÊS],$AE$1,tabela_registros[DIA],reservavariáveisconsolidadojun[[#Headers],[31]],tabela_registros[REGISTRO],DADOS!$N$6,tabela_registros[TIPO],DADOS!$AJ$4,tabela_registros[CATEGORIA],reservavariáveisconsolidadojun[[#This Row],[ATUAL]])</f>
        <v>0</v>
      </c>
      <c r="AJ191" s="97">
        <f>SUM(reservavariáveisconsolidadojun[[#This Row],[1]:[31]])</f>
        <v>0</v>
      </c>
      <c r="AK191" s="25"/>
    </row>
    <row r="192" spans="2:37" ht="19.5" customHeight="1" thickTop="1" thickBot="1" x14ac:dyDescent="0.3">
      <c r="B192" s="28"/>
      <c r="C192" s="27" t="str">
        <f>DADOS!$AN$8</f>
        <v>📝 ETF</v>
      </c>
      <c r="D192" s="26" t="str">
        <f>IF(reservavariáveisconsolidadojun[[#This Row],[TOTAL (R$)]]=0,"",IF(OR(reservavariáveisconsolidadojun[[#This Row],[TOTAL (R$)]]=LARGE($AJ$187:$AJ$196,1),reservavariáveisconsolidadojun[[#This Row],[TOTAL (R$)]]=LARGE($AJ$187:$AJ$196,2)),DADOS!$I$11,""))</f>
        <v/>
      </c>
      <c r="E192" s="96">
        <f>SUMIFS(tabela_registros[VALOR],tabela_registros[MÊS],$AE$1,tabela_registros[DIA],reservavariáveisconsolidadojun[[#Headers],[1]],tabela_registros[REGISTRO],DADOS!$N$6,tabela_registros[TIPO],DADOS!$AJ$4,tabela_registros[CATEGORIA],reservavariáveisconsolidadojun[[#This Row],[ATUAL]])</f>
        <v>0</v>
      </c>
      <c r="F192" s="91">
        <f>SUMIFS(tabela_registros[VALOR],tabela_registros[MÊS],$AE$1,tabela_registros[DIA],reservavariáveisconsolidadojun[[#Headers],[2]],tabela_registros[REGISTRO],DADOS!$N$6,tabela_registros[TIPO],DADOS!$AJ$4,tabela_registros[CATEGORIA],reservavariáveisconsolidadojun[[#This Row],[ATUAL]])</f>
        <v>0</v>
      </c>
      <c r="G192" s="91">
        <f>SUMIFS(tabela_registros[VALOR],tabela_registros[MÊS],$AE$1,tabela_registros[DIA],reservavariáveisconsolidadojun[[#Headers],[3]],tabela_registros[REGISTRO],DADOS!$N$6,tabela_registros[TIPO],DADOS!$AJ$4,tabela_registros[CATEGORIA],reservavariáveisconsolidadojun[[#This Row],[ATUAL]])</f>
        <v>0</v>
      </c>
      <c r="H192" s="91">
        <f>SUMIFS(tabela_registros[VALOR],tabela_registros[MÊS],$AE$1,tabela_registros[DIA],reservavariáveisconsolidadojun[[#Headers],[4]],tabela_registros[REGISTRO],DADOS!$N$6,tabela_registros[TIPO],DADOS!$AJ$4,tabela_registros[CATEGORIA],reservavariáveisconsolidadojun[[#This Row],[ATUAL]])</f>
        <v>0</v>
      </c>
      <c r="I192" s="91">
        <f>SUMIFS(tabela_registros[VALOR],tabela_registros[MÊS],$AE$1,tabela_registros[DIA],reservavariáveisconsolidadojun[[#Headers],[5]],tabela_registros[REGISTRO],DADOS!$N$6,tabela_registros[TIPO],DADOS!$AJ$4,tabela_registros[CATEGORIA],reservavariáveisconsolidadojun[[#This Row],[ATUAL]])</f>
        <v>0</v>
      </c>
      <c r="J192" s="91">
        <f>SUMIFS(tabela_registros[VALOR],tabela_registros[MÊS],$AE$1,tabela_registros[DIA],reservavariáveisconsolidadojun[[#Headers],[6]],tabela_registros[REGISTRO],DADOS!$N$6,tabela_registros[TIPO],DADOS!$AJ$4,tabela_registros[CATEGORIA],reservavariáveisconsolidadojun[[#This Row],[ATUAL]])</f>
        <v>0</v>
      </c>
      <c r="K192" s="91">
        <f>SUMIFS(tabela_registros[VALOR],tabela_registros[MÊS],$AE$1,tabela_registros[DIA],reservavariáveisconsolidadojun[[#Headers],[7]],tabela_registros[REGISTRO],DADOS!$N$6,tabela_registros[TIPO],DADOS!$AJ$4,tabela_registros[CATEGORIA],reservavariáveisconsolidadojun[[#This Row],[ATUAL]])</f>
        <v>0</v>
      </c>
      <c r="L192" s="91">
        <f>SUMIFS(tabela_registros[VALOR],tabela_registros[MÊS],$AE$1,tabela_registros[DIA],reservavariáveisconsolidadojun[[#Headers],[8]],tabela_registros[REGISTRO],DADOS!$N$6,tabela_registros[TIPO],DADOS!$AJ$4,tabela_registros[CATEGORIA],reservavariáveisconsolidadojun[[#This Row],[ATUAL]])</f>
        <v>0</v>
      </c>
      <c r="M192" s="91">
        <f>SUMIFS(tabela_registros[VALOR],tabela_registros[MÊS],$AE$1,tabela_registros[DIA],reservavariáveisconsolidadojun[[#Headers],[9]],tabela_registros[REGISTRO],DADOS!$N$6,tabela_registros[TIPO],DADOS!$AJ$4,tabela_registros[CATEGORIA],reservavariáveisconsolidadojun[[#This Row],[ATUAL]])</f>
        <v>0</v>
      </c>
      <c r="N192" s="91">
        <f>SUMIFS(tabela_registros[VALOR],tabela_registros[MÊS],$AE$1,tabela_registros[DIA],reservavariáveisconsolidadojun[[#Headers],[10]],tabela_registros[REGISTRO],DADOS!$N$6,tabela_registros[TIPO],DADOS!$AJ$4,tabela_registros[CATEGORIA],reservavariáveisconsolidadojun[[#This Row],[ATUAL]])</f>
        <v>0</v>
      </c>
      <c r="O192" s="91">
        <f>SUMIFS(tabela_registros[VALOR],tabela_registros[MÊS],$AE$1,tabela_registros[DIA],reservavariáveisconsolidadojun[[#Headers],[11]],tabela_registros[REGISTRO],DADOS!$N$6,tabela_registros[TIPO],DADOS!$AJ$4,tabela_registros[CATEGORIA],reservavariáveisconsolidadojun[[#This Row],[ATUAL]])</f>
        <v>0</v>
      </c>
      <c r="P192" s="91">
        <f>SUMIFS(tabela_registros[VALOR],tabela_registros[MÊS],$AE$1,tabela_registros[DIA],reservavariáveisconsolidadojun[[#Headers],[12]],tabela_registros[REGISTRO],DADOS!$N$6,tabela_registros[TIPO],DADOS!$AJ$4,tabela_registros[CATEGORIA],reservavariáveisconsolidadojun[[#This Row],[ATUAL]])</f>
        <v>0</v>
      </c>
      <c r="Q192" s="91">
        <f>SUMIFS(tabela_registros[VALOR],tabela_registros[MÊS],$AE$1,tabela_registros[DIA],reservavariáveisconsolidadojun[[#Headers],[13]],tabela_registros[REGISTRO],DADOS!$N$6,tabela_registros[TIPO],DADOS!$AJ$4,tabela_registros[CATEGORIA],reservavariáveisconsolidadojun[[#This Row],[ATUAL]])</f>
        <v>0</v>
      </c>
      <c r="R192" s="91">
        <f>SUMIFS(tabela_registros[VALOR],tabela_registros[MÊS],$AE$1,tabela_registros[DIA],reservavariáveisconsolidadojun[[#Headers],[14]],tabela_registros[REGISTRO],DADOS!$N$6,tabela_registros[TIPO],DADOS!$AJ$4,tabela_registros[CATEGORIA],reservavariáveisconsolidadojun[[#This Row],[ATUAL]])</f>
        <v>0</v>
      </c>
      <c r="S192" s="91">
        <f>SUMIFS(tabela_registros[VALOR],tabela_registros[MÊS],$AE$1,tabela_registros[DIA],reservavariáveisconsolidadojun[[#Headers],[15]],tabela_registros[REGISTRO],DADOS!$N$6,tabela_registros[TIPO],DADOS!$AJ$4,tabela_registros[CATEGORIA],reservavariáveisconsolidadojun[[#This Row],[ATUAL]])</f>
        <v>0</v>
      </c>
      <c r="T192" s="91">
        <f>SUMIFS(tabela_registros[VALOR],tabela_registros[MÊS],$AE$1,tabela_registros[DIA],reservavariáveisconsolidadojun[[#Headers],[16]],tabela_registros[REGISTRO],DADOS!$N$6,tabela_registros[TIPO],DADOS!$AJ$4,tabela_registros[CATEGORIA],reservavariáveisconsolidadojun[[#This Row],[ATUAL]])</f>
        <v>0</v>
      </c>
      <c r="U192" s="91">
        <f>SUMIFS(tabela_registros[VALOR],tabela_registros[MÊS],$AE$1,tabela_registros[DIA],reservavariáveisconsolidadojun[[#Headers],[17]],tabela_registros[REGISTRO],DADOS!$N$6,tabela_registros[TIPO],DADOS!$AJ$4,tabela_registros[CATEGORIA],reservavariáveisconsolidadojun[[#This Row],[ATUAL]])</f>
        <v>0</v>
      </c>
      <c r="V192" s="91">
        <f>SUMIFS(tabela_registros[VALOR],tabela_registros[MÊS],$AE$1,tabela_registros[DIA],reservavariáveisconsolidadojun[[#Headers],[18]],tabela_registros[REGISTRO],DADOS!$N$6,tabela_registros[TIPO],DADOS!$AJ$4,tabela_registros[CATEGORIA],reservavariáveisconsolidadojun[[#This Row],[ATUAL]])</f>
        <v>0</v>
      </c>
      <c r="W192" s="91">
        <f>SUMIFS(tabela_registros[VALOR],tabela_registros[MÊS],$AE$1,tabela_registros[DIA],reservavariáveisconsolidadojun[[#Headers],[19]],tabela_registros[REGISTRO],DADOS!$N$6,tabela_registros[TIPO],DADOS!$AJ$4,tabela_registros[CATEGORIA],reservavariáveisconsolidadojun[[#This Row],[ATUAL]])</f>
        <v>0</v>
      </c>
      <c r="X192" s="91">
        <f>SUMIFS(tabela_registros[VALOR],tabela_registros[MÊS],$AE$1,tabela_registros[DIA],reservavariáveisconsolidadojun[[#Headers],[20]],tabela_registros[REGISTRO],DADOS!$N$6,tabela_registros[TIPO],DADOS!$AJ$4,tabela_registros[CATEGORIA],reservavariáveisconsolidadojun[[#This Row],[ATUAL]])</f>
        <v>0</v>
      </c>
      <c r="Y192" s="91">
        <f>SUMIFS(tabela_registros[VALOR],tabela_registros[MÊS],$AE$1,tabela_registros[DIA],reservavariáveisconsolidadojun[[#Headers],[21]],tabela_registros[REGISTRO],DADOS!$N$6,tabela_registros[TIPO],DADOS!$AJ$4,tabela_registros[CATEGORIA],reservavariáveisconsolidadojun[[#This Row],[ATUAL]])</f>
        <v>0</v>
      </c>
      <c r="Z192" s="91">
        <f>SUMIFS(tabela_registros[VALOR],tabela_registros[MÊS],$AE$1,tabela_registros[DIA],reservavariáveisconsolidadojun[[#Headers],[22]],tabela_registros[REGISTRO],DADOS!$N$6,tabela_registros[TIPO],DADOS!$AJ$4,tabela_registros[CATEGORIA],reservavariáveisconsolidadojun[[#This Row],[ATUAL]])</f>
        <v>0</v>
      </c>
      <c r="AA192" s="91">
        <f>SUMIFS(tabela_registros[VALOR],tabela_registros[MÊS],$AE$1,tabela_registros[DIA],reservavariáveisconsolidadojun[[#Headers],[23]],tabela_registros[REGISTRO],DADOS!$N$6,tabela_registros[TIPO],DADOS!$AJ$4,tabela_registros[CATEGORIA],reservavariáveisconsolidadojun[[#This Row],[ATUAL]])</f>
        <v>0</v>
      </c>
      <c r="AB192" s="91">
        <f>SUMIFS(tabela_registros[VALOR],tabela_registros[MÊS],$AE$1,tabela_registros[DIA],reservavariáveisconsolidadojun[[#Headers],[24]],tabela_registros[REGISTRO],DADOS!$N$6,tabela_registros[TIPO],DADOS!$AJ$4,tabela_registros[CATEGORIA],reservavariáveisconsolidadojun[[#This Row],[ATUAL]])</f>
        <v>0</v>
      </c>
      <c r="AC192" s="91">
        <f>SUMIFS(tabela_registros[VALOR],tabela_registros[MÊS],$AE$1,tabela_registros[DIA],reservavariáveisconsolidadojun[[#Headers],[25]],tabela_registros[REGISTRO],DADOS!$N$6,tabela_registros[TIPO],DADOS!$AJ$4,tabela_registros[CATEGORIA],reservavariáveisconsolidadojun[[#This Row],[ATUAL]])</f>
        <v>0</v>
      </c>
      <c r="AD192" s="91">
        <f>SUMIFS(tabela_registros[VALOR],tabela_registros[MÊS],$AE$1,tabela_registros[DIA],reservavariáveisconsolidadojun[[#Headers],[26]],tabela_registros[REGISTRO],DADOS!$N$6,tabela_registros[TIPO],DADOS!$AJ$4,tabela_registros[CATEGORIA],reservavariáveisconsolidadojun[[#This Row],[ATUAL]])</f>
        <v>0</v>
      </c>
      <c r="AE192" s="91">
        <f>SUMIFS(tabela_registros[VALOR],tabela_registros[MÊS],$AE$1,tabela_registros[DIA],reservavariáveisconsolidadojun[[#Headers],[27]],tabela_registros[REGISTRO],DADOS!$N$6,tabela_registros[TIPO],DADOS!$AJ$4,tabela_registros[CATEGORIA],reservavariáveisconsolidadojun[[#This Row],[ATUAL]])</f>
        <v>0</v>
      </c>
      <c r="AF192" s="91">
        <f>SUMIFS(tabela_registros[VALOR],tabela_registros[MÊS],$AE$1,tabela_registros[DIA],reservavariáveisconsolidadojun[[#Headers],[28]],tabela_registros[REGISTRO],DADOS!$N$6,tabela_registros[TIPO],DADOS!$AJ$4,tabela_registros[CATEGORIA],reservavariáveisconsolidadojun[[#This Row],[ATUAL]])</f>
        <v>0</v>
      </c>
      <c r="AG192" s="91">
        <f>SUMIFS(tabela_registros[VALOR],tabela_registros[MÊS],$AE$1,tabela_registros[DIA],reservavariáveisconsolidadojun[[#Headers],[29]],tabela_registros[REGISTRO],DADOS!$N$6,tabela_registros[TIPO],DADOS!$AJ$4,tabela_registros[CATEGORIA],reservavariáveisconsolidadojun[[#This Row],[ATUAL]])</f>
        <v>0</v>
      </c>
      <c r="AH192" s="91">
        <f>SUMIFS(tabela_registros[VALOR],tabela_registros[MÊS],$AE$1,tabela_registros[DIA],reservavariáveisconsolidadojun[[#Headers],[30]],tabela_registros[REGISTRO],DADOS!$N$6,tabela_registros[TIPO],DADOS!$AJ$4,tabela_registros[CATEGORIA],reservavariáveisconsolidadojun[[#This Row],[ATUAL]])</f>
        <v>0</v>
      </c>
      <c r="AI192" s="101">
        <f>SUMIFS(tabela_registros[VALOR],tabela_registros[MÊS],$AE$1,tabela_registros[DIA],reservavariáveisconsolidadojun[[#Headers],[31]],tabela_registros[REGISTRO],DADOS!$N$6,tabela_registros[TIPO],DADOS!$AJ$4,tabela_registros[CATEGORIA],reservavariáveisconsolidadojun[[#This Row],[ATUAL]])</f>
        <v>0</v>
      </c>
      <c r="AJ192" s="97">
        <f>SUM(reservavariáveisconsolidadojun[[#This Row],[1]:[31]])</f>
        <v>0</v>
      </c>
      <c r="AK192" s="25"/>
    </row>
    <row r="193" spans="2:37" ht="19.5" customHeight="1" thickTop="1" thickBot="1" x14ac:dyDescent="0.3">
      <c r="B193" s="28"/>
      <c r="C193" s="27" t="str">
        <f>DADOS!$AN$9</f>
        <v>📝 EXTERIOR</v>
      </c>
      <c r="D193" s="26" t="str">
        <f>IF(reservavariáveisconsolidadojun[[#This Row],[TOTAL (R$)]]=0,"",IF(OR(reservavariáveisconsolidadojun[[#This Row],[TOTAL (R$)]]=LARGE($AJ$187:$AJ$196,1),reservavariáveisconsolidadojun[[#This Row],[TOTAL (R$)]]=LARGE($AJ$187:$AJ$196,2)),DADOS!$I$11,""))</f>
        <v/>
      </c>
      <c r="E193" s="96">
        <f>SUMIFS(tabela_registros[VALOR],tabela_registros[MÊS],$AE$1,tabela_registros[DIA],reservavariáveisconsolidadojun[[#Headers],[1]],tabela_registros[REGISTRO],DADOS!$N$6,tabela_registros[TIPO],DADOS!$AJ$4,tabela_registros[CATEGORIA],reservavariáveisconsolidadojun[[#This Row],[ATUAL]])</f>
        <v>0</v>
      </c>
      <c r="F193" s="91">
        <f>SUMIFS(tabela_registros[VALOR],tabela_registros[MÊS],$AE$1,tabela_registros[DIA],reservavariáveisconsolidadojun[[#Headers],[2]],tabela_registros[REGISTRO],DADOS!$N$6,tabela_registros[TIPO],DADOS!$AJ$4,tabela_registros[CATEGORIA],reservavariáveisconsolidadojun[[#This Row],[ATUAL]])</f>
        <v>0</v>
      </c>
      <c r="G193" s="91">
        <f>SUMIFS(tabela_registros[VALOR],tabela_registros[MÊS],$AE$1,tabela_registros[DIA],reservavariáveisconsolidadojun[[#Headers],[3]],tabela_registros[REGISTRO],DADOS!$N$6,tabela_registros[TIPO],DADOS!$AJ$4,tabela_registros[CATEGORIA],reservavariáveisconsolidadojun[[#This Row],[ATUAL]])</f>
        <v>0</v>
      </c>
      <c r="H193" s="91">
        <f>SUMIFS(tabela_registros[VALOR],tabela_registros[MÊS],$AE$1,tabela_registros[DIA],reservavariáveisconsolidadojun[[#Headers],[4]],tabela_registros[REGISTRO],DADOS!$N$6,tabela_registros[TIPO],DADOS!$AJ$4,tabela_registros[CATEGORIA],reservavariáveisconsolidadojun[[#This Row],[ATUAL]])</f>
        <v>0</v>
      </c>
      <c r="I193" s="91">
        <f>SUMIFS(tabela_registros[VALOR],tabela_registros[MÊS],$AE$1,tabela_registros[DIA],reservavariáveisconsolidadojun[[#Headers],[5]],tabela_registros[REGISTRO],DADOS!$N$6,tabela_registros[TIPO],DADOS!$AJ$4,tabela_registros[CATEGORIA],reservavariáveisconsolidadojun[[#This Row],[ATUAL]])</f>
        <v>0</v>
      </c>
      <c r="J193" s="91">
        <f>SUMIFS(tabela_registros[VALOR],tabela_registros[MÊS],$AE$1,tabela_registros[DIA],reservavariáveisconsolidadojun[[#Headers],[6]],tabela_registros[REGISTRO],DADOS!$N$6,tabela_registros[TIPO],DADOS!$AJ$4,tabela_registros[CATEGORIA],reservavariáveisconsolidadojun[[#This Row],[ATUAL]])</f>
        <v>0</v>
      </c>
      <c r="K193" s="91">
        <f>SUMIFS(tabela_registros[VALOR],tabela_registros[MÊS],$AE$1,tabela_registros[DIA],reservavariáveisconsolidadojun[[#Headers],[7]],tabela_registros[REGISTRO],DADOS!$N$6,tabela_registros[TIPO],DADOS!$AJ$4,tabela_registros[CATEGORIA],reservavariáveisconsolidadojun[[#This Row],[ATUAL]])</f>
        <v>0</v>
      </c>
      <c r="L193" s="91">
        <f>SUMIFS(tabela_registros[VALOR],tabela_registros[MÊS],$AE$1,tabela_registros[DIA],reservavariáveisconsolidadojun[[#Headers],[8]],tabela_registros[REGISTRO],DADOS!$N$6,tabela_registros[TIPO],DADOS!$AJ$4,tabela_registros[CATEGORIA],reservavariáveisconsolidadojun[[#This Row],[ATUAL]])</f>
        <v>0</v>
      </c>
      <c r="M193" s="91">
        <f>SUMIFS(tabela_registros[VALOR],tabela_registros[MÊS],$AE$1,tabela_registros[DIA],reservavariáveisconsolidadojun[[#Headers],[9]],tabela_registros[REGISTRO],DADOS!$N$6,tabela_registros[TIPO],DADOS!$AJ$4,tabela_registros[CATEGORIA],reservavariáveisconsolidadojun[[#This Row],[ATUAL]])</f>
        <v>0</v>
      </c>
      <c r="N193" s="91">
        <f>SUMIFS(tabela_registros[VALOR],tabela_registros[MÊS],$AE$1,tabela_registros[DIA],reservavariáveisconsolidadojun[[#Headers],[10]],tabela_registros[REGISTRO],DADOS!$N$6,tabela_registros[TIPO],DADOS!$AJ$4,tabela_registros[CATEGORIA],reservavariáveisconsolidadojun[[#This Row],[ATUAL]])</f>
        <v>0</v>
      </c>
      <c r="O193" s="91">
        <f>SUMIFS(tabela_registros[VALOR],tabela_registros[MÊS],$AE$1,tabela_registros[DIA],reservavariáveisconsolidadojun[[#Headers],[11]],tabela_registros[REGISTRO],DADOS!$N$6,tabela_registros[TIPO],DADOS!$AJ$4,tabela_registros[CATEGORIA],reservavariáveisconsolidadojun[[#This Row],[ATUAL]])</f>
        <v>0</v>
      </c>
      <c r="P193" s="91">
        <f>SUMIFS(tabela_registros[VALOR],tabela_registros[MÊS],$AE$1,tabela_registros[DIA],reservavariáveisconsolidadojun[[#Headers],[12]],tabela_registros[REGISTRO],DADOS!$N$6,tabela_registros[TIPO],DADOS!$AJ$4,tabela_registros[CATEGORIA],reservavariáveisconsolidadojun[[#This Row],[ATUAL]])</f>
        <v>0</v>
      </c>
      <c r="Q193" s="91">
        <f>SUMIFS(tabela_registros[VALOR],tabela_registros[MÊS],$AE$1,tabela_registros[DIA],reservavariáveisconsolidadojun[[#Headers],[13]],tabela_registros[REGISTRO],DADOS!$N$6,tabela_registros[TIPO],DADOS!$AJ$4,tabela_registros[CATEGORIA],reservavariáveisconsolidadojun[[#This Row],[ATUAL]])</f>
        <v>0</v>
      </c>
      <c r="R193" s="91">
        <f>SUMIFS(tabela_registros[VALOR],tabela_registros[MÊS],$AE$1,tabela_registros[DIA],reservavariáveisconsolidadojun[[#Headers],[14]],tabela_registros[REGISTRO],DADOS!$N$6,tabela_registros[TIPO],DADOS!$AJ$4,tabela_registros[CATEGORIA],reservavariáveisconsolidadojun[[#This Row],[ATUAL]])</f>
        <v>0</v>
      </c>
      <c r="S193" s="91">
        <f>SUMIFS(tabela_registros[VALOR],tabela_registros[MÊS],$AE$1,tabela_registros[DIA],reservavariáveisconsolidadojun[[#Headers],[15]],tabela_registros[REGISTRO],DADOS!$N$6,tabela_registros[TIPO],DADOS!$AJ$4,tabela_registros[CATEGORIA],reservavariáveisconsolidadojun[[#This Row],[ATUAL]])</f>
        <v>0</v>
      </c>
      <c r="T193" s="91">
        <f>SUMIFS(tabela_registros[VALOR],tabela_registros[MÊS],$AE$1,tabela_registros[DIA],reservavariáveisconsolidadojun[[#Headers],[16]],tabela_registros[REGISTRO],DADOS!$N$6,tabela_registros[TIPO],DADOS!$AJ$4,tabela_registros[CATEGORIA],reservavariáveisconsolidadojun[[#This Row],[ATUAL]])</f>
        <v>0</v>
      </c>
      <c r="U193" s="91">
        <f>SUMIFS(tabela_registros[VALOR],tabela_registros[MÊS],$AE$1,tabela_registros[DIA],reservavariáveisconsolidadojun[[#Headers],[17]],tabela_registros[REGISTRO],DADOS!$N$6,tabela_registros[TIPO],DADOS!$AJ$4,tabela_registros[CATEGORIA],reservavariáveisconsolidadojun[[#This Row],[ATUAL]])</f>
        <v>0</v>
      </c>
      <c r="V193" s="91">
        <f>SUMIFS(tabela_registros[VALOR],tabela_registros[MÊS],$AE$1,tabela_registros[DIA],reservavariáveisconsolidadojun[[#Headers],[18]],tabela_registros[REGISTRO],DADOS!$N$6,tabela_registros[TIPO],DADOS!$AJ$4,tabela_registros[CATEGORIA],reservavariáveisconsolidadojun[[#This Row],[ATUAL]])</f>
        <v>0</v>
      </c>
      <c r="W193" s="91">
        <f>SUMIFS(tabela_registros[VALOR],tabela_registros[MÊS],$AE$1,tabela_registros[DIA],reservavariáveisconsolidadojun[[#Headers],[19]],tabela_registros[REGISTRO],DADOS!$N$6,tabela_registros[TIPO],DADOS!$AJ$4,tabela_registros[CATEGORIA],reservavariáveisconsolidadojun[[#This Row],[ATUAL]])</f>
        <v>0</v>
      </c>
      <c r="X193" s="91">
        <f>SUMIFS(tabela_registros[VALOR],tabela_registros[MÊS],$AE$1,tabela_registros[DIA],reservavariáveisconsolidadojun[[#Headers],[20]],tabela_registros[REGISTRO],DADOS!$N$6,tabela_registros[TIPO],DADOS!$AJ$4,tabela_registros[CATEGORIA],reservavariáveisconsolidadojun[[#This Row],[ATUAL]])</f>
        <v>0</v>
      </c>
      <c r="Y193" s="91">
        <f>SUMIFS(tabela_registros[VALOR],tabela_registros[MÊS],$AE$1,tabela_registros[DIA],reservavariáveisconsolidadojun[[#Headers],[21]],tabela_registros[REGISTRO],DADOS!$N$6,tabela_registros[TIPO],DADOS!$AJ$4,tabela_registros[CATEGORIA],reservavariáveisconsolidadojun[[#This Row],[ATUAL]])</f>
        <v>0</v>
      </c>
      <c r="Z193" s="91">
        <f>SUMIFS(tabela_registros[VALOR],tabela_registros[MÊS],$AE$1,tabela_registros[DIA],reservavariáveisconsolidadojun[[#Headers],[22]],tabela_registros[REGISTRO],DADOS!$N$6,tabela_registros[TIPO],DADOS!$AJ$4,tabela_registros[CATEGORIA],reservavariáveisconsolidadojun[[#This Row],[ATUAL]])</f>
        <v>0</v>
      </c>
      <c r="AA193" s="91">
        <f>SUMIFS(tabela_registros[VALOR],tabela_registros[MÊS],$AE$1,tabela_registros[DIA],reservavariáveisconsolidadojun[[#Headers],[23]],tabela_registros[REGISTRO],DADOS!$N$6,tabela_registros[TIPO],DADOS!$AJ$4,tabela_registros[CATEGORIA],reservavariáveisconsolidadojun[[#This Row],[ATUAL]])</f>
        <v>0</v>
      </c>
      <c r="AB193" s="91">
        <f>SUMIFS(tabela_registros[VALOR],tabela_registros[MÊS],$AE$1,tabela_registros[DIA],reservavariáveisconsolidadojun[[#Headers],[24]],tabela_registros[REGISTRO],DADOS!$N$6,tabela_registros[TIPO],DADOS!$AJ$4,tabela_registros[CATEGORIA],reservavariáveisconsolidadojun[[#This Row],[ATUAL]])</f>
        <v>0</v>
      </c>
      <c r="AC193" s="91">
        <f>SUMIFS(tabela_registros[VALOR],tabela_registros[MÊS],$AE$1,tabela_registros[DIA],reservavariáveisconsolidadojun[[#Headers],[25]],tabela_registros[REGISTRO],DADOS!$N$6,tabela_registros[TIPO],DADOS!$AJ$4,tabela_registros[CATEGORIA],reservavariáveisconsolidadojun[[#This Row],[ATUAL]])</f>
        <v>0</v>
      </c>
      <c r="AD193" s="91">
        <f>SUMIFS(tabela_registros[VALOR],tabela_registros[MÊS],$AE$1,tabela_registros[DIA],reservavariáveisconsolidadojun[[#Headers],[26]],tabela_registros[REGISTRO],DADOS!$N$6,tabela_registros[TIPO],DADOS!$AJ$4,tabela_registros[CATEGORIA],reservavariáveisconsolidadojun[[#This Row],[ATUAL]])</f>
        <v>0</v>
      </c>
      <c r="AE193" s="91">
        <f>SUMIFS(tabela_registros[VALOR],tabela_registros[MÊS],$AE$1,tabela_registros[DIA],reservavariáveisconsolidadojun[[#Headers],[27]],tabela_registros[REGISTRO],DADOS!$N$6,tabela_registros[TIPO],DADOS!$AJ$4,tabela_registros[CATEGORIA],reservavariáveisconsolidadojun[[#This Row],[ATUAL]])</f>
        <v>0</v>
      </c>
      <c r="AF193" s="91">
        <f>SUMIFS(tabela_registros[VALOR],tabela_registros[MÊS],$AE$1,tabela_registros[DIA],reservavariáveisconsolidadojun[[#Headers],[28]],tabela_registros[REGISTRO],DADOS!$N$6,tabela_registros[TIPO],DADOS!$AJ$4,tabela_registros[CATEGORIA],reservavariáveisconsolidadojun[[#This Row],[ATUAL]])</f>
        <v>0</v>
      </c>
      <c r="AG193" s="91">
        <f>SUMIFS(tabela_registros[VALOR],tabela_registros[MÊS],$AE$1,tabela_registros[DIA],reservavariáveisconsolidadojun[[#Headers],[29]],tabela_registros[REGISTRO],DADOS!$N$6,tabela_registros[TIPO],DADOS!$AJ$4,tabela_registros[CATEGORIA],reservavariáveisconsolidadojun[[#This Row],[ATUAL]])</f>
        <v>0</v>
      </c>
      <c r="AH193" s="91">
        <f>SUMIFS(tabela_registros[VALOR],tabela_registros[MÊS],$AE$1,tabela_registros[DIA],reservavariáveisconsolidadojun[[#Headers],[30]],tabela_registros[REGISTRO],DADOS!$N$6,tabela_registros[TIPO],DADOS!$AJ$4,tabela_registros[CATEGORIA],reservavariáveisconsolidadojun[[#This Row],[ATUAL]])</f>
        <v>0</v>
      </c>
      <c r="AI193" s="101">
        <f>SUMIFS(tabela_registros[VALOR],tabela_registros[MÊS],$AE$1,tabela_registros[DIA],reservavariáveisconsolidadojun[[#Headers],[31]],tabela_registros[REGISTRO],DADOS!$N$6,tabela_registros[TIPO],DADOS!$AJ$4,tabela_registros[CATEGORIA],reservavariáveisconsolidadojun[[#This Row],[ATUAL]])</f>
        <v>0</v>
      </c>
      <c r="AJ193" s="97">
        <f>SUM(reservavariáveisconsolidadojun[[#This Row],[1]:[31]])</f>
        <v>0</v>
      </c>
      <c r="AK193" s="25"/>
    </row>
    <row r="194" spans="2:37" ht="19.5" customHeight="1" thickTop="1" thickBot="1" x14ac:dyDescent="0.3">
      <c r="B194" s="28"/>
      <c r="C194" s="27" t="str">
        <f>DADOS!$AN$10</f>
        <v>📝 FII</v>
      </c>
      <c r="D194" s="26" t="str">
        <f>IF(reservavariáveisconsolidadojun[[#This Row],[TOTAL (R$)]]=0,"",IF(OR(reservavariáveisconsolidadojun[[#This Row],[TOTAL (R$)]]=LARGE($AJ$187:$AJ$196,1),reservavariáveisconsolidadojun[[#This Row],[TOTAL (R$)]]=LARGE($AJ$187:$AJ$196,2)),DADOS!$I$11,""))</f>
        <v/>
      </c>
      <c r="E194" s="96">
        <f>SUMIFS(tabela_registros[VALOR],tabela_registros[MÊS],$AE$1,tabela_registros[DIA],reservavariáveisconsolidadojun[[#Headers],[1]],tabela_registros[REGISTRO],DADOS!$N$6,tabela_registros[TIPO],DADOS!$AJ$4,tabela_registros[CATEGORIA],reservavariáveisconsolidadojun[[#This Row],[ATUAL]])</f>
        <v>0</v>
      </c>
      <c r="F194" s="91">
        <f>SUMIFS(tabela_registros[VALOR],tabela_registros[MÊS],$AE$1,tabela_registros[DIA],reservavariáveisconsolidadojun[[#Headers],[2]],tabela_registros[REGISTRO],DADOS!$N$6,tabela_registros[TIPO],DADOS!$AJ$4,tabela_registros[CATEGORIA],reservavariáveisconsolidadojun[[#This Row],[ATUAL]])</f>
        <v>0</v>
      </c>
      <c r="G194" s="91">
        <f>SUMIFS(tabela_registros[VALOR],tabela_registros[MÊS],$AE$1,tabela_registros[DIA],reservavariáveisconsolidadojun[[#Headers],[3]],tabela_registros[REGISTRO],DADOS!$N$6,tabela_registros[TIPO],DADOS!$AJ$4,tabela_registros[CATEGORIA],reservavariáveisconsolidadojun[[#This Row],[ATUAL]])</f>
        <v>0</v>
      </c>
      <c r="H194" s="91">
        <f>SUMIFS(tabela_registros[VALOR],tabela_registros[MÊS],$AE$1,tabela_registros[DIA],reservavariáveisconsolidadojun[[#Headers],[4]],tabela_registros[REGISTRO],DADOS!$N$6,tabela_registros[TIPO],DADOS!$AJ$4,tabela_registros[CATEGORIA],reservavariáveisconsolidadojun[[#This Row],[ATUAL]])</f>
        <v>0</v>
      </c>
      <c r="I194" s="91">
        <f>SUMIFS(tabela_registros[VALOR],tabela_registros[MÊS],$AE$1,tabela_registros[DIA],reservavariáveisconsolidadojun[[#Headers],[5]],tabela_registros[REGISTRO],DADOS!$N$6,tabela_registros[TIPO],DADOS!$AJ$4,tabela_registros[CATEGORIA],reservavariáveisconsolidadojun[[#This Row],[ATUAL]])</f>
        <v>0</v>
      </c>
      <c r="J194" s="91">
        <f>SUMIFS(tabela_registros[VALOR],tabela_registros[MÊS],$AE$1,tabela_registros[DIA],reservavariáveisconsolidadojun[[#Headers],[6]],tabela_registros[REGISTRO],DADOS!$N$6,tabela_registros[TIPO],DADOS!$AJ$4,tabela_registros[CATEGORIA],reservavariáveisconsolidadojun[[#This Row],[ATUAL]])</f>
        <v>0</v>
      </c>
      <c r="K194" s="91">
        <f>SUMIFS(tabela_registros[VALOR],tabela_registros[MÊS],$AE$1,tabela_registros[DIA],reservavariáveisconsolidadojun[[#Headers],[7]],tabela_registros[REGISTRO],DADOS!$N$6,tabela_registros[TIPO],DADOS!$AJ$4,tabela_registros[CATEGORIA],reservavariáveisconsolidadojun[[#This Row],[ATUAL]])</f>
        <v>0</v>
      </c>
      <c r="L194" s="91">
        <f>SUMIFS(tabela_registros[VALOR],tabela_registros[MÊS],$AE$1,tabela_registros[DIA],reservavariáveisconsolidadojun[[#Headers],[8]],tabela_registros[REGISTRO],DADOS!$N$6,tabela_registros[TIPO],DADOS!$AJ$4,tabela_registros[CATEGORIA],reservavariáveisconsolidadojun[[#This Row],[ATUAL]])</f>
        <v>0</v>
      </c>
      <c r="M194" s="91">
        <f>SUMIFS(tabela_registros[VALOR],tabela_registros[MÊS],$AE$1,tabela_registros[DIA],reservavariáveisconsolidadojun[[#Headers],[9]],tabela_registros[REGISTRO],DADOS!$N$6,tabela_registros[TIPO],DADOS!$AJ$4,tabela_registros[CATEGORIA],reservavariáveisconsolidadojun[[#This Row],[ATUAL]])</f>
        <v>0</v>
      </c>
      <c r="N194" s="91">
        <f>SUMIFS(tabela_registros[VALOR],tabela_registros[MÊS],$AE$1,tabela_registros[DIA],reservavariáveisconsolidadojun[[#Headers],[10]],tabela_registros[REGISTRO],DADOS!$N$6,tabela_registros[TIPO],DADOS!$AJ$4,tabela_registros[CATEGORIA],reservavariáveisconsolidadojun[[#This Row],[ATUAL]])</f>
        <v>0</v>
      </c>
      <c r="O194" s="91">
        <f>SUMIFS(tabela_registros[VALOR],tabela_registros[MÊS],$AE$1,tabela_registros[DIA],reservavariáveisconsolidadojun[[#Headers],[11]],tabela_registros[REGISTRO],DADOS!$N$6,tabela_registros[TIPO],DADOS!$AJ$4,tabela_registros[CATEGORIA],reservavariáveisconsolidadojun[[#This Row],[ATUAL]])</f>
        <v>0</v>
      </c>
      <c r="P194" s="91">
        <f>SUMIFS(tabela_registros[VALOR],tabela_registros[MÊS],$AE$1,tabela_registros[DIA],reservavariáveisconsolidadojun[[#Headers],[12]],tabela_registros[REGISTRO],DADOS!$N$6,tabela_registros[TIPO],DADOS!$AJ$4,tabela_registros[CATEGORIA],reservavariáveisconsolidadojun[[#This Row],[ATUAL]])</f>
        <v>0</v>
      </c>
      <c r="Q194" s="91">
        <f>SUMIFS(tabela_registros[VALOR],tabela_registros[MÊS],$AE$1,tabela_registros[DIA],reservavariáveisconsolidadojun[[#Headers],[13]],tabela_registros[REGISTRO],DADOS!$N$6,tabela_registros[TIPO],DADOS!$AJ$4,tabela_registros[CATEGORIA],reservavariáveisconsolidadojun[[#This Row],[ATUAL]])</f>
        <v>0</v>
      </c>
      <c r="R194" s="91">
        <f>SUMIFS(tabela_registros[VALOR],tabela_registros[MÊS],$AE$1,tabela_registros[DIA],reservavariáveisconsolidadojun[[#Headers],[14]],tabela_registros[REGISTRO],DADOS!$N$6,tabela_registros[TIPO],DADOS!$AJ$4,tabela_registros[CATEGORIA],reservavariáveisconsolidadojun[[#This Row],[ATUAL]])</f>
        <v>0</v>
      </c>
      <c r="S194" s="91">
        <f>SUMIFS(tabela_registros[VALOR],tabela_registros[MÊS],$AE$1,tabela_registros[DIA],reservavariáveisconsolidadojun[[#Headers],[15]],tabela_registros[REGISTRO],DADOS!$N$6,tabela_registros[TIPO],DADOS!$AJ$4,tabela_registros[CATEGORIA],reservavariáveisconsolidadojun[[#This Row],[ATUAL]])</f>
        <v>0</v>
      </c>
      <c r="T194" s="91">
        <f>SUMIFS(tabela_registros[VALOR],tabela_registros[MÊS],$AE$1,tabela_registros[DIA],reservavariáveisconsolidadojun[[#Headers],[16]],tabela_registros[REGISTRO],DADOS!$N$6,tabela_registros[TIPO],DADOS!$AJ$4,tabela_registros[CATEGORIA],reservavariáveisconsolidadojun[[#This Row],[ATUAL]])</f>
        <v>0</v>
      </c>
      <c r="U194" s="91">
        <f>SUMIFS(tabela_registros[VALOR],tabela_registros[MÊS],$AE$1,tabela_registros[DIA],reservavariáveisconsolidadojun[[#Headers],[17]],tabela_registros[REGISTRO],DADOS!$N$6,tabela_registros[TIPO],DADOS!$AJ$4,tabela_registros[CATEGORIA],reservavariáveisconsolidadojun[[#This Row],[ATUAL]])</f>
        <v>0</v>
      </c>
      <c r="V194" s="91">
        <f>SUMIFS(tabela_registros[VALOR],tabela_registros[MÊS],$AE$1,tabela_registros[DIA],reservavariáveisconsolidadojun[[#Headers],[18]],tabela_registros[REGISTRO],DADOS!$N$6,tabela_registros[TIPO],DADOS!$AJ$4,tabela_registros[CATEGORIA],reservavariáveisconsolidadojun[[#This Row],[ATUAL]])</f>
        <v>0</v>
      </c>
      <c r="W194" s="91">
        <f>SUMIFS(tabela_registros[VALOR],tabela_registros[MÊS],$AE$1,tabela_registros[DIA],reservavariáveisconsolidadojun[[#Headers],[19]],tabela_registros[REGISTRO],DADOS!$N$6,tabela_registros[TIPO],DADOS!$AJ$4,tabela_registros[CATEGORIA],reservavariáveisconsolidadojun[[#This Row],[ATUAL]])</f>
        <v>0</v>
      </c>
      <c r="X194" s="91">
        <f>SUMIFS(tabela_registros[VALOR],tabela_registros[MÊS],$AE$1,tabela_registros[DIA],reservavariáveisconsolidadojun[[#Headers],[20]],tabela_registros[REGISTRO],DADOS!$N$6,tabela_registros[TIPO],DADOS!$AJ$4,tabela_registros[CATEGORIA],reservavariáveisconsolidadojun[[#This Row],[ATUAL]])</f>
        <v>0</v>
      </c>
      <c r="Y194" s="91">
        <f>SUMIFS(tabela_registros[VALOR],tabela_registros[MÊS],$AE$1,tabela_registros[DIA],reservavariáveisconsolidadojun[[#Headers],[21]],tabela_registros[REGISTRO],DADOS!$N$6,tabela_registros[TIPO],DADOS!$AJ$4,tabela_registros[CATEGORIA],reservavariáveisconsolidadojun[[#This Row],[ATUAL]])</f>
        <v>0</v>
      </c>
      <c r="Z194" s="91">
        <f>SUMIFS(tabela_registros[VALOR],tabela_registros[MÊS],$AE$1,tabela_registros[DIA],reservavariáveisconsolidadojun[[#Headers],[22]],tabela_registros[REGISTRO],DADOS!$N$6,tabela_registros[TIPO],DADOS!$AJ$4,tabela_registros[CATEGORIA],reservavariáveisconsolidadojun[[#This Row],[ATUAL]])</f>
        <v>0</v>
      </c>
      <c r="AA194" s="91">
        <f>SUMIFS(tabela_registros[VALOR],tabela_registros[MÊS],$AE$1,tabela_registros[DIA],reservavariáveisconsolidadojun[[#Headers],[23]],tabela_registros[REGISTRO],DADOS!$N$6,tabela_registros[TIPO],DADOS!$AJ$4,tabela_registros[CATEGORIA],reservavariáveisconsolidadojun[[#This Row],[ATUAL]])</f>
        <v>0</v>
      </c>
      <c r="AB194" s="91">
        <f>SUMIFS(tabela_registros[VALOR],tabela_registros[MÊS],$AE$1,tabela_registros[DIA],reservavariáveisconsolidadojun[[#Headers],[24]],tabela_registros[REGISTRO],DADOS!$N$6,tabela_registros[TIPO],DADOS!$AJ$4,tabela_registros[CATEGORIA],reservavariáveisconsolidadojun[[#This Row],[ATUAL]])</f>
        <v>0</v>
      </c>
      <c r="AC194" s="91">
        <f>SUMIFS(tabela_registros[VALOR],tabela_registros[MÊS],$AE$1,tabela_registros[DIA],reservavariáveisconsolidadojun[[#Headers],[25]],tabela_registros[REGISTRO],DADOS!$N$6,tabela_registros[TIPO],DADOS!$AJ$4,tabela_registros[CATEGORIA],reservavariáveisconsolidadojun[[#This Row],[ATUAL]])</f>
        <v>0</v>
      </c>
      <c r="AD194" s="91">
        <f>SUMIFS(tabela_registros[VALOR],tabela_registros[MÊS],$AE$1,tabela_registros[DIA],reservavariáveisconsolidadojun[[#Headers],[26]],tabela_registros[REGISTRO],DADOS!$N$6,tabela_registros[TIPO],DADOS!$AJ$4,tabela_registros[CATEGORIA],reservavariáveisconsolidadojun[[#This Row],[ATUAL]])</f>
        <v>0</v>
      </c>
      <c r="AE194" s="91">
        <f>SUMIFS(tabela_registros[VALOR],tabela_registros[MÊS],$AE$1,tabela_registros[DIA],reservavariáveisconsolidadojun[[#Headers],[27]],tabela_registros[REGISTRO],DADOS!$N$6,tabela_registros[TIPO],DADOS!$AJ$4,tabela_registros[CATEGORIA],reservavariáveisconsolidadojun[[#This Row],[ATUAL]])</f>
        <v>0</v>
      </c>
      <c r="AF194" s="91">
        <f>SUMIFS(tabela_registros[VALOR],tabela_registros[MÊS],$AE$1,tabela_registros[DIA],reservavariáveisconsolidadojun[[#Headers],[28]],tabela_registros[REGISTRO],DADOS!$N$6,tabela_registros[TIPO],DADOS!$AJ$4,tabela_registros[CATEGORIA],reservavariáveisconsolidadojun[[#This Row],[ATUAL]])</f>
        <v>0</v>
      </c>
      <c r="AG194" s="91">
        <f>SUMIFS(tabela_registros[VALOR],tabela_registros[MÊS],$AE$1,tabela_registros[DIA],reservavariáveisconsolidadojun[[#Headers],[29]],tabela_registros[REGISTRO],DADOS!$N$6,tabela_registros[TIPO],DADOS!$AJ$4,tabela_registros[CATEGORIA],reservavariáveisconsolidadojun[[#This Row],[ATUAL]])</f>
        <v>0</v>
      </c>
      <c r="AH194" s="91">
        <f>SUMIFS(tabela_registros[VALOR],tabela_registros[MÊS],$AE$1,tabela_registros[DIA],reservavariáveisconsolidadojun[[#Headers],[30]],tabela_registros[REGISTRO],DADOS!$N$6,tabela_registros[TIPO],DADOS!$AJ$4,tabela_registros[CATEGORIA],reservavariáveisconsolidadojun[[#This Row],[ATUAL]])</f>
        <v>0</v>
      </c>
      <c r="AI194" s="101">
        <f>SUMIFS(tabela_registros[VALOR],tabela_registros[MÊS],$AE$1,tabela_registros[DIA],reservavariáveisconsolidadojun[[#Headers],[31]],tabela_registros[REGISTRO],DADOS!$N$6,tabela_registros[TIPO],DADOS!$AJ$4,tabela_registros[CATEGORIA],reservavariáveisconsolidadojun[[#This Row],[ATUAL]])</f>
        <v>0</v>
      </c>
      <c r="AJ194" s="97">
        <f>SUM(reservavariáveisconsolidadojun[[#This Row],[1]:[31]])</f>
        <v>0</v>
      </c>
      <c r="AK194" s="25"/>
    </row>
    <row r="195" spans="2:37" ht="19.5" customHeight="1" thickTop="1" thickBot="1" x14ac:dyDescent="0.3">
      <c r="B195" s="28"/>
      <c r="C195" s="27" t="str">
        <f>DADOS!$AN$11</f>
        <v>📝 MOEDA</v>
      </c>
      <c r="D195" s="26" t="str">
        <f>IF(reservavariáveisconsolidadojun[[#This Row],[TOTAL (R$)]]=0,"",IF(OR(reservavariáveisconsolidadojun[[#This Row],[TOTAL (R$)]]=LARGE($AJ$187:$AJ$196,1),reservavariáveisconsolidadojun[[#This Row],[TOTAL (R$)]]=LARGE($AJ$187:$AJ$196,2)),DADOS!$I$11,""))</f>
        <v/>
      </c>
      <c r="E195" s="96">
        <f>SUMIFS(tabela_registros[VALOR],tabela_registros[MÊS],$AE$1,tabela_registros[DIA],reservavariáveisconsolidadojun[[#Headers],[1]],tabela_registros[REGISTRO],DADOS!$N$6,tabela_registros[TIPO],DADOS!$AJ$4,tabela_registros[CATEGORIA],reservavariáveisconsolidadojun[[#This Row],[ATUAL]])</f>
        <v>0</v>
      </c>
      <c r="F195" s="91">
        <f>SUMIFS(tabela_registros[VALOR],tabela_registros[MÊS],$AE$1,tabela_registros[DIA],reservavariáveisconsolidadojun[[#Headers],[2]],tabela_registros[REGISTRO],DADOS!$N$6,tabela_registros[TIPO],DADOS!$AJ$4,tabela_registros[CATEGORIA],reservavariáveisconsolidadojun[[#This Row],[ATUAL]])</f>
        <v>0</v>
      </c>
      <c r="G195" s="91">
        <f>SUMIFS(tabela_registros[VALOR],tabela_registros[MÊS],$AE$1,tabela_registros[DIA],reservavariáveisconsolidadojun[[#Headers],[3]],tabela_registros[REGISTRO],DADOS!$N$6,tabela_registros[TIPO],DADOS!$AJ$4,tabela_registros[CATEGORIA],reservavariáveisconsolidadojun[[#This Row],[ATUAL]])</f>
        <v>0</v>
      </c>
      <c r="H195" s="91">
        <f>SUMIFS(tabela_registros[VALOR],tabela_registros[MÊS],$AE$1,tabela_registros[DIA],reservavariáveisconsolidadojun[[#Headers],[4]],tabela_registros[REGISTRO],DADOS!$N$6,tabela_registros[TIPO],DADOS!$AJ$4,tabela_registros[CATEGORIA],reservavariáveisconsolidadojun[[#This Row],[ATUAL]])</f>
        <v>0</v>
      </c>
      <c r="I195" s="91">
        <f>SUMIFS(tabela_registros[VALOR],tabela_registros[MÊS],$AE$1,tabela_registros[DIA],reservavariáveisconsolidadojun[[#Headers],[5]],tabela_registros[REGISTRO],DADOS!$N$6,tabela_registros[TIPO],DADOS!$AJ$4,tabela_registros[CATEGORIA],reservavariáveisconsolidadojun[[#This Row],[ATUAL]])</f>
        <v>0</v>
      </c>
      <c r="J195" s="91">
        <f>SUMIFS(tabela_registros[VALOR],tabela_registros[MÊS],$AE$1,tabela_registros[DIA],reservavariáveisconsolidadojun[[#Headers],[6]],tabela_registros[REGISTRO],DADOS!$N$6,tabela_registros[TIPO],DADOS!$AJ$4,tabela_registros[CATEGORIA],reservavariáveisconsolidadojun[[#This Row],[ATUAL]])</f>
        <v>0</v>
      </c>
      <c r="K195" s="91">
        <f>SUMIFS(tabela_registros[VALOR],tabela_registros[MÊS],$AE$1,tabela_registros[DIA],reservavariáveisconsolidadojun[[#Headers],[7]],tabela_registros[REGISTRO],DADOS!$N$6,tabela_registros[TIPO],DADOS!$AJ$4,tabela_registros[CATEGORIA],reservavariáveisconsolidadojun[[#This Row],[ATUAL]])</f>
        <v>0</v>
      </c>
      <c r="L195" s="91">
        <f>SUMIFS(tabela_registros[VALOR],tabela_registros[MÊS],$AE$1,tabela_registros[DIA],reservavariáveisconsolidadojun[[#Headers],[8]],tabela_registros[REGISTRO],DADOS!$N$6,tabela_registros[TIPO],DADOS!$AJ$4,tabela_registros[CATEGORIA],reservavariáveisconsolidadojun[[#This Row],[ATUAL]])</f>
        <v>0</v>
      </c>
      <c r="M195" s="91">
        <f>SUMIFS(tabela_registros[VALOR],tabela_registros[MÊS],$AE$1,tabela_registros[DIA],reservavariáveisconsolidadojun[[#Headers],[9]],tabela_registros[REGISTRO],DADOS!$N$6,tabela_registros[TIPO],DADOS!$AJ$4,tabela_registros[CATEGORIA],reservavariáveisconsolidadojun[[#This Row],[ATUAL]])</f>
        <v>0</v>
      </c>
      <c r="N195" s="91">
        <f>SUMIFS(tabela_registros[VALOR],tabela_registros[MÊS],$AE$1,tabela_registros[DIA],reservavariáveisconsolidadojun[[#Headers],[10]],tabela_registros[REGISTRO],DADOS!$N$6,tabela_registros[TIPO],DADOS!$AJ$4,tabela_registros[CATEGORIA],reservavariáveisconsolidadojun[[#This Row],[ATUAL]])</f>
        <v>0</v>
      </c>
      <c r="O195" s="91">
        <f>SUMIFS(tabela_registros[VALOR],tabela_registros[MÊS],$AE$1,tabela_registros[DIA],reservavariáveisconsolidadojun[[#Headers],[11]],tabela_registros[REGISTRO],DADOS!$N$6,tabela_registros[TIPO],DADOS!$AJ$4,tabela_registros[CATEGORIA],reservavariáveisconsolidadojun[[#This Row],[ATUAL]])</f>
        <v>0</v>
      </c>
      <c r="P195" s="91">
        <f>SUMIFS(tabela_registros[VALOR],tabela_registros[MÊS],$AE$1,tabela_registros[DIA],reservavariáveisconsolidadojun[[#Headers],[12]],tabela_registros[REGISTRO],DADOS!$N$6,tabela_registros[TIPO],DADOS!$AJ$4,tabela_registros[CATEGORIA],reservavariáveisconsolidadojun[[#This Row],[ATUAL]])</f>
        <v>0</v>
      </c>
      <c r="Q195" s="91">
        <f>SUMIFS(tabela_registros[VALOR],tabela_registros[MÊS],$AE$1,tabela_registros[DIA],reservavariáveisconsolidadojun[[#Headers],[13]],tabela_registros[REGISTRO],DADOS!$N$6,tabela_registros[TIPO],DADOS!$AJ$4,tabela_registros[CATEGORIA],reservavariáveisconsolidadojun[[#This Row],[ATUAL]])</f>
        <v>0</v>
      </c>
      <c r="R195" s="91">
        <f>SUMIFS(tabela_registros[VALOR],tabela_registros[MÊS],$AE$1,tabela_registros[DIA],reservavariáveisconsolidadojun[[#Headers],[14]],tabela_registros[REGISTRO],DADOS!$N$6,tabela_registros[TIPO],DADOS!$AJ$4,tabela_registros[CATEGORIA],reservavariáveisconsolidadojun[[#This Row],[ATUAL]])</f>
        <v>0</v>
      </c>
      <c r="S195" s="91">
        <f>SUMIFS(tabela_registros[VALOR],tabela_registros[MÊS],$AE$1,tabela_registros[DIA],reservavariáveisconsolidadojun[[#Headers],[15]],tabela_registros[REGISTRO],DADOS!$N$6,tabela_registros[TIPO],DADOS!$AJ$4,tabela_registros[CATEGORIA],reservavariáveisconsolidadojun[[#This Row],[ATUAL]])</f>
        <v>0</v>
      </c>
      <c r="T195" s="91">
        <f>SUMIFS(tabela_registros[VALOR],tabela_registros[MÊS],$AE$1,tabela_registros[DIA],reservavariáveisconsolidadojun[[#Headers],[16]],tabela_registros[REGISTRO],DADOS!$N$6,tabela_registros[TIPO],DADOS!$AJ$4,tabela_registros[CATEGORIA],reservavariáveisconsolidadojun[[#This Row],[ATUAL]])</f>
        <v>0</v>
      </c>
      <c r="U195" s="91">
        <f>SUMIFS(tabela_registros[VALOR],tabela_registros[MÊS],$AE$1,tabela_registros[DIA],reservavariáveisconsolidadojun[[#Headers],[17]],tabela_registros[REGISTRO],DADOS!$N$6,tabela_registros[TIPO],DADOS!$AJ$4,tabela_registros[CATEGORIA],reservavariáveisconsolidadojun[[#This Row],[ATUAL]])</f>
        <v>0</v>
      </c>
      <c r="V195" s="91">
        <f>SUMIFS(tabela_registros[VALOR],tabela_registros[MÊS],$AE$1,tabela_registros[DIA],reservavariáveisconsolidadojun[[#Headers],[18]],tabela_registros[REGISTRO],DADOS!$N$6,tabela_registros[TIPO],DADOS!$AJ$4,tabela_registros[CATEGORIA],reservavariáveisconsolidadojun[[#This Row],[ATUAL]])</f>
        <v>0</v>
      </c>
      <c r="W195" s="91">
        <f>SUMIFS(tabela_registros[VALOR],tabela_registros[MÊS],$AE$1,tabela_registros[DIA],reservavariáveisconsolidadojun[[#Headers],[19]],tabela_registros[REGISTRO],DADOS!$N$6,tabela_registros[TIPO],DADOS!$AJ$4,tabela_registros[CATEGORIA],reservavariáveisconsolidadojun[[#This Row],[ATUAL]])</f>
        <v>0</v>
      </c>
      <c r="X195" s="91">
        <f>SUMIFS(tabela_registros[VALOR],tabela_registros[MÊS],$AE$1,tabela_registros[DIA],reservavariáveisconsolidadojun[[#Headers],[20]],tabela_registros[REGISTRO],DADOS!$N$6,tabela_registros[TIPO],DADOS!$AJ$4,tabela_registros[CATEGORIA],reservavariáveisconsolidadojun[[#This Row],[ATUAL]])</f>
        <v>0</v>
      </c>
      <c r="Y195" s="91">
        <f>SUMIFS(tabela_registros[VALOR],tabela_registros[MÊS],$AE$1,tabela_registros[DIA],reservavariáveisconsolidadojun[[#Headers],[21]],tabela_registros[REGISTRO],DADOS!$N$6,tabela_registros[TIPO],DADOS!$AJ$4,tabela_registros[CATEGORIA],reservavariáveisconsolidadojun[[#This Row],[ATUAL]])</f>
        <v>0</v>
      </c>
      <c r="Z195" s="91">
        <f>SUMIFS(tabela_registros[VALOR],tabela_registros[MÊS],$AE$1,tabela_registros[DIA],reservavariáveisconsolidadojun[[#Headers],[22]],tabela_registros[REGISTRO],DADOS!$N$6,tabela_registros[TIPO],DADOS!$AJ$4,tabela_registros[CATEGORIA],reservavariáveisconsolidadojun[[#This Row],[ATUAL]])</f>
        <v>0</v>
      </c>
      <c r="AA195" s="91">
        <f>SUMIFS(tabela_registros[VALOR],tabela_registros[MÊS],$AE$1,tabela_registros[DIA],reservavariáveisconsolidadojun[[#Headers],[23]],tabela_registros[REGISTRO],DADOS!$N$6,tabela_registros[TIPO],DADOS!$AJ$4,tabela_registros[CATEGORIA],reservavariáveisconsolidadojun[[#This Row],[ATUAL]])</f>
        <v>0</v>
      </c>
      <c r="AB195" s="91">
        <f>SUMIFS(tabela_registros[VALOR],tabela_registros[MÊS],$AE$1,tabela_registros[DIA],reservavariáveisconsolidadojun[[#Headers],[24]],tabela_registros[REGISTRO],DADOS!$N$6,tabela_registros[TIPO],DADOS!$AJ$4,tabela_registros[CATEGORIA],reservavariáveisconsolidadojun[[#This Row],[ATUAL]])</f>
        <v>0</v>
      </c>
      <c r="AC195" s="91">
        <f>SUMIFS(tabela_registros[VALOR],tabela_registros[MÊS],$AE$1,tabela_registros[DIA],reservavariáveisconsolidadojun[[#Headers],[25]],tabela_registros[REGISTRO],DADOS!$N$6,tabela_registros[TIPO],DADOS!$AJ$4,tabela_registros[CATEGORIA],reservavariáveisconsolidadojun[[#This Row],[ATUAL]])</f>
        <v>0</v>
      </c>
      <c r="AD195" s="91">
        <f>SUMIFS(tabela_registros[VALOR],tabela_registros[MÊS],$AE$1,tabela_registros[DIA],reservavariáveisconsolidadojun[[#Headers],[26]],tabela_registros[REGISTRO],DADOS!$N$6,tabela_registros[TIPO],DADOS!$AJ$4,tabela_registros[CATEGORIA],reservavariáveisconsolidadojun[[#This Row],[ATUAL]])</f>
        <v>0</v>
      </c>
      <c r="AE195" s="91">
        <f>SUMIFS(tabela_registros[VALOR],tabela_registros[MÊS],$AE$1,tabela_registros[DIA],reservavariáveisconsolidadojun[[#Headers],[27]],tabela_registros[REGISTRO],DADOS!$N$6,tabela_registros[TIPO],DADOS!$AJ$4,tabela_registros[CATEGORIA],reservavariáveisconsolidadojun[[#This Row],[ATUAL]])</f>
        <v>0</v>
      </c>
      <c r="AF195" s="91">
        <f>SUMIFS(tabela_registros[VALOR],tabela_registros[MÊS],$AE$1,tabela_registros[DIA],reservavariáveisconsolidadojun[[#Headers],[28]],tabela_registros[REGISTRO],DADOS!$N$6,tabela_registros[TIPO],DADOS!$AJ$4,tabela_registros[CATEGORIA],reservavariáveisconsolidadojun[[#This Row],[ATUAL]])</f>
        <v>0</v>
      </c>
      <c r="AG195" s="91">
        <f>SUMIFS(tabela_registros[VALOR],tabela_registros[MÊS],$AE$1,tabela_registros[DIA],reservavariáveisconsolidadojun[[#Headers],[29]],tabela_registros[REGISTRO],DADOS!$N$6,tabela_registros[TIPO],DADOS!$AJ$4,tabela_registros[CATEGORIA],reservavariáveisconsolidadojun[[#This Row],[ATUAL]])</f>
        <v>0</v>
      </c>
      <c r="AH195" s="91">
        <f>SUMIFS(tabela_registros[VALOR],tabela_registros[MÊS],$AE$1,tabela_registros[DIA],reservavariáveisconsolidadojun[[#Headers],[30]],tabela_registros[REGISTRO],DADOS!$N$6,tabela_registros[TIPO],DADOS!$AJ$4,tabela_registros[CATEGORIA],reservavariáveisconsolidadojun[[#This Row],[ATUAL]])</f>
        <v>0</v>
      </c>
      <c r="AI195" s="101">
        <f>SUMIFS(tabela_registros[VALOR],tabela_registros[MÊS],$AE$1,tabela_registros[DIA],reservavariáveisconsolidadojun[[#Headers],[31]],tabela_registros[REGISTRO],DADOS!$N$6,tabela_registros[TIPO],DADOS!$AJ$4,tabela_registros[CATEGORIA],reservavariáveisconsolidadojun[[#This Row],[ATUAL]])</f>
        <v>0</v>
      </c>
      <c r="AJ195" s="97">
        <f>SUM(reservavariáveisconsolidadojun[[#This Row],[1]:[31]])</f>
        <v>0</v>
      </c>
      <c r="AK195" s="25"/>
    </row>
    <row r="196" spans="2:37" ht="19.5" customHeight="1" thickTop="1" thickBot="1" x14ac:dyDescent="0.3">
      <c r="B196" s="28"/>
      <c r="C196" s="27" t="str">
        <f>DADOS!$AN$12</f>
        <v>📎 OUTROS</v>
      </c>
      <c r="D196" s="26" t="str">
        <f>IF(reservavariáveisconsolidadojun[[#This Row],[TOTAL (R$)]]=0,"",IF(OR(reservavariáveisconsolidadojun[[#This Row],[TOTAL (R$)]]=LARGE($AJ$187:$AJ$196,1),reservavariáveisconsolidadojun[[#This Row],[TOTAL (R$)]]=LARGE($AJ$187:$AJ$196,2)),DADOS!$I$11,""))</f>
        <v/>
      </c>
      <c r="E196" s="96">
        <f>SUMIFS(tabela_registros[VALOR],tabela_registros[MÊS],$AE$1,tabela_registros[DIA],reservavariáveisconsolidadojun[[#Headers],[1]],tabela_registros[REGISTRO],DADOS!$N$6,tabela_registros[TIPO],DADOS!$AJ$4,tabela_registros[CATEGORIA],reservavariáveisconsolidadojun[[#This Row],[ATUAL]])</f>
        <v>0</v>
      </c>
      <c r="F196" s="91">
        <f>SUMIFS(tabela_registros[VALOR],tabela_registros[MÊS],$AE$1,tabela_registros[DIA],reservavariáveisconsolidadojun[[#Headers],[2]],tabela_registros[REGISTRO],DADOS!$N$6,tabela_registros[TIPO],DADOS!$AJ$4,tabela_registros[CATEGORIA],reservavariáveisconsolidadojun[[#This Row],[ATUAL]])</f>
        <v>0</v>
      </c>
      <c r="G196" s="91">
        <f>SUMIFS(tabela_registros[VALOR],tabela_registros[MÊS],$AE$1,tabela_registros[DIA],reservavariáveisconsolidadojun[[#Headers],[3]],tabela_registros[REGISTRO],DADOS!$N$6,tabela_registros[TIPO],DADOS!$AJ$4,tabela_registros[CATEGORIA],reservavariáveisconsolidadojun[[#This Row],[ATUAL]])</f>
        <v>0</v>
      </c>
      <c r="H196" s="91">
        <f>SUMIFS(tabela_registros[VALOR],tabela_registros[MÊS],$AE$1,tabela_registros[DIA],reservavariáveisconsolidadojun[[#Headers],[4]],tabela_registros[REGISTRO],DADOS!$N$6,tabela_registros[TIPO],DADOS!$AJ$4,tabela_registros[CATEGORIA],reservavariáveisconsolidadojun[[#This Row],[ATUAL]])</f>
        <v>0</v>
      </c>
      <c r="I196" s="91">
        <f>SUMIFS(tabela_registros[VALOR],tabela_registros[MÊS],$AE$1,tabela_registros[DIA],reservavariáveisconsolidadojun[[#Headers],[5]],tabela_registros[REGISTRO],DADOS!$N$6,tabela_registros[TIPO],DADOS!$AJ$4,tabela_registros[CATEGORIA],reservavariáveisconsolidadojun[[#This Row],[ATUAL]])</f>
        <v>0</v>
      </c>
      <c r="J196" s="91">
        <f>SUMIFS(tabela_registros[VALOR],tabela_registros[MÊS],$AE$1,tabela_registros[DIA],reservavariáveisconsolidadojun[[#Headers],[6]],tabela_registros[REGISTRO],DADOS!$N$6,tabela_registros[TIPO],DADOS!$AJ$4,tabela_registros[CATEGORIA],reservavariáveisconsolidadojun[[#This Row],[ATUAL]])</f>
        <v>0</v>
      </c>
      <c r="K196" s="91">
        <f>SUMIFS(tabela_registros[VALOR],tabela_registros[MÊS],$AE$1,tabela_registros[DIA],reservavariáveisconsolidadojun[[#Headers],[7]],tabela_registros[REGISTRO],DADOS!$N$6,tabela_registros[TIPO],DADOS!$AJ$4,tabela_registros[CATEGORIA],reservavariáveisconsolidadojun[[#This Row],[ATUAL]])</f>
        <v>0</v>
      </c>
      <c r="L196" s="91">
        <f>SUMIFS(tabela_registros[VALOR],tabela_registros[MÊS],$AE$1,tabela_registros[DIA],reservavariáveisconsolidadojun[[#Headers],[8]],tabela_registros[REGISTRO],DADOS!$N$6,tabela_registros[TIPO],DADOS!$AJ$4,tabela_registros[CATEGORIA],reservavariáveisconsolidadojun[[#This Row],[ATUAL]])</f>
        <v>0</v>
      </c>
      <c r="M196" s="91">
        <f>SUMIFS(tabela_registros[VALOR],tabela_registros[MÊS],$AE$1,tabela_registros[DIA],reservavariáveisconsolidadojun[[#Headers],[9]],tabela_registros[REGISTRO],DADOS!$N$6,tabela_registros[TIPO],DADOS!$AJ$4,tabela_registros[CATEGORIA],reservavariáveisconsolidadojun[[#This Row],[ATUAL]])</f>
        <v>0</v>
      </c>
      <c r="N196" s="91">
        <f>SUMIFS(tabela_registros[VALOR],tabela_registros[MÊS],$AE$1,tabela_registros[DIA],reservavariáveisconsolidadojun[[#Headers],[10]],tabela_registros[REGISTRO],DADOS!$N$6,tabela_registros[TIPO],DADOS!$AJ$4,tabela_registros[CATEGORIA],reservavariáveisconsolidadojun[[#This Row],[ATUAL]])</f>
        <v>0</v>
      </c>
      <c r="O196" s="91">
        <f>SUMIFS(tabela_registros[VALOR],tabela_registros[MÊS],$AE$1,tabela_registros[DIA],reservavariáveisconsolidadojun[[#Headers],[11]],tabela_registros[REGISTRO],DADOS!$N$6,tabela_registros[TIPO],DADOS!$AJ$4,tabela_registros[CATEGORIA],reservavariáveisconsolidadojun[[#This Row],[ATUAL]])</f>
        <v>0</v>
      </c>
      <c r="P196" s="91">
        <f>SUMIFS(tabela_registros[VALOR],tabela_registros[MÊS],$AE$1,tabela_registros[DIA],reservavariáveisconsolidadojun[[#Headers],[12]],tabela_registros[REGISTRO],DADOS!$N$6,tabela_registros[TIPO],DADOS!$AJ$4,tabela_registros[CATEGORIA],reservavariáveisconsolidadojun[[#This Row],[ATUAL]])</f>
        <v>0</v>
      </c>
      <c r="Q196" s="91">
        <f>SUMIFS(tabela_registros[VALOR],tabela_registros[MÊS],$AE$1,tabela_registros[DIA],reservavariáveisconsolidadojun[[#Headers],[13]],tabela_registros[REGISTRO],DADOS!$N$6,tabela_registros[TIPO],DADOS!$AJ$4,tabela_registros[CATEGORIA],reservavariáveisconsolidadojun[[#This Row],[ATUAL]])</f>
        <v>0</v>
      </c>
      <c r="R196" s="91">
        <f>SUMIFS(tabela_registros[VALOR],tabela_registros[MÊS],$AE$1,tabela_registros[DIA],reservavariáveisconsolidadojun[[#Headers],[14]],tabela_registros[REGISTRO],DADOS!$N$6,tabela_registros[TIPO],DADOS!$AJ$4,tabela_registros[CATEGORIA],reservavariáveisconsolidadojun[[#This Row],[ATUAL]])</f>
        <v>0</v>
      </c>
      <c r="S196" s="91">
        <f>SUMIFS(tabela_registros[VALOR],tabela_registros[MÊS],$AE$1,tabela_registros[DIA],reservavariáveisconsolidadojun[[#Headers],[15]],tabela_registros[REGISTRO],DADOS!$N$6,tabela_registros[TIPO],DADOS!$AJ$4,tabela_registros[CATEGORIA],reservavariáveisconsolidadojun[[#This Row],[ATUAL]])</f>
        <v>0</v>
      </c>
      <c r="T196" s="91">
        <f>SUMIFS(tabela_registros[VALOR],tabela_registros[MÊS],$AE$1,tabela_registros[DIA],reservavariáveisconsolidadojun[[#Headers],[16]],tabela_registros[REGISTRO],DADOS!$N$6,tabela_registros[TIPO],DADOS!$AJ$4,tabela_registros[CATEGORIA],reservavariáveisconsolidadojun[[#This Row],[ATUAL]])</f>
        <v>0</v>
      </c>
      <c r="U196" s="91">
        <f>SUMIFS(tabela_registros[VALOR],tabela_registros[MÊS],$AE$1,tabela_registros[DIA],reservavariáveisconsolidadojun[[#Headers],[17]],tabela_registros[REGISTRO],DADOS!$N$6,tabela_registros[TIPO],DADOS!$AJ$4,tabela_registros[CATEGORIA],reservavariáveisconsolidadojun[[#This Row],[ATUAL]])</f>
        <v>0</v>
      </c>
      <c r="V196" s="91">
        <f>SUMIFS(tabela_registros[VALOR],tabela_registros[MÊS],$AE$1,tabela_registros[DIA],reservavariáveisconsolidadojun[[#Headers],[18]],tabela_registros[REGISTRO],DADOS!$N$6,tabela_registros[TIPO],DADOS!$AJ$4,tabela_registros[CATEGORIA],reservavariáveisconsolidadojun[[#This Row],[ATUAL]])</f>
        <v>0</v>
      </c>
      <c r="W196" s="91">
        <f>SUMIFS(tabela_registros[VALOR],tabela_registros[MÊS],$AE$1,tabela_registros[DIA],reservavariáveisconsolidadojun[[#Headers],[19]],tabela_registros[REGISTRO],DADOS!$N$6,tabela_registros[TIPO],DADOS!$AJ$4,tabela_registros[CATEGORIA],reservavariáveisconsolidadojun[[#This Row],[ATUAL]])</f>
        <v>0</v>
      </c>
      <c r="X196" s="91">
        <f>SUMIFS(tabela_registros[VALOR],tabela_registros[MÊS],$AE$1,tabela_registros[DIA],reservavariáveisconsolidadojun[[#Headers],[20]],tabela_registros[REGISTRO],DADOS!$N$6,tabela_registros[TIPO],DADOS!$AJ$4,tabela_registros[CATEGORIA],reservavariáveisconsolidadojun[[#This Row],[ATUAL]])</f>
        <v>0</v>
      </c>
      <c r="Y196" s="91">
        <f>SUMIFS(tabela_registros[VALOR],tabela_registros[MÊS],$AE$1,tabela_registros[DIA],reservavariáveisconsolidadojun[[#Headers],[21]],tabela_registros[REGISTRO],DADOS!$N$6,tabela_registros[TIPO],DADOS!$AJ$4,tabela_registros[CATEGORIA],reservavariáveisconsolidadojun[[#This Row],[ATUAL]])</f>
        <v>0</v>
      </c>
      <c r="Z196" s="91">
        <f>SUMIFS(tabela_registros[VALOR],tabela_registros[MÊS],$AE$1,tabela_registros[DIA],reservavariáveisconsolidadojun[[#Headers],[22]],tabela_registros[REGISTRO],DADOS!$N$6,tabela_registros[TIPO],DADOS!$AJ$4,tabela_registros[CATEGORIA],reservavariáveisconsolidadojun[[#This Row],[ATUAL]])</f>
        <v>0</v>
      </c>
      <c r="AA196" s="91">
        <f>SUMIFS(tabela_registros[VALOR],tabela_registros[MÊS],$AE$1,tabela_registros[DIA],reservavariáveisconsolidadojun[[#Headers],[23]],tabela_registros[REGISTRO],DADOS!$N$6,tabela_registros[TIPO],DADOS!$AJ$4,tabela_registros[CATEGORIA],reservavariáveisconsolidadojun[[#This Row],[ATUAL]])</f>
        <v>0</v>
      </c>
      <c r="AB196" s="91">
        <f>SUMIFS(tabela_registros[VALOR],tabela_registros[MÊS],$AE$1,tabela_registros[DIA],reservavariáveisconsolidadojun[[#Headers],[24]],tabela_registros[REGISTRO],DADOS!$N$6,tabela_registros[TIPO],DADOS!$AJ$4,tabela_registros[CATEGORIA],reservavariáveisconsolidadojun[[#This Row],[ATUAL]])</f>
        <v>0</v>
      </c>
      <c r="AC196" s="91">
        <f>SUMIFS(tabela_registros[VALOR],tabela_registros[MÊS],$AE$1,tabela_registros[DIA],reservavariáveisconsolidadojun[[#Headers],[25]],tabela_registros[REGISTRO],DADOS!$N$6,tabela_registros[TIPO],DADOS!$AJ$4,tabela_registros[CATEGORIA],reservavariáveisconsolidadojun[[#This Row],[ATUAL]])</f>
        <v>0</v>
      </c>
      <c r="AD196" s="91">
        <f>SUMIFS(tabela_registros[VALOR],tabela_registros[MÊS],$AE$1,tabela_registros[DIA],reservavariáveisconsolidadojun[[#Headers],[26]],tabela_registros[REGISTRO],DADOS!$N$6,tabela_registros[TIPO],DADOS!$AJ$4,tabela_registros[CATEGORIA],reservavariáveisconsolidadojun[[#This Row],[ATUAL]])</f>
        <v>0</v>
      </c>
      <c r="AE196" s="91">
        <f>SUMIFS(tabela_registros[VALOR],tabela_registros[MÊS],$AE$1,tabela_registros[DIA],reservavariáveisconsolidadojun[[#Headers],[27]],tabela_registros[REGISTRO],DADOS!$N$6,tabela_registros[TIPO],DADOS!$AJ$4,tabela_registros[CATEGORIA],reservavariáveisconsolidadojun[[#This Row],[ATUAL]])</f>
        <v>0</v>
      </c>
      <c r="AF196" s="91">
        <f>SUMIFS(tabela_registros[VALOR],tabela_registros[MÊS],$AE$1,tabela_registros[DIA],reservavariáveisconsolidadojun[[#Headers],[28]],tabela_registros[REGISTRO],DADOS!$N$6,tabela_registros[TIPO],DADOS!$AJ$4,tabela_registros[CATEGORIA],reservavariáveisconsolidadojun[[#This Row],[ATUAL]])</f>
        <v>0</v>
      </c>
      <c r="AG196" s="91">
        <f>SUMIFS(tabela_registros[VALOR],tabela_registros[MÊS],$AE$1,tabela_registros[DIA],reservavariáveisconsolidadojun[[#Headers],[29]],tabela_registros[REGISTRO],DADOS!$N$6,tabela_registros[TIPO],DADOS!$AJ$4,tabela_registros[CATEGORIA],reservavariáveisconsolidadojun[[#This Row],[ATUAL]])</f>
        <v>0</v>
      </c>
      <c r="AH196" s="91">
        <f>SUMIFS(tabela_registros[VALOR],tabela_registros[MÊS],$AE$1,tabela_registros[DIA],reservavariáveisconsolidadojun[[#Headers],[30]],tabela_registros[REGISTRO],DADOS!$N$6,tabela_registros[TIPO],DADOS!$AJ$4,tabela_registros[CATEGORIA],reservavariáveisconsolidadojun[[#This Row],[ATUAL]])</f>
        <v>0</v>
      </c>
      <c r="AI196" s="102">
        <f>SUMIFS(tabela_registros[VALOR],tabela_registros[MÊS],$AE$1,tabela_registros[DIA],reservavariáveisconsolidadojun[[#Headers],[31]],tabela_registros[REGISTRO],DADOS!$N$6,tabela_registros[TIPO],DADOS!$AJ$4,tabela_registros[CATEGORIA],reservavariáveisconsolidadojun[[#This Row],[ATUAL]])</f>
        <v>0</v>
      </c>
      <c r="AJ196" s="97">
        <f>SUM(reservavariáveisconsolidadojun[[#This Row],[1]:[31]])</f>
        <v>0</v>
      </c>
      <c r="AK196" s="25"/>
    </row>
    <row r="197" spans="2:37" s="16" customFormat="1" ht="21" customHeight="1" thickTop="1" thickBot="1" x14ac:dyDescent="0.35">
      <c r="B197" s="24"/>
      <c r="C197" s="23" t="s">
        <v>19</v>
      </c>
      <c r="D197" s="22"/>
      <c r="E197" s="21">
        <f>SUM(E187:E196)</f>
        <v>0</v>
      </c>
      <c r="F197" s="20">
        <f>SUM(F187:F196)+reservavariáveisconsolidadojun[[#This Row],[1]]</f>
        <v>0</v>
      </c>
      <c r="G197" s="20">
        <f>SUM(G187:G196)+reservavariáveisconsolidadojun[[#This Row],[2]]</f>
        <v>0</v>
      </c>
      <c r="H197" s="20">
        <f>SUM(H187:H196)+reservavariáveisconsolidadojun[[#This Row],[3]]</f>
        <v>0</v>
      </c>
      <c r="I197" s="20">
        <f>SUM(I187:I196)+reservavariáveisconsolidadojun[[#This Row],[4]]</f>
        <v>0</v>
      </c>
      <c r="J197" s="20">
        <f>SUM(J187:J196)+reservavariáveisconsolidadojun[[#This Row],[5]]</f>
        <v>0</v>
      </c>
      <c r="K197" s="20">
        <f>SUM(K187:K196)+reservavariáveisconsolidadojun[[#This Row],[6]]</f>
        <v>0</v>
      </c>
      <c r="L197" s="20">
        <f>SUM(L187:L196)+reservavariáveisconsolidadojun[[#This Row],[7]]</f>
        <v>0</v>
      </c>
      <c r="M197" s="20">
        <f>SUM(M187:M196)+reservavariáveisconsolidadojun[[#This Row],[8]]</f>
        <v>0</v>
      </c>
      <c r="N197" s="20">
        <f>SUM(N187:N196)+reservavariáveisconsolidadojun[[#This Row],[9]]</f>
        <v>0</v>
      </c>
      <c r="O197" s="20">
        <f>SUM(O187:O196)+reservavariáveisconsolidadojun[[#This Row],[10]]</f>
        <v>0</v>
      </c>
      <c r="P197" s="20">
        <f>SUM(P187:P196)+reservavariáveisconsolidadojun[[#This Row],[11]]</f>
        <v>0</v>
      </c>
      <c r="Q197" s="20">
        <f>SUM(Q187:Q196)+reservavariáveisconsolidadojun[[#This Row],[12]]</f>
        <v>0</v>
      </c>
      <c r="R197" s="20">
        <f>SUM(R187:R196)+reservavariáveisconsolidadojun[[#This Row],[13]]</f>
        <v>0</v>
      </c>
      <c r="S197" s="20">
        <f>SUM(S187:S196)+reservavariáveisconsolidadojun[[#This Row],[14]]</f>
        <v>0</v>
      </c>
      <c r="T197" s="20">
        <f>SUM(T187:T196)+reservavariáveisconsolidadojun[[#This Row],[15]]</f>
        <v>0</v>
      </c>
      <c r="U197" s="20">
        <f>SUM(U187:U196)+reservavariáveisconsolidadojun[[#This Row],[16]]</f>
        <v>0</v>
      </c>
      <c r="V197" s="20">
        <f>SUM(V187:V196)+reservavariáveisconsolidadojun[[#This Row],[17]]</f>
        <v>0</v>
      </c>
      <c r="W197" s="20">
        <f>SUM(W187:W196)+reservavariáveisconsolidadojun[[#This Row],[18]]</f>
        <v>0</v>
      </c>
      <c r="X197" s="20">
        <f>SUM(X187:X196)+reservavariáveisconsolidadojun[[#This Row],[19]]</f>
        <v>0</v>
      </c>
      <c r="Y197" s="20">
        <f>SUM(Y187:Y196)+reservavariáveisconsolidadojun[[#This Row],[20]]</f>
        <v>0</v>
      </c>
      <c r="Z197" s="20">
        <f>SUM(Z187:Z196)+reservavariáveisconsolidadojun[[#This Row],[21]]</f>
        <v>0</v>
      </c>
      <c r="AA197" s="20">
        <f>SUM(AA187:AA196)+reservavariáveisconsolidadojun[[#This Row],[22]]</f>
        <v>0</v>
      </c>
      <c r="AB197" s="20">
        <f>SUM(AB187:AB196)+reservavariáveisconsolidadojun[[#This Row],[23]]</f>
        <v>0</v>
      </c>
      <c r="AC197" s="20">
        <f>SUM(AC187:AC196)+reservavariáveisconsolidadojun[[#This Row],[24]]</f>
        <v>0</v>
      </c>
      <c r="AD197" s="20">
        <f>SUM(AD187:AD196)+reservavariáveisconsolidadojun[[#This Row],[25]]</f>
        <v>0</v>
      </c>
      <c r="AE197" s="20">
        <f>SUM(AE187:AE196)+reservavariáveisconsolidadojun[[#This Row],[26]]</f>
        <v>0</v>
      </c>
      <c r="AF197" s="20">
        <f>SUM(AF187:AF196)+reservavariáveisconsolidadojun[[#This Row],[27]]</f>
        <v>0</v>
      </c>
      <c r="AG197" s="20">
        <f>SUM(AG187:AG196)+reservavariáveisconsolidadojun[[#This Row],[28]]</f>
        <v>0</v>
      </c>
      <c r="AH197" s="20">
        <f>SUM(AH187:AH196)+reservavariáveisconsolidadojun[[#This Row],[29]]</f>
        <v>0</v>
      </c>
      <c r="AI197" s="19">
        <f>SUM(AI187:AI196)+reservavariáveisconsolidadojun[[#This Row],[30]]</f>
        <v>0</v>
      </c>
      <c r="AJ197" s="18">
        <f>reservavariáveisconsolidadojun[[#This Row],[31]]</f>
        <v>0</v>
      </c>
      <c r="AK197" s="17"/>
    </row>
    <row r="198" spans="2:37" ht="6.75" customHeight="1" thickTop="1" thickBot="1" x14ac:dyDescent="0.3">
      <c r="B198" s="15"/>
      <c r="C198" s="14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  <c r="AC198" s="13"/>
      <c r="AD198" s="13"/>
      <c r="AE198" s="13"/>
      <c r="AF198" s="13"/>
      <c r="AG198" s="13"/>
      <c r="AH198" s="13"/>
      <c r="AI198" s="12"/>
      <c r="AJ198" s="11"/>
      <c r="AK198" s="10"/>
    </row>
    <row r="199" spans="2:37" ht="12.6" thickTop="1" x14ac:dyDescent="0.25">
      <c r="E199" s="37"/>
      <c r="AI199" s="4"/>
    </row>
    <row r="200" spans="2:37" x14ac:dyDescent="0.25">
      <c r="AI200" s="4"/>
    </row>
    <row r="201" spans="2:37" x14ac:dyDescent="0.25">
      <c r="AI201" s="4"/>
    </row>
    <row r="202" spans="2:37" ht="39.75" customHeight="1" x14ac:dyDescent="0.7">
      <c r="C202" s="36"/>
      <c r="E202" s="240"/>
      <c r="F202" s="240"/>
      <c r="G202" s="240"/>
      <c r="H202" s="240"/>
      <c r="I202" s="240"/>
      <c r="J202" s="240"/>
      <c r="K202" s="240"/>
      <c r="L202" s="240"/>
      <c r="M202" s="240"/>
      <c r="N202" s="240"/>
      <c r="O202" s="240"/>
      <c r="P202" s="240"/>
      <c r="Q202" s="240"/>
      <c r="R202" s="240"/>
      <c r="S202" s="240"/>
      <c r="T202" s="240"/>
      <c r="U202" s="240"/>
      <c r="V202" s="240"/>
      <c r="W202" s="240"/>
      <c r="X202" s="240"/>
      <c r="Y202" s="240"/>
      <c r="Z202" s="240"/>
      <c r="AA202" s="240"/>
      <c r="AB202" s="240"/>
      <c r="AC202" s="240"/>
      <c r="AD202" s="240"/>
      <c r="AE202" s="240"/>
      <c r="AF202" s="240"/>
      <c r="AG202" s="240"/>
      <c r="AH202" s="240"/>
      <c r="AI202" s="240"/>
      <c r="AJ202" s="32" t="s">
        <v>19</v>
      </c>
    </row>
    <row r="203" spans="2:37" ht="12.6" thickBot="1" x14ac:dyDescent="0.3">
      <c r="B203" s="35"/>
      <c r="AI203" s="4"/>
      <c r="AJ203" s="34" t="s">
        <v>202</v>
      </c>
    </row>
    <row r="204" spans="2:37" ht="6.75" customHeight="1" thickTop="1" thickBot="1" x14ac:dyDescent="0.3">
      <c r="B204" s="2"/>
      <c r="C204" s="14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3"/>
      <c r="AD204" s="13"/>
      <c r="AE204" s="13"/>
      <c r="AF204" s="13"/>
      <c r="AG204" s="13"/>
      <c r="AH204" s="13"/>
      <c r="AI204" s="13"/>
      <c r="AJ204" s="12"/>
      <c r="AK204" s="33"/>
    </row>
    <row r="205" spans="2:37" ht="13.2" hidden="1" thickTop="1" thickBot="1" x14ac:dyDescent="0.3">
      <c r="B205" s="2"/>
      <c r="C205" s="31" t="s">
        <v>199</v>
      </c>
      <c r="D205" s="30" t="s">
        <v>198</v>
      </c>
      <c r="E205" s="30" t="s">
        <v>197</v>
      </c>
      <c r="F205" s="30" t="s">
        <v>196</v>
      </c>
      <c r="G205" s="30" t="s">
        <v>195</v>
      </c>
      <c r="H205" s="30" t="s">
        <v>194</v>
      </c>
      <c r="I205" s="30" t="s">
        <v>193</v>
      </c>
      <c r="J205" s="30" t="s">
        <v>192</v>
      </c>
      <c r="K205" s="30" t="s">
        <v>191</v>
      </c>
      <c r="L205" s="30" t="s">
        <v>190</v>
      </c>
      <c r="M205" s="30" t="s">
        <v>189</v>
      </c>
      <c r="N205" s="30" t="s">
        <v>188</v>
      </c>
      <c r="O205" s="30" t="s">
        <v>187</v>
      </c>
      <c r="P205" s="30" t="s">
        <v>186</v>
      </c>
      <c r="Q205" s="30" t="s">
        <v>185</v>
      </c>
      <c r="R205" s="30" t="s">
        <v>184</v>
      </c>
      <c r="S205" s="30" t="s">
        <v>183</v>
      </c>
      <c r="T205" s="30" t="s">
        <v>182</v>
      </c>
      <c r="U205" s="30" t="s">
        <v>181</v>
      </c>
      <c r="V205" s="30" t="s">
        <v>180</v>
      </c>
      <c r="W205" s="30" t="s">
        <v>179</v>
      </c>
      <c r="X205" s="30" t="s">
        <v>178</v>
      </c>
      <c r="Y205" s="30" t="s">
        <v>177</v>
      </c>
      <c r="Z205" s="30" t="s">
        <v>176</v>
      </c>
      <c r="AA205" s="30" t="s">
        <v>175</v>
      </c>
      <c r="AB205" s="30" t="s">
        <v>174</v>
      </c>
      <c r="AC205" s="30" t="s">
        <v>173</v>
      </c>
      <c r="AD205" s="30" t="s">
        <v>172</v>
      </c>
      <c r="AE205" s="30" t="s">
        <v>171</v>
      </c>
      <c r="AF205" s="30" t="s">
        <v>170</v>
      </c>
      <c r="AG205" s="30" t="s">
        <v>169</v>
      </c>
      <c r="AH205" s="30" t="s">
        <v>168</v>
      </c>
      <c r="AI205" s="30" t="s">
        <v>167</v>
      </c>
      <c r="AJ205" s="29" t="s">
        <v>166</v>
      </c>
      <c r="AK205" s="2"/>
    </row>
    <row r="206" spans="2:37" ht="19.5" customHeight="1" thickTop="1" thickBot="1" x14ac:dyDescent="0.3">
      <c r="B206" s="28"/>
      <c r="C206" s="27" t="str">
        <f>DADOS!$AP$3</f>
        <v>📝 COE</v>
      </c>
      <c r="D206" s="26" t="str">
        <f>IF(reservaoutrosconsolidadojun[[#This Row],[TOTAL (R$)]]=0,"",IF(OR(reservaoutrosconsolidadojun[[#This Row],[TOTAL (R$)]]=LARGE($AJ$206:$AJ$213,1),reservaoutrosconsolidadojun[[#This Row],[TOTAL (R$)]]=LARGE($AJ$206:$AJ$213,2)),DADOS!$I$11,""))</f>
        <v/>
      </c>
      <c r="E206" s="96">
        <f>SUMIFS(tabela_registros[VALOR],tabela_registros[MÊS],$AE$1,tabela_registros[DIA],reservaoutrosconsolidadojun[[#Headers],[1]],tabela_registros[REGISTRO],DADOS!$N$6,tabela_registros[TIPO],DADOS!$AJ$5,tabela_registros[CATEGORIA],reservaoutrosconsolidadojun[[#This Row],[ATUAL]])</f>
        <v>0</v>
      </c>
      <c r="F206" s="91">
        <f>SUMIFS(tabela_registros[VALOR],tabela_registros[MÊS],$AE$1,tabela_registros[DIA],reservaoutrosconsolidadojun[[#Headers],[2]],tabela_registros[REGISTRO],DADOS!$N$6,tabela_registros[TIPO],DADOS!$AJ$5,tabela_registros[CATEGORIA],reservaoutrosconsolidadojun[[#This Row],[ATUAL]])</f>
        <v>0</v>
      </c>
      <c r="G206" s="91">
        <f>SUMIFS(tabela_registros[VALOR],tabela_registros[MÊS],$AE$1,tabela_registros[DIA],reservaoutrosconsolidadojun[[#Headers],[3]],tabela_registros[REGISTRO],DADOS!$N$6,tabela_registros[TIPO],DADOS!$AJ$5,tabela_registros[CATEGORIA],reservaoutrosconsolidadojun[[#This Row],[ATUAL]])</f>
        <v>0</v>
      </c>
      <c r="H206" s="91">
        <f>SUMIFS(tabela_registros[VALOR],tabela_registros[MÊS],$AE$1,tabela_registros[DIA],reservaoutrosconsolidadojun[[#Headers],[4]],tabela_registros[REGISTRO],DADOS!$N$6,tabela_registros[TIPO],DADOS!$AJ$5,tabela_registros[CATEGORIA],reservaoutrosconsolidadojun[[#This Row],[ATUAL]])</f>
        <v>0</v>
      </c>
      <c r="I206" s="91">
        <f>SUMIFS(tabela_registros[VALOR],tabela_registros[MÊS],$AE$1,tabela_registros[DIA],reservaoutrosconsolidadojun[[#Headers],[5]],tabela_registros[REGISTRO],DADOS!$N$6,tabela_registros[TIPO],DADOS!$AJ$5,tabela_registros[CATEGORIA],reservaoutrosconsolidadojun[[#This Row],[ATUAL]])</f>
        <v>0</v>
      </c>
      <c r="J206" s="91">
        <f>SUMIFS(tabela_registros[VALOR],tabela_registros[MÊS],$AE$1,tabela_registros[DIA],reservaoutrosconsolidadojun[[#Headers],[6]],tabela_registros[REGISTRO],DADOS!$N$6,tabela_registros[TIPO],DADOS!$AJ$5,tabela_registros[CATEGORIA],reservaoutrosconsolidadojun[[#This Row],[ATUAL]])</f>
        <v>0</v>
      </c>
      <c r="K206" s="91">
        <f>SUMIFS(tabela_registros[VALOR],tabela_registros[MÊS],$AE$1,tabela_registros[DIA],reservaoutrosconsolidadojun[[#Headers],[7]],tabela_registros[REGISTRO],DADOS!$N$6,tabela_registros[TIPO],DADOS!$AJ$5,tabela_registros[CATEGORIA],reservaoutrosconsolidadojun[[#This Row],[ATUAL]])</f>
        <v>0</v>
      </c>
      <c r="L206" s="91">
        <f>SUMIFS(tabela_registros[VALOR],tabela_registros[MÊS],$AE$1,tabela_registros[DIA],reservaoutrosconsolidadojun[[#Headers],[8]],tabela_registros[REGISTRO],DADOS!$N$6,tabela_registros[TIPO],DADOS!$AJ$5,tabela_registros[CATEGORIA],reservaoutrosconsolidadojun[[#This Row],[ATUAL]])</f>
        <v>0</v>
      </c>
      <c r="M206" s="91">
        <f>SUMIFS(tabela_registros[VALOR],tabela_registros[MÊS],$AE$1,tabela_registros[DIA],reservaoutrosconsolidadojun[[#Headers],[9]],tabela_registros[REGISTRO],DADOS!$N$6,tabela_registros[TIPO],DADOS!$AJ$5,tabela_registros[CATEGORIA],reservaoutrosconsolidadojun[[#This Row],[ATUAL]])</f>
        <v>0</v>
      </c>
      <c r="N206" s="91">
        <f>SUMIFS(tabela_registros[VALOR],tabela_registros[MÊS],$AE$1,tabela_registros[DIA],reservaoutrosconsolidadojun[[#Headers],[10]],tabela_registros[REGISTRO],DADOS!$N$6,tabela_registros[TIPO],DADOS!$AJ$5,tabela_registros[CATEGORIA],reservaoutrosconsolidadojun[[#This Row],[ATUAL]])</f>
        <v>0</v>
      </c>
      <c r="O206" s="91">
        <f>SUMIFS(tabela_registros[VALOR],tabela_registros[MÊS],$AE$1,tabela_registros[DIA],reservaoutrosconsolidadojun[[#Headers],[11]],tabela_registros[REGISTRO],DADOS!$N$6,tabela_registros[TIPO],DADOS!$AJ$5,tabela_registros[CATEGORIA],reservaoutrosconsolidadojun[[#This Row],[ATUAL]])</f>
        <v>0</v>
      </c>
      <c r="P206" s="91">
        <f>SUMIFS(tabela_registros[VALOR],tabela_registros[MÊS],$AE$1,tabela_registros[DIA],reservaoutrosconsolidadojun[[#Headers],[12]],tabela_registros[REGISTRO],DADOS!$N$6,tabela_registros[TIPO],DADOS!$AJ$5,tabela_registros[CATEGORIA],reservaoutrosconsolidadojun[[#This Row],[ATUAL]])</f>
        <v>0</v>
      </c>
      <c r="Q206" s="91">
        <f>SUMIFS(tabela_registros[VALOR],tabela_registros[MÊS],$AE$1,tabela_registros[DIA],reservaoutrosconsolidadojun[[#Headers],[13]],tabela_registros[REGISTRO],DADOS!$N$6,tabela_registros[TIPO],DADOS!$AJ$5,tabela_registros[CATEGORIA],reservaoutrosconsolidadojun[[#This Row],[ATUAL]])</f>
        <v>0</v>
      </c>
      <c r="R206" s="91">
        <f>SUMIFS(tabela_registros[VALOR],tabela_registros[MÊS],$AE$1,tabela_registros[DIA],reservaoutrosconsolidadojun[[#Headers],[14]],tabela_registros[REGISTRO],DADOS!$N$6,tabela_registros[TIPO],DADOS!$AJ$5,tabela_registros[CATEGORIA],reservaoutrosconsolidadojun[[#This Row],[ATUAL]])</f>
        <v>0</v>
      </c>
      <c r="S206" s="91">
        <f>SUMIFS(tabela_registros[VALOR],tabela_registros[MÊS],$AE$1,tabela_registros[DIA],reservaoutrosconsolidadojun[[#Headers],[15]],tabela_registros[REGISTRO],DADOS!$N$6,tabela_registros[TIPO],DADOS!$AJ$5,tabela_registros[CATEGORIA],reservaoutrosconsolidadojun[[#This Row],[ATUAL]])</f>
        <v>0</v>
      </c>
      <c r="T206" s="91">
        <f>SUMIFS(tabela_registros[VALOR],tabela_registros[MÊS],$AE$1,tabela_registros[DIA],reservaoutrosconsolidadojun[[#Headers],[16]],tabela_registros[REGISTRO],DADOS!$N$6,tabela_registros[TIPO],DADOS!$AJ$5,tabela_registros[CATEGORIA],reservaoutrosconsolidadojun[[#This Row],[ATUAL]])</f>
        <v>0</v>
      </c>
      <c r="U206" s="91">
        <f>SUMIFS(tabela_registros[VALOR],tabela_registros[MÊS],$AE$1,tabela_registros[DIA],reservaoutrosconsolidadojun[[#Headers],[17]],tabela_registros[REGISTRO],DADOS!$N$6,tabela_registros[TIPO],DADOS!$AJ$5,tabela_registros[CATEGORIA],reservaoutrosconsolidadojun[[#This Row],[ATUAL]])</f>
        <v>0</v>
      </c>
      <c r="V206" s="91">
        <f>SUMIFS(tabela_registros[VALOR],tabela_registros[MÊS],$AE$1,tabela_registros[DIA],reservaoutrosconsolidadojun[[#Headers],[18]],tabela_registros[REGISTRO],DADOS!$N$6,tabela_registros[TIPO],DADOS!$AJ$5,tabela_registros[CATEGORIA],reservaoutrosconsolidadojun[[#This Row],[ATUAL]])</f>
        <v>0</v>
      </c>
      <c r="W206" s="91">
        <f>SUMIFS(tabela_registros[VALOR],tabela_registros[MÊS],$AE$1,tabela_registros[DIA],reservaoutrosconsolidadojun[[#Headers],[19]],tabela_registros[REGISTRO],DADOS!$N$6,tabela_registros[TIPO],DADOS!$AJ$5,tabela_registros[CATEGORIA],reservaoutrosconsolidadojun[[#This Row],[ATUAL]])</f>
        <v>0</v>
      </c>
      <c r="X206" s="91">
        <f>SUMIFS(tabela_registros[VALOR],tabela_registros[MÊS],$AE$1,tabela_registros[DIA],reservaoutrosconsolidadojun[[#Headers],[20]],tabela_registros[REGISTRO],DADOS!$N$6,tabela_registros[TIPO],DADOS!$AJ$5,tabela_registros[CATEGORIA],reservaoutrosconsolidadojun[[#This Row],[ATUAL]])</f>
        <v>0</v>
      </c>
      <c r="Y206" s="91">
        <f>SUMIFS(tabela_registros[VALOR],tabela_registros[MÊS],$AE$1,tabela_registros[DIA],reservaoutrosconsolidadojun[[#Headers],[21]],tabela_registros[REGISTRO],DADOS!$N$6,tabela_registros[TIPO],DADOS!$AJ$5,tabela_registros[CATEGORIA],reservaoutrosconsolidadojun[[#This Row],[ATUAL]])</f>
        <v>0</v>
      </c>
      <c r="Z206" s="91">
        <f>SUMIFS(tabela_registros[VALOR],tabela_registros[MÊS],$AE$1,tabela_registros[DIA],reservaoutrosconsolidadojun[[#Headers],[22]],tabela_registros[REGISTRO],DADOS!$N$6,tabela_registros[TIPO],DADOS!$AJ$5,tabela_registros[CATEGORIA],reservaoutrosconsolidadojun[[#This Row],[ATUAL]])</f>
        <v>0</v>
      </c>
      <c r="AA206" s="91">
        <f>SUMIFS(tabela_registros[VALOR],tabela_registros[MÊS],$AE$1,tabela_registros[DIA],reservaoutrosconsolidadojun[[#Headers],[23]],tabela_registros[REGISTRO],DADOS!$N$6,tabela_registros[TIPO],DADOS!$AJ$5,tabela_registros[CATEGORIA],reservaoutrosconsolidadojun[[#This Row],[ATUAL]])</f>
        <v>0</v>
      </c>
      <c r="AB206" s="91">
        <f>SUMIFS(tabela_registros[VALOR],tabela_registros[MÊS],$AE$1,tabela_registros[DIA],reservaoutrosconsolidadojun[[#Headers],[24]],tabela_registros[REGISTRO],DADOS!$N$6,tabela_registros[TIPO],DADOS!$AJ$5,tabela_registros[CATEGORIA],reservaoutrosconsolidadojun[[#This Row],[ATUAL]])</f>
        <v>0</v>
      </c>
      <c r="AC206" s="91">
        <f>SUMIFS(tabela_registros[VALOR],tabela_registros[MÊS],$AE$1,tabela_registros[DIA],reservaoutrosconsolidadojun[[#Headers],[25]],tabela_registros[REGISTRO],DADOS!$N$6,tabela_registros[TIPO],DADOS!$AJ$5,tabela_registros[CATEGORIA],reservaoutrosconsolidadojun[[#This Row],[ATUAL]])</f>
        <v>0</v>
      </c>
      <c r="AD206" s="91">
        <f>SUMIFS(tabela_registros[VALOR],tabela_registros[MÊS],$AE$1,tabela_registros[DIA],reservaoutrosconsolidadojun[[#Headers],[26]],tabela_registros[REGISTRO],DADOS!$N$6,tabela_registros[TIPO],DADOS!$AJ$5,tabela_registros[CATEGORIA],reservaoutrosconsolidadojun[[#This Row],[ATUAL]])</f>
        <v>0</v>
      </c>
      <c r="AE206" s="91">
        <f>SUMIFS(tabela_registros[VALOR],tabela_registros[MÊS],$AE$1,tabela_registros[DIA],reservaoutrosconsolidadojun[[#Headers],[27]],tabela_registros[REGISTRO],DADOS!$N$6,tabela_registros[TIPO],DADOS!$AJ$5,tabela_registros[CATEGORIA],reservaoutrosconsolidadojun[[#This Row],[ATUAL]])</f>
        <v>0</v>
      </c>
      <c r="AF206" s="91">
        <f>SUMIFS(tabela_registros[VALOR],tabela_registros[MÊS],$AE$1,tabela_registros[DIA],reservaoutrosconsolidadojun[[#Headers],[28]],tabela_registros[REGISTRO],DADOS!$N$6,tabela_registros[TIPO],DADOS!$AJ$5,tabela_registros[CATEGORIA],reservaoutrosconsolidadojun[[#This Row],[ATUAL]])</f>
        <v>0</v>
      </c>
      <c r="AG206" s="91">
        <f>SUMIFS(tabela_registros[VALOR],tabela_registros[MÊS],$AE$1,tabela_registros[DIA],reservaoutrosconsolidadojun[[#Headers],[29]],tabela_registros[REGISTRO],DADOS!$N$6,tabela_registros[TIPO],DADOS!$AJ$5,tabela_registros[CATEGORIA],reservaoutrosconsolidadojun[[#This Row],[ATUAL]])</f>
        <v>0</v>
      </c>
      <c r="AH206" s="91">
        <f>SUMIFS(tabela_registros[VALOR],tabela_registros[MÊS],$AE$1,tabela_registros[DIA],reservaoutrosconsolidadojun[[#Headers],[30]],tabela_registros[REGISTRO],DADOS!$N$6,tabela_registros[TIPO],DADOS!$AJ$5,tabela_registros[CATEGORIA],reservaoutrosconsolidadojun[[#This Row],[ATUAL]])</f>
        <v>0</v>
      </c>
      <c r="AI206" s="101">
        <f>SUMIFS(tabela_registros[VALOR],tabela_registros[MÊS],$AE$1,tabela_registros[DIA],reservaoutrosconsolidadojun[[#Headers],[31]],tabela_registros[REGISTRO],DADOS!$N$6,tabela_registros[TIPO],DADOS!$AJ$5,tabela_registros[CATEGORIA],reservaoutrosconsolidadojun[[#This Row],[ATUAL]])</f>
        <v>0</v>
      </c>
      <c r="AJ206" s="97">
        <f>SUM(reservaoutrosconsolidadojun[[#This Row],[1]:[31]])</f>
        <v>0</v>
      </c>
      <c r="AK206" s="25"/>
    </row>
    <row r="207" spans="2:37" ht="19.5" customHeight="1" thickTop="1" thickBot="1" x14ac:dyDescent="0.3">
      <c r="B207" s="28"/>
      <c r="C207" s="27" t="str">
        <f>DADOS!$AP$4</f>
        <v>📝 FOREX</v>
      </c>
      <c r="D207" s="26" t="str">
        <f>IF(reservaoutrosconsolidadojun[[#This Row],[TOTAL (R$)]]=0,"",IF(OR(reservaoutrosconsolidadojun[[#This Row],[TOTAL (R$)]]=LARGE($AJ$206:$AJ$213,1),reservaoutrosconsolidadojun[[#This Row],[TOTAL (R$)]]=LARGE($AJ$206:$AJ$213,2)),DADOS!$I$11,""))</f>
        <v/>
      </c>
      <c r="E207" s="96">
        <f>SUMIFS(tabela_registros[VALOR],tabela_registros[MÊS],$AE$1,tabela_registros[DIA],reservaoutrosconsolidadojun[[#Headers],[1]],tabela_registros[REGISTRO],DADOS!$N$6,tabela_registros[TIPO],DADOS!$AJ$5,tabela_registros[CATEGORIA],reservaoutrosconsolidadojun[[#This Row],[ATUAL]])</f>
        <v>0</v>
      </c>
      <c r="F207" s="91">
        <f>SUMIFS(tabela_registros[VALOR],tabela_registros[MÊS],$AE$1,tabela_registros[DIA],reservaoutrosconsolidadojun[[#Headers],[2]],tabela_registros[REGISTRO],DADOS!$N$6,tabela_registros[TIPO],DADOS!$AJ$5,tabela_registros[CATEGORIA],reservaoutrosconsolidadojun[[#This Row],[ATUAL]])</f>
        <v>0</v>
      </c>
      <c r="G207" s="91">
        <f>SUMIFS(tabela_registros[VALOR],tabela_registros[MÊS],$AE$1,tabela_registros[DIA],reservaoutrosconsolidadojun[[#Headers],[3]],tabela_registros[REGISTRO],DADOS!$N$6,tabela_registros[TIPO],DADOS!$AJ$5,tabela_registros[CATEGORIA],reservaoutrosconsolidadojun[[#This Row],[ATUAL]])</f>
        <v>0</v>
      </c>
      <c r="H207" s="91">
        <f>SUMIFS(tabela_registros[VALOR],tabela_registros[MÊS],$AE$1,tabela_registros[DIA],reservaoutrosconsolidadojun[[#Headers],[4]],tabela_registros[REGISTRO],DADOS!$N$6,tabela_registros[TIPO],DADOS!$AJ$5,tabela_registros[CATEGORIA],reservaoutrosconsolidadojun[[#This Row],[ATUAL]])</f>
        <v>0</v>
      </c>
      <c r="I207" s="91">
        <f>SUMIFS(tabela_registros[VALOR],tabela_registros[MÊS],$AE$1,tabela_registros[DIA],reservaoutrosconsolidadojun[[#Headers],[5]],tabela_registros[REGISTRO],DADOS!$N$6,tabela_registros[TIPO],DADOS!$AJ$5,tabela_registros[CATEGORIA],reservaoutrosconsolidadojun[[#This Row],[ATUAL]])</f>
        <v>0</v>
      </c>
      <c r="J207" s="91">
        <f>SUMIFS(tabela_registros[VALOR],tabela_registros[MÊS],$AE$1,tabela_registros[DIA],reservaoutrosconsolidadojun[[#Headers],[6]],tabela_registros[REGISTRO],DADOS!$N$6,tabela_registros[TIPO],DADOS!$AJ$5,tabela_registros[CATEGORIA],reservaoutrosconsolidadojun[[#This Row],[ATUAL]])</f>
        <v>0</v>
      </c>
      <c r="K207" s="91">
        <f>SUMIFS(tabela_registros[VALOR],tabela_registros[MÊS],$AE$1,tabela_registros[DIA],reservaoutrosconsolidadojun[[#Headers],[7]],tabela_registros[REGISTRO],DADOS!$N$6,tabela_registros[TIPO],DADOS!$AJ$5,tabela_registros[CATEGORIA],reservaoutrosconsolidadojun[[#This Row],[ATUAL]])</f>
        <v>0</v>
      </c>
      <c r="L207" s="91">
        <f>SUMIFS(tabela_registros[VALOR],tabela_registros[MÊS],$AE$1,tabela_registros[DIA],reservaoutrosconsolidadojun[[#Headers],[8]],tabela_registros[REGISTRO],DADOS!$N$6,tabela_registros[TIPO],DADOS!$AJ$5,tabela_registros[CATEGORIA],reservaoutrosconsolidadojun[[#This Row],[ATUAL]])</f>
        <v>0</v>
      </c>
      <c r="M207" s="91">
        <f>SUMIFS(tabela_registros[VALOR],tabela_registros[MÊS],$AE$1,tabela_registros[DIA],reservaoutrosconsolidadojun[[#Headers],[9]],tabela_registros[REGISTRO],DADOS!$N$6,tabela_registros[TIPO],DADOS!$AJ$5,tabela_registros[CATEGORIA],reservaoutrosconsolidadojun[[#This Row],[ATUAL]])</f>
        <v>0</v>
      </c>
      <c r="N207" s="91">
        <f>SUMIFS(tabela_registros[VALOR],tabela_registros[MÊS],$AE$1,tabela_registros[DIA],reservaoutrosconsolidadojun[[#Headers],[10]],tabela_registros[REGISTRO],DADOS!$N$6,tabela_registros[TIPO],DADOS!$AJ$5,tabela_registros[CATEGORIA],reservaoutrosconsolidadojun[[#This Row],[ATUAL]])</f>
        <v>0</v>
      </c>
      <c r="O207" s="91">
        <f>SUMIFS(tabela_registros[VALOR],tabela_registros[MÊS],$AE$1,tabela_registros[DIA],reservaoutrosconsolidadojun[[#Headers],[11]],tabela_registros[REGISTRO],DADOS!$N$6,tabela_registros[TIPO],DADOS!$AJ$5,tabela_registros[CATEGORIA],reservaoutrosconsolidadojun[[#This Row],[ATUAL]])</f>
        <v>0</v>
      </c>
      <c r="P207" s="91">
        <f>SUMIFS(tabela_registros[VALOR],tabela_registros[MÊS],$AE$1,tabela_registros[DIA],reservaoutrosconsolidadojun[[#Headers],[12]],tabela_registros[REGISTRO],DADOS!$N$6,tabela_registros[TIPO],DADOS!$AJ$5,tabela_registros[CATEGORIA],reservaoutrosconsolidadojun[[#This Row],[ATUAL]])</f>
        <v>0</v>
      </c>
      <c r="Q207" s="91">
        <f>SUMIFS(tabela_registros[VALOR],tabela_registros[MÊS],$AE$1,tabela_registros[DIA],reservaoutrosconsolidadojun[[#Headers],[13]],tabela_registros[REGISTRO],DADOS!$N$6,tabela_registros[TIPO],DADOS!$AJ$5,tabela_registros[CATEGORIA],reservaoutrosconsolidadojun[[#This Row],[ATUAL]])</f>
        <v>0</v>
      </c>
      <c r="R207" s="91">
        <f>SUMIFS(tabela_registros[VALOR],tabela_registros[MÊS],$AE$1,tabela_registros[DIA],reservaoutrosconsolidadojun[[#Headers],[14]],tabela_registros[REGISTRO],DADOS!$N$6,tabela_registros[TIPO],DADOS!$AJ$5,tabela_registros[CATEGORIA],reservaoutrosconsolidadojun[[#This Row],[ATUAL]])</f>
        <v>0</v>
      </c>
      <c r="S207" s="91">
        <f>SUMIFS(tabela_registros[VALOR],tabela_registros[MÊS],$AE$1,tabela_registros[DIA],reservaoutrosconsolidadojun[[#Headers],[15]],tabela_registros[REGISTRO],DADOS!$N$6,tabela_registros[TIPO],DADOS!$AJ$5,tabela_registros[CATEGORIA],reservaoutrosconsolidadojun[[#This Row],[ATUAL]])</f>
        <v>0</v>
      </c>
      <c r="T207" s="91">
        <f>SUMIFS(tabela_registros[VALOR],tabela_registros[MÊS],$AE$1,tabela_registros[DIA],reservaoutrosconsolidadojun[[#Headers],[16]],tabela_registros[REGISTRO],DADOS!$N$6,tabela_registros[TIPO],DADOS!$AJ$5,tabela_registros[CATEGORIA],reservaoutrosconsolidadojun[[#This Row],[ATUAL]])</f>
        <v>0</v>
      </c>
      <c r="U207" s="91">
        <f>SUMIFS(tabela_registros[VALOR],tabela_registros[MÊS],$AE$1,tabela_registros[DIA],reservaoutrosconsolidadojun[[#Headers],[17]],tabela_registros[REGISTRO],DADOS!$N$6,tabela_registros[TIPO],DADOS!$AJ$5,tabela_registros[CATEGORIA],reservaoutrosconsolidadojun[[#This Row],[ATUAL]])</f>
        <v>0</v>
      </c>
      <c r="V207" s="91">
        <f>SUMIFS(tabela_registros[VALOR],tabela_registros[MÊS],$AE$1,tabela_registros[DIA],reservaoutrosconsolidadojun[[#Headers],[18]],tabela_registros[REGISTRO],DADOS!$N$6,tabela_registros[TIPO],DADOS!$AJ$5,tabela_registros[CATEGORIA],reservaoutrosconsolidadojun[[#This Row],[ATUAL]])</f>
        <v>0</v>
      </c>
      <c r="W207" s="91">
        <f>SUMIFS(tabela_registros[VALOR],tabela_registros[MÊS],$AE$1,tabela_registros[DIA],reservaoutrosconsolidadojun[[#Headers],[19]],tabela_registros[REGISTRO],DADOS!$N$6,tabela_registros[TIPO],DADOS!$AJ$5,tabela_registros[CATEGORIA],reservaoutrosconsolidadojun[[#This Row],[ATUAL]])</f>
        <v>0</v>
      </c>
      <c r="X207" s="91">
        <f>SUMIFS(tabela_registros[VALOR],tabela_registros[MÊS],$AE$1,tabela_registros[DIA],reservaoutrosconsolidadojun[[#Headers],[20]],tabela_registros[REGISTRO],DADOS!$N$6,tabela_registros[TIPO],DADOS!$AJ$5,tabela_registros[CATEGORIA],reservaoutrosconsolidadojun[[#This Row],[ATUAL]])</f>
        <v>0</v>
      </c>
      <c r="Y207" s="91">
        <f>SUMIFS(tabela_registros[VALOR],tabela_registros[MÊS],$AE$1,tabela_registros[DIA],reservaoutrosconsolidadojun[[#Headers],[21]],tabela_registros[REGISTRO],DADOS!$N$6,tabela_registros[TIPO],DADOS!$AJ$5,tabela_registros[CATEGORIA],reservaoutrosconsolidadojun[[#This Row],[ATUAL]])</f>
        <v>0</v>
      </c>
      <c r="Z207" s="91">
        <f>SUMIFS(tabela_registros[VALOR],tabela_registros[MÊS],$AE$1,tabela_registros[DIA],reservaoutrosconsolidadojun[[#Headers],[22]],tabela_registros[REGISTRO],DADOS!$N$6,tabela_registros[TIPO],DADOS!$AJ$5,tabela_registros[CATEGORIA],reservaoutrosconsolidadojun[[#This Row],[ATUAL]])</f>
        <v>0</v>
      </c>
      <c r="AA207" s="91">
        <f>SUMIFS(tabela_registros[VALOR],tabela_registros[MÊS],$AE$1,tabela_registros[DIA],reservaoutrosconsolidadojun[[#Headers],[23]],tabela_registros[REGISTRO],DADOS!$N$6,tabela_registros[TIPO],DADOS!$AJ$5,tabela_registros[CATEGORIA],reservaoutrosconsolidadojun[[#This Row],[ATUAL]])</f>
        <v>0</v>
      </c>
      <c r="AB207" s="91">
        <f>SUMIFS(tabela_registros[VALOR],tabela_registros[MÊS],$AE$1,tabela_registros[DIA],reservaoutrosconsolidadojun[[#Headers],[24]],tabela_registros[REGISTRO],DADOS!$N$6,tabela_registros[TIPO],DADOS!$AJ$5,tabela_registros[CATEGORIA],reservaoutrosconsolidadojun[[#This Row],[ATUAL]])</f>
        <v>0</v>
      </c>
      <c r="AC207" s="91">
        <f>SUMIFS(tabela_registros[VALOR],tabela_registros[MÊS],$AE$1,tabela_registros[DIA],reservaoutrosconsolidadojun[[#Headers],[25]],tabela_registros[REGISTRO],DADOS!$N$6,tabela_registros[TIPO],DADOS!$AJ$5,tabela_registros[CATEGORIA],reservaoutrosconsolidadojun[[#This Row],[ATUAL]])</f>
        <v>0</v>
      </c>
      <c r="AD207" s="91">
        <f>SUMIFS(tabela_registros[VALOR],tabela_registros[MÊS],$AE$1,tabela_registros[DIA],reservaoutrosconsolidadojun[[#Headers],[26]],tabela_registros[REGISTRO],DADOS!$N$6,tabela_registros[TIPO],DADOS!$AJ$5,tabela_registros[CATEGORIA],reservaoutrosconsolidadojun[[#This Row],[ATUAL]])</f>
        <v>0</v>
      </c>
      <c r="AE207" s="91">
        <f>SUMIFS(tabela_registros[VALOR],tabela_registros[MÊS],$AE$1,tabela_registros[DIA],reservaoutrosconsolidadojun[[#Headers],[27]],tabela_registros[REGISTRO],DADOS!$N$6,tabela_registros[TIPO],DADOS!$AJ$5,tabela_registros[CATEGORIA],reservaoutrosconsolidadojun[[#This Row],[ATUAL]])</f>
        <v>0</v>
      </c>
      <c r="AF207" s="91">
        <f>SUMIFS(tabela_registros[VALOR],tabela_registros[MÊS],$AE$1,tabela_registros[DIA],reservaoutrosconsolidadojun[[#Headers],[28]],tabela_registros[REGISTRO],DADOS!$N$6,tabela_registros[TIPO],DADOS!$AJ$5,tabela_registros[CATEGORIA],reservaoutrosconsolidadojun[[#This Row],[ATUAL]])</f>
        <v>0</v>
      </c>
      <c r="AG207" s="91">
        <f>SUMIFS(tabela_registros[VALOR],tabela_registros[MÊS],$AE$1,tabela_registros[DIA],reservaoutrosconsolidadojun[[#Headers],[29]],tabela_registros[REGISTRO],DADOS!$N$6,tabela_registros[TIPO],DADOS!$AJ$5,tabela_registros[CATEGORIA],reservaoutrosconsolidadojun[[#This Row],[ATUAL]])</f>
        <v>0</v>
      </c>
      <c r="AH207" s="91">
        <f>SUMIFS(tabela_registros[VALOR],tabela_registros[MÊS],$AE$1,tabela_registros[DIA],reservaoutrosconsolidadojun[[#Headers],[30]],tabela_registros[REGISTRO],DADOS!$N$6,tabela_registros[TIPO],DADOS!$AJ$5,tabela_registros[CATEGORIA],reservaoutrosconsolidadojun[[#This Row],[ATUAL]])</f>
        <v>0</v>
      </c>
      <c r="AI207" s="101">
        <f>SUMIFS(tabela_registros[VALOR],tabela_registros[MÊS],$AE$1,tabela_registros[DIA],reservaoutrosconsolidadojun[[#Headers],[31]],tabela_registros[REGISTRO],DADOS!$N$6,tabela_registros[TIPO],DADOS!$AJ$5,tabela_registros[CATEGORIA],reservaoutrosconsolidadojun[[#This Row],[ATUAL]])</f>
        <v>0</v>
      </c>
      <c r="AJ207" s="97">
        <f>SUM(reservaoutrosconsolidadojun[[#This Row],[1]:[31]])</f>
        <v>0</v>
      </c>
      <c r="AK207" s="25"/>
    </row>
    <row r="208" spans="2:37" ht="19.5" customHeight="1" thickTop="1" thickBot="1" x14ac:dyDescent="0.3">
      <c r="B208" s="28"/>
      <c r="C208" s="27" t="str">
        <f>DADOS!$AP$5</f>
        <v>📝 FUNDO DE INVESTIMENTO</v>
      </c>
      <c r="D208" s="26" t="str">
        <f>IF(reservaoutrosconsolidadojun[[#This Row],[TOTAL (R$)]]=0,"",IF(OR(reservaoutrosconsolidadojun[[#This Row],[TOTAL (R$)]]=LARGE($AJ$206:$AJ$213,1),reservaoutrosconsolidadojun[[#This Row],[TOTAL (R$)]]=LARGE($AJ$206:$AJ$213,2)),DADOS!$I$11,""))</f>
        <v/>
      </c>
      <c r="E208" s="96">
        <f>SUMIFS(tabela_registros[VALOR],tabela_registros[MÊS],$AE$1,tabela_registros[DIA],reservaoutrosconsolidadojun[[#Headers],[1]],tabela_registros[REGISTRO],DADOS!$N$6,tabela_registros[TIPO],DADOS!$AJ$5,tabela_registros[CATEGORIA],reservaoutrosconsolidadojun[[#This Row],[ATUAL]])</f>
        <v>0</v>
      </c>
      <c r="F208" s="91">
        <f>SUMIFS(tabela_registros[VALOR],tabela_registros[MÊS],$AE$1,tabela_registros[DIA],reservaoutrosconsolidadojun[[#Headers],[2]],tabela_registros[REGISTRO],DADOS!$N$6,tabela_registros[TIPO],DADOS!$AJ$5,tabela_registros[CATEGORIA],reservaoutrosconsolidadojun[[#This Row],[ATUAL]])</f>
        <v>0</v>
      </c>
      <c r="G208" s="91">
        <f>SUMIFS(tabela_registros[VALOR],tabela_registros[MÊS],$AE$1,tabela_registros[DIA],reservaoutrosconsolidadojun[[#Headers],[3]],tabela_registros[REGISTRO],DADOS!$N$6,tabela_registros[TIPO],DADOS!$AJ$5,tabela_registros[CATEGORIA],reservaoutrosconsolidadojun[[#This Row],[ATUAL]])</f>
        <v>0</v>
      </c>
      <c r="H208" s="91">
        <f>SUMIFS(tabela_registros[VALOR],tabela_registros[MÊS],$AE$1,tabela_registros[DIA],reservaoutrosconsolidadojun[[#Headers],[4]],tabela_registros[REGISTRO],DADOS!$N$6,tabela_registros[TIPO],DADOS!$AJ$5,tabela_registros[CATEGORIA],reservaoutrosconsolidadojun[[#This Row],[ATUAL]])</f>
        <v>0</v>
      </c>
      <c r="I208" s="91">
        <f>SUMIFS(tabela_registros[VALOR],tabela_registros[MÊS],$AE$1,tabela_registros[DIA],reservaoutrosconsolidadojun[[#Headers],[5]],tabela_registros[REGISTRO],DADOS!$N$6,tabela_registros[TIPO],DADOS!$AJ$5,tabela_registros[CATEGORIA],reservaoutrosconsolidadojun[[#This Row],[ATUAL]])</f>
        <v>0</v>
      </c>
      <c r="J208" s="91">
        <f>SUMIFS(tabela_registros[VALOR],tabela_registros[MÊS],$AE$1,tabela_registros[DIA],reservaoutrosconsolidadojun[[#Headers],[6]],tabela_registros[REGISTRO],DADOS!$N$6,tabela_registros[TIPO],DADOS!$AJ$5,tabela_registros[CATEGORIA],reservaoutrosconsolidadojun[[#This Row],[ATUAL]])</f>
        <v>0</v>
      </c>
      <c r="K208" s="91">
        <f>SUMIFS(tabela_registros[VALOR],tabela_registros[MÊS],$AE$1,tabela_registros[DIA],reservaoutrosconsolidadojun[[#Headers],[7]],tabela_registros[REGISTRO],DADOS!$N$6,tabela_registros[TIPO],DADOS!$AJ$5,tabela_registros[CATEGORIA],reservaoutrosconsolidadojun[[#This Row],[ATUAL]])</f>
        <v>0</v>
      </c>
      <c r="L208" s="91">
        <f>SUMIFS(tabela_registros[VALOR],tabela_registros[MÊS],$AE$1,tabela_registros[DIA],reservaoutrosconsolidadojun[[#Headers],[8]],tabela_registros[REGISTRO],DADOS!$N$6,tabela_registros[TIPO],DADOS!$AJ$5,tabela_registros[CATEGORIA],reservaoutrosconsolidadojun[[#This Row],[ATUAL]])</f>
        <v>0</v>
      </c>
      <c r="M208" s="91">
        <f>SUMIFS(tabela_registros[VALOR],tabela_registros[MÊS],$AE$1,tabela_registros[DIA],reservaoutrosconsolidadojun[[#Headers],[9]],tabela_registros[REGISTRO],DADOS!$N$6,tabela_registros[TIPO],DADOS!$AJ$5,tabela_registros[CATEGORIA],reservaoutrosconsolidadojun[[#This Row],[ATUAL]])</f>
        <v>0</v>
      </c>
      <c r="N208" s="91">
        <f>SUMIFS(tabela_registros[VALOR],tabela_registros[MÊS],$AE$1,tabela_registros[DIA],reservaoutrosconsolidadojun[[#Headers],[10]],tabela_registros[REGISTRO],DADOS!$N$6,tabela_registros[TIPO],DADOS!$AJ$5,tabela_registros[CATEGORIA],reservaoutrosconsolidadojun[[#This Row],[ATUAL]])</f>
        <v>0</v>
      </c>
      <c r="O208" s="91">
        <f>SUMIFS(tabela_registros[VALOR],tabela_registros[MÊS],$AE$1,tabela_registros[DIA],reservaoutrosconsolidadojun[[#Headers],[11]],tabela_registros[REGISTRO],DADOS!$N$6,tabela_registros[TIPO],DADOS!$AJ$5,tabela_registros[CATEGORIA],reservaoutrosconsolidadojun[[#This Row],[ATUAL]])</f>
        <v>0</v>
      </c>
      <c r="P208" s="91">
        <f>SUMIFS(tabela_registros[VALOR],tabela_registros[MÊS],$AE$1,tabela_registros[DIA],reservaoutrosconsolidadojun[[#Headers],[12]],tabela_registros[REGISTRO],DADOS!$N$6,tabela_registros[TIPO],DADOS!$AJ$5,tabela_registros[CATEGORIA],reservaoutrosconsolidadojun[[#This Row],[ATUAL]])</f>
        <v>0</v>
      </c>
      <c r="Q208" s="91">
        <f>SUMIFS(tabela_registros[VALOR],tabela_registros[MÊS],$AE$1,tabela_registros[DIA],reservaoutrosconsolidadojun[[#Headers],[13]],tabela_registros[REGISTRO],DADOS!$N$6,tabela_registros[TIPO],DADOS!$AJ$5,tabela_registros[CATEGORIA],reservaoutrosconsolidadojun[[#This Row],[ATUAL]])</f>
        <v>0</v>
      </c>
      <c r="R208" s="91">
        <f>SUMIFS(tabela_registros[VALOR],tabela_registros[MÊS],$AE$1,tabela_registros[DIA],reservaoutrosconsolidadojun[[#Headers],[14]],tabela_registros[REGISTRO],DADOS!$N$6,tabela_registros[TIPO],DADOS!$AJ$5,tabela_registros[CATEGORIA],reservaoutrosconsolidadojun[[#This Row],[ATUAL]])</f>
        <v>0</v>
      </c>
      <c r="S208" s="91">
        <f>SUMIFS(tabela_registros[VALOR],tabela_registros[MÊS],$AE$1,tabela_registros[DIA],reservaoutrosconsolidadojun[[#Headers],[15]],tabela_registros[REGISTRO],DADOS!$N$6,tabela_registros[TIPO],DADOS!$AJ$5,tabela_registros[CATEGORIA],reservaoutrosconsolidadojun[[#This Row],[ATUAL]])</f>
        <v>0</v>
      </c>
      <c r="T208" s="91">
        <f>SUMIFS(tabela_registros[VALOR],tabela_registros[MÊS],$AE$1,tabela_registros[DIA],reservaoutrosconsolidadojun[[#Headers],[16]],tabela_registros[REGISTRO],DADOS!$N$6,tabela_registros[TIPO],DADOS!$AJ$5,tabela_registros[CATEGORIA],reservaoutrosconsolidadojun[[#This Row],[ATUAL]])</f>
        <v>0</v>
      </c>
      <c r="U208" s="91">
        <f>SUMIFS(tabela_registros[VALOR],tabela_registros[MÊS],$AE$1,tabela_registros[DIA],reservaoutrosconsolidadojun[[#Headers],[17]],tabela_registros[REGISTRO],DADOS!$N$6,tabela_registros[TIPO],DADOS!$AJ$5,tabela_registros[CATEGORIA],reservaoutrosconsolidadojun[[#This Row],[ATUAL]])</f>
        <v>0</v>
      </c>
      <c r="V208" s="91">
        <f>SUMIFS(tabela_registros[VALOR],tabela_registros[MÊS],$AE$1,tabela_registros[DIA],reservaoutrosconsolidadojun[[#Headers],[18]],tabela_registros[REGISTRO],DADOS!$N$6,tabela_registros[TIPO],DADOS!$AJ$5,tabela_registros[CATEGORIA],reservaoutrosconsolidadojun[[#This Row],[ATUAL]])</f>
        <v>0</v>
      </c>
      <c r="W208" s="91">
        <f>SUMIFS(tabela_registros[VALOR],tabela_registros[MÊS],$AE$1,tabela_registros[DIA],reservaoutrosconsolidadojun[[#Headers],[19]],tabela_registros[REGISTRO],DADOS!$N$6,tabela_registros[TIPO],DADOS!$AJ$5,tabela_registros[CATEGORIA],reservaoutrosconsolidadojun[[#This Row],[ATUAL]])</f>
        <v>0</v>
      </c>
      <c r="X208" s="91">
        <f>SUMIFS(tabela_registros[VALOR],tabela_registros[MÊS],$AE$1,tabela_registros[DIA],reservaoutrosconsolidadojun[[#Headers],[20]],tabela_registros[REGISTRO],DADOS!$N$6,tabela_registros[TIPO],DADOS!$AJ$5,tabela_registros[CATEGORIA],reservaoutrosconsolidadojun[[#This Row],[ATUAL]])</f>
        <v>0</v>
      </c>
      <c r="Y208" s="91">
        <f>SUMIFS(tabela_registros[VALOR],tabela_registros[MÊS],$AE$1,tabela_registros[DIA],reservaoutrosconsolidadojun[[#Headers],[21]],tabela_registros[REGISTRO],DADOS!$N$6,tabela_registros[TIPO],DADOS!$AJ$5,tabela_registros[CATEGORIA],reservaoutrosconsolidadojun[[#This Row],[ATUAL]])</f>
        <v>0</v>
      </c>
      <c r="Z208" s="91">
        <f>SUMIFS(tabela_registros[VALOR],tabela_registros[MÊS],$AE$1,tabela_registros[DIA],reservaoutrosconsolidadojun[[#Headers],[22]],tabela_registros[REGISTRO],DADOS!$N$6,tabela_registros[TIPO],DADOS!$AJ$5,tabela_registros[CATEGORIA],reservaoutrosconsolidadojun[[#This Row],[ATUAL]])</f>
        <v>0</v>
      </c>
      <c r="AA208" s="91">
        <f>SUMIFS(tabela_registros[VALOR],tabela_registros[MÊS],$AE$1,tabela_registros[DIA],reservaoutrosconsolidadojun[[#Headers],[23]],tabela_registros[REGISTRO],DADOS!$N$6,tabela_registros[TIPO],DADOS!$AJ$5,tabela_registros[CATEGORIA],reservaoutrosconsolidadojun[[#This Row],[ATUAL]])</f>
        <v>0</v>
      </c>
      <c r="AB208" s="91">
        <f>SUMIFS(tabela_registros[VALOR],tabela_registros[MÊS],$AE$1,tabela_registros[DIA],reservaoutrosconsolidadojun[[#Headers],[24]],tabela_registros[REGISTRO],DADOS!$N$6,tabela_registros[TIPO],DADOS!$AJ$5,tabela_registros[CATEGORIA],reservaoutrosconsolidadojun[[#This Row],[ATUAL]])</f>
        <v>0</v>
      </c>
      <c r="AC208" s="91">
        <f>SUMIFS(tabela_registros[VALOR],tabela_registros[MÊS],$AE$1,tabela_registros[DIA],reservaoutrosconsolidadojun[[#Headers],[25]],tabela_registros[REGISTRO],DADOS!$N$6,tabela_registros[TIPO],DADOS!$AJ$5,tabela_registros[CATEGORIA],reservaoutrosconsolidadojun[[#This Row],[ATUAL]])</f>
        <v>0</v>
      </c>
      <c r="AD208" s="91">
        <f>SUMIFS(tabela_registros[VALOR],tabela_registros[MÊS],$AE$1,tabela_registros[DIA],reservaoutrosconsolidadojun[[#Headers],[26]],tabela_registros[REGISTRO],DADOS!$N$6,tabela_registros[TIPO],DADOS!$AJ$5,tabela_registros[CATEGORIA],reservaoutrosconsolidadojun[[#This Row],[ATUAL]])</f>
        <v>0</v>
      </c>
      <c r="AE208" s="91">
        <f>SUMIFS(tabela_registros[VALOR],tabela_registros[MÊS],$AE$1,tabela_registros[DIA],reservaoutrosconsolidadojun[[#Headers],[27]],tabela_registros[REGISTRO],DADOS!$N$6,tabela_registros[TIPO],DADOS!$AJ$5,tabela_registros[CATEGORIA],reservaoutrosconsolidadojun[[#This Row],[ATUAL]])</f>
        <v>0</v>
      </c>
      <c r="AF208" s="91">
        <f>SUMIFS(tabela_registros[VALOR],tabela_registros[MÊS],$AE$1,tabela_registros[DIA],reservaoutrosconsolidadojun[[#Headers],[28]],tabela_registros[REGISTRO],DADOS!$N$6,tabela_registros[TIPO],DADOS!$AJ$5,tabela_registros[CATEGORIA],reservaoutrosconsolidadojun[[#This Row],[ATUAL]])</f>
        <v>0</v>
      </c>
      <c r="AG208" s="91">
        <f>SUMIFS(tabela_registros[VALOR],tabela_registros[MÊS],$AE$1,tabela_registros[DIA],reservaoutrosconsolidadojun[[#Headers],[29]],tabela_registros[REGISTRO],DADOS!$N$6,tabela_registros[TIPO],DADOS!$AJ$5,tabela_registros[CATEGORIA],reservaoutrosconsolidadojun[[#This Row],[ATUAL]])</f>
        <v>0</v>
      </c>
      <c r="AH208" s="91">
        <f>SUMIFS(tabela_registros[VALOR],tabela_registros[MÊS],$AE$1,tabela_registros[DIA],reservaoutrosconsolidadojun[[#Headers],[30]],tabela_registros[REGISTRO],DADOS!$N$6,tabela_registros[TIPO],DADOS!$AJ$5,tabela_registros[CATEGORIA],reservaoutrosconsolidadojun[[#This Row],[ATUAL]])</f>
        <v>0</v>
      </c>
      <c r="AI208" s="101">
        <f>SUMIFS(tabela_registros[VALOR],tabela_registros[MÊS],$AE$1,tabela_registros[DIA],reservaoutrosconsolidadojun[[#Headers],[31]],tabela_registros[REGISTRO],DADOS!$N$6,tabela_registros[TIPO],DADOS!$AJ$5,tabela_registros[CATEGORIA],reservaoutrosconsolidadojun[[#This Row],[ATUAL]])</f>
        <v>0</v>
      </c>
      <c r="AJ208" s="97">
        <f>SUM(reservaoutrosconsolidadojun[[#This Row],[1]:[31]])</f>
        <v>0</v>
      </c>
      <c r="AK208" s="25"/>
    </row>
    <row r="209" spans="2:37" ht="19.5" customHeight="1" thickTop="1" thickBot="1" x14ac:dyDescent="0.3">
      <c r="B209" s="28"/>
      <c r="C209" s="27" t="str">
        <f>DADOS!$AP$6</f>
        <v>📝 NOVA EMPRESA</v>
      </c>
      <c r="D209" s="26" t="str">
        <f>IF(reservaoutrosconsolidadojun[[#This Row],[TOTAL (R$)]]=0,"",IF(OR(reservaoutrosconsolidadojun[[#This Row],[TOTAL (R$)]]=LARGE($AJ$206:$AJ$213,1),reservaoutrosconsolidadojun[[#This Row],[TOTAL (R$)]]=LARGE($AJ$206:$AJ$213,2)),DADOS!$I$11,""))</f>
        <v/>
      </c>
      <c r="E209" s="96">
        <f>SUMIFS(tabela_registros[VALOR],tabela_registros[MÊS],$AE$1,tabela_registros[DIA],reservaoutrosconsolidadojun[[#Headers],[1]],tabela_registros[REGISTRO],DADOS!$N$6,tabela_registros[TIPO],DADOS!$AJ$5,tabela_registros[CATEGORIA],reservaoutrosconsolidadojun[[#This Row],[ATUAL]])</f>
        <v>0</v>
      </c>
      <c r="F209" s="91">
        <f>SUMIFS(tabela_registros[VALOR],tabela_registros[MÊS],$AE$1,tabela_registros[DIA],reservaoutrosconsolidadojun[[#Headers],[2]],tabela_registros[REGISTRO],DADOS!$N$6,tabela_registros[TIPO],DADOS!$AJ$5,tabela_registros[CATEGORIA],reservaoutrosconsolidadojun[[#This Row],[ATUAL]])</f>
        <v>0</v>
      </c>
      <c r="G209" s="91">
        <f>SUMIFS(tabela_registros[VALOR],tabela_registros[MÊS],$AE$1,tabela_registros[DIA],reservaoutrosconsolidadojun[[#Headers],[3]],tabela_registros[REGISTRO],DADOS!$N$6,tabela_registros[TIPO],DADOS!$AJ$5,tabela_registros[CATEGORIA],reservaoutrosconsolidadojun[[#This Row],[ATUAL]])</f>
        <v>0</v>
      </c>
      <c r="H209" s="91">
        <f>SUMIFS(tabela_registros[VALOR],tabela_registros[MÊS],$AE$1,tabela_registros[DIA],reservaoutrosconsolidadojun[[#Headers],[4]],tabela_registros[REGISTRO],DADOS!$N$6,tabela_registros[TIPO],DADOS!$AJ$5,tabela_registros[CATEGORIA],reservaoutrosconsolidadojun[[#This Row],[ATUAL]])</f>
        <v>0</v>
      </c>
      <c r="I209" s="91">
        <f>SUMIFS(tabela_registros[VALOR],tabela_registros[MÊS],$AE$1,tabela_registros[DIA],reservaoutrosconsolidadojun[[#Headers],[5]],tabela_registros[REGISTRO],DADOS!$N$6,tabela_registros[TIPO],DADOS!$AJ$5,tabela_registros[CATEGORIA],reservaoutrosconsolidadojun[[#This Row],[ATUAL]])</f>
        <v>0</v>
      </c>
      <c r="J209" s="91">
        <f>SUMIFS(tabela_registros[VALOR],tabela_registros[MÊS],$AE$1,tabela_registros[DIA],reservaoutrosconsolidadojun[[#Headers],[6]],tabela_registros[REGISTRO],DADOS!$N$6,tabela_registros[TIPO],DADOS!$AJ$5,tabela_registros[CATEGORIA],reservaoutrosconsolidadojun[[#This Row],[ATUAL]])</f>
        <v>0</v>
      </c>
      <c r="K209" s="91">
        <f>SUMIFS(tabela_registros[VALOR],tabela_registros[MÊS],$AE$1,tabela_registros[DIA],reservaoutrosconsolidadojun[[#Headers],[7]],tabela_registros[REGISTRO],DADOS!$N$6,tabela_registros[TIPO],DADOS!$AJ$5,tabela_registros[CATEGORIA],reservaoutrosconsolidadojun[[#This Row],[ATUAL]])</f>
        <v>0</v>
      </c>
      <c r="L209" s="91">
        <f>SUMIFS(tabela_registros[VALOR],tabela_registros[MÊS],$AE$1,tabela_registros[DIA],reservaoutrosconsolidadojun[[#Headers],[8]],tabela_registros[REGISTRO],DADOS!$N$6,tabela_registros[TIPO],DADOS!$AJ$5,tabela_registros[CATEGORIA],reservaoutrosconsolidadojun[[#This Row],[ATUAL]])</f>
        <v>0</v>
      </c>
      <c r="M209" s="91">
        <f>SUMIFS(tabela_registros[VALOR],tabela_registros[MÊS],$AE$1,tabela_registros[DIA],reservaoutrosconsolidadojun[[#Headers],[9]],tabela_registros[REGISTRO],DADOS!$N$6,tabela_registros[TIPO],DADOS!$AJ$5,tabela_registros[CATEGORIA],reservaoutrosconsolidadojun[[#This Row],[ATUAL]])</f>
        <v>0</v>
      </c>
      <c r="N209" s="91">
        <f>SUMIFS(tabela_registros[VALOR],tabela_registros[MÊS],$AE$1,tabela_registros[DIA],reservaoutrosconsolidadojun[[#Headers],[10]],tabela_registros[REGISTRO],DADOS!$N$6,tabela_registros[TIPO],DADOS!$AJ$5,tabela_registros[CATEGORIA],reservaoutrosconsolidadojun[[#This Row],[ATUAL]])</f>
        <v>0</v>
      </c>
      <c r="O209" s="91">
        <f>SUMIFS(tabela_registros[VALOR],tabela_registros[MÊS],$AE$1,tabela_registros[DIA],reservaoutrosconsolidadojun[[#Headers],[11]],tabela_registros[REGISTRO],DADOS!$N$6,tabela_registros[TIPO],DADOS!$AJ$5,tabela_registros[CATEGORIA],reservaoutrosconsolidadojun[[#This Row],[ATUAL]])</f>
        <v>0</v>
      </c>
      <c r="P209" s="91">
        <f>SUMIFS(tabela_registros[VALOR],tabela_registros[MÊS],$AE$1,tabela_registros[DIA],reservaoutrosconsolidadojun[[#Headers],[12]],tabela_registros[REGISTRO],DADOS!$N$6,tabela_registros[TIPO],DADOS!$AJ$5,tabela_registros[CATEGORIA],reservaoutrosconsolidadojun[[#This Row],[ATUAL]])</f>
        <v>0</v>
      </c>
      <c r="Q209" s="91">
        <f>SUMIFS(tabela_registros[VALOR],tabela_registros[MÊS],$AE$1,tabela_registros[DIA],reservaoutrosconsolidadojun[[#Headers],[13]],tabela_registros[REGISTRO],DADOS!$N$6,tabela_registros[TIPO],DADOS!$AJ$5,tabela_registros[CATEGORIA],reservaoutrosconsolidadojun[[#This Row],[ATUAL]])</f>
        <v>0</v>
      </c>
      <c r="R209" s="91">
        <f>SUMIFS(tabela_registros[VALOR],tabela_registros[MÊS],$AE$1,tabela_registros[DIA],reservaoutrosconsolidadojun[[#Headers],[14]],tabela_registros[REGISTRO],DADOS!$N$6,tabela_registros[TIPO],DADOS!$AJ$5,tabela_registros[CATEGORIA],reservaoutrosconsolidadojun[[#This Row],[ATUAL]])</f>
        <v>0</v>
      </c>
      <c r="S209" s="91">
        <f>SUMIFS(tabela_registros[VALOR],tabela_registros[MÊS],$AE$1,tabela_registros[DIA],reservaoutrosconsolidadojun[[#Headers],[15]],tabela_registros[REGISTRO],DADOS!$N$6,tabela_registros[TIPO],DADOS!$AJ$5,tabela_registros[CATEGORIA],reservaoutrosconsolidadojun[[#This Row],[ATUAL]])</f>
        <v>0</v>
      </c>
      <c r="T209" s="91">
        <f>SUMIFS(tabela_registros[VALOR],tabela_registros[MÊS],$AE$1,tabela_registros[DIA],reservaoutrosconsolidadojun[[#Headers],[16]],tabela_registros[REGISTRO],DADOS!$N$6,tabela_registros[TIPO],DADOS!$AJ$5,tabela_registros[CATEGORIA],reservaoutrosconsolidadojun[[#This Row],[ATUAL]])</f>
        <v>0</v>
      </c>
      <c r="U209" s="91">
        <f>SUMIFS(tabela_registros[VALOR],tabela_registros[MÊS],$AE$1,tabela_registros[DIA],reservaoutrosconsolidadojun[[#Headers],[17]],tabela_registros[REGISTRO],DADOS!$N$6,tabela_registros[TIPO],DADOS!$AJ$5,tabela_registros[CATEGORIA],reservaoutrosconsolidadojun[[#This Row],[ATUAL]])</f>
        <v>0</v>
      </c>
      <c r="V209" s="91">
        <f>SUMIFS(tabela_registros[VALOR],tabela_registros[MÊS],$AE$1,tabela_registros[DIA],reservaoutrosconsolidadojun[[#Headers],[18]],tabela_registros[REGISTRO],DADOS!$N$6,tabela_registros[TIPO],DADOS!$AJ$5,tabela_registros[CATEGORIA],reservaoutrosconsolidadojun[[#This Row],[ATUAL]])</f>
        <v>0</v>
      </c>
      <c r="W209" s="91">
        <f>SUMIFS(tabela_registros[VALOR],tabela_registros[MÊS],$AE$1,tabela_registros[DIA],reservaoutrosconsolidadojun[[#Headers],[19]],tabela_registros[REGISTRO],DADOS!$N$6,tabela_registros[TIPO],DADOS!$AJ$5,tabela_registros[CATEGORIA],reservaoutrosconsolidadojun[[#This Row],[ATUAL]])</f>
        <v>0</v>
      </c>
      <c r="X209" s="91">
        <f>SUMIFS(tabela_registros[VALOR],tabela_registros[MÊS],$AE$1,tabela_registros[DIA],reservaoutrosconsolidadojun[[#Headers],[20]],tabela_registros[REGISTRO],DADOS!$N$6,tabela_registros[TIPO],DADOS!$AJ$5,tabela_registros[CATEGORIA],reservaoutrosconsolidadojun[[#This Row],[ATUAL]])</f>
        <v>0</v>
      </c>
      <c r="Y209" s="91">
        <f>SUMIFS(tabela_registros[VALOR],tabela_registros[MÊS],$AE$1,tabela_registros[DIA],reservaoutrosconsolidadojun[[#Headers],[21]],tabela_registros[REGISTRO],DADOS!$N$6,tabela_registros[TIPO],DADOS!$AJ$5,tabela_registros[CATEGORIA],reservaoutrosconsolidadojun[[#This Row],[ATUAL]])</f>
        <v>0</v>
      </c>
      <c r="Z209" s="91">
        <f>SUMIFS(tabela_registros[VALOR],tabela_registros[MÊS],$AE$1,tabela_registros[DIA],reservaoutrosconsolidadojun[[#Headers],[22]],tabela_registros[REGISTRO],DADOS!$N$6,tabela_registros[TIPO],DADOS!$AJ$5,tabela_registros[CATEGORIA],reservaoutrosconsolidadojun[[#This Row],[ATUAL]])</f>
        <v>0</v>
      </c>
      <c r="AA209" s="91">
        <f>SUMIFS(tabela_registros[VALOR],tabela_registros[MÊS],$AE$1,tabela_registros[DIA],reservaoutrosconsolidadojun[[#Headers],[23]],tabela_registros[REGISTRO],DADOS!$N$6,tabela_registros[TIPO],DADOS!$AJ$5,tabela_registros[CATEGORIA],reservaoutrosconsolidadojun[[#This Row],[ATUAL]])</f>
        <v>0</v>
      </c>
      <c r="AB209" s="91">
        <f>SUMIFS(tabela_registros[VALOR],tabela_registros[MÊS],$AE$1,tabela_registros[DIA],reservaoutrosconsolidadojun[[#Headers],[24]],tabela_registros[REGISTRO],DADOS!$N$6,tabela_registros[TIPO],DADOS!$AJ$5,tabela_registros[CATEGORIA],reservaoutrosconsolidadojun[[#This Row],[ATUAL]])</f>
        <v>0</v>
      </c>
      <c r="AC209" s="91">
        <f>SUMIFS(tabela_registros[VALOR],tabela_registros[MÊS],$AE$1,tabela_registros[DIA],reservaoutrosconsolidadojun[[#Headers],[25]],tabela_registros[REGISTRO],DADOS!$N$6,tabela_registros[TIPO],DADOS!$AJ$5,tabela_registros[CATEGORIA],reservaoutrosconsolidadojun[[#This Row],[ATUAL]])</f>
        <v>0</v>
      </c>
      <c r="AD209" s="91">
        <f>SUMIFS(tabela_registros[VALOR],tabela_registros[MÊS],$AE$1,tabela_registros[DIA],reservaoutrosconsolidadojun[[#Headers],[26]],tabela_registros[REGISTRO],DADOS!$N$6,tabela_registros[TIPO],DADOS!$AJ$5,tabela_registros[CATEGORIA],reservaoutrosconsolidadojun[[#This Row],[ATUAL]])</f>
        <v>0</v>
      </c>
      <c r="AE209" s="91">
        <f>SUMIFS(tabela_registros[VALOR],tabela_registros[MÊS],$AE$1,tabela_registros[DIA],reservaoutrosconsolidadojun[[#Headers],[27]],tabela_registros[REGISTRO],DADOS!$N$6,tabela_registros[TIPO],DADOS!$AJ$5,tabela_registros[CATEGORIA],reservaoutrosconsolidadojun[[#This Row],[ATUAL]])</f>
        <v>0</v>
      </c>
      <c r="AF209" s="91">
        <f>SUMIFS(tabela_registros[VALOR],tabela_registros[MÊS],$AE$1,tabela_registros[DIA],reservaoutrosconsolidadojun[[#Headers],[28]],tabela_registros[REGISTRO],DADOS!$N$6,tabela_registros[TIPO],DADOS!$AJ$5,tabela_registros[CATEGORIA],reservaoutrosconsolidadojun[[#This Row],[ATUAL]])</f>
        <v>0</v>
      </c>
      <c r="AG209" s="91">
        <f>SUMIFS(tabela_registros[VALOR],tabela_registros[MÊS],$AE$1,tabela_registros[DIA],reservaoutrosconsolidadojun[[#Headers],[29]],tabela_registros[REGISTRO],DADOS!$N$6,tabela_registros[TIPO],DADOS!$AJ$5,tabela_registros[CATEGORIA],reservaoutrosconsolidadojun[[#This Row],[ATUAL]])</f>
        <v>0</v>
      </c>
      <c r="AH209" s="91">
        <f>SUMIFS(tabela_registros[VALOR],tabela_registros[MÊS],$AE$1,tabela_registros[DIA],reservaoutrosconsolidadojun[[#Headers],[30]],tabela_registros[REGISTRO],DADOS!$N$6,tabela_registros[TIPO],DADOS!$AJ$5,tabela_registros[CATEGORIA],reservaoutrosconsolidadojun[[#This Row],[ATUAL]])</f>
        <v>0</v>
      </c>
      <c r="AI209" s="101">
        <f>SUMIFS(tabela_registros[VALOR],tabela_registros[MÊS],$AE$1,tabela_registros[DIA],reservaoutrosconsolidadojun[[#Headers],[31]],tabela_registros[REGISTRO],DADOS!$N$6,tabela_registros[TIPO],DADOS!$AJ$5,tabela_registros[CATEGORIA],reservaoutrosconsolidadojun[[#This Row],[ATUAL]])</f>
        <v>0</v>
      </c>
      <c r="AJ209" s="97">
        <f>SUM(reservaoutrosconsolidadojun[[#This Row],[1]:[31]])</f>
        <v>0</v>
      </c>
      <c r="AK209" s="25"/>
    </row>
    <row r="210" spans="2:37" ht="19.5" customHeight="1" thickTop="1" thickBot="1" x14ac:dyDescent="0.3">
      <c r="B210" s="28"/>
      <c r="C210" s="27" t="str">
        <f>DADOS!$AP$7</f>
        <v>📝 PEER TO COMPANY</v>
      </c>
      <c r="D210" s="26" t="str">
        <f>IF(reservaoutrosconsolidadojun[[#This Row],[TOTAL (R$)]]=0,"",IF(OR(reservaoutrosconsolidadojun[[#This Row],[TOTAL (R$)]]=LARGE($AJ$206:$AJ$213,1),reservaoutrosconsolidadojun[[#This Row],[TOTAL (R$)]]=LARGE($AJ$206:$AJ$213,2)),DADOS!$I$11,""))</f>
        <v/>
      </c>
      <c r="E210" s="96">
        <f>SUMIFS(tabela_registros[VALOR],tabela_registros[MÊS],$AE$1,tabela_registros[DIA],reservaoutrosconsolidadojun[[#Headers],[1]],tabela_registros[REGISTRO],DADOS!$N$6,tabela_registros[TIPO],DADOS!$AJ$5,tabela_registros[CATEGORIA],reservaoutrosconsolidadojun[[#This Row],[ATUAL]])</f>
        <v>0</v>
      </c>
      <c r="F210" s="91">
        <f>SUMIFS(tabela_registros[VALOR],tabela_registros[MÊS],$AE$1,tabela_registros[DIA],reservaoutrosconsolidadojun[[#Headers],[2]],tabela_registros[REGISTRO],DADOS!$N$6,tabela_registros[TIPO],DADOS!$AJ$5,tabela_registros[CATEGORIA],reservaoutrosconsolidadojun[[#This Row],[ATUAL]])</f>
        <v>0</v>
      </c>
      <c r="G210" s="91">
        <f>SUMIFS(tabela_registros[VALOR],tabela_registros[MÊS],$AE$1,tabela_registros[DIA],reservaoutrosconsolidadojun[[#Headers],[3]],tabela_registros[REGISTRO],DADOS!$N$6,tabela_registros[TIPO],DADOS!$AJ$5,tabela_registros[CATEGORIA],reservaoutrosconsolidadojun[[#This Row],[ATUAL]])</f>
        <v>0</v>
      </c>
      <c r="H210" s="91">
        <f>SUMIFS(tabela_registros[VALOR],tabela_registros[MÊS],$AE$1,tabela_registros[DIA],reservaoutrosconsolidadojun[[#Headers],[4]],tabela_registros[REGISTRO],DADOS!$N$6,tabela_registros[TIPO],DADOS!$AJ$5,tabela_registros[CATEGORIA],reservaoutrosconsolidadojun[[#This Row],[ATUAL]])</f>
        <v>0</v>
      </c>
      <c r="I210" s="91">
        <f>SUMIFS(tabela_registros[VALOR],tabela_registros[MÊS],$AE$1,tabela_registros[DIA],reservaoutrosconsolidadojun[[#Headers],[5]],tabela_registros[REGISTRO],DADOS!$N$6,tabela_registros[TIPO],DADOS!$AJ$5,tabela_registros[CATEGORIA],reservaoutrosconsolidadojun[[#This Row],[ATUAL]])</f>
        <v>0</v>
      </c>
      <c r="J210" s="91">
        <f>SUMIFS(tabela_registros[VALOR],tabela_registros[MÊS],$AE$1,tabela_registros[DIA],reservaoutrosconsolidadojun[[#Headers],[6]],tabela_registros[REGISTRO],DADOS!$N$6,tabela_registros[TIPO],DADOS!$AJ$5,tabela_registros[CATEGORIA],reservaoutrosconsolidadojun[[#This Row],[ATUAL]])</f>
        <v>0</v>
      </c>
      <c r="K210" s="91">
        <f>SUMIFS(tabela_registros[VALOR],tabela_registros[MÊS],$AE$1,tabela_registros[DIA],reservaoutrosconsolidadojun[[#Headers],[7]],tabela_registros[REGISTRO],DADOS!$N$6,tabela_registros[TIPO],DADOS!$AJ$5,tabela_registros[CATEGORIA],reservaoutrosconsolidadojun[[#This Row],[ATUAL]])</f>
        <v>0</v>
      </c>
      <c r="L210" s="91">
        <f>SUMIFS(tabela_registros[VALOR],tabela_registros[MÊS],$AE$1,tabela_registros[DIA],reservaoutrosconsolidadojun[[#Headers],[8]],tabela_registros[REGISTRO],DADOS!$N$6,tabela_registros[TIPO],DADOS!$AJ$5,tabela_registros[CATEGORIA],reservaoutrosconsolidadojun[[#This Row],[ATUAL]])</f>
        <v>0</v>
      </c>
      <c r="M210" s="91">
        <f>SUMIFS(tabela_registros[VALOR],tabela_registros[MÊS],$AE$1,tabela_registros[DIA],reservaoutrosconsolidadojun[[#Headers],[9]],tabela_registros[REGISTRO],DADOS!$N$6,tabela_registros[TIPO],DADOS!$AJ$5,tabela_registros[CATEGORIA],reservaoutrosconsolidadojun[[#This Row],[ATUAL]])</f>
        <v>0</v>
      </c>
      <c r="N210" s="91">
        <f>SUMIFS(tabela_registros[VALOR],tabela_registros[MÊS],$AE$1,tabela_registros[DIA],reservaoutrosconsolidadojun[[#Headers],[10]],tabela_registros[REGISTRO],DADOS!$N$6,tabela_registros[TIPO],DADOS!$AJ$5,tabela_registros[CATEGORIA],reservaoutrosconsolidadojun[[#This Row],[ATUAL]])</f>
        <v>0</v>
      </c>
      <c r="O210" s="91">
        <f>SUMIFS(tabela_registros[VALOR],tabela_registros[MÊS],$AE$1,tabela_registros[DIA],reservaoutrosconsolidadojun[[#Headers],[11]],tabela_registros[REGISTRO],DADOS!$N$6,tabela_registros[TIPO],DADOS!$AJ$5,tabela_registros[CATEGORIA],reservaoutrosconsolidadojun[[#This Row],[ATUAL]])</f>
        <v>0</v>
      </c>
      <c r="P210" s="91">
        <f>SUMIFS(tabela_registros[VALOR],tabela_registros[MÊS],$AE$1,tabela_registros[DIA],reservaoutrosconsolidadojun[[#Headers],[12]],tabela_registros[REGISTRO],DADOS!$N$6,tabela_registros[TIPO],DADOS!$AJ$5,tabela_registros[CATEGORIA],reservaoutrosconsolidadojun[[#This Row],[ATUAL]])</f>
        <v>0</v>
      </c>
      <c r="Q210" s="91">
        <f>SUMIFS(tabela_registros[VALOR],tabela_registros[MÊS],$AE$1,tabela_registros[DIA],reservaoutrosconsolidadojun[[#Headers],[13]],tabela_registros[REGISTRO],DADOS!$N$6,tabela_registros[TIPO],DADOS!$AJ$5,tabela_registros[CATEGORIA],reservaoutrosconsolidadojun[[#This Row],[ATUAL]])</f>
        <v>0</v>
      </c>
      <c r="R210" s="91">
        <f>SUMIFS(tabela_registros[VALOR],tabela_registros[MÊS],$AE$1,tabela_registros[DIA],reservaoutrosconsolidadojun[[#Headers],[14]],tabela_registros[REGISTRO],DADOS!$N$6,tabela_registros[TIPO],DADOS!$AJ$5,tabela_registros[CATEGORIA],reservaoutrosconsolidadojun[[#This Row],[ATUAL]])</f>
        <v>0</v>
      </c>
      <c r="S210" s="91">
        <f>SUMIFS(tabela_registros[VALOR],tabela_registros[MÊS],$AE$1,tabela_registros[DIA],reservaoutrosconsolidadojun[[#Headers],[15]],tabela_registros[REGISTRO],DADOS!$N$6,tabela_registros[TIPO],DADOS!$AJ$5,tabela_registros[CATEGORIA],reservaoutrosconsolidadojun[[#This Row],[ATUAL]])</f>
        <v>0</v>
      </c>
      <c r="T210" s="91">
        <f>SUMIFS(tabela_registros[VALOR],tabela_registros[MÊS],$AE$1,tabela_registros[DIA],reservaoutrosconsolidadojun[[#Headers],[16]],tabela_registros[REGISTRO],DADOS!$N$6,tabela_registros[TIPO],DADOS!$AJ$5,tabela_registros[CATEGORIA],reservaoutrosconsolidadojun[[#This Row],[ATUAL]])</f>
        <v>0</v>
      </c>
      <c r="U210" s="91">
        <f>SUMIFS(tabela_registros[VALOR],tabela_registros[MÊS],$AE$1,tabela_registros[DIA],reservaoutrosconsolidadojun[[#Headers],[17]],tabela_registros[REGISTRO],DADOS!$N$6,tabela_registros[TIPO],DADOS!$AJ$5,tabela_registros[CATEGORIA],reservaoutrosconsolidadojun[[#This Row],[ATUAL]])</f>
        <v>0</v>
      </c>
      <c r="V210" s="91">
        <f>SUMIFS(tabela_registros[VALOR],tabela_registros[MÊS],$AE$1,tabela_registros[DIA],reservaoutrosconsolidadojun[[#Headers],[18]],tabela_registros[REGISTRO],DADOS!$N$6,tabela_registros[TIPO],DADOS!$AJ$5,tabela_registros[CATEGORIA],reservaoutrosconsolidadojun[[#This Row],[ATUAL]])</f>
        <v>0</v>
      </c>
      <c r="W210" s="91">
        <f>SUMIFS(tabela_registros[VALOR],tabela_registros[MÊS],$AE$1,tabela_registros[DIA],reservaoutrosconsolidadojun[[#Headers],[19]],tabela_registros[REGISTRO],DADOS!$N$6,tabela_registros[TIPO],DADOS!$AJ$5,tabela_registros[CATEGORIA],reservaoutrosconsolidadojun[[#This Row],[ATUAL]])</f>
        <v>0</v>
      </c>
      <c r="X210" s="91">
        <f>SUMIFS(tabela_registros[VALOR],tabela_registros[MÊS],$AE$1,tabela_registros[DIA],reservaoutrosconsolidadojun[[#Headers],[20]],tabela_registros[REGISTRO],DADOS!$N$6,tabela_registros[TIPO],DADOS!$AJ$5,tabela_registros[CATEGORIA],reservaoutrosconsolidadojun[[#This Row],[ATUAL]])</f>
        <v>0</v>
      </c>
      <c r="Y210" s="91">
        <f>SUMIFS(tabela_registros[VALOR],tabela_registros[MÊS],$AE$1,tabela_registros[DIA],reservaoutrosconsolidadojun[[#Headers],[21]],tabela_registros[REGISTRO],DADOS!$N$6,tabela_registros[TIPO],DADOS!$AJ$5,tabela_registros[CATEGORIA],reservaoutrosconsolidadojun[[#This Row],[ATUAL]])</f>
        <v>0</v>
      </c>
      <c r="Z210" s="91">
        <f>SUMIFS(tabela_registros[VALOR],tabela_registros[MÊS],$AE$1,tabela_registros[DIA],reservaoutrosconsolidadojun[[#Headers],[22]],tabela_registros[REGISTRO],DADOS!$N$6,tabela_registros[TIPO],DADOS!$AJ$5,tabela_registros[CATEGORIA],reservaoutrosconsolidadojun[[#This Row],[ATUAL]])</f>
        <v>0</v>
      </c>
      <c r="AA210" s="91">
        <f>SUMIFS(tabela_registros[VALOR],tabela_registros[MÊS],$AE$1,tabela_registros[DIA],reservaoutrosconsolidadojun[[#Headers],[23]],tabela_registros[REGISTRO],DADOS!$N$6,tabela_registros[TIPO],DADOS!$AJ$5,tabela_registros[CATEGORIA],reservaoutrosconsolidadojun[[#This Row],[ATUAL]])</f>
        <v>0</v>
      </c>
      <c r="AB210" s="91">
        <f>SUMIFS(tabela_registros[VALOR],tabela_registros[MÊS],$AE$1,tabela_registros[DIA],reservaoutrosconsolidadojun[[#Headers],[24]],tabela_registros[REGISTRO],DADOS!$N$6,tabela_registros[TIPO],DADOS!$AJ$5,tabela_registros[CATEGORIA],reservaoutrosconsolidadojun[[#This Row],[ATUAL]])</f>
        <v>0</v>
      </c>
      <c r="AC210" s="91">
        <f>SUMIFS(tabela_registros[VALOR],tabela_registros[MÊS],$AE$1,tabela_registros[DIA],reservaoutrosconsolidadojun[[#Headers],[25]],tabela_registros[REGISTRO],DADOS!$N$6,tabela_registros[TIPO],DADOS!$AJ$5,tabela_registros[CATEGORIA],reservaoutrosconsolidadojun[[#This Row],[ATUAL]])</f>
        <v>0</v>
      </c>
      <c r="AD210" s="91">
        <f>SUMIFS(tabela_registros[VALOR],tabela_registros[MÊS],$AE$1,tabela_registros[DIA],reservaoutrosconsolidadojun[[#Headers],[26]],tabela_registros[REGISTRO],DADOS!$N$6,tabela_registros[TIPO],DADOS!$AJ$5,tabela_registros[CATEGORIA],reservaoutrosconsolidadojun[[#This Row],[ATUAL]])</f>
        <v>0</v>
      </c>
      <c r="AE210" s="91">
        <f>SUMIFS(tabela_registros[VALOR],tabela_registros[MÊS],$AE$1,tabela_registros[DIA],reservaoutrosconsolidadojun[[#Headers],[27]],tabela_registros[REGISTRO],DADOS!$N$6,tabela_registros[TIPO],DADOS!$AJ$5,tabela_registros[CATEGORIA],reservaoutrosconsolidadojun[[#This Row],[ATUAL]])</f>
        <v>0</v>
      </c>
      <c r="AF210" s="91">
        <f>SUMIFS(tabela_registros[VALOR],tabela_registros[MÊS],$AE$1,tabela_registros[DIA],reservaoutrosconsolidadojun[[#Headers],[28]],tabela_registros[REGISTRO],DADOS!$N$6,tabela_registros[TIPO],DADOS!$AJ$5,tabela_registros[CATEGORIA],reservaoutrosconsolidadojun[[#This Row],[ATUAL]])</f>
        <v>0</v>
      </c>
      <c r="AG210" s="91">
        <f>SUMIFS(tabela_registros[VALOR],tabela_registros[MÊS],$AE$1,tabela_registros[DIA],reservaoutrosconsolidadojun[[#Headers],[29]],tabela_registros[REGISTRO],DADOS!$N$6,tabela_registros[TIPO],DADOS!$AJ$5,tabela_registros[CATEGORIA],reservaoutrosconsolidadojun[[#This Row],[ATUAL]])</f>
        <v>0</v>
      </c>
      <c r="AH210" s="91">
        <f>SUMIFS(tabela_registros[VALOR],tabela_registros[MÊS],$AE$1,tabela_registros[DIA],reservaoutrosconsolidadojun[[#Headers],[30]],tabela_registros[REGISTRO],DADOS!$N$6,tabela_registros[TIPO],DADOS!$AJ$5,tabela_registros[CATEGORIA],reservaoutrosconsolidadojun[[#This Row],[ATUAL]])</f>
        <v>0</v>
      </c>
      <c r="AI210" s="101">
        <f>SUMIFS(tabela_registros[VALOR],tabela_registros[MÊS],$AE$1,tabela_registros[DIA],reservaoutrosconsolidadojun[[#Headers],[31]],tabela_registros[REGISTRO],DADOS!$N$6,tabela_registros[TIPO],DADOS!$AJ$5,tabela_registros[CATEGORIA],reservaoutrosconsolidadojun[[#This Row],[ATUAL]])</f>
        <v>0</v>
      </c>
      <c r="AJ210" s="97">
        <f>SUM(reservaoutrosconsolidadojun[[#This Row],[1]:[31]])</f>
        <v>0</v>
      </c>
      <c r="AK210" s="25"/>
    </row>
    <row r="211" spans="2:37" ht="19.5" customHeight="1" thickTop="1" thickBot="1" x14ac:dyDescent="0.3">
      <c r="B211" s="28"/>
      <c r="C211" s="27" t="str">
        <f>DADOS!$AP$8</f>
        <v>📝 PEER TO PEER</v>
      </c>
      <c r="D211" s="26" t="str">
        <f>IF(reservaoutrosconsolidadojun[[#This Row],[TOTAL (R$)]]=0,"",IF(OR(reservaoutrosconsolidadojun[[#This Row],[TOTAL (R$)]]=LARGE($AJ$206:$AJ$213,1),reservaoutrosconsolidadojun[[#This Row],[TOTAL (R$)]]=LARGE($AJ$206:$AJ$213,2)),DADOS!$I$11,""))</f>
        <v/>
      </c>
      <c r="E211" s="96">
        <f>SUMIFS(tabela_registros[VALOR],tabela_registros[MÊS],$AE$1,tabela_registros[DIA],reservaoutrosconsolidadojun[[#Headers],[1]],tabela_registros[REGISTRO],DADOS!$N$6,tabela_registros[TIPO],DADOS!$AJ$5,tabela_registros[CATEGORIA],reservaoutrosconsolidadojun[[#This Row],[ATUAL]])</f>
        <v>0</v>
      </c>
      <c r="F211" s="91">
        <f>SUMIFS(tabela_registros[VALOR],tabela_registros[MÊS],$AE$1,tabela_registros[DIA],reservaoutrosconsolidadojun[[#Headers],[2]],tabela_registros[REGISTRO],DADOS!$N$6,tabela_registros[TIPO],DADOS!$AJ$5,tabela_registros[CATEGORIA],reservaoutrosconsolidadojun[[#This Row],[ATUAL]])</f>
        <v>0</v>
      </c>
      <c r="G211" s="91">
        <f>SUMIFS(tabela_registros[VALOR],tabela_registros[MÊS],$AE$1,tabela_registros[DIA],reservaoutrosconsolidadojun[[#Headers],[3]],tabela_registros[REGISTRO],DADOS!$N$6,tabela_registros[TIPO],DADOS!$AJ$5,tabela_registros[CATEGORIA],reservaoutrosconsolidadojun[[#This Row],[ATUAL]])</f>
        <v>0</v>
      </c>
      <c r="H211" s="91">
        <f>SUMIFS(tabela_registros[VALOR],tabela_registros[MÊS],$AE$1,tabela_registros[DIA],reservaoutrosconsolidadojun[[#Headers],[4]],tabela_registros[REGISTRO],DADOS!$N$6,tabela_registros[TIPO],DADOS!$AJ$5,tabela_registros[CATEGORIA],reservaoutrosconsolidadojun[[#This Row],[ATUAL]])</f>
        <v>0</v>
      </c>
      <c r="I211" s="91">
        <f>SUMIFS(tabela_registros[VALOR],tabela_registros[MÊS],$AE$1,tabela_registros[DIA],reservaoutrosconsolidadojun[[#Headers],[5]],tabela_registros[REGISTRO],DADOS!$N$6,tabela_registros[TIPO],DADOS!$AJ$5,tabela_registros[CATEGORIA],reservaoutrosconsolidadojun[[#This Row],[ATUAL]])</f>
        <v>0</v>
      </c>
      <c r="J211" s="91">
        <f>SUMIFS(tabela_registros[VALOR],tabela_registros[MÊS],$AE$1,tabela_registros[DIA],reservaoutrosconsolidadojun[[#Headers],[6]],tabela_registros[REGISTRO],DADOS!$N$6,tabela_registros[TIPO],DADOS!$AJ$5,tabela_registros[CATEGORIA],reservaoutrosconsolidadojun[[#This Row],[ATUAL]])</f>
        <v>0</v>
      </c>
      <c r="K211" s="91">
        <f>SUMIFS(tabela_registros[VALOR],tabela_registros[MÊS],$AE$1,tabela_registros[DIA],reservaoutrosconsolidadojun[[#Headers],[7]],tabela_registros[REGISTRO],DADOS!$N$6,tabela_registros[TIPO],DADOS!$AJ$5,tabela_registros[CATEGORIA],reservaoutrosconsolidadojun[[#This Row],[ATUAL]])</f>
        <v>0</v>
      </c>
      <c r="L211" s="91">
        <f>SUMIFS(tabela_registros[VALOR],tabela_registros[MÊS],$AE$1,tabela_registros[DIA],reservaoutrosconsolidadojun[[#Headers],[8]],tabela_registros[REGISTRO],DADOS!$N$6,tabela_registros[TIPO],DADOS!$AJ$5,tabela_registros[CATEGORIA],reservaoutrosconsolidadojun[[#This Row],[ATUAL]])</f>
        <v>0</v>
      </c>
      <c r="M211" s="91">
        <f>SUMIFS(tabela_registros[VALOR],tabela_registros[MÊS],$AE$1,tabela_registros[DIA],reservaoutrosconsolidadojun[[#Headers],[9]],tabela_registros[REGISTRO],DADOS!$N$6,tabela_registros[TIPO],DADOS!$AJ$5,tabela_registros[CATEGORIA],reservaoutrosconsolidadojun[[#This Row],[ATUAL]])</f>
        <v>0</v>
      </c>
      <c r="N211" s="91">
        <f>SUMIFS(tabela_registros[VALOR],tabela_registros[MÊS],$AE$1,tabela_registros[DIA],reservaoutrosconsolidadojun[[#Headers],[10]],tabela_registros[REGISTRO],DADOS!$N$6,tabela_registros[TIPO],DADOS!$AJ$5,tabela_registros[CATEGORIA],reservaoutrosconsolidadojun[[#This Row],[ATUAL]])</f>
        <v>0</v>
      </c>
      <c r="O211" s="91">
        <f>SUMIFS(tabela_registros[VALOR],tabela_registros[MÊS],$AE$1,tabela_registros[DIA],reservaoutrosconsolidadojun[[#Headers],[11]],tabela_registros[REGISTRO],DADOS!$N$6,tabela_registros[TIPO],DADOS!$AJ$5,tabela_registros[CATEGORIA],reservaoutrosconsolidadojun[[#This Row],[ATUAL]])</f>
        <v>0</v>
      </c>
      <c r="P211" s="91">
        <f>SUMIFS(tabela_registros[VALOR],tabela_registros[MÊS],$AE$1,tabela_registros[DIA],reservaoutrosconsolidadojun[[#Headers],[12]],tabela_registros[REGISTRO],DADOS!$N$6,tabela_registros[TIPO],DADOS!$AJ$5,tabela_registros[CATEGORIA],reservaoutrosconsolidadojun[[#This Row],[ATUAL]])</f>
        <v>0</v>
      </c>
      <c r="Q211" s="91">
        <f>SUMIFS(tabela_registros[VALOR],tabela_registros[MÊS],$AE$1,tabela_registros[DIA],reservaoutrosconsolidadojun[[#Headers],[13]],tabela_registros[REGISTRO],DADOS!$N$6,tabela_registros[TIPO],DADOS!$AJ$5,tabela_registros[CATEGORIA],reservaoutrosconsolidadojun[[#This Row],[ATUAL]])</f>
        <v>0</v>
      </c>
      <c r="R211" s="91">
        <f>SUMIFS(tabela_registros[VALOR],tabela_registros[MÊS],$AE$1,tabela_registros[DIA],reservaoutrosconsolidadojun[[#Headers],[14]],tabela_registros[REGISTRO],DADOS!$N$6,tabela_registros[TIPO],DADOS!$AJ$5,tabela_registros[CATEGORIA],reservaoutrosconsolidadojun[[#This Row],[ATUAL]])</f>
        <v>0</v>
      </c>
      <c r="S211" s="91">
        <f>SUMIFS(tabela_registros[VALOR],tabela_registros[MÊS],$AE$1,tabela_registros[DIA],reservaoutrosconsolidadojun[[#Headers],[15]],tabela_registros[REGISTRO],DADOS!$N$6,tabela_registros[TIPO],DADOS!$AJ$5,tabela_registros[CATEGORIA],reservaoutrosconsolidadojun[[#This Row],[ATUAL]])</f>
        <v>0</v>
      </c>
      <c r="T211" s="91">
        <f>SUMIFS(tabela_registros[VALOR],tabela_registros[MÊS],$AE$1,tabela_registros[DIA],reservaoutrosconsolidadojun[[#Headers],[16]],tabela_registros[REGISTRO],DADOS!$N$6,tabela_registros[TIPO],DADOS!$AJ$5,tabela_registros[CATEGORIA],reservaoutrosconsolidadojun[[#This Row],[ATUAL]])</f>
        <v>0</v>
      </c>
      <c r="U211" s="91">
        <f>SUMIFS(tabela_registros[VALOR],tabela_registros[MÊS],$AE$1,tabela_registros[DIA],reservaoutrosconsolidadojun[[#Headers],[17]],tabela_registros[REGISTRO],DADOS!$N$6,tabela_registros[TIPO],DADOS!$AJ$5,tabela_registros[CATEGORIA],reservaoutrosconsolidadojun[[#This Row],[ATUAL]])</f>
        <v>0</v>
      </c>
      <c r="V211" s="91">
        <f>SUMIFS(tabela_registros[VALOR],tabela_registros[MÊS],$AE$1,tabela_registros[DIA],reservaoutrosconsolidadojun[[#Headers],[18]],tabela_registros[REGISTRO],DADOS!$N$6,tabela_registros[TIPO],DADOS!$AJ$5,tabela_registros[CATEGORIA],reservaoutrosconsolidadojun[[#This Row],[ATUAL]])</f>
        <v>0</v>
      </c>
      <c r="W211" s="91">
        <f>SUMIFS(tabela_registros[VALOR],tabela_registros[MÊS],$AE$1,tabela_registros[DIA],reservaoutrosconsolidadojun[[#Headers],[19]],tabela_registros[REGISTRO],DADOS!$N$6,tabela_registros[TIPO],DADOS!$AJ$5,tabela_registros[CATEGORIA],reservaoutrosconsolidadojun[[#This Row],[ATUAL]])</f>
        <v>0</v>
      </c>
      <c r="X211" s="91">
        <f>SUMIFS(tabela_registros[VALOR],tabela_registros[MÊS],$AE$1,tabela_registros[DIA],reservaoutrosconsolidadojun[[#Headers],[20]],tabela_registros[REGISTRO],DADOS!$N$6,tabela_registros[TIPO],DADOS!$AJ$5,tabela_registros[CATEGORIA],reservaoutrosconsolidadojun[[#This Row],[ATUAL]])</f>
        <v>0</v>
      </c>
      <c r="Y211" s="91">
        <f>SUMIFS(tabela_registros[VALOR],tabela_registros[MÊS],$AE$1,tabela_registros[DIA],reservaoutrosconsolidadojun[[#Headers],[21]],tabela_registros[REGISTRO],DADOS!$N$6,tabela_registros[TIPO],DADOS!$AJ$5,tabela_registros[CATEGORIA],reservaoutrosconsolidadojun[[#This Row],[ATUAL]])</f>
        <v>0</v>
      </c>
      <c r="Z211" s="91">
        <f>SUMIFS(tabela_registros[VALOR],tabela_registros[MÊS],$AE$1,tabela_registros[DIA],reservaoutrosconsolidadojun[[#Headers],[22]],tabela_registros[REGISTRO],DADOS!$N$6,tabela_registros[TIPO],DADOS!$AJ$5,tabela_registros[CATEGORIA],reservaoutrosconsolidadojun[[#This Row],[ATUAL]])</f>
        <v>0</v>
      </c>
      <c r="AA211" s="91">
        <f>SUMIFS(tabela_registros[VALOR],tabela_registros[MÊS],$AE$1,tabela_registros[DIA],reservaoutrosconsolidadojun[[#Headers],[23]],tabela_registros[REGISTRO],DADOS!$N$6,tabela_registros[TIPO],DADOS!$AJ$5,tabela_registros[CATEGORIA],reservaoutrosconsolidadojun[[#This Row],[ATUAL]])</f>
        <v>0</v>
      </c>
      <c r="AB211" s="91">
        <f>SUMIFS(tabela_registros[VALOR],tabela_registros[MÊS],$AE$1,tabela_registros[DIA],reservaoutrosconsolidadojun[[#Headers],[24]],tabela_registros[REGISTRO],DADOS!$N$6,tabela_registros[TIPO],DADOS!$AJ$5,tabela_registros[CATEGORIA],reservaoutrosconsolidadojun[[#This Row],[ATUAL]])</f>
        <v>0</v>
      </c>
      <c r="AC211" s="91">
        <f>SUMIFS(tabela_registros[VALOR],tabela_registros[MÊS],$AE$1,tabela_registros[DIA],reservaoutrosconsolidadojun[[#Headers],[25]],tabela_registros[REGISTRO],DADOS!$N$6,tabela_registros[TIPO],DADOS!$AJ$5,tabela_registros[CATEGORIA],reservaoutrosconsolidadojun[[#This Row],[ATUAL]])</f>
        <v>0</v>
      </c>
      <c r="AD211" s="91">
        <f>SUMIFS(tabela_registros[VALOR],tabela_registros[MÊS],$AE$1,tabela_registros[DIA],reservaoutrosconsolidadojun[[#Headers],[26]],tabela_registros[REGISTRO],DADOS!$N$6,tabela_registros[TIPO],DADOS!$AJ$5,tabela_registros[CATEGORIA],reservaoutrosconsolidadojun[[#This Row],[ATUAL]])</f>
        <v>0</v>
      </c>
      <c r="AE211" s="91">
        <f>SUMIFS(tabela_registros[VALOR],tabela_registros[MÊS],$AE$1,tabela_registros[DIA],reservaoutrosconsolidadojun[[#Headers],[27]],tabela_registros[REGISTRO],DADOS!$N$6,tabela_registros[TIPO],DADOS!$AJ$5,tabela_registros[CATEGORIA],reservaoutrosconsolidadojun[[#This Row],[ATUAL]])</f>
        <v>0</v>
      </c>
      <c r="AF211" s="91">
        <f>SUMIFS(tabela_registros[VALOR],tabela_registros[MÊS],$AE$1,tabela_registros[DIA],reservaoutrosconsolidadojun[[#Headers],[28]],tabela_registros[REGISTRO],DADOS!$N$6,tabela_registros[TIPO],DADOS!$AJ$5,tabela_registros[CATEGORIA],reservaoutrosconsolidadojun[[#This Row],[ATUAL]])</f>
        <v>0</v>
      </c>
      <c r="AG211" s="91">
        <f>SUMIFS(tabela_registros[VALOR],tabela_registros[MÊS],$AE$1,tabela_registros[DIA],reservaoutrosconsolidadojun[[#Headers],[29]],tabela_registros[REGISTRO],DADOS!$N$6,tabela_registros[TIPO],DADOS!$AJ$5,tabela_registros[CATEGORIA],reservaoutrosconsolidadojun[[#This Row],[ATUAL]])</f>
        <v>0</v>
      </c>
      <c r="AH211" s="91">
        <f>SUMIFS(tabela_registros[VALOR],tabela_registros[MÊS],$AE$1,tabela_registros[DIA],reservaoutrosconsolidadojun[[#Headers],[30]],tabela_registros[REGISTRO],DADOS!$N$6,tabela_registros[TIPO],DADOS!$AJ$5,tabela_registros[CATEGORIA],reservaoutrosconsolidadojun[[#This Row],[ATUAL]])</f>
        <v>0</v>
      </c>
      <c r="AI211" s="101">
        <f>SUMIFS(tabela_registros[VALOR],tabela_registros[MÊS],$AE$1,tabela_registros[DIA],reservaoutrosconsolidadojun[[#Headers],[31]],tabela_registros[REGISTRO],DADOS!$N$6,tabela_registros[TIPO],DADOS!$AJ$5,tabela_registros[CATEGORIA],reservaoutrosconsolidadojun[[#This Row],[ATUAL]])</f>
        <v>0</v>
      </c>
      <c r="AJ211" s="97">
        <f>SUM(reservaoutrosconsolidadojun[[#This Row],[1]:[31]])</f>
        <v>0</v>
      </c>
      <c r="AK211" s="25"/>
    </row>
    <row r="212" spans="2:37" ht="19.5" customHeight="1" thickTop="1" thickBot="1" x14ac:dyDescent="0.3">
      <c r="B212" s="28"/>
      <c r="C212" s="27" t="str">
        <f>DADOS!$AP$9</f>
        <v>📝 PREVIDÊNCIA PRIVADA</v>
      </c>
      <c r="D212" s="26" t="str">
        <f>IF(reservaoutrosconsolidadojun[[#This Row],[TOTAL (R$)]]=0,"",IF(OR(reservaoutrosconsolidadojun[[#This Row],[TOTAL (R$)]]=LARGE($AJ$206:$AJ$213,1),reservaoutrosconsolidadojun[[#This Row],[TOTAL (R$)]]=LARGE($AJ$206:$AJ$213,2)),DADOS!$I$11,""))</f>
        <v/>
      </c>
      <c r="E212" s="96">
        <f>SUMIFS(tabela_registros[VALOR],tabela_registros[MÊS],$AE$1,tabela_registros[DIA],reservaoutrosconsolidadojun[[#Headers],[1]],tabela_registros[REGISTRO],DADOS!$N$6,tabela_registros[TIPO],DADOS!$AJ$5,tabela_registros[CATEGORIA],reservaoutrosconsolidadojun[[#This Row],[ATUAL]])</f>
        <v>0</v>
      </c>
      <c r="F212" s="91">
        <f>SUMIFS(tabela_registros[VALOR],tabela_registros[MÊS],$AE$1,tabela_registros[DIA],reservaoutrosconsolidadojun[[#Headers],[2]],tabela_registros[REGISTRO],DADOS!$N$6,tabela_registros[TIPO],DADOS!$AJ$5,tabela_registros[CATEGORIA],reservaoutrosconsolidadojun[[#This Row],[ATUAL]])</f>
        <v>0</v>
      </c>
      <c r="G212" s="91">
        <f>SUMIFS(tabela_registros[VALOR],tabela_registros[MÊS],$AE$1,tabela_registros[DIA],reservaoutrosconsolidadojun[[#Headers],[3]],tabela_registros[REGISTRO],DADOS!$N$6,tabela_registros[TIPO],DADOS!$AJ$5,tabela_registros[CATEGORIA],reservaoutrosconsolidadojun[[#This Row],[ATUAL]])</f>
        <v>0</v>
      </c>
      <c r="H212" s="91">
        <f>SUMIFS(tabela_registros[VALOR],tabela_registros[MÊS],$AE$1,tabela_registros[DIA],reservaoutrosconsolidadojun[[#Headers],[4]],tabela_registros[REGISTRO],DADOS!$N$6,tabela_registros[TIPO],DADOS!$AJ$5,tabela_registros[CATEGORIA],reservaoutrosconsolidadojun[[#This Row],[ATUAL]])</f>
        <v>0</v>
      </c>
      <c r="I212" s="91">
        <f>SUMIFS(tabela_registros[VALOR],tabela_registros[MÊS],$AE$1,tabela_registros[DIA],reservaoutrosconsolidadojun[[#Headers],[5]],tabela_registros[REGISTRO],DADOS!$N$6,tabela_registros[TIPO],DADOS!$AJ$5,tabela_registros[CATEGORIA],reservaoutrosconsolidadojun[[#This Row],[ATUAL]])</f>
        <v>0</v>
      </c>
      <c r="J212" s="91">
        <f>SUMIFS(tabela_registros[VALOR],tabela_registros[MÊS],$AE$1,tabela_registros[DIA],reservaoutrosconsolidadojun[[#Headers],[6]],tabela_registros[REGISTRO],DADOS!$N$6,tabela_registros[TIPO],DADOS!$AJ$5,tabela_registros[CATEGORIA],reservaoutrosconsolidadojun[[#This Row],[ATUAL]])</f>
        <v>0</v>
      </c>
      <c r="K212" s="91">
        <f>SUMIFS(tabela_registros[VALOR],tabela_registros[MÊS],$AE$1,tabela_registros[DIA],reservaoutrosconsolidadojun[[#Headers],[7]],tabela_registros[REGISTRO],DADOS!$N$6,tabela_registros[TIPO],DADOS!$AJ$5,tabela_registros[CATEGORIA],reservaoutrosconsolidadojun[[#This Row],[ATUAL]])</f>
        <v>0</v>
      </c>
      <c r="L212" s="91">
        <f>SUMIFS(tabela_registros[VALOR],tabela_registros[MÊS],$AE$1,tabela_registros[DIA],reservaoutrosconsolidadojun[[#Headers],[8]],tabela_registros[REGISTRO],DADOS!$N$6,tabela_registros[TIPO],DADOS!$AJ$5,tabela_registros[CATEGORIA],reservaoutrosconsolidadojun[[#This Row],[ATUAL]])</f>
        <v>0</v>
      </c>
      <c r="M212" s="91">
        <f>SUMIFS(tabela_registros[VALOR],tabela_registros[MÊS],$AE$1,tabela_registros[DIA],reservaoutrosconsolidadojun[[#Headers],[9]],tabela_registros[REGISTRO],DADOS!$N$6,tabela_registros[TIPO],DADOS!$AJ$5,tabela_registros[CATEGORIA],reservaoutrosconsolidadojun[[#This Row],[ATUAL]])</f>
        <v>0</v>
      </c>
      <c r="N212" s="91">
        <f>SUMIFS(tabela_registros[VALOR],tabela_registros[MÊS],$AE$1,tabela_registros[DIA],reservaoutrosconsolidadojun[[#Headers],[10]],tabela_registros[REGISTRO],DADOS!$N$6,tabela_registros[TIPO],DADOS!$AJ$5,tabela_registros[CATEGORIA],reservaoutrosconsolidadojun[[#This Row],[ATUAL]])</f>
        <v>0</v>
      </c>
      <c r="O212" s="91">
        <f>SUMIFS(tabela_registros[VALOR],tabela_registros[MÊS],$AE$1,tabela_registros[DIA],reservaoutrosconsolidadojun[[#Headers],[11]],tabela_registros[REGISTRO],DADOS!$N$6,tabela_registros[TIPO],DADOS!$AJ$5,tabela_registros[CATEGORIA],reservaoutrosconsolidadojun[[#This Row],[ATUAL]])</f>
        <v>0</v>
      </c>
      <c r="P212" s="91">
        <f>SUMIFS(tabela_registros[VALOR],tabela_registros[MÊS],$AE$1,tabela_registros[DIA],reservaoutrosconsolidadojun[[#Headers],[12]],tabela_registros[REGISTRO],DADOS!$N$6,tabela_registros[TIPO],DADOS!$AJ$5,tabela_registros[CATEGORIA],reservaoutrosconsolidadojun[[#This Row],[ATUAL]])</f>
        <v>0</v>
      </c>
      <c r="Q212" s="91">
        <f>SUMIFS(tabela_registros[VALOR],tabela_registros[MÊS],$AE$1,tabela_registros[DIA],reservaoutrosconsolidadojun[[#Headers],[13]],tabela_registros[REGISTRO],DADOS!$N$6,tabela_registros[TIPO],DADOS!$AJ$5,tabela_registros[CATEGORIA],reservaoutrosconsolidadojun[[#This Row],[ATUAL]])</f>
        <v>0</v>
      </c>
      <c r="R212" s="91">
        <f>SUMIFS(tabela_registros[VALOR],tabela_registros[MÊS],$AE$1,tabela_registros[DIA],reservaoutrosconsolidadojun[[#Headers],[14]],tabela_registros[REGISTRO],DADOS!$N$6,tabela_registros[TIPO],DADOS!$AJ$5,tabela_registros[CATEGORIA],reservaoutrosconsolidadojun[[#This Row],[ATUAL]])</f>
        <v>0</v>
      </c>
      <c r="S212" s="91">
        <f>SUMIFS(tabela_registros[VALOR],tabela_registros[MÊS],$AE$1,tabela_registros[DIA],reservaoutrosconsolidadojun[[#Headers],[15]],tabela_registros[REGISTRO],DADOS!$N$6,tabela_registros[TIPO],DADOS!$AJ$5,tabela_registros[CATEGORIA],reservaoutrosconsolidadojun[[#This Row],[ATUAL]])</f>
        <v>0</v>
      </c>
      <c r="T212" s="91">
        <f>SUMIFS(tabela_registros[VALOR],tabela_registros[MÊS],$AE$1,tabela_registros[DIA],reservaoutrosconsolidadojun[[#Headers],[16]],tabela_registros[REGISTRO],DADOS!$N$6,tabela_registros[TIPO],DADOS!$AJ$5,tabela_registros[CATEGORIA],reservaoutrosconsolidadojun[[#This Row],[ATUAL]])</f>
        <v>0</v>
      </c>
      <c r="U212" s="91">
        <f>SUMIFS(tabela_registros[VALOR],tabela_registros[MÊS],$AE$1,tabela_registros[DIA],reservaoutrosconsolidadojun[[#Headers],[17]],tabela_registros[REGISTRO],DADOS!$N$6,tabela_registros[TIPO],DADOS!$AJ$5,tabela_registros[CATEGORIA],reservaoutrosconsolidadojun[[#This Row],[ATUAL]])</f>
        <v>0</v>
      </c>
      <c r="V212" s="91">
        <f>SUMIFS(tabela_registros[VALOR],tabela_registros[MÊS],$AE$1,tabela_registros[DIA],reservaoutrosconsolidadojun[[#Headers],[18]],tabela_registros[REGISTRO],DADOS!$N$6,tabela_registros[TIPO],DADOS!$AJ$5,tabela_registros[CATEGORIA],reservaoutrosconsolidadojun[[#This Row],[ATUAL]])</f>
        <v>0</v>
      </c>
      <c r="W212" s="91">
        <f>SUMIFS(tabela_registros[VALOR],tabela_registros[MÊS],$AE$1,tabela_registros[DIA],reservaoutrosconsolidadojun[[#Headers],[19]],tabela_registros[REGISTRO],DADOS!$N$6,tabela_registros[TIPO],DADOS!$AJ$5,tabela_registros[CATEGORIA],reservaoutrosconsolidadojun[[#This Row],[ATUAL]])</f>
        <v>0</v>
      </c>
      <c r="X212" s="91">
        <f>SUMIFS(tabela_registros[VALOR],tabela_registros[MÊS],$AE$1,tabela_registros[DIA],reservaoutrosconsolidadojun[[#Headers],[20]],tabela_registros[REGISTRO],DADOS!$N$6,tabela_registros[TIPO],DADOS!$AJ$5,tabela_registros[CATEGORIA],reservaoutrosconsolidadojun[[#This Row],[ATUAL]])</f>
        <v>0</v>
      </c>
      <c r="Y212" s="91">
        <f>SUMIFS(tabela_registros[VALOR],tabela_registros[MÊS],$AE$1,tabela_registros[DIA],reservaoutrosconsolidadojun[[#Headers],[21]],tabela_registros[REGISTRO],DADOS!$N$6,tabela_registros[TIPO],DADOS!$AJ$5,tabela_registros[CATEGORIA],reservaoutrosconsolidadojun[[#This Row],[ATUAL]])</f>
        <v>0</v>
      </c>
      <c r="Z212" s="91">
        <f>SUMIFS(tabela_registros[VALOR],tabela_registros[MÊS],$AE$1,tabela_registros[DIA],reservaoutrosconsolidadojun[[#Headers],[22]],tabela_registros[REGISTRO],DADOS!$N$6,tabela_registros[TIPO],DADOS!$AJ$5,tabela_registros[CATEGORIA],reservaoutrosconsolidadojun[[#This Row],[ATUAL]])</f>
        <v>0</v>
      </c>
      <c r="AA212" s="91">
        <f>SUMIFS(tabela_registros[VALOR],tabela_registros[MÊS],$AE$1,tabela_registros[DIA],reservaoutrosconsolidadojun[[#Headers],[23]],tabela_registros[REGISTRO],DADOS!$N$6,tabela_registros[TIPO],DADOS!$AJ$5,tabela_registros[CATEGORIA],reservaoutrosconsolidadojun[[#This Row],[ATUAL]])</f>
        <v>0</v>
      </c>
      <c r="AB212" s="91">
        <f>SUMIFS(tabela_registros[VALOR],tabela_registros[MÊS],$AE$1,tabela_registros[DIA],reservaoutrosconsolidadojun[[#Headers],[24]],tabela_registros[REGISTRO],DADOS!$N$6,tabela_registros[TIPO],DADOS!$AJ$5,tabela_registros[CATEGORIA],reservaoutrosconsolidadojun[[#This Row],[ATUAL]])</f>
        <v>0</v>
      </c>
      <c r="AC212" s="91">
        <f>SUMIFS(tabela_registros[VALOR],tabela_registros[MÊS],$AE$1,tabela_registros[DIA],reservaoutrosconsolidadojun[[#Headers],[25]],tabela_registros[REGISTRO],DADOS!$N$6,tabela_registros[TIPO],DADOS!$AJ$5,tabela_registros[CATEGORIA],reservaoutrosconsolidadojun[[#This Row],[ATUAL]])</f>
        <v>0</v>
      </c>
      <c r="AD212" s="91">
        <f>SUMIFS(tabela_registros[VALOR],tabela_registros[MÊS],$AE$1,tabela_registros[DIA],reservaoutrosconsolidadojun[[#Headers],[26]],tabela_registros[REGISTRO],DADOS!$N$6,tabela_registros[TIPO],DADOS!$AJ$5,tabela_registros[CATEGORIA],reservaoutrosconsolidadojun[[#This Row],[ATUAL]])</f>
        <v>0</v>
      </c>
      <c r="AE212" s="91">
        <f>SUMIFS(tabela_registros[VALOR],tabela_registros[MÊS],$AE$1,tabela_registros[DIA],reservaoutrosconsolidadojun[[#Headers],[27]],tabela_registros[REGISTRO],DADOS!$N$6,tabela_registros[TIPO],DADOS!$AJ$5,tabela_registros[CATEGORIA],reservaoutrosconsolidadojun[[#This Row],[ATUAL]])</f>
        <v>0</v>
      </c>
      <c r="AF212" s="91">
        <f>SUMIFS(tabela_registros[VALOR],tabela_registros[MÊS],$AE$1,tabela_registros[DIA],reservaoutrosconsolidadojun[[#Headers],[28]],tabela_registros[REGISTRO],DADOS!$N$6,tabela_registros[TIPO],DADOS!$AJ$5,tabela_registros[CATEGORIA],reservaoutrosconsolidadojun[[#This Row],[ATUAL]])</f>
        <v>0</v>
      </c>
      <c r="AG212" s="91">
        <f>SUMIFS(tabela_registros[VALOR],tabela_registros[MÊS],$AE$1,tabela_registros[DIA],reservaoutrosconsolidadojun[[#Headers],[29]],tabela_registros[REGISTRO],DADOS!$N$6,tabela_registros[TIPO],DADOS!$AJ$5,tabela_registros[CATEGORIA],reservaoutrosconsolidadojun[[#This Row],[ATUAL]])</f>
        <v>0</v>
      </c>
      <c r="AH212" s="91">
        <f>SUMIFS(tabela_registros[VALOR],tabela_registros[MÊS],$AE$1,tabela_registros[DIA],reservaoutrosconsolidadojun[[#Headers],[30]],tabela_registros[REGISTRO],DADOS!$N$6,tabela_registros[TIPO],DADOS!$AJ$5,tabela_registros[CATEGORIA],reservaoutrosconsolidadojun[[#This Row],[ATUAL]])</f>
        <v>0</v>
      </c>
      <c r="AI212" s="101">
        <f>SUMIFS(tabela_registros[VALOR],tabela_registros[MÊS],$AE$1,tabela_registros[DIA],reservaoutrosconsolidadojun[[#Headers],[31]],tabela_registros[REGISTRO],DADOS!$N$6,tabela_registros[TIPO],DADOS!$AJ$5,tabela_registros[CATEGORIA],reservaoutrosconsolidadojun[[#This Row],[ATUAL]])</f>
        <v>0</v>
      </c>
      <c r="AJ212" s="97">
        <f>SUM(reservaoutrosconsolidadojun[[#This Row],[1]:[31]])</f>
        <v>0</v>
      </c>
      <c r="AK212" s="25"/>
    </row>
    <row r="213" spans="2:37" ht="19.5" customHeight="1" thickTop="1" thickBot="1" x14ac:dyDescent="0.3">
      <c r="B213" s="28"/>
      <c r="C213" s="27" t="str">
        <f>DADOS!$AP$10</f>
        <v>📎 OUTROS</v>
      </c>
      <c r="D213" s="26" t="str">
        <f>IF(reservaoutrosconsolidadojun[[#This Row],[TOTAL (R$)]]=0,"",IF(OR(reservaoutrosconsolidadojun[[#This Row],[TOTAL (R$)]]=LARGE($AJ$206:$AJ$213,1),reservaoutrosconsolidadojun[[#This Row],[TOTAL (R$)]]=LARGE($AJ$206:$AJ$213,2)),DADOS!$I$11,""))</f>
        <v/>
      </c>
      <c r="E213" s="96">
        <f>SUMIFS(tabela_registros[VALOR],tabela_registros[MÊS],$AE$1,tabela_registros[DIA],reservaoutrosconsolidadojun[[#Headers],[1]],tabela_registros[REGISTRO],DADOS!$N$6,tabela_registros[TIPO],DADOS!$AJ$5,tabela_registros[CATEGORIA],reservaoutrosconsolidadojun[[#This Row],[ATUAL]])</f>
        <v>0</v>
      </c>
      <c r="F213" s="91">
        <f>SUMIFS(tabela_registros[VALOR],tabela_registros[MÊS],$AE$1,tabela_registros[DIA],reservaoutrosconsolidadojun[[#Headers],[2]],tabela_registros[REGISTRO],DADOS!$N$6,tabela_registros[TIPO],DADOS!$AJ$5,tabela_registros[CATEGORIA],reservaoutrosconsolidadojun[[#This Row],[ATUAL]])</f>
        <v>0</v>
      </c>
      <c r="G213" s="91">
        <f>SUMIFS(tabela_registros[VALOR],tabela_registros[MÊS],$AE$1,tabela_registros[DIA],reservaoutrosconsolidadojun[[#Headers],[3]],tabela_registros[REGISTRO],DADOS!$N$6,tabela_registros[TIPO],DADOS!$AJ$5,tabela_registros[CATEGORIA],reservaoutrosconsolidadojun[[#This Row],[ATUAL]])</f>
        <v>0</v>
      </c>
      <c r="H213" s="91">
        <f>SUMIFS(tabela_registros[VALOR],tabela_registros[MÊS],$AE$1,tabela_registros[DIA],reservaoutrosconsolidadojun[[#Headers],[4]],tabela_registros[REGISTRO],DADOS!$N$6,tabela_registros[TIPO],DADOS!$AJ$5,tabela_registros[CATEGORIA],reservaoutrosconsolidadojun[[#This Row],[ATUAL]])</f>
        <v>0</v>
      </c>
      <c r="I213" s="91">
        <f>SUMIFS(tabela_registros[VALOR],tabela_registros[MÊS],$AE$1,tabela_registros[DIA],reservaoutrosconsolidadojun[[#Headers],[5]],tabela_registros[REGISTRO],DADOS!$N$6,tabela_registros[TIPO],DADOS!$AJ$5,tabela_registros[CATEGORIA],reservaoutrosconsolidadojun[[#This Row],[ATUAL]])</f>
        <v>0</v>
      </c>
      <c r="J213" s="91">
        <f>SUMIFS(tabela_registros[VALOR],tabela_registros[MÊS],$AE$1,tabela_registros[DIA],reservaoutrosconsolidadojun[[#Headers],[6]],tabela_registros[REGISTRO],DADOS!$N$6,tabela_registros[TIPO],DADOS!$AJ$5,tabela_registros[CATEGORIA],reservaoutrosconsolidadojun[[#This Row],[ATUAL]])</f>
        <v>0</v>
      </c>
      <c r="K213" s="91">
        <f>SUMIFS(tabela_registros[VALOR],tabela_registros[MÊS],$AE$1,tabela_registros[DIA],reservaoutrosconsolidadojun[[#Headers],[7]],tabela_registros[REGISTRO],DADOS!$N$6,tabela_registros[TIPO],DADOS!$AJ$5,tabela_registros[CATEGORIA],reservaoutrosconsolidadojun[[#This Row],[ATUAL]])</f>
        <v>0</v>
      </c>
      <c r="L213" s="91">
        <f>SUMIFS(tabela_registros[VALOR],tabela_registros[MÊS],$AE$1,tabela_registros[DIA],reservaoutrosconsolidadojun[[#Headers],[8]],tabela_registros[REGISTRO],DADOS!$N$6,tabela_registros[TIPO],DADOS!$AJ$5,tabela_registros[CATEGORIA],reservaoutrosconsolidadojun[[#This Row],[ATUAL]])</f>
        <v>0</v>
      </c>
      <c r="M213" s="91">
        <f>SUMIFS(tabela_registros[VALOR],tabela_registros[MÊS],$AE$1,tabela_registros[DIA],reservaoutrosconsolidadojun[[#Headers],[9]],tabela_registros[REGISTRO],DADOS!$N$6,tabela_registros[TIPO],DADOS!$AJ$5,tabela_registros[CATEGORIA],reservaoutrosconsolidadojun[[#This Row],[ATUAL]])</f>
        <v>0</v>
      </c>
      <c r="N213" s="91">
        <f>SUMIFS(tabela_registros[VALOR],tabela_registros[MÊS],$AE$1,tabela_registros[DIA],reservaoutrosconsolidadojun[[#Headers],[10]],tabela_registros[REGISTRO],DADOS!$N$6,tabela_registros[TIPO],DADOS!$AJ$5,tabela_registros[CATEGORIA],reservaoutrosconsolidadojun[[#This Row],[ATUAL]])</f>
        <v>0</v>
      </c>
      <c r="O213" s="91">
        <f>SUMIFS(tabela_registros[VALOR],tabela_registros[MÊS],$AE$1,tabela_registros[DIA],reservaoutrosconsolidadojun[[#Headers],[11]],tabela_registros[REGISTRO],DADOS!$N$6,tabela_registros[TIPO],DADOS!$AJ$5,tabela_registros[CATEGORIA],reservaoutrosconsolidadojun[[#This Row],[ATUAL]])</f>
        <v>0</v>
      </c>
      <c r="P213" s="91">
        <f>SUMIFS(tabela_registros[VALOR],tabela_registros[MÊS],$AE$1,tabela_registros[DIA],reservaoutrosconsolidadojun[[#Headers],[12]],tabela_registros[REGISTRO],DADOS!$N$6,tabela_registros[TIPO],DADOS!$AJ$5,tabela_registros[CATEGORIA],reservaoutrosconsolidadojun[[#This Row],[ATUAL]])</f>
        <v>0</v>
      </c>
      <c r="Q213" s="91">
        <f>SUMIFS(tabela_registros[VALOR],tabela_registros[MÊS],$AE$1,tabela_registros[DIA],reservaoutrosconsolidadojun[[#Headers],[13]],tabela_registros[REGISTRO],DADOS!$N$6,tabela_registros[TIPO],DADOS!$AJ$5,tabela_registros[CATEGORIA],reservaoutrosconsolidadojun[[#This Row],[ATUAL]])</f>
        <v>0</v>
      </c>
      <c r="R213" s="91">
        <f>SUMIFS(tabela_registros[VALOR],tabela_registros[MÊS],$AE$1,tabela_registros[DIA],reservaoutrosconsolidadojun[[#Headers],[14]],tabela_registros[REGISTRO],DADOS!$N$6,tabela_registros[TIPO],DADOS!$AJ$5,tabela_registros[CATEGORIA],reservaoutrosconsolidadojun[[#This Row],[ATUAL]])</f>
        <v>0</v>
      </c>
      <c r="S213" s="91">
        <f>SUMIFS(tabela_registros[VALOR],tabela_registros[MÊS],$AE$1,tabela_registros[DIA],reservaoutrosconsolidadojun[[#Headers],[15]],tabela_registros[REGISTRO],DADOS!$N$6,tabela_registros[TIPO],DADOS!$AJ$5,tabela_registros[CATEGORIA],reservaoutrosconsolidadojun[[#This Row],[ATUAL]])</f>
        <v>0</v>
      </c>
      <c r="T213" s="91">
        <f>SUMIFS(tabela_registros[VALOR],tabela_registros[MÊS],$AE$1,tabela_registros[DIA],reservaoutrosconsolidadojun[[#Headers],[16]],tabela_registros[REGISTRO],DADOS!$N$6,tabela_registros[TIPO],DADOS!$AJ$5,tabela_registros[CATEGORIA],reservaoutrosconsolidadojun[[#This Row],[ATUAL]])</f>
        <v>0</v>
      </c>
      <c r="U213" s="91">
        <f>SUMIFS(tabela_registros[VALOR],tabela_registros[MÊS],$AE$1,tabela_registros[DIA],reservaoutrosconsolidadojun[[#Headers],[17]],tabela_registros[REGISTRO],DADOS!$N$6,tabela_registros[TIPO],DADOS!$AJ$5,tabela_registros[CATEGORIA],reservaoutrosconsolidadojun[[#This Row],[ATUAL]])</f>
        <v>0</v>
      </c>
      <c r="V213" s="91">
        <f>SUMIFS(tabela_registros[VALOR],tabela_registros[MÊS],$AE$1,tabela_registros[DIA],reservaoutrosconsolidadojun[[#Headers],[18]],tabela_registros[REGISTRO],DADOS!$N$6,tabela_registros[TIPO],DADOS!$AJ$5,tabela_registros[CATEGORIA],reservaoutrosconsolidadojun[[#This Row],[ATUAL]])</f>
        <v>0</v>
      </c>
      <c r="W213" s="91">
        <f>SUMIFS(tabela_registros[VALOR],tabela_registros[MÊS],$AE$1,tabela_registros[DIA],reservaoutrosconsolidadojun[[#Headers],[19]],tabela_registros[REGISTRO],DADOS!$N$6,tabela_registros[TIPO],DADOS!$AJ$5,tabela_registros[CATEGORIA],reservaoutrosconsolidadojun[[#This Row],[ATUAL]])</f>
        <v>0</v>
      </c>
      <c r="X213" s="91">
        <f>SUMIFS(tabela_registros[VALOR],tabela_registros[MÊS],$AE$1,tabela_registros[DIA],reservaoutrosconsolidadojun[[#Headers],[20]],tabela_registros[REGISTRO],DADOS!$N$6,tabela_registros[TIPO],DADOS!$AJ$5,tabela_registros[CATEGORIA],reservaoutrosconsolidadojun[[#This Row],[ATUAL]])</f>
        <v>0</v>
      </c>
      <c r="Y213" s="91">
        <f>SUMIFS(tabela_registros[VALOR],tabela_registros[MÊS],$AE$1,tabela_registros[DIA],reservaoutrosconsolidadojun[[#Headers],[21]],tabela_registros[REGISTRO],DADOS!$N$6,tabela_registros[TIPO],DADOS!$AJ$5,tabela_registros[CATEGORIA],reservaoutrosconsolidadojun[[#This Row],[ATUAL]])</f>
        <v>0</v>
      </c>
      <c r="Z213" s="91">
        <f>SUMIFS(tabela_registros[VALOR],tabela_registros[MÊS],$AE$1,tabela_registros[DIA],reservaoutrosconsolidadojun[[#Headers],[22]],tabela_registros[REGISTRO],DADOS!$N$6,tabela_registros[TIPO],DADOS!$AJ$5,tabela_registros[CATEGORIA],reservaoutrosconsolidadojun[[#This Row],[ATUAL]])</f>
        <v>0</v>
      </c>
      <c r="AA213" s="91">
        <f>SUMIFS(tabela_registros[VALOR],tabela_registros[MÊS],$AE$1,tabela_registros[DIA],reservaoutrosconsolidadojun[[#Headers],[23]],tabela_registros[REGISTRO],DADOS!$N$6,tabela_registros[TIPO],DADOS!$AJ$5,tabela_registros[CATEGORIA],reservaoutrosconsolidadojun[[#This Row],[ATUAL]])</f>
        <v>0</v>
      </c>
      <c r="AB213" s="91">
        <f>SUMIFS(tabela_registros[VALOR],tabela_registros[MÊS],$AE$1,tabela_registros[DIA],reservaoutrosconsolidadojun[[#Headers],[24]],tabela_registros[REGISTRO],DADOS!$N$6,tabela_registros[TIPO],DADOS!$AJ$5,tabela_registros[CATEGORIA],reservaoutrosconsolidadojun[[#This Row],[ATUAL]])</f>
        <v>0</v>
      </c>
      <c r="AC213" s="91">
        <f>SUMIFS(tabela_registros[VALOR],tabela_registros[MÊS],$AE$1,tabela_registros[DIA],reservaoutrosconsolidadojun[[#Headers],[25]],tabela_registros[REGISTRO],DADOS!$N$6,tabela_registros[TIPO],DADOS!$AJ$5,tabela_registros[CATEGORIA],reservaoutrosconsolidadojun[[#This Row],[ATUAL]])</f>
        <v>0</v>
      </c>
      <c r="AD213" s="91">
        <f>SUMIFS(tabela_registros[VALOR],tabela_registros[MÊS],$AE$1,tabela_registros[DIA],reservaoutrosconsolidadojun[[#Headers],[26]],tabela_registros[REGISTRO],DADOS!$N$6,tabela_registros[TIPO],DADOS!$AJ$5,tabela_registros[CATEGORIA],reservaoutrosconsolidadojun[[#This Row],[ATUAL]])</f>
        <v>0</v>
      </c>
      <c r="AE213" s="91">
        <f>SUMIFS(tabela_registros[VALOR],tabela_registros[MÊS],$AE$1,tabela_registros[DIA],reservaoutrosconsolidadojun[[#Headers],[27]],tabela_registros[REGISTRO],DADOS!$N$6,tabela_registros[TIPO],DADOS!$AJ$5,tabela_registros[CATEGORIA],reservaoutrosconsolidadojun[[#This Row],[ATUAL]])</f>
        <v>0</v>
      </c>
      <c r="AF213" s="91">
        <f>SUMIFS(tabela_registros[VALOR],tabela_registros[MÊS],$AE$1,tabela_registros[DIA],reservaoutrosconsolidadojun[[#Headers],[28]],tabela_registros[REGISTRO],DADOS!$N$6,tabela_registros[TIPO],DADOS!$AJ$5,tabela_registros[CATEGORIA],reservaoutrosconsolidadojun[[#This Row],[ATUAL]])</f>
        <v>0</v>
      </c>
      <c r="AG213" s="91">
        <f>SUMIFS(tabela_registros[VALOR],tabela_registros[MÊS],$AE$1,tabela_registros[DIA],reservaoutrosconsolidadojun[[#Headers],[29]],tabela_registros[REGISTRO],DADOS!$N$6,tabela_registros[TIPO],DADOS!$AJ$5,tabela_registros[CATEGORIA],reservaoutrosconsolidadojun[[#This Row],[ATUAL]])</f>
        <v>0</v>
      </c>
      <c r="AH213" s="91">
        <f>SUMIFS(tabela_registros[VALOR],tabela_registros[MÊS],$AE$1,tabela_registros[DIA],reservaoutrosconsolidadojun[[#Headers],[30]],tabela_registros[REGISTRO],DADOS!$N$6,tabela_registros[TIPO],DADOS!$AJ$5,tabela_registros[CATEGORIA],reservaoutrosconsolidadojun[[#This Row],[ATUAL]])</f>
        <v>0</v>
      </c>
      <c r="AI213" s="102">
        <f>SUMIFS(tabela_registros[VALOR],tabela_registros[MÊS],$AE$1,tabela_registros[DIA],reservaoutrosconsolidadojun[[#Headers],[31]],tabela_registros[REGISTRO],DADOS!$N$6,tabela_registros[TIPO],DADOS!$AJ$5,tabela_registros[CATEGORIA],reservaoutrosconsolidadojun[[#This Row],[ATUAL]])</f>
        <v>0</v>
      </c>
      <c r="AJ213" s="97">
        <f>SUM(reservaoutrosconsolidadojun[[#This Row],[1]:[31]])</f>
        <v>0</v>
      </c>
      <c r="AK213" s="25"/>
    </row>
    <row r="214" spans="2:37" s="16" customFormat="1" ht="21" customHeight="1" thickTop="1" thickBot="1" x14ac:dyDescent="0.35">
      <c r="B214" s="24"/>
      <c r="C214" s="23" t="s">
        <v>19</v>
      </c>
      <c r="D214" s="22"/>
      <c r="E214" s="21">
        <f>SUM(E206:E213)</f>
        <v>0</v>
      </c>
      <c r="F214" s="20">
        <f>SUM(F206:F213)+reservaoutrosconsolidadojun[[#This Row],[1]]</f>
        <v>0</v>
      </c>
      <c r="G214" s="20">
        <f>SUM(G206:G213)+reservaoutrosconsolidadojun[[#This Row],[2]]</f>
        <v>0</v>
      </c>
      <c r="H214" s="20">
        <f>SUM(H206:H213)+reservaoutrosconsolidadojun[[#This Row],[3]]</f>
        <v>0</v>
      </c>
      <c r="I214" s="20">
        <f>SUM(I206:I213)+reservaoutrosconsolidadojun[[#This Row],[4]]</f>
        <v>0</v>
      </c>
      <c r="J214" s="20">
        <f>SUM(J206:J213)+reservaoutrosconsolidadojun[[#This Row],[5]]</f>
        <v>0</v>
      </c>
      <c r="K214" s="20">
        <f>SUM(K206:K213)+reservaoutrosconsolidadojun[[#This Row],[6]]</f>
        <v>0</v>
      </c>
      <c r="L214" s="20">
        <f>SUM(L206:L213)+reservaoutrosconsolidadojun[[#This Row],[7]]</f>
        <v>0</v>
      </c>
      <c r="M214" s="20">
        <f>SUM(M206:M213)+reservaoutrosconsolidadojun[[#This Row],[8]]</f>
        <v>0</v>
      </c>
      <c r="N214" s="20">
        <f>SUM(N206:N213)+reservaoutrosconsolidadojun[[#This Row],[9]]</f>
        <v>0</v>
      </c>
      <c r="O214" s="20">
        <f>SUM(O206:O213)+reservaoutrosconsolidadojun[[#This Row],[10]]</f>
        <v>0</v>
      </c>
      <c r="P214" s="20">
        <f>SUM(P206:P213)+reservaoutrosconsolidadojun[[#This Row],[11]]</f>
        <v>0</v>
      </c>
      <c r="Q214" s="20">
        <f>SUM(Q206:Q213)+reservaoutrosconsolidadojun[[#This Row],[12]]</f>
        <v>0</v>
      </c>
      <c r="R214" s="20">
        <f>SUM(R206:R213)+reservaoutrosconsolidadojun[[#This Row],[13]]</f>
        <v>0</v>
      </c>
      <c r="S214" s="20">
        <f>SUM(S206:S213)+reservaoutrosconsolidadojun[[#This Row],[14]]</f>
        <v>0</v>
      </c>
      <c r="T214" s="20">
        <f>SUM(T206:T213)+reservaoutrosconsolidadojun[[#This Row],[15]]</f>
        <v>0</v>
      </c>
      <c r="U214" s="20">
        <f>SUM(U206:U213)+reservaoutrosconsolidadojun[[#This Row],[16]]</f>
        <v>0</v>
      </c>
      <c r="V214" s="20">
        <f>SUM(V206:V213)+reservaoutrosconsolidadojun[[#This Row],[17]]</f>
        <v>0</v>
      </c>
      <c r="W214" s="20">
        <f>SUM(W206:W213)+reservaoutrosconsolidadojun[[#This Row],[18]]</f>
        <v>0</v>
      </c>
      <c r="X214" s="20">
        <f>SUM(X206:X213)+reservaoutrosconsolidadojun[[#This Row],[19]]</f>
        <v>0</v>
      </c>
      <c r="Y214" s="20">
        <f>SUM(Y206:Y213)+reservaoutrosconsolidadojun[[#This Row],[20]]</f>
        <v>0</v>
      </c>
      <c r="Z214" s="20">
        <f>SUM(Z206:Z213)+reservaoutrosconsolidadojun[[#This Row],[21]]</f>
        <v>0</v>
      </c>
      <c r="AA214" s="20">
        <f>SUM(AA206:AA213)+reservaoutrosconsolidadojun[[#This Row],[22]]</f>
        <v>0</v>
      </c>
      <c r="AB214" s="20">
        <f>SUM(AB206:AB213)+reservaoutrosconsolidadojun[[#This Row],[23]]</f>
        <v>0</v>
      </c>
      <c r="AC214" s="20">
        <f>SUM(AC206:AC213)+reservaoutrosconsolidadojun[[#This Row],[24]]</f>
        <v>0</v>
      </c>
      <c r="AD214" s="20">
        <f>SUM(AD206:AD213)+reservaoutrosconsolidadojun[[#This Row],[25]]</f>
        <v>0</v>
      </c>
      <c r="AE214" s="20">
        <f>SUM(AE206:AE213)+reservaoutrosconsolidadojun[[#This Row],[26]]</f>
        <v>0</v>
      </c>
      <c r="AF214" s="20">
        <f>SUM(AF206:AF213)+reservaoutrosconsolidadojun[[#This Row],[27]]</f>
        <v>0</v>
      </c>
      <c r="AG214" s="20">
        <f>SUM(AG206:AG213)+reservaoutrosconsolidadojun[[#This Row],[28]]</f>
        <v>0</v>
      </c>
      <c r="AH214" s="20">
        <f>SUM(AH206:AH213)+reservaoutrosconsolidadojun[[#This Row],[29]]</f>
        <v>0</v>
      </c>
      <c r="AI214" s="19">
        <f>SUM(AI206:AI213)+reservaoutrosconsolidadojun[[#This Row],[30]]</f>
        <v>0</v>
      </c>
      <c r="AJ214" s="18">
        <f>reservaoutrosconsolidadojun[[#This Row],[31]]</f>
        <v>0</v>
      </c>
      <c r="AK214" s="17"/>
    </row>
    <row r="215" spans="2:37" ht="6.75" customHeight="1" thickTop="1" thickBot="1" x14ac:dyDescent="0.3">
      <c r="B215" s="15"/>
      <c r="C215" s="14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3"/>
      <c r="AE215" s="13"/>
      <c r="AF215" s="13"/>
      <c r="AG215" s="13"/>
      <c r="AH215" s="13"/>
      <c r="AI215" s="12"/>
      <c r="AJ215" s="11"/>
      <c r="AK215" s="10"/>
    </row>
    <row r="216" spans="2:37" ht="12.6" thickTop="1" x14ac:dyDescent="0.25"/>
    <row r="217" spans="2:37" x14ac:dyDescent="0.25"/>
  </sheetData>
  <sheetProtection algorithmName="SHA-512" hashValue="r8Z8KY/bS2TTNqxuOc5t76Mi2dfvBhe2ajC9v0zAs5i04dAp1GjABKRFk+LIIceAr/f/Z6ilra8uZ8/s8UekcQ==" saltValue="7mWD+enkFuty/hsEM4RoQQ==" spinCount="100000" sheet="1" objects="1" scenarios="1" selectLockedCells="1" selectUnlockedCells="1"/>
  <mergeCells count="26">
    <mergeCell ref="E164:AI164"/>
    <mergeCell ref="E183:AI183"/>
    <mergeCell ref="E202:AI202"/>
    <mergeCell ref="E10:AI10"/>
    <mergeCell ref="E21:AI21"/>
    <mergeCell ref="E33:AI33"/>
    <mergeCell ref="E56:AI56"/>
    <mergeCell ref="E78:AI78"/>
    <mergeCell ref="E92:AI92"/>
    <mergeCell ref="E109:AI109"/>
    <mergeCell ref="E128:AI128"/>
    <mergeCell ref="E147:AI147"/>
    <mergeCell ref="AC3:AD4"/>
    <mergeCell ref="AF3:AG4"/>
    <mergeCell ref="E4:G4"/>
    <mergeCell ref="I4:K4"/>
    <mergeCell ref="M4:O4"/>
    <mergeCell ref="Q4:S4"/>
    <mergeCell ref="U4:W4"/>
    <mergeCell ref="U3:W3"/>
    <mergeCell ref="Z3:AA4"/>
    <mergeCell ref="C2:C6"/>
    <mergeCell ref="E3:G3"/>
    <mergeCell ref="I3:K3"/>
    <mergeCell ref="M3:O3"/>
    <mergeCell ref="Q3:S3"/>
  </mergeCells>
  <hyperlinks>
    <hyperlink ref="Z3:AA4" location="'🔒'!A1" display="REGISTROS" xr:uid="{2084AE61-9D5E-4B09-8AA3-2336DB5DD4A3}"/>
    <hyperlink ref="AF3:AG4" location="ANUAL!A1" display="ANUAL" xr:uid="{24404790-000D-4826-9639-059D1143B0EF}"/>
    <hyperlink ref="AC3:AD4" location="'📈'!A1" display="RADAR" xr:uid="{C9134B66-A343-4871-80A8-35495C23045C}"/>
  </hyperlinks>
  <pageMargins left="0.511811024" right="0.511811024" top="0.78740157499999996" bottom="0.78740157499999996" header="0.31496062000000002" footer="0.31496062000000002"/>
  <ignoredErrors>
    <ignoredError sqref="E6:AH6" numberStoredAsText="1"/>
    <ignoredError sqref="AJ16:AJ27 D37:AJ214" calculatedColumn="1"/>
  </ignoredErrors>
  <drawing r:id="rId1"/>
  <tableParts count="12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</tableParts>
  <extLst>
    <ext xmlns:x14="http://schemas.microsoft.com/office/spreadsheetml/2009/9/main" uri="{05C60535-1F16-4fd2-B633-F4F36F0B64E0}">
      <x14:sparklineGroups xmlns:xm="http://schemas.microsoft.com/office/excel/2006/main">
        <x14:sparklineGroup manualMax="0" type="column" displayEmptyCellsAs="gap" high="1" negative="1" maxAxisType="group" xr2:uid="{8DBA1BF7-FCF7-4372-9907-702095D444E1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'6'!E16:AI16</xm:f>
              <xm:sqref>E10</xm:sqref>
            </x14:sparkline>
          </x14:sparklines>
        </x14:sparklineGroup>
        <x14:sparklineGroup manualMax="0" manualMin="0" type="column" displayEmptyCellsAs="gap" high="1" low="1" negative="1" minAxisType="custom" maxAxisType="group" xr2:uid="{CE8334A5-FA51-4067-A683-36E49580BFA9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'6'!E214:AI214</xm:f>
              <xm:sqref>E202</xm:sqref>
            </x14:sparkline>
          </x14:sparklines>
        </x14:sparklineGroup>
        <x14:sparklineGroup manualMax="0" manualMin="0" type="column" displayEmptyCellsAs="gap" high="1" low="1" negative="1" minAxisType="custom" maxAxisType="group" xr2:uid="{BFB73899-0BEF-4065-8542-509B789D9517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'6'!E197:AI197</xm:f>
              <xm:sqref>E183</xm:sqref>
            </x14:sparkline>
          </x14:sparklines>
        </x14:sparklineGroup>
        <x14:sparklineGroup manualMax="0" manualMin="0" type="column" displayEmptyCellsAs="gap" high="1" low="1" negative="1" minAxisType="custom" maxAxisType="group" xr2:uid="{61B510F9-64DA-494C-B522-AD3C8B2D2AB1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'6'!E178:AI178</xm:f>
              <xm:sqref>E164</xm:sqref>
            </x14:sparkline>
          </x14:sparklines>
        </x14:sparklineGroup>
        <x14:sparklineGroup manualMax="0" manualMin="0" type="column" displayEmptyCellsAs="gap" high="1" low="1" negative="1" minAxisType="custom" maxAxisType="group" xr2:uid="{616866C5-C745-46C9-8882-E9D535666E74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'6'!E159:AI159</xm:f>
              <xm:sqref>E147</xm:sqref>
            </x14:sparkline>
          </x14:sparklines>
        </x14:sparklineGroup>
        <x14:sparklineGroup manualMax="0" manualMin="0" type="column" displayEmptyCellsAs="gap" high="1" low="1" negative="1" minAxisType="custom" maxAxisType="group" xr2:uid="{AD23B3A1-1B9D-440A-BD68-FE833FC1BF2B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'6'!E142:AI142</xm:f>
              <xm:sqref>E128</xm:sqref>
            </x14:sparkline>
          </x14:sparklines>
        </x14:sparklineGroup>
        <x14:sparklineGroup manualMax="0" manualMin="0" type="column" displayEmptyCellsAs="gap" high="1" low="1" negative="1" minAxisType="custom" maxAxisType="group" xr2:uid="{8346779E-3D34-43ED-A19B-6CB745608B46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'6'!E123:AI123</xm:f>
              <xm:sqref>E109</xm:sqref>
            </x14:sparkline>
          </x14:sparklines>
        </x14:sparklineGroup>
        <x14:sparklineGroup manualMax="0" manualMin="0" type="column" displayEmptyCellsAs="gap" high="1" low="1" negative="1" minAxisType="custom" maxAxisType="group" xr2:uid="{5BDA5EBD-DB64-4E95-8B58-3FD2E96E3C99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'6'!E104:AI104</xm:f>
              <xm:sqref>E92</xm:sqref>
            </x14:sparkline>
          </x14:sparklines>
        </x14:sparklineGroup>
        <x14:sparklineGroup manualMax="0" manualMin="0" type="column" displayEmptyCellsAs="gap" high="1" low="1" negative="1" minAxisType="custom" maxAxisType="group" xr2:uid="{0402D968-D6C1-4CC6-94C5-70339A145071}">
          <x14:colorSeries rgb="FFC00000"/>
          <x14:colorNegative rgb="FFC00000"/>
          <x14:colorAxis rgb="FF000000"/>
          <x14:colorMarkers rgb="FF0070C0"/>
          <x14:colorFirst rgb="FFFFC000"/>
          <x14:colorLast rgb="FFFFC000"/>
          <x14:colorHigh rgb="FFFF0000"/>
          <x14:colorLow rgb="FFFFC000"/>
          <x14:sparklines>
            <x14:sparkline>
              <xm:f>'6'!E51:AI51</xm:f>
              <xm:sqref>E33</xm:sqref>
            </x14:sparkline>
          </x14:sparklines>
        </x14:sparklineGroup>
        <x14:sparklineGroup manualMax="0" manualMin="0" type="column" displayEmptyCellsAs="gap" high="1" low="1" negative="1" minAxisType="custom" maxAxisType="group" xr2:uid="{78505883-B5E9-43AC-96FE-636482CDD88D}">
          <x14:colorSeries rgb="FFC00000"/>
          <x14:colorNegative rgb="FFC00000"/>
          <x14:colorAxis rgb="FF000000"/>
          <x14:colorMarkers rgb="FF0070C0"/>
          <x14:colorFirst rgb="FFFFC000"/>
          <x14:colorLast rgb="FFFFC000"/>
          <x14:colorHigh rgb="FFFF0000"/>
          <x14:colorLow rgb="FFFFC000"/>
          <x14:sparklines>
            <x14:sparkline>
              <xm:f>'6'!E73:AI73</xm:f>
              <xm:sqref>E56</xm:sqref>
            </x14:sparkline>
          </x14:sparklines>
        </x14:sparklineGroup>
        <x14:sparklineGroup manualMax="0" manualMin="0" type="column" displayEmptyCellsAs="gap" high="1" low="1" negative="1" minAxisType="custom" maxAxisType="group" xr2:uid="{7876E823-03CC-441F-BE8E-2A1D9641F1CC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'6'!E87:AI87</xm:f>
              <xm:sqref>E78</xm:sqref>
            </x14:sparkline>
          </x14:sparklines>
        </x14:sparklineGroup>
        <x14:sparklineGroup manualMax="0" manualMin="0" type="column" displayEmptyCellsAs="gap" high="1" low="1" negative="1" minAxisType="custom" maxAxisType="group" xr2:uid="{E56BB22B-7075-4624-8DC4-ACB07BE6585C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'6'!E27:AI27</xm:f>
              <xm:sqref>E21</xm:sqref>
            </x14:sparkline>
          </x14:sparklines>
        </x14:sparklineGroup>
      </x14:sparklineGroup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2BE749-F673-4E06-8471-6A3D0F7A3BE8}">
  <sheetPr codeName="Planilha11">
    <tabColor rgb="FFFFEBAB"/>
  </sheetPr>
  <dimension ref="A1:AL217"/>
  <sheetViews>
    <sheetView showGridLines="0" showRowColHeaders="0" showZeros="0" zoomScale="85" zoomScaleNormal="85" workbookViewId="0">
      <pane xSplit="3" ySplit="6" topLeftCell="D7" activePane="bottomRight" state="frozen"/>
      <selection activeCell="D24" sqref="D24"/>
      <selection pane="topRight" activeCell="D24" sqref="D24"/>
      <selection pane="bottomLeft" activeCell="D24" sqref="D24"/>
      <selection pane="bottomRight" activeCell="D24" sqref="D24"/>
    </sheetView>
  </sheetViews>
  <sheetFormatPr defaultColWidth="0" defaultRowHeight="12" zeroHeight="1" x14ac:dyDescent="0.25"/>
  <cols>
    <col min="1" max="1" width="2.109375" style="4" customWidth="1"/>
    <col min="2" max="2" width="1.5546875" style="4" customWidth="1"/>
    <col min="3" max="3" width="29.33203125" style="4" bestFit="1" customWidth="1"/>
    <col min="4" max="4" width="4.6640625" style="4" customWidth="1"/>
    <col min="5" max="34" width="5.5546875" style="4" customWidth="1"/>
    <col min="35" max="35" width="5.5546875" style="9" customWidth="1"/>
    <col min="36" max="36" width="9.5546875" style="4" customWidth="1"/>
    <col min="37" max="37" width="1.5546875" style="4" customWidth="1"/>
    <col min="38" max="38" width="2" style="4" customWidth="1"/>
    <col min="39" max="16384" width="2.109375" style="4" hidden="1"/>
  </cols>
  <sheetData>
    <row r="1" spans="1:38" ht="29.25" hidden="1" customHeight="1" thickBot="1" x14ac:dyDescent="0.3">
      <c r="A1" s="80"/>
      <c r="B1" s="80"/>
      <c r="C1" s="80"/>
      <c r="D1" s="79"/>
      <c r="AD1" s="4" t="s">
        <v>215</v>
      </c>
      <c r="AE1" s="78">
        <v>7</v>
      </c>
      <c r="AH1" s="4" t="s">
        <v>214</v>
      </c>
      <c r="AI1" s="75">
        <f>IF('⚙️'!$Q$3=$AE$1,'⚙️'!$F$13,0)</f>
        <v>0</v>
      </c>
      <c r="AK1" s="75"/>
    </row>
    <row r="2" spans="1:38" ht="15.75" customHeight="1" thickTop="1" thickBot="1" x14ac:dyDescent="0.3">
      <c r="A2" s="77"/>
      <c r="B2" s="77"/>
      <c r="C2" s="245" t="s">
        <v>58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71"/>
      <c r="U2" s="71"/>
      <c r="V2" s="71"/>
      <c r="W2" s="71"/>
      <c r="X2" s="71"/>
      <c r="Y2" s="71"/>
      <c r="Z2" s="71"/>
      <c r="AA2" s="71"/>
      <c r="AB2" s="71"/>
      <c r="AC2" s="76"/>
      <c r="AD2" s="64"/>
      <c r="AE2" s="64"/>
      <c r="AF2" s="64"/>
      <c r="AG2" s="64"/>
      <c r="AH2" s="64"/>
      <c r="AI2" s="64"/>
      <c r="AJ2" s="64"/>
      <c r="AK2" s="64"/>
      <c r="AL2" s="64"/>
    </row>
    <row r="3" spans="1:38" s="73" customFormat="1" ht="18" customHeight="1" thickTop="1" thickBot="1" x14ac:dyDescent="0.3">
      <c r="A3" s="72"/>
      <c r="B3" s="72"/>
      <c r="C3" s="246"/>
      <c r="D3" s="2"/>
      <c r="E3" s="243" t="s">
        <v>211</v>
      </c>
      <c r="F3" s="243"/>
      <c r="G3" s="243"/>
      <c r="H3" s="71"/>
      <c r="I3" s="243" t="s">
        <v>210</v>
      </c>
      <c r="J3" s="243"/>
      <c r="K3" s="243"/>
      <c r="L3" s="71"/>
      <c r="M3" s="243" t="s">
        <v>209</v>
      </c>
      <c r="N3" s="243"/>
      <c r="O3" s="243"/>
      <c r="P3" s="71"/>
      <c r="Q3" s="243" t="s">
        <v>208</v>
      </c>
      <c r="R3" s="243"/>
      <c r="S3" s="243"/>
      <c r="T3" s="71"/>
      <c r="U3" s="243" t="s">
        <v>207</v>
      </c>
      <c r="V3" s="243"/>
      <c r="W3" s="243"/>
      <c r="X3" s="71"/>
      <c r="Y3" s="71"/>
      <c r="Z3" s="252" t="s">
        <v>23</v>
      </c>
      <c r="AA3" s="253"/>
      <c r="AB3" s="64"/>
      <c r="AC3" s="252" t="s">
        <v>24</v>
      </c>
      <c r="AD3" s="253"/>
      <c r="AE3" s="64"/>
      <c r="AF3" s="252" t="s">
        <v>22</v>
      </c>
      <c r="AG3" s="253"/>
      <c r="AH3" s="74"/>
      <c r="AI3" s="74"/>
      <c r="AJ3" s="74"/>
      <c r="AK3" s="64"/>
      <c r="AL3" s="64"/>
    </row>
    <row r="4" spans="1:38" s="73" customFormat="1" ht="18" customHeight="1" thickTop="1" thickBot="1" x14ac:dyDescent="0.3">
      <c r="A4" s="72"/>
      <c r="B4" s="72"/>
      <c r="C4" s="246"/>
      <c r="D4" s="2"/>
      <c r="E4" s="242">
        <f>$AJ$16</f>
        <v>-732</v>
      </c>
      <c r="F4" s="242"/>
      <c r="G4" s="242"/>
      <c r="H4" s="71"/>
      <c r="I4" s="242">
        <f>$AJ$14</f>
        <v>266</v>
      </c>
      <c r="J4" s="242"/>
      <c r="K4" s="242"/>
      <c r="L4" s="71"/>
      <c r="M4" s="242">
        <f>$AJ$15</f>
        <v>998</v>
      </c>
      <c r="N4" s="242"/>
      <c r="O4" s="242"/>
      <c r="P4" s="71"/>
      <c r="Q4" s="242">
        <f>$AJ$25</f>
        <v>0</v>
      </c>
      <c r="R4" s="242"/>
      <c r="S4" s="242"/>
      <c r="T4" s="71"/>
      <c r="U4" s="242">
        <f>$AJ$26</f>
        <v>0</v>
      </c>
      <c r="V4" s="242"/>
      <c r="W4" s="242"/>
      <c r="X4" s="71"/>
      <c r="Y4" s="71"/>
      <c r="Z4" s="254"/>
      <c r="AA4" s="255"/>
      <c r="AB4" s="64"/>
      <c r="AC4" s="254"/>
      <c r="AD4" s="255"/>
      <c r="AE4" s="64"/>
      <c r="AF4" s="254"/>
      <c r="AG4" s="255"/>
      <c r="AH4" s="74"/>
      <c r="AI4" s="74"/>
      <c r="AJ4" s="74"/>
      <c r="AK4" s="64"/>
      <c r="AL4" s="64"/>
    </row>
    <row r="5" spans="1:38" ht="11.25" customHeight="1" thickTop="1" thickBot="1" x14ac:dyDescent="0.3">
      <c r="A5" s="72"/>
      <c r="B5" s="72"/>
      <c r="C5" s="246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71"/>
      <c r="Y5" s="2"/>
      <c r="Z5" s="2"/>
      <c r="AA5" s="71"/>
      <c r="AB5" s="71"/>
      <c r="AC5" s="70"/>
      <c r="AD5" s="69"/>
      <c r="AE5" s="69"/>
      <c r="AF5" s="69"/>
      <c r="AG5" s="69"/>
      <c r="AH5" s="69"/>
      <c r="AI5" s="69"/>
      <c r="AJ5" s="64"/>
      <c r="AK5" s="64"/>
      <c r="AL5" s="64"/>
    </row>
    <row r="6" spans="1:38" ht="13.5" customHeight="1" thickTop="1" thickBot="1" x14ac:dyDescent="0.3">
      <c r="A6" s="68"/>
      <c r="B6" s="68"/>
      <c r="C6" s="247"/>
      <c r="D6" s="15"/>
      <c r="E6" s="67" t="s">
        <v>197</v>
      </c>
      <c r="F6" s="67" t="s">
        <v>196</v>
      </c>
      <c r="G6" s="66" t="s">
        <v>195</v>
      </c>
      <c r="H6" s="66" t="s">
        <v>194</v>
      </c>
      <c r="I6" s="66" t="s">
        <v>193</v>
      </c>
      <c r="J6" s="66" t="s">
        <v>192</v>
      </c>
      <c r="K6" s="66" t="s">
        <v>191</v>
      </c>
      <c r="L6" s="66" t="s">
        <v>190</v>
      </c>
      <c r="M6" s="66" t="s">
        <v>189</v>
      </c>
      <c r="N6" s="66" t="s">
        <v>188</v>
      </c>
      <c r="O6" s="66" t="s">
        <v>187</v>
      </c>
      <c r="P6" s="66" t="s">
        <v>186</v>
      </c>
      <c r="Q6" s="66" t="s">
        <v>185</v>
      </c>
      <c r="R6" s="66" t="s">
        <v>184</v>
      </c>
      <c r="S6" s="66" t="s">
        <v>183</v>
      </c>
      <c r="T6" s="66" t="s">
        <v>182</v>
      </c>
      <c r="U6" s="66" t="s">
        <v>181</v>
      </c>
      <c r="V6" s="66" t="s">
        <v>180</v>
      </c>
      <c r="W6" s="66" t="s">
        <v>179</v>
      </c>
      <c r="X6" s="66" t="s">
        <v>178</v>
      </c>
      <c r="Y6" s="66" t="s">
        <v>177</v>
      </c>
      <c r="Z6" s="66" t="s">
        <v>176</v>
      </c>
      <c r="AA6" s="66" t="s">
        <v>175</v>
      </c>
      <c r="AB6" s="66" t="s">
        <v>174</v>
      </c>
      <c r="AC6" s="66" t="s">
        <v>173</v>
      </c>
      <c r="AD6" s="66" t="s">
        <v>172</v>
      </c>
      <c r="AE6" s="66" t="s">
        <v>171</v>
      </c>
      <c r="AF6" s="66" t="s">
        <v>170</v>
      </c>
      <c r="AG6" s="66" t="s">
        <v>169</v>
      </c>
      <c r="AH6" s="66" t="s">
        <v>168</v>
      </c>
      <c r="AI6" s="65" t="s">
        <v>167</v>
      </c>
      <c r="AJ6" s="64"/>
      <c r="AK6" s="64"/>
      <c r="AL6" s="64"/>
    </row>
    <row r="7" spans="1:38" ht="12.6" thickTop="1" x14ac:dyDescent="0.25">
      <c r="E7" s="37"/>
      <c r="AI7" s="4"/>
    </row>
    <row r="8" spans="1:38" x14ac:dyDescent="0.25">
      <c r="AI8" s="4"/>
    </row>
    <row r="9" spans="1:38" x14ac:dyDescent="0.25">
      <c r="AI9" s="4"/>
    </row>
    <row r="10" spans="1:38" ht="39.75" customHeight="1" x14ac:dyDescent="0.7">
      <c r="C10" s="36"/>
      <c r="E10" s="240"/>
      <c r="F10" s="240"/>
      <c r="G10" s="240"/>
      <c r="H10" s="240"/>
      <c r="I10" s="240"/>
      <c r="J10" s="240"/>
      <c r="K10" s="240"/>
      <c r="L10" s="240"/>
      <c r="M10" s="240"/>
      <c r="N10" s="240"/>
      <c r="O10" s="240"/>
      <c r="P10" s="240"/>
      <c r="Q10" s="240"/>
      <c r="R10" s="240"/>
      <c r="S10" s="240"/>
      <c r="T10" s="240"/>
      <c r="U10" s="240"/>
      <c r="V10" s="240"/>
      <c r="W10" s="240"/>
      <c r="X10" s="240"/>
      <c r="Y10" s="240"/>
      <c r="Z10" s="240"/>
      <c r="AA10" s="240"/>
      <c r="AB10" s="240"/>
      <c r="AC10" s="240"/>
      <c r="AD10" s="240"/>
      <c r="AE10" s="240"/>
      <c r="AF10" s="240"/>
      <c r="AG10" s="240"/>
      <c r="AH10" s="240"/>
      <c r="AI10" s="240"/>
      <c r="AJ10" s="32" t="s">
        <v>19</v>
      </c>
    </row>
    <row r="11" spans="1:38" ht="12.6" thickBot="1" x14ac:dyDescent="0.3">
      <c r="AI11" s="4"/>
      <c r="AJ11" s="34" t="s">
        <v>202</v>
      </c>
    </row>
    <row r="12" spans="1:38" ht="6.75" customHeight="1" thickTop="1" thickBot="1" x14ac:dyDescent="0.3">
      <c r="B12" s="49"/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49"/>
      <c r="X12" s="49"/>
      <c r="Y12" s="49"/>
      <c r="Z12" s="49"/>
      <c r="AA12" s="49"/>
      <c r="AB12" s="49"/>
      <c r="AC12" s="49"/>
      <c r="AD12" s="49"/>
      <c r="AE12" s="49"/>
      <c r="AF12" s="49"/>
      <c r="AG12" s="49"/>
      <c r="AH12" s="49"/>
      <c r="AI12" s="49"/>
      <c r="AJ12" s="50"/>
      <c r="AK12" s="49"/>
    </row>
    <row r="13" spans="1:38" ht="13.2" hidden="1" thickTop="1" thickBot="1" x14ac:dyDescent="0.3">
      <c r="B13" s="2"/>
      <c r="C13" s="31" t="s">
        <v>199</v>
      </c>
      <c r="D13" s="30" t="s">
        <v>198</v>
      </c>
      <c r="E13" s="30" t="s">
        <v>197</v>
      </c>
      <c r="F13" s="30" t="s">
        <v>196</v>
      </c>
      <c r="G13" s="30" t="s">
        <v>195</v>
      </c>
      <c r="H13" s="30" t="s">
        <v>194</v>
      </c>
      <c r="I13" s="30" t="s">
        <v>193</v>
      </c>
      <c r="J13" s="30" t="s">
        <v>192</v>
      </c>
      <c r="K13" s="30" t="s">
        <v>191</v>
      </c>
      <c r="L13" s="30" t="s">
        <v>190</v>
      </c>
      <c r="M13" s="30" t="s">
        <v>189</v>
      </c>
      <c r="N13" s="30" t="s">
        <v>188</v>
      </c>
      <c r="O13" s="30" t="s">
        <v>187</v>
      </c>
      <c r="P13" s="30" t="s">
        <v>186</v>
      </c>
      <c r="Q13" s="30" t="s">
        <v>185</v>
      </c>
      <c r="R13" s="30" t="s">
        <v>184</v>
      </c>
      <c r="S13" s="30" t="s">
        <v>183</v>
      </c>
      <c r="T13" s="30" t="s">
        <v>182</v>
      </c>
      <c r="U13" s="30" t="s">
        <v>181</v>
      </c>
      <c r="V13" s="30" t="s">
        <v>180</v>
      </c>
      <c r="W13" s="30" t="s">
        <v>179</v>
      </c>
      <c r="X13" s="30" t="s">
        <v>178</v>
      </c>
      <c r="Y13" s="30" t="s">
        <v>177</v>
      </c>
      <c r="Z13" s="30" t="s">
        <v>176</v>
      </c>
      <c r="AA13" s="30" t="s">
        <v>175</v>
      </c>
      <c r="AB13" s="30" t="s">
        <v>174</v>
      </c>
      <c r="AC13" s="30" t="s">
        <v>173</v>
      </c>
      <c r="AD13" s="30" t="s">
        <v>172</v>
      </c>
      <c r="AE13" s="30" t="s">
        <v>171</v>
      </c>
      <c r="AF13" s="30" t="s">
        <v>170</v>
      </c>
      <c r="AG13" s="30" t="s">
        <v>169</v>
      </c>
      <c r="AH13" s="30" t="s">
        <v>168</v>
      </c>
      <c r="AI13" s="30" t="s">
        <v>167</v>
      </c>
      <c r="AJ13" s="29" t="s">
        <v>166</v>
      </c>
      <c r="AK13" s="49"/>
    </row>
    <row r="14" spans="1:38" ht="19.5" customHeight="1" thickTop="1" thickBot="1" x14ac:dyDescent="0.3">
      <c r="B14" s="49"/>
      <c r="C14" s="61" t="s">
        <v>206</v>
      </c>
      <c r="D14" s="60"/>
      <c r="E14" s="88">
        <f>SUMIFS(tabela_registros[VALOR],tabela_registros[MÊS],$AE$1,tabela_registros[DIA],jultotal3059718395107[[#Headers],[1]],tabela_registros[REGISTRO],DADOS!$N$3)</f>
        <v>0</v>
      </c>
      <c r="F14" s="88">
        <f>SUMIFS(tabela_registros[VALOR],tabela_registros[MÊS],$AE$1,tabela_registros[DIA],jultotal3059718395107[[#Headers],[2]],tabela_registros[REGISTRO],DADOS!$N$3)</f>
        <v>0</v>
      </c>
      <c r="G14" s="88">
        <f>SUMIFS(tabela_registros[VALOR],tabela_registros[MÊS],$AE$1,tabela_registros[DIA],jultotal3059718395107[[#Headers],[3]],tabela_registros[REGISTRO],DADOS!$N$3)</f>
        <v>0</v>
      </c>
      <c r="H14" s="88">
        <f>SUMIFS(tabela_registros[VALOR],tabela_registros[MÊS],$AE$1,tabela_registros[DIA],jultotal3059718395107[[#Headers],[4]],tabela_registros[REGISTRO],DADOS!$N$3)</f>
        <v>0</v>
      </c>
      <c r="I14" s="88">
        <f>SUMIFS(tabela_registros[VALOR],tabela_registros[MÊS],$AE$1,tabela_registros[DIA],jultotal3059718395107[[#Headers],[5]],tabela_registros[REGISTRO],DADOS!$N$3)</f>
        <v>266</v>
      </c>
      <c r="J14" s="88">
        <f>SUMIFS(tabela_registros[VALOR],tabela_registros[MÊS],$AE$1,tabela_registros[DIA],jultotal3059718395107[[#Headers],[6]],tabela_registros[REGISTRO],DADOS!$N$3)</f>
        <v>0</v>
      </c>
      <c r="K14" s="88">
        <f>SUMIFS(tabela_registros[VALOR],tabela_registros[MÊS],$AE$1,tabela_registros[DIA],jultotal3059718395107[[#Headers],[7]],tabela_registros[REGISTRO],DADOS!$N$3)</f>
        <v>0</v>
      </c>
      <c r="L14" s="88">
        <f>SUMIFS(tabela_registros[VALOR],tabela_registros[MÊS],$AE$1,tabela_registros[DIA],jultotal3059718395107[[#Headers],[8]],tabela_registros[REGISTRO],DADOS!$N$3)</f>
        <v>0</v>
      </c>
      <c r="M14" s="88">
        <f>SUMIFS(tabela_registros[VALOR],tabela_registros[MÊS],$AE$1,tabela_registros[DIA],jultotal3059718395107[[#Headers],[9]],tabela_registros[REGISTRO],DADOS!$N$3)</f>
        <v>0</v>
      </c>
      <c r="N14" s="88">
        <f>SUMIFS(tabela_registros[VALOR],tabela_registros[MÊS],$AE$1,tabela_registros[DIA],jultotal3059718395107[[#Headers],[10]],tabela_registros[REGISTRO],DADOS!$N$3)</f>
        <v>0</v>
      </c>
      <c r="O14" s="88">
        <f>SUMIFS(tabela_registros[VALOR],tabela_registros[MÊS],$AE$1,tabela_registros[DIA],jultotal3059718395107[[#Headers],[11]],tabela_registros[REGISTRO],DADOS!$N$3)</f>
        <v>0</v>
      </c>
      <c r="P14" s="88">
        <f>SUMIFS(tabela_registros[VALOR],tabela_registros[MÊS],$AE$1,tabela_registros[DIA],jultotal3059718395107[[#Headers],[12]],tabela_registros[REGISTRO],DADOS!$N$3)</f>
        <v>0</v>
      </c>
      <c r="Q14" s="88">
        <f>SUMIFS(tabela_registros[VALOR],tabela_registros[MÊS],$AE$1,tabela_registros[DIA],jultotal3059718395107[[#Headers],[13]],tabela_registros[REGISTRO],DADOS!$N$3)</f>
        <v>0</v>
      </c>
      <c r="R14" s="88">
        <f>SUMIFS(tabela_registros[VALOR],tabela_registros[MÊS],$AE$1,tabela_registros[DIA],jultotal3059718395107[[#Headers],[14]],tabela_registros[REGISTRO],DADOS!$N$3)</f>
        <v>0</v>
      </c>
      <c r="S14" s="88">
        <f>SUMIFS(tabela_registros[VALOR],tabela_registros[MÊS],$AE$1,tabela_registros[DIA],jultotal3059718395107[[#Headers],[15]],tabela_registros[REGISTRO],DADOS!$N$3)</f>
        <v>0</v>
      </c>
      <c r="T14" s="88">
        <f>SUMIFS(tabela_registros[VALOR],tabela_registros[MÊS],$AE$1,tabela_registros[DIA],jultotal3059718395107[[#Headers],[16]],tabela_registros[REGISTRO],DADOS!$N$3)</f>
        <v>0</v>
      </c>
      <c r="U14" s="88">
        <f>SUMIFS(tabela_registros[VALOR],tabela_registros[MÊS],$AE$1,tabela_registros[DIA],jultotal3059718395107[[#Headers],[17]],tabela_registros[REGISTRO],DADOS!$N$3)</f>
        <v>0</v>
      </c>
      <c r="V14" s="88">
        <f>SUMIFS(tabela_registros[VALOR],tabela_registros[MÊS],$AE$1,tabela_registros[DIA],jultotal3059718395107[[#Headers],[18]],tabela_registros[REGISTRO],DADOS!$N$3)</f>
        <v>0</v>
      </c>
      <c r="W14" s="88">
        <f>SUMIFS(tabela_registros[VALOR],tabela_registros[MÊS],$AE$1,tabela_registros[DIA],jultotal3059718395107[[#Headers],[19]],tabela_registros[REGISTRO],DADOS!$N$3)</f>
        <v>0</v>
      </c>
      <c r="X14" s="88">
        <f>SUMIFS(tabela_registros[VALOR],tabela_registros[MÊS],$AE$1,tabela_registros[DIA],jultotal3059718395107[[#Headers],[20]],tabela_registros[REGISTRO],DADOS!$N$3)</f>
        <v>0</v>
      </c>
      <c r="Y14" s="88">
        <f>SUMIFS(tabela_registros[VALOR],tabela_registros[MÊS],$AE$1,tabela_registros[DIA],jultotal3059718395107[[#Headers],[21]],tabela_registros[REGISTRO],DADOS!$N$3)</f>
        <v>0</v>
      </c>
      <c r="Z14" s="88">
        <f>SUMIFS(tabela_registros[VALOR],tabela_registros[MÊS],$AE$1,tabela_registros[DIA],jultotal3059718395107[[#Headers],[22]],tabela_registros[REGISTRO],DADOS!$N$3)</f>
        <v>0</v>
      </c>
      <c r="AA14" s="88">
        <f>SUMIFS(tabela_registros[VALOR],tabela_registros[MÊS],$AE$1,tabela_registros[DIA],jultotal3059718395107[[#Headers],[23]],tabela_registros[REGISTRO],DADOS!$N$3)</f>
        <v>0</v>
      </c>
      <c r="AB14" s="88">
        <f>SUMIFS(tabela_registros[VALOR],tabela_registros[MÊS],$AE$1,tabela_registros[DIA],jultotal3059718395107[[#Headers],[24]],tabela_registros[REGISTRO],DADOS!$N$3)</f>
        <v>0</v>
      </c>
      <c r="AC14" s="88">
        <f>SUMIFS(tabela_registros[VALOR],tabela_registros[MÊS],$AE$1,tabela_registros[DIA],jultotal3059718395107[[#Headers],[25]],tabela_registros[REGISTRO],DADOS!$N$3)</f>
        <v>0</v>
      </c>
      <c r="AD14" s="88">
        <f>SUMIFS(tabela_registros[VALOR],tabela_registros[MÊS],$AE$1,tabela_registros[DIA],jultotal3059718395107[[#Headers],[26]],tabela_registros[REGISTRO],DADOS!$N$3)</f>
        <v>0</v>
      </c>
      <c r="AE14" s="88">
        <f>SUMIFS(tabela_registros[VALOR],tabela_registros[MÊS],$AE$1,tabela_registros[DIA],jultotal3059718395107[[#Headers],[27]],tabela_registros[REGISTRO],DADOS!$N$3)</f>
        <v>0</v>
      </c>
      <c r="AF14" s="88">
        <f>SUMIFS(tabela_registros[VALOR],tabela_registros[MÊS],$AE$1,tabela_registros[DIA],jultotal3059718395107[[#Headers],[28]],tabela_registros[REGISTRO],DADOS!$N$3)</f>
        <v>0</v>
      </c>
      <c r="AG14" s="88">
        <f>SUMIFS(tabela_registros[VALOR],tabela_registros[MÊS],$AE$1,tabela_registros[DIA],jultotal3059718395107[[#Headers],[29]],tabela_registros[REGISTRO],DADOS!$N$3)</f>
        <v>0</v>
      </c>
      <c r="AH14" s="88">
        <f>SUMIFS(tabela_registros[VALOR],tabela_registros[MÊS],$AE$1,tabela_registros[DIA],jultotal3059718395107[[#Headers],[30]],tabela_registros[REGISTRO],DADOS!$N$3)</f>
        <v>0</v>
      </c>
      <c r="AI14" s="89">
        <f>SUMIFS(tabela_registros[VALOR],tabela_registros[MÊS],$AE$1,tabela_registros[DIA],jultotal3059718395107[[#Headers],[31]],tabela_registros[REGISTRO],DADOS!$N$3)</f>
        <v>0</v>
      </c>
      <c r="AJ14" s="90">
        <f>SUM(jultotal3059718395107[[#This Row],[1]:[31]])</f>
        <v>266</v>
      </c>
      <c r="AK14" s="49"/>
    </row>
    <row r="15" spans="1:38" ht="18" customHeight="1" thickTop="1" thickBot="1" x14ac:dyDescent="0.3">
      <c r="B15" s="49"/>
      <c r="C15" s="61" t="s">
        <v>205</v>
      </c>
      <c r="D15" s="60"/>
      <c r="E15" s="91">
        <f>SUMIFS(tabela_registros[VALOR],tabela_registros[MÊS],$AE$1,tabela_registros[DIA],jultotal3059718395107[[#Headers],[1]],tabela_registros[REGISTRO],DADOS!$N$4)</f>
        <v>236</v>
      </c>
      <c r="F15" s="91">
        <f>SUMIFS(tabela_registros[VALOR],tabela_registros[MÊS],$AE$1,tabela_registros[DIA],jultotal3059718395107[[#Headers],[2]],tabela_registros[REGISTRO],DADOS!$N$4)</f>
        <v>248</v>
      </c>
      <c r="G15" s="91">
        <f>SUMIFS(tabela_registros[VALOR],tabela_registros[MÊS],$AE$1,tabela_registros[DIA],jultotal3059718395107[[#Headers],[3]],tabela_registros[REGISTRO],DADOS!$N$4)</f>
        <v>254</v>
      </c>
      <c r="H15" s="91">
        <f>SUMIFS(tabela_registros[VALOR],tabela_registros[MÊS],$AE$1,tabela_registros[DIA],jultotal3059718395107[[#Headers],[4]],tabela_registros[REGISTRO],DADOS!$N$4)</f>
        <v>260</v>
      </c>
      <c r="I15" s="91">
        <f>SUMIFS(tabela_registros[VALOR],tabela_registros[MÊS],$AE$1,tabela_registros[DIA],jultotal3059718395107[[#Headers],[5]],tabela_registros[REGISTRO],DADOS!$N$4)</f>
        <v>0</v>
      </c>
      <c r="J15" s="91">
        <f>SUMIFS(tabela_registros[VALOR],tabela_registros[MÊS],$AE$1,tabela_registros[DIA],jultotal3059718395107[[#Headers],[6]],tabela_registros[REGISTRO],DADOS!$N$4)</f>
        <v>0</v>
      </c>
      <c r="K15" s="91">
        <f>SUMIFS(tabela_registros[VALOR],tabela_registros[MÊS],$AE$1,tabela_registros[DIA],jultotal3059718395107[[#Headers],[7]],tabela_registros[REGISTRO],DADOS!$N$4)</f>
        <v>0</v>
      </c>
      <c r="L15" s="91">
        <f>SUMIFS(tabela_registros[VALOR],tabela_registros[MÊS],$AE$1,tabela_registros[DIA],jultotal3059718395107[[#Headers],[8]],tabela_registros[REGISTRO],DADOS!$N$4)</f>
        <v>0</v>
      </c>
      <c r="M15" s="91">
        <f>SUMIFS(tabela_registros[VALOR],tabela_registros[MÊS],$AE$1,tabela_registros[DIA],jultotal3059718395107[[#Headers],[9]],tabela_registros[REGISTRO],DADOS!$N$4)</f>
        <v>0</v>
      </c>
      <c r="N15" s="91">
        <f>SUMIFS(tabela_registros[VALOR],tabela_registros[MÊS],$AE$1,tabela_registros[DIA],jultotal3059718395107[[#Headers],[10]],tabela_registros[REGISTRO],DADOS!$N$4)</f>
        <v>0</v>
      </c>
      <c r="O15" s="91">
        <f>SUMIFS(tabela_registros[VALOR],tabela_registros[MÊS],$AE$1,tabela_registros[DIA],jultotal3059718395107[[#Headers],[11]],tabela_registros[REGISTRO],DADOS!$N$4)</f>
        <v>0</v>
      </c>
      <c r="P15" s="91">
        <f>SUMIFS(tabela_registros[VALOR],tabela_registros[MÊS],$AE$1,tabela_registros[DIA],jultotal3059718395107[[#Headers],[12]],tabela_registros[REGISTRO],DADOS!$N$4)</f>
        <v>0</v>
      </c>
      <c r="Q15" s="91">
        <f>SUMIFS(tabela_registros[VALOR],tabela_registros[MÊS],$AE$1,tabela_registros[DIA],jultotal3059718395107[[#Headers],[13]],tabela_registros[REGISTRO],DADOS!$N$4)</f>
        <v>0</v>
      </c>
      <c r="R15" s="91">
        <f>SUMIFS(tabela_registros[VALOR],tabela_registros[MÊS],$AE$1,tabela_registros[DIA],jultotal3059718395107[[#Headers],[14]],tabela_registros[REGISTRO],DADOS!$N$4)</f>
        <v>0</v>
      </c>
      <c r="S15" s="91">
        <f>SUMIFS(tabela_registros[VALOR],tabela_registros[MÊS],$AE$1,tabela_registros[DIA],jultotal3059718395107[[#Headers],[15]],tabela_registros[REGISTRO],DADOS!$N$4)</f>
        <v>0</v>
      </c>
      <c r="T15" s="91">
        <f>SUMIFS(tabela_registros[VALOR],tabela_registros[MÊS],$AE$1,tabela_registros[DIA],jultotal3059718395107[[#Headers],[16]],tabela_registros[REGISTRO],DADOS!$N$4)</f>
        <v>0</v>
      </c>
      <c r="U15" s="91">
        <f>SUMIFS(tabela_registros[VALOR],tabela_registros[MÊS],$AE$1,tabela_registros[DIA],jultotal3059718395107[[#Headers],[17]],tabela_registros[REGISTRO],DADOS!$N$4)</f>
        <v>0</v>
      </c>
      <c r="V15" s="91">
        <f>SUMIFS(tabela_registros[VALOR],tabela_registros[MÊS],$AE$1,tabela_registros[DIA],jultotal3059718395107[[#Headers],[18]],tabela_registros[REGISTRO],DADOS!$N$4)</f>
        <v>0</v>
      </c>
      <c r="W15" s="91">
        <f>SUMIFS(tabela_registros[VALOR],tabela_registros[MÊS],$AE$1,tabela_registros[DIA],jultotal3059718395107[[#Headers],[19]],tabela_registros[REGISTRO],DADOS!$N$4)</f>
        <v>0</v>
      </c>
      <c r="X15" s="91">
        <f>SUMIFS(tabela_registros[VALOR],tabela_registros[MÊS],$AE$1,tabela_registros[DIA],jultotal3059718395107[[#Headers],[20]],tabela_registros[REGISTRO],DADOS!$N$4)</f>
        <v>0</v>
      </c>
      <c r="Y15" s="91">
        <f>SUMIFS(tabela_registros[VALOR],tabela_registros[MÊS],$AE$1,tabela_registros[DIA],jultotal3059718395107[[#Headers],[21]],tabela_registros[REGISTRO],DADOS!$N$4)</f>
        <v>0</v>
      </c>
      <c r="Z15" s="91">
        <f>SUMIFS(tabela_registros[VALOR],tabela_registros[MÊS],$AE$1,tabela_registros[DIA],jultotal3059718395107[[#Headers],[22]],tabela_registros[REGISTRO],DADOS!$N$4)</f>
        <v>0</v>
      </c>
      <c r="AA15" s="91">
        <f>SUMIFS(tabela_registros[VALOR],tabela_registros[MÊS],$AE$1,tabela_registros[DIA],jultotal3059718395107[[#Headers],[23]],tabela_registros[REGISTRO],DADOS!$N$4)</f>
        <v>0</v>
      </c>
      <c r="AB15" s="91">
        <f>SUMIFS(tabela_registros[VALOR],tabela_registros[MÊS],$AE$1,tabela_registros[DIA],jultotal3059718395107[[#Headers],[24]],tabela_registros[REGISTRO],DADOS!$N$4)</f>
        <v>0</v>
      </c>
      <c r="AC15" s="91">
        <f>SUMIFS(tabela_registros[VALOR],tabela_registros[MÊS],$AE$1,tabela_registros[DIA],jultotal3059718395107[[#Headers],[25]],tabela_registros[REGISTRO],DADOS!$N$4)</f>
        <v>0</v>
      </c>
      <c r="AD15" s="91">
        <f>SUMIFS(tabela_registros[VALOR],tabela_registros[MÊS],$AE$1,tabela_registros[DIA],jultotal3059718395107[[#Headers],[26]],tabela_registros[REGISTRO],DADOS!$N$4)</f>
        <v>0</v>
      </c>
      <c r="AE15" s="91">
        <f>SUMIFS(tabela_registros[VALOR],tabela_registros[MÊS],$AE$1,tabela_registros[DIA],jultotal3059718395107[[#Headers],[27]],tabela_registros[REGISTRO],DADOS!$N$4)</f>
        <v>0</v>
      </c>
      <c r="AF15" s="91">
        <f>SUMIFS(tabela_registros[VALOR],tabela_registros[MÊS],$AE$1,tabela_registros[DIA],jultotal3059718395107[[#Headers],[28]],tabela_registros[REGISTRO],DADOS!$N$4)</f>
        <v>0</v>
      </c>
      <c r="AG15" s="91">
        <f>SUMIFS(tabela_registros[VALOR],tabela_registros[MÊS],$AE$1,tabela_registros[DIA],jultotal3059718395107[[#Headers],[29]],tabela_registros[REGISTRO],DADOS!$N$4)</f>
        <v>0</v>
      </c>
      <c r="AH15" s="91">
        <f>SUMIFS(tabela_registros[VALOR],tabela_registros[MÊS],$AE$1,tabela_registros[DIA],jultotal3059718395107[[#Headers],[30]],tabela_registros[REGISTRO],DADOS!$N$4)</f>
        <v>0</v>
      </c>
      <c r="AI15" s="92">
        <f>SUMIFS(tabela_registros[VALOR],tabela_registros[MÊS],$AE$1,tabela_registros[DIA],jultotal3059718395107[[#Headers],[31]],tabela_registros[REGISTRO],DADOS!$N$4)</f>
        <v>0</v>
      </c>
      <c r="AJ15" s="93">
        <f>SUM(jultotal3059718395107[[#This Row],[1]:[31]])</f>
        <v>998</v>
      </c>
      <c r="AK15" s="49"/>
    </row>
    <row r="16" spans="1:38" s="16" customFormat="1" ht="21" customHeight="1" thickTop="1" thickBot="1" x14ac:dyDescent="0.35">
      <c r="B16" s="52"/>
      <c r="C16" s="57" t="s">
        <v>204</v>
      </c>
      <c r="D16" s="63"/>
      <c r="E16" s="55">
        <f>(E14-E15)+AI1</f>
        <v>-236</v>
      </c>
      <c r="F16" s="54">
        <f>jultotal3059718395107[[#This Row],[1]]+(F14-F15)</f>
        <v>-484</v>
      </c>
      <c r="G16" s="54">
        <f>jultotal3059718395107[[#This Row],[2]]+(G14-G15)</f>
        <v>-738</v>
      </c>
      <c r="H16" s="54">
        <f>jultotal3059718395107[[#This Row],[3]]+(H14-H15)</f>
        <v>-998</v>
      </c>
      <c r="I16" s="54">
        <f>jultotal3059718395107[[#This Row],[4]]+(I14-I15)</f>
        <v>-732</v>
      </c>
      <c r="J16" s="54">
        <f>jultotal3059718395107[[#This Row],[5]]+(J14-J15)</f>
        <v>-732</v>
      </c>
      <c r="K16" s="54">
        <f>jultotal3059718395107[[#This Row],[6]]+(K14-K15)</f>
        <v>-732</v>
      </c>
      <c r="L16" s="54">
        <f>jultotal3059718395107[[#This Row],[7]]+(L14-L15)</f>
        <v>-732</v>
      </c>
      <c r="M16" s="54">
        <f>jultotal3059718395107[[#This Row],[8]]+(M14-M15)</f>
        <v>-732</v>
      </c>
      <c r="N16" s="54">
        <f>jultotal3059718395107[[#This Row],[9]]+(N14-N15)</f>
        <v>-732</v>
      </c>
      <c r="O16" s="54">
        <f>jultotal3059718395107[[#This Row],[10]]+(O14-O15)</f>
        <v>-732</v>
      </c>
      <c r="P16" s="54">
        <f>jultotal3059718395107[[#This Row],[11]]+(P14-P15)</f>
        <v>-732</v>
      </c>
      <c r="Q16" s="54">
        <f>jultotal3059718395107[[#This Row],[12]]+(Q14-Q15)</f>
        <v>-732</v>
      </c>
      <c r="R16" s="54">
        <f>jultotal3059718395107[[#This Row],[13]]+(R14-R15)</f>
        <v>-732</v>
      </c>
      <c r="S16" s="54">
        <f>jultotal3059718395107[[#This Row],[14]]+(S14-S15)</f>
        <v>-732</v>
      </c>
      <c r="T16" s="54">
        <f>jultotal3059718395107[[#This Row],[15]]+(T14-T15)</f>
        <v>-732</v>
      </c>
      <c r="U16" s="54">
        <f>jultotal3059718395107[[#This Row],[16]]+(U14-U15)</f>
        <v>-732</v>
      </c>
      <c r="V16" s="54">
        <f>jultotal3059718395107[[#This Row],[17]]+(V14-V15)</f>
        <v>-732</v>
      </c>
      <c r="W16" s="54">
        <f>jultotal3059718395107[[#This Row],[18]]+(W14-W15)</f>
        <v>-732</v>
      </c>
      <c r="X16" s="54">
        <f>jultotal3059718395107[[#This Row],[19]]+(X14-X15)</f>
        <v>-732</v>
      </c>
      <c r="Y16" s="54">
        <f>jultotal3059718395107[[#This Row],[20]]+(Y14-Y15)</f>
        <v>-732</v>
      </c>
      <c r="Z16" s="54">
        <f>jultotal3059718395107[[#This Row],[21]]+(Z14-Z15)</f>
        <v>-732</v>
      </c>
      <c r="AA16" s="54">
        <f>jultotal3059718395107[[#This Row],[22]]+(AA14-AA15)</f>
        <v>-732</v>
      </c>
      <c r="AB16" s="54">
        <f>jultotal3059718395107[[#This Row],[23]]+(AB14-AB15)</f>
        <v>-732</v>
      </c>
      <c r="AC16" s="54">
        <f>jultotal3059718395107[[#This Row],[24]]+(AC14-AC15)</f>
        <v>-732</v>
      </c>
      <c r="AD16" s="54">
        <f>jultotal3059718395107[[#This Row],[25]]+(AD14-AD15)</f>
        <v>-732</v>
      </c>
      <c r="AE16" s="54">
        <f>jultotal3059718395107[[#This Row],[26]]+(AE14-AE15)</f>
        <v>-732</v>
      </c>
      <c r="AF16" s="54">
        <f>jultotal3059718395107[[#This Row],[27]]+(AF14-AF15)</f>
        <v>-732</v>
      </c>
      <c r="AG16" s="54">
        <f>jultotal3059718395107[[#This Row],[28]]+(AG14-AG15)</f>
        <v>-732</v>
      </c>
      <c r="AH16" s="54">
        <f>jultotal3059718395107[[#This Row],[29]]+(AH14-AH15)</f>
        <v>-732</v>
      </c>
      <c r="AI16" s="62">
        <f>jultotal3059718395107[[#This Row],[30]]+(AI14-AI15)</f>
        <v>-732</v>
      </c>
      <c r="AJ16" s="53">
        <f>jultotal3059718395107[[#This Row],[31]]</f>
        <v>-732</v>
      </c>
      <c r="AK16" s="52"/>
    </row>
    <row r="17" spans="1:37" ht="6.75" customHeight="1" thickTop="1" thickBot="1" x14ac:dyDescent="0.3">
      <c r="B17" s="49"/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49"/>
      <c r="X17" s="49"/>
      <c r="Y17" s="49"/>
      <c r="Z17" s="49"/>
      <c r="AA17" s="49"/>
      <c r="AB17" s="49"/>
      <c r="AC17" s="49"/>
      <c r="AD17" s="49"/>
      <c r="AE17" s="49"/>
      <c r="AF17" s="49"/>
      <c r="AG17" s="49"/>
      <c r="AH17" s="49"/>
      <c r="AI17" s="50"/>
      <c r="AJ17" s="49"/>
      <c r="AK17" s="49"/>
    </row>
    <row r="18" spans="1:37" ht="12.6" thickTop="1" x14ac:dyDescent="0.25">
      <c r="C18" s="46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  <c r="AH18" s="47"/>
      <c r="AI18" s="47"/>
    </row>
    <row r="19" spans="1:37" x14ac:dyDescent="0.25">
      <c r="C19" s="46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  <c r="AA19" s="47"/>
      <c r="AB19" s="47"/>
      <c r="AC19" s="47"/>
      <c r="AD19" s="47"/>
      <c r="AE19" s="47"/>
      <c r="AF19" s="47"/>
      <c r="AG19" s="47"/>
      <c r="AH19" s="47"/>
      <c r="AI19" s="47"/>
    </row>
    <row r="20" spans="1:37" x14ac:dyDescent="0.25">
      <c r="A20" s="46"/>
      <c r="B20" s="46"/>
      <c r="C20" s="46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  <c r="AA20" s="47"/>
      <c r="AB20" s="47"/>
      <c r="AC20" s="47"/>
      <c r="AD20" s="47"/>
      <c r="AE20" s="47"/>
      <c r="AF20" s="47"/>
      <c r="AG20" s="47"/>
      <c r="AH20" s="47"/>
      <c r="AI20" s="47"/>
    </row>
    <row r="21" spans="1:37" ht="39.75" customHeight="1" x14ac:dyDescent="0.25">
      <c r="A21" s="46"/>
      <c r="B21" s="46"/>
      <c r="C21" s="46"/>
      <c r="E21" s="240"/>
      <c r="F21" s="240"/>
      <c r="G21" s="240"/>
      <c r="H21" s="240"/>
      <c r="I21" s="240"/>
      <c r="J21" s="240"/>
      <c r="K21" s="240"/>
      <c r="L21" s="240"/>
      <c r="M21" s="240"/>
      <c r="N21" s="240"/>
      <c r="O21" s="240"/>
      <c r="P21" s="240"/>
      <c r="Q21" s="240"/>
      <c r="R21" s="240"/>
      <c r="S21" s="240"/>
      <c r="T21" s="240"/>
      <c r="U21" s="240"/>
      <c r="V21" s="240"/>
      <c r="W21" s="240"/>
      <c r="X21" s="240"/>
      <c r="Y21" s="240"/>
      <c r="Z21" s="240"/>
      <c r="AA21" s="240"/>
      <c r="AB21" s="240"/>
      <c r="AC21" s="240"/>
      <c r="AD21" s="240"/>
      <c r="AE21" s="240"/>
      <c r="AF21" s="240"/>
      <c r="AG21" s="240"/>
      <c r="AH21" s="240"/>
      <c r="AI21" s="240"/>
      <c r="AJ21" s="32" t="s">
        <v>19</v>
      </c>
    </row>
    <row r="22" spans="1:37" ht="11.25" customHeight="1" thickBot="1" x14ac:dyDescent="0.75">
      <c r="C22" s="36"/>
      <c r="AI22" s="4"/>
      <c r="AJ22" s="34" t="s">
        <v>202</v>
      </c>
    </row>
    <row r="23" spans="1:37" ht="6.75" customHeight="1" thickTop="1" thickBot="1" x14ac:dyDescent="0.3">
      <c r="B23" s="49"/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49"/>
      <c r="X23" s="49"/>
      <c r="Y23" s="49"/>
      <c r="Z23" s="49"/>
      <c r="AA23" s="49"/>
      <c r="AB23" s="49"/>
      <c r="AC23" s="49"/>
      <c r="AD23" s="49"/>
      <c r="AE23" s="49"/>
      <c r="AF23" s="49"/>
      <c r="AG23" s="49"/>
      <c r="AH23" s="49"/>
      <c r="AI23" s="49"/>
      <c r="AJ23" s="50"/>
      <c r="AK23" s="49"/>
    </row>
    <row r="24" spans="1:37" ht="13.2" hidden="1" thickTop="1" thickBot="1" x14ac:dyDescent="0.3">
      <c r="B24" s="2"/>
      <c r="C24" s="30" t="s">
        <v>199</v>
      </c>
      <c r="D24" s="49" t="s">
        <v>198</v>
      </c>
      <c r="E24" s="30" t="s">
        <v>197</v>
      </c>
      <c r="F24" s="30" t="s">
        <v>196</v>
      </c>
      <c r="G24" s="30" t="s">
        <v>195</v>
      </c>
      <c r="H24" s="30" t="s">
        <v>194</v>
      </c>
      <c r="I24" s="30" t="s">
        <v>193</v>
      </c>
      <c r="J24" s="30" t="s">
        <v>192</v>
      </c>
      <c r="K24" s="30" t="s">
        <v>191</v>
      </c>
      <c r="L24" s="30" t="s">
        <v>190</v>
      </c>
      <c r="M24" s="30" t="s">
        <v>189</v>
      </c>
      <c r="N24" s="30" t="s">
        <v>188</v>
      </c>
      <c r="O24" s="30" t="s">
        <v>187</v>
      </c>
      <c r="P24" s="30" t="s">
        <v>186</v>
      </c>
      <c r="Q24" s="30" t="s">
        <v>185</v>
      </c>
      <c r="R24" s="30" t="s">
        <v>184</v>
      </c>
      <c r="S24" s="30" t="s">
        <v>183</v>
      </c>
      <c r="T24" s="30" t="s">
        <v>182</v>
      </c>
      <c r="U24" s="30" t="s">
        <v>181</v>
      </c>
      <c r="V24" s="30" t="s">
        <v>180</v>
      </c>
      <c r="W24" s="30" t="s">
        <v>179</v>
      </c>
      <c r="X24" s="30" t="s">
        <v>178</v>
      </c>
      <c r="Y24" s="30" t="s">
        <v>177</v>
      </c>
      <c r="Z24" s="30" t="s">
        <v>176</v>
      </c>
      <c r="AA24" s="30" t="s">
        <v>175</v>
      </c>
      <c r="AB24" s="30" t="s">
        <v>174</v>
      </c>
      <c r="AC24" s="30" t="s">
        <v>173</v>
      </c>
      <c r="AD24" s="30" t="s">
        <v>172</v>
      </c>
      <c r="AE24" s="30" t="s">
        <v>171</v>
      </c>
      <c r="AF24" s="30" t="s">
        <v>170</v>
      </c>
      <c r="AG24" s="30" t="s">
        <v>169</v>
      </c>
      <c r="AH24" s="30" t="s">
        <v>168</v>
      </c>
      <c r="AI24" s="30" t="s">
        <v>167</v>
      </c>
      <c r="AJ24" s="29" t="s">
        <v>166</v>
      </c>
      <c r="AK24" s="49"/>
    </row>
    <row r="25" spans="1:37" ht="19.5" customHeight="1" thickTop="1" thickBot="1" x14ac:dyDescent="0.3">
      <c r="B25" s="49"/>
      <c r="C25" s="61" t="s">
        <v>7</v>
      </c>
      <c r="D25" s="60"/>
      <c r="E25" s="88">
        <f>SUMIFS(tabela_registros[VALOR],tabela_registros[MÊS],$AE$1,tabela_registros[DIA],jultotal3059718395107[[#Headers],[1]],tabela_registros[REGISTRO],DADOS!$N$5)</f>
        <v>0</v>
      </c>
      <c r="F25" s="88">
        <f>SUMIFS(tabela_registros[VALOR],tabela_registros[MÊS],$AE$1,tabela_registros[DIA],jultotal3059718395107[[#Headers],[2]],tabela_registros[REGISTRO],DADOS!$N$5)</f>
        <v>0</v>
      </c>
      <c r="G25" s="88">
        <f>SUMIFS(tabela_registros[VALOR],tabela_registros[MÊS],$AE$1,tabela_registros[DIA],jultotal3059718395107[[#Headers],[3]],tabela_registros[REGISTRO],DADOS!$N$5)</f>
        <v>0</v>
      </c>
      <c r="H25" s="88">
        <f>SUMIFS(tabela_registros[VALOR],tabela_registros[MÊS],$AE$1,tabela_registros[DIA],jultotal3059718395107[[#Headers],[4]],tabela_registros[REGISTRO],DADOS!$N$5)</f>
        <v>0</v>
      </c>
      <c r="I25" s="88">
        <f>SUMIFS(tabela_registros[VALOR],tabela_registros[MÊS],$AE$1,tabela_registros[DIA],jultotal3059718395107[[#Headers],[5]],tabela_registros[REGISTRO],DADOS!$N$5)</f>
        <v>0</v>
      </c>
      <c r="J25" s="88">
        <f>SUMIFS(tabela_registros[VALOR],tabela_registros[MÊS],$AE$1,tabela_registros[DIA],jultotal3059718395107[[#Headers],[6]],tabela_registros[REGISTRO],DADOS!$N$5)</f>
        <v>0</v>
      </c>
      <c r="K25" s="88">
        <f>SUMIFS(tabela_registros[VALOR],tabela_registros[MÊS],$AE$1,tabela_registros[DIA],jultotal3059718395107[[#Headers],[7]],tabela_registros[REGISTRO],DADOS!$N$5)</f>
        <v>0</v>
      </c>
      <c r="L25" s="88">
        <f>SUMIFS(tabela_registros[VALOR],tabela_registros[MÊS],$AE$1,tabela_registros[DIA],jultotal3059718395107[[#Headers],[8]],tabela_registros[REGISTRO],DADOS!$N$5)</f>
        <v>0</v>
      </c>
      <c r="M25" s="88">
        <f>SUMIFS(tabela_registros[VALOR],tabela_registros[MÊS],$AE$1,tabela_registros[DIA],jultotal3059718395107[[#Headers],[9]],tabela_registros[REGISTRO],DADOS!$N$5)</f>
        <v>0</v>
      </c>
      <c r="N25" s="88">
        <f>SUMIFS(tabela_registros[VALOR],tabela_registros[MÊS],$AE$1,tabela_registros[DIA],jultotal3059718395107[[#Headers],[10]],tabela_registros[REGISTRO],DADOS!$N$5)</f>
        <v>0</v>
      </c>
      <c r="O25" s="88">
        <f>SUMIFS(tabela_registros[VALOR],tabela_registros[MÊS],$AE$1,tabela_registros[DIA],jultotal3059718395107[[#Headers],[11]],tabela_registros[REGISTRO],DADOS!$N$5)</f>
        <v>0</v>
      </c>
      <c r="P25" s="88">
        <f>SUMIFS(tabela_registros[VALOR],tabela_registros[MÊS],$AE$1,tabela_registros[DIA],jultotal3059718395107[[#Headers],[12]],tabela_registros[REGISTRO],DADOS!$N$5)</f>
        <v>0</v>
      </c>
      <c r="Q25" s="88">
        <f>SUMIFS(tabela_registros[VALOR],tabela_registros[MÊS],$AE$1,tabela_registros[DIA],jultotal3059718395107[[#Headers],[13]],tabela_registros[REGISTRO],DADOS!$N$5)</f>
        <v>0</v>
      </c>
      <c r="R25" s="88">
        <f>SUMIFS(tabela_registros[VALOR],tabela_registros[MÊS],$AE$1,tabela_registros[DIA],jultotal3059718395107[[#Headers],[14]],tabela_registros[REGISTRO],DADOS!$N$5)</f>
        <v>0</v>
      </c>
      <c r="S25" s="88">
        <f>SUMIFS(tabela_registros[VALOR],tabela_registros[MÊS],$AE$1,tabela_registros[DIA],jultotal3059718395107[[#Headers],[15]],tabela_registros[REGISTRO],DADOS!$N$5)</f>
        <v>0</v>
      </c>
      <c r="T25" s="88">
        <f>SUMIFS(tabela_registros[VALOR],tabela_registros[MÊS],$AE$1,tabela_registros[DIA],jultotal3059718395107[[#Headers],[16]],tabela_registros[REGISTRO],DADOS!$N$5)</f>
        <v>0</v>
      </c>
      <c r="U25" s="88">
        <f>SUMIFS(tabela_registros[VALOR],tabela_registros[MÊS],$AE$1,tabela_registros[DIA],jultotal3059718395107[[#Headers],[17]],tabela_registros[REGISTRO],DADOS!$N$5)</f>
        <v>0</v>
      </c>
      <c r="V25" s="88">
        <f>SUMIFS(tabela_registros[VALOR],tabela_registros[MÊS],$AE$1,tabela_registros[DIA],jultotal3059718395107[[#Headers],[18]],tabela_registros[REGISTRO],DADOS!$N$5)</f>
        <v>0</v>
      </c>
      <c r="W25" s="88">
        <f>SUMIFS(tabela_registros[VALOR],tabela_registros[MÊS],$AE$1,tabela_registros[DIA],jultotal3059718395107[[#Headers],[19]],tabela_registros[REGISTRO],DADOS!$N$5)</f>
        <v>0</v>
      </c>
      <c r="X25" s="88">
        <f>SUMIFS(tabela_registros[VALOR],tabela_registros[MÊS],$AE$1,tabela_registros[DIA],jultotal3059718395107[[#Headers],[20]],tabela_registros[REGISTRO],DADOS!$N$5)</f>
        <v>0</v>
      </c>
      <c r="Y25" s="88">
        <f>SUMIFS(tabela_registros[VALOR],tabela_registros[MÊS],$AE$1,tabela_registros[DIA],jultotal3059718395107[[#Headers],[21]],tabela_registros[REGISTRO],DADOS!$N$5)</f>
        <v>0</v>
      </c>
      <c r="Z25" s="88">
        <f>SUMIFS(tabela_registros[VALOR],tabela_registros[MÊS],$AE$1,tabela_registros[DIA],jultotal3059718395107[[#Headers],[22]],tabela_registros[REGISTRO],DADOS!$N$5)</f>
        <v>0</v>
      </c>
      <c r="AA25" s="88">
        <f>SUMIFS(tabela_registros[VALOR],tabela_registros[MÊS],$AE$1,tabela_registros[DIA],jultotal3059718395107[[#Headers],[23]],tabela_registros[REGISTRO],DADOS!$N$5)</f>
        <v>0</v>
      </c>
      <c r="AB25" s="88">
        <f>SUMIFS(tabela_registros[VALOR],tabela_registros[MÊS],$AE$1,tabela_registros[DIA],jultotal3059718395107[[#Headers],[24]],tabela_registros[REGISTRO],DADOS!$N$5)</f>
        <v>0</v>
      </c>
      <c r="AC25" s="88">
        <f>SUMIFS(tabela_registros[VALOR],tabela_registros[MÊS],$AE$1,tabela_registros[DIA],jultotal3059718395107[[#Headers],[25]],tabela_registros[REGISTRO],DADOS!$N$5)</f>
        <v>0</v>
      </c>
      <c r="AD25" s="88">
        <f>SUMIFS(tabela_registros[VALOR],tabela_registros[MÊS],$AE$1,tabela_registros[DIA],jultotal3059718395107[[#Headers],[26]],tabela_registros[REGISTRO],DADOS!$N$5)</f>
        <v>0</v>
      </c>
      <c r="AE25" s="88">
        <f>SUMIFS(tabela_registros[VALOR],tabela_registros[MÊS],$AE$1,tabela_registros[DIA],jultotal3059718395107[[#Headers],[27]],tabela_registros[REGISTRO],DADOS!$N$5)</f>
        <v>0</v>
      </c>
      <c r="AF25" s="88">
        <f>SUMIFS(tabela_registros[VALOR],tabela_registros[MÊS],$AE$1,tabela_registros[DIA],jultotal3059718395107[[#Headers],[28]],tabela_registros[REGISTRO],DADOS!$N$5)</f>
        <v>0</v>
      </c>
      <c r="AG25" s="88">
        <f>SUMIFS(tabela_registros[VALOR],tabela_registros[MÊS],$AE$1,tabela_registros[DIA],jultotal3059718395107[[#Headers],[29]],tabela_registros[REGISTRO],DADOS!$N$5)</f>
        <v>0</v>
      </c>
      <c r="AH25" s="88">
        <f>SUMIFS(tabela_registros[VALOR],tabela_registros[MÊS],$AE$1,tabela_registros[DIA],jultotal3059718395107[[#Headers],[30]],tabela_registros[REGISTRO],DADOS!$N$5)</f>
        <v>0</v>
      </c>
      <c r="AI25" s="89">
        <f>SUMIFS(tabela_registros[VALOR],tabela_registros[MÊS],$AE$1,tabela_registros[DIA],jultotal3059718395107[[#Headers],[31]],tabela_registros[REGISTRO],DADOS!$N$5)</f>
        <v>0</v>
      </c>
      <c r="AJ25" s="90">
        <f>SUM(E25:AI25)</f>
        <v>0</v>
      </c>
      <c r="AK25" s="49"/>
    </row>
    <row r="26" spans="1:37" ht="18" customHeight="1" thickTop="1" thickBot="1" x14ac:dyDescent="0.3">
      <c r="B26" s="49"/>
      <c r="C26" s="59" t="s">
        <v>8</v>
      </c>
      <c r="D26" s="58"/>
      <c r="E26" s="91">
        <f>SUMIFS(tabela_registros[VALOR],tabela_registros[MÊS],$AE$1,tabela_registros[DIA],jultotal3059718395107[[#Headers],[1]],tabela_registros[REGISTRO],DADOS!$N$6)</f>
        <v>0</v>
      </c>
      <c r="F26" s="91">
        <f>SUMIFS(tabela_registros[VALOR],tabela_registros[MÊS],$AE$1,tabela_registros[DIA],jultotal3059718395107[[#Headers],[2]],tabela_registros[REGISTRO],DADOS!$N$6)</f>
        <v>0</v>
      </c>
      <c r="G26" s="91">
        <f>SUMIFS(tabela_registros[VALOR],tabela_registros[MÊS],$AE$1,tabela_registros[DIA],jultotal3059718395107[[#Headers],[3]],tabela_registros[REGISTRO],DADOS!$N$6)</f>
        <v>0</v>
      </c>
      <c r="H26" s="91">
        <f>SUMIFS(tabela_registros[VALOR],tabela_registros[MÊS],$AE$1,tabela_registros[DIA],jultotal3059718395107[[#Headers],[4]],tabela_registros[REGISTRO],DADOS!$N$6)</f>
        <v>0</v>
      </c>
      <c r="I26" s="91">
        <f>SUMIFS(tabela_registros[VALOR],tabela_registros[MÊS],$AE$1,tabela_registros[DIA],jultotal3059718395107[[#Headers],[5]],tabela_registros[REGISTRO],DADOS!$N$6)</f>
        <v>0</v>
      </c>
      <c r="J26" s="91">
        <f>SUMIFS(tabela_registros[VALOR],tabela_registros[MÊS],$AE$1,tabela_registros[DIA],jultotal3059718395107[[#Headers],[6]],tabela_registros[REGISTRO],DADOS!$N$6)</f>
        <v>0</v>
      </c>
      <c r="K26" s="91">
        <f>SUMIFS(tabela_registros[VALOR],tabela_registros[MÊS],$AE$1,tabela_registros[DIA],jultotal3059718395107[[#Headers],[7]],tabela_registros[REGISTRO],DADOS!$N$6)</f>
        <v>0</v>
      </c>
      <c r="L26" s="91">
        <f>SUMIFS(tabela_registros[VALOR],tabela_registros[MÊS],$AE$1,tabela_registros[DIA],jultotal3059718395107[[#Headers],[8]],tabela_registros[REGISTRO],DADOS!$N$6)</f>
        <v>0</v>
      </c>
      <c r="M26" s="91">
        <f>SUMIFS(tabela_registros[VALOR],tabela_registros[MÊS],$AE$1,tabela_registros[DIA],jultotal3059718395107[[#Headers],[9]],tabela_registros[REGISTRO],DADOS!$N$6)</f>
        <v>0</v>
      </c>
      <c r="N26" s="91">
        <f>SUMIFS(tabela_registros[VALOR],tabela_registros[MÊS],$AE$1,tabela_registros[DIA],jultotal3059718395107[[#Headers],[10]],tabela_registros[REGISTRO],DADOS!$N$6)</f>
        <v>0</v>
      </c>
      <c r="O26" s="91">
        <f>SUMIFS(tabela_registros[VALOR],tabela_registros[MÊS],$AE$1,tabela_registros[DIA],jultotal3059718395107[[#Headers],[11]],tabela_registros[REGISTRO],DADOS!$N$6)</f>
        <v>0</v>
      </c>
      <c r="P26" s="91">
        <f>SUMIFS(tabela_registros[VALOR],tabela_registros[MÊS],$AE$1,tabela_registros[DIA],jultotal3059718395107[[#Headers],[12]],tabela_registros[REGISTRO],DADOS!$N$6)</f>
        <v>0</v>
      </c>
      <c r="Q26" s="91">
        <f>SUMIFS(tabela_registros[VALOR],tabela_registros[MÊS],$AE$1,tabela_registros[DIA],jultotal3059718395107[[#Headers],[13]],tabela_registros[REGISTRO],DADOS!$N$6)</f>
        <v>0</v>
      </c>
      <c r="R26" s="91">
        <f>SUMIFS(tabela_registros[VALOR],tabela_registros[MÊS],$AE$1,tabela_registros[DIA],jultotal3059718395107[[#Headers],[14]],tabela_registros[REGISTRO],DADOS!$N$6)</f>
        <v>0</v>
      </c>
      <c r="S26" s="91">
        <f>SUMIFS(tabela_registros[VALOR],tabela_registros[MÊS],$AE$1,tabela_registros[DIA],jultotal3059718395107[[#Headers],[15]],tabela_registros[REGISTRO],DADOS!$N$6)</f>
        <v>0</v>
      </c>
      <c r="T26" s="91">
        <f>SUMIFS(tabela_registros[VALOR],tabela_registros[MÊS],$AE$1,tabela_registros[DIA],jultotal3059718395107[[#Headers],[16]],tabela_registros[REGISTRO],DADOS!$N$6)</f>
        <v>0</v>
      </c>
      <c r="U26" s="91">
        <f>SUMIFS(tabela_registros[VALOR],tabela_registros[MÊS],$AE$1,tabela_registros[DIA],jultotal3059718395107[[#Headers],[17]],tabela_registros[REGISTRO],DADOS!$N$6)</f>
        <v>0</v>
      </c>
      <c r="V26" s="91">
        <f>SUMIFS(tabela_registros[VALOR],tabela_registros[MÊS],$AE$1,tabela_registros[DIA],jultotal3059718395107[[#Headers],[18]],tabela_registros[REGISTRO],DADOS!$N$6)</f>
        <v>0</v>
      </c>
      <c r="W26" s="91">
        <f>SUMIFS(tabela_registros[VALOR],tabela_registros[MÊS],$AE$1,tabela_registros[DIA],jultotal3059718395107[[#Headers],[19]],tabela_registros[REGISTRO],DADOS!$N$6)</f>
        <v>0</v>
      </c>
      <c r="X26" s="91">
        <f>SUMIFS(tabela_registros[VALOR],tabela_registros[MÊS],$AE$1,tabela_registros[DIA],jultotal3059718395107[[#Headers],[20]],tabela_registros[REGISTRO],DADOS!$N$6)</f>
        <v>0</v>
      </c>
      <c r="Y26" s="91">
        <f>SUMIFS(tabela_registros[VALOR],tabela_registros[MÊS],$AE$1,tabela_registros[DIA],jultotal3059718395107[[#Headers],[21]],tabela_registros[REGISTRO],DADOS!$N$6)</f>
        <v>0</v>
      </c>
      <c r="Z26" s="91">
        <f>SUMIFS(tabela_registros[VALOR],tabela_registros[MÊS],$AE$1,tabela_registros[DIA],jultotal3059718395107[[#Headers],[22]],tabela_registros[REGISTRO],DADOS!$N$6)</f>
        <v>0</v>
      </c>
      <c r="AA26" s="91">
        <f>SUMIFS(tabela_registros[VALOR],tabela_registros[MÊS],$AE$1,tabela_registros[DIA],jultotal3059718395107[[#Headers],[23]],tabela_registros[REGISTRO],DADOS!$N$6)</f>
        <v>0</v>
      </c>
      <c r="AB26" s="91">
        <f>SUMIFS(tabela_registros[VALOR],tabela_registros[MÊS],$AE$1,tabela_registros[DIA],jultotal3059718395107[[#Headers],[24]],tabela_registros[REGISTRO],DADOS!$N$6)</f>
        <v>0</v>
      </c>
      <c r="AC26" s="91">
        <f>SUMIFS(tabela_registros[VALOR],tabela_registros[MÊS],$AE$1,tabela_registros[DIA],jultotal3059718395107[[#Headers],[25]],tabela_registros[REGISTRO],DADOS!$N$6)</f>
        <v>0</v>
      </c>
      <c r="AD26" s="91">
        <f>SUMIFS(tabela_registros[VALOR],tabela_registros[MÊS],$AE$1,tabela_registros[DIA],jultotal3059718395107[[#Headers],[26]],tabela_registros[REGISTRO],DADOS!$N$6)</f>
        <v>0</v>
      </c>
      <c r="AE26" s="91">
        <f>SUMIFS(tabela_registros[VALOR],tabela_registros[MÊS],$AE$1,tabela_registros[DIA],jultotal3059718395107[[#Headers],[27]],tabela_registros[REGISTRO],DADOS!$N$6)</f>
        <v>0</v>
      </c>
      <c r="AF26" s="91">
        <f>SUMIFS(tabela_registros[VALOR],tabela_registros[MÊS],$AE$1,tabela_registros[DIA],jultotal3059718395107[[#Headers],[28]],tabela_registros[REGISTRO],DADOS!$N$6)</f>
        <v>0</v>
      </c>
      <c r="AG26" s="91">
        <f>SUMIFS(tabela_registros[VALOR],tabela_registros[MÊS],$AE$1,tabela_registros[DIA],jultotal3059718395107[[#Headers],[29]],tabela_registros[REGISTRO],DADOS!$N$6)</f>
        <v>0</v>
      </c>
      <c r="AH26" s="91">
        <f>SUMIFS(tabela_registros[VALOR],tabela_registros[MÊS],$AE$1,tabela_registros[DIA],jultotal3059718395107[[#Headers],[30]],tabela_registros[REGISTRO],DADOS!$N$6)</f>
        <v>0</v>
      </c>
      <c r="AI26" s="92">
        <f>SUMIFS(tabela_registros[VALOR],tabela_registros[MÊS],$AE$1,tabela_registros[DIA],jultotal3059718395107[[#Headers],[31]],tabela_registros[REGISTRO],DADOS!$N$6)</f>
        <v>0</v>
      </c>
      <c r="AJ26" s="93">
        <f>SUM(E26:AI26)</f>
        <v>0</v>
      </c>
      <c r="AK26" s="49"/>
    </row>
    <row r="27" spans="1:37" s="16" customFormat="1" ht="21" customHeight="1" thickTop="1" thickBot="1" x14ac:dyDescent="0.35">
      <c r="B27" s="52"/>
      <c r="C27" s="57" t="s">
        <v>19</v>
      </c>
      <c r="D27" s="56"/>
      <c r="E27" s="55">
        <f>SUM(E25:E26)</f>
        <v>0</v>
      </c>
      <c r="F27" s="54">
        <f>SUM(F25:F26)+julinvestir2158708294106[[#This Row],[1]]</f>
        <v>0</v>
      </c>
      <c r="G27" s="54">
        <f>SUM(G25:G26)+julinvestir2158708294106[[#This Row],[2]]</f>
        <v>0</v>
      </c>
      <c r="H27" s="54">
        <f>SUM(H25:H26)+julinvestir2158708294106[[#This Row],[3]]</f>
        <v>0</v>
      </c>
      <c r="I27" s="54">
        <f>SUM(I25:I26)+julinvestir2158708294106[[#This Row],[4]]</f>
        <v>0</v>
      </c>
      <c r="J27" s="54">
        <f>SUM(J25:J26)+julinvestir2158708294106[[#This Row],[5]]</f>
        <v>0</v>
      </c>
      <c r="K27" s="54">
        <f>SUM(K25:K26)+julinvestir2158708294106[[#This Row],[6]]</f>
        <v>0</v>
      </c>
      <c r="L27" s="54">
        <f>SUM(L25:L26)+julinvestir2158708294106[[#This Row],[7]]</f>
        <v>0</v>
      </c>
      <c r="M27" s="54">
        <f>SUM(M25:M26)+julinvestir2158708294106[[#This Row],[8]]</f>
        <v>0</v>
      </c>
      <c r="N27" s="54">
        <f>SUM(N25:N26)+julinvestir2158708294106[[#This Row],[9]]</f>
        <v>0</v>
      </c>
      <c r="O27" s="54">
        <f>SUM(O25:O26)+julinvestir2158708294106[[#This Row],[10]]</f>
        <v>0</v>
      </c>
      <c r="P27" s="54">
        <f>SUM(P25:P26)+julinvestir2158708294106[[#This Row],[11]]</f>
        <v>0</v>
      </c>
      <c r="Q27" s="54">
        <f>SUM(Q25:Q26)+julinvestir2158708294106[[#This Row],[12]]</f>
        <v>0</v>
      </c>
      <c r="R27" s="54">
        <f>SUM(R25:R26)+julinvestir2158708294106[[#This Row],[13]]</f>
        <v>0</v>
      </c>
      <c r="S27" s="54">
        <f>SUM(S25:S26)+julinvestir2158708294106[[#This Row],[14]]</f>
        <v>0</v>
      </c>
      <c r="T27" s="54">
        <f>SUM(T25:T26)+julinvestir2158708294106[[#This Row],[15]]</f>
        <v>0</v>
      </c>
      <c r="U27" s="54">
        <f>SUM(U25:U26)+julinvestir2158708294106[[#This Row],[16]]</f>
        <v>0</v>
      </c>
      <c r="V27" s="54">
        <f>SUM(V25:V26)+julinvestir2158708294106[[#This Row],[17]]</f>
        <v>0</v>
      </c>
      <c r="W27" s="54">
        <f>SUM(W25:W26)+julinvestir2158708294106[[#This Row],[18]]</f>
        <v>0</v>
      </c>
      <c r="X27" s="54">
        <f>SUM(X25:X26)+julinvestir2158708294106[[#This Row],[19]]</f>
        <v>0</v>
      </c>
      <c r="Y27" s="54">
        <f>SUM(Y25:Y26)+julinvestir2158708294106[[#This Row],[20]]</f>
        <v>0</v>
      </c>
      <c r="Z27" s="54">
        <f>SUM(Z25:Z26)+julinvestir2158708294106[[#This Row],[21]]</f>
        <v>0</v>
      </c>
      <c r="AA27" s="54">
        <f>SUM(AA25:AA26)+julinvestir2158708294106[[#This Row],[22]]</f>
        <v>0</v>
      </c>
      <c r="AB27" s="54">
        <f>SUM(AB25:AB26)+julinvestir2158708294106[[#This Row],[23]]</f>
        <v>0</v>
      </c>
      <c r="AC27" s="54">
        <f>SUM(AC25:AC26)+julinvestir2158708294106[[#This Row],[24]]</f>
        <v>0</v>
      </c>
      <c r="AD27" s="54">
        <f>SUM(AD25:AD26)+julinvestir2158708294106[[#This Row],[25]]</f>
        <v>0</v>
      </c>
      <c r="AE27" s="54">
        <f>SUM(AE25:AE26)+julinvestir2158708294106[[#This Row],[26]]</f>
        <v>0</v>
      </c>
      <c r="AF27" s="54">
        <f>SUM(AF25:AF26)+julinvestir2158708294106[[#This Row],[27]]</f>
        <v>0</v>
      </c>
      <c r="AG27" s="54">
        <f>SUM(AG25:AG26)+julinvestir2158708294106[[#This Row],[28]]</f>
        <v>0</v>
      </c>
      <c r="AH27" s="54">
        <f>SUM(AH25:AH26)+julinvestir2158708294106[[#This Row],[29]]</f>
        <v>0</v>
      </c>
      <c r="AI27" s="62">
        <f>SUM(AI25:AI26)+julinvestir2158708294106[[#This Row],[30]]</f>
        <v>0</v>
      </c>
      <c r="AJ27" s="53">
        <f>julinvestir2158708294106[[#This Row],[31]]</f>
        <v>0</v>
      </c>
      <c r="AK27" s="52"/>
    </row>
    <row r="28" spans="1:37" ht="6.75" hidden="1" customHeight="1" thickTop="1" thickBot="1" x14ac:dyDescent="0.35">
      <c r="B28" s="49"/>
      <c r="C28" t="s">
        <v>204</v>
      </c>
      <c r="D28"/>
      <c r="E28" s="51">
        <f>SUBTOTAL(109,julinvestir2158708294106[1])</f>
        <v>0</v>
      </c>
      <c r="F28" s="51">
        <f>SUBTOTAL(109,julinvestir2158708294106[2])</f>
        <v>0</v>
      </c>
      <c r="G28" s="51">
        <f>SUBTOTAL(109,julinvestir2158708294106[3])</f>
        <v>0</v>
      </c>
      <c r="H28" s="51">
        <f>SUBTOTAL(109,julinvestir2158708294106[4])</f>
        <v>0</v>
      </c>
      <c r="I28" s="51">
        <f>SUBTOTAL(109,julinvestir2158708294106[5])</f>
        <v>0</v>
      </c>
      <c r="J28" s="51">
        <f>SUBTOTAL(109,julinvestir2158708294106[6])</f>
        <v>0</v>
      </c>
      <c r="K28" s="51">
        <f>SUBTOTAL(109,julinvestir2158708294106[7])</f>
        <v>0</v>
      </c>
      <c r="L28" s="51">
        <f>SUBTOTAL(109,julinvestir2158708294106[8])</f>
        <v>0</v>
      </c>
      <c r="M28" s="51">
        <f>SUBTOTAL(109,julinvestir2158708294106[9])</f>
        <v>0</v>
      </c>
      <c r="N28" s="51">
        <f>SUBTOTAL(109,julinvestir2158708294106[10])</f>
        <v>0</v>
      </c>
      <c r="O28" s="51">
        <f>SUBTOTAL(109,julinvestir2158708294106[11])</f>
        <v>0</v>
      </c>
      <c r="P28" s="51">
        <f>SUBTOTAL(109,julinvestir2158708294106[12])</f>
        <v>0</v>
      </c>
      <c r="Q28" s="51">
        <f>SUBTOTAL(109,julinvestir2158708294106[13])</f>
        <v>0</v>
      </c>
      <c r="R28" s="51">
        <f>SUBTOTAL(109,julinvestir2158708294106[14])</f>
        <v>0</v>
      </c>
      <c r="S28" s="51">
        <f>SUBTOTAL(109,julinvestir2158708294106[15])</f>
        <v>0</v>
      </c>
      <c r="T28" s="51">
        <f>SUBTOTAL(109,julinvestir2158708294106[16])</f>
        <v>0</v>
      </c>
      <c r="U28" s="51">
        <f>SUBTOTAL(109,julinvestir2158708294106[17])</f>
        <v>0</v>
      </c>
      <c r="V28" s="51">
        <f>SUBTOTAL(109,julinvestir2158708294106[18])</f>
        <v>0</v>
      </c>
      <c r="W28" s="51">
        <f>SUBTOTAL(109,julinvestir2158708294106[19])</f>
        <v>0</v>
      </c>
      <c r="X28" s="51">
        <f>SUBTOTAL(109,julinvestir2158708294106[20])</f>
        <v>0</v>
      </c>
      <c r="Y28" s="51">
        <f>SUBTOTAL(109,julinvestir2158708294106[21])</f>
        <v>0</v>
      </c>
      <c r="Z28" s="51">
        <f>SUBTOTAL(109,julinvestir2158708294106[22])</f>
        <v>0</v>
      </c>
      <c r="AA28" s="51">
        <f>SUBTOTAL(109,julinvestir2158708294106[23])</f>
        <v>0</v>
      </c>
      <c r="AB28" s="51">
        <f>SUBTOTAL(109,julinvestir2158708294106[24])</f>
        <v>0</v>
      </c>
      <c r="AC28" s="51">
        <f>SUBTOTAL(109,julinvestir2158708294106[25])</f>
        <v>0</v>
      </c>
      <c r="AD28" s="51">
        <f>SUBTOTAL(109,julinvestir2158708294106[26])</f>
        <v>0</v>
      </c>
      <c r="AE28" s="51">
        <f>SUBTOTAL(109,julinvestir2158708294106[27])</f>
        <v>0</v>
      </c>
      <c r="AF28" s="51">
        <f>SUBTOTAL(109,julinvestir2158708294106[28])</f>
        <v>0</v>
      </c>
      <c r="AG28" s="51">
        <f>SUBTOTAL(109,julinvestir2158708294106[29])</f>
        <v>0</v>
      </c>
      <c r="AH28" s="51">
        <f>SUBTOTAL(109,julinvestir2158708294106[30])</f>
        <v>0</v>
      </c>
      <c r="AI28" s="51">
        <f>SUBTOTAL(109,julinvestir2158708294106[31])</f>
        <v>0</v>
      </c>
      <c r="AJ28" s="51">
        <f>SUBTOTAL(109,julinvestir2158708294106[TOTAL (R$)])</f>
        <v>0</v>
      </c>
      <c r="AK28" s="49"/>
    </row>
    <row r="29" spans="1:37" ht="6.75" customHeight="1" thickTop="1" thickBot="1" x14ac:dyDescent="0.3">
      <c r="B29" s="49"/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49"/>
      <c r="X29" s="49"/>
      <c r="Y29" s="49"/>
      <c r="Z29" s="49"/>
      <c r="AA29" s="49"/>
      <c r="AB29" s="49"/>
      <c r="AC29" s="49"/>
      <c r="AD29" s="49"/>
      <c r="AE29" s="49"/>
      <c r="AF29" s="49"/>
      <c r="AG29" s="49"/>
      <c r="AH29" s="49"/>
      <c r="AI29" s="50"/>
      <c r="AJ29" s="49"/>
      <c r="AK29" s="49"/>
    </row>
    <row r="30" spans="1:37" ht="12.6" thickTop="1" x14ac:dyDescent="0.25">
      <c r="C30" s="46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 s="47"/>
      <c r="Z30" s="47"/>
      <c r="AA30" s="47"/>
      <c r="AB30" s="47"/>
      <c r="AC30" s="47"/>
      <c r="AD30" s="47"/>
      <c r="AE30" s="47"/>
      <c r="AF30" s="47"/>
      <c r="AG30" s="47"/>
      <c r="AH30" s="47"/>
      <c r="AI30" s="47"/>
    </row>
    <row r="31" spans="1:37" x14ac:dyDescent="0.25">
      <c r="C31" s="46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47"/>
      <c r="X31" s="47"/>
      <c r="Y31" s="47"/>
      <c r="Z31" s="47"/>
      <c r="AA31" s="47"/>
      <c r="AB31" s="47"/>
      <c r="AC31" s="47"/>
      <c r="AD31" s="47"/>
      <c r="AE31" s="47"/>
      <c r="AF31" s="47"/>
      <c r="AG31" s="47"/>
      <c r="AH31" s="47"/>
      <c r="AI31" s="47"/>
    </row>
    <row r="32" spans="1:37" x14ac:dyDescent="0.25">
      <c r="C32" s="46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47"/>
      <c r="AB32" s="47"/>
      <c r="AC32" s="47"/>
      <c r="AD32" s="47"/>
      <c r="AE32" s="47"/>
      <c r="AF32" s="47"/>
      <c r="AG32" s="47"/>
      <c r="AH32" s="47"/>
      <c r="AI32" s="47"/>
    </row>
    <row r="33" spans="2:37" ht="39.75" customHeight="1" x14ac:dyDescent="0.25">
      <c r="C33" s="46"/>
      <c r="E33" s="240"/>
      <c r="F33" s="240"/>
      <c r="G33" s="240"/>
      <c r="H33" s="240"/>
      <c r="I33" s="240"/>
      <c r="J33" s="240"/>
      <c r="K33" s="240"/>
      <c r="L33" s="240"/>
      <c r="M33" s="240"/>
      <c r="N33" s="240"/>
      <c r="O33" s="240"/>
      <c r="P33" s="240"/>
      <c r="Q33" s="240"/>
      <c r="R33" s="240"/>
      <c r="S33" s="240"/>
      <c r="T33" s="240"/>
      <c r="U33" s="240"/>
      <c r="V33" s="240"/>
      <c r="W33" s="240"/>
      <c r="X33" s="240"/>
      <c r="Y33" s="240"/>
      <c r="Z33" s="240"/>
      <c r="AA33" s="240"/>
      <c r="AB33" s="240"/>
      <c r="AC33" s="240"/>
      <c r="AD33" s="240"/>
      <c r="AE33" s="240"/>
      <c r="AF33" s="240"/>
      <c r="AG33" s="240"/>
      <c r="AH33" s="240"/>
      <c r="AI33" s="240"/>
      <c r="AJ33" s="32" t="s">
        <v>19</v>
      </c>
    </row>
    <row r="34" spans="2:37" ht="11.25" customHeight="1" thickBot="1" x14ac:dyDescent="0.75">
      <c r="C34" s="36"/>
      <c r="AI34" s="4"/>
      <c r="AJ34" s="34" t="s">
        <v>202</v>
      </c>
    </row>
    <row r="35" spans="2:37" ht="6.75" customHeight="1" thickTop="1" thickBot="1" x14ac:dyDescent="0.3">
      <c r="B35" s="33"/>
      <c r="C35" s="45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F35" s="44"/>
      <c r="AG35" s="44"/>
      <c r="AH35" s="44"/>
      <c r="AI35" s="44"/>
      <c r="AJ35" s="43"/>
      <c r="AK35" s="33"/>
    </row>
    <row r="36" spans="2:37" ht="12.6" hidden="1" thickBot="1" x14ac:dyDescent="0.3">
      <c r="B36" s="2"/>
      <c r="C36" s="31" t="s">
        <v>132</v>
      </c>
      <c r="D36" s="30" t="s">
        <v>198</v>
      </c>
      <c r="E36" s="30" t="s">
        <v>197</v>
      </c>
      <c r="F36" s="30" t="s">
        <v>196</v>
      </c>
      <c r="G36" s="30" t="s">
        <v>195</v>
      </c>
      <c r="H36" s="30" t="s">
        <v>194</v>
      </c>
      <c r="I36" s="30" t="s">
        <v>193</v>
      </c>
      <c r="J36" s="30" t="s">
        <v>192</v>
      </c>
      <c r="K36" s="30" t="s">
        <v>191</v>
      </c>
      <c r="L36" s="30" t="s">
        <v>190</v>
      </c>
      <c r="M36" s="30" t="s">
        <v>189</v>
      </c>
      <c r="N36" s="30" t="s">
        <v>188</v>
      </c>
      <c r="O36" s="30" t="s">
        <v>187</v>
      </c>
      <c r="P36" s="30" t="s">
        <v>186</v>
      </c>
      <c r="Q36" s="30" t="s">
        <v>185</v>
      </c>
      <c r="R36" s="30" t="s">
        <v>184</v>
      </c>
      <c r="S36" s="30" t="s">
        <v>183</v>
      </c>
      <c r="T36" s="30" t="s">
        <v>182</v>
      </c>
      <c r="U36" s="30" t="s">
        <v>181</v>
      </c>
      <c r="V36" s="30" t="s">
        <v>180</v>
      </c>
      <c r="W36" s="30" t="s">
        <v>179</v>
      </c>
      <c r="X36" s="30" t="s">
        <v>178</v>
      </c>
      <c r="Y36" s="30" t="s">
        <v>177</v>
      </c>
      <c r="Z36" s="30" t="s">
        <v>176</v>
      </c>
      <c r="AA36" s="30" t="s">
        <v>175</v>
      </c>
      <c r="AB36" s="30" t="s">
        <v>174</v>
      </c>
      <c r="AC36" s="30" t="s">
        <v>173</v>
      </c>
      <c r="AD36" s="30" t="s">
        <v>172</v>
      </c>
      <c r="AE36" s="30" t="s">
        <v>171</v>
      </c>
      <c r="AF36" s="30" t="s">
        <v>170</v>
      </c>
      <c r="AG36" s="30" t="s">
        <v>169</v>
      </c>
      <c r="AH36" s="30" t="s">
        <v>168</v>
      </c>
      <c r="AI36" s="30" t="s">
        <v>167</v>
      </c>
      <c r="AJ36" s="42" t="s">
        <v>19</v>
      </c>
      <c r="AK36" s="2" t="s">
        <v>203</v>
      </c>
    </row>
    <row r="37" spans="2:37" ht="19.5" customHeight="1" thickTop="1" thickBot="1" x14ac:dyDescent="0.3">
      <c r="B37" s="28"/>
      <c r="C37" s="27" t="str">
        <f>DADOS!$R$3</f>
        <v>💧 ÁGUA</v>
      </c>
      <c r="D37" s="26" t="str">
        <f>IF(despesafixaconsolidadojul[[#This Row],[TOTAL]]=0,"",IF(OR(despesafixaconsolidadojul[[#This Row],[TOTAL]]=LARGE($AJ$37:$AJ$50,1),despesafixaconsolidadojul[[#This Row],[TOTAL]]=LARGE($AJ$37:$AJ$50,2),despesafixaconsolidadojul[[#This Row],[TOTAL]]=LARGE($AJ$37:$AJ$50,3),despesafixaconsolidadojul[[#This Row],[TOTAL]]=LARGE($AJ$37:$AJ$50,4),despesafixaconsolidadojul[[#This Row],[TOTAL]]=LARGE($AJ$37:$AJ$50,5)),DADOS!$I$8,""))</f>
        <v/>
      </c>
      <c r="E37" s="94">
        <f>SUMIFS(tabela_registros[VALOR],tabela_registros[MÊS],$AE$1,tabela_registros[DIA],jultotal3059718395107[[#Headers],[1]],tabela_registros[REGISTRO],DADOS!$N$4,tabela_registros[TIPO],DADOS!$P$3,tabela_registros[CATEGORIA],despesafixaconsolidadojul[[#This Row],[DESPESA FIXA]])</f>
        <v>0</v>
      </c>
      <c r="F37" s="88">
        <f>SUMIFS(tabela_registros[VALOR],tabela_registros[MÊS],$AE$1,tabela_registros[DIA],jultotal3059718395107[[#Headers],[2]],tabela_registros[REGISTRO],DADOS!$N$4,tabela_registros[TIPO],DADOS!$P$3,tabela_registros[CATEGORIA],despesafixaconsolidadojul[[#This Row],[DESPESA FIXA]])</f>
        <v>0</v>
      </c>
      <c r="G37" s="88">
        <f>SUMIFS(tabela_registros[VALOR],tabela_registros[MÊS],$AE$1,tabela_registros[DIA],jultotal3059718395107[[#Headers],[3]],tabela_registros[REGISTRO],DADOS!$N$4,tabela_registros[TIPO],DADOS!$P$3,tabela_registros[CATEGORIA],despesafixaconsolidadojul[[#This Row],[DESPESA FIXA]])</f>
        <v>0</v>
      </c>
      <c r="H37" s="88">
        <f>SUMIFS(tabela_registros[VALOR],tabela_registros[MÊS],$AE$1,tabela_registros[DIA],jultotal3059718395107[[#Headers],[4]],tabela_registros[REGISTRO],DADOS!$N$4,tabela_registros[TIPO],DADOS!$P$3,tabela_registros[CATEGORIA],despesafixaconsolidadojul[[#This Row],[DESPESA FIXA]])</f>
        <v>0</v>
      </c>
      <c r="I37" s="88">
        <f>SUMIFS(tabela_registros[VALOR],tabela_registros[MÊS],$AE$1,tabela_registros[DIA],jultotal3059718395107[[#Headers],[5]],tabela_registros[REGISTRO],DADOS!$N$4,tabela_registros[TIPO],DADOS!$P$3,tabela_registros[CATEGORIA],despesafixaconsolidadojul[[#This Row],[DESPESA FIXA]])</f>
        <v>0</v>
      </c>
      <c r="J37" s="88">
        <f>SUMIFS(tabela_registros[VALOR],tabela_registros[MÊS],$AE$1,tabela_registros[DIA],jultotal3059718395107[[#Headers],[6]],tabela_registros[REGISTRO],DADOS!$N$4,tabela_registros[TIPO],DADOS!$P$3,tabela_registros[CATEGORIA],despesafixaconsolidadojul[[#This Row],[DESPESA FIXA]])</f>
        <v>0</v>
      </c>
      <c r="K37" s="88">
        <f>SUMIFS(tabela_registros[VALOR],tabela_registros[MÊS],$AE$1,tabela_registros[DIA],jultotal3059718395107[[#Headers],[7]],tabela_registros[REGISTRO],DADOS!$N$4,tabela_registros[TIPO],DADOS!$P$3,tabela_registros[CATEGORIA],despesafixaconsolidadojul[[#This Row],[DESPESA FIXA]])</f>
        <v>0</v>
      </c>
      <c r="L37" s="88">
        <f>SUMIFS(tabela_registros[VALOR],tabela_registros[MÊS],$AE$1,tabela_registros[DIA],jultotal3059718395107[[#Headers],[8]],tabela_registros[REGISTRO],DADOS!$N$4,tabela_registros[TIPO],DADOS!$P$3,tabela_registros[CATEGORIA],despesafixaconsolidadojul[[#This Row],[DESPESA FIXA]])</f>
        <v>0</v>
      </c>
      <c r="M37" s="88">
        <f>SUMIFS(tabela_registros[VALOR],tabela_registros[MÊS],$AE$1,tabela_registros[DIA],jultotal3059718395107[[#Headers],[9]],tabela_registros[REGISTRO],DADOS!$N$4,tabela_registros[TIPO],DADOS!$P$3,tabela_registros[CATEGORIA],despesafixaconsolidadojul[[#This Row],[DESPESA FIXA]])</f>
        <v>0</v>
      </c>
      <c r="N37" s="88">
        <f>SUMIFS(tabela_registros[VALOR],tabela_registros[MÊS],$AE$1,tabela_registros[DIA],jultotal3059718395107[[#Headers],[10]],tabela_registros[REGISTRO],DADOS!$N$4,tabela_registros[TIPO],DADOS!$P$3,tabela_registros[CATEGORIA],despesafixaconsolidadojul[[#This Row],[DESPESA FIXA]])</f>
        <v>0</v>
      </c>
      <c r="O37" s="88">
        <f>SUMIFS(tabela_registros[VALOR],tabela_registros[MÊS],$AE$1,tabela_registros[DIA],jultotal3059718395107[[#Headers],[11]],tabela_registros[REGISTRO],DADOS!$N$4,tabela_registros[TIPO],DADOS!$P$3,tabela_registros[CATEGORIA],despesafixaconsolidadojul[[#This Row],[DESPESA FIXA]])</f>
        <v>0</v>
      </c>
      <c r="P37" s="88">
        <f>SUMIFS(tabela_registros[VALOR],tabela_registros[MÊS],$AE$1,tabela_registros[DIA],jultotal3059718395107[[#Headers],[12]],tabela_registros[REGISTRO],DADOS!$N$4,tabela_registros[TIPO],DADOS!$P$3,tabela_registros[CATEGORIA],despesafixaconsolidadojul[[#This Row],[DESPESA FIXA]])</f>
        <v>0</v>
      </c>
      <c r="Q37" s="88">
        <f>SUMIFS(tabela_registros[VALOR],tabela_registros[MÊS],$AE$1,tabela_registros[DIA],jultotal3059718395107[[#Headers],[13]],tabela_registros[REGISTRO],DADOS!$N$4,tabela_registros[TIPO],DADOS!$P$3,tabela_registros[CATEGORIA],despesafixaconsolidadojul[[#This Row],[DESPESA FIXA]])</f>
        <v>0</v>
      </c>
      <c r="R37" s="88">
        <f>SUMIFS(tabela_registros[VALOR],tabela_registros[MÊS],$AE$1,tabela_registros[DIA],jultotal3059718395107[[#Headers],[14]],tabela_registros[REGISTRO],DADOS!$N$4,tabela_registros[TIPO],DADOS!$P$3,tabela_registros[CATEGORIA],despesafixaconsolidadojul[[#This Row],[DESPESA FIXA]])</f>
        <v>0</v>
      </c>
      <c r="S37" s="88">
        <f>SUMIFS(tabela_registros[VALOR],tabela_registros[MÊS],$AE$1,tabela_registros[DIA],jultotal3059718395107[[#Headers],[15]],tabela_registros[REGISTRO],DADOS!$N$4,tabela_registros[TIPO],DADOS!$P$3,tabela_registros[CATEGORIA],despesafixaconsolidadojul[[#This Row],[DESPESA FIXA]])</f>
        <v>0</v>
      </c>
      <c r="T37" s="88">
        <f>SUMIFS(tabela_registros[VALOR],tabela_registros[MÊS],$AE$1,tabela_registros[DIA],jultotal3059718395107[[#Headers],[16]],tabela_registros[REGISTRO],DADOS!$N$4,tabela_registros[TIPO],DADOS!$P$3,tabela_registros[CATEGORIA],despesafixaconsolidadojul[[#This Row],[DESPESA FIXA]])</f>
        <v>0</v>
      </c>
      <c r="U37" s="88">
        <f>SUMIFS(tabela_registros[VALOR],tabela_registros[MÊS],$AE$1,tabela_registros[DIA],jultotal3059718395107[[#Headers],[17]],tabela_registros[REGISTRO],DADOS!$N$4,tabela_registros[TIPO],DADOS!$P$3,tabela_registros[CATEGORIA],despesafixaconsolidadojul[[#This Row],[DESPESA FIXA]])</f>
        <v>0</v>
      </c>
      <c r="V37" s="88">
        <f>SUMIFS(tabela_registros[VALOR],tabela_registros[MÊS],$AE$1,tabela_registros[DIA],jultotal3059718395107[[#Headers],[18]],tabela_registros[REGISTRO],DADOS!$N$4,tabela_registros[TIPO],DADOS!$P$3,tabela_registros[CATEGORIA],despesafixaconsolidadojul[[#This Row],[DESPESA FIXA]])</f>
        <v>0</v>
      </c>
      <c r="W37" s="88">
        <f>SUMIFS(tabela_registros[VALOR],tabela_registros[MÊS],$AE$1,tabela_registros[DIA],jultotal3059718395107[[#Headers],[19]],tabela_registros[REGISTRO],DADOS!$N$4,tabela_registros[TIPO],DADOS!$P$3,tabela_registros[CATEGORIA],despesafixaconsolidadojul[[#This Row],[DESPESA FIXA]])</f>
        <v>0</v>
      </c>
      <c r="X37" s="88">
        <f>SUMIFS(tabela_registros[VALOR],tabela_registros[MÊS],$AE$1,tabela_registros[DIA],jultotal3059718395107[[#Headers],[20]],tabela_registros[REGISTRO],DADOS!$N$4,tabela_registros[TIPO],DADOS!$P$3,tabela_registros[CATEGORIA],despesafixaconsolidadojul[[#This Row],[DESPESA FIXA]])</f>
        <v>0</v>
      </c>
      <c r="Y37" s="88">
        <f>SUMIFS(tabela_registros[VALOR],tabela_registros[MÊS],$AE$1,tabela_registros[DIA],jultotal3059718395107[[#Headers],[21]],tabela_registros[REGISTRO],DADOS!$N$4,tabela_registros[TIPO],DADOS!$P$3,tabela_registros[CATEGORIA],despesafixaconsolidadojul[[#This Row],[DESPESA FIXA]])</f>
        <v>0</v>
      </c>
      <c r="Z37" s="88">
        <f>SUMIFS(tabela_registros[VALOR],tabela_registros[MÊS],$AE$1,tabela_registros[DIA],jultotal3059718395107[[#Headers],[22]],tabela_registros[REGISTRO],DADOS!$N$4,tabela_registros[TIPO],DADOS!$P$3,tabela_registros[CATEGORIA],despesafixaconsolidadojul[[#This Row],[DESPESA FIXA]])</f>
        <v>0</v>
      </c>
      <c r="AA37" s="88">
        <f>SUMIFS(tabela_registros[VALOR],tabela_registros[MÊS],$AE$1,tabela_registros[DIA],jultotal3059718395107[[#Headers],[23]],tabela_registros[REGISTRO],DADOS!$N$4,tabela_registros[TIPO],DADOS!$P$3,tabela_registros[CATEGORIA],despesafixaconsolidadojul[[#This Row],[DESPESA FIXA]])</f>
        <v>0</v>
      </c>
      <c r="AB37" s="88">
        <f>SUMIFS(tabela_registros[VALOR],tabela_registros[MÊS],$AE$1,tabela_registros[DIA],jultotal3059718395107[[#Headers],[24]],tabela_registros[REGISTRO],DADOS!$N$4,tabela_registros[TIPO],DADOS!$P$3,tabela_registros[CATEGORIA],despesafixaconsolidadojul[[#This Row],[DESPESA FIXA]])</f>
        <v>0</v>
      </c>
      <c r="AC37" s="88">
        <f>SUMIFS(tabela_registros[VALOR],tabela_registros[MÊS],$AE$1,tabela_registros[DIA],jultotal3059718395107[[#Headers],[25]],tabela_registros[REGISTRO],DADOS!$N$4,tabela_registros[TIPO],DADOS!$P$3,tabela_registros[CATEGORIA],despesafixaconsolidadojul[[#This Row],[DESPESA FIXA]])</f>
        <v>0</v>
      </c>
      <c r="AD37" s="88">
        <f>SUMIFS(tabela_registros[VALOR],tabela_registros[MÊS],$AE$1,tabela_registros[DIA],jultotal3059718395107[[#Headers],[26]],tabela_registros[REGISTRO],DADOS!$N$4,tabela_registros[TIPO],DADOS!$P$3,tabela_registros[CATEGORIA],despesafixaconsolidadojul[[#This Row],[DESPESA FIXA]])</f>
        <v>0</v>
      </c>
      <c r="AE37" s="88">
        <f>SUMIFS(tabela_registros[VALOR],tabela_registros[MÊS],$AE$1,tabela_registros[DIA],jultotal3059718395107[[#Headers],[27]],tabela_registros[REGISTRO],DADOS!$N$4,tabela_registros[TIPO],DADOS!$P$3,tabela_registros[CATEGORIA],despesafixaconsolidadojul[[#This Row],[DESPESA FIXA]])</f>
        <v>0</v>
      </c>
      <c r="AF37" s="88">
        <f>SUMIFS(tabela_registros[VALOR],tabela_registros[MÊS],$AE$1,tabela_registros[DIA],jultotal3059718395107[[#Headers],[28]],tabela_registros[REGISTRO],DADOS!$N$4,tabela_registros[TIPO],DADOS!$P$3,tabela_registros[CATEGORIA],despesafixaconsolidadojul[[#This Row],[DESPESA FIXA]])</f>
        <v>0</v>
      </c>
      <c r="AG37" s="88">
        <f>SUMIFS(tabela_registros[VALOR],tabela_registros[MÊS],$AE$1,tabela_registros[DIA],jultotal3059718395107[[#Headers],[29]],tabela_registros[REGISTRO],DADOS!$N$4,tabela_registros[TIPO],DADOS!$P$3,tabela_registros[CATEGORIA],despesafixaconsolidadojul[[#This Row],[DESPESA FIXA]])</f>
        <v>0</v>
      </c>
      <c r="AH37" s="88">
        <f>SUMIFS(tabela_registros[VALOR],tabela_registros[MÊS],$AE$1,tabela_registros[DIA],jultotal3059718395107[[#Headers],[30]],tabela_registros[REGISTRO],DADOS!$N$4,tabela_registros[TIPO],DADOS!$P$3,tabela_registros[CATEGORIA],despesafixaconsolidadojul[[#This Row],[DESPESA FIXA]])</f>
        <v>0</v>
      </c>
      <c r="AI37" s="100">
        <f>SUMIFS(tabela_registros[VALOR],tabela_registros[MÊS],$AE$1,tabela_registros[DIA],jultotal3059718395107[[#Headers],[31]],tabela_registros[REGISTRO],DADOS!$N$4,tabela_registros[TIPO],DADOS!$P$3,tabela_registros[CATEGORIA],despesafixaconsolidadojul[[#This Row],[DESPESA FIXA]])</f>
        <v>0</v>
      </c>
      <c r="AJ37" s="95">
        <f>SUM(despesafixaconsolidadojul[[#This Row],[1]:[31]])</f>
        <v>0</v>
      </c>
      <c r="AK37" s="28"/>
    </row>
    <row r="38" spans="2:37" ht="18" customHeight="1" thickTop="1" thickBot="1" x14ac:dyDescent="0.3">
      <c r="B38" s="28"/>
      <c r="C38" s="27" t="str">
        <f>DADOS!$R$4</f>
        <v>🐶 ANIMAIS DE ESTIMAÇÃO</v>
      </c>
      <c r="D38" s="26" t="str">
        <f>IF(despesafixaconsolidadojul[[#This Row],[TOTAL]]=0,"",IF(OR(despesafixaconsolidadojul[[#This Row],[TOTAL]]=LARGE($AJ$37:$AJ$50,1),despesafixaconsolidadojul[[#This Row],[TOTAL]]=LARGE($AJ$37:$AJ$50,2),despesafixaconsolidadojul[[#This Row],[TOTAL]]=LARGE($AJ$37:$AJ$50,3),despesafixaconsolidadojul[[#This Row],[TOTAL]]=LARGE($AJ$37:$AJ$50,4),despesafixaconsolidadojul[[#This Row],[TOTAL]]=LARGE($AJ$37:$AJ$50,5)),DADOS!$I$8,""))</f>
        <v/>
      </c>
      <c r="E38" s="96">
        <f>SUMIFS(tabela_registros[VALOR],tabela_registros[MÊS],$AE$1,tabela_registros[DIA],jultotal3059718395107[[#Headers],[1]],tabela_registros[REGISTRO],DADOS!$N$4,tabela_registros[TIPO],DADOS!$P$3,tabela_registros[CATEGORIA],despesafixaconsolidadojul[[#This Row],[DESPESA FIXA]])</f>
        <v>0</v>
      </c>
      <c r="F38" s="91">
        <f>SUMIFS(tabela_registros[VALOR],tabela_registros[MÊS],$AE$1,tabela_registros[DIA],jultotal3059718395107[[#Headers],[2]],tabela_registros[REGISTRO],DADOS!$N$4,tabela_registros[TIPO],DADOS!$P$3,tabela_registros[CATEGORIA],despesafixaconsolidadojul[[#This Row],[DESPESA FIXA]])</f>
        <v>0</v>
      </c>
      <c r="G38" s="91">
        <f>SUMIFS(tabela_registros[VALOR],tabela_registros[MÊS],$AE$1,tabela_registros[DIA],jultotal3059718395107[[#Headers],[3]],tabela_registros[REGISTRO],DADOS!$N$4,tabela_registros[TIPO],DADOS!$P$3,tabela_registros[CATEGORIA],despesafixaconsolidadojul[[#This Row],[DESPESA FIXA]])</f>
        <v>0</v>
      </c>
      <c r="H38" s="91">
        <f>SUMIFS(tabela_registros[VALOR],tabela_registros[MÊS],$AE$1,tabela_registros[DIA],jultotal3059718395107[[#Headers],[4]],tabela_registros[REGISTRO],DADOS!$N$4,tabela_registros[TIPO],DADOS!$P$3,tabela_registros[CATEGORIA],despesafixaconsolidadojul[[#This Row],[DESPESA FIXA]])</f>
        <v>0</v>
      </c>
      <c r="I38" s="91">
        <f>SUMIFS(tabela_registros[VALOR],tabela_registros[MÊS],$AE$1,tabela_registros[DIA],jultotal3059718395107[[#Headers],[5]],tabela_registros[REGISTRO],DADOS!$N$4,tabela_registros[TIPO],DADOS!$P$3,tabela_registros[CATEGORIA],despesafixaconsolidadojul[[#This Row],[DESPESA FIXA]])</f>
        <v>0</v>
      </c>
      <c r="J38" s="91">
        <f>SUMIFS(tabela_registros[VALOR],tabela_registros[MÊS],$AE$1,tabela_registros[DIA],jultotal3059718395107[[#Headers],[6]],tabela_registros[REGISTRO],DADOS!$N$4,tabela_registros[TIPO],DADOS!$P$3,tabela_registros[CATEGORIA],despesafixaconsolidadojul[[#This Row],[DESPESA FIXA]])</f>
        <v>0</v>
      </c>
      <c r="K38" s="91">
        <f>SUMIFS(tabela_registros[VALOR],tabela_registros[MÊS],$AE$1,tabela_registros[DIA],jultotal3059718395107[[#Headers],[7]],tabela_registros[REGISTRO],DADOS!$N$4,tabela_registros[TIPO],DADOS!$P$3,tabela_registros[CATEGORIA],despesafixaconsolidadojul[[#This Row],[DESPESA FIXA]])</f>
        <v>0</v>
      </c>
      <c r="L38" s="91">
        <f>SUMIFS(tabela_registros[VALOR],tabela_registros[MÊS],$AE$1,tabela_registros[DIA],jultotal3059718395107[[#Headers],[8]],tabela_registros[REGISTRO],DADOS!$N$4,tabela_registros[TIPO],DADOS!$P$3,tabela_registros[CATEGORIA],despesafixaconsolidadojul[[#This Row],[DESPESA FIXA]])</f>
        <v>0</v>
      </c>
      <c r="M38" s="91">
        <f>SUMIFS(tabela_registros[VALOR],tabela_registros[MÊS],$AE$1,tabela_registros[DIA],jultotal3059718395107[[#Headers],[9]],tabela_registros[REGISTRO],DADOS!$N$4,tabela_registros[TIPO],DADOS!$P$3,tabela_registros[CATEGORIA],despesafixaconsolidadojul[[#This Row],[DESPESA FIXA]])</f>
        <v>0</v>
      </c>
      <c r="N38" s="91">
        <f>SUMIFS(tabela_registros[VALOR],tabela_registros[MÊS],$AE$1,tabela_registros[DIA],jultotal3059718395107[[#Headers],[10]],tabela_registros[REGISTRO],DADOS!$N$4,tabela_registros[TIPO],DADOS!$P$3,tabela_registros[CATEGORIA],despesafixaconsolidadojul[[#This Row],[DESPESA FIXA]])</f>
        <v>0</v>
      </c>
      <c r="O38" s="91">
        <f>SUMIFS(tabela_registros[VALOR],tabela_registros[MÊS],$AE$1,tabela_registros[DIA],jultotal3059718395107[[#Headers],[11]],tabela_registros[REGISTRO],DADOS!$N$4,tabela_registros[TIPO],DADOS!$P$3,tabela_registros[CATEGORIA],despesafixaconsolidadojul[[#This Row],[DESPESA FIXA]])</f>
        <v>0</v>
      </c>
      <c r="P38" s="91">
        <f>SUMIFS(tabela_registros[VALOR],tabela_registros[MÊS],$AE$1,tabela_registros[DIA],jultotal3059718395107[[#Headers],[12]],tabela_registros[REGISTRO],DADOS!$N$4,tabela_registros[TIPO],DADOS!$P$3,tabela_registros[CATEGORIA],despesafixaconsolidadojul[[#This Row],[DESPESA FIXA]])</f>
        <v>0</v>
      </c>
      <c r="Q38" s="91">
        <f>SUMIFS(tabela_registros[VALOR],tabela_registros[MÊS],$AE$1,tabela_registros[DIA],jultotal3059718395107[[#Headers],[13]],tabela_registros[REGISTRO],DADOS!$N$4,tabela_registros[TIPO],DADOS!$P$3,tabela_registros[CATEGORIA],despesafixaconsolidadojul[[#This Row],[DESPESA FIXA]])</f>
        <v>0</v>
      </c>
      <c r="R38" s="91">
        <f>SUMIFS(tabela_registros[VALOR],tabela_registros[MÊS],$AE$1,tabela_registros[DIA],jultotal3059718395107[[#Headers],[14]],tabela_registros[REGISTRO],DADOS!$N$4,tabela_registros[TIPO],DADOS!$P$3,tabela_registros[CATEGORIA],despesafixaconsolidadojul[[#This Row],[DESPESA FIXA]])</f>
        <v>0</v>
      </c>
      <c r="S38" s="91">
        <f>SUMIFS(tabela_registros[VALOR],tabela_registros[MÊS],$AE$1,tabela_registros[DIA],jultotal3059718395107[[#Headers],[15]],tabela_registros[REGISTRO],DADOS!$N$4,tabela_registros[TIPO],DADOS!$P$3,tabela_registros[CATEGORIA],despesafixaconsolidadojul[[#This Row],[DESPESA FIXA]])</f>
        <v>0</v>
      </c>
      <c r="T38" s="91">
        <f>SUMIFS(tabela_registros[VALOR],tabela_registros[MÊS],$AE$1,tabela_registros[DIA],jultotal3059718395107[[#Headers],[16]],tabela_registros[REGISTRO],DADOS!$N$4,tabela_registros[TIPO],DADOS!$P$3,tabela_registros[CATEGORIA],despesafixaconsolidadojul[[#This Row],[DESPESA FIXA]])</f>
        <v>0</v>
      </c>
      <c r="U38" s="91">
        <f>SUMIFS(tabela_registros[VALOR],tabela_registros[MÊS],$AE$1,tabela_registros[DIA],jultotal3059718395107[[#Headers],[17]],tabela_registros[REGISTRO],DADOS!$N$4,tabela_registros[TIPO],DADOS!$P$3,tabela_registros[CATEGORIA],despesafixaconsolidadojul[[#This Row],[DESPESA FIXA]])</f>
        <v>0</v>
      </c>
      <c r="V38" s="91">
        <f>SUMIFS(tabela_registros[VALOR],tabela_registros[MÊS],$AE$1,tabela_registros[DIA],jultotal3059718395107[[#Headers],[18]],tabela_registros[REGISTRO],DADOS!$N$4,tabela_registros[TIPO],DADOS!$P$3,tabela_registros[CATEGORIA],despesafixaconsolidadojul[[#This Row],[DESPESA FIXA]])</f>
        <v>0</v>
      </c>
      <c r="W38" s="91">
        <f>SUMIFS(tabela_registros[VALOR],tabela_registros[MÊS],$AE$1,tabela_registros[DIA],jultotal3059718395107[[#Headers],[19]],tabela_registros[REGISTRO],DADOS!$N$4,tabela_registros[TIPO],DADOS!$P$3,tabela_registros[CATEGORIA],despesafixaconsolidadojul[[#This Row],[DESPESA FIXA]])</f>
        <v>0</v>
      </c>
      <c r="X38" s="91">
        <f>SUMIFS(tabela_registros[VALOR],tabela_registros[MÊS],$AE$1,tabela_registros[DIA],jultotal3059718395107[[#Headers],[20]],tabela_registros[REGISTRO],DADOS!$N$4,tabela_registros[TIPO],DADOS!$P$3,tabela_registros[CATEGORIA],despesafixaconsolidadojul[[#This Row],[DESPESA FIXA]])</f>
        <v>0</v>
      </c>
      <c r="Y38" s="91">
        <f>SUMIFS(tabela_registros[VALOR],tabela_registros[MÊS],$AE$1,tabela_registros[DIA],jultotal3059718395107[[#Headers],[21]],tabela_registros[REGISTRO],DADOS!$N$4,tabela_registros[TIPO],DADOS!$P$3,tabela_registros[CATEGORIA],despesafixaconsolidadojul[[#This Row],[DESPESA FIXA]])</f>
        <v>0</v>
      </c>
      <c r="Z38" s="91">
        <f>SUMIFS(tabela_registros[VALOR],tabela_registros[MÊS],$AE$1,tabela_registros[DIA],jultotal3059718395107[[#Headers],[22]],tabela_registros[REGISTRO],DADOS!$N$4,tabela_registros[TIPO],DADOS!$P$3,tabela_registros[CATEGORIA],despesafixaconsolidadojul[[#This Row],[DESPESA FIXA]])</f>
        <v>0</v>
      </c>
      <c r="AA38" s="91">
        <f>SUMIFS(tabela_registros[VALOR],tabela_registros[MÊS],$AE$1,tabela_registros[DIA],jultotal3059718395107[[#Headers],[23]],tabela_registros[REGISTRO],DADOS!$N$4,tabela_registros[TIPO],DADOS!$P$3,tabela_registros[CATEGORIA],despesafixaconsolidadojul[[#This Row],[DESPESA FIXA]])</f>
        <v>0</v>
      </c>
      <c r="AB38" s="91">
        <f>SUMIFS(tabela_registros[VALOR],tabela_registros[MÊS],$AE$1,tabela_registros[DIA],jultotal3059718395107[[#Headers],[24]],tabela_registros[REGISTRO],DADOS!$N$4,tabela_registros[TIPO],DADOS!$P$3,tabela_registros[CATEGORIA],despesafixaconsolidadojul[[#This Row],[DESPESA FIXA]])</f>
        <v>0</v>
      </c>
      <c r="AC38" s="91">
        <f>SUMIFS(tabela_registros[VALOR],tabela_registros[MÊS],$AE$1,tabela_registros[DIA],jultotal3059718395107[[#Headers],[25]],tabela_registros[REGISTRO],DADOS!$N$4,tabela_registros[TIPO],DADOS!$P$3,tabela_registros[CATEGORIA],despesafixaconsolidadojul[[#This Row],[DESPESA FIXA]])</f>
        <v>0</v>
      </c>
      <c r="AD38" s="91">
        <f>SUMIFS(tabela_registros[VALOR],tabela_registros[MÊS],$AE$1,tabela_registros[DIA],jultotal3059718395107[[#Headers],[26]],tabela_registros[REGISTRO],DADOS!$N$4,tabela_registros[TIPO],DADOS!$P$3,tabela_registros[CATEGORIA],despesafixaconsolidadojul[[#This Row],[DESPESA FIXA]])</f>
        <v>0</v>
      </c>
      <c r="AE38" s="91">
        <f>SUMIFS(tabela_registros[VALOR],tabela_registros[MÊS],$AE$1,tabela_registros[DIA],jultotal3059718395107[[#Headers],[27]],tabela_registros[REGISTRO],DADOS!$N$4,tabela_registros[TIPO],DADOS!$P$3,tabela_registros[CATEGORIA],despesafixaconsolidadojul[[#This Row],[DESPESA FIXA]])</f>
        <v>0</v>
      </c>
      <c r="AF38" s="91">
        <f>SUMIFS(tabela_registros[VALOR],tabela_registros[MÊS],$AE$1,tabela_registros[DIA],jultotal3059718395107[[#Headers],[28]],tabela_registros[REGISTRO],DADOS!$N$4,tabela_registros[TIPO],DADOS!$P$3,tabela_registros[CATEGORIA],despesafixaconsolidadojul[[#This Row],[DESPESA FIXA]])</f>
        <v>0</v>
      </c>
      <c r="AG38" s="91">
        <f>SUMIFS(tabela_registros[VALOR],tabela_registros[MÊS],$AE$1,tabela_registros[DIA],jultotal3059718395107[[#Headers],[29]],tabela_registros[REGISTRO],DADOS!$N$4,tabela_registros[TIPO],DADOS!$P$3,tabela_registros[CATEGORIA],despesafixaconsolidadojul[[#This Row],[DESPESA FIXA]])</f>
        <v>0</v>
      </c>
      <c r="AH38" s="91">
        <f>SUMIFS(tabela_registros[VALOR],tabela_registros[MÊS],$AE$1,tabela_registros[DIA],jultotal3059718395107[[#Headers],[30]],tabela_registros[REGISTRO],DADOS!$N$4,tabela_registros[TIPO],DADOS!$P$3,tabela_registros[CATEGORIA],despesafixaconsolidadojul[[#This Row],[DESPESA FIXA]])</f>
        <v>0</v>
      </c>
      <c r="AI38" s="101">
        <f>SUMIFS(tabela_registros[VALOR],tabela_registros[MÊS],$AE$1,tabela_registros[DIA],jultotal3059718395107[[#Headers],[31]],tabela_registros[REGISTRO],DADOS!$N$4,tabela_registros[TIPO],DADOS!$P$3,tabela_registros[CATEGORIA],despesafixaconsolidadojul[[#This Row],[DESPESA FIXA]])</f>
        <v>0</v>
      </c>
      <c r="AJ38" s="97">
        <f>SUM(despesafixaconsolidadojul[[#This Row],[1]:[31]])</f>
        <v>0</v>
      </c>
      <c r="AK38" s="28"/>
    </row>
    <row r="39" spans="2:37" ht="18" customHeight="1" thickTop="1" thickBot="1" x14ac:dyDescent="0.3">
      <c r="B39" s="28"/>
      <c r="C39" s="27" t="str">
        <f>DADOS!$R$5</f>
        <v>🔖 ASSINATURAS E SERVIÇOS</v>
      </c>
      <c r="D39" s="26" t="str">
        <f>IF(despesafixaconsolidadojul[[#This Row],[TOTAL]]=0,"",IF(OR(despesafixaconsolidadojul[[#This Row],[TOTAL]]=LARGE($AJ$37:$AJ$50,1),despesafixaconsolidadojul[[#This Row],[TOTAL]]=LARGE($AJ$37:$AJ$50,2),despesafixaconsolidadojul[[#This Row],[TOTAL]]=LARGE($AJ$37:$AJ$50,3),despesafixaconsolidadojul[[#This Row],[TOTAL]]=LARGE($AJ$37:$AJ$50,4),despesafixaconsolidadojul[[#This Row],[TOTAL]]=LARGE($AJ$37:$AJ$50,5)),DADOS!$I$8,""))</f>
        <v/>
      </c>
      <c r="E39" s="96">
        <f>SUMIFS(tabela_registros[VALOR],tabela_registros[MÊS],$AE$1,tabela_registros[DIA],jultotal3059718395107[[#Headers],[1]],tabela_registros[REGISTRO],DADOS!$N$4,tabela_registros[TIPO],DADOS!$P$3,tabela_registros[CATEGORIA],despesafixaconsolidadojul[[#This Row],[DESPESA FIXA]])</f>
        <v>0</v>
      </c>
      <c r="F39" s="91">
        <f>SUMIFS(tabela_registros[VALOR],tabela_registros[MÊS],$AE$1,tabela_registros[DIA],jultotal3059718395107[[#Headers],[2]],tabela_registros[REGISTRO],DADOS!$N$4,tabela_registros[TIPO],DADOS!$P$3,tabela_registros[CATEGORIA],despesafixaconsolidadojul[[#This Row],[DESPESA FIXA]])</f>
        <v>0</v>
      </c>
      <c r="G39" s="91">
        <f>SUMIFS(tabela_registros[VALOR],tabela_registros[MÊS],$AE$1,tabela_registros[DIA],jultotal3059718395107[[#Headers],[3]],tabela_registros[REGISTRO],DADOS!$N$4,tabela_registros[TIPO],DADOS!$P$3,tabela_registros[CATEGORIA],despesafixaconsolidadojul[[#This Row],[DESPESA FIXA]])</f>
        <v>0</v>
      </c>
      <c r="H39" s="91">
        <f>SUMIFS(tabela_registros[VALOR],tabela_registros[MÊS],$AE$1,tabela_registros[DIA],jultotal3059718395107[[#Headers],[4]],tabela_registros[REGISTRO],DADOS!$N$4,tabela_registros[TIPO],DADOS!$P$3,tabela_registros[CATEGORIA],despesafixaconsolidadojul[[#This Row],[DESPESA FIXA]])</f>
        <v>0</v>
      </c>
      <c r="I39" s="91">
        <f>SUMIFS(tabela_registros[VALOR],tabela_registros[MÊS],$AE$1,tabela_registros[DIA],jultotal3059718395107[[#Headers],[5]],tabela_registros[REGISTRO],DADOS!$N$4,tabela_registros[TIPO],DADOS!$P$3,tabela_registros[CATEGORIA],despesafixaconsolidadojul[[#This Row],[DESPESA FIXA]])</f>
        <v>0</v>
      </c>
      <c r="J39" s="91">
        <f>SUMIFS(tabela_registros[VALOR],tabela_registros[MÊS],$AE$1,tabela_registros[DIA],jultotal3059718395107[[#Headers],[6]],tabela_registros[REGISTRO],DADOS!$N$4,tabela_registros[TIPO],DADOS!$P$3,tabela_registros[CATEGORIA],despesafixaconsolidadojul[[#This Row],[DESPESA FIXA]])</f>
        <v>0</v>
      </c>
      <c r="K39" s="91">
        <f>SUMIFS(tabela_registros[VALOR],tabela_registros[MÊS],$AE$1,tabela_registros[DIA],jultotal3059718395107[[#Headers],[7]],tabela_registros[REGISTRO],DADOS!$N$4,tabela_registros[TIPO],DADOS!$P$3,tabela_registros[CATEGORIA],despesafixaconsolidadojul[[#This Row],[DESPESA FIXA]])</f>
        <v>0</v>
      </c>
      <c r="L39" s="91">
        <f>SUMIFS(tabela_registros[VALOR],tabela_registros[MÊS],$AE$1,tabela_registros[DIA],jultotal3059718395107[[#Headers],[8]],tabela_registros[REGISTRO],DADOS!$N$4,tabela_registros[TIPO],DADOS!$P$3,tabela_registros[CATEGORIA],despesafixaconsolidadojul[[#This Row],[DESPESA FIXA]])</f>
        <v>0</v>
      </c>
      <c r="M39" s="91">
        <f>SUMIFS(tabela_registros[VALOR],tabela_registros[MÊS],$AE$1,tabela_registros[DIA],jultotal3059718395107[[#Headers],[9]],tabela_registros[REGISTRO],DADOS!$N$4,tabela_registros[TIPO],DADOS!$P$3,tabela_registros[CATEGORIA],despesafixaconsolidadojul[[#This Row],[DESPESA FIXA]])</f>
        <v>0</v>
      </c>
      <c r="N39" s="91">
        <f>SUMIFS(tabela_registros[VALOR],tabela_registros[MÊS],$AE$1,tabela_registros[DIA],jultotal3059718395107[[#Headers],[10]],tabela_registros[REGISTRO],DADOS!$N$4,tabela_registros[TIPO],DADOS!$P$3,tabela_registros[CATEGORIA],despesafixaconsolidadojul[[#This Row],[DESPESA FIXA]])</f>
        <v>0</v>
      </c>
      <c r="O39" s="91">
        <f>SUMIFS(tabela_registros[VALOR],tabela_registros[MÊS],$AE$1,tabela_registros[DIA],jultotal3059718395107[[#Headers],[11]],tabela_registros[REGISTRO],DADOS!$N$4,tabela_registros[TIPO],DADOS!$P$3,tabela_registros[CATEGORIA],despesafixaconsolidadojul[[#This Row],[DESPESA FIXA]])</f>
        <v>0</v>
      </c>
      <c r="P39" s="91">
        <f>SUMIFS(tabela_registros[VALOR],tabela_registros[MÊS],$AE$1,tabela_registros[DIA],jultotal3059718395107[[#Headers],[12]],tabela_registros[REGISTRO],DADOS!$N$4,tabela_registros[TIPO],DADOS!$P$3,tabela_registros[CATEGORIA],despesafixaconsolidadojul[[#This Row],[DESPESA FIXA]])</f>
        <v>0</v>
      </c>
      <c r="Q39" s="91">
        <f>SUMIFS(tabela_registros[VALOR],tabela_registros[MÊS],$AE$1,tabela_registros[DIA],jultotal3059718395107[[#Headers],[13]],tabela_registros[REGISTRO],DADOS!$N$4,tabela_registros[TIPO],DADOS!$P$3,tabela_registros[CATEGORIA],despesafixaconsolidadojul[[#This Row],[DESPESA FIXA]])</f>
        <v>0</v>
      </c>
      <c r="R39" s="91">
        <f>SUMIFS(tabela_registros[VALOR],tabela_registros[MÊS],$AE$1,tabela_registros[DIA],jultotal3059718395107[[#Headers],[14]],tabela_registros[REGISTRO],DADOS!$N$4,tabela_registros[TIPO],DADOS!$P$3,tabela_registros[CATEGORIA],despesafixaconsolidadojul[[#This Row],[DESPESA FIXA]])</f>
        <v>0</v>
      </c>
      <c r="S39" s="91">
        <f>SUMIFS(tabela_registros[VALOR],tabela_registros[MÊS],$AE$1,tabela_registros[DIA],jultotal3059718395107[[#Headers],[15]],tabela_registros[REGISTRO],DADOS!$N$4,tabela_registros[TIPO],DADOS!$P$3,tabela_registros[CATEGORIA],despesafixaconsolidadojul[[#This Row],[DESPESA FIXA]])</f>
        <v>0</v>
      </c>
      <c r="T39" s="91">
        <f>SUMIFS(tabela_registros[VALOR],tabela_registros[MÊS],$AE$1,tabela_registros[DIA],jultotal3059718395107[[#Headers],[16]],tabela_registros[REGISTRO],DADOS!$N$4,tabela_registros[TIPO],DADOS!$P$3,tabela_registros[CATEGORIA],despesafixaconsolidadojul[[#This Row],[DESPESA FIXA]])</f>
        <v>0</v>
      </c>
      <c r="U39" s="91">
        <f>SUMIFS(tabela_registros[VALOR],tabela_registros[MÊS],$AE$1,tabela_registros[DIA],jultotal3059718395107[[#Headers],[17]],tabela_registros[REGISTRO],DADOS!$N$4,tabela_registros[TIPO],DADOS!$P$3,tabela_registros[CATEGORIA],despesafixaconsolidadojul[[#This Row],[DESPESA FIXA]])</f>
        <v>0</v>
      </c>
      <c r="V39" s="91">
        <f>SUMIFS(tabela_registros[VALOR],tabela_registros[MÊS],$AE$1,tabela_registros[DIA],jultotal3059718395107[[#Headers],[18]],tabela_registros[REGISTRO],DADOS!$N$4,tabela_registros[TIPO],DADOS!$P$3,tabela_registros[CATEGORIA],despesafixaconsolidadojul[[#This Row],[DESPESA FIXA]])</f>
        <v>0</v>
      </c>
      <c r="W39" s="91">
        <f>SUMIFS(tabela_registros[VALOR],tabela_registros[MÊS],$AE$1,tabela_registros[DIA],jultotal3059718395107[[#Headers],[19]],tabela_registros[REGISTRO],DADOS!$N$4,tabela_registros[TIPO],DADOS!$P$3,tabela_registros[CATEGORIA],despesafixaconsolidadojul[[#This Row],[DESPESA FIXA]])</f>
        <v>0</v>
      </c>
      <c r="X39" s="91">
        <f>SUMIFS(tabela_registros[VALOR],tabela_registros[MÊS],$AE$1,tabela_registros[DIA],jultotal3059718395107[[#Headers],[20]],tabela_registros[REGISTRO],DADOS!$N$4,tabela_registros[TIPO],DADOS!$P$3,tabela_registros[CATEGORIA],despesafixaconsolidadojul[[#This Row],[DESPESA FIXA]])</f>
        <v>0</v>
      </c>
      <c r="Y39" s="91">
        <f>SUMIFS(tabela_registros[VALOR],tabela_registros[MÊS],$AE$1,tabela_registros[DIA],jultotal3059718395107[[#Headers],[21]],tabela_registros[REGISTRO],DADOS!$N$4,tabela_registros[TIPO],DADOS!$P$3,tabela_registros[CATEGORIA],despesafixaconsolidadojul[[#This Row],[DESPESA FIXA]])</f>
        <v>0</v>
      </c>
      <c r="Z39" s="91">
        <f>SUMIFS(tabela_registros[VALOR],tabela_registros[MÊS],$AE$1,tabela_registros[DIA],jultotal3059718395107[[#Headers],[22]],tabela_registros[REGISTRO],DADOS!$N$4,tabela_registros[TIPO],DADOS!$P$3,tabela_registros[CATEGORIA],despesafixaconsolidadojul[[#This Row],[DESPESA FIXA]])</f>
        <v>0</v>
      </c>
      <c r="AA39" s="91">
        <f>SUMIFS(tabela_registros[VALOR],tabela_registros[MÊS],$AE$1,tabela_registros[DIA],jultotal3059718395107[[#Headers],[23]],tabela_registros[REGISTRO],DADOS!$N$4,tabela_registros[TIPO],DADOS!$P$3,tabela_registros[CATEGORIA],despesafixaconsolidadojul[[#This Row],[DESPESA FIXA]])</f>
        <v>0</v>
      </c>
      <c r="AB39" s="91">
        <f>SUMIFS(tabela_registros[VALOR],tabela_registros[MÊS],$AE$1,tabela_registros[DIA],jultotal3059718395107[[#Headers],[24]],tabela_registros[REGISTRO],DADOS!$N$4,tabela_registros[TIPO],DADOS!$P$3,tabela_registros[CATEGORIA],despesafixaconsolidadojul[[#This Row],[DESPESA FIXA]])</f>
        <v>0</v>
      </c>
      <c r="AC39" s="91">
        <f>SUMIFS(tabela_registros[VALOR],tabela_registros[MÊS],$AE$1,tabela_registros[DIA],jultotal3059718395107[[#Headers],[25]],tabela_registros[REGISTRO],DADOS!$N$4,tabela_registros[TIPO],DADOS!$P$3,tabela_registros[CATEGORIA],despesafixaconsolidadojul[[#This Row],[DESPESA FIXA]])</f>
        <v>0</v>
      </c>
      <c r="AD39" s="91">
        <f>SUMIFS(tabela_registros[VALOR],tabela_registros[MÊS],$AE$1,tabela_registros[DIA],jultotal3059718395107[[#Headers],[26]],tabela_registros[REGISTRO],DADOS!$N$4,tabela_registros[TIPO],DADOS!$P$3,tabela_registros[CATEGORIA],despesafixaconsolidadojul[[#This Row],[DESPESA FIXA]])</f>
        <v>0</v>
      </c>
      <c r="AE39" s="91">
        <f>SUMIFS(tabela_registros[VALOR],tabela_registros[MÊS],$AE$1,tabela_registros[DIA],jultotal3059718395107[[#Headers],[27]],tabela_registros[REGISTRO],DADOS!$N$4,tabela_registros[TIPO],DADOS!$P$3,tabela_registros[CATEGORIA],despesafixaconsolidadojul[[#This Row],[DESPESA FIXA]])</f>
        <v>0</v>
      </c>
      <c r="AF39" s="91">
        <f>SUMIFS(tabela_registros[VALOR],tabela_registros[MÊS],$AE$1,tabela_registros[DIA],jultotal3059718395107[[#Headers],[28]],tabela_registros[REGISTRO],DADOS!$N$4,tabela_registros[TIPO],DADOS!$P$3,tabela_registros[CATEGORIA],despesafixaconsolidadojul[[#This Row],[DESPESA FIXA]])</f>
        <v>0</v>
      </c>
      <c r="AG39" s="91">
        <f>SUMIFS(tabela_registros[VALOR],tabela_registros[MÊS],$AE$1,tabela_registros[DIA],jultotal3059718395107[[#Headers],[29]],tabela_registros[REGISTRO],DADOS!$N$4,tabela_registros[TIPO],DADOS!$P$3,tabela_registros[CATEGORIA],despesafixaconsolidadojul[[#This Row],[DESPESA FIXA]])</f>
        <v>0</v>
      </c>
      <c r="AH39" s="91">
        <f>SUMIFS(tabela_registros[VALOR],tabela_registros[MÊS],$AE$1,tabela_registros[DIA],jultotal3059718395107[[#Headers],[30]],tabela_registros[REGISTRO],DADOS!$N$4,tabela_registros[TIPO],DADOS!$P$3,tabela_registros[CATEGORIA],despesafixaconsolidadojul[[#This Row],[DESPESA FIXA]])</f>
        <v>0</v>
      </c>
      <c r="AI39" s="101">
        <f>SUMIFS(tabela_registros[VALOR],tabela_registros[MÊS],$AE$1,tabela_registros[DIA],jultotal3059718395107[[#Headers],[31]],tabela_registros[REGISTRO],DADOS!$N$4,tabela_registros[TIPO],DADOS!$P$3,tabela_registros[CATEGORIA],despesafixaconsolidadojul[[#This Row],[DESPESA FIXA]])</f>
        <v>0</v>
      </c>
      <c r="AJ39" s="97">
        <f>SUM(despesafixaconsolidadojul[[#This Row],[1]:[31]])</f>
        <v>0</v>
      </c>
      <c r="AK39" s="28"/>
    </row>
    <row r="40" spans="2:37" ht="18" customHeight="1" thickTop="1" thickBot="1" x14ac:dyDescent="0.3">
      <c r="B40" s="28"/>
      <c r="C40" s="27" t="str">
        <f>DADOS!$R$6</f>
        <v>📱 CELULAR</v>
      </c>
      <c r="D40" s="26" t="str">
        <f>IF(despesafixaconsolidadojul[[#This Row],[TOTAL]]=0,"",IF(OR(despesafixaconsolidadojul[[#This Row],[TOTAL]]=LARGE($AJ$37:$AJ$50,1),despesafixaconsolidadojul[[#This Row],[TOTAL]]=LARGE($AJ$37:$AJ$50,2),despesafixaconsolidadojul[[#This Row],[TOTAL]]=LARGE($AJ$37:$AJ$50,3),despesafixaconsolidadojul[[#This Row],[TOTAL]]=LARGE($AJ$37:$AJ$50,4),despesafixaconsolidadojul[[#This Row],[TOTAL]]=LARGE($AJ$37:$AJ$50,5)),DADOS!$I$8,""))</f>
        <v/>
      </c>
      <c r="E40" s="96">
        <f>SUMIFS(tabela_registros[VALOR],tabela_registros[MÊS],$AE$1,tabela_registros[DIA],jultotal3059718395107[[#Headers],[1]],tabela_registros[REGISTRO],DADOS!$N$4,tabela_registros[TIPO],DADOS!$P$3,tabela_registros[CATEGORIA],despesafixaconsolidadojul[[#This Row],[DESPESA FIXA]])</f>
        <v>0</v>
      </c>
      <c r="F40" s="91">
        <f>SUMIFS(tabela_registros[VALOR],tabela_registros[MÊS],$AE$1,tabela_registros[DIA],jultotal3059718395107[[#Headers],[2]],tabela_registros[REGISTRO],DADOS!$N$4,tabela_registros[TIPO],DADOS!$P$3,tabela_registros[CATEGORIA],despesafixaconsolidadojul[[#This Row],[DESPESA FIXA]])</f>
        <v>0</v>
      </c>
      <c r="G40" s="91">
        <f>SUMIFS(tabela_registros[VALOR],tabela_registros[MÊS],$AE$1,tabela_registros[DIA],jultotal3059718395107[[#Headers],[3]],tabela_registros[REGISTRO],DADOS!$N$4,tabela_registros[TIPO],DADOS!$P$3,tabela_registros[CATEGORIA],despesafixaconsolidadojul[[#This Row],[DESPESA FIXA]])</f>
        <v>0</v>
      </c>
      <c r="H40" s="91">
        <f>SUMIFS(tabela_registros[VALOR],tabela_registros[MÊS],$AE$1,tabela_registros[DIA],jultotal3059718395107[[#Headers],[4]],tabela_registros[REGISTRO],DADOS!$N$4,tabela_registros[TIPO],DADOS!$P$3,tabela_registros[CATEGORIA],despesafixaconsolidadojul[[#This Row],[DESPESA FIXA]])</f>
        <v>0</v>
      </c>
      <c r="I40" s="91">
        <f>SUMIFS(tabela_registros[VALOR],tabela_registros[MÊS],$AE$1,tabela_registros[DIA],jultotal3059718395107[[#Headers],[5]],tabela_registros[REGISTRO],DADOS!$N$4,tabela_registros[TIPO],DADOS!$P$3,tabela_registros[CATEGORIA],despesafixaconsolidadojul[[#This Row],[DESPESA FIXA]])</f>
        <v>0</v>
      </c>
      <c r="J40" s="91">
        <f>SUMIFS(tabela_registros[VALOR],tabela_registros[MÊS],$AE$1,tabela_registros[DIA],jultotal3059718395107[[#Headers],[6]],tabela_registros[REGISTRO],DADOS!$N$4,tabela_registros[TIPO],DADOS!$P$3,tabela_registros[CATEGORIA],despesafixaconsolidadojul[[#This Row],[DESPESA FIXA]])</f>
        <v>0</v>
      </c>
      <c r="K40" s="91">
        <f>SUMIFS(tabela_registros[VALOR],tabela_registros[MÊS],$AE$1,tabela_registros[DIA],jultotal3059718395107[[#Headers],[7]],tabela_registros[REGISTRO],DADOS!$N$4,tabela_registros[TIPO],DADOS!$P$3,tabela_registros[CATEGORIA],despesafixaconsolidadojul[[#This Row],[DESPESA FIXA]])</f>
        <v>0</v>
      </c>
      <c r="L40" s="91">
        <f>SUMIFS(tabela_registros[VALOR],tabela_registros[MÊS],$AE$1,tabela_registros[DIA],jultotal3059718395107[[#Headers],[8]],tabela_registros[REGISTRO],DADOS!$N$4,tabela_registros[TIPO],DADOS!$P$3,tabela_registros[CATEGORIA],despesafixaconsolidadojul[[#This Row],[DESPESA FIXA]])</f>
        <v>0</v>
      </c>
      <c r="M40" s="91">
        <f>SUMIFS(tabela_registros[VALOR],tabela_registros[MÊS],$AE$1,tabela_registros[DIA],jultotal3059718395107[[#Headers],[9]],tabela_registros[REGISTRO],DADOS!$N$4,tabela_registros[TIPO],DADOS!$P$3,tabela_registros[CATEGORIA],despesafixaconsolidadojul[[#This Row],[DESPESA FIXA]])</f>
        <v>0</v>
      </c>
      <c r="N40" s="91">
        <f>SUMIFS(tabela_registros[VALOR],tabela_registros[MÊS],$AE$1,tabela_registros[DIA],jultotal3059718395107[[#Headers],[10]],tabela_registros[REGISTRO],DADOS!$N$4,tabela_registros[TIPO],DADOS!$P$3,tabela_registros[CATEGORIA],despesafixaconsolidadojul[[#This Row],[DESPESA FIXA]])</f>
        <v>0</v>
      </c>
      <c r="O40" s="91">
        <f>SUMIFS(tabela_registros[VALOR],tabela_registros[MÊS],$AE$1,tabela_registros[DIA],jultotal3059718395107[[#Headers],[11]],tabela_registros[REGISTRO],DADOS!$N$4,tabela_registros[TIPO],DADOS!$P$3,tabela_registros[CATEGORIA],despesafixaconsolidadojul[[#This Row],[DESPESA FIXA]])</f>
        <v>0</v>
      </c>
      <c r="P40" s="91">
        <f>SUMIFS(tabela_registros[VALOR],tabela_registros[MÊS],$AE$1,tabela_registros[DIA],jultotal3059718395107[[#Headers],[12]],tabela_registros[REGISTRO],DADOS!$N$4,tabela_registros[TIPO],DADOS!$P$3,tabela_registros[CATEGORIA],despesafixaconsolidadojul[[#This Row],[DESPESA FIXA]])</f>
        <v>0</v>
      </c>
      <c r="Q40" s="91">
        <f>SUMIFS(tabela_registros[VALOR],tabela_registros[MÊS],$AE$1,tabela_registros[DIA],jultotal3059718395107[[#Headers],[13]],tabela_registros[REGISTRO],DADOS!$N$4,tabela_registros[TIPO],DADOS!$P$3,tabela_registros[CATEGORIA],despesafixaconsolidadojul[[#This Row],[DESPESA FIXA]])</f>
        <v>0</v>
      </c>
      <c r="R40" s="91">
        <f>SUMIFS(tabela_registros[VALOR],tabela_registros[MÊS],$AE$1,tabela_registros[DIA],jultotal3059718395107[[#Headers],[14]],tabela_registros[REGISTRO],DADOS!$N$4,tabela_registros[TIPO],DADOS!$P$3,tabela_registros[CATEGORIA],despesafixaconsolidadojul[[#This Row],[DESPESA FIXA]])</f>
        <v>0</v>
      </c>
      <c r="S40" s="91">
        <f>SUMIFS(tabela_registros[VALOR],tabela_registros[MÊS],$AE$1,tabela_registros[DIA],jultotal3059718395107[[#Headers],[15]],tabela_registros[REGISTRO],DADOS!$N$4,tabela_registros[TIPO],DADOS!$P$3,tabela_registros[CATEGORIA],despesafixaconsolidadojul[[#This Row],[DESPESA FIXA]])</f>
        <v>0</v>
      </c>
      <c r="T40" s="91">
        <f>SUMIFS(tabela_registros[VALOR],tabela_registros[MÊS],$AE$1,tabela_registros[DIA],jultotal3059718395107[[#Headers],[16]],tabela_registros[REGISTRO],DADOS!$N$4,tabela_registros[TIPO],DADOS!$P$3,tabela_registros[CATEGORIA],despesafixaconsolidadojul[[#This Row],[DESPESA FIXA]])</f>
        <v>0</v>
      </c>
      <c r="U40" s="91">
        <f>SUMIFS(tabela_registros[VALOR],tabela_registros[MÊS],$AE$1,tabela_registros[DIA],jultotal3059718395107[[#Headers],[17]],tabela_registros[REGISTRO],DADOS!$N$4,tabela_registros[TIPO],DADOS!$P$3,tabela_registros[CATEGORIA],despesafixaconsolidadojul[[#This Row],[DESPESA FIXA]])</f>
        <v>0</v>
      </c>
      <c r="V40" s="91">
        <f>SUMIFS(tabela_registros[VALOR],tabela_registros[MÊS],$AE$1,tabela_registros[DIA],jultotal3059718395107[[#Headers],[18]],tabela_registros[REGISTRO],DADOS!$N$4,tabela_registros[TIPO],DADOS!$P$3,tabela_registros[CATEGORIA],despesafixaconsolidadojul[[#This Row],[DESPESA FIXA]])</f>
        <v>0</v>
      </c>
      <c r="W40" s="91">
        <f>SUMIFS(tabela_registros[VALOR],tabela_registros[MÊS],$AE$1,tabela_registros[DIA],jultotal3059718395107[[#Headers],[19]],tabela_registros[REGISTRO],DADOS!$N$4,tabela_registros[TIPO],DADOS!$P$3,tabela_registros[CATEGORIA],despesafixaconsolidadojul[[#This Row],[DESPESA FIXA]])</f>
        <v>0</v>
      </c>
      <c r="X40" s="91">
        <f>SUMIFS(tabela_registros[VALOR],tabela_registros[MÊS],$AE$1,tabela_registros[DIA],jultotal3059718395107[[#Headers],[20]],tabela_registros[REGISTRO],DADOS!$N$4,tabela_registros[TIPO],DADOS!$P$3,tabela_registros[CATEGORIA],despesafixaconsolidadojul[[#This Row],[DESPESA FIXA]])</f>
        <v>0</v>
      </c>
      <c r="Y40" s="91">
        <f>SUMIFS(tabela_registros[VALOR],tabela_registros[MÊS],$AE$1,tabela_registros[DIA],jultotal3059718395107[[#Headers],[21]],tabela_registros[REGISTRO],DADOS!$N$4,tabela_registros[TIPO],DADOS!$P$3,tabela_registros[CATEGORIA],despesafixaconsolidadojul[[#This Row],[DESPESA FIXA]])</f>
        <v>0</v>
      </c>
      <c r="Z40" s="91">
        <f>SUMIFS(tabela_registros[VALOR],tabela_registros[MÊS],$AE$1,tabela_registros[DIA],jultotal3059718395107[[#Headers],[22]],tabela_registros[REGISTRO],DADOS!$N$4,tabela_registros[TIPO],DADOS!$P$3,tabela_registros[CATEGORIA],despesafixaconsolidadojul[[#This Row],[DESPESA FIXA]])</f>
        <v>0</v>
      </c>
      <c r="AA40" s="91">
        <f>SUMIFS(tabela_registros[VALOR],tabela_registros[MÊS],$AE$1,tabela_registros[DIA],jultotal3059718395107[[#Headers],[23]],tabela_registros[REGISTRO],DADOS!$N$4,tabela_registros[TIPO],DADOS!$P$3,tabela_registros[CATEGORIA],despesafixaconsolidadojul[[#This Row],[DESPESA FIXA]])</f>
        <v>0</v>
      </c>
      <c r="AB40" s="91">
        <f>SUMIFS(tabela_registros[VALOR],tabela_registros[MÊS],$AE$1,tabela_registros[DIA],jultotal3059718395107[[#Headers],[24]],tabela_registros[REGISTRO],DADOS!$N$4,tabela_registros[TIPO],DADOS!$P$3,tabela_registros[CATEGORIA],despesafixaconsolidadojul[[#This Row],[DESPESA FIXA]])</f>
        <v>0</v>
      </c>
      <c r="AC40" s="91">
        <f>SUMIFS(tabela_registros[VALOR],tabela_registros[MÊS],$AE$1,tabela_registros[DIA],jultotal3059718395107[[#Headers],[25]],tabela_registros[REGISTRO],DADOS!$N$4,tabela_registros[TIPO],DADOS!$P$3,tabela_registros[CATEGORIA],despesafixaconsolidadojul[[#This Row],[DESPESA FIXA]])</f>
        <v>0</v>
      </c>
      <c r="AD40" s="91">
        <f>SUMIFS(tabela_registros[VALOR],tabela_registros[MÊS],$AE$1,tabela_registros[DIA],jultotal3059718395107[[#Headers],[26]],tabela_registros[REGISTRO],DADOS!$N$4,tabela_registros[TIPO],DADOS!$P$3,tabela_registros[CATEGORIA],despesafixaconsolidadojul[[#This Row],[DESPESA FIXA]])</f>
        <v>0</v>
      </c>
      <c r="AE40" s="91">
        <f>SUMIFS(tabela_registros[VALOR],tabela_registros[MÊS],$AE$1,tabela_registros[DIA],jultotal3059718395107[[#Headers],[27]],tabela_registros[REGISTRO],DADOS!$N$4,tabela_registros[TIPO],DADOS!$P$3,tabela_registros[CATEGORIA],despesafixaconsolidadojul[[#This Row],[DESPESA FIXA]])</f>
        <v>0</v>
      </c>
      <c r="AF40" s="91">
        <f>SUMIFS(tabela_registros[VALOR],tabela_registros[MÊS],$AE$1,tabela_registros[DIA],jultotal3059718395107[[#Headers],[28]],tabela_registros[REGISTRO],DADOS!$N$4,tabela_registros[TIPO],DADOS!$P$3,tabela_registros[CATEGORIA],despesafixaconsolidadojul[[#This Row],[DESPESA FIXA]])</f>
        <v>0</v>
      </c>
      <c r="AG40" s="91">
        <f>SUMIFS(tabela_registros[VALOR],tabela_registros[MÊS],$AE$1,tabela_registros[DIA],jultotal3059718395107[[#Headers],[29]],tabela_registros[REGISTRO],DADOS!$N$4,tabela_registros[TIPO],DADOS!$P$3,tabela_registros[CATEGORIA],despesafixaconsolidadojul[[#This Row],[DESPESA FIXA]])</f>
        <v>0</v>
      </c>
      <c r="AH40" s="91">
        <f>SUMIFS(tabela_registros[VALOR],tabela_registros[MÊS],$AE$1,tabela_registros[DIA],jultotal3059718395107[[#Headers],[30]],tabela_registros[REGISTRO],DADOS!$N$4,tabela_registros[TIPO],DADOS!$P$3,tabela_registros[CATEGORIA],despesafixaconsolidadojul[[#This Row],[DESPESA FIXA]])</f>
        <v>0</v>
      </c>
      <c r="AI40" s="101">
        <f>SUMIFS(tabela_registros[VALOR],tabela_registros[MÊS],$AE$1,tabela_registros[DIA],jultotal3059718395107[[#Headers],[31]],tabela_registros[REGISTRO],DADOS!$N$4,tabela_registros[TIPO],DADOS!$P$3,tabela_registros[CATEGORIA],despesafixaconsolidadojul[[#This Row],[DESPESA FIXA]])</f>
        <v>0</v>
      </c>
      <c r="AJ40" s="97">
        <f>SUM(despesafixaconsolidadojul[[#This Row],[1]:[31]])</f>
        <v>0</v>
      </c>
      <c r="AK40" s="28"/>
    </row>
    <row r="41" spans="2:37" ht="18" customHeight="1" thickTop="1" thickBot="1" x14ac:dyDescent="0.3">
      <c r="B41" s="28"/>
      <c r="C41" s="27" t="str">
        <f>DADOS!$R$7</f>
        <v>📖 EDUCAÇÃO</v>
      </c>
      <c r="D41" s="26" t="str">
        <f>IF(despesafixaconsolidadojul[[#This Row],[TOTAL]]=0,"",IF(OR(despesafixaconsolidadojul[[#This Row],[TOTAL]]=LARGE($AJ$37:$AJ$50,1),despesafixaconsolidadojul[[#This Row],[TOTAL]]=LARGE($AJ$37:$AJ$50,2),despesafixaconsolidadojul[[#This Row],[TOTAL]]=LARGE($AJ$37:$AJ$50,3),despesafixaconsolidadojul[[#This Row],[TOTAL]]=LARGE($AJ$37:$AJ$50,4),despesafixaconsolidadojul[[#This Row],[TOTAL]]=LARGE($AJ$37:$AJ$50,5)),DADOS!$I$8,""))</f>
        <v/>
      </c>
      <c r="E41" s="96">
        <f>SUMIFS(tabela_registros[VALOR],tabela_registros[MÊS],$AE$1,tabela_registros[DIA],jultotal3059718395107[[#Headers],[1]],tabela_registros[REGISTRO],DADOS!$N$4,tabela_registros[TIPO],DADOS!$P$3,tabela_registros[CATEGORIA],despesafixaconsolidadojul[[#This Row],[DESPESA FIXA]])</f>
        <v>0</v>
      </c>
      <c r="F41" s="91">
        <f>SUMIFS(tabela_registros[VALOR],tabela_registros[MÊS],$AE$1,tabela_registros[DIA],jultotal3059718395107[[#Headers],[2]],tabela_registros[REGISTRO],DADOS!$N$4,tabela_registros[TIPO],DADOS!$P$3,tabela_registros[CATEGORIA],despesafixaconsolidadojul[[#This Row],[DESPESA FIXA]])</f>
        <v>0</v>
      </c>
      <c r="G41" s="91">
        <f>SUMIFS(tabela_registros[VALOR],tabela_registros[MÊS],$AE$1,tabela_registros[DIA],jultotal3059718395107[[#Headers],[3]],tabela_registros[REGISTRO],DADOS!$N$4,tabela_registros[TIPO],DADOS!$P$3,tabela_registros[CATEGORIA],despesafixaconsolidadojul[[#This Row],[DESPESA FIXA]])</f>
        <v>0</v>
      </c>
      <c r="H41" s="91">
        <f>SUMIFS(tabela_registros[VALOR],tabela_registros[MÊS],$AE$1,tabela_registros[DIA],jultotal3059718395107[[#Headers],[4]],tabela_registros[REGISTRO],DADOS!$N$4,tabela_registros[TIPO],DADOS!$P$3,tabela_registros[CATEGORIA],despesafixaconsolidadojul[[#This Row],[DESPESA FIXA]])</f>
        <v>0</v>
      </c>
      <c r="I41" s="91">
        <f>SUMIFS(tabela_registros[VALOR],tabela_registros[MÊS],$AE$1,tabela_registros[DIA],jultotal3059718395107[[#Headers],[5]],tabela_registros[REGISTRO],DADOS!$N$4,tabela_registros[TIPO],DADOS!$P$3,tabela_registros[CATEGORIA],despesafixaconsolidadojul[[#This Row],[DESPESA FIXA]])</f>
        <v>0</v>
      </c>
      <c r="J41" s="91">
        <f>SUMIFS(tabela_registros[VALOR],tabela_registros[MÊS],$AE$1,tabela_registros[DIA],jultotal3059718395107[[#Headers],[6]],tabela_registros[REGISTRO],DADOS!$N$4,tabela_registros[TIPO],DADOS!$P$3,tabela_registros[CATEGORIA],despesafixaconsolidadojul[[#This Row],[DESPESA FIXA]])</f>
        <v>0</v>
      </c>
      <c r="K41" s="91">
        <f>SUMIFS(tabela_registros[VALOR],tabela_registros[MÊS],$AE$1,tabela_registros[DIA],jultotal3059718395107[[#Headers],[7]],tabela_registros[REGISTRO],DADOS!$N$4,tabela_registros[TIPO],DADOS!$P$3,tabela_registros[CATEGORIA],despesafixaconsolidadojul[[#This Row],[DESPESA FIXA]])</f>
        <v>0</v>
      </c>
      <c r="L41" s="91">
        <f>SUMIFS(tabela_registros[VALOR],tabela_registros[MÊS],$AE$1,tabela_registros[DIA],jultotal3059718395107[[#Headers],[8]],tabela_registros[REGISTRO],DADOS!$N$4,tabela_registros[TIPO],DADOS!$P$3,tabela_registros[CATEGORIA],despesafixaconsolidadojul[[#This Row],[DESPESA FIXA]])</f>
        <v>0</v>
      </c>
      <c r="M41" s="91">
        <f>SUMIFS(tabela_registros[VALOR],tabela_registros[MÊS],$AE$1,tabela_registros[DIA],jultotal3059718395107[[#Headers],[9]],tabela_registros[REGISTRO],DADOS!$N$4,tabela_registros[TIPO],DADOS!$P$3,tabela_registros[CATEGORIA],despesafixaconsolidadojul[[#This Row],[DESPESA FIXA]])</f>
        <v>0</v>
      </c>
      <c r="N41" s="91">
        <f>SUMIFS(tabela_registros[VALOR],tabela_registros[MÊS],$AE$1,tabela_registros[DIA],jultotal3059718395107[[#Headers],[10]],tabela_registros[REGISTRO],DADOS!$N$4,tabela_registros[TIPO],DADOS!$P$3,tabela_registros[CATEGORIA],despesafixaconsolidadojul[[#This Row],[DESPESA FIXA]])</f>
        <v>0</v>
      </c>
      <c r="O41" s="91">
        <f>SUMIFS(tabela_registros[VALOR],tabela_registros[MÊS],$AE$1,tabela_registros[DIA],jultotal3059718395107[[#Headers],[11]],tabela_registros[REGISTRO],DADOS!$N$4,tabela_registros[TIPO],DADOS!$P$3,tabela_registros[CATEGORIA],despesafixaconsolidadojul[[#This Row],[DESPESA FIXA]])</f>
        <v>0</v>
      </c>
      <c r="P41" s="91">
        <f>SUMIFS(tabela_registros[VALOR],tabela_registros[MÊS],$AE$1,tabela_registros[DIA],jultotal3059718395107[[#Headers],[12]],tabela_registros[REGISTRO],DADOS!$N$4,tabela_registros[TIPO],DADOS!$P$3,tabela_registros[CATEGORIA],despesafixaconsolidadojul[[#This Row],[DESPESA FIXA]])</f>
        <v>0</v>
      </c>
      <c r="Q41" s="91">
        <f>SUMIFS(tabela_registros[VALOR],tabela_registros[MÊS],$AE$1,tabela_registros[DIA],jultotal3059718395107[[#Headers],[13]],tabela_registros[REGISTRO],DADOS!$N$4,tabela_registros[TIPO],DADOS!$P$3,tabela_registros[CATEGORIA],despesafixaconsolidadojul[[#This Row],[DESPESA FIXA]])</f>
        <v>0</v>
      </c>
      <c r="R41" s="91">
        <f>SUMIFS(tabela_registros[VALOR],tabela_registros[MÊS],$AE$1,tabela_registros[DIA],jultotal3059718395107[[#Headers],[14]],tabela_registros[REGISTRO],DADOS!$N$4,tabela_registros[TIPO],DADOS!$P$3,tabela_registros[CATEGORIA],despesafixaconsolidadojul[[#This Row],[DESPESA FIXA]])</f>
        <v>0</v>
      </c>
      <c r="S41" s="91">
        <f>SUMIFS(tabela_registros[VALOR],tabela_registros[MÊS],$AE$1,tabela_registros[DIA],jultotal3059718395107[[#Headers],[15]],tabela_registros[REGISTRO],DADOS!$N$4,tabela_registros[TIPO],DADOS!$P$3,tabela_registros[CATEGORIA],despesafixaconsolidadojul[[#This Row],[DESPESA FIXA]])</f>
        <v>0</v>
      </c>
      <c r="T41" s="91">
        <f>SUMIFS(tabela_registros[VALOR],tabela_registros[MÊS],$AE$1,tabela_registros[DIA],jultotal3059718395107[[#Headers],[16]],tabela_registros[REGISTRO],DADOS!$N$4,tabela_registros[TIPO],DADOS!$P$3,tabela_registros[CATEGORIA],despesafixaconsolidadojul[[#This Row],[DESPESA FIXA]])</f>
        <v>0</v>
      </c>
      <c r="U41" s="91">
        <f>SUMIFS(tabela_registros[VALOR],tabela_registros[MÊS],$AE$1,tabela_registros[DIA],jultotal3059718395107[[#Headers],[17]],tabela_registros[REGISTRO],DADOS!$N$4,tabela_registros[TIPO],DADOS!$P$3,tabela_registros[CATEGORIA],despesafixaconsolidadojul[[#This Row],[DESPESA FIXA]])</f>
        <v>0</v>
      </c>
      <c r="V41" s="91">
        <f>SUMIFS(tabela_registros[VALOR],tabela_registros[MÊS],$AE$1,tabela_registros[DIA],jultotal3059718395107[[#Headers],[18]],tabela_registros[REGISTRO],DADOS!$N$4,tabela_registros[TIPO],DADOS!$P$3,tabela_registros[CATEGORIA],despesafixaconsolidadojul[[#This Row],[DESPESA FIXA]])</f>
        <v>0</v>
      </c>
      <c r="W41" s="91">
        <f>SUMIFS(tabela_registros[VALOR],tabela_registros[MÊS],$AE$1,tabela_registros[DIA],jultotal3059718395107[[#Headers],[19]],tabela_registros[REGISTRO],DADOS!$N$4,tabela_registros[TIPO],DADOS!$P$3,tabela_registros[CATEGORIA],despesafixaconsolidadojul[[#This Row],[DESPESA FIXA]])</f>
        <v>0</v>
      </c>
      <c r="X41" s="91">
        <f>SUMIFS(tabela_registros[VALOR],tabela_registros[MÊS],$AE$1,tabela_registros[DIA],jultotal3059718395107[[#Headers],[20]],tabela_registros[REGISTRO],DADOS!$N$4,tabela_registros[TIPO],DADOS!$P$3,tabela_registros[CATEGORIA],despesafixaconsolidadojul[[#This Row],[DESPESA FIXA]])</f>
        <v>0</v>
      </c>
      <c r="Y41" s="91">
        <f>SUMIFS(tabela_registros[VALOR],tabela_registros[MÊS],$AE$1,tabela_registros[DIA],jultotal3059718395107[[#Headers],[21]],tabela_registros[REGISTRO],DADOS!$N$4,tabela_registros[TIPO],DADOS!$P$3,tabela_registros[CATEGORIA],despesafixaconsolidadojul[[#This Row],[DESPESA FIXA]])</f>
        <v>0</v>
      </c>
      <c r="Z41" s="91">
        <f>SUMIFS(tabela_registros[VALOR],tabela_registros[MÊS],$AE$1,tabela_registros[DIA],jultotal3059718395107[[#Headers],[22]],tabela_registros[REGISTRO],DADOS!$N$4,tabela_registros[TIPO],DADOS!$P$3,tabela_registros[CATEGORIA],despesafixaconsolidadojul[[#This Row],[DESPESA FIXA]])</f>
        <v>0</v>
      </c>
      <c r="AA41" s="91">
        <f>SUMIFS(tabela_registros[VALOR],tabela_registros[MÊS],$AE$1,tabela_registros[DIA],jultotal3059718395107[[#Headers],[23]],tabela_registros[REGISTRO],DADOS!$N$4,tabela_registros[TIPO],DADOS!$P$3,tabela_registros[CATEGORIA],despesafixaconsolidadojul[[#This Row],[DESPESA FIXA]])</f>
        <v>0</v>
      </c>
      <c r="AB41" s="91">
        <f>SUMIFS(tabela_registros[VALOR],tabela_registros[MÊS],$AE$1,tabela_registros[DIA],jultotal3059718395107[[#Headers],[24]],tabela_registros[REGISTRO],DADOS!$N$4,tabela_registros[TIPO],DADOS!$P$3,tabela_registros[CATEGORIA],despesafixaconsolidadojul[[#This Row],[DESPESA FIXA]])</f>
        <v>0</v>
      </c>
      <c r="AC41" s="91">
        <f>SUMIFS(tabela_registros[VALOR],tabela_registros[MÊS],$AE$1,tabela_registros[DIA],jultotal3059718395107[[#Headers],[25]],tabela_registros[REGISTRO],DADOS!$N$4,tabela_registros[TIPO],DADOS!$P$3,tabela_registros[CATEGORIA],despesafixaconsolidadojul[[#This Row],[DESPESA FIXA]])</f>
        <v>0</v>
      </c>
      <c r="AD41" s="91">
        <f>SUMIFS(tabela_registros[VALOR],tabela_registros[MÊS],$AE$1,tabela_registros[DIA],jultotal3059718395107[[#Headers],[26]],tabela_registros[REGISTRO],DADOS!$N$4,tabela_registros[TIPO],DADOS!$P$3,tabela_registros[CATEGORIA],despesafixaconsolidadojul[[#This Row],[DESPESA FIXA]])</f>
        <v>0</v>
      </c>
      <c r="AE41" s="91">
        <f>SUMIFS(tabela_registros[VALOR],tabela_registros[MÊS],$AE$1,tabela_registros[DIA],jultotal3059718395107[[#Headers],[27]],tabela_registros[REGISTRO],DADOS!$N$4,tabela_registros[TIPO],DADOS!$P$3,tabela_registros[CATEGORIA],despesafixaconsolidadojul[[#This Row],[DESPESA FIXA]])</f>
        <v>0</v>
      </c>
      <c r="AF41" s="91">
        <f>SUMIFS(tabela_registros[VALOR],tabela_registros[MÊS],$AE$1,tabela_registros[DIA],jultotal3059718395107[[#Headers],[28]],tabela_registros[REGISTRO],DADOS!$N$4,tabela_registros[TIPO],DADOS!$P$3,tabela_registros[CATEGORIA],despesafixaconsolidadojul[[#This Row],[DESPESA FIXA]])</f>
        <v>0</v>
      </c>
      <c r="AG41" s="91">
        <f>SUMIFS(tabela_registros[VALOR],tabela_registros[MÊS],$AE$1,tabela_registros[DIA],jultotal3059718395107[[#Headers],[29]],tabela_registros[REGISTRO],DADOS!$N$4,tabela_registros[TIPO],DADOS!$P$3,tabela_registros[CATEGORIA],despesafixaconsolidadojul[[#This Row],[DESPESA FIXA]])</f>
        <v>0</v>
      </c>
      <c r="AH41" s="91">
        <f>SUMIFS(tabela_registros[VALOR],tabela_registros[MÊS],$AE$1,tabela_registros[DIA],jultotal3059718395107[[#Headers],[30]],tabela_registros[REGISTRO],DADOS!$N$4,tabela_registros[TIPO],DADOS!$P$3,tabela_registros[CATEGORIA],despesafixaconsolidadojul[[#This Row],[DESPESA FIXA]])</f>
        <v>0</v>
      </c>
      <c r="AI41" s="101">
        <f>SUMIFS(tabela_registros[VALOR],tabela_registros[MÊS],$AE$1,tabela_registros[DIA],jultotal3059718395107[[#Headers],[31]],tabela_registros[REGISTRO],DADOS!$N$4,tabela_registros[TIPO],DADOS!$P$3,tabela_registros[CATEGORIA],despesafixaconsolidadojul[[#This Row],[DESPESA FIXA]])</f>
        <v>0</v>
      </c>
      <c r="AJ41" s="97">
        <f>SUM(despesafixaconsolidadojul[[#This Row],[1]:[31]])</f>
        <v>0</v>
      </c>
      <c r="AK41" s="28"/>
    </row>
    <row r="42" spans="2:37" ht="18" customHeight="1" thickTop="1" thickBot="1" x14ac:dyDescent="0.3">
      <c r="B42" s="28"/>
      <c r="C42" s="27" t="str">
        <f>DADOS!$R$8</f>
        <v>🏦 EMPRÉSTIMO</v>
      </c>
      <c r="D42" s="26" t="str">
        <f>IF(despesafixaconsolidadojul[[#This Row],[TOTAL]]=0,"",IF(OR(despesafixaconsolidadojul[[#This Row],[TOTAL]]=LARGE($AJ$37:$AJ$50,1),despesafixaconsolidadojul[[#This Row],[TOTAL]]=LARGE($AJ$37:$AJ$50,2),despesafixaconsolidadojul[[#This Row],[TOTAL]]=LARGE($AJ$37:$AJ$50,3),despesafixaconsolidadojul[[#This Row],[TOTAL]]=LARGE($AJ$37:$AJ$50,4),despesafixaconsolidadojul[[#This Row],[TOTAL]]=LARGE($AJ$37:$AJ$50,5)),DADOS!$I$8,""))</f>
        <v/>
      </c>
      <c r="E42" s="96">
        <f>SUMIFS(tabela_registros[VALOR],tabela_registros[MÊS],$AE$1,tabela_registros[DIA],jultotal3059718395107[[#Headers],[1]],tabela_registros[REGISTRO],DADOS!$N$4,tabela_registros[TIPO],DADOS!$P$3,tabela_registros[CATEGORIA],despesafixaconsolidadojul[[#This Row],[DESPESA FIXA]])</f>
        <v>0</v>
      </c>
      <c r="F42" s="91">
        <f>SUMIFS(tabela_registros[VALOR],tabela_registros[MÊS],$AE$1,tabela_registros[DIA],jultotal3059718395107[[#Headers],[2]],tabela_registros[REGISTRO],DADOS!$N$4,tabela_registros[TIPO],DADOS!$P$3,tabela_registros[CATEGORIA],despesafixaconsolidadojul[[#This Row],[DESPESA FIXA]])</f>
        <v>0</v>
      </c>
      <c r="G42" s="91">
        <f>SUMIFS(tabela_registros[VALOR],tabela_registros[MÊS],$AE$1,tabela_registros[DIA],jultotal3059718395107[[#Headers],[3]],tabela_registros[REGISTRO],DADOS!$N$4,tabela_registros[TIPO],DADOS!$P$3,tabela_registros[CATEGORIA],despesafixaconsolidadojul[[#This Row],[DESPESA FIXA]])</f>
        <v>0</v>
      </c>
      <c r="H42" s="91">
        <f>SUMIFS(tabela_registros[VALOR],tabela_registros[MÊS],$AE$1,tabela_registros[DIA],jultotal3059718395107[[#Headers],[4]],tabela_registros[REGISTRO],DADOS!$N$4,tabela_registros[TIPO],DADOS!$P$3,tabela_registros[CATEGORIA],despesafixaconsolidadojul[[#This Row],[DESPESA FIXA]])</f>
        <v>0</v>
      </c>
      <c r="I42" s="91">
        <f>SUMIFS(tabela_registros[VALOR],tabela_registros[MÊS],$AE$1,tabela_registros[DIA],jultotal3059718395107[[#Headers],[5]],tabela_registros[REGISTRO],DADOS!$N$4,tabela_registros[TIPO],DADOS!$P$3,tabela_registros[CATEGORIA],despesafixaconsolidadojul[[#This Row],[DESPESA FIXA]])</f>
        <v>0</v>
      </c>
      <c r="J42" s="91">
        <f>SUMIFS(tabela_registros[VALOR],tabela_registros[MÊS],$AE$1,tabela_registros[DIA],jultotal3059718395107[[#Headers],[6]],tabela_registros[REGISTRO],DADOS!$N$4,tabela_registros[TIPO],DADOS!$P$3,tabela_registros[CATEGORIA],despesafixaconsolidadojul[[#This Row],[DESPESA FIXA]])</f>
        <v>0</v>
      </c>
      <c r="K42" s="91">
        <f>SUMIFS(tabela_registros[VALOR],tabela_registros[MÊS],$AE$1,tabela_registros[DIA],jultotal3059718395107[[#Headers],[7]],tabela_registros[REGISTRO],DADOS!$N$4,tabela_registros[TIPO],DADOS!$P$3,tabela_registros[CATEGORIA],despesafixaconsolidadojul[[#This Row],[DESPESA FIXA]])</f>
        <v>0</v>
      </c>
      <c r="L42" s="91">
        <f>SUMIFS(tabela_registros[VALOR],tabela_registros[MÊS],$AE$1,tabela_registros[DIA],jultotal3059718395107[[#Headers],[8]],tabela_registros[REGISTRO],DADOS!$N$4,tabela_registros[TIPO],DADOS!$P$3,tabela_registros[CATEGORIA],despesafixaconsolidadojul[[#This Row],[DESPESA FIXA]])</f>
        <v>0</v>
      </c>
      <c r="M42" s="91">
        <f>SUMIFS(tabela_registros[VALOR],tabela_registros[MÊS],$AE$1,tabela_registros[DIA],jultotal3059718395107[[#Headers],[9]],tabela_registros[REGISTRO],DADOS!$N$4,tabela_registros[TIPO],DADOS!$P$3,tabela_registros[CATEGORIA],despesafixaconsolidadojul[[#This Row],[DESPESA FIXA]])</f>
        <v>0</v>
      </c>
      <c r="N42" s="91">
        <f>SUMIFS(tabela_registros[VALOR],tabela_registros[MÊS],$AE$1,tabela_registros[DIA],jultotal3059718395107[[#Headers],[10]],tabela_registros[REGISTRO],DADOS!$N$4,tabela_registros[TIPO],DADOS!$P$3,tabela_registros[CATEGORIA],despesafixaconsolidadojul[[#This Row],[DESPESA FIXA]])</f>
        <v>0</v>
      </c>
      <c r="O42" s="91">
        <f>SUMIFS(tabela_registros[VALOR],tabela_registros[MÊS],$AE$1,tabela_registros[DIA],jultotal3059718395107[[#Headers],[11]],tabela_registros[REGISTRO],DADOS!$N$4,tabela_registros[TIPO],DADOS!$P$3,tabela_registros[CATEGORIA],despesafixaconsolidadojul[[#This Row],[DESPESA FIXA]])</f>
        <v>0</v>
      </c>
      <c r="P42" s="91">
        <f>SUMIFS(tabela_registros[VALOR],tabela_registros[MÊS],$AE$1,tabela_registros[DIA],jultotal3059718395107[[#Headers],[12]],tabela_registros[REGISTRO],DADOS!$N$4,tabela_registros[TIPO],DADOS!$P$3,tabela_registros[CATEGORIA],despesafixaconsolidadojul[[#This Row],[DESPESA FIXA]])</f>
        <v>0</v>
      </c>
      <c r="Q42" s="91">
        <f>SUMIFS(tabela_registros[VALOR],tabela_registros[MÊS],$AE$1,tabela_registros[DIA],jultotal3059718395107[[#Headers],[13]],tabela_registros[REGISTRO],DADOS!$N$4,tabela_registros[TIPO],DADOS!$P$3,tabela_registros[CATEGORIA],despesafixaconsolidadojul[[#This Row],[DESPESA FIXA]])</f>
        <v>0</v>
      </c>
      <c r="R42" s="91">
        <f>SUMIFS(tabela_registros[VALOR],tabela_registros[MÊS],$AE$1,tabela_registros[DIA],jultotal3059718395107[[#Headers],[14]],tabela_registros[REGISTRO],DADOS!$N$4,tabela_registros[TIPO],DADOS!$P$3,tabela_registros[CATEGORIA],despesafixaconsolidadojul[[#This Row],[DESPESA FIXA]])</f>
        <v>0</v>
      </c>
      <c r="S42" s="91">
        <f>SUMIFS(tabela_registros[VALOR],tabela_registros[MÊS],$AE$1,tabela_registros[DIA],jultotal3059718395107[[#Headers],[15]],tabela_registros[REGISTRO],DADOS!$N$4,tabela_registros[TIPO],DADOS!$P$3,tabela_registros[CATEGORIA],despesafixaconsolidadojul[[#This Row],[DESPESA FIXA]])</f>
        <v>0</v>
      </c>
      <c r="T42" s="91">
        <f>SUMIFS(tabela_registros[VALOR],tabela_registros[MÊS],$AE$1,tabela_registros[DIA],jultotal3059718395107[[#Headers],[16]],tabela_registros[REGISTRO],DADOS!$N$4,tabela_registros[TIPO],DADOS!$P$3,tabela_registros[CATEGORIA],despesafixaconsolidadojul[[#This Row],[DESPESA FIXA]])</f>
        <v>0</v>
      </c>
      <c r="U42" s="91">
        <f>SUMIFS(tabela_registros[VALOR],tabela_registros[MÊS],$AE$1,tabela_registros[DIA],jultotal3059718395107[[#Headers],[17]],tabela_registros[REGISTRO],DADOS!$N$4,tabela_registros[TIPO],DADOS!$P$3,tabela_registros[CATEGORIA],despesafixaconsolidadojul[[#This Row],[DESPESA FIXA]])</f>
        <v>0</v>
      </c>
      <c r="V42" s="91">
        <f>SUMIFS(tabela_registros[VALOR],tabela_registros[MÊS],$AE$1,tabela_registros[DIA],jultotal3059718395107[[#Headers],[18]],tabela_registros[REGISTRO],DADOS!$N$4,tabela_registros[TIPO],DADOS!$P$3,tabela_registros[CATEGORIA],despesafixaconsolidadojul[[#This Row],[DESPESA FIXA]])</f>
        <v>0</v>
      </c>
      <c r="W42" s="91">
        <f>SUMIFS(tabela_registros[VALOR],tabela_registros[MÊS],$AE$1,tabela_registros[DIA],jultotal3059718395107[[#Headers],[19]],tabela_registros[REGISTRO],DADOS!$N$4,tabela_registros[TIPO],DADOS!$P$3,tabela_registros[CATEGORIA],despesafixaconsolidadojul[[#This Row],[DESPESA FIXA]])</f>
        <v>0</v>
      </c>
      <c r="X42" s="91">
        <f>SUMIFS(tabela_registros[VALOR],tabela_registros[MÊS],$AE$1,tabela_registros[DIA],jultotal3059718395107[[#Headers],[20]],tabela_registros[REGISTRO],DADOS!$N$4,tabela_registros[TIPO],DADOS!$P$3,tabela_registros[CATEGORIA],despesafixaconsolidadojul[[#This Row],[DESPESA FIXA]])</f>
        <v>0</v>
      </c>
      <c r="Y42" s="91">
        <f>SUMIFS(tabela_registros[VALOR],tabela_registros[MÊS],$AE$1,tabela_registros[DIA],jultotal3059718395107[[#Headers],[21]],tabela_registros[REGISTRO],DADOS!$N$4,tabela_registros[TIPO],DADOS!$P$3,tabela_registros[CATEGORIA],despesafixaconsolidadojul[[#This Row],[DESPESA FIXA]])</f>
        <v>0</v>
      </c>
      <c r="Z42" s="91">
        <f>SUMIFS(tabela_registros[VALOR],tabela_registros[MÊS],$AE$1,tabela_registros[DIA],jultotal3059718395107[[#Headers],[22]],tabela_registros[REGISTRO],DADOS!$N$4,tabela_registros[TIPO],DADOS!$P$3,tabela_registros[CATEGORIA],despesafixaconsolidadojul[[#This Row],[DESPESA FIXA]])</f>
        <v>0</v>
      </c>
      <c r="AA42" s="91">
        <f>SUMIFS(tabela_registros[VALOR],tabela_registros[MÊS],$AE$1,tabela_registros[DIA],jultotal3059718395107[[#Headers],[23]],tabela_registros[REGISTRO],DADOS!$N$4,tabela_registros[TIPO],DADOS!$P$3,tabela_registros[CATEGORIA],despesafixaconsolidadojul[[#This Row],[DESPESA FIXA]])</f>
        <v>0</v>
      </c>
      <c r="AB42" s="91">
        <f>SUMIFS(tabela_registros[VALOR],tabela_registros[MÊS],$AE$1,tabela_registros[DIA],jultotal3059718395107[[#Headers],[24]],tabela_registros[REGISTRO],DADOS!$N$4,tabela_registros[TIPO],DADOS!$P$3,tabela_registros[CATEGORIA],despesafixaconsolidadojul[[#This Row],[DESPESA FIXA]])</f>
        <v>0</v>
      </c>
      <c r="AC42" s="91">
        <f>SUMIFS(tabela_registros[VALOR],tabela_registros[MÊS],$AE$1,tabela_registros[DIA],jultotal3059718395107[[#Headers],[25]],tabela_registros[REGISTRO],DADOS!$N$4,tabela_registros[TIPO],DADOS!$P$3,tabela_registros[CATEGORIA],despesafixaconsolidadojul[[#This Row],[DESPESA FIXA]])</f>
        <v>0</v>
      </c>
      <c r="AD42" s="91">
        <f>SUMIFS(tabela_registros[VALOR],tabela_registros[MÊS],$AE$1,tabela_registros[DIA],jultotal3059718395107[[#Headers],[26]],tabela_registros[REGISTRO],DADOS!$N$4,tabela_registros[TIPO],DADOS!$P$3,tabela_registros[CATEGORIA],despesafixaconsolidadojul[[#This Row],[DESPESA FIXA]])</f>
        <v>0</v>
      </c>
      <c r="AE42" s="91">
        <f>SUMIFS(tabela_registros[VALOR],tabela_registros[MÊS],$AE$1,tabela_registros[DIA],jultotal3059718395107[[#Headers],[27]],tabela_registros[REGISTRO],DADOS!$N$4,tabela_registros[TIPO],DADOS!$P$3,tabela_registros[CATEGORIA],despesafixaconsolidadojul[[#This Row],[DESPESA FIXA]])</f>
        <v>0</v>
      </c>
      <c r="AF42" s="91">
        <f>SUMIFS(tabela_registros[VALOR],tabela_registros[MÊS],$AE$1,tabela_registros[DIA],jultotal3059718395107[[#Headers],[28]],tabela_registros[REGISTRO],DADOS!$N$4,tabela_registros[TIPO],DADOS!$P$3,tabela_registros[CATEGORIA],despesafixaconsolidadojul[[#This Row],[DESPESA FIXA]])</f>
        <v>0</v>
      </c>
      <c r="AG42" s="91">
        <f>SUMIFS(tabela_registros[VALOR],tabela_registros[MÊS],$AE$1,tabela_registros[DIA],jultotal3059718395107[[#Headers],[29]],tabela_registros[REGISTRO],DADOS!$N$4,tabela_registros[TIPO],DADOS!$P$3,tabela_registros[CATEGORIA],despesafixaconsolidadojul[[#This Row],[DESPESA FIXA]])</f>
        <v>0</v>
      </c>
      <c r="AH42" s="91">
        <f>SUMIFS(tabela_registros[VALOR],tabela_registros[MÊS],$AE$1,tabela_registros[DIA],jultotal3059718395107[[#Headers],[30]],tabela_registros[REGISTRO],DADOS!$N$4,tabela_registros[TIPO],DADOS!$P$3,tabela_registros[CATEGORIA],despesafixaconsolidadojul[[#This Row],[DESPESA FIXA]])</f>
        <v>0</v>
      </c>
      <c r="AI42" s="101">
        <f>SUMIFS(tabela_registros[VALOR],tabela_registros[MÊS],$AE$1,tabela_registros[DIA],jultotal3059718395107[[#Headers],[31]],tabela_registros[REGISTRO],DADOS!$N$4,tabela_registros[TIPO],DADOS!$P$3,tabela_registros[CATEGORIA],despesafixaconsolidadojul[[#This Row],[DESPESA FIXA]])</f>
        <v>0</v>
      </c>
      <c r="AJ42" s="97">
        <f>SUM(despesafixaconsolidadojul[[#This Row],[1]:[31]])</f>
        <v>0</v>
      </c>
      <c r="AK42" s="28"/>
    </row>
    <row r="43" spans="2:37" ht="18" customHeight="1" thickTop="1" thickBot="1" x14ac:dyDescent="0.3">
      <c r="B43" s="28"/>
      <c r="C43" s="27" t="str">
        <f>DADOS!$R$9</f>
        <v>💡 ENERGIA</v>
      </c>
      <c r="D43" s="26" t="str">
        <f>IF(despesafixaconsolidadojul[[#This Row],[TOTAL]]=0,"",IF(OR(despesafixaconsolidadojul[[#This Row],[TOTAL]]=LARGE($AJ$37:$AJ$50,1),despesafixaconsolidadojul[[#This Row],[TOTAL]]=LARGE($AJ$37:$AJ$50,2),despesafixaconsolidadojul[[#This Row],[TOTAL]]=LARGE($AJ$37:$AJ$50,3),despesafixaconsolidadojul[[#This Row],[TOTAL]]=LARGE($AJ$37:$AJ$50,4),despesafixaconsolidadojul[[#This Row],[TOTAL]]=LARGE($AJ$37:$AJ$50,5)),DADOS!$I$8,""))</f>
        <v/>
      </c>
      <c r="E43" s="96">
        <f>SUMIFS(tabela_registros[VALOR],tabela_registros[MÊS],$AE$1,tabela_registros[DIA],jultotal3059718395107[[#Headers],[1]],tabela_registros[REGISTRO],DADOS!$N$4,tabela_registros[TIPO],DADOS!$P$3,tabela_registros[CATEGORIA],despesafixaconsolidadojul[[#This Row],[DESPESA FIXA]])</f>
        <v>0</v>
      </c>
      <c r="F43" s="91">
        <f>SUMIFS(tabela_registros[VALOR],tabela_registros[MÊS],$AE$1,tabela_registros[DIA],jultotal3059718395107[[#Headers],[2]],tabela_registros[REGISTRO],DADOS!$N$4,tabela_registros[TIPO],DADOS!$P$3,tabela_registros[CATEGORIA],despesafixaconsolidadojul[[#This Row],[DESPESA FIXA]])</f>
        <v>0</v>
      </c>
      <c r="G43" s="91">
        <f>SUMIFS(tabela_registros[VALOR],tabela_registros[MÊS],$AE$1,tabela_registros[DIA],jultotal3059718395107[[#Headers],[3]],tabela_registros[REGISTRO],DADOS!$N$4,tabela_registros[TIPO],DADOS!$P$3,tabela_registros[CATEGORIA],despesafixaconsolidadojul[[#This Row],[DESPESA FIXA]])</f>
        <v>0</v>
      </c>
      <c r="H43" s="91">
        <f>SUMIFS(tabela_registros[VALOR],tabela_registros[MÊS],$AE$1,tabela_registros[DIA],jultotal3059718395107[[#Headers],[4]],tabela_registros[REGISTRO],DADOS!$N$4,tabela_registros[TIPO],DADOS!$P$3,tabela_registros[CATEGORIA],despesafixaconsolidadojul[[#This Row],[DESPESA FIXA]])</f>
        <v>0</v>
      </c>
      <c r="I43" s="91">
        <f>SUMIFS(tabela_registros[VALOR],tabela_registros[MÊS],$AE$1,tabela_registros[DIA],jultotal3059718395107[[#Headers],[5]],tabela_registros[REGISTRO],DADOS!$N$4,tabela_registros[TIPO],DADOS!$P$3,tabela_registros[CATEGORIA],despesafixaconsolidadojul[[#This Row],[DESPESA FIXA]])</f>
        <v>0</v>
      </c>
      <c r="J43" s="91">
        <f>SUMIFS(tabela_registros[VALOR],tabela_registros[MÊS],$AE$1,tabela_registros[DIA],jultotal3059718395107[[#Headers],[6]],tabela_registros[REGISTRO],DADOS!$N$4,tabela_registros[TIPO],DADOS!$P$3,tabela_registros[CATEGORIA],despesafixaconsolidadojul[[#This Row],[DESPESA FIXA]])</f>
        <v>0</v>
      </c>
      <c r="K43" s="91">
        <f>SUMIFS(tabela_registros[VALOR],tabela_registros[MÊS],$AE$1,tabela_registros[DIA],jultotal3059718395107[[#Headers],[7]],tabela_registros[REGISTRO],DADOS!$N$4,tabela_registros[TIPO],DADOS!$P$3,tabela_registros[CATEGORIA],despesafixaconsolidadojul[[#This Row],[DESPESA FIXA]])</f>
        <v>0</v>
      </c>
      <c r="L43" s="91">
        <f>SUMIFS(tabela_registros[VALOR],tabela_registros[MÊS],$AE$1,tabela_registros[DIA],jultotal3059718395107[[#Headers],[8]],tabela_registros[REGISTRO],DADOS!$N$4,tabela_registros[TIPO],DADOS!$P$3,tabela_registros[CATEGORIA],despesafixaconsolidadojul[[#This Row],[DESPESA FIXA]])</f>
        <v>0</v>
      </c>
      <c r="M43" s="91">
        <f>SUMIFS(tabela_registros[VALOR],tabela_registros[MÊS],$AE$1,tabela_registros[DIA],jultotal3059718395107[[#Headers],[9]],tabela_registros[REGISTRO],DADOS!$N$4,tabela_registros[TIPO],DADOS!$P$3,tabela_registros[CATEGORIA],despesafixaconsolidadojul[[#This Row],[DESPESA FIXA]])</f>
        <v>0</v>
      </c>
      <c r="N43" s="91">
        <f>SUMIFS(tabela_registros[VALOR],tabela_registros[MÊS],$AE$1,tabela_registros[DIA],jultotal3059718395107[[#Headers],[10]],tabela_registros[REGISTRO],DADOS!$N$4,tabela_registros[TIPO],DADOS!$P$3,tabela_registros[CATEGORIA],despesafixaconsolidadojul[[#This Row],[DESPESA FIXA]])</f>
        <v>0</v>
      </c>
      <c r="O43" s="91">
        <f>SUMIFS(tabela_registros[VALOR],tabela_registros[MÊS],$AE$1,tabela_registros[DIA],jultotal3059718395107[[#Headers],[11]],tabela_registros[REGISTRO],DADOS!$N$4,tabela_registros[TIPO],DADOS!$P$3,tabela_registros[CATEGORIA],despesafixaconsolidadojul[[#This Row],[DESPESA FIXA]])</f>
        <v>0</v>
      </c>
      <c r="P43" s="91">
        <f>SUMIFS(tabela_registros[VALOR],tabela_registros[MÊS],$AE$1,tabela_registros[DIA],jultotal3059718395107[[#Headers],[12]],tabela_registros[REGISTRO],DADOS!$N$4,tabela_registros[TIPO],DADOS!$P$3,tabela_registros[CATEGORIA],despesafixaconsolidadojul[[#This Row],[DESPESA FIXA]])</f>
        <v>0</v>
      </c>
      <c r="Q43" s="91">
        <f>SUMIFS(tabela_registros[VALOR],tabela_registros[MÊS],$AE$1,tabela_registros[DIA],jultotal3059718395107[[#Headers],[13]],tabela_registros[REGISTRO],DADOS!$N$4,tabela_registros[TIPO],DADOS!$P$3,tabela_registros[CATEGORIA],despesafixaconsolidadojul[[#This Row],[DESPESA FIXA]])</f>
        <v>0</v>
      </c>
      <c r="R43" s="91">
        <f>SUMIFS(tabela_registros[VALOR],tabela_registros[MÊS],$AE$1,tabela_registros[DIA],jultotal3059718395107[[#Headers],[14]],tabela_registros[REGISTRO],DADOS!$N$4,tabela_registros[TIPO],DADOS!$P$3,tabela_registros[CATEGORIA],despesafixaconsolidadojul[[#This Row],[DESPESA FIXA]])</f>
        <v>0</v>
      </c>
      <c r="S43" s="91">
        <f>SUMIFS(tabela_registros[VALOR],tabela_registros[MÊS],$AE$1,tabela_registros[DIA],jultotal3059718395107[[#Headers],[15]],tabela_registros[REGISTRO],DADOS!$N$4,tabela_registros[TIPO],DADOS!$P$3,tabela_registros[CATEGORIA],despesafixaconsolidadojul[[#This Row],[DESPESA FIXA]])</f>
        <v>0</v>
      </c>
      <c r="T43" s="91">
        <f>SUMIFS(tabela_registros[VALOR],tabela_registros[MÊS],$AE$1,tabela_registros[DIA],jultotal3059718395107[[#Headers],[16]],tabela_registros[REGISTRO],DADOS!$N$4,tabela_registros[TIPO],DADOS!$P$3,tabela_registros[CATEGORIA],despesafixaconsolidadojul[[#This Row],[DESPESA FIXA]])</f>
        <v>0</v>
      </c>
      <c r="U43" s="91">
        <f>SUMIFS(tabela_registros[VALOR],tabela_registros[MÊS],$AE$1,tabela_registros[DIA],jultotal3059718395107[[#Headers],[17]],tabela_registros[REGISTRO],DADOS!$N$4,tabela_registros[TIPO],DADOS!$P$3,tabela_registros[CATEGORIA],despesafixaconsolidadojul[[#This Row],[DESPESA FIXA]])</f>
        <v>0</v>
      </c>
      <c r="V43" s="91">
        <f>SUMIFS(tabela_registros[VALOR],tabela_registros[MÊS],$AE$1,tabela_registros[DIA],jultotal3059718395107[[#Headers],[18]],tabela_registros[REGISTRO],DADOS!$N$4,tabela_registros[TIPO],DADOS!$P$3,tabela_registros[CATEGORIA],despesafixaconsolidadojul[[#This Row],[DESPESA FIXA]])</f>
        <v>0</v>
      </c>
      <c r="W43" s="91">
        <f>SUMIFS(tabela_registros[VALOR],tabela_registros[MÊS],$AE$1,tabela_registros[DIA],jultotal3059718395107[[#Headers],[19]],tabela_registros[REGISTRO],DADOS!$N$4,tabela_registros[TIPO],DADOS!$P$3,tabela_registros[CATEGORIA],despesafixaconsolidadojul[[#This Row],[DESPESA FIXA]])</f>
        <v>0</v>
      </c>
      <c r="X43" s="91">
        <f>SUMIFS(tabela_registros[VALOR],tabela_registros[MÊS],$AE$1,tabela_registros[DIA],jultotal3059718395107[[#Headers],[20]],tabela_registros[REGISTRO],DADOS!$N$4,tabela_registros[TIPO],DADOS!$P$3,tabela_registros[CATEGORIA],despesafixaconsolidadojul[[#This Row],[DESPESA FIXA]])</f>
        <v>0</v>
      </c>
      <c r="Y43" s="91">
        <f>SUMIFS(tabela_registros[VALOR],tabela_registros[MÊS],$AE$1,tabela_registros[DIA],jultotal3059718395107[[#Headers],[21]],tabela_registros[REGISTRO],DADOS!$N$4,tabela_registros[TIPO],DADOS!$P$3,tabela_registros[CATEGORIA],despesafixaconsolidadojul[[#This Row],[DESPESA FIXA]])</f>
        <v>0</v>
      </c>
      <c r="Z43" s="91">
        <f>SUMIFS(tabela_registros[VALOR],tabela_registros[MÊS],$AE$1,tabela_registros[DIA],jultotal3059718395107[[#Headers],[22]],tabela_registros[REGISTRO],DADOS!$N$4,tabela_registros[TIPO],DADOS!$P$3,tabela_registros[CATEGORIA],despesafixaconsolidadojul[[#This Row],[DESPESA FIXA]])</f>
        <v>0</v>
      </c>
      <c r="AA43" s="91">
        <f>SUMIFS(tabela_registros[VALOR],tabela_registros[MÊS],$AE$1,tabela_registros[DIA],jultotal3059718395107[[#Headers],[23]],tabela_registros[REGISTRO],DADOS!$N$4,tabela_registros[TIPO],DADOS!$P$3,tabela_registros[CATEGORIA],despesafixaconsolidadojul[[#This Row],[DESPESA FIXA]])</f>
        <v>0</v>
      </c>
      <c r="AB43" s="91">
        <f>SUMIFS(tabela_registros[VALOR],tabela_registros[MÊS],$AE$1,tabela_registros[DIA],jultotal3059718395107[[#Headers],[24]],tabela_registros[REGISTRO],DADOS!$N$4,tabela_registros[TIPO],DADOS!$P$3,tabela_registros[CATEGORIA],despesafixaconsolidadojul[[#This Row],[DESPESA FIXA]])</f>
        <v>0</v>
      </c>
      <c r="AC43" s="91">
        <f>SUMIFS(tabela_registros[VALOR],tabela_registros[MÊS],$AE$1,tabela_registros[DIA],jultotal3059718395107[[#Headers],[25]],tabela_registros[REGISTRO],DADOS!$N$4,tabela_registros[TIPO],DADOS!$P$3,tabela_registros[CATEGORIA],despesafixaconsolidadojul[[#This Row],[DESPESA FIXA]])</f>
        <v>0</v>
      </c>
      <c r="AD43" s="91">
        <f>SUMIFS(tabela_registros[VALOR],tabela_registros[MÊS],$AE$1,tabela_registros[DIA],jultotal3059718395107[[#Headers],[26]],tabela_registros[REGISTRO],DADOS!$N$4,tabela_registros[TIPO],DADOS!$P$3,tabela_registros[CATEGORIA],despesafixaconsolidadojul[[#This Row],[DESPESA FIXA]])</f>
        <v>0</v>
      </c>
      <c r="AE43" s="91">
        <f>SUMIFS(tabela_registros[VALOR],tabela_registros[MÊS],$AE$1,tabela_registros[DIA],jultotal3059718395107[[#Headers],[27]],tabela_registros[REGISTRO],DADOS!$N$4,tabela_registros[TIPO],DADOS!$P$3,tabela_registros[CATEGORIA],despesafixaconsolidadojul[[#This Row],[DESPESA FIXA]])</f>
        <v>0</v>
      </c>
      <c r="AF43" s="91">
        <f>SUMIFS(tabela_registros[VALOR],tabela_registros[MÊS],$AE$1,tabela_registros[DIA],jultotal3059718395107[[#Headers],[28]],tabela_registros[REGISTRO],DADOS!$N$4,tabela_registros[TIPO],DADOS!$P$3,tabela_registros[CATEGORIA],despesafixaconsolidadojul[[#This Row],[DESPESA FIXA]])</f>
        <v>0</v>
      </c>
      <c r="AG43" s="91">
        <f>SUMIFS(tabela_registros[VALOR],tabela_registros[MÊS],$AE$1,tabela_registros[DIA],jultotal3059718395107[[#Headers],[29]],tabela_registros[REGISTRO],DADOS!$N$4,tabela_registros[TIPO],DADOS!$P$3,tabela_registros[CATEGORIA],despesafixaconsolidadojul[[#This Row],[DESPESA FIXA]])</f>
        <v>0</v>
      </c>
      <c r="AH43" s="91">
        <f>SUMIFS(tabela_registros[VALOR],tabela_registros[MÊS],$AE$1,tabela_registros[DIA],jultotal3059718395107[[#Headers],[30]],tabela_registros[REGISTRO],DADOS!$N$4,tabela_registros[TIPO],DADOS!$P$3,tabela_registros[CATEGORIA],despesafixaconsolidadojul[[#This Row],[DESPESA FIXA]])</f>
        <v>0</v>
      </c>
      <c r="AI43" s="101">
        <f>SUMIFS(tabela_registros[VALOR],tabela_registros[MÊS],$AE$1,tabela_registros[DIA],jultotal3059718395107[[#Headers],[31]],tabela_registros[REGISTRO],DADOS!$N$4,tabela_registros[TIPO],DADOS!$P$3,tabela_registros[CATEGORIA],despesafixaconsolidadojul[[#This Row],[DESPESA FIXA]])</f>
        <v>0</v>
      </c>
      <c r="AJ43" s="97">
        <f>SUM(despesafixaconsolidadojul[[#This Row],[1]:[31]])</f>
        <v>0</v>
      </c>
      <c r="AK43" s="28"/>
    </row>
    <row r="44" spans="2:37" ht="18" customHeight="1" thickTop="1" thickBot="1" x14ac:dyDescent="0.3">
      <c r="B44" s="28"/>
      <c r="C44" s="27" t="str">
        <f>DADOS!$R$10</f>
        <v>👨‍👩‍👧 FAMÍLIA</v>
      </c>
      <c r="D44" s="26" t="str">
        <f>IF(despesafixaconsolidadojul[[#This Row],[TOTAL]]=0,"",IF(OR(despesafixaconsolidadojul[[#This Row],[TOTAL]]=LARGE($AJ$37:$AJ$50,1),despesafixaconsolidadojul[[#This Row],[TOTAL]]=LARGE($AJ$37:$AJ$50,2),despesafixaconsolidadojul[[#This Row],[TOTAL]]=LARGE($AJ$37:$AJ$50,3),despesafixaconsolidadojul[[#This Row],[TOTAL]]=LARGE($AJ$37:$AJ$50,4),despesafixaconsolidadojul[[#This Row],[TOTAL]]=LARGE($AJ$37:$AJ$50,5)),DADOS!$I$8,""))</f>
        <v/>
      </c>
      <c r="E44" s="96">
        <f>SUMIFS(tabela_registros[VALOR],tabela_registros[MÊS],$AE$1,tabela_registros[DIA],jultotal3059718395107[[#Headers],[1]],tabela_registros[REGISTRO],DADOS!$N$4,tabela_registros[TIPO],DADOS!$P$3,tabela_registros[CATEGORIA],despesafixaconsolidadojul[[#This Row],[DESPESA FIXA]])</f>
        <v>0</v>
      </c>
      <c r="F44" s="91">
        <f>SUMIFS(tabela_registros[VALOR],tabela_registros[MÊS],$AE$1,tabela_registros[DIA],jultotal3059718395107[[#Headers],[2]],tabela_registros[REGISTRO],DADOS!$N$4,tabela_registros[TIPO],DADOS!$P$3,tabela_registros[CATEGORIA],despesafixaconsolidadojul[[#This Row],[DESPESA FIXA]])</f>
        <v>0</v>
      </c>
      <c r="G44" s="91">
        <f>SUMIFS(tabela_registros[VALOR],tabela_registros[MÊS],$AE$1,tabela_registros[DIA],jultotal3059718395107[[#Headers],[3]],tabela_registros[REGISTRO],DADOS!$N$4,tabela_registros[TIPO],DADOS!$P$3,tabela_registros[CATEGORIA],despesafixaconsolidadojul[[#This Row],[DESPESA FIXA]])</f>
        <v>0</v>
      </c>
      <c r="H44" s="91">
        <f>SUMIFS(tabela_registros[VALOR],tabela_registros[MÊS],$AE$1,tabela_registros[DIA],jultotal3059718395107[[#Headers],[4]],tabela_registros[REGISTRO],DADOS!$N$4,tabela_registros[TIPO],DADOS!$P$3,tabela_registros[CATEGORIA],despesafixaconsolidadojul[[#This Row],[DESPESA FIXA]])</f>
        <v>0</v>
      </c>
      <c r="I44" s="91">
        <f>SUMIFS(tabela_registros[VALOR],tabela_registros[MÊS],$AE$1,tabela_registros[DIA],jultotal3059718395107[[#Headers],[5]],tabela_registros[REGISTRO],DADOS!$N$4,tabela_registros[TIPO],DADOS!$P$3,tabela_registros[CATEGORIA],despesafixaconsolidadojul[[#This Row],[DESPESA FIXA]])</f>
        <v>0</v>
      </c>
      <c r="J44" s="91">
        <f>SUMIFS(tabela_registros[VALOR],tabela_registros[MÊS],$AE$1,tabela_registros[DIA],jultotal3059718395107[[#Headers],[6]],tabela_registros[REGISTRO],DADOS!$N$4,tabela_registros[TIPO],DADOS!$P$3,tabela_registros[CATEGORIA],despesafixaconsolidadojul[[#This Row],[DESPESA FIXA]])</f>
        <v>0</v>
      </c>
      <c r="K44" s="91">
        <f>SUMIFS(tabela_registros[VALOR],tabela_registros[MÊS],$AE$1,tabela_registros[DIA],jultotal3059718395107[[#Headers],[7]],tabela_registros[REGISTRO],DADOS!$N$4,tabela_registros[TIPO],DADOS!$P$3,tabela_registros[CATEGORIA],despesafixaconsolidadojul[[#This Row],[DESPESA FIXA]])</f>
        <v>0</v>
      </c>
      <c r="L44" s="91">
        <f>SUMIFS(tabela_registros[VALOR],tabela_registros[MÊS],$AE$1,tabela_registros[DIA],jultotal3059718395107[[#Headers],[8]],tabela_registros[REGISTRO],DADOS!$N$4,tabela_registros[TIPO],DADOS!$P$3,tabela_registros[CATEGORIA],despesafixaconsolidadojul[[#This Row],[DESPESA FIXA]])</f>
        <v>0</v>
      </c>
      <c r="M44" s="91">
        <f>SUMIFS(tabela_registros[VALOR],tabela_registros[MÊS],$AE$1,tabela_registros[DIA],jultotal3059718395107[[#Headers],[9]],tabela_registros[REGISTRO],DADOS!$N$4,tabela_registros[TIPO],DADOS!$P$3,tabela_registros[CATEGORIA],despesafixaconsolidadojul[[#This Row],[DESPESA FIXA]])</f>
        <v>0</v>
      </c>
      <c r="N44" s="91">
        <f>SUMIFS(tabela_registros[VALOR],tabela_registros[MÊS],$AE$1,tabela_registros[DIA],jultotal3059718395107[[#Headers],[10]],tabela_registros[REGISTRO],DADOS!$N$4,tabela_registros[TIPO],DADOS!$P$3,tabela_registros[CATEGORIA],despesafixaconsolidadojul[[#This Row],[DESPESA FIXA]])</f>
        <v>0</v>
      </c>
      <c r="O44" s="91">
        <f>SUMIFS(tabela_registros[VALOR],tabela_registros[MÊS],$AE$1,tabela_registros[DIA],jultotal3059718395107[[#Headers],[11]],tabela_registros[REGISTRO],DADOS!$N$4,tabela_registros[TIPO],DADOS!$P$3,tabela_registros[CATEGORIA],despesafixaconsolidadojul[[#This Row],[DESPESA FIXA]])</f>
        <v>0</v>
      </c>
      <c r="P44" s="91">
        <f>SUMIFS(tabela_registros[VALOR],tabela_registros[MÊS],$AE$1,tabela_registros[DIA],jultotal3059718395107[[#Headers],[12]],tabela_registros[REGISTRO],DADOS!$N$4,tabela_registros[TIPO],DADOS!$P$3,tabela_registros[CATEGORIA],despesafixaconsolidadojul[[#This Row],[DESPESA FIXA]])</f>
        <v>0</v>
      </c>
      <c r="Q44" s="91">
        <f>SUMIFS(tabela_registros[VALOR],tabela_registros[MÊS],$AE$1,tabela_registros[DIA],jultotal3059718395107[[#Headers],[13]],tabela_registros[REGISTRO],DADOS!$N$4,tabela_registros[TIPO],DADOS!$P$3,tabela_registros[CATEGORIA],despesafixaconsolidadojul[[#This Row],[DESPESA FIXA]])</f>
        <v>0</v>
      </c>
      <c r="R44" s="91">
        <f>SUMIFS(tabela_registros[VALOR],tabela_registros[MÊS],$AE$1,tabela_registros[DIA],jultotal3059718395107[[#Headers],[14]],tabela_registros[REGISTRO],DADOS!$N$4,tabela_registros[TIPO],DADOS!$P$3,tabela_registros[CATEGORIA],despesafixaconsolidadojul[[#This Row],[DESPESA FIXA]])</f>
        <v>0</v>
      </c>
      <c r="S44" s="91">
        <f>SUMIFS(tabela_registros[VALOR],tabela_registros[MÊS],$AE$1,tabela_registros[DIA],jultotal3059718395107[[#Headers],[15]],tabela_registros[REGISTRO],DADOS!$N$4,tabela_registros[TIPO],DADOS!$P$3,tabela_registros[CATEGORIA],despesafixaconsolidadojul[[#This Row],[DESPESA FIXA]])</f>
        <v>0</v>
      </c>
      <c r="T44" s="91">
        <f>SUMIFS(tabela_registros[VALOR],tabela_registros[MÊS],$AE$1,tabela_registros[DIA],jultotal3059718395107[[#Headers],[16]],tabela_registros[REGISTRO],DADOS!$N$4,tabela_registros[TIPO],DADOS!$P$3,tabela_registros[CATEGORIA],despesafixaconsolidadojul[[#This Row],[DESPESA FIXA]])</f>
        <v>0</v>
      </c>
      <c r="U44" s="91">
        <f>SUMIFS(tabela_registros[VALOR],tabela_registros[MÊS],$AE$1,tabela_registros[DIA],jultotal3059718395107[[#Headers],[17]],tabela_registros[REGISTRO],DADOS!$N$4,tabela_registros[TIPO],DADOS!$P$3,tabela_registros[CATEGORIA],despesafixaconsolidadojul[[#This Row],[DESPESA FIXA]])</f>
        <v>0</v>
      </c>
      <c r="V44" s="91">
        <f>SUMIFS(tabela_registros[VALOR],tabela_registros[MÊS],$AE$1,tabela_registros[DIA],jultotal3059718395107[[#Headers],[18]],tabela_registros[REGISTRO],DADOS!$N$4,tabela_registros[TIPO],DADOS!$P$3,tabela_registros[CATEGORIA],despesafixaconsolidadojul[[#This Row],[DESPESA FIXA]])</f>
        <v>0</v>
      </c>
      <c r="W44" s="91">
        <f>SUMIFS(tabela_registros[VALOR],tabela_registros[MÊS],$AE$1,tabela_registros[DIA],jultotal3059718395107[[#Headers],[19]],tabela_registros[REGISTRO],DADOS!$N$4,tabela_registros[TIPO],DADOS!$P$3,tabela_registros[CATEGORIA],despesafixaconsolidadojul[[#This Row],[DESPESA FIXA]])</f>
        <v>0</v>
      </c>
      <c r="X44" s="91">
        <f>SUMIFS(tabela_registros[VALOR],tabela_registros[MÊS],$AE$1,tabela_registros[DIA],jultotal3059718395107[[#Headers],[20]],tabela_registros[REGISTRO],DADOS!$N$4,tabela_registros[TIPO],DADOS!$P$3,tabela_registros[CATEGORIA],despesafixaconsolidadojul[[#This Row],[DESPESA FIXA]])</f>
        <v>0</v>
      </c>
      <c r="Y44" s="91">
        <f>SUMIFS(tabela_registros[VALOR],tabela_registros[MÊS],$AE$1,tabela_registros[DIA],jultotal3059718395107[[#Headers],[21]],tabela_registros[REGISTRO],DADOS!$N$4,tabela_registros[TIPO],DADOS!$P$3,tabela_registros[CATEGORIA],despesafixaconsolidadojul[[#This Row],[DESPESA FIXA]])</f>
        <v>0</v>
      </c>
      <c r="Z44" s="91">
        <f>SUMIFS(tabela_registros[VALOR],tabela_registros[MÊS],$AE$1,tabela_registros[DIA],jultotal3059718395107[[#Headers],[22]],tabela_registros[REGISTRO],DADOS!$N$4,tabela_registros[TIPO],DADOS!$P$3,tabela_registros[CATEGORIA],despesafixaconsolidadojul[[#This Row],[DESPESA FIXA]])</f>
        <v>0</v>
      </c>
      <c r="AA44" s="91">
        <f>SUMIFS(tabela_registros[VALOR],tabela_registros[MÊS],$AE$1,tabela_registros[DIA],jultotal3059718395107[[#Headers],[23]],tabela_registros[REGISTRO],DADOS!$N$4,tabela_registros[TIPO],DADOS!$P$3,tabela_registros[CATEGORIA],despesafixaconsolidadojul[[#This Row],[DESPESA FIXA]])</f>
        <v>0</v>
      </c>
      <c r="AB44" s="91">
        <f>SUMIFS(tabela_registros[VALOR],tabela_registros[MÊS],$AE$1,tabela_registros[DIA],jultotal3059718395107[[#Headers],[24]],tabela_registros[REGISTRO],DADOS!$N$4,tabela_registros[TIPO],DADOS!$P$3,tabela_registros[CATEGORIA],despesafixaconsolidadojul[[#This Row],[DESPESA FIXA]])</f>
        <v>0</v>
      </c>
      <c r="AC44" s="91">
        <f>SUMIFS(tabela_registros[VALOR],tabela_registros[MÊS],$AE$1,tabela_registros[DIA],jultotal3059718395107[[#Headers],[25]],tabela_registros[REGISTRO],DADOS!$N$4,tabela_registros[TIPO],DADOS!$P$3,tabela_registros[CATEGORIA],despesafixaconsolidadojul[[#This Row],[DESPESA FIXA]])</f>
        <v>0</v>
      </c>
      <c r="AD44" s="91">
        <f>SUMIFS(tabela_registros[VALOR],tabela_registros[MÊS],$AE$1,tabela_registros[DIA],jultotal3059718395107[[#Headers],[26]],tabela_registros[REGISTRO],DADOS!$N$4,tabela_registros[TIPO],DADOS!$P$3,tabela_registros[CATEGORIA],despesafixaconsolidadojul[[#This Row],[DESPESA FIXA]])</f>
        <v>0</v>
      </c>
      <c r="AE44" s="91">
        <f>SUMIFS(tabela_registros[VALOR],tabela_registros[MÊS],$AE$1,tabela_registros[DIA],jultotal3059718395107[[#Headers],[27]],tabela_registros[REGISTRO],DADOS!$N$4,tabela_registros[TIPO],DADOS!$P$3,tabela_registros[CATEGORIA],despesafixaconsolidadojul[[#This Row],[DESPESA FIXA]])</f>
        <v>0</v>
      </c>
      <c r="AF44" s="91">
        <f>SUMIFS(tabela_registros[VALOR],tabela_registros[MÊS],$AE$1,tabela_registros[DIA],jultotal3059718395107[[#Headers],[28]],tabela_registros[REGISTRO],DADOS!$N$4,tabela_registros[TIPO],DADOS!$P$3,tabela_registros[CATEGORIA],despesafixaconsolidadojul[[#This Row],[DESPESA FIXA]])</f>
        <v>0</v>
      </c>
      <c r="AG44" s="91">
        <f>SUMIFS(tabela_registros[VALOR],tabela_registros[MÊS],$AE$1,tabela_registros[DIA],jultotal3059718395107[[#Headers],[29]],tabela_registros[REGISTRO],DADOS!$N$4,tabela_registros[TIPO],DADOS!$P$3,tabela_registros[CATEGORIA],despesafixaconsolidadojul[[#This Row],[DESPESA FIXA]])</f>
        <v>0</v>
      </c>
      <c r="AH44" s="91">
        <f>SUMIFS(tabela_registros[VALOR],tabela_registros[MÊS],$AE$1,tabela_registros[DIA],jultotal3059718395107[[#Headers],[30]],tabela_registros[REGISTRO],DADOS!$N$4,tabela_registros[TIPO],DADOS!$P$3,tabela_registros[CATEGORIA],despesafixaconsolidadojul[[#This Row],[DESPESA FIXA]])</f>
        <v>0</v>
      </c>
      <c r="AI44" s="101">
        <f>SUMIFS(tabela_registros[VALOR],tabela_registros[MÊS],$AE$1,tabela_registros[DIA],jultotal3059718395107[[#Headers],[31]],tabela_registros[REGISTRO],DADOS!$N$4,tabela_registros[TIPO],DADOS!$P$3,tabela_registros[CATEGORIA],despesafixaconsolidadojul[[#This Row],[DESPESA FIXA]])</f>
        <v>0</v>
      </c>
      <c r="AJ44" s="97">
        <f>SUM(despesafixaconsolidadojul[[#This Row],[1]:[31]])</f>
        <v>0</v>
      </c>
      <c r="AK44" s="28"/>
    </row>
    <row r="45" spans="2:37" ht="18" customHeight="1" thickTop="1" thickBot="1" x14ac:dyDescent="0.3">
      <c r="B45" s="28"/>
      <c r="C45" s="27" t="str">
        <f>DADOS!$R$11</f>
        <v>🔢 IMPOSTOS</v>
      </c>
      <c r="D45" s="26" t="str">
        <f>IF(despesafixaconsolidadojul[[#This Row],[TOTAL]]=0,"",IF(OR(despesafixaconsolidadojul[[#This Row],[TOTAL]]=LARGE($AJ$37:$AJ$50,1),despesafixaconsolidadojul[[#This Row],[TOTAL]]=LARGE($AJ$37:$AJ$50,2),despesafixaconsolidadojul[[#This Row],[TOTAL]]=LARGE($AJ$37:$AJ$50,3),despesafixaconsolidadojul[[#This Row],[TOTAL]]=LARGE($AJ$37:$AJ$50,4),despesafixaconsolidadojul[[#This Row],[TOTAL]]=LARGE($AJ$37:$AJ$50,5)),DADOS!$I$8,""))</f>
        <v/>
      </c>
      <c r="E45" s="96">
        <f>SUMIFS(tabela_registros[VALOR],tabela_registros[MÊS],$AE$1,tabela_registros[DIA],jultotal3059718395107[[#Headers],[1]],tabela_registros[REGISTRO],DADOS!$N$4,tabela_registros[TIPO],DADOS!$P$3,tabela_registros[CATEGORIA],despesafixaconsolidadojul[[#This Row],[DESPESA FIXA]])</f>
        <v>0</v>
      </c>
      <c r="F45" s="91">
        <f>SUMIFS(tabela_registros[VALOR],tabela_registros[MÊS],$AE$1,tabela_registros[DIA],jultotal3059718395107[[#Headers],[2]],tabela_registros[REGISTRO],DADOS!$N$4,tabela_registros[TIPO],DADOS!$P$3,tabela_registros[CATEGORIA],despesafixaconsolidadojul[[#This Row],[DESPESA FIXA]])</f>
        <v>0</v>
      </c>
      <c r="G45" s="91">
        <f>SUMIFS(tabela_registros[VALOR],tabela_registros[MÊS],$AE$1,tabela_registros[DIA],jultotal3059718395107[[#Headers],[3]],tabela_registros[REGISTRO],DADOS!$N$4,tabela_registros[TIPO],DADOS!$P$3,tabela_registros[CATEGORIA],despesafixaconsolidadojul[[#This Row],[DESPESA FIXA]])</f>
        <v>0</v>
      </c>
      <c r="H45" s="91">
        <f>SUMIFS(tabela_registros[VALOR],tabela_registros[MÊS],$AE$1,tabela_registros[DIA],jultotal3059718395107[[#Headers],[4]],tabela_registros[REGISTRO],DADOS!$N$4,tabela_registros[TIPO],DADOS!$P$3,tabela_registros[CATEGORIA],despesafixaconsolidadojul[[#This Row],[DESPESA FIXA]])</f>
        <v>0</v>
      </c>
      <c r="I45" s="91">
        <f>SUMIFS(tabela_registros[VALOR],tabela_registros[MÊS],$AE$1,tabela_registros[DIA],jultotal3059718395107[[#Headers],[5]],tabela_registros[REGISTRO],DADOS!$N$4,tabela_registros[TIPO],DADOS!$P$3,tabela_registros[CATEGORIA],despesafixaconsolidadojul[[#This Row],[DESPESA FIXA]])</f>
        <v>0</v>
      </c>
      <c r="J45" s="91">
        <f>SUMIFS(tabela_registros[VALOR],tabela_registros[MÊS],$AE$1,tabela_registros[DIA],jultotal3059718395107[[#Headers],[6]],tabela_registros[REGISTRO],DADOS!$N$4,tabela_registros[TIPO],DADOS!$P$3,tabela_registros[CATEGORIA],despesafixaconsolidadojul[[#This Row],[DESPESA FIXA]])</f>
        <v>0</v>
      </c>
      <c r="K45" s="91">
        <f>SUMIFS(tabela_registros[VALOR],tabela_registros[MÊS],$AE$1,tabela_registros[DIA],jultotal3059718395107[[#Headers],[7]],tabela_registros[REGISTRO],DADOS!$N$4,tabela_registros[TIPO],DADOS!$P$3,tabela_registros[CATEGORIA],despesafixaconsolidadojul[[#This Row],[DESPESA FIXA]])</f>
        <v>0</v>
      </c>
      <c r="L45" s="91">
        <f>SUMIFS(tabela_registros[VALOR],tabela_registros[MÊS],$AE$1,tabela_registros[DIA],jultotal3059718395107[[#Headers],[8]],tabela_registros[REGISTRO],DADOS!$N$4,tabela_registros[TIPO],DADOS!$P$3,tabela_registros[CATEGORIA],despesafixaconsolidadojul[[#This Row],[DESPESA FIXA]])</f>
        <v>0</v>
      </c>
      <c r="M45" s="91">
        <f>SUMIFS(tabela_registros[VALOR],tabela_registros[MÊS],$AE$1,tabela_registros[DIA],jultotal3059718395107[[#Headers],[9]],tabela_registros[REGISTRO],DADOS!$N$4,tabela_registros[TIPO],DADOS!$P$3,tabela_registros[CATEGORIA],despesafixaconsolidadojul[[#This Row],[DESPESA FIXA]])</f>
        <v>0</v>
      </c>
      <c r="N45" s="91">
        <f>SUMIFS(tabela_registros[VALOR],tabela_registros[MÊS],$AE$1,tabela_registros[DIA],jultotal3059718395107[[#Headers],[10]],tabela_registros[REGISTRO],DADOS!$N$4,tabela_registros[TIPO],DADOS!$P$3,tabela_registros[CATEGORIA],despesafixaconsolidadojul[[#This Row],[DESPESA FIXA]])</f>
        <v>0</v>
      </c>
      <c r="O45" s="91">
        <f>SUMIFS(tabela_registros[VALOR],tabela_registros[MÊS],$AE$1,tabela_registros[DIA],jultotal3059718395107[[#Headers],[11]],tabela_registros[REGISTRO],DADOS!$N$4,tabela_registros[TIPO],DADOS!$P$3,tabela_registros[CATEGORIA],despesafixaconsolidadojul[[#This Row],[DESPESA FIXA]])</f>
        <v>0</v>
      </c>
      <c r="P45" s="91">
        <f>SUMIFS(tabela_registros[VALOR],tabela_registros[MÊS],$AE$1,tabela_registros[DIA],jultotal3059718395107[[#Headers],[12]],tabela_registros[REGISTRO],DADOS!$N$4,tabela_registros[TIPO],DADOS!$P$3,tabela_registros[CATEGORIA],despesafixaconsolidadojul[[#This Row],[DESPESA FIXA]])</f>
        <v>0</v>
      </c>
      <c r="Q45" s="91">
        <f>SUMIFS(tabela_registros[VALOR],tabela_registros[MÊS],$AE$1,tabela_registros[DIA],jultotal3059718395107[[#Headers],[13]],tabela_registros[REGISTRO],DADOS!$N$4,tabela_registros[TIPO],DADOS!$P$3,tabela_registros[CATEGORIA],despesafixaconsolidadojul[[#This Row],[DESPESA FIXA]])</f>
        <v>0</v>
      </c>
      <c r="R45" s="91">
        <f>SUMIFS(tabela_registros[VALOR],tabela_registros[MÊS],$AE$1,tabela_registros[DIA],jultotal3059718395107[[#Headers],[14]],tabela_registros[REGISTRO],DADOS!$N$4,tabela_registros[TIPO],DADOS!$P$3,tabela_registros[CATEGORIA],despesafixaconsolidadojul[[#This Row],[DESPESA FIXA]])</f>
        <v>0</v>
      </c>
      <c r="S45" s="91">
        <f>SUMIFS(tabela_registros[VALOR],tabela_registros[MÊS],$AE$1,tabela_registros[DIA],jultotal3059718395107[[#Headers],[15]],tabela_registros[REGISTRO],DADOS!$N$4,tabela_registros[TIPO],DADOS!$P$3,tabela_registros[CATEGORIA],despesafixaconsolidadojul[[#This Row],[DESPESA FIXA]])</f>
        <v>0</v>
      </c>
      <c r="T45" s="91">
        <f>SUMIFS(tabela_registros[VALOR],tabela_registros[MÊS],$AE$1,tabela_registros[DIA],jultotal3059718395107[[#Headers],[16]],tabela_registros[REGISTRO],DADOS!$N$4,tabela_registros[TIPO],DADOS!$P$3,tabela_registros[CATEGORIA],despesafixaconsolidadojul[[#This Row],[DESPESA FIXA]])</f>
        <v>0</v>
      </c>
      <c r="U45" s="91">
        <f>SUMIFS(tabela_registros[VALOR],tabela_registros[MÊS],$AE$1,tabela_registros[DIA],jultotal3059718395107[[#Headers],[17]],tabela_registros[REGISTRO],DADOS!$N$4,tabela_registros[TIPO],DADOS!$P$3,tabela_registros[CATEGORIA],despesafixaconsolidadojul[[#This Row],[DESPESA FIXA]])</f>
        <v>0</v>
      </c>
      <c r="V45" s="91">
        <f>SUMIFS(tabela_registros[VALOR],tabela_registros[MÊS],$AE$1,tabela_registros[DIA],jultotal3059718395107[[#Headers],[18]],tabela_registros[REGISTRO],DADOS!$N$4,tabela_registros[TIPO],DADOS!$P$3,tabela_registros[CATEGORIA],despesafixaconsolidadojul[[#This Row],[DESPESA FIXA]])</f>
        <v>0</v>
      </c>
      <c r="W45" s="91">
        <f>SUMIFS(tabela_registros[VALOR],tabela_registros[MÊS],$AE$1,tabela_registros[DIA],jultotal3059718395107[[#Headers],[19]],tabela_registros[REGISTRO],DADOS!$N$4,tabela_registros[TIPO],DADOS!$P$3,tabela_registros[CATEGORIA],despesafixaconsolidadojul[[#This Row],[DESPESA FIXA]])</f>
        <v>0</v>
      </c>
      <c r="X45" s="91">
        <f>SUMIFS(tabela_registros[VALOR],tabela_registros[MÊS],$AE$1,tabela_registros[DIA],jultotal3059718395107[[#Headers],[20]],tabela_registros[REGISTRO],DADOS!$N$4,tabela_registros[TIPO],DADOS!$P$3,tabela_registros[CATEGORIA],despesafixaconsolidadojul[[#This Row],[DESPESA FIXA]])</f>
        <v>0</v>
      </c>
      <c r="Y45" s="91">
        <f>SUMIFS(tabela_registros[VALOR],tabela_registros[MÊS],$AE$1,tabela_registros[DIA],jultotal3059718395107[[#Headers],[21]],tabela_registros[REGISTRO],DADOS!$N$4,tabela_registros[TIPO],DADOS!$P$3,tabela_registros[CATEGORIA],despesafixaconsolidadojul[[#This Row],[DESPESA FIXA]])</f>
        <v>0</v>
      </c>
      <c r="Z45" s="91">
        <f>SUMIFS(tabela_registros[VALOR],tabela_registros[MÊS],$AE$1,tabela_registros[DIA],jultotal3059718395107[[#Headers],[22]],tabela_registros[REGISTRO],DADOS!$N$4,tabela_registros[TIPO],DADOS!$P$3,tabela_registros[CATEGORIA],despesafixaconsolidadojul[[#This Row],[DESPESA FIXA]])</f>
        <v>0</v>
      </c>
      <c r="AA45" s="91">
        <f>SUMIFS(tabela_registros[VALOR],tabela_registros[MÊS],$AE$1,tabela_registros[DIA],jultotal3059718395107[[#Headers],[23]],tabela_registros[REGISTRO],DADOS!$N$4,tabela_registros[TIPO],DADOS!$P$3,tabela_registros[CATEGORIA],despesafixaconsolidadojul[[#This Row],[DESPESA FIXA]])</f>
        <v>0</v>
      </c>
      <c r="AB45" s="91">
        <f>SUMIFS(tabela_registros[VALOR],tabela_registros[MÊS],$AE$1,tabela_registros[DIA],jultotal3059718395107[[#Headers],[24]],tabela_registros[REGISTRO],DADOS!$N$4,tabela_registros[TIPO],DADOS!$P$3,tabela_registros[CATEGORIA],despesafixaconsolidadojul[[#This Row],[DESPESA FIXA]])</f>
        <v>0</v>
      </c>
      <c r="AC45" s="91">
        <f>SUMIFS(tabela_registros[VALOR],tabela_registros[MÊS],$AE$1,tabela_registros[DIA],jultotal3059718395107[[#Headers],[25]],tabela_registros[REGISTRO],DADOS!$N$4,tabela_registros[TIPO],DADOS!$P$3,tabela_registros[CATEGORIA],despesafixaconsolidadojul[[#This Row],[DESPESA FIXA]])</f>
        <v>0</v>
      </c>
      <c r="AD45" s="91">
        <f>SUMIFS(tabela_registros[VALOR],tabela_registros[MÊS],$AE$1,tabela_registros[DIA],jultotal3059718395107[[#Headers],[26]],tabela_registros[REGISTRO],DADOS!$N$4,tabela_registros[TIPO],DADOS!$P$3,tabela_registros[CATEGORIA],despesafixaconsolidadojul[[#This Row],[DESPESA FIXA]])</f>
        <v>0</v>
      </c>
      <c r="AE45" s="91">
        <f>SUMIFS(tabela_registros[VALOR],tabela_registros[MÊS],$AE$1,tabela_registros[DIA],jultotal3059718395107[[#Headers],[27]],tabela_registros[REGISTRO],DADOS!$N$4,tabela_registros[TIPO],DADOS!$P$3,tabela_registros[CATEGORIA],despesafixaconsolidadojul[[#This Row],[DESPESA FIXA]])</f>
        <v>0</v>
      </c>
      <c r="AF45" s="91">
        <f>SUMIFS(tabela_registros[VALOR],tabela_registros[MÊS],$AE$1,tabela_registros[DIA],jultotal3059718395107[[#Headers],[28]],tabela_registros[REGISTRO],DADOS!$N$4,tabela_registros[TIPO],DADOS!$P$3,tabela_registros[CATEGORIA],despesafixaconsolidadojul[[#This Row],[DESPESA FIXA]])</f>
        <v>0</v>
      </c>
      <c r="AG45" s="91">
        <f>SUMIFS(tabela_registros[VALOR],tabela_registros[MÊS],$AE$1,tabela_registros[DIA],jultotal3059718395107[[#Headers],[29]],tabela_registros[REGISTRO],DADOS!$N$4,tabela_registros[TIPO],DADOS!$P$3,tabela_registros[CATEGORIA],despesafixaconsolidadojul[[#This Row],[DESPESA FIXA]])</f>
        <v>0</v>
      </c>
      <c r="AH45" s="91">
        <f>SUMIFS(tabela_registros[VALOR],tabela_registros[MÊS],$AE$1,tabela_registros[DIA],jultotal3059718395107[[#Headers],[30]],tabela_registros[REGISTRO],DADOS!$N$4,tabela_registros[TIPO],DADOS!$P$3,tabela_registros[CATEGORIA],despesafixaconsolidadojul[[#This Row],[DESPESA FIXA]])</f>
        <v>0</v>
      </c>
      <c r="AI45" s="101">
        <f>SUMIFS(tabela_registros[VALOR],tabela_registros[MÊS],$AE$1,tabela_registros[DIA],jultotal3059718395107[[#Headers],[31]],tabela_registros[REGISTRO],DADOS!$N$4,tabela_registros[TIPO],DADOS!$P$3,tabela_registros[CATEGORIA],despesafixaconsolidadojul[[#This Row],[DESPESA FIXA]])</f>
        <v>0</v>
      </c>
      <c r="AJ45" s="97">
        <f>SUM(despesafixaconsolidadojul[[#This Row],[1]:[31]])</f>
        <v>0</v>
      </c>
      <c r="AK45" s="28"/>
    </row>
    <row r="46" spans="2:37" ht="18" customHeight="1" thickTop="1" thickBot="1" x14ac:dyDescent="0.3">
      <c r="B46" s="28"/>
      <c r="C46" s="27" t="str">
        <f>DADOS!$R$12</f>
        <v>🖱️ INTERNET</v>
      </c>
      <c r="D46" s="26" t="str">
        <f>IF(despesafixaconsolidadojul[[#This Row],[TOTAL]]=0,"",IF(OR(despesafixaconsolidadojul[[#This Row],[TOTAL]]=LARGE($AJ$37:$AJ$50,1),despesafixaconsolidadojul[[#This Row],[TOTAL]]=LARGE($AJ$37:$AJ$50,2),despesafixaconsolidadojul[[#This Row],[TOTAL]]=LARGE($AJ$37:$AJ$50,3),despesafixaconsolidadojul[[#This Row],[TOTAL]]=LARGE($AJ$37:$AJ$50,4),despesafixaconsolidadojul[[#This Row],[TOTAL]]=LARGE($AJ$37:$AJ$50,5)),DADOS!$I$8,""))</f>
        <v/>
      </c>
      <c r="E46" s="96">
        <f>SUMIFS(tabela_registros[VALOR],tabela_registros[MÊS],$AE$1,tabela_registros[DIA],jultotal3059718395107[[#Headers],[1]],tabela_registros[REGISTRO],DADOS!$N$4,tabela_registros[TIPO],DADOS!$P$3,tabela_registros[CATEGORIA],despesafixaconsolidadojul[[#This Row],[DESPESA FIXA]])</f>
        <v>0</v>
      </c>
      <c r="F46" s="91">
        <f>SUMIFS(tabela_registros[VALOR],tabela_registros[MÊS],$AE$1,tabela_registros[DIA],jultotal3059718395107[[#Headers],[2]],tabela_registros[REGISTRO],DADOS!$N$4,tabela_registros[TIPO],DADOS!$P$3,tabela_registros[CATEGORIA],despesafixaconsolidadojul[[#This Row],[DESPESA FIXA]])</f>
        <v>0</v>
      </c>
      <c r="G46" s="91">
        <f>SUMIFS(tabela_registros[VALOR],tabela_registros[MÊS],$AE$1,tabela_registros[DIA],jultotal3059718395107[[#Headers],[3]],tabela_registros[REGISTRO],DADOS!$N$4,tabela_registros[TIPO],DADOS!$P$3,tabela_registros[CATEGORIA],despesafixaconsolidadojul[[#This Row],[DESPESA FIXA]])</f>
        <v>0</v>
      </c>
      <c r="H46" s="91">
        <f>SUMIFS(tabela_registros[VALOR],tabela_registros[MÊS],$AE$1,tabela_registros[DIA],jultotal3059718395107[[#Headers],[4]],tabela_registros[REGISTRO],DADOS!$N$4,tabela_registros[TIPO],DADOS!$P$3,tabela_registros[CATEGORIA],despesafixaconsolidadojul[[#This Row],[DESPESA FIXA]])</f>
        <v>0</v>
      </c>
      <c r="I46" s="91">
        <f>SUMIFS(tabela_registros[VALOR],tabela_registros[MÊS],$AE$1,tabela_registros[DIA],jultotal3059718395107[[#Headers],[5]],tabela_registros[REGISTRO],DADOS!$N$4,tabela_registros[TIPO],DADOS!$P$3,tabela_registros[CATEGORIA],despesafixaconsolidadojul[[#This Row],[DESPESA FIXA]])</f>
        <v>0</v>
      </c>
      <c r="J46" s="91">
        <f>SUMIFS(tabela_registros[VALOR],tabela_registros[MÊS],$AE$1,tabela_registros[DIA],jultotal3059718395107[[#Headers],[6]],tabela_registros[REGISTRO],DADOS!$N$4,tabela_registros[TIPO],DADOS!$P$3,tabela_registros[CATEGORIA],despesafixaconsolidadojul[[#This Row],[DESPESA FIXA]])</f>
        <v>0</v>
      </c>
      <c r="K46" s="91">
        <f>SUMIFS(tabela_registros[VALOR],tabela_registros[MÊS],$AE$1,tabela_registros[DIA],jultotal3059718395107[[#Headers],[7]],tabela_registros[REGISTRO],DADOS!$N$4,tabela_registros[TIPO],DADOS!$P$3,tabela_registros[CATEGORIA],despesafixaconsolidadojul[[#This Row],[DESPESA FIXA]])</f>
        <v>0</v>
      </c>
      <c r="L46" s="91">
        <f>SUMIFS(tabela_registros[VALOR],tabela_registros[MÊS],$AE$1,tabela_registros[DIA],jultotal3059718395107[[#Headers],[8]],tabela_registros[REGISTRO],DADOS!$N$4,tabela_registros[TIPO],DADOS!$P$3,tabela_registros[CATEGORIA],despesafixaconsolidadojul[[#This Row],[DESPESA FIXA]])</f>
        <v>0</v>
      </c>
      <c r="M46" s="91">
        <f>SUMIFS(tabela_registros[VALOR],tabela_registros[MÊS],$AE$1,tabela_registros[DIA],jultotal3059718395107[[#Headers],[9]],tabela_registros[REGISTRO],DADOS!$N$4,tabela_registros[TIPO],DADOS!$P$3,tabela_registros[CATEGORIA],despesafixaconsolidadojul[[#This Row],[DESPESA FIXA]])</f>
        <v>0</v>
      </c>
      <c r="N46" s="91">
        <f>SUMIFS(tabela_registros[VALOR],tabela_registros[MÊS],$AE$1,tabela_registros[DIA],jultotal3059718395107[[#Headers],[10]],tabela_registros[REGISTRO],DADOS!$N$4,tabela_registros[TIPO],DADOS!$P$3,tabela_registros[CATEGORIA],despesafixaconsolidadojul[[#This Row],[DESPESA FIXA]])</f>
        <v>0</v>
      </c>
      <c r="O46" s="91">
        <f>SUMIFS(tabela_registros[VALOR],tabela_registros[MÊS],$AE$1,tabela_registros[DIA],jultotal3059718395107[[#Headers],[11]],tabela_registros[REGISTRO],DADOS!$N$4,tabela_registros[TIPO],DADOS!$P$3,tabela_registros[CATEGORIA],despesafixaconsolidadojul[[#This Row],[DESPESA FIXA]])</f>
        <v>0</v>
      </c>
      <c r="P46" s="91">
        <f>SUMIFS(tabela_registros[VALOR],tabela_registros[MÊS],$AE$1,tabela_registros[DIA],jultotal3059718395107[[#Headers],[12]],tabela_registros[REGISTRO],DADOS!$N$4,tabela_registros[TIPO],DADOS!$P$3,tabela_registros[CATEGORIA],despesafixaconsolidadojul[[#This Row],[DESPESA FIXA]])</f>
        <v>0</v>
      </c>
      <c r="Q46" s="91">
        <f>SUMIFS(tabela_registros[VALOR],tabela_registros[MÊS],$AE$1,tabela_registros[DIA],jultotal3059718395107[[#Headers],[13]],tabela_registros[REGISTRO],DADOS!$N$4,tabela_registros[TIPO],DADOS!$P$3,tabela_registros[CATEGORIA],despesafixaconsolidadojul[[#This Row],[DESPESA FIXA]])</f>
        <v>0</v>
      </c>
      <c r="R46" s="91">
        <f>SUMIFS(tabela_registros[VALOR],tabela_registros[MÊS],$AE$1,tabela_registros[DIA],jultotal3059718395107[[#Headers],[14]],tabela_registros[REGISTRO],DADOS!$N$4,tabela_registros[TIPO],DADOS!$P$3,tabela_registros[CATEGORIA],despesafixaconsolidadojul[[#This Row],[DESPESA FIXA]])</f>
        <v>0</v>
      </c>
      <c r="S46" s="91">
        <f>SUMIFS(tabela_registros[VALOR],tabela_registros[MÊS],$AE$1,tabela_registros[DIA],jultotal3059718395107[[#Headers],[15]],tabela_registros[REGISTRO],DADOS!$N$4,tabela_registros[TIPO],DADOS!$P$3,tabela_registros[CATEGORIA],despesafixaconsolidadojul[[#This Row],[DESPESA FIXA]])</f>
        <v>0</v>
      </c>
      <c r="T46" s="91">
        <f>SUMIFS(tabela_registros[VALOR],tabela_registros[MÊS],$AE$1,tabela_registros[DIA],jultotal3059718395107[[#Headers],[16]],tabela_registros[REGISTRO],DADOS!$N$4,tabela_registros[TIPO],DADOS!$P$3,tabela_registros[CATEGORIA],despesafixaconsolidadojul[[#This Row],[DESPESA FIXA]])</f>
        <v>0</v>
      </c>
      <c r="U46" s="91">
        <f>SUMIFS(tabela_registros[VALOR],tabela_registros[MÊS],$AE$1,tabela_registros[DIA],jultotal3059718395107[[#Headers],[17]],tabela_registros[REGISTRO],DADOS!$N$4,tabela_registros[TIPO],DADOS!$P$3,tabela_registros[CATEGORIA],despesafixaconsolidadojul[[#This Row],[DESPESA FIXA]])</f>
        <v>0</v>
      </c>
      <c r="V46" s="91">
        <f>SUMIFS(tabela_registros[VALOR],tabela_registros[MÊS],$AE$1,tabela_registros[DIA],jultotal3059718395107[[#Headers],[18]],tabela_registros[REGISTRO],DADOS!$N$4,tabela_registros[TIPO],DADOS!$P$3,tabela_registros[CATEGORIA],despesafixaconsolidadojul[[#This Row],[DESPESA FIXA]])</f>
        <v>0</v>
      </c>
      <c r="W46" s="91">
        <f>SUMIFS(tabela_registros[VALOR],tabela_registros[MÊS],$AE$1,tabela_registros[DIA],jultotal3059718395107[[#Headers],[19]],tabela_registros[REGISTRO],DADOS!$N$4,tabela_registros[TIPO],DADOS!$P$3,tabela_registros[CATEGORIA],despesafixaconsolidadojul[[#This Row],[DESPESA FIXA]])</f>
        <v>0</v>
      </c>
      <c r="X46" s="91">
        <f>SUMIFS(tabela_registros[VALOR],tabela_registros[MÊS],$AE$1,tabela_registros[DIA],jultotal3059718395107[[#Headers],[20]],tabela_registros[REGISTRO],DADOS!$N$4,tabela_registros[TIPO],DADOS!$P$3,tabela_registros[CATEGORIA],despesafixaconsolidadojul[[#This Row],[DESPESA FIXA]])</f>
        <v>0</v>
      </c>
      <c r="Y46" s="91">
        <f>SUMIFS(tabela_registros[VALOR],tabela_registros[MÊS],$AE$1,tabela_registros[DIA],jultotal3059718395107[[#Headers],[21]],tabela_registros[REGISTRO],DADOS!$N$4,tabela_registros[TIPO],DADOS!$P$3,tabela_registros[CATEGORIA],despesafixaconsolidadojul[[#This Row],[DESPESA FIXA]])</f>
        <v>0</v>
      </c>
      <c r="Z46" s="91">
        <f>SUMIFS(tabela_registros[VALOR],tabela_registros[MÊS],$AE$1,tabela_registros[DIA],jultotal3059718395107[[#Headers],[22]],tabela_registros[REGISTRO],DADOS!$N$4,tabela_registros[TIPO],DADOS!$P$3,tabela_registros[CATEGORIA],despesafixaconsolidadojul[[#This Row],[DESPESA FIXA]])</f>
        <v>0</v>
      </c>
      <c r="AA46" s="91">
        <f>SUMIFS(tabela_registros[VALOR],tabela_registros[MÊS],$AE$1,tabela_registros[DIA],jultotal3059718395107[[#Headers],[23]],tabela_registros[REGISTRO],DADOS!$N$4,tabela_registros[TIPO],DADOS!$P$3,tabela_registros[CATEGORIA],despesafixaconsolidadojul[[#This Row],[DESPESA FIXA]])</f>
        <v>0</v>
      </c>
      <c r="AB46" s="91">
        <f>SUMIFS(tabela_registros[VALOR],tabela_registros[MÊS],$AE$1,tabela_registros[DIA],jultotal3059718395107[[#Headers],[24]],tabela_registros[REGISTRO],DADOS!$N$4,tabela_registros[TIPO],DADOS!$P$3,tabela_registros[CATEGORIA],despesafixaconsolidadojul[[#This Row],[DESPESA FIXA]])</f>
        <v>0</v>
      </c>
      <c r="AC46" s="91">
        <f>SUMIFS(tabela_registros[VALOR],tabela_registros[MÊS],$AE$1,tabela_registros[DIA],jultotal3059718395107[[#Headers],[25]],tabela_registros[REGISTRO],DADOS!$N$4,tabela_registros[TIPO],DADOS!$P$3,tabela_registros[CATEGORIA],despesafixaconsolidadojul[[#This Row],[DESPESA FIXA]])</f>
        <v>0</v>
      </c>
      <c r="AD46" s="91">
        <f>SUMIFS(tabela_registros[VALOR],tabela_registros[MÊS],$AE$1,tabela_registros[DIA],jultotal3059718395107[[#Headers],[26]],tabela_registros[REGISTRO],DADOS!$N$4,tabela_registros[TIPO],DADOS!$P$3,tabela_registros[CATEGORIA],despesafixaconsolidadojul[[#This Row],[DESPESA FIXA]])</f>
        <v>0</v>
      </c>
      <c r="AE46" s="91">
        <f>SUMIFS(tabela_registros[VALOR],tabela_registros[MÊS],$AE$1,tabela_registros[DIA],jultotal3059718395107[[#Headers],[27]],tabela_registros[REGISTRO],DADOS!$N$4,tabela_registros[TIPO],DADOS!$P$3,tabela_registros[CATEGORIA],despesafixaconsolidadojul[[#This Row],[DESPESA FIXA]])</f>
        <v>0</v>
      </c>
      <c r="AF46" s="91">
        <f>SUMIFS(tabela_registros[VALOR],tabela_registros[MÊS],$AE$1,tabela_registros[DIA],jultotal3059718395107[[#Headers],[28]],tabela_registros[REGISTRO],DADOS!$N$4,tabela_registros[TIPO],DADOS!$P$3,tabela_registros[CATEGORIA],despesafixaconsolidadojul[[#This Row],[DESPESA FIXA]])</f>
        <v>0</v>
      </c>
      <c r="AG46" s="91">
        <f>SUMIFS(tabela_registros[VALOR],tabela_registros[MÊS],$AE$1,tabela_registros[DIA],jultotal3059718395107[[#Headers],[29]],tabela_registros[REGISTRO],DADOS!$N$4,tabela_registros[TIPO],DADOS!$P$3,tabela_registros[CATEGORIA],despesafixaconsolidadojul[[#This Row],[DESPESA FIXA]])</f>
        <v>0</v>
      </c>
      <c r="AH46" s="91">
        <f>SUMIFS(tabela_registros[VALOR],tabela_registros[MÊS],$AE$1,tabela_registros[DIA],jultotal3059718395107[[#Headers],[30]],tabela_registros[REGISTRO],DADOS!$N$4,tabela_registros[TIPO],DADOS!$P$3,tabela_registros[CATEGORIA],despesafixaconsolidadojul[[#This Row],[DESPESA FIXA]])</f>
        <v>0</v>
      </c>
      <c r="AI46" s="101">
        <f>SUMIFS(tabela_registros[VALOR],tabela_registros[MÊS],$AE$1,tabela_registros[DIA],jultotal3059718395107[[#Headers],[31]],tabela_registros[REGISTRO],DADOS!$N$4,tabela_registros[TIPO],DADOS!$P$3,tabela_registros[CATEGORIA],despesafixaconsolidadojul[[#This Row],[DESPESA FIXA]])</f>
        <v>0</v>
      </c>
      <c r="AJ46" s="97">
        <f>SUM(despesafixaconsolidadojul[[#This Row],[1]:[31]])</f>
        <v>0</v>
      </c>
      <c r="AK46" s="28"/>
    </row>
    <row r="47" spans="2:37" ht="18" customHeight="1" thickTop="1" thickBot="1" x14ac:dyDescent="0.3">
      <c r="B47" s="28"/>
      <c r="C47" s="27" t="str">
        <f>DADOS!$R$13</f>
        <v>🏠 MORADIA</v>
      </c>
      <c r="D47" s="26" t="str">
        <f>IF(despesafixaconsolidadojul[[#This Row],[TOTAL]]=0,"",IF(OR(despesafixaconsolidadojul[[#This Row],[TOTAL]]=LARGE($AJ$37:$AJ$50,1),despesafixaconsolidadojul[[#This Row],[TOTAL]]=LARGE($AJ$37:$AJ$50,2),despesafixaconsolidadojul[[#This Row],[TOTAL]]=LARGE($AJ$37:$AJ$50,3),despesafixaconsolidadojul[[#This Row],[TOTAL]]=LARGE($AJ$37:$AJ$50,4),despesafixaconsolidadojul[[#This Row],[TOTAL]]=LARGE($AJ$37:$AJ$50,5)),DADOS!$I$8,""))</f>
        <v/>
      </c>
      <c r="E47" s="96">
        <f>SUMIFS(tabela_registros[VALOR],tabela_registros[MÊS],$AE$1,tabela_registros[DIA],jultotal3059718395107[[#Headers],[1]],tabela_registros[REGISTRO],DADOS!$N$4,tabela_registros[TIPO],DADOS!$P$3,tabela_registros[CATEGORIA],despesafixaconsolidadojul[[#This Row],[DESPESA FIXA]])</f>
        <v>0</v>
      </c>
      <c r="F47" s="91">
        <f>SUMIFS(tabela_registros[VALOR],tabela_registros[MÊS],$AE$1,tabela_registros[DIA],jultotal3059718395107[[#Headers],[2]],tabela_registros[REGISTRO],DADOS!$N$4,tabela_registros[TIPO],DADOS!$P$3,tabela_registros[CATEGORIA],despesafixaconsolidadojul[[#This Row],[DESPESA FIXA]])</f>
        <v>0</v>
      </c>
      <c r="G47" s="91">
        <f>SUMIFS(tabela_registros[VALOR],tabela_registros[MÊS],$AE$1,tabela_registros[DIA],jultotal3059718395107[[#Headers],[3]],tabela_registros[REGISTRO],DADOS!$N$4,tabela_registros[TIPO],DADOS!$P$3,tabela_registros[CATEGORIA],despesafixaconsolidadojul[[#This Row],[DESPESA FIXA]])</f>
        <v>0</v>
      </c>
      <c r="H47" s="91">
        <f>SUMIFS(tabela_registros[VALOR],tabela_registros[MÊS],$AE$1,tabela_registros[DIA],jultotal3059718395107[[#Headers],[4]],tabela_registros[REGISTRO],DADOS!$N$4,tabela_registros[TIPO],DADOS!$P$3,tabela_registros[CATEGORIA],despesafixaconsolidadojul[[#This Row],[DESPESA FIXA]])</f>
        <v>0</v>
      </c>
      <c r="I47" s="91">
        <f>SUMIFS(tabela_registros[VALOR],tabela_registros[MÊS],$AE$1,tabela_registros[DIA],jultotal3059718395107[[#Headers],[5]],tabela_registros[REGISTRO],DADOS!$N$4,tabela_registros[TIPO],DADOS!$P$3,tabela_registros[CATEGORIA],despesafixaconsolidadojul[[#This Row],[DESPESA FIXA]])</f>
        <v>0</v>
      </c>
      <c r="J47" s="91">
        <f>SUMIFS(tabela_registros[VALOR],tabela_registros[MÊS],$AE$1,tabela_registros[DIA],jultotal3059718395107[[#Headers],[6]],tabela_registros[REGISTRO],DADOS!$N$4,tabela_registros[TIPO],DADOS!$P$3,tabela_registros[CATEGORIA],despesafixaconsolidadojul[[#This Row],[DESPESA FIXA]])</f>
        <v>0</v>
      </c>
      <c r="K47" s="91">
        <f>SUMIFS(tabela_registros[VALOR],tabela_registros[MÊS],$AE$1,tabela_registros[DIA],jultotal3059718395107[[#Headers],[7]],tabela_registros[REGISTRO],DADOS!$N$4,tabela_registros[TIPO],DADOS!$P$3,tabela_registros[CATEGORIA],despesafixaconsolidadojul[[#This Row],[DESPESA FIXA]])</f>
        <v>0</v>
      </c>
      <c r="L47" s="91">
        <f>SUMIFS(tabela_registros[VALOR],tabela_registros[MÊS],$AE$1,tabela_registros[DIA],jultotal3059718395107[[#Headers],[8]],tabela_registros[REGISTRO],DADOS!$N$4,tabela_registros[TIPO],DADOS!$P$3,tabela_registros[CATEGORIA],despesafixaconsolidadojul[[#This Row],[DESPESA FIXA]])</f>
        <v>0</v>
      </c>
      <c r="M47" s="91">
        <f>SUMIFS(tabela_registros[VALOR],tabela_registros[MÊS],$AE$1,tabela_registros[DIA],jultotal3059718395107[[#Headers],[9]],tabela_registros[REGISTRO],DADOS!$N$4,tabela_registros[TIPO],DADOS!$P$3,tabela_registros[CATEGORIA],despesafixaconsolidadojul[[#This Row],[DESPESA FIXA]])</f>
        <v>0</v>
      </c>
      <c r="N47" s="91">
        <f>SUMIFS(tabela_registros[VALOR],tabela_registros[MÊS],$AE$1,tabela_registros[DIA],jultotal3059718395107[[#Headers],[10]],tabela_registros[REGISTRO],DADOS!$N$4,tabela_registros[TIPO],DADOS!$P$3,tabela_registros[CATEGORIA],despesafixaconsolidadojul[[#This Row],[DESPESA FIXA]])</f>
        <v>0</v>
      </c>
      <c r="O47" s="91">
        <f>SUMIFS(tabela_registros[VALOR],tabela_registros[MÊS],$AE$1,tabela_registros[DIA],jultotal3059718395107[[#Headers],[11]],tabela_registros[REGISTRO],DADOS!$N$4,tabela_registros[TIPO],DADOS!$P$3,tabela_registros[CATEGORIA],despesafixaconsolidadojul[[#This Row],[DESPESA FIXA]])</f>
        <v>0</v>
      </c>
      <c r="P47" s="91">
        <f>SUMIFS(tabela_registros[VALOR],tabela_registros[MÊS],$AE$1,tabela_registros[DIA],jultotal3059718395107[[#Headers],[12]],tabela_registros[REGISTRO],DADOS!$N$4,tabela_registros[TIPO],DADOS!$P$3,tabela_registros[CATEGORIA],despesafixaconsolidadojul[[#This Row],[DESPESA FIXA]])</f>
        <v>0</v>
      </c>
      <c r="Q47" s="91">
        <f>SUMIFS(tabela_registros[VALOR],tabela_registros[MÊS],$AE$1,tabela_registros[DIA],jultotal3059718395107[[#Headers],[13]],tabela_registros[REGISTRO],DADOS!$N$4,tabela_registros[TIPO],DADOS!$P$3,tabela_registros[CATEGORIA],despesafixaconsolidadojul[[#This Row],[DESPESA FIXA]])</f>
        <v>0</v>
      </c>
      <c r="R47" s="91">
        <f>SUMIFS(tabela_registros[VALOR],tabela_registros[MÊS],$AE$1,tabela_registros[DIA],jultotal3059718395107[[#Headers],[14]],tabela_registros[REGISTRO],DADOS!$N$4,tabela_registros[TIPO],DADOS!$P$3,tabela_registros[CATEGORIA],despesafixaconsolidadojul[[#This Row],[DESPESA FIXA]])</f>
        <v>0</v>
      </c>
      <c r="S47" s="91">
        <f>SUMIFS(tabela_registros[VALOR],tabela_registros[MÊS],$AE$1,tabela_registros[DIA],jultotal3059718395107[[#Headers],[15]],tabela_registros[REGISTRO],DADOS!$N$4,tabela_registros[TIPO],DADOS!$P$3,tabela_registros[CATEGORIA],despesafixaconsolidadojul[[#This Row],[DESPESA FIXA]])</f>
        <v>0</v>
      </c>
      <c r="T47" s="91">
        <f>SUMIFS(tabela_registros[VALOR],tabela_registros[MÊS],$AE$1,tabela_registros[DIA],jultotal3059718395107[[#Headers],[16]],tabela_registros[REGISTRO],DADOS!$N$4,tabela_registros[TIPO],DADOS!$P$3,tabela_registros[CATEGORIA],despesafixaconsolidadojul[[#This Row],[DESPESA FIXA]])</f>
        <v>0</v>
      </c>
      <c r="U47" s="91">
        <f>SUMIFS(tabela_registros[VALOR],tabela_registros[MÊS],$AE$1,tabela_registros[DIA],jultotal3059718395107[[#Headers],[17]],tabela_registros[REGISTRO],DADOS!$N$4,tabela_registros[TIPO],DADOS!$P$3,tabela_registros[CATEGORIA],despesafixaconsolidadojul[[#This Row],[DESPESA FIXA]])</f>
        <v>0</v>
      </c>
      <c r="V47" s="91">
        <f>SUMIFS(tabela_registros[VALOR],tabela_registros[MÊS],$AE$1,tabela_registros[DIA],jultotal3059718395107[[#Headers],[18]],tabela_registros[REGISTRO],DADOS!$N$4,tabela_registros[TIPO],DADOS!$P$3,tabela_registros[CATEGORIA],despesafixaconsolidadojul[[#This Row],[DESPESA FIXA]])</f>
        <v>0</v>
      </c>
      <c r="W47" s="91">
        <f>SUMIFS(tabela_registros[VALOR],tabela_registros[MÊS],$AE$1,tabela_registros[DIA],jultotal3059718395107[[#Headers],[19]],tabela_registros[REGISTRO],DADOS!$N$4,tabela_registros[TIPO],DADOS!$P$3,tabela_registros[CATEGORIA],despesafixaconsolidadojul[[#This Row],[DESPESA FIXA]])</f>
        <v>0</v>
      </c>
      <c r="X47" s="91">
        <f>SUMIFS(tabela_registros[VALOR],tabela_registros[MÊS],$AE$1,tabela_registros[DIA],jultotal3059718395107[[#Headers],[20]],tabela_registros[REGISTRO],DADOS!$N$4,tabela_registros[TIPO],DADOS!$P$3,tabela_registros[CATEGORIA],despesafixaconsolidadojul[[#This Row],[DESPESA FIXA]])</f>
        <v>0</v>
      </c>
      <c r="Y47" s="91">
        <f>SUMIFS(tabela_registros[VALOR],tabela_registros[MÊS],$AE$1,tabela_registros[DIA],jultotal3059718395107[[#Headers],[21]],tabela_registros[REGISTRO],DADOS!$N$4,tabela_registros[TIPO],DADOS!$P$3,tabela_registros[CATEGORIA],despesafixaconsolidadojul[[#This Row],[DESPESA FIXA]])</f>
        <v>0</v>
      </c>
      <c r="Z47" s="91">
        <f>SUMIFS(tabela_registros[VALOR],tabela_registros[MÊS],$AE$1,tabela_registros[DIA],jultotal3059718395107[[#Headers],[22]],tabela_registros[REGISTRO],DADOS!$N$4,tabela_registros[TIPO],DADOS!$P$3,tabela_registros[CATEGORIA],despesafixaconsolidadojul[[#This Row],[DESPESA FIXA]])</f>
        <v>0</v>
      </c>
      <c r="AA47" s="91">
        <f>SUMIFS(tabela_registros[VALOR],tabela_registros[MÊS],$AE$1,tabela_registros[DIA],jultotal3059718395107[[#Headers],[23]],tabela_registros[REGISTRO],DADOS!$N$4,tabela_registros[TIPO],DADOS!$P$3,tabela_registros[CATEGORIA],despesafixaconsolidadojul[[#This Row],[DESPESA FIXA]])</f>
        <v>0</v>
      </c>
      <c r="AB47" s="91">
        <f>SUMIFS(tabela_registros[VALOR],tabela_registros[MÊS],$AE$1,tabela_registros[DIA],jultotal3059718395107[[#Headers],[24]],tabela_registros[REGISTRO],DADOS!$N$4,tabela_registros[TIPO],DADOS!$P$3,tabela_registros[CATEGORIA],despesafixaconsolidadojul[[#This Row],[DESPESA FIXA]])</f>
        <v>0</v>
      </c>
      <c r="AC47" s="91">
        <f>SUMIFS(tabela_registros[VALOR],tabela_registros[MÊS],$AE$1,tabela_registros[DIA],jultotal3059718395107[[#Headers],[25]],tabela_registros[REGISTRO],DADOS!$N$4,tabela_registros[TIPO],DADOS!$P$3,tabela_registros[CATEGORIA],despesafixaconsolidadojul[[#This Row],[DESPESA FIXA]])</f>
        <v>0</v>
      </c>
      <c r="AD47" s="91">
        <f>SUMIFS(tabela_registros[VALOR],tabela_registros[MÊS],$AE$1,tabela_registros[DIA],jultotal3059718395107[[#Headers],[26]],tabela_registros[REGISTRO],DADOS!$N$4,tabela_registros[TIPO],DADOS!$P$3,tabela_registros[CATEGORIA],despesafixaconsolidadojul[[#This Row],[DESPESA FIXA]])</f>
        <v>0</v>
      </c>
      <c r="AE47" s="91">
        <f>SUMIFS(tabela_registros[VALOR],tabela_registros[MÊS],$AE$1,tabela_registros[DIA],jultotal3059718395107[[#Headers],[27]],tabela_registros[REGISTRO],DADOS!$N$4,tabela_registros[TIPO],DADOS!$P$3,tabela_registros[CATEGORIA],despesafixaconsolidadojul[[#This Row],[DESPESA FIXA]])</f>
        <v>0</v>
      </c>
      <c r="AF47" s="91">
        <f>SUMIFS(tabela_registros[VALOR],tabela_registros[MÊS],$AE$1,tabela_registros[DIA],jultotal3059718395107[[#Headers],[28]],tabela_registros[REGISTRO],DADOS!$N$4,tabela_registros[TIPO],DADOS!$P$3,tabela_registros[CATEGORIA],despesafixaconsolidadojul[[#This Row],[DESPESA FIXA]])</f>
        <v>0</v>
      </c>
      <c r="AG47" s="91">
        <f>SUMIFS(tabela_registros[VALOR],tabela_registros[MÊS],$AE$1,tabela_registros[DIA],jultotal3059718395107[[#Headers],[29]],tabela_registros[REGISTRO],DADOS!$N$4,tabela_registros[TIPO],DADOS!$P$3,tabela_registros[CATEGORIA],despesafixaconsolidadojul[[#This Row],[DESPESA FIXA]])</f>
        <v>0</v>
      </c>
      <c r="AH47" s="91">
        <f>SUMIFS(tabela_registros[VALOR],tabela_registros[MÊS],$AE$1,tabela_registros[DIA],jultotal3059718395107[[#Headers],[30]],tabela_registros[REGISTRO],DADOS!$N$4,tabela_registros[TIPO],DADOS!$P$3,tabela_registros[CATEGORIA],despesafixaconsolidadojul[[#This Row],[DESPESA FIXA]])</f>
        <v>0</v>
      </c>
      <c r="AI47" s="101">
        <f>SUMIFS(tabela_registros[VALOR],tabela_registros[MÊS],$AE$1,tabela_registros[DIA],jultotal3059718395107[[#Headers],[31]],tabela_registros[REGISTRO],DADOS!$N$4,tabela_registros[TIPO],DADOS!$P$3,tabela_registros[CATEGORIA],despesafixaconsolidadojul[[#This Row],[DESPESA FIXA]])</f>
        <v>0</v>
      </c>
      <c r="AJ47" s="97">
        <f>SUM(despesafixaconsolidadojul[[#This Row],[1]:[31]])</f>
        <v>0</v>
      </c>
      <c r="AK47" s="28"/>
    </row>
    <row r="48" spans="2:37" ht="18" customHeight="1" thickTop="1" thickBot="1" x14ac:dyDescent="0.3">
      <c r="B48" s="28"/>
      <c r="C48" s="27" t="str">
        <f>DADOS!$R$14</f>
        <v>💊 SAÚDE</v>
      </c>
      <c r="D48" s="26" t="str">
        <f>IF(despesafixaconsolidadojul[[#This Row],[TOTAL]]=0,"",IF(OR(despesafixaconsolidadojul[[#This Row],[TOTAL]]=LARGE($AJ$37:$AJ$50,1),despesafixaconsolidadojul[[#This Row],[TOTAL]]=LARGE($AJ$37:$AJ$50,2),despesafixaconsolidadojul[[#This Row],[TOTAL]]=LARGE($AJ$37:$AJ$50,3),despesafixaconsolidadojul[[#This Row],[TOTAL]]=LARGE($AJ$37:$AJ$50,4),despesafixaconsolidadojul[[#This Row],[TOTAL]]=LARGE($AJ$37:$AJ$50,5)),DADOS!$I$8,""))</f>
        <v/>
      </c>
      <c r="E48" s="96">
        <f>SUMIFS(tabela_registros[VALOR],tabela_registros[MÊS],$AE$1,tabela_registros[DIA],jultotal3059718395107[[#Headers],[1]],tabela_registros[REGISTRO],DADOS!$N$4,tabela_registros[TIPO],DADOS!$P$3,tabela_registros[CATEGORIA],despesafixaconsolidadojul[[#This Row],[DESPESA FIXA]])</f>
        <v>0</v>
      </c>
      <c r="F48" s="91">
        <f>SUMIFS(tabela_registros[VALOR],tabela_registros[MÊS],$AE$1,tabela_registros[DIA],jultotal3059718395107[[#Headers],[2]],tabela_registros[REGISTRO],DADOS!$N$4,tabela_registros[TIPO],DADOS!$P$3,tabela_registros[CATEGORIA],despesafixaconsolidadojul[[#This Row],[DESPESA FIXA]])</f>
        <v>0</v>
      </c>
      <c r="G48" s="91">
        <f>SUMIFS(tabela_registros[VALOR],tabela_registros[MÊS],$AE$1,tabela_registros[DIA],jultotal3059718395107[[#Headers],[3]],tabela_registros[REGISTRO],DADOS!$N$4,tabela_registros[TIPO],DADOS!$P$3,tabela_registros[CATEGORIA],despesafixaconsolidadojul[[#This Row],[DESPESA FIXA]])</f>
        <v>0</v>
      </c>
      <c r="H48" s="91">
        <f>SUMIFS(tabela_registros[VALOR],tabela_registros[MÊS],$AE$1,tabela_registros[DIA],jultotal3059718395107[[#Headers],[4]],tabela_registros[REGISTRO],DADOS!$N$4,tabela_registros[TIPO],DADOS!$P$3,tabela_registros[CATEGORIA],despesafixaconsolidadojul[[#This Row],[DESPESA FIXA]])</f>
        <v>0</v>
      </c>
      <c r="I48" s="91">
        <f>SUMIFS(tabela_registros[VALOR],tabela_registros[MÊS],$AE$1,tabela_registros[DIA],jultotal3059718395107[[#Headers],[5]],tabela_registros[REGISTRO],DADOS!$N$4,tabela_registros[TIPO],DADOS!$P$3,tabela_registros[CATEGORIA],despesafixaconsolidadojul[[#This Row],[DESPESA FIXA]])</f>
        <v>0</v>
      </c>
      <c r="J48" s="91">
        <f>SUMIFS(tabela_registros[VALOR],tabela_registros[MÊS],$AE$1,tabela_registros[DIA],jultotal3059718395107[[#Headers],[6]],tabela_registros[REGISTRO],DADOS!$N$4,tabela_registros[TIPO],DADOS!$P$3,tabela_registros[CATEGORIA],despesafixaconsolidadojul[[#This Row],[DESPESA FIXA]])</f>
        <v>0</v>
      </c>
      <c r="K48" s="91">
        <f>SUMIFS(tabela_registros[VALOR],tabela_registros[MÊS],$AE$1,tabela_registros[DIA],jultotal3059718395107[[#Headers],[7]],tabela_registros[REGISTRO],DADOS!$N$4,tabela_registros[TIPO],DADOS!$P$3,tabela_registros[CATEGORIA],despesafixaconsolidadojul[[#This Row],[DESPESA FIXA]])</f>
        <v>0</v>
      </c>
      <c r="L48" s="91">
        <f>SUMIFS(tabela_registros[VALOR],tabela_registros[MÊS],$AE$1,tabela_registros[DIA],jultotal3059718395107[[#Headers],[8]],tabela_registros[REGISTRO],DADOS!$N$4,tabela_registros[TIPO],DADOS!$P$3,tabela_registros[CATEGORIA],despesafixaconsolidadojul[[#This Row],[DESPESA FIXA]])</f>
        <v>0</v>
      </c>
      <c r="M48" s="91">
        <f>SUMIFS(tabela_registros[VALOR],tabela_registros[MÊS],$AE$1,tabela_registros[DIA],jultotal3059718395107[[#Headers],[9]],tabela_registros[REGISTRO],DADOS!$N$4,tabela_registros[TIPO],DADOS!$P$3,tabela_registros[CATEGORIA],despesafixaconsolidadojul[[#This Row],[DESPESA FIXA]])</f>
        <v>0</v>
      </c>
      <c r="N48" s="91">
        <f>SUMIFS(tabela_registros[VALOR],tabela_registros[MÊS],$AE$1,tabela_registros[DIA],jultotal3059718395107[[#Headers],[10]],tabela_registros[REGISTRO],DADOS!$N$4,tabela_registros[TIPO],DADOS!$P$3,tabela_registros[CATEGORIA],despesafixaconsolidadojul[[#This Row],[DESPESA FIXA]])</f>
        <v>0</v>
      </c>
      <c r="O48" s="91">
        <f>SUMIFS(tabela_registros[VALOR],tabela_registros[MÊS],$AE$1,tabela_registros[DIA],jultotal3059718395107[[#Headers],[11]],tabela_registros[REGISTRO],DADOS!$N$4,tabela_registros[TIPO],DADOS!$P$3,tabela_registros[CATEGORIA],despesafixaconsolidadojul[[#This Row],[DESPESA FIXA]])</f>
        <v>0</v>
      </c>
      <c r="P48" s="91">
        <f>SUMIFS(tabela_registros[VALOR],tabela_registros[MÊS],$AE$1,tabela_registros[DIA],jultotal3059718395107[[#Headers],[12]],tabela_registros[REGISTRO],DADOS!$N$4,tabela_registros[TIPO],DADOS!$P$3,tabela_registros[CATEGORIA],despesafixaconsolidadojul[[#This Row],[DESPESA FIXA]])</f>
        <v>0</v>
      </c>
      <c r="Q48" s="91">
        <f>SUMIFS(tabela_registros[VALOR],tabela_registros[MÊS],$AE$1,tabela_registros[DIA],jultotal3059718395107[[#Headers],[13]],tabela_registros[REGISTRO],DADOS!$N$4,tabela_registros[TIPO],DADOS!$P$3,tabela_registros[CATEGORIA],despesafixaconsolidadojul[[#This Row],[DESPESA FIXA]])</f>
        <v>0</v>
      </c>
      <c r="R48" s="91">
        <f>SUMIFS(tabela_registros[VALOR],tabela_registros[MÊS],$AE$1,tabela_registros[DIA],jultotal3059718395107[[#Headers],[14]],tabela_registros[REGISTRO],DADOS!$N$4,tabela_registros[TIPO],DADOS!$P$3,tabela_registros[CATEGORIA],despesafixaconsolidadojul[[#This Row],[DESPESA FIXA]])</f>
        <v>0</v>
      </c>
      <c r="S48" s="91">
        <f>SUMIFS(tabela_registros[VALOR],tabela_registros[MÊS],$AE$1,tabela_registros[DIA],jultotal3059718395107[[#Headers],[15]],tabela_registros[REGISTRO],DADOS!$N$4,tabela_registros[TIPO],DADOS!$P$3,tabela_registros[CATEGORIA],despesafixaconsolidadojul[[#This Row],[DESPESA FIXA]])</f>
        <v>0</v>
      </c>
      <c r="T48" s="91">
        <f>SUMIFS(tabela_registros[VALOR],tabela_registros[MÊS],$AE$1,tabela_registros[DIA],jultotal3059718395107[[#Headers],[16]],tabela_registros[REGISTRO],DADOS!$N$4,tabela_registros[TIPO],DADOS!$P$3,tabela_registros[CATEGORIA],despesafixaconsolidadojul[[#This Row],[DESPESA FIXA]])</f>
        <v>0</v>
      </c>
      <c r="U48" s="91">
        <f>SUMIFS(tabela_registros[VALOR],tabela_registros[MÊS],$AE$1,tabela_registros[DIA],jultotal3059718395107[[#Headers],[17]],tabela_registros[REGISTRO],DADOS!$N$4,tabela_registros[TIPO],DADOS!$P$3,tabela_registros[CATEGORIA],despesafixaconsolidadojul[[#This Row],[DESPESA FIXA]])</f>
        <v>0</v>
      </c>
      <c r="V48" s="91">
        <f>SUMIFS(tabela_registros[VALOR],tabela_registros[MÊS],$AE$1,tabela_registros[DIA],jultotal3059718395107[[#Headers],[18]],tabela_registros[REGISTRO],DADOS!$N$4,tabela_registros[TIPO],DADOS!$P$3,tabela_registros[CATEGORIA],despesafixaconsolidadojul[[#This Row],[DESPESA FIXA]])</f>
        <v>0</v>
      </c>
      <c r="W48" s="91">
        <f>SUMIFS(tabela_registros[VALOR],tabela_registros[MÊS],$AE$1,tabela_registros[DIA],jultotal3059718395107[[#Headers],[19]],tabela_registros[REGISTRO],DADOS!$N$4,tabela_registros[TIPO],DADOS!$P$3,tabela_registros[CATEGORIA],despesafixaconsolidadojul[[#This Row],[DESPESA FIXA]])</f>
        <v>0</v>
      </c>
      <c r="X48" s="91">
        <f>SUMIFS(tabela_registros[VALOR],tabela_registros[MÊS],$AE$1,tabela_registros[DIA],jultotal3059718395107[[#Headers],[20]],tabela_registros[REGISTRO],DADOS!$N$4,tabela_registros[TIPO],DADOS!$P$3,tabela_registros[CATEGORIA],despesafixaconsolidadojul[[#This Row],[DESPESA FIXA]])</f>
        <v>0</v>
      </c>
      <c r="Y48" s="91">
        <f>SUMIFS(tabela_registros[VALOR],tabela_registros[MÊS],$AE$1,tabela_registros[DIA],jultotal3059718395107[[#Headers],[21]],tabela_registros[REGISTRO],DADOS!$N$4,tabela_registros[TIPO],DADOS!$P$3,tabela_registros[CATEGORIA],despesafixaconsolidadojul[[#This Row],[DESPESA FIXA]])</f>
        <v>0</v>
      </c>
      <c r="Z48" s="91">
        <f>SUMIFS(tabela_registros[VALOR],tabela_registros[MÊS],$AE$1,tabela_registros[DIA],jultotal3059718395107[[#Headers],[22]],tabela_registros[REGISTRO],DADOS!$N$4,tabela_registros[TIPO],DADOS!$P$3,tabela_registros[CATEGORIA],despesafixaconsolidadojul[[#This Row],[DESPESA FIXA]])</f>
        <v>0</v>
      </c>
      <c r="AA48" s="91">
        <f>SUMIFS(tabela_registros[VALOR],tabela_registros[MÊS],$AE$1,tabela_registros[DIA],jultotal3059718395107[[#Headers],[23]],tabela_registros[REGISTRO],DADOS!$N$4,tabela_registros[TIPO],DADOS!$P$3,tabela_registros[CATEGORIA],despesafixaconsolidadojul[[#This Row],[DESPESA FIXA]])</f>
        <v>0</v>
      </c>
      <c r="AB48" s="91">
        <f>SUMIFS(tabela_registros[VALOR],tabela_registros[MÊS],$AE$1,tabela_registros[DIA],jultotal3059718395107[[#Headers],[24]],tabela_registros[REGISTRO],DADOS!$N$4,tabela_registros[TIPO],DADOS!$P$3,tabela_registros[CATEGORIA],despesafixaconsolidadojul[[#This Row],[DESPESA FIXA]])</f>
        <v>0</v>
      </c>
      <c r="AC48" s="91">
        <f>SUMIFS(tabela_registros[VALOR],tabela_registros[MÊS],$AE$1,tabela_registros[DIA],jultotal3059718395107[[#Headers],[25]],tabela_registros[REGISTRO],DADOS!$N$4,tabela_registros[TIPO],DADOS!$P$3,tabela_registros[CATEGORIA],despesafixaconsolidadojul[[#This Row],[DESPESA FIXA]])</f>
        <v>0</v>
      </c>
      <c r="AD48" s="91">
        <f>SUMIFS(tabela_registros[VALOR],tabela_registros[MÊS],$AE$1,tabela_registros[DIA],jultotal3059718395107[[#Headers],[26]],tabela_registros[REGISTRO],DADOS!$N$4,tabela_registros[TIPO],DADOS!$P$3,tabela_registros[CATEGORIA],despesafixaconsolidadojul[[#This Row],[DESPESA FIXA]])</f>
        <v>0</v>
      </c>
      <c r="AE48" s="91">
        <f>SUMIFS(tabela_registros[VALOR],tabela_registros[MÊS],$AE$1,tabela_registros[DIA],jultotal3059718395107[[#Headers],[27]],tabela_registros[REGISTRO],DADOS!$N$4,tabela_registros[TIPO],DADOS!$P$3,tabela_registros[CATEGORIA],despesafixaconsolidadojul[[#This Row],[DESPESA FIXA]])</f>
        <v>0</v>
      </c>
      <c r="AF48" s="91">
        <f>SUMIFS(tabela_registros[VALOR],tabela_registros[MÊS],$AE$1,tabela_registros[DIA],jultotal3059718395107[[#Headers],[28]],tabela_registros[REGISTRO],DADOS!$N$4,tabela_registros[TIPO],DADOS!$P$3,tabela_registros[CATEGORIA],despesafixaconsolidadojul[[#This Row],[DESPESA FIXA]])</f>
        <v>0</v>
      </c>
      <c r="AG48" s="91">
        <f>SUMIFS(tabela_registros[VALOR],tabela_registros[MÊS],$AE$1,tabela_registros[DIA],jultotal3059718395107[[#Headers],[29]],tabela_registros[REGISTRO],DADOS!$N$4,tabela_registros[TIPO],DADOS!$P$3,tabela_registros[CATEGORIA],despesafixaconsolidadojul[[#This Row],[DESPESA FIXA]])</f>
        <v>0</v>
      </c>
      <c r="AH48" s="91">
        <f>SUMIFS(tabela_registros[VALOR],tabela_registros[MÊS],$AE$1,tabela_registros[DIA],jultotal3059718395107[[#Headers],[30]],tabela_registros[REGISTRO],DADOS!$N$4,tabela_registros[TIPO],DADOS!$P$3,tabela_registros[CATEGORIA],despesafixaconsolidadojul[[#This Row],[DESPESA FIXA]])</f>
        <v>0</v>
      </c>
      <c r="AI48" s="101">
        <f>SUMIFS(tabela_registros[VALOR],tabela_registros[MÊS],$AE$1,tabela_registros[DIA],jultotal3059718395107[[#Headers],[31]],tabela_registros[REGISTRO],DADOS!$N$4,tabela_registros[TIPO],DADOS!$P$3,tabela_registros[CATEGORIA],despesafixaconsolidadojul[[#This Row],[DESPESA FIXA]])</f>
        <v>0</v>
      </c>
      <c r="AJ48" s="97">
        <f>SUM(despesafixaconsolidadojul[[#This Row],[1]:[31]])</f>
        <v>0</v>
      </c>
      <c r="AK48" s="28"/>
    </row>
    <row r="49" spans="2:37" ht="18" customHeight="1" thickTop="1" thickBot="1" x14ac:dyDescent="0.3">
      <c r="B49" s="28"/>
      <c r="C49" s="27" t="str">
        <f>DADOS!$R$15</f>
        <v>📞 TELEFONE</v>
      </c>
      <c r="D49" s="26" t="str">
        <f>IF(despesafixaconsolidadojul[[#This Row],[TOTAL]]=0,"",IF(OR(despesafixaconsolidadojul[[#This Row],[TOTAL]]=LARGE($AJ$37:$AJ$50,1),despesafixaconsolidadojul[[#This Row],[TOTAL]]=LARGE($AJ$37:$AJ$50,2),despesafixaconsolidadojul[[#This Row],[TOTAL]]=LARGE($AJ$37:$AJ$50,3),despesafixaconsolidadojul[[#This Row],[TOTAL]]=LARGE($AJ$37:$AJ$50,4),despesafixaconsolidadojul[[#This Row],[TOTAL]]=LARGE($AJ$37:$AJ$50,5)),DADOS!$I$8,""))</f>
        <v/>
      </c>
      <c r="E49" s="96">
        <f>SUMIFS(tabela_registros[VALOR],tabela_registros[MÊS],$AE$1,tabela_registros[DIA],jultotal3059718395107[[#Headers],[1]],tabela_registros[REGISTRO],DADOS!$N$4,tabela_registros[TIPO],DADOS!$P$3,tabela_registros[CATEGORIA],despesafixaconsolidadojul[[#This Row],[DESPESA FIXA]])</f>
        <v>0</v>
      </c>
      <c r="F49" s="91">
        <f>SUMIFS(tabela_registros[VALOR],tabela_registros[MÊS],$AE$1,tabela_registros[DIA],jultotal3059718395107[[#Headers],[2]],tabela_registros[REGISTRO],DADOS!$N$4,tabela_registros[TIPO],DADOS!$P$3,tabela_registros[CATEGORIA],despesafixaconsolidadojul[[#This Row],[DESPESA FIXA]])</f>
        <v>0</v>
      </c>
      <c r="G49" s="91">
        <f>SUMIFS(tabela_registros[VALOR],tabela_registros[MÊS],$AE$1,tabela_registros[DIA],jultotal3059718395107[[#Headers],[3]],tabela_registros[REGISTRO],DADOS!$N$4,tabela_registros[TIPO],DADOS!$P$3,tabela_registros[CATEGORIA],despesafixaconsolidadojul[[#This Row],[DESPESA FIXA]])</f>
        <v>0</v>
      </c>
      <c r="H49" s="91">
        <f>SUMIFS(tabela_registros[VALOR],tabela_registros[MÊS],$AE$1,tabela_registros[DIA],jultotal3059718395107[[#Headers],[4]],tabela_registros[REGISTRO],DADOS!$N$4,tabela_registros[TIPO],DADOS!$P$3,tabela_registros[CATEGORIA],despesafixaconsolidadojul[[#This Row],[DESPESA FIXA]])</f>
        <v>0</v>
      </c>
      <c r="I49" s="91">
        <f>SUMIFS(tabela_registros[VALOR],tabela_registros[MÊS],$AE$1,tabela_registros[DIA],jultotal3059718395107[[#Headers],[5]],tabela_registros[REGISTRO],DADOS!$N$4,tabela_registros[TIPO],DADOS!$P$3,tabela_registros[CATEGORIA],despesafixaconsolidadojul[[#This Row],[DESPESA FIXA]])</f>
        <v>0</v>
      </c>
      <c r="J49" s="91">
        <f>SUMIFS(tabela_registros[VALOR],tabela_registros[MÊS],$AE$1,tabela_registros[DIA],jultotal3059718395107[[#Headers],[6]],tabela_registros[REGISTRO],DADOS!$N$4,tabela_registros[TIPO],DADOS!$P$3,tabela_registros[CATEGORIA],despesafixaconsolidadojul[[#This Row],[DESPESA FIXA]])</f>
        <v>0</v>
      </c>
      <c r="K49" s="91">
        <f>SUMIFS(tabela_registros[VALOR],tabela_registros[MÊS],$AE$1,tabela_registros[DIA],jultotal3059718395107[[#Headers],[7]],tabela_registros[REGISTRO],DADOS!$N$4,tabela_registros[TIPO],DADOS!$P$3,tabela_registros[CATEGORIA],despesafixaconsolidadojul[[#This Row],[DESPESA FIXA]])</f>
        <v>0</v>
      </c>
      <c r="L49" s="91">
        <f>SUMIFS(tabela_registros[VALOR],tabela_registros[MÊS],$AE$1,tabela_registros[DIA],jultotal3059718395107[[#Headers],[8]],tabela_registros[REGISTRO],DADOS!$N$4,tabela_registros[TIPO],DADOS!$P$3,tabela_registros[CATEGORIA],despesafixaconsolidadojul[[#This Row],[DESPESA FIXA]])</f>
        <v>0</v>
      </c>
      <c r="M49" s="91">
        <f>SUMIFS(tabela_registros[VALOR],tabela_registros[MÊS],$AE$1,tabela_registros[DIA],jultotal3059718395107[[#Headers],[9]],tabela_registros[REGISTRO],DADOS!$N$4,tabela_registros[TIPO],DADOS!$P$3,tabela_registros[CATEGORIA],despesafixaconsolidadojul[[#This Row],[DESPESA FIXA]])</f>
        <v>0</v>
      </c>
      <c r="N49" s="91">
        <f>SUMIFS(tabela_registros[VALOR],tabela_registros[MÊS],$AE$1,tabela_registros[DIA],jultotal3059718395107[[#Headers],[10]],tabela_registros[REGISTRO],DADOS!$N$4,tabela_registros[TIPO],DADOS!$P$3,tabela_registros[CATEGORIA],despesafixaconsolidadojul[[#This Row],[DESPESA FIXA]])</f>
        <v>0</v>
      </c>
      <c r="O49" s="91">
        <f>SUMIFS(tabela_registros[VALOR],tabela_registros[MÊS],$AE$1,tabela_registros[DIA],jultotal3059718395107[[#Headers],[11]],tabela_registros[REGISTRO],DADOS!$N$4,tabela_registros[TIPO],DADOS!$P$3,tabela_registros[CATEGORIA],despesafixaconsolidadojul[[#This Row],[DESPESA FIXA]])</f>
        <v>0</v>
      </c>
      <c r="P49" s="91">
        <f>SUMIFS(tabela_registros[VALOR],tabela_registros[MÊS],$AE$1,tabela_registros[DIA],jultotal3059718395107[[#Headers],[12]],tabela_registros[REGISTRO],DADOS!$N$4,tabela_registros[TIPO],DADOS!$P$3,tabela_registros[CATEGORIA],despesafixaconsolidadojul[[#This Row],[DESPESA FIXA]])</f>
        <v>0</v>
      </c>
      <c r="Q49" s="91">
        <f>SUMIFS(tabela_registros[VALOR],tabela_registros[MÊS],$AE$1,tabela_registros[DIA],jultotal3059718395107[[#Headers],[13]],tabela_registros[REGISTRO],DADOS!$N$4,tabela_registros[TIPO],DADOS!$P$3,tabela_registros[CATEGORIA],despesafixaconsolidadojul[[#This Row],[DESPESA FIXA]])</f>
        <v>0</v>
      </c>
      <c r="R49" s="91">
        <f>SUMIFS(tabela_registros[VALOR],tabela_registros[MÊS],$AE$1,tabela_registros[DIA],jultotal3059718395107[[#Headers],[14]],tabela_registros[REGISTRO],DADOS!$N$4,tabela_registros[TIPO],DADOS!$P$3,tabela_registros[CATEGORIA],despesafixaconsolidadojul[[#This Row],[DESPESA FIXA]])</f>
        <v>0</v>
      </c>
      <c r="S49" s="91">
        <f>SUMIFS(tabela_registros[VALOR],tabela_registros[MÊS],$AE$1,tabela_registros[DIA],jultotal3059718395107[[#Headers],[15]],tabela_registros[REGISTRO],DADOS!$N$4,tabela_registros[TIPO],DADOS!$P$3,tabela_registros[CATEGORIA],despesafixaconsolidadojul[[#This Row],[DESPESA FIXA]])</f>
        <v>0</v>
      </c>
      <c r="T49" s="91">
        <f>SUMIFS(tabela_registros[VALOR],tabela_registros[MÊS],$AE$1,tabela_registros[DIA],jultotal3059718395107[[#Headers],[16]],tabela_registros[REGISTRO],DADOS!$N$4,tabela_registros[TIPO],DADOS!$P$3,tabela_registros[CATEGORIA],despesafixaconsolidadojul[[#This Row],[DESPESA FIXA]])</f>
        <v>0</v>
      </c>
      <c r="U49" s="91">
        <f>SUMIFS(tabela_registros[VALOR],tabela_registros[MÊS],$AE$1,tabela_registros[DIA],jultotal3059718395107[[#Headers],[17]],tabela_registros[REGISTRO],DADOS!$N$4,tabela_registros[TIPO],DADOS!$P$3,tabela_registros[CATEGORIA],despesafixaconsolidadojul[[#This Row],[DESPESA FIXA]])</f>
        <v>0</v>
      </c>
      <c r="V49" s="91">
        <f>SUMIFS(tabela_registros[VALOR],tabela_registros[MÊS],$AE$1,tabela_registros[DIA],jultotal3059718395107[[#Headers],[18]],tabela_registros[REGISTRO],DADOS!$N$4,tabela_registros[TIPO],DADOS!$P$3,tabela_registros[CATEGORIA],despesafixaconsolidadojul[[#This Row],[DESPESA FIXA]])</f>
        <v>0</v>
      </c>
      <c r="W49" s="91">
        <f>SUMIFS(tabela_registros[VALOR],tabela_registros[MÊS],$AE$1,tabela_registros[DIA],jultotal3059718395107[[#Headers],[19]],tabela_registros[REGISTRO],DADOS!$N$4,tabela_registros[TIPO],DADOS!$P$3,tabela_registros[CATEGORIA],despesafixaconsolidadojul[[#This Row],[DESPESA FIXA]])</f>
        <v>0</v>
      </c>
      <c r="X49" s="91">
        <f>SUMIFS(tabela_registros[VALOR],tabela_registros[MÊS],$AE$1,tabela_registros[DIA],jultotal3059718395107[[#Headers],[20]],tabela_registros[REGISTRO],DADOS!$N$4,tabela_registros[TIPO],DADOS!$P$3,tabela_registros[CATEGORIA],despesafixaconsolidadojul[[#This Row],[DESPESA FIXA]])</f>
        <v>0</v>
      </c>
      <c r="Y49" s="91">
        <f>SUMIFS(tabela_registros[VALOR],tabela_registros[MÊS],$AE$1,tabela_registros[DIA],jultotal3059718395107[[#Headers],[21]],tabela_registros[REGISTRO],DADOS!$N$4,tabela_registros[TIPO],DADOS!$P$3,tabela_registros[CATEGORIA],despesafixaconsolidadojul[[#This Row],[DESPESA FIXA]])</f>
        <v>0</v>
      </c>
      <c r="Z49" s="91">
        <f>SUMIFS(tabela_registros[VALOR],tabela_registros[MÊS],$AE$1,tabela_registros[DIA],jultotal3059718395107[[#Headers],[22]],tabela_registros[REGISTRO],DADOS!$N$4,tabela_registros[TIPO],DADOS!$P$3,tabela_registros[CATEGORIA],despesafixaconsolidadojul[[#This Row],[DESPESA FIXA]])</f>
        <v>0</v>
      </c>
      <c r="AA49" s="91">
        <f>SUMIFS(tabela_registros[VALOR],tabela_registros[MÊS],$AE$1,tabela_registros[DIA],jultotal3059718395107[[#Headers],[23]],tabela_registros[REGISTRO],DADOS!$N$4,tabela_registros[TIPO],DADOS!$P$3,tabela_registros[CATEGORIA],despesafixaconsolidadojul[[#This Row],[DESPESA FIXA]])</f>
        <v>0</v>
      </c>
      <c r="AB49" s="91">
        <f>SUMIFS(tabela_registros[VALOR],tabela_registros[MÊS],$AE$1,tabela_registros[DIA],jultotal3059718395107[[#Headers],[24]],tabela_registros[REGISTRO],DADOS!$N$4,tabela_registros[TIPO],DADOS!$P$3,tabela_registros[CATEGORIA],despesafixaconsolidadojul[[#This Row],[DESPESA FIXA]])</f>
        <v>0</v>
      </c>
      <c r="AC49" s="91">
        <f>SUMIFS(tabela_registros[VALOR],tabela_registros[MÊS],$AE$1,tabela_registros[DIA],jultotal3059718395107[[#Headers],[25]],tabela_registros[REGISTRO],DADOS!$N$4,tabela_registros[TIPO],DADOS!$P$3,tabela_registros[CATEGORIA],despesafixaconsolidadojul[[#This Row],[DESPESA FIXA]])</f>
        <v>0</v>
      </c>
      <c r="AD49" s="91">
        <f>SUMIFS(tabela_registros[VALOR],tabela_registros[MÊS],$AE$1,tabela_registros[DIA],jultotal3059718395107[[#Headers],[26]],tabela_registros[REGISTRO],DADOS!$N$4,tabela_registros[TIPO],DADOS!$P$3,tabela_registros[CATEGORIA],despesafixaconsolidadojul[[#This Row],[DESPESA FIXA]])</f>
        <v>0</v>
      </c>
      <c r="AE49" s="91">
        <f>SUMIFS(tabela_registros[VALOR],tabela_registros[MÊS],$AE$1,tabela_registros[DIA],jultotal3059718395107[[#Headers],[27]],tabela_registros[REGISTRO],DADOS!$N$4,tabela_registros[TIPO],DADOS!$P$3,tabela_registros[CATEGORIA],despesafixaconsolidadojul[[#This Row],[DESPESA FIXA]])</f>
        <v>0</v>
      </c>
      <c r="AF49" s="91">
        <f>SUMIFS(tabela_registros[VALOR],tabela_registros[MÊS],$AE$1,tabela_registros[DIA],jultotal3059718395107[[#Headers],[28]],tabela_registros[REGISTRO],DADOS!$N$4,tabela_registros[TIPO],DADOS!$P$3,tabela_registros[CATEGORIA],despesafixaconsolidadojul[[#This Row],[DESPESA FIXA]])</f>
        <v>0</v>
      </c>
      <c r="AG49" s="91">
        <f>SUMIFS(tabela_registros[VALOR],tabela_registros[MÊS],$AE$1,tabela_registros[DIA],jultotal3059718395107[[#Headers],[29]],tabela_registros[REGISTRO],DADOS!$N$4,tabela_registros[TIPO],DADOS!$P$3,tabela_registros[CATEGORIA],despesafixaconsolidadojul[[#This Row],[DESPESA FIXA]])</f>
        <v>0</v>
      </c>
      <c r="AH49" s="91">
        <f>SUMIFS(tabela_registros[VALOR],tabela_registros[MÊS],$AE$1,tabela_registros[DIA],jultotal3059718395107[[#Headers],[30]],tabela_registros[REGISTRO],DADOS!$N$4,tabela_registros[TIPO],DADOS!$P$3,tabela_registros[CATEGORIA],despesafixaconsolidadojul[[#This Row],[DESPESA FIXA]])</f>
        <v>0</v>
      </c>
      <c r="AI49" s="101">
        <f>SUMIFS(tabela_registros[VALOR],tabela_registros[MÊS],$AE$1,tabela_registros[DIA],jultotal3059718395107[[#Headers],[31]],tabela_registros[REGISTRO],DADOS!$N$4,tabela_registros[TIPO],DADOS!$P$3,tabela_registros[CATEGORIA],despesafixaconsolidadojul[[#This Row],[DESPESA FIXA]])</f>
        <v>0</v>
      </c>
      <c r="AJ49" s="97">
        <f>SUM(despesafixaconsolidadojul[[#This Row],[1]:[31]])</f>
        <v>0</v>
      </c>
      <c r="AK49" s="28"/>
    </row>
    <row r="50" spans="2:37" ht="18" customHeight="1" thickTop="1" thickBot="1" x14ac:dyDescent="0.3">
      <c r="B50" s="28"/>
      <c r="C50" s="27" t="str">
        <f>DADOS!$R$16</f>
        <v>📎 OUTROS</v>
      </c>
      <c r="D50" s="26" t="str">
        <f>IF(despesafixaconsolidadojul[[#This Row],[TOTAL]]=0,"",IF(OR(despesafixaconsolidadojul[[#This Row],[TOTAL]]=LARGE($AJ$37:$AJ$50,1),despesafixaconsolidadojul[[#This Row],[TOTAL]]=LARGE($AJ$37:$AJ$50,2),despesafixaconsolidadojul[[#This Row],[TOTAL]]=LARGE($AJ$37:$AJ$50,3),despesafixaconsolidadojul[[#This Row],[TOTAL]]=LARGE($AJ$37:$AJ$50,4),despesafixaconsolidadojul[[#This Row],[TOTAL]]=LARGE($AJ$37:$AJ$50,5)),DADOS!$I$8,""))</f>
        <v/>
      </c>
      <c r="E50" s="98">
        <f>SUMIFS(tabela_registros[VALOR],tabela_registros[MÊS],$AE$1,tabela_registros[DIA],jultotal3059718395107[[#Headers],[1]],tabela_registros[REGISTRO],DADOS!$N$4,tabela_registros[TIPO],DADOS!$P$3,tabela_registros[CATEGORIA],despesafixaconsolidadojul[[#This Row],[DESPESA FIXA]])</f>
        <v>0</v>
      </c>
      <c r="F50" s="99">
        <f>SUMIFS(tabela_registros[VALOR],tabela_registros[MÊS],$AE$1,tabela_registros[DIA],jultotal3059718395107[[#Headers],[2]],tabela_registros[REGISTRO],DADOS!$N$4,tabela_registros[TIPO],DADOS!$P$3,tabela_registros[CATEGORIA],despesafixaconsolidadojul[[#This Row],[DESPESA FIXA]])</f>
        <v>0</v>
      </c>
      <c r="G50" s="99">
        <f>SUMIFS(tabela_registros[VALOR],tabela_registros[MÊS],$AE$1,tabela_registros[DIA],jultotal3059718395107[[#Headers],[3]],tabela_registros[REGISTRO],DADOS!$N$4,tabela_registros[TIPO],DADOS!$P$3,tabela_registros[CATEGORIA],despesafixaconsolidadojul[[#This Row],[DESPESA FIXA]])</f>
        <v>0</v>
      </c>
      <c r="H50" s="99">
        <f>SUMIFS(tabela_registros[VALOR],tabela_registros[MÊS],$AE$1,tabela_registros[DIA],jultotal3059718395107[[#Headers],[4]],tabela_registros[REGISTRO],DADOS!$N$4,tabela_registros[TIPO],DADOS!$P$3,tabela_registros[CATEGORIA],despesafixaconsolidadojul[[#This Row],[DESPESA FIXA]])</f>
        <v>0</v>
      </c>
      <c r="I50" s="99">
        <f>SUMIFS(tabela_registros[VALOR],tabela_registros[MÊS],$AE$1,tabela_registros[DIA],jultotal3059718395107[[#Headers],[5]],tabela_registros[REGISTRO],DADOS!$N$4,tabela_registros[TIPO],DADOS!$P$3,tabela_registros[CATEGORIA],despesafixaconsolidadojul[[#This Row],[DESPESA FIXA]])</f>
        <v>0</v>
      </c>
      <c r="J50" s="99">
        <f>SUMIFS(tabela_registros[VALOR],tabela_registros[MÊS],$AE$1,tabela_registros[DIA],jultotal3059718395107[[#Headers],[6]],tabela_registros[REGISTRO],DADOS!$N$4,tabela_registros[TIPO],DADOS!$P$3,tabela_registros[CATEGORIA],despesafixaconsolidadojul[[#This Row],[DESPESA FIXA]])</f>
        <v>0</v>
      </c>
      <c r="K50" s="99">
        <f>SUMIFS(tabela_registros[VALOR],tabela_registros[MÊS],$AE$1,tabela_registros[DIA],jultotal3059718395107[[#Headers],[7]],tabela_registros[REGISTRO],DADOS!$N$4,tabela_registros[TIPO],DADOS!$P$3,tabela_registros[CATEGORIA],despesafixaconsolidadojul[[#This Row],[DESPESA FIXA]])</f>
        <v>0</v>
      </c>
      <c r="L50" s="99">
        <f>SUMIFS(tabela_registros[VALOR],tabela_registros[MÊS],$AE$1,tabela_registros[DIA],jultotal3059718395107[[#Headers],[8]],tabela_registros[REGISTRO],DADOS!$N$4,tabela_registros[TIPO],DADOS!$P$3,tabela_registros[CATEGORIA],despesafixaconsolidadojul[[#This Row],[DESPESA FIXA]])</f>
        <v>0</v>
      </c>
      <c r="M50" s="99">
        <f>SUMIFS(tabela_registros[VALOR],tabela_registros[MÊS],$AE$1,tabela_registros[DIA],jultotal3059718395107[[#Headers],[9]],tabela_registros[REGISTRO],DADOS!$N$4,tabela_registros[TIPO],DADOS!$P$3,tabela_registros[CATEGORIA],despesafixaconsolidadojul[[#This Row],[DESPESA FIXA]])</f>
        <v>0</v>
      </c>
      <c r="N50" s="99">
        <f>SUMIFS(tabela_registros[VALOR],tabela_registros[MÊS],$AE$1,tabela_registros[DIA],jultotal3059718395107[[#Headers],[10]],tabela_registros[REGISTRO],DADOS!$N$4,tabela_registros[TIPO],DADOS!$P$3,tabela_registros[CATEGORIA],despesafixaconsolidadojul[[#This Row],[DESPESA FIXA]])</f>
        <v>0</v>
      </c>
      <c r="O50" s="99">
        <f>SUMIFS(tabela_registros[VALOR],tabela_registros[MÊS],$AE$1,tabela_registros[DIA],jultotal3059718395107[[#Headers],[11]],tabela_registros[REGISTRO],DADOS!$N$4,tabela_registros[TIPO],DADOS!$P$3,tabela_registros[CATEGORIA],despesafixaconsolidadojul[[#This Row],[DESPESA FIXA]])</f>
        <v>0</v>
      </c>
      <c r="P50" s="99">
        <f>SUMIFS(tabela_registros[VALOR],tabela_registros[MÊS],$AE$1,tabela_registros[DIA],jultotal3059718395107[[#Headers],[12]],tabela_registros[REGISTRO],DADOS!$N$4,tabela_registros[TIPO],DADOS!$P$3,tabela_registros[CATEGORIA],despesafixaconsolidadojul[[#This Row],[DESPESA FIXA]])</f>
        <v>0</v>
      </c>
      <c r="Q50" s="99">
        <f>SUMIFS(tabela_registros[VALOR],tabela_registros[MÊS],$AE$1,tabela_registros[DIA],jultotal3059718395107[[#Headers],[13]],tabela_registros[REGISTRO],DADOS!$N$4,tabela_registros[TIPO],DADOS!$P$3,tabela_registros[CATEGORIA],despesafixaconsolidadojul[[#This Row],[DESPESA FIXA]])</f>
        <v>0</v>
      </c>
      <c r="R50" s="99">
        <f>SUMIFS(tabela_registros[VALOR],tabela_registros[MÊS],$AE$1,tabela_registros[DIA],jultotal3059718395107[[#Headers],[14]],tabela_registros[REGISTRO],DADOS!$N$4,tabela_registros[TIPO],DADOS!$P$3,tabela_registros[CATEGORIA],despesafixaconsolidadojul[[#This Row],[DESPESA FIXA]])</f>
        <v>0</v>
      </c>
      <c r="S50" s="99">
        <f>SUMIFS(tabela_registros[VALOR],tabela_registros[MÊS],$AE$1,tabela_registros[DIA],jultotal3059718395107[[#Headers],[15]],tabela_registros[REGISTRO],DADOS!$N$4,tabela_registros[TIPO],DADOS!$P$3,tabela_registros[CATEGORIA],despesafixaconsolidadojul[[#This Row],[DESPESA FIXA]])</f>
        <v>0</v>
      </c>
      <c r="T50" s="99">
        <f>SUMIFS(tabela_registros[VALOR],tabela_registros[MÊS],$AE$1,tabela_registros[DIA],jultotal3059718395107[[#Headers],[16]],tabela_registros[REGISTRO],DADOS!$N$4,tabela_registros[TIPO],DADOS!$P$3,tabela_registros[CATEGORIA],despesafixaconsolidadojul[[#This Row],[DESPESA FIXA]])</f>
        <v>0</v>
      </c>
      <c r="U50" s="99">
        <f>SUMIFS(tabela_registros[VALOR],tabela_registros[MÊS],$AE$1,tabela_registros[DIA],jultotal3059718395107[[#Headers],[17]],tabela_registros[REGISTRO],DADOS!$N$4,tabela_registros[TIPO],DADOS!$P$3,tabela_registros[CATEGORIA],despesafixaconsolidadojul[[#This Row],[DESPESA FIXA]])</f>
        <v>0</v>
      </c>
      <c r="V50" s="99">
        <f>SUMIFS(tabela_registros[VALOR],tabela_registros[MÊS],$AE$1,tabela_registros[DIA],jultotal3059718395107[[#Headers],[18]],tabela_registros[REGISTRO],DADOS!$N$4,tabela_registros[TIPO],DADOS!$P$3,tabela_registros[CATEGORIA],despesafixaconsolidadojul[[#This Row],[DESPESA FIXA]])</f>
        <v>0</v>
      </c>
      <c r="W50" s="99">
        <f>SUMIFS(tabela_registros[VALOR],tabela_registros[MÊS],$AE$1,tabela_registros[DIA],jultotal3059718395107[[#Headers],[19]],tabela_registros[REGISTRO],DADOS!$N$4,tabela_registros[TIPO],DADOS!$P$3,tabela_registros[CATEGORIA],despesafixaconsolidadojul[[#This Row],[DESPESA FIXA]])</f>
        <v>0</v>
      </c>
      <c r="X50" s="99">
        <f>SUMIFS(tabela_registros[VALOR],tabela_registros[MÊS],$AE$1,tabela_registros[DIA],jultotal3059718395107[[#Headers],[20]],tabela_registros[REGISTRO],DADOS!$N$4,tabela_registros[TIPO],DADOS!$P$3,tabela_registros[CATEGORIA],despesafixaconsolidadojul[[#This Row],[DESPESA FIXA]])</f>
        <v>0</v>
      </c>
      <c r="Y50" s="99">
        <f>SUMIFS(tabela_registros[VALOR],tabela_registros[MÊS],$AE$1,tabela_registros[DIA],jultotal3059718395107[[#Headers],[21]],tabela_registros[REGISTRO],DADOS!$N$4,tabela_registros[TIPO],DADOS!$P$3,tabela_registros[CATEGORIA],despesafixaconsolidadojul[[#This Row],[DESPESA FIXA]])</f>
        <v>0</v>
      </c>
      <c r="Z50" s="99">
        <f>SUMIFS(tabela_registros[VALOR],tabela_registros[MÊS],$AE$1,tabela_registros[DIA],jultotal3059718395107[[#Headers],[22]],tabela_registros[REGISTRO],DADOS!$N$4,tabela_registros[TIPO],DADOS!$P$3,tabela_registros[CATEGORIA],despesafixaconsolidadojul[[#This Row],[DESPESA FIXA]])</f>
        <v>0</v>
      </c>
      <c r="AA50" s="99">
        <f>SUMIFS(tabela_registros[VALOR],tabela_registros[MÊS],$AE$1,tabela_registros[DIA],jultotal3059718395107[[#Headers],[23]],tabela_registros[REGISTRO],DADOS!$N$4,tabela_registros[TIPO],DADOS!$P$3,tabela_registros[CATEGORIA],despesafixaconsolidadojul[[#This Row],[DESPESA FIXA]])</f>
        <v>0</v>
      </c>
      <c r="AB50" s="99">
        <f>SUMIFS(tabela_registros[VALOR],tabela_registros[MÊS],$AE$1,tabela_registros[DIA],jultotal3059718395107[[#Headers],[24]],tabela_registros[REGISTRO],DADOS!$N$4,tabela_registros[TIPO],DADOS!$P$3,tabela_registros[CATEGORIA],despesafixaconsolidadojul[[#This Row],[DESPESA FIXA]])</f>
        <v>0</v>
      </c>
      <c r="AC50" s="99">
        <f>SUMIFS(tabela_registros[VALOR],tabela_registros[MÊS],$AE$1,tabela_registros[DIA],jultotal3059718395107[[#Headers],[25]],tabela_registros[REGISTRO],DADOS!$N$4,tabela_registros[TIPO],DADOS!$P$3,tabela_registros[CATEGORIA],despesafixaconsolidadojul[[#This Row],[DESPESA FIXA]])</f>
        <v>0</v>
      </c>
      <c r="AD50" s="99">
        <f>SUMIFS(tabela_registros[VALOR],tabela_registros[MÊS],$AE$1,tabela_registros[DIA],jultotal3059718395107[[#Headers],[26]],tabela_registros[REGISTRO],DADOS!$N$4,tabela_registros[TIPO],DADOS!$P$3,tabela_registros[CATEGORIA],despesafixaconsolidadojul[[#This Row],[DESPESA FIXA]])</f>
        <v>0</v>
      </c>
      <c r="AE50" s="99">
        <f>SUMIFS(tabela_registros[VALOR],tabela_registros[MÊS],$AE$1,tabela_registros[DIA],jultotal3059718395107[[#Headers],[27]],tabela_registros[REGISTRO],DADOS!$N$4,tabela_registros[TIPO],DADOS!$P$3,tabela_registros[CATEGORIA],despesafixaconsolidadojul[[#This Row],[DESPESA FIXA]])</f>
        <v>0</v>
      </c>
      <c r="AF50" s="99">
        <f>SUMIFS(tabela_registros[VALOR],tabela_registros[MÊS],$AE$1,tabela_registros[DIA],jultotal3059718395107[[#Headers],[28]],tabela_registros[REGISTRO],DADOS!$N$4,tabela_registros[TIPO],DADOS!$P$3,tabela_registros[CATEGORIA],despesafixaconsolidadojul[[#This Row],[DESPESA FIXA]])</f>
        <v>0</v>
      </c>
      <c r="AG50" s="99">
        <f>SUMIFS(tabela_registros[VALOR],tabela_registros[MÊS],$AE$1,tabela_registros[DIA],jultotal3059718395107[[#Headers],[29]],tabela_registros[REGISTRO],DADOS!$N$4,tabela_registros[TIPO],DADOS!$P$3,tabela_registros[CATEGORIA],despesafixaconsolidadojul[[#This Row],[DESPESA FIXA]])</f>
        <v>0</v>
      </c>
      <c r="AH50" s="99">
        <f>SUMIFS(tabela_registros[VALOR],tabela_registros[MÊS],$AE$1,tabela_registros[DIA],jultotal3059718395107[[#Headers],[30]],tabela_registros[REGISTRO],DADOS!$N$4,tabela_registros[TIPO],DADOS!$P$3,tabela_registros[CATEGORIA],despesafixaconsolidadojul[[#This Row],[DESPESA FIXA]])</f>
        <v>0</v>
      </c>
      <c r="AI50" s="102">
        <f>SUMIFS(tabela_registros[VALOR],tabela_registros[MÊS],$AE$1,tabela_registros[DIA],jultotal3059718395107[[#Headers],[31]],tabela_registros[REGISTRO],DADOS!$N$4,tabela_registros[TIPO],DADOS!$P$3,tabela_registros[CATEGORIA],despesafixaconsolidadojul[[#This Row],[DESPESA FIXA]])</f>
        <v>0</v>
      </c>
      <c r="AJ50" s="103">
        <f>SUM(despesafixaconsolidadojul[[#This Row],[1]:[31]])</f>
        <v>0</v>
      </c>
      <c r="AK50" s="28"/>
    </row>
    <row r="51" spans="2:37" s="16" customFormat="1" ht="21" customHeight="1" thickTop="1" thickBot="1" x14ac:dyDescent="0.35">
      <c r="B51" s="24"/>
      <c r="C51" s="23" t="s">
        <v>19</v>
      </c>
      <c r="D51" s="41" t="str">
        <f>IF(despesafixaconsolidadojul[[#This Row],[TOTAL]]=0,"",IF(OR(despesafixaconsolidadojul[[#This Row],[TOTAL]]=SMALL($AJ$37:$AJ$50,1),despesafixaconsolidadojul[[#This Row],[TOTAL]]=SMALL($AJ$37:$AJ$50,2),despesafixaconsolidadojul[[#This Row],[TOTAL]]=SMALL($AJ$37:$AJ$50,3),despesafixaconsolidadojul[[#This Row],[TOTAL]]=SMALL($AJ$37:$AJ$50,4),despesafixaconsolidadojul[[#This Row],[TOTAL]]=SMALL($AJ$37:$AJ$50,5)),DADOS!$I$8,""))</f>
        <v/>
      </c>
      <c r="E51" s="21">
        <f>SUM(E37:E50)</f>
        <v>0</v>
      </c>
      <c r="F51" s="20">
        <f>SUM(F37:F50)+despesafixaconsolidadojul[[#This Row],[1]]</f>
        <v>0</v>
      </c>
      <c r="G51" s="20">
        <f>SUM(G37:G50)+despesafixaconsolidadojul[[#This Row],[2]]</f>
        <v>0</v>
      </c>
      <c r="H51" s="20">
        <f>SUM(H37:H50)+despesafixaconsolidadojul[[#This Row],[3]]</f>
        <v>0</v>
      </c>
      <c r="I51" s="20">
        <f>SUM(I37:I50)+despesafixaconsolidadojul[[#This Row],[4]]</f>
        <v>0</v>
      </c>
      <c r="J51" s="20">
        <f>SUM(J37:J50)+despesafixaconsolidadojul[[#This Row],[5]]</f>
        <v>0</v>
      </c>
      <c r="K51" s="20">
        <f>SUM(K37:K50)+despesafixaconsolidadojul[[#This Row],[6]]</f>
        <v>0</v>
      </c>
      <c r="L51" s="20">
        <f>SUM(L37:L50)+despesafixaconsolidadojul[[#This Row],[7]]</f>
        <v>0</v>
      </c>
      <c r="M51" s="20">
        <f>SUM(M37:M50)+despesafixaconsolidadojul[[#This Row],[8]]</f>
        <v>0</v>
      </c>
      <c r="N51" s="20">
        <f>SUM(N37:N50)+despesafixaconsolidadojul[[#This Row],[9]]</f>
        <v>0</v>
      </c>
      <c r="O51" s="20">
        <f>SUM(O37:O50)+despesafixaconsolidadojul[[#This Row],[10]]</f>
        <v>0</v>
      </c>
      <c r="P51" s="20">
        <f>SUM(P37:P50)+despesafixaconsolidadojul[[#This Row],[11]]</f>
        <v>0</v>
      </c>
      <c r="Q51" s="20">
        <f>SUM(Q37:Q50)+despesafixaconsolidadojul[[#This Row],[12]]</f>
        <v>0</v>
      </c>
      <c r="R51" s="20">
        <f>SUM(R37:R50)+despesafixaconsolidadojul[[#This Row],[13]]</f>
        <v>0</v>
      </c>
      <c r="S51" s="20">
        <f>SUM(S37:S50)+despesafixaconsolidadojul[[#This Row],[14]]</f>
        <v>0</v>
      </c>
      <c r="T51" s="20">
        <f>SUM(T37:T50)+despesafixaconsolidadojul[[#This Row],[15]]</f>
        <v>0</v>
      </c>
      <c r="U51" s="20">
        <f>SUM(U37:U50)+despesafixaconsolidadojul[[#This Row],[16]]</f>
        <v>0</v>
      </c>
      <c r="V51" s="20">
        <f>SUM(V37:V50)+despesafixaconsolidadojul[[#This Row],[17]]</f>
        <v>0</v>
      </c>
      <c r="W51" s="20">
        <f>SUM(W37:W50)+despesafixaconsolidadojul[[#This Row],[18]]</f>
        <v>0</v>
      </c>
      <c r="X51" s="20">
        <f>SUM(X37:X50)+despesafixaconsolidadojul[[#This Row],[19]]</f>
        <v>0</v>
      </c>
      <c r="Y51" s="20">
        <f>SUM(Y37:Y50)+despesafixaconsolidadojul[[#This Row],[20]]</f>
        <v>0</v>
      </c>
      <c r="Z51" s="20">
        <f>SUM(Z37:Z50)+despesafixaconsolidadojul[[#This Row],[21]]</f>
        <v>0</v>
      </c>
      <c r="AA51" s="20">
        <f>SUM(AA37:AA50)+despesafixaconsolidadojul[[#This Row],[22]]</f>
        <v>0</v>
      </c>
      <c r="AB51" s="20">
        <f>SUM(AB37:AB50)+despesafixaconsolidadojul[[#This Row],[23]]</f>
        <v>0</v>
      </c>
      <c r="AC51" s="20">
        <f>SUM(AC37:AC50)+despesafixaconsolidadojul[[#This Row],[24]]</f>
        <v>0</v>
      </c>
      <c r="AD51" s="20">
        <f>SUM(AD37:AD50)+despesafixaconsolidadojul[[#This Row],[25]]</f>
        <v>0</v>
      </c>
      <c r="AE51" s="20">
        <f>SUM(AE37:AE50)+despesafixaconsolidadojul[[#This Row],[26]]</f>
        <v>0</v>
      </c>
      <c r="AF51" s="20">
        <f>SUM(AF37:AF50)+despesafixaconsolidadojul[[#This Row],[27]]</f>
        <v>0</v>
      </c>
      <c r="AG51" s="20">
        <f>SUM(AG37:AG50)+despesafixaconsolidadojul[[#This Row],[28]]</f>
        <v>0</v>
      </c>
      <c r="AH51" s="20">
        <f>SUM(AH37:AH50)+despesafixaconsolidadojul[[#This Row],[29]]</f>
        <v>0</v>
      </c>
      <c r="AI51" s="19">
        <f>SUM(AI37:AI50)+despesafixaconsolidadojul[[#This Row],[30]]</f>
        <v>0</v>
      </c>
      <c r="AJ51" s="18">
        <f>despesafixaconsolidadojul[[#This Row],[31]]</f>
        <v>0</v>
      </c>
      <c r="AK51" s="17"/>
    </row>
    <row r="52" spans="2:37" ht="6.75" customHeight="1" thickTop="1" thickBot="1" x14ac:dyDescent="0.3">
      <c r="B52" s="15"/>
      <c r="C52" s="40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39"/>
      <c r="AG52" s="39"/>
      <c r="AH52" s="39"/>
      <c r="AI52" s="48"/>
      <c r="AJ52" s="15"/>
      <c r="AK52" s="10"/>
    </row>
    <row r="53" spans="2:37" ht="12.6" thickTop="1" x14ac:dyDescent="0.25">
      <c r="C53" s="46"/>
      <c r="D53" s="47"/>
      <c r="E53" s="47"/>
      <c r="F53" s="47"/>
      <c r="G53" s="47"/>
      <c r="H53" s="47"/>
      <c r="I53" s="47"/>
      <c r="J53" s="47"/>
      <c r="K53" s="47"/>
      <c r="L53" s="47"/>
      <c r="M53" s="47"/>
      <c r="N53" s="47"/>
      <c r="O53" s="47"/>
      <c r="P53" s="47"/>
      <c r="Q53" s="47"/>
      <c r="R53" s="47"/>
      <c r="S53" s="47"/>
      <c r="T53" s="47"/>
      <c r="U53" s="47"/>
      <c r="V53" s="47"/>
      <c r="W53" s="47"/>
      <c r="X53" s="47"/>
      <c r="Y53" s="47"/>
      <c r="Z53" s="47"/>
      <c r="AA53" s="47"/>
      <c r="AB53" s="47"/>
      <c r="AC53" s="47"/>
      <c r="AD53" s="47"/>
      <c r="AE53" s="47"/>
      <c r="AF53" s="47"/>
      <c r="AG53" s="47"/>
      <c r="AH53" s="47"/>
      <c r="AI53" s="47"/>
      <c r="AK53" s="37"/>
    </row>
    <row r="54" spans="2:37" x14ac:dyDescent="0.25">
      <c r="C54" s="46"/>
      <c r="D54" s="47"/>
      <c r="E54" s="47"/>
      <c r="F54" s="47"/>
      <c r="G54" s="47"/>
      <c r="H54" s="47"/>
      <c r="I54" s="47"/>
      <c r="J54" s="47"/>
      <c r="K54" s="47"/>
      <c r="L54" s="47"/>
      <c r="M54" s="47"/>
      <c r="N54" s="47"/>
      <c r="O54" s="47"/>
      <c r="P54" s="47"/>
      <c r="Q54" s="47"/>
      <c r="R54" s="47"/>
      <c r="S54" s="47"/>
      <c r="T54" s="47"/>
      <c r="U54" s="47"/>
      <c r="V54" s="47"/>
      <c r="W54" s="47"/>
      <c r="X54" s="47"/>
      <c r="Y54" s="47"/>
      <c r="Z54" s="47"/>
      <c r="AA54" s="47"/>
      <c r="AB54" s="47"/>
      <c r="AC54" s="47"/>
      <c r="AD54" s="47"/>
      <c r="AE54" s="47"/>
      <c r="AF54" s="47"/>
      <c r="AG54" s="47"/>
      <c r="AH54" s="47"/>
      <c r="AI54" s="47"/>
    </row>
    <row r="55" spans="2:37" x14ac:dyDescent="0.25">
      <c r="C55" s="46"/>
      <c r="D55" s="47"/>
      <c r="E55" s="47"/>
      <c r="F55" s="47"/>
      <c r="G55" s="47"/>
      <c r="H55" s="47"/>
      <c r="I55" s="47"/>
      <c r="J55" s="47"/>
      <c r="K55" s="47"/>
      <c r="L55" s="47"/>
      <c r="M55" s="47"/>
      <c r="N55" s="47"/>
      <c r="O55" s="47"/>
      <c r="P55" s="47"/>
      <c r="Q55" s="47"/>
      <c r="R55" s="47"/>
      <c r="S55" s="47"/>
      <c r="T55" s="47"/>
      <c r="U55" s="47"/>
      <c r="V55" s="47"/>
      <c r="W55" s="47"/>
      <c r="X55" s="47"/>
      <c r="Y55" s="47"/>
      <c r="Z55" s="47"/>
      <c r="AA55" s="47"/>
      <c r="AB55" s="47"/>
      <c r="AC55" s="47"/>
      <c r="AD55" s="47"/>
      <c r="AE55" s="47"/>
      <c r="AF55" s="47"/>
      <c r="AG55" s="47"/>
      <c r="AH55" s="47"/>
      <c r="AI55" s="47"/>
    </row>
    <row r="56" spans="2:37" ht="39.75" customHeight="1" x14ac:dyDescent="0.25">
      <c r="C56" s="46"/>
      <c r="E56" s="240"/>
      <c r="F56" s="240"/>
      <c r="G56" s="240"/>
      <c r="H56" s="240"/>
      <c r="I56" s="240"/>
      <c r="J56" s="240"/>
      <c r="K56" s="240"/>
      <c r="L56" s="240"/>
      <c r="M56" s="240"/>
      <c r="N56" s="240"/>
      <c r="O56" s="240"/>
      <c r="P56" s="240"/>
      <c r="Q56" s="240"/>
      <c r="R56" s="240"/>
      <c r="S56" s="240"/>
      <c r="T56" s="240"/>
      <c r="U56" s="240"/>
      <c r="V56" s="240"/>
      <c r="W56" s="240"/>
      <c r="X56" s="240"/>
      <c r="Y56" s="240"/>
      <c r="Z56" s="240"/>
      <c r="AA56" s="240"/>
      <c r="AB56" s="240"/>
      <c r="AC56" s="240"/>
      <c r="AD56" s="240"/>
      <c r="AE56" s="240"/>
      <c r="AF56" s="240"/>
      <c r="AG56" s="240"/>
      <c r="AH56" s="240"/>
      <c r="AI56" s="240"/>
      <c r="AJ56" s="32" t="s">
        <v>19</v>
      </c>
    </row>
    <row r="57" spans="2:37" ht="11.25" customHeight="1" thickBot="1" x14ac:dyDescent="0.75">
      <c r="C57" s="36"/>
      <c r="AI57" s="4"/>
      <c r="AJ57" s="34" t="s">
        <v>202</v>
      </c>
    </row>
    <row r="58" spans="2:37" ht="6.75" customHeight="1" thickTop="1" thickBot="1" x14ac:dyDescent="0.3">
      <c r="B58" s="33"/>
      <c r="C58" s="45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44"/>
      <c r="AH58" s="44"/>
      <c r="AI58" s="44"/>
      <c r="AJ58" s="43"/>
      <c r="AK58" s="33"/>
    </row>
    <row r="59" spans="2:37" ht="12.6" hidden="1" thickBot="1" x14ac:dyDescent="0.3">
      <c r="B59" s="2"/>
      <c r="C59" s="31" t="s">
        <v>116</v>
      </c>
      <c r="D59" s="30" t="s">
        <v>198</v>
      </c>
      <c r="E59" s="30" t="s">
        <v>197</v>
      </c>
      <c r="F59" s="30" t="s">
        <v>196</v>
      </c>
      <c r="G59" s="30" t="s">
        <v>195</v>
      </c>
      <c r="H59" s="30" t="s">
        <v>194</v>
      </c>
      <c r="I59" s="30" t="s">
        <v>193</v>
      </c>
      <c r="J59" s="30" t="s">
        <v>192</v>
      </c>
      <c r="K59" s="30" t="s">
        <v>191</v>
      </c>
      <c r="L59" s="30" t="s">
        <v>190</v>
      </c>
      <c r="M59" s="30" t="s">
        <v>189</v>
      </c>
      <c r="N59" s="30" t="s">
        <v>188</v>
      </c>
      <c r="O59" s="30" t="s">
        <v>187</v>
      </c>
      <c r="P59" s="30" t="s">
        <v>186</v>
      </c>
      <c r="Q59" s="30" t="s">
        <v>185</v>
      </c>
      <c r="R59" s="30" t="s">
        <v>184</v>
      </c>
      <c r="S59" s="30" t="s">
        <v>183</v>
      </c>
      <c r="T59" s="30" t="s">
        <v>182</v>
      </c>
      <c r="U59" s="30" t="s">
        <v>181</v>
      </c>
      <c r="V59" s="30" t="s">
        <v>180</v>
      </c>
      <c r="W59" s="30" t="s">
        <v>179</v>
      </c>
      <c r="X59" s="30" t="s">
        <v>178</v>
      </c>
      <c r="Y59" s="30" t="s">
        <v>177</v>
      </c>
      <c r="Z59" s="30" t="s">
        <v>176</v>
      </c>
      <c r="AA59" s="30" t="s">
        <v>175</v>
      </c>
      <c r="AB59" s="30" t="s">
        <v>174</v>
      </c>
      <c r="AC59" s="30" t="s">
        <v>173</v>
      </c>
      <c r="AD59" s="30" t="s">
        <v>172</v>
      </c>
      <c r="AE59" s="30" t="s">
        <v>171</v>
      </c>
      <c r="AF59" s="30" t="s">
        <v>170</v>
      </c>
      <c r="AG59" s="30" t="s">
        <v>169</v>
      </c>
      <c r="AH59" s="30" t="s">
        <v>168</v>
      </c>
      <c r="AI59" s="30" t="s">
        <v>167</v>
      </c>
      <c r="AJ59" s="42" t="s">
        <v>19</v>
      </c>
      <c r="AK59" s="2" t="s">
        <v>203</v>
      </c>
    </row>
    <row r="60" spans="2:37" ht="19.5" customHeight="1" thickTop="1" thickBot="1" x14ac:dyDescent="0.3">
      <c r="B60" s="28"/>
      <c r="C60" s="27" t="str">
        <f>DADOS!$T$3</f>
        <v>🍕 ALIMENTAÇÃO</v>
      </c>
      <c r="D60" s="26" t="str">
        <f>IF(despesavariávelconsolidadojul[[#This Row],[TOTAL]]=0,"",IF(OR(despesavariávelconsolidadojul[[#This Row],[TOTAL]]=LARGE($AJ$60:$AJ$72,1),despesavariávelconsolidadojul[[#This Row],[TOTAL]]=LARGE($AJ$60:$AJ$72,2),despesavariávelconsolidadojul[[#This Row],[TOTAL]]=LARGE($AJ$60:$AJ$72,3),despesavariávelconsolidadojul[[#This Row],[TOTAL]]=LARGE($AJ$60:$AJ$72,4),despesavariávelconsolidadojul[[#This Row],[TOTAL]]=LARGE($AJ$60:$AJ$72,5)),DADOS!$I$8,""))</f>
        <v/>
      </c>
      <c r="E60" s="94">
        <f>SUMIFS(tabela_registros[VALOR],tabela_registros[MÊS],$AE$1,tabela_registros[DIA],jultotal3059718395107[[#Headers],[1]],tabela_registros[REGISTRO],DADOS!$N$4,tabela_registros[TIPO],DADOS!$P$4,tabela_registros[CATEGORIA],despesavariávelconsolidadojul[[#This Row],[DESPESA VARIÁVEL]])</f>
        <v>0</v>
      </c>
      <c r="F60" s="88">
        <f>SUMIFS(tabela_registros[VALOR],tabela_registros[MÊS],$AE$1,tabela_registros[DIA],jultotal3059718395107[[#Headers],[2]],tabela_registros[REGISTRO],DADOS!$N$4,tabela_registros[TIPO],DADOS!$P$4,tabela_registros[CATEGORIA],despesavariávelconsolidadojul[[#This Row],[DESPESA VARIÁVEL]])</f>
        <v>0</v>
      </c>
      <c r="G60" s="88">
        <f>SUMIFS(tabela_registros[VALOR],tabela_registros[MÊS],$AE$1,tabela_registros[DIA],jultotal3059718395107[[#Headers],[3]],tabela_registros[REGISTRO],DADOS!$N$4,tabela_registros[TIPO],DADOS!$P$4,tabela_registros[CATEGORIA],despesavariávelconsolidadojul[[#This Row],[DESPESA VARIÁVEL]])</f>
        <v>0</v>
      </c>
      <c r="H60" s="88">
        <f>SUMIFS(tabela_registros[VALOR],tabela_registros[MÊS],$AE$1,tabela_registros[DIA],jultotal3059718395107[[#Headers],[4]],tabela_registros[REGISTRO],DADOS!$N$4,tabela_registros[TIPO],DADOS!$P$4,tabela_registros[CATEGORIA],despesavariávelconsolidadojul[[#This Row],[DESPESA VARIÁVEL]])</f>
        <v>0</v>
      </c>
      <c r="I60" s="88">
        <f>SUMIFS(tabela_registros[VALOR],tabela_registros[MÊS],$AE$1,tabela_registros[DIA],jultotal3059718395107[[#Headers],[5]],tabela_registros[REGISTRO],DADOS!$N$4,tabela_registros[TIPO],DADOS!$P$4,tabela_registros[CATEGORIA],despesavariávelconsolidadojul[[#This Row],[DESPESA VARIÁVEL]])</f>
        <v>0</v>
      </c>
      <c r="J60" s="88">
        <f>SUMIFS(tabela_registros[VALOR],tabela_registros[MÊS],$AE$1,tabela_registros[DIA],jultotal3059718395107[[#Headers],[6]],tabela_registros[REGISTRO],DADOS!$N$4,tabela_registros[TIPO],DADOS!$P$4,tabela_registros[CATEGORIA],despesavariávelconsolidadojul[[#This Row],[DESPESA VARIÁVEL]])</f>
        <v>0</v>
      </c>
      <c r="K60" s="88">
        <f>SUMIFS(tabela_registros[VALOR],tabela_registros[MÊS],$AE$1,tabela_registros[DIA],jultotal3059718395107[[#Headers],[7]],tabela_registros[REGISTRO],DADOS!$N$4,tabela_registros[TIPO],DADOS!$P$4,tabela_registros[CATEGORIA],despesavariávelconsolidadojul[[#This Row],[DESPESA VARIÁVEL]])</f>
        <v>0</v>
      </c>
      <c r="L60" s="88">
        <f>SUMIFS(tabela_registros[VALOR],tabela_registros[MÊS],$AE$1,tabela_registros[DIA],jultotal3059718395107[[#Headers],[8]],tabela_registros[REGISTRO],DADOS!$N$4,tabela_registros[TIPO],DADOS!$P$4,tabela_registros[CATEGORIA],despesavariávelconsolidadojul[[#This Row],[DESPESA VARIÁVEL]])</f>
        <v>0</v>
      </c>
      <c r="M60" s="88">
        <f>SUMIFS(tabela_registros[VALOR],tabela_registros[MÊS],$AE$1,tabela_registros[DIA],jultotal3059718395107[[#Headers],[9]],tabela_registros[REGISTRO],DADOS!$N$4,tabela_registros[TIPO],DADOS!$P$4,tabela_registros[CATEGORIA],despesavariávelconsolidadojul[[#This Row],[DESPESA VARIÁVEL]])</f>
        <v>0</v>
      </c>
      <c r="N60" s="88">
        <f>SUMIFS(tabela_registros[VALOR],tabela_registros[MÊS],$AE$1,tabela_registros[DIA],jultotal3059718395107[[#Headers],[10]],tabela_registros[REGISTRO],DADOS!$N$4,tabela_registros[TIPO],DADOS!$P$4,tabela_registros[CATEGORIA],despesavariávelconsolidadojul[[#This Row],[DESPESA VARIÁVEL]])</f>
        <v>0</v>
      </c>
      <c r="O60" s="88">
        <f>SUMIFS(tabela_registros[VALOR],tabela_registros[MÊS],$AE$1,tabela_registros[DIA],jultotal3059718395107[[#Headers],[11]],tabela_registros[REGISTRO],DADOS!$N$4,tabela_registros[TIPO],DADOS!$P$4,tabela_registros[CATEGORIA],despesavariávelconsolidadojul[[#This Row],[DESPESA VARIÁVEL]])</f>
        <v>0</v>
      </c>
      <c r="P60" s="88">
        <f>SUMIFS(tabela_registros[VALOR],tabela_registros[MÊS],$AE$1,tabela_registros[DIA],jultotal3059718395107[[#Headers],[12]],tabela_registros[REGISTRO],DADOS!$N$4,tabela_registros[TIPO],DADOS!$P$4,tabela_registros[CATEGORIA],despesavariávelconsolidadojul[[#This Row],[DESPESA VARIÁVEL]])</f>
        <v>0</v>
      </c>
      <c r="Q60" s="88">
        <f>SUMIFS(tabela_registros[VALOR],tabela_registros[MÊS],$AE$1,tabela_registros[DIA],jultotal3059718395107[[#Headers],[13]],tabela_registros[REGISTRO],DADOS!$N$4,tabela_registros[TIPO],DADOS!$P$4,tabela_registros[CATEGORIA],despesavariávelconsolidadojul[[#This Row],[DESPESA VARIÁVEL]])</f>
        <v>0</v>
      </c>
      <c r="R60" s="88">
        <f>SUMIFS(tabela_registros[VALOR],tabela_registros[MÊS],$AE$1,tabela_registros[DIA],jultotal3059718395107[[#Headers],[14]],tabela_registros[REGISTRO],DADOS!$N$4,tabela_registros[TIPO],DADOS!$P$4,tabela_registros[CATEGORIA],despesavariávelconsolidadojul[[#This Row],[DESPESA VARIÁVEL]])</f>
        <v>0</v>
      </c>
      <c r="S60" s="88">
        <f>SUMIFS(tabela_registros[VALOR],tabela_registros[MÊS],$AE$1,tabela_registros[DIA],jultotal3059718395107[[#Headers],[15]],tabela_registros[REGISTRO],DADOS!$N$4,tabela_registros[TIPO],DADOS!$P$4,tabela_registros[CATEGORIA],despesavariávelconsolidadojul[[#This Row],[DESPESA VARIÁVEL]])</f>
        <v>0</v>
      </c>
      <c r="T60" s="88">
        <f>SUMIFS(tabela_registros[VALOR],tabela_registros[MÊS],$AE$1,tabela_registros[DIA],jultotal3059718395107[[#Headers],[16]],tabela_registros[REGISTRO],DADOS!$N$4,tabela_registros[TIPO],DADOS!$P$4,tabela_registros[CATEGORIA],despesavariávelconsolidadojul[[#This Row],[DESPESA VARIÁVEL]])</f>
        <v>0</v>
      </c>
      <c r="U60" s="88">
        <f>SUMIFS(tabela_registros[VALOR],tabela_registros[MÊS],$AE$1,tabela_registros[DIA],jultotal3059718395107[[#Headers],[17]],tabela_registros[REGISTRO],DADOS!$N$4,tabela_registros[TIPO],DADOS!$P$4,tabela_registros[CATEGORIA],despesavariávelconsolidadojul[[#This Row],[DESPESA VARIÁVEL]])</f>
        <v>0</v>
      </c>
      <c r="V60" s="88">
        <f>SUMIFS(tabela_registros[VALOR],tabela_registros[MÊS],$AE$1,tabela_registros[DIA],jultotal3059718395107[[#Headers],[18]],tabela_registros[REGISTRO],DADOS!$N$4,tabela_registros[TIPO],DADOS!$P$4,tabela_registros[CATEGORIA],despesavariávelconsolidadojul[[#This Row],[DESPESA VARIÁVEL]])</f>
        <v>0</v>
      </c>
      <c r="W60" s="88">
        <f>SUMIFS(tabela_registros[VALOR],tabela_registros[MÊS],$AE$1,tabela_registros[DIA],jultotal3059718395107[[#Headers],[19]],tabela_registros[REGISTRO],DADOS!$N$4,tabela_registros[TIPO],DADOS!$P$4,tabela_registros[CATEGORIA],despesavariávelconsolidadojul[[#This Row],[DESPESA VARIÁVEL]])</f>
        <v>0</v>
      </c>
      <c r="X60" s="88">
        <f>SUMIFS(tabela_registros[VALOR],tabela_registros[MÊS],$AE$1,tabela_registros[DIA],jultotal3059718395107[[#Headers],[20]],tabela_registros[REGISTRO],DADOS!$N$4,tabela_registros[TIPO],DADOS!$P$4,tabela_registros[CATEGORIA],despesavariávelconsolidadojul[[#This Row],[DESPESA VARIÁVEL]])</f>
        <v>0</v>
      </c>
      <c r="Y60" s="88">
        <f>SUMIFS(tabela_registros[VALOR],tabela_registros[MÊS],$AE$1,tabela_registros[DIA],jultotal3059718395107[[#Headers],[21]],tabela_registros[REGISTRO],DADOS!$N$4,tabela_registros[TIPO],DADOS!$P$4,tabela_registros[CATEGORIA],despesavariávelconsolidadojul[[#This Row],[DESPESA VARIÁVEL]])</f>
        <v>0</v>
      </c>
      <c r="Z60" s="88">
        <f>SUMIFS(tabela_registros[VALOR],tabela_registros[MÊS],$AE$1,tabela_registros[DIA],jultotal3059718395107[[#Headers],[22]],tabela_registros[REGISTRO],DADOS!$N$4,tabela_registros[TIPO],DADOS!$P$4,tabela_registros[CATEGORIA],despesavariávelconsolidadojul[[#This Row],[DESPESA VARIÁVEL]])</f>
        <v>0</v>
      </c>
      <c r="AA60" s="88">
        <f>SUMIFS(tabela_registros[VALOR],tabela_registros[MÊS],$AE$1,tabela_registros[DIA],jultotal3059718395107[[#Headers],[23]],tabela_registros[REGISTRO],DADOS!$N$4,tabela_registros[TIPO],DADOS!$P$4,tabela_registros[CATEGORIA],despesavariávelconsolidadojul[[#This Row],[DESPESA VARIÁVEL]])</f>
        <v>0</v>
      </c>
      <c r="AB60" s="88">
        <f>SUMIFS(tabela_registros[VALOR],tabela_registros[MÊS],$AE$1,tabela_registros[DIA],jultotal3059718395107[[#Headers],[24]],tabela_registros[REGISTRO],DADOS!$N$4,tabela_registros[TIPO],DADOS!$P$4,tabela_registros[CATEGORIA],despesavariávelconsolidadojul[[#This Row],[DESPESA VARIÁVEL]])</f>
        <v>0</v>
      </c>
      <c r="AC60" s="88">
        <f>SUMIFS(tabela_registros[VALOR],tabela_registros[MÊS],$AE$1,tabela_registros[DIA],jultotal3059718395107[[#Headers],[25]],tabela_registros[REGISTRO],DADOS!$N$4,tabela_registros[TIPO],DADOS!$P$4,tabela_registros[CATEGORIA],despesavariávelconsolidadojul[[#This Row],[DESPESA VARIÁVEL]])</f>
        <v>0</v>
      </c>
      <c r="AD60" s="88">
        <f>SUMIFS(tabela_registros[VALOR],tabela_registros[MÊS],$AE$1,tabela_registros[DIA],jultotal3059718395107[[#Headers],[26]],tabela_registros[REGISTRO],DADOS!$N$4,tabela_registros[TIPO],DADOS!$P$4,tabela_registros[CATEGORIA],despesavariávelconsolidadojul[[#This Row],[DESPESA VARIÁVEL]])</f>
        <v>0</v>
      </c>
      <c r="AE60" s="88">
        <f>SUMIFS(tabela_registros[VALOR],tabela_registros[MÊS],$AE$1,tabela_registros[DIA],jultotal3059718395107[[#Headers],[27]],tabela_registros[REGISTRO],DADOS!$N$4,tabela_registros[TIPO],DADOS!$P$4,tabela_registros[CATEGORIA],despesavariávelconsolidadojul[[#This Row],[DESPESA VARIÁVEL]])</f>
        <v>0</v>
      </c>
      <c r="AF60" s="88">
        <f>SUMIFS(tabela_registros[VALOR],tabela_registros[MÊS],$AE$1,tabela_registros[DIA],jultotal3059718395107[[#Headers],[28]],tabela_registros[REGISTRO],DADOS!$N$4,tabela_registros[TIPO],DADOS!$P$4,tabela_registros[CATEGORIA],despesavariávelconsolidadojul[[#This Row],[DESPESA VARIÁVEL]])</f>
        <v>0</v>
      </c>
      <c r="AG60" s="88">
        <f>SUMIFS(tabela_registros[VALOR],tabela_registros[MÊS],$AE$1,tabela_registros[DIA],jultotal3059718395107[[#Headers],[29]],tabela_registros[REGISTRO],DADOS!$N$4,tabela_registros[TIPO],DADOS!$P$4,tabela_registros[CATEGORIA],despesavariávelconsolidadojul[[#This Row],[DESPESA VARIÁVEL]])</f>
        <v>0</v>
      </c>
      <c r="AH60" s="88">
        <f>SUMIFS(tabela_registros[VALOR],tabela_registros[MÊS],$AE$1,tabela_registros[DIA],jultotal3059718395107[[#Headers],[30]],tabela_registros[REGISTRO],DADOS!$N$4,tabela_registros[TIPO],DADOS!$P$4,tabela_registros[CATEGORIA],despesavariávelconsolidadojul[[#This Row],[DESPESA VARIÁVEL]])</f>
        <v>0</v>
      </c>
      <c r="AI60" s="100">
        <f>SUMIFS(tabela_registros[VALOR],tabela_registros[MÊS],$AE$1,tabela_registros[DIA],jultotal3059718395107[[#Headers],[31]],tabela_registros[REGISTRO],DADOS!$N$4,tabela_registros[TIPO],DADOS!$P$4,tabela_registros[CATEGORIA],despesavariávelconsolidadojul[[#This Row],[DESPESA VARIÁVEL]])</f>
        <v>0</v>
      </c>
      <c r="AJ60" s="95">
        <f>SUM(despesavariávelconsolidadojul[[#This Row],[1]:[31]])</f>
        <v>0</v>
      </c>
      <c r="AK60" s="28"/>
    </row>
    <row r="61" spans="2:37" ht="18" customHeight="1" thickTop="1" thickBot="1" x14ac:dyDescent="0.3">
      <c r="B61" s="28"/>
      <c r="C61" s="27" t="str">
        <f>DADOS!$T$4</f>
        <v>💳 CARTÃO DE CRÉDITO</v>
      </c>
      <c r="D61" s="26" t="str">
        <f>IF(despesavariávelconsolidadojul[[#This Row],[TOTAL]]=0,"",IF(OR(despesavariávelconsolidadojul[[#This Row],[TOTAL]]=LARGE($AJ$60:$AJ$72,1),despesavariávelconsolidadojul[[#This Row],[TOTAL]]=LARGE($AJ$60:$AJ$72,2),despesavariávelconsolidadojul[[#This Row],[TOTAL]]=LARGE($AJ$60:$AJ$72,3),despesavariávelconsolidadojul[[#This Row],[TOTAL]]=LARGE($AJ$60:$AJ$72,4),despesavariávelconsolidadojul[[#This Row],[TOTAL]]=LARGE($AJ$60:$AJ$72,5)),DADOS!$I$8,""))</f>
        <v/>
      </c>
      <c r="E61" s="96">
        <f>SUMIFS(tabela_registros[VALOR],tabela_registros[MÊS],$AE$1,tabela_registros[DIA],jultotal3059718395107[[#Headers],[1]],tabela_registros[REGISTRO],DADOS!$N$4,tabela_registros[TIPO],DADOS!$P$4,tabela_registros[CATEGORIA],despesavariávelconsolidadojul[[#This Row],[DESPESA VARIÁVEL]])</f>
        <v>0</v>
      </c>
      <c r="F61" s="91">
        <f>SUMIFS(tabela_registros[VALOR],tabela_registros[MÊS],$AE$1,tabela_registros[DIA],jultotal3059718395107[[#Headers],[2]],tabela_registros[REGISTRO],DADOS!$N$4,tabela_registros[TIPO],DADOS!$P$4,tabela_registros[CATEGORIA],despesavariávelconsolidadojul[[#This Row],[DESPESA VARIÁVEL]])</f>
        <v>0</v>
      </c>
      <c r="G61" s="91">
        <f>SUMIFS(tabela_registros[VALOR],tabela_registros[MÊS],$AE$1,tabela_registros[DIA],jultotal3059718395107[[#Headers],[3]],tabela_registros[REGISTRO],DADOS!$N$4,tabela_registros[TIPO],DADOS!$P$4,tabela_registros[CATEGORIA],despesavariávelconsolidadojul[[#This Row],[DESPESA VARIÁVEL]])</f>
        <v>0</v>
      </c>
      <c r="H61" s="91">
        <f>SUMIFS(tabela_registros[VALOR],tabela_registros[MÊS],$AE$1,tabela_registros[DIA],jultotal3059718395107[[#Headers],[4]],tabela_registros[REGISTRO],DADOS!$N$4,tabela_registros[TIPO],DADOS!$P$4,tabela_registros[CATEGORIA],despesavariávelconsolidadojul[[#This Row],[DESPESA VARIÁVEL]])</f>
        <v>0</v>
      </c>
      <c r="I61" s="91">
        <f>SUMIFS(tabela_registros[VALOR],tabela_registros[MÊS],$AE$1,tabela_registros[DIA],jultotal3059718395107[[#Headers],[5]],tabela_registros[REGISTRO],DADOS!$N$4,tabela_registros[TIPO],DADOS!$P$4,tabela_registros[CATEGORIA],despesavariávelconsolidadojul[[#This Row],[DESPESA VARIÁVEL]])</f>
        <v>0</v>
      </c>
      <c r="J61" s="91">
        <f>SUMIFS(tabela_registros[VALOR],tabela_registros[MÊS],$AE$1,tabela_registros[DIA],jultotal3059718395107[[#Headers],[6]],tabela_registros[REGISTRO],DADOS!$N$4,tabela_registros[TIPO],DADOS!$P$4,tabela_registros[CATEGORIA],despesavariávelconsolidadojul[[#This Row],[DESPESA VARIÁVEL]])</f>
        <v>0</v>
      </c>
      <c r="K61" s="91">
        <f>SUMIFS(tabela_registros[VALOR],tabela_registros[MÊS],$AE$1,tabela_registros[DIA],jultotal3059718395107[[#Headers],[7]],tabela_registros[REGISTRO],DADOS!$N$4,tabela_registros[TIPO],DADOS!$P$4,tabela_registros[CATEGORIA],despesavariávelconsolidadojul[[#This Row],[DESPESA VARIÁVEL]])</f>
        <v>0</v>
      </c>
      <c r="L61" s="91">
        <f>SUMIFS(tabela_registros[VALOR],tabela_registros[MÊS],$AE$1,tabela_registros[DIA],jultotal3059718395107[[#Headers],[8]],tabela_registros[REGISTRO],DADOS!$N$4,tabela_registros[TIPO],DADOS!$P$4,tabela_registros[CATEGORIA],despesavariávelconsolidadojul[[#This Row],[DESPESA VARIÁVEL]])</f>
        <v>0</v>
      </c>
      <c r="M61" s="91">
        <f>SUMIFS(tabela_registros[VALOR],tabela_registros[MÊS],$AE$1,tabela_registros[DIA],jultotal3059718395107[[#Headers],[9]],tabela_registros[REGISTRO],DADOS!$N$4,tabela_registros[TIPO],DADOS!$P$4,tabela_registros[CATEGORIA],despesavariávelconsolidadojul[[#This Row],[DESPESA VARIÁVEL]])</f>
        <v>0</v>
      </c>
      <c r="N61" s="91">
        <f>SUMIFS(tabela_registros[VALOR],tabela_registros[MÊS],$AE$1,tabela_registros[DIA],jultotal3059718395107[[#Headers],[10]],tabela_registros[REGISTRO],DADOS!$N$4,tabela_registros[TIPO],DADOS!$P$4,tabela_registros[CATEGORIA],despesavariávelconsolidadojul[[#This Row],[DESPESA VARIÁVEL]])</f>
        <v>0</v>
      </c>
      <c r="O61" s="91">
        <f>SUMIFS(tabela_registros[VALOR],tabela_registros[MÊS],$AE$1,tabela_registros[DIA],jultotal3059718395107[[#Headers],[11]],tabela_registros[REGISTRO],DADOS!$N$4,tabela_registros[TIPO],DADOS!$P$4,tabela_registros[CATEGORIA],despesavariávelconsolidadojul[[#This Row],[DESPESA VARIÁVEL]])</f>
        <v>0</v>
      </c>
      <c r="P61" s="91">
        <f>SUMIFS(tabela_registros[VALOR],tabela_registros[MÊS],$AE$1,tabela_registros[DIA],jultotal3059718395107[[#Headers],[12]],tabela_registros[REGISTRO],DADOS!$N$4,tabela_registros[TIPO],DADOS!$P$4,tabela_registros[CATEGORIA],despesavariávelconsolidadojul[[#This Row],[DESPESA VARIÁVEL]])</f>
        <v>0</v>
      </c>
      <c r="Q61" s="91">
        <f>SUMIFS(tabela_registros[VALOR],tabela_registros[MÊS],$AE$1,tabela_registros[DIA],jultotal3059718395107[[#Headers],[13]],tabela_registros[REGISTRO],DADOS!$N$4,tabela_registros[TIPO],DADOS!$P$4,tabela_registros[CATEGORIA],despesavariávelconsolidadojul[[#This Row],[DESPESA VARIÁVEL]])</f>
        <v>0</v>
      </c>
      <c r="R61" s="91">
        <f>SUMIFS(tabela_registros[VALOR],tabela_registros[MÊS],$AE$1,tabela_registros[DIA],jultotal3059718395107[[#Headers],[14]],tabela_registros[REGISTRO],DADOS!$N$4,tabela_registros[TIPO],DADOS!$P$4,tabela_registros[CATEGORIA],despesavariávelconsolidadojul[[#This Row],[DESPESA VARIÁVEL]])</f>
        <v>0</v>
      </c>
      <c r="S61" s="91">
        <f>SUMIFS(tabela_registros[VALOR],tabela_registros[MÊS],$AE$1,tabela_registros[DIA],jultotal3059718395107[[#Headers],[15]],tabela_registros[REGISTRO],DADOS!$N$4,tabela_registros[TIPO],DADOS!$P$4,tabela_registros[CATEGORIA],despesavariávelconsolidadojul[[#This Row],[DESPESA VARIÁVEL]])</f>
        <v>0</v>
      </c>
      <c r="T61" s="91">
        <f>SUMIFS(tabela_registros[VALOR],tabela_registros[MÊS],$AE$1,tabela_registros[DIA],jultotal3059718395107[[#Headers],[16]],tabela_registros[REGISTRO],DADOS!$N$4,tabela_registros[TIPO],DADOS!$P$4,tabela_registros[CATEGORIA],despesavariávelconsolidadojul[[#This Row],[DESPESA VARIÁVEL]])</f>
        <v>0</v>
      </c>
      <c r="U61" s="91">
        <f>SUMIFS(tabela_registros[VALOR],tabela_registros[MÊS],$AE$1,tabela_registros[DIA],jultotal3059718395107[[#Headers],[17]],tabela_registros[REGISTRO],DADOS!$N$4,tabela_registros[TIPO],DADOS!$P$4,tabela_registros[CATEGORIA],despesavariávelconsolidadojul[[#This Row],[DESPESA VARIÁVEL]])</f>
        <v>0</v>
      </c>
      <c r="V61" s="91">
        <f>SUMIFS(tabela_registros[VALOR],tabela_registros[MÊS],$AE$1,tabela_registros[DIA],jultotal3059718395107[[#Headers],[18]],tabela_registros[REGISTRO],DADOS!$N$4,tabela_registros[TIPO],DADOS!$P$4,tabela_registros[CATEGORIA],despesavariávelconsolidadojul[[#This Row],[DESPESA VARIÁVEL]])</f>
        <v>0</v>
      </c>
      <c r="W61" s="91">
        <f>SUMIFS(tabela_registros[VALOR],tabela_registros[MÊS],$AE$1,tabela_registros[DIA],jultotal3059718395107[[#Headers],[19]],tabela_registros[REGISTRO],DADOS!$N$4,tabela_registros[TIPO],DADOS!$P$4,tabela_registros[CATEGORIA],despesavariávelconsolidadojul[[#This Row],[DESPESA VARIÁVEL]])</f>
        <v>0</v>
      </c>
      <c r="X61" s="91">
        <f>SUMIFS(tabela_registros[VALOR],tabela_registros[MÊS],$AE$1,tabela_registros[DIA],jultotal3059718395107[[#Headers],[20]],tabela_registros[REGISTRO],DADOS!$N$4,tabela_registros[TIPO],DADOS!$P$4,tabela_registros[CATEGORIA],despesavariávelconsolidadojul[[#This Row],[DESPESA VARIÁVEL]])</f>
        <v>0</v>
      </c>
      <c r="Y61" s="91">
        <f>SUMIFS(tabela_registros[VALOR],tabela_registros[MÊS],$AE$1,tabela_registros[DIA],jultotal3059718395107[[#Headers],[21]],tabela_registros[REGISTRO],DADOS!$N$4,tabela_registros[TIPO],DADOS!$P$4,tabela_registros[CATEGORIA],despesavariávelconsolidadojul[[#This Row],[DESPESA VARIÁVEL]])</f>
        <v>0</v>
      </c>
      <c r="Z61" s="91">
        <f>SUMIFS(tabela_registros[VALOR],tabela_registros[MÊS],$AE$1,tabela_registros[DIA],jultotal3059718395107[[#Headers],[22]],tabela_registros[REGISTRO],DADOS!$N$4,tabela_registros[TIPO],DADOS!$P$4,tabela_registros[CATEGORIA],despesavariávelconsolidadojul[[#This Row],[DESPESA VARIÁVEL]])</f>
        <v>0</v>
      </c>
      <c r="AA61" s="91">
        <f>SUMIFS(tabela_registros[VALOR],tabela_registros[MÊS],$AE$1,tabela_registros[DIA],jultotal3059718395107[[#Headers],[23]],tabela_registros[REGISTRO],DADOS!$N$4,tabela_registros[TIPO],DADOS!$P$4,tabela_registros[CATEGORIA],despesavariávelconsolidadojul[[#This Row],[DESPESA VARIÁVEL]])</f>
        <v>0</v>
      </c>
      <c r="AB61" s="91">
        <f>SUMIFS(tabela_registros[VALOR],tabela_registros[MÊS],$AE$1,tabela_registros[DIA],jultotal3059718395107[[#Headers],[24]],tabela_registros[REGISTRO],DADOS!$N$4,tabela_registros[TIPO],DADOS!$P$4,tabela_registros[CATEGORIA],despesavariávelconsolidadojul[[#This Row],[DESPESA VARIÁVEL]])</f>
        <v>0</v>
      </c>
      <c r="AC61" s="91">
        <f>SUMIFS(tabela_registros[VALOR],tabela_registros[MÊS],$AE$1,tabela_registros[DIA],jultotal3059718395107[[#Headers],[25]],tabela_registros[REGISTRO],DADOS!$N$4,tabela_registros[TIPO],DADOS!$P$4,tabela_registros[CATEGORIA],despesavariávelconsolidadojul[[#This Row],[DESPESA VARIÁVEL]])</f>
        <v>0</v>
      </c>
      <c r="AD61" s="91">
        <f>SUMIFS(tabela_registros[VALOR],tabela_registros[MÊS],$AE$1,tabela_registros[DIA],jultotal3059718395107[[#Headers],[26]],tabela_registros[REGISTRO],DADOS!$N$4,tabela_registros[TIPO],DADOS!$P$4,tabela_registros[CATEGORIA],despesavariávelconsolidadojul[[#This Row],[DESPESA VARIÁVEL]])</f>
        <v>0</v>
      </c>
      <c r="AE61" s="91">
        <f>SUMIFS(tabela_registros[VALOR],tabela_registros[MÊS],$AE$1,tabela_registros[DIA],jultotal3059718395107[[#Headers],[27]],tabela_registros[REGISTRO],DADOS!$N$4,tabela_registros[TIPO],DADOS!$P$4,tabela_registros[CATEGORIA],despesavariávelconsolidadojul[[#This Row],[DESPESA VARIÁVEL]])</f>
        <v>0</v>
      </c>
      <c r="AF61" s="91">
        <f>SUMIFS(tabela_registros[VALOR],tabela_registros[MÊS],$AE$1,tabela_registros[DIA],jultotal3059718395107[[#Headers],[28]],tabela_registros[REGISTRO],DADOS!$N$4,tabela_registros[TIPO],DADOS!$P$4,tabela_registros[CATEGORIA],despesavariávelconsolidadojul[[#This Row],[DESPESA VARIÁVEL]])</f>
        <v>0</v>
      </c>
      <c r="AG61" s="91">
        <f>SUMIFS(tabela_registros[VALOR],tabela_registros[MÊS],$AE$1,tabela_registros[DIA],jultotal3059718395107[[#Headers],[29]],tabela_registros[REGISTRO],DADOS!$N$4,tabela_registros[TIPO],DADOS!$P$4,tabela_registros[CATEGORIA],despesavariávelconsolidadojul[[#This Row],[DESPESA VARIÁVEL]])</f>
        <v>0</v>
      </c>
      <c r="AH61" s="91">
        <f>SUMIFS(tabela_registros[VALOR],tabela_registros[MÊS],$AE$1,tabela_registros[DIA],jultotal3059718395107[[#Headers],[30]],tabela_registros[REGISTRO],DADOS!$N$4,tabela_registros[TIPO],DADOS!$P$4,tabela_registros[CATEGORIA],despesavariávelconsolidadojul[[#This Row],[DESPESA VARIÁVEL]])</f>
        <v>0</v>
      </c>
      <c r="AI61" s="101">
        <f>SUMIFS(tabela_registros[VALOR],tabela_registros[MÊS],$AE$1,tabela_registros[DIA],jultotal3059718395107[[#Headers],[31]],tabela_registros[REGISTRO],DADOS!$N$4,tabela_registros[TIPO],DADOS!$P$4,tabela_registros[CATEGORIA],despesavariávelconsolidadojul[[#This Row],[DESPESA VARIÁVEL]])</f>
        <v>0</v>
      </c>
      <c r="AJ61" s="97">
        <f>SUM(despesavariávelconsolidadojul[[#This Row],[1]:[31]])</f>
        <v>0</v>
      </c>
      <c r="AK61" s="28"/>
    </row>
    <row r="62" spans="2:37" ht="18" customHeight="1" thickTop="1" thickBot="1" x14ac:dyDescent="0.3">
      <c r="B62" s="28"/>
      <c r="C62" s="27" t="str">
        <f>DADOS!$T$5</f>
        <v>✍️ CHEQUE ESPECIAL</v>
      </c>
      <c r="D62" s="26" t="str">
        <f>IF(despesavariávelconsolidadojul[[#This Row],[TOTAL]]=0,"",IF(OR(despesavariávelconsolidadojul[[#This Row],[TOTAL]]=LARGE($AJ$60:$AJ$72,1),despesavariávelconsolidadojul[[#This Row],[TOTAL]]=LARGE($AJ$60:$AJ$72,2),despesavariávelconsolidadojul[[#This Row],[TOTAL]]=LARGE($AJ$60:$AJ$72,3),despesavariávelconsolidadojul[[#This Row],[TOTAL]]=LARGE($AJ$60:$AJ$72,4),despesavariávelconsolidadojul[[#This Row],[TOTAL]]=LARGE($AJ$60:$AJ$72,5)),DADOS!$I$8,""))</f>
        <v/>
      </c>
      <c r="E62" s="96">
        <f>SUMIFS(tabela_registros[VALOR],tabela_registros[MÊS],$AE$1,tabela_registros[DIA],jultotal3059718395107[[#Headers],[1]],tabela_registros[REGISTRO],DADOS!$N$4,tabela_registros[TIPO],DADOS!$P$4,tabela_registros[CATEGORIA],despesavariávelconsolidadojul[[#This Row],[DESPESA VARIÁVEL]])</f>
        <v>0</v>
      </c>
      <c r="F62" s="91">
        <f>SUMIFS(tabela_registros[VALOR],tabela_registros[MÊS],$AE$1,tabela_registros[DIA],jultotal3059718395107[[#Headers],[2]],tabela_registros[REGISTRO],DADOS!$N$4,tabela_registros[TIPO],DADOS!$P$4,tabela_registros[CATEGORIA],despesavariávelconsolidadojul[[#This Row],[DESPESA VARIÁVEL]])</f>
        <v>0</v>
      </c>
      <c r="G62" s="91">
        <f>SUMIFS(tabela_registros[VALOR],tabela_registros[MÊS],$AE$1,tabela_registros[DIA],jultotal3059718395107[[#Headers],[3]],tabela_registros[REGISTRO],DADOS!$N$4,tabela_registros[TIPO],DADOS!$P$4,tabela_registros[CATEGORIA],despesavariávelconsolidadojul[[#This Row],[DESPESA VARIÁVEL]])</f>
        <v>0</v>
      </c>
      <c r="H62" s="91">
        <f>SUMIFS(tabela_registros[VALOR],tabela_registros[MÊS],$AE$1,tabela_registros[DIA],jultotal3059718395107[[#Headers],[4]],tabela_registros[REGISTRO],DADOS!$N$4,tabela_registros[TIPO],DADOS!$P$4,tabela_registros[CATEGORIA],despesavariávelconsolidadojul[[#This Row],[DESPESA VARIÁVEL]])</f>
        <v>0</v>
      </c>
      <c r="I62" s="91">
        <f>SUMIFS(tabela_registros[VALOR],tabela_registros[MÊS],$AE$1,tabela_registros[DIA],jultotal3059718395107[[#Headers],[5]],tabela_registros[REGISTRO],DADOS!$N$4,tabela_registros[TIPO],DADOS!$P$4,tabela_registros[CATEGORIA],despesavariávelconsolidadojul[[#This Row],[DESPESA VARIÁVEL]])</f>
        <v>0</v>
      </c>
      <c r="J62" s="91">
        <f>SUMIFS(tabela_registros[VALOR],tabela_registros[MÊS],$AE$1,tabela_registros[DIA],jultotal3059718395107[[#Headers],[6]],tabela_registros[REGISTRO],DADOS!$N$4,tabela_registros[TIPO],DADOS!$P$4,tabela_registros[CATEGORIA],despesavariávelconsolidadojul[[#This Row],[DESPESA VARIÁVEL]])</f>
        <v>0</v>
      </c>
      <c r="K62" s="91">
        <f>SUMIFS(tabela_registros[VALOR],tabela_registros[MÊS],$AE$1,tabela_registros[DIA],jultotal3059718395107[[#Headers],[7]],tabela_registros[REGISTRO],DADOS!$N$4,tabela_registros[TIPO],DADOS!$P$4,tabela_registros[CATEGORIA],despesavariávelconsolidadojul[[#This Row],[DESPESA VARIÁVEL]])</f>
        <v>0</v>
      </c>
      <c r="L62" s="91">
        <f>SUMIFS(tabela_registros[VALOR],tabela_registros[MÊS],$AE$1,tabela_registros[DIA],jultotal3059718395107[[#Headers],[8]],tabela_registros[REGISTRO],DADOS!$N$4,tabela_registros[TIPO],DADOS!$P$4,tabela_registros[CATEGORIA],despesavariávelconsolidadojul[[#This Row],[DESPESA VARIÁVEL]])</f>
        <v>0</v>
      </c>
      <c r="M62" s="91">
        <f>SUMIFS(tabela_registros[VALOR],tabela_registros[MÊS],$AE$1,tabela_registros[DIA],jultotal3059718395107[[#Headers],[9]],tabela_registros[REGISTRO],DADOS!$N$4,tabela_registros[TIPO],DADOS!$P$4,tabela_registros[CATEGORIA],despesavariávelconsolidadojul[[#This Row],[DESPESA VARIÁVEL]])</f>
        <v>0</v>
      </c>
      <c r="N62" s="91">
        <f>SUMIFS(tabela_registros[VALOR],tabela_registros[MÊS],$AE$1,tabela_registros[DIA],jultotal3059718395107[[#Headers],[10]],tabela_registros[REGISTRO],DADOS!$N$4,tabela_registros[TIPO],DADOS!$P$4,tabela_registros[CATEGORIA],despesavariávelconsolidadojul[[#This Row],[DESPESA VARIÁVEL]])</f>
        <v>0</v>
      </c>
      <c r="O62" s="91">
        <f>SUMIFS(tabela_registros[VALOR],tabela_registros[MÊS],$AE$1,tabela_registros[DIA],jultotal3059718395107[[#Headers],[11]],tabela_registros[REGISTRO],DADOS!$N$4,tabela_registros[TIPO],DADOS!$P$4,tabela_registros[CATEGORIA],despesavariávelconsolidadojul[[#This Row],[DESPESA VARIÁVEL]])</f>
        <v>0</v>
      </c>
      <c r="P62" s="91">
        <f>SUMIFS(tabela_registros[VALOR],tabela_registros[MÊS],$AE$1,tabela_registros[DIA],jultotal3059718395107[[#Headers],[12]],tabela_registros[REGISTRO],DADOS!$N$4,tabela_registros[TIPO],DADOS!$P$4,tabela_registros[CATEGORIA],despesavariávelconsolidadojul[[#This Row],[DESPESA VARIÁVEL]])</f>
        <v>0</v>
      </c>
      <c r="Q62" s="91">
        <f>SUMIFS(tabela_registros[VALOR],tabela_registros[MÊS],$AE$1,tabela_registros[DIA],jultotal3059718395107[[#Headers],[13]],tabela_registros[REGISTRO],DADOS!$N$4,tabela_registros[TIPO],DADOS!$P$4,tabela_registros[CATEGORIA],despesavariávelconsolidadojul[[#This Row],[DESPESA VARIÁVEL]])</f>
        <v>0</v>
      </c>
      <c r="R62" s="91">
        <f>SUMIFS(tabela_registros[VALOR],tabela_registros[MÊS],$AE$1,tabela_registros[DIA],jultotal3059718395107[[#Headers],[14]],tabela_registros[REGISTRO],DADOS!$N$4,tabela_registros[TIPO],DADOS!$P$4,tabela_registros[CATEGORIA],despesavariávelconsolidadojul[[#This Row],[DESPESA VARIÁVEL]])</f>
        <v>0</v>
      </c>
      <c r="S62" s="91">
        <f>SUMIFS(tabela_registros[VALOR],tabela_registros[MÊS],$AE$1,tabela_registros[DIA],jultotal3059718395107[[#Headers],[15]],tabela_registros[REGISTRO],DADOS!$N$4,tabela_registros[TIPO],DADOS!$P$4,tabela_registros[CATEGORIA],despesavariávelconsolidadojul[[#This Row],[DESPESA VARIÁVEL]])</f>
        <v>0</v>
      </c>
      <c r="T62" s="91">
        <f>SUMIFS(tabela_registros[VALOR],tabela_registros[MÊS],$AE$1,tabela_registros[DIA],jultotal3059718395107[[#Headers],[16]],tabela_registros[REGISTRO],DADOS!$N$4,tabela_registros[TIPO],DADOS!$P$4,tabela_registros[CATEGORIA],despesavariávelconsolidadojul[[#This Row],[DESPESA VARIÁVEL]])</f>
        <v>0</v>
      </c>
      <c r="U62" s="91">
        <f>SUMIFS(tabela_registros[VALOR],tabela_registros[MÊS],$AE$1,tabela_registros[DIA],jultotal3059718395107[[#Headers],[17]],tabela_registros[REGISTRO],DADOS!$N$4,tabela_registros[TIPO],DADOS!$P$4,tabela_registros[CATEGORIA],despesavariávelconsolidadojul[[#This Row],[DESPESA VARIÁVEL]])</f>
        <v>0</v>
      </c>
      <c r="V62" s="91">
        <f>SUMIFS(tabela_registros[VALOR],tabela_registros[MÊS],$AE$1,tabela_registros[DIA],jultotal3059718395107[[#Headers],[18]],tabela_registros[REGISTRO],DADOS!$N$4,tabela_registros[TIPO],DADOS!$P$4,tabela_registros[CATEGORIA],despesavariávelconsolidadojul[[#This Row],[DESPESA VARIÁVEL]])</f>
        <v>0</v>
      </c>
      <c r="W62" s="91">
        <f>SUMIFS(tabela_registros[VALOR],tabela_registros[MÊS],$AE$1,tabela_registros[DIA],jultotal3059718395107[[#Headers],[19]],tabela_registros[REGISTRO],DADOS!$N$4,tabela_registros[TIPO],DADOS!$P$4,tabela_registros[CATEGORIA],despesavariávelconsolidadojul[[#This Row],[DESPESA VARIÁVEL]])</f>
        <v>0</v>
      </c>
      <c r="X62" s="91">
        <f>SUMIFS(tabela_registros[VALOR],tabela_registros[MÊS],$AE$1,tabela_registros[DIA],jultotal3059718395107[[#Headers],[20]],tabela_registros[REGISTRO],DADOS!$N$4,tabela_registros[TIPO],DADOS!$P$4,tabela_registros[CATEGORIA],despesavariávelconsolidadojul[[#This Row],[DESPESA VARIÁVEL]])</f>
        <v>0</v>
      </c>
      <c r="Y62" s="91">
        <f>SUMIFS(tabela_registros[VALOR],tabela_registros[MÊS],$AE$1,tabela_registros[DIA],jultotal3059718395107[[#Headers],[21]],tabela_registros[REGISTRO],DADOS!$N$4,tabela_registros[TIPO],DADOS!$P$4,tabela_registros[CATEGORIA],despesavariávelconsolidadojul[[#This Row],[DESPESA VARIÁVEL]])</f>
        <v>0</v>
      </c>
      <c r="Z62" s="91">
        <f>SUMIFS(tabela_registros[VALOR],tabela_registros[MÊS],$AE$1,tabela_registros[DIA],jultotal3059718395107[[#Headers],[22]],tabela_registros[REGISTRO],DADOS!$N$4,tabela_registros[TIPO],DADOS!$P$4,tabela_registros[CATEGORIA],despesavariávelconsolidadojul[[#This Row],[DESPESA VARIÁVEL]])</f>
        <v>0</v>
      </c>
      <c r="AA62" s="91">
        <f>SUMIFS(tabela_registros[VALOR],tabela_registros[MÊS],$AE$1,tabela_registros[DIA],jultotal3059718395107[[#Headers],[23]],tabela_registros[REGISTRO],DADOS!$N$4,tabela_registros[TIPO],DADOS!$P$4,tabela_registros[CATEGORIA],despesavariávelconsolidadojul[[#This Row],[DESPESA VARIÁVEL]])</f>
        <v>0</v>
      </c>
      <c r="AB62" s="91">
        <f>SUMIFS(tabela_registros[VALOR],tabela_registros[MÊS],$AE$1,tabela_registros[DIA],jultotal3059718395107[[#Headers],[24]],tabela_registros[REGISTRO],DADOS!$N$4,tabela_registros[TIPO],DADOS!$P$4,tabela_registros[CATEGORIA],despesavariávelconsolidadojul[[#This Row],[DESPESA VARIÁVEL]])</f>
        <v>0</v>
      </c>
      <c r="AC62" s="91">
        <f>SUMIFS(tabela_registros[VALOR],tabela_registros[MÊS],$AE$1,tabela_registros[DIA],jultotal3059718395107[[#Headers],[25]],tabela_registros[REGISTRO],DADOS!$N$4,tabela_registros[TIPO],DADOS!$P$4,tabela_registros[CATEGORIA],despesavariávelconsolidadojul[[#This Row],[DESPESA VARIÁVEL]])</f>
        <v>0</v>
      </c>
      <c r="AD62" s="91">
        <f>SUMIFS(tabela_registros[VALOR],tabela_registros[MÊS],$AE$1,tabela_registros[DIA],jultotal3059718395107[[#Headers],[26]],tabela_registros[REGISTRO],DADOS!$N$4,tabela_registros[TIPO],DADOS!$P$4,tabela_registros[CATEGORIA],despesavariávelconsolidadojul[[#This Row],[DESPESA VARIÁVEL]])</f>
        <v>0</v>
      </c>
      <c r="AE62" s="91">
        <f>SUMIFS(tabela_registros[VALOR],tabela_registros[MÊS],$AE$1,tabela_registros[DIA],jultotal3059718395107[[#Headers],[27]],tabela_registros[REGISTRO],DADOS!$N$4,tabela_registros[TIPO],DADOS!$P$4,tabela_registros[CATEGORIA],despesavariávelconsolidadojul[[#This Row],[DESPESA VARIÁVEL]])</f>
        <v>0</v>
      </c>
      <c r="AF62" s="91">
        <f>SUMIFS(tabela_registros[VALOR],tabela_registros[MÊS],$AE$1,tabela_registros[DIA],jultotal3059718395107[[#Headers],[28]],tabela_registros[REGISTRO],DADOS!$N$4,tabela_registros[TIPO],DADOS!$P$4,tabela_registros[CATEGORIA],despesavariávelconsolidadojul[[#This Row],[DESPESA VARIÁVEL]])</f>
        <v>0</v>
      </c>
      <c r="AG62" s="91">
        <f>SUMIFS(tabela_registros[VALOR],tabela_registros[MÊS],$AE$1,tabela_registros[DIA],jultotal3059718395107[[#Headers],[29]],tabela_registros[REGISTRO],DADOS!$N$4,tabela_registros[TIPO],DADOS!$P$4,tabela_registros[CATEGORIA],despesavariávelconsolidadojul[[#This Row],[DESPESA VARIÁVEL]])</f>
        <v>0</v>
      </c>
      <c r="AH62" s="91">
        <f>SUMIFS(tabela_registros[VALOR],tabela_registros[MÊS],$AE$1,tabela_registros[DIA],jultotal3059718395107[[#Headers],[30]],tabela_registros[REGISTRO],DADOS!$N$4,tabela_registros[TIPO],DADOS!$P$4,tabela_registros[CATEGORIA],despesavariávelconsolidadojul[[#This Row],[DESPESA VARIÁVEL]])</f>
        <v>0</v>
      </c>
      <c r="AI62" s="101">
        <f>SUMIFS(tabela_registros[VALOR],tabela_registros[MÊS],$AE$1,tabela_registros[DIA],jultotal3059718395107[[#Headers],[31]],tabela_registros[REGISTRO],DADOS!$N$4,tabela_registros[TIPO],DADOS!$P$4,tabela_registros[CATEGORIA],despesavariávelconsolidadojul[[#This Row],[DESPESA VARIÁVEL]])</f>
        <v>0</v>
      </c>
      <c r="AJ62" s="97">
        <f>SUM(despesavariávelconsolidadojul[[#This Row],[1]:[31]])</f>
        <v>0</v>
      </c>
      <c r="AK62" s="28"/>
    </row>
    <row r="63" spans="2:37" ht="18" customHeight="1" thickTop="1" thickBot="1" x14ac:dyDescent="0.3">
      <c r="B63" s="28"/>
      <c r="C63" s="27" t="str">
        <f>DADOS!$T$6</f>
        <v>💄 CUIDADOS PESSOAIS</v>
      </c>
      <c r="D63" s="26" t="str">
        <f>IF(despesavariávelconsolidadojul[[#This Row],[TOTAL]]=0,"",IF(OR(despesavariávelconsolidadojul[[#This Row],[TOTAL]]=LARGE($AJ$60:$AJ$72,1),despesavariávelconsolidadojul[[#This Row],[TOTAL]]=LARGE($AJ$60:$AJ$72,2),despesavariávelconsolidadojul[[#This Row],[TOTAL]]=LARGE($AJ$60:$AJ$72,3),despesavariávelconsolidadojul[[#This Row],[TOTAL]]=LARGE($AJ$60:$AJ$72,4),despesavariávelconsolidadojul[[#This Row],[TOTAL]]=LARGE($AJ$60:$AJ$72,5)),DADOS!$I$8,""))</f>
        <v/>
      </c>
      <c r="E63" s="96">
        <f>SUMIFS(tabela_registros[VALOR],tabela_registros[MÊS],$AE$1,tabela_registros[DIA],jultotal3059718395107[[#Headers],[1]],tabela_registros[REGISTRO],DADOS!$N$4,tabela_registros[TIPO],DADOS!$P$4,tabela_registros[CATEGORIA],despesavariávelconsolidadojul[[#This Row],[DESPESA VARIÁVEL]])</f>
        <v>0</v>
      </c>
      <c r="F63" s="91">
        <f>SUMIFS(tabela_registros[VALOR],tabela_registros[MÊS],$AE$1,tabela_registros[DIA],jultotal3059718395107[[#Headers],[2]],tabela_registros[REGISTRO],DADOS!$N$4,tabela_registros[TIPO],DADOS!$P$4,tabela_registros[CATEGORIA],despesavariávelconsolidadojul[[#This Row],[DESPESA VARIÁVEL]])</f>
        <v>0</v>
      </c>
      <c r="G63" s="91">
        <f>SUMIFS(tabela_registros[VALOR],tabela_registros[MÊS],$AE$1,tabela_registros[DIA],jultotal3059718395107[[#Headers],[3]],tabela_registros[REGISTRO],DADOS!$N$4,tabela_registros[TIPO],DADOS!$P$4,tabela_registros[CATEGORIA],despesavariávelconsolidadojul[[#This Row],[DESPESA VARIÁVEL]])</f>
        <v>0</v>
      </c>
      <c r="H63" s="91">
        <f>SUMIFS(tabela_registros[VALOR],tabela_registros[MÊS],$AE$1,tabela_registros[DIA],jultotal3059718395107[[#Headers],[4]],tabela_registros[REGISTRO],DADOS!$N$4,tabela_registros[TIPO],DADOS!$P$4,tabela_registros[CATEGORIA],despesavariávelconsolidadojul[[#This Row],[DESPESA VARIÁVEL]])</f>
        <v>0</v>
      </c>
      <c r="I63" s="91">
        <f>SUMIFS(tabela_registros[VALOR],tabela_registros[MÊS],$AE$1,tabela_registros[DIA],jultotal3059718395107[[#Headers],[5]],tabela_registros[REGISTRO],DADOS!$N$4,tabela_registros[TIPO],DADOS!$P$4,tabela_registros[CATEGORIA],despesavariávelconsolidadojul[[#This Row],[DESPESA VARIÁVEL]])</f>
        <v>0</v>
      </c>
      <c r="J63" s="91">
        <f>SUMIFS(tabela_registros[VALOR],tabela_registros[MÊS],$AE$1,tabela_registros[DIA],jultotal3059718395107[[#Headers],[6]],tabela_registros[REGISTRO],DADOS!$N$4,tabela_registros[TIPO],DADOS!$P$4,tabela_registros[CATEGORIA],despesavariávelconsolidadojul[[#This Row],[DESPESA VARIÁVEL]])</f>
        <v>0</v>
      </c>
      <c r="K63" s="91">
        <f>SUMIFS(tabela_registros[VALOR],tabela_registros[MÊS],$AE$1,tabela_registros[DIA],jultotal3059718395107[[#Headers],[7]],tabela_registros[REGISTRO],DADOS!$N$4,tabela_registros[TIPO],DADOS!$P$4,tabela_registros[CATEGORIA],despesavariávelconsolidadojul[[#This Row],[DESPESA VARIÁVEL]])</f>
        <v>0</v>
      </c>
      <c r="L63" s="91">
        <f>SUMIFS(tabela_registros[VALOR],tabela_registros[MÊS],$AE$1,tabela_registros[DIA],jultotal3059718395107[[#Headers],[8]],tabela_registros[REGISTRO],DADOS!$N$4,tabela_registros[TIPO],DADOS!$P$4,tabela_registros[CATEGORIA],despesavariávelconsolidadojul[[#This Row],[DESPESA VARIÁVEL]])</f>
        <v>0</v>
      </c>
      <c r="M63" s="91">
        <f>SUMIFS(tabela_registros[VALOR],tabela_registros[MÊS],$AE$1,tabela_registros[DIA],jultotal3059718395107[[#Headers],[9]],tabela_registros[REGISTRO],DADOS!$N$4,tabela_registros[TIPO],DADOS!$P$4,tabela_registros[CATEGORIA],despesavariávelconsolidadojul[[#This Row],[DESPESA VARIÁVEL]])</f>
        <v>0</v>
      </c>
      <c r="N63" s="91">
        <f>SUMIFS(tabela_registros[VALOR],tabela_registros[MÊS],$AE$1,tabela_registros[DIA],jultotal3059718395107[[#Headers],[10]],tabela_registros[REGISTRO],DADOS!$N$4,tabela_registros[TIPO],DADOS!$P$4,tabela_registros[CATEGORIA],despesavariávelconsolidadojul[[#This Row],[DESPESA VARIÁVEL]])</f>
        <v>0</v>
      </c>
      <c r="O63" s="91">
        <f>SUMIFS(tabela_registros[VALOR],tabela_registros[MÊS],$AE$1,tabela_registros[DIA],jultotal3059718395107[[#Headers],[11]],tabela_registros[REGISTRO],DADOS!$N$4,tabela_registros[TIPO],DADOS!$P$4,tabela_registros[CATEGORIA],despesavariávelconsolidadojul[[#This Row],[DESPESA VARIÁVEL]])</f>
        <v>0</v>
      </c>
      <c r="P63" s="91">
        <f>SUMIFS(tabela_registros[VALOR],tabela_registros[MÊS],$AE$1,tabela_registros[DIA],jultotal3059718395107[[#Headers],[12]],tabela_registros[REGISTRO],DADOS!$N$4,tabela_registros[TIPO],DADOS!$P$4,tabela_registros[CATEGORIA],despesavariávelconsolidadojul[[#This Row],[DESPESA VARIÁVEL]])</f>
        <v>0</v>
      </c>
      <c r="Q63" s="91">
        <f>SUMIFS(tabela_registros[VALOR],tabela_registros[MÊS],$AE$1,tabela_registros[DIA],jultotal3059718395107[[#Headers],[13]],tabela_registros[REGISTRO],DADOS!$N$4,tabela_registros[TIPO],DADOS!$P$4,tabela_registros[CATEGORIA],despesavariávelconsolidadojul[[#This Row],[DESPESA VARIÁVEL]])</f>
        <v>0</v>
      </c>
      <c r="R63" s="91">
        <f>SUMIFS(tabela_registros[VALOR],tabela_registros[MÊS],$AE$1,tabela_registros[DIA],jultotal3059718395107[[#Headers],[14]],tabela_registros[REGISTRO],DADOS!$N$4,tabela_registros[TIPO],DADOS!$P$4,tabela_registros[CATEGORIA],despesavariávelconsolidadojul[[#This Row],[DESPESA VARIÁVEL]])</f>
        <v>0</v>
      </c>
      <c r="S63" s="91">
        <f>SUMIFS(tabela_registros[VALOR],tabela_registros[MÊS],$AE$1,tabela_registros[DIA],jultotal3059718395107[[#Headers],[15]],tabela_registros[REGISTRO],DADOS!$N$4,tabela_registros[TIPO],DADOS!$P$4,tabela_registros[CATEGORIA],despesavariávelconsolidadojul[[#This Row],[DESPESA VARIÁVEL]])</f>
        <v>0</v>
      </c>
      <c r="T63" s="91">
        <f>SUMIFS(tabela_registros[VALOR],tabela_registros[MÊS],$AE$1,tabela_registros[DIA],jultotal3059718395107[[#Headers],[16]],tabela_registros[REGISTRO],DADOS!$N$4,tabela_registros[TIPO],DADOS!$P$4,tabela_registros[CATEGORIA],despesavariávelconsolidadojul[[#This Row],[DESPESA VARIÁVEL]])</f>
        <v>0</v>
      </c>
      <c r="U63" s="91">
        <f>SUMIFS(tabela_registros[VALOR],tabela_registros[MÊS],$AE$1,tabela_registros[DIA],jultotal3059718395107[[#Headers],[17]],tabela_registros[REGISTRO],DADOS!$N$4,tabela_registros[TIPO],DADOS!$P$4,tabela_registros[CATEGORIA],despesavariávelconsolidadojul[[#This Row],[DESPESA VARIÁVEL]])</f>
        <v>0</v>
      </c>
      <c r="V63" s="91">
        <f>SUMIFS(tabela_registros[VALOR],tabela_registros[MÊS],$AE$1,tabela_registros[DIA],jultotal3059718395107[[#Headers],[18]],tabela_registros[REGISTRO],DADOS!$N$4,tabela_registros[TIPO],DADOS!$P$4,tabela_registros[CATEGORIA],despesavariávelconsolidadojul[[#This Row],[DESPESA VARIÁVEL]])</f>
        <v>0</v>
      </c>
      <c r="W63" s="91">
        <f>SUMIFS(tabela_registros[VALOR],tabela_registros[MÊS],$AE$1,tabela_registros[DIA],jultotal3059718395107[[#Headers],[19]],tabela_registros[REGISTRO],DADOS!$N$4,tabela_registros[TIPO],DADOS!$P$4,tabela_registros[CATEGORIA],despesavariávelconsolidadojul[[#This Row],[DESPESA VARIÁVEL]])</f>
        <v>0</v>
      </c>
      <c r="X63" s="91">
        <f>SUMIFS(tabela_registros[VALOR],tabela_registros[MÊS],$AE$1,tabela_registros[DIA],jultotal3059718395107[[#Headers],[20]],tabela_registros[REGISTRO],DADOS!$N$4,tabela_registros[TIPO],DADOS!$P$4,tabela_registros[CATEGORIA],despesavariávelconsolidadojul[[#This Row],[DESPESA VARIÁVEL]])</f>
        <v>0</v>
      </c>
      <c r="Y63" s="91">
        <f>SUMIFS(tabela_registros[VALOR],tabela_registros[MÊS],$AE$1,tabela_registros[DIA],jultotal3059718395107[[#Headers],[21]],tabela_registros[REGISTRO],DADOS!$N$4,tabela_registros[TIPO],DADOS!$P$4,tabela_registros[CATEGORIA],despesavariávelconsolidadojul[[#This Row],[DESPESA VARIÁVEL]])</f>
        <v>0</v>
      </c>
      <c r="Z63" s="91">
        <f>SUMIFS(tabela_registros[VALOR],tabela_registros[MÊS],$AE$1,tabela_registros[DIA],jultotal3059718395107[[#Headers],[22]],tabela_registros[REGISTRO],DADOS!$N$4,tabela_registros[TIPO],DADOS!$P$4,tabela_registros[CATEGORIA],despesavariávelconsolidadojul[[#This Row],[DESPESA VARIÁVEL]])</f>
        <v>0</v>
      </c>
      <c r="AA63" s="91">
        <f>SUMIFS(tabela_registros[VALOR],tabela_registros[MÊS],$AE$1,tabela_registros[DIA],jultotal3059718395107[[#Headers],[23]],tabela_registros[REGISTRO],DADOS!$N$4,tabela_registros[TIPO],DADOS!$P$4,tabela_registros[CATEGORIA],despesavariávelconsolidadojul[[#This Row],[DESPESA VARIÁVEL]])</f>
        <v>0</v>
      </c>
      <c r="AB63" s="91">
        <f>SUMIFS(tabela_registros[VALOR],tabela_registros[MÊS],$AE$1,tabela_registros[DIA],jultotal3059718395107[[#Headers],[24]],tabela_registros[REGISTRO],DADOS!$N$4,tabela_registros[TIPO],DADOS!$P$4,tabela_registros[CATEGORIA],despesavariávelconsolidadojul[[#This Row],[DESPESA VARIÁVEL]])</f>
        <v>0</v>
      </c>
      <c r="AC63" s="91">
        <f>SUMIFS(tabela_registros[VALOR],tabela_registros[MÊS],$AE$1,tabela_registros[DIA],jultotal3059718395107[[#Headers],[25]],tabela_registros[REGISTRO],DADOS!$N$4,tabela_registros[TIPO],DADOS!$P$4,tabela_registros[CATEGORIA],despesavariávelconsolidadojul[[#This Row],[DESPESA VARIÁVEL]])</f>
        <v>0</v>
      </c>
      <c r="AD63" s="91">
        <f>SUMIFS(tabela_registros[VALOR],tabela_registros[MÊS],$AE$1,tabela_registros[DIA],jultotal3059718395107[[#Headers],[26]],tabela_registros[REGISTRO],DADOS!$N$4,tabela_registros[TIPO],DADOS!$P$4,tabela_registros[CATEGORIA],despesavariávelconsolidadojul[[#This Row],[DESPESA VARIÁVEL]])</f>
        <v>0</v>
      </c>
      <c r="AE63" s="91">
        <f>SUMIFS(tabela_registros[VALOR],tabela_registros[MÊS],$AE$1,tabela_registros[DIA],jultotal3059718395107[[#Headers],[27]],tabela_registros[REGISTRO],DADOS!$N$4,tabela_registros[TIPO],DADOS!$P$4,tabela_registros[CATEGORIA],despesavariávelconsolidadojul[[#This Row],[DESPESA VARIÁVEL]])</f>
        <v>0</v>
      </c>
      <c r="AF63" s="91">
        <f>SUMIFS(tabela_registros[VALOR],tabela_registros[MÊS],$AE$1,tabela_registros[DIA],jultotal3059718395107[[#Headers],[28]],tabela_registros[REGISTRO],DADOS!$N$4,tabela_registros[TIPO],DADOS!$P$4,tabela_registros[CATEGORIA],despesavariávelconsolidadojul[[#This Row],[DESPESA VARIÁVEL]])</f>
        <v>0</v>
      </c>
      <c r="AG63" s="91">
        <f>SUMIFS(tabela_registros[VALOR],tabela_registros[MÊS],$AE$1,tabela_registros[DIA],jultotal3059718395107[[#Headers],[29]],tabela_registros[REGISTRO],DADOS!$N$4,tabela_registros[TIPO],DADOS!$P$4,tabela_registros[CATEGORIA],despesavariávelconsolidadojul[[#This Row],[DESPESA VARIÁVEL]])</f>
        <v>0</v>
      </c>
      <c r="AH63" s="91">
        <f>SUMIFS(tabela_registros[VALOR],tabela_registros[MÊS],$AE$1,tabela_registros[DIA],jultotal3059718395107[[#Headers],[30]],tabela_registros[REGISTRO],DADOS!$N$4,tabela_registros[TIPO],DADOS!$P$4,tabela_registros[CATEGORIA],despesavariávelconsolidadojul[[#This Row],[DESPESA VARIÁVEL]])</f>
        <v>0</v>
      </c>
      <c r="AI63" s="101">
        <f>SUMIFS(tabela_registros[VALOR],tabela_registros[MÊS],$AE$1,tabela_registros[DIA],jultotal3059718395107[[#Headers],[31]],tabela_registros[REGISTRO],DADOS!$N$4,tabela_registros[TIPO],DADOS!$P$4,tabela_registros[CATEGORIA],despesavariávelconsolidadojul[[#This Row],[DESPESA VARIÁVEL]])</f>
        <v>0</v>
      </c>
      <c r="AJ63" s="97">
        <f>SUM(despesavariávelconsolidadojul[[#This Row],[1]:[31]])</f>
        <v>0</v>
      </c>
      <c r="AK63" s="28"/>
    </row>
    <row r="64" spans="2:37" ht="18" customHeight="1" thickTop="1" thickBot="1" x14ac:dyDescent="0.3">
      <c r="B64" s="28"/>
      <c r="C64" s="27" t="str">
        <f>DADOS!$T$7</f>
        <v>🤝 DOAÇÃO</v>
      </c>
      <c r="D64" s="26" t="str">
        <f>IF(despesavariávelconsolidadojul[[#This Row],[TOTAL]]=0,"",IF(OR(despesavariávelconsolidadojul[[#This Row],[TOTAL]]=LARGE($AJ$60:$AJ$72,1),despesavariávelconsolidadojul[[#This Row],[TOTAL]]=LARGE($AJ$60:$AJ$72,2),despesavariávelconsolidadojul[[#This Row],[TOTAL]]=LARGE($AJ$60:$AJ$72,3),despesavariávelconsolidadojul[[#This Row],[TOTAL]]=LARGE($AJ$60:$AJ$72,4),despesavariávelconsolidadojul[[#This Row],[TOTAL]]=LARGE($AJ$60:$AJ$72,5)),DADOS!$I$8,""))</f>
        <v/>
      </c>
      <c r="E64" s="96">
        <f>SUMIFS(tabela_registros[VALOR],tabela_registros[MÊS],$AE$1,tabela_registros[DIA],jultotal3059718395107[[#Headers],[1]],tabela_registros[REGISTRO],DADOS!$N$4,tabela_registros[TIPO],DADOS!$P$4,tabela_registros[CATEGORIA],despesavariávelconsolidadojul[[#This Row],[DESPESA VARIÁVEL]])</f>
        <v>0</v>
      </c>
      <c r="F64" s="91">
        <f>SUMIFS(tabela_registros[VALOR],tabela_registros[MÊS],$AE$1,tabela_registros[DIA],jultotal3059718395107[[#Headers],[2]],tabela_registros[REGISTRO],DADOS!$N$4,tabela_registros[TIPO],DADOS!$P$4,tabela_registros[CATEGORIA],despesavariávelconsolidadojul[[#This Row],[DESPESA VARIÁVEL]])</f>
        <v>0</v>
      </c>
      <c r="G64" s="91">
        <f>SUMIFS(tabela_registros[VALOR],tabela_registros[MÊS],$AE$1,tabela_registros[DIA],jultotal3059718395107[[#Headers],[3]],tabela_registros[REGISTRO],DADOS!$N$4,tabela_registros[TIPO],DADOS!$P$4,tabela_registros[CATEGORIA],despesavariávelconsolidadojul[[#This Row],[DESPESA VARIÁVEL]])</f>
        <v>0</v>
      </c>
      <c r="H64" s="91">
        <f>SUMIFS(tabela_registros[VALOR],tabela_registros[MÊS],$AE$1,tabela_registros[DIA],jultotal3059718395107[[#Headers],[4]],tabela_registros[REGISTRO],DADOS!$N$4,tabela_registros[TIPO],DADOS!$P$4,tabela_registros[CATEGORIA],despesavariávelconsolidadojul[[#This Row],[DESPESA VARIÁVEL]])</f>
        <v>0</v>
      </c>
      <c r="I64" s="91">
        <f>SUMIFS(tabela_registros[VALOR],tabela_registros[MÊS],$AE$1,tabela_registros[DIA],jultotal3059718395107[[#Headers],[5]],tabela_registros[REGISTRO],DADOS!$N$4,tabela_registros[TIPO],DADOS!$P$4,tabela_registros[CATEGORIA],despesavariávelconsolidadojul[[#This Row],[DESPESA VARIÁVEL]])</f>
        <v>0</v>
      </c>
      <c r="J64" s="91">
        <f>SUMIFS(tabela_registros[VALOR],tabela_registros[MÊS],$AE$1,tabela_registros[DIA],jultotal3059718395107[[#Headers],[6]],tabela_registros[REGISTRO],DADOS!$N$4,tabela_registros[TIPO],DADOS!$P$4,tabela_registros[CATEGORIA],despesavariávelconsolidadojul[[#This Row],[DESPESA VARIÁVEL]])</f>
        <v>0</v>
      </c>
      <c r="K64" s="91">
        <f>SUMIFS(tabela_registros[VALOR],tabela_registros[MÊS],$AE$1,tabela_registros[DIA],jultotal3059718395107[[#Headers],[7]],tabela_registros[REGISTRO],DADOS!$N$4,tabela_registros[TIPO],DADOS!$P$4,tabela_registros[CATEGORIA],despesavariávelconsolidadojul[[#This Row],[DESPESA VARIÁVEL]])</f>
        <v>0</v>
      </c>
      <c r="L64" s="91">
        <f>SUMIFS(tabela_registros[VALOR],tabela_registros[MÊS],$AE$1,tabela_registros[DIA],jultotal3059718395107[[#Headers],[8]],tabela_registros[REGISTRO],DADOS!$N$4,tabela_registros[TIPO],DADOS!$P$4,tabela_registros[CATEGORIA],despesavariávelconsolidadojul[[#This Row],[DESPESA VARIÁVEL]])</f>
        <v>0</v>
      </c>
      <c r="M64" s="91">
        <f>SUMIFS(tabela_registros[VALOR],tabela_registros[MÊS],$AE$1,tabela_registros[DIA],jultotal3059718395107[[#Headers],[9]],tabela_registros[REGISTRO],DADOS!$N$4,tabela_registros[TIPO],DADOS!$P$4,tabela_registros[CATEGORIA],despesavariávelconsolidadojul[[#This Row],[DESPESA VARIÁVEL]])</f>
        <v>0</v>
      </c>
      <c r="N64" s="91">
        <f>SUMIFS(tabela_registros[VALOR],tabela_registros[MÊS],$AE$1,tabela_registros[DIA],jultotal3059718395107[[#Headers],[10]],tabela_registros[REGISTRO],DADOS!$N$4,tabela_registros[TIPO],DADOS!$P$4,tabela_registros[CATEGORIA],despesavariávelconsolidadojul[[#This Row],[DESPESA VARIÁVEL]])</f>
        <v>0</v>
      </c>
      <c r="O64" s="91">
        <f>SUMIFS(tabela_registros[VALOR],tabela_registros[MÊS],$AE$1,tabela_registros[DIA],jultotal3059718395107[[#Headers],[11]],tabela_registros[REGISTRO],DADOS!$N$4,tabela_registros[TIPO],DADOS!$P$4,tabela_registros[CATEGORIA],despesavariávelconsolidadojul[[#This Row],[DESPESA VARIÁVEL]])</f>
        <v>0</v>
      </c>
      <c r="P64" s="91">
        <f>SUMIFS(tabela_registros[VALOR],tabela_registros[MÊS],$AE$1,tabela_registros[DIA],jultotal3059718395107[[#Headers],[12]],tabela_registros[REGISTRO],DADOS!$N$4,tabela_registros[TIPO],DADOS!$P$4,tabela_registros[CATEGORIA],despesavariávelconsolidadojul[[#This Row],[DESPESA VARIÁVEL]])</f>
        <v>0</v>
      </c>
      <c r="Q64" s="91">
        <f>SUMIFS(tabela_registros[VALOR],tabela_registros[MÊS],$AE$1,tabela_registros[DIA],jultotal3059718395107[[#Headers],[13]],tabela_registros[REGISTRO],DADOS!$N$4,tabela_registros[TIPO],DADOS!$P$4,tabela_registros[CATEGORIA],despesavariávelconsolidadojul[[#This Row],[DESPESA VARIÁVEL]])</f>
        <v>0</v>
      </c>
      <c r="R64" s="91">
        <f>SUMIFS(tabela_registros[VALOR],tabela_registros[MÊS],$AE$1,tabela_registros[DIA],jultotal3059718395107[[#Headers],[14]],tabela_registros[REGISTRO],DADOS!$N$4,tabela_registros[TIPO],DADOS!$P$4,tabela_registros[CATEGORIA],despesavariávelconsolidadojul[[#This Row],[DESPESA VARIÁVEL]])</f>
        <v>0</v>
      </c>
      <c r="S64" s="91">
        <f>SUMIFS(tabela_registros[VALOR],tabela_registros[MÊS],$AE$1,tabela_registros[DIA],jultotal3059718395107[[#Headers],[15]],tabela_registros[REGISTRO],DADOS!$N$4,tabela_registros[TIPO],DADOS!$P$4,tabela_registros[CATEGORIA],despesavariávelconsolidadojul[[#This Row],[DESPESA VARIÁVEL]])</f>
        <v>0</v>
      </c>
      <c r="T64" s="91">
        <f>SUMIFS(tabela_registros[VALOR],tabela_registros[MÊS],$AE$1,tabela_registros[DIA],jultotal3059718395107[[#Headers],[16]],tabela_registros[REGISTRO],DADOS!$N$4,tabela_registros[TIPO],DADOS!$P$4,tabela_registros[CATEGORIA],despesavariávelconsolidadojul[[#This Row],[DESPESA VARIÁVEL]])</f>
        <v>0</v>
      </c>
      <c r="U64" s="91">
        <f>SUMIFS(tabela_registros[VALOR],tabela_registros[MÊS],$AE$1,tabela_registros[DIA],jultotal3059718395107[[#Headers],[17]],tabela_registros[REGISTRO],DADOS!$N$4,tabela_registros[TIPO],DADOS!$P$4,tabela_registros[CATEGORIA],despesavariávelconsolidadojul[[#This Row],[DESPESA VARIÁVEL]])</f>
        <v>0</v>
      </c>
      <c r="V64" s="91">
        <f>SUMIFS(tabela_registros[VALOR],tabela_registros[MÊS],$AE$1,tabela_registros[DIA],jultotal3059718395107[[#Headers],[18]],tabela_registros[REGISTRO],DADOS!$N$4,tabela_registros[TIPO],DADOS!$P$4,tabela_registros[CATEGORIA],despesavariávelconsolidadojul[[#This Row],[DESPESA VARIÁVEL]])</f>
        <v>0</v>
      </c>
      <c r="W64" s="91">
        <f>SUMIFS(tabela_registros[VALOR],tabela_registros[MÊS],$AE$1,tabela_registros[DIA],jultotal3059718395107[[#Headers],[19]],tabela_registros[REGISTRO],DADOS!$N$4,tabela_registros[TIPO],DADOS!$P$4,tabela_registros[CATEGORIA],despesavariávelconsolidadojul[[#This Row],[DESPESA VARIÁVEL]])</f>
        <v>0</v>
      </c>
      <c r="X64" s="91">
        <f>SUMIFS(tabela_registros[VALOR],tabela_registros[MÊS],$AE$1,tabela_registros[DIA],jultotal3059718395107[[#Headers],[20]],tabela_registros[REGISTRO],DADOS!$N$4,tabela_registros[TIPO],DADOS!$P$4,tabela_registros[CATEGORIA],despesavariávelconsolidadojul[[#This Row],[DESPESA VARIÁVEL]])</f>
        <v>0</v>
      </c>
      <c r="Y64" s="91">
        <f>SUMIFS(tabela_registros[VALOR],tabela_registros[MÊS],$AE$1,tabela_registros[DIA],jultotal3059718395107[[#Headers],[21]],tabela_registros[REGISTRO],DADOS!$N$4,tabela_registros[TIPO],DADOS!$P$4,tabela_registros[CATEGORIA],despesavariávelconsolidadojul[[#This Row],[DESPESA VARIÁVEL]])</f>
        <v>0</v>
      </c>
      <c r="Z64" s="91">
        <f>SUMIFS(tabela_registros[VALOR],tabela_registros[MÊS],$AE$1,tabela_registros[DIA],jultotal3059718395107[[#Headers],[22]],tabela_registros[REGISTRO],DADOS!$N$4,tabela_registros[TIPO],DADOS!$P$4,tabela_registros[CATEGORIA],despesavariávelconsolidadojul[[#This Row],[DESPESA VARIÁVEL]])</f>
        <v>0</v>
      </c>
      <c r="AA64" s="91">
        <f>SUMIFS(tabela_registros[VALOR],tabela_registros[MÊS],$AE$1,tabela_registros[DIA],jultotal3059718395107[[#Headers],[23]],tabela_registros[REGISTRO],DADOS!$N$4,tabela_registros[TIPO],DADOS!$P$4,tabela_registros[CATEGORIA],despesavariávelconsolidadojul[[#This Row],[DESPESA VARIÁVEL]])</f>
        <v>0</v>
      </c>
      <c r="AB64" s="91">
        <f>SUMIFS(tabela_registros[VALOR],tabela_registros[MÊS],$AE$1,tabela_registros[DIA],jultotal3059718395107[[#Headers],[24]],tabela_registros[REGISTRO],DADOS!$N$4,tabela_registros[TIPO],DADOS!$P$4,tabela_registros[CATEGORIA],despesavariávelconsolidadojul[[#This Row],[DESPESA VARIÁVEL]])</f>
        <v>0</v>
      </c>
      <c r="AC64" s="91">
        <f>SUMIFS(tabela_registros[VALOR],tabela_registros[MÊS],$AE$1,tabela_registros[DIA],jultotal3059718395107[[#Headers],[25]],tabela_registros[REGISTRO],DADOS!$N$4,tabela_registros[TIPO],DADOS!$P$4,tabela_registros[CATEGORIA],despesavariávelconsolidadojul[[#This Row],[DESPESA VARIÁVEL]])</f>
        <v>0</v>
      </c>
      <c r="AD64" s="91">
        <f>SUMIFS(tabela_registros[VALOR],tabela_registros[MÊS],$AE$1,tabela_registros[DIA],jultotal3059718395107[[#Headers],[26]],tabela_registros[REGISTRO],DADOS!$N$4,tabela_registros[TIPO],DADOS!$P$4,tabela_registros[CATEGORIA],despesavariávelconsolidadojul[[#This Row],[DESPESA VARIÁVEL]])</f>
        <v>0</v>
      </c>
      <c r="AE64" s="91">
        <f>SUMIFS(tabela_registros[VALOR],tabela_registros[MÊS],$AE$1,tabela_registros[DIA],jultotal3059718395107[[#Headers],[27]],tabela_registros[REGISTRO],DADOS!$N$4,tabela_registros[TIPO],DADOS!$P$4,tabela_registros[CATEGORIA],despesavariávelconsolidadojul[[#This Row],[DESPESA VARIÁVEL]])</f>
        <v>0</v>
      </c>
      <c r="AF64" s="91">
        <f>SUMIFS(tabela_registros[VALOR],tabela_registros[MÊS],$AE$1,tabela_registros[DIA],jultotal3059718395107[[#Headers],[28]],tabela_registros[REGISTRO],DADOS!$N$4,tabela_registros[TIPO],DADOS!$P$4,tabela_registros[CATEGORIA],despesavariávelconsolidadojul[[#This Row],[DESPESA VARIÁVEL]])</f>
        <v>0</v>
      </c>
      <c r="AG64" s="91">
        <f>SUMIFS(tabela_registros[VALOR],tabela_registros[MÊS],$AE$1,tabela_registros[DIA],jultotal3059718395107[[#Headers],[29]],tabela_registros[REGISTRO],DADOS!$N$4,tabela_registros[TIPO],DADOS!$P$4,tabela_registros[CATEGORIA],despesavariávelconsolidadojul[[#This Row],[DESPESA VARIÁVEL]])</f>
        <v>0</v>
      </c>
      <c r="AH64" s="91">
        <f>SUMIFS(tabela_registros[VALOR],tabela_registros[MÊS],$AE$1,tabela_registros[DIA],jultotal3059718395107[[#Headers],[30]],tabela_registros[REGISTRO],DADOS!$N$4,tabela_registros[TIPO],DADOS!$P$4,tabela_registros[CATEGORIA],despesavariávelconsolidadojul[[#This Row],[DESPESA VARIÁVEL]])</f>
        <v>0</v>
      </c>
      <c r="AI64" s="101">
        <f>SUMIFS(tabela_registros[VALOR],tabela_registros[MÊS],$AE$1,tabela_registros[DIA],jultotal3059718395107[[#Headers],[31]],tabela_registros[REGISTRO],DADOS!$N$4,tabela_registros[TIPO],DADOS!$P$4,tabela_registros[CATEGORIA],despesavariávelconsolidadojul[[#This Row],[DESPESA VARIÁVEL]])</f>
        <v>0</v>
      </c>
      <c r="AJ64" s="97">
        <f>SUM(despesavariávelconsolidadojul[[#This Row],[1]:[31]])</f>
        <v>0</v>
      </c>
      <c r="AK64" s="28"/>
    </row>
    <row r="65" spans="2:37" ht="18" customHeight="1" thickTop="1" thickBot="1" x14ac:dyDescent="0.3">
      <c r="B65" s="28"/>
      <c r="C65" s="27" t="str">
        <f>DADOS!$T$8</f>
        <v>📖 EDUCAÇÃO</v>
      </c>
      <c r="D65" s="26" t="str">
        <f>IF(despesavariávelconsolidadojul[[#This Row],[TOTAL]]=0,"",IF(OR(despesavariávelconsolidadojul[[#This Row],[TOTAL]]=LARGE($AJ$60:$AJ$72,1),despesavariávelconsolidadojul[[#This Row],[TOTAL]]=LARGE($AJ$60:$AJ$72,2),despesavariávelconsolidadojul[[#This Row],[TOTAL]]=LARGE($AJ$60:$AJ$72,3),despesavariávelconsolidadojul[[#This Row],[TOTAL]]=LARGE($AJ$60:$AJ$72,4),despesavariávelconsolidadojul[[#This Row],[TOTAL]]=LARGE($AJ$60:$AJ$72,5)),DADOS!$I$8,""))</f>
        <v/>
      </c>
      <c r="E65" s="96">
        <f>SUMIFS(tabela_registros[VALOR],tabela_registros[MÊS],$AE$1,tabela_registros[DIA],jultotal3059718395107[[#Headers],[1]],tabela_registros[REGISTRO],DADOS!$N$4,tabela_registros[TIPO],DADOS!$P$4,tabela_registros[CATEGORIA],despesavariávelconsolidadojul[[#This Row],[DESPESA VARIÁVEL]])</f>
        <v>0</v>
      </c>
      <c r="F65" s="91">
        <f>SUMIFS(tabela_registros[VALOR],tabela_registros[MÊS],$AE$1,tabela_registros[DIA],jultotal3059718395107[[#Headers],[2]],tabela_registros[REGISTRO],DADOS!$N$4,tabela_registros[TIPO],DADOS!$P$4,tabela_registros[CATEGORIA],despesavariávelconsolidadojul[[#This Row],[DESPESA VARIÁVEL]])</f>
        <v>0</v>
      </c>
      <c r="G65" s="91">
        <f>SUMIFS(tabela_registros[VALOR],tabela_registros[MÊS],$AE$1,tabela_registros[DIA],jultotal3059718395107[[#Headers],[3]],tabela_registros[REGISTRO],DADOS!$N$4,tabela_registros[TIPO],DADOS!$P$4,tabela_registros[CATEGORIA],despesavariávelconsolidadojul[[#This Row],[DESPESA VARIÁVEL]])</f>
        <v>0</v>
      </c>
      <c r="H65" s="91">
        <f>SUMIFS(tabela_registros[VALOR],tabela_registros[MÊS],$AE$1,tabela_registros[DIA],jultotal3059718395107[[#Headers],[4]],tabela_registros[REGISTRO],DADOS!$N$4,tabela_registros[TIPO],DADOS!$P$4,tabela_registros[CATEGORIA],despesavariávelconsolidadojul[[#This Row],[DESPESA VARIÁVEL]])</f>
        <v>0</v>
      </c>
      <c r="I65" s="91">
        <f>SUMIFS(tabela_registros[VALOR],tabela_registros[MÊS],$AE$1,tabela_registros[DIA],jultotal3059718395107[[#Headers],[5]],tabela_registros[REGISTRO],DADOS!$N$4,tabela_registros[TIPO],DADOS!$P$4,tabela_registros[CATEGORIA],despesavariávelconsolidadojul[[#This Row],[DESPESA VARIÁVEL]])</f>
        <v>0</v>
      </c>
      <c r="J65" s="91">
        <f>SUMIFS(tabela_registros[VALOR],tabela_registros[MÊS],$AE$1,tabela_registros[DIA],jultotal3059718395107[[#Headers],[6]],tabela_registros[REGISTRO],DADOS!$N$4,tabela_registros[TIPO],DADOS!$P$4,tabela_registros[CATEGORIA],despesavariávelconsolidadojul[[#This Row],[DESPESA VARIÁVEL]])</f>
        <v>0</v>
      </c>
      <c r="K65" s="91">
        <f>SUMIFS(tabela_registros[VALOR],tabela_registros[MÊS],$AE$1,tabela_registros[DIA],jultotal3059718395107[[#Headers],[7]],tabela_registros[REGISTRO],DADOS!$N$4,tabela_registros[TIPO],DADOS!$P$4,tabela_registros[CATEGORIA],despesavariávelconsolidadojul[[#This Row],[DESPESA VARIÁVEL]])</f>
        <v>0</v>
      </c>
      <c r="L65" s="91">
        <f>SUMIFS(tabela_registros[VALOR],tabela_registros[MÊS],$AE$1,tabela_registros[DIA],jultotal3059718395107[[#Headers],[8]],tabela_registros[REGISTRO],DADOS!$N$4,tabela_registros[TIPO],DADOS!$P$4,tabela_registros[CATEGORIA],despesavariávelconsolidadojul[[#This Row],[DESPESA VARIÁVEL]])</f>
        <v>0</v>
      </c>
      <c r="M65" s="91">
        <f>SUMIFS(tabela_registros[VALOR],tabela_registros[MÊS],$AE$1,tabela_registros[DIA],jultotal3059718395107[[#Headers],[9]],tabela_registros[REGISTRO],DADOS!$N$4,tabela_registros[TIPO],DADOS!$P$4,tabela_registros[CATEGORIA],despesavariávelconsolidadojul[[#This Row],[DESPESA VARIÁVEL]])</f>
        <v>0</v>
      </c>
      <c r="N65" s="91">
        <f>SUMIFS(tabela_registros[VALOR],tabela_registros[MÊS],$AE$1,tabela_registros[DIA],jultotal3059718395107[[#Headers],[10]],tabela_registros[REGISTRO],DADOS!$N$4,tabela_registros[TIPO],DADOS!$P$4,tabela_registros[CATEGORIA],despesavariávelconsolidadojul[[#This Row],[DESPESA VARIÁVEL]])</f>
        <v>0</v>
      </c>
      <c r="O65" s="91">
        <f>SUMIFS(tabela_registros[VALOR],tabela_registros[MÊS],$AE$1,tabela_registros[DIA],jultotal3059718395107[[#Headers],[11]],tabela_registros[REGISTRO],DADOS!$N$4,tabela_registros[TIPO],DADOS!$P$4,tabela_registros[CATEGORIA],despesavariávelconsolidadojul[[#This Row],[DESPESA VARIÁVEL]])</f>
        <v>0</v>
      </c>
      <c r="P65" s="91">
        <f>SUMIFS(tabela_registros[VALOR],tabela_registros[MÊS],$AE$1,tabela_registros[DIA],jultotal3059718395107[[#Headers],[12]],tabela_registros[REGISTRO],DADOS!$N$4,tabela_registros[TIPO],DADOS!$P$4,tabela_registros[CATEGORIA],despesavariávelconsolidadojul[[#This Row],[DESPESA VARIÁVEL]])</f>
        <v>0</v>
      </c>
      <c r="Q65" s="91">
        <f>SUMIFS(tabela_registros[VALOR],tabela_registros[MÊS],$AE$1,tabela_registros[DIA],jultotal3059718395107[[#Headers],[13]],tabela_registros[REGISTRO],DADOS!$N$4,tabela_registros[TIPO],DADOS!$P$4,tabela_registros[CATEGORIA],despesavariávelconsolidadojul[[#This Row],[DESPESA VARIÁVEL]])</f>
        <v>0</v>
      </c>
      <c r="R65" s="91">
        <f>SUMIFS(tabela_registros[VALOR],tabela_registros[MÊS],$AE$1,tabela_registros[DIA],jultotal3059718395107[[#Headers],[14]],tabela_registros[REGISTRO],DADOS!$N$4,tabela_registros[TIPO],DADOS!$P$4,tabela_registros[CATEGORIA],despesavariávelconsolidadojul[[#This Row],[DESPESA VARIÁVEL]])</f>
        <v>0</v>
      </c>
      <c r="S65" s="91">
        <f>SUMIFS(tabela_registros[VALOR],tabela_registros[MÊS],$AE$1,tabela_registros[DIA],jultotal3059718395107[[#Headers],[15]],tabela_registros[REGISTRO],DADOS!$N$4,tabela_registros[TIPO],DADOS!$P$4,tabela_registros[CATEGORIA],despesavariávelconsolidadojul[[#This Row],[DESPESA VARIÁVEL]])</f>
        <v>0</v>
      </c>
      <c r="T65" s="91">
        <f>SUMIFS(tabela_registros[VALOR],tabela_registros[MÊS],$AE$1,tabela_registros[DIA],jultotal3059718395107[[#Headers],[16]],tabela_registros[REGISTRO],DADOS!$N$4,tabela_registros[TIPO],DADOS!$P$4,tabela_registros[CATEGORIA],despesavariávelconsolidadojul[[#This Row],[DESPESA VARIÁVEL]])</f>
        <v>0</v>
      </c>
      <c r="U65" s="91">
        <f>SUMIFS(tabela_registros[VALOR],tabela_registros[MÊS],$AE$1,tabela_registros[DIA],jultotal3059718395107[[#Headers],[17]],tabela_registros[REGISTRO],DADOS!$N$4,tabela_registros[TIPO],DADOS!$P$4,tabela_registros[CATEGORIA],despesavariávelconsolidadojul[[#This Row],[DESPESA VARIÁVEL]])</f>
        <v>0</v>
      </c>
      <c r="V65" s="91">
        <f>SUMIFS(tabela_registros[VALOR],tabela_registros[MÊS],$AE$1,tabela_registros[DIA],jultotal3059718395107[[#Headers],[18]],tabela_registros[REGISTRO],DADOS!$N$4,tabela_registros[TIPO],DADOS!$P$4,tabela_registros[CATEGORIA],despesavariávelconsolidadojul[[#This Row],[DESPESA VARIÁVEL]])</f>
        <v>0</v>
      </c>
      <c r="W65" s="91">
        <f>SUMIFS(tabela_registros[VALOR],tabela_registros[MÊS],$AE$1,tabela_registros[DIA],jultotal3059718395107[[#Headers],[19]],tabela_registros[REGISTRO],DADOS!$N$4,tabela_registros[TIPO],DADOS!$P$4,tabela_registros[CATEGORIA],despesavariávelconsolidadojul[[#This Row],[DESPESA VARIÁVEL]])</f>
        <v>0</v>
      </c>
      <c r="X65" s="91">
        <f>SUMIFS(tabela_registros[VALOR],tabela_registros[MÊS],$AE$1,tabela_registros[DIA],jultotal3059718395107[[#Headers],[20]],tabela_registros[REGISTRO],DADOS!$N$4,tabela_registros[TIPO],DADOS!$P$4,tabela_registros[CATEGORIA],despesavariávelconsolidadojul[[#This Row],[DESPESA VARIÁVEL]])</f>
        <v>0</v>
      </c>
      <c r="Y65" s="91">
        <f>SUMIFS(tabela_registros[VALOR],tabela_registros[MÊS],$AE$1,tabela_registros[DIA],jultotal3059718395107[[#Headers],[21]],tabela_registros[REGISTRO],DADOS!$N$4,tabela_registros[TIPO],DADOS!$P$4,tabela_registros[CATEGORIA],despesavariávelconsolidadojul[[#This Row],[DESPESA VARIÁVEL]])</f>
        <v>0</v>
      </c>
      <c r="Z65" s="91">
        <f>SUMIFS(tabela_registros[VALOR],tabela_registros[MÊS],$AE$1,tabela_registros[DIA],jultotal3059718395107[[#Headers],[22]],tabela_registros[REGISTRO],DADOS!$N$4,tabela_registros[TIPO],DADOS!$P$4,tabela_registros[CATEGORIA],despesavariávelconsolidadojul[[#This Row],[DESPESA VARIÁVEL]])</f>
        <v>0</v>
      </c>
      <c r="AA65" s="91">
        <f>SUMIFS(tabela_registros[VALOR],tabela_registros[MÊS],$AE$1,tabela_registros[DIA],jultotal3059718395107[[#Headers],[23]],tabela_registros[REGISTRO],DADOS!$N$4,tabela_registros[TIPO],DADOS!$P$4,tabela_registros[CATEGORIA],despesavariávelconsolidadojul[[#This Row],[DESPESA VARIÁVEL]])</f>
        <v>0</v>
      </c>
      <c r="AB65" s="91">
        <f>SUMIFS(tabela_registros[VALOR],tabela_registros[MÊS],$AE$1,tabela_registros[DIA],jultotal3059718395107[[#Headers],[24]],tabela_registros[REGISTRO],DADOS!$N$4,tabela_registros[TIPO],DADOS!$P$4,tabela_registros[CATEGORIA],despesavariávelconsolidadojul[[#This Row],[DESPESA VARIÁVEL]])</f>
        <v>0</v>
      </c>
      <c r="AC65" s="91">
        <f>SUMIFS(tabela_registros[VALOR],tabela_registros[MÊS],$AE$1,tabela_registros[DIA],jultotal3059718395107[[#Headers],[25]],tabela_registros[REGISTRO],DADOS!$N$4,tabela_registros[TIPO],DADOS!$P$4,tabela_registros[CATEGORIA],despesavariávelconsolidadojul[[#This Row],[DESPESA VARIÁVEL]])</f>
        <v>0</v>
      </c>
      <c r="AD65" s="91">
        <f>SUMIFS(tabela_registros[VALOR],tabela_registros[MÊS],$AE$1,tabela_registros[DIA],jultotal3059718395107[[#Headers],[26]],tabela_registros[REGISTRO],DADOS!$N$4,tabela_registros[TIPO],DADOS!$P$4,tabela_registros[CATEGORIA],despesavariávelconsolidadojul[[#This Row],[DESPESA VARIÁVEL]])</f>
        <v>0</v>
      </c>
      <c r="AE65" s="91">
        <f>SUMIFS(tabela_registros[VALOR],tabela_registros[MÊS],$AE$1,tabela_registros[DIA],jultotal3059718395107[[#Headers],[27]],tabela_registros[REGISTRO],DADOS!$N$4,tabela_registros[TIPO],DADOS!$P$4,tabela_registros[CATEGORIA],despesavariávelconsolidadojul[[#This Row],[DESPESA VARIÁVEL]])</f>
        <v>0</v>
      </c>
      <c r="AF65" s="91">
        <f>SUMIFS(tabela_registros[VALOR],tabela_registros[MÊS],$AE$1,tabela_registros[DIA],jultotal3059718395107[[#Headers],[28]],tabela_registros[REGISTRO],DADOS!$N$4,tabela_registros[TIPO],DADOS!$P$4,tabela_registros[CATEGORIA],despesavariávelconsolidadojul[[#This Row],[DESPESA VARIÁVEL]])</f>
        <v>0</v>
      </c>
      <c r="AG65" s="91">
        <f>SUMIFS(tabela_registros[VALOR],tabela_registros[MÊS],$AE$1,tabela_registros[DIA],jultotal3059718395107[[#Headers],[29]],tabela_registros[REGISTRO],DADOS!$N$4,tabela_registros[TIPO],DADOS!$P$4,tabela_registros[CATEGORIA],despesavariávelconsolidadojul[[#This Row],[DESPESA VARIÁVEL]])</f>
        <v>0</v>
      </c>
      <c r="AH65" s="91">
        <f>SUMIFS(tabela_registros[VALOR],tabela_registros[MÊS],$AE$1,tabela_registros[DIA],jultotal3059718395107[[#Headers],[30]],tabela_registros[REGISTRO],DADOS!$N$4,tabela_registros[TIPO],DADOS!$P$4,tabela_registros[CATEGORIA],despesavariávelconsolidadojul[[#This Row],[DESPESA VARIÁVEL]])</f>
        <v>0</v>
      </c>
      <c r="AI65" s="101">
        <f>SUMIFS(tabela_registros[VALOR],tabela_registros[MÊS],$AE$1,tabela_registros[DIA],jultotal3059718395107[[#Headers],[31]],tabela_registros[REGISTRO],DADOS!$N$4,tabela_registros[TIPO],DADOS!$P$4,tabela_registros[CATEGORIA],despesavariávelconsolidadojul[[#This Row],[DESPESA VARIÁVEL]])</f>
        <v>0</v>
      </c>
      <c r="AJ65" s="97">
        <f>SUM(despesavariávelconsolidadojul[[#This Row],[1]:[31]])</f>
        <v>0</v>
      </c>
      <c r="AK65" s="28"/>
    </row>
    <row r="66" spans="2:37" ht="18" customHeight="1" thickTop="1" thickBot="1" x14ac:dyDescent="0.3">
      <c r="B66" s="28"/>
      <c r="C66" s="27" t="str">
        <f>DADOS!$T$9</f>
        <v>🎭 LAZER</v>
      </c>
      <c r="D66" s="26" t="str">
        <f>IF(despesavariávelconsolidadojul[[#This Row],[TOTAL]]=0,"",IF(OR(despesavariávelconsolidadojul[[#This Row],[TOTAL]]=LARGE($AJ$60:$AJ$72,1),despesavariávelconsolidadojul[[#This Row],[TOTAL]]=LARGE($AJ$60:$AJ$72,2),despesavariávelconsolidadojul[[#This Row],[TOTAL]]=LARGE($AJ$60:$AJ$72,3),despesavariávelconsolidadojul[[#This Row],[TOTAL]]=LARGE($AJ$60:$AJ$72,4),despesavariávelconsolidadojul[[#This Row],[TOTAL]]=LARGE($AJ$60:$AJ$72,5)),DADOS!$I$8,""))</f>
        <v/>
      </c>
      <c r="E66" s="96">
        <f>SUMIFS(tabela_registros[VALOR],tabela_registros[MÊS],$AE$1,tabela_registros[DIA],jultotal3059718395107[[#Headers],[1]],tabela_registros[REGISTRO],DADOS!$N$4,tabela_registros[TIPO],DADOS!$P$4,tabela_registros[CATEGORIA],despesavariávelconsolidadojul[[#This Row],[DESPESA VARIÁVEL]])</f>
        <v>0</v>
      </c>
      <c r="F66" s="91">
        <f>SUMIFS(tabela_registros[VALOR],tabela_registros[MÊS],$AE$1,tabela_registros[DIA],jultotal3059718395107[[#Headers],[2]],tabela_registros[REGISTRO],DADOS!$N$4,tabela_registros[TIPO],DADOS!$P$4,tabela_registros[CATEGORIA],despesavariávelconsolidadojul[[#This Row],[DESPESA VARIÁVEL]])</f>
        <v>0</v>
      </c>
      <c r="G66" s="91">
        <f>SUMIFS(tabela_registros[VALOR],tabela_registros[MÊS],$AE$1,tabela_registros[DIA],jultotal3059718395107[[#Headers],[3]],tabela_registros[REGISTRO],DADOS!$N$4,tabela_registros[TIPO],DADOS!$P$4,tabela_registros[CATEGORIA],despesavariávelconsolidadojul[[#This Row],[DESPESA VARIÁVEL]])</f>
        <v>0</v>
      </c>
      <c r="H66" s="91">
        <f>SUMIFS(tabela_registros[VALOR],tabela_registros[MÊS],$AE$1,tabela_registros[DIA],jultotal3059718395107[[#Headers],[4]],tabela_registros[REGISTRO],DADOS!$N$4,tabela_registros[TIPO],DADOS!$P$4,tabela_registros[CATEGORIA],despesavariávelconsolidadojul[[#This Row],[DESPESA VARIÁVEL]])</f>
        <v>0</v>
      </c>
      <c r="I66" s="91">
        <f>SUMIFS(tabela_registros[VALOR],tabela_registros[MÊS],$AE$1,tabela_registros[DIA],jultotal3059718395107[[#Headers],[5]],tabela_registros[REGISTRO],DADOS!$N$4,tabela_registros[TIPO],DADOS!$P$4,tabela_registros[CATEGORIA],despesavariávelconsolidadojul[[#This Row],[DESPESA VARIÁVEL]])</f>
        <v>0</v>
      </c>
      <c r="J66" s="91">
        <f>SUMIFS(tabela_registros[VALOR],tabela_registros[MÊS],$AE$1,tabela_registros[DIA],jultotal3059718395107[[#Headers],[6]],tabela_registros[REGISTRO],DADOS!$N$4,tabela_registros[TIPO],DADOS!$P$4,tabela_registros[CATEGORIA],despesavariávelconsolidadojul[[#This Row],[DESPESA VARIÁVEL]])</f>
        <v>0</v>
      </c>
      <c r="K66" s="91">
        <f>SUMIFS(tabela_registros[VALOR],tabela_registros[MÊS],$AE$1,tabela_registros[DIA],jultotal3059718395107[[#Headers],[7]],tabela_registros[REGISTRO],DADOS!$N$4,tabela_registros[TIPO],DADOS!$P$4,tabela_registros[CATEGORIA],despesavariávelconsolidadojul[[#This Row],[DESPESA VARIÁVEL]])</f>
        <v>0</v>
      </c>
      <c r="L66" s="91">
        <f>SUMIFS(tabela_registros[VALOR],tabela_registros[MÊS],$AE$1,tabela_registros[DIA],jultotal3059718395107[[#Headers],[8]],tabela_registros[REGISTRO],DADOS!$N$4,tabela_registros[TIPO],DADOS!$P$4,tabela_registros[CATEGORIA],despesavariávelconsolidadojul[[#This Row],[DESPESA VARIÁVEL]])</f>
        <v>0</v>
      </c>
      <c r="M66" s="91">
        <f>SUMIFS(tabela_registros[VALOR],tabela_registros[MÊS],$AE$1,tabela_registros[DIA],jultotal3059718395107[[#Headers],[9]],tabela_registros[REGISTRO],DADOS!$N$4,tabela_registros[TIPO],DADOS!$P$4,tabela_registros[CATEGORIA],despesavariávelconsolidadojul[[#This Row],[DESPESA VARIÁVEL]])</f>
        <v>0</v>
      </c>
      <c r="N66" s="91">
        <f>SUMIFS(tabela_registros[VALOR],tabela_registros[MÊS],$AE$1,tabela_registros[DIA],jultotal3059718395107[[#Headers],[10]],tabela_registros[REGISTRO],DADOS!$N$4,tabela_registros[TIPO],DADOS!$P$4,tabela_registros[CATEGORIA],despesavariávelconsolidadojul[[#This Row],[DESPESA VARIÁVEL]])</f>
        <v>0</v>
      </c>
      <c r="O66" s="91">
        <f>SUMIFS(tabela_registros[VALOR],tabela_registros[MÊS],$AE$1,tabela_registros[DIA],jultotal3059718395107[[#Headers],[11]],tabela_registros[REGISTRO],DADOS!$N$4,tabela_registros[TIPO],DADOS!$P$4,tabela_registros[CATEGORIA],despesavariávelconsolidadojul[[#This Row],[DESPESA VARIÁVEL]])</f>
        <v>0</v>
      </c>
      <c r="P66" s="91">
        <f>SUMIFS(tabela_registros[VALOR],tabela_registros[MÊS],$AE$1,tabela_registros[DIA],jultotal3059718395107[[#Headers],[12]],tabela_registros[REGISTRO],DADOS!$N$4,tabela_registros[TIPO],DADOS!$P$4,tabela_registros[CATEGORIA],despesavariávelconsolidadojul[[#This Row],[DESPESA VARIÁVEL]])</f>
        <v>0</v>
      </c>
      <c r="Q66" s="91">
        <f>SUMIFS(tabela_registros[VALOR],tabela_registros[MÊS],$AE$1,tabela_registros[DIA],jultotal3059718395107[[#Headers],[13]],tabela_registros[REGISTRO],DADOS!$N$4,tabela_registros[TIPO],DADOS!$P$4,tabela_registros[CATEGORIA],despesavariávelconsolidadojul[[#This Row],[DESPESA VARIÁVEL]])</f>
        <v>0</v>
      </c>
      <c r="R66" s="91">
        <f>SUMIFS(tabela_registros[VALOR],tabela_registros[MÊS],$AE$1,tabela_registros[DIA],jultotal3059718395107[[#Headers],[14]],tabela_registros[REGISTRO],DADOS!$N$4,tabela_registros[TIPO],DADOS!$P$4,tabela_registros[CATEGORIA],despesavariávelconsolidadojul[[#This Row],[DESPESA VARIÁVEL]])</f>
        <v>0</v>
      </c>
      <c r="S66" s="91">
        <f>SUMIFS(tabela_registros[VALOR],tabela_registros[MÊS],$AE$1,tabela_registros[DIA],jultotal3059718395107[[#Headers],[15]],tabela_registros[REGISTRO],DADOS!$N$4,tabela_registros[TIPO],DADOS!$P$4,tabela_registros[CATEGORIA],despesavariávelconsolidadojul[[#This Row],[DESPESA VARIÁVEL]])</f>
        <v>0</v>
      </c>
      <c r="T66" s="91">
        <f>SUMIFS(tabela_registros[VALOR],tabela_registros[MÊS],$AE$1,tabela_registros[DIA],jultotal3059718395107[[#Headers],[16]],tabela_registros[REGISTRO],DADOS!$N$4,tabela_registros[TIPO],DADOS!$P$4,tabela_registros[CATEGORIA],despesavariávelconsolidadojul[[#This Row],[DESPESA VARIÁVEL]])</f>
        <v>0</v>
      </c>
      <c r="U66" s="91">
        <f>SUMIFS(tabela_registros[VALOR],tabela_registros[MÊS],$AE$1,tabela_registros[DIA],jultotal3059718395107[[#Headers],[17]],tabela_registros[REGISTRO],DADOS!$N$4,tabela_registros[TIPO],DADOS!$P$4,tabela_registros[CATEGORIA],despesavariávelconsolidadojul[[#This Row],[DESPESA VARIÁVEL]])</f>
        <v>0</v>
      </c>
      <c r="V66" s="91">
        <f>SUMIFS(tabela_registros[VALOR],tabela_registros[MÊS],$AE$1,tabela_registros[DIA],jultotal3059718395107[[#Headers],[18]],tabela_registros[REGISTRO],DADOS!$N$4,tabela_registros[TIPO],DADOS!$P$4,tabela_registros[CATEGORIA],despesavariávelconsolidadojul[[#This Row],[DESPESA VARIÁVEL]])</f>
        <v>0</v>
      </c>
      <c r="W66" s="91">
        <f>SUMIFS(tabela_registros[VALOR],tabela_registros[MÊS],$AE$1,tabela_registros[DIA],jultotal3059718395107[[#Headers],[19]],tabela_registros[REGISTRO],DADOS!$N$4,tabela_registros[TIPO],DADOS!$P$4,tabela_registros[CATEGORIA],despesavariávelconsolidadojul[[#This Row],[DESPESA VARIÁVEL]])</f>
        <v>0</v>
      </c>
      <c r="X66" s="91">
        <f>SUMIFS(tabela_registros[VALOR],tabela_registros[MÊS],$AE$1,tabela_registros[DIA],jultotal3059718395107[[#Headers],[20]],tabela_registros[REGISTRO],DADOS!$N$4,tabela_registros[TIPO],DADOS!$P$4,tabela_registros[CATEGORIA],despesavariávelconsolidadojul[[#This Row],[DESPESA VARIÁVEL]])</f>
        <v>0</v>
      </c>
      <c r="Y66" s="91">
        <f>SUMIFS(tabela_registros[VALOR],tabela_registros[MÊS],$AE$1,tabela_registros[DIA],jultotal3059718395107[[#Headers],[21]],tabela_registros[REGISTRO],DADOS!$N$4,tabela_registros[TIPO],DADOS!$P$4,tabela_registros[CATEGORIA],despesavariávelconsolidadojul[[#This Row],[DESPESA VARIÁVEL]])</f>
        <v>0</v>
      </c>
      <c r="Z66" s="91">
        <f>SUMIFS(tabela_registros[VALOR],tabela_registros[MÊS],$AE$1,tabela_registros[DIA],jultotal3059718395107[[#Headers],[22]],tabela_registros[REGISTRO],DADOS!$N$4,tabela_registros[TIPO],DADOS!$P$4,tabela_registros[CATEGORIA],despesavariávelconsolidadojul[[#This Row],[DESPESA VARIÁVEL]])</f>
        <v>0</v>
      </c>
      <c r="AA66" s="91">
        <f>SUMIFS(tabela_registros[VALOR],tabela_registros[MÊS],$AE$1,tabela_registros[DIA],jultotal3059718395107[[#Headers],[23]],tabela_registros[REGISTRO],DADOS!$N$4,tabela_registros[TIPO],DADOS!$P$4,tabela_registros[CATEGORIA],despesavariávelconsolidadojul[[#This Row],[DESPESA VARIÁVEL]])</f>
        <v>0</v>
      </c>
      <c r="AB66" s="91">
        <f>SUMIFS(tabela_registros[VALOR],tabela_registros[MÊS],$AE$1,tabela_registros[DIA],jultotal3059718395107[[#Headers],[24]],tabela_registros[REGISTRO],DADOS!$N$4,tabela_registros[TIPO],DADOS!$P$4,tabela_registros[CATEGORIA],despesavariávelconsolidadojul[[#This Row],[DESPESA VARIÁVEL]])</f>
        <v>0</v>
      </c>
      <c r="AC66" s="91">
        <f>SUMIFS(tabela_registros[VALOR],tabela_registros[MÊS],$AE$1,tabela_registros[DIA],jultotal3059718395107[[#Headers],[25]],tabela_registros[REGISTRO],DADOS!$N$4,tabela_registros[TIPO],DADOS!$P$4,tabela_registros[CATEGORIA],despesavariávelconsolidadojul[[#This Row],[DESPESA VARIÁVEL]])</f>
        <v>0</v>
      </c>
      <c r="AD66" s="91">
        <f>SUMIFS(tabela_registros[VALOR],tabela_registros[MÊS],$AE$1,tabela_registros[DIA],jultotal3059718395107[[#Headers],[26]],tabela_registros[REGISTRO],DADOS!$N$4,tabela_registros[TIPO],DADOS!$P$4,tabela_registros[CATEGORIA],despesavariávelconsolidadojul[[#This Row],[DESPESA VARIÁVEL]])</f>
        <v>0</v>
      </c>
      <c r="AE66" s="91">
        <f>SUMIFS(tabela_registros[VALOR],tabela_registros[MÊS],$AE$1,tabela_registros[DIA],jultotal3059718395107[[#Headers],[27]],tabela_registros[REGISTRO],DADOS!$N$4,tabela_registros[TIPO],DADOS!$P$4,tabela_registros[CATEGORIA],despesavariávelconsolidadojul[[#This Row],[DESPESA VARIÁVEL]])</f>
        <v>0</v>
      </c>
      <c r="AF66" s="91">
        <f>SUMIFS(tabela_registros[VALOR],tabela_registros[MÊS],$AE$1,tabela_registros[DIA],jultotal3059718395107[[#Headers],[28]],tabela_registros[REGISTRO],DADOS!$N$4,tabela_registros[TIPO],DADOS!$P$4,tabela_registros[CATEGORIA],despesavariávelconsolidadojul[[#This Row],[DESPESA VARIÁVEL]])</f>
        <v>0</v>
      </c>
      <c r="AG66" s="91">
        <f>SUMIFS(tabela_registros[VALOR],tabela_registros[MÊS],$AE$1,tabela_registros[DIA],jultotal3059718395107[[#Headers],[29]],tabela_registros[REGISTRO],DADOS!$N$4,tabela_registros[TIPO],DADOS!$P$4,tabela_registros[CATEGORIA],despesavariávelconsolidadojul[[#This Row],[DESPESA VARIÁVEL]])</f>
        <v>0</v>
      </c>
      <c r="AH66" s="91">
        <f>SUMIFS(tabela_registros[VALOR],tabela_registros[MÊS],$AE$1,tabela_registros[DIA],jultotal3059718395107[[#Headers],[30]],tabela_registros[REGISTRO],DADOS!$N$4,tabela_registros[TIPO],DADOS!$P$4,tabela_registros[CATEGORIA],despesavariávelconsolidadojul[[#This Row],[DESPESA VARIÁVEL]])</f>
        <v>0</v>
      </c>
      <c r="AI66" s="101">
        <f>SUMIFS(tabela_registros[VALOR],tabela_registros[MÊS],$AE$1,tabela_registros[DIA],jultotal3059718395107[[#Headers],[31]],tabela_registros[REGISTRO],DADOS!$N$4,tabela_registros[TIPO],DADOS!$P$4,tabela_registros[CATEGORIA],despesavariávelconsolidadojul[[#This Row],[DESPESA VARIÁVEL]])</f>
        <v>0</v>
      </c>
      <c r="AJ66" s="97">
        <f>SUM(despesavariávelconsolidadojul[[#This Row],[1]:[31]])</f>
        <v>0</v>
      </c>
      <c r="AK66" s="28"/>
    </row>
    <row r="67" spans="2:37" ht="18" customHeight="1" thickTop="1" thickBot="1" x14ac:dyDescent="0.3">
      <c r="B67" s="28"/>
      <c r="C67" s="27" t="str">
        <f>DADOS!$T$10</f>
        <v>🛒 MERCADO</v>
      </c>
      <c r="D67" s="26" t="str">
        <f>IF(despesavariávelconsolidadojul[[#This Row],[TOTAL]]=0,"",IF(OR(despesavariávelconsolidadojul[[#This Row],[TOTAL]]=LARGE($AJ$60:$AJ$72,1),despesavariávelconsolidadojul[[#This Row],[TOTAL]]=LARGE($AJ$60:$AJ$72,2),despesavariávelconsolidadojul[[#This Row],[TOTAL]]=LARGE($AJ$60:$AJ$72,3),despesavariávelconsolidadojul[[#This Row],[TOTAL]]=LARGE($AJ$60:$AJ$72,4),despesavariávelconsolidadojul[[#This Row],[TOTAL]]=LARGE($AJ$60:$AJ$72,5)),DADOS!$I$8,""))</f>
        <v/>
      </c>
      <c r="E67" s="96">
        <f>SUMIFS(tabela_registros[VALOR],tabela_registros[MÊS],$AE$1,tabela_registros[DIA],jultotal3059718395107[[#Headers],[1]],tabela_registros[REGISTRO],DADOS!$N$4,tabela_registros[TIPO],DADOS!$P$4,tabela_registros[CATEGORIA],despesavariávelconsolidadojul[[#This Row],[DESPESA VARIÁVEL]])</f>
        <v>0</v>
      </c>
      <c r="F67" s="91">
        <f>SUMIFS(tabela_registros[VALOR],tabela_registros[MÊS],$AE$1,tabela_registros[DIA],jultotal3059718395107[[#Headers],[2]],tabela_registros[REGISTRO],DADOS!$N$4,tabela_registros[TIPO],DADOS!$P$4,tabela_registros[CATEGORIA],despesavariávelconsolidadojul[[#This Row],[DESPESA VARIÁVEL]])</f>
        <v>0</v>
      </c>
      <c r="G67" s="91">
        <f>SUMIFS(tabela_registros[VALOR],tabela_registros[MÊS],$AE$1,tabela_registros[DIA],jultotal3059718395107[[#Headers],[3]],tabela_registros[REGISTRO],DADOS!$N$4,tabela_registros[TIPO],DADOS!$P$4,tabela_registros[CATEGORIA],despesavariávelconsolidadojul[[#This Row],[DESPESA VARIÁVEL]])</f>
        <v>0</v>
      </c>
      <c r="H67" s="91">
        <f>SUMIFS(tabela_registros[VALOR],tabela_registros[MÊS],$AE$1,tabela_registros[DIA],jultotal3059718395107[[#Headers],[4]],tabela_registros[REGISTRO],DADOS!$N$4,tabela_registros[TIPO],DADOS!$P$4,tabela_registros[CATEGORIA],despesavariávelconsolidadojul[[#This Row],[DESPESA VARIÁVEL]])</f>
        <v>0</v>
      </c>
      <c r="I67" s="91">
        <f>SUMIFS(tabela_registros[VALOR],tabela_registros[MÊS],$AE$1,tabela_registros[DIA],jultotal3059718395107[[#Headers],[5]],tabela_registros[REGISTRO],DADOS!$N$4,tabela_registros[TIPO],DADOS!$P$4,tabela_registros[CATEGORIA],despesavariávelconsolidadojul[[#This Row],[DESPESA VARIÁVEL]])</f>
        <v>0</v>
      </c>
      <c r="J67" s="91">
        <f>SUMIFS(tabela_registros[VALOR],tabela_registros[MÊS],$AE$1,tabela_registros[DIA],jultotal3059718395107[[#Headers],[6]],tabela_registros[REGISTRO],DADOS!$N$4,tabela_registros[TIPO],DADOS!$P$4,tabela_registros[CATEGORIA],despesavariávelconsolidadojul[[#This Row],[DESPESA VARIÁVEL]])</f>
        <v>0</v>
      </c>
      <c r="K67" s="91">
        <f>SUMIFS(tabela_registros[VALOR],tabela_registros[MÊS],$AE$1,tabela_registros[DIA],jultotal3059718395107[[#Headers],[7]],tabela_registros[REGISTRO],DADOS!$N$4,tabela_registros[TIPO],DADOS!$P$4,tabela_registros[CATEGORIA],despesavariávelconsolidadojul[[#This Row],[DESPESA VARIÁVEL]])</f>
        <v>0</v>
      </c>
      <c r="L67" s="91">
        <f>SUMIFS(tabela_registros[VALOR],tabela_registros[MÊS],$AE$1,tabela_registros[DIA],jultotal3059718395107[[#Headers],[8]],tabela_registros[REGISTRO],DADOS!$N$4,tabela_registros[TIPO],DADOS!$P$4,tabela_registros[CATEGORIA],despesavariávelconsolidadojul[[#This Row],[DESPESA VARIÁVEL]])</f>
        <v>0</v>
      </c>
      <c r="M67" s="91">
        <f>SUMIFS(tabela_registros[VALOR],tabela_registros[MÊS],$AE$1,tabela_registros[DIA],jultotal3059718395107[[#Headers],[9]],tabela_registros[REGISTRO],DADOS!$N$4,tabela_registros[TIPO],DADOS!$P$4,tabela_registros[CATEGORIA],despesavariávelconsolidadojul[[#This Row],[DESPESA VARIÁVEL]])</f>
        <v>0</v>
      </c>
      <c r="N67" s="91">
        <f>SUMIFS(tabela_registros[VALOR],tabela_registros[MÊS],$AE$1,tabela_registros[DIA],jultotal3059718395107[[#Headers],[10]],tabela_registros[REGISTRO],DADOS!$N$4,tabela_registros[TIPO],DADOS!$P$4,tabela_registros[CATEGORIA],despesavariávelconsolidadojul[[#This Row],[DESPESA VARIÁVEL]])</f>
        <v>0</v>
      </c>
      <c r="O67" s="91">
        <f>SUMIFS(tabela_registros[VALOR],tabela_registros[MÊS],$AE$1,tabela_registros[DIA],jultotal3059718395107[[#Headers],[11]],tabela_registros[REGISTRO],DADOS!$N$4,tabela_registros[TIPO],DADOS!$P$4,tabela_registros[CATEGORIA],despesavariávelconsolidadojul[[#This Row],[DESPESA VARIÁVEL]])</f>
        <v>0</v>
      </c>
      <c r="P67" s="91">
        <f>SUMIFS(tabela_registros[VALOR],tabela_registros[MÊS],$AE$1,tabela_registros[DIA],jultotal3059718395107[[#Headers],[12]],tabela_registros[REGISTRO],DADOS!$N$4,tabela_registros[TIPO],DADOS!$P$4,tabela_registros[CATEGORIA],despesavariávelconsolidadojul[[#This Row],[DESPESA VARIÁVEL]])</f>
        <v>0</v>
      </c>
      <c r="Q67" s="91">
        <f>SUMIFS(tabela_registros[VALOR],tabela_registros[MÊS],$AE$1,tabela_registros[DIA],jultotal3059718395107[[#Headers],[13]],tabela_registros[REGISTRO],DADOS!$N$4,tabela_registros[TIPO],DADOS!$P$4,tabela_registros[CATEGORIA],despesavariávelconsolidadojul[[#This Row],[DESPESA VARIÁVEL]])</f>
        <v>0</v>
      </c>
      <c r="R67" s="91">
        <f>SUMIFS(tabela_registros[VALOR],tabela_registros[MÊS],$AE$1,tabela_registros[DIA],jultotal3059718395107[[#Headers],[14]],tabela_registros[REGISTRO],DADOS!$N$4,tabela_registros[TIPO],DADOS!$P$4,tabela_registros[CATEGORIA],despesavariávelconsolidadojul[[#This Row],[DESPESA VARIÁVEL]])</f>
        <v>0</v>
      </c>
      <c r="S67" s="91">
        <f>SUMIFS(tabela_registros[VALOR],tabela_registros[MÊS],$AE$1,tabela_registros[DIA],jultotal3059718395107[[#Headers],[15]],tabela_registros[REGISTRO],DADOS!$N$4,tabela_registros[TIPO],DADOS!$P$4,tabela_registros[CATEGORIA],despesavariávelconsolidadojul[[#This Row],[DESPESA VARIÁVEL]])</f>
        <v>0</v>
      </c>
      <c r="T67" s="91">
        <f>SUMIFS(tabela_registros[VALOR],tabela_registros[MÊS],$AE$1,tabela_registros[DIA],jultotal3059718395107[[#Headers],[16]],tabela_registros[REGISTRO],DADOS!$N$4,tabela_registros[TIPO],DADOS!$P$4,tabela_registros[CATEGORIA],despesavariávelconsolidadojul[[#This Row],[DESPESA VARIÁVEL]])</f>
        <v>0</v>
      </c>
      <c r="U67" s="91">
        <f>SUMIFS(tabela_registros[VALOR],tabela_registros[MÊS],$AE$1,tabela_registros[DIA],jultotal3059718395107[[#Headers],[17]],tabela_registros[REGISTRO],DADOS!$N$4,tabela_registros[TIPO],DADOS!$P$4,tabela_registros[CATEGORIA],despesavariávelconsolidadojul[[#This Row],[DESPESA VARIÁVEL]])</f>
        <v>0</v>
      </c>
      <c r="V67" s="91">
        <f>SUMIFS(tabela_registros[VALOR],tabela_registros[MÊS],$AE$1,tabela_registros[DIA],jultotal3059718395107[[#Headers],[18]],tabela_registros[REGISTRO],DADOS!$N$4,tabela_registros[TIPO],DADOS!$P$4,tabela_registros[CATEGORIA],despesavariávelconsolidadojul[[#This Row],[DESPESA VARIÁVEL]])</f>
        <v>0</v>
      </c>
      <c r="W67" s="91">
        <f>SUMIFS(tabela_registros[VALOR],tabela_registros[MÊS],$AE$1,tabela_registros[DIA],jultotal3059718395107[[#Headers],[19]],tabela_registros[REGISTRO],DADOS!$N$4,tabela_registros[TIPO],DADOS!$P$4,tabela_registros[CATEGORIA],despesavariávelconsolidadojul[[#This Row],[DESPESA VARIÁVEL]])</f>
        <v>0</v>
      </c>
      <c r="X67" s="91">
        <f>SUMIFS(tabela_registros[VALOR],tabela_registros[MÊS],$AE$1,tabela_registros[DIA],jultotal3059718395107[[#Headers],[20]],tabela_registros[REGISTRO],DADOS!$N$4,tabela_registros[TIPO],DADOS!$P$4,tabela_registros[CATEGORIA],despesavariávelconsolidadojul[[#This Row],[DESPESA VARIÁVEL]])</f>
        <v>0</v>
      </c>
      <c r="Y67" s="91">
        <f>SUMIFS(tabela_registros[VALOR],tabela_registros[MÊS],$AE$1,tabela_registros[DIA],jultotal3059718395107[[#Headers],[21]],tabela_registros[REGISTRO],DADOS!$N$4,tabela_registros[TIPO],DADOS!$P$4,tabela_registros[CATEGORIA],despesavariávelconsolidadojul[[#This Row],[DESPESA VARIÁVEL]])</f>
        <v>0</v>
      </c>
      <c r="Z67" s="91">
        <f>SUMIFS(tabela_registros[VALOR],tabela_registros[MÊS],$AE$1,tabela_registros[DIA],jultotal3059718395107[[#Headers],[22]],tabela_registros[REGISTRO],DADOS!$N$4,tabela_registros[TIPO],DADOS!$P$4,tabela_registros[CATEGORIA],despesavariávelconsolidadojul[[#This Row],[DESPESA VARIÁVEL]])</f>
        <v>0</v>
      </c>
      <c r="AA67" s="91">
        <f>SUMIFS(tabela_registros[VALOR],tabela_registros[MÊS],$AE$1,tabela_registros[DIA],jultotal3059718395107[[#Headers],[23]],tabela_registros[REGISTRO],DADOS!$N$4,tabela_registros[TIPO],DADOS!$P$4,tabela_registros[CATEGORIA],despesavariávelconsolidadojul[[#This Row],[DESPESA VARIÁVEL]])</f>
        <v>0</v>
      </c>
      <c r="AB67" s="91">
        <f>SUMIFS(tabela_registros[VALOR],tabela_registros[MÊS],$AE$1,tabela_registros[DIA],jultotal3059718395107[[#Headers],[24]],tabela_registros[REGISTRO],DADOS!$N$4,tabela_registros[TIPO],DADOS!$P$4,tabela_registros[CATEGORIA],despesavariávelconsolidadojul[[#This Row],[DESPESA VARIÁVEL]])</f>
        <v>0</v>
      </c>
      <c r="AC67" s="91">
        <f>SUMIFS(tabela_registros[VALOR],tabela_registros[MÊS],$AE$1,tabela_registros[DIA],jultotal3059718395107[[#Headers],[25]],tabela_registros[REGISTRO],DADOS!$N$4,tabela_registros[TIPO],DADOS!$P$4,tabela_registros[CATEGORIA],despesavariávelconsolidadojul[[#This Row],[DESPESA VARIÁVEL]])</f>
        <v>0</v>
      </c>
      <c r="AD67" s="91">
        <f>SUMIFS(tabela_registros[VALOR],tabela_registros[MÊS],$AE$1,tabela_registros[DIA],jultotal3059718395107[[#Headers],[26]],tabela_registros[REGISTRO],DADOS!$N$4,tabela_registros[TIPO],DADOS!$P$4,tabela_registros[CATEGORIA],despesavariávelconsolidadojul[[#This Row],[DESPESA VARIÁVEL]])</f>
        <v>0</v>
      </c>
      <c r="AE67" s="91">
        <f>SUMIFS(tabela_registros[VALOR],tabela_registros[MÊS],$AE$1,tabela_registros[DIA],jultotal3059718395107[[#Headers],[27]],tabela_registros[REGISTRO],DADOS!$N$4,tabela_registros[TIPO],DADOS!$P$4,tabela_registros[CATEGORIA],despesavariávelconsolidadojul[[#This Row],[DESPESA VARIÁVEL]])</f>
        <v>0</v>
      </c>
      <c r="AF67" s="91">
        <f>SUMIFS(tabela_registros[VALOR],tabela_registros[MÊS],$AE$1,tabela_registros[DIA],jultotal3059718395107[[#Headers],[28]],tabela_registros[REGISTRO],DADOS!$N$4,tabela_registros[TIPO],DADOS!$P$4,tabela_registros[CATEGORIA],despesavariávelconsolidadojul[[#This Row],[DESPESA VARIÁVEL]])</f>
        <v>0</v>
      </c>
      <c r="AG67" s="91">
        <f>SUMIFS(tabela_registros[VALOR],tabela_registros[MÊS],$AE$1,tabela_registros[DIA],jultotal3059718395107[[#Headers],[29]],tabela_registros[REGISTRO],DADOS!$N$4,tabela_registros[TIPO],DADOS!$P$4,tabela_registros[CATEGORIA],despesavariávelconsolidadojul[[#This Row],[DESPESA VARIÁVEL]])</f>
        <v>0</v>
      </c>
      <c r="AH67" s="91">
        <f>SUMIFS(tabela_registros[VALOR],tabela_registros[MÊS],$AE$1,tabela_registros[DIA],jultotal3059718395107[[#Headers],[30]],tabela_registros[REGISTRO],DADOS!$N$4,tabela_registros[TIPO],DADOS!$P$4,tabela_registros[CATEGORIA],despesavariávelconsolidadojul[[#This Row],[DESPESA VARIÁVEL]])</f>
        <v>0</v>
      </c>
      <c r="AI67" s="101">
        <f>SUMIFS(tabela_registros[VALOR],tabela_registros[MÊS],$AE$1,tabela_registros[DIA],jultotal3059718395107[[#Headers],[31]],tabela_registros[REGISTRO],DADOS!$N$4,tabela_registros[TIPO],DADOS!$P$4,tabela_registros[CATEGORIA],despesavariávelconsolidadojul[[#This Row],[DESPESA VARIÁVEL]])</f>
        <v>0</v>
      </c>
      <c r="AJ67" s="97">
        <f>SUM(despesavariávelconsolidadojul[[#This Row],[1]:[31]])</f>
        <v>0</v>
      </c>
      <c r="AK67" s="28"/>
    </row>
    <row r="68" spans="2:37" ht="18" customHeight="1" thickTop="1" thickBot="1" x14ac:dyDescent="0.3">
      <c r="B68" s="28"/>
      <c r="C68" s="27" t="str">
        <f>DADOS!$T$11</f>
        <v>🎁 PRESENTES</v>
      </c>
      <c r="D68" s="26" t="str">
        <f>IF(despesavariávelconsolidadojul[[#This Row],[TOTAL]]=0,"",IF(OR(despesavariávelconsolidadojul[[#This Row],[TOTAL]]=LARGE($AJ$60:$AJ$72,1),despesavariávelconsolidadojul[[#This Row],[TOTAL]]=LARGE($AJ$60:$AJ$72,2),despesavariávelconsolidadojul[[#This Row],[TOTAL]]=LARGE($AJ$60:$AJ$72,3),despesavariávelconsolidadojul[[#This Row],[TOTAL]]=LARGE($AJ$60:$AJ$72,4),despesavariávelconsolidadojul[[#This Row],[TOTAL]]=LARGE($AJ$60:$AJ$72,5)),DADOS!$I$8,""))</f>
        <v/>
      </c>
      <c r="E68" s="96">
        <f>SUMIFS(tabela_registros[VALOR],tabela_registros[MÊS],$AE$1,tabela_registros[DIA],jultotal3059718395107[[#Headers],[1]],tabela_registros[REGISTRO],DADOS!$N$4,tabela_registros[TIPO],DADOS!$P$4,tabela_registros[CATEGORIA],despesavariávelconsolidadojul[[#This Row],[DESPESA VARIÁVEL]])</f>
        <v>0</v>
      </c>
      <c r="F68" s="91">
        <f>SUMIFS(tabela_registros[VALOR],tabela_registros[MÊS],$AE$1,tabela_registros[DIA],jultotal3059718395107[[#Headers],[2]],tabela_registros[REGISTRO],DADOS!$N$4,tabela_registros[TIPO],DADOS!$P$4,tabela_registros[CATEGORIA],despesavariávelconsolidadojul[[#This Row],[DESPESA VARIÁVEL]])</f>
        <v>0</v>
      </c>
      <c r="G68" s="91">
        <f>SUMIFS(tabela_registros[VALOR],tabela_registros[MÊS],$AE$1,tabela_registros[DIA],jultotal3059718395107[[#Headers],[3]],tabela_registros[REGISTRO],DADOS!$N$4,tabela_registros[TIPO],DADOS!$P$4,tabela_registros[CATEGORIA],despesavariávelconsolidadojul[[#This Row],[DESPESA VARIÁVEL]])</f>
        <v>0</v>
      </c>
      <c r="H68" s="91">
        <f>SUMIFS(tabela_registros[VALOR],tabela_registros[MÊS],$AE$1,tabela_registros[DIA],jultotal3059718395107[[#Headers],[4]],tabela_registros[REGISTRO],DADOS!$N$4,tabela_registros[TIPO],DADOS!$P$4,tabela_registros[CATEGORIA],despesavariávelconsolidadojul[[#This Row],[DESPESA VARIÁVEL]])</f>
        <v>0</v>
      </c>
      <c r="I68" s="91">
        <f>SUMIFS(tabela_registros[VALOR],tabela_registros[MÊS],$AE$1,tabela_registros[DIA],jultotal3059718395107[[#Headers],[5]],tabela_registros[REGISTRO],DADOS!$N$4,tabela_registros[TIPO],DADOS!$P$4,tabela_registros[CATEGORIA],despesavariávelconsolidadojul[[#This Row],[DESPESA VARIÁVEL]])</f>
        <v>0</v>
      </c>
      <c r="J68" s="91">
        <f>SUMIFS(tabela_registros[VALOR],tabela_registros[MÊS],$AE$1,tabela_registros[DIA],jultotal3059718395107[[#Headers],[6]],tabela_registros[REGISTRO],DADOS!$N$4,tabela_registros[TIPO],DADOS!$P$4,tabela_registros[CATEGORIA],despesavariávelconsolidadojul[[#This Row],[DESPESA VARIÁVEL]])</f>
        <v>0</v>
      </c>
      <c r="K68" s="91">
        <f>SUMIFS(tabela_registros[VALOR],tabela_registros[MÊS],$AE$1,tabela_registros[DIA],jultotal3059718395107[[#Headers],[7]],tabela_registros[REGISTRO],DADOS!$N$4,tabela_registros[TIPO],DADOS!$P$4,tabela_registros[CATEGORIA],despesavariávelconsolidadojul[[#This Row],[DESPESA VARIÁVEL]])</f>
        <v>0</v>
      </c>
      <c r="L68" s="91">
        <f>SUMIFS(tabela_registros[VALOR],tabela_registros[MÊS],$AE$1,tabela_registros[DIA],jultotal3059718395107[[#Headers],[8]],tabela_registros[REGISTRO],DADOS!$N$4,tabela_registros[TIPO],DADOS!$P$4,tabela_registros[CATEGORIA],despesavariávelconsolidadojul[[#This Row],[DESPESA VARIÁVEL]])</f>
        <v>0</v>
      </c>
      <c r="M68" s="91">
        <f>SUMIFS(tabela_registros[VALOR],tabela_registros[MÊS],$AE$1,tabela_registros[DIA],jultotal3059718395107[[#Headers],[9]],tabela_registros[REGISTRO],DADOS!$N$4,tabela_registros[TIPO],DADOS!$P$4,tabela_registros[CATEGORIA],despesavariávelconsolidadojul[[#This Row],[DESPESA VARIÁVEL]])</f>
        <v>0</v>
      </c>
      <c r="N68" s="91">
        <f>SUMIFS(tabela_registros[VALOR],tabela_registros[MÊS],$AE$1,tabela_registros[DIA],jultotal3059718395107[[#Headers],[10]],tabela_registros[REGISTRO],DADOS!$N$4,tabela_registros[TIPO],DADOS!$P$4,tabela_registros[CATEGORIA],despesavariávelconsolidadojul[[#This Row],[DESPESA VARIÁVEL]])</f>
        <v>0</v>
      </c>
      <c r="O68" s="91">
        <f>SUMIFS(tabela_registros[VALOR],tabela_registros[MÊS],$AE$1,tabela_registros[DIA],jultotal3059718395107[[#Headers],[11]],tabela_registros[REGISTRO],DADOS!$N$4,tabela_registros[TIPO],DADOS!$P$4,tabela_registros[CATEGORIA],despesavariávelconsolidadojul[[#This Row],[DESPESA VARIÁVEL]])</f>
        <v>0</v>
      </c>
      <c r="P68" s="91">
        <f>SUMIFS(tabela_registros[VALOR],tabela_registros[MÊS],$AE$1,tabela_registros[DIA],jultotal3059718395107[[#Headers],[12]],tabela_registros[REGISTRO],DADOS!$N$4,tabela_registros[TIPO],DADOS!$P$4,tabela_registros[CATEGORIA],despesavariávelconsolidadojul[[#This Row],[DESPESA VARIÁVEL]])</f>
        <v>0</v>
      </c>
      <c r="Q68" s="91">
        <f>SUMIFS(tabela_registros[VALOR],tabela_registros[MÊS],$AE$1,tabela_registros[DIA],jultotal3059718395107[[#Headers],[13]],tabela_registros[REGISTRO],DADOS!$N$4,tabela_registros[TIPO],DADOS!$P$4,tabela_registros[CATEGORIA],despesavariávelconsolidadojul[[#This Row],[DESPESA VARIÁVEL]])</f>
        <v>0</v>
      </c>
      <c r="R68" s="91">
        <f>SUMIFS(tabela_registros[VALOR],tabela_registros[MÊS],$AE$1,tabela_registros[DIA],jultotal3059718395107[[#Headers],[14]],tabela_registros[REGISTRO],DADOS!$N$4,tabela_registros[TIPO],DADOS!$P$4,tabela_registros[CATEGORIA],despesavariávelconsolidadojul[[#This Row],[DESPESA VARIÁVEL]])</f>
        <v>0</v>
      </c>
      <c r="S68" s="91">
        <f>SUMIFS(tabela_registros[VALOR],tabela_registros[MÊS],$AE$1,tabela_registros[DIA],jultotal3059718395107[[#Headers],[15]],tabela_registros[REGISTRO],DADOS!$N$4,tabela_registros[TIPO],DADOS!$P$4,tabela_registros[CATEGORIA],despesavariávelconsolidadojul[[#This Row],[DESPESA VARIÁVEL]])</f>
        <v>0</v>
      </c>
      <c r="T68" s="91">
        <f>SUMIFS(tabela_registros[VALOR],tabela_registros[MÊS],$AE$1,tabela_registros[DIA],jultotal3059718395107[[#Headers],[16]],tabela_registros[REGISTRO],DADOS!$N$4,tabela_registros[TIPO],DADOS!$P$4,tabela_registros[CATEGORIA],despesavariávelconsolidadojul[[#This Row],[DESPESA VARIÁVEL]])</f>
        <v>0</v>
      </c>
      <c r="U68" s="91">
        <f>SUMIFS(tabela_registros[VALOR],tabela_registros[MÊS],$AE$1,tabela_registros[DIA],jultotal3059718395107[[#Headers],[17]],tabela_registros[REGISTRO],DADOS!$N$4,tabela_registros[TIPO],DADOS!$P$4,tabela_registros[CATEGORIA],despesavariávelconsolidadojul[[#This Row],[DESPESA VARIÁVEL]])</f>
        <v>0</v>
      </c>
      <c r="V68" s="91">
        <f>SUMIFS(tabela_registros[VALOR],tabela_registros[MÊS],$AE$1,tabela_registros[DIA],jultotal3059718395107[[#Headers],[18]],tabela_registros[REGISTRO],DADOS!$N$4,tabela_registros[TIPO],DADOS!$P$4,tabela_registros[CATEGORIA],despesavariávelconsolidadojul[[#This Row],[DESPESA VARIÁVEL]])</f>
        <v>0</v>
      </c>
      <c r="W68" s="91">
        <f>SUMIFS(tabela_registros[VALOR],tabela_registros[MÊS],$AE$1,tabela_registros[DIA],jultotal3059718395107[[#Headers],[19]],tabela_registros[REGISTRO],DADOS!$N$4,tabela_registros[TIPO],DADOS!$P$4,tabela_registros[CATEGORIA],despesavariávelconsolidadojul[[#This Row],[DESPESA VARIÁVEL]])</f>
        <v>0</v>
      </c>
      <c r="X68" s="91">
        <f>SUMIFS(tabela_registros[VALOR],tabela_registros[MÊS],$AE$1,tabela_registros[DIA],jultotal3059718395107[[#Headers],[20]],tabela_registros[REGISTRO],DADOS!$N$4,tabela_registros[TIPO],DADOS!$P$4,tabela_registros[CATEGORIA],despesavariávelconsolidadojul[[#This Row],[DESPESA VARIÁVEL]])</f>
        <v>0</v>
      </c>
      <c r="Y68" s="91">
        <f>SUMIFS(tabela_registros[VALOR],tabela_registros[MÊS],$AE$1,tabela_registros[DIA],jultotal3059718395107[[#Headers],[21]],tabela_registros[REGISTRO],DADOS!$N$4,tabela_registros[TIPO],DADOS!$P$4,tabela_registros[CATEGORIA],despesavariávelconsolidadojul[[#This Row],[DESPESA VARIÁVEL]])</f>
        <v>0</v>
      </c>
      <c r="Z68" s="91">
        <f>SUMIFS(tabela_registros[VALOR],tabela_registros[MÊS],$AE$1,tabela_registros[DIA],jultotal3059718395107[[#Headers],[22]],tabela_registros[REGISTRO],DADOS!$N$4,tabela_registros[TIPO],DADOS!$P$4,tabela_registros[CATEGORIA],despesavariávelconsolidadojul[[#This Row],[DESPESA VARIÁVEL]])</f>
        <v>0</v>
      </c>
      <c r="AA68" s="91">
        <f>SUMIFS(tabela_registros[VALOR],tabela_registros[MÊS],$AE$1,tabela_registros[DIA],jultotal3059718395107[[#Headers],[23]],tabela_registros[REGISTRO],DADOS!$N$4,tabela_registros[TIPO],DADOS!$P$4,tabela_registros[CATEGORIA],despesavariávelconsolidadojul[[#This Row],[DESPESA VARIÁVEL]])</f>
        <v>0</v>
      </c>
      <c r="AB68" s="91">
        <f>SUMIFS(tabela_registros[VALOR],tabela_registros[MÊS],$AE$1,tabela_registros[DIA],jultotal3059718395107[[#Headers],[24]],tabela_registros[REGISTRO],DADOS!$N$4,tabela_registros[TIPO],DADOS!$P$4,tabela_registros[CATEGORIA],despesavariávelconsolidadojul[[#This Row],[DESPESA VARIÁVEL]])</f>
        <v>0</v>
      </c>
      <c r="AC68" s="91">
        <f>SUMIFS(tabela_registros[VALOR],tabela_registros[MÊS],$AE$1,tabela_registros[DIA],jultotal3059718395107[[#Headers],[25]],tabela_registros[REGISTRO],DADOS!$N$4,tabela_registros[TIPO],DADOS!$P$4,tabela_registros[CATEGORIA],despesavariávelconsolidadojul[[#This Row],[DESPESA VARIÁVEL]])</f>
        <v>0</v>
      </c>
      <c r="AD68" s="91">
        <f>SUMIFS(tabela_registros[VALOR],tabela_registros[MÊS],$AE$1,tabela_registros[DIA],jultotal3059718395107[[#Headers],[26]],tabela_registros[REGISTRO],DADOS!$N$4,tabela_registros[TIPO],DADOS!$P$4,tabela_registros[CATEGORIA],despesavariávelconsolidadojul[[#This Row],[DESPESA VARIÁVEL]])</f>
        <v>0</v>
      </c>
      <c r="AE68" s="91">
        <f>SUMIFS(tabela_registros[VALOR],tabela_registros[MÊS],$AE$1,tabela_registros[DIA],jultotal3059718395107[[#Headers],[27]],tabela_registros[REGISTRO],DADOS!$N$4,tabela_registros[TIPO],DADOS!$P$4,tabela_registros[CATEGORIA],despesavariávelconsolidadojul[[#This Row],[DESPESA VARIÁVEL]])</f>
        <v>0</v>
      </c>
      <c r="AF68" s="91">
        <f>SUMIFS(tabela_registros[VALOR],tabela_registros[MÊS],$AE$1,tabela_registros[DIA],jultotal3059718395107[[#Headers],[28]],tabela_registros[REGISTRO],DADOS!$N$4,tabela_registros[TIPO],DADOS!$P$4,tabela_registros[CATEGORIA],despesavariávelconsolidadojul[[#This Row],[DESPESA VARIÁVEL]])</f>
        <v>0</v>
      </c>
      <c r="AG68" s="91">
        <f>SUMIFS(tabela_registros[VALOR],tabela_registros[MÊS],$AE$1,tabela_registros[DIA],jultotal3059718395107[[#Headers],[29]],tabela_registros[REGISTRO],DADOS!$N$4,tabela_registros[TIPO],DADOS!$P$4,tabela_registros[CATEGORIA],despesavariávelconsolidadojul[[#This Row],[DESPESA VARIÁVEL]])</f>
        <v>0</v>
      </c>
      <c r="AH68" s="91">
        <f>SUMIFS(tabela_registros[VALOR],tabela_registros[MÊS],$AE$1,tabela_registros[DIA],jultotal3059718395107[[#Headers],[30]],tabela_registros[REGISTRO],DADOS!$N$4,tabela_registros[TIPO],DADOS!$P$4,tabela_registros[CATEGORIA],despesavariávelconsolidadojul[[#This Row],[DESPESA VARIÁVEL]])</f>
        <v>0</v>
      </c>
      <c r="AI68" s="101">
        <f>SUMIFS(tabela_registros[VALOR],tabela_registros[MÊS],$AE$1,tabela_registros[DIA],jultotal3059718395107[[#Headers],[31]],tabela_registros[REGISTRO],DADOS!$N$4,tabela_registros[TIPO],DADOS!$P$4,tabela_registros[CATEGORIA],despesavariávelconsolidadojul[[#This Row],[DESPESA VARIÁVEL]])</f>
        <v>0</v>
      </c>
      <c r="AJ68" s="97">
        <f>SUM(despesavariávelconsolidadojul[[#This Row],[1]:[31]])</f>
        <v>0</v>
      </c>
      <c r="AK68" s="28"/>
    </row>
    <row r="69" spans="2:37" ht="18" customHeight="1" thickTop="1" thickBot="1" x14ac:dyDescent="0.3">
      <c r="B69" s="28"/>
      <c r="C69" s="27" t="str">
        <f>DADOS!$T$12</f>
        <v>💊 SAÚDE</v>
      </c>
      <c r="D69" s="26" t="str">
        <f>IF(despesavariávelconsolidadojul[[#This Row],[TOTAL]]=0,"",IF(OR(despesavariávelconsolidadojul[[#This Row],[TOTAL]]=LARGE($AJ$60:$AJ$72,1),despesavariávelconsolidadojul[[#This Row],[TOTAL]]=LARGE($AJ$60:$AJ$72,2),despesavariávelconsolidadojul[[#This Row],[TOTAL]]=LARGE($AJ$60:$AJ$72,3),despesavariávelconsolidadojul[[#This Row],[TOTAL]]=LARGE($AJ$60:$AJ$72,4),despesavariávelconsolidadojul[[#This Row],[TOTAL]]=LARGE($AJ$60:$AJ$72,5)),DADOS!$I$8,""))</f>
        <v>💣</v>
      </c>
      <c r="E69" s="96">
        <f>SUMIFS(tabela_registros[VALOR],tabela_registros[MÊS],$AE$1,tabela_registros[DIA],jultotal3059718395107[[#Headers],[1]],tabela_registros[REGISTRO],DADOS!$N$4,tabela_registros[TIPO],DADOS!$P$4,tabela_registros[CATEGORIA],despesavariávelconsolidadojul[[#This Row],[DESPESA VARIÁVEL]])</f>
        <v>236</v>
      </c>
      <c r="F69" s="91">
        <f>SUMIFS(tabela_registros[VALOR],tabela_registros[MÊS],$AE$1,tabela_registros[DIA],jultotal3059718395107[[#Headers],[2]],tabela_registros[REGISTRO],DADOS!$N$4,tabela_registros[TIPO],DADOS!$P$4,tabela_registros[CATEGORIA],despesavariávelconsolidadojul[[#This Row],[DESPESA VARIÁVEL]])</f>
        <v>0</v>
      </c>
      <c r="G69" s="91">
        <f>SUMIFS(tabela_registros[VALOR],tabela_registros[MÊS],$AE$1,tabela_registros[DIA],jultotal3059718395107[[#Headers],[3]],tabela_registros[REGISTRO],DADOS!$N$4,tabela_registros[TIPO],DADOS!$P$4,tabela_registros[CATEGORIA],despesavariávelconsolidadojul[[#This Row],[DESPESA VARIÁVEL]])</f>
        <v>0</v>
      </c>
      <c r="H69" s="91">
        <f>SUMIFS(tabela_registros[VALOR],tabela_registros[MÊS],$AE$1,tabela_registros[DIA],jultotal3059718395107[[#Headers],[4]],tabela_registros[REGISTRO],DADOS!$N$4,tabela_registros[TIPO],DADOS!$P$4,tabela_registros[CATEGORIA],despesavariávelconsolidadojul[[#This Row],[DESPESA VARIÁVEL]])</f>
        <v>0</v>
      </c>
      <c r="I69" s="91">
        <f>SUMIFS(tabela_registros[VALOR],tabela_registros[MÊS],$AE$1,tabela_registros[DIA],jultotal3059718395107[[#Headers],[5]],tabela_registros[REGISTRO],DADOS!$N$4,tabela_registros[TIPO],DADOS!$P$4,tabela_registros[CATEGORIA],despesavariávelconsolidadojul[[#This Row],[DESPESA VARIÁVEL]])</f>
        <v>0</v>
      </c>
      <c r="J69" s="91">
        <f>SUMIFS(tabela_registros[VALOR],tabela_registros[MÊS],$AE$1,tabela_registros[DIA],jultotal3059718395107[[#Headers],[6]],tabela_registros[REGISTRO],DADOS!$N$4,tabela_registros[TIPO],DADOS!$P$4,tabela_registros[CATEGORIA],despesavariávelconsolidadojul[[#This Row],[DESPESA VARIÁVEL]])</f>
        <v>0</v>
      </c>
      <c r="K69" s="91">
        <f>SUMIFS(tabela_registros[VALOR],tabela_registros[MÊS],$AE$1,tabela_registros[DIA],jultotal3059718395107[[#Headers],[7]],tabela_registros[REGISTRO],DADOS!$N$4,tabela_registros[TIPO],DADOS!$P$4,tabela_registros[CATEGORIA],despesavariávelconsolidadojul[[#This Row],[DESPESA VARIÁVEL]])</f>
        <v>0</v>
      </c>
      <c r="L69" s="91">
        <f>SUMIFS(tabela_registros[VALOR],tabela_registros[MÊS],$AE$1,tabela_registros[DIA],jultotal3059718395107[[#Headers],[8]],tabela_registros[REGISTRO],DADOS!$N$4,tabela_registros[TIPO],DADOS!$P$4,tabela_registros[CATEGORIA],despesavariávelconsolidadojul[[#This Row],[DESPESA VARIÁVEL]])</f>
        <v>0</v>
      </c>
      <c r="M69" s="91">
        <f>SUMIFS(tabela_registros[VALOR],tabela_registros[MÊS],$AE$1,tabela_registros[DIA],jultotal3059718395107[[#Headers],[9]],tabela_registros[REGISTRO],DADOS!$N$4,tabela_registros[TIPO],DADOS!$P$4,tabela_registros[CATEGORIA],despesavariávelconsolidadojul[[#This Row],[DESPESA VARIÁVEL]])</f>
        <v>0</v>
      </c>
      <c r="N69" s="91">
        <f>SUMIFS(tabela_registros[VALOR],tabela_registros[MÊS],$AE$1,tabela_registros[DIA],jultotal3059718395107[[#Headers],[10]],tabela_registros[REGISTRO],DADOS!$N$4,tabela_registros[TIPO],DADOS!$P$4,tabela_registros[CATEGORIA],despesavariávelconsolidadojul[[#This Row],[DESPESA VARIÁVEL]])</f>
        <v>0</v>
      </c>
      <c r="O69" s="91">
        <f>SUMIFS(tabela_registros[VALOR],tabela_registros[MÊS],$AE$1,tabela_registros[DIA],jultotal3059718395107[[#Headers],[11]],tabela_registros[REGISTRO],DADOS!$N$4,tabela_registros[TIPO],DADOS!$P$4,tabela_registros[CATEGORIA],despesavariávelconsolidadojul[[#This Row],[DESPESA VARIÁVEL]])</f>
        <v>0</v>
      </c>
      <c r="P69" s="91">
        <f>SUMIFS(tabela_registros[VALOR],tabela_registros[MÊS],$AE$1,tabela_registros[DIA],jultotal3059718395107[[#Headers],[12]],tabela_registros[REGISTRO],DADOS!$N$4,tabela_registros[TIPO],DADOS!$P$4,tabela_registros[CATEGORIA],despesavariávelconsolidadojul[[#This Row],[DESPESA VARIÁVEL]])</f>
        <v>0</v>
      </c>
      <c r="Q69" s="91">
        <f>SUMIFS(tabela_registros[VALOR],tabela_registros[MÊS],$AE$1,tabela_registros[DIA],jultotal3059718395107[[#Headers],[13]],tabela_registros[REGISTRO],DADOS!$N$4,tabela_registros[TIPO],DADOS!$P$4,tabela_registros[CATEGORIA],despesavariávelconsolidadojul[[#This Row],[DESPESA VARIÁVEL]])</f>
        <v>0</v>
      </c>
      <c r="R69" s="91">
        <f>SUMIFS(tabela_registros[VALOR],tabela_registros[MÊS],$AE$1,tabela_registros[DIA],jultotal3059718395107[[#Headers],[14]],tabela_registros[REGISTRO],DADOS!$N$4,tabela_registros[TIPO],DADOS!$P$4,tabela_registros[CATEGORIA],despesavariávelconsolidadojul[[#This Row],[DESPESA VARIÁVEL]])</f>
        <v>0</v>
      </c>
      <c r="S69" s="91">
        <f>SUMIFS(tabela_registros[VALOR],tabela_registros[MÊS],$AE$1,tabela_registros[DIA],jultotal3059718395107[[#Headers],[15]],tabela_registros[REGISTRO],DADOS!$N$4,tabela_registros[TIPO],DADOS!$P$4,tabela_registros[CATEGORIA],despesavariávelconsolidadojul[[#This Row],[DESPESA VARIÁVEL]])</f>
        <v>0</v>
      </c>
      <c r="T69" s="91">
        <f>SUMIFS(tabela_registros[VALOR],tabela_registros[MÊS],$AE$1,tabela_registros[DIA],jultotal3059718395107[[#Headers],[16]],tabela_registros[REGISTRO],DADOS!$N$4,tabela_registros[TIPO],DADOS!$P$4,tabela_registros[CATEGORIA],despesavariávelconsolidadojul[[#This Row],[DESPESA VARIÁVEL]])</f>
        <v>0</v>
      </c>
      <c r="U69" s="91">
        <f>SUMIFS(tabela_registros[VALOR],tabela_registros[MÊS],$AE$1,tabela_registros[DIA],jultotal3059718395107[[#Headers],[17]],tabela_registros[REGISTRO],DADOS!$N$4,tabela_registros[TIPO],DADOS!$P$4,tabela_registros[CATEGORIA],despesavariávelconsolidadojul[[#This Row],[DESPESA VARIÁVEL]])</f>
        <v>0</v>
      </c>
      <c r="V69" s="91">
        <f>SUMIFS(tabela_registros[VALOR],tabela_registros[MÊS],$AE$1,tabela_registros[DIA],jultotal3059718395107[[#Headers],[18]],tabela_registros[REGISTRO],DADOS!$N$4,tabela_registros[TIPO],DADOS!$P$4,tabela_registros[CATEGORIA],despesavariávelconsolidadojul[[#This Row],[DESPESA VARIÁVEL]])</f>
        <v>0</v>
      </c>
      <c r="W69" s="91">
        <f>SUMIFS(tabela_registros[VALOR],tabela_registros[MÊS],$AE$1,tabela_registros[DIA],jultotal3059718395107[[#Headers],[19]],tabela_registros[REGISTRO],DADOS!$N$4,tabela_registros[TIPO],DADOS!$P$4,tabela_registros[CATEGORIA],despesavariávelconsolidadojul[[#This Row],[DESPESA VARIÁVEL]])</f>
        <v>0</v>
      </c>
      <c r="X69" s="91">
        <f>SUMIFS(tabela_registros[VALOR],tabela_registros[MÊS],$AE$1,tabela_registros[DIA],jultotal3059718395107[[#Headers],[20]],tabela_registros[REGISTRO],DADOS!$N$4,tabela_registros[TIPO],DADOS!$P$4,tabela_registros[CATEGORIA],despesavariávelconsolidadojul[[#This Row],[DESPESA VARIÁVEL]])</f>
        <v>0</v>
      </c>
      <c r="Y69" s="91">
        <f>SUMIFS(tabela_registros[VALOR],tabela_registros[MÊS],$AE$1,tabela_registros[DIA],jultotal3059718395107[[#Headers],[21]],tabela_registros[REGISTRO],DADOS!$N$4,tabela_registros[TIPO],DADOS!$P$4,tabela_registros[CATEGORIA],despesavariávelconsolidadojul[[#This Row],[DESPESA VARIÁVEL]])</f>
        <v>0</v>
      </c>
      <c r="Z69" s="91">
        <f>SUMIFS(tabela_registros[VALOR],tabela_registros[MÊS],$AE$1,tabela_registros[DIA],jultotal3059718395107[[#Headers],[22]],tabela_registros[REGISTRO],DADOS!$N$4,tabela_registros[TIPO],DADOS!$P$4,tabela_registros[CATEGORIA],despesavariávelconsolidadojul[[#This Row],[DESPESA VARIÁVEL]])</f>
        <v>0</v>
      </c>
      <c r="AA69" s="91">
        <f>SUMIFS(tabela_registros[VALOR],tabela_registros[MÊS],$AE$1,tabela_registros[DIA],jultotal3059718395107[[#Headers],[23]],tabela_registros[REGISTRO],DADOS!$N$4,tabela_registros[TIPO],DADOS!$P$4,tabela_registros[CATEGORIA],despesavariávelconsolidadojul[[#This Row],[DESPESA VARIÁVEL]])</f>
        <v>0</v>
      </c>
      <c r="AB69" s="91">
        <f>SUMIFS(tabela_registros[VALOR],tabela_registros[MÊS],$AE$1,tabela_registros[DIA],jultotal3059718395107[[#Headers],[24]],tabela_registros[REGISTRO],DADOS!$N$4,tabela_registros[TIPO],DADOS!$P$4,tabela_registros[CATEGORIA],despesavariávelconsolidadojul[[#This Row],[DESPESA VARIÁVEL]])</f>
        <v>0</v>
      </c>
      <c r="AC69" s="91">
        <f>SUMIFS(tabela_registros[VALOR],tabela_registros[MÊS],$AE$1,tabela_registros[DIA],jultotal3059718395107[[#Headers],[25]],tabela_registros[REGISTRO],DADOS!$N$4,tabela_registros[TIPO],DADOS!$P$4,tabela_registros[CATEGORIA],despesavariávelconsolidadojul[[#This Row],[DESPESA VARIÁVEL]])</f>
        <v>0</v>
      </c>
      <c r="AD69" s="91">
        <f>SUMIFS(tabela_registros[VALOR],tabela_registros[MÊS],$AE$1,tabela_registros[DIA],jultotal3059718395107[[#Headers],[26]],tabela_registros[REGISTRO],DADOS!$N$4,tabela_registros[TIPO],DADOS!$P$4,tabela_registros[CATEGORIA],despesavariávelconsolidadojul[[#This Row],[DESPESA VARIÁVEL]])</f>
        <v>0</v>
      </c>
      <c r="AE69" s="91">
        <f>SUMIFS(tabela_registros[VALOR],tabela_registros[MÊS],$AE$1,tabela_registros[DIA],jultotal3059718395107[[#Headers],[27]],tabela_registros[REGISTRO],DADOS!$N$4,tabela_registros[TIPO],DADOS!$P$4,tabela_registros[CATEGORIA],despesavariávelconsolidadojul[[#This Row],[DESPESA VARIÁVEL]])</f>
        <v>0</v>
      </c>
      <c r="AF69" s="91">
        <f>SUMIFS(tabela_registros[VALOR],tabela_registros[MÊS],$AE$1,tabela_registros[DIA],jultotal3059718395107[[#Headers],[28]],tabela_registros[REGISTRO],DADOS!$N$4,tabela_registros[TIPO],DADOS!$P$4,tabela_registros[CATEGORIA],despesavariávelconsolidadojul[[#This Row],[DESPESA VARIÁVEL]])</f>
        <v>0</v>
      </c>
      <c r="AG69" s="91">
        <f>SUMIFS(tabela_registros[VALOR],tabela_registros[MÊS],$AE$1,tabela_registros[DIA],jultotal3059718395107[[#Headers],[29]],tabela_registros[REGISTRO],DADOS!$N$4,tabela_registros[TIPO],DADOS!$P$4,tabela_registros[CATEGORIA],despesavariávelconsolidadojul[[#This Row],[DESPESA VARIÁVEL]])</f>
        <v>0</v>
      </c>
      <c r="AH69" s="91">
        <f>SUMIFS(tabela_registros[VALOR],tabela_registros[MÊS],$AE$1,tabela_registros[DIA],jultotal3059718395107[[#Headers],[30]],tabela_registros[REGISTRO],DADOS!$N$4,tabela_registros[TIPO],DADOS!$P$4,tabela_registros[CATEGORIA],despesavariávelconsolidadojul[[#This Row],[DESPESA VARIÁVEL]])</f>
        <v>0</v>
      </c>
      <c r="AI69" s="101">
        <f>SUMIFS(tabela_registros[VALOR],tabela_registros[MÊS],$AE$1,tabela_registros[DIA],jultotal3059718395107[[#Headers],[31]],tabela_registros[REGISTRO],DADOS!$N$4,tabela_registros[TIPO],DADOS!$P$4,tabela_registros[CATEGORIA],despesavariávelconsolidadojul[[#This Row],[DESPESA VARIÁVEL]])</f>
        <v>0</v>
      </c>
      <c r="AJ69" s="97">
        <f>SUM(despesavariávelconsolidadojul[[#This Row],[1]:[31]])</f>
        <v>236</v>
      </c>
      <c r="AK69" s="28"/>
    </row>
    <row r="70" spans="2:37" ht="18" customHeight="1" thickTop="1" thickBot="1" x14ac:dyDescent="0.3">
      <c r="B70" s="28"/>
      <c r="C70" s="27" t="str">
        <f>DADOS!$T$13</f>
        <v>🚍 TRANSPORTE</v>
      </c>
      <c r="D70" s="26" t="str">
        <f>IF(despesavariávelconsolidadojul[[#This Row],[TOTAL]]=0,"",IF(OR(despesavariávelconsolidadojul[[#This Row],[TOTAL]]=LARGE($AJ$60:$AJ$72,1),despesavariávelconsolidadojul[[#This Row],[TOTAL]]=LARGE($AJ$60:$AJ$72,2),despesavariávelconsolidadojul[[#This Row],[TOTAL]]=LARGE($AJ$60:$AJ$72,3),despesavariávelconsolidadojul[[#This Row],[TOTAL]]=LARGE($AJ$60:$AJ$72,4),despesavariávelconsolidadojul[[#This Row],[TOTAL]]=LARGE($AJ$60:$AJ$72,5)),DADOS!$I$8,""))</f>
        <v>💣</v>
      </c>
      <c r="E70" s="96">
        <f>SUMIFS(tabela_registros[VALOR],tabela_registros[MÊS],$AE$1,tabela_registros[DIA],jultotal3059718395107[[#Headers],[1]],tabela_registros[REGISTRO],DADOS!$N$4,tabela_registros[TIPO],DADOS!$P$4,tabela_registros[CATEGORIA],despesavariávelconsolidadojul[[#This Row],[DESPESA VARIÁVEL]])</f>
        <v>0</v>
      </c>
      <c r="F70" s="91">
        <f>SUMIFS(tabela_registros[VALOR],tabela_registros[MÊS],$AE$1,tabela_registros[DIA],jultotal3059718395107[[#Headers],[2]],tabela_registros[REGISTRO],DADOS!$N$4,tabela_registros[TIPO],DADOS!$P$4,tabela_registros[CATEGORIA],despesavariávelconsolidadojul[[#This Row],[DESPESA VARIÁVEL]])</f>
        <v>248</v>
      </c>
      <c r="G70" s="91">
        <f>SUMIFS(tabela_registros[VALOR],tabela_registros[MÊS],$AE$1,tabela_registros[DIA],jultotal3059718395107[[#Headers],[3]],tabela_registros[REGISTRO],DADOS!$N$4,tabela_registros[TIPO],DADOS!$P$4,tabela_registros[CATEGORIA],despesavariávelconsolidadojul[[#This Row],[DESPESA VARIÁVEL]])</f>
        <v>0</v>
      </c>
      <c r="H70" s="91">
        <f>SUMIFS(tabela_registros[VALOR],tabela_registros[MÊS],$AE$1,tabela_registros[DIA],jultotal3059718395107[[#Headers],[4]],tabela_registros[REGISTRO],DADOS!$N$4,tabela_registros[TIPO],DADOS!$P$4,tabela_registros[CATEGORIA],despesavariávelconsolidadojul[[#This Row],[DESPESA VARIÁVEL]])</f>
        <v>0</v>
      </c>
      <c r="I70" s="91">
        <f>SUMIFS(tabela_registros[VALOR],tabela_registros[MÊS],$AE$1,tabela_registros[DIA],jultotal3059718395107[[#Headers],[5]],tabela_registros[REGISTRO],DADOS!$N$4,tabela_registros[TIPO],DADOS!$P$4,tabela_registros[CATEGORIA],despesavariávelconsolidadojul[[#This Row],[DESPESA VARIÁVEL]])</f>
        <v>0</v>
      </c>
      <c r="J70" s="91">
        <f>SUMIFS(tabela_registros[VALOR],tabela_registros[MÊS],$AE$1,tabela_registros[DIA],jultotal3059718395107[[#Headers],[6]],tabela_registros[REGISTRO],DADOS!$N$4,tabela_registros[TIPO],DADOS!$P$4,tabela_registros[CATEGORIA],despesavariávelconsolidadojul[[#This Row],[DESPESA VARIÁVEL]])</f>
        <v>0</v>
      </c>
      <c r="K70" s="91">
        <f>SUMIFS(tabela_registros[VALOR],tabela_registros[MÊS],$AE$1,tabela_registros[DIA],jultotal3059718395107[[#Headers],[7]],tabela_registros[REGISTRO],DADOS!$N$4,tabela_registros[TIPO],DADOS!$P$4,tabela_registros[CATEGORIA],despesavariávelconsolidadojul[[#This Row],[DESPESA VARIÁVEL]])</f>
        <v>0</v>
      </c>
      <c r="L70" s="91">
        <f>SUMIFS(tabela_registros[VALOR],tabela_registros[MÊS],$AE$1,tabela_registros[DIA],jultotal3059718395107[[#Headers],[8]],tabela_registros[REGISTRO],DADOS!$N$4,tabela_registros[TIPO],DADOS!$P$4,tabela_registros[CATEGORIA],despesavariávelconsolidadojul[[#This Row],[DESPESA VARIÁVEL]])</f>
        <v>0</v>
      </c>
      <c r="M70" s="91">
        <f>SUMIFS(tabela_registros[VALOR],tabela_registros[MÊS],$AE$1,tabela_registros[DIA],jultotal3059718395107[[#Headers],[9]],tabela_registros[REGISTRO],DADOS!$N$4,tabela_registros[TIPO],DADOS!$P$4,tabela_registros[CATEGORIA],despesavariávelconsolidadojul[[#This Row],[DESPESA VARIÁVEL]])</f>
        <v>0</v>
      </c>
      <c r="N70" s="91">
        <f>SUMIFS(tabela_registros[VALOR],tabela_registros[MÊS],$AE$1,tabela_registros[DIA],jultotal3059718395107[[#Headers],[10]],tabela_registros[REGISTRO],DADOS!$N$4,tabela_registros[TIPO],DADOS!$P$4,tabela_registros[CATEGORIA],despesavariávelconsolidadojul[[#This Row],[DESPESA VARIÁVEL]])</f>
        <v>0</v>
      </c>
      <c r="O70" s="91">
        <f>SUMIFS(tabela_registros[VALOR],tabela_registros[MÊS],$AE$1,tabela_registros[DIA],jultotal3059718395107[[#Headers],[11]],tabela_registros[REGISTRO],DADOS!$N$4,tabela_registros[TIPO],DADOS!$P$4,tabela_registros[CATEGORIA],despesavariávelconsolidadojul[[#This Row],[DESPESA VARIÁVEL]])</f>
        <v>0</v>
      </c>
      <c r="P70" s="91">
        <f>SUMIFS(tabela_registros[VALOR],tabela_registros[MÊS],$AE$1,tabela_registros[DIA],jultotal3059718395107[[#Headers],[12]],tabela_registros[REGISTRO],DADOS!$N$4,tabela_registros[TIPO],DADOS!$P$4,tabela_registros[CATEGORIA],despesavariávelconsolidadojul[[#This Row],[DESPESA VARIÁVEL]])</f>
        <v>0</v>
      </c>
      <c r="Q70" s="91">
        <f>SUMIFS(tabela_registros[VALOR],tabela_registros[MÊS],$AE$1,tabela_registros[DIA],jultotal3059718395107[[#Headers],[13]],tabela_registros[REGISTRO],DADOS!$N$4,tabela_registros[TIPO],DADOS!$P$4,tabela_registros[CATEGORIA],despesavariávelconsolidadojul[[#This Row],[DESPESA VARIÁVEL]])</f>
        <v>0</v>
      </c>
      <c r="R70" s="91">
        <f>SUMIFS(tabela_registros[VALOR],tabela_registros[MÊS],$AE$1,tabela_registros[DIA],jultotal3059718395107[[#Headers],[14]],tabela_registros[REGISTRO],DADOS!$N$4,tabela_registros[TIPO],DADOS!$P$4,tabela_registros[CATEGORIA],despesavariávelconsolidadojul[[#This Row],[DESPESA VARIÁVEL]])</f>
        <v>0</v>
      </c>
      <c r="S70" s="91">
        <f>SUMIFS(tabela_registros[VALOR],tabela_registros[MÊS],$AE$1,tabela_registros[DIA],jultotal3059718395107[[#Headers],[15]],tabela_registros[REGISTRO],DADOS!$N$4,tabela_registros[TIPO],DADOS!$P$4,tabela_registros[CATEGORIA],despesavariávelconsolidadojul[[#This Row],[DESPESA VARIÁVEL]])</f>
        <v>0</v>
      </c>
      <c r="T70" s="91">
        <f>SUMIFS(tabela_registros[VALOR],tabela_registros[MÊS],$AE$1,tabela_registros[DIA],jultotal3059718395107[[#Headers],[16]],tabela_registros[REGISTRO],DADOS!$N$4,tabela_registros[TIPO],DADOS!$P$4,tabela_registros[CATEGORIA],despesavariávelconsolidadojul[[#This Row],[DESPESA VARIÁVEL]])</f>
        <v>0</v>
      </c>
      <c r="U70" s="91">
        <f>SUMIFS(tabela_registros[VALOR],tabela_registros[MÊS],$AE$1,tabela_registros[DIA],jultotal3059718395107[[#Headers],[17]],tabela_registros[REGISTRO],DADOS!$N$4,tabela_registros[TIPO],DADOS!$P$4,tabela_registros[CATEGORIA],despesavariávelconsolidadojul[[#This Row],[DESPESA VARIÁVEL]])</f>
        <v>0</v>
      </c>
      <c r="V70" s="91">
        <f>SUMIFS(tabela_registros[VALOR],tabela_registros[MÊS],$AE$1,tabela_registros[DIA],jultotal3059718395107[[#Headers],[18]],tabela_registros[REGISTRO],DADOS!$N$4,tabela_registros[TIPO],DADOS!$P$4,tabela_registros[CATEGORIA],despesavariávelconsolidadojul[[#This Row],[DESPESA VARIÁVEL]])</f>
        <v>0</v>
      </c>
      <c r="W70" s="91">
        <f>SUMIFS(tabela_registros[VALOR],tabela_registros[MÊS],$AE$1,tabela_registros[DIA],jultotal3059718395107[[#Headers],[19]],tabela_registros[REGISTRO],DADOS!$N$4,tabela_registros[TIPO],DADOS!$P$4,tabela_registros[CATEGORIA],despesavariávelconsolidadojul[[#This Row],[DESPESA VARIÁVEL]])</f>
        <v>0</v>
      </c>
      <c r="X70" s="91">
        <f>SUMIFS(tabela_registros[VALOR],tabela_registros[MÊS],$AE$1,tabela_registros[DIA],jultotal3059718395107[[#Headers],[20]],tabela_registros[REGISTRO],DADOS!$N$4,tabela_registros[TIPO],DADOS!$P$4,tabela_registros[CATEGORIA],despesavariávelconsolidadojul[[#This Row],[DESPESA VARIÁVEL]])</f>
        <v>0</v>
      </c>
      <c r="Y70" s="91">
        <f>SUMIFS(tabela_registros[VALOR],tabela_registros[MÊS],$AE$1,tabela_registros[DIA],jultotal3059718395107[[#Headers],[21]],tabela_registros[REGISTRO],DADOS!$N$4,tabela_registros[TIPO],DADOS!$P$4,tabela_registros[CATEGORIA],despesavariávelconsolidadojul[[#This Row],[DESPESA VARIÁVEL]])</f>
        <v>0</v>
      </c>
      <c r="Z70" s="91">
        <f>SUMIFS(tabela_registros[VALOR],tabela_registros[MÊS],$AE$1,tabela_registros[DIA],jultotal3059718395107[[#Headers],[22]],tabela_registros[REGISTRO],DADOS!$N$4,tabela_registros[TIPO],DADOS!$P$4,tabela_registros[CATEGORIA],despesavariávelconsolidadojul[[#This Row],[DESPESA VARIÁVEL]])</f>
        <v>0</v>
      </c>
      <c r="AA70" s="91">
        <f>SUMIFS(tabela_registros[VALOR],tabela_registros[MÊS],$AE$1,tabela_registros[DIA],jultotal3059718395107[[#Headers],[23]],tabela_registros[REGISTRO],DADOS!$N$4,tabela_registros[TIPO],DADOS!$P$4,tabela_registros[CATEGORIA],despesavariávelconsolidadojul[[#This Row],[DESPESA VARIÁVEL]])</f>
        <v>0</v>
      </c>
      <c r="AB70" s="91">
        <f>SUMIFS(tabela_registros[VALOR],tabela_registros[MÊS],$AE$1,tabela_registros[DIA],jultotal3059718395107[[#Headers],[24]],tabela_registros[REGISTRO],DADOS!$N$4,tabela_registros[TIPO],DADOS!$P$4,tabela_registros[CATEGORIA],despesavariávelconsolidadojul[[#This Row],[DESPESA VARIÁVEL]])</f>
        <v>0</v>
      </c>
      <c r="AC70" s="91">
        <f>SUMIFS(tabela_registros[VALOR],tabela_registros[MÊS],$AE$1,tabela_registros[DIA],jultotal3059718395107[[#Headers],[25]],tabela_registros[REGISTRO],DADOS!$N$4,tabela_registros[TIPO],DADOS!$P$4,tabela_registros[CATEGORIA],despesavariávelconsolidadojul[[#This Row],[DESPESA VARIÁVEL]])</f>
        <v>0</v>
      </c>
      <c r="AD70" s="91">
        <f>SUMIFS(tabela_registros[VALOR],tabela_registros[MÊS],$AE$1,tabela_registros[DIA],jultotal3059718395107[[#Headers],[26]],tabela_registros[REGISTRO],DADOS!$N$4,tabela_registros[TIPO],DADOS!$P$4,tabela_registros[CATEGORIA],despesavariávelconsolidadojul[[#This Row],[DESPESA VARIÁVEL]])</f>
        <v>0</v>
      </c>
      <c r="AE70" s="91">
        <f>SUMIFS(tabela_registros[VALOR],tabela_registros[MÊS],$AE$1,tabela_registros[DIA],jultotal3059718395107[[#Headers],[27]],tabela_registros[REGISTRO],DADOS!$N$4,tabela_registros[TIPO],DADOS!$P$4,tabela_registros[CATEGORIA],despesavariávelconsolidadojul[[#This Row],[DESPESA VARIÁVEL]])</f>
        <v>0</v>
      </c>
      <c r="AF70" s="91">
        <f>SUMIFS(tabela_registros[VALOR],tabela_registros[MÊS],$AE$1,tabela_registros[DIA],jultotal3059718395107[[#Headers],[28]],tabela_registros[REGISTRO],DADOS!$N$4,tabela_registros[TIPO],DADOS!$P$4,tabela_registros[CATEGORIA],despesavariávelconsolidadojul[[#This Row],[DESPESA VARIÁVEL]])</f>
        <v>0</v>
      </c>
      <c r="AG70" s="91">
        <f>SUMIFS(tabela_registros[VALOR],tabela_registros[MÊS],$AE$1,tabela_registros[DIA],jultotal3059718395107[[#Headers],[29]],tabela_registros[REGISTRO],DADOS!$N$4,tabela_registros[TIPO],DADOS!$P$4,tabela_registros[CATEGORIA],despesavariávelconsolidadojul[[#This Row],[DESPESA VARIÁVEL]])</f>
        <v>0</v>
      </c>
      <c r="AH70" s="91">
        <f>SUMIFS(tabela_registros[VALOR],tabela_registros[MÊS],$AE$1,tabela_registros[DIA],jultotal3059718395107[[#Headers],[30]],tabela_registros[REGISTRO],DADOS!$N$4,tabela_registros[TIPO],DADOS!$P$4,tabela_registros[CATEGORIA],despesavariávelconsolidadojul[[#This Row],[DESPESA VARIÁVEL]])</f>
        <v>0</v>
      </c>
      <c r="AI70" s="101">
        <f>SUMIFS(tabela_registros[VALOR],tabela_registros[MÊS],$AE$1,tabela_registros[DIA],jultotal3059718395107[[#Headers],[31]],tabela_registros[REGISTRO],DADOS!$N$4,tabela_registros[TIPO],DADOS!$P$4,tabela_registros[CATEGORIA],despesavariávelconsolidadojul[[#This Row],[DESPESA VARIÁVEL]])</f>
        <v>0</v>
      </c>
      <c r="AJ70" s="97">
        <f>SUM(despesavariávelconsolidadojul[[#This Row],[1]:[31]])</f>
        <v>248</v>
      </c>
      <c r="AK70" s="28"/>
    </row>
    <row r="71" spans="2:37" ht="18" customHeight="1" thickTop="1" thickBot="1" x14ac:dyDescent="0.3">
      <c r="B71" s="28"/>
      <c r="C71" s="27" t="str">
        <f>DADOS!$T$14</f>
        <v>🛍️ VESTUÁRIO</v>
      </c>
      <c r="D71" s="26" t="str">
        <f>IF(despesavariávelconsolidadojul[[#This Row],[TOTAL]]=0,"",IF(OR(despesavariávelconsolidadojul[[#This Row],[TOTAL]]=LARGE($AJ$60:$AJ$72,1),despesavariávelconsolidadojul[[#This Row],[TOTAL]]=LARGE($AJ$60:$AJ$72,2),despesavariávelconsolidadojul[[#This Row],[TOTAL]]=LARGE($AJ$60:$AJ$72,3),despesavariávelconsolidadojul[[#This Row],[TOTAL]]=LARGE($AJ$60:$AJ$72,4),despesavariávelconsolidadojul[[#This Row],[TOTAL]]=LARGE($AJ$60:$AJ$72,5)),DADOS!$I$8,""))</f>
        <v>💣</v>
      </c>
      <c r="E71" s="96">
        <f>SUMIFS(tabela_registros[VALOR],tabela_registros[MÊS],$AE$1,tabela_registros[DIA],jultotal3059718395107[[#Headers],[1]],tabela_registros[REGISTRO],DADOS!$N$4,tabela_registros[TIPO],DADOS!$P$4,tabela_registros[CATEGORIA],despesavariávelconsolidadojul[[#This Row],[DESPESA VARIÁVEL]])</f>
        <v>0</v>
      </c>
      <c r="F71" s="91">
        <f>SUMIFS(tabela_registros[VALOR],tabela_registros[MÊS],$AE$1,tabela_registros[DIA],jultotal3059718395107[[#Headers],[2]],tabela_registros[REGISTRO],DADOS!$N$4,tabela_registros[TIPO],DADOS!$P$4,tabela_registros[CATEGORIA],despesavariávelconsolidadojul[[#This Row],[DESPESA VARIÁVEL]])</f>
        <v>0</v>
      </c>
      <c r="G71" s="91">
        <f>SUMIFS(tabela_registros[VALOR],tabela_registros[MÊS],$AE$1,tabela_registros[DIA],jultotal3059718395107[[#Headers],[3]],tabela_registros[REGISTRO],DADOS!$N$4,tabela_registros[TIPO],DADOS!$P$4,tabela_registros[CATEGORIA],despesavariávelconsolidadojul[[#This Row],[DESPESA VARIÁVEL]])</f>
        <v>254</v>
      </c>
      <c r="H71" s="91">
        <f>SUMIFS(tabela_registros[VALOR],tabela_registros[MÊS],$AE$1,tabela_registros[DIA],jultotal3059718395107[[#Headers],[4]],tabela_registros[REGISTRO],DADOS!$N$4,tabela_registros[TIPO],DADOS!$P$4,tabela_registros[CATEGORIA],despesavariávelconsolidadojul[[#This Row],[DESPESA VARIÁVEL]])</f>
        <v>0</v>
      </c>
      <c r="I71" s="91">
        <f>SUMIFS(tabela_registros[VALOR],tabela_registros[MÊS],$AE$1,tabela_registros[DIA],jultotal3059718395107[[#Headers],[5]],tabela_registros[REGISTRO],DADOS!$N$4,tabela_registros[TIPO],DADOS!$P$4,tabela_registros[CATEGORIA],despesavariávelconsolidadojul[[#This Row],[DESPESA VARIÁVEL]])</f>
        <v>0</v>
      </c>
      <c r="J71" s="91">
        <f>SUMIFS(tabela_registros[VALOR],tabela_registros[MÊS],$AE$1,tabela_registros[DIA],jultotal3059718395107[[#Headers],[6]],tabela_registros[REGISTRO],DADOS!$N$4,tabela_registros[TIPO],DADOS!$P$4,tabela_registros[CATEGORIA],despesavariávelconsolidadojul[[#This Row],[DESPESA VARIÁVEL]])</f>
        <v>0</v>
      </c>
      <c r="K71" s="91">
        <f>SUMIFS(tabela_registros[VALOR],tabela_registros[MÊS],$AE$1,tabela_registros[DIA],jultotal3059718395107[[#Headers],[7]],tabela_registros[REGISTRO],DADOS!$N$4,tabela_registros[TIPO],DADOS!$P$4,tabela_registros[CATEGORIA],despesavariávelconsolidadojul[[#This Row],[DESPESA VARIÁVEL]])</f>
        <v>0</v>
      </c>
      <c r="L71" s="91">
        <f>SUMIFS(tabela_registros[VALOR],tabela_registros[MÊS],$AE$1,tabela_registros[DIA],jultotal3059718395107[[#Headers],[8]],tabela_registros[REGISTRO],DADOS!$N$4,tabela_registros[TIPO],DADOS!$P$4,tabela_registros[CATEGORIA],despesavariávelconsolidadojul[[#This Row],[DESPESA VARIÁVEL]])</f>
        <v>0</v>
      </c>
      <c r="M71" s="91">
        <f>SUMIFS(tabela_registros[VALOR],tabela_registros[MÊS],$AE$1,tabela_registros[DIA],jultotal3059718395107[[#Headers],[9]],tabela_registros[REGISTRO],DADOS!$N$4,tabela_registros[TIPO],DADOS!$P$4,tabela_registros[CATEGORIA],despesavariávelconsolidadojul[[#This Row],[DESPESA VARIÁVEL]])</f>
        <v>0</v>
      </c>
      <c r="N71" s="91">
        <f>SUMIFS(tabela_registros[VALOR],tabela_registros[MÊS],$AE$1,tabela_registros[DIA],jultotal3059718395107[[#Headers],[10]],tabela_registros[REGISTRO],DADOS!$N$4,tabela_registros[TIPO],DADOS!$P$4,tabela_registros[CATEGORIA],despesavariávelconsolidadojul[[#This Row],[DESPESA VARIÁVEL]])</f>
        <v>0</v>
      </c>
      <c r="O71" s="91">
        <f>SUMIFS(tabela_registros[VALOR],tabela_registros[MÊS],$AE$1,tabela_registros[DIA],jultotal3059718395107[[#Headers],[11]],tabela_registros[REGISTRO],DADOS!$N$4,tabela_registros[TIPO],DADOS!$P$4,tabela_registros[CATEGORIA],despesavariávelconsolidadojul[[#This Row],[DESPESA VARIÁVEL]])</f>
        <v>0</v>
      </c>
      <c r="P71" s="91">
        <f>SUMIFS(tabela_registros[VALOR],tabela_registros[MÊS],$AE$1,tabela_registros[DIA],jultotal3059718395107[[#Headers],[12]],tabela_registros[REGISTRO],DADOS!$N$4,tabela_registros[TIPO],DADOS!$P$4,tabela_registros[CATEGORIA],despesavariávelconsolidadojul[[#This Row],[DESPESA VARIÁVEL]])</f>
        <v>0</v>
      </c>
      <c r="Q71" s="91">
        <f>SUMIFS(tabela_registros[VALOR],tabela_registros[MÊS],$AE$1,tabela_registros[DIA],jultotal3059718395107[[#Headers],[13]],tabela_registros[REGISTRO],DADOS!$N$4,tabela_registros[TIPO],DADOS!$P$4,tabela_registros[CATEGORIA],despesavariávelconsolidadojul[[#This Row],[DESPESA VARIÁVEL]])</f>
        <v>0</v>
      </c>
      <c r="R71" s="91">
        <f>SUMIFS(tabela_registros[VALOR],tabela_registros[MÊS],$AE$1,tabela_registros[DIA],jultotal3059718395107[[#Headers],[14]],tabela_registros[REGISTRO],DADOS!$N$4,tabela_registros[TIPO],DADOS!$P$4,tabela_registros[CATEGORIA],despesavariávelconsolidadojul[[#This Row],[DESPESA VARIÁVEL]])</f>
        <v>0</v>
      </c>
      <c r="S71" s="91">
        <f>SUMIFS(tabela_registros[VALOR],tabela_registros[MÊS],$AE$1,tabela_registros[DIA],jultotal3059718395107[[#Headers],[15]],tabela_registros[REGISTRO],DADOS!$N$4,tabela_registros[TIPO],DADOS!$P$4,tabela_registros[CATEGORIA],despesavariávelconsolidadojul[[#This Row],[DESPESA VARIÁVEL]])</f>
        <v>0</v>
      </c>
      <c r="T71" s="91">
        <f>SUMIFS(tabela_registros[VALOR],tabela_registros[MÊS],$AE$1,tabela_registros[DIA],jultotal3059718395107[[#Headers],[16]],tabela_registros[REGISTRO],DADOS!$N$4,tabela_registros[TIPO],DADOS!$P$4,tabela_registros[CATEGORIA],despesavariávelconsolidadojul[[#This Row],[DESPESA VARIÁVEL]])</f>
        <v>0</v>
      </c>
      <c r="U71" s="91">
        <f>SUMIFS(tabela_registros[VALOR],tabela_registros[MÊS],$AE$1,tabela_registros[DIA],jultotal3059718395107[[#Headers],[17]],tabela_registros[REGISTRO],DADOS!$N$4,tabela_registros[TIPO],DADOS!$P$4,tabela_registros[CATEGORIA],despesavariávelconsolidadojul[[#This Row],[DESPESA VARIÁVEL]])</f>
        <v>0</v>
      </c>
      <c r="V71" s="91">
        <f>SUMIFS(tabela_registros[VALOR],tabela_registros[MÊS],$AE$1,tabela_registros[DIA],jultotal3059718395107[[#Headers],[18]],tabela_registros[REGISTRO],DADOS!$N$4,tabela_registros[TIPO],DADOS!$P$4,tabela_registros[CATEGORIA],despesavariávelconsolidadojul[[#This Row],[DESPESA VARIÁVEL]])</f>
        <v>0</v>
      </c>
      <c r="W71" s="91">
        <f>SUMIFS(tabela_registros[VALOR],tabela_registros[MÊS],$AE$1,tabela_registros[DIA],jultotal3059718395107[[#Headers],[19]],tabela_registros[REGISTRO],DADOS!$N$4,tabela_registros[TIPO],DADOS!$P$4,tabela_registros[CATEGORIA],despesavariávelconsolidadojul[[#This Row],[DESPESA VARIÁVEL]])</f>
        <v>0</v>
      </c>
      <c r="X71" s="91">
        <f>SUMIFS(tabela_registros[VALOR],tabela_registros[MÊS],$AE$1,tabela_registros[DIA],jultotal3059718395107[[#Headers],[20]],tabela_registros[REGISTRO],DADOS!$N$4,tabela_registros[TIPO],DADOS!$P$4,tabela_registros[CATEGORIA],despesavariávelconsolidadojul[[#This Row],[DESPESA VARIÁVEL]])</f>
        <v>0</v>
      </c>
      <c r="Y71" s="91">
        <f>SUMIFS(tabela_registros[VALOR],tabela_registros[MÊS],$AE$1,tabela_registros[DIA],jultotal3059718395107[[#Headers],[21]],tabela_registros[REGISTRO],DADOS!$N$4,tabela_registros[TIPO],DADOS!$P$4,tabela_registros[CATEGORIA],despesavariávelconsolidadojul[[#This Row],[DESPESA VARIÁVEL]])</f>
        <v>0</v>
      </c>
      <c r="Z71" s="91">
        <f>SUMIFS(tabela_registros[VALOR],tabela_registros[MÊS],$AE$1,tabela_registros[DIA],jultotal3059718395107[[#Headers],[22]],tabela_registros[REGISTRO],DADOS!$N$4,tabela_registros[TIPO],DADOS!$P$4,tabela_registros[CATEGORIA],despesavariávelconsolidadojul[[#This Row],[DESPESA VARIÁVEL]])</f>
        <v>0</v>
      </c>
      <c r="AA71" s="91">
        <f>SUMIFS(tabela_registros[VALOR],tabela_registros[MÊS],$AE$1,tabela_registros[DIA],jultotal3059718395107[[#Headers],[23]],tabela_registros[REGISTRO],DADOS!$N$4,tabela_registros[TIPO],DADOS!$P$4,tabela_registros[CATEGORIA],despesavariávelconsolidadojul[[#This Row],[DESPESA VARIÁVEL]])</f>
        <v>0</v>
      </c>
      <c r="AB71" s="91">
        <f>SUMIFS(tabela_registros[VALOR],tabela_registros[MÊS],$AE$1,tabela_registros[DIA],jultotal3059718395107[[#Headers],[24]],tabela_registros[REGISTRO],DADOS!$N$4,tabela_registros[TIPO],DADOS!$P$4,tabela_registros[CATEGORIA],despesavariávelconsolidadojul[[#This Row],[DESPESA VARIÁVEL]])</f>
        <v>0</v>
      </c>
      <c r="AC71" s="91">
        <f>SUMIFS(tabela_registros[VALOR],tabela_registros[MÊS],$AE$1,tabela_registros[DIA],jultotal3059718395107[[#Headers],[25]],tabela_registros[REGISTRO],DADOS!$N$4,tabela_registros[TIPO],DADOS!$P$4,tabela_registros[CATEGORIA],despesavariávelconsolidadojul[[#This Row],[DESPESA VARIÁVEL]])</f>
        <v>0</v>
      </c>
      <c r="AD71" s="91">
        <f>SUMIFS(tabela_registros[VALOR],tabela_registros[MÊS],$AE$1,tabela_registros[DIA],jultotal3059718395107[[#Headers],[26]],tabela_registros[REGISTRO],DADOS!$N$4,tabela_registros[TIPO],DADOS!$P$4,tabela_registros[CATEGORIA],despesavariávelconsolidadojul[[#This Row],[DESPESA VARIÁVEL]])</f>
        <v>0</v>
      </c>
      <c r="AE71" s="91">
        <f>SUMIFS(tabela_registros[VALOR],tabela_registros[MÊS],$AE$1,tabela_registros[DIA],jultotal3059718395107[[#Headers],[27]],tabela_registros[REGISTRO],DADOS!$N$4,tabela_registros[TIPO],DADOS!$P$4,tabela_registros[CATEGORIA],despesavariávelconsolidadojul[[#This Row],[DESPESA VARIÁVEL]])</f>
        <v>0</v>
      </c>
      <c r="AF71" s="91">
        <f>SUMIFS(tabela_registros[VALOR],tabela_registros[MÊS],$AE$1,tabela_registros[DIA],jultotal3059718395107[[#Headers],[28]],tabela_registros[REGISTRO],DADOS!$N$4,tabela_registros[TIPO],DADOS!$P$4,tabela_registros[CATEGORIA],despesavariávelconsolidadojul[[#This Row],[DESPESA VARIÁVEL]])</f>
        <v>0</v>
      </c>
      <c r="AG71" s="91">
        <f>SUMIFS(tabela_registros[VALOR],tabela_registros[MÊS],$AE$1,tabela_registros[DIA],jultotal3059718395107[[#Headers],[29]],tabela_registros[REGISTRO],DADOS!$N$4,tabela_registros[TIPO],DADOS!$P$4,tabela_registros[CATEGORIA],despesavariávelconsolidadojul[[#This Row],[DESPESA VARIÁVEL]])</f>
        <v>0</v>
      </c>
      <c r="AH71" s="91">
        <f>SUMIFS(tabela_registros[VALOR],tabela_registros[MÊS],$AE$1,tabela_registros[DIA],jultotal3059718395107[[#Headers],[30]],tabela_registros[REGISTRO],DADOS!$N$4,tabela_registros[TIPO],DADOS!$P$4,tabela_registros[CATEGORIA],despesavariávelconsolidadojul[[#This Row],[DESPESA VARIÁVEL]])</f>
        <v>0</v>
      </c>
      <c r="AI71" s="101">
        <f>SUMIFS(tabela_registros[VALOR],tabela_registros[MÊS],$AE$1,tabela_registros[DIA],jultotal3059718395107[[#Headers],[31]],tabela_registros[REGISTRO],DADOS!$N$4,tabela_registros[TIPO],DADOS!$P$4,tabela_registros[CATEGORIA],despesavariávelconsolidadojul[[#This Row],[DESPESA VARIÁVEL]])</f>
        <v>0</v>
      </c>
      <c r="AJ71" s="97">
        <f>SUM(despesavariávelconsolidadojul[[#This Row],[1]:[31]])</f>
        <v>254</v>
      </c>
      <c r="AK71" s="28"/>
    </row>
    <row r="72" spans="2:37" ht="18" customHeight="1" thickTop="1" thickBot="1" x14ac:dyDescent="0.3">
      <c r="B72" s="28"/>
      <c r="C72" s="27" t="str">
        <f>DADOS!$T$15</f>
        <v>📎 OUTROS</v>
      </c>
      <c r="D72" s="26" t="str">
        <f>IF(despesavariávelconsolidadojul[[#This Row],[TOTAL]]=0,"",IF(OR(despesavariávelconsolidadojul[[#This Row],[TOTAL]]=LARGE($AJ$60:$AJ$72,1),despesavariávelconsolidadojul[[#This Row],[TOTAL]]=LARGE($AJ$60:$AJ$72,2),despesavariávelconsolidadojul[[#This Row],[TOTAL]]=LARGE($AJ$60:$AJ$72,3),despesavariávelconsolidadojul[[#This Row],[TOTAL]]=LARGE($AJ$60:$AJ$72,4),despesavariávelconsolidadojul[[#This Row],[TOTAL]]=LARGE($AJ$60:$AJ$72,5)),DADOS!$I$8,""))</f>
        <v>💣</v>
      </c>
      <c r="E72" s="96">
        <f>SUMIFS(tabela_registros[VALOR],tabela_registros[MÊS],$AE$1,tabela_registros[DIA],jultotal3059718395107[[#Headers],[1]],tabela_registros[REGISTRO],DADOS!$N$4,tabela_registros[TIPO],DADOS!$P$4,tabela_registros[CATEGORIA],despesavariávelconsolidadojul[[#This Row],[DESPESA VARIÁVEL]])</f>
        <v>0</v>
      </c>
      <c r="F72" s="91">
        <f>SUMIFS(tabela_registros[VALOR],tabela_registros[MÊS],$AE$1,tabela_registros[DIA],jultotal3059718395107[[#Headers],[2]],tabela_registros[REGISTRO],DADOS!$N$4,tabela_registros[TIPO],DADOS!$P$4,tabela_registros[CATEGORIA],despesavariávelconsolidadojul[[#This Row],[DESPESA VARIÁVEL]])</f>
        <v>0</v>
      </c>
      <c r="G72" s="91">
        <f>SUMIFS(tabela_registros[VALOR],tabela_registros[MÊS],$AE$1,tabela_registros[DIA],jultotal3059718395107[[#Headers],[3]],tabela_registros[REGISTRO],DADOS!$N$4,tabela_registros[TIPO],DADOS!$P$4,tabela_registros[CATEGORIA],despesavariávelconsolidadojul[[#This Row],[DESPESA VARIÁVEL]])</f>
        <v>0</v>
      </c>
      <c r="H72" s="91">
        <f>SUMIFS(tabela_registros[VALOR],tabela_registros[MÊS],$AE$1,tabela_registros[DIA],jultotal3059718395107[[#Headers],[4]],tabela_registros[REGISTRO],DADOS!$N$4,tabela_registros[TIPO],DADOS!$P$4,tabela_registros[CATEGORIA],despesavariávelconsolidadojul[[#This Row],[DESPESA VARIÁVEL]])</f>
        <v>260</v>
      </c>
      <c r="I72" s="91">
        <f>SUMIFS(tabela_registros[VALOR],tabela_registros[MÊS],$AE$1,tabela_registros[DIA],jultotal3059718395107[[#Headers],[5]],tabela_registros[REGISTRO],DADOS!$N$4,tabela_registros[TIPO],DADOS!$P$4,tabela_registros[CATEGORIA],despesavariávelconsolidadojul[[#This Row],[DESPESA VARIÁVEL]])</f>
        <v>0</v>
      </c>
      <c r="J72" s="91">
        <f>SUMIFS(tabela_registros[VALOR],tabela_registros[MÊS],$AE$1,tabela_registros[DIA],jultotal3059718395107[[#Headers],[6]],tabela_registros[REGISTRO],DADOS!$N$4,tabela_registros[TIPO],DADOS!$P$4,tabela_registros[CATEGORIA],despesavariávelconsolidadojul[[#This Row],[DESPESA VARIÁVEL]])</f>
        <v>0</v>
      </c>
      <c r="K72" s="91">
        <f>SUMIFS(tabela_registros[VALOR],tabela_registros[MÊS],$AE$1,tabela_registros[DIA],jultotal3059718395107[[#Headers],[7]],tabela_registros[REGISTRO],DADOS!$N$4,tabela_registros[TIPO],DADOS!$P$4,tabela_registros[CATEGORIA],despesavariávelconsolidadojul[[#This Row],[DESPESA VARIÁVEL]])</f>
        <v>0</v>
      </c>
      <c r="L72" s="91">
        <f>SUMIFS(tabela_registros[VALOR],tabela_registros[MÊS],$AE$1,tabela_registros[DIA],jultotal3059718395107[[#Headers],[8]],tabela_registros[REGISTRO],DADOS!$N$4,tabela_registros[TIPO],DADOS!$P$4,tabela_registros[CATEGORIA],despesavariávelconsolidadojul[[#This Row],[DESPESA VARIÁVEL]])</f>
        <v>0</v>
      </c>
      <c r="M72" s="91">
        <f>SUMIFS(tabela_registros[VALOR],tabela_registros[MÊS],$AE$1,tabela_registros[DIA],jultotal3059718395107[[#Headers],[9]],tabela_registros[REGISTRO],DADOS!$N$4,tabela_registros[TIPO],DADOS!$P$4,tabela_registros[CATEGORIA],despesavariávelconsolidadojul[[#This Row],[DESPESA VARIÁVEL]])</f>
        <v>0</v>
      </c>
      <c r="N72" s="91">
        <f>SUMIFS(tabela_registros[VALOR],tabela_registros[MÊS],$AE$1,tabela_registros[DIA],jultotal3059718395107[[#Headers],[10]],tabela_registros[REGISTRO],DADOS!$N$4,tabela_registros[TIPO],DADOS!$P$4,tabela_registros[CATEGORIA],despesavariávelconsolidadojul[[#This Row],[DESPESA VARIÁVEL]])</f>
        <v>0</v>
      </c>
      <c r="O72" s="91">
        <f>SUMIFS(tabela_registros[VALOR],tabela_registros[MÊS],$AE$1,tabela_registros[DIA],jultotal3059718395107[[#Headers],[11]],tabela_registros[REGISTRO],DADOS!$N$4,tabela_registros[TIPO],DADOS!$P$4,tabela_registros[CATEGORIA],despesavariávelconsolidadojul[[#This Row],[DESPESA VARIÁVEL]])</f>
        <v>0</v>
      </c>
      <c r="P72" s="91">
        <f>SUMIFS(tabela_registros[VALOR],tabela_registros[MÊS],$AE$1,tabela_registros[DIA],jultotal3059718395107[[#Headers],[12]],tabela_registros[REGISTRO],DADOS!$N$4,tabela_registros[TIPO],DADOS!$P$4,tabela_registros[CATEGORIA],despesavariávelconsolidadojul[[#This Row],[DESPESA VARIÁVEL]])</f>
        <v>0</v>
      </c>
      <c r="Q72" s="91">
        <f>SUMIFS(tabela_registros[VALOR],tabela_registros[MÊS],$AE$1,tabela_registros[DIA],jultotal3059718395107[[#Headers],[13]],tabela_registros[REGISTRO],DADOS!$N$4,tabela_registros[TIPO],DADOS!$P$4,tabela_registros[CATEGORIA],despesavariávelconsolidadojul[[#This Row],[DESPESA VARIÁVEL]])</f>
        <v>0</v>
      </c>
      <c r="R72" s="91">
        <f>SUMIFS(tabela_registros[VALOR],tabela_registros[MÊS],$AE$1,tabela_registros[DIA],jultotal3059718395107[[#Headers],[14]],tabela_registros[REGISTRO],DADOS!$N$4,tabela_registros[TIPO],DADOS!$P$4,tabela_registros[CATEGORIA],despesavariávelconsolidadojul[[#This Row],[DESPESA VARIÁVEL]])</f>
        <v>0</v>
      </c>
      <c r="S72" s="91">
        <f>SUMIFS(tabela_registros[VALOR],tabela_registros[MÊS],$AE$1,tabela_registros[DIA],jultotal3059718395107[[#Headers],[15]],tabela_registros[REGISTRO],DADOS!$N$4,tabela_registros[TIPO],DADOS!$P$4,tabela_registros[CATEGORIA],despesavariávelconsolidadojul[[#This Row],[DESPESA VARIÁVEL]])</f>
        <v>0</v>
      </c>
      <c r="T72" s="91">
        <f>SUMIFS(tabela_registros[VALOR],tabela_registros[MÊS],$AE$1,tabela_registros[DIA],jultotal3059718395107[[#Headers],[16]],tabela_registros[REGISTRO],DADOS!$N$4,tabela_registros[TIPO],DADOS!$P$4,tabela_registros[CATEGORIA],despesavariávelconsolidadojul[[#This Row],[DESPESA VARIÁVEL]])</f>
        <v>0</v>
      </c>
      <c r="U72" s="91">
        <f>SUMIFS(tabela_registros[VALOR],tabela_registros[MÊS],$AE$1,tabela_registros[DIA],jultotal3059718395107[[#Headers],[17]],tabela_registros[REGISTRO],DADOS!$N$4,tabela_registros[TIPO],DADOS!$P$4,tabela_registros[CATEGORIA],despesavariávelconsolidadojul[[#This Row],[DESPESA VARIÁVEL]])</f>
        <v>0</v>
      </c>
      <c r="V72" s="91">
        <f>SUMIFS(tabela_registros[VALOR],tabela_registros[MÊS],$AE$1,tabela_registros[DIA],jultotal3059718395107[[#Headers],[18]],tabela_registros[REGISTRO],DADOS!$N$4,tabela_registros[TIPO],DADOS!$P$4,tabela_registros[CATEGORIA],despesavariávelconsolidadojul[[#This Row],[DESPESA VARIÁVEL]])</f>
        <v>0</v>
      </c>
      <c r="W72" s="91">
        <f>SUMIFS(tabela_registros[VALOR],tabela_registros[MÊS],$AE$1,tabela_registros[DIA],jultotal3059718395107[[#Headers],[19]],tabela_registros[REGISTRO],DADOS!$N$4,tabela_registros[TIPO],DADOS!$P$4,tabela_registros[CATEGORIA],despesavariávelconsolidadojul[[#This Row],[DESPESA VARIÁVEL]])</f>
        <v>0</v>
      </c>
      <c r="X72" s="91">
        <f>SUMIFS(tabela_registros[VALOR],tabela_registros[MÊS],$AE$1,tabela_registros[DIA],jultotal3059718395107[[#Headers],[20]],tabela_registros[REGISTRO],DADOS!$N$4,tabela_registros[TIPO],DADOS!$P$4,tabela_registros[CATEGORIA],despesavariávelconsolidadojul[[#This Row],[DESPESA VARIÁVEL]])</f>
        <v>0</v>
      </c>
      <c r="Y72" s="91">
        <f>SUMIFS(tabela_registros[VALOR],tabela_registros[MÊS],$AE$1,tabela_registros[DIA],jultotal3059718395107[[#Headers],[21]],tabela_registros[REGISTRO],DADOS!$N$4,tabela_registros[TIPO],DADOS!$P$4,tabela_registros[CATEGORIA],despesavariávelconsolidadojul[[#This Row],[DESPESA VARIÁVEL]])</f>
        <v>0</v>
      </c>
      <c r="Z72" s="91">
        <f>SUMIFS(tabela_registros[VALOR],tabela_registros[MÊS],$AE$1,tabela_registros[DIA],jultotal3059718395107[[#Headers],[22]],tabela_registros[REGISTRO],DADOS!$N$4,tabela_registros[TIPO],DADOS!$P$4,tabela_registros[CATEGORIA],despesavariávelconsolidadojul[[#This Row],[DESPESA VARIÁVEL]])</f>
        <v>0</v>
      </c>
      <c r="AA72" s="91">
        <f>SUMIFS(tabela_registros[VALOR],tabela_registros[MÊS],$AE$1,tabela_registros[DIA],jultotal3059718395107[[#Headers],[23]],tabela_registros[REGISTRO],DADOS!$N$4,tabela_registros[TIPO],DADOS!$P$4,tabela_registros[CATEGORIA],despesavariávelconsolidadojul[[#This Row],[DESPESA VARIÁVEL]])</f>
        <v>0</v>
      </c>
      <c r="AB72" s="91">
        <f>SUMIFS(tabela_registros[VALOR],tabela_registros[MÊS],$AE$1,tabela_registros[DIA],jultotal3059718395107[[#Headers],[24]],tabela_registros[REGISTRO],DADOS!$N$4,tabela_registros[TIPO],DADOS!$P$4,tabela_registros[CATEGORIA],despesavariávelconsolidadojul[[#This Row],[DESPESA VARIÁVEL]])</f>
        <v>0</v>
      </c>
      <c r="AC72" s="91">
        <f>SUMIFS(tabela_registros[VALOR],tabela_registros[MÊS],$AE$1,tabela_registros[DIA],jultotal3059718395107[[#Headers],[25]],tabela_registros[REGISTRO],DADOS!$N$4,tabela_registros[TIPO],DADOS!$P$4,tabela_registros[CATEGORIA],despesavariávelconsolidadojul[[#This Row],[DESPESA VARIÁVEL]])</f>
        <v>0</v>
      </c>
      <c r="AD72" s="91">
        <f>SUMIFS(tabela_registros[VALOR],tabela_registros[MÊS],$AE$1,tabela_registros[DIA],jultotal3059718395107[[#Headers],[26]],tabela_registros[REGISTRO],DADOS!$N$4,tabela_registros[TIPO],DADOS!$P$4,tabela_registros[CATEGORIA],despesavariávelconsolidadojul[[#This Row],[DESPESA VARIÁVEL]])</f>
        <v>0</v>
      </c>
      <c r="AE72" s="91">
        <f>SUMIFS(tabela_registros[VALOR],tabela_registros[MÊS],$AE$1,tabela_registros[DIA],jultotal3059718395107[[#Headers],[27]],tabela_registros[REGISTRO],DADOS!$N$4,tabela_registros[TIPO],DADOS!$P$4,tabela_registros[CATEGORIA],despesavariávelconsolidadojul[[#This Row],[DESPESA VARIÁVEL]])</f>
        <v>0</v>
      </c>
      <c r="AF72" s="91">
        <f>SUMIFS(tabela_registros[VALOR],tabela_registros[MÊS],$AE$1,tabela_registros[DIA],jultotal3059718395107[[#Headers],[28]],tabela_registros[REGISTRO],DADOS!$N$4,tabela_registros[TIPO],DADOS!$P$4,tabela_registros[CATEGORIA],despesavariávelconsolidadojul[[#This Row],[DESPESA VARIÁVEL]])</f>
        <v>0</v>
      </c>
      <c r="AG72" s="91">
        <f>SUMIFS(tabela_registros[VALOR],tabela_registros[MÊS],$AE$1,tabela_registros[DIA],jultotal3059718395107[[#Headers],[29]],tabela_registros[REGISTRO],DADOS!$N$4,tabela_registros[TIPO],DADOS!$P$4,tabela_registros[CATEGORIA],despesavariávelconsolidadojul[[#This Row],[DESPESA VARIÁVEL]])</f>
        <v>0</v>
      </c>
      <c r="AH72" s="91">
        <f>SUMIFS(tabela_registros[VALOR],tabela_registros[MÊS],$AE$1,tabela_registros[DIA],jultotal3059718395107[[#Headers],[30]],tabela_registros[REGISTRO],DADOS!$N$4,tabela_registros[TIPO],DADOS!$P$4,tabela_registros[CATEGORIA],despesavariávelconsolidadojul[[#This Row],[DESPESA VARIÁVEL]])</f>
        <v>0</v>
      </c>
      <c r="AI72" s="102">
        <f>SUMIFS(tabela_registros[VALOR],tabela_registros[MÊS],$AE$1,tabela_registros[DIA],jultotal3059718395107[[#Headers],[31]],tabela_registros[REGISTRO],DADOS!$N$4,tabela_registros[TIPO],DADOS!$P$4,tabela_registros[CATEGORIA],despesavariávelconsolidadojul[[#This Row],[DESPESA VARIÁVEL]])</f>
        <v>0</v>
      </c>
      <c r="AJ72" s="97">
        <f>SUM(despesavariávelconsolidadojul[[#This Row],[1]:[31]])</f>
        <v>260</v>
      </c>
      <c r="AK72" s="28"/>
    </row>
    <row r="73" spans="2:37" s="16" customFormat="1" ht="21" customHeight="1" thickTop="1" thickBot="1" x14ac:dyDescent="0.35">
      <c r="B73" s="24"/>
      <c r="C73" s="23" t="s">
        <v>19</v>
      </c>
      <c r="D73" s="41" t="str">
        <f>IF(despesavariávelconsolidadojul[[#This Row],[TOTAL]]=0,"",IF(OR(despesavariávelconsolidadojul[[#This Row],[TOTAL]]=SMALL(despesavariávelconsolidadojul[TOTAL],1),despesavariávelconsolidadojul[[#This Row],[TOTAL]]=SMALL(despesavariávelconsolidadojul[TOTAL],2),despesavariávelconsolidadojul[[#This Row],[TOTAL]]=SMALL(despesavariávelconsolidadojul[TOTAL],3),despesavariávelconsolidadojul[[#This Row],[TOTAL]]=SMALL(despesavariávelconsolidadojul[TOTAL],4),despesavariávelconsolidadojul[[#This Row],[TOTAL]]=SMALL(despesavariávelconsolidadojul[TOTAL],5)),DADOS!$I$8,""))</f>
        <v/>
      </c>
      <c r="E73" s="21">
        <f>SUM(E60:E72)</f>
        <v>236</v>
      </c>
      <c r="F73" s="20">
        <f>SUM(F60:F72)+despesavariávelconsolidadojul[[#This Row],[1]]</f>
        <v>484</v>
      </c>
      <c r="G73" s="20">
        <f>SUM(G60:G72)+despesavariávelconsolidadojul[[#This Row],[2]]</f>
        <v>738</v>
      </c>
      <c r="H73" s="20">
        <f>SUM(H60:H72)+despesavariávelconsolidadojul[[#This Row],[3]]</f>
        <v>998</v>
      </c>
      <c r="I73" s="20">
        <f>SUM(I60:I72)+despesavariávelconsolidadojul[[#This Row],[4]]</f>
        <v>998</v>
      </c>
      <c r="J73" s="20">
        <f>SUM(J60:J72)+despesavariávelconsolidadojul[[#This Row],[5]]</f>
        <v>998</v>
      </c>
      <c r="K73" s="20">
        <f>SUM(K60:K72)+despesavariávelconsolidadojul[[#This Row],[6]]</f>
        <v>998</v>
      </c>
      <c r="L73" s="20">
        <f>SUM(L60:L72)+despesavariávelconsolidadojul[[#This Row],[7]]</f>
        <v>998</v>
      </c>
      <c r="M73" s="20">
        <f>SUM(M60:M72)+despesavariávelconsolidadojul[[#This Row],[8]]</f>
        <v>998</v>
      </c>
      <c r="N73" s="20">
        <f>SUM(N60:N72)+despesavariávelconsolidadojul[[#This Row],[9]]</f>
        <v>998</v>
      </c>
      <c r="O73" s="20">
        <f>SUM(O60:O72)+despesavariávelconsolidadojul[[#This Row],[10]]</f>
        <v>998</v>
      </c>
      <c r="P73" s="20">
        <f>SUM(P60:P72)+despesavariávelconsolidadojul[[#This Row],[11]]</f>
        <v>998</v>
      </c>
      <c r="Q73" s="20">
        <f>SUM(Q60:Q72)+despesavariávelconsolidadojul[[#This Row],[12]]</f>
        <v>998</v>
      </c>
      <c r="R73" s="20">
        <f>SUM(R60:R72)+despesavariávelconsolidadojul[[#This Row],[13]]</f>
        <v>998</v>
      </c>
      <c r="S73" s="20">
        <f>SUM(S60:S72)+despesavariávelconsolidadojul[[#This Row],[14]]</f>
        <v>998</v>
      </c>
      <c r="T73" s="20">
        <f>SUM(T60:T72)+despesavariávelconsolidadojul[[#This Row],[15]]</f>
        <v>998</v>
      </c>
      <c r="U73" s="20">
        <f>SUM(U60:U72)+despesavariávelconsolidadojul[[#This Row],[16]]</f>
        <v>998</v>
      </c>
      <c r="V73" s="20">
        <f>SUM(V60:V72)+despesavariávelconsolidadojul[[#This Row],[17]]</f>
        <v>998</v>
      </c>
      <c r="W73" s="20">
        <f>SUM(W60:W72)+despesavariávelconsolidadojul[[#This Row],[18]]</f>
        <v>998</v>
      </c>
      <c r="X73" s="20">
        <f>SUM(X60:X72)+despesavariávelconsolidadojul[[#This Row],[19]]</f>
        <v>998</v>
      </c>
      <c r="Y73" s="20">
        <f>SUM(Y60:Y72)+despesavariávelconsolidadojul[[#This Row],[20]]</f>
        <v>998</v>
      </c>
      <c r="Z73" s="20">
        <f>SUM(Z60:Z72)+despesavariávelconsolidadojul[[#This Row],[21]]</f>
        <v>998</v>
      </c>
      <c r="AA73" s="20">
        <f>SUM(AA60:AA72)+despesavariávelconsolidadojul[[#This Row],[22]]</f>
        <v>998</v>
      </c>
      <c r="AB73" s="20">
        <f>SUM(AB60:AB72)+despesavariávelconsolidadojul[[#This Row],[23]]</f>
        <v>998</v>
      </c>
      <c r="AC73" s="20">
        <f>SUM(AC60:AC72)+despesavariávelconsolidadojul[[#This Row],[24]]</f>
        <v>998</v>
      </c>
      <c r="AD73" s="20">
        <f>SUM(AD60:AD72)+despesavariávelconsolidadojul[[#This Row],[25]]</f>
        <v>998</v>
      </c>
      <c r="AE73" s="20">
        <f>SUM(AE60:AE72)+despesavariávelconsolidadojul[[#This Row],[26]]</f>
        <v>998</v>
      </c>
      <c r="AF73" s="20">
        <f>SUM(AF60:AF72)+despesavariávelconsolidadojul[[#This Row],[27]]</f>
        <v>998</v>
      </c>
      <c r="AG73" s="20">
        <f>SUM(AG60:AG72)+despesavariávelconsolidadojul[[#This Row],[28]]</f>
        <v>998</v>
      </c>
      <c r="AH73" s="20">
        <f>SUM(AH60:AH72)+despesavariávelconsolidadojul[[#This Row],[29]]</f>
        <v>998</v>
      </c>
      <c r="AI73" s="19">
        <f>SUM(AI60:AI72)+despesavariávelconsolidadojul[[#This Row],[30]]</f>
        <v>998</v>
      </c>
      <c r="AJ73" s="18">
        <f>despesavariávelconsolidadojul[[#This Row],[31]]</f>
        <v>998</v>
      </c>
      <c r="AK73" s="17"/>
    </row>
    <row r="74" spans="2:37" ht="6.75" customHeight="1" thickTop="1" thickBot="1" x14ac:dyDescent="0.3">
      <c r="B74" s="15"/>
      <c r="C74" s="40"/>
      <c r="D74" s="39"/>
      <c r="E74" s="39"/>
      <c r="F74" s="39"/>
      <c r="G74" s="39"/>
      <c r="H74" s="39"/>
      <c r="I74" s="39"/>
      <c r="J74" s="39"/>
      <c r="K74" s="39"/>
      <c r="L74" s="39"/>
      <c r="M74" s="39"/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  <c r="AG74" s="39"/>
      <c r="AH74" s="39"/>
      <c r="AI74" s="38"/>
      <c r="AJ74" s="15"/>
      <c r="AK74" s="10"/>
    </row>
    <row r="75" spans="2:37" ht="12.6" thickTop="1" x14ac:dyDescent="0.25">
      <c r="E75" s="37"/>
      <c r="AI75" s="4"/>
    </row>
    <row r="76" spans="2:37" x14ac:dyDescent="0.25">
      <c r="AI76" s="4"/>
    </row>
    <row r="77" spans="2:37" x14ac:dyDescent="0.25">
      <c r="AI77" s="4"/>
    </row>
    <row r="78" spans="2:37" ht="39.75" customHeight="1" x14ac:dyDescent="0.7">
      <c r="C78" s="36"/>
      <c r="E78" s="240"/>
      <c r="F78" s="240"/>
      <c r="G78" s="240"/>
      <c r="H78" s="240"/>
      <c r="I78" s="240"/>
      <c r="J78" s="240"/>
      <c r="K78" s="240"/>
      <c r="L78" s="240"/>
      <c r="M78" s="240"/>
      <c r="N78" s="240"/>
      <c r="O78" s="240"/>
      <c r="P78" s="240"/>
      <c r="Q78" s="240"/>
      <c r="R78" s="240"/>
      <c r="S78" s="240"/>
      <c r="T78" s="240"/>
      <c r="U78" s="240"/>
      <c r="V78" s="240"/>
      <c r="W78" s="240"/>
      <c r="X78" s="240"/>
      <c r="Y78" s="240"/>
      <c r="Z78" s="240"/>
      <c r="AA78" s="240"/>
      <c r="AB78" s="240"/>
      <c r="AC78" s="240"/>
      <c r="AD78" s="240"/>
      <c r="AE78" s="240"/>
      <c r="AF78" s="240"/>
      <c r="AG78" s="240"/>
      <c r="AH78" s="240"/>
      <c r="AI78" s="240"/>
      <c r="AJ78" s="32" t="s">
        <v>19</v>
      </c>
    </row>
    <row r="79" spans="2:37" ht="12.6" thickBot="1" x14ac:dyDescent="0.3">
      <c r="B79" s="35"/>
      <c r="AI79" s="4"/>
      <c r="AJ79" s="34" t="s">
        <v>202</v>
      </c>
    </row>
    <row r="80" spans="2:37" ht="6.75" customHeight="1" thickTop="1" thickBot="1" x14ac:dyDescent="0.3">
      <c r="B80" s="2"/>
      <c r="C80" s="14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I80" s="13"/>
      <c r="AJ80" s="12"/>
      <c r="AK80" s="33"/>
    </row>
    <row r="81" spans="2:37" ht="13.2" hidden="1" thickTop="1" thickBot="1" x14ac:dyDescent="0.3">
      <c r="B81" s="2"/>
      <c r="C81" s="31" t="s">
        <v>199</v>
      </c>
      <c r="D81" s="30" t="s">
        <v>198</v>
      </c>
      <c r="E81" s="30" t="s">
        <v>197</v>
      </c>
      <c r="F81" s="30" t="s">
        <v>196</v>
      </c>
      <c r="G81" s="30" t="s">
        <v>195</v>
      </c>
      <c r="H81" s="30" t="s">
        <v>194</v>
      </c>
      <c r="I81" s="30" t="s">
        <v>193</v>
      </c>
      <c r="J81" s="30" t="s">
        <v>192</v>
      </c>
      <c r="K81" s="30" t="s">
        <v>191</v>
      </c>
      <c r="L81" s="30" t="s">
        <v>190</v>
      </c>
      <c r="M81" s="30" t="s">
        <v>189</v>
      </c>
      <c r="N81" s="30" t="s">
        <v>188</v>
      </c>
      <c r="O81" s="30" t="s">
        <v>187</v>
      </c>
      <c r="P81" s="30" t="s">
        <v>186</v>
      </c>
      <c r="Q81" s="30" t="s">
        <v>185</v>
      </c>
      <c r="R81" s="30" t="s">
        <v>184</v>
      </c>
      <c r="S81" s="30" t="s">
        <v>183</v>
      </c>
      <c r="T81" s="30" t="s">
        <v>182</v>
      </c>
      <c r="U81" s="30" t="s">
        <v>181</v>
      </c>
      <c r="V81" s="30" t="s">
        <v>180</v>
      </c>
      <c r="W81" s="30" t="s">
        <v>179</v>
      </c>
      <c r="X81" s="30" t="s">
        <v>178</v>
      </c>
      <c r="Y81" s="30" t="s">
        <v>177</v>
      </c>
      <c r="Z81" s="30" t="s">
        <v>176</v>
      </c>
      <c r="AA81" s="30" t="s">
        <v>175</v>
      </c>
      <c r="AB81" s="30" t="s">
        <v>174</v>
      </c>
      <c r="AC81" s="30" t="s">
        <v>173</v>
      </c>
      <c r="AD81" s="30" t="s">
        <v>172</v>
      </c>
      <c r="AE81" s="30" t="s">
        <v>171</v>
      </c>
      <c r="AF81" s="30" t="s">
        <v>170</v>
      </c>
      <c r="AG81" s="30" t="s">
        <v>169</v>
      </c>
      <c r="AH81" s="30" t="s">
        <v>168</v>
      </c>
      <c r="AI81" s="30" t="s">
        <v>167</v>
      </c>
      <c r="AJ81" s="29" t="s">
        <v>166</v>
      </c>
      <c r="AK81" s="2"/>
    </row>
    <row r="82" spans="2:37" ht="19.5" customHeight="1" thickTop="1" thickBot="1" x14ac:dyDescent="0.3">
      <c r="B82" s="28"/>
      <c r="C82" s="27" t="str">
        <f>DADOS!$X$3</f>
        <v>💵 ALUGUEL</v>
      </c>
      <c r="D82" s="26" t="str">
        <f>IF(receitasfixasconsolidadojul[[#This Row],[TOTAL (R$)]]=0,"",IF(OR(receitasfixasconsolidadojul[[#This Row],[TOTAL (R$)]]=LARGE($AJ$82:$AJ$86,1),receitasfixasconsolidadojul[[#This Row],[TOTAL (R$)]]=LARGE($AJ$82:$AJ$86,2)),DADOS!$I$9,""))</f>
        <v/>
      </c>
      <c r="E82" s="94">
        <f>SUMIFS(tabela_registros[VALOR],tabela_registros[MÊS],$AE$1,tabela_registros[DIA],receitasfixasconsolidadojul[[#Headers],[1]],tabela_registros[REGISTRO],DADOS!$N$3,tabela_registros[TIPO],DADOS!$V$3,tabela_registros[CATEGORIA],receitasfixasconsolidadojul[[#This Row],[ATUAL]])</f>
        <v>0</v>
      </c>
      <c r="F82" s="88">
        <f>SUMIFS(tabela_registros[VALOR],tabela_registros[MÊS],$AE$1,tabela_registros[DIA],receitasfixasconsolidadojul[[#Headers],[2]],tabela_registros[REGISTRO],DADOS!$N$3,tabela_registros[TIPO],DADOS!$V$3,tabela_registros[CATEGORIA],receitasfixasconsolidadojul[[#This Row],[ATUAL]])</f>
        <v>0</v>
      </c>
      <c r="G82" s="88">
        <f>SUMIFS(tabela_registros[VALOR],tabela_registros[MÊS],$AE$1,tabela_registros[DIA],receitasfixasconsolidadojul[[#Headers],[3]],tabela_registros[REGISTRO],DADOS!$N$3,tabela_registros[TIPO],DADOS!$V$3,tabela_registros[CATEGORIA],receitasfixasconsolidadojul[[#This Row],[ATUAL]])</f>
        <v>0</v>
      </c>
      <c r="H82" s="88">
        <f>SUMIFS(tabela_registros[VALOR],tabela_registros[MÊS],$AE$1,tabela_registros[DIA],receitasfixasconsolidadojul[[#Headers],[4]],tabela_registros[REGISTRO],DADOS!$N$3,tabela_registros[TIPO],DADOS!$V$3,tabela_registros[CATEGORIA],receitasfixasconsolidadojul[[#This Row],[ATUAL]])</f>
        <v>0</v>
      </c>
      <c r="I82" s="88">
        <f>SUMIFS(tabela_registros[VALOR],tabela_registros[MÊS],$AE$1,tabela_registros[DIA],receitasfixasconsolidadojul[[#Headers],[5]],tabela_registros[REGISTRO],DADOS!$N$3,tabela_registros[TIPO],DADOS!$V$3,tabela_registros[CATEGORIA],receitasfixasconsolidadojul[[#This Row],[ATUAL]])</f>
        <v>0</v>
      </c>
      <c r="J82" s="88">
        <f>SUMIFS(tabela_registros[VALOR],tabela_registros[MÊS],$AE$1,tabela_registros[DIA],receitasfixasconsolidadojul[[#Headers],[6]],tabela_registros[REGISTRO],DADOS!$N$3,tabela_registros[TIPO],DADOS!$V$3,tabela_registros[CATEGORIA],receitasfixasconsolidadojul[[#This Row],[ATUAL]])</f>
        <v>0</v>
      </c>
      <c r="K82" s="88">
        <f>SUMIFS(tabela_registros[VALOR],tabela_registros[MÊS],$AE$1,tabela_registros[DIA],receitasfixasconsolidadojul[[#Headers],[7]],tabela_registros[REGISTRO],DADOS!$N$3,tabela_registros[TIPO],DADOS!$V$3,tabela_registros[CATEGORIA],receitasfixasconsolidadojul[[#This Row],[ATUAL]])</f>
        <v>0</v>
      </c>
      <c r="L82" s="88">
        <f>SUMIFS(tabela_registros[VALOR],tabela_registros[MÊS],$AE$1,tabela_registros[DIA],receitasfixasconsolidadojul[[#Headers],[8]],tabela_registros[REGISTRO],DADOS!$N$3,tabela_registros[TIPO],DADOS!$V$3,tabela_registros[CATEGORIA],receitasfixasconsolidadojul[[#This Row],[ATUAL]])</f>
        <v>0</v>
      </c>
      <c r="M82" s="88">
        <f>SUMIFS(tabela_registros[VALOR],tabela_registros[MÊS],$AE$1,tabela_registros[DIA],receitasfixasconsolidadojul[[#Headers],[9]],tabela_registros[REGISTRO],DADOS!$N$3,tabela_registros[TIPO],DADOS!$V$3,tabela_registros[CATEGORIA],receitasfixasconsolidadojul[[#This Row],[ATUAL]])</f>
        <v>0</v>
      </c>
      <c r="N82" s="88">
        <f>SUMIFS(tabela_registros[VALOR],tabela_registros[MÊS],$AE$1,tabela_registros[DIA],receitasfixasconsolidadojul[[#Headers],[10]],tabela_registros[REGISTRO],DADOS!$N$3,tabela_registros[TIPO],DADOS!$V$3,tabela_registros[CATEGORIA],receitasfixasconsolidadojul[[#This Row],[ATUAL]])</f>
        <v>0</v>
      </c>
      <c r="O82" s="88">
        <f>SUMIFS(tabela_registros[VALOR],tabela_registros[MÊS],$AE$1,tabela_registros[DIA],receitasfixasconsolidadojul[[#Headers],[11]],tabela_registros[REGISTRO],DADOS!$N$3,tabela_registros[TIPO],DADOS!$V$3,tabela_registros[CATEGORIA],receitasfixasconsolidadojul[[#This Row],[ATUAL]])</f>
        <v>0</v>
      </c>
      <c r="P82" s="88">
        <f>SUMIFS(tabela_registros[VALOR],tabela_registros[MÊS],$AE$1,tabela_registros[DIA],receitasfixasconsolidadojul[[#Headers],[12]],tabela_registros[REGISTRO],DADOS!$N$3,tabela_registros[TIPO],DADOS!$V$3,tabela_registros[CATEGORIA],receitasfixasconsolidadojul[[#This Row],[ATUAL]])</f>
        <v>0</v>
      </c>
      <c r="Q82" s="88">
        <f>SUMIFS(tabela_registros[VALOR],tabela_registros[MÊS],$AE$1,tabela_registros[DIA],receitasfixasconsolidadojul[[#Headers],[13]],tabela_registros[REGISTRO],DADOS!$N$3,tabela_registros[TIPO],DADOS!$V$3,tabela_registros[CATEGORIA],receitasfixasconsolidadojul[[#This Row],[ATUAL]])</f>
        <v>0</v>
      </c>
      <c r="R82" s="88">
        <f>SUMIFS(tabela_registros[VALOR],tabela_registros[MÊS],$AE$1,tabela_registros[DIA],receitasfixasconsolidadojul[[#Headers],[14]],tabela_registros[REGISTRO],DADOS!$N$3,tabela_registros[TIPO],DADOS!$V$3,tabela_registros[CATEGORIA],receitasfixasconsolidadojul[[#This Row],[ATUAL]])</f>
        <v>0</v>
      </c>
      <c r="S82" s="88">
        <f>SUMIFS(tabela_registros[VALOR],tabela_registros[MÊS],$AE$1,tabela_registros[DIA],receitasfixasconsolidadojul[[#Headers],[15]],tabela_registros[REGISTRO],DADOS!$N$3,tabela_registros[TIPO],DADOS!$V$3,tabela_registros[CATEGORIA],receitasfixasconsolidadojul[[#This Row],[ATUAL]])</f>
        <v>0</v>
      </c>
      <c r="T82" s="88">
        <f>SUMIFS(tabela_registros[VALOR],tabela_registros[MÊS],$AE$1,tabela_registros[DIA],receitasfixasconsolidadojul[[#Headers],[16]],tabela_registros[REGISTRO],DADOS!$N$3,tabela_registros[TIPO],DADOS!$V$3,tabela_registros[CATEGORIA],receitasfixasconsolidadojul[[#This Row],[ATUAL]])</f>
        <v>0</v>
      </c>
      <c r="U82" s="88">
        <f>SUMIFS(tabela_registros[VALOR],tabela_registros[MÊS],$AE$1,tabela_registros[DIA],receitasfixasconsolidadojul[[#Headers],[17]],tabela_registros[REGISTRO],DADOS!$N$3,tabela_registros[TIPO],DADOS!$V$3,tabela_registros[CATEGORIA],receitasfixasconsolidadojul[[#This Row],[ATUAL]])</f>
        <v>0</v>
      </c>
      <c r="V82" s="88">
        <f>SUMIFS(tabela_registros[VALOR],tabela_registros[MÊS],$AE$1,tabela_registros[DIA],receitasfixasconsolidadojul[[#Headers],[18]],tabela_registros[REGISTRO],DADOS!$N$3,tabela_registros[TIPO],DADOS!$V$3,tabela_registros[CATEGORIA],receitasfixasconsolidadojul[[#This Row],[ATUAL]])</f>
        <v>0</v>
      </c>
      <c r="W82" s="88">
        <f>SUMIFS(tabela_registros[VALOR],tabela_registros[MÊS],$AE$1,tabela_registros[DIA],receitasfixasconsolidadojul[[#Headers],[19]],tabela_registros[REGISTRO],DADOS!$N$3,tabela_registros[TIPO],DADOS!$V$3,tabela_registros[CATEGORIA],receitasfixasconsolidadojul[[#This Row],[ATUAL]])</f>
        <v>0</v>
      </c>
      <c r="X82" s="88">
        <f>SUMIFS(tabela_registros[VALOR],tabela_registros[MÊS],$AE$1,tabela_registros[DIA],receitasfixasconsolidadojul[[#Headers],[20]],tabela_registros[REGISTRO],DADOS!$N$3,tabela_registros[TIPO],DADOS!$V$3,tabela_registros[CATEGORIA],receitasfixasconsolidadojul[[#This Row],[ATUAL]])</f>
        <v>0</v>
      </c>
      <c r="Y82" s="88">
        <f>SUMIFS(tabela_registros[VALOR],tabela_registros[MÊS],$AE$1,tabela_registros[DIA],receitasfixasconsolidadojul[[#Headers],[21]],tabela_registros[REGISTRO],DADOS!$N$3,tabela_registros[TIPO],DADOS!$V$3,tabela_registros[CATEGORIA],receitasfixasconsolidadojul[[#This Row],[ATUAL]])</f>
        <v>0</v>
      </c>
      <c r="Z82" s="88">
        <f>SUMIFS(tabela_registros[VALOR],tabela_registros[MÊS],$AE$1,tabela_registros[DIA],receitasfixasconsolidadojul[[#Headers],[22]],tabela_registros[REGISTRO],DADOS!$N$3,tabela_registros[TIPO],DADOS!$V$3,tabela_registros[CATEGORIA],receitasfixasconsolidadojul[[#This Row],[ATUAL]])</f>
        <v>0</v>
      </c>
      <c r="AA82" s="88">
        <f>SUMIFS(tabela_registros[VALOR],tabela_registros[MÊS],$AE$1,tabela_registros[DIA],receitasfixasconsolidadojul[[#Headers],[23]],tabela_registros[REGISTRO],DADOS!$N$3,tabela_registros[TIPO],DADOS!$V$3,tabela_registros[CATEGORIA],receitasfixasconsolidadojul[[#This Row],[ATUAL]])</f>
        <v>0</v>
      </c>
      <c r="AB82" s="88">
        <f>SUMIFS(tabela_registros[VALOR],tabela_registros[MÊS],$AE$1,tabela_registros[DIA],receitasfixasconsolidadojul[[#Headers],[24]],tabela_registros[REGISTRO],DADOS!$N$3,tabela_registros[TIPO],DADOS!$V$3,tabela_registros[CATEGORIA],receitasfixasconsolidadojul[[#This Row],[ATUAL]])</f>
        <v>0</v>
      </c>
      <c r="AC82" s="88">
        <f>SUMIFS(tabela_registros[VALOR],tabela_registros[MÊS],$AE$1,tabela_registros[DIA],receitasfixasconsolidadojul[[#Headers],[25]],tabela_registros[REGISTRO],DADOS!$N$3,tabela_registros[TIPO],DADOS!$V$3,tabela_registros[CATEGORIA],receitasfixasconsolidadojul[[#This Row],[ATUAL]])</f>
        <v>0</v>
      </c>
      <c r="AD82" s="88">
        <f>SUMIFS(tabela_registros[VALOR],tabela_registros[MÊS],$AE$1,tabela_registros[DIA],receitasfixasconsolidadojul[[#Headers],[26]],tabela_registros[REGISTRO],DADOS!$N$3,tabela_registros[TIPO],DADOS!$V$3,tabela_registros[CATEGORIA],receitasfixasconsolidadojul[[#This Row],[ATUAL]])</f>
        <v>0</v>
      </c>
      <c r="AE82" s="88">
        <f>SUMIFS(tabela_registros[VALOR],tabela_registros[MÊS],$AE$1,tabela_registros[DIA],receitasfixasconsolidadojul[[#Headers],[27]],tabela_registros[REGISTRO],DADOS!$N$3,tabela_registros[TIPO],DADOS!$V$3,tabela_registros[CATEGORIA],receitasfixasconsolidadojul[[#This Row],[ATUAL]])</f>
        <v>0</v>
      </c>
      <c r="AF82" s="88">
        <f>SUMIFS(tabela_registros[VALOR],tabela_registros[MÊS],$AE$1,tabela_registros[DIA],receitasfixasconsolidadojul[[#Headers],[28]],tabela_registros[REGISTRO],DADOS!$N$3,tabela_registros[TIPO],DADOS!$V$3,tabela_registros[CATEGORIA],receitasfixasconsolidadojul[[#This Row],[ATUAL]])</f>
        <v>0</v>
      </c>
      <c r="AG82" s="88">
        <f>SUMIFS(tabela_registros[VALOR],tabela_registros[MÊS],$AE$1,tabela_registros[DIA],receitasfixasconsolidadojul[[#Headers],[29]],tabela_registros[REGISTRO],DADOS!$N$3,tabela_registros[TIPO],DADOS!$V$3,tabela_registros[CATEGORIA],receitasfixasconsolidadojul[[#This Row],[ATUAL]])</f>
        <v>0</v>
      </c>
      <c r="AH82" s="88">
        <f>SUMIFS(tabela_registros[VALOR],tabela_registros[MÊS],$AE$1,tabela_registros[DIA],receitasfixasconsolidadojul[[#Headers],[30]],tabela_registros[REGISTRO],DADOS!$N$3,tabela_registros[TIPO],DADOS!$V$3,tabela_registros[CATEGORIA],receitasfixasconsolidadojul[[#This Row],[ATUAL]])</f>
        <v>0</v>
      </c>
      <c r="AI82" s="100">
        <f>SUMIFS(tabela_registros[VALOR],tabela_registros[MÊS],$AE$1,tabela_registros[DIA],receitasfixasconsolidadojul[[#Headers],[31]],tabela_registros[REGISTRO],DADOS!$N$3,tabela_registros[TIPO],DADOS!$V$3,tabela_registros[CATEGORIA],receitasfixasconsolidadojul[[#This Row],[ATUAL]])</f>
        <v>0</v>
      </c>
      <c r="AJ82" s="97">
        <f>SUM(receitasfixasconsolidadojul[[#This Row],[1]:[31]])</f>
        <v>0</v>
      </c>
      <c r="AK82" s="25"/>
    </row>
    <row r="83" spans="2:37" ht="19.5" customHeight="1" thickTop="1" thickBot="1" x14ac:dyDescent="0.3">
      <c r="B83" s="28"/>
      <c r="C83" s="27" t="str">
        <f>DADOS!$X$4</f>
        <v>💸APOSENTADORIA</v>
      </c>
      <c r="D83" s="26" t="str">
        <f>IF(receitasfixasconsolidadojul[[#This Row],[TOTAL (R$)]]=0,"",IF(OR(receitasfixasconsolidadojul[[#This Row],[TOTAL (R$)]]=LARGE($AJ$82:$AJ$86,1),receitasfixasconsolidadojul[[#This Row],[TOTAL (R$)]]=LARGE($AJ$82:$AJ$86,2)),DADOS!$I$9,""))</f>
        <v>🐄</v>
      </c>
      <c r="E83" s="96">
        <f>SUMIFS(tabela_registros[VALOR],tabela_registros[MÊS],$AE$1,tabela_registros[DIA],receitasfixasconsolidadojul[[#Headers],[1]],tabela_registros[REGISTRO],DADOS!$N$3,tabela_registros[TIPO],DADOS!$V$3,tabela_registros[CATEGORIA],receitasfixasconsolidadojul[[#This Row],[ATUAL]])</f>
        <v>0</v>
      </c>
      <c r="F83" s="91">
        <f>SUMIFS(tabela_registros[VALOR],tabela_registros[MÊS],$AE$1,tabela_registros[DIA],receitasfixasconsolidadojul[[#Headers],[2]],tabela_registros[REGISTRO],DADOS!$N$3,tabela_registros[TIPO],DADOS!$V$3,tabela_registros[CATEGORIA],receitasfixasconsolidadojul[[#This Row],[ATUAL]])</f>
        <v>0</v>
      </c>
      <c r="G83" s="91">
        <f>SUMIFS(tabela_registros[VALOR],tabela_registros[MÊS],$AE$1,tabela_registros[DIA],receitasfixasconsolidadojul[[#Headers],[3]],tabela_registros[REGISTRO],DADOS!$N$3,tabela_registros[TIPO],DADOS!$V$3,tabela_registros[CATEGORIA],receitasfixasconsolidadojul[[#This Row],[ATUAL]])</f>
        <v>0</v>
      </c>
      <c r="H83" s="91">
        <f>SUMIFS(tabela_registros[VALOR],tabela_registros[MÊS],$AE$1,tabela_registros[DIA],receitasfixasconsolidadojul[[#Headers],[4]],tabela_registros[REGISTRO],DADOS!$N$3,tabela_registros[TIPO],DADOS!$V$3,tabela_registros[CATEGORIA],receitasfixasconsolidadojul[[#This Row],[ATUAL]])</f>
        <v>0</v>
      </c>
      <c r="I83" s="91">
        <f>SUMIFS(tabela_registros[VALOR],tabela_registros[MÊS],$AE$1,tabela_registros[DIA],receitasfixasconsolidadojul[[#Headers],[5]],tabela_registros[REGISTRO],DADOS!$N$3,tabela_registros[TIPO],DADOS!$V$3,tabela_registros[CATEGORIA],receitasfixasconsolidadojul[[#This Row],[ATUAL]])</f>
        <v>266</v>
      </c>
      <c r="J83" s="91">
        <f>SUMIFS(tabela_registros[VALOR],tabela_registros[MÊS],$AE$1,tabela_registros[DIA],receitasfixasconsolidadojul[[#Headers],[6]],tabela_registros[REGISTRO],DADOS!$N$3,tabela_registros[TIPO],DADOS!$V$3,tabela_registros[CATEGORIA],receitasfixasconsolidadojul[[#This Row],[ATUAL]])</f>
        <v>0</v>
      </c>
      <c r="K83" s="91">
        <f>SUMIFS(tabela_registros[VALOR],tabela_registros[MÊS],$AE$1,tabela_registros[DIA],receitasfixasconsolidadojul[[#Headers],[7]],tabela_registros[REGISTRO],DADOS!$N$3,tabela_registros[TIPO],DADOS!$V$3,tabela_registros[CATEGORIA],receitasfixasconsolidadojul[[#This Row],[ATUAL]])</f>
        <v>0</v>
      </c>
      <c r="L83" s="91">
        <f>SUMIFS(tabela_registros[VALOR],tabela_registros[MÊS],$AE$1,tabela_registros[DIA],receitasfixasconsolidadojul[[#Headers],[8]],tabela_registros[REGISTRO],DADOS!$N$3,tabela_registros[TIPO],DADOS!$V$3,tabela_registros[CATEGORIA],receitasfixasconsolidadojul[[#This Row],[ATUAL]])</f>
        <v>0</v>
      </c>
      <c r="M83" s="91">
        <f>SUMIFS(tabela_registros[VALOR],tabela_registros[MÊS],$AE$1,tabela_registros[DIA],receitasfixasconsolidadojul[[#Headers],[9]],tabela_registros[REGISTRO],DADOS!$N$3,tabela_registros[TIPO],DADOS!$V$3,tabela_registros[CATEGORIA],receitasfixasconsolidadojul[[#This Row],[ATUAL]])</f>
        <v>0</v>
      </c>
      <c r="N83" s="91">
        <f>SUMIFS(tabela_registros[VALOR],tabela_registros[MÊS],$AE$1,tabela_registros[DIA],receitasfixasconsolidadojul[[#Headers],[10]],tabela_registros[REGISTRO],DADOS!$N$3,tabela_registros[TIPO],DADOS!$V$3,tabela_registros[CATEGORIA],receitasfixasconsolidadojul[[#This Row],[ATUAL]])</f>
        <v>0</v>
      </c>
      <c r="O83" s="91">
        <f>SUMIFS(tabela_registros[VALOR],tabela_registros[MÊS],$AE$1,tabela_registros[DIA],receitasfixasconsolidadojul[[#Headers],[11]],tabela_registros[REGISTRO],DADOS!$N$3,tabela_registros[TIPO],DADOS!$V$3,tabela_registros[CATEGORIA],receitasfixasconsolidadojul[[#This Row],[ATUAL]])</f>
        <v>0</v>
      </c>
      <c r="P83" s="91">
        <f>SUMIFS(tabela_registros[VALOR],tabela_registros[MÊS],$AE$1,tabela_registros[DIA],receitasfixasconsolidadojul[[#Headers],[12]],tabela_registros[REGISTRO],DADOS!$N$3,tabela_registros[TIPO],DADOS!$V$3,tabela_registros[CATEGORIA],receitasfixasconsolidadojul[[#This Row],[ATUAL]])</f>
        <v>0</v>
      </c>
      <c r="Q83" s="91">
        <f>SUMIFS(tabela_registros[VALOR],tabela_registros[MÊS],$AE$1,tabela_registros[DIA],receitasfixasconsolidadojul[[#Headers],[13]],tabela_registros[REGISTRO],DADOS!$N$3,tabela_registros[TIPO],DADOS!$V$3,tabela_registros[CATEGORIA],receitasfixasconsolidadojul[[#This Row],[ATUAL]])</f>
        <v>0</v>
      </c>
      <c r="R83" s="91">
        <f>SUMIFS(tabela_registros[VALOR],tabela_registros[MÊS],$AE$1,tabela_registros[DIA],receitasfixasconsolidadojul[[#Headers],[14]],tabela_registros[REGISTRO],DADOS!$N$3,tabela_registros[TIPO],DADOS!$V$3,tabela_registros[CATEGORIA],receitasfixasconsolidadojul[[#This Row],[ATUAL]])</f>
        <v>0</v>
      </c>
      <c r="S83" s="91">
        <f>SUMIFS(tabela_registros[VALOR],tabela_registros[MÊS],$AE$1,tabela_registros[DIA],receitasfixasconsolidadojul[[#Headers],[15]],tabela_registros[REGISTRO],DADOS!$N$3,tabela_registros[TIPO],DADOS!$V$3,tabela_registros[CATEGORIA],receitasfixasconsolidadojul[[#This Row],[ATUAL]])</f>
        <v>0</v>
      </c>
      <c r="T83" s="91">
        <f>SUMIFS(tabela_registros[VALOR],tabela_registros[MÊS],$AE$1,tabela_registros[DIA],receitasfixasconsolidadojul[[#Headers],[16]],tabela_registros[REGISTRO],DADOS!$N$3,tabela_registros[TIPO],DADOS!$V$3,tabela_registros[CATEGORIA],receitasfixasconsolidadojul[[#This Row],[ATUAL]])</f>
        <v>0</v>
      </c>
      <c r="U83" s="91">
        <f>SUMIFS(tabela_registros[VALOR],tabela_registros[MÊS],$AE$1,tabela_registros[DIA],receitasfixasconsolidadojul[[#Headers],[17]],tabela_registros[REGISTRO],DADOS!$N$3,tabela_registros[TIPO],DADOS!$V$3,tabela_registros[CATEGORIA],receitasfixasconsolidadojul[[#This Row],[ATUAL]])</f>
        <v>0</v>
      </c>
      <c r="V83" s="91">
        <f>SUMIFS(tabela_registros[VALOR],tabela_registros[MÊS],$AE$1,tabela_registros[DIA],receitasfixasconsolidadojul[[#Headers],[18]],tabela_registros[REGISTRO],DADOS!$N$3,tabela_registros[TIPO],DADOS!$V$3,tabela_registros[CATEGORIA],receitasfixasconsolidadojul[[#This Row],[ATUAL]])</f>
        <v>0</v>
      </c>
      <c r="W83" s="91">
        <f>SUMIFS(tabela_registros[VALOR],tabela_registros[MÊS],$AE$1,tabela_registros[DIA],receitasfixasconsolidadojul[[#Headers],[19]],tabela_registros[REGISTRO],DADOS!$N$3,tabela_registros[TIPO],DADOS!$V$3,tabela_registros[CATEGORIA],receitasfixasconsolidadojul[[#This Row],[ATUAL]])</f>
        <v>0</v>
      </c>
      <c r="X83" s="91">
        <f>SUMIFS(tabela_registros[VALOR],tabela_registros[MÊS],$AE$1,tabela_registros[DIA],receitasfixasconsolidadojul[[#Headers],[20]],tabela_registros[REGISTRO],DADOS!$N$3,tabela_registros[TIPO],DADOS!$V$3,tabela_registros[CATEGORIA],receitasfixasconsolidadojul[[#This Row],[ATUAL]])</f>
        <v>0</v>
      </c>
      <c r="Y83" s="91">
        <f>SUMIFS(tabela_registros[VALOR],tabela_registros[MÊS],$AE$1,tabela_registros[DIA],receitasfixasconsolidadojul[[#Headers],[21]],tabela_registros[REGISTRO],DADOS!$N$3,tabela_registros[TIPO],DADOS!$V$3,tabela_registros[CATEGORIA],receitasfixasconsolidadojul[[#This Row],[ATUAL]])</f>
        <v>0</v>
      </c>
      <c r="Z83" s="91">
        <f>SUMIFS(tabela_registros[VALOR],tabela_registros[MÊS],$AE$1,tabela_registros[DIA],receitasfixasconsolidadojul[[#Headers],[22]],tabela_registros[REGISTRO],DADOS!$N$3,tabela_registros[TIPO],DADOS!$V$3,tabela_registros[CATEGORIA],receitasfixasconsolidadojul[[#This Row],[ATUAL]])</f>
        <v>0</v>
      </c>
      <c r="AA83" s="91">
        <f>SUMIFS(tabela_registros[VALOR],tabela_registros[MÊS],$AE$1,tabela_registros[DIA],receitasfixasconsolidadojul[[#Headers],[23]],tabela_registros[REGISTRO],DADOS!$N$3,tabela_registros[TIPO],DADOS!$V$3,tabela_registros[CATEGORIA],receitasfixasconsolidadojul[[#This Row],[ATUAL]])</f>
        <v>0</v>
      </c>
      <c r="AB83" s="91">
        <f>SUMIFS(tabela_registros[VALOR],tabela_registros[MÊS],$AE$1,tabela_registros[DIA],receitasfixasconsolidadojul[[#Headers],[24]],tabela_registros[REGISTRO],DADOS!$N$3,tabela_registros[TIPO],DADOS!$V$3,tabela_registros[CATEGORIA],receitasfixasconsolidadojul[[#This Row],[ATUAL]])</f>
        <v>0</v>
      </c>
      <c r="AC83" s="91">
        <f>SUMIFS(tabela_registros[VALOR],tabela_registros[MÊS],$AE$1,tabela_registros[DIA],receitasfixasconsolidadojul[[#Headers],[25]],tabela_registros[REGISTRO],DADOS!$N$3,tabela_registros[TIPO],DADOS!$V$3,tabela_registros[CATEGORIA],receitasfixasconsolidadojul[[#This Row],[ATUAL]])</f>
        <v>0</v>
      </c>
      <c r="AD83" s="91">
        <f>SUMIFS(tabela_registros[VALOR],tabela_registros[MÊS],$AE$1,tabela_registros[DIA],receitasfixasconsolidadojul[[#Headers],[26]],tabela_registros[REGISTRO],DADOS!$N$3,tabela_registros[TIPO],DADOS!$V$3,tabela_registros[CATEGORIA],receitasfixasconsolidadojul[[#This Row],[ATUAL]])</f>
        <v>0</v>
      </c>
      <c r="AE83" s="91">
        <f>SUMIFS(tabela_registros[VALOR],tabela_registros[MÊS],$AE$1,tabela_registros[DIA],receitasfixasconsolidadojul[[#Headers],[27]],tabela_registros[REGISTRO],DADOS!$N$3,tabela_registros[TIPO],DADOS!$V$3,tabela_registros[CATEGORIA],receitasfixasconsolidadojul[[#This Row],[ATUAL]])</f>
        <v>0</v>
      </c>
      <c r="AF83" s="91">
        <f>SUMIFS(tabela_registros[VALOR],tabela_registros[MÊS],$AE$1,tabela_registros[DIA],receitasfixasconsolidadojul[[#Headers],[28]],tabela_registros[REGISTRO],DADOS!$N$3,tabela_registros[TIPO],DADOS!$V$3,tabela_registros[CATEGORIA],receitasfixasconsolidadojul[[#This Row],[ATUAL]])</f>
        <v>0</v>
      </c>
      <c r="AG83" s="91">
        <f>SUMIFS(tabela_registros[VALOR],tabela_registros[MÊS],$AE$1,tabela_registros[DIA],receitasfixasconsolidadojul[[#Headers],[29]],tabela_registros[REGISTRO],DADOS!$N$3,tabela_registros[TIPO],DADOS!$V$3,tabela_registros[CATEGORIA],receitasfixasconsolidadojul[[#This Row],[ATUAL]])</f>
        <v>0</v>
      </c>
      <c r="AH83" s="91">
        <f>SUMIFS(tabela_registros[VALOR],tabela_registros[MÊS],$AE$1,tabela_registros[DIA],receitasfixasconsolidadojul[[#Headers],[30]],tabela_registros[REGISTRO],DADOS!$N$3,tabela_registros[TIPO],DADOS!$V$3,tabela_registros[CATEGORIA],receitasfixasconsolidadojul[[#This Row],[ATUAL]])</f>
        <v>0</v>
      </c>
      <c r="AI83" s="101">
        <f>SUMIFS(tabela_registros[VALOR],tabela_registros[MÊS],$AE$1,tabela_registros[DIA],receitasfixasconsolidadojul[[#Headers],[31]],tabela_registros[REGISTRO],DADOS!$N$3,tabela_registros[TIPO],DADOS!$V$3,tabela_registros[CATEGORIA],receitasfixasconsolidadojul[[#This Row],[ATUAL]])</f>
        <v>0</v>
      </c>
      <c r="AJ83" s="97">
        <f>SUM(receitasfixasconsolidadojul[[#This Row],[1]:[31]])</f>
        <v>266</v>
      </c>
      <c r="AK83" s="25"/>
    </row>
    <row r="84" spans="2:37" ht="19.5" customHeight="1" thickTop="1" thickBot="1" x14ac:dyDescent="0.3">
      <c r="B84" s="28"/>
      <c r="C84" s="27" t="str">
        <f>DADOS!$X$5</f>
        <v>🎀 MESADA</v>
      </c>
      <c r="D84" s="26" t="str">
        <f>IF(receitasfixasconsolidadojul[[#This Row],[TOTAL (R$)]]=0,"",IF(OR(receitasfixasconsolidadojul[[#This Row],[TOTAL (R$)]]=LARGE($AJ$82:$AJ$86,1),receitasfixasconsolidadojul[[#This Row],[TOTAL (R$)]]=LARGE($AJ$82:$AJ$86,2)),DADOS!$I$9,""))</f>
        <v/>
      </c>
      <c r="E84" s="96">
        <f>SUMIFS(tabela_registros[VALOR],tabela_registros[MÊS],$AE$1,tabela_registros[DIA],receitasfixasconsolidadojul[[#Headers],[1]],tabela_registros[REGISTRO],DADOS!$N$3,tabela_registros[TIPO],DADOS!$V$3,tabela_registros[CATEGORIA],receitasfixasconsolidadojul[[#This Row],[ATUAL]])</f>
        <v>0</v>
      </c>
      <c r="F84" s="91">
        <f>SUMIFS(tabela_registros[VALOR],tabela_registros[MÊS],$AE$1,tabela_registros[DIA],receitasfixasconsolidadojul[[#Headers],[2]],tabela_registros[REGISTRO],DADOS!$N$3,tabela_registros[TIPO],DADOS!$V$3,tabela_registros[CATEGORIA],receitasfixasconsolidadojul[[#This Row],[ATUAL]])</f>
        <v>0</v>
      </c>
      <c r="G84" s="91">
        <f>SUMIFS(tabela_registros[VALOR],tabela_registros[MÊS],$AE$1,tabela_registros[DIA],receitasfixasconsolidadojul[[#Headers],[3]],tabela_registros[REGISTRO],DADOS!$N$3,tabela_registros[TIPO],DADOS!$V$3,tabela_registros[CATEGORIA],receitasfixasconsolidadojul[[#This Row],[ATUAL]])</f>
        <v>0</v>
      </c>
      <c r="H84" s="91">
        <f>SUMIFS(tabela_registros[VALOR],tabela_registros[MÊS],$AE$1,tabela_registros[DIA],receitasfixasconsolidadojul[[#Headers],[4]],tabela_registros[REGISTRO],DADOS!$N$3,tabela_registros[TIPO],DADOS!$V$3,tabela_registros[CATEGORIA],receitasfixasconsolidadojul[[#This Row],[ATUAL]])</f>
        <v>0</v>
      </c>
      <c r="I84" s="91">
        <f>SUMIFS(tabela_registros[VALOR],tabela_registros[MÊS],$AE$1,tabela_registros[DIA],receitasfixasconsolidadojul[[#Headers],[5]],tabela_registros[REGISTRO],DADOS!$N$3,tabela_registros[TIPO],DADOS!$V$3,tabela_registros[CATEGORIA],receitasfixasconsolidadojul[[#This Row],[ATUAL]])</f>
        <v>0</v>
      </c>
      <c r="J84" s="91">
        <f>SUMIFS(tabela_registros[VALOR],tabela_registros[MÊS],$AE$1,tabela_registros[DIA],receitasfixasconsolidadojul[[#Headers],[6]],tabela_registros[REGISTRO],DADOS!$N$3,tabela_registros[TIPO],DADOS!$V$3,tabela_registros[CATEGORIA],receitasfixasconsolidadojul[[#This Row],[ATUAL]])</f>
        <v>0</v>
      </c>
      <c r="K84" s="91">
        <f>SUMIFS(tabela_registros[VALOR],tabela_registros[MÊS],$AE$1,tabela_registros[DIA],receitasfixasconsolidadojul[[#Headers],[7]],tabela_registros[REGISTRO],DADOS!$N$3,tabela_registros[TIPO],DADOS!$V$3,tabela_registros[CATEGORIA],receitasfixasconsolidadojul[[#This Row],[ATUAL]])</f>
        <v>0</v>
      </c>
      <c r="L84" s="91">
        <f>SUMIFS(tabela_registros[VALOR],tabela_registros[MÊS],$AE$1,tabela_registros[DIA],receitasfixasconsolidadojul[[#Headers],[8]],tabela_registros[REGISTRO],DADOS!$N$3,tabela_registros[TIPO],DADOS!$V$3,tabela_registros[CATEGORIA],receitasfixasconsolidadojul[[#This Row],[ATUAL]])</f>
        <v>0</v>
      </c>
      <c r="M84" s="91">
        <f>SUMIFS(tabela_registros[VALOR],tabela_registros[MÊS],$AE$1,tabela_registros[DIA],receitasfixasconsolidadojul[[#Headers],[9]],tabela_registros[REGISTRO],DADOS!$N$3,tabela_registros[TIPO],DADOS!$V$3,tabela_registros[CATEGORIA],receitasfixasconsolidadojul[[#This Row],[ATUAL]])</f>
        <v>0</v>
      </c>
      <c r="N84" s="91">
        <f>SUMIFS(tabela_registros[VALOR],tabela_registros[MÊS],$AE$1,tabela_registros[DIA],receitasfixasconsolidadojul[[#Headers],[10]],tabela_registros[REGISTRO],DADOS!$N$3,tabela_registros[TIPO],DADOS!$V$3,tabela_registros[CATEGORIA],receitasfixasconsolidadojul[[#This Row],[ATUAL]])</f>
        <v>0</v>
      </c>
      <c r="O84" s="91">
        <f>SUMIFS(tabela_registros[VALOR],tabela_registros[MÊS],$AE$1,tabela_registros[DIA],receitasfixasconsolidadojul[[#Headers],[11]],tabela_registros[REGISTRO],DADOS!$N$3,tabela_registros[TIPO],DADOS!$V$3,tabela_registros[CATEGORIA],receitasfixasconsolidadojul[[#This Row],[ATUAL]])</f>
        <v>0</v>
      </c>
      <c r="P84" s="91">
        <f>SUMIFS(tabela_registros[VALOR],tabela_registros[MÊS],$AE$1,tabela_registros[DIA],receitasfixasconsolidadojul[[#Headers],[12]],tabela_registros[REGISTRO],DADOS!$N$3,tabela_registros[TIPO],DADOS!$V$3,tabela_registros[CATEGORIA],receitasfixasconsolidadojul[[#This Row],[ATUAL]])</f>
        <v>0</v>
      </c>
      <c r="Q84" s="91">
        <f>SUMIFS(tabela_registros[VALOR],tabela_registros[MÊS],$AE$1,tabela_registros[DIA],receitasfixasconsolidadojul[[#Headers],[13]],tabela_registros[REGISTRO],DADOS!$N$3,tabela_registros[TIPO],DADOS!$V$3,tabela_registros[CATEGORIA],receitasfixasconsolidadojul[[#This Row],[ATUAL]])</f>
        <v>0</v>
      </c>
      <c r="R84" s="91">
        <f>SUMIFS(tabela_registros[VALOR],tabela_registros[MÊS],$AE$1,tabela_registros[DIA],receitasfixasconsolidadojul[[#Headers],[14]],tabela_registros[REGISTRO],DADOS!$N$3,tabela_registros[TIPO],DADOS!$V$3,tabela_registros[CATEGORIA],receitasfixasconsolidadojul[[#This Row],[ATUAL]])</f>
        <v>0</v>
      </c>
      <c r="S84" s="91">
        <f>SUMIFS(tabela_registros[VALOR],tabela_registros[MÊS],$AE$1,tabela_registros[DIA],receitasfixasconsolidadojul[[#Headers],[15]],tabela_registros[REGISTRO],DADOS!$N$3,tabela_registros[TIPO],DADOS!$V$3,tabela_registros[CATEGORIA],receitasfixasconsolidadojul[[#This Row],[ATUAL]])</f>
        <v>0</v>
      </c>
      <c r="T84" s="91">
        <f>SUMIFS(tabela_registros[VALOR],tabela_registros[MÊS],$AE$1,tabela_registros[DIA],receitasfixasconsolidadojul[[#Headers],[16]],tabela_registros[REGISTRO],DADOS!$N$3,tabela_registros[TIPO],DADOS!$V$3,tabela_registros[CATEGORIA],receitasfixasconsolidadojul[[#This Row],[ATUAL]])</f>
        <v>0</v>
      </c>
      <c r="U84" s="91">
        <f>SUMIFS(tabela_registros[VALOR],tabela_registros[MÊS],$AE$1,tabela_registros[DIA],receitasfixasconsolidadojul[[#Headers],[17]],tabela_registros[REGISTRO],DADOS!$N$3,tabela_registros[TIPO],DADOS!$V$3,tabela_registros[CATEGORIA],receitasfixasconsolidadojul[[#This Row],[ATUAL]])</f>
        <v>0</v>
      </c>
      <c r="V84" s="91">
        <f>SUMIFS(tabela_registros[VALOR],tabela_registros[MÊS],$AE$1,tabela_registros[DIA],receitasfixasconsolidadojul[[#Headers],[18]],tabela_registros[REGISTRO],DADOS!$N$3,tabela_registros[TIPO],DADOS!$V$3,tabela_registros[CATEGORIA],receitasfixasconsolidadojul[[#This Row],[ATUAL]])</f>
        <v>0</v>
      </c>
      <c r="W84" s="91">
        <f>SUMIFS(tabela_registros[VALOR],tabela_registros[MÊS],$AE$1,tabela_registros[DIA],receitasfixasconsolidadojul[[#Headers],[19]],tabela_registros[REGISTRO],DADOS!$N$3,tabela_registros[TIPO],DADOS!$V$3,tabela_registros[CATEGORIA],receitasfixasconsolidadojul[[#This Row],[ATUAL]])</f>
        <v>0</v>
      </c>
      <c r="X84" s="91">
        <f>SUMIFS(tabela_registros[VALOR],tabela_registros[MÊS],$AE$1,tabela_registros[DIA],receitasfixasconsolidadojul[[#Headers],[20]],tabela_registros[REGISTRO],DADOS!$N$3,tabela_registros[TIPO],DADOS!$V$3,tabela_registros[CATEGORIA],receitasfixasconsolidadojul[[#This Row],[ATUAL]])</f>
        <v>0</v>
      </c>
      <c r="Y84" s="91">
        <f>SUMIFS(tabela_registros[VALOR],tabela_registros[MÊS],$AE$1,tabela_registros[DIA],receitasfixasconsolidadojul[[#Headers],[21]],tabela_registros[REGISTRO],DADOS!$N$3,tabela_registros[TIPO],DADOS!$V$3,tabela_registros[CATEGORIA],receitasfixasconsolidadojul[[#This Row],[ATUAL]])</f>
        <v>0</v>
      </c>
      <c r="Z84" s="91">
        <f>SUMIFS(tabela_registros[VALOR],tabela_registros[MÊS],$AE$1,tabela_registros[DIA],receitasfixasconsolidadojul[[#Headers],[22]],tabela_registros[REGISTRO],DADOS!$N$3,tabela_registros[TIPO],DADOS!$V$3,tabela_registros[CATEGORIA],receitasfixasconsolidadojul[[#This Row],[ATUAL]])</f>
        <v>0</v>
      </c>
      <c r="AA84" s="91">
        <f>SUMIFS(tabela_registros[VALOR],tabela_registros[MÊS],$AE$1,tabela_registros[DIA],receitasfixasconsolidadojul[[#Headers],[23]],tabela_registros[REGISTRO],DADOS!$N$3,tabela_registros[TIPO],DADOS!$V$3,tabela_registros[CATEGORIA],receitasfixasconsolidadojul[[#This Row],[ATUAL]])</f>
        <v>0</v>
      </c>
      <c r="AB84" s="91">
        <f>SUMIFS(tabela_registros[VALOR],tabela_registros[MÊS],$AE$1,tabela_registros[DIA],receitasfixasconsolidadojul[[#Headers],[24]],tabela_registros[REGISTRO],DADOS!$N$3,tabela_registros[TIPO],DADOS!$V$3,tabela_registros[CATEGORIA],receitasfixasconsolidadojul[[#This Row],[ATUAL]])</f>
        <v>0</v>
      </c>
      <c r="AC84" s="91">
        <f>SUMIFS(tabela_registros[VALOR],tabela_registros[MÊS],$AE$1,tabela_registros[DIA],receitasfixasconsolidadojul[[#Headers],[25]],tabela_registros[REGISTRO],DADOS!$N$3,tabela_registros[TIPO],DADOS!$V$3,tabela_registros[CATEGORIA],receitasfixasconsolidadojul[[#This Row],[ATUAL]])</f>
        <v>0</v>
      </c>
      <c r="AD84" s="91">
        <f>SUMIFS(tabela_registros[VALOR],tabela_registros[MÊS],$AE$1,tabela_registros[DIA],receitasfixasconsolidadojul[[#Headers],[26]],tabela_registros[REGISTRO],DADOS!$N$3,tabela_registros[TIPO],DADOS!$V$3,tabela_registros[CATEGORIA],receitasfixasconsolidadojul[[#This Row],[ATUAL]])</f>
        <v>0</v>
      </c>
      <c r="AE84" s="91">
        <f>SUMIFS(tabela_registros[VALOR],tabela_registros[MÊS],$AE$1,tabela_registros[DIA],receitasfixasconsolidadojul[[#Headers],[27]],tabela_registros[REGISTRO],DADOS!$N$3,tabela_registros[TIPO],DADOS!$V$3,tabela_registros[CATEGORIA],receitasfixasconsolidadojul[[#This Row],[ATUAL]])</f>
        <v>0</v>
      </c>
      <c r="AF84" s="91">
        <f>SUMIFS(tabela_registros[VALOR],tabela_registros[MÊS],$AE$1,tabela_registros[DIA],receitasfixasconsolidadojul[[#Headers],[28]],tabela_registros[REGISTRO],DADOS!$N$3,tabela_registros[TIPO],DADOS!$V$3,tabela_registros[CATEGORIA],receitasfixasconsolidadojul[[#This Row],[ATUAL]])</f>
        <v>0</v>
      </c>
      <c r="AG84" s="91">
        <f>SUMIFS(tabela_registros[VALOR],tabela_registros[MÊS],$AE$1,tabela_registros[DIA],receitasfixasconsolidadojul[[#Headers],[29]],tabela_registros[REGISTRO],DADOS!$N$3,tabela_registros[TIPO],DADOS!$V$3,tabela_registros[CATEGORIA],receitasfixasconsolidadojul[[#This Row],[ATUAL]])</f>
        <v>0</v>
      </c>
      <c r="AH84" s="91">
        <f>SUMIFS(tabela_registros[VALOR],tabela_registros[MÊS],$AE$1,tabela_registros[DIA],receitasfixasconsolidadojul[[#Headers],[30]],tabela_registros[REGISTRO],DADOS!$N$3,tabela_registros[TIPO],DADOS!$V$3,tabela_registros[CATEGORIA],receitasfixasconsolidadojul[[#This Row],[ATUAL]])</f>
        <v>0</v>
      </c>
      <c r="AI84" s="101">
        <f>SUMIFS(tabela_registros[VALOR],tabela_registros[MÊS],$AE$1,tabela_registros[DIA],receitasfixasconsolidadojul[[#Headers],[31]],tabela_registros[REGISTRO],DADOS!$N$3,tabela_registros[TIPO],DADOS!$V$3,tabela_registros[CATEGORIA],receitasfixasconsolidadojul[[#This Row],[ATUAL]])</f>
        <v>0</v>
      </c>
      <c r="AJ84" s="97">
        <f>SUM(receitasfixasconsolidadojul[[#This Row],[1]:[31]])</f>
        <v>0</v>
      </c>
      <c r="AK84" s="25"/>
    </row>
    <row r="85" spans="2:37" ht="19.5" customHeight="1" thickTop="1" thickBot="1" x14ac:dyDescent="0.3">
      <c r="B85" s="28"/>
      <c r="C85" s="27" t="str">
        <f>DADOS!$X$6</f>
        <v>💰 SALÁRIO</v>
      </c>
      <c r="D85" s="26" t="str">
        <f>IF(receitasfixasconsolidadojul[[#This Row],[TOTAL (R$)]]=0,"",IF(OR(receitasfixasconsolidadojul[[#This Row],[TOTAL (R$)]]=LARGE($AJ$82:$AJ$86,1),receitasfixasconsolidadojul[[#This Row],[TOTAL (R$)]]=LARGE($AJ$82:$AJ$86,2)),DADOS!$I$9,""))</f>
        <v/>
      </c>
      <c r="E85" s="96">
        <f>SUMIFS(tabela_registros[VALOR],tabela_registros[MÊS],$AE$1,tabela_registros[DIA],receitasfixasconsolidadojul[[#Headers],[1]],tabela_registros[REGISTRO],DADOS!$N$3,tabela_registros[TIPO],DADOS!$V$3,tabela_registros[CATEGORIA],receitasfixasconsolidadojul[[#This Row],[ATUAL]])</f>
        <v>0</v>
      </c>
      <c r="F85" s="91">
        <f>SUMIFS(tabela_registros[VALOR],tabela_registros[MÊS],$AE$1,tabela_registros[DIA],receitasfixasconsolidadojul[[#Headers],[2]],tabela_registros[REGISTRO],DADOS!$N$3,tabela_registros[TIPO],DADOS!$V$3,tabela_registros[CATEGORIA],receitasfixasconsolidadojul[[#This Row],[ATUAL]])</f>
        <v>0</v>
      </c>
      <c r="G85" s="91">
        <f>SUMIFS(tabela_registros[VALOR],tabela_registros[MÊS],$AE$1,tabela_registros[DIA],receitasfixasconsolidadojul[[#Headers],[3]],tabela_registros[REGISTRO],DADOS!$N$3,tabela_registros[TIPO],DADOS!$V$3,tabela_registros[CATEGORIA],receitasfixasconsolidadojul[[#This Row],[ATUAL]])</f>
        <v>0</v>
      </c>
      <c r="H85" s="91">
        <f>SUMIFS(tabela_registros[VALOR],tabela_registros[MÊS],$AE$1,tabela_registros[DIA],receitasfixasconsolidadojul[[#Headers],[4]],tabela_registros[REGISTRO],DADOS!$N$3,tabela_registros[TIPO],DADOS!$V$3,tabela_registros[CATEGORIA],receitasfixasconsolidadojul[[#This Row],[ATUAL]])</f>
        <v>0</v>
      </c>
      <c r="I85" s="91">
        <f>SUMIFS(tabela_registros[VALOR],tabela_registros[MÊS],$AE$1,tabela_registros[DIA],receitasfixasconsolidadojul[[#Headers],[5]],tabela_registros[REGISTRO],DADOS!$N$3,tabela_registros[TIPO],DADOS!$V$3,tabela_registros[CATEGORIA],receitasfixasconsolidadojul[[#This Row],[ATUAL]])</f>
        <v>0</v>
      </c>
      <c r="J85" s="91">
        <f>SUMIFS(tabela_registros[VALOR],tabela_registros[MÊS],$AE$1,tabela_registros[DIA],receitasfixasconsolidadojul[[#Headers],[6]],tabela_registros[REGISTRO],DADOS!$N$3,tabela_registros[TIPO],DADOS!$V$3,tabela_registros[CATEGORIA],receitasfixasconsolidadojul[[#This Row],[ATUAL]])</f>
        <v>0</v>
      </c>
      <c r="K85" s="91">
        <f>SUMIFS(tabela_registros[VALOR],tabela_registros[MÊS],$AE$1,tabela_registros[DIA],receitasfixasconsolidadojul[[#Headers],[7]],tabela_registros[REGISTRO],DADOS!$N$3,tabela_registros[TIPO],DADOS!$V$3,tabela_registros[CATEGORIA],receitasfixasconsolidadojul[[#This Row],[ATUAL]])</f>
        <v>0</v>
      </c>
      <c r="L85" s="91">
        <f>SUMIFS(tabela_registros[VALOR],tabela_registros[MÊS],$AE$1,tabela_registros[DIA],receitasfixasconsolidadojul[[#Headers],[8]],tabela_registros[REGISTRO],DADOS!$N$3,tabela_registros[TIPO],DADOS!$V$3,tabela_registros[CATEGORIA],receitasfixasconsolidadojul[[#This Row],[ATUAL]])</f>
        <v>0</v>
      </c>
      <c r="M85" s="91">
        <f>SUMIFS(tabela_registros[VALOR],tabela_registros[MÊS],$AE$1,tabela_registros[DIA],receitasfixasconsolidadojul[[#Headers],[9]],tabela_registros[REGISTRO],DADOS!$N$3,tabela_registros[TIPO],DADOS!$V$3,tabela_registros[CATEGORIA],receitasfixasconsolidadojul[[#This Row],[ATUAL]])</f>
        <v>0</v>
      </c>
      <c r="N85" s="91">
        <f>SUMIFS(tabela_registros[VALOR],tabela_registros[MÊS],$AE$1,tabela_registros[DIA],receitasfixasconsolidadojul[[#Headers],[10]],tabela_registros[REGISTRO],DADOS!$N$3,tabela_registros[TIPO],DADOS!$V$3,tabela_registros[CATEGORIA],receitasfixasconsolidadojul[[#This Row],[ATUAL]])</f>
        <v>0</v>
      </c>
      <c r="O85" s="91">
        <f>SUMIFS(tabela_registros[VALOR],tabela_registros[MÊS],$AE$1,tabela_registros[DIA],receitasfixasconsolidadojul[[#Headers],[11]],tabela_registros[REGISTRO],DADOS!$N$3,tabela_registros[TIPO],DADOS!$V$3,tabela_registros[CATEGORIA],receitasfixasconsolidadojul[[#This Row],[ATUAL]])</f>
        <v>0</v>
      </c>
      <c r="P85" s="91">
        <f>SUMIFS(tabela_registros[VALOR],tabela_registros[MÊS],$AE$1,tabela_registros[DIA],receitasfixasconsolidadojul[[#Headers],[12]],tabela_registros[REGISTRO],DADOS!$N$3,tabela_registros[TIPO],DADOS!$V$3,tabela_registros[CATEGORIA],receitasfixasconsolidadojul[[#This Row],[ATUAL]])</f>
        <v>0</v>
      </c>
      <c r="Q85" s="91">
        <f>SUMIFS(tabela_registros[VALOR],tabela_registros[MÊS],$AE$1,tabela_registros[DIA],receitasfixasconsolidadojul[[#Headers],[13]],tabela_registros[REGISTRO],DADOS!$N$3,tabela_registros[TIPO],DADOS!$V$3,tabela_registros[CATEGORIA],receitasfixasconsolidadojul[[#This Row],[ATUAL]])</f>
        <v>0</v>
      </c>
      <c r="R85" s="91">
        <f>SUMIFS(tabela_registros[VALOR],tabela_registros[MÊS],$AE$1,tabela_registros[DIA],receitasfixasconsolidadojul[[#Headers],[14]],tabela_registros[REGISTRO],DADOS!$N$3,tabela_registros[TIPO],DADOS!$V$3,tabela_registros[CATEGORIA],receitasfixasconsolidadojul[[#This Row],[ATUAL]])</f>
        <v>0</v>
      </c>
      <c r="S85" s="91">
        <f>SUMIFS(tabela_registros[VALOR],tabela_registros[MÊS],$AE$1,tabela_registros[DIA],receitasfixasconsolidadojul[[#Headers],[15]],tabela_registros[REGISTRO],DADOS!$N$3,tabela_registros[TIPO],DADOS!$V$3,tabela_registros[CATEGORIA],receitasfixasconsolidadojul[[#This Row],[ATUAL]])</f>
        <v>0</v>
      </c>
      <c r="T85" s="91">
        <f>SUMIFS(tabela_registros[VALOR],tabela_registros[MÊS],$AE$1,tabela_registros[DIA],receitasfixasconsolidadojul[[#Headers],[16]],tabela_registros[REGISTRO],DADOS!$N$3,tabela_registros[TIPO],DADOS!$V$3,tabela_registros[CATEGORIA],receitasfixasconsolidadojul[[#This Row],[ATUAL]])</f>
        <v>0</v>
      </c>
      <c r="U85" s="91">
        <f>SUMIFS(tabela_registros[VALOR],tabela_registros[MÊS],$AE$1,tabela_registros[DIA],receitasfixasconsolidadojul[[#Headers],[17]],tabela_registros[REGISTRO],DADOS!$N$3,tabela_registros[TIPO],DADOS!$V$3,tabela_registros[CATEGORIA],receitasfixasconsolidadojul[[#This Row],[ATUAL]])</f>
        <v>0</v>
      </c>
      <c r="V85" s="91">
        <f>SUMIFS(tabela_registros[VALOR],tabela_registros[MÊS],$AE$1,tabela_registros[DIA],receitasfixasconsolidadojul[[#Headers],[18]],tabela_registros[REGISTRO],DADOS!$N$3,tabela_registros[TIPO],DADOS!$V$3,tabela_registros[CATEGORIA],receitasfixasconsolidadojul[[#This Row],[ATUAL]])</f>
        <v>0</v>
      </c>
      <c r="W85" s="91">
        <f>SUMIFS(tabela_registros[VALOR],tabela_registros[MÊS],$AE$1,tabela_registros[DIA],receitasfixasconsolidadojul[[#Headers],[19]],tabela_registros[REGISTRO],DADOS!$N$3,tabela_registros[TIPO],DADOS!$V$3,tabela_registros[CATEGORIA],receitasfixasconsolidadojul[[#This Row],[ATUAL]])</f>
        <v>0</v>
      </c>
      <c r="X85" s="91">
        <f>SUMIFS(tabela_registros[VALOR],tabela_registros[MÊS],$AE$1,tabela_registros[DIA],receitasfixasconsolidadojul[[#Headers],[20]],tabela_registros[REGISTRO],DADOS!$N$3,tabela_registros[TIPO],DADOS!$V$3,tabela_registros[CATEGORIA],receitasfixasconsolidadojul[[#This Row],[ATUAL]])</f>
        <v>0</v>
      </c>
      <c r="Y85" s="91">
        <f>SUMIFS(tabela_registros[VALOR],tabela_registros[MÊS],$AE$1,tabela_registros[DIA],receitasfixasconsolidadojul[[#Headers],[21]],tabela_registros[REGISTRO],DADOS!$N$3,tabela_registros[TIPO],DADOS!$V$3,tabela_registros[CATEGORIA],receitasfixasconsolidadojul[[#This Row],[ATUAL]])</f>
        <v>0</v>
      </c>
      <c r="Z85" s="91">
        <f>SUMIFS(tabela_registros[VALOR],tabela_registros[MÊS],$AE$1,tabela_registros[DIA],receitasfixasconsolidadojul[[#Headers],[22]],tabela_registros[REGISTRO],DADOS!$N$3,tabela_registros[TIPO],DADOS!$V$3,tabela_registros[CATEGORIA],receitasfixasconsolidadojul[[#This Row],[ATUAL]])</f>
        <v>0</v>
      </c>
      <c r="AA85" s="91">
        <f>SUMIFS(tabela_registros[VALOR],tabela_registros[MÊS],$AE$1,tabela_registros[DIA],receitasfixasconsolidadojul[[#Headers],[23]],tabela_registros[REGISTRO],DADOS!$N$3,tabela_registros[TIPO],DADOS!$V$3,tabela_registros[CATEGORIA],receitasfixasconsolidadojul[[#This Row],[ATUAL]])</f>
        <v>0</v>
      </c>
      <c r="AB85" s="91">
        <f>SUMIFS(tabela_registros[VALOR],tabela_registros[MÊS],$AE$1,tabela_registros[DIA],receitasfixasconsolidadojul[[#Headers],[24]],tabela_registros[REGISTRO],DADOS!$N$3,tabela_registros[TIPO],DADOS!$V$3,tabela_registros[CATEGORIA],receitasfixasconsolidadojul[[#This Row],[ATUAL]])</f>
        <v>0</v>
      </c>
      <c r="AC85" s="91">
        <f>SUMIFS(tabela_registros[VALOR],tabela_registros[MÊS],$AE$1,tabela_registros[DIA],receitasfixasconsolidadojul[[#Headers],[25]],tabela_registros[REGISTRO],DADOS!$N$3,tabela_registros[TIPO],DADOS!$V$3,tabela_registros[CATEGORIA],receitasfixasconsolidadojul[[#This Row],[ATUAL]])</f>
        <v>0</v>
      </c>
      <c r="AD85" s="91">
        <f>SUMIFS(tabela_registros[VALOR],tabela_registros[MÊS],$AE$1,tabela_registros[DIA],receitasfixasconsolidadojul[[#Headers],[26]],tabela_registros[REGISTRO],DADOS!$N$3,tabela_registros[TIPO],DADOS!$V$3,tabela_registros[CATEGORIA],receitasfixasconsolidadojul[[#This Row],[ATUAL]])</f>
        <v>0</v>
      </c>
      <c r="AE85" s="91">
        <f>SUMIFS(tabela_registros[VALOR],tabela_registros[MÊS],$AE$1,tabela_registros[DIA],receitasfixasconsolidadojul[[#Headers],[27]],tabela_registros[REGISTRO],DADOS!$N$3,tabela_registros[TIPO],DADOS!$V$3,tabela_registros[CATEGORIA],receitasfixasconsolidadojul[[#This Row],[ATUAL]])</f>
        <v>0</v>
      </c>
      <c r="AF85" s="91">
        <f>SUMIFS(tabela_registros[VALOR],tabela_registros[MÊS],$AE$1,tabela_registros[DIA],receitasfixasconsolidadojul[[#Headers],[28]],tabela_registros[REGISTRO],DADOS!$N$3,tabela_registros[TIPO],DADOS!$V$3,tabela_registros[CATEGORIA],receitasfixasconsolidadojul[[#This Row],[ATUAL]])</f>
        <v>0</v>
      </c>
      <c r="AG85" s="91">
        <f>SUMIFS(tabela_registros[VALOR],tabela_registros[MÊS],$AE$1,tabela_registros[DIA],receitasfixasconsolidadojul[[#Headers],[29]],tabela_registros[REGISTRO],DADOS!$N$3,tabela_registros[TIPO],DADOS!$V$3,tabela_registros[CATEGORIA],receitasfixasconsolidadojul[[#This Row],[ATUAL]])</f>
        <v>0</v>
      </c>
      <c r="AH85" s="91">
        <f>SUMIFS(tabela_registros[VALOR],tabela_registros[MÊS],$AE$1,tabela_registros[DIA],receitasfixasconsolidadojul[[#Headers],[30]],tabela_registros[REGISTRO],DADOS!$N$3,tabela_registros[TIPO],DADOS!$V$3,tabela_registros[CATEGORIA],receitasfixasconsolidadojul[[#This Row],[ATUAL]])</f>
        <v>0</v>
      </c>
      <c r="AI85" s="101">
        <f>SUMIFS(tabela_registros[VALOR],tabela_registros[MÊS],$AE$1,tabela_registros[DIA],receitasfixasconsolidadojul[[#Headers],[31]],tabela_registros[REGISTRO],DADOS!$N$3,tabela_registros[TIPO],DADOS!$V$3,tabela_registros[CATEGORIA],receitasfixasconsolidadojul[[#This Row],[ATUAL]])</f>
        <v>0</v>
      </c>
      <c r="AJ85" s="97">
        <f>SUM(receitasfixasconsolidadojul[[#This Row],[1]:[31]])</f>
        <v>0</v>
      </c>
      <c r="AK85" s="25"/>
    </row>
    <row r="86" spans="2:37" ht="18" customHeight="1" thickTop="1" thickBot="1" x14ac:dyDescent="0.3">
      <c r="B86" s="28"/>
      <c r="C86" s="27" t="str">
        <f>DADOS!$X$7</f>
        <v>📎 OUTROS</v>
      </c>
      <c r="D86" s="26" t="str">
        <f>IF(receitasfixasconsolidadojul[[#This Row],[TOTAL (R$)]]=0,"",IF(OR(receitasfixasconsolidadojul[[#This Row],[TOTAL (R$)]]=LARGE($AJ$82:$AJ$86,1),receitasfixasconsolidadojul[[#This Row],[TOTAL (R$)]]=LARGE($AJ$82:$AJ$86,2)),DADOS!$I$9,""))</f>
        <v/>
      </c>
      <c r="E86" s="96">
        <f>SUMIFS(tabela_registros[VALOR],tabela_registros[MÊS],$AE$1,tabela_registros[DIA],receitasfixasconsolidadojul[[#Headers],[1]],tabela_registros[REGISTRO],DADOS!$N$3,tabela_registros[TIPO],DADOS!$V$3,tabela_registros[CATEGORIA],receitasfixasconsolidadojul[[#This Row],[ATUAL]])</f>
        <v>0</v>
      </c>
      <c r="F86" s="91">
        <f>SUMIFS(tabela_registros[VALOR],tabela_registros[MÊS],$AE$1,tabela_registros[DIA],receitasfixasconsolidadojul[[#Headers],[2]],tabela_registros[REGISTRO],DADOS!$N$3,tabela_registros[TIPO],DADOS!$V$3,tabela_registros[CATEGORIA],receitasfixasconsolidadojul[[#This Row],[ATUAL]])</f>
        <v>0</v>
      </c>
      <c r="G86" s="91">
        <f>SUMIFS(tabela_registros[VALOR],tabela_registros[MÊS],$AE$1,tabela_registros[DIA],receitasfixasconsolidadojul[[#Headers],[3]],tabela_registros[REGISTRO],DADOS!$N$3,tabela_registros[TIPO],DADOS!$V$3,tabela_registros[CATEGORIA],receitasfixasconsolidadojul[[#This Row],[ATUAL]])</f>
        <v>0</v>
      </c>
      <c r="H86" s="91">
        <f>SUMIFS(tabela_registros[VALOR],tabela_registros[MÊS],$AE$1,tabela_registros[DIA],receitasfixasconsolidadojul[[#Headers],[4]],tabela_registros[REGISTRO],DADOS!$N$3,tabela_registros[TIPO],DADOS!$V$3,tabela_registros[CATEGORIA],receitasfixasconsolidadojul[[#This Row],[ATUAL]])</f>
        <v>0</v>
      </c>
      <c r="I86" s="91">
        <f>SUMIFS(tabela_registros[VALOR],tabela_registros[MÊS],$AE$1,tabela_registros[DIA],receitasfixasconsolidadojul[[#Headers],[5]],tabela_registros[REGISTRO],DADOS!$N$3,tabela_registros[TIPO],DADOS!$V$3,tabela_registros[CATEGORIA],receitasfixasconsolidadojul[[#This Row],[ATUAL]])</f>
        <v>0</v>
      </c>
      <c r="J86" s="91">
        <f>SUMIFS(tabela_registros[VALOR],tabela_registros[MÊS],$AE$1,tabela_registros[DIA],receitasfixasconsolidadojul[[#Headers],[6]],tabela_registros[REGISTRO],DADOS!$N$3,tabela_registros[TIPO],DADOS!$V$3,tabela_registros[CATEGORIA],receitasfixasconsolidadojul[[#This Row],[ATUAL]])</f>
        <v>0</v>
      </c>
      <c r="K86" s="91">
        <f>SUMIFS(tabela_registros[VALOR],tabela_registros[MÊS],$AE$1,tabela_registros[DIA],receitasfixasconsolidadojul[[#Headers],[7]],tabela_registros[REGISTRO],DADOS!$N$3,tabela_registros[TIPO],DADOS!$V$3,tabela_registros[CATEGORIA],receitasfixasconsolidadojul[[#This Row],[ATUAL]])</f>
        <v>0</v>
      </c>
      <c r="L86" s="91">
        <f>SUMIFS(tabela_registros[VALOR],tabela_registros[MÊS],$AE$1,tabela_registros[DIA],receitasfixasconsolidadojul[[#Headers],[8]],tabela_registros[REGISTRO],DADOS!$N$3,tabela_registros[TIPO],DADOS!$V$3,tabela_registros[CATEGORIA],receitasfixasconsolidadojul[[#This Row],[ATUAL]])</f>
        <v>0</v>
      </c>
      <c r="M86" s="91">
        <f>SUMIFS(tabela_registros[VALOR],tabela_registros[MÊS],$AE$1,tabela_registros[DIA],receitasfixasconsolidadojul[[#Headers],[9]],tabela_registros[REGISTRO],DADOS!$N$3,tabela_registros[TIPO],DADOS!$V$3,tabela_registros[CATEGORIA],receitasfixasconsolidadojul[[#This Row],[ATUAL]])</f>
        <v>0</v>
      </c>
      <c r="N86" s="91">
        <f>SUMIFS(tabela_registros[VALOR],tabela_registros[MÊS],$AE$1,tabela_registros[DIA],receitasfixasconsolidadojul[[#Headers],[10]],tabela_registros[REGISTRO],DADOS!$N$3,tabela_registros[TIPO],DADOS!$V$3,tabela_registros[CATEGORIA],receitasfixasconsolidadojul[[#This Row],[ATUAL]])</f>
        <v>0</v>
      </c>
      <c r="O86" s="91">
        <f>SUMIFS(tabela_registros[VALOR],tabela_registros[MÊS],$AE$1,tabela_registros[DIA],receitasfixasconsolidadojul[[#Headers],[11]],tabela_registros[REGISTRO],DADOS!$N$3,tabela_registros[TIPO],DADOS!$V$3,tabela_registros[CATEGORIA],receitasfixasconsolidadojul[[#This Row],[ATUAL]])</f>
        <v>0</v>
      </c>
      <c r="P86" s="91">
        <f>SUMIFS(tabela_registros[VALOR],tabela_registros[MÊS],$AE$1,tabela_registros[DIA],receitasfixasconsolidadojul[[#Headers],[12]],tabela_registros[REGISTRO],DADOS!$N$3,tabela_registros[TIPO],DADOS!$V$3,tabela_registros[CATEGORIA],receitasfixasconsolidadojul[[#This Row],[ATUAL]])</f>
        <v>0</v>
      </c>
      <c r="Q86" s="91">
        <f>SUMIFS(tabela_registros[VALOR],tabela_registros[MÊS],$AE$1,tabela_registros[DIA],receitasfixasconsolidadojul[[#Headers],[13]],tabela_registros[REGISTRO],DADOS!$N$3,tabela_registros[TIPO],DADOS!$V$3,tabela_registros[CATEGORIA],receitasfixasconsolidadojul[[#This Row],[ATUAL]])</f>
        <v>0</v>
      </c>
      <c r="R86" s="91">
        <f>SUMIFS(tabela_registros[VALOR],tabela_registros[MÊS],$AE$1,tabela_registros[DIA],receitasfixasconsolidadojul[[#Headers],[14]],tabela_registros[REGISTRO],DADOS!$N$3,tabela_registros[TIPO],DADOS!$V$3,tabela_registros[CATEGORIA],receitasfixasconsolidadojul[[#This Row],[ATUAL]])</f>
        <v>0</v>
      </c>
      <c r="S86" s="91">
        <f>SUMIFS(tabela_registros[VALOR],tabela_registros[MÊS],$AE$1,tabela_registros[DIA],receitasfixasconsolidadojul[[#Headers],[15]],tabela_registros[REGISTRO],DADOS!$N$3,tabela_registros[TIPO],DADOS!$V$3,tabela_registros[CATEGORIA],receitasfixasconsolidadojul[[#This Row],[ATUAL]])</f>
        <v>0</v>
      </c>
      <c r="T86" s="91">
        <f>SUMIFS(tabela_registros[VALOR],tabela_registros[MÊS],$AE$1,tabela_registros[DIA],receitasfixasconsolidadojul[[#Headers],[16]],tabela_registros[REGISTRO],DADOS!$N$3,tabela_registros[TIPO],DADOS!$V$3,tabela_registros[CATEGORIA],receitasfixasconsolidadojul[[#This Row],[ATUAL]])</f>
        <v>0</v>
      </c>
      <c r="U86" s="91">
        <f>SUMIFS(tabela_registros[VALOR],tabela_registros[MÊS],$AE$1,tabela_registros[DIA],receitasfixasconsolidadojul[[#Headers],[17]],tabela_registros[REGISTRO],DADOS!$N$3,tabela_registros[TIPO],DADOS!$V$3,tabela_registros[CATEGORIA],receitasfixasconsolidadojul[[#This Row],[ATUAL]])</f>
        <v>0</v>
      </c>
      <c r="V86" s="91">
        <f>SUMIFS(tabela_registros[VALOR],tabela_registros[MÊS],$AE$1,tabela_registros[DIA],receitasfixasconsolidadojul[[#Headers],[18]],tabela_registros[REGISTRO],DADOS!$N$3,tabela_registros[TIPO],DADOS!$V$3,tabela_registros[CATEGORIA],receitasfixasconsolidadojul[[#This Row],[ATUAL]])</f>
        <v>0</v>
      </c>
      <c r="W86" s="91">
        <f>SUMIFS(tabela_registros[VALOR],tabela_registros[MÊS],$AE$1,tabela_registros[DIA],receitasfixasconsolidadojul[[#Headers],[19]],tabela_registros[REGISTRO],DADOS!$N$3,tabela_registros[TIPO],DADOS!$V$3,tabela_registros[CATEGORIA],receitasfixasconsolidadojul[[#This Row],[ATUAL]])</f>
        <v>0</v>
      </c>
      <c r="X86" s="91">
        <f>SUMIFS(tabela_registros[VALOR],tabela_registros[MÊS],$AE$1,tabela_registros[DIA],receitasfixasconsolidadojul[[#Headers],[20]],tabela_registros[REGISTRO],DADOS!$N$3,tabela_registros[TIPO],DADOS!$V$3,tabela_registros[CATEGORIA],receitasfixasconsolidadojul[[#This Row],[ATUAL]])</f>
        <v>0</v>
      </c>
      <c r="Y86" s="91">
        <f>SUMIFS(tabela_registros[VALOR],tabela_registros[MÊS],$AE$1,tabela_registros[DIA],receitasfixasconsolidadojul[[#Headers],[21]],tabela_registros[REGISTRO],DADOS!$N$3,tabela_registros[TIPO],DADOS!$V$3,tabela_registros[CATEGORIA],receitasfixasconsolidadojul[[#This Row],[ATUAL]])</f>
        <v>0</v>
      </c>
      <c r="Z86" s="91">
        <f>SUMIFS(tabela_registros[VALOR],tabela_registros[MÊS],$AE$1,tabela_registros[DIA],receitasfixasconsolidadojul[[#Headers],[22]],tabela_registros[REGISTRO],DADOS!$N$3,tabela_registros[TIPO],DADOS!$V$3,tabela_registros[CATEGORIA],receitasfixasconsolidadojul[[#This Row],[ATUAL]])</f>
        <v>0</v>
      </c>
      <c r="AA86" s="91">
        <f>SUMIFS(tabela_registros[VALOR],tabela_registros[MÊS],$AE$1,tabela_registros[DIA],receitasfixasconsolidadojul[[#Headers],[23]],tabela_registros[REGISTRO],DADOS!$N$3,tabela_registros[TIPO],DADOS!$V$3,tabela_registros[CATEGORIA],receitasfixasconsolidadojul[[#This Row],[ATUAL]])</f>
        <v>0</v>
      </c>
      <c r="AB86" s="91">
        <f>SUMIFS(tabela_registros[VALOR],tabela_registros[MÊS],$AE$1,tabela_registros[DIA],receitasfixasconsolidadojul[[#Headers],[24]],tabela_registros[REGISTRO],DADOS!$N$3,tabela_registros[TIPO],DADOS!$V$3,tabela_registros[CATEGORIA],receitasfixasconsolidadojul[[#This Row],[ATUAL]])</f>
        <v>0</v>
      </c>
      <c r="AC86" s="91">
        <f>SUMIFS(tabela_registros[VALOR],tabela_registros[MÊS],$AE$1,tabela_registros[DIA],receitasfixasconsolidadojul[[#Headers],[25]],tabela_registros[REGISTRO],DADOS!$N$3,tabela_registros[TIPO],DADOS!$V$3,tabela_registros[CATEGORIA],receitasfixasconsolidadojul[[#This Row],[ATUAL]])</f>
        <v>0</v>
      </c>
      <c r="AD86" s="91">
        <f>SUMIFS(tabela_registros[VALOR],tabela_registros[MÊS],$AE$1,tabela_registros[DIA],receitasfixasconsolidadojul[[#Headers],[26]],tabela_registros[REGISTRO],DADOS!$N$3,tabela_registros[TIPO],DADOS!$V$3,tabela_registros[CATEGORIA],receitasfixasconsolidadojul[[#This Row],[ATUAL]])</f>
        <v>0</v>
      </c>
      <c r="AE86" s="91">
        <f>SUMIFS(tabela_registros[VALOR],tabela_registros[MÊS],$AE$1,tabela_registros[DIA],receitasfixasconsolidadojul[[#Headers],[27]],tabela_registros[REGISTRO],DADOS!$N$3,tabela_registros[TIPO],DADOS!$V$3,tabela_registros[CATEGORIA],receitasfixasconsolidadojul[[#This Row],[ATUAL]])</f>
        <v>0</v>
      </c>
      <c r="AF86" s="91">
        <f>SUMIFS(tabela_registros[VALOR],tabela_registros[MÊS],$AE$1,tabela_registros[DIA],receitasfixasconsolidadojul[[#Headers],[28]],tabela_registros[REGISTRO],DADOS!$N$3,tabela_registros[TIPO],DADOS!$V$3,tabela_registros[CATEGORIA],receitasfixasconsolidadojul[[#This Row],[ATUAL]])</f>
        <v>0</v>
      </c>
      <c r="AG86" s="91">
        <f>SUMIFS(tabela_registros[VALOR],tabela_registros[MÊS],$AE$1,tabela_registros[DIA],receitasfixasconsolidadojul[[#Headers],[29]],tabela_registros[REGISTRO],DADOS!$N$3,tabela_registros[TIPO],DADOS!$V$3,tabela_registros[CATEGORIA],receitasfixasconsolidadojul[[#This Row],[ATUAL]])</f>
        <v>0</v>
      </c>
      <c r="AH86" s="91">
        <f>SUMIFS(tabela_registros[VALOR],tabela_registros[MÊS],$AE$1,tabela_registros[DIA],receitasfixasconsolidadojul[[#Headers],[30]],tabela_registros[REGISTRO],DADOS!$N$3,tabela_registros[TIPO],DADOS!$V$3,tabela_registros[CATEGORIA],receitasfixasconsolidadojul[[#This Row],[ATUAL]])</f>
        <v>0</v>
      </c>
      <c r="AI86" s="102">
        <f>SUMIFS(tabela_registros[VALOR],tabela_registros[MÊS],$AE$1,tabela_registros[DIA],receitasfixasconsolidadojul[[#Headers],[31]],tabela_registros[REGISTRO],DADOS!$N$3,tabela_registros[TIPO],DADOS!$V$3,tabela_registros[CATEGORIA],receitasfixasconsolidadojul[[#This Row],[ATUAL]])</f>
        <v>0</v>
      </c>
      <c r="AJ86" s="97">
        <f>SUM(receitasfixasconsolidadojul[[#This Row],[1]:[31]])</f>
        <v>0</v>
      </c>
      <c r="AK86" s="25"/>
    </row>
    <row r="87" spans="2:37" s="16" customFormat="1" ht="21" customHeight="1" thickTop="1" thickBot="1" x14ac:dyDescent="0.35">
      <c r="B87" s="24"/>
      <c r="C87" s="23" t="s">
        <v>19</v>
      </c>
      <c r="D87" s="22"/>
      <c r="E87" s="21">
        <f>SUM(E82:E86)</f>
        <v>0</v>
      </c>
      <c r="F87" s="20">
        <f>SUM(F82:F86)+receitasfixasconsolidadojul[[#This Row],[1]]</f>
        <v>0</v>
      </c>
      <c r="G87" s="20">
        <f>SUM(G82:G86)+receitasfixasconsolidadojul[[#This Row],[2]]</f>
        <v>0</v>
      </c>
      <c r="H87" s="20">
        <f>SUM(H82:H86)+receitasfixasconsolidadojul[[#This Row],[3]]</f>
        <v>0</v>
      </c>
      <c r="I87" s="20">
        <f>SUM(I82:I86)+receitasfixasconsolidadojul[[#This Row],[4]]</f>
        <v>266</v>
      </c>
      <c r="J87" s="20">
        <f>SUM(J82:J86)+receitasfixasconsolidadojul[[#This Row],[5]]</f>
        <v>266</v>
      </c>
      <c r="K87" s="20">
        <f>SUM(K82:K86)+receitasfixasconsolidadojul[[#This Row],[6]]</f>
        <v>266</v>
      </c>
      <c r="L87" s="20">
        <f>SUM(L82:L86)+receitasfixasconsolidadojul[[#This Row],[7]]</f>
        <v>266</v>
      </c>
      <c r="M87" s="20">
        <f>SUM(M82:M86)+receitasfixasconsolidadojul[[#This Row],[8]]</f>
        <v>266</v>
      </c>
      <c r="N87" s="20">
        <f>SUM(N82:N86)+receitasfixasconsolidadojul[[#This Row],[9]]</f>
        <v>266</v>
      </c>
      <c r="O87" s="20">
        <f>SUM(O82:O86)+receitasfixasconsolidadojul[[#This Row],[10]]</f>
        <v>266</v>
      </c>
      <c r="P87" s="20">
        <f>SUM(P82:P86)+receitasfixasconsolidadojul[[#This Row],[11]]</f>
        <v>266</v>
      </c>
      <c r="Q87" s="20">
        <f>SUM(Q82:Q86)+receitasfixasconsolidadojul[[#This Row],[12]]</f>
        <v>266</v>
      </c>
      <c r="R87" s="20">
        <f>SUM(R82:R86)+receitasfixasconsolidadojul[[#This Row],[13]]</f>
        <v>266</v>
      </c>
      <c r="S87" s="20">
        <f>SUM(S82:S86)+receitasfixasconsolidadojul[[#This Row],[14]]</f>
        <v>266</v>
      </c>
      <c r="T87" s="20">
        <f>SUM(T82:T86)+receitasfixasconsolidadojul[[#This Row],[15]]</f>
        <v>266</v>
      </c>
      <c r="U87" s="20">
        <f>SUM(U82:U86)+receitasfixasconsolidadojul[[#This Row],[16]]</f>
        <v>266</v>
      </c>
      <c r="V87" s="20">
        <f>SUM(V82:V86)+receitasfixasconsolidadojul[[#This Row],[17]]</f>
        <v>266</v>
      </c>
      <c r="W87" s="20">
        <f>SUM(W82:W86)+receitasfixasconsolidadojul[[#This Row],[18]]</f>
        <v>266</v>
      </c>
      <c r="X87" s="20">
        <f>SUM(X82:X86)+receitasfixasconsolidadojul[[#This Row],[19]]</f>
        <v>266</v>
      </c>
      <c r="Y87" s="20">
        <f>SUM(Y82:Y86)+receitasfixasconsolidadojul[[#This Row],[20]]</f>
        <v>266</v>
      </c>
      <c r="Z87" s="20">
        <f>SUM(Z82:Z86)+receitasfixasconsolidadojul[[#This Row],[21]]</f>
        <v>266</v>
      </c>
      <c r="AA87" s="20">
        <f>SUM(AA82:AA86)+receitasfixasconsolidadojul[[#This Row],[22]]</f>
        <v>266</v>
      </c>
      <c r="AB87" s="20">
        <f>SUM(AB82:AB86)+receitasfixasconsolidadojul[[#This Row],[23]]</f>
        <v>266</v>
      </c>
      <c r="AC87" s="20">
        <f>SUM(AC82:AC86)+receitasfixasconsolidadojul[[#This Row],[24]]</f>
        <v>266</v>
      </c>
      <c r="AD87" s="20">
        <f>SUM(AD82:AD86)+receitasfixasconsolidadojul[[#This Row],[25]]</f>
        <v>266</v>
      </c>
      <c r="AE87" s="20">
        <f>SUM(AE82:AE86)+receitasfixasconsolidadojul[[#This Row],[26]]</f>
        <v>266</v>
      </c>
      <c r="AF87" s="20">
        <f>SUM(AF82:AF86)+receitasfixasconsolidadojul[[#This Row],[27]]</f>
        <v>266</v>
      </c>
      <c r="AG87" s="20">
        <f>SUM(AG82:AG86)+receitasfixasconsolidadojul[[#This Row],[28]]</f>
        <v>266</v>
      </c>
      <c r="AH87" s="20">
        <f>SUM(AH82:AH86)+receitasfixasconsolidadojul[[#This Row],[29]]</f>
        <v>266</v>
      </c>
      <c r="AI87" s="19">
        <f>SUM(AI82:AI86)+receitasfixasconsolidadojul[[#This Row],[30]]</f>
        <v>266</v>
      </c>
      <c r="AJ87" s="18">
        <f>receitasfixasconsolidadojul[[#This Row],[31]]</f>
        <v>266</v>
      </c>
      <c r="AK87" s="17"/>
    </row>
    <row r="88" spans="2:37" ht="6.75" customHeight="1" thickTop="1" thickBot="1" x14ac:dyDescent="0.3">
      <c r="B88" s="15"/>
      <c r="C88" s="14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2"/>
      <c r="AJ88" s="11"/>
      <c r="AK88" s="10"/>
    </row>
    <row r="89" spans="2:37" ht="12.6" thickTop="1" x14ac:dyDescent="0.25">
      <c r="E89" s="37"/>
      <c r="AI89" s="4"/>
    </row>
    <row r="90" spans="2:37" x14ac:dyDescent="0.25">
      <c r="AI90" s="4"/>
    </row>
    <row r="91" spans="2:37" x14ac:dyDescent="0.25">
      <c r="AI91" s="4"/>
    </row>
    <row r="92" spans="2:37" ht="39.75" customHeight="1" x14ac:dyDescent="0.7">
      <c r="C92" s="36"/>
      <c r="E92" s="240"/>
      <c r="F92" s="240"/>
      <c r="G92" s="240"/>
      <c r="H92" s="240"/>
      <c r="I92" s="240"/>
      <c r="J92" s="240"/>
      <c r="K92" s="240"/>
      <c r="L92" s="240"/>
      <c r="M92" s="240"/>
      <c r="N92" s="240"/>
      <c r="O92" s="240"/>
      <c r="P92" s="240"/>
      <c r="Q92" s="240"/>
      <c r="R92" s="240"/>
      <c r="S92" s="240"/>
      <c r="T92" s="240"/>
      <c r="U92" s="240"/>
      <c r="V92" s="240"/>
      <c r="W92" s="240"/>
      <c r="X92" s="240"/>
      <c r="Y92" s="240"/>
      <c r="Z92" s="240"/>
      <c r="AA92" s="240"/>
      <c r="AB92" s="240"/>
      <c r="AC92" s="240"/>
      <c r="AD92" s="240"/>
      <c r="AE92" s="240"/>
      <c r="AF92" s="240"/>
      <c r="AG92" s="240"/>
      <c r="AH92" s="240"/>
      <c r="AI92" s="240"/>
      <c r="AJ92" s="32" t="s">
        <v>19</v>
      </c>
    </row>
    <row r="93" spans="2:37" ht="12.6" thickBot="1" x14ac:dyDescent="0.3">
      <c r="B93" s="35"/>
      <c r="AI93" s="4"/>
      <c r="AJ93" s="34" t="s">
        <v>202</v>
      </c>
    </row>
    <row r="94" spans="2:37" ht="6.75" customHeight="1" thickTop="1" thickBot="1" x14ac:dyDescent="0.3">
      <c r="B94" s="2"/>
      <c r="C94" s="14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2"/>
      <c r="AK94" s="33"/>
    </row>
    <row r="95" spans="2:37" ht="13.2" hidden="1" thickTop="1" thickBot="1" x14ac:dyDescent="0.3">
      <c r="B95" s="2"/>
      <c r="C95" s="31" t="s">
        <v>199</v>
      </c>
      <c r="D95" s="30" t="s">
        <v>198</v>
      </c>
      <c r="E95" s="30" t="s">
        <v>197</v>
      </c>
      <c r="F95" s="30" t="s">
        <v>196</v>
      </c>
      <c r="G95" s="30" t="s">
        <v>195</v>
      </c>
      <c r="H95" s="30" t="s">
        <v>194</v>
      </c>
      <c r="I95" s="30" t="s">
        <v>193</v>
      </c>
      <c r="J95" s="30" t="s">
        <v>192</v>
      </c>
      <c r="K95" s="30" t="s">
        <v>191</v>
      </c>
      <c r="L95" s="30" t="s">
        <v>190</v>
      </c>
      <c r="M95" s="30" t="s">
        <v>189</v>
      </c>
      <c r="N95" s="30" t="s">
        <v>188</v>
      </c>
      <c r="O95" s="30" t="s">
        <v>187</v>
      </c>
      <c r="P95" s="30" t="s">
        <v>186</v>
      </c>
      <c r="Q95" s="30" t="s">
        <v>185</v>
      </c>
      <c r="R95" s="30" t="s">
        <v>184</v>
      </c>
      <c r="S95" s="30" t="s">
        <v>183</v>
      </c>
      <c r="T95" s="30" t="s">
        <v>182</v>
      </c>
      <c r="U95" s="30" t="s">
        <v>181</v>
      </c>
      <c r="V95" s="30" t="s">
        <v>180</v>
      </c>
      <c r="W95" s="30" t="s">
        <v>179</v>
      </c>
      <c r="X95" s="30" t="s">
        <v>178</v>
      </c>
      <c r="Y95" s="30" t="s">
        <v>177</v>
      </c>
      <c r="Z95" s="30" t="s">
        <v>176</v>
      </c>
      <c r="AA95" s="30" t="s">
        <v>175</v>
      </c>
      <c r="AB95" s="30" t="s">
        <v>174</v>
      </c>
      <c r="AC95" s="30" t="s">
        <v>173</v>
      </c>
      <c r="AD95" s="30" t="s">
        <v>172</v>
      </c>
      <c r="AE95" s="30" t="s">
        <v>171</v>
      </c>
      <c r="AF95" s="30" t="s">
        <v>170</v>
      </c>
      <c r="AG95" s="30" t="s">
        <v>169</v>
      </c>
      <c r="AH95" s="30" t="s">
        <v>168</v>
      </c>
      <c r="AI95" s="30" t="s">
        <v>167</v>
      </c>
      <c r="AJ95" s="29" t="s">
        <v>166</v>
      </c>
      <c r="AK95" s="2"/>
    </row>
    <row r="96" spans="2:37" ht="19.5" customHeight="1" thickTop="1" thickBot="1" x14ac:dyDescent="0.3">
      <c r="B96" s="28"/>
      <c r="C96" s="27" t="str">
        <f>DADOS!$Z$3</f>
        <v>🏅 BÔNUS</v>
      </c>
      <c r="D96" s="26" t="str">
        <f>IF(receitasvariáveisconsolidadojul[[#This Row],[TOTAL (R$)]]=0,"",IF(OR(receitasvariáveisconsolidadojul[[#This Row],[TOTAL (R$)]]=LARGE($AJ$96:$AJ$103,1),receitasvariáveisconsolidadojul[[#This Row],[TOTAL (R$)]]=LARGE($AJ$96:$AJ$103,2)),DADOS!$I$9,""))</f>
        <v/>
      </c>
      <c r="E96" s="96">
        <f>SUMIFS(tabela_registros[VALOR],tabela_registros[MÊS],$AE$1,tabela_registros[DIA],receitasvariáveisconsolidadojul[[#Headers],[1]],tabela_registros[REGISTRO],DADOS!$N$3,tabela_registros[TIPO],DADOS!$V$4,tabela_registros[CATEGORIA],receitasvariáveisconsolidadojul[[#This Row],[ATUAL]])</f>
        <v>0</v>
      </c>
      <c r="F96" s="91">
        <f>SUMIFS(tabela_registros[VALOR],tabela_registros[MÊS],$AE$1,tabela_registros[DIA],receitasvariáveisconsolidadojul[[#Headers],[2]],tabela_registros[REGISTRO],DADOS!$N$3,tabela_registros[TIPO],DADOS!$V$4,tabela_registros[CATEGORIA],receitasvariáveisconsolidadojul[[#This Row],[ATUAL]])</f>
        <v>0</v>
      </c>
      <c r="G96" s="91">
        <f>SUMIFS(tabela_registros[VALOR],tabela_registros[MÊS],$AE$1,tabela_registros[DIA],receitasvariáveisconsolidadojul[[#Headers],[3]],tabela_registros[REGISTRO],DADOS!$N$3,tabela_registros[TIPO],DADOS!$V$4,tabela_registros[CATEGORIA],receitasvariáveisconsolidadojul[[#This Row],[ATUAL]])</f>
        <v>0</v>
      </c>
      <c r="H96" s="91">
        <f>SUMIFS(tabela_registros[VALOR],tabela_registros[MÊS],$AE$1,tabela_registros[DIA],receitasvariáveisconsolidadojul[[#Headers],[4]],tabela_registros[REGISTRO],DADOS!$N$3,tabela_registros[TIPO],DADOS!$V$4,tabela_registros[CATEGORIA],receitasvariáveisconsolidadojul[[#This Row],[ATUAL]])</f>
        <v>0</v>
      </c>
      <c r="I96" s="91">
        <f>SUMIFS(tabela_registros[VALOR],tabela_registros[MÊS],$AE$1,tabela_registros[DIA],receitasvariáveisconsolidadojul[[#Headers],[5]],tabela_registros[REGISTRO],DADOS!$N$3,tabela_registros[TIPO],DADOS!$V$4,tabela_registros[CATEGORIA],receitasvariáveisconsolidadojul[[#This Row],[ATUAL]])</f>
        <v>0</v>
      </c>
      <c r="J96" s="91">
        <f>SUMIFS(tabela_registros[VALOR],tabela_registros[MÊS],$AE$1,tabela_registros[DIA],receitasvariáveisconsolidadojul[[#Headers],[6]],tabela_registros[REGISTRO],DADOS!$N$3,tabela_registros[TIPO],DADOS!$V$4,tabela_registros[CATEGORIA],receitasvariáveisconsolidadojul[[#This Row],[ATUAL]])</f>
        <v>0</v>
      </c>
      <c r="K96" s="91">
        <f>SUMIFS(tabela_registros[VALOR],tabela_registros[MÊS],$AE$1,tabela_registros[DIA],receitasvariáveisconsolidadojul[[#Headers],[7]],tabela_registros[REGISTRO],DADOS!$N$3,tabela_registros[TIPO],DADOS!$V$4,tabela_registros[CATEGORIA],receitasvariáveisconsolidadojul[[#This Row],[ATUAL]])</f>
        <v>0</v>
      </c>
      <c r="L96" s="91">
        <f>SUMIFS(tabela_registros[VALOR],tabela_registros[MÊS],$AE$1,tabela_registros[DIA],receitasvariáveisconsolidadojul[[#Headers],[8]],tabela_registros[REGISTRO],DADOS!$N$3,tabela_registros[TIPO],DADOS!$V$4,tabela_registros[CATEGORIA],receitasvariáveisconsolidadojul[[#This Row],[ATUAL]])</f>
        <v>0</v>
      </c>
      <c r="M96" s="91">
        <f>SUMIFS(tabela_registros[VALOR],tabela_registros[MÊS],$AE$1,tabela_registros[DIA],receitasvariáveisconsolidadojul[[#Headers],[9]],tabela_registros[REGISTRO],DADOS!$N$3,tabela_registros[TIPO],DADOS!$V$4,tabela_registros[CATEGORIA],receitasvariáveisconsolidadojul[[#This Row],[ATUAL]])</f>
        <v>0</v>
      </c>
      <c r="N96" s="91">
        <f>SUMIFS(tabela_registros[VALOR],tabela_registros[MÊS],$AE$1,tabela_registros[DIA],receitasvariáveisconsolidadojul[[#Headers],[10]],tabela_registros[REGISTRO],DADOS!$N$3,tabela_registros[TIPO],DADOS!$V$4,tabela_registros[CATEGORIA],receitasvariáveisconsolidadojul[[#This Row],[ATUAL]])</f>
        <v>0</v>
      </c>
      <c r="O96" s="91">
        <f>SUMIFS(tabela_registros[VALOR],tabela_registros[MÊS],$AE$1,tabela_registros[DIA],receitasvariáveisconsolidadojul[[#Headers],[11]],tabela_registros[REGISTRO],DADOS!$N$3,tabela_registros[TIPO],DADOS!$V$4,tabela_registros[CATEGORIA],receitasvariáveisconsolidadojul[[#This Row],[ATUAL]])</f>
        <v>0</v>
      </c>
      <c r="P96" s="91">
        <f>SUMIFS(tabela_registros[VALOR],tabela_registros[MÊS],$AE$1,tabela_registros[DIA],receitasvariáveisconsolidadojul[[#Headers],[12]],tabela_registros[REGISTRO],DADOS!$N$3,tabela_registros[TIPO],DADOS!$V$4,tabela_registros[CATEGORIA],receitasvariáveisconsolidadojul[[#This Row],[ATUAL]])</f>
        <v>0</v>
      </c>
      <c r="Q96" s="91">
        <f>SUMIFS(tabela_registros[VALOR],tabela_registros[MÊS],$AE$1,tabela_registros[DIA],receitasvariáveisconsolidadojul[[#Headers],[13]],tabela_registros[REGISTRO],DADOS!$N$3,tabela_registros[TIPO],DADOS!$V$4,tabela_registros[CATEGORIA],receitasvariáveisconsolidadojul[[#This Row],[ATUAL]])</f>
        <v>0</v>
      </c>
      <c r="R96" s="91">
        <f>SUMIFS(tabela_registros[VALOR],tabela_registros[MÊS],$AE$1,tabela_registros[DIA],receitasvariáveisconsolidadojul[[#Headers],[14]],tabela_registros[REGISTRO],DADOS!$N$3,tabela_registros[TIPO],DADOS!$V$4,tabela_registros[CATEGORIA],receitasvariáveisconsolidadojul[[#This Row],[ATUAL]])</f>
        <v>0</v>
      </c>
      <c r="S96" s="91">
        <f>SUMIFS(tabela_registros[VALOR],tabela_registros[MÊS],$AE$1,tabela_registros[DIA],receitasvariáveisconsolidadojul[[#Headers],[15]],tabela_registros[REGISTRO],DADOS!$N$3,tabela_registros[TIPO],DADOS!$V$4,tabela_registros[CATEGORIA],receitasvariáveisconsolidadojul[[#This Row],[ATUAL]])</f>
        <v>0</v>
      </c>
      <c r="T96" s="91">
        <f>SUMIFS(tabela_registros[VALOR],tabela_registros[MÊS],$AE$1,tabela_registros[DIA],receitasvariáveisconsolidadojul[[#Headers],[16]],tabela_registros[REGISTRO],DADOS!$N$3,tabela_registros[TIPO],DADOS!$V$4,tabela_registros[CATEGORIA],receitasvariáveisconsolidadojul[[#This Row],[ATUAL]])</f>
        <v>0</v>
      </c>
      <c r="U96" s="91">
        <f>SUMIFS(tabela_registros[VALOR],tabela_registros[MÊS],$AE$1,tabela_registros[DIA],receitasvariáveisconsolidadojul[[#Headers],[17]],tabela_registros[REGISTRO],DADOS!$N$3,tabela_registros[TIPO],DADOS!$V$4,tabela_registros[CATEGORIA],receitasvariáveisconsolidadojul[[#This Row],[ATUAL]])</f>
        <v>0</v>
      </c>
      <c r="V96" s="91">
        <f>SUMIFS(tabela_registros[VALOR],tabela_registros[MÊS],$AE$1,tabela_registros[DIA],receitasvariáveisconsolidadojul[[#Headers],[18]],tabela_registros[REGISTRO],DADOS!$N$3,tabela_registros[TIPO],DADOS!$V$4,tabela_registros[CATEGORIA],receitasvariáveisconsolidadojul[[#This Row],[ATUAL]])</f>
        <v>0</v>
      </c>
      <c r="W96" s="91">
        <f>SUMIFS(tabela_registros[VALOR],tabela_registros[MÊS],$AE$1,tabela_registros[DIA],receitasvariáveisconsolidadojul[[#Headers],[19]],tabela_registros[REGISTRO],DADOS!$N$3,tabela_registros[TIPO],DADOS!$V$4,tabela_registros[CATEGORIA],receitasvariáveisconsolidadojul[[#This Row],[ATUAL]])</f>
        <v>0</v>
      </c>
      <c r="X96" s="91">
        <f>SUMIFS(tabela_registros[VALOR],tabela_registros[MÊS],$AE$1,tabela_registros[DIA],receitasvariáveisconsolidadojul[[#Headers],[20]],tabela_registros[REGISTRO],DADOS!$N$3,tabela_registros[TIPO],DADOS!$V$4,tabela_registros[CATEGORIA],receitasvariáveisconsolidadojul[[#This Row],[ATUAL]])</f>
        <v>0</v>
      </c>
      <c r="Y96" s="91">
        <f>SUMIFS(tabela_registros[VALOR],tabela_registros[MÊS],$AE$1,tabela_registros[DIA],receitasvariáveisconsolidadojul[[#Headers],[21]],tabela_registros[REGISTRO],DADOS!$N$3,tabela_registros[TIPO],DADOS!$V$4,tabela_registros[CATEGORIA],receitasvariáveisconsolidadojul[[#This Row],[ATUAL]])</f>
        <v>0</v>
      </c>
      <c r="Z96" s="91">
        <f>SUMIFS(tabela_registros[VALOR],tabela_registros[MÊS],$AE$1,tabela_registros[DIA],receitasvariáveisconsolidadojul[[#Headers],[22]],tabela_registros[REGISTRO],DADOS!$N$3,tabela_registros[TIPO],DADOS!$V$4,tabela_registros[CATEGORIA],receitasvariáveisconsolidadojul[[#This Row],[ATUAL]])</f>
        <v>0</v>
      </c>
      <c r="AA96" s="91">
        <f>SUMIFS(tabela_registros[VALOR],tabela_registros[MÊS],$AE$1,tabela_registros[DIA],receitasvariáveisconsolidadojul[[#Headers],[23]],tabela_registros[REGISTRO],DADOS!$N$3,tabela_registros[TIPO],DADOS!$V$4,tabela_registros[CATEGORIA],receitasvariáveisconsolidadojul[[#This Row],[ATUAL]])</f>
        <v>0</v>
      </c>
      <c r="AB96" s="91">
        <f>SUMIFS(tabela_registros[VALOR],tabela_registros[MÊS],$AE$1,tabela_registros[DIA],receitasvariáveisconsolidadojul[[#Headers],[24]],tabela_registros[REGISTRO],DADOS!$N$3,tabela_registros[TIPO],DADOS!$V$4,tabela_registros[CATEGORIA],receitasvariáveisconsolidadojul[[#This Row],[ATUAL]])</f>
        <v>0</v>
      </c>
      <c r="AC96" s="91">
        <f>SUMIFS(tabela_registros[VALOR],tabela_registros[MÊS],$AE$1,tabela_registros[DIA],receitasvariáveisconsolidadojul[[#Headers],[25]],tabela_registros[REGISTRO],DADOS!$N$3,tabela_registros[TIPO],DADOS!$V$4,tabela_registros[CATEGORIA],receitasvariáveisconsolidadojul[[#This Row],[ATUAL]])</f>
        <v>0</v>
      </c>
      <c r="AD96" s="91">
        <f>SUMIFS(tabela_registros[VALOR],tabela_registros[MÊS],$AE$1,tabela_registros[DIA],receitasvariáveisconsolidadojul[[#Headers],[26]],tabela_registros[REGISTRO],DADOS!$N$3,tabela_registros[TIPO],DADOS!$V$4,tabela_registros[CATEGORIA],receitasvariáveisconsolidadojul[[#This Row],[ATUAL]])</f>
        <v>0</v>
      </c>
      <c r="AE96" s="91">
        <f>SUMIFS(tabela_registros[VALOR],tabela_registros[MÊS],$AE$1,tabela_registros[DIA],receitasvariáveisconsolidadojul[[#Headers],[27]],tabela_registros[REGISTRO],DADOS!$N$3,tabela_registros[TIPO],DADOS!$V$4,tabela_registros[CATEGORIA],receitasvariáveisconsolidadojul[[#This Row],[ATUAL]])</f>
        <v>0</v>
      </c>
      <c r="AF96" s="91">
        <f>SUMIFS(tabela_registros[VALOR],tabela_registros[MÊS],$AE$1,tabela_registros[DIA],receitasvariáveisconsolidadojul[[#Headers],[28]],tabela_registros[REGISTRO],DADOS!$N$3,tabela_registros[TIPO],DADOS!$V$4,tabela_registros[CATEGORIA],receitasvariáveisconsolidadojul[[#This Row],[ATUAL]])</f>
        <v>0</v>
      </c>
      <c r="AG96" s="91">
        <f>SUMIFS(tabela_registros[VALOR],tabela_registros[MÊS],$AE$1,tabela_registros[DIA],receitasvariáveisconsolidadojul[[#Headers],[29]],tabela_registros[REGISTRO],DADOS!$N$3,tabela_registros[TIPO],DADOS!$V$4,tabela_registros[CATEGORIA],receitasvariáveisconsolidadojul[[#This Row],[ATUAL]])</f>
        <v>0</v>
      </c>
      <c r="AH96" s="91">
        <f>SUMIFS(tabela_registros[VALOR],tabela_registros[MÊS],$AE$1,tabela_registros[DIA],receitasvariáveisconsolidadojul[[#Headers],[30]],tabela_registros[REGISTRO],DADOS!$N$3,tabela_registros[TIPO],DADOS!$V$4,tabela_registros[CATEGORIA],receitasvariáveisconsolidadojul[[#This Row],[ATUAL]])</f>
        <v>0</v>
      </c>
      <c r="AI96" s="101">
        <f>SUMIFS(tabela_registros[VALOR],tabela_registros[MÊS],$AE$1,tabela_registros[DIA],receitasvariáveisconsolidadojul[[#Headers],[31]],tabela_registros[REGISTRO],DADOS!$N$3,tabela_registros[TIPO],DADOS!$V$4,tabela_registros[CATEGORIA],receitasvariáveisconsolidadojul[[#This Row],[ATUAL]])</f>
        <v>0</v>
      </c>
      <c r="AJ96" s="97">
        <f>SUM(receitasvariáveisconsolidadojul[[#This Row],[1]:[31]])</f>
        <v>0</v>
      </c>
      <c r="AK96" s="25"/>
    </row>
    <row r="97" spans="2:37" ht="19.5" customHeight="1" thickTop="1" thickBot="1" x14ac:dyDescent="0.3">
      <c r="B97" s="28"/>
      <c r="C97" s="27" t="str">
        <f>DADOS!$Z$4</f>
        <v>🤑 COMISSÃO</v>
      </c>
      <c r="D97" s="26" t="str">
        <f>IF(receitasvariáveisconsolidadojul[[#This Row],[TOTAL (R$)]]=0,"",IF(OR(receitasvariáveisconsolidadojul[[#This Row],[TOTAL (R$)]]=LARGE($AJ$96:$AJ$103,1),receitasvariáveisconsolidadojul[[#This Row],[TOTAL (R$)]]=LARGE($AJ$96:$AJ$103,2)),DADOS!$I$9,""))</f>
        <v/>
      </c>
      <c r="E97" s="96">
        <f>SUMIFS(tabela_registros[VALOR],tabela_registros[MÊS],$AE$1,tabela_registros[DIA],receitasvariáveisconsolidadojul[[#Headers],[1]],tabela_registros[REGISTRO],DADOS!$N$3,tabela_registros[TIPO],DADOS!$V$4,tabela_registros[CATEGORIA],receitasvariáveisconsolidadojul[[#This Row],[ATUAL]])</f>
        <v>0</v>
      </c>
      <c r="F97" s="91">
        <f>SUMIFS(tabela_registros[VALOR],tabela_registros[MÊS],$AE$1,tabela_registros[DIA],receitasvariáveisconsolidadojul[[#Headers],[2]],tabela_registros[REGISTRO],DADOS!$N$3,tabela_registros[TIPO],DADOS!$V$4,tabela_registros[CATEGORIA],receitasvariáveisconsolidadojul[[#This Row],[ATUAL]])</f>
        <v>0</v>
      </c>
      <c r="G97" s="91">
        <f>SUMIFS(tabela_registros[VALOR],tabela_registros[MÊS],$AE$1,tabela_registros[DIA],receitasvariáveisconsolidadojul[[#Headers],[3]],tabela_registros[REGISTRO],DADOS!$N$3,tabela_registros[TIPO],DADOS!$V$4,tabela_registros[CATEGORIA],receitasvariáveisconsolidadojul[[#This Row],[ATUAL]])</f>
        <v>0</v>
      </c>
      <c r="H97" s="91">
        <f>SUMIFS(tabela_registros[VALOR],tabela_registros[MÊS],$AE$1,tabela_registros[DIA],receitasvariáveisconsolidadojul[[#Headers],[4]],tabela_registros[REGISTRO],DADOS!$N$3,tabela_registros[TIPO],DADOS!$V$4,tabela_registros[CATEGORIA],receitasvariáveisconsolidadojul[[#This Row],[ATUAL]])</f>
        <v>0</v>
      </c>
      <c r="I97" s="91">
        <f>SUMIFS(tabela_registros[VALOR],tabela_registros[MÊS],$AE$1,tabela_registros[DIA],receitasvariáveisconsolidadojul[[#Headers],[5]],tabela_registros[REGISTRO],DADOS!$N$3,tabela_registros[TIPO],DADOS!$V$4,tabela_registros[CATEGORIA],receitasvariáveisconsolidadojul[[#This Row],[ATUAL]])</f>
        <v>0</v>
      </c>
      <c r="J97" s="91">
        <f>SUMIFS(tabela_registros[VALOR],tabela_registros[MÊS],$AE$1,tabela_registros[DIA],receitasvariáveisconsolidadojul[[#Headers],[6]],tabela_registros[REGISTRO],DADOS!$N$3,tabela_registros[TIPO],DADOS!$V$4,tabela_registros[CATEGORIA],receitasvariáveisconsolidadojul[[#This Row],[ATUAL]])</f>
        <v>0</v>
      </c>
      <c r="K97" s="91">
        <f>SUMIFS(tabela_registros[VALOR],tabela_registros[MÊS],$AE$1,tabela_registros[DIA],receitasvariáveisconsolidadojul[[#Headers],[7]],tabela_registros[REGISTRO],DADOS!$N$3,tabela_registros[TIPO],DADOS!$V$4,tabela_registros[CATEGORIA],receitasvariáveisconsolidadojul[[#This Row],[ATUAL]])</f>
        <v>0</v>
      </c>
      <c r="L97" s="91">
        <f>SUMIFS(tabela_registros[VALOR],tabela_registros[MÊS],$AE$1,tabela_registros[DIA],receitasvariáveisconsolidadojul[[#Headers],[8]],tabela_registros[REGISTRO],DADOS!$N$3,tabela_registros[TIPO],DADOS!$V$4,tabela_registros[CATEGORIA],receitasvariáveisconsolidadojul[[#This Row],[ATUAL]])</f>
        <v>0</v>
      </c>
      <c r="M97" s="91">
        <f>SUMIFS(tabela_registros[VALOR],tabela_registros[MÊS],$AE$1,tabela_registros[DIA],receitasvariáveisconsolidadojul[[#Headers],[9]],tabela_registros[REGISTRO],DADOS!$N$3,tabela_registros[TIPO],DADOS!$V$4,tabela_registros[CATEGORIA],receitasvariáveisconsolidadojul[[#This Row],[ATUAL]])</f>
        <v>0</v>
      </c>
      <c r="N97" s="91">
        <f>SUMIFS(tabela_registros[VALOR],tabela_registros[MÊS],$AE$1,tabela_registros[DIA],receitasvariáveisconsolidadojul[[#Headers],[10]],tabela_registros[REGISTRO],DADOS!$N$3,tabela_registros[TIPO],DADOS!$V$4,tabela_registros[CATEGORIA],receitasvariáveisconsolidadojul[[#This Row],[ATUAL]])</f>
        <v>0</v>
      </c>
      <c r="O97" s="91">
        <f>SUMIFS(tabela_registros[VALOR],tabela_registros[MÊS],$AE$1,tabela_registros[DIA],receitasvariáveisconsolidadojul[[#Headers],[11]],tabela_registros[REGISTRO],DADOS!$N$3,tabela_registros[TIPO],DADOS!$V$4,tabela_registros[CATEGORIA],receitasvariáveisconsolidadojul[[#This Row],[ATUAL]])</f>
        <v>0</v>
      </c>
      <c r="P97" s="91">
        <f>SUMIFS(tabela_registros[VALOR],tabela_registros[MÊS],$AE$1,tabela_registros[DIA],receitasvariáveisconsolidadojul[[#Headers],[12]],tabela_registros[REGISTRO],DADOS!$N$3,tabela_registros[TIPO],DADOS!$V$4,tabela_registros[CATEGORIA],receitasvariáveisconsolidadojul[[#This Row],[ATUAL]])</f>
        <v>0</v>
      </c>
      <c r="Q97" s="91">
        <f>SUMIFS(tabela_registros[VALOR],tabela_registros[MÊS],$AE$1,tabela_registros[DIA],receitasvariáveisconsolidadojul[[#Headers],[13]],tabela_registros[REGISTRO],DADOS!$N$3,tabela_registros[TIPO],DADOS!$V$4,tabela_registros[CATEGORIA],receitasvariáveisconsolidadojul[[#This Row],[ATUAL]])</f>
        <v>0</v>
      </c>
      <c r="R97" s="91">
        <f>SUMIFS(tabela_registros[VALOR],tabela_registros[MÊS],$AE$1,tabela_registros[DIA],receitasvariáveisconsolidadojul[[#Headers],[14]],tabela_registros[REGISTRO],DADOS!$N$3,tabela_registros[TIPO],DADOS!$V$4,tabela_registros[CATEGORIA],receitasvariáveisconsolidadojul[[#This Row],[ATUAL]])</f>
        <v>0</v>
      </c>
      <c r="S97" s="91">
        <f>SUMIFS(tabela_registros[VALOR],tabela_registros[MÊS],$AE$1,tabela_registros[DIA],receitasvariáveisconsolidadojul[[#Headers],[15]],tabela_registros[REGISTRO],DADOS!$N$3,tabela_registros[TIPO],DADOS!$V$4,tabela_registros[CATEGORIA],receitasvariáveisconsolidadojul[[#This Row],[ATUAL]])</f>
        <v>0</v>
      </c>
      <c r="T97" s="91">
        <f>SUMIFS(tabela_registros[VALOR],tabela_registros[MÊS],$AE$1,tabela_registros[DIA],receitasvariáveisconsolidadojul[[#Headers],[16]],tabela_registros[REGISTRO],DADOS!$N$3,tabela_registros[TIPO],DADOS!$V$4,tabela_registros[CATEGORIA],receitasvariáveisconsolidadojul[[#This Row],[ATUAL]])</f>
        <v>0</v>
      </c>
      <c r="U97" s="91">
        <f>SUMIFS(tabela_registros[VALOR],tabela_registros[MÊS],$AE$1,tabela_registros[DIA],receitasvariáveisconsolidadojul[[#Headers],[17]],tabela_registros[REGISTRO],DADOS!$N$3,tabela_registros[TIPO],DADOS!$V$4,tabela_registros[CATEGORIA],receitasvariáveisconsolidadojul[[#This Row],[ATUAL]])</f>
        <v>0</v>
      </c>
      <c r="V97" s="91">
        <f>SUMIFS(tabela_registros[VALOR],tabela_registros[MÊS],$AE$1,tabela_registros[DIA],receitasvariáveisconsolidadojul[[#Headers],[18]],tabela_registros[REGISTRO],DADOS!$N$3,tabela_registros[TIPO],DADOS!$V$4,tabela_registros[CATEGORIA],receitasvariáveisconsolidadojul[[#This Row],[ATUAL]])</f>
        <v>0</v>
      </c>
      <c r="W97" s="91">
        <f>SUMIFS(tabela_registros[VALOR],tabela_registros[MÊS],$AE$1,tabela_registros[DIA],receitasvariáveisconsolidadojul[[#Headers],[19]],tabela_registros[REGISTRO],DADOS!$N$3,tabela_registros[TIPO],DADOS!$V$4,tabela_registros[CATEGORIA],receitasvariáveisconsolidadojul[[#This Row],[ATUAL]])</f>
        <v>0</v>
      </c>
      <c r="X97" s="91">
        <f>SUMIFS(tabela_registros[VALOR],tabela_registros[MÊS],$AE$1,tabela_registros[DIA],receitasvariáveisconsolidadojul[[#Headers],[20]],tabela_registros[REGISTRO],DADOS!$N$3,tabela_registros[TIPO],DADOS!$V$4,tabela_registros[CATEGORIA],receitasvariáveisconsolidadojul[[#This Row],[ATUAL]])</f>
        <v>0</v>
      </c>
      <c r="Y97" s="91">
        <f>SUMIFS(tabela_registros[VALOR],tabela_registros[MÊS],$AE$1,tabela_registros[DIA],receitasvariáveisconsolidadojul[[#Headers],[21]],tabela_registros[REGISTRO],DADOS!$N$3,tabela_registros[TIPO],DADOS!$V$4,tabela_registros[CATEGORIA],receitasvariáveisconsolidadojul[[#This Row],[ATUAL]])</f>
        <v>0</v>
      </c>
      <c r="Z97" s="91">
        <f>SUMIFS(tabela_registros[VALOR],tabela_registros[MÊS],$AE$1,tabela_registros[DIA],receitasvariáveisconsolidadojul[[#Headers],[22]],tabela_registros[REGISTRO],DADOS!$N$3,tabela_registros[TIPO],DADOS!$V$4,tabela_registros[CATEGORIA],receitasvariáveisconsolidadojul[[#This Row],[ATUAL]])</f>
        <v>0</v>
      </c>
      <c r="AA97" s="91">
        <f>SUMIFS(tabela_registros[VALOR],tabela_registros[MÊS],$AE$1,tabela_registros[DIA],receitasvariáveisconsolidadojul[[#Headers],[23]],tabela_registros[REGISTRO],DADOS!$N$3,tabela_registros[TIPO],DADOS!$V$4,tabela_registros[CATEGORIA],receitasvariáveisconsolidadojul[[#This Row],[ATUAL]])</f>
        <v>0</v>
      </c>
      <c r="AB97" s="91">
        <f>SUMIFS(tabela_registros[VALOR],tabela_registros[MÊS],$AE$1,tabela_registros[DIA],receitasvariáveisconsolidadojul[[#Headers],[24]],tabela_registros[REGISTRO],DADOS!$N$3,tabela_registros[TIPO],DADOS!$V$4,tabela_registros[CATEGORIA],receitasvariáveisconsolidadojul[[#This Row],[ATUAL]])</f>
        <v>0</v>
      </c>
      <c r="AC97" s="91">
        <f>SUMIFS(tabela_registros[VALOR],tabela_registros[MÊS],$AE$1,tabela_registros[DIA],receitasvariáveisconsolidadojul[[#Headers],[25]],tabela_registros[REGISTRO],DADOS!$N$3,tabela_registros[TIPO],DADOS!$V$4,tabela_registros[CATEGORIA],receitasvariáveisconsolidadojul[[#This Row],[ATUAL]])</f>
        <v>0</v>
      </c>
      <c r="AD97" s="91">
        <f>SUMIFS(tabela_registros[VALOR],tabela_registros[MÊS],$AE$1,tabela_registros[DIA],receitasvariáveisconsolidadojul[[#Headers],[26]],tabela_registros[REGISTRO],DADOS!$N$3,tabela_registros[TIPO],DADOS!$V$4,tabela_registros[CATEGORIA],receitasvariáveisconsolidadojul[[#This Row],[ATUAL]])</f>
        <v>0</v>
      </c>
      <c r="AE97" s="91">
        <f>SUMIFS(tabela_registros[VALOR],tabela_registros[MÊS],$AE$1,tabela_registros[DIA],receitasvariáveisconsolidadojul[[#Headers],[27]],tabela_registros[REGISTRO],DADOS!$N$3,tabela_registros[TIPO],DADOS!$V$4,tabela_registros[CATEGORIA],receitasvariáveisconsolidadojul[[#This Row],[ATUAL]])</f>
        <v>0</v>
      </c>
      <c r="AF97" s="91">
        <f>SUMIFS(tabela_registros[VALOR],tabela_registros[MÊS],$AE$1,tabela_registros[DIA],receitasvariáveisconsolidadojul[[#Headers],[28]],tabela_registros[REGISTRO],DADOS!$N$3,tabela_registros[TIPO],DADOS!$V$4,tabela_registros[CATEGORIA],receitasvariáveisconsolidadojul[[#This Row],[ATUAL]])</f>
        <v>0</v>
      </c>
      <c r="AG97" s="91">
        <f>SUMIFS(tabela_registros[VALOR],tabela_registros[MÊS],$AE$1,tabela_registros[DIA],receitasvariáveisconsolidadojul[[#Headers],[29]],tabela_registros[REGISTRO],DADOS!$N$3,tabela_registros[TIPO],DADOS!$V$4,tabela_registros[CATEGORIA],receitasvariáveisconsolidadojul[[#This Row],[ATUAL]])</f>
        <v>0</v>
      </c>
      <c r="AH97" s="91">
        <f>SUMIFS(tabela_registros[VALOR],tabela_registros[MÊS],$AE$1,tabela_registros[DIA],receitasvariáveisconsolidadojul[[#Headers],[30]],tabela_registros[REGISTRO],DADOS!$N$3,tabela_registros[TIPO],DADOS!$V$4,tabela_registros[CATEGORIA],receitasvariáveisconsolidadojul[[#This Row],[ATUAL]])</f>
        <v>0</v>
      </c>
      <c r="AI97" s="101">
        <f>SUMIFS(tabela_registros[VALOR],tabela_registros[MÊS],$AE$1,tabela_registros[DIA],receitasvariáveisconsolidadojul[[#Headers],[31]],tabela_registros[REGISTRO],DADOS!$N$3,tabela_registros[TIPO],DADOS!$V$4,tabela_registros[CATEGORIA],receitasvariáveisconsolidadojul[[#This Row],[ATUAL]])</f>
        <v>0</v>
      </c>
      <c r="AJ97" s="97">
        <f>SUM(receitasvariáveisconsolidadojul[[#This Row],[1]:[31]])</f>
        <v>0</v>
      </c>
      <c r="AK97" s="25"/>
    </row>
    <row r="98" spans="2:37" ht="19.5" customHeight="1" thickTop="1" thickBot="1" x14ac:dyDescent="0.3">
      <c r="B98" s="28"/>
      <c r="C98" s="27" t="str">
        <f>DADOS!$Z$5</f>
        <v>🎗️ HERANÇA</v>
      </c>
      <c r="D98" s="26" t="str">
        <f>IF(receitasvariáveisconsolidadojul[[#This Row],[TOTAL (R$)]]=0,"",IF(OR(receitasvariáveisconsolidadojul[[#This Row],[TOTAL (R$)]]=LARGE($AJ$96:$AJ$103,1),receitasvariáveisconsolidadojul[[#This Row],[TOTAL (R$)]]=LARGE($AJ$96:$AJ$103,2)),DADOS!$I$9,""))</f>
        <v/>
      </c>
      <c r="E98" s="96">
        <f>SUMIFS(tabela_registros[VALOR],tabela_registros[MÊS],$AE$1,tabela_registros[DIA],receitasvariáveisconsolidadojul[[#Headers],[1]],tabela_registros[REGISTRO],DADOS!$N$3,tabela_registros[TIPO],DADOS!$V$4,tabela_registros[CATEGORIA],receitasvariáveisconsolidadojul[[#This Row],[ATUAL]])</f>
        <v>0</v>
      </c>
      <c r="F98" s="91">
        <f>SUMIFS(tabela_registros[VALOR],tabela_registros[MÊS],$AE$1,tabela_registros[DIA],receitasvariáveisconsolidadojul[[#Headers],[2]],tabela_registros[REGISTRO],DADOS!$N$3,tabela_registros[TIPO],DADOS!$V$4,tabela_registros[CATEGORIA],receitasvariáveisconsolidadojul[[#This Row],[ATUAL]])</f>
        <v>0</v>
      </c>
      <c r="G98" s="91">
        <f>SUMIFS(tabela_registros[VALOR],tabela_registros[MÊS],$AE$1,tabela_registros[DIA],receitasvariáveisconsolidadojul[[#Headers],[3]],tabela_registros[REGISTRO],DADOS!$N$3,tabela_registros[TIPO],DADOS!$V$4,tabela_registros[CATEGORIA],receitasvariáveisconsolidadojul[[#This Row],[ATUAL]])</f>
        <v>0</v>
      </c>
      <c r="H98" s="91">
        <f>SUMIFS(tabela_registros[VALOR],tabela_registros[MÊS],$AE$1,tabela_registros[DIA],receitasvariáveisconsolidadojul[[#Headers],[4]],tabela_registros[REGISTRO],DADOS!$N$3,tabela_registros[TIPO],DADOS!$V$4,tabela_registros[CATEGORIA],receitasvariáveisconsolidadojul[[#This Row],[ATUAL]])</f>
        <v>0</v>
      </c>
      <c r="I98" s="91">
        <f>SUMIFS(tabela_registros[VALOR],tabela_registros[MÊS],$AE$1,tabela_registros[DIA],receitasvariáveisconsolidadojul[[#Headers],[5]],tabela_registros[REGISTRO],DADOS!$N$3,tabela_registros[TIPO],DADOS!$V$4,tabela_registros[CATEGORIA],receitasvariáveisconsolidadojul[[#This Row],[ATUAL]])</f>
        <v>0</v>
      </c>
      <c r="J98" s="91">
        <f>SUMIFS(tabela_registros[VALOR],tabela_registros[MÊS],$AE$1,tabela_registros[DIA],receitasvariáveisconsolidadojul[[#Headers],[6]],tabela_registros[REGISTRO],DADOS!$N$3,tabela_registros[TIPO],DADOS!$V$4,tabela_registros[CATEGORIA],receitasvariáveisconsolidadojul[[#This Row],[ATUAL]])</f>
        <v>0</v>
      </c>
      <c r="K98" s="91">
        <f>SUMIFS(tabela_registros[VALOR],tabela_registros[MÊS],$AE$1,tabela_registros[DIA],receitasvariáveisconsolidadojul[[#Headers],[7]],tabela_registros[REGISTRO],DADOS!$N$3,tabela_registros[TIPO],DADOS!$V$4,tabela_registros[CATEGORIA],receitasvariáveisconsolidadojul[[#This Row],[ATUAL]])</f>
        <v>0</v>
      </c>
      <c r="L98" s="91">
        <f>SUMIFS(tabela_registros[VALOR],tabela_registros[MÊS],$AE$1,tabela_registros[DIA],receitasvariáveisconsolidadojul[[#Headers],[8]],tabela_registros[REGISTRO],DADOS!$N$3,tabela_registros[TIPO],DADOS!$V$4,tabela_registros[CATEGORIA],receitasvariáveisconsolidadojul[[#This Row],[ATUAL]])</f>
        <v>0</v>
      </c>
      <c r="M98" s="91">
        <f>SUMIFS(tabela_registros[VALOR],tabela_registros[MÊS],$AE$1,tabela_registros[DIA],receitasvariáveisconsolidadojul[[#Headers],[9]],tabela_registros[REGISTRO],DADOS!$N$3,tabela_registros[TIPO],DADOS!$V$4,tabela_registros[CATEGORIA],receitasvariáveisconsolidadojul[[#This Row],[ATUAL]])</f>
        <v>0</v>
      </c>
      <c r="N98" s="91">
        <f>SUMIFS(tabela_registros[VALOR],tabela_registros[MÊS],$AE$1,tabela_registros[DIA],receitasvariáveisconsolidadojul[[#Headers],[10]],tabela_registros[REGISTRO],DADOS!$N$3,tabela_registros[TIPO],DADOS!$V$4,tabela_registros[CATEGORIA],receitasvariáveisconsolidadojul[[#This Row],[ATUAL]])</f>
        <v>0</v>
      </c>
      <c r="O98" s="91">
        <f>SUMIFS(tabela_registros[VALOR],tabela_registros[MÊS],$AE$1,tabela_registros[DIA],receitasvariáveisconsolidadojul[[#Headers],[11]],tabela_registros[REGISTRO],DADOS!$N$3,tabela_registros[TIPO],DADOS!$V$4,tabela_registros[CATEGORIA],receitasvariáveisconsolidadojul[[#This Row],[ATUAL]])</f>
        <v>0</v>
      </c>
      <c r="P98" s="91">
        <f>SUMIFS(tabela_registros[VALOR],tabela_registros[MÊS],$AE$1,tabela_registros[DIA],receitasvariáveisconsolidadojul[[#Headers],[12]],tabela_registros[REGISTRO],DADOS!$N$3,tabela_registros[TIPO],DADOS!$V$4,tabela_registros[CATEGORIA],receitasvariáveisconsolidadojul[[#This Row],[ATUAL]])</f>
        <v>0</v>
      </c>
      <c r="Q98" s="91">
        <f>SUMIFS(tabela_registros[VALOR],tabela_registros[MÊS],$AE$1,tabela_registros[DIA],receitasvariáveisconsolidadojul[[#Headers],[13]],tabela_registros[REGISTRO],DADOS!$N$3,tabela_registros[TIPO],DADOS!$V$4,tabela_registros[CATEGORIA],receitasvariáveisconsolidadojul[[#This Row],[ATUAL]])</f>
        <v>0</v>
      </c>
      <c r="R98" s="91">
        <f>SUMIFS(tabela_registros[VALOR],tabela_registros[MÊS],$AE$1,tabela_registros[DIA],receitasvariáveisconsolidadojul[[#Headers],[14]],tabela_registros[REGISTRO],DADOS!$N$3,tabela_registros[TIPO],DADOS!$V$4,tabela_registros[CATEGORIA],receitasvariáveisconsolidadojul[[#This Row],[ATUAL]])</f>
        <v>0</v>
      </c>
      <c r="S98" s="91">
        <f>SUMIFS(tabela_registros[VALOR],tabela_registros[MÊS],$AE$1,tabela_registros[DIA],receitasvariáveisconsolidadojul[[#Headers],[15]],tabela_registros[REGISTRO],DADOS!$N$3,tabela_registros[TIPO],DADOS!$V$4,tabela_registros[CATEGORIA],receitasvariáveisconsolidadojul[[#This Row],[ATUAL]])</f>
        <v>0</v>
      </c>
      <c r="T98" s="91">
        <f>SUMIFS(tabela_registros[VALOR],tabela_registros[MÊS],$AE$1,tabela_registros[DIA],receitasvariáveisconsolidadojul[[#Headers],[16]],tabela_registros[REGISTRO],DADOS!$N$3,tabela_registros[TIPO],DADOS!$V$4,tabela_registros[CATEGORIA],receitasvariáveisconsolidadojul[[#This Row],[ATUAL]])</f>
        <v>0</v>
      </c>
      <c r="U98" s="91">
        <f>SUMIFS(tabela_registros[VALOR],tabela_registros[MÊS],$AE$1,tabela_registros[DIA],receitasvariáveisconsolidadojul[[#Headers],[17]],tabela_registros[REGISTRO],DADOS!$N$3,tabela_registros[TIPO],DADOS!$V$4,tabela_registros[CATEGORIA],receitasvariáveisconsolidadojul[[#This Row],[ATUAL]])</f>
        <v>0</v>
      </c>
      <c r="V98" s="91">
        <f>SUMIFS(tabela_registros[VALOR],tabela_registros[MÊS],$AE$1,tabela_registros[DIA],receitasvariáveisconsolidadojul[[#Headers],[18]],tabela_registros[REGISTRO],DADOS!$N$3,tabela_registros[TIPO],DADOS!$V$4,tabela_registros[CATEGORIA],receitasvariáveisconsolidadojul[[#This Row],[ATUAL]])</f>
        <v>0</v>
      </c>
      <c r="W98" s="91">
        <f>SUMIFS(tabela_registros[VALOR],tabela_registros[MÊS],$AE$1,tabela_registros[DIA],receitasvariáveisconsolidadojul[[#Headers],[19]],tabela_registros[REGISTRO],DADOS!$N$3,tabela_registros[TIPO],DADOS!$V$4,tabela_registros[CATEGORIA],receitasvariáveisconsolidadojul[[#This Row],[ATUAL]])</f>
        <v>0</v>
      </c>
      <c r="X98" s="91">
        <f>SUMIFS(tabela_registros[VALOR],tabela_registros[MÊS],$AE$1,tabela_registros[DIA],receitasvariáveisconsolidadojul[[#Headers],[20]],tabela_registros[REGISTRO],DADOS!$N$3,tabela_registros[TIPO],DADOS!$V$4,tabela_registros[CATEGORIA],receitasvariáveisconsolidadojul[[#This Row],[ATUAL]])</f>
        <v>0</v>
      </c>
      <c r="Y98" s="91">
        <f>SUMIFS(tabela_registros[VALOR],tabela_registros[MÊS],$AE$1,tabela_registros[DIA],receitasvariáveisconsolidadojul[[#Headers],[21]],tabela_registros[REGISTRO],DADOS!$N$3,tabela_registros[TIPO],DADOS!$V$4,tabela_registros[CATEGORIA],receitasvariáveisconsolidadojul[[#This Row],[ATUAL]])</f>
        <v>0</v>
      </c>
      <c r="Z98" s="91">
        <f>SUMIFS(tabela_registros[VALOR],tabela_registros[MÊS],$AE$1,tabela_registros[DIA],receitasvariáveisconsolidadojul[[#Headers],[22]],tabela_registros[REGISTRO],DADOS!$N$3,tabela_registros[TIPO],DADOS!$V$4,tabela_registros[CATEGORIA],receitasvariáveisconsolidadojul[[#This Row],[ATUAL]])</f>
        <v>0</v>
      </c>
      <c r="AA98" s="91">
        <f>SUMIFS(tabela_registros[VALOR],tabela_registros[MÊS],$AE$1,tabela_registros[DIA],receitasvariáveisconsolidadojul[[#Headers],[23]],tabela_registros[REGISTRO],DADOS!$N$3,tabela_registros[TIPO],DADOS!$V$4,tabela_registros[CATEGORIA],receitasvariáveisconsolidadojul[[#This Row],[ATUAL]])</f>
        <v>0</v>
      </c>
      <c r="AB98" s="91">
        <f>SUMIFS(tabela_registros[VALOR],tabela_registros[MÊS],$AE$1,tabela_registros[DIA],receitasvariáveisconsolidadojul[[#Headers],[24]],tabela_registros[REGISTRO],DADOS!$N$3,tabela_registros[TIPO],DADOS!$V$4,tabela_registros[CATEGORIA],receitasvariáveisconsolidadojul[[#This Row],[ATUAL]])</f>
        <v>0</v>
      </c>
      <c r="AC98" s="91">
        <f>SUMIFS(tabela_registros[VALOR],tabela_registros[MÊS],$AE$1,tabela_registros[DIA],receitasvariáveisconsolidadojul[[#Headers],[25]],tabela_registros[REGISTRO],DADOS!$N$3,tabela_registros[TIPO],DADOS!$V$4,tabela_registros[CATEGORIA],receitasvariáveisconsolidadojul[[#This Row],[ATUAL]])</f>
        <v>0</v>
      </c>
      <c r="AD98" s="91">
        <f>SUMIFS(tabela_registros[VALOR],tabela_registros[MÊS],$AE$1,tabela_registros[DIA],receitasvariáveisconsolidadojul[[#Headers],[26]],tabela_registros[REGISTRO],DADOS!$N$3,tabela_registros[TIPO],DADOS!$V$4,tabela_registros[CATEGORIA],receitasvariáveisconsolidadojul[[#This Row],[ATUAL]])</f>
        <v>0</v>
      </c>
      <c r="AE98" s="91">
        <f>SUMIFS(tabela_registros[VALOR],tabela_registros[MÊS],$AE$1,tabela_registros[DIA],receitasvariáveisconsolidadojul[[#Headers],[27]],tabela_registros[REGISTRO],DADOS!$N$3,tabela_registros[TIPO],DADOS!$V$4,tabela_registros[CATEGORIA],receitasvariáveisconsolidadojul[[#This Row],[ATUAL]])</f>
        <v>0</v>
      </c>
      <c r="AF98" s="91">
        <f>SUMIFS(tabela_registros[VALOR],tabela_registros[MÊS],$AE$1,tabela_registros[DIA],receitasvariáveisconsolidadojul[[#Headers],[28]],tabela_registros[REGISTRO],DADOS!$N$3,tabela_registros[TIPO],DADOS!$V$4,tabela_registros[CATEGORIA],receitasvariáveisconsolidadojul[[#This Row],[ATUAL]])</f>
        <v>0</v>
      </c>
      <c r="AG98" s="91">
        <f>SUMIFS(tabela_registros[VALOR],tabela_registros[MÊS],$AE$1,tabela_registros[DIA],receitasvariáveisconsolidadojul[[#Headers],[29]],tabela_registros[REGISTRO],DADOS!$N$3,tabela_registros[TIPO],DADOS!$V$4,tabela_registros[CATEGORIA],receitasvariáveisconsolidadojul[[#This Row],[ATUAL]])</f>
        <v>0</v>
      </c>
      <c r="AH98" s="91">
        <f>SUMIFS(tabela_registros[VALOR],tabela_registros[MÊS],$AE$1,tabela_registros[DIA],receitasvariáveisconsolidadojul[[#Headers],[30]],tabela_registros[REGISTRO],DADOS!$N$3,tabela_registros[TIPO],DADOS!$V$4,tabela_registros[CATEGORIA],receitasvariáveisconsolidadojul[[#This Row],[ATUAL]])</f>
        <v>0</v>
      </c>
      <c r="AI98" s="101">
        <f>SUMIFS(tabela_registros[VALOR],tabela_registros[MÊS],$AE$1,tabela_registros[DIA],receitasvariáveisconsolidadojul[[#Headers],[31]],tabela_registros[REGISTRO],DADOS!$N$3,tabela_registros[TIPO],DADOS!$V$4,tabela_registros[CATEGORIA],receitasvariáveisconsolidadojul[[#This Row],[ATUAL]])</f>
        <v>0</v>
      </c>
      <c r="AJ98" s="97">
        <f>SUM(receitasvariáveisconsolidadojul[[#This Row],[1]:[31]])</f>
        <v>0</v>
      </c>
      <c r="AK98" s="25"/>
    </row>
    <row r="99" spans="2:37" ht="19.5" customHeight="1" thickTop="1" thickBot="1" x14ac:dyDescent="0.3">
      <c r="B99" s="28"/>
      <c r="C99" s="27" t="str">
        <f>DADOS!$Z$6</f>
        <v>💲 INVESTIMENTOS</v>
      </c>
      <c r="D99" s="26" t="str">
        <f>IF(receitasvariáveisconsolidadojul[[#This Row],[TOTAL (R$)]]=0,"",IF(OR(receitasvariáveisconsolidadojul[[#This Row],[TOTAL (R$)]]=LARGE($AJ$96:$AJ$103,1),receitasvariáveisconsolidadojul[[#This Row],[TOTAL (R$)]]=LARGE($AJ$96:$AJ$103,2)),DADOS!$I$9,""))</f>
        <v/>
      </c>
      <c r="E99" s="96">
        <f>SUMIFS(tabela_registros[VALOR],tabela_registros[MÊS],$AE$1,tabela_registros[DIA],receitasvariáveisconsolidadojul[[#Headers],[1]],tabela_registros[REGISTRO],DADOS!$N$3,tabela_registros[TIPO],DADOS!$V$4,tabela_registros[CATEGORIA],receitasvariáveisconsolidadojul[[#This Row],[ATUAL]])</f>
        <v>0</v>
      </c>
      <c r="F99" s="91">
        <f>SUMIFS(tabela_registros[VALOR],tabela_registros[MÊS],$AE$1,tabela_registros[DIA],receitasvariáveisconsolidadojul[[#Headers],[2]],tabela_registros[REGISTRO],DADOS!$N$3,tabela_registros[TIPO],DADOS!$V$4,tabela_registros[CATEGORIA],receitasvariáveisconsolidadojul[[#This Row],[ATUAL]])</f>
        <v>0</v>
      </c>
      <c r="G99" s="91">
        <f>SUMIFS(tabela_registros[VALOR],tabela_registros[MÊS],$AE$1,tabela_registros[DIA],receitasvariáveisconsolidadojul[[#Headers],[3]],tabela_registros[REGISTRO],DADOS!$N$3,tabela_registros[TIPO],DADOS!$V$4,tabela_registros[CATEGORIA],receitasvariáveisconsolidadojul[[#This Row],[ATUAL]])</f>
        <v>0</v>
      </c>
      <c r="H99" s="91">
        <f>SUMIFS(tabela_registros[VALOR],tabela_registros[MÊS],$AE$1,tabela_registros[DIA],receitasvariáveisconsolidadojul[[#Headers],[4]],tabela_registros[REGISTRO],DADOS!$N$3,tabela_registros[TIPO],DADOS!$V$4,tabela_registros[CATEGORIA],receitasvariáveisconsolidadojul[[#This Row],[ATUAL]])</f>
        <v>0</v>
      </c>
      <c r="I99" s="91">
        <f>SUMIFS(tabela_registros[VALOR],tabela_registros[MÊS],$AE$1,tabela_registros[DIA],receitasvariáveisconsolidadojul[[#Headers],[5]],tabela_registros[REGISTRO],DADOS!$N$3,tabela_registros[TIPO],DADOS!$V$4,tabela_registros[CATEGORIA],receitasvariáveisconsolidadojul[[#This Row],[ATUAL]])</f>
        <v>0</v>
      </c>
      <c r="J99" s="91">
        <f>SUMIFS(tabela_registros[VALOR],tabela_registros[MÊS],$AE$1,tabela_registros[DIA],receitasvariáveisconsolidadojul[[#Headers],[6]],tabela_registros[REGISTRO],DADOS!$N$3,tabela_registros[TIPO],DADOS!$V$4,tabela_registros[CATEGORIA],receitasvariáveisconsolidadojul[[#This Row],[ATUAL]])</f>
        <v>0</v>
      </c>
      <c r="K99" s="91">
        <f>SUMIFS(tabela_registros[VALOR],tabela_registros[MÊS],$AE$1,tabela_registros[DIA],receitasvariáveisconsolidadojul[[#Headers],[7]],tabela_registros[REGISTRO],DADOS!$N$3,tabela_registros[TIPO],DADOS!$V$4,tabela_registros[CATEGORIA],receitasvariáveisconsolidadojul[[#This Row],[ATUAL]])</f>
        <v>0</v>
      </c>
      <c r="L99" s="91">
        <f>SUMIFS(tabela_registros[VALOR],tabela_registros[MÊS],$AE$1,tabela_registros[DIA],receitasvariáveisconsolidadojul[[#Headers],[8]],tabela_registros[REGISTRO],DADOS!$N$3,tabela_registros[TIPO],DADOS!$V$4,tabela_registros[CATEGORIA],receitasvariáveisconsolidadojul[[#This Row],[ATUAL]])</f>
        <v>0</v>
      </c>
      <c r="M99" s="91">
        <f>SUMIFS(tabela_registros[VALOR],tabela_registros[MÊS],$AE$1,tabela_registros[DIA],receitasvariáveisconsolidadojul[[#Headers],[9]],tabela_registros[REGISTRO],DADOS!$N$3,tabela_registros[TIPO],DADOS!$V$4,tabela_registros[CATEGORIA],receitasvariáveisconsolidadojul[[#This Row],[ATUAL]])</f>
        <v>0</v>
      </c>
      <c r="N99" s="91">
        <f>SUMIFS(tabela_registros[VALOR],tabela_registros[MÊS],$AE$1,tabela_registros[DIA],receitasvariáveisconsolidadojul[[#Headers],[10]],tabela_registros[REGISTRO],DADOS!$N$3,tabela_registros[TIPO],DADOS!$V$4,tabela_registros[CATEGORIA],receitasvariáveisconsolidadojul[[#This Row],[ATUAL]])</f>
        <v>0</v>
      </c>
      <c r="O99" s="91">
        <f>SUMIFS(tabela_registros[VALOR],tabela_registros[MÊS],$AE$1,tabela_registros[DIA],receitasvariáveisconsolidadojul[[#Headers],[11]],tabela_registros[REGISTRO],DADOS!$N$3,tabela_registros[TIPO],DADOS!$V$4,tabela_registros[CATEGORIA],receitasvariáveisconsolidadojul[[#This Row],[ATUAL]])</f>
        <v>0</v>
      </c>
      <c r="P99" s="91">
        <f>SUMIFS(tabela_registros[VALOR],tabela_registros[MÊS],$AE$1,tabela_registros[DIA],receitasvariáveisconsolidadojul[[#Headers],[12]],tabela_registros[REGISTRO],DADOS!$N$3,tabela_registros[TIPO],DADOS!$V$4,tabela_registros[CATEGORIA],receitasvariáveisconsolidadojul[[#This Row],[ATUAL]])</f>
        <v>0</v>
      </c>
      <c r="Q99" s="91">
        <f>SUMIFS(tabela_registros[VALOR],tabela_registros[MÊS],$AE$1,tabela_registros[DIA],receitasvariáveisconsolidadojul[[#Headers],[13]],tabela_registros[REGISTRO],DADOS!$N$3,tabela_registros[TIPO],DADOS!$V$4,tabela_registros[CATEGORIA],receitasvariáveisconsolidadojul[[#This Row],[ATUAL]])</f>
        <v>0</v>
      </c>
      <c r="R99" s="91">
        <f>SUMIFS(tabela_registros[VALOR],tabela_registros[MÊS],$AE$1,tabela_registros[DIA],receitasvariáveisconsolidadojul[[#Headers],[14]],tabela_registros[REGISTRO],DADOS!$N$3,tabela_registros[TIPO],DADOS!$V$4,tabela_registros[CATEGORIA],receitasvariáveisconsolidadojul[[#This Row],[ATUAL]])</f>
        <v>0</v>
      </c>
      <c r="S99" s="91">
        <f>SUMIFS(tabela_registros[VALOR],tabela_registros[MÊS],$AE$1,tabela_registros[DIA],receitasvariáveisconsolidadojul[[#Headers],[15]],tabela_registros[REGISTRO],DADOS!$N$3,tabela_registros[TIPO],DADOS!$V$4,tabela_registros[CATEGORIA],receitasvariáveisconsolidadojul[[#This Row],[ATUAL]])</f>
        <v>0</v>
      </c>
      <c r="T99" s="91">
        <f>SUMIFS(tabela_registros[VALOR],tabela_registros[MÊS],$AE$1,tabela_registros[DIA],receitasvariáveisconsolidadojul[[#Headers],[16]],tabela_registros[REGISTRO],DADOS!$N$3,tabela_registros[TIPO],DADOS!$V$4,tabela_registros[CATEGORIA],receitasvariáveisconsolidadojul[[#This Row],[ATUAL]])</f>
        <v>0</v>
      </c>
      <c r="U99" s="91">
        <f>SUMIFS(tabela_registros[VALOR],tabela_registros[MÊS],$AE$1,tabela_registros[DIA],receitasvariáveisconsolidadojul[[#Headers],[17]],tabela_registros[REGISTRO],DADOS!$N$3,tabela_registros[TIPO],DADOS!$V$4,tabela_registros[CATEGORIA],receitasvariáveisconsolidadojul[[#This Row],[ATUAL]])</f>
        <v>0</v>
      </c>
      <c r="V99" s="91">
        <f>SUMIFS(tabela_registros[VALOR],tabela_registros[MÊS],$AE$1,tabela_registros[DIA],receitasvariáveisconsolidadojul[[#Headers],[18]],tabela_registros[REGISTRO],DADOS!$N$3,tabela_registros[TIPO],DADOS!$V$4,tabela_registros[CATEGORIA],receitasvariáveisconsolidadojul[[#This Row],[ATUAL]])</f>
        <v>0</v>
      </c>
      <c r="W99" s="91">
        <f>SUMIFS(tabela_registros[VALOR],tabela_registros[MÊS],$AE$1,tabela_registros[DIA],receitasvariáveisconsolidadojul[[#Headers],[19]],tabela_registros[REGISTRO],DADOS!$N$3,tabela_registros[TIPO],DADOS!$V$4,tabela_registros[CATEGORIA],receitasvariáveisconsolidadojul[[#This Row],[ATUAL]])</f>
        <v>0</v>
      </c>
      <c r="X99" s="91">
        <f>SUMIFS(tabela_registros[VALOR],tabela_registros[MÊS],$AE$1,tabela_registros[DIA],receitasvariáveisconsolidadojul[[#Headers],[20]],tabela_registros[REGISTRO],DADOS!$N$3,tabela_registros[TIPO],DADOS!$V$4,tabela_registros[CATEGORIA],receitasvariáveisconsolidadojul[[#This Row],[ATUAL]])</f>
        <v>0</v>
      </c>
      <c r="Y99" s="91">
        <f>SUMIFS(tabela_registros[VALOR],tabela_registros[MÊS],$AE$1,tabela_registros[DIA],receitasvariáveisconsolidadojul[[#Headers],[21]],tabela_registros[REGISTRO],DADOS!$N$3,tabela_registros[TIPO],DADOS!$V$4,tabela_registros[CATEGORIA],receitasvariáveisconsolidadojul[[#This Row],[ATUAL]])</f>
        <v>0</v>
      </c>
      <c r="Z99" s="91">
        <f>SUMIFS(tabela_registros[VALOR],tabela_registros[MÊS],$AE$1,tabela_registros[DIA],receitasvariáveisconsolidadojul[[#Headers],[22]],tabela_registros[REGISTRO],DADOS!$N$3,tabela_registros[TIPO],DADOS!$V$4,tabela_registros[CATEGORIA],receitasvariáveisconsolidadojul[[#This Row],[ATUAL]])</f>
        <v>0</v>
      </c>
      <c r="AA99" s="91">
        <f>SUMIFS(tabela_registros[VALOR],tabela_registros[MÊS],$AE$1,tabela_registros[DIA],receitasvariáveisconsolidadojul[[#Headers],[23]],tabela_registros[REGISTRO],DADOS!$N$3,tabela_registros[TIPO],DADOS!$V$4,tabela_registros[CATEGORIA],receitasvariáveisconsolidadojul[[#This Row],[ATUAL]])</f>
        <v>0</v>
      </c>
      <c r="AB99" s="91">
        <f>SUMIFS(tabela_registros[VALOR],tabela_registros[MÊS],$AE$1,tabela_registros[DIA],receitasvariáveisconsolidadojul[[#Headers],[24]],tabela_registros[REGISTRO],DADOS!$N$3,tabela_registros[TIPO],DADOS!$V$4,tabela_registros[CATEGORIA],receitasvariáveisconsolidadojul[[#This Row],[ATUAL]])</f>
        <v>0</v>
      </c>
      <c r="AC99" s="91">
        <f>SUMIFS(tabela_registros[VALOR],tabela_registros[MÊS],$AE$1,tabela_registros[DIA],receitasvariáveisconsolidadojul[[#Headers],[25]],tabela_registros[REGISTRO],DADOS!$N$3,tabela_registros[TIPO],DADOS!$V$4,tabela_registros[CATEGORIA],receitasvariáveisconsolidadojul[[#This Row],[ATUAL]])</f>
        <v>0</v>
      </c>
      <c r="AD99" s="91">
        <f>SUMIFS(tabela_registros[VALOR],tabela_registros[MÊS],$AE$1,tabela_registros[DIA],receitasvariáveisconsolidadojul[[#Headers],[26]],tabela_registros[REGISTRO],DADOS!$N$3,tabela_registros[TIPO],DADOS!$V$4,tabela_registros[CATEGORIA],receitasvariáveisconsolidadojul[[#This Row],[ATUAL]])</f>
        <v>0</v>
      </c>
      <c r="AE99" s="91">
        <f>SUMIFS(tabela_registros[VALOR],tabela_registros[MÊS],$AE$1,tabela_registros[DIA],receitasvariáveisconsolidadojul[[#Headers],[27]],tabela_registros[REGISTRO],DADOS!$N$3,tabela_registros[TIPO],DADOS!$V$4,tabela_registros[CATEGORIA],receitasvariáveisconsolidadojul[[#This Row],[ATUAL]])</f>
        <v>0</v>
      </c>
      <c r="AF99" s="91">
        <f>SUMIFS(tabela_registros[VALOR],tabela_registros[MÊS],$AE$1,tabela_registros[DIA],receitasvariáveisconsolidadojul[[#Headers],[28]],tabela_registros[REGISTRO],DADOS!$N$3,tabela_registros[TIPO],DADOS!$V$4,tabela_registros[CATEGORIA],receitasvariáveisconsolidadojul[[#This Row],[ATUAL]])</f>
        <v>0</v>
      </c>
      <c r="AG99" s="91">
        <f>SUMIFS(tabela_registros[VALOR],tabela_registros[MÊS],$AE$1,tabela_registros[DIA],receitasvariáveisconsolidadojul[[#Headers],[29]],tabela_registros[REGISTRO],DADOS!$N$3,tabela_registros[TIPO],DADOS!$V$4,tabela_registros[CATEGORIA],receitasvariáveisconsolidadojul[[#This Row],[ATUAL]])</f>
        <v>0</v>
      </c>
      <c r="AH99" s="91">
        <f>SUMIFS(tabela_registros[VALOR],tabela_registros[MÊS],$AE$1,tabela_registros[DIA],receitasvariáveisconsolidadojul[[#Headers],[30]],tabela_registros[REGISTRO],DADOS!$N$3,tabela_registros[TIPO],DADOS!$V$4,tabela_registros[CATEGORIA],receitasvariáveisconsolidadojul[[#This Row],[ATUAL]])</f>
        <v>0</v>
      </c>
      <c r="AI99" s="101">
        <f>SUMIFS(tabela_registros[VALOR],tabela_registros[MÊS],$AE$1,tabela_registros[DIA],receitasvariáveisconsolidadojul[[#Headers],[31]],tabela_registros[REGISTRO],DADOS!$N$3,tabela_registros[TIPO],DADOS!$V$4,tabela_registros[CATEGORIA],receitasvariáveisconsolidadojul[[#This Row],[ATUAL]])</f>
        <v>0</v>
      </c>
      <c r="AJ99" s="97">
        <f>SUM(receitasvariáveisconsolidadojul[[#This Row],[1]:[31]])</f>
        <v>0</v>
      </c>
      <c r="AK99" s="25"/>
    </row>
    <row r="100" spans="2:37" ht="19.5" customHeight="1" thickTop="1" thickBot="1" x14ac:dyDescent="0.3">
      <c r="B100" s="28"/>
      <c r="C100" s="27" t="str">
        <f>DADOS!$Z$7</f>
        <v>🧾 NOTA DE SERVIÇO</v>
      </c>
      <c r="D100" s="26" t="str">
        <f>IF(receitasvariáveisconsolidadojul[[#This Row],[TOTAL (R$)]]=0,"",IF(OR(receitasvariáveisconsolidadojul[[#This Row],[TOTAL (R$)]]=LARGE($AJ$96:$AJ$103,1),receitasvariáveisconsolidadojul[[#This Row],[TOTAL (R$)]]=LARGE($AJ$96:$AJ$103,2)),DADOS!$I$9,""))</f>
        <v/>
      </c>
      <c r="E100" s="96">
        <f>SUMIFS(tabela_registros[VALOR],tabela_registros[MÊS],$AE$1,tabela_registros[DIA],receitasvariáveisconsolidadojul[[#Headers],[1]],tabela_registros[REGISTRO],DADOS!$N$3,tabela_registros[TIPO],DADOS!$V$4,tabela_registros[CATEGORIA],receitasvariáveisconsolidadojul[[#This Row],[ATUAL]])</f>
        <v>0</v>
      </c>
      <c r="F100" s="91">
        <f>SUMIFS(tabela_registros[VALOR],tabela_registros[MÊS],$AE$1,tabela_registros[DIA],receitasvariáveisconsolidadojul[[#Headers],[2]],tabela_registros[REGISTRO],DADOS!$N$3,tabela_registros[TIPO],DADOS!$V$4,tabela_registros[CATEGORIA],receitasvariáveisconsolidadojul[[#This Row],[ATUAL]])</f>
        <v>0</v>
      </c>
      <c r="G100" s="91">
        <f>SUMIFS(tabela_registros[VALOR],tabela_registros[MÊS],$AE$1,tabela_registros[DIA],receitasvariáveisconsolidadojul[[#Headers],[3]],tabela_registros[REGISTRO],DADOS!$N$3,tabela_registros[TIPO],DADOS!$V$4,tabela_registros[CATEGORIA],receitasvariáveisconsolidadojul[[#This Row],[ATUAL]])</f>
        <v>0</v>
      </c>
      <c r="H100" s="91">
        <f>SUMIFS(tabela_registros[VALOR],tabela_registros[MÊS],$AE$1,tabela_registros[DIA],receitasvariáveisconsolidadojul[[#Headers],[4]],tabela_registros[REGISTRO],DADOS!$N$3,tabela_registros[TIPO],DADOS!$V$4,tabela_registros[CATEGORIA],receitasvariáveisconsolidadojul[[#This Row],[ATUAL]])</f>
        <v>0</v>
      </c>
      <c r="I100" s="91">
        <f>SUMIFS(tabela_registros[VALOR],tabela_registros[MÊS],$AE$1,tabela_registros[DIA],receitasvariáveisconsolidadojul[[#Headers],[5]],tabela_registros[REGISTRO],DADOS!$N$3,tabela_registros[TIPO],DADOS!$V$4,tabela_registros[CATEGORIA],receitasvariáveisconsolidadojul[[#This Row],[ATUAL]])</f>
        <v>0</v>
      </c>
      <c r="J100" s="91">
        <f>SUMIFS(tabela_registros[VALOR],tabela_registros[MÊS],$AE$1,tabela_registros[DIA],receitasvariáveisconsolidadojul[[#Headers],[6]],tabela_registros[REGISTRO],DADOS!$N$3,tabela_registros[TIPO],DADOS!$V$4,tabela_registros[CATEGORIA],receitasvariáveisconsolidadojul[[#This Row],[ATUAL]])</f>
        <v>0</v>
      </c>
      <c r="K100" s="91">
        <f>SUMIFS(tabela_registros[VALOR],tabela_registros[MÊS],$AE$1,tabela_registros[DIA],receitasvariáveisconsolidadojul[[#Headers],[7]],tabela_registros[REGISTRO],DADOS!$N$3,tabela_registros[TIPO],DADOS!$V$4,tabela_registros[CATEGORIA],receitasvariáveisconsolidadojul[[#This Row],[ATUAL]])</f>
        <v>0</v>
      </c>
      <c r="L100" s="91">
        <f>SUMIFS(tabela_registros[VALOR],tabela_registros[MÊS],$AE$1,tabela_registros[DIA],receitasvariáveisconsolidadojul[[#Headers],[8]],tabela_registros[REGISTRO],DADOS!$N$3,tabela_registros[TIPO],DADOS!$V$4,tabela_registros[CATEGORIA],receitasvariáveisconsolidadojul[[#This Row],[ATUAL]])</f>
        <v>0</v>
      </c>
      <c r="M100" s="91">
        <f>SUMIFS(tabela_registros[VALOR],tabela_registros[MÊS],$AE$1,tabela_registros[DIA],receitasvariáveisconsolidadojul[[#Headers],[9]],tabela_registros[REGISTRO],DADOS!$N$3,tabela_registros[TIPO],DADOS!$V$4,tabela_registros[CATEGORIA],receitasvariáveisconsolidadojul[[#This Row],[ATUAL]])</f>
        <v>0</v>
      </c>
      <c r="N100" s="91">
        <f>SUMIFS(tabela_registros[VALOR],tabela_registros[MÊS],$AE$1,tabela_registros[DIA],receitasvariáveisconsolidadojul[[#Headers],[10]],tabela_registros[REGISTRO],DADOS!$N$3,tabela_registros[TIPO],DADOS!$V$4,tabela_registros[CATEGORIA],receitasvariáveisconsolidadojul[[#This Row],[ATUAL]])</f>
        <v>0</v>
      </c>
      <c r="O100" s="91">
        <f>SUMIFS(tabela_registros[VALOR],tabela_registros[MÊS],$AE$1,tabela_registros[DIA],receitasvariáveisconsolidadojul[[#Headers],[11]],tabela_registros[REGISTRO],DADOS!$N$3,tabela_registros[TIPO],DADOS!$V$4,tabela_registros[CATEGORIA],receitasvariáveisconsolidadojul[[#This Row],[ATUAL]])</f>
        <v>0</v>
      </c>
      <c r="P100" s="91">
        <f>SUMIFS(tabela_registros[VALOR],tabela_registros[MÊS],$AE$1,tabela_registros[DIA],receitasvariáveisconsolidadojul[[#Headers],[12]],tabela_registros[REGISTRO],DADOS!$N$3,tabela_registros[TIPO],DADOS!$V$4,tabela_registros[CATEGORIA],receitasvariáveisconsolidadojul[[#This Row],[ATUAL]])</f>
        <v>0</v>
      </c>
      <c r="Q100" s="91">
        <f>SUMIFS(tabela_registros[VALOR],tabela_registros[MÊS],$AE$1,tabela_registros[DIA],receitasvariáveisconsolidadojul[[#Headers],[13]],tabela_registros[REGISTRO],DADOS!$N$3,tabela_registros[TIPO],DADOS!$V$4,tabela_registros[CATEGORIA],receitasvariáveisconsolidadojul[[#This Row],[ATUAL]])</f>
        <v>0</v>
      </c>
      <c r="R100" s="91">
        <f>SUMIFS(tabela_registros[VALOR],tabela_registros[MÊS],$AE$1,tabela_registros[DIA],receitasvariáveisconsolidadojul[[#Headers],[14]],tabela_registros[REGISTRO],DADOS!$N$3,tabela_registros[TIPO],DADOS!$V$4,tabela_registros[CATEGORIA],receitasvariáveisconsolidadojul[[#This Row],[ATUAL]])</f>
        <v>0</v>
      </c>
      <c r="S100" s="91">
        <f>SUMIFS(tabela_registros[VALOR],tabela_registros[MÊS],$AE$1,tabela_registros[DIA],receitasvariáveisconsolidadojul[[#Headers],[15]],tabela_registros[REGISTRO],DADOS!$N$3,tabela_registros[TIPO],DADOS!$V$4,tabela_registros[CATEGORIA],receitasvariáveisconsolidadojul[[#This Row],[ATUAL]])</f>
        <v>0</v>
      </c>
      <c r="T100" s="91">
        <f>SUMIFS(tabela_registros[VALOR],tabela_registros[MÊS],$AE$1,tabela_registros[DIA],receitasvariáveisconsolidadojul[[#Headers],[16]],tabela_registros[REGISTRO],DADOS!$N$3,tabela_registros[TIPO],DADOS!$V$4,tabela_registros[CATEGORIA],receitasvariáveisconsolidadojul[[#This Row],[ATUAL]])</f>
        <v>0</v>
      </c>
      <c r="U100" s="91">
        <f>SUMIFS(tabela_registros[VALOR],tabela_registros[MÊS],$AE$1,tabela_registros[DIA],receitasvariáveisconsolidadojul[[#Headers],[17]],tabela_registros[REGISTRO],DADOS!$N$3,tabela_registros[TIPO],DADOS!$V$4,tabela_registros[CATEGORIA],receitasvariáveisconsolidadojul[[#This Row],[ATUAL]])</f>
        <v>0</v>
      </c>
      <c r="V100" s="91">
        <f>SUMIFS(tabela_registros[VALOR],tabela_registros[MÊS],$AE$1,tabela_registros[DIA],receitasvariáveisconsolidadojul[[#Headers],[18]],tabela_registros[REGISTRO],DADOS!$N$3,tabela_registros[TIPO],DADOS!$V$4,tabela_registros[CATEGORIA],receitasvariáveisconsolidadojul[[#This Row],[ATUAL]])</f>
        <v>0</v>
      </c>
      <c r="W100" s="91">
        <f>SUMIFS(tabela_registros[VALOR],tabela_registros[MÊS],$AE$1,tabela_registros[DIA],receitasvariáveisconsolidadojul[[#Headers],[19]],tabela_registros[REGISTRO],DADOS!$N$3,tabela_registros[TIPO],DADOS!$V$4,tabela_registros[CATEGORIA],receitasvariáveisconsolidadojul[[#This Row],[ATUAL]])</f>
        <v>0</v>
      </c>
      <c r="X100" s="91">
        <f>SUMIFS(tabela_registros[VALOR],tabela_registros[MÊS],$AE$1,tabela_registros[DIA],receitasvariáveisconsolidadojul[[#Headers],[20]],tabela_registros[REGISTRO],DADOS!$N$3,tabela_registros[TIPO],DADOS!$V$4,tabela_registros[CATEGORIA],receitasvariáveisconsolidadojul[[#This Row],[ATUAL]])</f>
        <v>0</v>
      </c>
      <c r="Y100" s="91">
        <f>SUMIFS(tabela_registros[VALOR],tabela_registros[MÊS],$AE$1,tabela_registros[DIA],receitasvariáveisconsolidadojul[[#Headers],[21]],tabela_registros[REGISTRO],DADOS!$N$3,tabela_registros[TIPO],DADOS!$V$4,tabela_registros[CATEGORIA],receitasvariáveisconsolidadojul[[#This Row],[ATUAL]])</f>
        <v>0</v>
      </c>
      <c r="Z100" s="91">
        <f>SUMIFS(tabela_registros[VALOR],tabela_registros[MÊS],$AE$1,tabela_registros[DIA],receitasvariáveisconsolidadojul[[#Headers],[22]],tabela_registros[REGISTRO],DADOS!$N$3,tabela_registros[TIPO],DADOS!$V$4,tabela_registros[CATEGORIA],receitasvariáveisconsolidadojul[[#This Row],[ATUAL]])</f>
        <v>0</v>
      </c>
      <c r="AA100" s="91">
        <f>SUMIFS(tabela_registros[VALOR],tabela_registros[MÊS],$AE$1,tabela_registros[DIA],receitasvariáveisconsolidadojul[[#Headers],[23]],tabela_registros[REGISTRO],DADOS!$N$3,tabela_registros[TIPO],DADOS!$V$4,tabela_registros[CATEGORIA],receitasvariáveisconsolidadojul[[#This Row],[ATUAL]])</f>
        <v>0</v>
      </c>
      <c r="AB100" s="91">
        <f>SUMIFS(tabela_registros[VALOR],tabela_registros[MÊS],$AE$1,tabela_registros[DIA],receitasvariáveisconsolidadojul[[#Headers],[24]],tabela_registros[REGISTRO],DADOS!$N$3,tabela_registros[TIPO],DADOS!$V$4,tabela_registros[CATEGORIA],receitasvariáveisconsolidadojul[[#This Row],[ATUAL]])</f>
        <v>0</v>
      </c>
      <c r="AC100" s="91">
        <f>SUMIFS(tabela_registros[VALOR],tabela_registros[MÊS],$AE$1,tabela_registros[DIA],receitasvariáveisconsolidadojul[[#Headers],[25]],tabela_registros[REGISTRO],DADOS!$N$3,tabela_registros[TIPO],DADOS!$V$4,tabela_registros[CATEGORIA],receitasvariáveisconsolidadojul[[#This Row],[ATUAL]])</f>
        <v>0</v>
      </c>
      <c r="AD100" s="91">
        <f>SUMIFS(tabela_registros[VALOR],tabela_registros[MÊS],$AE$1,tabela_registros[DIA],receitasvariáveisconsolidadojul[[#Headers],[26]],tabela_registros[REGISTRO],DADOS!$N$3,tabela_registros[TIPO],DADOS!$V$4,tabela_registros[CATEGORIA],receitasvariáveisconsolidadojul[[#This Row],[ATUAL]])</f>
        <v>0</v>
      </c>
      <c r="AE100" s="91">
        <f>SUMIFS(tabela_registros[VALOR],tabela_registros[MÊS],$AE$1,tabela_registros[DIA],receitasvariáveisconsolidadojul[[#Headers],[27]],tabela_registros[REGISTRO],DADOS!$N$3,tabela_registros[TIPO],DADOS!$V$4,tabela_registros[CATEGORIA],receitasvariáveisconsolidadojul[[#This Row],[ATUAL]])</f>
        <v>0</v>
      </c>
      <c r="AF100" s="91">
        <f>SUMIFS(tabela_registros[VALOR],tabela_registros[MÊS],$AE$1,tabela_registros[DIA],receitasvariáveisconsolidadojul[[#Headers],[28]],tabela_registros[REGISTRO],DADOS!$N$3,tabela_registros[TIPO],DADOS!$V$4,tabela_registros[CATEGORIA],receitasvariáveisconsolidadojul[[#This Row],[ATUAL]])</f>
        <v>0</v>
      </c>
      <c r="AG100" s="91">
        <f>SUMIFS(tabela_registros[VALOR],tabela_registros[MÊS],$AE$1,tabela_registros[DIA],receitasvariáveisconsolidadojul[[#Headers],[29]],tabela_registros[REGISTRO],DADOS!$N$3,tabela_registros[TIPO],DADOS!$V$4,tabela_registros[CATEGORIA],receitasvariáveisconsolidadojul[[#This Row],[ATUAL]])</f>
        <v>0</v>
      </c>
      <c r="AH100" s="91">
        <f>SUMIFS(tabela_registros[VALOR],tabela_registros[MÊS],$AE$1,tabela_registros[DIA],receitasvariáveisconsolidadojul[[#Headers],[30]],tabela_registros[REGISTRO],DADOS!$N$3,tabela_registros[TIPO],DADOS!$V$4,tabela_registros[CATEGORIA],receitasvariáveisconsolidadojul[[#This Row],[ATUAL]])</f>
        <v>0</v>
      </c>
      <c r="AI100" s="101">
        <f>SUMIFS(tabela_registros[VALOR],tabela_registros[MÊS],$AE$1,tabela_registros[DIA],receitasvariáveisconsolidadojul[[#Headers],[31]],tabela_registros[REGISTRO],DADOS!$N$3,tabela_registros[TIPO],DADOS!$V$4,tabela_registros[CATEGORIA],receitasvariáveisconsolidadojul[[#This Row],[ATUAL]])</f>
        <v>0</v>
      </c>
      <c r="AJ100" s="104">
        <f>SUM(receitasvariáveisconsolidadojul[[#This Row],[1]:[31]])</f>
        <v>0</v>
      </c>
      <c r="AK100" s="25"/>
    </row>
    <row r="101" spans="2:37" ht="19.5" customHeight="1" thickTop="1" thickBot="1" x14ac:dyDescent="0.3">
      <c r="B101" s="28"/>
      <c r="C101" s="27" t="str">
        <f>DADOS!$Z$8</f>
        <v>🎁 PRESENTE</v>
      </c>
      <c r="D101" s="26" t="str">
        <f>IF(receitasvariáveisconsolidadojul[[#This Row],[TOTAL (R$)]]=0,"",IF(OR(receitasvariáveisconsolidadojul[[#This Row],[TOTAL (R$)]]=LARGE($AJ$96:$AJ$103,1),receitasvariáveisconsolidadojul[[#This Row],[TOTAL (R$)]]=LARGE($AJ$96:$AJ$103,2)),DADOS!$I$9,""))</f>
        <v/>
      </c>
      <c r="E101" s="96">
        <f>SUMIFS(tabela_registros[VALOR],tabela_registros[MÊS],$AE$1,tabela_registros[DIA],receitasvariáveisconsolidadojul[[#Headers],[1]],tabela_registros[REGISTRO],DADOS!$N$3,tabela_registros[TIPO],DADOS!$V$4,tabela_registros[CATEGORIA],receitasvariáveisconsolidadojul[[#This Row],[ATUAL]])</f>
        <v>0</v>
      </c>
      <c r="F101" s="91">
        <f>SUMIFS(tabela_registros[VALOR],tabela_registros[MÊS],$AE$1,tabela_registros[DIA],receitasvariáveisconsolidadojul[[#Headers],[2]],tabela_registros[REGISTRO],DADOS!$N$3,tabela_registros[TIPO],DADOS!$V$4,tabela_registros[CATEGORIA],receitasvariáveisconsolidadojul[[#This Row],[ATUAL]])</f>
        <v>0</v>
      </c>
      <c r="G101" s="91">
        <f>SUMIFS(tabela_registros[VALOR],tabela_registros[MÊS],$AE$1,tabela_registros[DIA],receitasvariáveisconsolidadojul[[#Headers],[3]],tabela_registros[REGISTRO],DADOS!$N$3,tabela_registros[TIPO],DADOS!$V$4,tabela_registros[CATEGORIA],receitasvariáveisconsolidadojul[[#This Row],[ATUAL]])</f>
        <v>0</v>
      </c>
      <c r="H101" s="91">
        <f>SUMIFS(tabela_registros[VALOR],tabela_registros[MÊS],$AE$1,tabela_registros[DIA],receitasvariáveisconsolidadojul[[#Headers],[4]],tabela_registros[REGISTRO],DADOS!$N$3,tabela_registros[TIPO],DADOS!$V$4,tabela_registros[CATEGORIA],receitasvariáveisconsolidadojul[[#This Row],[ATUAL]])</f>
        <v>0</v>
      </c>
      <c r="I101" s="91">
        <f>SUMIFS(tabela_registros[VALOR],tabela_registros[MÊS],$AE$1,tabela_registros[DIA],receitasvariáveisconsolidadojul[[#Headers],[5]],tabela_registros[REGISTRO],DADOS!$N$3,tabela_registros[TIPO],DADOS!$V$4,tabela_registros[CATEGORIA],receitasvariáveisconsolidadojul[[#This Row],[ATUAL]])</f>
        <v>0</v>
      </c>
      <c r="J101" s="91">
        <f>SUMIFS(tabela_registros[VALOR],tabela_registros[MÊS],$AE$1,tabela_registros[DIA],receitasvariáveisconsolidadojul[[#Headers],[6]],tabela_registros[REGISTRO],DADOS!$N$3,tabela_registros[TIPO],DADOS!$V$4,tabela_registros[CATEGORIA],receitasvariáveisconsolidadojul[[#This Row],[ATUAL]])</f>
        <v>0</v>
      </c>
      <c r="K101" s="91">
        <f>SUMIFS(tabela_registros[VALOR],tabela_registros[MÊS],$AE$1,tabela_registros[DIA],receitasvariáveisconsolidadojul[[#Headers],[7]],tabela_registros[REGISTRO],DADOS!$N$3,tabela_registros[TIPO],DADOS!$V$4,tabela_registros[CATEGORIA],receitasvariáveisconsolidadojul[[#This Row],[ATUAL]])</f>
        <v>0</v>
      </c>
      <c r="L101" s="91">
        <f>SUMIFS(tabela_registros[VALOR],tabela_registros[MÊS],$AE$1,tabela_registros[DIA],receitasvariáveisconsolidadojul[[#Headers],[8]],tabela_registros[REGISTRO],DADOS!$N$3,tabela_registros[TIPO],DADOS!$V$4,tabela_registros[CATEGORIA],receitasvariáveisconsolidadojul[[#This Row],[ATUAL]])</f>
        <v>0</v>
      </c>
      <c r="M101" s="91">
        <f>SUMIFS(tabela_registros[VALOR],tabela_registros[MÊS],$AE$1,tabela_registros[DIA],receitasvariáveisconsolidadojul[[#Headers],[9]],tabela_registros[REGISTRO],DADOS!$N$3,tabela_registros[TIPO],DADOS!$V$4,tabela_registros[CATEGORIA],receitasvariáveisconsolidadojul[[#This Row],[ATUAL]])</f>
        <v>0</v>
      </c>
      <c r="N101" s="91">
        <f>SUMIFS(tabela_registros[VALOR],tabela_registros[MÊS],$AE$1,tabela_registros[DIA],receitasvariáveisconsolidadojul[[#Headers],[10]],tabela_registros[REGISTRO],DADOS!$N$3,tabela_registros[TIPO],DADOS!$V$4,tabela_registros[CATEGORIA],receitasvariáveisconsolidadojul[[#This Row],[ATUAL]])</f>
        <v>0</v>
      </c>
      <c r="O101" s="91">
        <f>SUMIFS(tabela_registros[VALOR],tabela_registros[MÊS],$AE$1,tabela_registros[DIA],receitasvariáveisconsolidadojul[[#Headers],[11]],tabela_registros[REGISTRO],DADOS!$N$3,tabela_registros[TIPO],DADOS!$V$4,tabela_registros[CATEGORIA],receitasvariáveisconsolidadojul[[#This Row],[ATUAL]])</f>
        <v>0</v>
      </c>
      <c r="P101" s="91">
        <f>SUMIFS(tabela_registros[VALOR],tabela_registros[MÊS],$AE$1,tabela_registros[DIA],receitasvariáveisconsolidadojul[[#Headers],[12]],tabela_registros[REGISTRO],DADOS!$N$3,tabela_registros[TIPO],DADOS!$V$4,tabela_registros[CATEGORIA],receitasvariáveisconsolidadojul[[#This Row],[ATUAL]])</f>
        <v>0</v>
      </c>
      <c r="Q101" s="91">
        <f>SUMIFS(tabela_registros[VALOR],tabela_registros[MÊS],$AE$1,tabela_registros[DIA],receitasvariáveisconsolidadojul[[#Headers],[13]],tabela_registros[REGISTRO],DADOS!$N$3,tabela_registros[TIPO],DADOS!$V$4,tabela_registros[CATEGORIA],receitasvariáveisconsolidadojul[[#This Row],[ATUAL]])</f>
        <v>0</v>
      </c>
      <c r="R101" s="91">
        <f>SUMIFS(tabela_registros[VALOR],tabela_registros[MÊS],$AE$1,tabela_registros[DIA],receitasvariáveisconsolidadojul[[#Headers],[14]],tabela_registros[REGISTRO],DADOS!$N$3,tabela_registros[TIPO],DADOS!$V$4,tabela_registros[CATEGORIA],receitasvariáveisconsolidadojul[[#This Row],[ATUAL]])</f>
        <v>0</v>
      </c>
      <c r="S101" s="91">
        <f>SUMIFS(tabela_registros[VALOR],tabela_registros[MÊS],$AE$1,tabela_registros[DIA],receitasvariáveisconsolidadojul[[#Headers],[15]],tabela_registros[REGISTRO],DADOS!$N$3,tabela_registros[TIPO],DADOS!$V$4,tabela_registros[CATEGORIA],receitasvariáveisconsolidadojul[[#This Row],[ATUAL]])</f>
        <v>0</v>
      </c>
      <c r="T101" s="91">
        <f>SUMIFS(tabela_registros[VALOR],tabela_registros[MÊS],$AE$1,tabela_registros[DIA],receitasvariáveisconsolidadojul[[#Headers],[16]],tabela_registros[REGISTRO],DADOS!$N$3,tabela_registros[TIPO],DADOS!$V$4,tabela_registros[CATEGORIA],receitasvariáveisconsolidadojul[[#This Row],[ATUAL]])</f>
        <v>0</v>
      </c>
      <c r="U101" s="91">
        <f>SUMIFS(tabela_registros[VALOR],tabela_registros[MÊS],$AE$1,tabela_registros[DIA],receitasvariáveisconsolidadojul[[#Headers],[17]],tabela_registros[REGISTRO],DADOS!$N$3,tabela_registros[TIPO],DADOS!$V$4,tabela_registros[CATEGORIA],receitasvariáveisconsolidadojul[[#This Row],[ATUAL]])</f>
        <v>0</v>
      </c>
      <c r="V101" s="91">
        <f>SUMIFS(tabela_registros[VALOR],tabela_registros[MÊS],$AE$1,tabela_registros[DIA],receitasvariáveisconsolidadojul[[#Headers],[18]],tabela_registros[REGISTRO],DADOS!$N$3,tabela_registros[TIPO],DADOS!$V$4,tabela_registros[CATEGORIA],receitasvariáveisconsolidadojul[[#This Row],[ATUAL]])</f>
        <v>0</v>
      </c>
      <c r="W101" s="91">
        <f>SUMIFS(tabela_registros[VALOR],tabela_registros[MÊS],$AE$1,tabela_registros[DIA],receitasvariáveisconsolidadojul[[#Headers],[19]],tabela_registros[REGISTRO],DADOS!$N$3,tabela_registros[TIPO],DADOS!$V$4,tabela_registros[CATEGORIA],receitasvariáveisconsolidadojul[[#This Row],[ATUAL]])</f>
        <v>0</v>
      </c>
      <c r="X101" s="91">
        <f>SUMIFS(tabela_registros[VALOR],tabela_registros[MÊS],$AE$1,tabela_registros[DIA],receitasvariáveisconsolidadojul[[#Headers],[20]],tabela_registros[REGISTRO],DADOS!$N$3,tabela_registros[TIPO],DADOS!$V$4,tabela_registros[CATEGORIA],receitasvariáveisconsolidadojul[[#This Row],[ATUAL]])</f>
        <v>0</v>
      </c>
      <c r="Y101" s="91">
        <f>SUMIFS(tabela_registros[VALOR],tabela_registros[MÊS],$AE$1,tabela_registros[DIA],receitasvariáveisconsolidadojul[[#Headers],[21]],tabela_registros[REGISTRO],DADOS!$N$3,tabela_registros[TIPO],DADOS!$V$4,tabela_registros[CATEGORIA],receitasvariáveisconsolidadojul[[#This Row],[ATUAL]])</f>
        <v>0</v>
      </c>
      <c r="Z101" s="91">
        <f>SUMIFS(tabela_registros[VALOR],tabela_registros[MÊS],$AE$1,tabela_registros[DIA],receitasvariáveisconsolidadojul[[#Headers],[22]],tabela_registros[REGISTRO],DADOS!$N$3,tabela_registros[TIPO],DADOS!$V$4,tabela_registros[CATEGORIA],receitasvariáveisconsolidadojul[[#This Row],[ATUAL]])</f>
        <v>0</v>
      </c>
      <c r="AA101" s="91">
        <f>SUMIFS(tabela_registros[VALOR],tabela_registros[MÊS],$AE$1,tabela_registros[DIA],receitasvariáveisconsolidadojul[[#Headers],[23]],tabela_registros[REGISTRO],DADOS!$N$3,tabela_registros[TIPO],DADOS!$V$4,tabela_registros[CATEGORIA],receitasvariáveisconsolidadojul[[#This Row],[ATUAL]])</f>
        <v>0</v>
      </c>
      <c r="AB101" s="91">
        <f>SUMIFS(tabela_registros[VALOR],tabela_registros[MÊS],$AE$1,tabela_registros[DIA],receitasvariáveisconsolidadojul[[#Headers],[24]],tabela_registros[REGISTRO],DADOS!$N$3,tabela_registros[TIPO],DADOS!$V$4,tabela_registros[CATEGORIA],receitasvariáveisconsolidadojul[[#This Row],[ATUAL]])</f>
        <v>0</v>
      </c>
      <c r="AC101" s="91">
        <f>SUMIFS(tabela_registros[VALOR],tabela_registros[MÊS],$AE$1,tabela_registros[DIA],receitasvariáveisconsolidadojul[[#Headers],[25]],tabela_registros[REGISTRO],DADOS!$N$3,tabela_registros[TIPO],DADOS!$V$4,tabela_registros[CATEGORIA],receitasvariáveisconsolidadojul[[#This Row],[ATUAL]])</f>
        <v>0</v>
      </c>
      <c r="AD101" s="91">
        <f>SUMIFS(tabela_registros[VALOR],tabela_registros[MÊS],$AE$1,tabela_registros[DIA],receitasvariáveisconsolidadojul[[#Headers],[26]],tabela_registros[REGISTRO],DADOS!$N$3,tabela_registros[TIPO],DADOS!$V$4,tabela_registros[CATEGORIA],receitasvariáveisconsolidadojul[[#This Row],[ATUAL]])</f>
        <v>0</v>
      </c>
      <c r="AE101" s="91">
        <f>SUMIFS(tabela_registros[VALOR],tabela_registros[MÊS],$AE$1,tabela_registros[DIA],receitasvariáveisconsolidadojul[[#Headers],[27]],tabela_registros[REGISTRO],DADOS!$N$3,tabela_registros[TIPO],DADOS!$V$4,tabela_registros[CATEGORIA],receitasvariáveisconsolidadojul[[#This Row],[ATUAL]])</f>
        <v>0</v>
      </c>
      <c r="AF101" s="91">
        <f>SUMIFS(tabela_registros[VALOR],tabela_registros[MÊS],$AE$1,tabela_registros[DIA],receitasvariáveisconsolidadojul[[#Headers],[28]],tabela_registros[REGISTRO],DADOS!$N$3,tabela_registros[TIPO],DADOS!$V$4,tabela_registros[CATEGORIA],receitasvariáveisconsolidadojul[[#This Row],[ATUAL]])</f>
        <v>0</v>
      </c>
      <c r="AG101" s="91">
        <f>SUMIFS(tabela_registros[VALOR],tabela_registros[MÊS],$AE$1,tabela_registros[DIA],receitasvariáveisconsolidadojul[[#Headers],[29]],tabela_registros[REGISTRO],DADOS!$N$3,tabela_registros[TIPO],DADOS!$V$4,tabela_registros[CATEGORIA],receitasvariáveisconsolidadojul[[#This Row],[ATUAL]])</f>
        <v>0</v>
      </c>
      <c r="AH101" s="91">
        <f>SUMIFS(tabela_registros[VALOR],tabela_registros[MÊS],$AE$1,tabela_registros[DIA],receitasvariáveisconsolidadojul[[#Headers],[30]],tabela_registros[REGISTRO],DADOS!$N$3,tabela_registros[TIPO],DADOS!$V$4,tabela_registros[CATEGORIA],receitasvariáveisconsolidadojul[[#This Row],[ATUAL]])</f>
        <v>0</v>
      </c>
      <c r="AI101" s="101">
        <f>SUMIFS(tabela_registros[VALOR],tabela_registros[MÊS],$AE$1,tabela_registros[DIA],receitasvariáveisconsolidadojul[[#Headers],[31]],tabela_registros[REGISTRO],DADOS!$N$3,tabela_registros[TIPO],DADOS!$V$4,tabela_registros[CATEGORIA],receitasvariáveisconsolidadojul[[#This Row],[ATUAL]])</f>
        <v>0</v>
      </c>
      <c r="AJ101" s="104">
        <f>SUM(receitasvariáveisconsolidadojul[[#This Row],[1]:[31]])</f>
        <v>0</v>
      </c>
      <c r="AK101" s="25"/>
    </row>
    <row r="102" spans="2:37" ht="19.5" customHeight="1" thickTop="1" thickBot="1" x14ac:dyDescent="0.3">
      <c r="B102" s="28"/>
      <c r="C102" s="27" t="str">
        <f>DADOS!$Z$9</f>
        <v>👷‍♀️ TRABALHO TEMPORÁRIO</v>
      </c>
      <c r="D102" s="26" t="str">
        <f>IF(receitasvariáveisconsolidadojul[[#This Row],[TOTAL (R$)]]=0,"",IF(OR(receitasvariáveisconsolidadojul[[#This Row],[TOTAL (R$)]]=LARGE($AJ$96:$AJ$103,1),receitasvariáveisconsolidadojul[[#This Row],[TOTAL (R$)]]=LARGE($AJ$96:$AJ$103,2)),DADOS!$I$9,""))</f>
        <v/>
      </c>
      <c r="E102" s="96">
        <f>SUMIFS(tabela_registros[VALOR],tabela_registros[MÊS],$AE$1,tabela_registros[DIA],receitasvariáveisconsolidadojul[[#Headers],[1]],tabela_registros[REGISTRO],DADOS!$N$3,tabela_registros[TIPO],DADOS!$V$4,tabela_registros[CATEGORIA],receitasvariáveisconsolidadojul[[#This Row],[ATUAL]])</f>
        <v>0</v>
      </c>
      <c r="F102" s="91">
        <f>SUMIFS(tabela_registros[VALOR],tabela_registros[MÊS],$AE$1,tabela_registros[DIA],receitasvariáveisconsolidadojul[[#Headers],[2]],tabela_registros[REGISTRO],DADOS!$N$3,tabela_registros[TIPO],DADOS!$V$4,tabela_registros[CATEGORIA],receitasvariáveisconsolidadojul[[#This Row],[ATUAL]])</f>
        <v>0</v>
      </c>
      <c r="G102" s="91">
        <f>SUMIFS(tabela_registros[VALOR],tabela_registros[MÊS],$AE$1,tabela_registros[DIA],receitasvariáveisconsolidadojul[[#Headers],[3]],tabela_registros[REGISTRO],DADOS!$N$3,tabela_registros[TIPO],DADOS!$V$4,tabela_registros[CATEGORIA],receitasvariáveisconsolidadojul[[#This Row],[ATUAL]])</f>
        <v>0</v>
      </c>
      <c r="H102" s="91">
        <f>SUMIFS(tabela_registros[VALOR],tabela_registros[MÊS],$AE$1,tabela_registros[DIA],receitasvariáveisconsolidadojul[[#Headers],[4]],tabela_registros[REGISTRO],DADOS!$N$3,tabela_registros[TIPO],DADOS!$V$4,tabela_registros[CATEGORIA],receitasvariáveisconsolidadojul[[#This Row],[ATUAL]])</f>
        <v>0</v>
      </c>
      <c r="I102" s="91">
        <f>SUMIFS(tabela_registros[VALOR],tabela_registros[MÊS],$AE$1,tabela_registros[DIA],receitasvariáveisconsolidadojul[[#Headers],[5]],tabela_registros[REGISTRO],DADOS!$N$3,tabela_registros[TIPO],DADOS!$V$4,tabela_registros[CATEGORIA],receitasvariáveisconsolidadojul[[#This Row],[ATUAL]])</f>
        <v>0</v>
      </c>
      <c r="J102" s="91">
        <f>SUMIFS(tabela_registros[VALOR],tabela_registros[MÊS],$AE$1,tabela_registros[DIA],receitasvariáveisconsolidadojul[[#Headers],[6]],tabela_registros[REGISTRO],DADOS!$N$3,tabela_registros[TIPO],DADOS!$V$4,tabela_registros[CATEGORIA],receitasvariáveisconsolidadojul[[#This Row],[ATUAL]])</f>
        <v>0</v>
      </c>
      <c r="K102" s="91">
        <f>SUMIFS(tabela_registros[VALOR],tabela_registros[MÊS],$AE$1,tabela_registros[DIA],receitasvariáveisconsolidadojul[[#Headers],[7]],tabela_registros[REGISTRO],DADOS!$N$3,tabela_registros[TIPO],DADOS!$V$4,tabela_registros[CATEGORIA],receitasvariáveisconsolidadojul[[#This Row],[ATUAL]])</f>
        <v>0</v>
      </c>
      <c r="L102" s="91">
        <f>SUMIFS(tabela_registros[VALOR],tabela_registros[MÊS],$AE$1,tabela_registros[DIA],receitasvariáveisconsolidadojul[[#Headers],[8]],tabela_registros[REGISTRO],DADOS!$N$3,tabela_registros[TIPO],DADOS!$V$4,tabela_registros[CATEGORIA],receitasvariáveisconsolidadojul[[#This Row],[ATUAL]])</f>
        <v>0</v>
      </c>
      <c r="M102" s="91">
        <f>SUMIFS(tabela_registros[VALOR],tabela_registros[MÊS],$AE$1,tabela_registros[DIA],receitasvariáveisconsolidadojul[[#Headers],[9]],tabela_registros[REGISTRO],DADOS!$N$3,tabela_registros[TIPO],DADOS!$V$4,tabela_registros[CATEGORIA],receitasvariáveisconsolidadojul[[#This Row],[ATUAL]])</f>
        <v>0</v>
      </c>
      <c r="N102" s="91">
        <f>SUMIFS(tabela_registros[VALOR],tabela_registros[MÊS],$AE$1,tabela_registros[DIA],receitasvariáveisconsolidadojul[[#Headers],[10]],tabela_registros[REGISTRO],DADOS!$N$3,tabela_registros[TIPO],DADOS!$V$4,tabela_registros[CATEGORIA],receitasvariáveisconsolidadojul[[#This Row],[ATUAL]])</f>
        <v>0</v>
      </c>
      <c r="O102" s="91">
        <f>SUMIFS(tabela_registros[VALOR],tabela_registros[MÊS],$AE$1,tabela_registros[DIA],receitasvariáveisconsolidadojul[[#Headers],[11]],tabela_registros[REGISTRO],DADOS!$N$3,tabela_registros[TIPO],DADOS!$V$4,tabela_registros[CATEGORIA],receitasvariáveisconsolidadojul[[#This Row],[ATUAL]])</f>
        <v>0</v>
      </c>
      <c r="P102" s="91">
        <f>SUMIFS(tabela_registros[VALOR],tabela_registros[MÊS],$AE$1,tabela_registros[DIA],receitasvariáveisconsolidadojul[[#Headers],[12]],tabela_registros[REGISTRO],DADOS!$N$3,tabela_registros[TIPO],DADOS!$V$4,tabela_registros[CATEGORIA],receitasvariáveisconsolidadojul[[#This Row],[ATUAL]])</f>
        <v>0</v>
      </c>
      <c r="Q102" s="91">
        <f>SUMIFS(tabela_registros[VALOR],tabela_registros[MÊS],$AE$1,tabela_registros[DIA],receitasvariáveisconsolidadojul[[#Headers],[13]],tabela_registros[REGISTRO],DADOS!$N$3,tabela_registros[TIPO],DADOS!$V$4,tabela_registros[CATEGORIA],receitasvariáveisconsolidadojul[[#This Row],[ATUAL]])</f>
        <v>0</v>
      </c>
      <c r="R102" s="91">
        <f>SUMIFS(tabela_registros[VALOR],tabela_registros[MÊS],$AE$1,tabela_registros[DIA],receitasvariáveisconsolidadojul[[#Headers],[14]],tabela_registros[REGISTRO],DADOS!$N$3,tabela_registros[TIPO],DADOS!$V$4,tabela_registros[CATEGORIA],receitasvariáveisconsolidadojul[[#This Row],[ATUAL]])</f>
        <v>0</v>
      </c>
      <c r="S102" s="91">
        <f>SUMIFS(tabela_registros[VALOR],tabela_registros[MÊS],$AE$1,tabela_registros[DIA],receitasvariáveisconsolidadojul[[#Headers],[15]],tabela_registros[REGISTRO],DADOS!$N$3,tabela_registros[TIPO],DADOS!$V$4,tabela_registros[CATEGORIA],receitasvariáveisconsolidadojul[[#This Row],[ATUAL]])</f>
        <v>0</v>
      </c>
      <c r="T102" s="91">
        <f>SUMIFS(tabela_registros[VALOR],tabela_registros[MÊS],$AE$1,tabela_registros[DIA],receitasvariáveisconsolidadojul[[#Headers],[16]],tabela_registros[REGISTRO],DADOS!$N$3,tabela_registros[TIPO],DADOS!$V$4,tabela_registros[CATEGORIA],receitasvariáveisconsolidadojul[[#This Row],[ATUAL]])</f>
        <v>0</v>
      </c>
      <c r="U102" s="91">
        <f>SUMIFS(tabela_registros[VALOR],tabela_registros[MÊS],$AE$1,tabela_registros[DIA],receitasvariáveisconsolidadojul[[#Headers],[17]],tabela_registros[REGISTRO],DADOS!$N$3,tabela_registros[TIPO],DADOS!$V$4,tabela_registros[CATEGORIA],receitasvariáveisconsolidadojul[[#This Row],[ATUAL]])</f>
        <v>0</v>
      </c>
      <c r="V102" s="91">
        <f>SUMIFS(tabela_registros[VALOR],tabela_registros[MÊS],$AE$1,tabela_registros[DIA],receitasvariáveisconsolidadojul[[#Headers],[18]],tabela_registros[REGISTRO],DADOS!$N$3,tabela_registros[TIPO],DADOS!$V$4,tabela_registros[CATEGORIA],receitasvariáveisconsolidadojul[[#This Row],[ATUAL]])</f>
        <v>0</v>
      </c>
      <c r="W102" s="91">
        <f>SUMIFS(tabela_registros[VALOR],tabela_registros[MÊS],$AE$1,tabela_registros[DIA],receitasvariáveisconsolidadojul[[#Headers],[19]],tabela_registros[REGISTRO],DADOS!$N$3,tabela_registros[TIPO],DADOS!$V$4,tabela_registros[CATEGORIA],receitasvariáveisconsolidadojul[[#This Row],[ATUAL]])</f>
        <v>0</v>
      </c>
      <c r="X102" s="91">
        <f>SUMIFS(tabela_registros[VALOR],tabela_registros[MÊS],$AE$1,tabela_registros[DIA],receitasvariáveisconsolidadojul[[#Headers],[20]],tabela_registros[REGISTRO],DADOS!$N$3,tabela_registros[TIPO],DADOS!$V$4,tabela_registros[CATEGORIA],receitasvariáveisconsolidadojul[[#This Row],[ATUAL]])</f>
        <v>0</v>
      </c>
      <c r="Y102" s="91">
        <f>SUMIFS(tabela_registros[VALOR],tabela_registros[MÊS],$AE$1,tabela_registros[DIA],receitasvariáveisconsolidadojul[[#Headers],[21]],tabela_registros[REGISTRO],DADOS!$N$3,tabela_registros[TIPO],DADOS!$V$4,tabela_registros[CATEGORIA],receitasvariáveisconsolidadojul[[#This Row],[ATUAL]])</f>
        <v>0</v>
      </c>
      <c r="Z102" s="91">
        <f>SUMIFS(tabela_registros[VALOR],tabela_registros[MÊS],$AE$1,tabela_registros[DIA],receitasvariáveisconsolidadojul[[#Headers],[22]],tabela_registros[REGISTRO],DADOS!$N$3,tabela_registros[TIPO],DADOS!$V$4,tabela_registros[CATEGORIA],receitasvariáveisconsolidadojul[[#This Row],[ATUAL]])</f>
        <v>0</v>
      </c>
      <c r="AA102" s="91">
        <f>SUMIFS(tabela_registros[VALOR],tabela_registros[MÊS],$AE$1,tabela_registros[DIA],receitasvariáveisconsolidadojul[[#Headers],[23]],tabela_registros[REGISTRO],DADOS!$N$3,tabela_registros[TIPO],DADOS!$V$4,tabela_registros[CATEGORIA],receitasvariáveisconsolidadojul[[#This Row],[ATUAL]])</f>
        <v>0</v>
      </c>
      <c r="AB102" s="91">
        <f>SUMIFS(tabela_registros[VALOR],tabela_registros[MÊS],$AE$1,tabela_registros[DIA],receitasvariáveisconsolidadojul[[#Headers],[24]],tabela_registros[REGISTRO],DADOS!$N$3,tabela_registros[TIPO],DADOS!$V$4,tabela_registros[CATEGORIA],receitasvariáveisconsolidadojul[[#This Row],[ATUAL]])</f>
        <v>0</v>
      </c>
      <c r="AC102" s="91">
        <f>SUMIFS(tabela_registros[VALOR],tabela_registros[MÊS],$AE$1,tabela_registros[DIA],receitasvariáveisconsolidadojul[[#Headers],[25]],tabela_registros[REGISTRO],DADOS!$N$3,tabela_registros[TIPO],DADOS!$V$4,tabela_registros[CATEGORIA],receitasvariáveisconsolidadojul[[#This Row],[ATUAL]])</f>
        <v>0</v>
      </c>
      <c r="AD102" s="91">
        <f>SUMIFS(tabela_registros[VALOR],tabela_registros[MÊS],$AE$1,tabela_registros[DIA],receitasvariáveisconsolidadojul[[#Headers],[26]],tabela_registros[REGISTRO],DADOS!$N$3,tabela_registros[TIPO],DADOS!$V$4,tabela_registros[CATEGORIA],receitasvariáveisconsolidadojul[[#This Row],[ATUAL]])</f>
        <v>0</v>
      </c>
      <c r="AE102" s="91">
        <f>SUMIFS(tabela_registros[VALOR],tabela_registros[MÊS],$AE$1,tabela_registros[DIA],receitasvariáveisconsolidadojul[[#Headers],[27]],tabela_registros[REGISTRO],DADOS!$N$3,tabela_registros[TIPO],DADOS!$V$4,tabela_registros[CATEGORIA],receitasvariáveisconsolidadojul[[#This Row],[ATUAL]])</f>
        <v>0</v>
      </c>
      <c r="AF102" s="91">
        <f>SUMIFS(tabela_registros[VALOR],tabela_registros[MÊS],$AE$1,tabela_registros[DIA],receitasvariáveisconsolidadojul[[#Headers],[28]],tabela_registros[REGISTRO],DADOS!$N$3,tabela_registros[TIPO],DADOS!$V$4,tabela_registros[CATEGORIA],receitasvariáveisconsolidadojul[[#This Row],[ATUAL]])</f>
        <v>0</v>
      </c>
      <c r="AG102" s="91">
        <f>SUMIFS(tabela_registros[VALOR],tabela_registros[MÊS],$AE$1,tabela_registros[DIA],receitasvariáveisconsolidadojul[[#Headers],[29]],tabela_registros[REGISTRO],DADOS!$N$3,tabela_registros[TIPO],DADOS!$V$4,tabela_registros[CATEGORIA],receitasvariáveisconsolidadojul[[#This Row],[ATUAL]])</f>
        <v>0</v>
      </c>
      <c r="AH102" s="91">
        <f>SUMIFS(tabela_registros[VALOR],tabela_registros[MÊS],$AE$1,tabela_registros[DIA],receitasvariáveisconsolidadojul[[#Headers],[30]],tabela_registros[REGISTRO],DADOS!$N$3,tabela_registros[TIPO],DADOS!$V$4,tabela_registros[CATEGORIA],receitasvariáveisconsolidadojul[[#This Row],[ATUAL]])</f>
        <v>0</v>
      </c>
      <c r="AI102" s="101">
        <f>SUMIFS(tabela_registros[VALOR],tabela_registros[MÊS],$AE$1,tabela_registros[DIA],receitasvariáveisconsolidadojul[[#Headers],[31]],tabela_registros[REGISTRO],DADOS!$N$3,tabela_registros[TIPO],DADOS!$V$4,tabela_registros[CATEGORIA],receitasvariáveisconsolidadojul[[#This Row],[ATUAL]])</f>
        <v>0</v>
      </c>
      <c r="AJ102" s="104">
        <f>SUM(receitasvariáveisconsolidadojul[[#This Row],[1]:[31]])</f>
        <v>0</v>
      </c>
      <c r="AK102" s="25"/>
    </row>
    <row r="103" spans="2:37" ht="18" customHeight="1" thickTop="1" thickBot="1" x14ac:dyDescent="0.3">
      <c r="B103" s="28"/>
      <c r="C103" s="27" t="str">
        <f>DADOS!$Z$10</f>
        <v>📎 OUTROS</v>
      </c>
      <c r="D103" s="26" t="str">
        <f>IF(receitasvariáveisconsolidadojul[[#This Row],[TOTAL (R$)]]=0,"",IF(OR(receitasvariáveisconsolidadojul[[#This Row],[TOTAL (R$)]]=LARGE($AJ$96:$AJ$103,1),receitasvariáveisconsolidadojul[[#This Row],[TOTAL (R$)]]=LARGE($AJ$96:$AJ$103,2)),DADOS!$I$9,""))</f>
        <v/>
      </c>
      <c r="E103" s="96">
        <f>SUMIFS(tabela_registros[VALOR],tabela_registros[MÊS],$AE$1,tabela_registros[DIA],receitasvariáveisconsolidadojul[[#Headers],[1]],tabela_registros[REGISTRO],DADOS!$N$3,tabela_registros[TIPO],DADOS!$V$4,tabela_registros[CATEGORIA],receitasvariáveisconsolidadojul[[#This Row],[ATUAL]])</f>
        <v>0</v>
      </c>
      <c r="F103" s="91">
        <f>SUMIFS(tabela_registros[VALOR],tabela_registros[MÊS],$AE$1,tabela_registros[DIA],receitasvariáveisconsolidadojul[[#Headers],[2]],tabela_registros[REGISTRO],DADOS!$N$3,tabela_registros[TIPO],DADOS!$V$4,tabela_registros[CATEGORIA],receitasvariáveisconsolidadojul[[#This Row],[ATUAL]])</f>
        <v>0</v>
      </c>
      <c r="G103" s="91">
        <f>SUMIFS(tabela_registros[VALOR],tabela_registros[MÊS],$AE$1,tabela_registros[DIA],receitasvariáveisconsolidadojul[[#Headers],[3]],tabela_registros[REGISTRO],DADOS!$N$3,tabela_registros[TIPO],DADOS!$V$4,tabela_registros[CATEGORIA],receitasvariáveisconsolidadojul[[#This Row],[ATUAL]])</f>
        <v>0</v>
      </c>
      <c r="H103" s="91">
        <f>SUMIFS(tabela_registros[VALOR],tabela_registros[MÊS],$AE$1,tabela_registros[DIA],receitasvariáveisconsolidadojul[[#Headers],[4]],tabela_registros[REGISTRO],DADOS!$N$3,tabela_registros[TIPO],DADOS!$V$4,tabela_registros[CATEGORIA],receitasvariáveisconsolidadojul[[#This Row],[ATUAL]])</f>
        <v>0</v>
      </c>
      <c r="I103" s="91">
        <f>SUMIFS(tabela_registros[VALOR],tabela_registros[MÊS],$AE$1,tabela_registros[DIA],receitasvariáveisconsolidadojul[[#Headers],[5]],tabela_registros[REGISTRO],DADOS!$N$3,tabela_registros[TIPO],DADOS!$V$4,tabela_registros[CATEGORIA],receitasvariáveisconsolidadojul[[#This Row],[ATUAL]])</f>
        <v>0</v>
      </c>
      <c r="J103" s="91">
        <f>SUMIFS(tabela_registros[VALOR],tabela_registros[MÊS],$AE$1,tabela_registros[DIA],receitasvariáveisconsolidadojul[[#Headers],[6]],tabela_registros[REGISTRO],DADOS!$N$3,tabela_registros[TIPO],DADOS!$V$4,tabela_registros[CATEGORIA],receitasvariáveisconsolidadojul[[#This Row],[ATUAL]])</f>
        <v>0</v>
      </c>
      <c r="K103" s="91">
        <f>SUMIFS(tabela_registros[VALOR],tabela_registros[MÊS],$AE$1,tabela_registros[DIA],receitasvariáveisconsolidadojul[[#Headers],[7]],tabela_registros[REGISTRO],DADOS!$N$3,tabela_registros[TIPO],DADOS!$V$4,tabela_registros[CATEGORIA],receitasvariáveisconsolidadojul[[#This Row],[ATUAL]])</f>
        <v>0</v>
      </c>
      <c r="L103" s="91">
        <f>SUMIFS(tabela_registros[VALOR],tabela_registros[MÊS],$AE$1,tabela_registros[DIA],receitasvariáveisconsolidadojul[[#Headers],[8]],tabela_registros[REGISTRO],DADOS!$N$3,tabela_registros[TIPO],DADOS!$V$4,tabela_registros[CATEGORIA],receitasvariáveisconsolidadojul[[#This Row],[ATUAL]])</f>
        <v>0</v>
      </c>
      <c r="M103" s="91">
        <f>SUMIFS(tabela_registros[VALOR],tabela_registros[MÊS],$AE$1,tabela_registros[DIA],receitasvariáveisconsolidadojul[[#Headers],[9]],tabela_registros[REGISTRO],DADOS!$N$3,tabela_registros[TIPO],DADOS!$V$4,tabela_registros[CATEGORIA],receitasvariáveisconsolidadojul[[#This Row],[ATUAL]])</f>
        <v>0</v>
      </c>
      <c r="N103" s="91">
        <f>SUMIFS(tabela_registros[VALOR],tabela_registros[MÊS],$AE$1,tabela_registros[DIA],receitasvariáveisconsolidadojul[[#Headers],[10]],tabela_registros[REGISTRO],DADOS!$N$3,tabela_registros[TIPO],DADOS!$V$4,tabela_registros[CATEGORIA],receitasvariáveisconsolidadojul[[#This Row],[ATUAL]])</f>
        <v>0</v>
      </c>
      <c r="O103" s="91">
        <f>SUMIFS(tabela_registros[VALOR],tabela_registros[MÊS],$AE$1,tabela_registros[DIA],receitasvariáveisconsolidadojul[[#Headers],[11]],tabela_registros[REGISTRO],DADOS!$N$3,tabela_registros[TIPO],DADOS!$V$4,tabela_registros[CATEGORIA],receitasvariáveisconsolidadojul[[#This Row],[ATUAL]])</f>
        <v>0</v>
      </c>
      <c r="P103" s="91">
        <f>SUMIFS(tabela_registros[VALOR],tabela_registros[MÊS],$AE$1,tabela_registros[DIA],receitasvariáveisconsolidadojul[[#Headers],[12]],tabela_registros[REGISTRO],DADOS!$N$3,tabela_registros[TIPO],DADOS!$V$4,tabela_registros[CATEGORIA],receitasvariáveisconsolidadojul[[#This Row],[ATUAL]])</f>
        <v>0</v>
      </c>
      <c r="Q103" s="91">
        <f>SUMIFS(tabela_registros[VALOR],tabela_registros[MÊS],$AE$1,tabela_registros[DIA],receitasvariáveisconsolidadojul[[#Headers],[13]],tabela_registros[REGISTRO],DADOS!$N$3,tabela_registros[TIPO],DADOS!$V$4,tabela_registros[CATEGORIA],receitasvariáveisconsolidadojul[[#This Row],[ATUAL]])</f>
        <v>0</v>
      </c>
      <c r="R103" s="91">
        <f>SUMIFS(tabela_registros[VALOR],tabela_registros[MÊS],$AE$1,tabela_registros[DIA],receitasvariáveisconsolidadojul[[#Headers],[14]],tabela_registros[REGISTRO],DADOS!$N$3,tabela_registros[TIPO],DADOS!$V$4,tabela_registros[CATEGORIA],receitasvariáveisconsolidadojul[[#This Row],[ATUAL]])</f>
        <v>0</v>
      </c>
      <c r="S103" s="91">
        <f>SUMIFS(tabela_registros[VALOR],tabela_registros[MÊS],$AE$1,tabela_registros[DIA],receitasvariáveisconsolidadojul[[#Headers],[15]],tabela_registros[REGISTRO],DADOS!$N$3,tabela_registros[TIPO],DADOS!$V$4,tabela_registros[CATEGORIA],receitasvariáveisconsolidadojul[[#This Row],[ATUAL]])</f>
        <v>0</v>
      </c>
      <c r="T103" s="91">
        <f>SUMIFS(tabela_registros[VALOR],tabela_registros[MÊS],$AE$1,tabela_registros[DIA],receitasvariáveisconsolidadojul[[#Headers],[16]],tabela_registros[REGISTRO],DADOS!$N$3,tabela_registros[TIPO],DADOS!$V$4,tabela_registros[CATEGORIA],receitasvariáveisconsolidadojul[[#This Row],[ATUAL]])</f>
        <v>0</v>
      </c>
      <c r="U103" s="91">
        <f>SUMIFS(tabela_registros[VALOR],tabela_registros[MÊS],$AE$1,tabela_registros[DIA],receitasvariáveisconsolidadojul[[#Headers],[17]],tabela_registros[REGISTRO],DADOS!$N$3,tabela_registros[TIPO],DADOS!$V$4,tabela_registros[CATEGORIA],receitasvariáveisconsolidadojul[[#This Row],[ATUAL]])</f>
        <v>0</v>
      </c>
      <c r="V103" s="91">
        <f>SUMIFS(tabela_registros[VALOR],tabela_registros[MÊS],$AE$1,tabela_registros[DIA],receitasvariáveisconsolidadojul[[#Headers],[18]],tabela_registros[REGISTRO],DADOS!$N$3,tabela_registros[TIPO],DADOS!$V$4,tabela_registros[CATEGORIA],receitasvariáveisconsolidadojul[[#This Row],[ATUAL]])</f>
        <v>0</v>
      </c>
      <c r="W103" s="91">
        <f>SUMIFS(tabela_registros[VALOR],tabela_registros[MÊS],$AE$1,tabela_registros[DIA],receitasvariáveisconsolidadojul[[#Headers],[19]],tabela_registros[REGISTRO],DADOS!$N$3,tabela_registros[TIPO],DADOS!$V$4,tabela_registros[CATEGORIA],receitasvariáveisconsolidadojul[[#This Row],[ATUAL]])</f>
        <v>0</v>
      </c>
      <c r="X103" s="91">
        <f>SUMIFS(tabela_registros[VALOR],tabela_registros[MÊS],$AE$1,tabela_registros[DIA],receitasvariáveisconsolidadojul[[#Headers],[20]],tabela_registros[REGISTRO],DADOS!$N$3,tabela_registros[TIPO],DADOS!$V$4,tabela_registros[CATEGORIA],receitasvariáveisconsolidadojul[[#This Row],[ATUAL]])</f>
        <v>0</v>
      </c>
      <c r="Y103" s="91">
        <f>SUMIFS(tabela_registros[VALOR],tabela_registros[MÊS],$AE$1,tabela_registros[DIA],receitasvariáveisconsolidadojul[[#Headers],[21]],tabela_registros[REGISTRO],DADOS!$N$3,tabela_registros[TIPO],DADOS!$V$4,tabela_registros[CATEGORIA],receitasvariáveisconsolidadojul[[#This Row],[ATUAL]])</f>
        <v>0</v>
      </c>
      <c r="Z103" s="91">
        <f>SUMIFS(tabela_registros[VALOR],tabela_registros[MÊS],$AE$1,tabela_registros[DIA],receitasvariáveisconsolidadojul[[#Headers],[22]],tabela_registros[REGISTRO],DADOS!$N$3,tabela_registros[TIPO],DADOS!$V$4,tabela_registros[CATEGORIA],receitasvariáveisconsolidadojul[[#This Row],[ATUAL]])</f>
        <v>0</v>
      </c>
      <c r="AA103" s="91">
        <f>SUMIFS(tabela_registros[VALOR],tabela_registros[MÊS],$AE$1,tabela_registros[DIA],receitasvariáveisconsolidadojul[[#Headers],[23]],tabela_registros[REGISTRO],DADOS!$N$3,tabela_registros[TIPO],DADOS!$V$4,tabela_registros[CATEGORIA],receitasvariáveisconsolidadojul[[#This Row],[ATUAL]])</f>
        <v>0</v>
      </c>
      <c r="AB103" s="91">
        <f>SUMIFS(tabela_registros[VALOR],tabela_registros[MÊS],$AE$1,tabela_registros[DIA],receitasvariáveisconsolidadojul[[#Headers],[24]],tabela_registros[REGISTRO],DADOS!$N$3,tabela_registros[TIPO],DADOS!$V$4,tabela_registros[CATEGORIA],receitasvariáveisconsolidadojul[[#This Row],[ATUAL]])</f>
        <v>0</v>
      </c>
      <c r="AC103" s="91">
        <f>SUMIFS(tabela_registros[VALOR],tabela_registros[MÊS],$AE$1,tabela_registros[DIA],receitasvariáveisconsolidadojul[[#Headers],[25]],tabela_registros[REGISTRO],DADOS!$N$3,tabela_registros[TIPO],DADOS!$V$4,tabela_registros[CATEGORIA],receitasvariáveisconsolidadojul[[#This Row],[ATUAL]])</f>
        <v>0</v>
      </c>
      <c r="AD103" s="91">
        <f>SUMIFS(tabela_registros[VALOR],tabela_registros[MÊS],$AE$1,tabela_registros[DIA],receitasvariáveisconsolidadojul[[#Headers],[26]],tabela_registros[REGISTRO],DADOS!$N$3,tabela_registros[TIPO],DADOS!$V$4,tabela_registros[CATEGORIA],receitasvariáveisconsolidadojul[[#This Row],[ATUAL]])</f>
        <v>0</v>
      </c>
      <c r="AE103" s="91">
        <f>SUMIFS(tabela_registros[VALOR],tabela_registros[MÊS],$AE$1,tabela_registros[DIA],receitasvariáveisconsolidadojul[[#Headers],[27]],tabela_registros[REGISTRO],DADOS!$N$3,tabela_registros[TIPO],DADOS!$V$4,tabela_registros[CATEGORIA],receitasvariáveisconsolidadojul[[#This Row],[ATUAL]])</f>
        <v>0</v>
      </c>
      <c r="AF103" s="91">
        <f>SUMIFS(tabela_registros[VALOR],tabela_registros[MÊS],$AE$1,tabela_registros[DIA],receitasvariáveisconsolidadojul[[#Headers],[28]],tabela_registros[REGISTRO],DADOS!$N$3,tabela_registros[TIPO],DADOS!$V$4,tabela_registros[CATEGORIA],receitasvariáveisconsolidadojul[[#This Row],[ATUAL]])</f>
        <v>0</v>
      </c>
      <c r="AG103" s="91">
        <f>SUMIFS(tabela_registros[VALOR],tabela_registros[MÊS],$AE$1,tabela_registros[DIA],receitasvariáveisconsolidadojul[[#Headers],[29]],tabela_registros[REGISTRO],DADOS!$N$3,tabela_registros[TIPO],DADOS!$V$4,tabela_registros[CATEGORIA],receitasvariáveisconsolidadojul[[#This Row],[ATUAL]])</f>
        <v>0</v>
      </c>
      <c r="AH103" s="91">
        <f>SUMIFS(tabela_registros[VALOR],tabela_registros[MÊS],$AE$1,tabela_registros[DIA],receitasvariáveisconsolidadojul[[#Headers],[30]],tabela_registros[REGISTRO],DADOS!$N$3,tabela_registros[TIPO],DADOS!$V$4,tabela_registros[CATEGORIA],receitasvariáveisconsolidadojul[[#This Row],[ATUAL]])</f>
        <v>0</v>
      </c>
      <c r="AI103" s="102">
        <f>SUMIFS(tabela_registros[VALOR],tabela_registros[MÊS],$AE$1,tabela_registros[DIA],receitasvariáveisconsolidadojul[[#Headers],[31]],tabela_registros[REGISTRO],DADOS!$N$3,tabela_registros[TIPO],DADOS!$V$4,tabela_registros[CATEGORIA],receitasvariáveisconsolidadojul[[#This Row],[ATUAL]])</f>
        <v>0</v>
      </c>
      <c r="AJ103" s="97">
        <f>SUM(receitasvariáveisconsolidadojul[[#This Row],[1]:[31]])</f>
        <v>0</v>
      </c>
      <c r="AK103" s="25"/>
    </row>
    <row r="104" spans="2:37" s="16" customFormat="1" ht="21" customHeight="1" thickTop="1" thickBot="1" x14ac:dyDescent="0.35">
      <c r="B104" s="24"/>
      <c r="C104" s="23" t="s">
        <v>19</v>
      </c>
      <c r="D104" s="22"/>
      <c r="E104" s="21">
        <f>SUM(E96:E103)</f>
        <v>0</v>
      </c>
      <c r="F104" s="20">
        <f>SUM(F96:F103)+receitasvariáveisconsolidadojul[[#This Row],[1]]</f>
        <v>0</v>
      </c>
      <c r="G104" s="20">
        <f>SUM(G96:G103)+receitasvariáveisconsolidadojul[[#This Row],[2]]</f>
        <v>0</v>
      </c>
      <c r="H104" s="20">
        <f>SUM(H96:H103)+receitasvariáveisconsolidadojul[[#This Row],[3]]</f>
        <v>0</v>
      </c>
      <c r="I104" s="20">
        <f>SUM(I96:I103)+receitasvariáveisconsolidadojul[[#This Row],[4]]</f>
        <v>0</v>
      </c>
      <c r="J104" s="20">
        <f>SUM(J96:J103)+receitasvariáveisconsolidadojul[[#This Row],[5]]</f>
        <v>0</v>
      </c>
      <c r="K104" s="20">
        <f>SUM(K96:K103)+receitasvariáveisconsolidadojul[[#This Row],[6]]</f>
        <v>0</v>
      </c>
      <c r="L104" s="20">
        <f>SUM(L96:L103)+receitasvariáveisconsolidadojul[[#This Row],[7]]</f>
        <v>0</v>
      </c>
      <c r="M104" s="20">
        <f>SUM(M96:M103)+receitasvariáveisconsolidadojul[[#This Row],[8]]</f>
        <v>0</v>
      </c>
      <c r="N104" s="20">
        <f>SUM(N96:N103)+receitasvariáveisconsolidadojul[[#This Row],[9]]</f>
        <v>0</v>
      </c>
      <c r="O104" s="20">
        <f>SUM(O96:O103)+receitasvariáveisconsolidadojul[[#This Row],[10]]</f>
        <v>0</v>
      </c>
      <c r="P104" s="20">
        <f>SUM(P96:P103)+receitasvariáveisconsolidadojul[[#This Row],[11]]</f>
        <v>0</v>
      </c>
      <c r="Q104" s="20">
        <f>SUM(Q96:Q103)+receitasvariáveisconsolidadojul[[#This Row],[12]]</f>
        <v>0</v>
      </c>
      <c r="R104" s="20">
        <f>SUM(R96:R103)+receitasvariáveisconsolidadojul[[#This Row],[13]]</f>
        <v>0</v>
      </c>
      <c r="S104" s="20">
        <f>SUM(S96:S103)+receitasvariáveisconsolidadojul[[#This Row],[14]]</f>
        <v>0</v>
      </c>
      <c r="T104" s="20">
        <f>SUM(T96:T103)+receitasvariáveisconsolidadojul[[#This Row],[15]]</f>
        <v>0</v>
      </c>
      <c r="U104" s="20">
        <f>SUM(U96:U103)+receitasvariáveisconsolidadojul[[#This Row],[16]]</f>
        <v>0</v>
      </c>
      <c r="V104" s="20">
        <f>SUM(V96:V103)+receitasvariáveisconsolidadojul[[#This Row],[17]]</f>
        <v>0</v>
      </c>
      <c r="W104" s="20">
        <f>SUM(W96:W103)+receitasvariáveisconsolidadojul[[#This Row],[18]]</f>
        <v>0</v>
      </c>
      <c r="X104" s="20">
        <f>SUM(X96:X103)+receitasvariáveisconsolidadojul[[#This Row],[19]]</f>
        <v>0</v>
      </c>
      <c r="Y104" s="20">
        <f>SUM(Y96:Y103)+receitasvariáveisconsolidadojul[[#This Row],[20]]</f>
        <v>0</v>
      </c>
      <c r="Z104" s="20">
        <f>SUM(Z96:Z103)+receitasvariáveisconsolidadojul[[#This Row],[21]]</f>
        <v>0</v>
      </c>
      <c r="AA104" s="20">
        <f>SUM(AA96:AA103)+receitasvariáveisconsolidadojul[[#This Row],[22]]</f>
        <v>0</v>
      </c>
      <c r="AB104" s="20">
        <f>SUM(AB96:AB103)+receitasvariáveisconsolidadojul[[#This Row],[23]]</f>
        <v>0</v>
      </c>
      <c r="AC104" s="20">
        <f>SUM(AC96:AC103)+receitasvariáveisconsolidadojul[[#This Row],[24]]</f>
        <v>0</v>
      </c>
      <c r="AD104" s="20">
        <f>SUM(AD96:AD103)+receitasvariáveisconsolidadojul[[#This Row],[25]]</f>
        <v>0</v>
      </c>
      <c r="AE104" s="20">
        <f>SUM(AE96:AE103)+receitasvariáveisconsolidadojul[[#This Row],[26]]</f>
        <v>0</v>
      </c>
      <c r="AF104" s="20">
        <f>SUM(AF96:AF103)+receitasvariáveisconsolidadojul[[#This Row],[27]]</f>
        <v>0</v>
      </c>
      <c r="AG104" s="20">
        <f>SUM(AG96:AG103)+receitasvariáveisconsolidadojul[[#This Row],[28]]</f>
        <v>0</v>
      </c>
      <c r="AH104" s="20">
        <f>SUM(AH96:AH103)+receitasvariáveisconsolidadojul[[#This Row],[29]]</f>
        <v>0</v>
      </c>
      <c r="AI104" s="19">
        <f>SUM(AI96:AI103)+receitasvariáveisconsolidadojul[[#This Row],[30]]</f>
        <v>0</v>
      </c>
      <c r="AJ104" s="18">
        <f>receitasvariáveisconsolidadojul[[#This Row],[31]]</f>
        <v>0</v>
      </c>
      <c r="AK104" s="17"/>
    </row>
    <row r="105" spans="2:37" ht="6.75" customHeight="1" thickTop="1" thickBot="1" x14ac:dyDescent="0.3">
      <c r="B105" s="15"/>
      <c r="C105" s="14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2"/>
      <c r="AJ105" s="11"/>
      <c r="AK105" s="10"/>
    </row>
    <row r="106" spans="2:37" ht="12.6" thickTop="1" x14ac:dyDescent="0.25">
      <c r="E106" s="37"/>
      <c r="AI106" s="4"/>
    </row>
    <row r="107" spans="2:37" x14ac:dyDescent="0.25">
      <c r="AI107" s="4"/>
    </row>
    <row r="108" spans="2:37" x14ac:dyDescent="0.25">
      <c r="AI108" s="4"/>
    </row>
    <row r="109" spans="2:37" ht="39.75" customHeight="1" x14ac:dyDescent="0.7">
      <c r="C109" s="36"/>
      <c r="E109" s="240"/>
      <c r="F109" s="240"/>
      <c r="G109" s="240"/>
      <c r="H109" s="240"/>
      <c r="I109" s="240"/>
      <c r="J109" s="240"/>
      <c r="K109" s="240"/>
      <c r="L109" s="240"/>
      <c r="M109" s="240"/>
      <c r="N109" s="240"/>
      <c r="O109" s="240"/>
      <c r="P109" s="240"/>
      <c r="Q109" s="240"/>
      <c r="R109" s="240"/>
      <c r="S109" s="240"/>
      <c r="T109" s="240"/>
      <c r="U109" s="240"/>
      <c r="V109" s="240"/>
      <c r="W109" s="240"/>
      <c r="X109" s="240"/>
      <c r="Y109" s="240"/>
      <c r="Z109" s="240"/>
      <c r="AA109" s="240"/>
      <c r="AB109" s="240"/>
      <c r="AC109" s="240"/>
      <c r="AD109" s="240"/>
      <c r="AE109" s="240"/>
      <c r="AF109" s="240"/>
      <c r="AG109" s="240"/>
      <c r="AH109" s="240"/>
      <c r="AI109" s="240"/>
      <c r="AJ109" s="32" t="s">
        <v>19</v>
      </c>
    </row>
    <row r="110" spans="2:37" ht="12.6" thickBot="1" x14ac:dyDescent="0.3">
      <c r="B110" s="35"/>
      <c r="AI110" s="4"/>
      <c r="AJ110" s="34" t="s">
        <v>202</v>
      </c>
    </row>
    <row r="111" spans="2:37" ht="6.75" customHeight="1" thickTop="1" thickBot="1" x14ac:dyDescent="0.3">
      <c r="B111" s="2"/>
      <c r="C111" s="14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2"/>
      <c r="AK111" s="33"/>
    </row>
    <row r="112" spans="2:37" ht="13.2" hidden="1" thickTop="1" thickBot="1" x14ac:dyDescent="0.3">
      <c r="B112" s="2"/>
      <c r="C112" s="31" t="s">
        <v>199</v>
      </c>
      <c r="D112" s="30" t="s">
        <v>198</v>
      </c>
      <c r="E112" s="30" t="s">
        <v>197</v>
      </c>
      <c r="F112" s="30" t="s">
        <v>196</v>
      </c>
      <c r="G112" s="30" t="s">
        <v>195</v>
      </c>
      <c r="H112" s="30" t="s">
        <v>194</v>
      </c>
      <c r="I112" s="30" t="s">
        <v>193</v>
      </c>
      <c r="J112" s="30" t="s">
        <v>192</v>
      </c>
      <c r="K112" s="30" t="s">
        <v>191</v>
      </c>
      <c r="L112" s="30" t="s">
        <v>190</v>
      </c>
      <c r="M112" s="30" t="s">
        <v>189</v>
      </c>
      <c r="N112" s="30" t="s">
        <v>188</v>
      </c>
      <c r="O112" s="30" t="s">
        <v>187</v>
      </c>
      <c r="P112" s="30" t="s">
        <v>186</v>
      </c>
      <c r="Q112" s="30" t="s">
        <v>185</v>
      </c>
      <c r="R112" s="30" t="s">
        <v>184</v>
      </c>
      <c r="S112" s="30" t="s">
        <v>183</v>
      </c>
      <c r="T112" s="30" t="s">
        <v>182</v>
      </c>
      <c r="U112" s="30" t="s">
        <v>181</v>
      </c>
      <c r="V112" s="30" t="s">
        <v>180</v>
      </c>
      <c r="W112" s="30" t="s">
        <v>179</v>
      </c>
      <c r="X112" s="30" t="s">
        <v>178</v>
      </c>
      <c r="Y112" s="30" t="s">
        <v>177</v>
      </c>
      <c r="Z112" s="30" t="s">
        <v>176</v>
      </c>
      <c r="AA112" s="30" t="s">
        <v>175</v>
      </c>
      <c r="AB112" s="30" t="s">
        <v>174</v>
      </c>
      <c r="AC112" s="30" t="s">
        <v>173</v>
      </c>
      <c r="AD112" s="30" t="s">
        <v>172</v>
      </c>
      <c r="AE112" s="30" t="s">
        <v>171</v>
      </c>
      <c r="AF112" s="30" t="s">
        <v>170</v>
      </c>
      <c r="AG112" s="30" t="s">
        <v>169</v>
      </c>
      <c r="AH112" s="30" t="s">
        <v>168</v>
      </c>
      <c r="AI112" s="30" t="s">
        <v>167</v>
      </c>
      <c r="AJ112" s="29" t="s">
        <v>166</v>
      </c>
      <c r="AK112" s="2"/>
    </row>
    <row r="113" spans="2:37" ht="19.5" customHeight="1" thickTop="1" thickBot="1" x14ac:dyDescent="0.3">
      <c r="B113" s="28"/>
      <c r="C113" s="27" t="str">
        <f>DADOS!$AD$3</f>
        <v>📝 CDB</v>
      </c>
      <c r="D113" s="26" t="str">
        <f>IF(investirrendafixaconsolidadojul[[#This Row],[TOTAL (R$)]]=0,"",IF(OR(investirrendafixaconsolidadojul[[#This Row],[TOTAL (R$)]]=LARGE($AJ$113:$AJ$122,1),investirrendafixaconsolidadojul[[#This Row],[TOTAL (R$)]]=LARGE($AJ$113:$AJ$122,2)),DADOS!$I$10,""))</f>
        <v/>
      </c>
      <c r="E113" s="96">
        <f>SUMIFS(tabela_registros[VALOR],tabela_registros[MÊS],$AE$1,tabela_registros[DIA],investirrendafixaconsolidadojul[[#Headers],[1]],tabela_registros[REGISTRO],DADOS!$N$5,tabela_registros[TIPO],DADOS!$AB$3,tabela_registros[CATEGORIA],investirrendafixaconsolidadojul[[#This Row],[ATUAL]])</f>
        <v>0</v>
      </c>
      <c r="F113" s="91">
        <f>SUMIFS(tabela_registros[VALOR],tabela_registros[MÊS],$AE$1,tabela_registros[DIA],investirrendafixaconsolidadojul[[#Headers],[2]],tabela_registros[REGISTRO],DADOS!$N$5,tabela_registros[TIPO],DADOS!$AB$3,tabela_registros[CATEGORIA],investirrendafixaconsolidadojul[[#This Row],[ATUAL]])</f>
        <v>0</v>
      </c>
      <c r="G113" s="91">
        <f>SUMIFS(tabela_registros[VALOR],tabela_registros[MÊS],$AE$1,tabela_registros[DIA],investirrendafixaconsolidadojul[[#Headers],[3]],tabela_registros[REGISTRO],DADOS!$N$5,tabela_registros[TIPO],DADOS!$AB$3,tabela_registros[CATEGORIA],investirrendafixaconsolidadojul[[#This Row],[ATUAL]])</f>
        <v>0</v>
      </c>
      <c r="H113" s="91">
        <f>SUMIFS(tabela_registros[VALOR],tabela_registros[MÊS],$AE$1,tabela_registros[DIA],investirrendafixaconsolidadojul[[#Headers],[4]],tabela_registros[REGISTRO],DADOS!$N$5,tabela_registros[TIPO],DADOS!$AB$3,tabela_registros[CATEGORIA],investirrendafixaconsolidadojul[[#This Row],[ATUAL]])</f>
        <v>0</v>
      </c>
      <c r="I113" s="91">
        <f>SUMIFS(tabela_registros[VALOR],tabela_registros[MÊS],$AE$1,tabela_registros[DIA],investirrendafixaconsolidadojul[[#Headers],[5]],tabela_registros[REGISTRO],DADOS!$N$5,tabela_registros[TIPO],DADOS!$AB$3,tabela_registros[CATEGORIA],investirrendafixaconsolidadojul[[#This Row],[ATUAL]])</f>
        <v>0</v>
      </c>
      <c r="J113" s="91">
        <f>SUMIFS(tabela_registros[VALOR],tabela_registros[MÊS],$AE$1,tabela_registros[DIA],investirrendafixaconsolidadojul[[#Headers],[6]],tabela_registros[REGISTRO],DADOS!$N$5,tabela_registros[TIPO],DADOS!$AB$3,tabela_registros[CATEGORIA],investirrendafixaconsolidadojul[[#This Row],[ATUAL]])</f>
        <v>0</v>
      </c>
      <c r="K113" s="91">
        <f>SUMIFS(tabela_registros[VALOR],tabela_registros[MÊS],$AE$1,tabela_registros[DIA],investirrendafixaconsolidadojul[[#Headers],[7]],tabela_registros[REGISTRO],DADOS!$N$5,tabela_registros[TIPO],DADOS!$AB$3,tabela_registros[CATEGORIA],investirrendafixaconsolidadojul[[#This Row],[ATUAL]])</f>
        <v>0</v>
      </c>
      <c r="L113" s="91">
        <f>SUMIFS(tabela_registros[VALOR],tabela_registros[MÊS],$AE$1,tabela_registros[DIA],investirrendafixaconsolidadojul[[#Headers],[8]],tabela_registros[REGISTRO],DADOS!$N$5,tabela_registros[TIPO],DADOS!$AB$3,tabela_registros[CATEGORIA],investirrendafixaconsolidadojul[[#This Row],[ATUAL]])</f>
        <v>0</v>
      </c>
      <c r="M113" s="91">
        <f>SUMIFS(tabela_registros[VALOR],tabela_registros[MÊS],$AE$1,tabela_registros[DIA],investirrendafixaconsolidadojul[[#Headers],[9]],tabela_registros[REGISTRO],DADOS!$N$5,tabela_registros[TIPO],DADOS!$AB$3,tabela_registros[CATEGORIA],investirrendafixaconsolidadojul[[#This Row],[ATUAL]])</f>
        <v>0</v>
      </c>
      <c r="N113" s="91">
        <f>SUMIFS(tabela_registros[VALOR],tabela_registros[MÊS],$AE$1,tabela_registros[DIA],investirrendafixaconsolidadojul[[#Headers],[10]],tabela_registros[REGISTRO],DADOS!$N$5,tabela_registros[TIPO],DADOS!$AB$3,tabela_registros[CATEGORIA],investirrendafixaconsolidadojul[[#This Row],[ATUAL]])</f>
        <v>0</v>
      </c>
      <c r="O113" s="91">
        <f>SUMIFS(tabela_registros[VALOR],tabela_registros[MÊS],$AE$1,tabela_registros[DIA],investirrendafixaconsolidadojul[[#Headers],[11]],tabela_registros[REGISTRO],DADOS!$N$5,tabela_registros[TIPO],DADOS!$AB$3,tabela_registros[CATEGORIA],investirrendafixaconsolidadojul[[#This Row],[ATUAL]])</f>
        <v>0</v>
      </c>
      <c r="P113" s="91">
        <f>SUMIFS(tabela_registros[VALOR],tabela_registros[MÊS],$AE$1,tabela_registros[DIA],investirrendafixaconsolidadojul[[#Headers],[12]],tabela_registros[REGISTRO],DADOS!$N$5,tabela_registros[TIPO],DADOS!$AB$3,tabela_registros[CATEGORIA],investirrendafixaconsolidadojul[[#This Row],[ATUAL]])</f>
        <v>0</v>
      </c>
      <c r="Q113" s="91">
        <f>SUMIFS(tabela_registros[VALOR],tabela_registros[MÊS],$AE$1,tabela_registros[DIA],investirrendafixaconsolidadojul[[#Headers],[13]],tabela_registros[REGISTRO],DADOS!$N$5,tabela_registros[TIPO],DADOS!$AB$3,tabela_registros[CATEGORIA],investirrendafixaconsolidadojul[[#This Row],[ATUAL]])</f>
        <v>0</v>
      </c>
      <c r="R113" s="91">
        <f>SUMIFS(tabela_registros[VALOR],tabela_registros[MÊS],$AE$1,tabela_registros[DIA],investirrendafixaconsolidadojul[[#Headers],[14]],tabela_registros[REGISTRO],DADOS!$N$5,tabela_registros[TIPO],DADOS!$AB$3,tabela_registros[CATEGORIA],investirrendafixaconsolidadojul[[#This Row],[ATUAL]])</f>
        <v>0</v>
      </c>
      <c r="S113" s="91">
        <f>SUMIFS(tabela_registros[VALOR],tabela_registros[MÊS],$AE$1,tabela_registros[DIA],investirrendafixaconsolidadojul[[#Headers],[15]],tabela_registros[REGISTRO],DADOS!$N$5,tabela_registros[TIPO],DADOS!$AB$3,tabela_registros[CATEGORIA],investirrendafixaconsolidadojul[[#This Row],[ATUAL]])</f>
        <v>0</v>
      </c>
      <c r="T113" s="91">
        <f>SUMIFS(tabela_registros[VALOR],tabela_registros[MÊS],$AE$1,tabela_registros[DIA],investirrendafixaconsolidadojul[[#Headers],[16]],tabela_registros[REGISTRO],DADOS!$N$5,tabela_registros[TIPO],DADOS!$AB$3,tabela_registros[CATEGORIA],investirrendafixaconsolidadojul[[#This Row],[ATUAL]])</f>
        <v>0</v>
      </c>
      <c r="U113" s="91">
        <f>SUMIFS(tabela_registros[VALOR],tabela_registros[MÊS],$AE$1,tabela_registros[DIA],investirrendafixaconsolidadojul[[#Headers],[17]],tabela_registros[REGISTRO],DADOS!$N$5,tabela_registros[TIPO],DADOS!$AB$3,tabela_registros[CATEGORIA],investirrendafixaconsolidadojul[[#This Row],[ATUAL]])</f>
        <v>0</v>
      </c>
      <c r="V113" s="91">
        <f>SUMIFS(tabela_registros[VALOR],tabela_registros[MÊS],$AE$1,tabela_registros[DIA],investirrendafixaconsolidadojul[[#Headers],[18]],tabela_registros[REGISTRO],DADOS!$N$5,tabela_registros[TIPO],DADOS!$AB$3,tabela_registros[CATEGORIA],investirrendafixaconsolidadojul[[#This Row],[ATUAL]])</f>
        <v>0</v>
      </c>
      <c r="W113" s="91">
        <f>SUMIFS(tabela_registros[VALOR],tabela_registros[MÊS],$AE$1,tabela_registros[DIA],investirrendafixaconsolidadojul[[#Headers],[19]],tabela_registros[REGISTRO],DADOS!$N$5,tabela_registros[TIPO],DADOS!$AB$3,tabela_registros[CATEGORIA],investirrendafixaconsolidadojul[[#This Row],[ATUAL]])</f>
        <v>0</v>
      </c>
      <c r="X113" s="91">
        <f>SUMIFS(tabela_registros[VALOR],tabela_registros[MÊS],$AE$1,tabela_registros[DIA],investirrendafixaconsolidadojul[[#Headers],[20]],tabela_registros[REGISTRO],DADOS!$N$5,tabela_registros[TIPO],DADOS!$AB$3,tabela_registros[CATEGORIA],investirrendafixaconsolidadojul[[#This Row],[ATUAL]])</f>
        <v>0</v>
      </c>
      <c r="Y113" s="91">
        <f>SUMIFS(tabela_registros[VALOR],tabela_registros[MÊS],$AE$1,tabela_registros[DIA],investirrendafixaconsolidadojul[[#Headers],[21]],tabela_registros[REGISTRO],DADOS!$N$5,tabela_registros[TIPO],DADOS!$AB$3,tabela_registros[CATEGORIA],investirrendafixaconsolidadojul[[#This Row],[ATUAL]])</f>
        <v>0</v>
      </c>
      <c r="Z113" s="91">
        <f>SUMIFS(tabela_registros[VALOR],tabela_registros[MÊS],$AE$1,tabela_registros[DIA],investirrendafixaconsolidadojul[[#Headers],[22]],tabela_registros[REGISTRO],DADOS!$N$5,tabela_registros[TIPO],DADOS!$AB$3,tabela_registros[CATEGORIA],investirrendafixaconsolidadojul[[#This Row],[ATUAL]])</f>
        <v>0</v>
      </c>
      <c r="AA113" s="91">
        <f>SUMIFS(tabela_registros[VALOR],tabela_registros[MÊS],$AE$1,tabela_registros[DIA],investirrendafixaconsolidadojul[[#Headers],[23]],tabela_registros[REGISTRO],DADOS!$N$5,tabela_registros[TIPO],DADOS!$AB$3,tabela_registros[CATEGORIA],investirrendafixaconsolidadojul[[#This Row],[ATUAL]])</f>
        <v>0</v>
      </c>
      <c r="AB113" s="91">
        <f>SUMIFS(tabela_registros[VALOR],tabela_registros[MÊS],$AE$1,tabela_registros[DIA],investirrendafixaconsolidadojul[[#Headers],[24]],tabela_registros[REGISTRO],DADOS!$N$5,tabela_registros[TIPO],DADOS!$AB$3,tabela_registros[CATEGORIA],investirrendafixaconsolidadojul[[#This Row],[ATUAL]])</f>
        <v>0</v>
      </c>
      <c r="AC113" s="91">
        <f>SUMIFS(tabela_registros[VALOR],tabela_registros[MÊS],$AE$1,tabela_registros[DIA],investirrendafixaconsolidadojul[[#Headers],[25]],tabela_registros[REGISTRO],DADOS!$N$5,tabela_registros[TIPO],DADOS!$AB$3,tabela_registros[CATEGORIA],investirrendafixaconsolidadojul[[#This Row],[ATUAL]])</f>
        <v>0</v>
      </c>
      <c r="AD113" s="91">
        <f>SUMIFS(tabela_registros[VALOR],tabela_registros[MÊS],$AE$1,tabela_registros[DIA],investirrendafixaconsolidadojul[[#Headers],[26]],tabela_registros[REGISTRO],DADOS!$N$5,tabela_registros[TIPO],DADOS!$AB$3,tabela_registros[CATEGORIA],investirrendafixaconsolidadojul[[#This Row],[ATUAL]])</f>
        <v>0</v>
      </c>
      <c r="AE113" s="91">
        <f>SUMIFS(tabela_registros[VALOR],tabela_registros[MÊS],$AE$1,tabela_registros[DIA],investirrendafixaconsolidadojul[[#Headers],[27]],tabela_registros[REGISTRO],DADOS!$N$5,tabela_registros[TIPO],DADOS!$AB$3,tabela_registros[CATEGORIA],investirrendafixaconsolidadojul[[#This Row],[ATUAL]])</f>
        <v>0</v>
      </c>
      <c r="AF113" s="91">
        <f>SUMIFS(tabela_registros[VALOR],tabela_registros[MÊS],$AE$1,tabela_registros[DIA],investirrendafixaconsolidadojul[[#Headers],[28]],tabela_registros[REGISTRO],DADOS!$N$5,tabela_registros[TIPO],DADOS!$AB$3,tabela_registros[CATEGORIA],investirrendafixaconsolidadojul[[#This Row],[ATUAL]])</f>
        <v>0</v>
      </c>
      <c r="AG113" s="91">
        <f>SUMIFS(tabela_registros[VALOR],tabela_registros[MÊS],$AE$1,tabela_registros[DIA],investirrendafixaconsolidadojul[[#Headers],[29]],tabela_registros[REGISTRO],DADOS!$N$5,tabela_registros[TIPO],DADOS!$AB$3,tabela_registros[CATEGORIA],investirrendafixaconsolidadojul[[#This Row],[ATUAL]])</f>
        <v>0</v>
      </c>
      <c r="AH113" s="91">
        <f>SUMIFS(tabela_registros[VALOR],tabela_registros[MÊS],$AE$1,tabela_registros[DIA],investirrendafixaconsolidadojul[[#Headers],[30]],tabela_registros[REGISTRO],DADOS!$N$5,tabela_registros[TIPO],DADOS!$AB$3,tabela_registros[CATEGORIA],investirrendafixaconsolidadojul[[#This Row],[ATUAL]])</f>
        <v>0</v>
      </c>
      <c r="AI113" s="101">
        <f>SUMIFS(tabela_registros[VALOR],tabela_registros[MÊS],$AE$1,tabela_registros[DIA],investirrendafixaconsolidadojul[[#Headers],[31]],tabela_registros[REGISTRO],DADOS!$N$5,tabela_registros[TIPO],DADOS!$AB$3,tabela_registros[CATEGORIA],investirrendafixaconsolidadojul[[#This Row],[ATUAL]])</f>
        <v>0</v>
      </c>
      <c r="AJ113" s="97">
        <f>SUM(investirrendafixaconsolidadojul[[#This Row],[1]:[31]])</f>
        <v>0</v>
      </c>
      <c r="AK113" s="25"/>
    </row>
    <row r="114" spans="2:37" ht="19.5" customHeight="1" thickTop="1" thickBot="1" x14ac:dyDescent="0.3">
      <c r="B114" s="28"/>
      <c r="C114" s="27" t="str">
        <f>DADOS!$AD$4</f>
        <v>📝 CRA</v>
      </c>
      <c r="D114" s="26" t="str">
        <f>IF(investirrendafixaconsolidadojul[[#This Row],[TOTAL (R$)]]=0,"",IF(OR(investirrendafixaconsolidadojul[[#This Row],[TOTAL (R$)]]=LARGE($AJ$113:$AJ$122,1),investirrendafixaconsolidadojul[[#This Row],[TOTAL (R$)]]=LARGE($AJ$113:$AJ$122,2)),DADOS!$I$10,""))</f>
        <v/>
      </c>
      <c r="E114" s="96">
        <f>SUMIFS(tabela_registros[VALOR],tabela_registros[MÊS],$AE$1,tabela_registros[DIA],investirrendafixaconsolidadojul[[#Headers],[1]],tabela_registros[REGISTRO],DADOS!$N$5,tabela_registros[TIPO],DADOS!$AB$3,tabela_registros[CATEGORIA],investirrendafixaconsolidadojul[[#This Row],[ATUAL]])</f>
        <v>0</v>
      </c>
      <c r="F114" s="91">
        <f>SUMIFS(tabela_registros[VALOR],tabela_registros[MÊS],$AE$1,tabela_registros[DIA],investirrendafixaconsolidadojul[[#Headers],[2]],tabela_registros[REGISTRO],DADOS!$N$5,tabela_registros[TIPO],DADOS!$AB$3,tabela_registros[CATEGORIA],investirrendafixaconsolidadojul[[#This Row],[ATUAL]])</f>
        <v>0</v>
      </c>
      <c r="G114" s="91">
        <f>SUMIFS(tabela_registros[VALOR],tabela_registros[MÊS],$AE$1,tabela_registros[DIA],investirrendafixaconsolidadojul[[#Headers],[3]],tabela_registros[REGISTRO],DADOS!$N$5,tabela_registros[TIPO],DADOS!$AB$3,tabela_registros[CATEGORIA],investirrendafixaconsolidadojul[[#This Row],[ATUAL]])</f>
        <v>0</v>
      </c>
      <c r="H114" s="91">
        <f>SUMIFS(tabela_registros[VALOR],tabela_registros[MÊS],$AE$1,tabela_registros[DIA],investirrendafixaconsolidadojul[[#Headers],[4]],tabela_registros[REGISTRO],DADOS!$N$5,tabela_registros[TIPO],DADOS!$AB$3,tabela_registros[CATEGORIA],investirrendafixaconsolidadojul[[#This Row],[ATUAL]])</f>
        <v>0</v>
      </c>
      <c r="I114" s="91">
        <f>SUMIFS(tabela_registros[VALOR],tabela_registros[MÊS],$AE$1,tabela_registros[DIA],investirrendafixaconsolidadojul[[#Headers],[5]],tabela_registros[REGISTRO],DADOS!$N$5,tabela_registros[TIPO],DADOS!$AB$3,tabela_registros[CATEGORIA],investirrendafixaconsolidadojul[[#This Row],[ATUAL]])</f>
        <v>0</v>
      </c>
      <c r="J114" s="91">
        <f>SUMIFS(tabela_registros[VALOR],tabela_registros[MÊS],$AE$1,tabela_registros[DIA],investirrendafixaconsolidadojul[[#Headers],[6]],tabela_registros[REGISTRO],DADOS!$N$5,tabela_registros[TIPO],DADOS!$AB$3,tabela_registros[CATEGORIA],investirrendafixaconsolidadojul[[#This Row],[ATUAL]])</f>
        <v>0</v>
      </c>
      <c r="K114" s="91">
        <f>SUMIFS(tabela_registros[VALOR],tabela_registros[MÊS],$AE$1,tabela_registros[DIA],investirrendafixaconsolidadojul[[#Headers],[7]],tabela_registros[REGISTRO],DADOS!$N$5,tabela_registros[TIPO],DADOS!$AB$3,tabela_registros[CATEGORIA],investirrendafixaconsolidadojul[[#This Row],[ATUAL]])</f>
        <v>0</v>
      </c>
      <c r="L114" s="91">
        <f>SUMIFS(tabela_registros[VALOR],tabela_registros[MÊS],$AE$1,tabela_registros[DIA],investirrendafixaconsolidadojul[[#Headers],[8]],tabela_registros[REGISTRO],DADOS!$N$5,tabela_registros[TIPO],DADOS!$AB$3,tabela_registros[CATEGORIA],investirrendafixaconsolidadojul[[#This Row],[ATUAL]])</f>
        <v>0</v>
      </c>
      <c r="M114" s="91">
        <f>SUMIFS(tabela_registros[VALOR],tabela_registros[MÊS],$AE$1,tabela_registros[DIA],investirrendafixaconsolidadojul[[#Headers],[9]],tabela_registros[REGISTRO],DADOS!$N$5,tabela_registros[TIPO],DADOS!$AB$3,tabela_registros[CATEGORIA],investirrendafixaconsolidadojul[[#This Row],[ATUAL]])</f>
        <v>0</v>
      </c>
      <c r="N114" s="91">
        <f>SUMIFS(tabela_registros[VALOR],tabela_registros[MÊS],$AE$1,tabela_registros[DIA],investirrendafixaconsolidadojul[[#Headers],[10]],tabela_registros[REGISTRO],DADOS!$N$5,tabela_registros[TIPO],DADOS!$AB$3,tabela_registros[CATEGORIA],investirrendafixaconsolidadojul[[#This Row],[ATUAL]])</f>
        <v>0</v>
      </c>
      <c r="O114" s="91">
        <f>SUMIFS(tabela_registros[VALOR],tabela_registros[MÊS],$AE$1,tabela_registros[DIA],investirrendafixaconsolidadojul[[#Headers],[11]],tabela_registros[REGISTRO],DADOS!$N$5,tabela_registros[TIPO],DADOS!$AB$3,tabela_registros[CATEGORIA],investirrendafixaconsolidadojul[[#This Row],[ATUAL]])</f>
        <v>0</v>
      </c>
      <c r="P114" s="91">
        <f>SUMIFS(tabela_registros[VALOR],tabela_registros[MÊS],$AE$1,tabela_registros[DIA],investirrendafixaconsolidadojul[[#Headers],[12]],tabela_registros[REGISTRO],DADOS!$N$5,tabela_registros[TIPO],DADOS!$AB$3,tabela_registros[CATEGORIA],investirrendafixaconsolidadojul[[#This Row],[ATUAL]])</f>
        <v>0</v>
      </c>
      <c r="Q114" s="91">
        <f>SUMIFS(tabela_registros[VALOR],tabela_registros[MÊS],$AE$1,tabela_registros[DIA],investirrendafixaconsolidadojul[[#Headers],[13]],tabela_registros[REGISTRO],DADOS!$N$5,tabela_registros[TIPO],DADOS!$AB$3,tabela_registros[CATEGORIA],investirrendafixaconsolidadojul[[#This Row],[ATUAL]])</f>
        <v>0</v>
      </c>
      <c r="R114" s="91">
        <f>SUMIFS(tabela_registros[VALOR],tabela_registros[MÊS],$AE$1,tabela_registros[DIA],investirrendafixaconsolidadojul[[#Headers],[14]],tabela_registros[REGISTRO],DADOS!$N$5,tabela_registros[TIPO],DADOS!$AB$3,tabela_registros[CATEGORIA],investirrendafixaconsolidadojul[[#This Row],[ATUAL]])</f>
        <v>0</v>
      </c>
      <c r="S114" s="91">
        <f>SUMIFS(tabela_registros[VALOR],tabela_registros[MÊS],$AE$1,tabela_registros[DIA],investirrendafixaconsolidadojul[[#Headers],[15]],tabela_registros[REGISTRO],DADOS!$N$5,tabela_registros[TIPO],DADOS!$AB$3,tabela_registros[CATEGORIA],investirrendafixaconsolidadojul[[#This Row],[ATUAL]])</f>
        <v>0</v>
      </c>
      <c r="T114" s="91">
        <f>SUMIFS(tabela_registros[VALOR],tabela_registros[MÊS],$AE$1,tabela_registros[DIA],investirrendafixaconsolidadojul[[#Headers],[16]],tabela_registros[REGISTRO],DADOS!$N$5,tabela_registros[TIPO],DADOS!$AB$3,tabela_registros[CATEGORIA],investirrendafixaconsolidadojul[[#This Row],[ATUAL]])</f>
        <v>0</v>
      </c>
      <c r="U114" s="91">
        <f>SUMIFS(tabela_registros[VALOR],tabela_registros[MÊS],$AE$1,tabela_registros[DIA],investirrendafixaconsolidadojul[[#Headers],[17]],tabela_registros[REGISTRO],DADOS!$N$5,tabela_registros[TIPO],DADOS!$AB$3,tabela_registros[CATEGORIA],investirrendafixaconsolidadojul[[#This Row],[ATUAL]])</f>
        <v>0</v>
      </c>
      <c r="V114" s="91">
        <f>SUMIFS(tabela_registros[VALOR],tabela_registros[MÊS],$AE$1,tabela_registros[DIA],investirrendafixaconsolidadojul[[#Headers],[18]],tabela_registros[REGISTRO],DADOS!$N$5,tabela_registros[TIPO],DADOS!$AB$3,tabela_registros[CATEGORIA],investirrendafixaconsolidadojul[[#This Row],[ATUAL]])</f>
        <v>0</v>
      </c>
      <c r="W114" s="91">
        <f>SUMIFS(tabela_registros[VALOR],tabela_registros[MÊS],$AE$1,tabela_registros[DIA],investirrendafixaconsolidadojul[[#Headers],[19]],tabela_registros[REGISTRO],DADOS!$N$5,tabela_registros[TIPO],DADOS!$AB$3,tabela_registros[CATEGORIA],investirrendafixaconsolidadojul[[#This Row],[ATUAL]])</f>
        <v>0</v>
      </c>
      <c r="X114" s="91">
        <f>SUMIFS(tabela_registros[VALOR],tabela_registros[MÊS],$AE$1,tabela_registros[DIA],investirrendafixaconsolidadojul[[#Headers],[20]],tabela_registros[REGISTRO],DADOS!$N$5,tabela_registros[TIPO],DADOS!$AB$3,tabela_registros[CATEGORIA],investirrendafixaconsolidadojul[[#This Row],[ATUAL]])</f>
        <v>0</v>
      </c>
      <c r="Y114" s="91">
        <f>SUMIFS(tabela_registros[VALOR],tabela_registros[MÊS],$AE$1,tabela_registros[DIA],investirrendafixaconsolidadojul[[#Headers],[21]],tabela_registros[REGISTRO],DADOS!$N$5,tabela_registros[TIPO],DADOS!$AB$3,tabela_registros[CATEGORIA],investirrendafixaconsolidadojul[[#This Row],[ATUAL]])</f>
        <v>0</v>
      </c>
      <c r="Z114" s="91">
        <f>SUMIFS(tabela_registros[VALOR],tabela_registros[MÊS],$AE$1,tabela_registros[DIA],investirrendafixaconsolidadojul[[#Headers],[22]],tabela_registros[REGISTRO],DADOS!$N$5,tabela_registros[TIPO],DADOS!$AB$3,tabela_registros[CATEGORIA],investirrendafixaconsolidadojul[[#This Row],[ATUAL]])</f>
        <v>0</v>
      </c>
      <c r="AA114" s="91">
        <f>SUMIFS(tabela_registros[VALOR],tabela_registros[MÊS],$AE$1,tabela_registros[DIA],investirrendafixaconsolidadojul[[#Headers],[23]],tabela_registros[REGISTRO],DADOS!$N$5,tabela_registros[TIPO],DADOS!$AB$3,tabela_registros[CATEGORIA],investirrendafixaconsolidadojul[[#This Row],[ATUAL]])</f>
        <v>0</v>
      </c>
      <c r="AB114" s="91">
        <f>SUMIFS(tabela_registros[VALOR],tabela_registros[MÊS],$AE$1,tabela_registros[DIA],investirrendafixaconsolidadojul[[#Headers],[24]],tabela_registros[REGISTRO],DADOS!$N$5,tabela_registros[TIPO],DADOS!$AB$3,tabela_registros[CATEGORIA],investirrendafixaconsolidadojul[[#This Row],[ATUAL]])</f>
        <v>0</v>
      </c>
      <c r="AC114" s="91">
        <f>SUMIFS(tabela_registros[VALOR],tabela_registros[MÊS],$AE$1,tabela_registros[DIA],investirrendafixaconsolidadojul[[#Headers],[25]],tabela_registros[REGISTRO],DADOS!$N$5,tabela_registros[TIPO],DADOS!$AB$3,tabela_registros[CATEGORIA],investirrendafixaconsolidadojul[[#This Row],[ATUAL]])</f>
        <v>0</v>
      </c>
      <c r="AD114" s="91">
        <f>SUMIFS(tabela_registros[VALOR],tabela_registros[MÊS],$AE$1,tabela_registros[DIA],investirrendafixaconsolidadojul[[#Headers],[26]],tabela_registros[REGISTRO],DADOS!$N$5,tabela_registros[TIPO],DADOS!$AB$3,tabela_registros[CATEGORIA],investirrendafixaconsolidadojul[[#This Row],[ATUAL]])</f>
        <v>0</v>
      </c>
      <c r="AE114" s="91">
        <f>SUMIFS(tabela_registros[VALOR],tabela_registros[MÊS],$AE$1,tabela_registros[DIA],investirrendafixaconsolidadojul[[#Headers],[27]],tabela_registros[REGISTRO],DADOS!$N$5,tabela_registros[TIPO],DADOS!$AB$3,tabela_registros[CATEGORIA],investirrendafixaconsolidadojul[[#This Row],[ATUAL]])</f>
        <v>0</v>
      </c>
      <c r="AF114" s="91">
        <f>SUMIFS(tabela_registros[VALOR],tabela_registros[MÊS],$AE$1,tabela_registros[DIA],investirrendafixaconsolidadojul[[#Headers],[28]],tabela_registros[REGISTRO],DADOS!$N$5,tabela_registros[TIPO],DADOS!$AB$3,tabela_registros[CATEGORIA],investirrendafixaconsolidadojul[[#This Row],[ATUAL]])</f>
        <v>0</v>
      </c>
      <c r="AG114" s="91">
        <f>SUMIFS(tabela_registros[VALOR],tabela_registros[MÊS],$AE$1,tabela_registros[DIA],investirrendafixaconsolidadojul[[#Headers],[29]],tabela_registros[REGISTRO],DADOS!$N$5,tabela_registros[TIPO],DADOS!$AB$3,tabela_registros[CATEGORIA],investirrendafixaconsolidadojul[[#This Row],[ATUAL]])</f>
        <v>0</v>
      </c>
      <c r="AH114" s="91">
        <f>SUMIFS(tabela_registros[VALOR],tabela_registros[MÊS],$AE$1,tabela_registros[DIA],investirrendafixaconsolidadojul[[#Headers],[30]],tabela_registros[REGISTRO],DADOS!$N$5,tabela_registros[TIPO],DADOS!$AB$3,tabela_registros[CATEGORIA],investirrendafixaconsolidadojul[[#This Row],[ATUAL]])</f>
        <v>0</v>
      </c>
      <c r="AI114" s="101">
        <f>SUMIFS(tabela_registros[VALOR],tabela_registros[MÊS],$AE$1,tabela_registros[DIA],investirrendafixaconsolidadojul[[#Headers],[31]],tabela_registros[REGISTRO],DADOS!$N$5,tabela_registros[TIPO],DADOS!$AB$3,tabela_registros[CATEGORIA],investirrendafixaconsolidadojul[[#This Row],[ATUAL]])</f>
        <v>0</v>
      </c>
      <c r="AJ114" s="97">
        <f>SUM(investirrendafixaconsolidadojul[[#This Row],[1]:[31]])</f>
        <v>0</v>
      </c>
      <c r="AK114" s="25"/>
    </row>
    <row r="115" spans="2:37" ht="19.5" customHeight="1" thickTop="1" thickBot="1" x14ac:dyDescent="0.3">
      <c r="B115" s="28"/>
      <c r="C115" s="27" t="str">
        <f>DADOS!$AD$5</f>
        <v>📝 CRI</v>
      </c>
      <c r="D115" s="26" t="str">
        <f>IF(investirrendafixaconsolidadojul[[#This Row],[TOTAL (R$)]]=0,"",IF(OR(investirrendafixaconsolidadojul[[#This Row],[TOTAL (R$)]]=LARGE($AJ$113:$AJ$122,1),investirrendafixaconsolidadojul[[#This Row],[TOTAL (R$)]]=LARGE($AJ$113:$AJ$122,2)),DADOS!$I$10,""))</f>
        <v/>
      </c>
      <c r="E115" s="96">
        <f>SUMIFS(tabela_registros[VALOR],tabela_registros[MÊS],$AE$1,tabela_registros[DIA],investirrendafixaconsolidadojul[[#Headers],[1]],tabela_registros[REGISTRO],DADOS!$N$5,tabela_registros[TIPO],DADOS!$AB$3,tabela_registros[CATEGORIA],investirrendafixaconsolidadojul[[#This Row],[ATUAL]])</f>
        <v>0</v>
      </c>
      <c r="F115" s="91">
        <f>SUMIFS(tabela_registros[VALOR],tabela_registros[MÊS],$AE$1,tabela_registros[DIA],investirrendafixaconsolidadojul[[#Headers],[2]],tabela_registros[REGISTRO],DADOS!$N$5,tabela_registros[TIPO],DADOS!$AB$3,tabela_registros[CATEGORIA],investirrendafixaconsolidadojul[[#This Row],[ATUAL]])</f>
        <v>0</v>
      </c>
      <c r="G115" s="91">
        <f>SUMIFS(tabela_registros[VALOR],tabela_registros[MÊS],$AE$1,tabela_registros[DIA],investirrendafixaconsolidadojul[[#Headers],[3]],tabela_registros[REGISTRO],DADOS!$N$5,tabela_registros[TIPO],DADOS!$AB$3,tabela_registros[CATEGORIA],investirrendafixaconsolidadojul[[#This Row],[ATUAL]])</f>
        <v>0</v>
      </c>
      <c r="H115" s="91">
        <f>SUMIFS(tabela_registros[VALOR],tabela_registros[MÊS],$AE$1,tabela_registros[DIA],investirrendafixaconsolidadojul[[#Headers],[4]],tabela_registros[REGISTRO],DADOS!$N$5,tabela_registros[TIPO],DADOS!$AB$3,tabela_registros[CATEGORIA],investirrendafixaconsolidadojul[[#This Row],[ATUAL]])</f>
        <v>0</v>
      </c>
      <c r="I115" s="91">
        <f>SUMIFS(tabela_registros[VALOR],tabela_registros[MÊS],$AE$1,tabela_registros[DIA],investirrendafixaconsolidadojul[[#Headers],[5]],tabela_registros[REGISTRO],DADOS!$N$5,tabela_registros[TIPO],DADOS!$AB$3,tabela_registros[CATEGORIA],investirrendafixaconsolidadojul[[#This Row],[ATUAL]])</f>
        <v>0</v>
      </c>
      <c r="J115" s="91">
        <f>SUMIFS(tabela_registros[VALOR],tabela_registros[MÊS],$AE$1,tabela_registros[DIA],investirrendafixaconsolidadojul[[#Headers],[6]],tabela_registros[REGISTRO],DADOS!$N$5,tabela_registros[TIPO],DADOS!$AB$3,tabela_registros[CATEGORIA],investirrendafixaconsolidadojul[[#This Row],[ATUAL]])</f>
        <v>0</v>
      </c>
      <c r="K115" s="91">
        <f>SUMIFS(tabela_registros[VALOR],tabela_registros[MÊS],$AE$1,tabela_registros[DIA],investirrendafixaconsolidadojul[[#Headers],[7]],tabela_registros[REGISTRO],DADOS!$N$5,tabela_registros[TIPO],DADOS!$AB$3,tabela_registros[CATEGORIA],investirrendafixaconsolidadojul[[#This Row],[ATUAL]])</f>
        <v>0</v>
      </c>
      <c r="L115" s="91">
        <f>SUMIFS(tabela_registros[VALOR],tabela_registros[MÊS],$AE$1,tabela_registros[DIA],investirrendafixaconsolidadojul[[#Headers],[8]],tabela_registros[REGISTRO],DADOS!$N$5,tabela_registros[TIPO],DADOS!$AB$3,tabela_registros[CATEGORIA],investirrendafixaconsolidadojul[[#This Row],[ATUAL]])</f>
        <v>0</v>
      </c>
      <c r="M115" s="91">
        <f>SUMIFS(tabela_registros[VALOR],tabela_registros[MÊS],$AE$1,tabela_registros[DIA],investirrendafixaconsolidadojul[[#Headers],[9]],tabela_registros[REGISTRO],DADOS!$N$5,tabela_registros[TIPO],DADOS!$AB$3,tabela_registros[CATEGORIA],investirrendafixaconsolidadojul[[#This Row],[ATUAL]])</f>
        <v>0</v>
      </c>
      <c r="N115" s="91">
        <f>SUMIFS(tabela_registros[VALOR],tabela_registros[MÊS],$AE$1,tabela_registros[DIA],investirrendafixaconsolidadojul[[#Headers],[10]],tabela_registros[REGISTRO],DADOS!$N$5,tabela_registros[TIPO],DADOS!$AB$3,tabela_registros[CATEGORIA],investirrendafixaconsolidadojul[[#This Row],[ATUAL]])</f>
        <v>0</v>
      </c>
      <c r="O115" s="91">
        <f>SUMIFS(tabela_registros[VALOR],tabela_registros[MÊS],$AE$1,tabela_registros[DIA],investirrendafixaconsolidadojul[[#Headers],[11]],tabela_registros[REGISTRO],DADOS!$N$5,tabela_registros[TIPO],DADOS!$AB$3,tabela_registros[CATEGORIA],investirrendafixaconsolidadojul[[#This Row],[ATUAL]])</f>
        <v>0</v>
      </c>
      <c r="P115" s="91">
        <f>SUMIFS(tabela_registros[VALOR],tabela_registros[MÊS],$AE$1,tabela_registros[DIA],investirrendafixaconsolidadojul[[#Headers],[12]],tabela_registros[REGISTRO],DADOS!$N$5,tabela_registros[TIPO],DADOS!$AB$3,tabela_registros[CATEGORIA],investirrendafixaconsolidadojul[[#This Row],[ATUAL]])</f>
        <v>0</v>
      </c>
      <c r="Q115" s="91">
        <f>SUMIFS(tabela_registros[VALOR],tabela_registros[MÊS],$AE$1,tabela_registros[DIA],investirrendafixaconsolidadojul[[#Headers],[13]],tabela_registros[REGISTRO],DADOS!$N$5,tabela_registros[TIPO],DADOS!$AB$3,tabela_registros[CATEGORIA],investirrendafixaconsolidadojul[[#This Row],[ATUAL]])</f>
        <v>0</v>
      </c>
      <c r="R115" s="91">
        <f>SUMIFS(tabela_registros[VALOR],tabela_registros[MÊS],$AE$1,tabela_registros[DIA],investirrendafixaconsolidadojul[[#Headers],[14]],tabela_registros[REGISTRO],DADOS!$N$5,tabela_registros[TIPO],DADOS!$AB$3,tabela_registros[CATEGORIA],investirrendafixaconsolidadojul[[#This Row],[ATUAL]])</f>
        <v>0</v>
      </c>
      <c r="S115" s="91">
        <f>SUMIFS(tabela_registros[VALOR],tabela_registros[MÊS],$AE$1,tabela_registros[DIA],investirrendafixaconsolidadojul[[#Headers],[15]],tabela_registros[REGISTRO],DADOS!$N$5,tabela_registros[TIPO],DADOS!$AB$3,tabela_registros[CATEGORIA],investirrendafixaconsolidadojul[[#This Row],[ATUAL]])</f>
        <v>0</v>
      </c>
      <c r="T115" s="91">
        <f>SUMIFS(tabela_registros[VALOR],tabela_registros[MÊS],$AE$1,tabela_registros[DIA],investirrendafixaconsolidadojul[[#Headers],[16]],tabela_registros[REGISTRO],DADOS!$N$5,tabela_registros[TIPO],DADOS!$AB$3,tabela_registros[CATEGORIA],investirrendafixaconsolidadojul[[#This Row],[ATUAL]])</f>
        <v>0</v>
      </c>
      <c r="U115" s="91">
        <f>SUMIFS(tabela_registros[VALOR],tabela_registros[MÊS],$AE$1,tabela_registros[DIA],investirrendafixaconsolidadojul[[#Headers],[17]],tabela_registros[REGISTRO],DADOS!$N$5,tabela_registros[TIPO],DADOS!$AB$3,tabela_registros[CATEGORIA],investirrendafixaconsolidadojul[[#This Row],[ATUAL]])</f>
        <v>0</v>
      </c>
      <c r="V115" s="91">
        <f>SUMIFS(tabela_registros[VALOR],tabela_registros[MÊS],$AE$1,tabela_registros[DIA],investirrendafixaconsolidadojul[[#Headers],[18]],tabela_registros[REGISTRO],DADOS!$N$5,tabela_registros[TIPO],DADOS!$AB$3,tabela_registros[CATEGORIA],investirrendafixaconsolidadojul[[#This Row],[ATUAL]])</f>
        <v>0</v>
      </c>
      <c r="W115" s="91">
        <f>SUMIFS(tabela_registros[VALOR],tabela_registros[MÊS],$AE$1,tabela_registros[DIA],investirrendafixaconsolidadojul[[#Headers],[19]],tabela_registros[REGISTRO],DADOS!$N$5,tabela_registros[TIPO],DADOS!$AB$3,tabela_registros[CATEGORIA],investirrendafixaconsolidadojul[[#This Row],[ATUAL]])</f>
        <v>0</v>
      </c>
      <c r="X115" s="91">
        <f>SUMIFS(tabela_registros[VALOR],tabela_registros[MÊS],$AE$1,tabela_registros[DIA],investirrendafixaconsolidadojul[[#Headers],[20]],tabela_registros[REGISTRO],DADOS!$N$5,tabela_registros[TIPO],DADOS!$AB$3,tabela_registros[CATEGORIA],investirrendafixaconsolidadojul[[#This Row],[ATUAL]])</f>
        <v>0</v>
      </c>
      <c r="Y115" s="91">
        <f>SUMIFS(tabela_registros[VALOR],tabela_registros[MÊS],$AE$1,tabela_registros[DIA],investirrendafixaconsolidadojul[[#Headers],[21]],tabela_registros[REGISTRO],DADOS!$N$5,tabela_registros[TIPO],DADOS!$AB$3,tabela_registros[CATEGORIA],investirrendafixaconsolidadojul[[#This Row],[ATUAL]])</f>
        <v>0</v>
      </c>
      <c r="Z115" s="91">
        <f>SUMIFS(tabela_registros[VALOR],tabela_registros[MÊS],$AE$1,tabela_registros[DIA],investirrendafixaconsolidadojul[[#Headers],[22]],tabela_registros[REGISTRO],DADOS!$N$5,tabela_registros[TIPO],DADOS!$AB$3,tabela_registros[CATEGORIA],investirrendafixaconsolidadojul[[#This Row],[ATUAL]])</f>
        <v>0</v>
      </c>
      <c r="AA115" s="91">
        <f>SUMIFS(tabela_registros[VALOR],tabela_registros[MÊS],$AE$1,tabela_registros[DIA],investirrendafixaconsolidadojul[[#Headers],[23]],tabela_registros[REGISTRO],DADOS!$N$5,tabela_registros[TIPO],DADOS!$AB$3,tabela_registros[CATEGORIA],investirrendafixaconsolidadojul[[#This Row],[ATUAL]])</f>
        <v>0</v>
      </c>
      <c r="AB115" s="91">
        <f>SUMIFS(tabela_registros[VALOR],tabela_registros[MÊS],$AE$1,tabela_registros[DIA],investirrendafixaconsolidadojul[[#Headers],[24]],tabela_registros[REGISTRO],DADOS!$N$5,tabela_registros[TIPO],DADOS!$AB$3,tabela_registros[CATEGORIA],investirrendafixaconsolidadojul[[#This Row],[ATUAL]])</f>
        <v>0</v>
      </c>
      <c r="AC115" s="91">
        <f>SUMIFS(tabela_registros[VALOR],tabela_registros[MÊS],$AE$1,tabela_registros[DIA],investirrendafixaconsolidadojul[[#Headers],[25]],tabela_registros[REGISTRO],DADOS!$N$5,tabela_registros[TIPO],DADOS!$AB$3,tabela_registros[CATEGORIA],investirrendafixaconsolidadojul[[#This Row],[ATUAL]])</f>
        <v>0</v>
      </c>
      <c r="AD115" s="91">
        <f>SUMIFS(tabela_registros[VALOR],tabela_registros[MÊS],$AE$1,tabela_registros[DIA],investirrendafixaconsolidadojul[[#Headers],[26]],tabela_registros[REGISTRO],DADOS!$N$5,tabela_registros[TIPO],DADOS!$AB$3,tabela_registros[CATEGORIA],investirrendafixaconsolidadojul[[#This Row],[ATUAL]])</f>
        <v>0</v>
      </c>
      <c r="AE115" s="91">
        <f>SUMIFS(tabela_registros[VALOR],tabela_registros[MÊS],$AE$1,tabela_registros[DIA],investirrendafixaconsolidadojul[[#Headers],[27]],tabela_registros[REGISTRO],DADOS!$N$5,tabela_registros[TIPO],DADOS!$AB$3,tabela_registros[CATEGORIA],investirrendafixaconsolidadojul[[#This Row],[ATUAL]])</f>
        <v>0</v>
      </c>
      <c r="AF115" s="91">
        <f>SUMIFS(tabela_registros[VALOR],tabela_registros[MÊS],$AE$1,tabela_registros[DIA],investirrendafixaconsolidadojul[[#Headers],[28]],tabela_registros[REGISTRO],DADOS!$N$5,tabela_registros[TIPO],DADOS!$AB$3,tabela_registros[CATEGORIA],investirrendafixaconsolidadojul[[#This Row],[ATUAL]])</f>
        <v>0</v>
      </c>
      <c r="AG115" s="91">
        <f>SUMIFS(tabela_registros[VALOR],tabela_registros[MÊS],$AE$1,tabela_registros[DIA],investirrendafixaconsolidadojul[[#Headers],[29]],tabela_registros[REGISTRO],DADOS!$N$5,tabela_registros[TIPO],DADOS!$AB$3,tabela_registros[CATEGORIA],investirrendafixaconsolidadojul[[#This Row],[ATUAL]])</f>
        <v>0</v>
      </c>
      <c r="AH115" s="91">
        <f>SUMIFS(tabela_registros[VALOR],tabela_registros[MÊS],$AE$1,tabela_registros[DIA],investirrendafixaconsolidadojul[[#Headers],[30]],tabela_registros[REGISTRO],DADOS!$N$5,tabela_registros[TIPO],DADOS!$AB$3,tabela_registros[CATEGORIA],investirrendafixaconsolidadojul[[#This Row],[ATUAL]])</f>
        <v>0</v>
      </c>
      <c r="AI115" s="101">
        <f>SUMIFS(tabela_registros[VALOR],tabela_registros[MÊS],$AE$1,tabela_registros[DIA],investirrendafixaconsolidadojul[[#Headers],[31]],tabela_registros[REGISTRO],DADOS!$N$5,tabela_registros[TIPO],DADOS!$AB$3,tabela_registros[CATEGORIA],investirrendafixaconsolidadojul[[#This Row],[ATUAL]])</f>
        <v>0</v>
      </c>
      <c r="AJ115" s="97">
        <f>SUM(investirrendafixaconsolidadojul[[#This Row],[1]:[31]])</f>
        <v>0</v>
      </c>
      <c r="AK115" s="25"/>
    </row>
    <row r="116" spans="2:37" ht="19.5" customHeight="1" thickTop="1" thickBot="1" x14ac:dyDescent="0.3">
      <c r="B116" s="28"/>
      <c r="C116" s="27" t="str">
        <f>DADOS!$AD$6</f>
        <v>📝 DEBÊNTURE</v>
      </c>
      <c r="D116" s="26" t="str">
        <f>IF(investirrendafixaconsolidadojul[[#This Row],[TOTAL (R$)]]=0,"",IF(OR(investirrendafixaconsolidadojul[[#This Row],[TOTAL (R$)]]=LARGE($AJ$113:$AJ$122,1),investirrendafixaconsolidadojul[[#This Row],[TOTAL (R$)]]=LARGE($AJ$113:$AJ$122,2)),DADOS!$I$10,""))</f>
        <v/>
      </c>
      <c r="E116" s="96">
        <f>SUMIFS(tabela_registros[VALOR],tabela_registros[MÊS],$AE$1,tabela_registros[DIA],investirrendafixaconsolidadojul[[#Headers],[1]],tabela_registros[REGISTRO],DADOS!$N$5,tabela_registros[TIPO],DADOS!$AB$3,tabela_registros[CATEGORIA],investirrendafixaconsolidadojul[[#This Row],[ATUAL]])</f>
        <v>0</v>
      </c>
      <c r="F116" s="91">
        <f>SUMIFS(tabela_registros[VALOR],tabela_registros[MÊS],$AE$1,tabela_registros[DIA],investirrendafixaconsolidadojul[[#Headers],[2]],tabela_registros[REGISTRO],DADOS!$N$5,tabela_registros[TIPO],DADOS!$AB$3,tabela_registros[CATEGORIA],investirrendafixaconsolidadojul[[#This Row],[ATUAL]])</f>
        <v>0</v>
      </c>
      <c r="G116" s="91">
        <f>SUMIFS(tabela_registros[VALOR],tabela_registros[MÊS],$AE$1,tabela_registros[DIA],investirrendafixaconsolidadojul[[#Headers],[3]],tabela_registros[REGISTRO],DADOS!$N$5,tabela_registros[TIPO],DADOS!$AB$3,tabela_registros[CATEGORIA],investirrendafixaconsolidadojul[[#This Row],[ATUAL]])</f>
        <v>0</v>
      </c>
      <c r="H116" s="91">
        <f>SUMIFS(tabela_registros[VALOR],tabela_registros[MÊS],$AE$1,tabela_registros[DIA],investirrendafixaconsolidadojul[[#Headers],[4]],tabela_registros[REGISTRO],DADOS!$N$5,tabela_registros[TIPO],DADOS!$AB$3,tabela_registros[CATEGORIA],investirrendafixaconsolidadojul[[#This Row],[ATUAL]])</f>
        <v>0</v>
      </c>
      <c r="I116" s="91">
        <f>SUMIFS(tabela_registros[VALOR],tabela_registros[MÊS],$AE$1,tabela_registros[DIA],investirrendafixaconsolidadojul[[#Headers],[5]],tabela_registros[REGISTRO],DADOS!$N$5,tabela_registros[TIPO],DADOS!$AB$3,tabela_registros[CATEGORIA],investirrendafixaconsolidadojul[[#This Row],[ATUAL]])</f>
        <v>0</v>
      </c>
      <c r="J116" s="91">
        <f>SUMIFS(tabela_registros[VALOR],tabela_registros[MÊS],$AE$1,tabela_registros[DIA],investirrendafixaconsolidadojul[[#Headers],[6]],tabela_registros[REGISTRO],DADOS!$N$5,tabela_registros[TIPO],DADOS!$AB$3,tabela_registros[CATEGORIA],investirrendafixaconsolidadojul[[#This Row],[ATUAL]])</f>
        <v>0</v>
      </c>
      <c r="K116" s="91">
        <f>SUMIFS(tabela_registros[VALOR],tabela_registros[MÊS],$AE$1,tabela_registros[DIA],investirrendafixaconsolidadojul[[#Headers],[7]],tabela_registros[REGISTRO],DADOS!$N$5,tabela_registros[TIPO],DADOS!$AB$3,tabela_registros[CATEGORIA],investirrendafixaconsolidadojul[[#This Row],[ATUAL]])</f>
        <v>0</v>
      </c>
      <c r="L116" s="91">
        <f>SUMIFS(tabela_registros[VALOR],tabela_registros[MÊS],$AE$1,tabela_registros[DIA],investirrendafixaconsolidadojul[[#Headers],[8]],tabela_registros[REGISTRO],DADOS!$N$5,tabela_registros[TIPO],DADOS!$AB$3,tabela_registros[CATEGORIA],investirrendafixaconsolidadojul[[#This Row],[ATUAL]])</f>
        <v>0</v>
      </c>
      <c r="M116" s="91">
        <f>SUMIFS(tabela_registros[VALOR],tabela_registros[MÊS],$AE$1,tabela_registros[DIA],investirrendafixaconsolidadojul[[#Headers],[9]],tabela_registros[REGISTRO],DADOS!$N$5,tabela_registros[TIPO],DADOS!$AB$3,tabela_registros[CATEGORIA],investirrendafixaconsolidadojul[[#This Row],[ATUAL]])</f>
        <v>0</v>
      </c>
      <c r="N116" s="91">
        <f>SUMIFS(tabela_registros[VALOR],tabela_registros[MÊS],$AE$1,tabela_registros[DIA],investirrendafixaconsolidadojul[[#Headers],[10]],tabela_registros[REGISTRO],DADOS!$N$5,tabela_registros[TIPO],DADOS!$AB$3,tabela_registros[CATEGORIA],investirrendafixaconsolidadojul[[#This Row],[ATUAL]])</f>
        <v>0</v>
      </c>
      <c r="O116" s="91">
        <f>SUMIFS(tabela_registros[VALOR],tabela_registros[MÊS],$AE$1,tabela_registros[DIA],investirrendafixaconsolidadojul[[#Headers],[11]],tabela_registros[REGISTRO],DADOS!$N$5,tabela_registros[TIPO],DADOS!$AB$3,tabela_registros[CATEGORIA],investirrendafixaconsolidadojul[[#This Row],[ATUAL]])</f>
        <v>0</v>
      </c>
      <c r="P116" s="91">
        <f>SUMIFS(tabela_registros[VALOR],tabela_registros[MÊS],$AE$1,tabela_registros[DIA],investirrendafixaconsolidadojul[[#Headers],[12]],tabela_registros[REGISTRO],DADOS!$N$5,tabela_registros[TIPO],DADOS!$AB$3,tabela_registros[CATEGORIA],investirrendafixaconsolidadojul[[#This Row],[ATUAL]])</f>
        <v>0</v>
      </c>
      <c r="Q116" s="91">
        <f>SUMIFS(tabela_registros[VALOR],tabela_registros[MÊS],$AE$1,tabela_registros[DIA],investirrendafixaconsolidadojul[[#Headers],[13]],tabela_registros[REGISTRO],DADOS!$N$5,tabela_registros[TIPO],DADOS!$AB$3,tabela_registros[CATEGORIA],investirrendafixaconsolidadojul[[#This Row],[ATUAL]])</f>
        <v>0</v>
      </c>
      <c r="R116" s="91">
        <f>SUMIFS(tabela_registros[VALOR],tabela_registros[MÊS],$AE$1,tabela_registros[DIA],investirrendafixaconsolidadojul[[#Headers],[14]],tabela_registros[REGISTRO],DADOS!$N$5,tabela_registros[TIPO],DADOS!$AB$3,tabela_registros[CATEGORIA],investirrendafixaconsolidadojul[[#This Row],[ATUAL]])</f>
        <v>0</v>
      </c>
      <c r="S116" s="91">
        <f>SUMIFS(tabela_registros[VALOR],tabela_registros[MÊS],$AE$1,tabela_registros[DIA],investirrendafixaconsolidadojul[[#Headers],[15]],tabela_registros[REGISTRO],DADOS!$N$5,tabela_registros[TIPO],DADOS!$AB$3,tabela_registros[CATEGORIA],investirrendafixaconsolidadojul[[#This Row],[ATUAL]])</f>
        <v>0</v>
      </c>
      <c r="T116" s="91">
        <f>SUMIFS(tabela_registros[VALOR],tabela_registros[MÊS],$AE$1,tabela_registros[DIA],investirrendafixaconsolidadojul[[#Headers],[16]],tabela_registros[REGISTRO],DADOS!$N$5,tabela_registros[TIPO],DADOS!$AB$3,tabela_registros[CATEGORIA],investirrendafixaconsolidadojul[[#This Row],[ATUAL]])</f>
        <v>0</v>
      </c>
      <c r="U116" s="91">
        <f>SUMIFS(tabela_registros[VALOR],tabela_registros[MÊS],$AE$1,tabela_registros[DIA],investirrendafixaconsolidadojul[[#Headers],[17]],tabela_registros[REGISTRO],DADOS!$N$5,tabela_registros[TIPO],DADOS!$AB$3,tabela_registros[CATEGORIA],investirrendafixaconsolidadojul[[#This Row],[ATUAL]])</f>
        <v>0</v>
      </c>
      <c r="V116" s="91">
        <f>SUMIFS(tabela_registros[VALOR],tabela_registros[MÊS],$AE$1,tabela_registros[DIA],investirrendafixaconsolidadojul[[#Headers],[18]],tabela_registros[REGISTRO],DADOS!$N$5,tabela_registros[TIPO],DADOS!$AB$3,tabela_registros[CATEGORIA],investirrendafixaconsolidadojul[[#This Row],[ATUAL]])</f>
        <v>0</v>
      </c>
      <c r="W116" s="91">
        <f>SUMIFS(tabela_registros[VALOR],tabela_registros[MÊS],$AE$1,tabela_registros[DIA],investirrendafixaconsolidadojul[[#Headers],[19]],tabela_registros[REGISTRO],DADOS!$N$5,tabela_registros[TIPO],DADOS!$AB$3,tabela_registros[CATEGORIA],investirrendafixaconsolidadojul[[#This Row],[ATUAL]])</f>
        <v>0</v>
      </c>
      <c r="X116" s="91">
        <f>SUMIFS(tabela_registros[VALOR],tabela_registros[MÊS],$AE$1,tabela_registros[DIA],investirrendafixaconsolidadojul[[#Headers],[20]],tabela_registros[REGISTRO],DADOS!$N$5,tabela_registros[TIPO],DADOS!$AB$3,tabela_registros[CATEGORIA],investirrendafixaconsolidadojul[[#This Row],[ATUAL]])</f>
        <v>0</v>
      </c>
      <c r="Y116" s="91">
        <f>SUMIFS(tabela_registros[VALOR],tabela_registros[MÊS],$AE$1,tabela_registros[DIA],investirrendafixaconsolidadojul[[#Headers],[21]],tabela_registros[REGISTRO],DADOS!$N$5,tabela_registros[TIPO],DADOS!$AB$3,tabela_registros[CATEGORIA],investirrendafixaconsolidadojul[[#This Row],[ATUAL]])</f>
        <v>0</v>
      </c>
      <c r="Z116" s="91">
        <f>SUMIFS(tabela_registros[VALOR],tabela_registros[MÊS],$AE$1,tabela_registros[DIA],investirrendafixaconsolidadojul[[#Headers],[22]],tabela_registros[REGISTRO],DADOS!$N$5,tabela_registros[TIPO],DADOS!$AB$3,tabela_registros[CATEGORIA],investirrendafixaconsolidadojul[[#This Row],[ATUAL]])</f>
        <v>0</v>
      </c>
      <c r="AA116" s="91">
        <f>SUMIFS(tabela_registros[VALOR],tabela_registros[MÊS],$AE$1,tabela_registros[DIA],investirrendafixaconsolidadojul[[#Headers],[23]],tabela_registros[REGISTRO],DADOS!$N$5,tabela_registros[TIPO],DADOS!$AB$3,tabela_registros[CATEGORIA],investirrendafixaconsolidadojul[[#This Row],[ATUAL]])</f>
        <v>0</v>
      </c>
      <c r="AB116" s="91">
        <f>SUMIFS(tabela_registros[VALOR],tabela_registros[MÊS],$AE$1,tabela_registros[DIA],investirrendafixaconsolidadojul[[#Headers],[24]],tabela_registros[REGISTRO],DADOS!$N$5,tabela_registros[TIPO],DADOS!$AB$3,tabela_registros[CATEGORIA],investirrendafixaconsolidadojul[[#This Row],[ATUAL]])</f>
        <v>0</v>
      </c>
      <c r="AC116" s="91">
        <f>SUMIFS(tabela_registros[VALOR],tabela_registros[MÊS],$AE$1,tabela_registros[DIA],investirrendafixaconsolidadojul[[#Headers],[25]],tabela_registros[REGISTRO],DADOS!$N$5,tabela_registros[TIPO],DADOS!$AB$3,tabela_registros[CATEGORIA],investirrendafixaconsolidadojul[[#This Row],[ATUAL]])</f>
        <v>0</v>
      </c>
      <c r="AD116" s="91">
        <f>SUMIFS(tabela_registros[VALOR],tabela_registros[MÊS],$AE$1,tabela_registros[DIA],investirrendafixaconsolidadojul[[#Headers],[26]],tabela_registros[REGISTRO],DADOS!$N$5,tabela_registros[TIPO],DADOS!$AB$3,tabela_registros[CATEGORIA],investirrendafixaconsolidadojul[[#This Row],[ATUAL]])</f>
        <v>0</v>
      </c>
      <c r="AE116" s="91">
        <f>SUMIFS(tabela_registros[VALOR],tabela_registros[MÊS],$AE$1,tabela_registros[DIA],investirrendafixaconsolidadojul[[#Headers],[27]],tabela_registros[REGISTRO],DADOS!$N$5,tabela_registros[TIPO],DADOS!$AB$3,tabela_registros[CATEGORIA],investirrendafixaconsolidadojul[[#This Row],[ATUAL]])</f>
        <v>0</v>
      </c>
      <c r="AF116" s="91">
        <f>SUMIFS(tabela_registros[VALOR],tabela_registros[MÊS],$AE$1,tabela_registros[DIA],investirrendafixaconsolidadojul[[#Headers],[28]],tabela_registros[REGISTRO],DADOS!$N$5,tabela_registros[TIPO],DADOS!$AB$3,tabela_registros[CATEGORIA],investirrendafixaconsolidadojul[[#This Row],[ATUAL]])</f>
        <v>0</v>
      </c>
      <c r="AG116" s="91">
        <f>SUMIFS(tabela_registros[VALOR],tabela_registros[MÊS],$AE$1,tabela_registros[DIA],investirrendafixaconsolidadojul[[#Headers],[29]],tabela_registros[REGISTRO],DADOS!$N$5,tabela_registros[TIPO],DADOS!$AB$3,tabela_registros[CATEGORIA],investirrendafixaconsolidadojul[[#This Row],[ATUAL]])</f>
        <v>0</v>
      </c>
      <c r="AH116" s="91">
        <f>SUMIFS(tabela_registros[VALOR],tabela_registros[MÊS],$AE$1,tabela_registros[DIA],investirrendafixaconsolidadojul[[#Headers],[30]],tabela_registros[REGISTRO],DADOS!$N$5,tabela_registros[TIPO],DADOS!$AB$3,tabela_registros[CATEGORIA],investirrendafixaconsolidadojul[[#This Row],[ATUAL]])</f>
        <v>0</v>
      </c>
      <c r="AI116" s="101">
        <f>SUMIFS(tabela_registros[VALOR],tabela_registros[MÊS],$AE$1,tabela_registros[DIA],investirrendafixaconsolidadojul[[#Headers],[31]],tabela_registros[REGISTRO],DADOS!$N$5,tabela_registros[TIPO],DADOS!$AB$3,tabela_registros[CATEGORIA],investirrendafixaconsolidadojul[[#This Row],[ATUAL]])</f>
        <v>0</v>
      </c>
      <c r="AJ116" s="97">
        <f>SUM(investirrendafixaconsolidadojul[[#This Row],[1]:[31]])</f>
        <v>0</v>
      </c>
      <c r="AK116" s="25"/>
    </row>
    <row r="117" spans="2:37" ht="19.5" customHeight="1" thickTop="1" thickBot="1" x14ac:dyDescent="0.3">
      <c r="B117" s="28"/>
      <c r="C117" s="27" t="str">
        <f>DADOS!$AD$7</f>
        <v>📝 EXTERIOR</v>
      </c>
      <c r="D117" s="26" t="str">
        <f>IF(investirrendafixaconsolidadojul[[#This Row],[TOTAL (R$)]]=0,"",IF(OR(investirrendafixaconsolidadojul[[#This Row],[TOTAL (R$)]]=LARGE($AJ$113:$AJ$122,1),investirrendafixaconsolidadojul[[#This Row],[TOTAL (R$)]]=LARGE($AJ$113:$AJ$122,2)),DADOS!$I$10,""))</f>
        <v/>
      </c>
      <c r="E117" s="96">
        <f>SUMIFS(tabela_registros[VALOR],tabela_registros[MÊS],$AE$1,tabela_registros[DIA],investirrendafixaconsolidadojul[[#Headers],[1]],tabela_registros[REGISTRO],DADOS!$N$5,tabela_registros[TIPO],DADOS!$AB$3,tabela_registros[CATEGORIA],investirrendafixaconsolidadojul[[#This Row],[ATUAL]])</f>
        <v>0</v>
      </c>
      <c r="F117" s="91">
        <f>SUMIFS(tabela_registros[VALOR],tabela_registros[MÊS],$AE$1,tabela_registros[DIA],investirrendafixaconsolidadojul[[#Headers],[2]],tabela_registros[REGISTRO],DADOS!$N$5,tabela_registros[TIPO],DADOS!$AB$3,tabela_registros[CATEGORIA],investirrendafixaconsolidadojul[[#This Row],[ATUAL]])</f>
        <v>0</v>
      </c>
      <c r="G117" s="91">
        <f>SUMIFS(tabela_registros[VALOR],tabela_registros[MÊS],$AE$1,tabela_registros[DIA],investirrendafixaconsolidadojul[[#Headers],[3]],tabela_registros[REGISTRO],DADOS!$N$5,tabela_registros[TIPO],DADOS!$AB$3,tabela_registros[CATEGORIA],investirrendafixaconsolidadojul[[#This Row],[ATUAL]])</f>
        <v>0</v>
      </c>
      <c r="H117" s="91">
        <f>SUMIFS(tabela_registros[VALOR],tabela_registros[MÊS],$AE$1,tabela_registros[DIA],investirrendafixaconsolidadojul[[#Headers],[4]],tabela_registros[REGISTRO],DADOS!$N$5,tabela_registros[TIPO],DADOS!$AB$3,tabela_registros[CATEGORIA],investirrendafixaconsolidadojul[[#This Row],[ATUAL]])</f>
        <v>0</v>
      </c>
      <c r="I117" s="91">
        <f>SUMIFS(tabela_registros[VALOR],tabela_registros[MÊS],$AE$1,tabela_registros[DIA],investirrendafixaconsolidadojul[[#Headers],[5]],tabela_registros[REGISTRO],DADOS!$N$5,tabela_registros[TIPO],DADOS!$AB$3,tabela_registros[CATEGORIA],investirrendafixaconsolidadojul[[#This Row],[ATUAL]])</f>
        <v>0</v>
      </c>
      <c r="J117" s="91">
        <f>SUMIFS(tabela_registros[VALOR],tabela_registros[MÊS],$AE$1,tabela_registros[DIA],investirrendafixaconsolidadojul[[#Headers],[6]],tabela_registros[REGISTRO],DADOS!$N$5,tabela_registros[TIPO],DADOS!$AB$3,tabela_registros[CATEGORIA],investirrendafixaconsolidadojul[[#This Row],[ATUAL]])</f>
        <v>0</v>
      </c>
      <c r="K117" s="91">
        <f>SUMIFS(tabela_registros[VALOR],tabela_registros[MÊS],$AE$1,tabela_registros[DIA],investirrendafixaconsolidadojul[[#Headers],[7]],tabela_registros[REGISTRO],DADOS!$N$5,tabela_registros[TIPO],DADOS!$AB$3,tabela_registros[CATEGORIA],investirrendafixaconsolidadojul[[#This Row],[ATUAL]])</f>
        <v>0</v>
      </c>
      <c r="L117" s="91">
        <f>SUMIFS(tabela_registros[VALOR],tabela_registros[MÊS],$AE$1,tabela_registros[DIA],investirrendafixaconsolidadojul[[#Headers],[8]],tabela_registros[REGISTRO],DADOS!$N$5,tabela_registros[TIPO],DADOS!$AB$3,tabela_registros[CATEGORIA],investirrendafixaconsolidadojul[[#This Row],[ATUAL]])</f>
        <v>0</v>
      </c>
      <c r="M117" s="91">
        <f>SUMIFS(tabela_registros[VALOR],tabela_registros[MÊS],$AE$1,tabela_registros[DIA],investirrendafixaconsolidadojul[[#Headers],[9]],tabela_registros[REGISTRO],DADOS!$N$5,tabela_registros[TIPO],DADOS!$AB$3,tabela_registros[CATEGORIA],investirrendafixaconsolidadojul[[#This Row],[ATUAL]])</f>
        <v>0</v>
      </c>
      <c r="N117" s="91">
        <f>SUMIFS(tabela_registros[VALOR],tabela_registros[MÊS],$AE$1,tabela_registros[DIA],investirrendafixaconsolidadojul[[#Headers],[10]],tabela_registros[REGISTRO],DADOS!$N$5,tabela_registros[TIPO],DADOS!$AB$3,tabela_registros[CATEGORIA],investirrendafixaconsolidadojul[[#This Row],[ATUAL]])</f>
        <v>0</v>
      </c>
      <c r="O117" s="91">
        <f>SUMIFS(tabela_registros[VALOR],tabela_registros[MÊS],$AE$1,tabela_registros[DIA],investirrendafixaconsolidadojul[[#Headers],[11]],tabela_registros[REGISTRO],DADOS!$N$5,tabela_registros[TIPO],DADOS!$AB$3,tabela_registros[CATEGORIA],investirrendafixaconsolidadojul[[#This Row],[ATUAL]])</f>
        <v>0</v>
      </c>
      <c r="P117" s="91">
        <f>SUMIFS(tabela_registros[VALOR],tabela_registros[MÊS],$AE$1,tabela_registros[DIA],investirrendafixaconsolidadojul[[#Headers],[12]],tabela_registros[REGISTRO],DADOS!$N$5,tabela_registros[TIPO],DADOS!$AB$3,tabela_registros[CATEGORIA],investirrendafixaconsolidadojul[[#This Row],[ATUAL]])</f>
        <v>0</v>
      </c>
      <c r="Q117" s="91">
        <f>SUMIFS(tabela_registros[VALOR],tabela_registros[MÊS],$AE$1,tabela_registros[DIA],investirrendafixaconsolidadojul[[#Headers],[13]],tabela_registros[REGISTRO],DADOS!$N$5,tabela_registros[TIPO],DADOS!$AB$3,tabela_registros[CATEGORIA],investirrendafixaconsolidadojul[[#This Row],[ATUAL]])</f>
        <v>0</v>
      </c>
      <c r="R117" s="91">
        <f>SUMIFS(tabela_registros[VALOR],tabela_registros[MÊS],$AE$1,tabela_registros[DIA],investirrendafixaconsolidadojul[[#Headers],[14]],tabela_registros[REGISTRO],DADOS!$N$5,tabela_registros[TIPO],DADOS!$AB$3,tabela_registros[CATEGORIA],investirrendafixaconsolidadojul[[#This Row],[ATUAL]])</f>
        <v>0</v>
      </c>
      <c r="S117" s="91">
        <f>SUMIFS(tabela_registros[VALOR],tabela_registros[MÊS],$AE$1,tabela_registros[DIA],investirrendafixaconsolidadojul[[#Headers],[15]],tabela_registros[REGISTRO],DADOS!$N$5,tabela_registros[TIPO],DADOS!$AB$3,tabela_registros[CATEGORIA],investirrendafixaconsolidadojul[[#This Row],[ATUAL]])</f>
        <v>0</v>
      </c>
      <c r="T117" s="91">
        <f>SUMIFS(tabela_registros[VALOR],tabela_registros[MÊS],$AE$1,tabela_registros[DIA],investirrendafixaconsolidadojul[[#Headers],[16]],tabela_registros[REGISTRO],DADOS!$N$5,tabela_registros[TIPO],DADOS!$AB$3,tabela_registros[CATEGORIA],investirrendafixaconsolidadojul[[#This Row],[ATUAL]])</f>
        <v>0</v>
      </c>
      <c r="U117" s="91">
        <f>SUMIFS(tabela_registros[VALOR],tabela_registros[MÊS],$AE$1,tabela_registros[DIA],investirrendafixaconsolidadojul[[#Headers],[17]],tabela_registros[REGISTRO],DADOS!$N$5,tabela_registros[TIPO],DADOS!$AB$3,tabela_registros[CATEGORIA],investirrendafixaconsolidadojul[[#This Row],[ATUAL]])</f>
        <v>0</v>
      </c>
      <c r="V117" s="91">
        <f>SUMIFS(tabela_registros[VALOR],tabela_registros[MÊS],$AE$1,tabela_registros[DIA],investirrendafixaconsolidadojul[[#Headers],[18]],tabela_registros[REGISTRO],DADOS!$N$5,tabela_registros[TIPO],DADOS!$AB$3,tabela_registros[CATEGORIA],investirrendafixaconsolidadojul[[#This Row],[ATUAL]])</f>
        <v>0</v>
      </c>
      <c r="W117" s="91">
        <f>SUMIFS(tabela_registros[VALOR],tabela_registros[MÊS],$AE$1,tabela_registros[DIA],investirrendafixaconsolidadojul[[#Headers],[19]],tabela_registros[REGISTRO],DADOS!$N$5,tabela_registros[TIPO],DADOS!$AB$3,tabela_registros[CATEGORIA],investirrendafixaconsolidadojul[[#This Row],[ATUAL]])</f>
        <v>0</v>
      </c>
      <c r="X117" s="91">
        <f>SUMIFS(tabela_registros[VALOR],tabela_registros[MÊS],$AE$1,tabela_registros[DIA],investirrendafixaconsolidadojul[[#Headers],[20]],tabela_registros[REGISTRO],DADOS!$N$5,tabela_registros[TIPO],DADOS!$AB$3,tabela_registros[CATEGORIA],investirrendafixaconsolidadojul[[#This Row],[ATUAL]])</f>
        <v>0</v>
      </c>
      <c r="Y117" s="91">
        <f>SUMIFS(tabela_registros[VALOR],tabela_registros[MÊS],$AE$1,tabela_registros[DIA],investirrendafixaconsolidadojul[[#Headers],[21]],tabela_registros[REGISTRO],DADOS!$N$5,tabela_registros[TIPO],DADOS!$AB$3,tabela_registros[CATEGORIA],investirrendafixaconsolidadojul[[#This Row],[ATUAL]])</f>
        <v>0</v>
      </c>
      <c r="Z117" s="91">
        <f>SUMIFS(tabela_registros[VALOR],tabela_registros[MÊS],$AE$1,tabela_registros[DIA],investirrendafixaconsolidadojul[[#Headers],[22]],tabela_registros[REGISTRO],DADOS!$N$5,tabela_registros[TIPO],DADOS!$AB$3,tabela_registros[CATEGORIA],investirrendafixaconsolidadojul[[#This Row],[ATUAL]])</f>
        <v>0</v>
      </c>
      <c r="AA117" s="91">
        <f>SUMIFS(tabela_registros[VALOR],tabela_registros[MÊS],$AE$1,tabela_registros[DIA],investirrendafixaconsolidadojul[[#Headers],[23]],tabela_registros[REGISTRO],DADOS!$N$5,tabela_registros[TIPO],DADOS!$AB$3,tabela_registros[CATEGORIA],investirrendafixaconsolidadojul[[#This Row],[ATUAL]])</f>
        <v>0</v>
      </c>
      <c r="AB117" s="91">
        <f>SUMIFS(tabela_registros[VALOR],tabela_registros[MÊS],$AE$1,tabela_registros[DIA],investirrendafixaconsolidadojul[[#Headers],[24]],tabela_registros[REGISTRO],DADOS!$N$5,tabela_registros[TIPO],DADOS!$AB$3,tabela_registros[CATEGORIA],investirrendafixaconsolidadojul[[#This Row],[ATUAL]])</f>
        <v>0</v>
      </c>
      <c r="AC117" s="91">
        <f>SUMIFS(tabela_registros[VALOR],tabela_registros[MÊS],$AE$1,tabela_registros[DIA],investirrendafixaconsolidadojul[[#Headers],[25]],tabela_registros[REGISTRO],DADOS!$N$5,tabela_registros[TIPO],DADOS!$AB$3,tabela_registros[CATEGORIA],investirrendafixaconsolidadojul[[#This Row],[ATUAL]])</f>
        <v>0</v>
      </c>
      <c r="AD117" s="91">
        <f>SUMIFS(tabela_registros[VALOR],tabela_registros[MÊS],$AE$1,tabela_registros[DIA],investirrendafixaconsolidadojul[[#Headers],[26]],tabela_registros[REGISTRO],DADOS!$N$5,tabela_registros[TIPO],DADOS!$AB$3,tabela_registros[CATEGORIA],investirrendafixaconsolidadojul[[#This Row],[ATUAL]])</f>
        <v>0</v>
      </c>
      <c r="AE117" s="91">
        <f>SUMIFS(tabela_registros[VALOR],tabela_registros[MÊS],$AE$1,tabela_registros[DIA],investirrendafixaconsolidadojul[[#Headers],[27]],tabela_registros[REGISTRO],DADOS!$N$5,tabela_registros[TIPO],DADOS!$AB$3,tabela_registros[CATEGORIA],investirrendafixaconsolidadojul[[#This Row],[ATUAL]])</f>
        <v>0</v>
      </c>
      <c r="AF117" s="91">
        <f>SUMIFS(tabela_registros[VALOR],tabela_registros[MÊS],$AE$1,tabela_registros[DIA],investirrendafixaconsolidadojul[[#Headers],[28]],tabela_registros[REGISTRO],DADOS!$N$5,tabela_registros[TIPO],DADOS!$AB$3,tabela_registros[CATEGORIA],investirrendafixaconsolidadojul[[#This Row],[ATUAL]])</f>
        <v>0</v>
      </c>
      <c r="AG117" s="91">
        <f>SUMIFS(tabela_registros[VALOR],tabela_registros[MÊS],$AE$1,tabela_registros[DIA],investirrendafixaconsolidadojul[[#Headers],[29]],tabela_registros[REGISTRO],DADOS!$N$5,tabela_registros[TIPO],DADOS!$AB$3,tabela_registros[CATEGORIA],investirrendafixaconsolidadojul[[#This Row],[ATUAL]])</f>
        <v>0</v>
      </c>
      <c r="AH117" s="91">
        <f>SUMIFS(tabela_registros[VALOR],tabela_registros[MÊS],$AE$1,tabela_registros[DIA],investirrendafixaconsolidadojul[[#Headers],[30]],tabela_registros[REGISTRO],DADOS!$N$5,tabela_registros[TIPO],DADOS!$AB$3,tabela_registros[CATEGORIA],investirrendafixaconsolidadojul[[#This Row],[ATUAL]])</f>
        <v>0</v>
      </c>
      <c r="AI117" s="101">
        <f>SUMIFS(tabela_registros[VALOR],tabela_registros[MÊS],$AE$1,tabela_registros[DIA],investirrendafixaconsolidadojul[[#Headers],[31]],tabela_registros[REGISTRO],DADOS!$N$5,tabela_registros[TIPO],DADOS!$AB$3,tabela_registros[CATEGORIA],investirrendafixaconsolidadojul[[#This Row],[ATUAL]])</f>
        <v>0</v>
      </c>
      <c r="AJ117" s="97">
        <f>SUM(investirrendafixaconsolidadojul[[#This Row],[1]:[31]])</f>
        <v>0</v>
      </c>
      <c r="AK117" s="25"/>
    </row>
    <row r="118" spans="2:37" ht="19.5" customHeight="1" thickTop="1" thickBot="1" x14ac:dyDescent="0.3">
      <c r="B118" s="28"/>
      <c r="C118" s="27" t="str">
        <f>DADOS!$AD$8</f>
        <v>📝 LC</v>
      </c>
      <c r="D118" s="26" t="str">
        <f>IF(investirrendafixaconsolidadojul[[#This Row],[TOTAL (R$)]]=0,"",IF(OR(investirrendafixaconsolidadojul[[#This Row],[TOTAL (R$)]]=LARGE($AJ$113:$AJ$122,1),investirrendafixaconsolidadojul[[#This Row],[TOTAL (R$)]]=LARGE($AJ$113:$AJ$122,2)),DADOS!$I$10,""))</f>
        <v/>
      </c>
      <c r="E118" s="96">
        <f>SUMIFS(tabela_registros[VALOR],tabela_registros[MÊS],$AE$1,tabela_registros[DIA],investirrendafixaconsolidadojul[[#Headers],[1]],tabela_registros[REGISTRO],DADOS!$N$5,tabela_registros[TIPO],DADOS!$AB$3,tabela_registros[CATEGORIA],investirrendafixaconsolidadojul[[#This Row],[ATUAL]])</f>
        <v>0</v>
      </c>
      <c r="F118" s="91">
        <f>SUMIFS(tabela_registros[VALOR],tabela_registros[MÊS],$AE$1,tabela_registros[DIA],investirrendafixaconsolidadojul[[#Headers],[2]],tabela_registros[REGISTRO],DADOS!$N$5,tabela_registros[TIPO],DADOS!$AB$3,tabela_registros[CATEGORIA],investirrendafixaconsolidadojul[[#This Row],[ATUAL]])</f>
        <v>0</v>
      </c>
      <c r="G118" s="91">
        <f>SUMIFS(tabela_registros[VALOR],tabela_registros[MÊS],$AE$1,tabela_registros[DIA],investirrendafixaconsolidadojul[[#Headers],[3]],tabela_registros[REGISTRO],DADOS!$N$5,tabela_registros[TIPO],DADOS!$AB$3,tabela_registros[CATEGORIA],investirrendafixaconsolidadojul[[#This Row],[ATUAL]])</f>
        <v>0</v>
      </c>
      <c r="H118" s="91">
        <f>SUMIFS(tabela_registros[VALOR],tabela_registros[MÊS],$AE$1,tabela_registros[DIA],investirrendafixaconsolidadojul[[#Headers],[4]],tabela_registros[REGISTRO],DADOS!$N$5,tabela_registros[TIPO],DADOS!$AB$3,tabela_registros[CATEGORIA],investirrendafixaconsolidadojul[[#This Row],[ATUAL]])</f>
        <v>0</v>
      </c>
      <c r="I118" s="91">
        <f>SUMIFS(tabela_registros[VALOR],tabela_registros[MÊS],$AE$1,tabela_registros[DIA],investirrendafixaconsolidadojul[[#Headers],[5]],tabela_registros[REGISTRO],DADOS!$N$5,tabela_registros[TIPO],DADOS!$AB$3,tabela_registros[CATEGORIA],investirrendafixaconsolidadojul[[#This Row],[ATUAL]])</f>
        <v>0</v>
      </c>
      <c r="J118" s="91">
        <f>SUMIFS(tabela_registros[VALOR],tabela_registros[MÊS],$AE$1,tabela_registros[DIA],investirrendafixaconsolidadojul[[#Headers],[6]],tabela_registros[REGISTRO],DADOS!$N$5,tabela_registros[TIPO],DADOS!$AB$3,tabela_registros[CATEGORIA],investirrendafixaconsolidadojul[[#This Row],[ATUAL]])</f>
        <v>0</v>
      </c>
      <c r="K118" s="91">
        <f>SUMIFS(tabela_registros[VALOR],tabela_registros[MÊS],$AE$1,tabela_registros[DIA],investirrendafixaconsolidadojul[[#Headers],[7]],tabela_registros[REGISTRO],DADOS!$N$5,tabela_registros[TIPO],DADOS!$AB$3,tabela_registros[CATEGORIA],investirrendafixaconsolidadojul[[#This Row],[ATUAL]])</f>
        <v>0</v>
      </c>
      <c r="L118" s="91">
        <f>SUMIFS(tabela_registros[VALOR],tabela_registros[MÊS],$AE$1,tabela_registros[DIA],investirrendafixaconsolidadojul[[#Headers],[8]],tabela_registros[REGISTRO],DADOS!$N$5,tabela_registros[TIPO],DADOS!$AB$3,tabela_registros[CATEGORIA],investirrendafixaconsolidadojul[[#This Row],[ATUAL]])</f>
        <v>0</v>
      </c>
      <c r="M118" s="91">
        <f>SUMIFS(tabela_registros[VALOR],tabela_registros[MÊS],$AE$1,tabela_registros[DIA],investirrendafixaconsolidadojul[[#Headers],[9]],tabela_registros[REGISTRO],DADOS!$N$5,tabela_registros[TIPO],DADOS!$AB$3,tabela_registros[CATEGORIA],investirrendafixaconsolidadojul[[#This Row],[ATUAL]])</f>
        <v>0</v>
      </c>
      <c r="N118" s="91">
        <f>SUMIFS(tabela_registros[VALOR],tabela_registros[MÊS],$AE$1,tabela_registros[DIA],investirrendafixaconsolidadojul[[#Headers],[10]],tabela_registros[REGISTRO],DADOS!$N$5,tabela_registros[TIPO],DADOS!$AB$3,tabela_registros[CATEGORIA],investirrendafixaconsolidadojul[[#This Row],[ATUAL]])</f>
        <v>0</v>
      </c>
      <c r="O118" s="91">
        <f>SUMIFS(tabela_registros[VALOR],tabela_registros[MÊS],$AE$1,tabela_registros[DIA],investirrendafixaconsolidadojul[[#Headers],[11]],tabela_registros[REGISTRO],DADOS!$N$5,tabela_registros[TIPO],DADOS!$AB$3,tabela_registros[CATEGORIA],investirrendafixaconsolidadojul[[#This Row],[ATUAL]])</f>
        <v>0</v>
      </c>
      <c r="P118" s="91">
        <f>SUMIFS(tabela_registros[VALOR],tabela_registros[MÊS],$AE$1,tabela_registros[DIA],investirrendafixaconsolidadojul[[#Headers],[12]],tabela_registros[REGISTRO],DADOS!$N$5,tabela_registros[TIPO],DADOS!$AB$3,tabela_registros[CATEGORIA],investirrendafixaconsolidadojul[[#This Row],[ATUAL]])</f>
        <v>0</v>
      </c>
      <c r="Q118" s="91">
        <f>SUMIFS(tabela_registros[VALOR],tabela_registros[MÊS],$AE$1,tabela_registros[DIA],investirrendafixaconsolidadojul[[#Headers],[13]],tabela_registros[REGISTRO],DADOS!$N$5,tabela_registros[TIPO],DADOS!$AB$3,tabela_registros[CATEGORIA],investirrendafixaconsolidadojul[[#This Row],[ATUAL]])</f>
        <v>0</v>
      </c>
      <c r="R118" s="91">
        <f>SUMIFS(tabela_registros[VALOR],tabela_registros[MÊS],$AE$1,tabela_registros[DIA],investirrendafixaconsolidadojul[[#Headers],[14]],tabela_registros[REGISTRO],DADOS!$N$5,tabela_registros[TIPO],DADOS!$AB$3,tabela_registros[CATEGORIA],investirrendafixaconsolidadojul[[#This Row],[ATUAL]])</f>
        <v>0</v>
      </c>
      <c r="S118" s="91">
        <f>SUMIFS(tabela_registros[VALOR],tabela_registros[MÊS],$AE$1,tabela_registros[DIA],investirrendafixaconsolidadojul[[#Headers],[15]],tabela_registros[REGISTRO],DADOS!$N$5,tabela_registros[TIPO],DADOS!$AB$3,tabela_registros[CATEGORIA],investirrendafixaconsolidadojul[[#This Row],[ATUAL]])</f>
        <v>0</v>
      </c>
      <c r="T118" s="91">
        <f>SUMIFS(tabela_registros[VALOR],tabela_registros[MÊS],$AE$1,tabela_registros[DIA],investirrendafixaconsolidadojul[[#Headers],[16]],tabela_registros[REGISTRO],DADOS!$N$5,tabela_registros[TIPO],DADOS!$AB$3,tabela_registros[CATEGORIA],investirrendafixaconsolidadojul[[#This Row],[ATUAL]])</f>
        <v>0</v>
      </c>
      <c r="U118" s="91">
        <f>SUMIFS(tabela_registros[VALOR],tabela_registros[MÊS],$AE$1,tabela_registros[DIA],investirrendafixaconsolidadojul[[#Headers],[17]],tabela_registros[REGISTRO],DADOS!$N$5,tabela_registros[TIPO],DADOS!$AB$3,tabela_registros[CATEGORIA],investirrendafixaconsolidadojul[[#This Row],[ATUAL]])</f>
        <v>0</v>
      </c>
      <c r="V118" s="91">
        <f>SUMIFS(tabela_registros[VALOR],tabela_registros[MÊS],$AE$1,tabela_registros[DIA],investirrendafixaconsolidadojul[[#Headers],[18]],tabela_registros[REGISTRO],DADOS!$N$5,tabela_registros[TIPO],DADOS!$AB$3,tabela_registros[CATEGORIA],investirrendafixaconsolidadojul[[#This Row],[ATUAL]])</f>
        <v>0</v>
      </c>
      <c r="W118" s="91">
        <f>SUMIFS(tabela_registros[VALOR],tabela_registros[MÊS],$AE$1,tabela_registros[DIA],investirrendafixaconsolidadojul[[#Headers],[19]],tabela_registros[REGISTRO],DADOS!$N$5,tabela_registros[TIPO],DADOS!$AB$3,tabela_registros[CATEGORIA],investirrendafixaconsolidadojul[[#This Row],[ATUAL]])</f>
        <v>0</v>
      </c>
      <c r="X118" s="91">
        <f>SUMIFS(tabela_registros[VALOR],tabela_registros[MÊS],$AE$1,tabela_registros[DIA],investirrendafixaconsolidadojul[[#Headers],[20]],tabela_registros[REGISTRO],DADOS!$N$5,tabela_registros[TIPO],DADOS!$AB$3,tabela_registros[CATEGORIA],investirrendafixaconsolidadojul[[#This Row],[ATUAL]])</f>
        <v>0</v>
      </c>
      <c r="Y118" s="91">
        <f>SUMIFS(tabela_registros[VALOR],tabela_registros[MÊS],$AE$1,tabela_registros[DIA],investirrendafixaconsolidadojul[[#Headers],[21]],tabela_registros[REGISTRO],DADOS!$N$5,tabela_registros[TIPO],DADOS!$AB$3,tabela_registros[CATEGORIA],investirrendafixaconsolidadojul[[#This Row],[ATUAL]])</f>
        <v>0</v>
      </c>
      <c r="Z118" s="91">
        <f>SUMIFS(tabela_registros[VALOR],tabela_registros[MÊS],$AE$1,tabela_registros[DIA],investirrendafixaconsolidadojul[[#Headers],[22]],tabela_registros[REGISTRO],DADOS!$N$5,tabela_registros[TIPO],DADOS!$AB$3,tabela_registros[CATEGORIA],investirrendafixaconsolidadojul[[#This Row],[ATUAL]])</f>
        <v>0</v>
      </c>
      <c r="AA118" s="91">
        <f>SUMIFS(tabela_registros[VALOR],tabela_registros[MÊS],$AE$1,tabela_registros[DIA],investirrendafixaconsolidadojul[[#Headers],[23]],tabela_registros[REGISTRO],DADOS!$N$5,tabela_registros[TIPO],DADOS!$AB$3,tabela_registros[CATEGORIA],investirrendafixaconsolidadojul[[#This Row],[ATUAL]])</f>
        <v>0</v>
      </c>
      <c r="AB118" s="91">
        <f>SUMIFS(tabela_registros[VALOR],tabela_registros[MÊS],$AE$1,tabela_registros[DIA],investirrendafixaconsolidadojul[[#Headers],[24]],tabela_registros[REGISTRO],DADOS!$N$5,tabela_registros[TIPO],DADOS!$AB$3,tabela_registros[CATEGORIA],investirrendafixaconsolidadojul[[#This Row],[ATUAL]])</f>
        <v>0</v>
      </c>
      <c r="AC118" s="91">
        <f>SUMIFS(tabela_registros[VALOR],tabela_registros[MÊS],$AE$1,tabela_registros[DIA],investirrendafixaconsolidadojul[[#Headers],[25]],tabela_registros[REGISTRO],DADOS!$N$5,tabela_registros[TIPO],DADOS!$AB$3,tabela_registros[CATEGORIA],investirrendafixaconsolidadojul[[#This Row],[ATUAL]])</f>
        <v>0</v>
      </c>
      <c r="AD118" s="91">
        <f>SUMIFS(tabela_registros[VALOR],tabela_registros[MÊS],$AE$1,tabela_registros[DIA],investirrendafixaconsolidadojul[[#Headers],[26]],tabela_registros[REGISTRO],DADOS!$N$5,tabela_registros[TIPO],DADOS!$AB$3,tabela_registros[CATEGORIA],investirrendafixaconsolidadojul[[#This Row],[ATUAL]])</f>
        <v>0</v>
      </c>
      <c r="AE118" s="91">
        <f>SUMIFS(tabela_registros[VALOR],tabela_registros[MÊS],$AE$1,tabela_registros[DIA],investirrendafixaconsolidadojul[[#Headers],[27]],tabela_registros[REGISTRO],DADOS!$N$5,tabela_registros[TIPO],DADOS!$AB$3,tabela_registros[CATEGORIA],investirrendafixaconsolidadojul[[#This Row],[ATUAL]])</f>
        <v>0</v>
      </c>
      <c r="AF118" s="91">
        <f>SUMIFS(tabela_registros[VALOR],tabela_registros[MÊS],$AE$1,tabela_registros[DIA],investirrendafixaconsolidadojul[[#Headers],[28]],tabela_registros[REGISTRO],DADOS!$N$5,tabela_registros[TIPO],DADOS!$AB$3,tabela_registros[CATEGORIA],investirrendafixaconsolidadojul[[#This Row],[ATUAL]])</f>
        <v>0</v>
      </c>
      <c r="AG118" s="91">
        <f>SUMIFS(tabela_registros[VALOR],tabela_registros[MÊS],$AE$1,tabela_registros[DIA],investirrendafixaconsolidadojul[[#Headers],[29]],tabela_registros[REGISTRO],DADOS!$N$5,tabela_registros[TIPO],DADOS!$AB$3,tabela_registros[CATEGORIA],investirrendafixaconsolidadojul[[#This Row],[ATUAL]])</f>
        <v>0</v>
      </c>
      <c r="AH118" s="91">
        <f>SUMIFS(tabela_registros[VALOR],tabela_registros[MÊS],$AE$1,tabela_registros[DIA],investirrendafixaconsolidadojul[[#Headers],[30]],tabela_registros[REGISTRO],DADOS!$N$5,tabela_registros[TIPO],DADOS!$AB$3,tabela_registros[CATEGORIA],investirrendafixaconsolidadojul[[#This Row],[ATUAL]])</f>
        <v>0</v>
      </c>
      <c r="AI118" s="101">
        <f>SUMIFS(tabela_registros[VALOR],tabela_registros[MÊS],$AE$1,tabela_registros[DIA],investirrendafixaconsolidadojul[[#Headers],[31]],tabela_registros[REGISTRO],DADOS!$N$5,tabela_registros[TIPO],DADOS!$AB$3,tabela_registros[CATEGORIA],investirrendafixaconsolidadojul[[#This Row],[ATUAL]])</f>
        <v>0</v>
      </c>
      <c r="AJ118" s="97">
        <f>SUM(investirrendafixaconsolidadojul[[#This Row],[1]:[31]])</f>
        <v>0</v>
      </c>
      <c r="AK118" s="25"/>
    </row>
    <row r="119" spans="2:37" ht="19.5" customHeight="1" thickTop="1" thickBot="1" x14ac:dyDescent="0.3">
      <c r="B119" s="28"/>
      <c r="C119" s="27" t="str">
        <f>DADOS!$AD$9</f>
        <v>📝 LCA</v>
      </c>
      <c r="D119" s="26" t="str">
        <f>IF(investirrendafixaconsolidadojul[[#This Row],[TOTAL (R$)]]=0,"",IF(OR(investirrendafixaconsolidadojul[[#This Row],[TOTAL (R$)]]=LARGE($AJ$113:$AJ$122,1),investirrendafixaconsolidadojul[[#This Row],[TOTAL (R$)]]=LARGE($AJ$113:$AJ$122,2)),DADOS!$I$10,""))</f>
        <v/>
      </c>
      <c r="E119" s="96">
        <f>SUMIFS(tabela_registros[VALOR],tabela_registros[MÊS],$AE$1,tabela_registros[DIA],investirrendafixaconsolidadojul[[#Headers],[1]],tabela_registros[REGISTRO],DADOS!$N$5,tabela_registros[TIPO],DADOS!$AB$3,tabela_registros[CATEGORIA],investirrendafixaconsolidadojul[[#This Row],[ATUAL]])</f>
        <v>0</v>
      </c>
      <c r="F119" s="91">
        <f>SUMIFS(tabela_registros[VALOR],tabela_registros[MÊS],$AE$1,tabela_registros[DIA],investirrendafixaconsolidadojul[[#Headers],[2]],tabela_registros[REGISTRO],DADOS!$N$5,tabela_registros[TIPO],DADOS!$AB$3,tabela_registros[CATEGORIA],investirrendafixaconsolidadojul[[#This Row],[ATUAL]])</f>
        <v>0</v>
      </c>
      <c r="G119" s="91">
        <f>SUMIFS(tabela_registros[VALOR],tabela_registros[MÊS],$AE$1,tabela_registros[DIA],investirrendafixaconsolidadojul[[#Headers],[3]],tabela_registros[REGISTRO],DADOS!$N$5,tabela_registros[TIPO],DADOS!$AB$3,tabela_registros[CATEGORIA],investirrendafixaconsolidadojul[[#This Row],[ATUAL]])</f>
        <v>0</v>
      </c>
      <c r="H119" s="91">
        <f>SUMIFS(tabela_registros[VALOR],tabela_registros[MÊS],$AE$1,tabela_registros[DIA],investirrendafixaconsolidadojul[[#Headers],[4]],tabela_registros[REGISTRO],DADOS!$N$5,tabela_registros[TIPO],DADOS!$AB$3,tabela_registros[CATEGORIA],investirrendafixaconsolidadojul[[#This Row],[ATUAL]])</f>
        <v>0</v>
      </c>
      <c r="I119" s="91">
        <f>SUMIFS(tabela_registros[VALOR],tabela_registros[MÊS],$AE$1,tabela_registros[DIA],investirrendafixaconsolidadojul[[#Headers],[5]],tabela_registros[REGISTRO],DADOS!$N$5,tabela_registros[TIPO],DADOS!$AB$3,tabela_registros[CATEGORIA],investirrendafixaconsolidadojul[[#This Row],[ATUAL]])</f>
        <v>0</v>
      </c>
      <c r="J119" s="91">
        <f>SUMIFS(tabela_registros[VALOR],tabela_registros[MÊS],$AE$1,tabela_registros[DIA],investirrendafixaconsolidadojul[[#Headers],[6]],tabela_registros[REGISTRO],DADOS!$N$5,tabela_registros[TIPO],DADOS!$AB$3,tabela_registros[CATEGORIA],investirrendafixaconsolidadojul[[#This Row],[ATUAL]])</f>
        <v>0</v>
      </c>
      <c r="K119" s="91">
        <f>SUMIFS(tabela_registros[VALOR],tabela_registros[MÊS],$AE$1,tabela_registros[DIA],investirrendafixaconsolidadojul[[#Headers],[7]],tabela_registros[REGISTRO],DADOS!$N$5,tabela_registros[TIPO],DADOS!$AB$3,tabela_registros[CATEGORIA],investirrendafixaconsolidadojul[[#This Row],[ATUAL]])</f>
        <v>0</v>
      </c>
      <c r="L119" s="91">
        <f>SUMIFS(tabela_registros[VALOR],tabela_registros[MÊS],$AE$1,tabela_registros[DIA],investirrendafixaconsolidadojul[[#Headers],[8]],tabela_registros[REGISTRO],DADOS!$N$5,tabela_registros[TIPO],DADOS!$AB$3,tabela_registros[CATEGORIA],investirrendafixaconsolidadojul[[#This Row],[ATUAL]])</f>
        <v>0</v>
      </c>
      <c r="M119" s="91">
        <f>SUMIFS(tabela_registros[VALOR],tabela_registros[MÊS],$AE$1,tabela_registros[DIA],investirrendafixaconsolidadojul[[#Headers],[9]],tabela_registros[REGISTRO],DADOS!$N$5,tabela_registros[TIPO],DADOS!$AB$3,tabela_registros[CATEGORIA],investirrendafixaconsolidadojul[[#This Row],[ATUAL]])</f>
        <v>0</v>
      </c>
      <c r="N119" s="91">
        <f>SUMIFS(tabela_registros[VALOR],tabela_registros[MÊS],$AE$1,tabela_registros[DIA],investirrendafixaconsolidadojul[[#Headers],[10]],tabela_registros[REGISTRO],DADOS!$N$5,tabela_registros[TIPO],DADOS!$AB$3,tabela_registros[CATEGORIA],investirrendafixaconsolidadojul[[#This Row],[ATUAL]])</f>
        <v>0</v>
      </c>
      <c r="O119" s="91">
        <f>SUMIFS(tabela_registros[VALOR],tabela_registros[MÊS],$AE$1,tabela_registros[DIA],investirrendafixaconsolidadojul[[#Headers],[11]],tabela_registros[REGISTRO],DADOS!$N$5,tabela_registros[TIPO],DADOS!$AB$3,tabela_registros[CATEGORIA],investirrendafixaconsolidadojul[[#This Row],[ATUAL]])</f>
        <v>0</v>
      </c>
      <c r="P119" s="91">
        <f>SUMIFS(tabela_registros[VALOR],tabela_registros[MÊS],$AE$1,tabela_registros[DIA],investirrendafixaconsolidadojul[[#Headers],[12]],tabela_registros[REGISTRO],DADOS!$N$5,tabela_registros[TIPO],DADOS!$AB$3,tabela_registros[CATEGORIA],investirrendafixaconsolidadojul[[#This Row],[ATUAL]])</f>
        <v>0</v>
      </c>
      <c r="Q119" s="91">
        <f>SUMIFS(tabela_registros[VALOR],tabela_registros[MÊS],$AE$1,tabela_registros[DIA],investirrendafixaconsolidadojul[[#Headers],[13]],tabela_registros[REGISTRO],DADOS!$N$5,tabela_registros[TIPO],DADOS!$AB$3,tabela_registros[CATEGORIA],investirrendafixaconsolidadojul[[#This Row],[ATUAL]])</f>
        <v>0</v>
      </c>
      <c r="R119" s="91">
        <f>SUMIFS(tabela_registros[VALOR],tabela_registros[MÊS],$AE$1,tabela_registros[DIA],investirrendafixaconsolidadojul[[#Headers],[14]],tabela_registros[REGISTRO],DADOS!$N$5,tabela_registros[TIPO],DADOS!$AB$3,tabela_registros[CATEGORIA],investirrendafixaconsolidadojul[[#This Row],[ATUAL]])</f>
        <v>0</v>
      </c>
      <c r="S119" s="91">
        <f>SUMIFS(tabela_registros[VALOR],tabela_registros[MÊS],$AE$1,tabela_registros[DIA],investirrendafixaconsolidadojul[[#Headers],[15]],tabela_registros[REGISTRO],DADOS!$N$5,tabela_registros[TIPO],DADOS!$AB$3,tabela_registros[CATEGORIA],investirrendafixaconsolidadojul[[#This Row],[ATUAL]])</f>
        <v>0</v>
      </c>
      <c r="T119" s="91">
        <f>SUMIFS(tabela_registros[VALOR],tabela_registros[MÊS],$AE$1,tabela_registros[DIA],investirrendafixaconsolidadojul[[#Headers],[16]],tabela_registros[REGISTRO],DADOS!$N$5,tabela_registros[TIPO],DADOS!$AB$3,tabela_registros[CATEGORIA],investirrendafixaconsolidadojul[[#This Row],[ATUAL]])</f>
        <v>0</v>
      </c>
      <c r="U119" s="91">
        <f>SUMIFS(tabela_registros[VALOR],tabela_registros[MÊS],$AE$1,tabela_registros[DIA],investirrendafixaconsolidadojul[[#Headers],[17]],tabela_registros[REGISTRO],DADOS!$N$5,tabela_registros[TIPO],DADOS!$AB$3,tabela_registros[CATEGORIA],investirrendafixaconsolidadojul[[#This Row],[ATUAL]])</f>
        <v>0</v>
      </c>
      <c r="V119" s="91">
        <f>SUMIFS(tabela_registros[VALOR],tabela_registros[MÊS],$AE$1,tabela_registros[DIA],investirrendafixaconsolidadojul[[#Headers],[18]],tabela_registros[REGISTRO],DADOS!$N$5,tabela_registros[TIPO],DADOS!$AB$3,tabela_registros[CATEGORIA],investirrendafixaconsolidadojul[[#This Row],[ATUAL]])</f>
        <v>0</v>
      </c>
      <c r="W119" s="91">
        <f>SUMIFS(tabela_registros[VALOR],tabela_registros[MÊS],$AE$1,tabela_registros[DIA],investirrendafixaconsolidadojul[[#Headers],[19]],tabela_registros[REGISTRO],DADOS!$N$5,tabela_registros[TIPO],DADOS!$AB$3,tabela_registros[CATEGORIA],investirrendafixaconsolidadojul[[#This Row],[ATUAL]])</f>
        <v>0</v>
      </c>
      <c r="X119" s="91">
        <f>SUMIFS(tabela_registros[VALOR],tabela_registros[MÊS],$AE$1,tabela_registros[DIA],investirrendafixaconsolidadojul[[#Headers],[20]],tabela_registros[REGISTRO],DADOS!$N$5,tabela_registros[TIPO],DADOS!$AB$3,tabela_registros[CATEGORIA],investirrendafixaconsolidadojul[[#This Row],[ATUAL]])</f>
        <v>0</v>
      </c>
      <c r="Y119" s="91">
        <f>SUMIFS(tabela_registros[VALOR],tabela_registros[MÊS],$AE$1,tabela_registros[DIA],investirrendafixaconsolidadojul[[#Headers],[21]],tabela_registros[REGISTRO],DADOS!$N$5,tabela_registros[TIPO],DADOS!$AB$3,tabela_registros[CATEGORIA],investirrendafixaconsolidadojul[[#This Row],[ATUAL]])</f>
        <v>0</v>
      </c>
      <c r="Z119" s="91">
        <f>SUMIFS(tabela_registros[VALOR],tabela_registros[MÊS],$AE$1,tabela_registros[DIA],investirrendafixaconsolidadojul[[#Headers],[22]],tabela_registros[REGISTRO],DADOS!$N$5,tabela_registros[TIPO],DADOS!$AB$3,tabela_registros[CATEGORIA],investirrendafixaconsolidadojul[[#This Row],[ATUAL]])</f>
        <v>0</v>
      </c>
      <c r="AA119" s="91">
        <f>SUMIFS(tabela_registros[VALOR],tabela_registros[MÊS],$AE$1,tabela_registros[DIA],investirrendafixaconsolidadojul[[#Headers],[23]],tabela_registros[REGISTRO],DADOS!$N$5,tabela_registros[TIPO],DADOS!$AB$3,tabela_registros[CATEGORIA],investirrendafixaconsolidadojul[[#This Row],[ATUAL]])</f>
        <v>0</v>
      </c>
      <c r="AB119" s="91">
        <f>SUMIFS(tabela_registros[VALOR],tabela_registros[MÊS],$AE$1,tabela_registros[DIA],investirrendafixaconsolidadojul[[#Headers],[24]],tabela_registros[REGISTRO],DADOS!$N$5,tabela_registros[TIPO],DADOS!$AB$3,tabela_registros[CATEGORIA],investirrendafixaconsolidadojul[[#This Row],[ATUAL]])</f>
        <v>0</v>
      </c>
      <c r="AC119" s="91">
        <f>SUMIFS(tabela_registros[VALOR],tabela_registros[MÊS],$AE$1,tabela_registros[DIA],investirrendafixaconsolidadojul[[#Headers],[25]],tabela_registros[REGISTRO],DADOS!$N$5,tabela_registros[TIPO],DADOS!$AB$3,tabela_registros[CATEGORIA],investirrendafixaconsolidadojul[[#This Row],[ATUAL]])</f>
        <v>0</v>
      </c>
      <c r="AD119" s="91">
        <f>SUMIFS(tabela_registros[VALOR],tabela_registros[MÊS],$AE$1,tabela_registros[DIA],investirrendafixaconsolidadojul[[#Headers],[26]],tabela_registros[REGISTRO],DADOS!$N$5,tabela_registros[TIPO],DADOS!$AB$3,tabela_registros[CATEGORIA],investirrendafixaconsolidadojul[[#This Row],[ATUAL]])</f>
        <v>0</v>
      </c>
      <c r="AE119" s="91">
        <f>SUMIFS(tabela_registros[VALOR],tabela_registros[MÊS],$AE$1,tabela_registros[DIA],investirrendafixaconsolidadojul[[#Headers],[27]],tabela_registros[REGISTRO],DADOS!$N$5,tabela_registros[TIPO],DADOS!$AB$3,tabela_registros[CATEGORIA],investirrendafixaconsolidadojul[[#This Row],[ATUAL]])</f>
        <v>0</v>
      </c>
      <c r="AF119" s="91">
        <f>SUMIFS(tabela_registros[VALOR],tabela_registros[MÊS],$AE$1,tabela_registros[DIA],investirrendafixaconsolidadojul[[#Headers],[28]],tabela_registros[REGISTRO],DADOS!$N$5,tabela_registros[TIPO],DADOS!$AB$3,tabela_registros[CATEGORIA],investirrendafixaconsolidadojul[[#This Row],[ATUAL]])</f>
        <v>0</v>
      </c>
      <c r="AG119" s="91">
        <f>SUMIFS(tabela_registros[VALOR],tabela_registros[MÊS],$AE$1,tabela_registros[DIA],investirrendafixaconsolidadojul[[#Headers],[29]],tabela_registros[REGISTRO],DADOS!$N$5,tabela_registros[TIPO],DADOS!$AB$3,tabela_registros[CATEGORIA],investirrendafixaconsolidadojul[[#This Row],[ATUAL]])</f>
        <v>0</v>
      </c>
      <c r="AH119" s="91">
        <f>SUMIFS(tabela_registros[VALOR],tabela_registros[MÊS],$AE$1,tabela_registros[DIA],investirrendafixaconsolidadojul[[#Headers],[30]],tabela_registros[REGISTRO],DADOS!$N$5,tabela_registros[TIPO],DADOS!$AB$3,tabela_registros[CATEGORIA],investirrendafixaconsolidadojul[[#This Row],[ATUAL]])</f>
        <v>0</v>
      </c>
      <c r="AI119" s="101">
        <f>SUMIFS(tabela_registros[VALOR],tabela_registros[MÊS],$AE$1,tabela_registros[DIA],investirrendafixaconsolidadojul[[#Headers],[31]],tabela_registros[REGISTRO],DADOS!$N$5,tabela_registros[TIPO],DADOS!$AB$3,tabela_registros[CATEGORIA],investirrendafixaconsolidadojul[[#This Row],[ATUAL]])</f>
        <v>0</v>
      </c>
      <c r="AJ119" s="97">
        <f>SUM(investirrendafixaconsolidadojul[[#This Row],[1]:[31]])</f>
        <v>0</v>
      </c>
      <c r="AK119" s="25"/>
    </row>
    <row r="120" spans="2:37" ht="19.5" customHeight="1" thickTop="1" thickBot="1" x14ac:dyDescent="0.3">
      <c r="B120" s="28"/>
      <c r="C120" s="27" t="str">
        <f>DADOS!$AD$10</f>
        <v>📝 LCI</v>
      </c>
      <c r="D120" s="26" t="str">
        <f>IF(investirrendafixaconsolidadojul[[#This Row],[TOTAL (R$)]]=0,"",IF(OR(investirrendafixaconsolidadojul[[#This Row],[TOTAL (R$)]]=LARGE($AJ$113:$AJ$122,1),investirrendafixaconsolidadojul[[#This Row],[TOTAL (R$)]]=LARGE($AJ$113:$AJ$122,2)),DADOS!$I$10,""))</f>
        <v/>
      </c>
      <c r="E120" s="96">
        <f>SUMIFS(tabela_registros[VALOR],tabela_registros[MÊS],$AE$1,tabela_registros[DIA],investirrendafixaconsolidadojul[[#Headers],[1]],tabela_registros[REGISTRO],DADOS!$N$5,tabela_registros[TIPO],DADOS!$AB$3,tabela_registros[CATEGORIA],investirrendafixaconsolidadojul[[#This Row],[ATUAL]])</f>
        <v>0</v>
      </c>
      <c r="F120" s="91">
        <f>SUMIFS(tabela_registros[VALOR],tabela_registros[MÊS],$AE$1,tabela_registros[DIA],investirrendafixaconsolidadojul[[#Headers],[2]],tabela_registros[REGISTRO],DADOS!$N$5,tabela_registros[TIPO],DADOS!$AB$3,tabela_registros[CATEGORIA],investirrendafixaconsolidadojul[[#This Row],[ATUAL]])</f>
        <v>0</v>
      </c>
      <c r="G120" s="91">
        <f>SUMIFS(tabela_registros[VALOR],tabela_registros[MÊS],$AE$1,tabela_registros[DIA],investirrendafixaconsolidadojul[[#Headers],[3]],tabela_registros[REGISTRO],DADOS!$N$5,tabela_registros[TIPO],DADOS!$AB$3,tabela_registros[CATEGORIA],investirrendafixaconsolidadojul[[#This Row],[ATUAL]])</f>
        <v>0</v>
      </c>
      <c r="H120" s="91">
        <f>SUMIFS(tabela_registros[VALOR],tabela_registros[MÊS],$AE$1,tabela_registros[DIA],investirrendafixaconsolidadojul[[#Headers],[4]],tabela_registros[REGISTRO],DADOS!$N$5,tabela_registros[TIPO],DADOS!$AB$3,tabela_registros[CATEGORIA],investirrendafixaconsolidadojul[[#This Row],[ATUAL]])</f>
        <v>0</v>
      </c>
      <c r="I120" s="91">
        <f>SUMIFS(tabela_registros[VALOR],tabela_registros[MÊS],$AE$1,tabela_registros[DIA],investirrendafixaconsolidadojul[[#Headers],[5]],tabela_registros[REGISTRO],DADOS!$N$5,tabela_registros[TIPO],DADOS!$AB$3,tabela_registros[CATEGORIA],investirrendafixaconsolidadojul[[#This Row],[ATUAL]])</f>
        <v>0</v>
      </c>
      <c r="J120" s="91">
        <f>SUMIFS(tabela_registros[VALOR],tabela_registros[MÊS],$AE$1,tabela_registros[DIA],investirrendafixaconsolidadojul[[#Headers],[6]],tabela_registros[REGISTRO],DADOS!$N$5,tabela_registros[TIPO],DADOS!$AB$3,tabela_registros[CATEGORIA],investirrendafixaconsolidadojul[[#This Row],[ATUAL]])</f>
        <v>0</v>
      </c>
      <c r="K120" s="91">
        <f>SUMIFS(tabela_registros[VALOR],tabela_registros[MÊS],$AE$1,tabela_registros[DIA],investirrendafixaconsolidadojul[[#Headers],[7]],tabela_registros[REGISTRO],DADOS!$N$5,tabela_registros[TIPO],DADOS!$AB$3,tabela_registros[CATEGORIA],investirrendafixaconsolidadojul[[#This Row],[ATUAL]])</f>
        <v>0</v>
      </c>
      <c r="L120" s="91">
        <f>SUMIFS(tabela_registros[VALOR],tabela_registros[MÊS],$AE$1,tabela_registros[DIA],investirrendafixaconsolidadojul[[#Headers],[8]],tabela_registros[REGISTRO],DADOS!$N$5,tabela_registros[TIPO],DADOS!$AB$3,tabela_registros[CATEGORIA],investirrendafixaconsolidadojul[[#This Row],[ATUAL]])</f>
        <v>0</v>
      </c>
      <c r="M120" s="91">
        <f>SUMIFS(tabela_registros[VALOR],tabela_registros[MÊS],$AE$1,tabela_registros[DIA],investirrendafixaconsolidadojul[[#Headers],[9]],tabela_registros[REGISTRO],DADOS!$N$5,tabela_registros[TIPO],DADOS!$AB$3,tabela_registros[CATEGORIA],investirrendafixaconsolidadojul[[#This Row],[ATUAL]])</f>
        <v>0</v>
      </c>
      <c r="N120" s="91">
        <f>SUMIFS(tabela_registros[VALOR],tabela_registros[MÊS],$AE$1,tabela_registros[DIA],investirrendafixaconsolidadojul[[#Headers],[10]],tabela_registros[REGISTRO],DADOS!$N$5,tabela_registros[TIPO],DADOS!$AB$3,tabela_registros[CATEGORIA],investirrendafixaconsolidadojul[[#This Row],[ATUAL]])</f>
        <v>0</v>
      </c>
      <c r="O120" s="91">
        <f>SUMIFS(tabela_registros[VALOR],tabela_registros[MÊS],$AE$1,tabela_registros[DIA],investirrendafixaconsolidadojul[[#Headers],[11]],tabela_registros[REGISTRO],DADOS!$N$5,tabela_registros[TIPO],DADOS!$AB$3,tabela_registros[CATEGORIA],investirrendafixaconsolidadojul[[#This Row],[ATUAL]])</f>
        <v>0</v>
      </c>
      <c r="P120" s="91">
        <f>SUMIFS(tabela_registros[VALOR],tabela_registros[MÊS],$AE$1,tabela_registros[DIA],investirrendafixaconsolidadojul[[#Headers],[12]],tabela_registros[REGISTRO],DADOS!$N$5,tabela_registros[TIPO],DADOS!$AB$3,tabela_registros[CATEGORIA],investirrendafixaconsolidadojul[[#This Row],[ATUAL]])</f>
        <v>0</v>
      </c>
      <c r="Q120" s="91">
        <f>SUMIFS(tabela_registros[VALOR],tabela_registros[MÊS],$AE$1,tabela_registros[DIA],investirrendafixaconsolidadojul[[#Headers],[13]],tabela_registros[REGISTRO],DADOS!$N$5,tabela_registros[TIPO],DADOS!$AB$3,tabela_registros[CATEGORIA],investirrendafixaconsolidadojul[[#This Row],[ATUAL]])</f>
        <v>0</v>
      </c>
      <c r="R120" s="91">
        <f>SUMIFS(tabela_registros[VALOR],tabela_registros[MÊS],$AE$1,tabela_registros[DIA],investirrendafixaconsolidadojul[[#Headers],[14]],tabela_registros[REGISTRO],DADOS!$N$5,tabela_registros[TIPO],DADOS!$AB$3,tabela_registros[CATEGORIA],investirrendafixaconsolidadojul[[#This Row],[ATUAL]])</f>
        <v>0</v>
      </c>
      <c r="S120" s="91">
        <f>SUMIFS(tabela_registros[VALOR],tabela_registros[MÊS],$AE$1,tabela_registros[DIA],investirrendafixaconsolidadojul[[#Headers],[15]],tabela_registros[REGISTRO],DADOS!$N$5,tabela_registros[TIPO],DADOS!$AB$3,tabela_registros[CATEGORIA],investirrendafixaconsolidadojul[[#This Row],[ATUAL]])</f>
        <v>0</v>
      </c>
      <c r="T120" s="91">
        <f>SUMIFS(tabela_registros[VALOR],tabela_registros[MÊS],$AE$1,tabela_registros[DIA],investirrendafixaconsolidadojul[[#Headers],[16]],tabela_registros[REGISTRO],DADOS!$N$5,tabela_registros[TIPO],DADOS!$AB$3,tabela_registros[CATEGORIA],investirrendafixaconsolidadojul[[#This Row],[ATUAL]])</f>
        <v>0</v>
      </c>
      <c r="U120" s="91">
        <f>SUMIFS(tabela_registros[VALOR],tabela_registros[MÊS],$AE$1,tabela_registros[DIA],investirrendafixaconsolidadojul[[#Headers],[17]],tabela_registros[REGISTRO],DADOS!$N$5,tabela_registros[TIPO],DADOS!$AB$3,tabela_registros[CATEGORIA],investirrendafixaconsolidadojul[[#This Row],[ATUAL]])</f>
        <v>0</v>
      </c>
      <c r="V120" s="91">
        <f>SUMIFS(tabela_registros[VALOR],tabela_registros[MÊS],$AE$1,tabela_registros[DIA],investirrendafixaconsolidadojul[[#Headers],[18]],tabela_registros[REGISTRO],DADOS!$N$5,tabela_registros[TIPO],DADOS!$AB$3,tabela_registros[CATEGORIA],investirrendafixaconsolidadojul[[#This Row],[ATUAL]])</f>
        <v>0</v>
      </c>
      <c r="W120" s="91">
        <f>SUMIFS(tabela_registros[VALOR],tabela_registros[MÊS],$AE$1,tabela_registros[DIA],investirrendafixaconsolidadojul[[#Headers],[19]],tabela_registros[REGISTRO],DADOS!$N$5,tabela_registros[TIPO],DADOS!$AB$3,tabela_registros[CATEGORIA],investirrendafixaconsolidadojul[[#This Row],[ATUAL]])</f>
        <v>0</v>
      </c>
      <c r="X120" s="91">
        <f>SUMIFS(tabela_registros[VALOR],tabela_registros[MÊS],$AE$1,tabela_registros[DIA],investirrendafixaconsolidadojul[[#Headers],[20]],tabela_registros[REGISTRO],DADOS!$N$5,tabela_registros[TIPO],DADOS!$AB$3,tabela_registros[CATEGORIA],investirrendafixaconsolidadojul[[#This Row],[ATUAL]])</f>
        <v>0</v>
      </c>
      <c r="Y120" s="91">
        <f>SUMIFS(tabela_registros[VALOR],tabela_registros[MÊS],$AE$1,tabela_registros[DIA],investirrendafixaconsolidadojul[[#Headers],[21]],tabela_registros[REGISTRO],DADOS!$N$5,tabela_registros[TIPO],DADOS!$AB$3,tabela_registros[CATEGORIA],investirrendafixaconsolidadojul[[#This Row],[ATUAL]])</f>
        <v>0</v>
      </c>
      <c r="Z120" s="91">
        <f>SUMIFS(tabela_registros[VALOR],tabela_registros[MÊS],$AE$1,tabela_registros[DIA],investirrendafixaconsolidadojul[[#Headers],[22]],tabela_registros[REGISTRO],DADOS!$N$5,tabela_registros[TIPO],DADOS!$AB$3,tabela_registros[CATEGORIA],investirrendafixaconsolidadojul[[#This Row],[ATUAL]])</f>
        <v>0</v>
      </c>
      <c r="AA120" s="91">
        <f>SUMIFS(tabela_registros[VALOR],tabela_registros[MÊS],$AE$1,tabela_registros[DIA],investirrendafixaconsolidadojul[[#Headers],[23]],tabela_registros[REGISTRO],DADOS!$N$5,tabela_registros[TIPO],DADOS!$AB$3,tabela_registros[CATEGORIA],investirrendafixaconsolidadojul[[#This Row],[ATUAL]])</f>
        <v>0</v>
      </c>
      <c r="AB120" s="91">
        <f>SUMIFS(tabela_registros[VALOR],tabela_registros[MÊS],$AE$1,tabela_registros[DIA],investirrendafixaconsolidadojul[[#Headers],[24]],tabela_registros[REGISTRO],DADOS!$N$5,tabela_registros[TIPO],DADOS!$AB$3,tabela_registros[CATEGORIA],investirrendafixaconsolidadojul[[#This Row],[ATUAL]])</f>
        <v>0</v>
      </c>
      <c r="AC120" s="91">
        <f>SUMIFS(tabela_registros[VALOR],tabela_registros[MÊS],$AE$1,tabela_registros[DIA],investirrendafixaconsolidadojul[[#Headers],[25]],tabela_registros[REGISTRO],DADOS!$N$5,tabela_registros[TIPO],DADOS!$AB$3,tabela_registros[CATEGORIA],investirrendafixaconsolidadojul[[#This Row],[ATUAL]])</f>
        <v>0</v>
      </c>
      <c r="AD120" s="91">
        <f>SUMIFS(tabela_registros[VALOR],tabela_registros[MÊS],$AE$1,tabela_registros[DIA],investirrendafixaconsolidadojul[[#Headers],[26]],tabela_registros[REGISTRO],DADOS!$N$5,tabela_registros[TIPO],DADOS!$AB$3,tabela_registros[CATEGORIA],investirrendafixaconsolidadojul[[#This Row],[ATUAL]])</f>
        <v>0</v>
      </c>
      <c r="AE120" s="91">
        <f>SUMIFS(tabela_registros[VALOR],tabela_registros[MÊS],$AE$1,tabela_registros[DIA],investirrendafixaconsolidadojul[[#Headers],[27]],tabela_registros[REGISTRO],DADOS!$N$5,tabela_registros[TIPO],DADOS!$AB$3,tabela_registros[CATEGORIA],investirrendafixaconsolidadojul[[#This Row],[ATUAL]])</f>
        <v>0</v>
      </c>
      <c r="AF120" s="91">
        <f>SUMIFS(tabela_registros[VALOR],tabela_registros[MÊS],$AE$1,tabela_registros[DIA],investirrendafixaconsolidadojul[[#Headers],[28]],tabela_registros[REGISTRO],DADOS!$N$5,tabela_registros[TIPO],DADOS!$AB$3,tabela_registros[CATEGORIA],investirrendafixaconsolidadojul[[#This Row],[ATUAL]])</f>
        <v>0</v>
      </c>
      <c r="AG120" s="91">
        <f>SUMIFS(tabela_registros[VALOR],tabela_registros[MÊS],$AE$1,tabela_registros[DIA],investirrendafixaconsolidadojul[[#Headers],[29]],tabela_registros[REGISTRO],DADOS!$N$5,tabela_registros[TIPO],DADOS!$AB$3,tabela_registros[CATEGORIA],investirrendafixaconsolidadojul[[#This Row],[ATUAL]])</f>
        <v>0</v>
      </c>
      <c r="AH120" s="91">
        <f>SUMIFS(tabela_registros[VALOR],tabela_registros[MÊS],$AE$1,tabela_registros[DIA],investirrendafixaconsolidadojul[[#Headers],[30]],tabela_registros[REGISTRO],DADOS!$N$5,tabela_registros[TIPO],DADOS!$AB$3,tabela_registros[CATEGORIA],investirrendafixaconsolidadojul[[#This Row],[ATUAL]])</f>
        <v>0</v>
      </c>
      <c r="AI120" s="101">
        <f>SUMIFS(tabela_registros[VALOR],tabela_registros[MÊS],$AE$1,tabela_registros[DIA],investirrendafixaconsolidadojul[[#Headers],[31]],tabela_registros[REGISTRO],DADOS!$N$5,tabela_registros[TIPO],DADOS!$AB$3,tabela_registros[CATEGORIA],investirrendafixaconsolidadojul[[#This Row],[ATUAL]])</f>
        <v>0</v>
      </c>
      <c r="AJ120" s="97">
        <f>SUM(investirrendafixaconsolidadojul[[#This Row],[1]:[31]])</f>
        <v>0</v>
      </c>
      <c r="AK120" s="25"/>
    </row>
    <row r="121" spans="2:37" ht="19.5" customHeight="1" thickTop="1" thickBot="1" x14ac:dyDescent="0.3">
      <c r="B121" s="28"/>
      <c r="C121" s="27" t="str">
        <f>DADOS!$AD$11</f>
        <v>📝 TESOURO DIRETO</v>
      </c>
      <c r="D121" s="26" t="str">
        <f>IF(investirrendafixaconsolidadojul[[#This Row],[TOTAL (R$)]]=0,"",IF(OR(investirrendafixaconsolidadojul[[#This Row],[TOTAL (R$)]]=LARGE($AJ$113:$AJ$122,1),investirrendafixaconsolidadojul[[#This Row],[TOTAL (R$)]]=LARGE($AJ$113:$AJ$122,2)),DADOS!$I$10,""))</f>
        <v/>
      </c>
      <c r="E121" s="96">
        <f>SUMIFS(tabela_registros[VALOR],tabela_registros[MÊS],$AE$1,tabela_registros[DIA],investirrendafixaconsolidadojul[[#Headers],[1]],tabela_registros[REGISTRO],DADOS!$N$5,tabela_registros[TIPO],DADOS!$AB$3,tabela_registros[CATEGORIA],investirrendafixaconsolidadojul[[#This Row],[ATUAL]])</f>
        <v>0</v>
      </c>
      <c r="F121" s="91">
        <f>SUMIFS(tabela_registros[VALOR],tabela_registros[MÊS],$AE$1,tabela_registros[DIA],investirrendafixaconsolidadojul[[#Headers],[2]],tabela_registros[REGISTRO],DADOS!$N$5,tabela_registros[TIPO],DADOS!$AB$3,tabela_registros[CATEGORIA],investirrendafixaconsolidadojul[[#This Row],[ATUAL]])</f>
        <v>0</v>
      </c>
      <c r="G121" s="91">
        <f>SUMIFS(tabela_registros[VALOR],tabela_registros[MÊS],$AE$1,tabela_registros[DIA],investirrendafixaconsolidadojul[[#Headers],[3]],tabela_registros[REGISTRO],DADOS!$N$5,tabela_registros[TIPO],DADOS!$AB$3,tabela_registros[CATEGORIA],investirrendafixaconsolidadojul[[#This Row],[ATUAL]])</f>
        <v>0</v>
      </c>
      <c r="H121" s="91">
        <f>SUMIFS(tabela_registros[VALOR],tabela_registros[MÊS],$AE$1,tabela_registros[DIA],investirrendafixaconsolidadojul[[#Headers],[4]],tabela_registros[REGISTRO],DADOS!$N$5,tabela_registros[TIPO],DADOS!$AB$3,tabela_registros[CATEGORIA],investirrendafixaconsolidadojul[[#This Row],[ATUAL]])</f>
        <v>0</v>
      </c>
      <c r="I121" s="91">
        <f>SUMIFS(tabela_registros[VALOR],tabela_registros[MÊS],$AE$1,tabela_registros[DIA],investirrendafixaconsolidadojul[[#Headers],[5]],tabela_registros[REGISTRO],DADOS!$N$5,tabela_registros[TIPO],DADOS!$AB$3,tabela_registros[CATEGORIA],investirrendafixaconsolidadojul[[#This Row],[ATUAL]])</f>
        <v>0</v>
      </c>
      <c r="J121" s="91">
        <f>SUMIFS(tabela_registros[VALOR],tabela_registros[MÊS],$AE$1,tabela_registros[DIA],investirrendafixaconsolidadojul[[#Headers],[6]],tabela_registros[REGISTRO],DADOS!$N$5,tabela_registros[TIPO],DADOS!$AB$3,tabela_registros[CATEGORIA],investirrendafixaconsolidadojul[[#This Row],[ATUAL]])</f>
        <v>0</v>
      </c>
      <c r="K121" s="91">
        <f>SUMIFS(tabela_registros[VALOR],tabela_registros[MÊS],$AE$1,tabela_registros[DIA],investirrendafixaconsolidadojul[[#Headers],[7]],tabela_registros[REGISTRO],DADOS!$N$5,tabela_registros[TIPO],DADOS!$AB$3,tabela_registros[CATEGORIA],investirrendafixaconsolidadojul[[#This Row],[ATUAL]])</f>
        <v>0</v>
      </c>
      <c r="L121" s="91">
        <f>SUMIFS(tabela_registros[VALOR],tabela_registros[MÊS],$AE$1,tabela_registros[DIA],investirrendafixaconsolidadojul[[#Headers],[8]],tabela_registros[REGISTRO],DADOS!$N$5,tabela_registros[TIPO],DADOS!$AB$3,tabela_registros[CATEGORIA],investirrendafixaconsolidadojul[[#This Row],[ATUAL]])</f>
        <v>0</v>
      </c>
      <c r="M121" s="91">
        <f>SUMIFS(tabela_registros[VALOR],tabela_registros[MÊS],$AE$1,tabela_registros[DIA],investirrendafixaconsolidadojul[[#Headers],[9]],tabela_registros[REGISTRO],DADOS!$N$5,tabela_registros[TIPO],DADOS!$AB$3,tabela_registros[CATEGORIA],investirrendafixaconsolidadojul[[#This Row],[ATUAL]])</f>
        <v>0</v>
      </c>
      <c r="N121" s="91">
        <f>SUMIFS(tabela_registros[VALOR],tabela_registros[MÊS],$AE$1,tabela_registros[DIA],investirrendafixaconsolidadojul[[#Headers],[10]],tabela_registros[REGISTRO],DADOS!$N$5,tabela_registros[TIPO],DADOS!$AB$3,tabela_registros[CATEGORIA],investirrendafixaconsolidadojul[[#This Row],[ATUAL]])</f>
        <v>0</v>
      </c>
      <c r="O121" s="91">
        <f>SUMIFS(tabela_registros[VALOR],tabela_registros[MÊS],$AE$1,tabela_registros[DIA],investirrendafixaconsolidadojul[[#Headers],[11]],tabela_registros[REGISTRO],DADOS!$N$5,tabela_registros[TIPO],DADOS!$AB$3,tabela_registros[CATEGORIA],investirrendafixaconsolidadojul[[#This Row],[ATUAL]])</f>
        <v>0</v>
      </c>
      <c r="P121" s="91">
        <f>SUMIFS(tabela_registros[VALOR],tabela_registros[MÊS],$AE$1,tabela_registros[DIA],investirrendafixaconsolidadojul[[#Headers],[12]],tabela_registros[REGISTRO],DADOS!$N$5,tabela_registros[TIPO],DADOS!$AB$3,tabela_registros[CATEGORIA],investirrendafixaconsolidadojul[[#This Row],[ATUAL]])</f>
        <v>0</v>
      </c>
      <c r="Q121" s="91">
        <f>SUMIFS(tabela_registros[VALOR],tabela_registros[MÊS],$AE$1,tabela_registros[DIA],investirrendafixaconsolidadojul[[#Headers],[13]],tabela_registros[REGISTRO],DADOS!$N$5,tabela_registros[TIPO],DADOS!$AB$3,tabela_registros[CATEGORIA],investirrendafixaconsolidadojul[[#This Row],[ATUAL]])</f>
        <v>0</v>
      </c>
      <c r="R121" s="91">
        <f>SUMIFS(tabela_registros[VALOR],tabela_registros[MÊS],$AE$1,tabela_registros[DIA],investirrendafixaconsolidadojul[[#Headers],[14]],tabela_registros[REGISTRO],DADOS!$N$5,tabela_registros[TIPO],DADOS!$AB$3,tabela_registros[CATEGORIA],investirrendafixaconsolidadojul[[#This Row],[ATUAL]])</f>
        <v>0</v>
      </c>
      <c r="S121" s="91">
        <f>SUMIFS(tabela_registros[VALOR],tabela_registros[MÊS],$AE$1,tabela_registros[DIA],investirrendafixaconsolidadojul[[#Headers],[15]],tabela_registros[REGISTRO],DADOS!$N$5,tabela_registros[TIPO],DADOS!$AB$3,tabela_registros[CATEGORIA],investirrendafixaconsolidadojul[[#This Row],[ATUAL]])</f>
        <v>0</v>
      </c>
      <c r="T121" s="91">
        <f>SUMIFS(tabela_registros[VALOR],tabela_registros[MÊS],$AE$1,tabela_registros[DIA],investirrendafixaconsolidadojul[[#Headers],[16]],tabela_registros[REGISTRO],DADOS!$N$5,tabela_registros[TIPO],DADOS!$AB$3,tabela_registros[CATEGORIA],investirrendafixaconsolidadojul[[#This Row],[ATUAL]])</f>
        <v>0</v>
      </c>
      <c r="U121" s="91">
        <f>SUMIFS(tabela_registros[VALOR],tabela_registros[MÊS],$AE$1,tabela_registros[DIA],investirrendafixaconsolidadojul[[#Headers],[17]],tabela_registros[REGISTRO],DADOS!$N$5,tabela_registros[TIPO],DADOS!$AB$3,tabela_registros[CATEGORIA],investirrendafixaconsolidadojul[[#This Row],[ATUAL]])</f>
        <v>0</v>
      </c>
      <c r="V121" s="91">
        <f>SUMIFS(tabela_registros[VALOR],tabela_registros[MÊS],$AE$1,tabela_registros[DIA],investirrendafixaconsolidadojul[[#Headers],[18]],tabela_registros[REGISTRO],DADOS!$N$5,tabela_registros[TIPO],DADOS!$AB$3,tabela_registros[CATEGORIA],investirrendafixaconsolidadojul[[#This Row],[ATUAL]])</f>
        <v>0</v>
      </c>
      <c r="W121" s="91">
        <f>SUMIFS(tabela_registros[VALOR],tabela_registros[MÊS],$AE$1,tabela_registros[DIA],investirrendafixaconsolidadojul[[#Headers],[19]],tabela_registros[REGISTRO],DADOS!$N$5,tabela_registros[TIPO],DADOS!$AB$3,tabela_registros[CATEGORIA],investirrendafixaconsolidadojul[[#This Row],[ATUAL]])</f>
        <v>0</v>
      </c>
      <c r="X121" s="91">
        <f>SUMIFS(tabela_registros[VALOR],tabela_registros[MÊS],$AE$1,tabela_registros[DIA],investirrendafixaconsolidadojul[[#Headers],[20]],tabela_registros[REGISTRO],DADOS!$N$5,tabela_registros[TIPO],DADOS!$AB$3,tabela_registros[CATEGORIA],investirrendafixaconsolidadojul[[#This Row],[ATUAL]])</f>
        <v>0</v>
      </c>
      <c r="Y121" s="91">
        <f>SUMIFS(tabela_registros[VALOR],tabela_registros[MÊS],$AE$1,tabela_registros[DIA],investirrendafixaconsolidadojul[[#Headers],[21]],tabela_registros[REGISTRO],DADOS!$N$5,tabela_registros[TIPO],DADOS!$AB$3,tabela_registros[CATEGORIA],investirrendafixaconsolidadojul[[#This Row],[ATUAL]])</f>
        <v>0</v>
      </c>
      <c r="Z121" s="91">
        <f>SUMIFS(tabela_registros[VALOR],tabela_registros[MÊS],$AE$1,tabela_registros[DIA],investirrendafixaconsolidadojul[[#Headers],[22]],tabela_registros[REGISTRO],DADOS!$N$5,tabela_registros[TIPO],DADOS!$AB$3,tabela_registros[CATEGORIA],investirrendafixaconsolidadojul[[#This Row],[ATUAL]])</f>
        <v>0</v>
      </c>
      <c r="AA121" s="91">
        <f>SUMIFS(tabela_registros[VALOR],tabela_registros[MÊS],$AE$1,tabela_registros[DIA],investirrendafixaconsolidadojul[[#Headers],[23]],tabela_registros[REGISTRO],DADOS!$N$5,tabela_registros[TIPO],DADOS!$AB$3,tabela_registros[CATEGORIA],investirrendafixaconsolidadojul[[#This Row],[ATUAL]])</f>
        <v>0</v>
      </c>
      <c r="AB121" s="91">
        <f>SUMIFS(tabela_registros[VALOR],tabela_registros[MÊS],$AE$1,tabela_registros[DIA],investirrendafixaconsolidadojul[[#Headers],[24]],tabela_registros[REGISTRO],DADOS!$N$5,tabela_registros[TIPO],DADOS!$AB$3,tabela_registros[CATEGORIA],investirrendafixaconsolidadojul[[#This Row],[ATUAL]])</f>
        <v>0</v>
      </c>
      <c r="AC121" s="91">
        <f>SUMIFS(tabela_registros[VALOR],tabela_registros[MÊS],$AE$1,tabela_registros[DIA],investirrendafixaconsolidadojul[[#Headers],[25]],tabela_registros[REGISTRO],DADOS!$N$5,tabela_registros[TIPO],DADOS!$AB$3,tabela_registros[CATEGORIA],investirrendafixaconsolidadojul[[#This Row],[ATUAL]])</f>
        <v>0</v>
      </c>
      <c r="AD121" s="91">
        <f>SUMIFS(tabela_registros[VALOR],tabela_registros[MÊS],$AE$1,tabela_registros[DIA],investirrendafixaconsolidadojul[[#Headers],[26]],tabela_registros[REGISTRO],DADOS!$N$5,tabela_registros[TIPO],DADOS!$AB$3,tabela_registros[CATEGORIA],investirrendafixaconsolidadojul[[#This Row],[ATUAL]])</f>
        <v>0</v>
      </c>
      <c r="AE121" s="91">
        <f>SUMIFS(tabela_registros[VALOR],tabela_registros[MÊS],$AE$1,tabela_registros[DIA],investirrendafixaconsolidadojul[[#Headers],[27]],tabela_registros[REGISTRO],DADOS!$N$5,tabela_registros[TIPO],DADOS!$AB$3,tabela_registros[CATEGORIA],investirrendafixaconsolidadojul[[#This Row],[ATUAL]])</f>
        <v>0</v>
      </c>
      <c r="AF121" s="91">
        <f>SUMIFS(tabela_registros[VALOR],tabela_registros[MÊS],$AE$1,tabela_registros[DIA],investirrendafixaconsolidadojul[[#Headers],[28]],tabela_registros[REGISTRO],DADOS!$N$5,tabela_registros[TIPO],DADOS!$AB$3,tabela_registros[CATEGORIA],investirrendafixaconsolidadojul[[#This Row],[ATUAL]])</f>
        <v>0</v>
      </c>
      <c r="AG121" s="91">
        <f>SUMIFS(tabela_registros[VALOR],tabela_registros[MÊS],$AE$1,tabela_registros[DIA],investirrendafixaconsolidadojul[[#Headers],[29]],tabela_registros[REGISTRO],DADOS!$N$5,tabela_registros[TIPO],DADOS!$AB$3,tabela_registros[CATEGORIA],investirrendafixaconsolidadojul[[#This Row],[ATUAL]])</f>
        <v>0</v>
      </c>
      <c r="AH121" s="91">
        <f>SUMIFS(tabela_registros[VALOR],tabela_registros[MÊS],$AE$1,tabela_registros[DIA],investirrendafixaconsolidadojul[[#Headers],[30]],tabela_registros[REGISTRO],DADOS!$N$5,tabela_registros[TIPO],DADOS!$AB$3,tabela_registros[CATEGORIA],investirrendafixaconsolidadojul[[#This Row],[ATUAL]])</f>
        <v>0</v>
      </c>
      <c r="AI121" s="101">
        <f>SUMIFS(tabela_registros[VALOR],tabela_registros[MÊS],$AE$1,tabela_registros[DIA],investirrendafixaconsolidadojul[[#Headers],[31]],tabela_registros[REGISTRO],DADOS!$N$5,tabela_registros[TIPO],DADOS!$AB$3,tabela_registros[CATEGORIA],investirrendafixaconsolidadojul[[#This Row],[ATUAL]])</f>
        <v>0</v>
      </c>
      <c r="AJ121" s="97">
        <f>SUM(investirrendafixaconsolidadojul[[#This Row],[1]:[31]])</f>
        <v>0</v>
      </c>
      <c r="AK121" s="25"/>
    </row>
    <row r="122" spans="2:37" ht="19.5" customHeight="1" thickTop="1" thickBot="1" x14ac:dyDescent="0.3">
      <c r="B122" s="28"/>
      <c r="C122" s="27" t="str">
        <f>DADOS!$AD$12</f>
        <v>📎 OUTROS</v>
      </c>
      <c r="D122" s="26" t="str">
        <f>IF(investirrendafixaconsolidadojul[[#This Row],[TOTAL (R$)]]=0,"",IF(OR(investirrendafixaconsolidadojul[[#This Row],[TOTAL (R$)]]=LARGE($AJ$113:$AJ$122,1),investirrendafixaconsolidadojul[[#This Row],[TOTAL (R$)]]=LARGE($AJ$113:$AJ$122,2)),DADOS!$I$10,""))</f>
        <v/>
      </c>
      <c r="E122" s="96">
        <f>SUMIFS(tabela_registros[VALOR],tabela_registros[MÊS],$AE$1,tabela_registros[DIA],investirrendafixaconsolidadojul[[#Headers],[1]],tabela_registros[REGISTRO],DADOS!$N$5,tabela_registros[TIPO],DADOS!$AB$3,tabela_registros[CATEGORIA],investirrendafixaconsolidadojul[[#This Row],[ATUAL]])</f>
        <v>0</v>
      </c>
      <c r="F122" s="91">
        <f>SUMIFS(tabela_registros[VALOR],tabela_registros[MÊS],$AE$1,tabela_registros[DIA],investirrendafixaconsolidadojul[[#Headers],[2]],tabela_registros[REGISTRO],DADOS!$N$5,tabela_registros[TIPO],DADOS!$AB$3,tabela_registros[CATEGORIA],investirrendafixaconsolidadojul[[#This Row],[ATUAL]])</f>
        <v>0</v>
      </c>
      <c r="G122" s="91">
        <f>SUMIFS(tabela_registros[VALOR],tabela_registros[MÊS],$AE$1,tabela_registros[DIA],investirrendafixaconsolidadojul[[#Headers],[3]],tabela_registros[REGISTRO],DADOS!$N$5,tabela_registros[TIPO],DADOS!$AB$3,tabela_registros[CATEGORIA],investirrendafixaconsolidadojul[[#This Row],[ATUAL]])</f>
        <v>0</v>
      </c>
      <c r="H122" s="91">
        <f>SUMIFS(tabela_registros[VALOR],tabela_registros[MÊS],$AE$1,tabela_registros[DIA],investirrendafixaconsolidadojul[[#Headers],[4]],tabela_registros[REGISTRO],DADOS!$N$5,tabela_registros[TIPO],DADOS!$AB$3,tabela_registros[CATEGORIA],investirrendafixaconsolidadojul[[#This Row],[ATUAL]])</f>
        <v>0</v>
      </c>
      <c r="I122" s="91">
        <f>SUMIFS(tabela_registros[VALOR],tabela_registros[MÊS],$AE$1,tabela_registros[DIA],investirrendafixaconsolidadojul[[#Headers],[5]],tabela_registros[REGISTRO],DADOS!$N$5,tabela_registros[TIPO],DADOS!$AB$3,tabela_registros[CATEGORIA],investirrendafixaconsolidadojul[[#This Row],[ATUAL]])</f>
        <v>0</v>
      </c>
      <c r="J122" s="91">
        <f>SUMIFS(tabela_registros[VALOR],tabela_registros[MÊS],$AE$1,tabela_registros[DIA],investirrendafixaconsolidadojul[[#Headers],[6]],tabela_registros[REGISTRO],DADOS!$N$5,tabela_registros[TIPO],DADOS!$AB$3,tabela_registros[CATEGORIA],investirrendafixaconsolidadojul[[#This Row],[ATUAL]])</f>
        <v>0</v>
      </c>
      <c r="K122" s="91">
        <f>SUMIFS(tabela_registros[VALOR],tabela_registros[MÊS],$AE$1,tabela_registros[DIA],investirrendafixaconsolidadojul[[#Headers],[7]],tabela_registros[REGISTRO],DADOS!$N$5,tabela_registros[TIPO],DADOS!$AB$3,tabela_registros[CATEGORIA],investirrendafixaconsolidadojul[[#This Row],[ATUAL]])</f>
        <v>0</v>
      </c>
      <c r="L122" s="91">
        <f>SUMIFS(tabela_registros[VALOR],tabela_registros[MÊS],$AE$1,tabela_registros[DIA],investirrendafixaconsolidadojul[[#Headers],[8]],tabela_registros[REGISTRO],DADOS!$N$5,tabela_registros[TIPO],DADOS!$AB$3,tabela_registros[CATEGORIA],investirrendafixaconsolidadojul[[#This Row],[ATUAL]])</f>
        <v>0</v>
      </c>
      <c r="M122" s="91">
        <f>SUMIFS(tabela_registros[VALOR],tabela_registros[MÊS],$AE$1,tabela_registros[DIA],investirrendafixaconsolidadojul[[#Headers],[9]],tabela_registros[REGISTRO],DADOS!$N$5,tabela_registros[TIPO],DADOS!$AB$3,tabela_registros[CATEGORIA],investirrendafixaconsolidadojul[[#This Row],[ATUAL]])</f>
        <v>0</v>
      </c>
      <c r="N122" s="91">
        <f>SUMIFS(tabela_registros[VALOR],tabela_registros[MÊS],$AE$1,tabela_registros[DIA],investirrendafixaconsolidadojul[[#Headers],[10]],tabela_registros[REGISTRO],DADOS!$N$5,tabela_registros[TIPO],DADOS!$AB$3,tabela_registros[CATEGORIA],investirrendafixaconsolidadojul[[#This Row],[ATUAL]])</f>
        <v>0</v>
      </c>
      <c r="O122" s="91">
        <f>SUMIFS(tabela_registros[VALOR],tabela_registros[MÊS],$AE$1,tabela_registros[DIA],investirrendafixaconsolidadojul[[#Headers],[11]],tabela_registros[REGISTRO],DADOS!$N$5,tabela_registros[TIPO],DADOS!$AB$3,tabela_registros[CATEGORIA],investirrendafixaconsolidadojul[[#This Row],[ATUAL]])</f>
        <v>0</v>
      </c>
      <c r="P122" s="91">
        <f>SUMIFS(tabela_registros[VALOR],tabela_registros[MÊS],$AE$1,tabela_registros[DIA],investirrendafixaconsolidadojul[[#Headers],[12]],tabela_registros[REGISTRO],DADOS!$N$5,tabela_registros[TIPO],DADOS!$AB$3,tabela_registros[CATEGORIA],investirrendafixaconsolidadojul[[#This Row],[ATUAL]])</f>
        <v>0</v>
      </c>
      <c r="Q122" s="91">
        <f>SUMIFS(tabela_registros[VALOR],tabela_registros[MÊS],$AE$1,tabela_registros[DIA],investirrendafixaconsolidadojul[[#Headers],[13]],tabela_registros[REGISTRO],DADOS!$N$5,tabela_registros[TIPO],DADOS!$AB$3,tabela_registros[CATEGORIA],investirrendafixaconsolidadojul[[#This Row],[ATUAL]])</f>
        <v>0</v>
      </c>
      <c r="R122" s="91">
        <f>SUMIFS(tabela_registros[VALOR],tabela_registros[MÊS],$AE$1,tabela_registros[DIA],investirrendafixaconsolidadojul[[#Headers],[14]],tabela_registros[REGISTRO],DADOS!$N$5,tabela_registros[TIPO],DADOS!$AB$3,tabela_registros[CATEGORIA],investirrendafixaconsolidadojul[[#This Row],[ATUAL]])</f>
        <v>0</v>
      </c>
      <c r="S122" s="91">
        <f>SUMIFS(tabela_registros[VALOR],tabela_registros[MÊS],$AE$1,tabela_registros[DIA],investirrendafixaconsolidadojul[[#Headers],[15]],tabela_registros[REGISTRO],DADOS!$N$5,tabela_registros[TIPO],DADOS!$AB$3,tabela_registros[CATEGORIA],investirrendafixaconsolidadojul[[#This Row],[ATUAL]])</f>
        <v>0</v>
      </c>
      <c r="T122" s="91">
        <f>SUMIFS(tabela_registros[VALOR],tabela_registros[MÊS],$AE$1,tabela_registros[DIA],investirrendafixaconsolidadojul[[#Headers],[16]],tabela_registros[REGISTRO],DADOS!$N$5,tabela_registros[TIPO],DADOS!$AB$3,tabela_registros[CATEGORIA],investirrendafixaconsolidadojul[[#This Row],[ATUAL]])</f>
        <v>0</v>
      </c>
      <c r="U122" s="91">
        <f>SUMIFS(tabela_registros[VALOR],tabela_registros[MÊS],$AE$1,tabela_registros[DIA],investirrendafixaconsolidadojul[[#Headers],[17]],tabela_registros[REGISTRO],DADOS!$N$5,tabela_registros[TIPO],DADOS!$AB$3,tabela_registros[CATEGORIA],investirrendafixaconsolidadojul[[#This Row],[ATUAL]])</f>
        <v>0</v>
      </c>
      <c r="V122" s="91">
        <f>SUMIFS(tabela_registros[VALOR],tabela_registros[MÊS],$AE$1,tabela_registros[DIA],investirrendafixaconsolidadojul[[#Headers],[18]],tabela_registros[REGISTRO],DADOS!$N$5,tabela_registros[TIPO],DADOS!$AB$3,tabela_registros[CATEGORIA],investirrendafixaconsolidadojul[[#This Row],[ATUAL]])</f>
        <v>0</v>
      </c>
      <c r="W122" s="91">
        <f>SUMIFS(tabela_registros[VALOR],tabela_registros[MÊS],$AE$1,tabela_registros[DIA],investirrendafixaconsolidadojul[[#Headers],[19]],tabela_registros[REGISTRO],DADOS!$N$5,tabela_registros[TIPO],DADOS!$AB$3,tabela_registros[CATEGORIA],investirrendafixaconsolidadojul[[#This Row],[ATUAL]])</f>
        <v>0</v>
      </c>
      <c r="X122" s="91">
        <f>SUMIFS(tabela_registros[VALOR],tabela_registros[MÊS],$AE$1,tabela_registros[DIA],investirrendafixaconsolidadojul[[#Headers],[20]],tabela_registros[REGISTRO],DADOS!$N$5,tabela_registros[TIPO],DADOS!$AB$3,tabela_registros[CATEGORIA],investirrendafixaconsolidadojul[[#This Row],[ATUAL]])</f>
        <v>0</v>
      </c>
      <c r="Y122" s="91">
        <f>SUMIFS(tabela_registros[VALOR],tabela_registros[MÊS],$AE$1,tabela_registros[DIA],investirrendafixaconsolidadojul[[#Headers],[21]],tabela_registros[REGISTRO],DADOS!$N$5,tabela_registros[TIPO],DADOS!$AB$3,tabela_registros[CATEGORIA],investirrendafixaconsolidadojul[[#This Row],[ATUAL]])</f>
        <v>0</v>
      </c>
      <c r="Z122" s="91">
        <f>SUMIFS(tabela_registros[VALOR],tabela_registros[MÊS],$AE$1,tabela_registros[DIA],investirrendafixaconsolidadojul[[#Headers],[22]],tabela_registros[REGISTRO],DADOS!$N$5,tabela_registros[TIPO],DADOS!$AB$3,tabela_registros[CATEGORIA],investirrendafixaconsolidadojul[[#This Row],[ATUAL]])</f>
        <v>0</v>
      </c>
      <c r="AA122" s="91">
        <f>SUMIFS(tabela_registros[VALOR],tabela_registros[MÊS],$AE$1,tabela_registros[DIA],investirrendafixaconsolidadojul[[#Headers],[23]],tabela_registros[REGISTRO],DADOS!$N$5,tabela_registros[TIPO],DADOS!$AB$3,tabela_registros[CATEGORIA],investirrendafixaconsolidadojul[[#This Row],[ATUAL]])</f>
        <v>0</v>
      </c>
      <c r="AB122" s="91">
        <f>SUMIFS(tabela_registros[VALOR],tabela_registros[MÊS],$AE$1,tabela_registros[DIA],investirrendafixaconsolidadojul[[#Headers],[24]],tabela_registros[REGISTRO],DADOS!$N$5,tabela_registros[TIPO],DADOS!$AB$3,tabela_registros[CATEGORIA],investirrendafixaconsolidadojul[[#This Row],[ATUAL]])</f>
        <v>0</v>
      </c>
      <c r="AC122" s="91">
        <f>SUMIFS(tabela_registros[VALOR],tabela_registros[MÊS],$AE$1,tabela_registros[DIA],investirrendafixaconsolidadojul[[#Headers],[25]],tabela_registros[REGISTRO],DADOS!$N$5,tabela_registros[TIPO],DADOS!$AB$3,tabela_registros[CATEGORIA],investirrendafixaconsolidadojul[[#This Row],[ATUAL]])</f>
        <v>0</v>
      </c>
      <c r="AD122" s="91">
        <f>SUMIFS(tabela_registros[VALOR],tabela_registros[MÊS],$AE$1,tabela_registros[DIA],investirrendafixaconsolidadojul[[#Headers],[26]],tabela_registros[REGISTRO],DADOS!$N$5,tabela_registros[TIPO],DADOS!$AB$3,tabela_registros[CATEGORIA],investirrendafixaconsolidadojul[[#This Row],[ATUAL]])</f>
        <v>0</v>
      </c>
      <c r="AE122" s="91">
        <f>SUMIFS(tabela_registros[VALOR],tabela_registros[MÊS],$AE$1,tabela_registros[DIA],investirrendafixaconsolidadojul[[#Headers],[27]],tabela_registros[REGISTRO],DADOS!$N$5,tabela_registros[TIPO],DADOS!$AB$3,tabela_registros[CATEGORIA],investirrendafixaconsolidadojul[[#This Row],[ATUAL]])</f>
        <v>0</v>
      </c>
      <c r="AF122" s="91">
        <f>SUMIFS(tabela_registros[VALOR],tabela_registros[MÊS],$AE$1,tabela_registros[DIA],investirrendafixaconsolidadojul[[#Headers],[28]],tabela_registros[REGISTRO],DADOS!$N$5,tabela_registros[TIPO],DADOS!$AB$3,tabela_registros[CATEGORIA],investirrendafixaconsolidadojul[[#This Row],[ATUAL]])</f>
        <v>0</v>
      </c>
      <c r="AG122" s="91">
        <f>SUMIFS(tabela_registros[VALOR],tabela_registros[MÊS],$AE$1,tabela_registros[DIA],investirrendafixaconsolidadojul[[#Headers],[29]],tabela_registros[REGISTRO],DADOS!$N$5,tabela_registros[TIPO],DADOS!$AB$3,tabela_registros[CATEGORIA],investirrendafixaconsolidadojul[[#This Row],[ATUAL]])</f>
        <v>0</v>
      </c>
      <c r="AH122" s="91">
        <f>SUMIFS(tabela_registros[VALOR],tabela_registros[MÊS],$AE$1,tabela_registros[DIA],investirrendafixaconsolidadojul[[#Headers],[30]],tabela_registros[REGISTRO],DADOS!$N$5,tabela_registros[TIPO],DADOS!$AB$3,tabela_registros[CATEGORIA],investirrendafixaconsolidadojul[[#This Row],[ATUAL]])</f>
        <v>0</v>
      </c>
      <c r="AI122" s="102">
        <f>SUMIFS(tabela_registros[VALOR],tabela_registros[MÊS],$AE$1,tabela_registros[DIA],investirrendafixaconsolidadojul[[#Headers],[31]],tabela_registros[REGISTRO],DADOS!$N$5,tabela_registros[TIPO],DADOS!$AB$3,tabela_registros[CATEGORIA],investirrendafixaconsolidadojul[[#This Row],[ATUAL]])</f>
        <v>0</v>
      </c>
      <c r="AJ122" s="97">
        <f>SUM(investirrendafixaconsolidadojul[[#This Row],[1]:[31]])</f>
        <v>0</v>
      </c>
      <c r="AK122" s="25"/>
    </row>
    <row r="123" spans="2:37" s="16" customFormat="1" ht="21" customHeight="1" thickTop="1" thickBot="1" x14ac:dyDescent="0.35">
      <c r="B123" s="24"/>
      <c r="C123" s="23" t="s">
        <v>19</v>
      </c>
      <c r="D123" s="22"/>
      <c r="E123" s="21">
        <f>SUM(E113:E122)</f>
        <v>0</v>
      </c>
      <c r="F123" s="20">
        <f>SUM(F113:F122)+investirrendafixaconsolidadojul[[#This Row],[1]]</f>
        <v>0</v>
      </c>
      <c r="G123" s="20">
        <f>SUM(G113:G122)+investirrendafixaconsolidadojul[[#This Row],[2]]</f>
        <v>0</v>
      </c>
      <c r="H123" s="20">
        <f>SUM(H113:H122)+investirrendafixaconsolidadojul[[#This Row],[3]]</f>
        <v>0</v>
      </c>
      <c r="I123" s="20">
        <f>SUM(I113:I122)+investirrendafixaconsolidadojul[[#This Row],[4]]</f>
        <v>0</v>
      </c>
      <c r="J123" s="20">
        <f>SUM(J113:J122)+investirrendafixaconsolidadojul[[#This Row],[5]]</f>
        <v>0</v>
      </c>
      <c r="K123" s="20">
        <f>SUM(K113:K122)+investirrendafixaconsolidadojul[[#This Row],[6]]</f>
        <v>0</v>
      </c>
      <c r="L123" s="20">
        <f>SUM(L113:L122)+investirrendafixaconsolidadojul[[#This Row],[7]]</f>
        <v>0</v>
      </c>
      <c r="M123" s="20">
        <f>SUM(M113:M122)+investirrendafixaconsolidadojul[[#This Row],[8]]</f>
        <v>0</v>
      </c>
      <c r="N123" s="20">
        <f>SUM(N113:N122)+investirrendafixaconsolidadojul[[#This Row],[9]]</f>
        <v>0</v>
      </c>
      <c r="O123" s="20">
        <f>SUM(O113:O122)+investirrendafixaconsolidadojul[[#This Row],[10]]</f>
        <v>0</v>
      </c>
      <c r="P123" s="20">
        <f>SUM(P113:P122)+investirrendafixaconsolidadojul[[#This Row],[11]]</f>
        <v>0</v>
      </c>
      <c r="Q123" s="20">
        <f>SUM(Q113:Q122)+investirrendafixaconsolidadojul[[#This Row],[12]]</f>
        <v>0</v>
      </c>
      <c r="R123" s="20">
        <f>SUM(R113:R122)+investirrendafixaconsolidadojul[[#This Row],[13]]</f>
        <v>0</v>
      </c>
      <c r="S123" s="20">
        <f>SUM(S113:S122)+investirrendafixaconsolidadojul[[#This Row],[14]]</f>
        <v>0</v>
      </c>
      <c r="T123" s="20">
        <f>SUM(T113:T122)+investirrendafixaconsolidadojul[[#This Row],[15]]</f>
        <v>0</v>
      </c>
      <c r="U123" s="20">
        <f>SUM(U113:U122)+investirrendafixaconsolidadojul[[#This Row],[16]]</f>
        <v>0</v>
      </c>
      <c r="V123" s="20">
        <f>SUM(V113:V122)+investirrendafixaconsolidadojul[[#This Row],[17]]</f>
        <v>0</v>
      </c>
      <c r="W123" s="20">
        <f>SUM(W113:W122)+investirrendafixaconsolidadojul[[#This Row],[18]]</f>
        <v>0</v>
      </c>
      <c r="X123" s="20">
        <f>SUM(X113:X122)+investirrendafixaconsolidadojul[[#This Row],[19]]</f>
        <v>0</v>
      </c>
      <c r="Y123" s="20">
        <f>SUM(Y113:Y122)+investirrendafixaconsolidadojul[[#This Row],[20]]</f>
        <v>0</v>
      </c>
      <c r="Z123" s="20">
        <f>SUM(Z113:Z122)+investirrendafixaconsolidadojul[[#This Row],[21]]</f>
        <v>0</v>
      </c>
      <c r="AA123" s="20">
        <f>SUM(AA113:AA122)+investirrendafixaconsolidadojul[[#This Row],[22]]</f>
        <v>0</v>
      </c>
      <c r="AB123" s="20">
        <f>SUM(AB113:AB122)+investirrendafixaconsolidadojul[[#This Row],[23]]</f>
        <v>0</v>
      </c>
      <c r="AC123" s="20">
        <f>SUM(AC113:AC122)+investirrendafixaconsolidadojul[[#This Row],[24]]</f>
        <v>0</v>
      </c>
      <c r="AD123" s="20">
        <f>SUM(AD113:AD122)+investirrendafixaconsolidadojul[[#This Row],[25]]</f>
        <v>0</v>
      </c>
      <c r="AE123" s="20">
        <f>SUM(AE113:AE122)+investirrendafixaconsolidadojul[[#This Row],[26]]</f>
        <v>0</v>
      </c>
      <c r="AF123" s="20">
        <f>SUM(AF113:AF122)+investirrendafixaconsolidadojul[[#This Row],[27]]</f>
        <v>0</v>
      </c>
      <c r="AG123" s="20">
        <f>SUM(AG113:AG122)+investirrendafixaconsolidadojul[[#This Row],[28]]</f>
        <v>0</v>
      </c>
      <c r="AH123" s="20">
        <f>SUM(AH113:AH122)+investirrendafixaconsolidadojul[[#This Row],[29]]</f>
        <v>0</v>
      </c>
      <c r="AI123" s="19">
        <f>SUM(AI113:AI122)+investirrendafixaconsolidadojul[[#This Row],[30]]</f>
        <v>0</v>
      </c>
      <c r="AJ123" s="18">
        <f>investirrendafixaconsolidadojul[[#This Row],[31]]</f>
        <v>0</v>
      </c>
      <c r="AK123" s="17"/>
    </row>
    <row r="124" spans="2:37" ht="6.75" customHeight="1" thickTop="1" thickBot="1" x14ac:dyDescent="0.3">
      <c r="B124" s="15"/>
      <c r="C124" s="14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  <c r="AI124" s="12"/>
      <c r="AJ124" s="11"/>
      <c r="AK124" s="10"/>
    </row>
    <row r="125" spans="2:37" ht="12.6" thickTop="1" x14ac:dyDescent="0.25">
      <c r="E125" s="37"/>
      <c r="AI125" s="4"/>
    </row>
    <row r="126" spans="2:37" x14ac:dyDescent="0.25">
      <c r="AI126" s="4"/>
    </row>
    <row r="127" spans="2:37" x14ac:dyDescent="0.25">
      <c r="AI127" s="4"/>
    </row>
    <row r="128" spans="2:37" ht="39.75" customHeight="1" x14ac:dyDescent="0.7">
      <c r="C128" s="36"/>
      <c r="E128" s="240"/>
      <c r="F128" s="240"/>
      <c r="G128" s="240"/>
      <c r="H128" s="240"/>
      <c r="I128" s="240"/>
      <c r="J128" s="240"/>
      <c r="K128" s="240"/>
      <c r="L128" s="240"/>
      <c r="M128" s="240"/>
      <c r="N128" s="240"/>
      <c r="O128" s="240"/>
      <c r="P128" s="240"/>
      <c r="Q128" s="240"/>
      <c r="R128" s="240"/>
      <c r="S128" s="240"/>
      <c r="T128" s="240"/>
      <c r="U128" s="240"/>
      <c r="V128" s="240"/>
      <c r="W128" s="240"/>
      <c r="X128" s="240"/>
      <c r="Y128" s="240"/>
      <c r="Z128" s="240"/>
      <c r="AA128" s="240"/>
      <c r="AB128" s="240"/>
      <c r="AC128" s="240"/>
      <c r="AD128" s="240"/>
      <c r="AE128" s="240"/>
      <c r="AF128" s="240"/>
      <c r="AG128" s="240"/>
      <c r="AH128" s="240"/>
      <c r="AI128" s="240"/>
      <c r="AJ128" s="32" t="s">
        <v>19</v>
      </c>
    </row>
    <row r="129" spans="2:37" ht="12.6" thickBot="1" x14ac:dyDescent="0.3">
      <c r="B129" s="35"/>
      <c r="AI129" s="4"/>
      <c r="AJ129" s="34" t="s">
        <v>202</v>
      </c>
    </row>
    <row r="130" spans="2:37" ht="6.75" customHeight="1" thickTop="1" thickBot="1" x14ac:dyDescent="0.3">
      <c r="B130" s="2"/>
      <c r="C130" s="14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  <c r="AA130" s="13"/>
      <c r="AB130" s="13"/>
      <c r="AC130" s="13"/>
      <c r="AD130" s="13"/>
      <c r="AE130" s="13"/>
      <c r="AF130" s="13"/>
      <c r="AG130" s="13"/>
      <c r="AH130" s="13"/>
      <c r="AI130" s="13"/>
      <c r="AJ130" s="12"/>
      <c r="AK130" s="33"/>
    </row>
    <row r="131" spans="2:37" ht="13.2" hidden="1" thickTop="1" thickBot="1" x14ac:dyDescent="0.3">
      <c r="B131" s="2"/>
      <c r="C131" s="31" t="s">
        <v>199</v>
      </c>
      <c r="D131" s="30" t="s">
        <v>198</v>
      </c>
      <c r="E131" s="30" t="s">
        <v>197</v>
      </c>
      <c r="F131" s="30" t="s">
        <v>196</v>
      </c>
      <c r="G131" s="30" t="s">
        <v>195</v>
      </c>
      <c r="H131" s="30" t="s">
        <v>194</v>
      </c>
      <c r="I131" s="30" t="s">
        <v>193</v>
      </c>
      <c r="J131" s="30" t="s">
        <v>192</v>
      </c>
      <c r="K131" s="30" t="s">
        <v>191</v>
      </c>
      <c r="L131" s="30" t="s">
        <v>190</v>
      </c>
      <c r="M131" s="30" t="s">
        <v>189</v>
      </c>
      <c r="N131" s="30" t="s">
        <v>188</v>
      </c>
      <c r="O131" s="30" t="s">
        <v>187</v>
      </c>
      <c r="P131" s="30" t="s">
        <v>186</v>
      </c>
      <c r="Q131" s="30" t="s">
        <v>185</v>
      </c>
      <c r="R131" s="30" t="s">
        <v>184</v>
      </c>
      <c r="S131" s="30" t="s">
        <v>183</v>
      </c>
      <c r="T131" s="30" t="s">
        <v>182</v>
      </c>
      <c r="U131" s="30" t="s">
        <v>181</v>
      </c>
      <c r="V131" s="30" t="s">
        <v>180</v>
      </c>
      <c r="W131" s="30" t="s">
        <v>179</v>
      </c>
      <c r="X131" s="30" t="s">
        <v>178</v>
      </c>
      <c r="Y131" s="30" t="s">
        <v>177</v>
      </c>
      <c r="Z131" s="30" t="s">
        <v>176</v>
      </c>
      <c r="AA131" s="30" t="s">
        <v>175</v>
      </c>
      <c r="AB131" s="30" t="s">
        <v>174</v>
      </c>
      <c r="AC131" s="30" t="s">
        <v>173</v>
      </c>
      <c r="AD131" s="30" t="s">
        <v>172</v>
      </c>
      <c r="AE131" s="30" t="s">
        <v>171</v>
      </c>
      <c r="AF131" s="30" t="s">
        <v>170</v>
      </c>
      <c r="AG131" s="30" t="s">
        <v>169</v>
      </c>
      <c r="AH131" s="30" t="s">
        <v>168</v>
      </c>
      <c r="AI131" s="30" t="s">
        <v>167</v>
      </c>
      <c r="AJ131" s="29" t="s">
        <v>166</v>
      </c>
      <c r="AK131" s="2"/>
    </row>
    <row r="132" spans="2:37" ht="19.5" customHeight="1" thickTop="1" thickBot="1" x14ac:dyDescent="0.3">
      <c r="B132" s="28"/>
      <c r="C132" s="27" t="str">
        <f>DADOS!$AF$3</f>
        <v>📝 AÇÃO</v>
      </c>
      <c r="D132" s="26" t="str">
        <f>IF(investirrendavariávelconsolidadojul[[#This Row],[TOTAL (R$)]]=0,"",IF(OR(investirrendavariávelconsolidadojul[[#This Row],[TOTAL (R$)]]=LARGE($AJ$132:$AJ$141,1),investirrendavariávelconsolidadojul[[#This Row],[TOTAL (R$)]]=LARGE($AJ$132:$AJ$141,2)),DADOS!$I$10,""))</f>
        <v/>
      </c>
      <c r="E132" s="96">
        <f>SUMIFS(tabela_registros[VALOR],tabela_registros[MÊS],$AE$1,tabela_registros[DIA],investirrendavariávelconsolidadojul[[#Headers],[1]],tabela_registros[REGISTRO],DADOS!$N$5,tabela_registros[TIPO],DADOS!$AB$4,tabela_registros[CATEGORIA],investirrendavariávelconsolidadojul[[#This Row],[ATUAL]])</f>
        <v>0</v>
      </c>
      <c r="F132" s="91">
        <f>SUMIFS(tabela_registros[VALOR],tabela_registros[MÊS],$AE$1,tabela_registros[DIA],investirrendavariávelconsolidadojul[[#Headers],[2]],tabela_registros[REGISTRO],DADOS!$N$5,tabela_registros[TIPO],DADOS!$AB$4,tabela_registros[CATEGORIA],investirrendavariávelconsolidadojul[[#This Row],[ATUAL]])</f>
        <v>0</v>
      </c>
      <c r="G132" s="91">
        <f>SUMIFS(tabela_registros[VALOR],tabela_registros[MÊS],$AE$1,tabela_registros[DIA],investirrendavariávelconsolidadojul[[#Headers],[3]],tabela_registros[REGISTRO],DADOS!$N$5,tabela_registros[TIPO],DADOS!$AB$4,tabela_registros[CATEGORIA],investirrendavariávelconsolidadojul[[#This Row],[ATUAL]])</f>
        <v>0</v>
      </c>
      <c r="H132" s="91">
        <f>SUMIFS(tabela_registros[VALOR],tabela_registros[MÊS],$AE$1,tabela_registros[DIA],investirrendavariávelconsolidadojul[[#Headers],[4]],tabela_registros[REGISTRO],DADOS!$N$5,tabela_registros[TIPO],DADOS!$AB$4,tabela_registros[CATEGORIA],investirrendavariávelconsolidadojul[[#This Row],[ATUAL]])</f>
        <v>0</v>
      </c>
      <c r="I132" s="91">
        <f>SUMIFS(tabela_registros[VALOR],tabela_registros[MÊS],$AE$1,tabela_registros[DIA],investirrendavariávelconsolidadojul[[#Headers],[5]],tabela_registros[REGISTRO],DADOS!$N$5,tabela_registros[TIPO],DADOS!$AB$4,tabela_registros[CATEGORIA],investirrendavariávelconsolidadojul[[#This Row],[ATUAL]])</f>
        <v>0</v>
      </c>
      <c r="J132" s="91">
        <f>SUMIFS(tabela_registros[VALOR],tabela_registros[MÊS],$AE$1,tabela_registros[DIA],investirrendavariávelconsolidadojul[[#Headers],[6]],tabela_registros[REGISTRO],DADOS!$N$5,tabela_registros[TIPO],DADOS!$AB$4,tabela_registros[CATEGORIA],investirrendavariávelconsolidadojul[[#This Row],[ATUAL]])</f>
        <v>0</v>
      </c>
      <c r="K132" s="91">
        <f>SUMIFS(tabela_registros[VALOR],tabela_registros[MÊS],$AE$1,tabela_registros[DIA],investirrendavariávelconsolidadojul[[#Headers],[7]],tabela_registros[REGISTRO],DADOS!$N$5,tabela_registros[TIPO],DADOS!$AB$4,tabela_registros[CATEGORIA],investirrendavariávelconsolidadojul[[#This Row],[ATUAL]])</f>
        <v>0</v>
      </c>
      <c r="L132" s="91">
        <f>SUMIFS(tabela_registros[VALOR],tabela_registros[MÊS],$AE$1,tabela_registros[DIA],investirrendavariávelconsolidadojul[[#Headers],[8]],tabela_registros[REGISTRO],DADOS!$N$5,tabela_registros[TIPO],DADOS!$AB$4,tabela_registros[CATEGORIA],investirrendavariávelconsolidadojul[[#This Row],[ATUAL]])</f>
        <v>0</v>
      </c>
      <c r="M132" s="91">
        <f>SUMIFS(tabela_registros[VALOR],tabela_registros[MÊS],$AE$1,tabela_registros[DIA],investirrendavariávelconsolidadojul[[#Headers],[9]],tabela_registros[REGISTRO],DADOS!$N$5,tabela_registros[TIPO],DADOS!$AB$4,tabela_registros[CATEGORIA],investirrendavariávelconsolidadojul[[#This Row],[ATUAL]])</f>
        <v>0</v>
      </c>
      <c r="N132" s="91">
        <f>SUMIFS(tabela_registros[VALOR],tabela_registros[MÊS],$AE$1,tabela_registros[DIA],investirrendavariávelconsolidadojul[[#Headers],[10]],tabela_registros[REGISTRO],DADOS!$N$5,tabela_registros[TIPO],DADOS!$AB$4,tabela_registros[CATEGORIA],investirrendavariávelconsolidadojul[[#This Row],[ATUAL]])</f>
        <v>0</v>
      </c>
      <c r="O132" s="91">
        <f>SUMIFS(tabela_registros[VALOR],tabela_registros[MÊS],$AE$1,tabela_registros[DIA],investirrendavariávelconsolidadojul[[#Headers],[11]],tabela_registros[REGISTRO],DADOS!$N$5,tabela_registros[TIPO],DADOS!$AB$4,tabela_registros[CATEGORIA],investirrendavariávelconsolidadojul[[#This Row],[ATUAL]])</f>
        <v>0</v>
      </c>
      <c r="P132" s="91">
        <f>SUMIFS(tabela_registros[VALOR],tabela_registros[MÊS],$AE$1,tabela_registros[DIA],investirrendavariávelconsolidadojul[[#Headers],[12]],tabela_registros[REGISTRO],DADOS!$N$5,tabela_registros[TIPO],DADOS!$AB$4,tabela_registros[CATEGORIA],investirrendavariávelconsolidadojul[[#This Row],[ATUAL]])</f>
        <v>0</v>
      </c>
      <c r="Q132" s="91">
        <f>SUMIFS(tabela_registros[VALOR],tabela_registros[MÊS],$AE$1,tabela_registros[DIA],investirrendavariávelconsolidadojul[[#Headers],[13]],tabela_registros[REGISTRO],DADOS!$N$5,tabela_registros[TIPO],DADOS!$AB$4,tabela_registros[CATEGORIA],investirrendavariávelconsolidadojul[[#This Row],[ATUAL]])</f>
        <v>0</v>
      </c>
      <c r="R132" s="91">
        <f>SUMIFS(tabela_registros[VALOR],tabela_registros[MÊS],$AE$1,tabela_registros[DIA],investirrendavariávelconsolidadojul[[#Headers],[14]],tabela_registros[REGISTRO],DADOS!$N$5,tabela_registros[TIPO],DADOS!$AB$4,tabela_registros[CATEGORIA],investirrendavariávelconsolidadojul[[#This Row],[ATUAL]])</f>
        <v>0</v>
      </c>
      <c r="S132" s="91">
        <f>SUMIFS(tabela_registros[VALOR],tabela_registros[MÊS],$AE$1,tabela_registros[DIA],investirrendavariávelconsolidadojul[[#Headers],[15]],tabela_registros[REGISTRO],DADOS!$N$5,tabela_registros[TIPO],DADOS!$AB$4,tabela_registros[CATEGORIA],investirrendavariávelconsolidadojul[[#This Row],[ATUAL]])</f>
        <v>0</v>
      </c>
      <c r="T132" s="91">
        <f>SUMIFS(tabela_registros[VALOR],tabela_registros[MÊS],$AE$1,tabela_registros[DIA],investirrendavariávelconsolidadojul[[#Headers],[16]],tabela_registros[REGISTRO],DADOS!$N$5,tabela_registros[TIPO],DADOS!$AB$4,tabela_registros[CATEGORIA],investirrendavariávelconsolidadojul[[#This Row],[ATUAL]])</f>
        <v>0</v>
      </c>
      <c r="U132" s="91">
        <f>SUMIFS(tabela_registros[VALOR],tabela_registros[MÊS],$AE$1,tabela_registros[DIA],investirrendavariávelconsolidadojul[[#Headers],[17]],tabela_registros[REGISTRO],DADOS!$N$5,tabela_registros[TIPO],DADOS!$AB$4,tabela_registros[CATEGORIA],investirrendavariávelconsolidadojul[[#This Row],[ATUAL]])</f>
        <v>0</v>
      </c>
      <c r="V132" s="91">
        <f>SUMIFS(tabela_registros[VALOR],tabela_registros[MÊS],$AE$1,tabela_registros[DIA],investirrendavariávelconsolidadojul[[#Headers],[18]],tabela_registros[REGISTRO],DADOS!$N$5,tabela_registros[TIPO],DADOS!$AB$4,tabela_registros[CATEGORIA],investirrendavariávelconsolidadojul[[#This Row],[ATUAL]])</f>
        <v>0</v>
      </c>
      <c r="W132" s="91">
        <f>SUMIFS(tabela_registros[VALOR],tabela_registros[MÊS],$AE$1,tabela_registros[DIA],investirrendavariávelconsolidadojul[[#Headers],[19]],tabela_registros[REGISTRO],DADOS!$N$5,tabela_registros[TIPO],DADOS!$AB$4,tabela_registros[CATEGORIA],investirrendavariávelconsolidadojul[[#This Row],[ATUAL]])</f>
        <v>0</v>
      </c>
      <c r="X132" s="91">
        <f>SUMIFS(tabela_registros[VALOR],tabela_registros[MÊS],$AE$1,tabela_registros[DIA],investirrendavariávelconsolidadojul[[#Headers],[20]],tabela_registros[REGISTRO],DADOS!$N$5,tabela_registros[TIPO],DADOS!$AB$4,tabela_registros[CATEGORIA],investirrendavariávelconsolidadojul[[#This Row],[ATUAL]])</f>
        <v>0</v>
      </c>
      <c r="Y132" s="91">
        <f>SUMIFS(tabela_registros[VALOR],tabela_registros[MÊS],$AE$1,tabela_registros[DIA],investirrendavariávelconsolidadojul[[#Headers],[21]],tabela_registros[REGISTRO],DADOS!$N$5,tabela_registros[TIPO],DADOS!$AB$4,tabela_registros[CATEGORIA],investirrendavariávelconsolidadojul[[#This Row],[ATUAL]])</f>
        <v>0</v>
      </c>
      <c r="Z132" s="91">
        <f>SUMIFS(tabela_registros[VALOR],tabela_registros[MÊS],$AE$1,tabela_registros[DIA],investirrendavariávelconsolidadojul[[#Headers],[22]],tabela_registros[REGISTRO],DADOS!$N$5,tabela_registros[TIPO],DADOS!$AB$4,tabela_registros[CATEGORIA],investirrendavariávelconsolidadojul[[#This Row],[ATUAL]])</f>
        <v>0</v>
      </c>
      <c r="AA132" s="91">
        <f>SUMIFS(tabela_registros[VALOR],tabela_registros[MÊS],$AE$1,tabela_registros[DIA],investirrendavariávelconsolidadojul[[#Headers],[23]],tabela_registros[REGISTRO],DADOS!$N$5,tabela_registros[TIPO],DADOS!$AB$4,tabela_registros[CATEGORIA],investirrendavariávelconsolidadojul[[#This Row],[ATUAL]])</f>
        <v>0</v>
      </c>
      <c r="AB132" s="91">
        <f>SUMIFS(tabela_registros[VALOR],tabela_registros[MÊS],$AE$1,tabela_registros[DIA],investirrendavariávelconsolidadojul[[#Headers],[24]],tabela_registros[REGISTRO],DADOS!$N$5,tabela_registros[TIPO],DADOS!$AB$4,tabela_registros[CATEGORIA],investirrendavariávelconsolidadojul[[#This Row],[ATUAL]])</f>
        <v>0</v>
      </c>
      <c r="AC132" s="91">
        <f>SUMIFS(tabela_registros[VALOR],tabela_registros[MÊS],$AE$1,tabela_registros[DIA],investirrendavariávelconsolidadojul[[#Headers],[25]],tabela_registros[REGISTRO],DADOS!$N$5,tabela_registros[TIPO],DADOS!$AB$4,tabela_registros[CATEGORIA],investirrendavariávelconsolidadojul[[#This Row],[ATUAL]])</f>
        <v>0</v>
      </c>
      <c r="AD132" s="91">
        <f>SUMIFS(tabela_registros[VALOR],tabela_registros[MÊS],$AE$1,tabela_registros[DIA],investirrendavariávelconsolidadojul[[#Headers],[26]],tabela_registros[REGISTRO],DADOS!$N$5,tabela_registros[TIPO],DADOS!$AB$4,tabela_registros[CATEGORIA],investirrendavariávelconsolidadojul[[#This Row],[ATUAL]])</f>
        <v>0</v>
      </c>
      <c r="AE132" s="91">
        <f>SUMIFS(tabela_registros[VALOR],tabela_registros[MÊS],$AE$1,tabela_registros[DIA],investirrendavariávelconsolidadojul[[#Headers],[27]],tabela_registros[REGISTRO],DADOS!$N$5,tabela_registros[TIPO],DADOS!$AB$4,tabela_registros[CATEGORIA],investirrendavariávelconsolidadojul[[#This Row],[ATUAL]])</f>
        <v>0</v>
      </c>
      <c r="AF132" s="91">
        <f>SUMIFS(tabela_registros[VALOR],tabela_registros[MÊS],$AE$1,tabela_registros[DIA],investirrendavariávelconsolidadojul[[#Headers],[28]],tabela_registros[REGISTRO],DADOS!$N$5,tabela_registros[TIPO],DADOS!$AB$4,tabela_registros[CATEGORIA],investirrendavariávelconsolidadojul[[#This Row],[ATUAL]])</f>
        <v>0</v>
      </c>
      <c r="AG132" s="91">
        <f>SUMIFS(tabela_registros[VALOR],tabela_registros[MÊS],$AE$1,tabela_registros[DIA],investirrendavariávelconsolidadojul[[#Headers],[29]],tabela_registros[REGISTRO],DADOS!$N$5,tabela_registros[TIPO],DADOS!$AB$4,tabela_registros[CATEGORIA],investirrendavariávelconsolidadojul[[#This Row],[ATUAL]])</f>
        <v>0</v>
      </c>
      <c r="AH132" s="91">
        <f>SUMIFS(tabela_registros[VALOR],tabela_registros[MÊS],$AE$1,tabela_registros[DIA],investirrendavariávelconsolidadojul[[#Headers],[30]],tabela_registros[REGISTRO],DADOS!$N$5,tabela_registros[TIPO],DADOS!$AB$4,tabela_registros[CATEGORIA],investirrendavariávelconsolidadojul[[#This Row],[ATUAL]])</f>
        <v>0</v>
      </c>
      <c r="AI132" s="101">
        <f>SUMIFS(tabela_registros[VALOR],tabela_registros[MÊS],$AE$1,tabela_registros[DIA],investirrendavariávelconsolidadojul[[#Headers],[31]],tabela_registros[REGISTRO],DADOS!$N$5,tabela_registros[TIPO],DADOS!$AB$4,tabela_registros[CATEGORIA],investirrendavariávelconsolidadojul[[#This Row],[ATUAL]])</f>
        <v>0</v>
      </c>
      <c r="AJ132" s="97">
        <f>SUM(investirrendavariávelconsolidadojul[[#This Row],[1]:[31]])</f>
        <v>0</v>
      </c>
      <c r="AK132" s="25"/>
    </row>
    <row r="133" spans="2:37" ht="19.5" customHeight="1" thickTop="1" thickBot="1" x14ac:dyDescent="0.3">
      <c r="B133" s="28"/>
      <c r="C133" s="27" t="str">
        <f>DADOS!$AF$4</f>
        <v>📝 COMÓDITE</v>
      </c>
      <c r="D133" s="26" t="str">
        <f>IF(investirrendavariávelconsolidadojul[[#This Row],[TOTAL (R$)]]=0,"",IF(OR(investirrendavariávelconsolidadojul[[#This Row],[TOTAL (R$)]]=LARGE($AJ$132:$AJ$141,1),investirrendavariávelconsolidadojul[[#This Row],[TOTAL (R$)]]=LARGE($AJ$132:$AJ$141,2)),DADOS!$I$10,""))</f>
        <v/>
      </c>
      <c r="E133" s="96">
        <f>SUMIFS(tabela_registros[VALOR],tabela_registros[MÊS],$AE$1,tabela_registros[DIA],investirrendavariávelconsolidadojul[[#Headers],[1]],tabela_registros[REGISTRO],DADOS!$N$5,tabela_registros[TIPO],DADOS!$AB$4,tabela_registros[CATEGORIA],investirrendavariávelconsolidadojul[[#This Row],[ATUAL]])</f>
        <v>0</v>
      </c>
      <c r="F133" s="91">
        <f>SUMIFS(tabela_registros[VALOR],tabela_registros[MÊS],$AE$1,tabela_registros[DIA],investirrendavariávelconsolidadojul[[#Headers],[2]],tabela_registros[REGISTRO],DADOS!$N$5,tabela_registros[TIPO],DADOS!$AB$4,tabela_registros[CATEGORIA],investirrendavariávelconsolidadojul[[#This Row],[ATUAL]])</f>
        <v>0</v>
      </c>
      <c r="G133" s="91">
        <f>SUMIFS(tabela_registros[VALOR],tabela_registros[MÊS],$AE$1,tabela_registros[DIA],investirrendavariávelconsolidadojul[[#Headers],[3]],tabela_registros[REGISTRO],DADOS!$N$5,tabela_registros[TIPO],DADOS!$AB$4,tabela_registros[CATEGORIA],investirrendavariávelconsolidadojul[[#This Row],[ATUAL]])</f>
        <v>0</v>
      </c>
      <c r="H133" s="91">
        <f>SUMIFS(tabela_registros[VALOR],tabela_registros[MÊS],$AE$1,tabela_registros[DIA],investirrendavariávelconsolidadojul[[#Headers],[4]],tabela_registros[REGISTRO],DADOS!$N$5,tabela_registros[TIPO],DADOS!$AB$4,tabela_registros[CATEGORIA],investirrendavariávelconsolidadojul[[#This Row],[ATUAL]])</f>
        <v>0</v>
      </c>
      <c r="I133" s="91">
        <f>SUMIFS(tabela_registros[VALOR],tabela_registros[MÊS],$AE$1,tabela_registros[DIA],investirrendavariávelconsolidadojul[[#Headers],[5]],tabela_registros[REGISTRO],DADOS!$N$5,tabela_registros[TIPO],DADOS!$AB$4,tabela_registros[CATEGORIA],investirrendavariávelconsolidadojul[[#This Row],[ATUAL]])</f>
        <v>0</v>
      </c>
      <c r="J133" s="91">
        <f>SUMIFS(tabela_registros[VALOR],tabela_registros[MÊS],$AE$1,tabela_registros[DIA],investirrendavariávelconsolidadojul[[#Headers],[6]],tabela_registros[REGISTRO],DADOS!$N$5,tabela_registros[TIPO],DADOS!$AB$4,tabela_registros[CATEGORIA],investirrendavariávelconsolidadojul[[#This Row],[ATUAL]])</f>
        <v>0</v>
      </c>
      <c r="K133" s="91">
        <f>SUMIFS(tabela_registros[VALOR],tabela_registros[MÊS],$AE$1,tabela_registros[DIA],investirrendavariávelconsolidadojul[[#Headers],[7]],tabela_registros[REGISTRO],DADOS!$N$5,tabela_registros[TIPO],DADOS!$AB$4,tabela_registros[CATEGORIA],investirrendavariávelconsolidadojul[[#This Row],[ATUAL]])</f>
        <v>0</v>
      </c>
      <c r="L133" s="91">
        <f>SUMIFS(tabela_registros[VALOR],tabela_registros[MÊS],$AE$1,tabela_registros[DIA],investirrendavariávelconsolidadojul[[#Headers],[8]],tabela_registros[REGISTRO],DADOS!$N$5,tabela_registros[TIPO],DADOS!$AB$4,tabela_registros[CATEGORIA],investirrendavariávelconsolidadojul[[#This Row],[ATUAL]])</f>
        <v>0</v>
      </c>
      <c r="M133" s="91">
        <f>SUMIFS(tabela_registros[VALOR],tabela_registros[MÊS],$AE$1,tabela_registros[DIA],investirrendavariávelconsolidadojul[[#Headers],[9]],tabela_registros[REGISTRO],DADOS!$N$5,tabela_registros[TIPO],DADOS!$AB$4,tabela_registros[CATEGORIA],investirrendavariávelconsolidadojul[[#This Row],[ATUAL]])</f>
        <v>0</v>
      </c>
      <c r="N133" s="91">
        <f>SUMIFS(tabela_registros[VALOR],tabela_registros[MÊS],$AE$1,tabela_registros[DIA],investirrendavariávelconsolidadojul[[#Headers],[10]],tabela_registros[REGISTRO],DADOS!$N$5,tabela_registros[TIPO],DADOS!$AB$4,tabela_registros[CATEGORIA],investirrendavariávelconsolidadojul[[#This Row],[ATUAL]])</f>
        <v>0</v>
      </c>
      <c r="O133" s="91">
        <f>SUMIFS(tabela_registros[VALOR],tabela_registros[MÊS],$AE$1,tabela_registros[DIA],investirrendavariávelconsolidadojul[[#Headers],[11]],tabela_registros[REGISTRO],DADOS!$N$5,tabela_registros[TIPO],DADOS!$AB$4,tabela_registros[CATEGORIA],investirrendavariávelconsolidadojul[[#This Row],[ATUAL]])</f>
        <v>0</v>
      </c>
      <c r="P133" s="91">
        <f>SUMIFS(tabela_registros[VALOR],tabela_registros[MÊS],$AE$1,tabela_registros[DIA],investirrendavariávelconsolidadojul[[#Headers],[12]],tabela_registros[REGISTRO],DADOS!$N$5,tabela_registros[TIPO],DADOS!$AB$4,tabela_registros[CATEGORIA],investirrendavariávelconsolidadojul[[#This Row],[ATUAL]])</f>
        <v>0</v>
      </c>
      <c r="Q133" s="91">
        <f>SUMIFS(tabela_registros[VALOR],tabela_registros[MÊS],$AE$1,tabela_registros[DIA],investirrendavariávelconsolidadojul[[#Headers],[13]],tabela_registros[REGISTRO],DADOS!$N$5,tabela_registros[TIPO],DADOS!$AB$4,tabela_registros[CATEGORIA],investirrendavariávelconsolidadojul[[#This Row],[ATUAL]])</f>
        <v>0</v>
      </c>
      <c r="R133" s="91">
        <f>SUMIFS(tabela_registros[VALOR],tabela_registros[MÊS],$AE$1,tabela_registros[DIA],investirrendavariávelconsolidadojul[[#Headers],[14]],tabela_registros[REGISTRO],DADOS!$N$5,tabela_registros[TIPO],DADOS!$AB$4,tabela_registros[CATEGORIA],investirrendavariávelconsolidadojul[[#This Row],[ATUAL]])</f>
        <v>0</v>
      </c>
      <c r="S133" s="91">
        <f>SUMIFS(tabela_registros[VALOR],tabela_registros[MÊS],$AE$1,tabela_registros[DIA],investirrendavariávelconsolidadojul[[#Headers],[15]],tabela_registros[REGISTRO],DADOS!$N$5,tabela_registros[TIPO],DADOS!$AB$4,tabela_registros[CATEGORIA],investirrendavariávelconsolidadojul[[#This Row],[ATUAL]])</f>
        <v>0</v>
      </c>
      <c r="T133" s="91">
        <f>SUMIFS(tabela_registros[VALOR],tabela_registros[MÊS],$AE$1,tabela_registros[DIA],investirrendavariávelconsolidadojul[[#Headers],[16]],tabela_registros[REGISTRO],DADOS!$N$5,tabela_registros[TIPO],DADOS!$AB$4,tabela_registros[CATEGORIA],investirrendavariávelconsolidadojul[[#This Row],[ATUAL]])</f>
        <v>0</v>
      </c>
      <c r="U133" s="91">
        <f>SUMIFS(tabela_registros[VALOR],tabela_registros[MÊS],$AE$1,tabela_registros[DIA],investirrendavariávelconsolidadojul[[#Headers],[17]],tabela_registros[REGISTRO],DADOS!$N$5,tabela_registros[TIPO],DADOS!$AB$4,tabela_registros[CATEGORIA],investirrendavariávelconsolidadojul[[#This Row],[ATUAL]])</f>
        <v>0</v>
      </c>
      <c r="V133" s="91">
        <f>SUMIFS(tabela_registros[VALOR],tabela_registros[MÊS],$AE$1,tabela_registros[DIA],investirrendavariávelconsolidadojul[[#Headers],[18]],tabela_registros[REGISTRO],DADOS!$N$5,tabela_registros[TIPO],DADOS!$AB$4,tabela_registros[CATEGORIA],investirrendavariávelconsolidadojul[[#This Row],[ATUAL]])</f>
        <v>0</v>
      </c>
      <c r="W133" s="91">
        <f>SUMIFS(tabela_registros[VALOR],tabela_registros[MÊS],$AE$1,tabela_registros[DIA],investirrendavariávelconsolidadojul[[#Headers],[19]],tabela_registros[REGISTRO],DADOS!$N$5,tabela_registros[TIPO],DADOS!$AB$4,tabela_registros[CATEGORIA],investirrendavariávelconsolidadojul[[#This Row],[ATUAL]])</f>
        <v>0</v>
      </c>
      <c r="X133" s="91">
        <f>SUMIFS(tabela_registros[VALOR],tabela_registros[MÊS],$AE$1,tabela_registros[DIA],investirrendavariávelconsolidadojul[[#Headers],[20]],tabela_registros[REGISTRO],DADOS!$N$5,tabela_registros[TIPO],DADOS!$AB$4,tabela_registros[CATEGORIA],investirrendavariávelconsolidadojul[[#This Row],[ATUAL]])</f>
        <v>0</v>
      </c>
      <c r="Y133" s="91">
        <f>SUMIFS(tabela_registros[VALOR],tabela_registros[MÊS],$AE$1,tabela_registros[DIA],investirrendavariávelconsolidadojul[[#Headers],[21]],tabela_registros[REGISTRO],DADOS!$N$5,tabela_registros[TIPO],DADOS!$AB$4,tabela_registros[CATEGORIA],investirrendavariávelconsolidadojul[[#This Row],[ATUAL]])</f>
        <v>0</v>
      </c>
      <c r="Z133" s="91">
        <f>SUMIFS(tabela_registros[VALOR],tabela_registros[MÊS],$AE$1,tabela_registros[DIA],investirrendavariávelconsolidadojul[[#Headers],[22]],tabela_registros[REGISTRO],DADOS!$N$5,tabela_registros[TIPO],DADOS!$AB$4,tabela_registros[CATEGORIA],investirrendavariávelconsolidadojul[[#This Row],[ATUAL]])</f>
        <v>0</v>
      </c>
      <c r="AA133" s="91">
        <f>SUMIFS(tabela_registros[VALOR],tabela_registros[MÊS],$AE$1,tabela_registros[DIA],investirrendavariávelconsolidadojul[[#Headers],[23]],tabela_registros[REGISTRO],DADOS!$N$5,tabela_registros[TIPO],DADOS!$AB$4,tabela_registros[CATEGORIA],investirrendavariávelconsolidadojul[[#This Row],[ATUAL]])</f>
        <v>0</v>
      </c>
      <c r="AB133" s="91">
        <f>SUMIFS(tabela_registros[VALOR],tabela_registros[MÊS],$AE$1,tabela_registros[DIA],investirrendavariávelconsolidadojul[[#Headers],[24]],tabela_registros[REGISTRO],DADOS!$N$5,tabela_registros[TIPO],DADOS!$AB$4,tabela_registros[CATEGORIA],investirrendavariávelconsolidadojul[[#This Row],[ATUAL]])</f>
        <v>0</v>
      </c>
      <c r="AC133" s="91">
        <f>SUMIFS(tabela_registros[VALOR],tabela_registros[MÊS],$AE$1,tabela_registros[DIA],investirrendavariávelconsolidadojul[[#Headers],[25]],tabela_registros[REGISTRO],DADOS!$N$5,tabela_registros[TIPO],DADOS!$AB$4,tabela_registros[CATEGORIA],investirrendavariávelconsolidadojul[[#This Row],[ATUAL]])</f>
        <v>0</v>
      </c>
      <c r="AD133" s="91">
        <f>SUMIFS(tabela_registros[VALOR],tabela_registros[MÊS],$AE$1,tabela_registros[DIA],investirrendavariávelconsolidadojul[[#Headers],[26]],tabela_registros[REGISTRO],DADOS!$N$5,tabela_registros[TIPO],DADOS!$AB$4,tabela_registros[CATEGORIA],investirrendavariávelconsolidadojul[[#This Row],[ATUAL]])</f>
        <v>0</v>
      </c>
      <c r="AE133" s="91">
        <f>SUMIFS(tabela_registros[VALOR],tabela_registros[MÊS],$AE$1,tabela_registros[DIA],investirrendavariávelconsolidadojul[[#Headers],[27]],tabela_registros[REGISTRO],DADOS!$N$5,tabela_registros[TIPO],DADOS!$AB$4,tabela_registros[CATEGORIA],investirrendavariávelconsolidadojul[[#This Row],[ATUAL]])</f>
        <v>0</v>
      </c>
      <c r="AF133" s="91">
        <f>SUMIFS(tabela_registros[VALOR],tabela_registros[MÊS],$AE$1,tabela_registros[DIA],investirrendavariávelconsolidadojul[[#Headers],[28]],tabela_registros[REGISTRO],DADOS!$N$5,tabela_registros[TIPO],DADOS!$AB$4,tabela_registros[CATEGORIA],investirrendavariávelconsolidadojul[[#This Row],[ATUAL]])</f>
        <v>0</v>
      </c>
      <c r="AG133" s="91">
        <f>SUMIFS(tabela_registros[VALOR],tabela_registros[MÊS],$AE$1,tabela_registros[DIA],investirrendavariávelconsolidadojul[[#Headers],[29]],tabela_registros[REGISTRO],DADOS!$N$5,tabela_registros[TIPO],DADOS!$AB$4,tabela_registros[CATEGORIA],investirrendavariávelconsolidadojul[[#This Row],[ATUAL]])</f>
        <v>0</v>
      </c>
      <c r="AH133" s="91">
        <f>SUMIFS(tabela_registros[VALOR],tabela_registros[MÊS],$AE$1,tabela_registros[DIA],investirrendavariávelconsolidadojul[[#Headers],[30]],tabela_registros[REGISTRO],DADOS!$N$5,tabela_registros[TIPO],DADOS!$AB$4,tabela_registros[CATEGORIA],investirrendavariávelconsolidadojul[[#This Row],[ATUAL]])</f>
        <v>0</v>
      </c>
      <c r="AI133" s="101">
        <f>SUMIFS(tabela_registros[VALOR],tabela_registros[MÊS],$AE$1,tabela_registros[DIA],investirrendavariávelconsolidadojul[[#Headers],[31]],tabela_registros[REGISTRO],DADOS!$N$5,tabela_registros[TIPO],DADOS!$AB$4,tabela_registros[CATEGORIA],investirrendavariávelconsolidadojul[[#This Row],[ATUAL]])</f>
        <v>0</v>
      </c>
      <c r="AJ133" s="97">
        <f>SUM(investirrendavariávelconsolidadojul[[#This Row],[1]:[31]])</f>
        <v>0</v>
      </c>
      <c r="AK133" s="25"/>
    </row>
    <row r="134" spans="2:37" ht="19.5" customHeight="1" thickTop="1" thickBot="1" x14ac:dyDescent="0.3">
      <c r="B134" s="28"/>
      <c r="C134" s="27" t="str">
        <f>DADOS!$AF$5</f>
        <v>📝 CONTRATO DE FUTUROS</v>
      </c>
      <c r="D134" s="26" t="str">
        <f>IF(investirrendavariávelconsolidadojul[[#This Row],[TOTAL (R$)]]=0,"",IF(OR(investirrendavariávelconsolidadojul[[#This Row],[TOTAL (R$)]]=LARGE($AJ$132:$AJ$141,1),investirrendavariávelconsolidadojul[[#This Row],[TOTAL (R$)]]=LARGE($AJ$132:$AJ$141,2)),DADOS!$I$10,""))</f>
        <v/>
      </c>
      <c r="E134" s="96">
        <f>SUMIFS(tabela_registros[VALOR],tabela_registros[MÊS],$AE$1,tabela_registros[DIA],investirrendavariávelconsolidadojul[[#Headers],[1]],tabela_registros[REGISTRO],DADOS!$N$5,tabela_registros[TIPO],DADOS!$AB$4,tabela_registros[CATEGORIA],investirrendavariávelconsolidadojul[[#This Row],[ATUAL]])</f>
        <v>0</v>
      </c>
      <c r="F134" s="91">
        <f>SUMIFS(tabela_registros[VALOR],tabela_registros[MÊS],$AE$1,tabela_registros[DIA],investirrendavariávelconsolidadojul[[#Headers],[2]],tabela_registros[REGISTRO],DADOS!$N$5,tabela_registros[TIPO],DADOS!$AB$4,tabela_registros[CATEGORIA],investirrendavariávelconsolidadojul[[#This Row],[ATUAL]])</f>
        <v>0</v>
      </c>
      <c r="G134" s="91">
        <f>SUMIFS(tabela_registros[VALOR],tabela_registros[MÊS],$AE$1,tabela_registros[DIA],investirrendavariávelconsolidadojul[[#Headers],[3]],tabela_registros[REGISTRO],DADOS!$N$5,tabela_registros[TIPO],DADOS!$AB$4,tabela_registros[CATEGORIA],investirrendavariávelconsolidadojul[[#This Row],[ATUAL]])</f>
        <v>0</v>
      </c>
      <c r="H134" s="91">
        <f>SUMIFS(tabela_registros[VALOR],tabela_registros[MÊS],$AE$1,tabela_registros[DIA],investirrendavariávelconsolidadojul[[#Headers],[4]],tabela_registros[REGISTRO],DADOS!$N$5,tabela_registros[TIPO],DADOS!$AB$4,tabela_registros[CATEGORIA],investirrendavariávelconsolidadojul[[#This Row],[ATUAL]])</f>
        <v>0</v>
      </c>
      <c r="I134" s="91">
        <f>SUMIFS(tabela_registros[VALOR],tabela_registros[MÊS],$AE$1,tabela_registros[DIA],investirrendavariávelconsolidadojul[[#Headers],[5]],tabela_registros[REGISTRO],DADOS!$N$5,tabela_registros[TIPO],DADOS!$AB$4,tabela_registros[CATEGORIA],investirrendavariávelconsolidadojul[[#This Row],[ATUAL]])</f>
        <v>0</v>
      </c>
      <c r="J134" s="91">
        <f>SUMIFS(tabela_registros[VALOR],tabela_registros[MÊS],$AE$1,tabela_registros[DIA],investirrendavariávelconsolidadojul[[#Headers],[6]],tabela_registros[REGISTRO],DADOS!$N$5,tabela_registros[TIPO],DADOS!$AB$4,tabela_registros[CATEGORIA],investirrendavariávelconsolidadojul[[#This Row],[ATUAL]])</f>
        <v>0</v>
      </c>
      <c r="K134" s="91">
        <f>SUMIFS(tabela_registros[VALOR],tabela_registros[MÊS],$AE$1,tabela_registros[DIA],investirrendavariávelconsolidadojul[[#Headers],[7]],tabela_registros[REGISTRO],DADOS!$N$5,tabela_registros[TIPO],DADOS!$AB$4,tabela_registros[CATEGORIA],investirrendavariávelconsolidadojul[[#This Row],[ATUAL]])</f>
        <v>0</v>
      </c>
      <c r="L134" s="91">
        <f>SUMIFS(tabela_registros[VALOR],tabela_registros[MÊS],$AE$1,tabela_registros[DIA],investirrendavariávelconsolidadojul[[#Headers],[8]],tabela_registros[REGISTRO],DADOS!$N$5,tabela_registros[TIPO],DADOS!$AB$4,tabela_registros[CATEGORIA],investirrendavariávelconsolidadojul[[#This Row],[ATUAL]])</f>
        <v>0</v>
      </c>
      <c r="M134" s="91">
        <f>SUMIFS(tabela_registros[VALOR],tabela_registros[MÊS],$AE$1,tabela_registros[DIA],investirrendavariávelconsolidadojul[[#Headers],[9]],tabela_registros[REGISTRO],DADOS!$N$5,tabela_registros[TIPO],DADOS!$AB$4,tabela_registros[CATEGORIA],investirrendavariávelconsolidadojul[[#This Row],[ATUAL]])</f>
        <v>0</v>
      </c>
      <c r="N134" s="91">
        <f>SUMIFS(tabela_registros[VALOR],tabela_registros[MÊS],$AE$1,tabela_registros[DIA],investirrendavariávelconsolidadojul[[#Headers],[10]],tabela_registros[REGISTRO],DADOS!$N$5,tabela_registros[TIPO],DADOS!$AB$4,tabela_registros[CATEGORIA],investirrendavariávelconsolidadojul[[#This Row],[ATUAL]])</f>
        <v>0</v>
      </c>
      <c r="O134" s="91">
        <f>SUMIFS(tabela_registros[VALOR],tabela_registros[MÊS],$AE$1,tabela_registros[DIA],investirrendavariávelconsolidadojul[[#Headers],[11]],tabela_registros[REGISTRO],DADOS!$N$5,tabela_registros[TIPO],DADOS!$AB$4,tabela_registros[CATEGORIA],investirrendavariávelconsolidadojul[[#This Row],[ATUAL]])</f>
        <v>0</v>
      </c>
      <c r="P134" s="91">
        <f>SUMIFS(tabela_registros[VALOR],tabela_registros[MÊS],$AE$1,tabela_registros[DIA],investirrendavariávelconsolidadojul[[#Headers],[12]],tabela_registros[REGISTRO],DADOS!$N$5,tabela_registros[TIPO],DADOS!$AB$4,tabela_registros[CATEGORIA],investirrendavariávelconsolidadojul[[#This Row],[ATUAL]])</f>
        <v>0</v>
      </c>
      <c r="Q134" s="91">
        <f>SUMIFS(tabela_registros[VALOR],tabela_registros[MÊS],$AE$1,tabela_registros[DIA],investirrendavariávelconsolidadojul[[#Headers],[13]],tabela_registros[REGISTRO],DADOS!$N$5,tabela_registros[TIPO],DADOS!$AB$4,tabela_registros[CATEGORIA],investirrendavariávelconsolidadojul[[#This Row],[ATUAL]])</f>
        <v>0</v>
      </c>
      <c r="R134" s="91">
        <f>SUMIFS(tabela_registros[VALOR],tabela_registros[MÊS],$AE$1,tabela_registros[DIA],investirrendavariávelconsolidadojul[[#Headers],[14]],tabela_registros[REGISTRO],DADOS!$N$5,tabela_registros[TIPO],DADOS!$AB$4,tabela_registros[CATEGORIA],investirrendavariávelconsolidadojul[[#This Row],[ATUAL]])</f>
        <v>0</v>
      </c>
      <c r="S134" s="91">
        <f>SUMIFS(tabela_registros[VALOR],tabela_registros[MÊS],$AE$1,tabela_registros[DIA],investirrendavariávelconsolidadojul[[#Headers],[15]],tabela_registros[REGISTRO],DADOS!$N$5,tabela_registros[TIPO],DADOS!$AB$4,tabela_registros[CATEGORIA],investirrendavariávelconsolidadojul[[#This Row],[ATUAL]])</f>
        <v>0</v>
      </c>
      <c r="T134" s="91">
        <f>SUMIFS(tabela_registros[VALOR],tabela_registros[MÊS],$AE$1,tabela_registros[DIA],investirrendavariávelconsolidadojul[[#Headers],[16]],tabela_registros[REGISTRO],DADOS!$N$5,tabela_registros[TIPO],DADOS!$AB$4,tabela_registros[CATEGORIA],investirrendavariávelconsolidadojul[[#This Row],[ATUAL]])</f>
        <v>0</v>
      </c>
      <c r="U134" s="91">
        <f>SUMIFS(tabela_registros[VALOR],tabela_registros[MÊS],$AE$1,tabela_registros[DIA],investirrendavariávelconsolidadojul[[#Headers],[17]],tabela_registros[REGISTRO],DADOS!$N$5,tabela_registros[TIPO],DADOS!$AB$4,tabela_registros[CATEGORIA],investirrendavariávelconsolidadojul[[#This Row],[ATUAL]])</f>
        <v>0</v>
      </c>
      <c r="V134" s="91">
        <f>SUMIFS(tabela_registros[VALOR],tabela_registros[MÊS],$AE$1,tabela_registros[DIA],investirrendavariávelconsolidadojul[[#Headers],[18]],tabela_registros[REGISTRO],DADOS!$N$5,tabela_registros[TIPO],DADOS!$AB$4,tabela_registros[CATEGORIA],investirrendavariávelconsolidadojul[[#This Row],[ATUAL]])</f>
        <v>0</v>
      </c>
      <c r="W134" s="91">
        <f>SUMIFS(tabela_registros[VALOR],tabela_registros[MÊS],$AE$1,tabela_registros[DIA],investirrendavariávelconsolidadojul[[#Headers],[19]],tabela_registros[REGISTRO],DADOS!$N$5,tabela_registros[TIPO],DADOS!$AB$4,tabela_registros[CATEGORIA],investirrendavariávelconsolidadojul[[#This Row],[ATUAL]])</f>
        <v>0</v>
      </c>
      <c r="X134" s="91">
        <f>SUMIFS(tabela_registros[VALOR],tabela_registros[MÊS],$AE$1,tabela_registros[DIA],investirrendavariávelconsolidadojul[[#Headers],[20]],tabela_registros[REGISTRO],DADOS!$N$5,tabela_registros[TIPO],DADOS!$AB$4,tabela_registros[CATEGORIA],investirrendavariávelconsolidadojul[[#This Row],[ATUAL]])</f>
        <v>0</v>
      </c>
      <c r="Y134" s="91">
        <f>SUMIFS(tabela_registros[VALOR],tabela_registros[MÊS],$AE$1,tabela_registros[DIA],investirrendavariávelconsolidadojul[[#Headers],[21]],tabela_registros[REGISTRO],DADOS!$N$5,tabela_registros[TIPO],DADOS!$AB$4,tabela_registros[CATEGORIA],investirrendavariávelconsolidadojul[[#This Row],[ATUAL]])</f>
        <v>0</v>
      </c>
      <c r="Z134" s="91">
        <f>SUMIFS(tabela_registros[VALOR],tabela_registros[MÊS],$AE$1,tabela_registros[DIA],investirrendavariávelconsolidadojul[[#Headers],[22]],tabela_registros[REGISTRO],DADOS!$N$5,tabela_registros[TIPO],DADOS!$AB$4,tabela_registros[CATEGORIA],investirrendavariávelconsolidadojul[[#This Row],[ATUAL]])</f>
        <v>0</v>
      </c>
      <c r="AA134" s="91">
        <f>SUMIFS(tabela_registros[VALOR],tabela_registros[MÊS],$AE$1,tabela_registros[DIA],investirrendavariávelconsolidadojul[[#Headers],[23]],tabela_registros[REGISTRO],DADOS!$N$5,tabela_registros[TIPO],DADOS!$AB$4,tabela_registros[CATEGORIA],investirrendavariávelconsolidadojul[[#This Row],[ATUAL]])</f>
        <v>0</v>
      </c>
      <c r="AB134" s="91">
        <f>SUMIFS(tabela_registros[VALOR],tabela_registros[MÊS],$AE$1,tabela_registros[DIA],investirrendavariávelconsolidadojul[[#Headers],[24]],tabela_registros[REGISTRO],DADOS!$N$5,tabela_registros[TIPO],DADOS!$AB$4,tabela_registros[CATEGORIA],investirrendavariávelconsolidadojul[[#This Row],[ATUAL]])</f>
        <v>0</v>
      </c>
      <c r="AC134" s="91">
        <f>SUMIFS(tabela_registros[VALOR],tabela_registros[MÊS],$AE$1,tabela_registros[DIA],investirrendavariávelconsolidadojul[[#Headers],[25]],tabela_registros[REGISTRO],DADOS!$N$5,tabela_registros[TIPO],DADOS!$AB$4,tabela_registros[CATEGORIA],investirrendavariávelconsolidadojul[[#This Row],[ATUAL]])</f>
        <v>0</v>
      </c>
      <c r="AD134" s="91">
        <f>SUMIFS(tabela_registros[VALOR],tabela_registros[MÊS],$AE$1,tabela_registros[DIA],investirrendavariávelconsolidadojul[[#Headers],[26]],tabela_registros[REGISTRO],DADOS!$N$5,tabela_registros[TIPO],DADOS!$AB$4,tabela_registros[CATEGORIA],investirrendavariávelconsolidadojul[[#This Row],[ATUAL]])</f>
        <v>0</v>
      </c>
      <c r="AE134" s="91">
        <f>SUMIFS(tabela_registros[VALOR],tabela_registros[MÊS],$AE$1,tabela_registros[DIA],investirrendavariávelconsolidadojul[[#Headers],[27]],tabela_registros[REGISTRO],DADOS!$N$5,tabela_registros[TIPO],DADOS!$AB$4,tabela_registros[CATEGORIA],investirrendavariávelconsolidadojul[[#This Row],[ATUAL]])</f>
        <v>0</v>
      </c>
      <c r="AF134" s="91">
        <f>SUMIFS(tabela_registros[VALOR],tabela_registros[MÊS],$AE$1,tabela_registros[DIA],investirrendavariávelconsolidadojul[[#Headers],[28]],tabela_registros[REGISTRO],DADOS!$N$5,tabela_registros[TIPO],DADOS!$AB$4,tabela_registros[CATEGORIA],investirrendavariávelconsolidadojul[[#This Row],[ATUAL]])</f>
        <v>0</v>
      </c>
      <c r="AG134" s="91">
        <f>SUMIFS(tabela_registros[VALOR],tabela_registros[MÊS],$AE$1,tabela_registros[DIA],investirrendavariávelconsolidadojul[[#Headers],[29]],tabela_registros[REGISTRO],DADOS!$N$5,tabela_registros[TIPO],DADOS!$AB$4,tabela_registros[CATEGORIA],investirrendavariávelconsolidadojul[[#This Row],[ATUAL]])</f>
        <v>0</v>
      </c>
      <c r="AH134" s="91">
        <f>SUMIFS(tabela_registros[VALOR],tabela_registros[MÊS],$AE$1,tabela_registros[DIA],investirrendavariávelconsolidadojul[[#Headers],[30]],tabela_registros[REGISTRO],DADOS!$N$5,tabela_registros[TIPO],DADOS!$AB$4,tabela_registros[CATEGORIA],investirrendavariávelconsolidadojul[[#This Row],[ATUAL]])</f>
        <v>0</v>
      </c>
      <c r="AI134" s="101">
        <f>SUMIFS(tabela_registros[VALOR],tabela_registros[MÊS],$AE$1,tabela_registros[DIA],investirrendavariávelconsolidadojul[[#Headers],[31]],tabela_registros[REGISTRO],DADOS!$N$5,tabela_registros[TIPO],DADOS!$AB$4,tabela_registros[CATEGORIA],investirrendavariávelconsolidadojul[[#This Row],[ATUAL]])</f>
        <v>0</v>
      </c>
      <c r="AJ134" s="97">
        <f>SUM(investirrendavariávelconsolidadojul[[#This Row],[1]:[31]])</f>
        <v>0</v>
      </c>
      <c r="AK134" s="25"/>
    </row>
    <row r="135" spans="2:37" ht="19.5" customHeight="1" thickTop="1" thickBot="1" x14ac:dyDescent="0.3">
      <c r="B135" s="28"/>
      <c r="C135" s="27" t="str">
        <f>DADOS!$AF$6</f>
        <v>📝 CONTRATO DE OPÇÕES</v>
      </c>
      <c r="D135" s="26" t="str">
        <f>IF(investirrendavariávelconsolidadojul[[#This Row],[TOTAL (R$)]]=0,"",IF(OR(investirrendavariávelconsolidadojul[[#This Row],[TOTAL (R$)]]=LARGE($AJ$132:$AJ$141,1),investirrendavariávelconsolidadojul[[#This Row],[TOTAL (R$)]]=LARGE($AJ$132:$AJ$141,2)),DADOS!$I$10,""))</f>
        <v/>
      </c>
      <c r="E135" s="96">
        <f>SUMIFS(tabela_registros[VALOR],tabela_registros[MÊS],$AE$1,tabela_registros[DIA],investirrendavariávelconsolidadojul[[#Headers],[1]],tabela_registros[REGISTRO],DADOS!$N$5,tabela_registros[TIPO],DADOS!$AB$4,tabela_registros[CATEGORIA],investirrendavariávelconsolidadojul[[#This Row],[ATUAL]])</f>
        <v>0</v>
      </c>
      <c r="F135" s="91">
        <f>SUMIFS(tabela_registros[VALOR],tabela_registros[MÊS],$AE$1,tabela_registros[DIA],investirrendavariávelconsolidadojul[[#Headers],[2]],tabela_registros[REGISTRO],DADOS!$N$5,tabela_registros[TIPO],DADOS!$AB$4,tabela_registros[CATEGORIA],investirrendavariávelconsolidadojul[[#This Row],[ATUAL]])</f>
        <v>0</v>
      </c>
      <c r="G135" s="91">
        <f>SUMIFS(tabela_registros[VALOR],tabela_registros[MÊS],$AE$1,tabela_registros[DIA],investirrendavariávelconsolidadojul[[#Headers],[3]],tabela_registros[REGISTRO],DADOS!$N$5,tabela_registros[TIPO],DADOS!$AB$4,tabela_registros[CATEGORIA],investirrendavariávelconsolidadojul[[#This Row],[ATUAL]])</f>
        <v>0</v>
      </c>
      <c r="H135" s="91">
        <f>SUMIFS(tabela_registros[VALOR],tabela_registros[MÊS],$AE$1,tabela_registros[DIA],investirrendavariávelconsolidadojul[[#Headers],[4]],tabela_registros[REGISTRO],DADOS!$N$5,tabela_registros[TIPO],DADOS!$AB$4,tabela_registros[CATEGORIA],investirrendavariávelconsolidadojul[[#This Row],[ATUAL]])</f>
        <v>0</v>
      </c>
      <c r="I135" s="91">
        <f>SUMIFS(tabela_registros[VALOR],tabela_registros[MÊS],$AE$1,tabela_registros[DIA],investirrendavariávelconsolidadojul[[#Headers],[5]],tabela_registros[REGISTRO],DADOS!$N$5,tabela_registros[TIPO],DADOS!$AB$4,tabela_registros[CATEGORIA],investirrendavariávelconsolidadojul[[#This Row],[ATUAL]])</f>
        <v>0</v>
      </c>
      <c r="J135" s="91">
        <f>SUMIFS(tabela_registros[VALOR],tabela_registros[MÊS],$AE$1,tabela_registros[DIA],investirrendavariávelconsolidadojul[[#Headers],[6]],tabela_registros[REGISTRO],DADOS!$N$5,tabela_registros[TIPO],DADOS!$AB$4,tabela_registros[CATEGORIA],investirrendavariávelconsolidadojul[[#This Row],[ATUAL]])</f>
        <v>0</v>
      </c>
      <c r="K135" s="91">
        <f>SUMIFS(tabela_registros[VALOR],tabela_registros[MÊS],$AE$1,tabela_registros[DIA],investirrendavariávelconsolidadojul[[#Headers],[7]],tabela_registros[REGISTRO],DADOS!$N$5,tabela_registros[TIPO],DADOS!$AB$4,tabela_registros[CATEGORIA],investirrendavariávelconsolidadojul[[#This Row],[ATUAL]])</f>
        <v>0</v>
      </c>
      <c r="L135" s="91">
        <f>SUMIFS(tabela_registros[VALOR],tabela_registros[MÊS],$AE$1,tabela_registros[DIA],investirrendavariávelconsolidadojul[[#Headers],[8]],tabela_registros[REGISTRO],DADOS!$N$5,tabela_registros[TIPO],DADOS!$AB$4,tabela_registros[CATEGORIA],investirrendavariávelconsolidadojul[[#This Row],[ATUAL]])</f>
        <v>0</v>
      </c>
      <c r="M135" s="91">
        <f>SUMIFS(tabela_registros[VALOR],tabela_registros[MÊS],$AE$1,tabela_registros[DIA],investirrendavariávelconsolidadojul[[#Headers],[9]],tabela_registros[REGISTRO],DADOS!$N$5,tabela_registros[TIPO],DADOS!$AB$4,tabela_registros[CATEGORIA],investirrendavariávelconsolidadojul[[#This Row],[ATUAL]])</f>
        <v>0</v>
      </c>
      <c r="N135" s="91">
        <f>SUMIFS(tabela_registros[VALOR],tabela_registros[MÊS],$AE$1,tabela_registros[DIA],investirrendavariávelconsolidadojul[[#Headers],[10]],tabela_registros[REGISTRO],DADOS!$N$5,tabela_registros[TIPO],DADOS!$AB$4,tabela_registros[CATEGORIA],investirrendavariávelconsolidadojul[[#This Row],[ATUAL]])</f>
        <v>0</v>
      </c>
      <c r="O135" s="91">
        <f>SUMIFS(tabela_registros[VALOR],tabela_registros[MÊS],$AE$1,tabela_registros[DIA],investirrendavariávelconsolidadojul[[#Headers],[11]],tabela_registros[REGISTRO],DADOS!$N$5,tabela_registros[TIPO],DADOS!$AB$4,tabela_registros[CATEGORIA],investirrendavariávelconsolidadojul[[#This Row],[ATUAL]])</f>
        <v>0</v>
      </c>
      <c r="P135" s="91">
        <f>SUMIFS(tabela_registros[VALOR],tabela_registros[MÊS],$AE$1,tabela_registros[DIA],investirrendavariávelconsolidadojul[[#Headers],[12]],tabela_registros[REGISTRO],DADOS!$N$5,tabela_registros[TIPO],DADOS!$AB$4,tabela_registros[CATEGORIA],investirrendavariávelconsolidadojul[[#This Row],[ATUAL]])</f>
        <v>0</v>
      </c>
      <c r="Q135" s="91">
        <f>SUMIFS(tabela_registros[VALOR],tabela_registros[MÊS],$AE$1,tabela_registros[DIA],investirrendavariávelconsolidadojul[[#Headers],[13]],tabela_registros[REGISTRO],DADOS!$N$5,tabela_registros[TIPO],DADOS!$AB$4,tabela_registros[CATEGORIA],investirrendavariávelconsolidadojul[[#This Row],[ATUAL]])</f>
        <v>0</v>
      </c>
      <c r="R135" s="91">
        <f>SUMIFS(tabela_registros[VALOR],tabela_registros[MÊS],$AE$1,tabela_registros[DIA],investirrendavariávelconsolidadojul[[#Headers],[14]],tabela_registros[REGISTRO],DADOS!$N$5,tabela_registros[TIPO],DADOS!$AB$4,tabela_registros[CATEGORIA],investirrendavariávelconsolidadojul[[#This Row],[ATUAL]])</f>
        <v>0</v>
      </c>
      <c r="S135" s="91">
        <f>SUMIFS(tabela_registros[VALOR],tabela_registros[MÊS],$AE$1,tabela_registros[DIA],investirrendavariávelconsolidadojul[[#Headers],[15]],tabela_registros[REGISTRO],DADOS!$N$5,tabela_registros[TIPO],DADOS!$AB$4,tabela_registros[CATEGORIA],investirrendavariávelconsolidadojul[[#This Row],[ATUAL]])</f>
        <v>0</v>
      </c>
      <c r="T135" s="91">
        <f>SUMIFS(tabela_registros[VALOR],tabela_registros[MÊS],$AE$1,tabela_registros[DIA],investirrendavariávelconsolidadojul[[#Headers],[16]],tabela_registros[REGISTRO],DADOS!$N$5,tabela_registros[TIPO],DADOS!$AB$4,tabela_registros[CATEGORIA],investirrendavariávelconsolidadojul[[#This Row],[ATUAL]])</f>
        <v>0</v>
      </c>
      <c r="U135" s="91">
        <f>SUMIFS(tabela_registros[VALOR],tabela_registros[MÊS],$AE$1,tabela_registros[DIA],investirrendavariávelconsolidadojul[[#Headers],[17]],tabela_registros[REGISTRO],DADOS!$N$5,tabela_registros[TIPO],DADOS!$AB$4,tabela_registros[CATEGORIA],investirrendavariávelconsolidadojul[[#This Row],[ATUAL]])</f>
        <v>0</v>
      </c>
      <c r="V135" s="91">
        <f>SUMIFS(tabela_registros[VALOR],tabela_registros[MÊS],$AE$1,tabela_registros[DIA],investirrendavariávelconsolidadojul[[#Headers],[18]],tabela_registros[REGISTRO],DADOS!$N$5,tabela_registros[TIPO],DADOS!$AB$4,tabela_registros[CATEGORIA],investirrendavariávelconsolidadojul[[#This Row],[ATUAL]])</f>
        <v>0</v>
      </c>
      <c r="W135" s="91">
        <f>SUMIFS(tabela_registros[VALOR],tabela_registros[MÊS],$AE$1,tabela_registros[DIA],investirrendavariávelconsolidadojul[[#Headers],[19]],tabela_registros[REGISTRO],DADOS!$N$5,tabela_registros[TIPO],DADOS!$AB$4,tabela_registros[CATEGORIA],investirrendavariávelconsolidadojul[[#This Row],[ATUAL]])</f>
        <v>0</v>
      </c>
      <c r="X135" s="91">
        <f>SUMIFS(tabela_registros[VALOR],tabela_registros[MÊS],$AE$1,tabela_registros[DIA],investirrendavariávelconsolidadojul[[#Headers],[20]],tabela_registros[REGISTRO],DADOS!$N$5,tabela_registros[TIPO],DADOS!$AB$4,tabela_registros[CATEGORIA],investirrendavariávelconsolidadojul[[#This Row],[ATUAL]])</f>
        <v>0</v>
      </c>
      <c r="Y135" s="91">
        <f>SUMIFS(tabela_registros[VALOR],tabela_registros[MÊS],$AE$1,tabela_registros[DIA],investirrendavariávelconsolidadojul[[#Headers],[21]],tabela_registros[REGISTRO],DADOS!$N$5,tabela_registros[TIPO],DADOS!$AB$4,tabela_registros[CATEGORIA],investirrendavariávelconsolidadojul[[#This Row],[ATUAL]])</f>
        <v>0</v>
      </c>
      <c r="Z135" s="91">
        <f>SUMIFS(tabela_registros[VALOR],tabela_registros[MÊS],$AE$1,tabela_registros[DIA],investirrendavariávelconsolidadojul[[#Headers],[22]],tabela_registros[REGISTRO],DADOS!$N$5,tabela_registros[TIPO],DADOS!$AB$4,tabela_registros[CATEGORIA],investirrendavariávelconsolidadojul[[#This Row],[ATUAL]])</f>
        <v>0</v>
      </c>
      <c r="AA135" s="91">
        <f>SUMIFS(tabela_registros[VALOR],tabela_registros[MÊS],$AE$1,tabela_registros[DIA],investirrendavariávelconsolidadojul[[#Headers],[23]],tabela_registros[REGISTRO],DADOS!$N$5,tabela_registros[TIPO],DADOS!$AB$4,tabela_registros[CATEGORIA],investirrendavariávelconsolidadojul[[#This Row],[ATUAL]])</f>
        <v>0</v>
      </c>
      <c r="AB135" s="91">
        <f>SUMIFS(tabela_registros[VALOR],tabela_registros[MÊS],$AE$1,tabela_registros[DIA],investirrendavariávelconsolidadojul[[#Headers],[24]],tabela_registros[REGISTRO],DADOS!$N$5,tabela_registros[TIPO],DADOS!$AB$4,tabela_registros[CATEGORIA],investirrendavariávelconsolidadojul[[#This Row],[ATUAL]])</f>
        <v>0</v>
      </c>
      <c r="AC135" s="91">
        <f>SUMIFS(tabela_registros[VALOR],tabela_registros[MÊS],$AE$1,tabela_registros[DIA],investirrendavariávelconsolidadojul[[#Headers],[25]],tabela_registros[REGISTRO],DADOS!$N$5,tabela_registros[TIPO],DADOS!$AB$4,tabela_registros[CATEGORIA],investirrendavariávelconsolidadojul[[#This Row],[ATUAL]])</f>
        <v>0</v>
      </c>
      <c r="AD135" s="91">
        <f>SUMIFS(tabela_registros[VALOR],tabela_registros[MÊS],$AE$1,tabela_registros[DIA],investirrendavariávelconsolidadojul[[#Headers],[26]],tabela_registros[REGISTRO],DADOS!$N$5,tabela_registros[TIPO],DADOS!$AB$4,tabela_registros[CATEGORIA],investirrendavariávelconsolidadojul[[#This Row],[ATUAL]])</f>
        <v>0</v>
      </c>
      <c r="AE135" s="91">
        <f>SUMIFS(tabela_registros[VALOR],tabela_registros[MÊS],$AE$1,tabela_registros[DIA],investirrendavariávelconsolidadojul[[#Headers],[27]],tabela_registros[REGISTRO],DADOS!$N$5,tabela_registros[TIPO],DADOS!$AB$4,tabela_registros[CATEGORIA],investirrendavariávelconsolidadojul[[#This Row],[ATUAL]])</f>
        <v>0</v>
      </c>
      <c r="AF135" s="91">
        <f>SUMIFS(tabela_registros[VALOR],tabela_registros[MÊS],$AE$1,tabela_registros[DIA],investirrendavariávelconsolidadojul[[#Headers],[28]],tabela_registros[REGISTRO],DADOS!$N$5,tabela_registros[TIPO],DADOS!$AB$4,tabela_registros[CATEGORIA],investirrendavariávelconsolidadojul[[#This Row],[ATUAL]])</f>
        <v>0</v>
      </c>
      <c r="AG135" s="91">
        <f>SUMIFS(tabela_registros[VALOR],tabela_registros[MÊS],$AE$1,tabela_registros[DIA],investirrendavariávelconsolidadojul[[#Headers],[29]],tabela_registros[REGISTRO],DADOS!$N$5,tabela_registros[TIPO],DADOS!$AB$4,tabela_registros[CATEGORIA],investirrendavariávelconsolidadojul[[#This Row],[ATUAL]])</f>
        <v>0</v>
      </c>
      <c r="AH135" s="91">
        <f>SUMIFS(tabela_registros[VALOR],tabela_registros[MÊS],$AE$1,tabela_registros[DIA],investirrendavariávelconsolidadojul[[#Headers],[30]],tabela_registros[REGISTRO],DADOS!$N$5,tabela_registros[TIPO],DADOS!$AB$4,tabela_registros[CATEGORIA],investirrendavariávelconsolidadojul[[#This Row],[ATUAL]])</f>
        <v>0</v>
      </c>
      <c r="AI135" s="101">
        <f>SUMIFS(tabela_registros[VALOR],tabela_registros[MÊS],$AE$1,tabela_registros[DIA],investirrendavariávelconsolidadojul[[#Headers],[31]],tabela_registros[REGISTRO],DADOS!$N$5,tabela_registros[TIPO],DADOS!$AB$4,tabela_registros[CATEGORIA],investirrendavariávelconsolidadojul[[#This Row],[ATUAL]])</f>
        <v>0</v>
      </c>
      <c r="AJ135" s="97">
        <f>SUM(investirrendavariávelconsolidadojul[[#This Row],[1]:[31]])</f>
        <v>0</v>
      </c>
      <c r="AK135" s="25"/>
    </row>
    <row r="136" spans="2:37" ht="19.5" customHeight="1" thickTop="1" thickBot="1" x14ac:dyDescent="0.3">
      <c r="B136" s="28"/>
      <c r="C136" s="27" t="str">
        <f>DADOS!$AF$7</f>
        <v>📝 CRIPTOMOEDA</v>
      </c>
      <c r="D136" s="26" t="str">
        <f>IF(investirrendavariávelconsolidadojul[[#This Row],[TOTAL (R$)]]=0,"",IF(OR(investirrendavariávelconsolidadojul[[#This Row],[TOTAL (R$)]]=LARGE($AJ$132:$AJ$141,1),investirrendavariávelconsolidadojul[[#This Row],[TOTAL (R$)]]=LARGE($AJ$132:$AJ$141,2)),DADOS!$I$10,""))</f>
        <v/>
      </c>
      <c r="E136" s="96">
        <f>SUMIFS(tabela_registros[VALOR],tabela_registros[MÊS],$AE$1,tabela_registros[DIA],investirrendavariávelconsolidadojul[[#Headers],[1]],tabela_registros[REGISTRO],DADOS!$N$5,tabela_registros[TIPO],DADOS!$AB$4,tabela_registros[CATEGORIA],investirrendavariávelconsolidadojul[[#This Row],[ATUAL]])</f>
        <v>0</v>
      </c>
      <c r="F136" s="91">
        <f>SUMIFS(tabela_registros[VALOR],tabela_registros[MÊS],$AE$1,tabela_registros[DIA],investirrendavariávelconsolidadojul[[#Headers],[2]],tabela_registros[REGISTRO],DADOS!$N$5,tabela_registros[TIPO],DADOS!$AB$4,tabela_registros[CATEGORIA],investirrendavariávelconsolidadojul[[#This Row],[ATUAL]])</f>
        <v>0</v>
      </c>
      <c r="G136" s="91">
        <f>SUMIFS(tabela_registros[VALOR],tabela_registros[MÊS],$AE$1,tabela_registros[DIA],investirrendavariávelconsolidadojul[[#Headers],[3]],tabela_registros[REGISTRO],DADOS!$N$5,tabela_registros[TIPO],DADOS!$AB$4,tabela_registros[CATEGORIA],investirrendavariávelconsolidadojul[[#This Row],[ATUAL]])</f>
        <v>0</v>
      </c>
      <c r="H136" s="91">
        <f>SUMIFS(tabela_registros[VALOR],tabela_registros[MÊS],$AE$1,tabela_registros[DIA],investirrendavariávelconsolidadojul[[#Headers],[4]],tabela_registros[REGISTRO],DADOS!$N$5,tabela_registros[TIPO],DADOS!$AB$4,tabela_registros[CATEGORIA],investirrendavariávelconsolidadojul[[#This Row],[ATUAL]])</f>
        <v>0</v>
      </c>
      <c r="I136" s="91">
        <f>SUMIFS(tabela_registros[VALOR],tabela_registros[MÊS],$AE$1,tabela_registros[DIA],investirrendavariávelconsolidadojul[[#Headers],[5]],tabela_registros[REGISTRO],DADOS!$N$5,tabela_registros[TIPO],DADOS!$AB$4,tabela_registros[CATEGORIA],investirrendavariávelconsolidadojul[[#This Row],[ATUAL]])</f>
        <v>0</v>
      </c>
      <c r="J136" s="91">
        <f>SUMIFS(tabela_registros[VALOR],tabela_registros[MÊS],$AE$1,tabela_registros[DIA],investirrendavariávelconsolidadojul[[#Headers],[6]],tabela_registros[REGISTRO],DADOS!$N$5,tabela_registros[TIPO],DADOS!$AB$4,tabela_registros[CATEGORIA],investirrendavariávelconsolidadojul[[#This Row],[ATUAL]])</f>
        <v>0</v>
      </c>
      <c r="K136" s="91">
        <f>SUMIFS(tabela_registros[VALOR],tabela_registros[MÊS],$AE$1,tabela_registros[DIA],investirrendavariávelconsolidadojul[[#Headers],[7]],tabela_registros[REGISTRO],DADOS!$N$5,tabela_registros[TIPO],DADOS!$AB$4,tabela_registros[CATEGORIA],investirrendavariávelconsolidadojul[[#This Row],[ATUAL]])</f>
        <v>0</v>
      </c>
      <c r="L136" s="91">
        <f>SUMIFS(tabela_registros[VALOR],tabela_registros[MÊS],$AE$1,tabela_registros[DIA],investirrendavariávelconsolidadojul[[#Headers],[8]],tabela_registros[REGISTRO],DADOS!$N$5,tabela_registros[TIPO],DADOS!$AB$4,tabela_registros[CATEGORIA],investirrendavariávelconsolidadojul[[#This Row],[ATUAL]])</f>
        <v>0</v>
      </c>
      <c r="M136" s="91">
        <f>SUMIFS(tabela_registros[VALOR],tabela_registros[MÊS],$AE$1,tabela_registros[DIA],investirrendavariávelconsolidadojul[[#Headers],[9]],tabela_registros[REGISTRO],DADOS!$N$5,tabela_registros[TIPO],DADOS!$AB$4,tabela_registros[CATEGORIA],investirrendavariávelconsolidadojul[[#This Row],[ATUAL]])</f>
        <v>0</v>
      </c>
      <c r="N136" s="91">
        <f>SUMIFS(tabela_registros[VALOR],tabela_registros[MÊS],$AE$1,tabela_registros[DIA],investirrendavariávelconsolidadojul[[#Headers],[10]],tabela_registros[REGISTRO],DADOS!$N$5,tabela_registros[TIPO],DADOS!$AB$4,tabela_registros[CATEGORIA],investirrendavariávelconsolidadojul[[#This Row],[ATUAL]])</f>
        <v>0</v>
      </c>
      <c r="O136" s="91">
        <f>SUMIFS(tabela_registros[VALOR],tabela_registros[MÊS],$AE$1,tabela_registros[DIA],investirrendavariávelconsolidadojul[[#Headers],[11]],tabela_registros[REGISTRO],DADOS!$N$5,tabela_registros[TIPO],DADOS!$AB$4,tabela_registros[CATEGORIA],investirrendavariávelconsolidadojul[[#This Row],[ATUAL]])</f>
        <v>0</v>
      </c>
      <c r="P136" s="91">
        <f>SUMIFS(tabela_registros[VALOR],tabela_registros[MÊS],$AE$1,tabela_registros[DIA],investirrendavariávelconsolidadojul[[#Headers],[12]],tabela_registros[REGISTRO],DADOS!$N$5,tabela_registros[TIPO],DADOS!$AB$4,tabela_registros[CATEGORIA],investirrendavariávelconsolidadojul[[#This Row],[ATUAL]])</f>
        <v>0</v>
      </c>
      <c r="Q136" s="91">
        <f>SUMIFS(tabela_registros[VALOR],tabela_registros[MÊS],$AE$1,tabela_registros[DIA],investirrendavariávelconsolidadojul[[#Headers],[13]],tabela_registros[REGISTRO],DADOS!$N$5,tabela_registros[TIPO],DADOS!$AB$4,tabela_registros[CATEGORIA],investirrendavariávelconsolidadojul[[#This Row],[ATUAL]])</f>
        <v>0</v>
      </c>
      <c r="R136" s="91">
        <f>SUMIFS(tabela_registros[VALOR],tabela_registros[MÊS],$AE$1,tabela_registros[DIA],investirrendavariávelconsolidadojul[[#Headers],[14]],tabela_registros[REGISTRO],DADOS!$N$5,tabela_registros[TIPO],DADOS!$AB$4,tabela_registros[CATEGORIA],investirrendavariávelconsolidadojul[[#This Row],[ATUAL]])</f>
        <v>0</v>
      </c>
      <c r="S136" s="91">
        <f>SUMIFS(tabela_registros[VALOR],tabela_registros[MÊS],$AE$1,tabela_registros[DIA],investirrendavariávelconsolidadojul[[#Headers],[15]],tabela_registros[REGISTRO],DADOS!$N$5,tabela_registros[TIPO],DADOS!$AB$4,tabela_registros[CATEGORIA],investirrendavariávelconsolidadojul[[#This Row],[ATUAL]])</f>
        <v>0</v>
      </c>
      <c r="T136" s="91">
        <f>SUMIFS(tabela_registros[VALOR],tabela_registros[MÊS],$AE$1,tabela_registros[DIA],investirrendavariávelconsolidadojul[[#Headers],[16]],tabela_registros[REGISTRO],DADOS!$N$5,tabela_registros[TIPO],DADOS!$AB$4,tabela_registros[CATEGORIA],investirrendavariávelconsolidadojul[[#This Row],[ATUAL]])</f>
        <v>0</v>
      </c>
      <c r="U136" s="91">
        <f>SUMIFS(tabela_registros[VALOR],tabela_registros[MÊS],$AE$1,tabela_registros[DIA],investirrendavariávelconsolidadojul[[#Headers],[17]],tabela_registros[REGISTRO],DADOS!$N$5,tabela_registros[TIPO],DADOS!$AB$4,tabela_registros[CATEGORIA],investirrendavariávelconsolidadojul[[#This Row],[ATUAL]])</f>
        <v>0</v>
      </c>
      <c r="V136" s="91">
        <f>SUMIFS(tabela_registros[VALOR],tabela_registros[MÊS],$AE$1,tabela_registros[DIA],investirrendavariávelconsolidadojul[[#Headers],[18]],tabela_registros[REGISTRO],DADOS!$N$5,tabela_registros[TIPO],DADOS!$AB$4,tabela_registros[CATEGORIA],investirrendavariávelconsolidadojul[[#This Row],[ATUAL]])</f>
        <v>0</v>
      </c>
      <c r="W136" s="91">
        <f>SUMIFS(tabela_registros[VALOR],tabela_registros[MÊS],$AE$1,tabela_registros[DIA],investirrendavariávelconsolidadojul[[#Headers],[19]],tabela_registros[REGISTRO],DADOS!$N$5,tabela_registros[TIPO],DADOS!$AB$4,tabela_registros[CATEGORIA],investirrendavariávelconsolidadojul[[#This Row],[ATUAL]])</f>
        <v>0</v>
      </c>
      <c r="X136" s="91">
        <f>SUMIFS(tabela_registros[VALOR],tabela_registros[MÊS],$AE$1,tabela_registros[DIA],investirrendavariávelconsolidadojul[[#Headers],[20]],tabela_registros[REGISTRO],DADOS!$N$5,tabela_registros[TIPO],DADOS!$AB$4,tabela_registros[CATEGORIA],investirrendavariávelconsolidadojul[[#This Row],[ATUAL]])</f>
        <v>0</v>
      </c>
      <c r="Y136" s="91">
        <f>SUMIFS(tabela_registros[VALOR],tabela_registros[MÊS],$AE$1,tabela_registros[DIA],investirrendavariávelconsolidadojul[[#Headers],[21]],tabela_registros[REGISTRO],DADOS!$N$5,tabela_registros[TIPO],DADOS!$AB$4,tabela_registros[CATEGORIA],investirrendavariávelconsolidadojul[[#This Row],[ATUAL]])</f>
        <v>0</v>
      </c>
      <c r="Z136" s="91">
        <f>SUMIFS(tabela_registros[VALOR],tabela_registros[MÊS],$AE$1,tabela_registros[DIA],investirrendavariávelconsolidadojul[[#Headers],[22]],tabela_registros[REGISTRO],DADOS!$N$5,tabela_registros[TIPO],DADOS!$AB$4,tabela_registros[CATEGORIA],investirrendavariávelconsolidadojul[[#This Row],[ATUAL]])</f>
        <v>0</v>
      </c>
      <c r="AA136" s="91">
        <f>SUMIFS(tabela_registros[VALOR],tabela_registros[MÊS],$AE$1,tabela_registros[DIA],investirrendavariávelconsolidadojul[[#Headers],[23]],tabela_registros[REGISTRO],DADOS!$N$5,tabela_registros[TIPO],DADOS!$AB$4,tabela_registros[CATEGORIA],investirrendavariávelconsolidadojul[[#This Row],[ATUAL]])</f>
        <v>0</v>
      </c>
      <c r="AB136" s="91">
        <f>SUMIFS(tabela_registros[VALOR],tabela_registros[MÊS],$AE$1,tabela_registros[DIA],investirrendavariávelconsolidadojul[[#Headers],[24]],tabela_registros[REGISTRO],DADOS!$N$5,tabela_registros[TIPO],DADOS!$AB$4,tabela_registros[CATEGORIA],investirrendavariávelconsolidadojul[[#This Row],[ATUAL]])</f>
        <v>0</v>
      </c>
      <c r="AC136" s="91">
        <f>SUMIFS(tabela_registros[VALOR],tabela_registros[MÊS],$AE$1,tabela_registros[DIA],investirrendavariávelconsolidadojul[[#Headers],[25]],tabela_registros[REGISTRO],DADOS!$N$5,tabela_registros[TIPO],DADOS!$AB$4,tabela_registros[CATEGORIA],investirrendavariávelconsolidadojul[[#This Row],[ATUAL]])</f>
        <v>0</v>
      </c>
      <c r="AD136" s="91">
        <f>SUMIFS(tabela_registros[VALOR],tabela_registros[MÊS],$AE$1,tabela_registros[DIA],investirrendavariávelconsolidadojul[[#Headers],[26]],tabela_registros[REGISTRO],DADOS!$N$5,tabela_registros[TIPO],DADOS!$AB$4,tabela_registros[CATEGORIA],investirrendavariávelconsolidadojul[[#This Row],[ATUAL]])</f>
        <v>0</v>
      </c>
      <c r="AE136" s="91">
        <f>SUMIFS(tabela_registros[VALOR],tabela_registros[MÊS],$AE$1,tabela_registros[DIA],investirrendavariávelconsolidadojul[[#Headers],[27]],tabela_registros[REGISTRO],DADOS!$N$5,tabela_registros[TIPO],DADOS!$AB$4,tabela_registros[CATEGORIA],investirrendavariávelconsolidadojul[[#This Row],[ATUAL]])</f>
        <v>0</v>
      </c>
      <c r="AF136" s="91">
        <f>SUMIFS(tabela_registros[VALOR],tabela_registros[MÊS],$AE$1,tabela_registros[DIA],investirrendavariávelconsolidadojul[[#Headers],[28]],tabela_registros[REGISTRO],DADOS!$N$5,tabela_registros[TIPO],DADOS!$AB$4,tabela_registros[CATEGORIA],investirrendavariávelconsolidadojul[[#This Row],[ATUAL]])</f>
        <v>0</v>
      </c>
      <c r="AG136" s="91">
        <f>SUMIFS(tabela_registros[VALOR],tabela_registros[MÊS],$AE$1,tabela_registros[DIA],investirrendavariávelconsolidadojul[[#Headers],[29]],tabela_registros[REGISTRO],DADOS!$N$5,tabela_registros[TIPO],DADOS!$AB$4,tabela_registros[CATEGORIA],investirrendavariávelconsolidadojul[[#This Row],[ATUAL]])</f>
        <v>0</v>
      </c>
      <c r="AH136" s="91">
        <f>SUMIFS(tabela_registros[VALOR],tabela_registros[MÊS],$AE$1,tabela_registros[DIA],investirrendavariávelconsolidadojul[[#Headers],[30]],tabela_registros[REGISTRO],DADOS!$N$5,tabela_registros[TIPO],DADOS!$AB$4,tabela_registros[CATEGORIA],investirrendavariávelconsolidadojul[[#This Row],[ATUAL]])</f>
        <v>0</v>
      </c>
      <c r="AI136" s="101">
        <f>SUMIFS(tabela_registros[VALOR],tabela_registros[MÊS],$AE$1,tabela_registros[DIA],investirrendavariávelconsolidadojul[[#Headers],[31]],tabela_registros[REGISTRO],DADOS!$N$5,tabela_registros[TIPO],DADOS!$AB$4,tabela_registros[CATEGORIA],investirrendavariávelconsolidadojul[[#This Row],[ATUAL]])</f>
        <v>0</v>
      </c>
      <c r="AJ136" s="104">
        <f>SUM(investirrendavariávelconsolidadojul[[#This Row],[1]:[31]])</f>
        <v>0</v>
      </c>
      <c r="AK136" s="25"/>
    </row>
    <row r="137" spans="2:37" ht="19.5" customHeight="1" thickTop="1" thickBot="1" x14ac:dyDescent="0.3">
      <c r="B137" s="28"/>
      <c r="C137" s="27" t="str">
        <f>DADOS!$AF$8</f>
        <v>📝 ETF</v>
      </c>
      <c r="D137" s="26" t="str">
        <f>IF(investirrendavariávelconsolidadojul[[#This Row],[TOTAL (R$)]]=0,"",IF(OR(investirrendavariávelconsolidadojul[[#This Row],[TOTAL (R$)]]=LARGE($AJ$132:$AJ$141,1),investirrendavariávelconsolidadojul[[#This Row],[TOTAL (R$)]]=LARGE($AJ$132:$AJ$141,2)),DADOS!$I$10,""))</f>
        <v/>
      </c>
      <c r="E137" s="96">
        <f>SUMIFS(tabela_registros[VALOR],tabela_registros[MÊS],$AE$1,tabela_registros[DIA],investirrendavariávelconsolidadojul[[#Headers],[1]],tabela_registros[REGISTRO],DADOS!$N$5,tabela_registros[TIPO],DADOS!$AB$4,tabela_registros[CATEGORIA],investirrendavariávelconsolidadojul[[#This Row],[ATUAL]])</f>
        <v>0</v>
      </c>
      <c r="F137" s="91">
        <f>SUMIFS(tabela_registros[VALOR],tabela_registros[MÊS],$AE$1,tabela_registros[DIA],investirrendavariávelconsolidadojul[[#Headers],[2]],tabela_registros[REGISTRO],DADOS!$N$5,tabela_registros[TIPO],DADOS!$AB$4,tabela_registros[CATEGORIA],investirrendavariávelconsolidadojul[[#This Row],[ATUAL]])</f>
        <v>0</v>
      </c>
      <c r="G137" s="91">
        <f>SUMIFS(tabela_registros[VALOR],tabela_registros[MÊS],$AE$1,tabela_registros[DIA],investirrendavariávelconsolidadojul[[#Headers],[3]],tabela_registros[REGISTRO],DADOS!$N$5,tabela_registros[TIPO],DADOS!$AB$4,tabela_registros[CATEGORIA],investirrendavariávelconsolidadojul[[#This Row],[ATUAL]])</f>
        <v>0</v>
      </c>
      <c r="H137" s="91">
        <f>SUMIFS(tabela_registros[VALOR],tabela_registros[MÊS],$AE$1,tabela_registros[DIA],investirrendavariávelconsolidadojul[[#Headers],[4]],tabela_registros[REGISTRO],DADOS!$N$5,tabela_registros[TIPO],DADOS!$AB$4,tabela_registros[CATEGORIA],investirrendavariávelconsolidadojul[[#This Row],[ATUAL]])</f>
        <v>0</v>
      </c>
      <c r="I137" s="91">
        <f>SUMIFS(tabela_registros[VALOR],tabela_registros[MÊS],$AE$1,tabela_registros[DIA],investirrendavariávelconsolidadojul[[#Headers],[5]],tabela_registros[REGISTRO],DADOS!$N$5,tabela_registros[TIPO],DADOS!$AB$4,tabela_registros[CATEGORIA],investirrendavariávelconsolidadojul[[#This Row],[ATUAL]])</f>
        <v>0</v>
      </c>
      <c r="J137" s="91">
        <f>SUMIFS(tabela_registros[VALOR],tabela_registros[MÊS],$AE$1,tabela_registros[DIA],investirrendavariávelconsolidadojul[[#Headers],[6]],tabela_registros[REGISTRO],DADOS!$N$5,tabela_registros[TIPO],DADOS!$AB$4,tabela_registros[CATEGORIA],investirrendavariávelconsolidadojul[[#This Row],[ATUAL]])</f>
        <v>0</v>
      </c>
      <c r="K137" s="91">
        <f>SUMIFS(tabela_registros[VALOR],tabela_registros[MÊS],$AE$1,tabela_registros[DIA],investirrendavariávelconsolidadojul[[#Headers],[7]],tabela_registros[REGISTRO],DADOS!$N$5,tabela_registros[TIPO],DADOS!$AB$4,tabela_registros[CATEGORIA],investirrendavariávelconsolidadojul[[#This Row],[ATUAL]])</f>
        <v>0</v>
      </c>
      <c r="L137" s="91">
        <f>SUMIFS(tabela_registros[VALOR],tabela_registros[MÊS],$AE$1,tabela_registros[DIA],investirrendavariávelconsolidadojul[[#Headers],[8]],tabela_registros[REGISTRO],DADOS!$N$5,tabela_registros[TIPO],DADOS!$AB$4,tabela_registros[CATEGORIA],investirrendavariávelconsolidadojul[[#This Row],[ATUAL]])</f>
        <v>0</v>
      </c>
      <c r="M137" s="91">
        <f>SUMIFS(tabela_registros[VALOR],tabela_registros[MÊS],$AE$1,tabela_registros[DIA],investirrendavariávelconsolidadojul[[#Headers],[9]],tabela_registros[REGISTRO],DADOS!$N$5,tabela_registros[TIPO],DADOS!$AB$4,tabela_registros[CATEGORIA],investirrendavariávelconsolidadojul[[#This Row],[ATUAL]])</f>
        <v>0</v>
      </c>
      <c r="N137" s="91">
        <f>SUMIFS(tabela_registros[VALOR],tabela_registros[MÊS],$AE$1,tabela_registros[DIA],investirrendavariávelconsolidadojul[[#Headers],[10]],tabela_registros[REGISTRO],DADOS!$N$5,tabela_registros[TIPO],DADOS!$AB$4,tabela_registros[CATEGORIA],investirrendavariávelconsolidadojul[[#This Row],[ATUAL]])</f>
        <v>0</v>
      </c>
      <c r="O137" s="91">
        <f>SUMIFS(tabela_registros[VALOR],tabela_registros[MÊS],$AE$1,tabela_registros[DIA],investirrendavariávelconsolidadojul[[#Headers],[11]],tabela_registros[REGISTRO],DADOS!$N$5,tabela_registros[TIPO],DADOS!$AB$4,tabela_registros[CATEGORIA],investirrendavariávelconsolidadojul[[#This Row],[ATUAL]])</f>
        <v>0</v>
      </c>
      <c r="P137" s="91">
        <f>SUMIFS(tabela_registros[VALOR],tabela_registros[MÊS],$AE$1,tabela_registros[DIA],investirrendavariávelconsolidadojul[[#Headers],[12]],tabela_registros[REGISTRO],DADOS!$N$5,tabela_registros[TIPO],DADOS!$AB$4,tabela_registros[CATEGORIA],investirrendavariávelconsolidadojul[[#This Row],[ATUAL]])</f>
        <v>0</v>
      </c>
      <c r="Q137" s="91">
        <f>SUMIFS(tabela_registros[VALOR],tabela_registros[MÊS],$AE$1,tabela_registros[DIA],investirrendavariávelconsolidadojul[[#Headers],[13]],tabela_registros[REGISTRO],DADOS!$N$5,tabela_registros[TIPO],DADOS!$AB$4,tabela_registros[CATEGORIA],investirrendavariávelconsolidadojul[[#This Row],[ATUAL]])</f>
        <v>0</v>
      </c>
      <c r="R137" s="91">
        <f>SUMIFS(tabela_registros[VALOR],tabela_registros[MÊS],$AE$1,tabela_registros[DIA],investirrendavariávelconsolidadojul[[#Headers],[14]],tabela_registros[REGISTRO],DADOS!$N$5,tabela_registros[TIPO],DADOS!$AB$4,tabela_registros[CATEGORIA],investirrendavariávelconsolidadojul[[#This Row],[ATUAL]])</f>
        <v>0</v>
      </c>
      <c r="S137" s="91">
        <f>SUMIFS(tabela_registros[VALOR],tabela_registros[MÊS],$AE$1,tabela_registros[DIA],investirrendavariávelconsolidadojul[[#Headers],[15]],tabela_registros[REGISTRO],DADOS!$N$5,tabela_registros[TIPO],DADOS!$AB$4,tabela_registros[CATEGORIA],investirrendavariávelconsolidadojul[[#This Row],[ATUAL]])</f>
        <v>0</v>
      </c>
      <c r="T137" s="91">
        <f>SUMIFS(tabela_registros[VALOR],tabela_registros[MÊS],$AE$1,tabela_registros[DIA],investirrendavariávelconsolidadojul[[#Headers],[16]],tabela_registros[REGISTRO],DADOS!$N$5,tabela_registros[TIPO],DADOS!$AB$4,tabela_registros[CATEGORIA],investirrendavariávelconsolidadojul[[#This Row],[ATUAL]])</f>
        <v>0</v>
      </c>
      <c r="U137" s="91">
        <f>SUMIFS(tabela_registros[VALOR],tabela_registros[MÊS],$AE$1,tabela_registros[DIA],investirrendavariávelconsolidadojul[[#Headers],[17]],tabela_registros[REGISTRO],DADOS!$N$5,tabela_registros[TIPO],DADOS!$AB$4,tabela_registros[CATEGORIA],investirrendavariávelconsolidadojul[[#This Row],[ATUAL]])</f>
        <v>0</v>
      </c>
      <c r="V137" s="91">
        <f>SUMIFS(tabela_registros[VALOR],tabela_registros[MÊS],$AE$1,tabela_registros[DIA],investirrendavariávelconsolidadojul[[#Headers],[18]],tabela_registros[REGISTRO],DADOS!$N$5,tabela_registros[TIPO],DADOS!$AB$4,tabela_registros[CATEGORIA],investirrendavariávelconsolidadojul[[#This Row],[ATUAL]])</f>
        <v>0</v>
      </c>
      <c r="W137" s="91">
        <f>SUMIFS(tabela_registros[VALOR],tabela_registros[MÊS],$AE$1,tabela_registros[DIA],investirrendavariávelconsolidadojul[[#Headers],[19]],tabela_registros[REGISTRO],DADOS!$N$5,tabela_registros[TIPO],DADOS!$AB$4,tabela_registros[CATEGORIA],investirrendavariávelconsolidadojul[[#This Row],[ATUAL]])</f>
        <v>0</v>
      </c>
      <c r="X137" s="91">
        <f>SUMIFS(tabela_registros[VALOR],tabela_registros[MÊS],$AE$1,tabela_registros[DIA],investirrendavariávelconsolidadojul[[#Headers],[20]],tabela_registros[REGISTRO],DADOS!$N$5,tabela_registros[TIPO],DADOS!$AB$4,tabela_registros[CATEGORIA],investirrendavariávelconsolidadojul[[#This Row],[ATUAL]])</f>
        <v>0</v>
      </c>
      <c r="Y137" s="91">
        <f>SUMIFS(tabela_registros[VALOR],tabela_registros[MÊS],$AE$1,tabela_registros[DIA],investirrendavariávelconsolidadojul[[#Headers],[21]],tabela_registros[REGISTRO],DADOS!$N$5,tabela_registros[TIPO],DADOS!$AB$4,tabela_registros[CATEGORIA],investirrendavariávelconsolidadojul[[#This Row],[ATUAL]])</f>
        <v>0</v>
      </c>
      <c r="Z137" s="91">
        <f>SUMIFS(tabela_registros[VALOR],tabela_registros[MÊS],$AE$1,tabela_registros[DIA],investirrendavariávelconsolidadojul[[#Headers],[22]],tabela_registros[REGISTRO],DADOS!$N$5,tabela_registros[TIPO],DADOS!$AB$4,tabela_registros[CATEGORIA],investirrendavariávelconsolidadojul[[#This Row],[ATUAL]])</f>
        <v>0</v>
      </c>
      <c r="AA137" s="91">
        <f>SUMIFS(tabela_registros[VALOR],tabela_registros[MÊS],$AE$1,tabela_registros[DIA],investirrendavariávelconsolidadojul[[#Headers],[23]],tabela_registros[REGISTRO],DADOS!$N$5,tabela_registros[TIPO],DADOS!$AB$4,tabela_registros[CATEGORIA],investirrendavariávelconsolidadojul[[#This Row],[ATUAL]])</f>
        <v>0</v>
      </c>
      <c r="AB137" s="91">
        <f>SUMIFS(tabela_registros[VALOR],tabela_registros[MÊS],$AE$1,tabela_registros[DIA],investirrendavariávelconsolidadojul[[#Headers],[24]],tabela_registros[REGISTRO],DADOS!$N$5,tabela_registros[TIPO],DADOS!$AB$4,tabela_registros[CATEGORIA],investirrendavariávelconsolidadojul[[#This Row],[ATUAL]])</f>
        <v>0</v>
      </c>
      <c r="AC137" s="91">
        <f>SUMIFS(tabela_registros[VALOR],tabela_registros[MÊS],$AE$1,tabela_registros[DIA],investirrendavariávelconsolidadojul[[#Headers],[25]],tabela_registros[REGISTRO],DADOS!$N$5,tabela_registros[TIPO],DADOS!$AB$4,tabela_registros[CATEGORIA],investirrendavariávelconsolidadojul[[#This Row],[ATUAL]])</f>
        <v>0</v>
      </c>
      <c r="AD137" s="91">
        <f>SUMIFS(tabela_registros[VALOR],tabela_registros[MÊS],$AE$1,tabela_registros[DIA],investirrendavariávelconsolidadojul[[#Headers],[26]],tabela_registros[REGISTRO],DADOS!$N$5,tabela_registros[TIPO],DADOS!$AB$4,tabela_registros[CATEGORIA],investirrendavariávelconsolidadojul[[#This Row],[ATUAL]])</f>
        <v>0</v>
      </c>
      <c r="AE137" s="91">
        <f>SUMIFS(tabela_registros[VALOR],tabela_registros[MÊS],$AE$1,tabela_registros[DIA],investirrendavariávelconsolidadojul[[#Headers],[27]],tabela_registros[REGISTRO],DADOS!$N$5,tabela_registros[TIPO],DADOS!$AB$4,tabela_registros[CATEGORIA],investirrendavariávelconsolidadojul[[#This Row],[ATUAL]])</f>
        <v>0</v>
      </c>
      <c r="AF137" s="91">
        <f>SUMIFS(tabela_registros[VALOR],tabela_registros[MÊS],$AE$1,tabela_registros[DIA],investirrendavariávelconsolidadojul[[#Headers],[28]],tabela_registros[REGISTRO],DADOS!$N$5,tabela_registros[TIPO],DADOS!$AB$4,tabela_registros[CATEGORIA],investirrendavariávelconsolidadojul[[#This Row],[ATUAL]])</f>
        <v>0</v>
      </c>
      <c r="AG137" s="91">
        <f>SUMIFS(tabela_registros[VALOR],tabela_registros[MÊS],$AE$1,tabela_registros[DIA],investirrendavariávelconsolidadojul[[#Headers],[29]],tabela_registros[REGISTRO],DADOS!$N$5,tabela_registros[TIPO],DADOS!$AB$4,tabela_registros[CATEGORIA],investirrendavariávelconsolidadojul[[#This Row],[ATUAL]])</f>
        <v>0</v>
      </c>
      <c r="AH137" s="91">
        <f>SUMIFS(tabela_registros[VALOR],tabela_registros[MÊS],$AE$1,tabela_registros[DIA],investirrendavariávelconsolidadojul[[#Headers],[30]],tabela_registros[REGISTRO],DADOS!$N$5,tabela_registros[TIPO],DADOS!$AB$4,tabela_registros[CATEGORIA],investirrendavariávelconsolidadojul[[#This Row],[ATUAL]])</f>
        <v>0</v>
      </c>
      <c r="AI137" s="101">
        <f>SUMIFS(tabela_registros[VALOR],tabela_registros[MÊS],$AE$1,tabela_registros[DIA],investirrendavariávelconsolidadojul[[#Headers],[31]],tabela_registros[REGISTRO],DADOS!$N$5,tabela_registros[TIPO],DADOS!$AB$4,tabela_registros[CATEGORIA],investirrendavariávelconsolidadojul[[#This Row],[ATUAL]])</f>
        <v>0</v>
      </c>
      <c r="AJ137" s="104">
        <f>SUM(investirrendavariávelconsolidadojul[[#This Row],[1]:[31]])</f>
        <v>0</v>
      </c>
      <c r="AK137" s="25"/>
    </row>
    <row r="138" spans="2:37" ht="19.5" customHeight="1" thickTop="1" thickBot="1" x14ac:dyDescent="0.3">
      <c r="B138" s="28"/>
      <c r="C138" s="27" t="str">
        <f>DADOS!$AF$9</f>
        <v>📝 EXTERIOR</v>
      </c>
      <c r="D138" s="26" t="str">
        <f>IF(investirrendavariávelconsolidadojul[[#This Row],[TOTAL (R$)]]=0,"",IF(OR(investirrendavariávelconsolidadojul[[#This Row],[TOTAL (R$)]]=LARGE($AJ$132:$AJ$141,1),investirrendavariávelconsolidadojul[[#This Row],[TOTAL (R$)]]=LARGE($AJ$132:$AJ$141,2)),DADOS!$I$10,""))</f>
        <v/>
      </c>
      <c r="E138" s="96">
        <f>SUMIFS(tabela_registros[VALOR],tabela_registros[MÊS],$AE$1,tabela_registros[DIA],investirrendavariávelconsolidadojul[[#Headers],[1]],tabela_registros[REGISTRO],DADOS!$N$5,tabela_registros[TIPO],DADOS!$AB$4,tabela_registros[CATEGORIA],investirrendavariávelconsolidadojul[[#This Row],[ATUAL]])</f>
        <v>0</v>
      </c>
      <c r="F138" s="91">
        <f>SUMIFS(tabela_registros[VALOR],tabela_registros[MÊS],$AE$1,tabela_registros[DIA],investirrendavariávelconsolidadojul[[#Headers],[2]],tabela_registros[REGISTRO],DADOS!$N$5,tabela_registros[TIPO],DADOS!$AB$4,tabela_registros[CATEGORIA],investirrendavariávelconsolidadojul[[#This Row],[ATUAL]])</f>
        <v>0</v>
      </c>
      <c r="G138" s="91">
        <f>SUMIFS(tabela_registros[VALOR],tabela_registros[MÊS],$AE$1,tabela_registros[DIA],investirrendavariávelconsolidadojul[[#Headers],[3]],tabela_registros[REGISTRO],DADOS!$N$5,tabela_registros[TIPO],DADOS!$AB$4,tabela_registros[CATEGORIA],investirrendavariávelconsolidadojul[[#This Row],[ATUAL]])</f>
        <v>0</v>
      </c>
      <c r="H138" s="91">
        <f>SUMIFS(tabela_registros[VALOR],tabela_registros[MÊS],$AE$1,tabela_registros[DIA],investirrendavariávelconsolidadojul[[#Headers],[4]],tabela_registros[REGISTRO],DADOS!$N$5,tabela_registros[TIPO],DADOS!$AB$4,tabela_registros[CATEGORIA],investirrendavariávelconsolidadojul[[#This Row],[ATUAL]])</f>
        <v>0</v>
      </c>
      <c r="I138" s="91">
        <f>SUMIFS(tabela_registros[VALOR],tabela_registros[MÊS],$AE$1,tabela_registros[DIA],investirrendavariávelconsolidadojul[[#Headers],[5]],tabela_registros[REGISTRO],DADOS!$N$5,tabela_registros[TIPO],DADOS!$AB$4,tabela_registros[CATEGORIA],investirrendavariávelconsolidadojul[[#This Row],[ATUAL]])</f>
        <v>0</v>
      </c>
      <c r="J138" s="91">
        <f>SUMIFS(tabela_registros[VALOR],tabela_registros[MÊS],$AE$1,tabela_registros[DIA],investirrendavariávelconsolidadojul[[#Headers],[6]],tabela_registros[REGISTRO],DADOS!$N$5,tabela_registros[TIPO],DADOS!$AB$4,tabela_registros[CATEGORIA],investirrendavariávelconsolidadojul[[#This Row],[ATUAL]])</f>
        <v>0</v>
      </c>
      <c r="K138" s="91">
        <f>SUMIFS(tabela_registros[VALOR],tabela_registros[MÊS],$AE$1,tabela_registros[DIA],investirrendavariávelconsolidadojul[[#Headers],[7]],tabela_registros[REGISTRO],DADOS!$N$5,tabela_registros[TIPO],DADOS!$AB$4,tabela_registros[CATEGORIA],investirrendavariávelconsolidadojul[[#This Row],[ATUAL]])</f>
        <v>0</v>
      </c>
      <c r="L138" s="91">
        <f>SUMIFS(tabela_registros[VALOR],tabela_registros[MÊS],$AE$1,tabela_registros[DIA],investirrendavariávelconsolidadojul[[#Headers],[8]],tabela_registros[REGISTRO],DADOS!$N$5,tabela_registros[TIPO],DADOS!$AB$4,tabela_registros[CATEGORIA],investirrendavariávelconsolidadojul[[#This Row],[ATUAL]])</f>
        <v>0</v>
      </c>
      <c r="M138" s="91">
        <f>SUMIFS(tabela_registros[VALOR],tabela_registros[MÊS],$AE$1,tabela_registros[DIA],investirrendavariávelconsolidadojul[[#Headers],[9]],tabela_registros[REGISTRO],DADOS!$N$5,tabela_registros[TIPO],DADOS!$AB$4,tabela_registros[CATEGORIA],investirrendavariávelconsolidadojul[[#This Row],[ATUAL]])</f>
        <v>0</v>
      </c>
      <c r="N138" s="91">
        <f>SUMIFS(tabela_registros[VALOR],tabela_registros[MÊS],$AE$1,tabela_registros[DIA],investirrendavariávelconsolidadojul[[#Headers],[10]],tabela_registros[REGISTRO],DADOS!$N$5,tabela_registros[TIPO],DADOS!$AB$4,tabela_registros[CATEGORIA],investirrendavariávelconsolidadojul[[#This Row],[ATUAL]])</f>
        <v>0</v>
      </c>
      <c r="O138" s="91">
        <f>SUMIFS(tabela_registros[VALOR],tabela_registros[MÊS],$AE$1,tabela_registros[DIA],investirrendavariávelconsolidadojul[[#Headers],[11]],tabela_registros[REGISTRO],DADOS!$N$5,tabela_registros[TIPO],DADOS!$AB$4,tabela_registros[CATEGORIA],investirrendavariávelconsolidadojul[[#This Row],[ATUAL]])</f>
        <v>0</v>
      </c>
      <c r="P138" s="91">
        <f>SUMIFS(tabela_registros[VALOR],tabela_registros[MÊS],$AE$1,tabela_registros[DIA],investirrendavariávelconsolidadojul[[#Headers],[12]],tabela_registros[REGISTRO],DADOS!$N$5,tabela_registros[TIPO],DADOS!$AB$4,tabela_registros[CATEGORIA],investirrendavariávelconsolidadojul[[#This Row],[ATUAL]])</f>
        <v>0</v>
      </c>
      <c r="Q138" s="91">
        <f>SUMIFS(tabela_registros[VALOR],tabela_registros[MÊS],$AE$1,tabela_registros[DIA],investirrendavariávelconsolidadojul[[#Headers],[13]],tabela_registros[REGISTRO],DADOS!$N$5,tabela_registros[TIPO],DADOS!$AB$4,tabela_registros[CATEGORIA],investirrendavariávelconsolidadojul[[#This Row],[ATUAL]])</f>
        <v>0</v>
      </c>
      <c r="R138" s="91">
        <f>SUMIFS(tabela_registros[VALOR],tabela_registros[MÊS],$AE$1,tabela_registros[DIA],investirrendavariávelconsolidadojul[[#Headers],[14]],tabela_registros[REGISTRO],DADOS!$N$5,tabela_registros[TIPO],DADOS!$AB$4,tabela_registros[CATEGORIA],investirrendavariávelconsolidadojul[[#This Row],[ATUAL]])</f>
        <v>0</v>
      </c>
      <c r="S138" s="91">
        <f>SUMIFS(tabela_registros[VALOR],tabela_registros[MÊS],$AE$1,tabela_registros[DIA],investirrendavariávelconsolidadojul[[#Headers],[15]],tabela_registros[REGISTRO],DADOS!$N$5,tabela_registros[TIPO],DADOS!$AB$4,tabela_registros[CATEGORIA],investirrendavariávelconsolidadojul[[#This Row],[ATUAL]])</f>
        <v>0</v>
      </c>
      <c r="T138" s="91">
        <f>SUMIFS(tabela_registros[VALOR],tabela_registros[MÊS],$AE$1,tabela_registros[DIA],investirrendavariávelconsolidadojul[[#Headers],[16]],tabela_registros[REGISTRO],DADOS!$N$5,tabela_registros[TIPO],DADOS!$AB$4,tabela_registros[CATEGORIA],investirrendavariávelconsolidadojul[[#This Row],[ATUAL]])</f>
        <v>0</v>
      </c>
      <c r="U138" s="91">
        <f>SUMIFS(tabela_registros[VALOR],tabela_registros[MÊS],$AE$1,tabela_registros[DIA],investirrendavariávelconsolidadojul[[#Headers],[17]],tabela_registros[REGISTRO],DADOS!$N$5,tabela_registros[TIPO],DADOS!$AB$4,tabela_registros[CATEGORIA],investirrendavariávelconsolidadojul[[#This Row],[ATUAL]])</f>
        <v>0</v>
      </c>
      <c r="V138" s="91">
        <f>SUMIFS(tabela_registros[VALOR],tabela_registros[MÊS],$AE$1,tabela_registros[DIA],investirrendavariávelconsolidadojul[[#Headers],[18]],tabela_registros[REGISTRO],DADOS!$N$5,tabela_registros[TIPO],DADOS!$AB$4,tabela_registros[CATEGORIA],investirrendavariávelconsolidadojul[[#This Row],[ATUAL]])</f>
        <v>0</v>
      </c>
      <c r="W138" s="91">
        <f>SUMIFS(tabela_registros[VALOR],tabela_registros[MÊS],$AE$1,tabela_registros[DIA],investirrendavariávelconsolidadojul[[#Headers],[19]],tabela_registros[REGISTRO],DADOS!$N$5,tabela_registros[TIPO],DADOS!$AB$4,tabela_registros[CATEGORIA],investirrendavariávelconsolidadojul[[#This Row],[ATUAL]])</f>
        <v>0</v>
      </c>
      <c r="X138" s="91">
        <f>SUMIFS(tabela_registros[VALOR],tabela_registros[MÊS],$AE$1,tabela_registros[DIA],investirrendavariávelconsolidadojul[[#Headers],[20]],tabela_registros[REGISTRO],DADOS!$N$5,tabela_registros[TIPO],DADOS!$AB$4,tabela_registros[CATEGORIA],investirrendavariávelconsolidadojul[[#This Row],[ATUAL]])</f>
        <v>0</v>
      </c>
      <c r="Y138" s="91">
        <f>SUMIFS(tabela_registros[VALOR],tabela_registros[MÊS],$AE$1,tabela_registros[DIA],investirrendavariávelconsolidadojul[[#Headers],[21]],tabela_registros[REGISTRO],DADOS!$N$5,tabela_registros[TIPO],DADOS!$AB$4,tabela_registros[CATEGORIA],investirrendavariávelconsolidadojul[[#This Row],[ATUAL]])</f>
        <v>0</v>
      </c>
      <c r="Z138" s="91">
        <f>SUMIFS(tabela_registros[VALOR],tabela_registros[MÊS],$AE$1,tabela_registros[DIA],investirrendavariávelconsolidadojul[[#Headers],[22]],tabela_registros[REGISTRO],DADOS!$N$5,tabela_registros[TIPO],DADOS!$AB$4,tabela_registros[CATEGORIA],investirrendavariávelconsolidadojul[[#This Row],[ATUAL]])</f>
        <v>0</v>
      </c>
      <c r="AA138" s="91">
        <f>SUMIFS(tabela_registros[VALOR],tabela_registros[MÊS],$AE$1,tabela_registros[DIA],investirrendavariávelconsolidadojul[[#Headers],[23]],tabela_registros[REGISTRO],DADOS!$N$5,tabela_registros[TIPO],DADOS!$AB$4,tabela_registros[CATEGORIA],investirrendavariávelconsolidadojul[[#This Row],[ATUAL]])</f>
        <v>0</v>
      </c>
      <c r="AB138" s="91">
        <f>SUMIFS(tabela_registros[VALOR],tabela_registros[MÊS],$AE$1,tabela_registros[DIA],investirrendavariávelconsolidadojul[[#Headers],[24]],tabela_registros[REGISTRO],DADOS!$N$5,tabela_registros[TIPO],DADOS!$AB$4,tabela_registros[CATEGORIA],investirrendavariávelconsolidadojul[[#This Row],[ATUAL]])</f>
        <v>0</v>
      </c>
      <c r="AC138" s="91">
        <f>SUMIFS(tabela_registros[VALOR],tabela_registros[MÊS],$AE$1,tabela_registros[DIA],investirrendavariávelconsolidadojul[[#Headers],[25]],tabela_registros[REGISTRO],DADOS!$N$5,tabela_registros[TIPO],DADOS!$AB$4,tabela_registros[CATEGORIA],investirrendavariávelconsolidadojul[[#This Row],[ATUAL]])</f>
        <v>0</v>
      </c>
      <c r="AD138" s="91">
        <f>SUMIFS(tabela_registros[VALOR],tabela_registros[MÊS],$AE$1,tabela_registros[DIA],investirrendavariávelconsolidadojul[[#Headers],[26]],tabela_registros[REGISTRO],DADOS!$N$5,tabela_registros[TIPO],DADOS!$AB$4,tabela_registros[CATEGORIA],investirrendavariávelconsolidadojul[[#This Row],[ATUAL]])</f>
        <v>0</v>
      </c>
      <c r="AE138" s="91">
        <f>SUMIFS(tabela_registros[VALOR],tabela_registros[MÊS],$AE$1,tabela_registros[DIA],investirrendavariávelconsolidadojul[[#Headers],[27]],tabela_registros[REGISTRO],DADOS!$N$5,tabela_registros[TIPO],DADOS!$AB$4,tabela_registros[CATEGORIA],investirrendavariávelconsolidadojul[[#This Row],[ATUAL]])</f>
        <v>0</v>
      </c>
      <c r="AF138" s="91">
        <f>SUMIFS(tabela_registros[VALOR],tabela_registros[MÊS],$AE$1,tabela_registros[DIA],investirrendavariávelconsolidadojul[[#Headers],[28]],tabela_registros[REGISTRO],DADOS!$N$5,tabela_registros[TIPO],DADOS!$AB$4,tabela_registros[CATEGORIA],investirrendavariávelconsolidadojul[[#This Row],[ATUAL]])</f>
        <v>0</v>
      </c>
      <c r="AG138" s="91">
        <f>SUMIFS(tabela_registros[VALOR],tabela_registros[MÊS],$AE$1,tabela_registros[DIA],investirrendavariávelconsolidadojul[[#Headers],[29]],tabela_registros[REGISTRO],DADOS!$N$5,tabela_registros[TIPO],DADOS!$AB$4,tabela_registros[CATEGORIA],investirrendavariávelconsolidadojul[[#This Row],[ATUAL]])</f>
        <v>0</v>
      </c>
      <c r="AH138" s="91">
        <f>SUMIFS(tabela_registros[VALOR],tabela_registros[MÊS],$AE$1,tabela_registros[DIA],investirrendavariávelconsolidadojul[[#Headers],[30]],tabela_registros[REGISTRO],DADOS!$N$5,tabela_registros[TIPO],DADOS!$AB$4,tabela_registros[CATEGORIA],investirrendavariávelconsolidadojul[[#This Row],[ATUAL]])</f>
        <v>0</v>
      </c>
      <c r="AI138" s="101">
        <f>SUMIFS(tabela_registros[VALOR],tabela_registros[MÊS],$AE$1,tabela_registros[DIA],investirrendavariávelconsolidadojul[[#Headers],[31]],tabela_registros[REGISTRO],DADOS!$N$5,tabela_registros[TIPO],DADOS!$AB$4,tabela_registros[CATEGORIA],investirrendavariávelconsolidadojul[[#This Row],[ATUAL]])</f>
        <v>0</v>
      </c>
      <c r="AJ138" s="104">
        <f>SUM(investirrendavariávelconsolidadojul[[#This Row],[1]:[31]])</f>
        <v>0</v>
      </c>
      <c r="AK138" s="25"/>
    </row>
    <row r="139" spans="2:37" ht="19.5" customHeight="1" thickTop="1" thickBot="1" x14ac:dyDescent="0.3">
      <c r="B139" s="28"/>
      <c r="C139" s="27" t="str">
        <f>DADOS!$AF$10</f>
        <v>📝 FII</v>
      </c>
      <c r="D139" s="26" t="str">
        <f>IF(investirrendavariávelconsolidadojul[[#This Row],[TOTAL (R$)]]=0,"",IF(OR(investirrendavariávelconsolidadojul[[#This Row],[TOTAL (R$)]]=LARGE($AJ$132:$AJ$141,1),investirrendavariávelconsolidadojul[[#This Row],[TOTAL (R$)]]=LARGE($AJ$132:$AJ$141,2)),DADOS!$I$10,""))</f>
        <v/>
      </c>
      <c r="E139" s="96">
        <f>SUMIFS(tabela_registros[VALOR],tabela_registros[MÊS],$AE$1,tabela_registros[DIA],investirrendavariávelconsolidadojul[[#Headers],[1]],tabela_registros[REGISTRO],DADOS!$N$5,tabela_registros[TIPO],DADOS!$AB$4,tabela_registros[CATEGORIA],investirrendavariávelconsolidadojul[[#This Row],[ATUAL]])</f>
        <v>0</v>
      </c>
      <c r="F139" s="91">
        <f>SUMIFS(tabela_registros[VALOR],tabela_registros[MÊS],$AE$1,tabela_registros[DIA],investirrendavariávelconsolidadojul[[#Headers],[2]],tabela_registros[REGISTRO],DADOS!$N$5,tabela_registros[TIPO],DADOS!$AB$4,tabela_registros[CATEGORIA],investirrendavariávelconsolidadojul[[#This Row],[ATUAL]])</f>
        <v>0</v>
      </c>
      <c r="G139" s="91">
        <f>SUMIFS(tabela_registros[VALOR],tabela_registros[MÊS],$AE$1,tabela_registros[DIA],investirrendavariávelconsolidadojul[[#Headers],[3]],tabela_registros[REGISTRO],DADOS!$N$5,tabela_registros[TIPO],DADOS!$AB$4,tabela_registros[CATEGORIA],investirrendavariávelconsolidadojul[[#This Row],[ATUAL]])</f>
        <v>0</v>
      </c>
      <c r="H139" s="91">
        <f>SUMIFS(tabela_registros[VALOR],tabela_registros[MÊS],$AE$1,tabela_registros[DIA],investirrendavariávelconsolidadojul[[#Headers],[4]],tabela_registros[REGISTRO],DADOS!$N$5,tabela_registros[TIPO],DADOS!$AB$4,tabela_registros[CATEGORIA],investirrendavariávelconsolidadojul[[#This Row],[ATUAL]])</f>
        <v>0</v>
      </c>
      <c r="I139" s="91">
        <f>SUMIFS(tabela_registros[VALOR],tabela_registros[MÊS],$AE$1,tabela_registros[DIA],investirrendavariávelconsolidadojul[[#Headers],[5]],tabela_registros[REGISTRO],DADOS!$N$5,tabela_registros[TIPO],DADOS!$AB$4,tabela_registros[CATEGORIA],investirrendavariávelconsolidadojul[[#This Row],[ATUAL]])</f>
        <v>0</v>
      </c>
      <c r="J139" s="91">
        <f>SUMIFS(tabela_registros[VALOR],tabela_registros[MÊS],$AE$1,tabela_registros[DIA],investirrendavariávelconsolidadojul[[#Headers],[6]],tabela_registros[REGISTRO],DADOS!$N$5,tabela_registros[TIPO],DADOS!$AB$4,tabela_registros[CATEGORIA],investirrendavariávelconsolidadojul[[#This Row],[ATUAL]])</f>
        <v>0</v>
      </c>
      <c r="K139" s="91">
        <f>SUMIFS(tabela_registros[VALOR],tabela_registros[MÊS],$AE$1,tabela_registros[DIA],investirrendavariávelconsolidadojul[[#Headers],[7]],tabela_registros[REGISTRO],DADOS!$N$5,tabela_registros[TIPO],DADOS!$AB$4,tabela_registros[CATEGORIA],investirrendavariávelconsolidadojul[[#This Row],[ATUAL]])</f>
        <v>0</v>
      </c>
      <c r="L139" s="91">
        <f>SUMIFS(tabela_registros[VALOR],tabela_registros[MÊS],$AE$1,tabela_registros[DIA],investirrendavariávelconsolidadojul[[#Headers],[8]],tabela_registros[REGISTRO],DADOS!$N$5,tabela_registros[TIPO],DADOS!$AB$4,tabela_registros[CATEGORIA],investirrendavariávelconsolidadojul[[#This Row],[ATUAL]])</f>
        <v>0</v>
      </c>
      <c r="M139" s="91">
        <f>SUMIFS(tabela_registros[VALOR],tabela_registros[MÊS],$AE$1,tabela_registros[DIA],investirrendavariávelconsolidadojul[[#Headers],[9]],tabela_registros[REGISTRO],DADOS!$N$5,tabela_registros[TIPO],DADOS!$AB$4,tabela_registros[CATEGORIA],investirrendavariávelconsolidadojul[[#This Row],[ATUAL]])</f>
        <v>0</v>
      </c>
      <c r="N139" s="91">
        <f>SUMIFS(tabela_registros[VALOR],tabela_registros[MÊS],$AE$1,tabela_registros[DIA],investirrendavariávelconsolidadojul[[#Headers],[10]],tabela_registros[REGISTRO],DADOS!$N$5,tabela_registros[TIPO],DADOS!$AB$4,tabela_registros[CATEGORIA],investirrendavariávelconsolidadojul[[#This Row],[ATUAL]])</f>
        <v>0</v>
      </c>
      <c r="O139" s="91">
        <f>SUMIFS(tabela_registros[VALOR],tabela_registros[MÊS],$AE$1,tabela_registros[DIA],investirrendavariávelconsolidadojul[[#Headers],[11]],tabela_registros[REGISTRO],DADOS!$N$5,tabela_registros[TIPO],DADOS!$AB$4,tabela_registros[CATEGORIA],investirrendavariávelconsolidadojul[[#This Row],[ATUAL]])</f>
        <v>0</v>
      </c>
      <c r="P139" s="91">
        <f>SUMIFS(tabela_registros[VALOR],tabela_registros[MÊS],$AE$1,tabela_registros[DIA],investirrendavariávelconsolidadojul[[#Headers],[12]],tabela_registros[REGISTRO],DADOS!$N$5,tabela_registros[TIPO],DADOS!$AB$4,tabela_registros[CATEGORIA],investirrendavariávelconsolidadojul[[#This Row],[ATUAL]])</f>
        <v>0</v>
      </c>
      <c r="Q139" s="91">
        <f>SUMIFS(tabela_registros[VALOR],tabela_registros[MÊS],$AE$1,tabela_registros[DIA],investirrendavariávelconsolidadojul[[#Headers],[13]],tabela_registros[REGISTRO],DADOS!$N$5,tabela_registros[TIPO],DADOS!$AB$4,tabela_registros[CATEGORIA],investirrendavariávelconsolidadojul[[#This Row],[ATUAL]])</f>
        <v>0</v>
      </c>
      <c r="R139" s="91">
        <f>SUMIFS(tabela_registros[VALOR],tabela_registros[MÊS],$AE$1,tabela_registros[DIA],investirrendavariávelconsolidadojul[[#Headers],[14]],tabela_registros[REGISTRO],DADOS!$N$5,tabela_registros[TIPO],DADOS!$AB$4,tabela_registros[CATEGORIA],investirrendavariávelconsolidadojul[[#This Row],[ATUAL]])</f>
        <v>0</v>
      </c>
      <c r="S139" s="91">
        <f>SUMIFS(tabela_registros[VALOR],tabela_registros[MÊS],$AE$1,tabela_registros[DIA],investirrendavariávelconsolidadojul[[#Headers],[15]],tabela_registros[REGISTRO],DADOS!$N$5,tabela_registros[TIPO],DADOS!$AB$4,tabela_registros[CATEGORIA],investirrendavariávelconsolidadojul[[#This Row],[ATUAL]])</f>
        <v>0</v>
      </c>
      <c r="T139" s="91">
        <f>SUMIFS(tabela_registros[VALOR],tabela_registros[MÊS],$AE$1,tabela_registros[DIA],investirrendavariávelconsolidadojul[[#Headers],[16]],tabela_registros[REGISTRO],DADOS!$N$5,tabela_registros[TIPO],DADOS!$AB$4,tabela_registros[CATEGORIA],investirrendavariávelconsolidadojul[[#This Row],[ATUAL]])</f>
        <v>0</v>
      </c>
      <c r="U139" s="91">
        <f>SUMIFS(tabela_registros[VALOR],tabela_registros[MÊS],$AE$1,tabela_registros[DIA],investirrendavariávelconsolidadojul[[#Headers],[17]],tabela_registros[REGISTRO],DADOS!$N$5,tabela_registros[TIPO],DADOS!$AB$4,tabela_registros[CATEGORIA],investirrendavariávelconsolidadojul[[#This Row],[ATUAL]])</f>
        <v>0</v>
      </c>
      <c r="V139" s="91">
        <f>SUMIFS(tabela_registros[VALOR],tabela_registros[MÊS],$AE$1,tabela_registros[DIA],investirrendavariávelconsolidadojul[[#Headers],[18]],tabela_registros[REGISTRO],DADOS!$N$5,tabela_registros[TIPO],DADOS!$AB$4,tabela_registros[CATEGORIA],investirrendavariávelconsolidadojul[[#This Row],[ATUAL]])</f>
        <v>0</v>
      </c>
      <c r="W139" s="91">
        <f>SUMIFS(tabela_registros[VALOR],tabela_registros[MÊS],$AE$1,tabela_registros[DIA],investirrendavariávelconsolidadojul[[#Headers],[19]],tabela_registros[REGISTRO],DADOS!$N$5,tabela_registros[TIPO],DADOS!$AB$4,tabela_registros[CATEGORIA],investirrendavariávelconsolidadojul[[#This Row],[ATUAL]])</f>
        <v>0</v>
      </c>
      <c r="X139" s="91">
        <f>SUMIFS(tabela_registros[VALOR],tabela_registros[MÊS],$AE$1,tabela_registros[DIA],investirrendavariávelconsolidadojul[[#Headers],[20]],tabela_registros[REGISTRO],DADOS!$N$5,tabela_registros[TIPO],DADOS!$AB$4,tabela_registros[CATEGORIA],investirrendavariávelconsolidadojul[[#This Row],[ATUAL]])</f>
        <v>0</v>
      </c>
      <c r="Y139" s="91">
        <f>SUMIFS(tabela_registros[VALOR],tabela_registros[MÊS],$AE$1,tabela_registros[DIA],investirrendavariávelconsolidadojul[[#Headers],[21]],tabela_registros[REGISTRO],DADOS!$N$5,tabela_registros[TIPO],DADOS!$AB$4,tabela_registros[CATEGORIA],investirrendavariávelconsolidadojul[[#This Row],[ATUAL]])</f>
        <v>0</v>
      </c>
      <c r="Z139" s="91">
        <f>SUMIFS(tabela_registros[VALOR],tabela_registros[MÊS],$AE$1,tabela_registros[DIA],investirrendavariávelconsolidadojul[[#Headers],[22]],tabela_registros[REGISTRO],DADOS!$N$5,tabela_registros[TIPO],DADOS!$AB$4,tabela_registros[CATEGORIA],investirrendavariávelconsolidadojul[[#This Row],[ATUAL]])</f>
        <v>0</v>
      </c>
      <c r="AA139" s="91">
        <f>SUMIFS(tabela_registros[VALOR],tabela_registros[MÊS],$AE$1,tabela_registros[DIA],investirrendavariávelconsolidadojul[[#Headers],[23]],tabela_registros[REGISTRO],DADOS!$N$5,tabela_registros[TIPO],DADOS!$AB$4,tabela_registros[CATEGORIA],investirrendavariávelconsolidadojul[[#This Row],[ATUAL]])</f>
        <v>0</v>
      </c>
      <c r="AB139" s="91">
        <f>SUMIFS(tabela_registros[VALOR],tabela_registros[MÊS],$AE$1,tabela_registros[DIA],investirrendavariávelconsolidadojul[[#Headers],[24]],tabela_registros[REGISTRO],DADOS!$N$5,tabela_registros[TIPO],DADOS!$AB$4,tabela_registros[CATEGORIA],investirrendavariávelconsolidadojul[[#This Row],[ATUAL]])</f>
        <v>0</v>
      </c>
      <c r="AC139" s="91">
        <f>SUMIFS(tabela_registros[VALOR],tabela_registros[MÊS],$AE$1,tabela_registros[DIA],investirrendavariávelconsolidadojul[[#Headers],[25]],tabela_registros[REGISTRO],DADOS!$N$5,tabela_registros[TIPO],DADOS!$AB$4,tabela_registros[CATEGORIA],investirrendavariávelconsolidadojul[[#This Row],[ATUAL]])</f>
        <v>0</v>
      </c>
      <c r="AD139" s="91">
        <f>SUMIFS(tabela_registros[VALOR],tabela_registros[MÊS],$AE$1,tabela_registros[DIA],investirrendavariávelconsolidadojul[[#Headers],[26]],tabela_registros[REGISTRO],DADOS!$N$5,tabela_registros[TIPO],DADOS!$AB$4,tabela_registros[CATEGORIA],investirrendavariávelconsolidadojul[[#This Row],[ATUAL]])</f>
        <v>0</v>
      </c>
      <c r="AE139" s="91">
        <f>SUMIFS(tabela_registros[VALOR],tabela_registros[MÊS],$AE$1,tabela_registros[DIA],investirrendavariávelconsolidadojul[[#Headers],[27]],tabela_registros[REGISTRO],DADOS!$N$5,tabela_registros[TIPO],DADOS!$AB$4,tabela_registros[CATEGORIA],investirrendavariávelconsolidadojul[[#This Row],[ATUAL]])</f>
        <v>0</v>
      </c>
      <c r="AF139" s="91">
        <f>SUMIFS(tabela_registros[VALOR],tabela_registros[MÊS],$AE$1,tabela_registros[DIA],investirrendavariávelconsolidadojul[[#Headers],[28]],tabela_registros[REGISTRO],DADOS!$N$5,tabela_registros[TIPO],DADOS!$AB$4,tabela_registros[CATEGORIA],investirrendavariávelconsolidadojul[[#This Row],[ATUAL]])</f>
        <v>0</v>
      </c>
      <c r="AG139" s="91">
        <f>SUMIFS(tabela_registros[VALOR],tabela_registros[MÊS],$AE$1,tabela_registros[DIA],investirrendavariávelconsolidadojul[[#Headers],[29]],tabela_registros[REGISTRO],DADOS!$N$5,tabela_registros[TIPO],DADOS!$AB$4,tabela_registros[CATEGORIA],investirrendavariávelconsolidadojul[[#This Row],[ATUAL]])</f>
        <v>0</v>
      </c>
      <c r="AH139" s="91">
        <f>SUMIFS(tabela_registros[VALOR],tabela_registros[MÊS],$AE$1,tabela_registros[DIA],investirrendavariávelconsolidadojul[[#Headers],[30]],tabela_registros[REGISTRO],DADOS!$N$5,tabela_registros[TIPO],DADOS!$AB$4,tabela_registros[CATEGORIA],investirrendavariávelconsolidadojul[[#This Row],[ATUAL]])</f>
        <v>0</v>
      </c>
      <c r="AI139" s="101">
        <f>SUMIFS(tabela_registros[VALOR],tabela_registros[MÊS],$AE$1,tabela_registros[DIA],investirrendavariávelconsolidadojul[[#Headers],[31]],tabela_registros[REGISTRO],DADOS!$N$5,tabela_registros[TIPO],DADOS!$AB$4,tabela_registros[CATEGORIA],investirrendavariávelconsolidadojul[[#This Row],[ATUAL]])</f>
        <v>0</v>
      </c>
      <c r="AJ139" s="104">
        <f>SUM(investirrendavariávelconsolidadojul[[#This Row],[1]:[31]])</f>
        <v>0</v>
      </c>
      <c r="AK139" s="25"/>
    </row>
    <row r="140" spans="2:37" ht="19.5" customHeight="1" thickTop="1" thickBot="1" x14ac:dyDescent="0.3">
      <c r="B140" s="28"/>
      <c r="C140" s="27" t="str">
        <f>DADOS!$AF$11</f>
        <v>📝 MOEDA</v>
      </c>
      <c r="D140" s="26" t="str">
        <f>IF(investirrendavariávelconsolidadojul[[#This Row],[TOTAL (R$)]]=0,"",IF(OR(investirrendavariávelconsolidadojul[[#This Row],[TOTAL (R$)]]=LARGE($AJ$132:$AJ$141,1),investirrendavariávelconsolidadojul[[#This Row],[TOTAL (R$)]]=LARGE($AJ$132:$AJ$141,2)),DADOS!$I$10,""))</f>
        <v/>
      </c>
      <c r="E140" s="96">
        <f>SUMIFS(tabela_registros[VALOR],tabela_registros[MÊS],$AE$1,tabela_registros[DIA],investirrendavariávelconsolidadojul[[#Headers],[1]],tabela_registros[REGISTRO],DADOS!$N$5,tabela_registros[TIPO],DADOS!$AB$4,tabela_registros[CATEGORIA],investirrendavariávelconsolidadojul[[#This Row],[ATUAL]])</f>
        <v>0</v>
      </c>
      <c r="F140" s="91">
        <f>SUMIFS(tabela_registros[VALOR],tabela_registros[MÊS],$AE$1,tabela_registros[DIA],investirrendavariávelconsolidadojul[[#Headers],[2]],tabela_registros[REGISTRO],DADOS!$N$5,tabela_registros[TIPO],DADOS!$AB$4,tabela_registros[CATEGORIA],investirrendavariávelconsolidadojul[[#This Row],[ATUAL]])</f>
        <v>0</v>
      </c>
      <c r="G140" s="91">
        <f>SUMIFS(tabela_registros[VALOR],tabela_registros[MÊS],$AE$1,tabela_registros[DIA],investirrendavariávelconsolidadojul[[#Headers],[3]],tabela_registros[REGISTRO],DADOS!$N$5,tabela_registros[TIPO],DADOS!$AB$4,tabela_registros[CATEGORIA],investirrendavariávelconsolidadojul[[#This Row],[ATUAL]])</f>
        <v>0</v>
      </c>
      <c r="H140" s="91">
        <f>SUMIFS(tabela_registros[VALOR],tabela_registros[MÊS],$AE$1,tabela_registros[DIA],investirrendavariávelconsolidadojul[[#Headers],[4]],tabela_registros[REGISTRO],DADOS!$N$5,tabela_registros[TIPO],DADOS!$AB$4,tabela_registros[CATEGORIA],investirrendavariávelconsolidadojul[[#This Row],[ATUAL]])</f>
        <v>0</v>
      </c>
      <c r="I140" s="91">
        <f>SUMIFS(tabela_registros[VALOR],tabela_registros[MÊS],$AE$1,tabela_registros[DIA],investirrendavariávelconsolidadojul[[#Headers],[5]],tabela_registros[REGISTRO],DADOS!$N$5,tabela_registros[TIPO],DADOS!$AB$4,tabela_registros[CATEGORIA],investirrendavariávelconsolidadojul[[#This Row],[ATUAL]])</f>
        <v>0</v>
      </c>
      <c r="J140" s="91">
        <f>SUMIFS(tabela_registros[VALOR],tabela_registros[MÊS],$AE$1,tabela_registros[DIA],investirrendavariávelconsolidadojul[[#Headers],[6]],tabela_registros[REGISTRO],DADOS!$N$5,tabela_registros[TIPO],DADOS!$AB$4,tabela_registros[CATEGORIA],investirrendavariávelconsolidadojul[[#This Row],[ATUAL]])</f>
        <v>0</v>
      </c>
      <c r="K140" s="91">
        <f>SUMIFS(tabela_registros[VALOR],tabela_registros[MÊS],$AE$1,tabela_registros[DIA],investirrendavariávelconsolidadojul[[#Headers],[7]],tabela_registros[REGISTRO],DADOS!$N$5,tabela_registros[TIPO],DADOS!$AB$4,tabela_registros[CATEGORIA],investirrendavariávelconsolidadojul[[#This Row],[ATUAL]])</f>
        <v>0</v>
      </c>
      <c r="L140" s="91">
        <f>SUMIFS(tabela_registros[VALOR],tabela_registros[MÊS],$AE$1,tabela_registros[DIA],investirrendavariávelconsolidadojul[[#Headers],[8]],tabela_registros[REGISTRO],DADOS!$N$5,tabela_registros[TIPO],DADOS!$AB$4,tabela_registros[CATEGORIA],investirrendavariávelconsolidadojul[[#This Row],[ATUAL]])</f>
        <v>0</v>
      </c>
      <c r="M140" s="91">
        <f>SUMIFS(tabela_registros[VALOR],tabela_registros[MÊS],$AE$1,tabela_registros[DIA],investirrendavariávelconsolidadojul[[#Headers],[9]],tabela_registros[REGISTRO],DADOS!$N$5,tabela_registros[TIPO],DADOS!$AB$4,tabela_registros[CATEGORIA],investirrendavariávelconsolidadojul[[#This Row],[ATUAL]])</f>
        <v>0</v>
      </c>
      <c r="N140" s="91">
        <f>SUMIFS(tabela_registros[VALOR],tabela_registros[MÊS],$AE$1,tabela_registros[DIA],investirrendavariávelconsolidadojul[[#Headers],[10]],tabela_registros[REGISTRO],DADOS!$N$5,tabela_registros[TIPO],DADOS!$AB$4,tabela_registros[CATEGORIA],investirrendavariávelconsolidadojul[[#This Row],[ATUAL]])</f>
        <v>0</v>
      </c>
      <c r="O140" s="91">
        <f>SUMIFS(tabela_registros[VALOR],tabela_registros[MÊS],$AE$1,tabela_registros[DIA],investirrendavariávelconsolidadojul[[#Headers],[11]],tabela_registros[REGISTRO],DADOS!$N$5,tabela_registros[TIPO],DADOS!$AB$4,tabela_registros[CATEGORIA],investirrendavariávelconsolidadojul[[#This Row],[ATUAL]])</f>
        <v>0</v>
      </c>
      <c r="P140" s="91">
        <f>SUMIFS(tabela_registros[VALOR],tabela_registros[MÊS],$AE$1,tabela_registros[DIA],investirrendavariávelconsolidadojul[[#Headers],[12]],tabela_registros[REGISTRO],DADOS!$N$5,tabela_registros[TIPO],DADOS!$AB$4,tabela_registros[CATEGORIA],investirrendavariávelconsolidadojul[[#This Row],[ATUAL]])</f>
        <v>0</v>
      </c>
      <c r="Q140" s="91">
        <f>SUMIFS(tabela_registros[VALOR],tabela_registros[MÊS],$AE$1,tabela_registros[DIA],investirrendavariávelconsolidadojul[[#Headers],[13]],tabela_registros[REGISTRO],DADOS!$N$5,tabela_registros[TIPO],DADOS!$AB$4,tabela_registros[CATEGORIA],investirrendavariávelconsolidadojul[[#This Row],[ATUAL]])</f>
        <v>0</v>
      </c>
      <c r="R140" s="91">
        <f>SUMIFS(tabela_registros[VALOR],tabela_registros[MÊS],$AE$1,tabela_registros[DIA],investirrendavariávelconsolidadojul[[#Headers],[14]],tabela_registros[REGISTRO],DADOS!$N$5,tabela_registros[TIPO],DADOS!$AB$4,tabela_registros[CATEGORIA],investirrendavariávelconsolidadojul[[#This Row],[ATUAL]])</f>
        <v>0</v>
      </c>
      <c r="S140" s="91">
        <f>SUMIFS(tabela_registros[VALOR],tabela_registros[MÊS],$AE$1,tabela_registros[DIA],investirrendavariávelconsolidadojul[[#Headers],[15]],tabela_registros[REGISTRO],DADOS!$N$5,tabela_registros[TIPO],DADOS!$AB$4,tabela_registros[CATEGORIA],investirrendavariávelconsolidadojul[[#This Row],[ATUAL]])</f>
        <v>0</v>
      </c>
      <c r="T140" s="91">
        <f>SUMIFS(tabela_registros[VALOR],tabela_registros[MÊS],$AE$1,tabela_registros[DIA],investirrendavariávelconsolidadojul[[#Headers],[16]],tabela_registros[REGISTRO],DADOS!$N$5,tabela_registros[TIPO],DADOS!$AB$4,tabela_registros[CATEGORIA],investirrendavariávelconsolidadojul[[#This Row],[ATUAL]])</f>
        <v>0</v>
      </c>
      <c r="U140" s="91">
        <f>SUMIFS(tabela_registros[VALOR],tabela_registros[MÊS],$AE$1,tabela_registros[DIA],investirrendavariávelconsolidadojul[[#Headers],[17]],tabela_registros[REGISTRO],DADOS!$N$5,tabela_registros[TIPO],DADOS!$AB$4,tabela_registros[CATEGORIA],investirrendavariávelconsolidadojul[[#This Row],[ATUAL]])</f>
        <v>0</v>
      </c>
      <c r="V140" s="91">
        <f>SUMIFS(tabela_registros[VALOR],tabela_registros[MÊS],$AE$1,tabela_registros[DIA],investirrendavariávelconsolidadojul[[#Headers],[18]],tabela_registros[REGISTRO],DADOS!$N$5,tabela_registros[TIPO],DADOS!$AB$4,tabela_registros[CATEGORIA],investirrendavariávelconsolidadojul[[#This Row],[ATUAL]])</f>
        <v>0</v>
      </c>
      <c r="W140" s="91">
        <f>SUMIFS(tabela_registros[VALOR],tabela_registros[MÊS],$AE$1,tabela_registros[DIA],investirrendavariávelconsolidadojul[[#Headers],[19]],tabela_registros[REGISTRO],DADOS!$N$5,tabela_registros[TIPO],DADOS!$AB$4,tabela_registros[CATEGORIA],investirrendavariávelconsolidadojul[[#This Row],[ATUAL]])</f>
        <v>0</v>
      </c>
      <c r="X140" s="91">
        <f>SUMIFS(tabela_registros[VALOR],tabela_registros[MÊS],$AE$1,tabela_registros[DIA],investirrendavariávelconsolidadojul[[#Headers],[20]],tabela_registros[REGISTRO],DADOS!$N$5,tabela_registros[TIPO],DADOS!$AB$4,tabela_registros[CATEGORIA],investirrendavariávelconsolidadojul[[#This Row],[ATUAL]])</f>
        <v>0</v>
      </c>
      <c r="Y140" s="91">
        <f>SUMIFS(tabela_registros[VALOR],tabela_registros[MÊS],$AE$1,tabela_registros[DIA],investirrendavariávelconsolidadojul[[#Headers],[21]],tabela_registros[REGISTRO],DADOS!$N$5,tabela_registros[TIPO],DADOS!$AB$4,tabela_registros[CATEGORIA],investirrendavariávelconsolidadojul[[#This Row],[ATUAL]])</f>
        <v>0</v>
      </c>
      <c r="Z140" s="91">
        <f>SUMIFS(tabela_registros[VALOR],tabela_registros[MÊS],$AE$1,tabela_registros[DIA],investirrendavariávelconsolidadojul[[#Headers],[22]],tabela_registros[REGISTRO],DADOS!$N$5,tabela_registros[TIPO],DADOS!$AB$4,tabela_registros[CATEGORIA],investirrendavariávelconsolidadojul[[#This Row],[ATUAL]])</f>
        <v>0</v>
      </c>
      <c r="AA140" s="91">
        <f>SUMIFS(tabela_registros[VALOR],tabela_registros[MÊS],$AE$1,tabela_registros[DIA],investirrendavariávelconsolidadojul[[#Headers],[23]],tabela_registros[REGISTRO],DADOS!$N$5,tabela_registros[TIPO],DADOS!$AB$4,tabela_registros[CATEGORIA],investirrendavariávelconsolidadojul[[#This Row],[ATUAL]])</f>
        <v>0</v>
      </c>
      <c r="AB140" s="91">
        <f>SUMIFS(tabela_registros[VALOR],tabela_registros[MÊS],$AE$1,tabela_registros[DIA],investirrendavariávelconsolidadojul[[#Headers],[24]],tabela_registros[REGISTRO],DADOS!$N$5,tabela_registros[TIPO],DADOS!$AB$4,tabela_registros[CATEGORIA],investirrendavariávelconsolidadojul[[#This Row],[ATUAL]])</f>
        <v>0</v>
      </c>
      <c r="AC140" s="91">
        <f>SUMIFS(tabela_registros[VALOR],tabela_registros[MÊS],$AE$1,tabela_registros[DIA],investirrendavariávelconsolidadojul[[#Headers],[25]],tabela_registros[REGISTRO],DADOS!$N$5,tabela_registros[TIPO],DADOS!$AB$4,tabela_registros[CATEGORIA],investirrendavariávelconsolidadojul[[#This Row],[ATUAL]])</f>
        <v>0</v>
      </c>
      <c r="AD140" s="91">
        <f>SUMIFS(tabela_registros[VALOR],tabela_registros[MÊS],$AE$1,tabela_registros[DIA],investirrendavariávelconsolidadojul[[#Headers],[26]],tabela_registros[REGISTRO],DADOS!$N$5,tabela_registros[TIPO],DADOS!$AB$4,tabela_registros[CATEGORIA],investirrendavariávelconsolidadojul[[#This Row],[ATUAL]])</f>
        <v>0</v>
      </c>
      <c r="AE140" s="91">
        <f>SUMIFS(tabela_registros[VALOR],tabela_registros[MÊS],$AE$1,tabela_registros[DIA],investirrendavariávelconsolidadojul[[#Headers],[27]],tabela_registros[REGISTRO],DADOS!$N$5,tabela_registros[TIPO],DADOS!$AB$4,tabela_registros[CATEGORIA],investirrendavariávelconsolidadojul[[#This Row],[ATUAL]])</f>
        <v>0</v>
      </c>
      <c r="AF140" s="91">
        <f>SUMIFS(tabela_registros[VALOR],tabela_registros[MÊS],$AE$1,tabela_registros[DIA],investirrendavariávelconsolidadojul[[#Headers],[28]],tabela_registros[REGISTRO],DADOS!$N$5,tabela_registros[TIPO],DADOS!$AB$4,tabela_registros[CATEGORIA],investirrendavariávelconsolidadojul[[#This Row],[ATUAL]])</f>
        <v>0</v>
      </c>
      <c r="AG140" s="91">
        <f>SUMIFS(tabela_registros[VALOR],tabela_registros[MÊS],$AE$1,tabela_registros[DIA],investirrendavariávelconsolidadojul[[#Headers],[29]],tabela_registros[REGISTRO],DADOS!$N$5,tabela_registros[TIPO],DADOS!$AB$4,tabela_registros[CATEGORIA],investirrendavariávelconsolidadojul[[#This Row],[ATUAL]])</f>
        <v>0</v>
      </c>
      <c r="AH140" s="91">
        <f>SUMIFS(tabela_registros[VALOR],tabela_registros[MÊS],$AE$1,tabela_registros[DIA],investirrendavariávelconsolidadojul[[#Headers],[30]],tabela_registros[REGISTRO],DADOS!$N$5,tabela_registros[TIPO],DADOS!$AB$4,tabela_registros[CATEGORIA],investirrendavariávelconsolidadojul[[#This Row],[ATUAL]])</f>
        <v>0</v>
      </c>
      <c r="AI140" s="101">
        <f>SUMIFS(tabela_registros[VALOR],tabela_registros[MÊS],$AE$1,tabela_registros[DIA],investirrendavariávelconsolidadojul[[#Headers],[31]],tabela_registros[REGISTRO],DADOS!$N$5,tabela_registros[TIPO],DADOS!$AB$4,tabela_registros[CATEGORIA],investirrendavariávelconsolidadojul[[#This Row],[ATUAL]])</f>
        <v>0</v>
      </c>
      <c r="AJ140" s="104">
        <f>SUM(investirrendavariávelconsolidadojul[[#This Row],[1]:[31]])</f>
        <v>0</v>
      </c>
      <c r="AK140" s="25"/>
    </row>
    <row r="141" spans="2:37" ht="19.5" customHeight="1" thickTop="1" thickBot="1" x14ac:dyDescent="0.3">
      <c r="B141" s="28"/>
      <c r="C141" s="27" t="str">
        <f>DADOS!$AF$12</f>
        <v>📎 OUTROS</v>
      </c>
      <c r="D141" s="26" t="str">
        <f>IF(investirrendavariávelconsolidadojul[[#This Row],[TOTAL (R$)]]=0,"",IF(OR(investirrendavariávelconsolidadojul[[#This Row],[TOTAL (R$)]]=LARGE($AJ$132:$AJ$141,1),investirrendavariávelconsolidadojul[[#This Row],[TOTAL (R$)]]=LARGE($AJ$132:$AJ$141,2)),DADOS!$I$10,""))</f>
        <v/>
      </c>
      <c r="E141" s="96">
        <f>SUMIFS(tabela_registros[VALOR],tabela_registros[MÊS],$AE$1,tabela_registros[DIA],investirrendavariávelconsolidadojul[[#Headers],[1]],tabela_registros[REGISTRO],DADOS!$N$5,tabela_registros[TIPO],DADOS!$AB$4,tabela_registros[CATEGORIA],investirrendavariávelconsolidadojul[[#This Row],[ATUAL]])</f>
        <v>0</v>
      </c>
      <c r="F141" s="91">
        <f>SUMIFS(tabela_registros[VALOR],tabela_registros[MÊS],$AE$1,tabela_registros[DIA],investirrendavariávelconsolidadojul[[#Headers],[2]],tabela_registros[REGISTRO],DADOS!$N$5,tabela_registros[TIPO],DADOS!$AB$4,tabela_registros[CATEGORIA],investirrendavariávelconsolidadojul[[#This Row],[ATUAL]])</f>
        <v>0</v>
      </c>
      <c r="G141" s="91">
        <f>SUMIFS(tabela_registros[VALOR],tabela_registros[MÊS],$AE$1,tabela_registros[DIA],investirrendavariávelconsolidadojul[[#Headers],[3]],tabela_registros[REGISTRO],DADOS!$N$5,tabela_registros[TIPO],DADOS!$AB$4,tabela_registros[CATEGORIA],investirrendavariávelconsolidadojul[[#This Row],[ATUAL]])</f>
        <v>0</v>
      </c>
      <c r="H141" s="91">
        <f>SUMIFS(tabela_registros[VALOR],tabela_registros[MÊS],$AE$1,tabela_registros[DIA],investirrendavariávelconsolidadojul[[#Headers],[4]],tabela_registros[REGISTRO],DADOS!$N$5,tabela_registros[TIPO],DADOS!$AB$4,tabela_registros[CATEGORIA],investirrendavariávelconsolidadojul[[#This Row],[ATUAL]])</f>
        <v>0</v>
      </c>
      <c r="I141" s="91">
        <f>SUMIFS(tabela_registros[VALOR],tabela_registros[MÊS],$AE$1,tabela_registros[DIA],investirrendavariávelconsolidadojul[[#Headers],[5]],tabela_registros[REGISTRO],DADOS!$N$5,tabela_registros[TIPO],DADOS!$AB$4,tabela_registros[CATEGORIA],investirrendavariávelconsolidadojul[[#This Row],[ATUAL]])</f>
        <v>0</v>
      </c>
      <c r="J141" s="91">
        <f>SUMIFS(tabela_registros[VALOR],tabela_registros[MÊS],$AE$1,tabela_registros[DIA],investirrendavariávelconsolidadojul[[#Headers],[6]],tabela_registros[REGISTRO],DADOS!$N$5,tabela_registros[TIPO],DADOS!$AB$4,tabela_registros[CATEGORIA],investirrendavariávelconsolidadojul[[#This Row],[ATUAL]])</f>
        <v>0</v>
      </c>
      <c r="K141" s="91">
        <f>SUMIFS(tabela_registros[VALOR],tabela_registros[MÊS],$AE$1,tabela_registros[DIA],investirrendavariávelconsolidadojul[[#Headers],[7]],tabela_registros[REGISTRO],DADOS!$N$5,tabela_registros[TIPO],DADOS!$AB$4,tabela_registros[CATEGORIA],investirrendavariávelconsolidadojul[[#This Row],[ATUAL]])</f>
        <v>0</v>
      </c>
      <c r="L141" s="91">
        <f>SUMIFS(tabela_registros[VALOR],tabela_registros[MÊS],$AE$1,tabela_registros[DIA],investirrendavariávelconsolidadojul[[#Headers],[8]],tabela_registros[REGISTRO],DADOS!$N$5,tabela_registros[TIPO],DADOS!$AB$4,tabela_registros[CATEGORIA],investirrendavariávelconsolidadojul[[#This Row],[ATUAL]])</f>
        <v>0</v>
      </c>
      <c r="M141" s="91">
        <f>SUMIFS(tabela_registros[VALOR],tabela_registros[MÊS],$AE$1,tabela_registros[DIA],investirrendavariávelconsolidadojul[[#Headers],[9]],tabela_registros[REGISTRO],DADOS!$N$5,tabela_registros[TIPO],DADOS!$AB$4,tabela_registros[CATEGORIA],investirrendavariávelconsolidadojul[[#This Row],[ATUAL]])</f>
        <v>0</v>
      </c>
      <c r="N141" s="91">
        <f>SUMIFS(tabela_registros[VALOR],tabela_registros[MÊS],$AE$1,tabela_registros[DIA],investirrendavariávelconsolidadojul[[#Headers],[10]],tabela_registros[REGISTRO],DADOS!$N$5,tabela_registros[TIPO],DADOS!$AB$4,tabela_registros[CATEGORIA],investirrendavariávelconsolidadojul[[#This Row],[ATUAL]])</f>
        <v>0</v>
      </c>
      <c r="O141" s="91">
        <f>SUMIFS(tabela_registros[VALOR],tabela_registros[MÊS],$AE$1,tabela_registros[DIA],investirrendavariávelconsolidadojul[[#Headers],[11]],tabela_registros[REGISTRO],DADOS!$N$5,tabela_registros[TIPO],DADOS!$AB$4,tabela_registros[CATEGORIA],investirrendavariávelconsolidadojul[[#This Row],[ATUAL]])</f>
        <v>0</v>
      </c>
      <c r="P141" s="91">
        <f>SUMIFS(tabela_registros[VALOR],tabela_registros[MÊS],$AE$1,tabela_registros[DIA],investirrendavariávelconsolidadojul[[#Headers],[12]],tabela_registros[REGISTRO],DADOS!$N$5,tabela_registros[TIPO],DADOS!$AB$4,tabela_registros[CATEGORIA],investirrendavariávelconsolidadojul[[#This Row],[ATUAL]])</f>
        <v>0</v>
      </c>
      <c r="Q141" s="91">
        <f>SUMIFS(tabela_registros[VALOR],tabela_registros[MÊS],$AE$1,tabela_registros[DIA],investirrendavariávelconsolidadojul[[#Headers],[13]],tabela_registros[REGISTRO],DADOS!$N$5,tabela_registros[TIPO],DADOS!$AB$4,tabela_registros[CATEGORIA],investirrendavariávelconsolidadojul[[#This Row],[ATUAL]])</f>
        <v>0</v>
      </c>
      <c r="R141" s="91">
        <f>SUMIFS(tabela_registros[VALOR],tabela_registros[MÊS],$AE$1,tabela_registros[DIA],investirrendavariávelconsolidadojul[[#Headers],[14]],tabela_registros[REGISTRO],DADOS!$N$5,tabela_registros[TIPO],DADOS!$AB$4,tabela_registros[CATEGORIA],investirrendavariávelconsolidadojul[[#This Row],[ATUAL]])</f>
        <v>0</v>
      </c>
      <c r="S141" s="91">
        <f>SUMIFS(tabela_registros[VALOR],tabela_registros[MÊS],$AE$1,tabela_registros[DIA],investirrendavariávelconsolidadojul[[#Headers],[15]],tabela_registros[REGISTRO],DADOS!$N$5,tabela_registros[TIPO],DADOS!$AB$4,tabela_registros[CATEGORIA],investirrendavariávelconsolidadojul[[#This Row],[ATUAL]])</f>
        <v>0</v>
      </c>
      <c r="T141" s="91">
        <f>SUMIFS(tabela_registros[VALOR],tabela_registros[MÊS],$AE$1,tabela_registros[DIA],investirrendavariávelconsolidadojul[[#Headers],[16]],tabela_registros[REGISTRO],DADOS!$N$5,tabela_registros[TIPO],DADOS!$AB$4,tabela_registros[CATEGORIA],investirrendavariávelconsolidadojul[[#This Row],[ATUAL]])</f>
        <v>0</v>
      </c>
      <c r="U141" s="91">
        <f>SUMIFS(tabela_registros[VALOR],tabela_registros[MÊS],$AE$1,tabela_registros[DIA],investirrendavariávelconsolidadojul[[#Headers],[17]],tabela_registros[REGISTRO],DADOS!$N$5,tabela_registros[TIPO],DADOS!$AB$4,tabela_registros[CATEGORIA],investirrendavariávelconsolidadojul[[#This Row],[ATUAL]])</f>
        <v>0</v>
      </c>
      <c r="V141" s="91">
        <f>SUMIFS(tabela_registros[VALOR],tabela_registros[MÊS],$AE$1,tabela_registros[DIA],investirrendavariávelconsolidadojul[[#Headers],[18]],tabela_registros[REGISTRO],DADOS!$N$5,tabela_registros[TIPO],DADOS!$AB$4,tabela_registros[CATEGORIA],investirrendavariávelconsolidadojul[[#This Row],[ATUAL]])</f>
        <v>0</v>
      </c>
      <c r="W141" s="91">
        <f>SUMIFS(tabela_registros[VALOR],tabela_registros[MÊS],$AE$1,tabela_registros[DIA],investirrendavariávelconsolidadojul[[#Headers],[19]],tabela_registros[REGISTRO],DADOS!$N$5,tabela_registros[TIPO],DADOS!$AB$4,tabela_registros[CATEGORIA],investirrendavariávelconsolidadojul[[#This Row],[ATUAL]])</f>
        <v>0</v>
      </c>
      <c r="X141" s="91">
        <f>SUMIFS(tabela_registros[VALOR],tabela_registros[MÊS],$AE$1,tabela_registros[DIA],investirrendavariávelconsolidadojul[[#Headers],[20]],tabela_registros[REGISTRO],DADOS!$N$5,tabela_registros[TIPO],DADOS!$AB$4,tabela_registros[CATEGORIA],investirrendavariávelconsolidadojul[[#This Row],[ATUAL]])</f>
        <v>0</v>
      </c>
      <c r="Y141" s="91">
        <f>SUMIFS(tabela_registros[VALOR],tabela_registros[MÊS],$AE$1,tabela_registros[DIA],investirrendavariávelconsolidadojul[[#Headers],[21]],tabela_registros[REGISTRO],DADOS!$N$5,tabela_registros[TIPO],DADOS!$AB$4,tabela_registros[CATEGORIA],investirrendavariávelconsolidadojul[[#This Row],[ATUAL]])</f>
        <v>0</v>
      </c>
      <c r="Z141" s="91">
        <f>SUMIFS(tabela_registros[VALOR],tabela_registros[MÊS],$AE$1,tabela_registros[DIA],investirrendavariávelconsolidadojul[[#Headers],[22]],tabela_registros[REGISTRO],DADOS!$N$5,tabela_registros[TIPO],DADOS!$AB$4,tabela_registros[CATEGORIA],investirrendavariávelconsolidadojul[[#This Row],[ATUAL]])</f>
        <v>0</v>
      </c>
      <c r="AA141" s="91">
        <f>SUMIFS(tabela_registros[VALOR],tabela_registros[MÊS],$AE$1,tabela_registros[DIA],investirrendavariávelconsolidadojul[[#Headers],[23]],tabela_registros[REGISTRO],DADOS!$N$5,tabela_registros[TIPO],DADOS!$AB$4,tabela_registros[CATEGORIA],investirrendavariávelconsolidadojul[[#This Row],[ATUAL]])</f>
        <v>0</v>
      </c>
      <c r="AB141" s="91">
        <f>SUMIFS(tabela_registros[VALOR],tabela_registros[MÊS],$AE$1,tabela_registros[DIA],investirrendavariávelconsolidadojul[[#Headers],[24]],tabela_registros[REGISTRO],DADOS!$N$5,tabela_registros[TIPO],DADOS!$AB$4,tabela_registros[CATEGORIA],investirrendavariávelconsolidadojul[[#This Row],[ATUAL]])</f>
        <v>0</v>
      </c>
      <c r="AC141" s="91">
        <f>SUMIFS(tabela_registros[VALOR],tabela_registros[MÊS],$AE$1,tabela_registros[DIA],investirrendavariávelconsolidadojul[[#Headers],[25]],tabela_registros[REGISTRO],DADOS!$N$5,tabela_registros[TIPO],DADOS!$AB$4,tabela_registros[CATEGORIA],investirrendavariávelconsolidadojul[[#This Row],[ATUAL]])</f>
        <v>0</v>
      </c>
      <c r="AD141" s="91">
        <f>SUMIFS(tabela_registros[VALOR],tabela_registros[MÊS],$AE$1,tabela_registros[DIA],investirrendavariávelconsolidadojul[[#Headers],[26]],tabela_registros[REGISTRO],DADOS!$N$5,tabela_registros[TIPO],DADOS!$AB$4,tabela_registros[CATEGORIA],investirrendavariávelconsolidadojul[[#This Row],[ATUAL]])</f>
        <v>0</v>
      </c>
      <c r="AE141" s="91">
        <f>SUMIFS(tabela_registros[VALOR],tabela_registros[MÊS],$AE$1,tabela_registros[DIA],investirrendavariávelconsolidadojul[[#Headers],[27]],tabela_registros[REGISTRO],DADOS!$N$5,tabela_registros[TIPO],DADOS!$AB$4,tabela_registros[CATEGORIA],investirrendavariávelconsolidadojul[[#This Row],[ATUAL]])</f>
        <v>0</v>
      </c>
      <c r="AF141" s="91">
        <f>SUMIFS(tabela_registros[VALOR],tabela_registros[MÊS],$AE$1,tabela_registros[DIA],investirrendavariávelconsolidadojul[[#Headers],[28]],tabela_registros[REGISTRO],DADOS!$N$5,tabela_registros[TIPO],DADOS!$AB$4,tabela_registros[CATEGORIA],investirrendavariávelconsolidadojul[[#This Row],[ATUAL]])</f>
        <v>0</v>
      </c>
      <c r="AG141" s="91">
        <f>SUMIFS(tabela_registros[VALOR],tabela_registros[MÊS],$AE$1,tabela_registros[DIA],investirrendavariávelconsolidadojul[[#Headers],[29]],tabela_registros[REGISTRO],DADOS!$N$5,tabela_registros[TIPO],DADOS!$AB$4,tabela_registros[CATEGORIA],investirrendavariávelconsolidadojul[[#This Row],[ATUAL]])</f>
        <v>0</v>
      </c>
      <c r="AH141" s="91">
        <f>SUMIFS(tabela_registros[VALOR],tabela_registros[MÊS],$AE$1,tabela_registros[DIA],investirrendavariávelconsolidadojul[[#Headers],[30]],tabela_registros[REGISTRO],DADOS!$N$5,tabela_registros[TIPO],DADOS!$AB$4,tabela_registros[CATEGORIA],investirrendavariávelconsolidadojul[[#This Row],[ATUAL]])</f>
        <v>0</v>
      </c>
      <c r="AI141" s="102">
        <f>SUMIFS(tabela_registros[VALOR],tabela_registros[MÊS],$AE$1,tabela_registros[DIA],investirrendavariávelconsolidadojul[[#Headers],[31]],tabela_registros[REGISTRO],DADOS!$N$5,tabela_registros[TIPO],DADOS!$AB$4,tabela_registros[CATEGORIA],investirrendavariávelconsolidadojul[[#This Row],[ATUAL]])</f>
        <v>0</v>
      </c>
      <c r="AJ141" s="97">
        <f>SUM(investirrendavariávelconsolidadojul[[#This Row],[1]:[31]])</f>
        <v>0</v>
      </c>
      <c r="AK141" s="25"/>
    </row>
    <row r="142" spans="2:37" s="16" customFormat="1" ht="21" customHeight="1" thickTop="1" thickBot="1" x14ac:dyDescent="0.35">
      <c r="B142" s="24"/>
      <c r="C142" s="23" t="s">
        <v>19</v>
      </c>
      <c r="D142" s="22"/>
      <c r="E142" s="21">
        <f>SUM(E132:E141)</f>
        <v>0</v>
      </c>
      <c r="F142" s="20">
        <f>SUM(F132:F141)+investirrendavariávelconsolidadojul[[#This Row],[1]]</f>
        <v>0</v>
      </c>
      <c r="G142" s="20">
        <f>SUM(G132:G141)+investirrendavariávelconsolidadojul[[#This Row],[2]]</f>
        <v>0</v>
      </c>
      <c r="H142" s="20">
        <f>SUM(H132:H141)+investirrendavariávelconsolidadojul[[#This Row],[3]]</f>
        <v>0</v>
      </c>
      <c r="I142" s="20">
        <f>SUM(I132:I141)+investirrendavariávelconsolidadojul[[#This Row],[4]]</f>
        <v>0</v>
      </c>
      <c r="J142" s="20">
        <f>SUM(J132:J141)+investirrendavariávelconsolidadojul[[#This Row],[5]]</f>
        <v>0</v>
      </c>
      <c r="K142" s="20">
        <f>SUM(K132:K141)+investirrendavariávelconsolidadojul[[#This Row],[6]]</f>
        <v>0</v>
      </c>
      <c r="L142" s="20">
        <f>SUM(L132:L141)+investirrendavariávelconsolidadojul[[#This Row],[7]]</f>
        <v>0</v>
      </c>
      <c r="M142" s="20">
        <f>SUM(M132:M141)+investirrendavariávelconsolidadojul[[#This Row],[8]]</f>
        <v>0</v>
      </c>
      <c r="N142" s="20">
        <f>SUM(N132:N141)+investirrendavariávelconsolidadojul[[#This Row],[9]]</f>
        <v>0</v>
      </c>
      <c r="O142" s="20">
        <f>SUM(O132:O141)+investirrendavariávelconsolidadojul[[#This Row],[10]]</f>
        <v>0</v>
      </c>
      <c r="P142" s="20">
        <f>SUM(P132:P141)+investirrendavariávelconsolidadojul[[#This Row],[11]]</f>
        <v>0</v>
      </c>
      <c r="Q142" s="20">
        <f>SUM(Q132:Q141)+investirrendavariávelconsolidadojul[[#This Row],[12]]</f>
        <v>0</v>
      </c>
      <c r="R142" s="20">
        <f>SUM(R132:R141)+investirrendavariávelconsolidadojul[[#This Row],[13]]</f>
        <v>0</v>
      </c>
      <c r="S142" s="20">
        <f>SUM(S132:S141)+investirrendavariávelconsolidadojul[[#This Row],[14]]</f>
        <v>0</v>
      </c>
      <c r="T142" s="20">
        <f>SUM(T132:T141)+investirrendavariávelconsolidadojul[[#This Row],[15]]</f>
        <v>0</v>
      </c>
      <c r="U142" s="20">
        <f>SUM(U132:U141)+investirrendavariávelconsolidadojul[[#This Row],[16]]</f>
        <v>0</v>
      </c>
      <c r="V142" s="20">
        <f>SUM(V132:V141)+investirrendavariávelconsolidadojul[[#This Row],[17]]</f>
        <v>0</v>
      </c>
      <c r="W142" s="20">
        <f>SUM(W132:W141)+investirrendavariávelconsolidadojul[[#This Row],[18]]</f>
        <v>0</v>
      </c>
      <c r="X142" s="20">
        <f>SUM(X132:X141)+investirrendavariávelconsolidadojul[[#This Row],[19]]</f>
        <v>0</v>
      </c>
      <c r="Y142" s="20">
        <f>SUM(Y132:Y141)+investirrendavariávelconsolidadojul[[#This Row],[20]]</f>
        <v>0</v>
      </c>
      <c r="Z142" s="20">
        <f>SUM(Z132:Z141)+investirrendavariávelconsolidadojul[[#This Row],[21]]</f>
        <v>0</v>
      </c>
      <c r="AA142" s="20">
        <f>SUM(AA132:AA141)+investirrendavariávelconsolidadojul[[#This Row],[22]]</f>
        <v>0</v>
      </c>
      <c r="AB142" s="20">
        <f>SUM(AB132:AB141)+investirrendavariávelconsolidadojul[[#This Row],[23]]</f>
        <v>0</v>
      </c>
      <c r="AC142" s="20">
        <f>SUM(AC132:AC141)+investirrendavariávelconsolidadojul[[#This Row],[24]]</f>
        <v>0</v>
      </c>
      <c r="AD142" s="20">
        <f>SUM(AD132:AD141)+investirrendavariávelconsolidadojul[[#This Row],[25]]</f>
        <v>0</v>
      </c>
      <c r="AE142" s="20">
        <f>SUM(AE132:AE141)+investirrendavariávelconsolidadojul[[#This Row],[26]]</f>
        <v>0</v>
      </c>
      <c r="AF142" s="20">
        <f>SUM(AF132:AF141)+investirrendavariávelconsolidadojul[[#This Row],[27]]</f>
        <v>0</v>
      </c>
      <c r="AG142" s="20">
        <f>SUM(AG132:AG141)+investirrendavariávelconsolidadojul[[#This Row],[28]]</f>
        <v>0</v>
      </c>
      <c r="AH142" s="20">
        <f>SUM(AH132:AH141)+investirrendavariávelconsolidadojul[[#This Row],[29]]</f>
        <v>0</v>
      </c>
      <c r="AI142" s="19">
        <f>SUM(AI132:AI141)+investirrendavariávelconsolidadojul[[#This Row],[30]]</f>
        <v>0</v>
      </c>
      <c r="AJ142" s="18">
        <f>investirrendavariávelconsolidadojul[[#This Row],[31]]</f>
        <v>0</v>
      </c>
      <c r="AK142" s="17"/>
    </row>
    <row r="143" spans="2:37" ht="6.75" customHeight="1" thickTop="1" thickBot="1" x14ac:dyDescent="0.3">
      <c r="B143" s="15"/>
      <c r="C143" s="14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  <c r="AE143" s="13"/>
      <c r="AF143" s="13"/>
      <c r="AG143" s="13"/>
      <c r="AH143" s="13"/>
      <c r="AI143" s="12"/>
      <c r="AJ143" s="11"/>
      <c r="AK143" s="10"/>
    </row>
    <row r="144" spans="2:37" ht="12.6" thickTop="1" x14ac:dyDescent="0.25">
      <c r="E144" s="37"/>
      <c r="AI144" s="4"/>
    </row>
    <row r="145" spans="2:37" x14ac:dyDescent="0.25">
      <c r="AI145" s="4"/>
    </row>
    <row r="146" spans="2:37" x14ac:dyDescent="0.25">
      <c r="AI146" s="4"/>
    </row>
    <row r="147" spans="2:37" ht="39.75" customHeight="1" x14ac:dyDescent="0.7">
      <c r="C147" s="36"/>
      <c r="E147" s="240"/>
      <c r="F147" s="240"/>
      <c r="G147" s="240"/>
      <c r="H147" s="240"/>
      <c r="I147" s="240"/>
      <c r="J147" s="240"/>
      <c r="K147" s="240"/>
      <c r="L147" s="240"/>
      <c r="M147" s="240"/>
      <c r="N147" s="240"/>
      <c r="O147" s="240"/>
      <c r="P147" s="240"/>
      <c r="Q147" s="240"/>
      <c r="R147" s="240"/>
      <c r="S147" s="240"/>
      <c r="T147" s="240"/>
      <c r="U147" s="240"/>
      <c r="V147" s="240"/>
      <c r="W147" s="240"/>
      <c r="X147" s="240"/>
      <c r="Y147" s="240"/>
      <c r="Z147" s="240"/>
      <c r="AA147" s="240"/>
      <c r="AB147" s="240"/>
      <c r="AC147" s="240"/>
      <c r="AD147" s="240"/>
      <c r="AE147" s="240"/>
      <c r="AF147" s="240"/>
      <c r="AG147" s="240"/>
      <c r="AH147" s="240"/>
      <c r="AI147" s="240"/>
      <c r="AJ147" s="32" t="s">
        <v>19</v>
      </c>
    </row>
    <row r="148" spans="2:37" ht="12.6" thickBot="1" x14ac:dyDescent="0.3">
      <c r="B148" s="35"/>
      <c r="AI148" s="4"/>
      <c r="AJ148" s="34" t="s">
        <v>202</v>
      </c>
    </row>
    <row r="149" spans="2:37" ht="6.75" customHeight="1" thickTop="1" thickBot="1" x14ac:dyDescent="0.3">
      <c r="B149" s="2"/>
      <c r="C149" s="14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F149" s="13"/>
      <c r="AG149" s="13"/>
      <c r="AH149" s="13"/>
      <c r="AI149" s="13"/>
      <c r="AJ149" s="12"/>
      <c r="AK149" s="33"/>
    </row>
    <row r="150" spans="2:37" ht="13.2" hidden="1" thickTop="1" thickBot="1" x14ac:dyDescent="0.3">
      <c r="B150" s="2"/>
      <c r="C150" s="31" t="s">
        <v>199</v>
      </c>
      <c r="D150" s="30" t="s">
        <v>198</v>
      </c>
      <c r="E150" s="30" t="s">
        <v>197</v>
      </c>
      <c r="F150" s="30" t="s">
        <v>196</v>
      </c>
      <c r="G150" s="30" t="s">
        <v>195</v>
      </c>
      <c r="H150" s="30" t="s">
        <v>194</v>
      </c>
      <c r="I150" s="30" t="s">
        <v>193</v>
      </c>
      <c r="J150" s="30" t="s">
        <v>192</v>
      </c>
      <c r="K150" s="30" t="s">
        <v>191</v>
      </c>
      <c r="L150" s="30" t="s">
        <v>190</v>
      </c>
      <c r="M150" s="30" t="s">
        <v>189</v>
      </c>
      <c r="N150" s="30" t="s">
        <v>188</v>
      </c>
      <c r="O150" s="30" t="s">
        <v>187</v>
      </c>
      <c r="P150" s="30" t="s">
        <v>186</v>
      </c>
      <c r="Q150" s="30" t="s">
        <v>185</v>
      </c>
      <c r="R150" s="30" t="s">
        <v>184</v>
      </c>
      <c r="S150" s="30" t="s">
        <v>183</v>
      </c>
      <c r="T150" s="30" t="s">
        <v>182</v>
      </c>
      <c r="U150" s="30" t="s">
        <v>181</v>
      </c>
      <c r="V150" s="30" t="s">
        <v>180</v>
      </c>
      <c r="W150" s="30" t="s">
        <v>179</v>
      </c>
      <c r="X150" s="30" t="s">
        <v>178</v>
      </c>
      <c r="Y150" s="30" t="s">
        <v>177</v>
      </c>
      <c r="Z150" s="30" t="s">
        <v>176</v>
      </c>
      <c r="AA150" s="30" t="s">
        <v>175</v>
      </c>
      <c r="AB150" s="30" t="s">
        <v>174</v>
      </c>
      <c r="AC150" s="30" t="s">
        <v>173</v>
      </c>
      <c r="AD150" s="30" t="s">
        <v>172</v>
      </c>
      <c r="AE150" s="30" t="s">
        <v>171</v>
      </c>
      <c r="AF150" s="30" t="s">
        <v>170</v>
      </c>
      <c r="AG150" s="30" t="s">
        <v>169</v>
      </c>
      <c r="AH150" s="30" t="s">
        <v>168</v>
      </c>
      <c r="AI150" s="30" t="s">
        <v>167</v>
      </c>
      <c r="AJ150" s="29" t="s">
        <v>166</v>
      </c>
      <c r="AK150" s="2"/>
    </row>
    <row r="151" spans="2:37" ht="19.5" customHeight="1" thickTop="1" thickBot="1" x14ac:dyDescent="0.3">
      <c r="B151" s="28"/>
      <c r="C151" s="27" t="str">
        <f>DADOS!$AH$3</f>
        <v>📝 COE</v>
      </c>
      <c r="D151" s="26" t="str">
        <f>IF(investiroutrosconsolidadojul[[#This Row],[TOTAL (R$)]]=0,"",IF(OR(investiroutrosconsolidadojul[[#This Row],[TOTAL (R$)]]=LARGE($AJ$151:$AJ$158,1),investiroutrosconsolidadojul[[#This Row],[TOTAL (R$)]]=LARGE($AJ$151:$AJ$158,2)),DADOS!$I$10,""))</f>
        <v/>
      </c>
      <c r="E151" s="96">
        <f>SUMIFS(tabela_registros[VALOR],tabela_registros[MÊS],$AE$1,tabela_registros[DIA],investiroutrosconsolidadojul[[#Headers],[1]],tabela_registros[REGISTRO],DADOS!$N$5,tabela_registros[TIPO],DADOS!$AB$5,tabela_registros[CATEGORIA],investiroutrosconsolidadojul[[#This Row],[ATUAL]])</f>
        <v>0</v>
      </c>
      <c r="F151" s="91">
        <f>SUMIFS(tabela_registros[VALOR],tabela_registros[MÊS],$AE$1,tabela_registros[DIA],investiroutrosconsolidadojul[[#Headers],[2]],tabela_registros[REGISTRO],DADOS!$N$5,tabela_registros[TIPO],DADOS!$AB$5,tabela_registros[CATEGORIA],investiroutrosconsolidadojul[[#This Row],[ATUAL]])</f>
        <v>0</v>
      </c>
      <c r="G151" s="91">
        <f>SUMIFS(tabela_registros[VALOR],tabela_registros[MÊS],$AE$1,tabela_registros[DIA],investiroutrosconsolidadojul[[#Headers],[3]],tabela_registros[REGISTRO],DADOS!$N$5,tabela_registros[TIPO],DADOS!$AB$5,tabela_registros[CATEGORIA],investiroutrosconsolidadojul[[#This Row],[ATUAL]])</f>
        <v>0</v>
      </c>
      <c r="H151" s="91">
        <f>SUMIFS(tabela_registros[VALOR],tabela_registros[MÊS],$AE$1,tabela_registros[DIA],investiroutrosconsolidadojul[[#Headers],[4]],tabela_registros[REGISTRO],DADOS!$N$5,tabela_registros[TIPO],DADOS!$AB$5,tabela_registros[CATEGORIA],investiroutrosconsolidadojul[[#This Row],[ATUAL]])</f>
        <v>0</v>
      </c>
      <c r="I151" s="91">
        <f>SUMIFS(tabela_registros[VALOR],tabela_registros[MÊS],$AE$1,tabela_registros[DIA],investiroutrosconsolidadojul[[#Headers],[5]],tabela_registros[REGISTRO],DADOS!$N$5,tabela_registros[TIPO],DADOS!$AB$5,tabela_registros[CATEGORIA],investiroutrosconsolidadojul[[#This Row],[ATUAL]])</f>
        <v>0</v>
      </c>
      <c r="J151" s="91">
        <f>SUMIFS(tabela_registros[VALOR],tabela_registros[MÊS],$AE$1,tabela_registros[DIA],investiroutrosconsolidadojul[[#Headers],[6]],tabela_registros[REGISTRO],DADOS!$N$5,tabela_registros[TIPO],DADOS!$AB$5,tabela_registros[CATEGORIA],investiroutrosconsolidadojul[[#This Row],[ATUAL]])</f>
        <v>0</v>
      </c>
      <c r="K151" s="91">
        <f>SUMIFS(tabela_registros[VALOR],tabela_registros[MÊS],$AE$1,tabela_registros[DIA],investiroutrosconsolidadojul[[#Headers],[7]],tabela_registros[REGISTRO],DADOS!$N$5,tabela_registros[TIPO],DADOS!$AB$5,tabela_registros[CATEGORIA],investiroutrosconsolidadojul[[#This Row],[ATUAL]])</f>
        <v>0</v>
      </c>
      <c r="L151" s="91">
        <f>SUMIFS(tabela_registros[VALOR],tabela_registros[MÊS],$AE$1,tabela_registros[DIA],investiroutrosconsolidadojul[[#Headers],[8]],tabela_registros[REGISTRO],DADOS!$N$5,tabela_registros[TIPO],DADOS!$AB$5,tabela_registros[CATEGORIA],investiroutrosconsolidadojul[[#This Row],[ATUAL]])</f>
        <v>0</v>
      </c>
      <c r="M151" s="91">
        <f>SUMIFS(tabela_registros[VALOR],tabela_registros[MÊS],$AE$1,tabela_registros[DIA],investiroutrosconsolidadojul[[#Headers],[9]],tabela_registros[REGISTRO],DADOS!$N$5,tabela_registros[TIPO],DADOS!$AB$5,tabela_registros[CATEGORIA],investiroutrosconsolidadojul[[#This Row],[ATUAL]])</f>
        <v>0</v>
      </c>
      <c r="N151" s="91">
        <f>SUMIFS(tabela_registros[VALOR],tabela_registros[MÊS],$AE$1,tabela_registros[DIA],investiroutrosconsolidadojul[[#Headers],[10]],tabela_registros[REGISTRO],DADOS!$N$5,tabela_registros[TIPO],DADOS!$AB$5,tabela_registros[CATEGORIA],investiroutrosconsolidadojul[[#This Row],[ATUAL]])</f>
        <v>0</v>
      </c>
      <c r="O151" s="91">
        <f>SUMIFS(tabela_registros[VALOR],tabela_registros[MÊS],$AE$1,tabela_registros[DIA],investiroutrosconsolidadojul[[#Headers],[11]],tabela_registros[REGISTRO],DADOS!$N$5,tabela_registros[TIPO],DADOS!$AB$5,tabela_registros[CATEGORIA],investiroutrosconsolidadojul[[#This Row],[ATUAL]])</f>
        <v>0</v>
      </c>
      <c r="P151" s="91">
        <f>SUMIFS(tabela_registros[VALOR],tabela_registros[MÊS],$AE$1,tabela_registros[DIA],investiroutrosconsolidadojul[[#Headers],[12]],tabela_registros[REGISTRO],DADOS!$N$5,tabela_registros[TIPO],DADOS!$AB$5,tabela_registros[CATEGORIA],investiroutrosconsolidadojul[[#This Row],[ATUAL]])</f>
        <v>0</v>
      </c>
      <c r="Q151" s="91">
        <f>SUMIFS(tabela_registros[VALOR],tabela_registros[MÊS],$AE$1,tabela_registros[DIA],investiroutrosconsolidadojul[[#Headers],[13]],tabela_registros[REGISTRO],DADOS!$N$5,tabela_registros[TIPO],DADOS!$AB$5,tabela_registros[CATEGORIA],investiroutrosconsolidadojul[[#This Row],[ATUAL]])</f>
        <v>0</v>
      </c>
      <c r="R151" s="91">
        <f>SUMIFS(tabela_registros[VALOR],tabela_registros[MÊS],$AE$1,tabela_registros[DIA],investiroutrosconsolidadojul[[#Headers],[14]],tabela_registros[REGISTRO],DADOS!$N$5,tabela_registros[TIPO],DADOS!$AB$5,tabela_registros[CATEGORIA],investiroutrosconsolidadojul[[#This Row],[ATUAL]])</f>
        <v>0</v>
      </c>
      <c r="S151" s="91">
        <f>SUMIFS(tabela_registros[VALOR],tabela_registros[MÊS],$AE$1,tabela_registros[DIA],investiroutrosconsolidadojul[[#Headers],[15]],tabela_registros[REGISTRO],DADOS!$N$5,tabela_registros[TIPO],DADOS!$AB$5,tabela_registros[CATEGORIA],investiroutrosconsolidadojul[[#This Row],[ATUAL]])</f>
        <v>0</v>
      </c>
      <c r="T151" s="91">
        <f>SUMIFS(tabela_registros[VALOR],tabela_registros[MÊS],$AE$1,tabela_registros[DIA],investiroutrosconsolidadojul[[#Headers],[16]],tabela_registros[REGISTRO],DADOS!$N$5,tabela_registros[TIPO],DADOS!$AB$5,tabela_registros[CATEGORIA],investiroutrosconsolidadojul[[#This Row],[ATUAL]])</f>
        <v>0</v>
      </c>
      <c r="U151" s="91">
        <f>SUMIFS(tabela_registros[VALOR],tabela_registros[MÊS],$AE$1,tabela_registros[DIA],investiroutrosconsolidadojul[[#Headers],[17]],tabela_registros[REGISTRO],DADOS!$N$5,tabela_registros[TIPO],DADOS!$AB$5,tabela_registros[CATEGORIA],investiroutrosconsolidadojul[[#This Row],[ATUAL]])</f>
        <v>0</v>
      </c>
      <c r="V151" s="91">
        <f>SUMIFS(tabela_registros[VALOR],tabela_registros[MÊS],$AE$1,tabela_registros[DIA],investiroutrosconsolidadojul[[#Headers],[18]],tabela_registros[REGISTRO],DADOS!$N$5,tabela_registros[TIPO],DADOS!$AB$5,tabela_registros[CATEGORIA],investiroutrosconsolidadojul[[#This Row],[ATUAL]])</f>
        <v>0</v>
      </c>
      <c r="W151" s="91">
        <f>SUMIFS(tabela_registros[VALOR],tabela_registros[MÊS],$AE$1,tabela_registros[DIA],investiroutrosconsolidadojul[[#Headers],[19]],tabela_registros[REGISTRO],DADOS!$N$5,tabela_registros[TIPO],DADOS!$AB$5,tabela_registros[CATEGORIA],investiroutrosconsolidadojul[[#This Row],[ATUAL]])</f>
        <v>0</v>
      </c>
      <c r="X151" s="91">
        <f>SUMIFS(tabela_registros[VALOR],tabela_registros[MÊS],$AE$1,tabela_registros[DIA],investiroutrosconsolidadojul[[#Headers],[20]],tabela_registros[REGISTRO],DADOS!$N$5,tabela_registros[TIPO],DADOS!$AB$5,tabela_registros[CATEGORIA],investiroutrosconsolidadojul[[#This Row],[ATUAL]])</f>
        <v>0</v>
      </c>
      <c r="Y151" s="91">
        <f>SUMIFS(tabela_registros[VALOR],tabela_registros[MÊS],$AE$1,tabela_registros[DIA],investiroutrosconsolidadojul[[#Headers],[21]],tabela_registros[REGISTRO],DADOS!$N$5,tabela_registros[TIPO],DADOS!$AB$5,tabela_registros[CATEGORIA],investiroutrosconsolidadojul[[#This Row],[ATUAL]])</f>
        <v>0</v>
      </c>
      <c r="Z151" s="91">
        <f>SUMIFS(tabela_registros[VALOR],tabela_registros[MÊS],$AE$1,tabela_registros[DIA],investiroutrosconsolidadojul[[#Headers],[22]],tabela_registros[REGISTRO],DADOS!$N$5,tabela_registros[TIPO],DADOS!$AB$5,tabela_registros[CATEGORIA],investiroutrosconsolidadojul[[#This Row],[ATUAL]])</f>
        <v>0</v>
      </c>
      <c r="AA151" s="91">
        <f>SUMIFS(tabela_registros[VALOR],tabela_registros[MÊS],$AE$1,tabela_registros[DIA],investiroutrosconsolidadojul[[#Headers],[23]],tabela_registros[REGISTRO],DADOS!$N$5,tabela_registros[TIPO],DADOS!$AB$5,tabela_registros[CATEGORIA],investiroutrosconsolidadojul[[#This Row],[ATUAL]])</f>
        <v>0</v>
      </c>
      <c r="AB151" s="91">
        <f>SUMIFS(tabela_registros[VALOR],tabela_registros[MÊS],$AE$1,tabela_registros[DIA],investiroutrosconsolidadojul[[#Headers],[24]],tabela_registros[REGISTRO],DADOS!$N$5,tabela_registros[TIPO],DADOS!$AB$5,tabela_registros[CATEGORIA],investiroutrosconsolidadojul[[#This Row],[ATUAL]])</f>
        <v>0</v>
      </c>
      <c r="AC151" s="91">
        <f>SUMIFS(tabela_registros[VALOR],tabela_registros[MÊS],$AE$1,tabela_registros[DIA],investiroutrosconsolidadojul[[#Headers],[25]],tabela_registros[REGISTRO],DADOS!$N$5,tabela_registros[TIPO],DADOS!$AB$5,tabela_registros[CATEGORIA],investiroutrosconsolidadojul[[#This Row],[ATUAL]])</f>
        <v>0</v>
      </c>
      <c r="AD151" s="91">
        <f>SUMIFS(tabela_registros[VALOR],tabela_registros[MÊS],$AE$1,tabela_registros[DIA],investiroutrosconsolidadojul[[#Headers],[26]],tabela_registros[REGISTRO],DADOS!$N$5,tabela_registros[TIPO],DADOS!$AB$5,tabela_registros[CATEGORIA],investiroutrosconsolidadojul[[#This Row],[ATUAL]])</f>
        <v>0</v>
      </c>
      <c r="AE151" s="91">
        <f>SUMIFS(tabela_registros[VALOR],tabela_registros[MÊS],$AE$1,tabela_registros[DIA],investiroutrosconsolidadojul[[#Headers],[27]],tabela_registros[REGISTRO],DADOS!$N$5,tabela_registros[TIPO],DADOS!$AB$5,tabela_registros[CATEGORIA],investiroutrosconsolidadojul[[#This Row],[ATUAL]])</f>
        <v>0</v>
      </c>
      <c r="AF151" s="91">
        <f>SUMIFS(tabela_registros[VALOR],tabela_registros[MÊS],$AE$1,tabela_registros[DIA],investiroutrosconsolidadojul[[#Headers],[28]],tabela_registros[REGISTRO],DADOS!$N$5,tabela_registros[TIPO],DADOS!$AB$5,tabela_registros[CATEGORIA],investiroutrosconsolidadojul[[#This Row],[ATUAL]])</f>
        <v>0</v>
      </c>
      <c r="AG151" s="91">
        <f>SUMIFS(tabela_registros[VALOR],tabela_registros[MÊS],$AE$1,tabela_registros[DIA],investiroutrosconsolidadojul[[#Headers],[29]],tabela_registros[REGISTRO],DADOS!$N$5,tabela_registros[TIPO],DADOS!$AB$5,tabela_registros[CATEGORIA],investiroutrosconsolidadojul[[#This Row],[ATUAL]])</f>
        <v>0</v>
      </c>
      <c r="AH151" s="91">
        <f>SUMIFS(tabela_registros[VALOR],tabela_registros[MÊS],$AE$1,tabela_registros[DIA],investiroutrosconsolidadojul[[#Headers],[30]],tabela_registros[REGISTRO],DADOS!$N$5,tabela_registros[TIPO],DADOS!$AB$5,tabela_registros[CATEGORIA],investiroutrosconsolidadojul[[#This Row],[ATUAL]])</f>
        <v>0</v>
      </c>
      <c r="AI151" s="101">
        <f>SUMIFS(tabela_registros[VALOR],tabela_registros[MÊS],$AE$1,tabela_registros[DIA],investiroutrosconsolidadojul[[#Headers],[31]],tabela_registros[REGISTRO],DADOS!$N$5,tabela_registros[TIPO],DADOS!$AB$5,tabela_registros[CATEGORIA],investiroutrosconsolidadojul[[#This Row],[ATUAL]])</f>
        <v>0</v>
      </c>
      <c r="AJ151" s="97">
        <f>SUM(investiroutrosconsolidadojul[[#This Row],[1]:[31]])</f>
        <v>0</v>
      </c>
      <c r="AK151" s="25"/>
    </row>
    <row r="152" spans="2:37" ht="19.5" customHeight="1" thickTop="1" thickBot="1" x14ac:dyDescent="0.3">
      <c r="B152" s="28"/>
      <c r="C152" s="27" t="str">
        <f>DADOS!$AH$4</f>
        <v>📝 FOREX</v>
      </c>
      <c r="D152" s="26" t="str">
        <f>IF(investiroutrosconsolidadojul[[#This Row],[TOTAL (R$)]]=0,"",IF(OR(investiroutrosconsolidadojul[[#This Row],[TOTAL (R$)]]=LARGE($AJ$151:$AJ$158,1),investiroutrosconsolidadojul[[#This Row],[TOTAL (R$)]]=LARGE($AJ$151:$AJ$158,2)),DADOS!$I$10,""))</f>
        <v/>
      </c>
      <c r="E152" s="96">
        <f>SUMIFS(tabela_registros[VALOR],tabela_registros[MÊS],$AE$1,tabela_registros[DIA],investiroutrosconsolidadojul[[#Headers],[1]],tabela_registros[REGISTRO],DADOS!$N$5,tabela_registros[TIPO],DADOS!$AB$5,tabela_registros[CATEGORIA],investiroutrosconsolidadojul[[#This Row],[ATUAL]])</f>
        <v>0</v>
      </c>
      <c r="F152" s="91">
        <f>SUMIFS(tabela_registros[VALOR],tabela_registros[MÊS],$AE$1,tabela_registros[DIA],investiroutrosconsolidadojul[[#Headers],[2]],tabela_registros[REGISTRO],DADOS!$N$5,tabela_registros[TIPO],DADOS!$AB$5,tabela_registros[CATEGORIA],investiroutrosconsolidadojul[[#This Row],[ATUAL]])</f>
        <v>0</v>
      </c>
      <c r="G152" s="91">
        <f>SUMIFS(tabela_registros[VALOR],tabela_registros[MÊS],$AE$1,tabela_registros[DIA],investiroutrosconsolidadojul[[#Headers],[3]],tabela_registros[REGISTRO],DADOS!$N$5,tabela_registros[TIPO],DADOS!$AB$5,tabela_registros[CATEGORIA],investiroutrosconsolidadojul[[#This Row],[ATUAL]])</f>
        <v>0</v>
      </c>
      <c r="H152" s="91">
        <f>SUMIFS(tabela_registros[VALOR],tabela_registros[MÊS],$AE$1,tabela_registros[DIA],investiroutrosconsolidadojul[[#Headers],[4]],tabela_registros[REGISTRO],DADOS!$N$5,tabela_registros[TIPO],DADOS!$AB$5,tabela_registros[CATEGORIA],investiroutrosconsolidadojul[[#This Row],[ATUAL]])</f>
        <v>0</v>
      </c>
      <c r="I152" s="91">
        <f>SUMIFS(tabela_registros[VALOR],tabela_registros[MÊS],$AE$1,tabela_registros[DIA],investiroutrosconsolidadojul[[#Headers],[5]],tabela_registros[REGISTRO],DADOS!$N$5,tabela_registros[TIPO],DADOS!$AB$5,tabela_registros[CATEGORIA],investiroutrosconsolidadojul[[#This Row],[ATUAL]])</f>
        <v>0</v>
      </c>
      <c r="J152" s="91">
        <f>SUMIFS(tabela_registros[VALOR],tabela_registros[MÊS],$AE$1,tabela_registros[DIA],investiroutrosconsolidadojul[[#Headers],[6]],tabela_registros[REGISTRO],DADOS!$N$5,tabela_registros[TIPO],DADOS!$AB$5,tabela_registros[CATEGORIA],investiroutrosconsolidadojul[[#This Row],[ATUAL]])</f>
        <v>0</v>
      </c>
      <c r="K152" s="91">
        <f>SUMIFS(tabela_registros[VALOR],tabela_registros[MÊS],$AE$1,tabela_registros[DIA],investiroutrosconsolidadojul[[#Headers],[7]],tabela_registros[REGISTRO],DADOS!$N$5,tabela_registros[TIPO],DADOS!$AB$5,tabela_registros[CATEGORIA],investiroutrosconsolidadojul[[#This Row],[ATUAL]])</f>
        <v>0</v>
      </c>
      <c r="L152" s="91">
        <f>SUMIFS(tabela_registros[VALOR],tabela_registros[MÊS],$AE$1,tabela_registros[DIA],investiroutrosconsolidadojul[[#Headers],[8]],tabela_registros[REGISTRO],DADOS!$N$5,tabela_registros[TIPO],DADOS!$AB$5,tabela_registros[CATEGORIA],investiroutrosconsolidadojul[[#This Row],[ATUAL]])</f>
        <v>0</v>
      </c>
      <c r="M152" s="91">
        <f>SUMIFS(tabela_registros[VALOR],tabela_registros[MÊS],$AE$1,tabela_registros[DIA],investiroutrosconsolidadojul[[#Headers],[9]],tabela_registros[REGISTRO],DADOS!$N$5,tabela_registros[TIPO],DADOS!$AB$5,tabela_registros[CATEGORIA],investiroutrosconsolidadojul[[#This Row],[ATUAL]])</f>
        <v>0</v>
      </c>
      <c r="N152" s="91">
        <f>SUMIFS(tabela_registros[VALOR],tabela_registros[MÊS],$AE$1,tabela_registros[DIA],investiroutrosconsolidadojul[[#Headers],[10]],tabela_registros[REGISTRO],DADOS!$N$5,tabela_registros[TIPO],DADOS!$AB$5,tabela_registros[CATEGORIA],investiroutrosconsolidadojul[[#This Row],[ATUAL]])</f>
        <v>0</v>
      </c>
      <c r="O152" s="91">
        <f>SUMIFS(tabela_registros[VALOR],tabela_registros[MÊS],$AE$1,tabela_registros[DIA],investiroutrosconsolidadojul[[#Headers],[11]],tabela_registros[REGISTRO],DADOS!$N$5,tabela_registros[TIPO],DADOS!$AB$5,tabela_registros[CATEGORIA],investiroutrosconsolidadojul[[#This Row],[ATUAL]])</f>
        <v>0</v>
      </c>
      <c r="P152" s="91">
        <f>SUMIFS(tabela_registros[VALOR],tabela_registros[MÊS],$AE$1,tabela_registros[DIA],investiroutrosconsolidadojul[[#Headers],[12]],tabela_registros[REGISTRO],DADOS!$N$5,tabela_registros[TIPO],DADOS!$AB$5,tabela_registros[CATEGORIA],investiroutrosconsolidadojul[[#This Row],[ATUAL]])</f>
        <v>0</v>
      </c>
      <c r="Q152" s="91">
        <f>SUMIFS(tabela_registros[VALOR],tabela_registros[MÊS],$AE$1,tabela_registros[DIA],investiroutrosconsolidadojul[[#Headers],[13]],tabela_registros[REGISTRO],DADOS!$N$5,tabela_registros[TIPO],DADOS!$AB$5,tabela_registros[CATEGORIA],investiroutrosconsolidadojul[[#This Row],[ATUAL]])</f>
        <v>0</v>
      </c>
      <c r="R152" s="91">
        <f>SUMIFS(tabela_registros[VALOR],tabela_registros[MÊS],$AE$1,tabela_registros[DIA],investiroutrosconsolidadojul[[#Headers],[14]],tabela_registros[REGISTRO],DADOS!$N$5,tabela_registros[TIPO],DADOS!$AB$5,tabela_registros[CATEGORIA],investiroutrosconsolidadojul[[#This Row],[ATUAL]])</f>
        <v>0</v>
      </c>
      <c r="S152" s="91">
        <f>SUMIFS(tabela_registros[VALOR],tabela_registros[MÊS],$AE$1,tabela_registros[DIA],investiroutrosconsolidadojul[[#Headers],[15]],tabela_registros[REGISTRO],DADOS!$N$5,tabela_registros[TIPO],DADOS!$AB$5,tabela_registros[CATEGORIA],investiroutrosconsolidadojul[[#This Row],[ATUAL]])</f>
        <v>0</v>
      </c>
      <c r="T152" s="91">
        <f>SUMIFS(tabela_registros[VALOR],tabela_registros[MÊS],$AE$1,tabela_registros[DIA],investiroutrosconsolidadojul[[#Headers],[16]],tabela_registros[REGISTRO],DADOS!$N$5,tabela_registros[TIPO],DADOS!$AB$5,tabela_registros[CATEGORIA],investiroutrosconsolidadojul[[#This Row],[ATUAL]])</f>
        <v>0</v>
      </c>
      <c r="U152" s="91">
        <f>SUMIFS(tabela_registros[VALOR],tabela_registros[MÊS],$AE$1,tabela_registros[DIA],investiroutrosconsolidadojul[[#Headers],[17]],tabela_registros[REGISTRO],DADOS!$N$5,tabela_registros[TIPO],DADOS!$AB$5,tabela_registros[CATEGORIA],investiroutrosconsolidadojul[[#This Row],[ATUAL]])</f>
        <v>0</v>
      </c>
      <c r="V152" s="91">
        <f>SUMIFS(tabela_registros[VALOR],tabela_registros[MÊS],$AE$1,tabela_registros[DIA],investiroutrosconsolidadojul[[#Headers],[18]],tabela_registros[REGISTRO],DADOS!$N$5,tabela_registros[TIPO],DADOS!$AB$5,tabela_registros[CATEGORIA],investiroutrosconsolidadojul[[#This Row],[ATUAL]])</f>
        <v>0</v>
      </c>
      <c r="W152" s="91">
        <f>SUMIFS(tabela_registros[VALOR],tabela_registros[MÊS],$AE$1,tabela_registros[DIA],investiroutrosconsolidadojul[[#Headers],[19]],tabela_registros[REGISTRO],DADOS!$N$5,tabela_registros[TIPO],DADOS!$AB$5,tabela_registros[CATEGORIA],investiroutrosconsolidadojul[[#This Row],[ATUAL]])</f>
        <v>0</v>
      </c>
      <c r="X152" s="91">
        <f>SUMIFS(tabela_registros[VALOR],tabela_registros[MÊS],$AE$1,tabela_registros[DIA],investiroutrosconsolidadojul[[#Headers],[20]],tabela_registros[REGISTRO],DADOS!$N$5,tabela_registros[TIPO],DADOS!$AB$5,tabela_registros[CATEGORIA],investiroutrosconsolidadojul[[#This Row],[ATUAL]])</f>
        <v>0</v>
      </c>
      <c r="Y152" s="91">
        <f>SUMIFS(tabela_registros[VALOR],tabela_registros[MÊS],$AE$1,tabela_registros[DIA],investiroutrosconsolidadojul[[#Headers],[21]],tabela_registros[REGISTRO],DADOS!$N$5,tabela_registros[TIPO],DADOS!$AB$5,tabela_registros[CATEGORIA],investiroutrosconsolidadojul[[#This Row],[ATUAL]])</f>
        <v>0</v>
      </c>
      <c r="Z152" s="91">
        <f>SUMIFS(tabela_registros[VALOR],tabela_registros[MÊS],$AE$1,tabela_registros[DIA],investiroutrosconsolidadojul[[#Headers],[22]],tabela_registros[REGISTRO],DADOS!$N$5,tabela_registros[TIPO],DADOS!$AB$5,tabela_registros[CATEGORIA],investiroutrosconsolidadojul[[#This Row],[ATUAL]])</f>
        <v>0</v>
      </c>
      <c r="AA152" s="91">
        <f>SUMIFS(tabela_registros[VALOR],tabela_registros[MÊS],$AE$1,tabela_registros[DIA],investiroutrosconsolidadojul[[#Headers],[23]],tabela_registros[REGISTRO],DADOS!$N$5,tabela_registros[TIPO],DADOS!$AB$5,tabela_registros[CATEGORIA],investiroutrosconsolidadojul[[#This Row],[ATUAL]])</f>
        <v>0</v>
      </c>
      <c r="AB152" s="91">
        <f>SUMIFS(tabela_registros[VALOR],tabela_registros[MÊS],$AE$1,tabela_registros[DIA],investiroutrosconsolidadojul[[#Headers],[24]],tabela_registros[REGISTRO],DADOS!$N$5,tabela_registros[TIPO],DADOS!$AB$5,tabela_registros[CATEGORIA],investiroutrosconsolidadojul[[#This Row],[ATUAL]])</f>
        <v>0</v>
      </c>
      <c r="AC152" s="91">
        <f>SUMIFS(tabela_registros[VALOR],tabela_registros[MÊS],$AE$1,tabela_registros[DIA],investiroutrosconsolidadojul[[#Headers],[25]],tabela_registros[REGISTRO],DADOS!$N$5,tabela_registros[TIPO],DADOS!$AB$5,tabela_registros[CATEGORIA],investiroutrosconsolidadojul[[#This Row],[ATUAL]])</f>
        <v>0</v>
      </c>
      <c r="AD152" s="91">
        <f>SUMIFS(tabela_registros[VALOR],tabela_registros[MÊS],$AE$1,tabela_registros[DIA],investiroutrosconsolidadojul[[#Headers],[26]],tabela_registros[REGISTRO],DADOS!$N$5,tabela_registros[TIPO],DADOS!$AB$5,tabela_registros[CATEGORIA],investiroutrosconsolidadojul[[#This Row],[ATUAL]])</f>
        <v>0</v>
      </c>
      <c r="AE152" s="91">
        <f>SUMIFS(tabela_registros[VALOR],tabela_registros[MÊS],$AE$1,tabela_registros[DIA],investiroutrosconsolidadojul[[#Headers],[27]],tabela_registros[REGISTRO],DADOS!$N$5,tabela_registros[TIPO],DADOS!$AB$5,tabela_registros[CATEGORIA],investiroutrosconsolidadojul[[#This Row],[ATUAL]])</f>
        <v>0</v>
      </c>
      <c r="AF152" s="91">
        <f>SUMIFS(tabela_registros[VALOR],tabela_registros[MÊS],$AE$1,tabela_registros[DIA],investiroutrosconsolidadojul[[#Headers],[28]],tabela_registros[REGISTRO],DADOS!$N$5,tabela_registros[TIPO],DADOS!$AB$5,tabela_registros[CATEGORIA],investiroutrosconsolidadojul[[#This Row],[ATUAL]])</f>
        <v>0</v>
      </c>
      <c r="AG152" s="91">
        <f>SUMIFS(tabela_registros[VALOR],tabela_registros[MÊS],$AE$1,tabela_registros[DIA],investiroutrosconsolidadojul[[#Headers],[29]],tabela_registros[REGISTRO],DADOS!$N$5,tabela_registros[TIPO],DADOS!$AB$5,tabela_registros[CATEGORIA],investiroutrosconsolidadojul[[#This Row],[ATUAL]])</f>
        <v>0</v>
      </c>
      <c r="AH152" s="91">
        <f>SUMIFS(tabela_registros[VALOR],tabela_registros[MÊS],$AE$1,tabela_registros[DIA],investiroutrosconsolidadojul[[#Headers],[30]],tabela_registros[REGISTRO],DADOS!$N$5,tabela_registros[TIPO],DADOS!$AB$5,tabela_registros[CATEGORIA],investiroutrosconsolidadojul[[#This Row],[ATUAL]])</f>
        <v>0</v>
      </c>
      <c r="AI152" s="101">
        <f>SUMIFS(tabela_registros[VALOR],tabela_registros[MÊS],$AE$1,tabela_registros[DIA],investiroutrosconsolidadojul[[#Headers],[31]],tabela_registros[REGISTRO],DADOS!$N$5,tabela_registros[TIPO],DADOS!$AB$5,tabela_registros[CATEGORIA],investiroutrosconsolidadojul[[#This Row],[ATUAL]])</f>
        <v>0</v>
      </c>
      <c r="AJ152" s="97">
        <f>SUM(investiroutrosconsolidadojul[[#This Row],[1]:[31]])</f>
        <v>0</v>
      </c>
      <c r="AK152" s="25"/>
    </row>
    <row r="153" spans="2:37" ht="19.5" customHeight="1" thickTop="1" thickBot="1" x14ac:dyDescent="0.3">
      <c r="B153" s="28"/>
      <c r="C153" s="27" t="str">
        <f>DADOS!$AH$5</f>
        <v>📝 FUNDO DE INVESTIMENTO</v>
      </c>
      <c r="D153" s="26" t="str">
        <f>IF(investiroutrosconsolidadojul[[#This Row],[TOTAL (R$)]]=0,"",IF(OR(investiroutrosconsolidadojul[[#This Row],[TOTAL (R$)]]=LARGE($AJ$151:$AJ$158,1),investiroutrosconsolidadojul[[#This Row],[TOTAL (R$)]]=LARGE($AJ$151:$AJ$158,2)),DADOS!$I$10,""))</f>
        <v/>
      </c>
      <c r="E153" s="96">
        <f>SUMIFS(tabela_registros[VALOR],tabela_registros[MÊS],$AE$1,tabela_registros[DIA],investiroutrosconsolidadojul[[#Headers],[1]],tabela_registros[REGISTRO],DADOS!$N$5,tabela_registros[TIPO],DADOS!$AB$5,tabela_registros[CATEGORIA],investiroutrosconsolidadojul[[#This Row],[ATUAL]])</f>
        <v>0</v>
      </c>
      <c r="F153" s="91">
        <f>SUMIFS(tabela_registros[VALOR],tabela_registros[MÊS],$AE$1,tabela_registros[DIA],investiroutrosconsolidadojul[[#Headers],[2]],tabela_registros[REGISTRO],DADOS!$N$5,tabela_registros[TIPO],DADOS!$AB$5,tabela_registros[CATEGORIA],investiroutrosconsolidadojul[[#This Row],[ATUAL]])</f>
        <v>0</v>
      </c>
      <c r="G153" s="91">
        <f>SUMIFS(tabela_registros[VALOR],tabela_registros[MÊS],$AE$1,tabela_registros[DIA],investiroutrosconsolidadojul[[#Headers],[3]],tabela_registros[REGISTRO],DADOS!$N$5,tabela_registros[TIPO],DADOS!$AB$5,tabela_registros[CATEGORIA],investiroutrosconsolidadojul[[#This Row],[ATUAL]])</f>
        <v>0</v>
      </c>
      <c r="H153" s="91">
        <f>SUMIFS(tabela_registros[VALOR],tabela_registros[MÊS],$AE$1,tabela_registros[DIA],investiroutrosconsolidadojul[[#Headers],[4]],tabela_registros[REGISTRO],DADOS!$N$5,tabela_registros[TIPO],DADOS!$AB$5,tabela_registros[CATEGORIA],investiroutrosconsolidadojul[[#This Row],[ATUAL]])</f>
        <v>0</v>
      </c>
      <c r="I153" s="91">
        <f>SUMIFS(tabela_registros[VALOR],tabela_registros[MÊS],$AE$1,tabela_registros[DIA],investiroutrosconsolidadojul[[#Headers],[5]],tabela_registros[REGISTRO],DADOS!$N$5,tabela_registros[TIPO],DADOS!$AB$5,tabela_registros[CATEGORIA],investiroutrosconsolidadojul[[#This Row],[ATUAL]])</f>
        <v>0</v>
      </c>
      <c r="J153" s="91">
        <f>SUMIFS(tabela_registros[VALOR],tabela_registros[MÊS],$AE$1,tabela_registros[DIA],investiroutrosconsolidadojul[[#Headers],[6]],tabela_registros[REGISTRO],DADOS!$N$5,tabela_registros[TIPO],DADOS!$AB$5,tabela_registros[CATEGORIA],investiroutrosconsolidadojul[[#This Row],[ATUAL]])</f>
        <v>0</v>
      </c>
      <c r="K153" s="91">
        <f>SUMIFS(tabela_registros[VALOR],tabela_registros[MÊS],$AE$1,tabela_registros[DIA],investiroutrosconsolidadojul[[#Headers],[7]],tabela_registros[REGISTRO],DADOS!$N$5,tabela_registros[TIPO],DADOS!$AB$5,tabela_registros[CATEGORIA],investiroutrosconsolidadojul[[#This Row],[ATUAL]])</f>
        <v>0</v>
      </c>
      <c r="L153" s="91">
        <f>SUMIFS(tabela_registros[VALOR],tabela_registros[MÊS],$AE$1,tabela_registros[DIA],investiroutrosconsolidadojul[[#Headers],[8]],tabela_registros[REGISTRO],DADOS!$N$5,tabela_registros[TIPO],DADOS!$AB$5,tabela_registros[CATEGORIA],investiroutrosconsolidadojul[[#This Row],[ATUAL]])</f>
        <v>0</v>
      </c>
      <c r="M153" s="91">
        <f>SUMIFS(tabela_registros[VALOR],tabela_registros[MÊS],$AE$1,tabela_registros[DIA],investiroutrosconsolidadojul[[#Headers],[9]],tabela_registros[REGISTRO],DADOS!$N$5,tabela_registros[TIPO],DADOS!$AB$5,tabela_registros[CATEGORIA],investiroutrosconsolidadojul[[#This Row],[ATUAL]])</f>
        <v>0</v>
      </c>
      <c r="N153" s="91">
        <f>SUMIFS(tabela_registros[VALOR],tabela_registros[MÊS],$AE$1,tabela_registros[DIA],investiroutrosconsolidadojul[[#Headers],[10]],tabela_registros[REGISTRO],DADOS!$N$5,tabela_registros[TIPO],DADOS!$AB$5,tabela_registros[CATEGORIA],investiroutrosconsolidadojul[[#This Row],[ATUAL]])</f>
        <v>0</v>
      </c>
      <c r="O153" s="91">
        <f>SUMIFS(tabela_registros[VALOR],tabela_registros[MÊS],$AE$1,tabela_registros[DIA],investiroutrosconsolidadojul[[#Headers],[11]],tabela_registros[REGISTRO],DADOS!$N$5,tabela_registros[TIPO],DADOS!$AB$5,tabela_registros[CATEGORIA],investiroutrosconsolidadojul[[#This Row],[ATUAL]])</f>
        <v>0</v>
      </c>
      <c r="P153" s="91">
        <f>SUMIFS(tabela_registros[VALOR],tabela_registros[MÊS],$AE$1,tabela_registros[DIA],investiroutrosconsolidadojul[[#Headers],[12]],tabela_registros[REGISTRO],DADOS!$N$5,tabela_registros[TIPO],DADOS!$AB$5,tabela_registros[CATEGORIA],investiroutrosconsolidadojul[[#This Row],[ATUAL]])</f>
        <v>0</v>
      </c>
      <c r="Q153" s="91">
        <f>SUMIFS(tabela_registros[VALOR],tabela_registros[MÊS],$AE$1,tabela_registros[DIA],investiroutrosconsolidadojul[[#Headers],[13]],tabela_registros[REGISTRO],DADOS!$N$5,tabela_registros[TIPO],DADOS!$AB$5,tabela_registros[CATEGORIA],investiroutrosconsolidadojul[[#This Row],[ATUAL]])</f>
        <v>0</v>
      </c>
      <c r="R153" s="91">
        <f>SUMIFS(tabela_registros[VALOR],tabela_registros[MÊS],$AE$1,tabela_registros[DIA],investiroutrosconsolidadojul[[#Headers],[14]],tabela_registros[REGISTRO],DADOS!$N$5,tabela_registros[TIPO],DADOS!$AB$5,tabela_registros[CATEGORIA],investiroutrosconsolidadojul[[#This Row],[ATUAL]])</f>
        <v>0</v>
      </c>
      <c r="S153" s="91">
        <f>SUMIFS(tabela_registros[VALOR],tabela_registros[MÊS],$AE$1,tabela_registros[DIA],investiroutrosconsolidadojul[[#Headers],[15]],tabela_registros[REGISTRO],DADOS!$N$5,tabela_registros[TIPO],DADOS!$AB$5,tabela_registros[CATEGORIA],investiroutrosconsolidadojul[[#This Row],[ATUAL]])</f>
        <v>0</v>
      </c>
      <c r="T153" s="91">
        <f>SUMIFS(tabela_registros[VALOR],tabela_registros[MÊS],$AE$1,tabela_registros[DIA],investiroutrosconsolidadojul[[#Headers],[16]],tabela_registros[REGISTRO],DADOS!$N$5,tabela_registros[TIPO],DADOS!$AB$5,tabela_registros[CATEGORIA],investiroutrosconsolidadojul[[#This Row],[ATUAL]])</f>
        <v>0</v>
      </c>
      <c r="U153" s="91">
        <f>SUMIFS(tabela_registros[VALOR],tabela_registros[MÊS],$AE$1,tabela_registros[DIA],investiroutrosconsolidadojul[[#Headers],[17]],tabela_registros[REGISTRO],DADOS!$N$5,tabela_registros[TIPO],DADOS!$AB$5,tabela_registros[CATEGORIA],investiroutrosconsolidadojul[[#This Row],[ATUAL]])</f>
        <v>0</v>
      </c>
      <c r="V153" s="91">
        <f>SUMIFS(tabela_registros[VALOR],tabela_registros[MÊS],$AE$1,tabela_registros[DIA],investiroutrosconsolidadojul[[#Headers],[18]],tabela_registros[REGISTRO],DADOS!$N$5,tabela_registros[TIPO],DADOS!$AB$5,tabela_registros[CATEGORIA],investiroutrosconsolidadojul[[#This Row],[ATUAL]])</f>
        <v>0</v>
      </c>
      <c r="W153" s="91">
        <f>SUMIFS(tabela_registros[VALOR],tabela_registros[MÊS],$AE$1,tabela_registros[DIA],investiroutrosconsolidadojul[[#Headers],[19]],tabela_registros[REGISTRO],DADOS!$N$5,tabela_registros[TIPO],DADOS!$AB$5,tabela_registros[CATEGORIA],investiroutrosconsolidadojul[[#This Row],[ATUAL]])</f>
        <v>0</v>
      </c>
      <c r="X153" s="91">
        <f>SUMIFS(tabela_registros[VALOR],tabela_registros[MÊS],$AE$1,tabela_registros[DIA],investiroutrosconsolidadojul[[#Headers],[20]],tabela_registros[REGISTRO],DADOS!$N$5,tabela_registros[TIPO],DADOS!$AB$5,tabela_registros[CATEGORIA],investiroutrosconsolidadojul[[#This Row],[ATUAL]])</f>
        <v>0</v>
      </c>
      <c r="Y153" s="91">
        <f>SUMIFS(tabela_registros[VALOR],tabela_registros[MÊS],$AE$1,tabela_registros[DIA],investiroutrosconsolidadojul[[#Headers],[21]],tabela_registros[REGISTRO],DADOS!$N$5,tabela_registros[TIPO],DADOS!$AB$5,tabela_registros[CATEGORIA],investiroutrosconsolidadojul[[#This Row],[ATUAL]])</f>
        <v>0</v>
      </c>
      <c r="Z153" s="91">
        <f>SUMIFS(tabela_registros[VALOR],tabela_registros[MÊS],$AE$1,tabela_registros[DIA],investiroutrosconsolidadojul[[#Headers],[22]],tabela_registros[REGISTRO],DADOS!$N$5,tabela_registros[TIPO],DADOS!$AB$5,tabela_registros[CATEGORIA],investiroutrosconsolidadojul[[#This Row],[ATUAL]])</f>
        <v>0</v>
      </c>
      <c r="AA153" s="91">
        <f>SUMIFS(tabela_registros[VALOR],tabela_registros[MÊS],$AE$1,tabela_registros[DIA],investiroutrosconsolidadojul[[#Headers],[23]],tabela_registros[REGISTRO],DADOS!$N$5,tabela_registros[TIPO],DADOS!$AB$5,tabela_registros[CATEGORIA],investiroutrosconsolidadojul[[#This Row],[ATUAL]])</f>
        <v>0</v>
      </c>
      <c r="AB153" s="91">
        <f>SUMIFS(tabela_registros[VALOR],tabela_registros[MÊS],$AE$1,tabela_registros[DIA],investiroutrosconsolidadojul[[#Headers],[24]],tabela_registros[REGISTRO],DADOS!$N$5,tabela_registros[TIPO],DADOS!$AB$5,tabela_registros[CATEGORIA],investiroutrosconsolidadojul[[#This Row],[ATUAL]])</f>
        <v>0</v>
      </c>
      <c r="AC153" s="91">
        <f>SUMIFS(tabela_registros[VALOR],tabela_registros[MÊS],$AE$1,tabela_registros[DIA],investiroutrosconsolidadojul[[#Headers],[25]],tabela_registros[REGISTRO],DADOS!$N$5,tabela_registros[TIPO],DADOS!$AB$5,tabela_registros[CATEGORIA],investiroutrosconsolidadojul[[#This Row],[ATUAL]])</f>
        <v>0</v>
      </c>
      <c r="AD153" s="91">
        <f>SUMIFS(tabela_registros[VALOR],tabela_registros[MÊS],$AE$1,tabela_registros[DIA],investiroutrosconsolidadojul[[#Headers],[26]],tabela_registros[REGISTRO],DADOS!$N$5,tabela_registros[TIPO],DADOS!$AB$5,tabela_registros[CATEGORIA],investiroutrosconsolidadojul[[#This Row],[ATUAL]])</f>
        <v>0</v>
      </c>
      <c r="AE153" s="91">
        <f>SUMIFS(tabela_registros[VALOR],tabela_registros[MÊS],$AE$1,tabela_registros[DIA],investiroutrosconsolidadojul[[#Headers],[27]],tabela_registros[REGISTRO],DADOS!$N$5,tabela_registros[TIPO],DADOS!$AB$5,tabela_registros[CATEGORIA],investiroutrosconsolidadojul[[#This Row],[ATUAL]])</f>
        <v>0</v>
      </c>
      <c r="AF153" s="91">
        <f>SUMIFS(tabela_registros[VALOR],tabela_registros[MÊS],$AE$1,tabela_registros[DIA],investiroutrosconsolidadojul[[#Headers],[28]],tabela_registros[REGISTRO],DADOS!$N$5,tabela_registros[TIPO],DADOS!$AB$5,tabela_registros[CATEGORIA],investiroutrosconsolidadojul[[#This Row],[ATUAL]])</f>
        <v>0</v>
      </c>
      <c r="AG153" s="91">
        <f>SUMIFS(tabela_registros[VALOR],tabela_registros[MÊS],$AE$1,tabela_registros[DIA],investiroutrosconsolidadojul[[#Headers],[29]],tabela_registros[REGISTRO],DADOS!$N$5,tabela_registros[TIPO],DADOS!$AB$5,tabela_registros[CATEGORIA],investiroutrosconsolidadojul[[#This Row],[ATUAL]])</f>
        <v>0</v>
      </c>
      <c r="AH153" s="91">
        <f>SUMIFS(tabela_registros[VALOR],tabela_registros[MÊS],$AE$1,tabela_registros[DIA],investiroutrosconsolidadojul[[#Headers],[30]],tabela_registros[REGISTRO],DADOS!$N$5,tabela_registros[TIPO],DADOS!$AB$5,tabela_registros[CATEGORIA],investiroutrosconsolidadojul[[#This Row],[ATUAL]])</f>
        <v>0</v>
      </c>
      <c r="AI153" s="101">
        <f>SUMIFS(tabela_registros[VALOR],tabela_registros[MÊS],$AE$1,tabela_registros[DIA],investiroutrosconsolidadojul[[#Headers],[31]],tabela_registros[REGISTRO],DADOS!$N$5,tabela_registros[TIPO],DADOS!$AB$5,tabela_registros[CATEGORIA],investiroutrosconsolidadojul[[#This Row],[ATUAL]])</f>
        <v>0</v>
      </c>
      <c r="AJ153" s="97">
        <f>SUM(investiroutrosconsolidadojul[[#This Row],[1]:[31]])</f>
        <v>0</v>
      </c>
      <c r="AK153" s="25"/>
    </row>
    <row r="154" spans="2:37" ht="19.5" customHeight="1" thickTop="1" thickBot="1" x14ac:dyDescent="0.3">
      <c r="B154" s="28"/>
      <c r="C154" s="27" t="str">
        <f>DADOS!$AH$6</f>
        <v>📝 NOVA EMPRESA</v>
      </c>
      <c r="D154" s="26" t="str">
        <f>IF(investiroutrosconsolidadojul[[#This Row],[TOTAL (R$)]]=0,"",IF(OR(investiroutrosconsolidadojul[[#This Row],[TOTAL (R$)]]=LARGE($AJ$151:$AJ$158,1),investiroutrosconsolidadojul[[#This Row],[TOTAL (R$)]]=LARGE($AJ$151:$AJ$158,2)),DADOS!$I$10,""))</f>
        <v/>
      </c>
      <c r="E154" s="96">
        <f>SUMIFS(tabela_registros[VALOR],tabela_registros[MÊS],$AE$1,tabela_registros[DIA],investiroutrosconsolidadojul[[#Headers],[1]],tabela_registros[REGISTRO],DADOS!$N$5,tabela_registros[TIPO],DADOS!$AB$5,tabela_registros[CATEGORIA],investiroutrosconsolidadojul[[#This Row],[ATUAL]])</f>
        <v>0</v>
      </c>
      <c r="F154" s="91">
        <f>SUMIFS(tabela_registros[VALOR],tabela_registros[MÊS],$AE$1,tabela_registros[DIA],investiroutrosconsolidadojul[[#Headers],[2]],tabela_registros[REGISTRO],DADOS!$N$5,tabela_registros[TIPO],DADOS!$AB$5,tabela_registros[CATEGORIA],investiroutrosconsolidadojul[[#This Row],[ATUAL]])</f>
        <v>0</v>
      </c>
      <c r="G154" s="91">
        <f>SUMIFS(tabela_registros[VALOR],tabela_registros[MÊS],$AE$1,tabela_registros[DIA],investiroutrosconsolidadojul[[#Headers],[3]],tabela_registros[REGISTRO],DADOS!$N$5,tabela_registros[TIPO],DADOS!$AB$5,tabela_registros[CATEGORIA],investiroutrosconsolidadojul[[#This Row],[ATUAL]])</f>
        <v>0</v>
      </c>
      <c r="H154" s="91">
        <f>SUMIFS(tabela_registros[VALOR],tabela_registros[MÊS],$AE$1,tabela_registros[DIA],investiroutrosconsolidadojul[[#Headers],[4]],tabela_registros[REGISTRO],DADOS!$N$5,tabela_registros[TIPO],DADOS!$AB$5,tabela_registros[CATEGORIA],investiroutrosconsolidadojul[[#This Row],[ATUAL]])</f>
        <v>0</v>
      </c>
      <c r="I154" s="91">
        <f>SUMIFS(tabela_registros[VALOR],tabela_registros[MÊS],$AE$1,tabela_registros[DIA],investiroutrosconsolidadojul[[#Headers],[5]],tabela_registros[REGISTRO],DADOS!$N$5,tabela_registros[TIPO],DADOS!$AB$5,tabela_registros[CATEGORIA],investiroutrosconsolidadojul[[#This Row],[ATUAL]])</f>
        <v>0</v>
      </c>
      <c r="J154" s="91">
        <f>SUMIFS(tabela_registros[VALOR],tabela_registros[MÊS],$AE$1,tabela_registros[DIA],investiroutrosconsolidadojul[[#Headers],[6]],tabela_registros[REGISTRO],DADOS!$N$5,tabela_registros[TIPO],DADOS!$AB$5,tabela_registros[CATEGORIA],investiroutrosconsolidadojul[[#This Row],[ATUAL]])</f>
        <v>0</v>
      </c>
      <c r="K154" s="91">
        <f>SUMIFS(tabela_registros[VALOR],tabela_registros[MÊS],$AE$1,tabela_registros[DIA],investiroutrosconsolidadojul[[#Headers],[7]],tabela_registros[REGISTRO],DADOS!$N$5,tabela_registros[TIPO],DADOS!$AB$5,tabela_registros[CATEGORIA],investiroutrosconsolidadojul[[#This Row],[ATUAL]])</f>
        <v>0</v>
      </c>
      <c r="L154" s="91">
        <f>SUMIFS(tabela_registros[VALOR],tabela_registros[MÊS],$AE$1,tabela_registros[DIA],investiroutrosconsolidadojul[[#Headers],[8]],tabela_registros[REGISTRO],DADOS!$N$5,tabela_registros[TIPO],DADOS!$AB$5,tabela_registros[CATEGORIA],investiroutrosconsolidadojul[[#This Row],[ATUAL]])</f>
        <v>0</v>
      </c>
      <c r="M154" s="91">
        <f>SUMIFS(tabela_registros[VALOR],tabela_registros[MÊS],$AE$1,tabela_registros[DIA],investiroutrosconsolidadojul[[#Headers],[9]],tabela_registros[REGISTRO],DADOS!$N$5,tabela_registros[TIPO],DADOS!$AB$5,tabela_registros[CATEGORIA],investiroutrosconsolidadojul[[#This Row],[ATUAL]])</f>
        <v>0</v>
      </c>
      <c r="N154" s="91">
        <f>SUMIFS(tabela_registros[VALOR],tabela_registros[MÊS],$AE$1,tabela_registros[DIA],investiroutrosconsolidadojul[[#Headers],[10]],tabela_registros[REGISTRO],DADOS!$N$5,tabela_registros[TIPO],DADOS!$AB$5,tabela_registros[CATEGORIA],investiroutrosconsolidadojul[[#This Row],[ATUAL]])</f>
        <v>0</v>
      </c>
      <c r="O154" s="91">
        <f>SUMIFS(tabela_registros[VALOR],tabela_registros[MÊS],$AE$1,tabela_registros[DIA],investiroutrosconsolidadojul[[#Headers],[11]],tabela_registros[REGISTRO],DADOS!$N$5,tabela_registros[TIPO],DADOS!$AB$5,tabela_registros[CATEGORIA],investiroutrosconsolidadojul[[#This Row],[ATUAL]])</f>
        <v>0</v>
      </c>
      <c r="P154" s="91">
        <f>SUMIFS(tabela_registros[VALOR],tabela_registros[MÊS],$AE$1,tabela_registros[DIA],investiroutrosconsolidadojul[[#Headers],[12]],tabela_registros[REGISTRO],DADOS!$N$5,tabela_registros[TIPO],DADOS!$AB$5,tabela_registros[CATEGORIA],investiroutrosconsolidadojul[[#This Row],[ATUAL]])</f>
        <v>0</v>
      </c>
      <c r="Q154" s="91">
        <f>SUMIFS(tabela_registros[VALOR],tabela_registros[MÊS],$AE$1,tabela_registros[DIA],investiroutrosconsolidadojul[[#Headers],[13]],tabela_registros[REGISTRO],DADOS!$N$5,tabela_registros[TIPO],DADOS!$AB$5,tabela_registros[CATEGORIA],investiroutrosconsolidadojul[[#This Row],[ATUAL]])</f>
        <v>0</v>
      </c>
      <c r="R154" s="91">
        <f>SUMIFS(tabela_registros[VALOR],tabela_registros[MÊS],$AE$1,tabela_registros[DIA],investiroutrosconsolidadojul[[#Headers],[14]],tabela_registros[REGISTRO],DADOS!$N$5,tabela_registros[TIPO],DADOS!$AB$5,tabela_registros[CATEGORIA],investiroutrosconsolidadojul[[#This Row],[ATUAL]])</f>
        <v>0</v>
      </c>
      <c r="S154" s="91">
        <f>SUMIFS(tabela_registros[VALOR],tabela_registros[MÊS],$AE$1,tabela_registros[DIA],investiroutrosconsolidadojul[[#Headers],[15]],tabela_registros[REGISTRO],DADOS!$N$5,tabela_registros[TIPO],DADOS!$AB$5,tabela_registros[CATEGORIA],investiroutrosconsolidadojul[[#This Row],[ATUAL]])</f>
        <v>0</v>
      </c>
      <c r="T154" s="91">
        <f>SUMIFS(tabela_registros[VALOR],tabela_registros[MÊS],$AE$1,tabela_registros[DIA],investiroutrosconsolidadojul[[#Headers],[16]],tabela_registros[REGISTRO],DADOS!$N$5,tabela_registros[TIPO],DADOS!$AB$5,tabela_registros[CATEGORIA],investiroutrosconsolidadojul[[#This Row],[ATUAL]])</f>
        <v>0</v>
      </c>
      <c r="U154" s="91">
        <f>SUMIFS(tabela_registros[VALOR],tabela_registros[MÊS],$AE$1,tabela_registros[DIA],investiroutrosconsolidadojul[[#Headers],[17]],tabela_registros[REGISTRO],DADOS!$N$5,tabela_registros[TIPO],DADOS!$AB$5,tabela_registros[CATEGORIA],investiroutrosconsolidadojul[[#This Row],[ATUAL]])</f>
        <v>0</v>
      </c>
      <c r="V154" s="91">
        <f>SUMIFS(tabela_registros[VALOR],tabela_registros[MÊS],$AE$1,tabela_registros[DIA],investiroutrosconsolidadojul[[#Headers],[18]],tabela_registros[REGISTRO],DADOS!$N$5,tabela_registros[TIPO],DADOS!$AB$5,tabela_registros[CATEGORIA],investiroutrosconsolidadojul[[#This Row],[ATUAL]])</f>
        <v>0</v>
      </c>
      <c r="W154" s="91">
        <f>SUMIFS(tabela_registros[VALOR],tabela_registros[MÊS],$AE$1,tabela_registros[DIA],investiroutrosconsolidadojul[[#Headers],[19]],tabela_registros[REGISTRO],DADOS!$N$5,tabela_registros[TIPO],DADOS!$AB$5,tabela_registros[CATEGORIA],investiroutrosconsolidadojul[[#This Row],[ATUAL]])</f>
        <v>0</v>
      </c>
      <c r="X154" s="91">
        <f>SUMIFS(tabela_registros[VALOR],tabela_registros[MÊS],$AE$1,tabela_registros[DIA],investiroutrosconsolidadojul[[#Headers],[20]],tabela_registros[REGISTRO],DADOS!$N$5,tabela_registros[TIPO],DADOS!$AB$5,tabela_registros[CATEGORIA],investiroutrosconsolidadojul[[#This Row],[ATUAL]])</f>
        <v>0</v>
      </c>
      <c r="Y154" s="91">
        <f>SUMIFS(tabela_registros[VALOR],tabela_registros[MÊS],$AE$1,tabela_registros[DIA],investiroutrosconsolidadojul[[#Headers],[21]],tabela_registros[REGISTRO],DADOS!$N$5,tabela_registros[TIPO],DADOS!$AB$5,tabela_registros[CATEGORIA],investiroutrosconsolidadojul[[#This Row],[ATUAL]])</f>
        <v>0</v>
      </c>
      <c r="Z154" s="91">
        <f>SUMIFS(tabela_registros[VALOR],tabela_registros[MÊS],$AE$1,tabela_registros[DIA],investiroutrosconsolidadojul[[#Headers],[22]],tabela_registros[REGISTRO],DADOS!$N$5,tabela_registros[TIPO],DADOS!$AB$5,tabela_registros[CATEGORIA],investiroutrosconsolidadojul[[#This Row],[ATUAL]])</f>
        <v>0</v>
      </c>
      <c r="AA154" s="91">
        <f>SUMIFS(tabela_registros[VALOR],tabela_registros[MÊS],$AE$1,tabela_registros[DIA],investiroutrosconsolidadojul[[#Headers],[23]],tabela_registros[REGISTRO],DADOS!$N$5,tabela_registros[TIPO],DADOS!$AB$5,tabela_registros[CATEGORIA],investiroutrosconsolidadojul[[#This Row],[ATUAL]])</f>
        <v>0</v>
      </c>
      <c r="AB154" s="91">
        <f>SUMIFS(tabela_registros[VALOR],tabela_registros[MÊS],$AE$1,tabela_registros[DIA],investiroutrosconsolidadojul[[#Headers],[24]],tabela_registros[REGISTRO],DADOS!$N$5,tabela_registros[TIPO],DADOS!$AB$5,tabela_registros[CATEGORIA],investiroutrosconsolidadojul[[#This Row],[ATUAL]])</f>
        <v>0</v>
      </c>
      <c r="AC154" s="91">
        <f>SUMIFS(tabela_registros[VALOR],tabela_registros[MÊS],$AE$1,tabela_registros[DIA],investiroutrosconsolidadojul[[#Headers],[25]],tabela_registros[REGISTRO],DADOS!$N$5,tabela_registros[TIPO],DADOS!$AB$5,tabela_registros[CATEGORIA],investiroutrosconsolidadojul[[#This Row],[ATUAL]])</f>
        <v>0</v>
      </c>
      <c r="AD154" s="91">
        <f>SUMIFS(tabela_registros[VALOR],tabela_registros[MÊS],$AE$1,tabela_registros[DIA],investiroutrosconsolidadojul[[#Headers],[26]],tabela_registros[REGISTRO],DADOS!$N$5,tabela_registros[TIPO],DADOS!$AB$5,tabela_registros[CATEGORIA],investiroutrosconsolidadojul[[#This Row],[ATUAL]])</f>
        <v>0</v>
      </c>
      <c r="AE154" s="91">
        <f>SUMIFS(tabela_registros[VALOR],tabela_registros[MÊS],$AE$1,tabela_registros[DIA],investiroutrosconsolidadojul[[#Headers],[27]],tabela_registros[REGISTRO],DADOS!$N$5,tabela_registros[TIPO],DADOS!$AB$5,tabela_registros[CATEGORIA],investiroutrosconsolidadojul[[#This Row],[ATUAL]])</f>
        <v>0</v>
      </c>
      <c r="AF154" s="91">
        <f>SUMIFS(tabela_registros[VALOR],tabela_registros[MÊS],$AE$1,tabela_registros[DIA],investiroutrosconsolidadojul[[#Headers],[28]],tabela_registros[REGISTRO],DADOS!$N$5,tabela_registros[TIPO],DADOS!$AB$5,tabela_registros[CATEGORIA],investiroutrosconsolidadojul[[#This Row],[ATUAL]])</f>
        <v>0</v>
      </c>
      <c r="AG154" s="91">
        <f>SUMIFS(tabela_registros[VALOR],tabela_registros[MÊS],$AE$1,tabela_registros[DIA],investiroutrosconsolidadojul[[#Headers],[29]],tabela_registros[REGISTRO],DADOS!$N$5,tabela_registros[TIPO],DADOS!$AB$5,tabela_registros[CATEGORIA],investiroutrosconsolidadojul[[#This Row],[ATUAL]])</f>
        <v>0</v>
      </c>
      <c r="AH154" s="91">
        <f>SUMIFS(tabela_registros[VALOR],tabela_registros[MÊS],$AE$1,tabela_registros[DIA],investiroutrosconsolidadojul[[#Headers],[30]],tabela_registros[REGISTRO],DADOS!$N$5,tabela_registros[TIPO],DADOS!$AB$5,tabela_registros[CATEGORIA],investiroutrosconsolidadojul[[#This Row],[ATUAL]])</f>
        <v>0</v>
      </c>
      <c r="AI154" s="101">
        <f>SUMIFS(tabela_registros[VALOR],tabela_registros[MÊS],$AE$1,tabela_registros[DIA],investiroutrosconsolidadojul[[#Headers],[31]],tabela_registros[REGISTRO],DADOS!$N$5,tabela_registros[TIPO],DADOS!$AB$5,tabela_registros[CATEGORIA],investiroutrosconsolidadojul[[#This Row],[ATUAL]])</f>
        <v>0</v>
      </c>
      <c r="AJ154" s="97">
        <f>SUM(investiroutrosconsolidadojul[[#This Row],[1]:[31]])</f>
        <v>0</v>
      </c>
      <c r="AK154" s="25"/>
    </row>
    <row r="155" spans="2:37" ht="19.5" customHeight="1" thickTop="1" thickBot="1" x14ac:dyDescent="0.3">
      <c r="B155" s="28"/>
      <c r="C155" s="27" t="str">
        <f>DADOS!$AH$7</f>
        <v>📝 PEER TO COMPANY</v>
      </c>
      <c r="D155" s="26" t="str">
        <f>IF(investiroutrosconsolidadojul[[#This Row],[TOTAL (R$)]]=0,"",IF(OR(investiroutrosconsolidadojul[[#This Row],[TOTAL (R$)]]=LARGE($AJ$151:$AJ$158,1),investiroutrosconsolidadojul[[#This Row],[TOTAL (R$)]]=LARGE($AJ$151:$AJ$158,2)),DADOS!$I$10,""))</f>
        <v/>
      </c>
      <c r="E155" s="96">
        <f>SUMIFS(tabela_registros[VALOR],tabela_registros[MÊS],$AE$1,tabela_registros[DIA],investiroutrosconsolidadojul[[#Headers],[1]],tabela_registros[REGISTRO],DADOS!$N$5,tabela_registros[TIPO],DADOS!$AB$5,tabela_registros[CATEGORIA],investiroutrosconsolidadojul[[#This Row],[ATUAL]])</f>
        <v>0</v>
      </c>
      <c r="F155" s="91">
        <f>SUMIFS(tabela_registros[VALOR],tabela_registros[MÊS],$AE$1,tabela_registros[DIA],investiroutrosconsolidadojul[[#Headers],[2]],tabela_registros[REGISTRO],DADOS!$N$5,tabela_registros[TIPO],DADOS!$AB$5,tabela_registros[CATEGORIA],investiroutrosconsolidadojul[[#This Row],[ATUAL]])</f>
        <v>0</v>
      </c>
      <c r="G155" s="91">
        <f>SUMIFS(tabela_registros[VALOR],tabela_registros[MÊS],$AE$1,tabela_registros[DIA],investiroutrosconsolidadojul[[#Headers],[3]],tabela_registros[REGISTRO],DADOS!$N$5,tabela_registros[TIPO],DADOS!$AB$5,tabela_registros[CATEGORIA],investiroutrosconsolidadojul[[#This Row],[ATUAL]])</f>
        <v>0</v>
      </c>
      <c r="H155" s="91">
        <f>SUMIFS(tabela_registros[VALOR],tabela_registros[MÊS],$AE$1,tabela_registros[DIA],investiroutrosconsolidadojul[[#Headers],[4]],tabela_registros[REGISTRO],DADOS!$N$5,tabela_registros[TIPO],DADOS!$AB$5,tabela_registros[CATEGORIA],investiroutrosconsolidadojul[[#This Row],[ATUAL]])</f>
        <v>0</v>
      </c>
      <c r="I155" s="91">
        <f>SUMIFS(tabela_registros[VALOR],tabela_registros[MÊS],$AE$1,tabela_registros[DIA],investiroutrosconsolidadojul[[#Headers],[5]],tabela_registros[REGISTRO],DADOS!$N$5,tabela_registros[TIPO],DADOS!$AB$5,tabela_registros[CATEGORIA],investiroutrosconsolidadojul[[#This Row],[ATUAL]])</f>
        <v>0</v>
      </c>
      <c r="J155" s="91">
        <f>SUMIFS(tabela_registros[VALOR],tabela_registros[MÊS],$AE$1,tabela_registros[DIA],investiroutrosconsolidadojul[[#Headers],[6]],tabela_registros[REGISTRO],DADOS!$N$5,tabela_registros[TIPO],DADOS!$AB$5,tabela_registros[CATEGORIA],investiroutrosconsolidadojul[[#This Row],[ATUAL]])</f>
        <v>0</v>
      </c>
      <c r="K155" s="91">
        <f>SUMIFS(tabela_registros[VALOR],tabela_registros[MÊS],$AE$1,tabela_registros[DIA],investiroutrosconsolidadojul[[#Headers],[7]],tabela_registros[REGISTRO],DADOS!$N$5,tabela_registros[TIPO],DADOS!$AB$5,tabela_registros[CATEGORIA],investiroutrosconsolidadojul[[#This Row],[ATUAL]])</f>
        <v>0</v>
      </c>
      <c r="L155" s="91">
        <f>SUMIFS(tabela_registros[VALOR],tabela_registros[MÊS],$AE$1,tabela_registros[DIA],investiroutrosconsolidadojul[[#Headers],[8]],tabela_registros[REGISTRO],DADOS!$N$5,tabela_registros[TIPO],DADOS!$AB$5,tabela_registros[CATEGORIA],investiroutrosconsolidadojul[[#This Row],[ATUAL]])</f>
        <v>0</v>
      </c>
      <c r="M155" s="91">
        <f>SUMIFS(tabela_registros[VALOR],tabela_registros[MÊS],$AE$1,tabela_registros[DIA],investiroutrosconsolidadojul[[#Headers],[9]],tabela_registros[REGISTRO],DADOS!$N$5,tabela_registros[TIPO],DADOS!$AB$5,tabela_registros[CATEGORIA],investiroutrosconsolidadojul[[#This Row],[ATUAL]])</f>
        <v>0</v>
      </c>
      <c r="N155" s="91">
        <f>SUMIFS(tabela_registros[VALOR],tabela_registros[MÊS],$AE$1,tabela_registros[DIA],investiroutrosconsolidadojul[[#Headers],[10]],tabela_registros[REGISTRO],DADOS!$N$5,tabela_registros[TIPO],DADOS!$AB$5,tabela_registros[CATEGORIA],investiroutrosconsolidadojul[[#This Row],[ATUAL]])</f>
        <v>0</v>
      </c>
      <c r="O155" s="91">
        <f>SUMIFS(tabela_registros[VALOR],tabela_registros[MÊS],$AE$1,tabela_registros[DIA],investiroutrosconsolidadojul[[#Headers],[11]],tabela_registros[REGISTRO],DADOS!$N$5,tabela_registros[TIPO],DADOS!$AB$5,tabela_registros[CATEGORIA],investiroutrosconsolidadojul[[#This Row],[ATUAL]])</f>
        <v>0</v>
      </c>
      <c r="P155" s="91">
        <f>SUMIFS(tabela_registros[VALOR],tabela_registros[MÊS],$AE$1,tabela_registros[DIA],investiroutrosconsolidadojul[[#Headers],[12]],tabela_registros[REGISTRO],DADOS!$N$5,tabela_registros[TIPO],DADOS!$AB$5,tabela_registros[CATEGORIA],investiroutrosconsolidadojul[[#This Row],[ATUAL]])</f>
        <v>0</v>
      </c>
      <c r="Q155" s="91">
        <f>SUMIFS(tabela_registros[VALOR],tabela_registros[MÊS],$AE$1,tabela_registros[DIA],investiroutrosconsolidadojul[[#Headers],[13]],tabela_registros[REGISTRO],DADOS!$N$5,tabela_registros[TIPO],DADOS!$AB$5,tabela_registros[CATEGORIA],investiroutrosconsolidadojul[[#This Row],[ATUAL]])</f>
        <v>0</v>
      </c>
      <c r="R155" s="91">
        <f>SUMIFS(tabela_registros[VALOR],tabela_registros[MÊS],$AE$1,tabela_registros[DIA],investiroutrosconsolidadojul[[#Headers],[14]],tabela_registros[REGISTRO],DADOS!$N$5,tabela_registros[TIPO],DADOS!$AB$5,tabela_registros[CATEGORIA],investiroutrosconsolidadojul[[#This Row],[ATUAL]])</f>
        <v>0</v>
      </c>
      <c r="S155" s="91">
        <f>SUMIFS(tabela_registros[VALOR],tabela_registros[MÊS],$AE$1,tabela_registros[DIA],investiroutrosconsolidadojul[[#Headers],[15]],tabela_registros[REGISTRO],DADOS!$N$5,tabela_registros[TIPO],DADOS!$AB$5,tabela_registros[CATEGORIA],investiroutrosconsolidadojul[[#This Row],[ATUAL]])</f>
        <v>0</v>
      </c>
      <c r="T155" s="91">
        <f>SUMIFS(tabela_registros[VALOR],tabela_registros[MÊS],$AE$1,tabela_registros[DIA],investiroutrosconsolidadojul[[#Headers],[16]],tabela_registros[REGISTRO],DADOS!$N$5,tabela_registros[TIPO],DADOS!$AB$5,tabela_registros[CATEGORIA],investiroutrosconsolidadojul[[#This Row],[ATUAL]])</f>
        <v>0</v>
      </c>
      <c r="U155" s="91">
        <f>SUMIFS(tabela_registros[VALOR],tabela_registros[MÊS],$AE$1,tabela_registros[DIA],investiroutrosconsolidadojul[[#Headers],[17]],tabela_registros[REGISTRO],DADOS!$N$5,tabela_registros[TIPO],DADOS!$AB$5,tabela_registros[CATEGORIA],investiroutrosconsolidadojul[[#This Row],[ATUAL]])</f>
        <v>0</v>
      </c>
      <c r="V155" s="91">
        <f>SUMIFS(tabela_registros[VALOR],tabela_registros[MÊS],$AE$1,tabela_registros[DIA],investiroutrosconsolidadojul[[#Headers],[18]],tabela_registros[REGISTRO],DADOS!$N$5,tabela_registros[TIPO],DADOS!$AB$5,tabela_registros[CATEGORIA],investiroutrosconsolidadojul[[#This Row],[ATUAL]])</f>
        <v>0</v>
      </c>
      <c r="W155" s="91">
        <f>SUMIFS(tabela_registros[VALOR],tabela_registros[MÊS],$AE$1,tabela_registros[DIA],investiroutrosconsolidadojul[[#Headers],[19]],tabela_registros[REGISTRO],DADOS!$N$5,tabela_registros[TIPO],DADOS!$AB$5,tabela_registros[CATEGORIA],investiroutrosconsolidadojul[[#This Row],[ATUAL]])</f>
        <v>0</v>
      </c>
      <c r="X155" s="91">
        <f>SUMIFS(tabela_registros[VALOR],tabela_registros[MÊS],$AE$1,tabela_registros[DIA],investiroutrosconsolidadojul[[#Headers],[20]],tabela_registros[REGISTRO],DADOS!$N$5,tabela_registros[TIPO],DADOS!$AB$5,tabela_registros[CATEGORIA],investiroutrosconsolidadojul[[#This Row],[ATUAL]])</f>
        <v>0</v>
      </c>
      <c r="Y155" s="91">
        <f>SUMIFS(tabela_registros[VALOR],tabela_registros[MÊS],$AE$1,tabela_registros[DIA],investiroutrosconsolidadojul[[#Headers],[21]],tabela_registros[REGISTRO],DADOS!$N$5,tabela_registros[TIPO],DADOS!$AB$5,tabela_registros[CATEGORIA],investiroutrosconsolidadojul[[#This Row],[ATUAL]])</f>
        <v>0</v>
      </c>
      <c r="Z155" s="91">
        <f>SUMIFS(tabela_registros[VALOR],tabela_registros[MÊS],$AE$1,tabela_registros[DIA],investiroutrosconsolidadojul[[#Headers],[22]],tabela_registros[REGISTRO],DADOS!$N$5,tabela_registros[TIPO],DADOS!$AB$5,tabela_registros[CATEGORIA],investiroutrosconsolidadojul[[#This Row],[ATUAL]])</f>
        <v>0</v>
      </c>
      <c r="AA155" s="91">
        <f>SUMIFS(tabela_registros[VALOR],tabela_registros[MÊS],$AE$1,tabela_registros[DIA],investiroutrosconsolidadojul[[#Headers],[23]],tabela_registros[REGISTRO],DADOS!$N$5,tabela_registros[TIPO],DADOS!$AB$5,tabela_registros[CATEGORIA],investiroutrosconsolidadojul[[#This Row],[ATUAL]])</f>
        <v>0</v>
      </c>
      <c r="AB155" s="91">
        <f>SUMIFS(tabela_registros[VALOR],tabela_registros[MÊS],$AE$1,tabela_registros[DIA],investiroutrosconsolidadojul[[#Headers],[24]],tabela_registros[REGISTRO],DADOS!$N$5,tabela_registros[TIPO],DADOS!$AB$5,tabela_registros[CATEGORIA],investiroutrosconsolidadojul[[#This Row],[ATUAL]])</f>
        <v>0</v>
      </c>
      <c r="AC155" s="91">
        <f>SUMIFS(tabela_registros[VALOR],tabela_registros[MÊS],$AE$1,tabela_registros[DIA],investiroutrosconsolidadojul[[#Headers],[25]],tabela_registros[REGISTRO],DADOS!$N$5,tabela_registros[TIPO],DADOS!$AB$5,tabela_registros[CATEGORIA],investiroutrosconsolidadojul[[#This Row],[ATUAL]])</f>
        <v>0</v>
      </c>
      <c r="AD155" s="91">
        <f>SUMIFS(tabela_registros[VALOR],tabela_registros[MÊS],$AE$1,tabela_registros[DIA],investiroutrosconsolidadojul[[#Headers],[26]],tabela_registros[REGISTRO],DADOS!$N$5,tabela_registros[TIPO],DADOS!$AB$5,tabela_registros[CATEGORIA],investiroutrosconsolidadojul[[#This Row],[ATUAL]])</f>
        <v>0</v>
      </c>
      <c r="AE155" s="91">
        <f>SUMIFS(tabela_registros[VALOR],tabela_registros[MÊS],$AE$1,tabela_registros[DIA],investiroutrosconsolidadojul[[#Headers],[27]],tabela_registros[REGISTRO],DADOS!$N$5,tabela_registros[TIPO],DADOS!$AB$5,tabela_registros[CATEGORIA],investiroutrosconsolidadojul[[#This Row],[ATUAL]])</f>
        <v>0</v>
      </c>
      <c r="AF155" s="91">
        <f>SUMIFS(tabela_registros[VALOR],tabela_registros[MÊS],$AE$1,tabela_registros[DIA],investiroutrosconsolidadojul[[#Headers],[28]],tabela_registros[REGISTRO],DADOS!$N$5,tabela_registros[TIPO],DADOS!$AB$5,tabela_registros[CATEGORIA],investiroutrosconsolidadojul[[#This Row],[ATUAL]])</f>
        <v>0</v>
      </c>
      <c r="AG155" s="91">
        <f>SUMIFS(tabela_registros[VALOR],tabela_registros[MÊS],$AE$1,tabela_registros[DIA],investiroutrosconsolidadojul[[#Headers],[29]],tabela_registros[REGISTRO],DADOS!$N$5,tabela_registros[TIPO],DADOS!$AB$5,tabela_registros[CATEGORIA],investiroutrosconsolidadojul[[#This Row],[ATUAL]])</f>
        <v>0</v>
      </c>
      <c r="AH155" s="91">
        <f>SUMIFS(tabela_registros[VALOR],tabela_registros[MÊS],$AE$1,tabela_registros[DIA],investiroutrosconsolidadojul[[#Headers],[30]],tabela_registros[REGISTRO],DADOS!$N$5,tabela_registros[TIPO],DADOS!$AB$5,tabela_registros[CATEGORIA],investiroutrosconsolidadojul[[#This Row],[ATUAL]])</f>
        <v>0</v>
      </c>
      <c r="AI155" s="101">
        <f>SUMIFS(tabela_registros[VALOR],tabela_registros[MÊS],$AE$1,tabela_registros[DIA],investiroutrosconsolidadojul[[#Headers],[31]],tabela_registros[REGISTRO],DADOS!$N$5,tabela_registros[TIPO],DADOS!$AB$5,tabela_registros[CATEGORIA],investiroutrosconsolidadojul[[#This Row],[ATUAL]])</f>
        <v>0</v>
      </c>
      <c r="AJ155" s="97">
        <f>SUM(investiroutrosconsolidadojul[[#This Row],[1]:[31]])</f>
        <v>0</v>
      </c>
      <c r="AK155" s="25"/>
    </row>
    <row r="156" spans="2:37" ht="19.5" customHeight="1" thickTop="1" thickBot="1" x14ac:dyDescent="0.3">
      <c r="B156" s="28"/>
      <c r="C156" s="27" t="str">
        <f>DADOS!$AH$8</f>
        <v>📝 PEER TO PEER</v>
      </c>
      <c r="D156" s="26" t="str">
        <f>IF(investiroutrosconsolidadojul[[#This Row],[TOTAL (R$)]]=0,"",IF(OR(investiroutrosconsolidadojul[[#This Row],[TOTAL (R$)]]=LARGE($AJ$151:$AJ$158,1),investiroutrosconsolidadojul[[#This Row],[TOTAL (R$)]]=LARGE($AJ$151:$AJ$158,2)),DADOS!$I$10,""))</f>
        <v/>
      </c>
      <c r="E156" s="96">
        <f>SUMIFS(tabela_registros[VALOR],tabela_registros[MÊS],$AE$1,tabela_registros[DIA],investiroutrosconsolidadojul[[#Headers],[1]],tabela_registros[REGISTRO],DADOS!$N$5,tabela_registros[TIPO],DADOS!$AB$5,tabela_registros[CATEGORIA],investiroutrosconsolidadojul[[#This Row],[ATUAL]])</f>
        <v>0</v>
      </c>
      <c r="F156" s="91">
        <f>SUMIFS(tabela_registros[VALOR],tabela_registros[MÊS],$AE$1,tabela_registros[DIA],investiroutrosconsolidadojul[[#Headers],[2]],tabela_registros[REGISTRO],DADOS!$N$5,tabela_registros[TIPO],DADOS!$AB$5,tabela_registros[CATEGORIA],investiroutrosconsolidadojul[[#This Row],[ATUAL]])</f>
        <v>0</v>
      </c>
      <c r="G156" s="91">
        <f>SUMIFS(tabela_registros[VALOR],tabela_registros[MÊS],$AE$1,tabela_registros[DIA],investiroutrosconsolidadojul[[#Headers],[3]],tabela_registros[REGISTRO],DADOS!$N$5,tabela_registros[TIPO],DADOS!$AB$5,tabela_registros[CATEGORIA],investiroutrosconsolidadojul[[#This Row],[ATUAL]])</f>
        <v>0</v>
      </c>
      <c r="H156" s="91">
        <f>SUMIFS(tabela_registros[VALOR],tabela_registros[MÊS],$AE$1,tabela_registros[DIA],investiroutrosconsolidadojul[[#Headers],[4]],tabela_registros[REGISTRO],DADOS!$N$5,tabela_registros[TIPO],DADOS!$AB$5,tabela_registros[CATEGORIA],investiroutrosconsolidadojul[[#This Row],[ATUAL]])</f>
        <v>0</v>
      </c>
      <c r="I156" s="91">
        <f>SUMIFS(tabela_registros[VALOR],tabela_registros[MÊS],$AE$1,tabela_registros[DIA],investiroutrosconsolidadojul[[#Headers],[5]],tabela_registros[REGISTRO],DADOS!$N$5,tabela_registros[TIPO],DADOS!$AB$5,tabela_registros[CATEGORIA],investiroutrosconsolidadojul[[#This Row],[ATUAL]])</f>
        <v>0</v>
      </c>
      <c r="J156" s="91">
        <f>SUMIFS(tabela_registros[VALOR],tabela_registros[MÊS],$AE$1,tabela_registros[DIA],investiroutrosconsolidadojul[[#Headers],[6]],tabela_registros[REGISTRO],DADOS!$N$5,tabela_registros[TIPO],DADOS!$AB$5,tabela_registros[CATEGORIA],investiroutrosconsolidadojul[[#This Row],[ATUAL]])</f>
        <v>0</v>
      </c>
      <c r="K156" s="91">
        <f>SUMIFS(tabela_registros[VALOR],tabela_registros[MÊS],$AE$1,tabela_registros[DIA],investiroutrosconsolidadojul[[#Headers],[7]],tabela_registros[REGISTRO],DADOS!$N$5,tabela_registros[TIPO],DADOS!$AB$5,tabela_registros[CATEGORIA],investiroutrosconsolidadojul[[#This Row],[ATUAL]])</f>
        <v>0</v>
      </c>
      <c r="L156" s="91">
        <f>SUMIFS(tabela_registros[VALOR],tabela_registros[MÊS],$AE$1,tabela_registros[DIA],investiroutrosconsolidadojul[[#Headers],[8]],tabela_registros[REGISTRO],DADOS!$N$5,tabela_registros[TIPO],DADOS!$AB$5,tabela_registros[CATEGORIA],investiroutrosconsolidadojul[[#This Row],[ATUAL]])</f>
        <v>0</v>
      </c>
      <c r="M156" s="91">
        <f>SUMIFS(tabela_registros[VALOR],tabela_registros[MÊS],$AE$1,tabela_registros[DIA],investiroutrosconsolidadojul[[#Headers],[9]],tabela_registros[REGISTRO],DADOS!$N$5,tabela_registros[TIPO],DADOS!$AB$5,tabela_registros[CATEGORIA],investiroutrosconsolidadojul[[#This Row],[ATUAL]])</f>
        <v>0</v>
      </c>
      <c r="N156" s="91">
        <f>SUMIFS(tabela_registros[VALOR],tabela_registros[MÊS],$AE$1,tabela_registros[DIA],investiroutrosconsolidadojul[[#Headers],[10]],tabela_registros[REGISTRO],DADOS!$N$5,tabela_registros[TIPO],DADOS!$AB$5,tabela_registros[CATEGORIA],investiroutrosconsolidadojul[[#This Row],[ATUAL]])</f>
        <v>0</v>
      </c>
      <c r="O156" s="91">
        <f>SUMIFS(tabela_registros[VALOR],tabela_registros[MÊS],$AE$1,tabela_registros[DIA],investiroutrosconsolidadojul[[#Headers],[11]],tabela_registros[REGISTRO],DADOS!$N$5,tabela_registros[TIPO],DADOS!$AB$5,tabela_registros[CATEGORIA],investiroutrosconsolidadojul[[#This Row],[ATUAL]])</f>
        <v>0</v>
      </c>
      <c r="P156" s="91">
        <f>SUMIFS(tabela_registros[VALOR],tabela_registros[MÊS],$AE$1,tabela_registros[DIA],investiroutrosconsolidadojul[[#Headers],[12]],tabela_registros[REGISTRO],DADOS!$N$5,tabela_registros[TIPO],DADOS!$AB$5,tabela_registros[CATEGORIA],investiroutrosconsolidadojul[[#This Row],[ATUAL]])</f>
        <v>0</v>
      </c>
      <c r="Q156" s="91">
        <f>SUMIFS(tabela_registros[VALOR],tabela_registros[MÊS],$AE$1,tabela_registros[DIA],investiroutrosconsolidadojul[[#Headers],[13]],tabela_registros[REGISTRO],DADOS!$N$5,tabela_registros[TIPO],DADOS!$AB$5,tabela_registros[CATEGORIA],investiroutrosconsolidadojul[[#This Row],[ATUAL]])</f>
        <v>0</v>
      </c>
      <c r="R156" s="91">
        <f>SUMIFS(tabela_registros[VALOR],tabela_registros[MÊS],$AE$1,tabela_registros[DIA],investiroutrosconsolidadojul[[#Headers],[14]],tabela_registros[REGISTRO],DADOS!$N$5,tabela_registros[TIPO],DADOS!$AB$5,tabela_registros[CATEGORIA],investiroutrosconsolidadojul[[#This Row],[ATUAL]])</f>
        <v>0</v>
      </c>
      <c r="S156" s="91">
        <f>SUMIFS(tabela_registros[VALOR],tabela_registros[MÊS],$AE$1,tabela_registros[DIA],investiroutrosconsolidadojul[[#Headers],[15]],tabela_registros[REGISTRO],DADOS!$N$5,tabela_registros[TIPO],DADOS!$AB$5,tabela_registros[CATEGORIA],investiroutrosconsolidadojul[[#This Row],[ATUAL]])</f>
        <v>0</v>
      </c>
      <c r="T156" s="91">
        <f>SUMIFS(tabela_registros[VALOR],tabela_registros[MÊS],$AE$1,tabela_registros[DIA],investiroutrosconsolidadojul[[#Headers],[16]],tabela_registros[REGISTRO],DADOS!$N$5,tabela_registros[TIPO],DADOS!$AB$5,tabela_registros[CATEGORIA],investiroutrosconsolidadojul[[#This Row],[ATUAL]])</f>
        <v>0</v>
      </c>
      <c r="U156" s="91">
        <f>SUMIFS(tabela_registros[VALOR],tabela_registros[MÊS],$AE$1,tabela_registros[DIA],investiroutrosconsolidadojul[[#Headers],[17]],tabela_registros[REGISTRO],DADOS!$N$5,tabela_registros[TIPO],DADOS!$AB$5,tabela_registros[CATEGORIA],investiroutrosconsolidadojul[[#This Row],[ATUAL]])</f>
        <v>0</v>
      </c>
      <c r="V156" s="91">
        <f>SUMIFS(tabela_registros[VALOR],tabela_registros[MÊS],$AE$1,tabela_registros[DIA],investiroutrosconsolidadojul[[#Headers],[18]],tabela_registros[REGISTRO],DADOS!$N$5,tabela_registros[TIPO],DADOS!$AB$5,tabela_registros[CATEGORIA],investiroutrosconsolidadojul[[#This Row],[ATUAL]])</f>
        <v>0</v>
      </c>
      <c r="W156" s="91">
        <f>SUMIFS(tabela_registros[VALOR],tabela_registros[MÊS],$AE$1,tabela_registros[DIA],investiroutrosconsolidadojul[[#Headers],[19]],tabela_registros[REGISTRO],DADOS!$N$5,tabela_registros[TIPO],DADOS!$AB$5,tabela_registros[CATEGORIA],investiroutrosconsolidadojul[[#This Row],[ATUAL]])</f>
        <v>0</v>
      </c>
      <c r="X156" s="91">
        <f>SUMIFS(tabela_registros[VALOR],tabela_registros[MÊS],$AE$1,tabela_registros[DIA],investiroutrosconsolidadojul[[#Headers],[20]],tabela_registros[REGISTRO],DADOS!$N$5,tabela_registros[TIPO],DADOS!$AB$5,tabela_registros[CATEGORIA],investiroutrosconsolidadojul[[#This Row],[ATUAL]])</f>
        <v>0</v>
      </c>
      <c r="Y156" s="91">
        <f>SUMIFS(tabela_registros[VALOR],tabela_registros[MÊS],$AE$1,tabela_registros[DIA],investiroutrosconsolidadojul[[#Headers],[21]],tabela_registros[REGISTRO],DADOS!$N$5,tabela_registros[TIPO],DADOS!$AB$5,tabela_registros[CATEGORIA],investiroutrosconsolidadojul[[#This Row],[ATUAL]])</f>
        <v>0</v>
      </c>
      <c r="Z156" s="91">
        <f>SUMIFS(tabela_registros[VALOR],tabela_registros[MÊS],$AE$1,tabela_registros[DIA],investiroutrosconsolidadojul[[#Headers],[22]],tabela_registros[REGISTRO],DADOS!$N$5,tabela_registros[TIPO],DADOS!$AB$5,tabela_registros[CATEGORIA],investiroutrosconsolidadojul[[#This Row],[ATUAL]])</f>
        <v>0</v>
      </c>
      <c r="AA156" s="91">
        <f>SUMIFS(tabela_registros[VALOR],tabela_registros[MÊS],$AE$1,tabela_registros[DIA],investiroutrosconsolidadojul[[#Headers],[23]],tabela_registros[REGISTRO],DADOS!$N$5,tabela_registros[TIPO],DADOS!$AB$5,tabela_registros[CATEGORIA],investiroutrosconsolidadojul[[#This Row],[ATUAL]])</f>
        <v>0</v>
      </c>
      <c r="AB156" s="91">
        <f>SUMIFS(tabela_registros[VALOR],tabela_registros[MÊS],$AE$1,tabela_registros[DIA],investiroutrosconsolidadojul[[#Headers],[24]],tabela_registros[REGISTRO],DADOS!$N$5,tabela_registros[TIPO],DADOS!$AB$5,tabela_registros[CATEGORIA],investiroutrosconsolidadojul[[#This Row],[ATUAL]])</f>
        <v>0</v>
      </c>
      <c r="AC156" s="91">
        <f>SUMIFS(tabela_registros[VALOR],tabela_registros[MÊS],$AE$1,tabela_registros[DIA],investiroutrosconsolidadojul[[#Headers],[25]],tabela_registros[REGISTRO],DADOS!$N$5,tabela_registros[TIPO],DADOS!$AB$5,tabela_registros[CATEGORIA],investiroutrosconsolidadojul[[#This Row],[ATUAL]])</f>
        <v>0</v>
      </c>
      <c r="AD156" s="91">
        <f>SUMIFS(tabela_registros[VALOR],tabela_registros[MÊS],$AE$1,tabela_registros[DIA],investiroutrosconsolidadojul[[#Headers],[26]],tabela_registros[REGISTRO],DADOS!$N$5,tabela_registros[TIPO],DADOS!$AB$5,tabela_registros[CATEGORIA],investiroutrosconsolidadojul[[#This Row],[ATUAL]])</f>
        <v>0</v>
      </c>
      <c r="AE156" s="91">
        <f>SUMIFS(tabela_registros[VALOR],tabela_registros[MÊS],$AE$1,tabela_registros[DIA],investiroutrosconsolidadojul[[#Headers],[27]],tabela_registros[REGISTRO],DADOS!$N$5,tabela_registros[TIPO],DADOS!$AB$5,tabela_registros[CATEGORIA],investiroutrosconsolidadojul[[#This Row],[ATUAL]])</f>
        <v>0</v>
      </c>
      <c r="AF156" s="91">
        <f>SUMIFS(tabela_registros[VALOR],tabela_registros[MÊS],$AE$1,tabela_registros[DIA],investiroutrosconsolidadojul[[#Headers],[28]],tabela_registros[REGISTRO],DADOS!$N$5,tabela_registros[TIPO],DADOS!$AB$5,tabela_registros[CATEGORIA],investiroutrosconsolidadojul[[#This Row],[ATUAL]])</f>
        <v>0</v>
      </c>
      <c r="AG156" s="91">
        <f>SUMIFS(tabela_registros[VALOR],tabela_registros[MÊS],$AE$1,tabela_registros[DIA],investiroutrosconsolidadojul[[#Headers],[29]],tabela_registros[REGISTRO],DADOS!$N$5,tabela_registros[TIPO],DADOS!$AB$5,tabela_registros[CATEGORIA],investiroutrosconsolidadojul[[#This Row],[ATUAL]])</f>
        <v>0</v>
      </c>
      <c r="AH156" s="91">
        <f>SUMIFS(tabela_registros[VALOR],tabela_registros[MÊS],$AE$1,tabela_registros[DIA],investiroutrosconsolidadojul[[#Headers],[30]],tabela_registros[REGISTRO],DADOS!$N$5,tabela_registros[TIPO],DADOS!$AB$5,tabela_registros[CATEGORIA],investiroutrosconsolidadojul[[#This Row],[ATUAL]])</f>
        <v>0</v>
      </c>
      <c r="AI156" s="101">
        <f>SUMIFS(tabela_registros[VALOR],tabela_registros[MÊS],$AE$1,tabela_registros[DIA],investiroutrosconsolidadojul[[#Headers],[31]],tabela_registros[REGISTRO],DADOS!$N$5,tabela_registros[TIPO],DADOS!$AB$5,tabela_registros[CATEGORIA],investiroutrosconsolidadojul[[#This Row],[ATUAL]])</f>
        <v>0</v>
      </c>
      <c r="AJ156" s="97">
        <f>SUM(investiroutrosconsolidadojul[[#This Row],[1]:[31]])</f>
        <v>0</v>
      </c>
      <c r="AK156" s="25"/>
    </row>
    <row r="157" spans="2:37" ht="19.5" customHeight="1" thickTop="1" thickBot="1" x14ac:dyDescent="0.3">
      <c r="B157" s="28"/>
      <c r="C157" s="27" t="str">
        <f>DADOS!$AH$9</f>
        <v>📝 PREVIDÊNCIA PRIVADA</v>
      </c>
      <c r="D157" s="26" t="str">
        <f>IF(investiroutrosconsolidadojul[[#This Row],[TOTAL (R$)]]=0,"",IF(OR(investiroutrosconsolidadojul[[#This Row],[TOTAL (R$)]]=LARGE($AJ$151:$AJ$158,1),investiroutrosconsolidadojul[[#This Row],[TOTAL (R$)]]=LARGE($AJ$151:$AJ$158,2)),DADOS!$I$10,""))</f>
        <v/>
      </c>
      <c r="E157" s="96">
        <f>SUMIFS(tabela_registros[VALOR],tabela_registros[MÊS],$AE$1,tabela_registros[DIA],investiroutrosconsolidadojul[[#Headers],[1]],tabela_registros[REGISTRO],DADOS!$N$5,tabela_registros[TIPO],DADOS!$AB$5,tabela_registros[CATEGORIA],investiroutrosconsolidadojul[[#This Row],[ATUAL]])</f>
        <v>0</v>
      </c>
      <c r="F157" s="91">
        <f>SUMIFS(tabela_registros[VALOR],tabela_registros[MÊS],$AE$1,tabela_registros[DIA],investiroutrosconsolidadojul[[#Headers],[2]],tabela_registros[REGISTRO],DADOS!$N$5,tabela_registros[TIPO],DADOS!$AB$5,tabela_registros[CATEGORIA],investiroutrosconsolidadojul[[#This Row],[ATUAL]])</f>
        <v>0</v>
      </c>
      <c r="G157" s="91">
        <f>SUMIFS(tabela_registros[VALOR],tabela_registros[MÊS],$AE$1,tabela_registros[DIA],investiroutrosconsolidadojul[[#Headers],[3]],tabela_registros[REGISTRO],DADOS!$N$5,tabela_registros[TIPO],DADOS!$AB$5,tabela_registros[CATEGORIA],investiroutrosconsolidadojul[[#This Row],[ATUAL]])</f>
        <v>0</v>
      </c>
      <c r="H157" s="91">
        <f>SUMIFS(tabela_registros[VALOR],tabela_registros[MÊS],$AE$1,tabela_registros[DIA],investiroutrosconsolidadojul[[#Headers],[4]],tabela_registros[REGISTRO],DADOS!$N$5,tabela_registros[TIPO],DADOS!$AB$5,tabela_registros[CATEGORIA],investiroutrosconsolidadojul[[#This Row],[ATUAL]])</f>
        <v>0</v>
      </c>
      <c r="I157" s="91">
        <f>SUMIFS(tabela_registros[VALOR],tabela_registros[MÊS],$AE$1,tabela_registros[DIA],investiroutrosconsolidadojul[[#Headers],[5]],tabela_registros[REGISTRO],DADOS!$N$5,tabela_registros[TIPO],DADOS!$AB$5,tabela_registros[CATEGORIA],investiroutrosconsolidadojul[[#This Row],[ATUAL]])</f>
        <v>0</v>
      </c>
      <c r="J157" s="91">
        <f>SUMIFS(tabela_registros[VALOR],tabela_registros[MÊS],$AE$1,tabela_registros[DIA],investiroutrosconsolidadojul[[#Headers],[6]],tabela_registros[REGISTRO],DADOS!$N$5,tabela_registros[TIPO],DADOS!$AB$5,tabela_registros[CATEGORIA],investiroutrosconsolidadojul[[#This Row],[ATUAL]])</f>
        <v>0</v>
      </c>
      <c r="K157" s="91">
        <f>SUMIFS(tabela_registros[VALOR],tabela_registros[MÊS],$AE$1,tabela_registros[DIA],investiroutrosconsolidadojul[[#Headers],[7]],tabela_registros[REGISTRO],DADOS!$N$5,tabela_registros[TIPO],DADOS!$AB$5,tabela_registros[CATEGORIA],investiroutrosconsolidadojul[[#This Row],[ATUAL]])</f>
        <v>0</v>
      </c>
      <c r="L157" s="91">
        <f>SUMIFS(tabela_registros[VALOR],tabela_registros[MÊS],$AE$1,tabela_registros[DIA],investiroutrosconsolidadojul[[#Headers],[8]],tabela_registros[REGISTRO],DADOS!$N$5,tabela_registros[TIPO],DADOS!$AB$5,tabela_registros[CATEGORIA],investiroutrosconsolidadojul[[#This Row],[ATUAL]])</f>
        <v>0</v>
      </c>
      <c r="M157" s="91">
        <f>SUMIFS(tabela_registros[VALOR],tabela_registros[MÊS],$AE$1,tabela_registros[DIA],investiroutrosconsolidadojul[[#Headers],[9]],tabela_registros[REGISTRO],DADOS!$N$5,tabela_registros[TIPO],DADOS!$AB$5,tabela_registros[CATEGORIA],investiroutrosconsolidadojul[[#This Row],[ATUAL]])</f>
        <v>0</v>
      </c>
      <c r="N157" s="91">
        <f>SUMIFS(tabela_registros[VALOR],tabela_registros[MÊS],$AE$1,tabela_registros[DIA],investiroutrosconsolidadojul[[#Headers],[10]],tabela_registros[REGISTRO],DADOS!$N$5,tabela_registros[TIPO],DADOS!$AB$5,tabela_registros[CATEGORIA],investiroutrosconsolidadojul[[#This Row],[ATUAL]])</f>
        <v>0</v>
      </c>
      <c r="O157" s="91">
        <f>SUMIFS(tabela_registros[VALOR],tabela_registros[MÊS],$AE$1,tabela_registros[DIA],investiroutrosconsolidadojul[[#Headers],[11]],tabela_registros[REGISTRO],DADOS!$N$5,tabela_registros[TIPO],DADOS!$AB$5,tabela_registros[CATEGORIA],investiroutrosconsolidadojul[[#This Row],[ATUAL]])</f>
        <v>0</v>
      </c>
      <c r="P157" s="91">
        <f>SUMIFS(tabela_registros[VALOR],tabela_registros[MÊS],$AE$1,tabela_registros[DIA],investiroutrosconsolidadojul[[#Headers],[12]],tabela_registros[REGISTRO],DADOS!$N$5,tabela_registros[TIPO],DADOS!$AB$5,tabela_registros[CATEGORIA],investiroutrosconsolidadojul[[#This Row],[ATUAL]])</f>
        <v>0</v>
      </c>
      <c r="Q157" s="91">
        <f>SUMIFS(tabela_registros[VALOR],tabela_registros[MÊS],$AE$1,tabela_registros[DIA],investiroutrosconsolidadojul[[#Headers],[13]],tabela_registros[REGISTRO],DADOS!$N$5,tabela_registros[TIPO],DADOS!$AB$5,tabela_registros[CATEGORIA],investiroutrosconsolidadojul[[#This Row],[ATUAL]])</f>
        <v>0</v>
      </c>
      <c r="R157" s="91">
        <f>SUMIFS(tabela_registros[VALOR],tabela_registros[MÊS],$AE$1,tabela_registros[DIA],investiroutrosconsolidadojul[[#Headers],[14]],tabela_registros[REGISTRO],DADOS!$N$5,tabela_registros[TIPO],DADOS!$AB$5,tabela_registros[CATEGORIA],investiroutrosconsolidadojul[[#This Row],[ATUAL]])</f>
        <v>0</v>
      </c>
      <c r="S157" s="91">
        <f>SUMIFS(tabela_registros[VALOR],tabela_registros[MÊS],$AE$1,tabela_registros[DIA],investiroutrosconsolidadojul[[#Headers],[15]],tabela_registros[REGISTRO],DADOS!$N$5,tabela_registros[TIPO],DADOS!$AB$5,tabela_registros[CATEGORIA],investiroutrosconsolidadojul[[#This Row],[ATUAL]])</f>
        <v>0</v>
      </c>
      <c r="T157" s="91">
        <f>SUMIFS(tabela_registros[VALOR],tabela_registros[MÊS],$AE$1,tabela_registros[DIA],investiroutrosconsolidadojul[[#Headers],[16]],tabela_registros[REGISTRO],DADOS!$N$5,tabela_registros[TIPO],DADOS!$AB$5,tabela_registros[CATEGORIA],investiroutrosconsolidadojul[[#This Row],[ATUAL]])</f>
        <v>0</v>
      </c>
      <c r="U157" s="91">
        <f>SUMIFS(tabela_registros[VALOR],tabela_registros[MÊS],$AE$1,tabela_registros[DIA],investiroutrosconsolidadojul[[#Headers],[17]],tabela_registros[REGISTRO],DADOS!$N$5,tabela_registros[TIPO],DADOS!$AB$5,tabela_registros[CATEGORIA],investiroutrosconsolidadojul[[#This Row],[ATUAL]])</f>
        <v>0</v>
      </c>
      <c r="V157" s="91">
        <f>SUMIFS(tabela_registros[VALOR],tabela_registros[MÊS],$AE$1,tabela_registros[DIA],investiroutrosconsolidadojul[[#Headers],[18]],tabela_registros[REGISTRO],DADOS!$N$5,tabela_registros[TIPO],DADOS!$AB$5,tabela_registros[CATEGORIA],investiroutrosconsolidadojul[[#This Row],[ATUAL]])</f>
        <v>0</v>
      </c>
      <c r="W157" s="91">
        <f>SUMIFS(tabela_registros[VALOR],tabela_registros[MÊS],$AE$1,tabela_registros[DIA],investiroutrosconsolidadojul[[#Headers],[19]],tabela_registros[REGISTRO],DADOS!$N$5,tabela_registros[TIPO],DADOS!$AB$5,tabela_registros[CATEGORIA],investiroutrosconsolidadojul[[#This Row],[ATUAL]])</f>
        <v>0</v>
      </c>
      <c r="X157" s="91">
        <f>SUMIFS(tabela_registros[VALOR],tabela_registros[MÊS],$AE$1,tabela_registros[DIA],investiroutrosconsolidadojul[[#Headers],[20]],tabela_registros[REGISTRO],DADOS!$N$5,tabela_registros[TIPO],DADOS!$AB$5,tabela_registros[CATEGORIA],investiroutrosconsolidadojul[[#This Row],[ATUAL]])</f>
        <v>0</v>
      </c>
      <c r="Y157" s="91">
        <f>SUMIFS(tabela_registros[VALOR],tabela_registros[MÊS],$AE$1,tabela_registros[DIA],investiroutrosconsolidadojul[[#Headers],[21]],tabela_registros[REGISTRO],DADOS!$N$5,tabela_registros[TIPO],DADOS!$AB$5,tabela_registros[CATEGORIA],investiroutrosconsolidadojul[[#This Row],[ATUAL]])</f>
        <v>0</v>
      </c>
      <c r="Z157" s="91">
        <f>SUMIFS(tabela_registros[VALOR],tabela_registros[MÊS],$AE$1,tabela_registros[DIA],investiroutrosconsolidadojul[[#Headers],[22]],tabela_registros[REGISTRO],DADOS!$N$5,tabela_registros[TIPO],DADOS!$AB$5,tabela_registros[CATEGORIA],investiroutrosconsolidadojul[[#This Row],[ATUAL]])</f>
        <v>0</v>
      </c>
      <c r="AA157" s="91">
        <f>SUMIFS(tabela_registros[VALOR],tabela_registros[MÊS],$AE$1,tabela_registros[DIA],investiroutrosconsolidadojul[[#Headers],[23]],tabela_registros[REGISTRO],DADOS!$N$5,tabela_registros[TIPO],DADOS!$AB$5,tabela_registros[CATEGORIA],investiroutrosconsolidadojul[[#This Row],[ATUAL]])</f>
        <v>0</v>
      </c>
      <c r="AB157" s="91">
        <f>SUMIFS(tabela_registros[VALOR],tabela_registros[MÊS],$AE$1,tabela_registros[DIA],investiroutrosconsolidadojul[[#Headers],[24]],tabela_registros[REGISTRO],DADOS!$N$5,tabela_registros[TIPO],DADOS!$AB$5,tabela_registros[CATEGORIA],investiroutrosconsolidadojul[[#This Row],[ATUAL]])</f>
        <v>0</v>
      </c>
      <c r="AC157" s="91">
        <f>SUMIFS(tabela_registros[VALOR],tabela_registros[MÊS],$AE$1,tabela_registros[DIA],investiroutrosconsolidadojul[[#Headers],[25]],tabela_registros[REGISTRO],DADOS!$N$5,tabela_registros[TIPO],DADOS!$AB$5,tabela_registros[CATEGORIA],investiroutrosconsolidadojul[[#This Row],[ATUAL]])</f>
        <v>0</v>
      </c>
      <c r="AD157" s="91">
        <f>SUMIFS(tabela_registros[VALOR],tabela_registros[MÊS],$AE$1,tabela_registros[DIA],investiroutrosconsolidadojul[[#Headers],[26]],tabela_registros[REGISTRO],DADOS!$N$5,tabela_registros[TIPO],DADOS!$AB$5,tabela_registros[CATEGORIA],investiroutrosconsolidadojul[[#This Row],[ATUAL]])</f>
        <v>0</v>
      </c>
      <c r="AE157" s="91">
        <f>SUMIFS(tabela_registros[VALOR],tabela_registros[MÊS],$AE$1,tabela_registros[DIA],investiroutrosconsolidadojul[[#Headers],[27]],tabela_registros[REGISTRO],DADOS!$N$5,tabela_registros[TIPO],DADOS!$AB$5,tabela_registros[CATEGORIA],investiroutrosconsolidadojul[[#This Row],[ATUAL]])</f>
        <v>0</v>
      </c>
      <c r="AF157" s="91">
        <f>SUMIFS(tabela_registros[VALOR],tabela_registros[MÊS],$AE$1,tabela_registros[DIA],investiroutrosconsolidadojul[[#Headers],[28]],tabela_registros[REGISTRO],DADOS!$N$5,tabela_registros[TIPO],DADOS!$AB$5,tabela_registros[CATEGORIA],investiroutrosconsolidadojul[[#This Row],[ATUAL]])</f>
        <v>0</v>
      </c>
      <c r="AG157" s="91">
        <f>SUMIFS(tabela_registros[VALOR],tabela_registros[MÊS],$AE$1,tabela_registros[DIA],investiroutrosconsolidadojul[[#Headers],[29]],tabela_registros[REGISTRO],DADOS!$N$5,tabela_registros[TIPO],DADOS!$AB$5,tabela_registros[CATEGORIA],investiroutrosconsolidadojul[[#This Row],[ATUAL]])</f>
        <v>0</v>
      </c>
      <c r="AH157" s="91">
        <f>SUMIFS(tabela_registros[VALOR],tabela_registros[MÊS],$AE$1,tabela_registros[DIA],investiroutrosconsolidadojul[[#Headers],[30]],tabela_registros[REGISTRO],DADOS!$N$5,tabela_registros[TIPO],DADOS!$AB$5,tabela_registros[CATEGORIA],investiroutrosconsolidadojul[[#This Row],[ATUAL]])</f>
        <v>0</v>
      </c>
      <c r="AI157" s="101">
        <f>SUMIFS(tabela_registros[VALOR],tabela_registros[MÊS],$AE$1,tabela_registros[DIA],investiroutrosconsolidadojul[[#Headers],[31]],tabela_registros[REGISTRO],DADOS!$N$5,tabela_registros[TIPO],DADOS!$AB$5,tabela_registros[CATEGORIA],investiroutrosconsolidadojul[[#This Row],[ATUAL]])</f>
        <v>0</v>
      </c>
      <c r="AJ157" s="97">
        <f>SUM(investiroutrosconsolidadojul[[#This Row],[1]:[31]])</f>
        <v>0</v>
      </c>
      <c r="AK157" s="25"/>
    </row>
    <row r="158" spans="2:37" ht="19.5" customHeight="1" thickTop="1" thickBot="1" x14ac:dyDescent="0.3">
      <c r="B158" s="28"/>
      <c r="C158" s="27" t="str">
        <f>DADOS!$AH$10</f>
        <v>📎 OUTROS</v>
      </c>
      <c r="D158" s="26" t="str">
        <f>IF(investiroutrosconsolidadojul[[#This Row],[TOTAL (R$)]]=0,"",IF(OR(investiroutrosconsolidadojul[[#This Row],[TOTAL (R$)]]=LARGE($AJ$151:$AJ$158,1),investiroutrosconsolidadojul[[#This Row],[TOTAL (R$)]]=LARGE($AJ$151:$AJ$158,2)),DADOS!$I$10,""))</f>
        <v/>
      </c>
      <c r="E158" s="96">
        <f>SUMIFS(tabela_registros[VALOR],tabela_registros[MÊS],$AE$1,tabela_registros[DIA],investiroutrosconsolidadojul[[#Headers],[1]],tabela_registros[REGISTRO],DADOS!$N$5,tabela_registros[TIPO],DADOS!$AB$5,tabela_registros[CATEGORIA],investiroutrosconsolidadojul[[#This Row],[ATUAL]])</f>
        <v>0</v>
      </c>
      <c r="F158" s="91">
        <f>SUMIFS(tabela_registros[VALOR],tabela_registros[MÊS],$AE$1,tabela_registros[DIA],investiroutrosconsolidadojul[[#Headers],[2]],tabela_registros[REGISTRO],DADOS!$N$5,tabela_registros[TIPO],DADOS!$AB$5,tabela_registros[CATEGORIA],investiroutrosconsolidadojul[[#This Row],[ATUAL]])</f>
        <v>0</v>
      </c>
      <c r="G158" s="91">
        <f>SUMIFS(tabela_registros[VALOR],tabela_registros[MÊS],$AE$1,tabela_registros[DIA],investiroutrosconsolidadojul[[#Headers],[3]],tabela_registros[REGISTRO],DADOS!$N$5,tabela_registros[TIPO],DADOS!$AB$5,tabela_registros[CATEGORIA],investiroutrosconsolidadojul[[#This Row],[ATUAL]])</f>
        <v>0</v>
      </c>
      <c r="H158" s="91">
        <f>SUMIFS(tabela_registros[VALOR],tabela_registros[MÊS],$AE$1,tabela_registros[DIA],investiroutrosconsolidadojul[[#Headers],[4]],tabela_registros[REGISTRO],DADOS!$N$5,tabela_registros[TIPO],DADOS!$AB$5,tabela_registros[CATEGORIA],investiroutrosconsolidadojul[[#This Row],[ATUAL]])</f>
        <v>0</v>
      </c>
      <c r="I158" s="91">
        <f>SUMIFS(tabela_registros[VALOR],tabela_registros[MÊS],$AE$1,tabela_registros[DIA],investiroutrosconsolidadojul[[#Headers],[5]],tabela_registros[REGISTRO],DADOS!$N$5,tabela_registros[TIPO],DADOS!$AB$5,tabela_registros[CATEGORIA],investiroutrosconsolidadojul[[#This Row],[ATUAL]])</f>
        <v>0</v>
      </c>
      <c r="J158" s="91">
        <f>SUMIFS(tabela_registros[VALOR],tabela_registros[MÊS],$AE$1,tabela_registros[DIA],investiroutrosconsolidadojul[[#Headers],[6]],tabela_registros[REGISTRO],DADOS!$N$5,tabela_registros[TIPO],DADOS!$AB$5,tabela_registros[CATEGORIA],investiroutrosconsolidadojul[[#This Row],[ATUAL]])</f>
        <v>0</v>
      </c>
      <c r="K158" s="91">
        <f>SUMIFS(tabela_registros[VALOR],tabela_registros[MÊS],$AE$1,tabela_registros[DIA],investiroutrosconsolidadojul[[#Headers],[7]],tabela_registros[REGISTRO],DADOS!$N$5,tabela_registros[TIPO],DADOS!$AB$5,tabela_registros[CATEGORIA],investiroutrosconsolidadojul[[#This Row],[ATUAL]])</f>
        <v>0</v>
      </c>
      <c r="L158" s="91">
        <f>SUMIFS(tabela_registros[VALOR],tabela_registros[MÊS],$AE$1,tabela_registros[DIA],investiroutrosconsolidadojul[[#Headers],[8]],tabela_registros[REGISTRO],DADOS!$N$5,tabela_registros[TIPO],DADOS!$AB$5,tabela_registros[CATEGORIA],investiroutrosconsolidadojul[[#This Row],[ATUAL]])</f>
        <v>0</v>
      </c>
      <c r="M158" s="91">
        <f>SUMIFS(tabela_registros[VALOR],tabela_registros[MÊS],$AE$1,tabela_registros[DIA],investiroutrosconsolidadojul[[#Headers],[9]],tabela_registros[REGISTRO],DADOS!$N$5,tabela_registros[TIPO],DADOS!$AB$5,tabela_registros[CATEGORIA],investiroutrosconsolidadojul[[#This Row],[ATUAL]])</f>
        <v>0</v>
      </c>
      <c r="N158" s="91">
        <f>SUMIFS(tabela_registros[VALOR],tabela_registros[MÊS],$AE$1,tabela_registros[DIA],investiroutrosconsolidadojul[[#Headers],[10]],tabela_registros[REGISTRO],DADOS!$N$5,tabela_registros[TIPO],DADOS!$AB$5,tabela_registros[CATEGORIA],investiroutrosconsolidadojul[[#This Row],[ATUAL]])</f>
        <v>0</v>
      </c>
      <c r="O158" s="91">
        <f>SUMIFS(tabela_registros[VALOR],tabela_registros[MÊS],$AE$1,tabela_registros[DIA],investiroutrosconsolidadojul[[#Headers],[11]],tabela_registros[REGISTRO],DADOS!$N$5,tabela_registros[TIPO],DADOS!$AB$5,tabela_registros[CATEGORIA],investiroutrosconsolidadojul[[#This Row],[ATUAL]])</f>
        <v>0</v>
      </c>
      <c r="P158" s="91">
        <f>SUMIFS(tabela_registros[VALOR],tabela_registros[MÊS],$AE$1,tabela_registros[DIA],investiroutrosconsolidadojul[[#Headers],[12]],tabela_registros[REGISTRO],DADOS!$N$5,tabela_registros[TIPO],DADOS!$AB$5,tabela_registros[CATEGORIA],investiroutrosconsolidadojul[[#This Row],[ATUAL]])</f>
        <v>0</v>
      </c>
      <c r="Q158" s="91">
        <f>SUMIFS(tabela_registros[VALOR],tabela_registros[MÊS],$AE$1,tabela_registros[DIA],investiroutrosconsolidadojul[[#Headers],[13]],tabela_registros[REGISTRO],DADOS!$N$5,tabela_registros[TIPO],DADOS!$AB$5,tabela_registros[CATEGORIA],investiroutrosconsolidadojul[[#This Row],[ATUAL]])</f>
        <v>0</v>
      </c>
      <c r="R158" s="91">
        <f>SUMIFS(tabela_registros[VALOR],tabela_registros[MÊS],$AE$1,tabela_registros[DIA],investiroutrosconsolidadojul[[#Headers],[14]],tabela_registros[REGISTRO],DADOS!$N$5,tabela_registros[TIPO],DADOS!$AB$5,tabela_registros[CATEGORIA],investiroutrosconsolidadojul[[#This Row],[ATUAL]])</f>
        <v>0</v>
      </c>
      <c r="S158" s="91">
        <f>SUMIFS(tabela_registros[VALOR],tabela_registros[MÊS],$AE$1,tabela_registros[DIA],investiroutrosconsolidadojul[[#Headers],[15]],tabela_registros[REGISTRO],DADOS!$N$5,tabela_registros[TIPO],DADOS!$AB$5,tabela_registros[CATEGORIA],investiroutrosconsolidadojul[[#This Row],[ATUAL]])</f>
        <v>0</v>
      </c>
      <c r="T158" s="91">
        <f>SUMIFS(tabela_registros[VALOR],tabela_registros[MÊS],$AE$1,tabela_registros[DIA],investiroutrosconsolidadojul[[#Headers],[16]],tabela_registros[REGISTRO],DADOS!$N$5,tabela_registros[TIPO],DADOS!$AB$5,tabela_registros[CATEGORIA],investiroutrosconsolidadojul[[#This Row],[ATUAL]])</f>
        <v>0</v>
      </c>
      <c r="U158" s="91">
        <f>SUMIFS(tabela_registros[VALOR],tabela_registros[MÊS],$AE$1,tabela_registros[DIA],investiroutrosconsolidadojul[[#Headers],[17]],tabela_registros[REGISTRO],DADOS!$N$5,tabela_registros[TIPO],DADOS!$AB$5,tabela_registros[CATEGORIA],investiroutrosconsolidadojul[[#This Row],[ATUAL]])</f>
        <v>0</v>
      </c>
      <c r="V158" s="91">
        <f>SUMIFS(tabela_registros[VALOR],tabela_registros[MÊS],$AE$1,tabela_registros[DIA],investiroutrosconsolidadojul[[#Headers],[18]],tabela_registros[REGISTRO],DADOS!$N$5,tabela_registros[TIPO],DADOS!$AB$5,tabela_registros[CATEGORIA],investiroutrosconsolidadojul[[#This Row],[ATUAL]])</f>
        <v>0</v>
      </c>
      <c r="W158" s="91">
        <f>SUMIFS(tabela_registros[VALOR],tabela_registros[MÊS],$AE$1,tabela_registros[DIA],investiroutrosconsolidadojul[[#Headers],[19]],tabela_registros[REGISTRO],DADOS!$N$5,tabela_registros[TIPO],DADOS!$AB$5,tabela_registros[CATEGORIA],investiroutrosconsolidadojul[[#This Row],[ATUAL]])</f>
        <v>0</v>
      </c>
      <c r="X158" s="91">
        <f>SUMIFS(tabela_registros[VALOR],tabela_registros[MÊS],$AE$1,tabela_registros[DIA],investiroutrosconsolidadojul[[#Headers],[20]],tabela_registros[REGISTRO],DADOS!$N$5,tabela_registros[TIPO],DADOS!$AB$5,tabela_registros[CATEGORIA],investiroutrosconsolidadojul[[#This Row],[ATUAL]])</f>
        <v>0</v>
      </c>
      <c r="Y158" s="91">
        <f>SUMIFS(tabela_registros[VALOR],tabela_registros[MÊS],$AE$1,tabela_registros[DIA],investiroutrosconsolidadojul[[#Headers],[21]],tabela_registros[REGISTRO],DADOS!$N$5,tabela_registros[TIPO],DADOS!$AB$5,tabela_registros[CATEGORIA],investiroutrosconsolidadojul[[#This Row],[ATUAL]])</f>
        <v>0</v>
      </c>
      <c r="Z158" s="91">
        <f>SUMIFS(tabela_registros[VALOR],tabela_registros[MÊS],$AE$1,tabela_registros[DIA],investiroutrosconsolidadojul[[#Headers],[22]],tabela_registros[REGISTRO],DADOS!$N$5,tabela_registros[TIPO],DADOS!$AB$5,tabela_registros[CATEGORIA],investiroutrosconsolidadojul[[#This Row],[ATUAL]])</f>
        <v>0</v>
      </c>
      <c r="AA158" s="91">
        <f>SUMIFS(tabela_registros[VALOR],tabela_registros[MÊS],$AE$1,tabela_registros[DIA],investiroutrosconsolidadojul[[#Headers],[23]],tabela_registros[REGISTRO],DADOS!$N$5,tabela_registros[TIPO],DADOS!$AB$5,tabela_registros[CATEGORIA],investiroutrosconsolidadojul[[#This Row],[ATUAL]])</f>
        <v>0</v>
      </c>
      <c r="AB158" s="91">
        <f>SUMIFS(tabela_registros[VALOR],tabela_registros[MÊS],$AE$1,tabela_registros[DIA],investiroutrosconsolidadojul[[#Headers],[24]],tabela_registros[REGISTRO],DADOS!$N$5,tabela_registros[TIPO],DADOS!$AB$5,tabela_registros[CATEGORIA],investiroutrosconsolidadojul[[#This Row],[ATUAL]])</f>
        <v>0</v>
      </c>
      <c r="AC158" s="91">
        <f>SUMIFS(tabela_registros[VALOR],tabela_registros[MÊS],$AE$1,tabela_registros[DIA],investiroutrosconsolidadojul[[#Headers],[25]],tabela_registros[REGISTRO],DADOS!$N$5,tabela_registros[TIPO],DADOS!$AB$5,tabela_registros[CATEGORIA],investiroutrosconsolidadojul[[#This Row],[ATUAL]])</f>
        <v>0</v>
      </c>
      <c r="AD158" s="91">
        <f>SUMIFS(tabela_registros[VALOR],tabela_registros[MÊS],$AE$1,tabela_registros[DIA],investiroutrosconsolidadojul[[#Headers],[26]],tabela_registros[REGISTRO],DADOS!$N$5,tabela_registros[TIPO],DADOS!$AB$5,tabela_registros[CATEGORIA],investiroutrosconsolidadojul[[#This Row],[ATUAL]])</f>
        <v>0</v>
      </c>
      <c r="AE158" s="91">
        <f>SUMIFS(tabela_registros[VALOR],tabela_registros[MÊS],$AE$1,tabela_registros[DIA],investiroutrosconsolidadojul[[#Headers],[27]],tabela_registros[REGISTRO],DADOS!$N$5,tabela_registros[TIPO],DADOS!$AB$5,tabela_registros[CATEGORIA],investiroutrosconsolidadojul[[#This Row],[ATUAL]])</f>
        <v>0</v>
      </c>
      <c r="AF158" s="91">
        <f>SUMIFS(tabela_registros[VALOR],tabela_registros[MÊS],$AE$1,tabela_registros[DIA],investiroutrosconsolidadojul[[#Headers],[28]],tabela_registros[REGISTRO],DADOS!$N$5,tabela_registros[TIPO],DADOS!$AB$5,tabela_registros[CATEGORIA],investiroutrosconsolidadojul[[#This Row],[ATUAL]])</f>
        <v>0</v>
      </c>
      <c r="AG158" s="91">
        <f>SUMIFS(tabela_registros[VALOR],tabela_registros[MÊS],$AE$1,tabela_registros[DIA],investiroutrosconsolidadojul[[#Headers],[29]],tabela_registros[REGISTRO],DADOS!$N$5,tabela_registros[TIPO],DADOS!$AB$5,tabela_registros[CATEGORIA],investiroutrosconsolidadojul[[#This Row],[ATUAL]])</f>
        <v>0</v>
      </c>
      <c r="AH158" s="91">
        <f>SUMIFS(tabela_registros[VALOR],tabela_registros[MÊS],$AE$1,tabela_registros[DIA],investiroutrosconsolidadojul[[#Headers],[30]],tabela_registros[REGISTRO],DADOS!$N$5,tabela_registros[TIPO],DADOS!$AB$5,tabela_registros[CATEGORIA],investiroutrosconsolidadojul[[#This Row],[ATUAL]])</f>
        <v>0</v>
      </c>
      <c r="AI158" s="102">
        <f>SUMIFS(tabela_registros[VALOR],tabela_registros[MÊS],$AE$1,tabela_registros[DIA],investiroutrosconsolidadojul[[#Headers],[31]],tabela_registros[REGISTRO],DADOS!$N$5,tabela_registros[TIPO],DADOS!$AB$5,tabela_registros[CATEGORIA],investiroutrosconsolidadojul[[#This Row],[ATUAL]])</f>
        <v>0</v>
      </c>
      <c r="AJ158" s="97">
        <f>SUM(investiroutrosconsolidadojul[[#This Row],[1]:[31]])</f>
        <v>0</v>
      </c>
      <c r="AK158" s="25"/>
    </row>
    <row r="159" spans="2:37" s="16" customFormat="1" ht="21" customHeight="1" thickTop="1" thickBot="1" x14ac:dyDescent="0.35">
      <c r="B159" s="24"/>
      <c r="C159" s="23" t="s">
        <v>19</v>
      </c>
      <c r="D159" s="22"/>
      <c r="E159" s="21">
        <f>SUM(E151:E158)</f>
        <v>0</v>
      </c>
      <c r="F159" s="20">
        <f>SUM(F151:F158)+investiroutrosconsolidadojul[[#This Row],[1]]</f>
        <v>0</v>
      </c>
      <c r="G159" s="20">
        <f>SUM(G151:G158)+investiroutrosconsolidadojul[[#This Row],[2]]</f>
        <v>0</v>
      </c>
      <c r="H159" s="20">
        <f>SUM(H151:H158)+investiroutrosconsolidadojul[[#This Row],[3]]</f>
        <v>0</v>
      </c>
      <c r="I159" s="20">
        <f>SUM(I151:I158)+investiroutrosconsolidadojul[[#This Row],[4]]</f>
        <v>0</v>
      </c>
      <c r="J159" s="20">
        <f>SUM(J151:J158)+investiroutrosconsolidadojul[[#This Row],[5]]</f>
        <v>0</v>
      </c>
      <c r="K159" s="20">
        <f>SUM(K151:K158)+investiroutrosconsolidadojul[[#This Row],[6]]</f>
        <v>0</v>
      </c>
      <c r="L159" s="20">
        <f>SUM(L151:L158)+investiroutrosconsolidadojul[[#This Row],[7]]</f>
        <v>0</v>
      </c>
      <c r="M159" s="20">
        <f>SUM(M151:M158)+investiroutrosconsolidadojul[[#This Row],[8]]</f>
        <v>0</v>
      </c>
      <c r="N159" s="20">
        <f>SUM(N151:N158)+investiroutrosconsolidadojul[[#This Row],[9]]</f>
        <v>0</v>
      </c>
      <c r="O159" s="20">
        <f>SUM(O151:O158)+investiroutrosconsolidadojul[[#This Row],[10]]</f>
        <v>0</v>
      </c>
      <c r="P159" s="20">
        <f>SUM(P151:P158)+investiroutrosconsolidadojul[[#This Row],[11]]</f>
        <v>0</v>
      </c>
      <c r="Q159" s="20">
        <f>SUM(Q151:Q158)+investiroutrosconsolidadojul[[#This Row],[12]]</f>
        <v>0</v>
      </c>
      <c r="R159" s="20">
        <f>SUM(R151:R158)+investiroutrosconsolidadojul[[#This Row],[13]]</f>
        <v>0</v>
      </c>
      <c r="S159" s="20">
        <f>SUM(S151:S158)+investiroutrosconsolidadojul[[#This Row],[14]]</f>
        <v>0</v>
      </c>
      <c r="T159" s="20">
        <f>SUM(T151:T158)+investiroutrosconsolidadojul[[#This Row],[15]]</f>
        <v>0</v>
      </c>
      <c r="U159" s="20">
        <f>SUM(U151:U158)+investiroutrosconsolidadojul[[#This Row],[16]]</f>
        <v>0</v>
      </c>
      <c r="V159" s="20">
        <f>SUM(V151:V158)+investiroutrosconsolidadojul[[#This Row],[17]]</f>
        <v>0</v>
      </c>
      <c r="W159" s="20">
        <f>SUM(W151:W158)+investiroutrosconsolidadojul[[#This Row],[18]]</f>
        <v>0</v>
      </c>
      <c r="X159" s="20">
        <f>SUM(X151:X158)+investiroutrosconsolidadojul[[#This Row],[19]]</f>
        <v>0</v>
      </c>
      <c r="Y159" s="20">
        <f>SUM(Y151:Y158)+investiroutrosconsolidadojul[[#This Row],[20]]</f>
        <v>0</v>
      </c>
      <c r="Z159" s="20">
        <f>SUM(Z151:Z158)+investiroutrosconsolidadojul[[#This Row],[21]]</f>
        <v>0</v>
      </c>
      <c r="AA159" s="20">
        <f>SUM(AA151:AA158)+investiroutrosconsolidadojul[[#This Row],[22]]</f>
        <v>0</v>
      </c>
      <c r="AB159" s="20">
        <f>SUM(AB151:AB158)+investiroutrosconsolidadojul[[#This Row],[23]]</f>
        <v>0</v>
      </c>
      <c r="AC159" s="20">
        <f>SUM(AC151:AC158)+investiroutrosconsolidadojul[[#This Row],[24]]</f>
        <v>0</v>
      </c>
      <c r="AD159" s="20">
        <f>SUM(AD151:AD158)+investiroutrosconsolidadojul[[#This Row],[25]]</f>
        <v>0</v>
      </c>
      <c r="AE159" s="20">
        <f>SUM(AE151:AE158)+investiroutrosconsolidadojul[[#This Row],[26]]</f>
        <v>0</v>
      </c>
      <c r="AF159" s="20">
        <f>SUM(AF151:AF158)+investiroutrosconsolidadojul[[#This Row],[27]]</f>
        <v>0</v>
      </c>
      <c r="AG159" s="20">
        <f>SUM(AG151:AG158)+investiroutrosconsolidadojul[[#This Row],[28]]</f>
        <v>0</v>
      </c>
      <c r="AH159" s="20">
        <f>SUM(AH151:AH158)+investiroutrosconsolidadojul[[#This Row],[29]]</f>
        <v>0</v>
      </c>
      <c r="AI159" s="19">
        <f>SUM(AI151:AI158)+investiroutrosconsolidadojul[[#This Row],[30]]</f>
        <v>0</v>
      </c>
      <c r="AJ159" s="18">
        <f>investiroutrosconsolidadojul[[#This Row],[31]]</f>
        <v>0</v>
      </c>
      <c r="AK159" s="17"/>
    </row>
    <row r="160" spans="2:37" ht="6.75" customHeight="1" thickTop="1" thickBot="1" x14ac:dyDescent="0.3">
      <c r="B160" s="15"/>
      <c r="C160" s="14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  <c r="AA160" s="13"/>
      <c r="AB160" s="13"/>
      <c r="AC160" s="13"/>
      <c r="AD160" s="13"/>
      <c r="AE160" s="13"/>
      <c r="AF160" s="13"/>
      <c r="AG160" s="13"/>
      <c r="AH160" s="13"/>
      <c r="AI160" s="12"/>
      <c r="AJ160" s="11"/>
      <c r="AK160" s="10"/>
    </row>
    <row r="161" spans="2:37" ht="12.6" thickTop="1" x14ac:dyDescent="0.25">
      <c r="E161" s="37"/>
      <c r="AI161" s="4"/>
    </row>
    <row r="162" spans="2:37" x14ac:dyDescent="0.25">
      <c r="AI162" s="4"/>
    </row>
    <row r="163" spans="2:37" x14ac:dyDescent="0.25">
      <c r="AI163" s="4"/>
    </row>
    <row r="164" spans="2:37" ht="39.75" customHeight="1" x14ac:dyDescent="0.7">
      <c r="C164" s="36"/>
      <c r="E164" s="240"/>
      <c r="F164" s="240"/>
      <c r="G164" s="240"/>
      <c r="H164" s="240"/>
      <c r="I164" s="240"/>
      <c r="J164" s="240"/>
      <c r="K164" s="240"/>
      <c r="L164" s="240"/>
      <c r="M164" s="240"/>
      <c r="N164" s="240"/>
      <c r="O164" s="240"/>
      <c r="P164" s="240"/>
      <c r="Q164" s="240"/>
      <c r="R164" s="240"/>
      <c r="S164" s="240"/>
      <c r="T164" s="240"/>
      <c r="U164" s="240"/>
      <c r="V164" s="240"/>
      <c r="W164" s="240"/>
      <c r="X164" s="240"/>
      <c r="Y164" s="240"/>
      <c r="Z164" s="240"/>
      <c r="AA164" s="240"/>
      <c r="AB164" s="240"/>
      <c r="AC164" s="240"/>
      <c r="AD164" s="240"/>
      <c r="AE164" s="240"/>
      <c r="AF164" s="240"/>
      <c r="AG164" s="240"/>
      <c r="AH164" s="240"/>
      <c r="AI164" s="240"/>
      <c r="AJ164" s="32" t="s">
        <v>19</v>
      </c>
    </row>
    <row r="165" spans="2:37" ht="12.6" thickBot="1" x14ac:dyDescent="0.3">
      <c r="B165" s="35"/>
      <c r="AI165" s="4"/>
      <c r="AJ165" s="34" t="s">
        <v>202</v>
      </c>
    </row>
    <row r="166" spans="2:37" ht="6.75" customHeight="1" thickTop="1" thickBot="1" x14ac:dyDescent="0.3">
      <c r="B166" s="2"/>
      <c r="C166" s="14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F166" s="13"/>
      <c r="AG166" s="13"/>
      <c r="AH166" s="13"/>
      <c r="AI166" s="13"/>
      <c r="AJ166" s="12"/>
      <c r="AK166" s="33"/>
    </row>
    <row r="167" spans="2:37" ht="13.2" hidden="1" thickTop="1" thickBot="1" x14ac:dyDescent="0.3">
      <c r="B167" s="2"/>
      <c r="C167" s="31" t="s">
        <v>199</v>
      </c>
      <c r="D167" s="30" t="s">
        <v>198</v>
      </c>
      <c r="E167" s="30" t="s">
        <v>197</v>
      </c>
      <c r="F167" s="30" t="s">
        <v>196</v>
      </c>
      <c r="G167" s="30" t="s">
        <v>195</v>
      </c>
      <c r="H167" s="30" t="s">
        <v>194</v>
      </c>
      <c r="I167" s="30" t="s">
        <v>193</v>
      </c>
      <c r="J167" s="30" t="s">
        <v>192</v>
      </c>
      <c r="K167" s="30" t="s">
        <v>191</v>
      </c>
      <c r="L167" s="30" t="s">
        <v>190</v>
      </c>
      <c r="M167" s="30" t="s">
        <v>189</v>
      </c>
      <c r="N167" s="30" t="s">
        <v>188</v>
      </c>
      <c r="O167" s="30" t="s">
        <v>187</v>
      </c>
      <c r="P167" s="30" t="s">
        <v>186</v>
      </c>
      <c r="Q167" s="30" t="s">
        <v>185</v>
      </c>
      <c r="R167" s="30" t="s">
        <v>184</v>
      </c>
      <c r="S167" s="30" t="s">
        <v>183</v>
      </c>
      <c r="T167" s="30" t="s">
        <v>182</v>
      </c>
      <c r="U167" s="30" t="s">
        <v>181</v>
      </c>
      <c r="V167" s="30" t="s">
        <v>180</v>
      </c>
      <c r="W167" s="30" t="s">
        <v>179</v>
      </c>
      <c r="X167" s="30" t="s">
        <v>178</v>
      </c>
      <c r="Y167" s="30" t="s">
        <v>177</v>
      </c>
      <c r="Z167" s="30" t="s">
        <v>176</v>
      </c>
      <c r="AA167" s="30" t="s">
        <v>175</v>
      </c>
      <c r="AB167" s="30" t="s">
        <v>174</v>
      </c>
      <c r="AC167" s="30" t="s">
        <v>173</v>
      </c>
      <c r="AD167" s="30" t="s">
        <v>172</v>
      </c>
      <c r="AE167" s="30" t="s">
        <v>171</v>
      </c>
      <c r="AF167" s="30" t="s">
        <v>170</v>
      </c>
      <c r="AG167" s="30" t="s">
        <v>169</v>
      </c>
      <c r="AH167" s="30" t="s">
        <v>168</v>
      </c>
      <c r="AI167" s="30" t="s">
        <v>167</v>
      </c>
      <c r="AJ167" s="29" t="s">
        <v>166</v>
      </c>
      <c r="AK167" s="2"/>
    </row>
    <row r="168" spans="2:37" ht="19.5" customHeight="1" thickTop="1" thickBot="1" x14ac:dyDescent="0.3">
      <c r="B168" s="28"/>
      <c r="C168" s="27" t="str">
        <f>DADOS!$AL$3</f>
        <v>📝 CDB</v>
      </c>
      <c r="D168" s="26" t="str">
        <f>IF(reservafixaconsolidadojul[[#This Row],[TOTAL (R$)]]=0,"",IF(OR(reservafixaconsolidadojul[[#This Row],[TOTAL (R$)]]=LARGE($AJ$168:$AJ$177,1),reservafixaconsolidadojul[[#This Row],[TOTAL (R$)]]=LARGE($AJ$168:$AJ$177,2)),DADOS!$I$11,""))</f>
        <v/>
      </c>
      <c r="E168" s="96">
        <f>SUMIFS(tabela_registros[VALOR],tabela_registros[MÊS],$AE$1,tabela_registros[DIA],reservafixaconsolidadojul[[#Headers],[1]],tabela_registros[REGISTRO],DADOS!$N$6,tabela_registros[TIPO],DADOS!$AJ$3,tabela_registros[CATEGORIA],reservafixaconsolidadojul[[#This Row],[ATUAL]])</f>
        <v>0</v>
      </c>
      <c r="F168" s="91">
        <f>SUMIFS(tabela_registros[VALOR],tabela_registros[MÊS],$AE$1,tabela_registros[DIA],reservafixaconsolidadojul[[#Headers],[2]],tabela_registros[REGISTRO],DADOS!$N$6,tabela_registros[TIPO],DADOS!$AJ$3,tabela_registros[CATEGORIA],reservafixaconsolidadojul[[#This Row],[ATUAL]])</f>
        <v>0</v>
      </c>
      <c r="G168" s="91">
        <f>SUMIFS(tabela_registros[VALOR],tabela_registros[MÊS],$AE$1,tabela_registros[DIA],reservafixaconsolidadojul[[#Headers],[3]],tabela_registros[REGISTRO],DADOS!$N$6,tabela_registros[TIPO],DADOS!$AJ$3,tabela_registros[CATEGORIA],reservafixaconsolidadojul[[#This Row],[ATUAL]])</f>
        <v>0</v>
      </c>
      <c r="H168" s="91">
        <f>SUMIFS(tabela_registros[VALOR],tabela_registros[MÊS],$AE$1,tabela_registros[DIA],reservafixaconsolidadojul[[#Headers],[4]],tabela_registros[REGISTRO],DADOS!$N$6,tabela_registros[TIPO],DADOS!$AJ$3,tabela_registros[CATEGORIA],reservafixaconsolidadojul[[#This Row],[ATUAL]])</f>
        <v>0</v>
      </c>
      <c r="I168" s="91">
        <f>SUMIFS(tabela_registros[VALOR],tabela_registros[MÊS],$AE$1,tabela_registros[DIA],reservafixaconsolidadojul[[#Headers],[5]],tabela_registros[REGISTRO],DADOS!$N$6,tabela_registros[TIPO],DADOS!$AJ$3,tabela_registros[CATEGORIA],reservafixaconsolidadojul[[#This Row],[ATUAL]])</f>
        <v>0</v>
      </c>
      <c r="J168" s="91">
        <f>SUMIFS(tabela_registros[VALOR],tabela_registros[MÊS],$AE$1,tabela_registros[DIA],reservafixaconsolidadojul[[#Headers],[6]],tabela_registros[REGISTRO],DADOS!$N$6,tabela_registros[TIPO],DADOS!$AJ$3,tabela_registros[CATEGORIA],reservafixaconsolidadojul[[#This Row],[ATUAL]])</f>
        <v>0</v>
      </c>
      <c r="K168" s="91">
        <f>SUMIFS(tabela_registros[VALOR],tabela_registros[MÊS],$AE$1,tabela_registros[DIA],reservafixaconsolidadojul[[#Headers],[7]],tabela_registros[REGISTRO],DADOS!$N$6,tabela_registros[TIPO],DADOS!$AJ$3,tabela_registros[CATEGORIA],reservafixaconsolidadojul[[#This Row],[ATUAL]])</f>
        <v>0</v>
      </c>
      <c r="L168" s="91">
        <f>SUMIFS(tabela_registros[VALOR],tabela_registros[MÊS],$AE$1,tabela_registros[DIA],reservafixaconsolidadojul[[#Headers],[8]],tabela_registros[REGISTRO],DADOS!$N$6,tabela_registros[TIPO],DADOS!$AJ$3,tabela_registros[CATEGORIA],reservafixaconsolidadojul[[#This Row],[ATUAL]])</f>
        <v>0</v>
      </c>
      <c r="M168" s="91">
        <f>SUMIFS(tabela_registros[VALOR],tabela_registros[MÊS],$AE$1,tabela_registros[DIA],reservafixaconsolidadojul[[#Headers],[9]],tabela_registros[REGISTRO],DADOS!$N$6,tabela_registros[TIPO],DADOS!$AJ$3,tabela_registros[CATEGORIA],reservafixaconsolidadojul[[#This Row],[ATUAL]])</f>
        <v>0</v>
      </c>
      <c r="N168" s="91">
        <f>SUMIFS(tabela_registros[VALOR],tabela_registros[MÊS],$AE$1,tabela_registros[DIA],reservafixaconsolidadojul[[#Headers],[10]],tabela_registros[REGISTRO],DADOS!$N$6,tabela_registros[TIPO],DADOS!$AJ$3,tabela_registros[CATEGORIA],reservafixaconsolidadojul[[#This Row],[ATUAL]])</f>
        <v>0</v>
      </c>
      <c r="O168" s="91">
        <f>SUMIFS(tabela_registros[VALOR],tabela_registros[MÊS],$AE$1,tabela_registros[DIA],reservafixaconsolidadojul[[#Headers],[11]],tabela_registros[REGISTRO],DADOS!$N$6,tabela_registros[TIPO],DADOS!$AJ$3,tabela_registros[CATEGORIA],reservafixaconsolidadojul[[#This Row],[ATUAL]])</f>
        <v>0</v>
      </c>
      <c r="P168" s="91">
        <f>SUMIFS(tabela_registros[VALOR],tabela_registros[MÊS],$AE$1,tabela_registros[DIA],reservafixaconsolidadojul[[#Headers],[12]],tabela_registros[REGISTRO],DADOS!$N$6,tabela_registros[TIPO],DADOS!$AJ$3,tabela_registros[CATEGORIA],reservafixaconsolidadojul[[#This Row],[ATUAL]])</f>
        <v>0</v>
      </c>
      <c r="Q168" s="91">
        <f>SUMIFS(tabela_registros[VALOR],tabela_registros[MÊS],$AE$1,tabela_registros[DIA],reservafixaconsolidadojul[[#Headers],[13]],tabela_registros[REGISTRO],DADOS!$N$6,tabela_registros[TIPO],DADOS!$AJ$3,tabela_registros[CATEGORIA],reservafixaconsolidadojul[[#This Row],[ATUAL]])</f>
        <v>0</v>
      </c>
      <c r="R168" s="91">
        <f>SUMIFS(tabela_registros[VALOR],tabela_registros[MÊS],$AE$1,tabela_registros[DIA],reservafixaconsolidadojul[[#Headers],[14]],tabela_registros[REGISTRO],DADOS!$N$6,tabela_registros[TIPO],DADOS!$AJ$3,tabela_registros[CATEGORIA],reservafixaconsolidadojul[[#This Row],[ATUAL]])</f>
        <v>0</v>
      </c>
      <c r="S168" s="91">
        <f>SUMIFS(tabela_registros[VALOR],tabela_registros[MÊS],$AE$1,tabela_registros[DIA],reservafixaconsolidadojul[[#Headers],[15]],tabela_registros[REGISTRO],DADOS!$N$6,tabela_registros[TIPO],DADOS!$AJ$3,tabela_registros[CATEGORIA],reservafixaconsolidadojul[[#This Row],[ATUAL]])</f>
        <v>0</v>
      </c>
      <c r="T168" s="91">
        <f>SUMIFS(tabela_registros[VALOR],tabela_registros[MÊS],$AE$1,tabela_registros[DIA],reservafixaconsolidadojul[[#Headers],[16]],tabela_registros[REGISTRO],DADOS!$N$6,tabela_registros[TIPO],DADOS!$AJ$3,tabela_registros[CATEGORIA],reservafixaconsolidadojul[[#This Row],[ATUAL]])</f>
        <v>0</v>
      </c>
      <c r="U168" s="91">
        <f>SUMIFS(tabela_registros[VALOR],tabela_registros[MÊS],$AE$1,tabela_registros[DIA],reservafixaconsolidadojul[[#Headers],[17]],tabela_registros[REGISTRO],DADOS!$N$6,tabela_registros[TIPO],DADOS!$AJ$3,tabela_registros[CATEGORIA],reservafixaconsolidadojul[[#This Row],[ATUAL]])</f>
        <v>0</v>
      </c>
      <c r="V168" s="91">
        <f>SUMIFS(tabela_registros[VALOR],tabela_registros[MÊS],$AE$1,tabela_registros[DIA],reservafixaconsolidadojul[[#Headers],[18]],tabela_registros[REGISTRO],DADOS!$N$6,tabela_registros[TIPO],DADOS!$AJ$3,tabela_registros[CATEGORIA],reservafixaconsolidadojul[[#This Row],[ATUAL]])</f>
        <v>0</v>
      </c>
      <c r="W168" s="91">
        <f>SUMIFS(tabela_registros[VALOR],tabela_registros[MÊS],$AE$1,tabela_registros[DIA],reservafixaconsolidadojul[[#Headers],[19]],tabela_registros[REGISTRO],DADOS!$N$6,tabela_registros[TIPO],DADOS!$AJ$3,tabela_registros[CATEGORIA],reservafixaconsolidadojul[[#This Row],[ATUAL]])</f>
        <v>0</v>
      </c>
      <c r="X168" s="91">
        <f>SUMIFS(tabela_registros[VALOR],tabela_registros[MÊS],$AE$1,tabela_registros[DIA],reservafixaconsolidadojul[[#Headers],[20]],tabela_registros[REGISTRO],DADOS!$N$6,tabela_registros[TIPO],DADOS!$AJ$3,tabela_registros[CATEGORIA],reservafixaconsolidadojul[[#This Row],[ATUAL]])</f>
        <v>0</v>
      </c>
      <c r="Y168" s="91">
        <f>SUMIFS(tabela_registros[VALOR],tabela_registros[MÊS],$AE$1,tabela_registros[DIA],reservafixaconsolidadojul[[#Headers],[21]],tabela_registros[REGISTRO],DADOS!$N$6,tabela_registros[TIPO],DADOS!$AJ$3,tabela_registros[CATEGORIA],reservafixaconsolidadojul[[#This Row],[ATUAL]])</f>
        <v>0</v>
      </c>
      <c r="Z168" s="91">
        <f>SUMIFS(tabela_registros[VALOR],tabela_registros[MÊS],$AE$1,tabela_registros[DIA],reservafixaconsolidadojul[[#Headers],[22]],tabela_registros[REGISTRO],DADOS!$N$6,tabela_registros[TIPO],DADOS!$AJ$3,tabela_registros[CATEGORIA],reservafixaconsolidadojul[[#This Row],[ATUAL]])</f>
        <v>0</v>
      </c>
      <c r="AA168" s="91">
        <f>SUMIFS(tabela_registros[VALOR],tabela_registros[MÊS],$AE$1,tabela_registros[DIA],reservafixaconsolidadojul[[#Headers],[23]],tabela_registros[REGISTRO],DADOS!$N$6,tabela_registros[TIPO],DADOS!$AJ$3,tabela_registros[CATEGORIA],reservafixaconsolidadojul[[#This Row],[ATUAL]])</f>
        <v>0</v>
      </c>
      <c r="AB168" s="91">
        <f>SUMIFS(tabela_registros[VALOR],tabela_registros[MÊS],$AE$1,tabela_registros[DIA],reservafixaconsolidadojul[[#Headers],[24]],tabela_registros[REGISTRO],DADOS!$N$6,tabela_registros[TIPO],DADOS!$AJ$3,tabela_registros[CATEGORIA],reservafixaconsolidadojul[[#This Row],[ATUAL]])</f>
        <v>0</v>
      </c>
      <c r="AC168" s="91">
        <f>SUMIFS(tabela_registros[VALOR],tabela_registros[MÊS],$AE$1,tabela_registros[DIA],reservafixaconsolidadojul[[#Headers],[25]],tabela_registros[REGISTRO],DADOS!$N$6,tabela_registros[TIPO],DADOS!$AJ$3,tabela_registros[CATEGORIA],reservafixaconsolidadojul[[#This Row],[ATUAL]])</f>
        <v>0</v>
      </c>
      <c r="AD168" s="91">
        <f>SUMIFS(tabela_registros[VALOR],tabela_registros[MÊS],$AE$1,tabela_registros[DIA],reservafixaconsolidadojul[[#Headers],[26]],tabela_registros[REGISTRO],DADOS!$N$6,tabela_registros[TIPO],DADOS!$AJ$3,tabela_registros[CATEGORIA],reservafixaconsolidadojul[[#This Row],[ATUAL]])</f>
        <v>0</v>
      </c>
      <c r="AE168" s="91">
        <f>SUMIFS(tabela_registros[VALOR],tabela_registros[MÊS],$AE$1,tabela_registros[DIA],reservafixaconsolidadojul[[#Headers],[27]],tabela_registros[REGISTRO],DADOS!$N$6,tabela_registros[TIPO],DADOS!$AJ$3,tabela_registros[CATEGORIA],reservafixaconsolidadojul[[#This Row],[ATUAL]])</f>
        <v>0</v>
      </c>
      <c r="AF168" s="91">
        <f>SUMIFS(tabela_registros[VALOR],tabela_registros[MÊS],$AE$1,tabela_registros[DIA],reservafixaconsolidadojul[[#Headers],[28]],tabela_registros[REGISTRO],DADOS!$N$6,tabela_registros[TIPO],DADOS!$AJ$3,tabela_registros[CATEGORIA],reservafixaconsolidadojul[[#This Row],[ATUAL]])</f>
        <v>0</v>
      </c>
      <c r="AG168" s="91">
        <f>SUMIFS(tabela_registros[VALOR],tabela_registros[MÊS],$AE$1,tabela_registros[DIA],reservafixaconsolidadojul[[#Headers],[29]],tabela_registros[REGISTRO],DADOS!$N$6,tabela_registros[TIPO],DADOS!$AJ$3,tabela_registros[CATEGORIA],reservafixaconsolidadojul[[#This Row],[ATUAL]])</f>
        <v>0</v>
      </c>
      <c r="AH168" s="91">
        <f>SUMIFS(tabela_registros[VALOR],tabela_registros[MÊS],$AE$1,tabela_registros[DIA],reservafixaconsolidadojul[[#Headers],[30]],tabela_registros[REGISTRO],DADOS!$N$6,tabela_registros[TIPO],DADOS!$AJ$3,tabela_registros[CATEGORIA],reservafixaconsolidadojul[[#This Row],[ATUAL]])</f>
        <v>0</v>
      </c>
      <c r="AI168" s="101">
        <f>SUMIFS(tabela_registros[VALOR],tabela_registros[MÊS],$AE$1,tabela_registros[DIA],reservafixaconsolidadojul[[#Headers],[31]],tabela_registros[REGISTRO],DADOS!$N$6,tabela_registros[TIPO],DADOS!$AJ$3,tabela_registros[CATEGORIA],reservafixaconsolidadojul[[#This Row],[ATUAL]])</f>
        <v>0</v>
      </c>
      <c r="AJ168" s="97">
        <f>SUM(reservafixaconsolidadojul[[#This Row],[1]:[31]])</f>
        <v>0</v>
      </c>
      <c r="AK168" s="25"/>
    </row>
    <row r="169" spans="2:37" ht="19.5" customHeight="1" thickTop="1" thickBot="1" x14ac:dyDescent="0.3">
      <c r="B169" s="28"/>
      <c r="C169" s="27" t="str">
        <f>DADOS!$AL$4</f>
        <v>📝 CRA</v>
      </c>
      <c r="D169" s="26" t="str">
        <f>IF(reservafixaconsolidadojul[[#This Row],[TOTAL (R$)]]=0,"",IF(OR(reservafixaconsolidadojul[[#This Row],[TOTAL (R$)]]=LARGE($AJ$168:$AJ$177,1),reservafixaconsolidadojul[[#This Row],[TOTAL (R$)]]=LARGE($AJ$168:$AJ$177,2)),DADOS!$I$11,""))</f>
        <v/>
      </c>
      <c r="E169" s="96">
        <f>SUMIFS(tabela_registros[VALOR],tabela_registros[MÊS],$AE$1,tabela_registros[DIA],reservafixaconsolidadojul[[#Headers],[1]],tabela_registros[REGISTRO],DADOS!$N$6,tabela_registros[TIPO],DADOS!$AJ$3,tabela_registros[CATEGORIA],reservafixaconsolidadojul[[#This Row],[ATUAL]])</f>
        <v>0</v>
      </c>
      <c r="F169" s="91">
        <f>SUMIFS(tabela_registros[VALOR],tabela_registros[MÊS],$AE$1,tabela_registros[DIA],reservafixaconsolidadojul[[#Headers],[2]],tabela_registros[REGISTRO],DADOS!$N$6,tabela_registros[TIPO],DADOS!$AJ$3,tabela_registros[CATEGORIA],reservafixaconsolidadojul[[#This Row],[ATUAL]])</f>
        <v>0</v>
      </c>
      <c r="G169" s="91">
        <f>SUMIFS(tabela_registros[VALOR],tabela_registros[MÊS],$AE$1,tabela_registros[DIA],reservafixaconsolidadojul[[#Headers],[3]],tabela_registros[REGISTRO],DADOS!$N$6,tabela_registros[TIPO],DADOS!$AJ$3,tabela_registros[CATEGORIA],reservafixaconsolidadojul[[#This Row],[ATUAL]])</f>
        <v>0</v>
      </c>
      <c r="H169" s="91">
        <f>SUMIFS(tabela_registros[VALOR],tabela_registros[MÊS],$AE$1,tabela_registros[DIA],reservafixaconsolidadojul[[#Headers],[4]],tabela_registros[REGISTRO],DADOS!$N$6,tabela_registros[TIPO],DADOS!$AJ$3,tabela_registros[CATEGORIA],reservafixaconsolidadojul[[#This Row],[ATUAL]])</f>
        <v>0</v>
      </c>
      <c r="I169" s="91">
        <f>SUMIFS(tabela_registros[VALOR],tabela_registros[MÊS],$AE$1,tabela_registros[DIA],reservafixaconsolidadojul[[#Headers],[5]],tabela_registros[REGISTRO],DADOS!$N$6,tabela_registros[TIPO],DADOS!$AJ$3,tabela_registros[CATEGORIA],reservafixaconsolidadojul[[#This Row],[ATUAL]])</f>
        <v>0</v>
      </c>
      <c r="J169" s="91">
        <f>SUMIFS(tabela_registros[VALOR],tabela_registros[MÊS],$AE$1,tabela_registros[DIA],reservafixaconsolidadojul[[#Headers],[6]],tabela_registros[REGISTRO],DADOS!$N$6,tabela_registros[TIPO],DADOS!$AJ$3,tabela_registros[CATEGORIA],reservafixaconsolidadojul[[#This Row],[ATUAL]])</f>
        <v>0</v>
      </c>
      <c r="K169" s="91">
        <f>SUMIFS(tabela_registros[VALOR],tabela_registros[MÊS],$AE$1,tabela_registros[DIA],reservafixaconsolidadojul[[#Headers],[7]],tabela_registros[REGISTRO],DADOS!$N$6,tabela_registros[TIPO],DADOS!$AJ$3,tabela_registros[CATEGORIA],reservafixaconsolidadojul[[#This Row],[ATUAL]])</f>
        <v>0</v>
      </c>
      <c r="L169" s="91">
        <f>SUMIFS(tabela_registros[VALOR],tabela_registros[MÊS],$AE$1,tabela_registros[DIA],reservafixaconsolidadojul[[#Headers],[8]],tabela_registros[REGISTRO],DADOS!$N$6,tabela_registros[TIPO],DADOS!$AJ$3,tabela_registros[CATEGORIA],reservafixaconsolidadojul[[#This Row],[ATUAL]])</f>
        <v>0</v>
      </c>
      <c r="M169" s="91">
        <f>SUMIFS(tabela_registros[VALOR],tabela_registros[MÊS],$AE$1,tabela_registros[DIA],reservafixaconsolidadojul[[#Headers],[9]],tabela_registros[REGISTRO],DADOS!$N$6,tabela_registros[TIPO],DADOS!$AJ$3,tabela_registros[CATEGORIA],reservafixaconsolidadojul[[#This Row],[ATUAL]])</f>
        <v>0</v>
      </c>
      <c r="N169" s="91">
        <f>SUMIFS(tabela_registros[VALOR],tabela_registros[MÊS],$AE$1,tabela_registros[DIA],reservafixaconsolidadojul[[#Headers],[10]],tabela_registros[REGISTRO],DADOS!$N$6,tabela_registros[TIPO],DADOS!$AJ$3,tabela_registros[CATEGORIA],reservafixaconsolidadojul[[#This Row],[ATUAL]])</f>
        <v>0</v>
      </c>
      <c r="O169" s="91">
        <f>SUMIFS(tabela_registros[VALOR],tabela_registros[MÊS],$AE$1,tabela_registros[DIA],reservafixaconsolidadojul[[#Headers],[11]],tabela_registros[REGISTRO],DADOS!$N$6,tabela_registros[TIPO],DADOS!$AJ$3,tabela_registros[CATEGORIA],reservafixaconsolidadojul[[#This Row],[ATUAL]])</f>
        <v>0</v>
      </c>
      <c r="P169" s="91">
        <f>SUMIFS(tabela_registros[VALOR],tabela_registros[MÊS],$AE$1,tabela_registros[DIA],reservafixaconsolidadojul[[#Headers],[12]],tabela_registros[REGISTRO],DADOS!$N$6,tabela_registros[TIPO],DADOS!$AJ$3,tabela_registros[CATEGORIA],reservafixaconsolidadojul[[#This Row],[ATUAL]])</f>
        <v>0</v>
      </c>
      <c r="Q169" s="91">
        <f>SUMIFS(tabela_registros[VALOR],tabela_registros[MÊS],$AE$1,tabela_registros[DIA],reservafixaconsolidadojul[[#Headers],[13]],tabela_registros[REGISTRO],DADOS!$N$6,tabela_registros[TIPO],DADOS!$AJ$3,tabela_registros[CATEGORIA],reservafixaconsolidadojul[[#This Row],[ATUAL]])</f>
        <v>0</v>
      </c>
      <c r="R169" s="91">
        <f>SUMIFS(tabela_registros[VALOR],tabela_registros[MÊS],$AE$1,tabela_registros[DIA],reservafixaconsolidadojul[[#Headers],[14]],tabela_registros[REGISTRO],DADOS!$N$6,tabela_registros[TIPO],DADOS!$AJ$3,tabela_registros[CATEGORIA],reservafixaconsolidadojul[[#This Row],[ATUAL]])</f>
        <v>0</v>
      </c>
      <c r="S169" s="91">
        <f>SUMIFS(tabela_registros[VALOR],tabela_registros[MÊS],$AE$1,tabela_registros[DIA],reservafixaconsolidadojul[[#Headers],[15]],tabela_registros[REGISTRO],DADOS!$N$6,tabela_registros[TIPO],DADOS!$AJ$3,tabela_registros[CATEGORIA],reservafixaconsolidadojul[[#This Row],[ATUAL]])</f>
        <v>0</v>
      </c>
      <c r="T169" s="91">
        <f>SUMIFS(tabela_registros[VALOR],tabela_registros[MÊS],$AE$1,tabela_registros[DIA],reservafixaconsolidadojul[[#Headers],[16]],tabela_registros[REGISTRO],DADOS!$N$6,tabela_registros[TIPO],DADOS!$AJ$3,tabela_registros[CATEGORIA],reservafixaconsolidadojul[[#This Row],[ATUAL]])</f>
        <v>0</v>
      </c>
      <c r="U169" s="91">
        <f>SUMIFS(tabela_registros[VALOR],tabela_registros[MÊS],$AE$1,tabela_registros[DIA],reservafixaconsolidadojul[[#Headers],[17]],tabela_registros[REGISTRO],DADOS!$N$6,tabela_registros[TIPO],DADOS!$AJ$3,tabela_registros[CATEGORIA],reservafixaconsolidadojul[[#This Row],[ATUAL]])</f>
        <v>0</v>
      </c>
      <c r="V169" s="91">
        <f>SUMIFS(tabela_registros[VALOR],tabela_registros[MÊS],$AE$1,tabela_registros[DIA],reservafixaconsolidadojul[[#Headers],[18]],tabela_registros[REGISTRO],DADOS!$N$6,tabela_registros[TIPO],DADOS!$AJ$3,tabela_registros[CATEGORIA],reservafixaconsolidadojul[[#This Row],[ATUAL]])</f>
        <v>0</v>
      </c>
      <c r="W169" s="91">
        <f>SUMIFS(tabela_registros[VALOR],tabela_registros[MÊS],$AE$1,tabela_registros[DIA],reservafixaconsolidadojul[[#Headers],[19]],tabela_registros[REGISTRO],DADOS!$N$6,tabela_registros[TIPO],DADOS!$AJ$3,tabela_registros[CATEGORIA],reservafixaconsolidadojul[[#This Row],[ATUAL]])</f>
        <v>0</v>
      </c>
      <c r="X169" s="91">
        <f>SUMIFS(tabela_registros[VALOR],tabela_registros[MÊS],$AE$1,tabela_registros[DIA],reservafixaconsolidadojul[[#Headers],[20]],tabela_registros[REGISTRO],DADOS!$N$6,tabela_registros[TIPO],DADOS!$AJ$3,tabela_registros[CATEGORIA],reservafixaconsolidadojul[[#This Row],[ATUAL]])</f>
        <v>0</v>
      </c>
      <c r="Y169" s="91">
        <f>SUMIFS(tabela_registros[VALOR],tabela_registros[MÊS],$AE$1,tabela_registros[DIA],reservafixaconsolidadojul[[#Headers],[21]],tabela_registros[REGISTRO],DADOS!$N$6,tabela_registros[TIPO],DADOS!$AJ$3,tabela_registros[CATEGORIA],reservafixaconsolidadojul[[#This Row],[ATUAL]])</f>
        <v>0</v>
      </c>
      <c r="Z169" s="91">
        <f>SUMIFS(tabela_registros[VALOR],tabela_registros[MÊS],$AE$1,tabela_registros[DIA],reservafixaconsolidadojul[[#Headers],[22]],tabela_registros[REGISTRO],DADOS!$N$6,tabela_registros[TIPO],DADOS!$AJ$3,tabela_registros[CATEGORIA],reservafixaconsolidadojul[[#This Row],[ATUAL]])</f>
        <v>0</v>
      </c>
      <c r="AA169" s="91">
        <f>SUMIFS(tabela_registros[VALOR],tabela_registros[MÊS],$AE$1,tabela_registros[DIA],reservafixaconsolidadojul[[#Headers],[23]],tabela_registros[REGISTRO],DADOS!$N$6,tabela_registros[TIPO],DADOS!$AJ$3,tabela_registros[CATEGORIA],reservafixaconsolidadojul[[#This Row],[ATUAL]])</f>
        <v>0</v>
      </c>
      <c r="AB169" s="91">
        <f>SUMIFS(tabela_registros[VALOR],tabela_registros[MÊS],$AE$1,tabela_registros[DIA],reservafixaconsolidadojul[[#Headers],[24]],tabela_registros[REGISTRO],DADOS!$N$6,tabela_registros[TIPO],DADOS!$AJ$3,tabela_registros[CATEGORIA],reservafixaconsolidadojul[[#This Row],[ATUAL]])</f>
        <v>0</v>
      </c>
      <c r="AC169" s="91">
        <f>SUMIFS(tabela_registros[VALOR],tabela_registros[MÊS],$AE$1,tabela_registros[DIA],reservafixaconsolidadojul[[#Headers],[25]],tabela_registros[REGISTRO],DADOS!$N$6,tabela_registros[TIPO],DADOS!$AJ$3,tabela_registros[CATEGORIA],reservafixaconsolidadojul[[#This Row],[ATUAL]])</f>
        <v>0</v>
      </c>
      <c r="AD169" s="91">
        <f>SUMIFS(tabela_registros[VALOR],tabela_registros[MÊS],$AE$1,tabela_registros[DIA],reservafixaconsolidadojul[[#Headers],[26]],tabela_registros[REGISTRO],DADOS!$N$6,tabela_registros[TIPO],DADOS!$AJ$3,tabela_registros[CATEGORIA],reservafixaconsolidadojul[[#This Row],[ATUAL]])</f>
        <v>0</v>
      </c>
      <c r="AE169" s="91">
        <f>SUMIFS(tabela_registros[VALOR],tabela_registros[MÊS],$AE$1,tabela_registros[DIA],reservafixaconsolidadojul[[#Headers],[27]],tabela_registros[REGISTRO],DADOS!$N$6,tabela_registros[TIPO],DADOS!$AJ$3,tabela_registros[CATEGORIA],reservafixaconsolidadojul[[#This Row],[ATUAL]])</f>
        <v>0</v>
      </c>
      <c r="AF169" s="91">
        <f>SUMIFS(tabela_registros[VALOR],tabela_registros[MÊS],$AE$1,tabela_registros[DIA],reservafixaconsolidadojul[[#Headers],[28]],tabela_registros[REGISTRO],DADOS!$N$6,tabela_registros[TIPO],DADOS!$AJ$3,tabela_registros[CATEGORIA],reservafixaconsolidadojul[[#This Row],[ATUAL]])</f>
        <v>0</v>
      </c>
      <c r="AG169" s="91">
        <f>SUMIFS(tabela_registros[VALOR],tabela_registros[MÊS],$AE$1,tabela_registros[DIA],reservafixaconsolidadojul[[#Headers],[29]],tabela_registros[REGISTRO],DADOS!$N$6,tabela_registros[TIPO],DADOS!$AJ$3,tabela_registros[CATEGORIA],reservafixaconsolidadojul[[#This Row],[ATUAL]])</f>
        <v>0</v>
      </c>
      <c r="AH169" s="91">
        <f>SUMIFS(tabela_registros[VALOR],tabela_registros[MÊS],$AE$1,tabela_registros[DIA],reservafixaconsolidadojul[[#Headers],[30]],tabela_registros[REGISTRO],DADOS!$N$6,tabela_registros[TIPO],DADOS!$AJ$3,tabela_registros[CATEGORIA],reservafixaconsolidadojul[[#This Row],[ATUAL]])</f>
        <v>0</v>
      </c>
      <c r="AI169" s="101">
        <f>SUMIFS(tabela_registros[VALOR],tabela_registros[MÊS],$AE$1,tabela_registros[DIA],reservafixaconsolidadojul[[#Headers],[31]],tabela_registros[REGISTRO],DADOS!$N$6,tabela_registros[TIPO],DADOS!$AJ$3,tabela_registros[CATEGORIA],reservafixaconsolidadojul[[#This Row],[ATUAL]])</f>
        <v>0</v>
      </c>
      <c r="AJ169" s="97">
        <f>SUM(reservafixaconsolidadojul[[#This Row],[1]:[31]])</f>
        <v>0</v>
      </c>
      <c r="AK169" s="25"/>
    </row>
    <row r="170" spans="2:37" ht="19.5" customHeight="1" thickTop="1" thickBot="1" x14ac:dyDescent="0.3">
      <c r="B170" s="28"/>
      <c r="C170" s="27" t="str">
        <f>DADOS!$AL$5</f>
        <v>📝 CRI</v>
      </c>
      <c r="D170" s="26" t="str">
        <f>IF(reservafixaconsolidadojul[[#This Row],[TOTAL (R$)]]=0,"",IF(OR(reservafixaconsolidadojul[[#This Row],[TOTAL (R$)]]=LARGE($AJ$168:$AJ$177,1),reservafixaconsolidadojul[[#This Row],[TOTAL (R$)]]=LARGE($AJ$168:$AJ$177,2)),DADOS!$I$11,""))</f>
        <v/>
      </c>
      <c r="E170" s="96">
        <f>SUMIFS(tabela_registros[VALOR],tabela_registros[MÊS],$AE$1,tabela_registros[DIA],reservafixaconsolidadojul[[#Headers],[1]],tabela_registros[REGISTRO],DADOS!$N$6,tabela_registros[TIPO],DADOS!$AJ$3,tabela_registros[CATEGORIA],reservafixaconsolidadojul[[#This Row],[ATUAL]])</f>
        <v>0</v>
      </c>
      <c r="F170" s="91">
        <f>SUMIFS(tabela_registros[VALOR],tabela_registros[MÊS],$AE$1,tabela_registros[DIA],reservafixaconsolidadojul[[#Headers],[2]],tabela_registros[REGISTRO],DADOS!$N$6,tabela_registros[TIPO],DADOS!$AJ$3,tabela_registros[CATEGORIA],reservafixaconsolidadojul[[#This Row],[ATUAL]])</f>
        <v>0</v>
      </c>
      <c r="G170" s="91">
        <f>SUMIFS(tabela_registros[VALOR],tabela_registros[MÊS],$AE$1,tabela_registros[DIA],reservafixaconsolidadojul[[#Headers],[3]],tabela_registros[REGISTRO],DADOS!$N$6,tabela_registros[TIPO],DADOS!$AJ$3,tabela_registros[CATEGORIA],reservafixaconsolidadojul[[#This Row],[ATUAL]])</f>
        <v>0</v>
      </c>
      <c r="H170" s="91">
        <f>SUMIFS(tabela_registros[VALOR],tabela_registros[MÊS],$AE$1,tabela_registros[DIA],reservafixaconsolidadojul[[#Headers],[4]],tabela_registros[REGISTRO],DADOS!$N$6,tabela_registros[TIPO],DADOS!$AJ$3,tabela_registros[CATEGORIA],reservafixaconsolidadojul[[#This Row],[ATUAL]])</f>
        <v>0</v>
      </c>
      <c r="I170" s="91">
        <f>SUMIFS(tabela_registros[VALOR],tabela_registros[MÊS],$AE$1,tabela_registros[DIA],reservafixaconsolidadojul[[#Headers],[5]],tabela_registros[REGISTRO],DADOS!$N$6,tabela_registros[TIPO],DADOS!$AJ$3,tabela_registros[CATEGORIA],reservafixaconsolidadojul[[#This Row],[ATUAL]])</f>
        <v>0</v>
      </c>
      <c r="J170" s="91">
        <f>SUMIFS(tabela_registros[VALOR],tabela_registros[MÊS],$AE$1,tabela_registros[DIA],reservafixaconsolidadojul[[#Headers],[6]],tabela_registros[REGISTRO],DADOS!$N$6,tabela_registros[TIPO],DADOS!$AJ$3,tabela_registros[CATEGORIA],reservafixaconsolidadojul[[#This Row],[ATUAL]])</f>
        <v>0</v>
      </c>
      <c r="K170" s="91">
        <f>SUMIFS(tabela_registros[VALOR],tabela_registros[MÊS],$AE$1,tabela_registros[DIA],reservafixaconsolidadojul[[#Headers],[7]],tabela_registros[REGISTRO],DADOS!$N$6,tabela_registros[TIPO],DADOS!$AJ$3,tabela_registros[CATEGORIA],reservafixaconsolidadojul[[#This Row],[ATUAL]])</f>
        <v>0</v>
      </c>
      <c r="L170" s="91">
        <f>SUMIFS(tabela_registros[VALOR],tabela_registros[MÊS],$AE$1,tabela_registros[DIA],reservafixaconsolidadojul[[#Headers],[8]],tabela_registros[REGISTRO],DADOS!$N$6,tabela_registros[TIPO],DADOS!$AJ$3,tabela_registros[CATEGORIA],reservafixaconsolidadojul[[#This Row],[ATUAL]])</f>
        <v>0</v>
      </c>
      <c r="M170" s="91">
        <f>SUMIFS(tabela_registros[VALOR],tabela_registros[MÊS],$AE$1,tabela_registros[DIA],reservafixaconsolidadojul[[#Headers],[9]],tabela_registros[REGISTRO],DADOS!$N$6,tabela_registros[TIPO],DADOS!$AJ$3,tabela_registros[CATEGORIA],reservafixaconsolidadojul[[#This Row],[ATUAL]])</f>
        <v>0</v>
      </c>
      <c r="N170" s="91">
        <f>SUMIFS(tabela_registros[VALOR],tabela_registros[MÊS],$AE$1,tabela_registros[DIA],reservafixaconsolidadojul[[#Headers],[10]],tabela_registros[REGISTRO],DADOS!$N$6,tabela_registros[TIPO],DADOS!$AJ$3,tabela_registros[CATEGORIA],reservafixaconsolidadojul[[#This Row],[ATUAL]])</f>
        <v>0</v>
      </c>
      <c r="O170" s="91">
        <f>SUMIFS(tabela_registros[VALOR],tabela_registros[MÊS],$AE$1,tabela_registros[DIA],reservafixaconsolidadojul[[#Headers],[11]],tabela_registros[REGISTRO],DADOS!$N$6,tabela_registros[TIPO],DADOS!$AJ$3,tabela_registros[CATEGORIA],reservafixaconsolidadojul[[#This Row],[ATUAL]])</f>
        <v>0</v>
      </c>
      <c r="P170" s="91">
        <f>SUMIFS(tabela_registros[VALOR],tabela_registros[MÊS],$AE$1,tabela_registros[DIA],reservafixaconsolidadojul[[#Headers],[12]],tabela_registros[REGISTRO],DADOS!$N$6,tabela_registros[TIPO],DADOS!$AJ$3,tabela_registros[CATEGORIA],reservafixaconsolidadojul[[#This Row],[ATUAL]])</f>
        <v>0</v>
      </c>
      <c r="Q170" s="91">
        <f>SUMIFS(tabela_registros[VALOR],tabela_registros[MÊS],$AE$1,tabela_registros[DIA],reservafixaconsolidadojul[[#Headers],[13]],tabela_registros[REGISTRO],DADOS!$N$6,tabela_registros[TIPO],DADOS!$AJ$3,tabela_registros[CATEGORIA],reservafixaconsolidadojul[[#This Row],[ATUAL]])</f>
        <v>0</v>
      </c>
      <c r="R170" s="91">
        <f>SUMIFS(tabela_registros[VALOR],tabela_registros[MÊS],$AE$1,tabela_registros[DIA],reservafixaconsolidadojul[[#Headers],[14]],tabela_registros[REGISTRO],DADOS!$N$6,tabela_registros[TIPO],DADOS!$AJ$3,tabela_registros[CATEGORIA],reservafixaconsolidadojul[[#This Row],[ATUAL]])</f>
        <v>0</v>
      </c>
      <c r="S170" s="91">
        <f>SUMIFS(tabela_registros[VALOR],tabela_registros[MÊS],$AE$1,tabela_registros[DIA],reservafixaconsolidadojul[[#Headers],[15]],tabela_registros[REGISTRO],DADOS!$N$6,tabela_registros[TIPO],DADOS!$AJ$3,tabela_registros[CATEGORIA],reservafixaconsolidadojul[[#This Row],[ATUAL]])</f>
        <v>0</v>
      </c>
      <c r="T170" s="91">
        <f>SUMIFS(tabela_registros[VALOR],tabela_registros[MÊS],$AE$1,tabela_registros[DIA],reservafixaconsolidadojul[[#Headers],[16]],tabela_registros[REGISTRO],DADOS!$N$6,tabela_registros[TIPO],DADOS!$AJ$3,tabela_registros[CATEGORIA],reservafixaconsolidadojul[[#This Row],[ATUAL]])</f>
        <v>0</v>
      </c>
      <c r="U170" s="91">
        <f>SUMIFS(tabela_registros[VALOR],tabela_registros[MÊS],$AE$1,tabela_registros[DIA],reservafixaconsolidadojul[[#Headers],[17]],tabela_registros[REGISTRO],DADOS!$N$6,tabela_registros[TIPO],DADOS!$AJ$3,tabela_registros[CATEGORIA],reservafixaconsolidadojul[[#This Row],[ATUAL]])</f>
        <v>0</v>
      </c>
      <c r="V170" s="91">
        <f>SUMIFS(tabela_registros[VALOR],tabela_registros[MÊS],$AE$1,tabela_registros[DIA],reservafixaconsolidadojul[[#Headers],[18]],tabela_registros[REGISTRO],DADOS!$N$6,tabela_registros[TIPO],DADOS!$AJ$3,tabela_registros[CATEGORIA],reservafixaconsolidadojul[[#This Row],[ATUAL]])</f>
        <v>0</v>
      </c>
      <c r="W170" s="91">
        <f>SUMIFS(tabela_registros[VALOR],tabela_registros[MÊS],$AE$1,tabela_registros[DIA],reservafixaconsolidadojul[[#Headers],[19]],tabela_registros[REGISTRO],DADOS!$N$6,tabela_registros[TIPO],DADOS!$AJ$3,tabela_registros[CATEGORIA],reservafixaconsolidadojul[[#This Row],[ATUAL]])</f>
        <v>0</v>
      </c>
      <c r="X170" s="91">
        <f>SUMIFS(tabela_registros[VALOR],tabela_registros[MÊS],$AE$1,tabela_registros[DIA],reservafixaconsolidadojul[[#Headers],[20]],tabela_registros[REGISTRO],DADOS!$N$6,tabela_registros[TIPO],DADOS!$AJ$3,tabela_registros[CATEGORIA],reservafixaconsolidadojul[[#This Row],[ATUAL]])</f>
        <v>0</v>
      </c>
      <c r="Y170" s="91">
        <f>SUMIFS(tabela_registros[VALOR],tabela_registros[MÊS],$AE$1,tabela_registros[DIA],reservafixaconsolidadojul[[#Headers],[21]],tabela_registros[REGISTRO],DADOS!$N$6,tabela_registros[TIPO],DADOS!$AJ$3,tabela_registros[CATEGORIA],reservafixaconsolidadojul[[#This Row],[ATUAL]])</f>
        <v>0</v>
      </c>
      <c r="Z170" s="91">
        <f>SUMIFS(tabela_registros[VALOR],tabela_registros[MÊS],$AE$1,tabela_registros[DIA],reservafixaconsolidadojul[[#Headers],[22]],tabela_registros[REGISTRO],DADOS!$N$6,tabela_registros[TIPO],DADOS!$AJ$3,tabela_registros[CATEGORIA],reservafixaconsolidadojul[[#This Row],[ATUAL]])</f>
        <v>0</v>
      </c>
      <c r="AA170" s="91">
        <f>SUMIFS(tabela_registros[VALOR],tabela_registros[MÊS],$AE$1,tabela_registros[DIA],reservafixaconsolidadojul[[#Headers],[23]],tabela_registros[REGISTRO],DADOS!$N$6,tabela_registros[TIPO],DADOS!$AJ$3,tabela_registros[CATEGORIA],reservafixaconsolidadojul[[#This Row],[ATUAL]])</f>
        <v>0</v>
      </c>
      <c r="AB170" s="91">
        <f>SUMIFS(tabela_registros[VALOR],tabela_registros[MÊS],$AE$1,tabela_registros[DIA],reservafixaconsolidadojul[[#Headers],[24]],tabela_registros[REGISTRO],DADOS!$N$6,tabela_registros[TIPO],DADOS!$AJ$3,tabela_registros[CATEGORIA],reservafixaconsolidadojul[[#This Row],[ATUAL]])</f>
        <v>0</v>
      </c>
      <c r="AC170" s="91">
        <f>SUMIFS(tabela_registros[VALOR],tabela_registros[MÊS],$AE$1,tabela_registros[DIA],reservafixaconsolidadojul[[#Headers],[25]],tabela_registros[REGISTRO],DADOS!$N$6,tabela_registros[TIPO],DADOS!$AJ$3,tabela_registros[CATEGORIA],reservafixaconsolidadojul[[#This Row],[ATUAL]])</f>
        <v>0</v>
      </c>
      <c r="AD170" s="91">
        <f>SUMIFS(tabela_registros[VALOR],tabela_registros[MÊS],$AE$1,tabela_registros[DIA],reservafixaconsolidadojul[[#Headers],[26]],tabela_registros[REGISTRO],DADOS!$N$6,tabela_registros[TIPO],DADOS!$AJ$3,tabela_registros[CATEGORIA],reservafixaconsolidadojul[[#This Row],[ATUAL]])</f>
        <v>0</v>
      </c>
      <c r="AE170" s="91">
        <f>SUMIFS(tabela_registros[VALOR],tabela_registros[MÊS],$AE$1,tabela_registros[DIA],reservafixaconsolidadojul[[#Headers],[27]],tabela_registros[REGISTRO],DADOS!$N$6,tabela_registros[TIPO],DADOS!$AJ$3,tabela_registros[CATEGORIA],reservafixaconsolidadojul[[#This Row],[ATUAL]])</f>
        <v>0</v>
      </c>
      <c r="AF170" s="91">
        <f>SUMIFS(tabela_registros[VALOR],tabela_registros[MÊS],$AE$1,tabela_registros[DIA],reservafixaconsolidadojul[[#Headers],[28]],tabela_registros[REGISTRO],DADOS!$N$6,tabela_registros[TIPO],DADOS!$AJ$3,tabela_registros[CATEGORIA],reservafixaconsolidadojul[[#This Row],[ATUAL]])</f>
        <v>0</v>
      </c>
      <c r="AG170" s="91">
        <f>SUMIFS(tabela_registros[VALOR],tabela_registros[MÊS],$AE$1,tabela_registros[DIA],reservafixaconsolidadojul[[#Headers],[29]],tabela_registros[REGISTRO],DADOS!$N$6,tabela_registros[TIPO],DADOS!$AJ$3,tabela_registros[CATEGORIA],reservafixaconsolidadojul[[#This Row],[ATUAL]])</f>
        <v>0</v>
      </c>
      <c r="AH170" s="91">
        <f>SUMIFS(tabela_registros[VALOR],tabela_registros[MÊS],$AE$1,tabela_registros[DIA],reservafixaconsolidadojul[[#Headers],[30]],tabela_registros[REGISTRO],DADOS!$N$6,tabela_registros[TIPO],DADOS!$AJ$3,tabela_registros[CATEGORIA],reservafixaconsolidadojul[[#This Row],[ATUAL]])</f>
        <v>0</v>
      </c>
      <c r="AI170" s="101">
        <f>SUMIFS(tabela_registros[VALOR],tabela_registros[MÊS],$AE$1,tabela_registros[DIA],reservafixaconsolidadojul[[#Headers],[31]],tabela_registros[REGISTRO],DADOS!$N$6,tabela_registros[TIPO],DADOS!$AJ$3,tabela_registros[CATEGORIA],reservafixaconsolidadojul[[#This Row],[ATUAL]])</f>
        <v>0</v>
      </c>
      <c r="AJ170" s="97">
        <f>SUM(reservafixaconsolidadojul[[#This Row],[1]:[31]])</f>
        <v>0</v>
      </c>
      <c r="AK170" s="25"/>
    </row>
    <row r="171" spans="2:37" ht="19.5" customHeight="1" thickTop="1" thickBot="1" x14ac:dyDescent="0.3">
      <c r="B171" s="28"/>
      <c r="C171" s="27" t="str">
        <f>DADOS!$AL$6</f>
        <v>📝 DEBÊNTURE</v>
      </c>
      <c r="D171" s="26" t="str">
        <f>IF(reservafixaconsolidadojul[[#This Row],[TOTAL (R$)]]=0,"",IF(OR(reservafixaconsolidadojul[[#This Row],[TOTAL (R$)]]=LARGE($AJ$168:$AJ$177,1),reservafixaconsolidadojul[[#This Row],[TOTAL (R$)]]=LARGE($AJ$168:$AJ$177,2)),DADOS!$I$11,""))</f>
        <v/>
      </c>
      <c r="E171" s="96">
        <f>SUMIFS(tabela_registros[VALOR],tabela_registros[MÊS],$AE$1,tabela_registros[DIA],reservafixaconsolidadojul[[#Headers],[1]],tabela_registros[REGISTRO],DADOS!$N$6,tabela_registros[TIPO],DADOS!$AJ$3,tabela_registros[CATEGORIA],reservafixaconsolidadojul[[#This Row],[ATUAL]])</f>
        <v>0</v>
      </c>
      <c r="F171" s="91">
        <f>SUMIFS(tabela_registros[VALOR],tabela_registros[MÊS],$AE$1,tabela_registros[DIA],reservafixaconsolidadojul[[#Headers],[2]],tabela_registros[REGISTRO],DADOS!$N$6,tabela_registros[TIPO],DADOS!$AJ$3,tabela_registros[CATEGORIA],reservafixaconsolidadojul[[#This Row],[ATUAL]])</f>
        <v>0</v>
      </c>
      <c r="G171" s="91">
        <f>SUMIFS(tabela_registros[VALOR],tabela_registros[MÊS],$AE$1,tabela_registros[DIA],reservafixaconsolidadojul[[#Headers],[3]],tabela_registros[REGISTRO],DADOS!$N$6,tabela_registros[TIPO],DADOS!$AJ$3,tabela_registros[CATEGORIA],reservafixaconsolidadojul[[#This Row],[ATUAL]])</f>
        <v>0</v>
      </c>
      <c r="H171" s="91">
        <f>SUMIFS(tabela_registros[VALOR],tabela_registros[MÊS],$AE$1,tabela_registros[DIA],reservafixaconsolidadojul[[#Headers],[4]],tabela_registros[REGISTRO],DADOS!$N$6,tabela_registros[TIPO],DADOS!$AJ$3,tabela_registros[CATEGORIA],reservafixaconsolidadojul[[#This Row],[ATUAL]])</f>
        <v>0</v>
      </c>
      <c r="I171" s="91">
        <f>SUMIFS(tabela_registros[VALOR],tabela_registros[MÊS],$AE$1,tabela_registros[DIA],reservafixaconsolidadojul[[#Headers],[5]],tabela_registros[REGISTRO],DADOS!$N$6,tabela_registros[TIPO],DADOS!$AJ$3,tabela_registros[CATEGORIA],reservafixaconsolidadojul[[#This Row],[ATUAL]])</f>
        <v>0</v>
      </c>
      <c r="J171" s="91">
        <f>SUMIFS(tabela_registros[VALOR],tabela_registros[MÊS],$AE$1,tabela_registros[DIA],reservafixaconsolidadojul[[#Headers],[6]],tabela_registros[REGISTRO],DADOS!$N$6,tabela_registros[TIPO],DADOS!$AJ$3,tabela_registros[CATEGORIA],reservafixaconsolidadojul[[#This Row],[ATUAL]])</f>
        <v>0</v>
      </c>
      <c r="K171" s="91">
        <f>SUMIFS(tabela_registros[VALOR],tabela_registros[MÊS],$AE$1,tabela_registros[DIA],reservafixaconsolidadojul[[#Headers],[7]],tabela_registros[REGISTRO],DADOS!$N$6,tabela_registros[TIPO],DADOS!$AJ$3,tabela_registros[CATEGORIA],reservafixaconsolidadojul[[#This Row],[ATUAL]])</f>
        <v>0</v>
      </c>
      <c r="L171" s="91">
        <f>SUMIFS(tabela_registros[VALOR],tabela_registros[MÊS],$AE$1,tabela_registros[DIA],reservafixaconsolidadojul[[#Headers],[8]],tabela_registros[REGISTRO],DADOS!$N$6,tabela_registros[TIPO],DADOS!$AJ$3,tabela_registros[CATEGORIA],reservafixaconsolidadojul[[#This Row],[ATUAL]])</f>
        <v>0</v>
      </c>
      <c r="M171" s="91">
        <f>SUMIFS(tabela_registros[VALOR],tabela_registros[MÊS],$AE$1,tabela_registros[DIA],reservafixaconsolidadojul[[#Headers],[9]],tabela_registros[REGISTRO],DADOS!$N$6,tabela_registros[TIPO],DADOS!$AJ$3,tabela_registros[CATEGORIA],reservafixaconsolidadojul[[#This Row],[ATUAL]])</f>
        <v>0</v>
      </c>
      <c r="N171" s="91">
        <f>SUMIFS(tabela_registros[VALOR],tabela_registros[MÊS],$AE$1,tabela_registros[DIA],reservafixaconsolidadojul[[#Headers],[10]],tabela_registros[REGISTRO],DADOS!$N$6,tabela_registros[TIPO],DADOS!$AJ$3,tabela_registros[CATEGORIA],reservafixaconsolidadojul[[#This Row],[ATUAL]])</f>
        <v>0</v>
      </c>
      <c r="O171" s="91">
        <f>SUMIFS(tabela_registros[VALOR],tabela_registros[MÊS],$AE$1,tabela_registros[DIA],reservafixaconsolidadojul[[#Headers],[11]],tabela_registros[REGISTRO],DADOS!$N$6,tabela_registros[TIPO],DADOS!$AJ$3,tabela_registros[CATEGORIA],reservafixaconsolidadojul[[#This Row],[ATUAL]])</f>
        <v>0</v>
      </c>
      <c r="P171" s="91">
        <f>SUMIFS(tabela_registros[VALOR],tabela_registros[MÊS],$AE$1,tabela_registros[DIA],reservafixaconsolidadojul[[#Headers],[12]],tabela_registros[REGISTRO],DADOS!$N$6,tabela_registros[TIPO],DADOS!$AJ$3,tabela_registros[CATEGORIA],reservafixaconsolidadojul[[#This Row],[ATUAL]])</f>
        <v>0</v>
      </c>
      <c r="Q171" s="91">
        <f>SUMIFS(tabela_registros[VALOR],tabela_registros[MÊS],$AE$1,tabela_registros[DIA],reservafixaconsolidadojul[[#Headers],[13]],tabela_registros[REGISTRO],DADOS!$N$6,tabela_registros[TIPO],DADOS!$AJ$3,tabela_registros[CATEGORIA],reservafixaconsolidadojul[[#This Row],[ATUAL]])</f>
        <v>0</v>
      </c>
      <c r="R171" s="91">
        <f>SUMIFS(tabela_registros[VALOR],tabela_registros[MÊS],$AE$1,tabela_registros[DIA],reservafixaconsolidadojul[[#Headers],[14]],tabela_registros[REGISTRO],DADOS!$N$6,tabela_registros[TIPO],DADOS!$AJ$3,tabela_registros[CATEGORIA],reservafixaconsolidadojul[[#This Row],[ATUAL]])</f>
        <v>0</v>
      </c>
      <c r="S171" s="91">
        <f>SUMIFS(tabela_registros[VALOR],tabela_registros[MÊS],$AE$1,tabela_registros[DIA],reservafixaconsolidadojul[[#Headers],[15]],tabela_registros[REGISTRO],DADOS!$N$6,tabela_registros[TIPO],DADOS!$AJ$3,tabela_registros[CATEGORIA],reservafixaconsolidadojul[[#This Row],[ATUAL]])</f>
        <v>0</v>
      </c>
      <c r="T171" s="91">
        <f>SUMIFS(tabela_registros[VALOR],tabela_registros[MÊS],$AE$1,tabela_registros[DIA],reservafixaconsolidadojul[[#Headers],[16]],tabela_registros[REGISTRO],DADOS!$N$6,tabela_registros[TIPO],DADOS!$AJ$3,tabela_registros[CATEGORIA],reservafixaconsolidadojul[[#This Row],[ATUAL]])</f>
        <v>0</v>
      </c>
      <c r="U171" s="91">
        <f>SUMIFS(tabela_registros[VALOR],tabela_registros[MÊS],$AE$1,tabela_registros[DIA],reservafixaconsolidadojul[[#Headers],[17]],tabela_registros[REGISTRO],DADOS!$N$6,tabela_registros[TIPO],DADOS!$AJ$3,tabela_registros[CATEGORIA],reservafixaconsolidadojul[[#This Row],[ATUAL]])</f>
        <v>0</v>
      </c>
      <c r="V171" s="91">
        <f>SUMIFS(tabela_registros[VALOR],tabela_registros[MÊS],$AE$1,tabela_registros[DIA],reservafixaconsolidadojul[[#Headers],[18]],tabela_registros[REGISTRO],DADOS!$N$6,tabela_registros[TIPO],DADOS!$AJ$3,tabela_registros[CATEGORIA],reservafixaconsolidadojul[[#This Row],[ATUAL]])</f>
        <v>0</v>
      </c>
      <c r="W171" s="91">
        <f>SUMIFS(tabela_registros[VALOR],tabela_registros[MÊS],$AE$1,tabela_registros[DIA],reservafixaconsolidadojul[[#Headers],[19]],tabela_registros[REGISTRO],DADOS!$N$6,tabela_registros[TIPO],DADOS!$AJ$3,tabela_registros[CATEGORIA],reservafixaconsolidadojul[[#This Row],[ATUAL]])</f>
        <v>0</v>
      </c>
      <c r="X171" s="91">
        <f>SUMIFS(tabela_registros[VALOR],tabela_registros[MÊS],$AE$1,tabela_registros[DIA],reservafixaconsolidadojul[[#Headers],[20]],tabela_registros[REGISTRO],DADOS!$N$6,tabela_registros[TIPO],DADOS!$AJ$3,tabela_registros[CATEGORIA],reservafixaconsolidadojul[[#This Row],[ATUAL]])</f>
        <v>0</v>
      </c>
      <c r="Y171" s="91">
        <f>SUMIFS(tabela_registros[VALOR],tabela_registros[MÊS],$AE$1,tabela_registros[DIA],reservafixaconsolidadojul[[#Headers],[21]],tabela_registros[REGISTRO],DADOS!$N$6,tabela_registros[TIPO],DADOS!$AJ$3,tabela_registros[CATEGORIA],reservafixaconsolidadojul[[#This Row],[ATUAL]])</f>
        <v>0</v>
      </c>
      <c r="Z171" s="91">
        <f>SUMIFS(tabela_registros[VALOR],tabela_registros[MÊS],$AE$1,tabela_registros[DIA],reservafixaconsolidadojul[[#Headers],[22]],tabela_registros[REGISTRO],DADOS!$N$6,tabela_registros[TIPO],DADOS!$AJ$3,tabela_registros[CATEGORIA],reservafixaconsolidadojul[[#This Row],[ATUAL]])</f>
        <v>0</v>
      </c>
      <c r="AA171" s="91">
        <f>SUMIFS(tabela_registros[VALOR],tabela_registros[MÊS],$AE$1,tabela_registros[DIA],reservafixaconsolidadojul[[#Headers],[23]],tabela_registros[REGISTRO],DADOS!$N$6,tabela_registros[TIPO],DADOS!$AJ$3,tabela_registros[CATEGORIA],reservafixaconsolidadojul[[#This Row],[ATUAL]])</f>
        <v>0</v>
      </c>
      <c r="AB171" s="91">
        <f>SUMIFS(tabela_registros[VALOR],tabela_registros[MÊS],$AE$1,tabela_registros[DIA],reservafixaconsolidadojul[[#Headers],[24]],tabela_registros[REGISTRO],DADOS!$N$6,tabela_registros[TIPO],DADOS!$AJ$3,tabela_registros[CATEGORIA],reservafixaconsolidadojul[[#This Row],[ATUAL]])</f>
        <v>0</v>
      </c>
      <c r="AC171" s="91">
        <f>SUMIFS(tabela_registros[VALOR],tabela_registros[MÊS],$AE$1,tabela_registros[DIA],reservafixaconsolidadojul[[#Headers],[25]],tabela_registros[REGISTRO],DADOS!$N$6,tabela_registros[TIPO],DADOS!$AJ$3,tabela_registros[CATEGORIA],reservafixaconsolidadojul[[#This Row],[ATUAL]])</f>
        <v>0</v>
      </c>
      <c r="AD171" s="91">
        <f>SUMIFS(tabela_registros[VALOR],tabela_registros[MÊS],$AE$1,tabela_registros[DIA],reservafixaconsolidadojul[[#Headers],[26]],tabela_registros[REGISTRO],DADOS!$N$6,tabela_registros[TIPO],DADOS!$AJ$3,tabela_registros[CATEGORIA],reservafixaconsolidadojul[[#This Row],[ATUAL]])</f>
        <v>0</v>
      </c>
      <c r="AE171" s="91">
        <f>SUMIFS(tabela_registros[VALOR],tabela_registros[MÊS],$AE$1,tabela_registros[DIA],reservafixaconsolidadojul[[#Headers],[27]],tabela_registros[REGISTRO],DADOS!$N$6,tabela_registros[TIPO],DADOS!$AJ$3,tabela_registros[CATEGORIA],reservafixaconsolidadojul[[#This Row],[ATUAL]])</f>
        <v>0</v>
      </c>
      <c r="AF171" s="91">
        <f>SUMIFS(tabela_registros[VALOR],tabela_registros[MÊS],$AE$1,tabela_registros[DIA],reservafixaconsolidadojul[[#Headers],[28]],tabela_registros[REGISTRO],DADOS!$N$6,tabela_registros[TIPO],DADOS!$AJ$3,tabela_registros[CATEGORIA],reservafixaconsolidadojul[[#This Row],[ATUAL]])</f>
        <v>0</v>
      </c>
      <c r="AG171" s="91">
        <f>SUMIFS(tabela_registros[VALOR],tabela_registros[MÊS],$AE$1,tabela_registros[DIA],reservafixaconsolidadojul[[#Headers],[29]],tabela_registros[REGISTRO],DADOS!$N$6,tabela_registros[TIPO],DADOS!$AJ$3,tabela_registros[CATEGORIA],reservafixaconsolidadojul[[#This Row],[ATUAL]])</f>
        <v>0</v>
      </c>
      <c r="AH171" s="91">
        <f>SUMIFS(tabela_registros[VALOR],tabela_registros[MÊS],$AE$1,tabela_registros[DIA],reservafixaconsolidadojul[[#Headers],[30]],tabela_registros[REGISTRO],DADOS!$N$6,tabela_registros[TIPO],DADOS!$AJ$3,tabela_registros[CATEGORIA],reservafixaconsolidadojul[[#This Row],[ATUAL]])</f>
        <v>0</v>
      </c>
      <c r="AI171" s="101">
        <f>SUMIFS(tabela_registros[VALOR],tabela_registros[MÊS],$AE$1,tabela_registros[DIA],reservafixaconsolidadojul[[#Headers],[31]],tabela_registros[REGISTRO],DADOS!$N$6,tabela_registros[TIPO],DADOS!$AJ$3,tabela_registros[CATEGORIA],reservafixaconsolidadojul[[#This Row],[ATUAL]])</f>
        <v>0</v>
      </c>
      <c r="AJ171" s="97">
        <f>SUM(reservafixaconsolidadojul[[#This Row],[1]:[31]])</f>
        <v>0</v>
      </c>
      <c r="AK171" s="25"/>
    </row>
    <row r="172" spans="2:37" ht="19.5" customHeight="1" thickTop="1" thickBot="1" x14ac:dyDescent="0.3">
      <c r="B172" s="28"/>
      <c r="C172" s="27" t="str">
        <f>DADOS!$AL$7</f>
        <v>📝 EXTERIOR</v>
      </c>
      <c r="D172" s="26" t="str">
        <f>IF(reservafixaconsolidadojul[[#This Row],[TOTAL (R$)]]=0,"",IF(OR(reservafixaconsolidadojul[[#This Row],[TOTAL (R$)]]=LARGE($AJ$168:$AJ$177,1),reservafixaconsolidadojul[[#This Row],[TOTAL (R$)]]=LARGE($AJ$168:$AJ$177,2)),DADOS!$I$11,""))</f>
        <v/>
      </c>
      <c r="E172" s="96">
        <f>SUMIFS(tabela_registros[VALOR],tabela_registros[MÊS],$AE$1,tabela_registros[DIA],reservafixaconsolidadojul[[#Headers],[1]],tabela_registros[REGISTRO],DADOS!$N$6,tabela_registros[TIPO],DADOS!$AJ$3,tabela_registros[CATEGORIA],reservafixaconsolidadojul[[#This Row],[ATUAL]])</f>
        <v>0</v>
      </c>
      <c r="F172" s="91">
        <f>SUMIFS(tabela_registros[VALOR],tabela_registros[MÊS],$AE$1,tabela_registros[DIA],reservafixaconsolidadojul[[#Headers],[2]],tabela_registros[REGISTRO],DADOS!$N$6,tabela_registros[TIPO],DADOS!$AJ$3,tabela_registros[CATEGORIA],reservafixaconsolidadojul[[#This Row],[ATUAL]])</f>
        <v>0</v>
      </c>
      <c r="G172" s="91">
        <f>SUMIFS(tabela_registros[VALOR],tabela_registros[MÊS],$AE$1,tabela_registros[DIA],reservafixaconsolidadojul[[#Headers],[3]],tabela_registros[REGISTRO],DADOS!$N$6,tabela_registros[TIPO],DADOS!$AJ$3,tabela_registros[CATEGORIA],reservafixaconsolidadojul[[#This Row],[ATUAL]])</f>
        <v>0</v>
      </c>
      <c r="H172" s="91">
        <f>SUMIFS(tabela_registros[VALOR],tabela_registros[MÊS],$AE$1,tabela_registros[DIA],reservafixaconsolidadojul[[#Headers],[4]],tabela_registros[REGISTRO],DADOS!$N$6,tabela_registros[TIPO],DADOS!$AJ$3,tabela_registros[CATEGORIA],reservafixaconsolidadojul[[#This Row],[ATUAL]])</f>
        <v>0</v>
      </c>
      <c r="I172" s="91">
        <f>SUMIFS(tabela_registros[VALOR],tabela_registros[MÊS],$AE$1,tabela_registros[DIA],reservafixaconsolidadojul[[#Headers],[5]],tabela_registros[REGISTRO],DADOS!$N$6,tabela_registros[TIPO],DADOS!$AJ$3,tabela_registros[CATEGORIA],reservafixaconsolidadojul[[#This Row],[ATUAL]])</f>
        <v>0</v>
      </c>
      <c r="J172" s="91">
        <f>SUMIFS(tabela_registros[VALOR],tabela_registros[MÊS],$AE$1,tabela_registros[DIA],reservafixaconsolidadojul[[#Headers],[6]],tabela_registros[REGISTRO],DADOS!$N$6,tabela_registros[TIPO],DADOS!$AJ$3,tabela_registros[CATEGORIA],reservafixaconsolidadojul[[#This Row],[ATUAL]])</f>
        <v>0</v>
      </c>
      <c r="K172" s="91">
        <f>SUMIFS(tabela_registros[VALOR],tabela_registros[MÊS],$AE$1,tabela_registros[DIA],reservafixaconsolidadojul[[#Headers],[7]],tabela_registros[REGISTRO],DADOS!$N$6,tabela_registros[TIPO],DADOS!$AJ$3,tabela_registros[CATEGORIA],reservafixaconsolidadojul[[#This Row],[ATUAL]])</f>
        <v>0</v>
      </c>
      <c r="L172" s="91">
        <f>SUMIFS(tabela_registros[VALOR],tabela_registros[MÊS],$AE$1,tabela_registros[DIA],reservafixaconsolidadojul[[#Headers],[8]],tabela_registros[REGISTRO],DADOS!$N$6,tabela_registros[TIPO],DADOS!$AJ$3,tabela_registros[CATEGORIA],reservafixaconsolidadojul[[#This Row],[ATUAL]])</f>
        <v>0</v>
      </c>
      <c r="M172" s="91">
        <f>SUMIFS(tabela_registros[VALOR],tabela_registros[MÊS],$AE$1,tabela_registros[DIA],reservafixaconsolidadojul[[#Headers],[9]],tabela_registros[REGISTRO],DADOS!$N$6,tabela_registros[TIPO],DADOS!$AJ$3,tabela_registros[CATEGORIA],reservafixaconsolidadojul[[#This Row],[ATUAL]])</f>
        <v>0</v>
      </c>
      <c r="N172" s="91">
        <f>SUMIFS(tabela_registros[VALOR],tabela_registros[MÊS],$AE$1,tabela_registros[DIA],reservafixaconsolidadojul[[#Headers],[10]],tabela_registros[REGISTRO],DADOS!$N$6,tabela_registros[TIPO],DADOS!$AJ$3,tabela_registros[CATEGORIA],reservafixaconsolidadojul[[#This Row],[ATUAL]])</f>
        <v>0</v>
      </c>
      <c r="O172" s="91">
        <f>SUMIFS(tabela_registros[VALOR],tabela_registros[MÊS],$AE$1,tabela_registros[DIA],reservafixaconsolidadojul[[#Headers],[11]],tabela_registros[REGISTRO],DADOS!$N$6,tabela_registros[TIPO],DADOS!$AJ$3,tabela_registros[CATEGORIA],reservafixaconsolidadojul[[#This Row],[ATUAL]])</f>
        <v>0</v>
      </c>
      <c r="P172" s="91">
        <f>SUMIFS(tabela_registros[VALOR],tabela_registros[MÊS],$AE$1,tabela_registros[DIA],reservafixaconsolidadojul[[#Headers],[12]],tabela_registros[REGISTRO],DADOS!$N$6,tabela_registros[TIPO],DADOS!$AJ$3,tabela_registros[CATEGORIA],reservafixaconsolidadojul[[#This Row],[ATUAL]])</f>
        <v>0</v>
      </c>
      <c r="Q172" s="91">
        <f>SUMIFS(tabela_registros[VALOR],tabela_registros[MÊS],$AE$1,tabela_registros[DIA],reservafixaconsolidadojul[[#Headers],[13]],tabela_registros[REGISTRO],DADOS!$N$6,tabela_registros[TIPO],DADOS!$AJ$3,tabela_registros[CATEGORIA],reservafixaconsolidadojul[[#This Row],[ATUAL]])</f>
        <v>0</v>
      </c>
      <c r="R172" s="91">
        <f>SUMIFS(tabela_registros[VALOR],tabela_registros[MÊS],$AE$1,tabela_registros[DIA],reservafixaconsolidadojul[[#Headers],[14]],tabela_registros[REGISTRO],DADOS!$N$6,tabela_registros[TIPO],DADOS!$AJ$3,tabela_registros[CATEGORIA],reservafixaconsolidadojul[[#This Row],[ATUAL]])</f>
        <v>0</v>
      </c>
      <c r="S172" s="91">
        <f>SUMIFS(tabela_registros[VALOR],tabela_registros[MÊS],$AE$1,tabela_registros[DIA],reservafixaconsolidadojul[[#Headers],[15]],tabela_registros[REGISTRO],DADOS!$N$6,tabela_registros[TIPO],DADOS!$AJ$3,tabela_registros[CATEGORIA],reservafixaconsolidadojul[[#This Row],[ATUAL]])</f>
        <v>0</v>
      </c>
      <c r="T172" s="91">
        <f>SUMIFS(tabela_registros[VALOR],tabela_registros[MÊS],$AE$1,tabela_registros[DIA],reservafixaconsolidadojul[[#Headers],[16]],tabela_registros[REGISTRO],DADOS!$N$6,tabela_registros[TIPO],DADOS!$AJ$3,tabela_registros[CATEGORIA],reservafixaconsolidadojul[[#This Row],[ATUAL]])</f>
        <v>0</v>
      </c>
      <c r="U172" s="91">
        <f>SUMIFS(tabela_registros[VALOR],tabela_registros[MÊS],$AE$1,tabela_registros[DIA],reservafixaconsolidadojul[[#Headers],[17]],tabela_registros[REGISTRO],DADOS!$N$6,tabela_registros[TIPO],DADOS!$AJ$3,tabela_registros[CATEGORIA],reservafixaconsolidadojul[[#This Row],[ATUAL]])</f>
        <v>0</v>
      </c>
      <c r="V172" s="91">
        <f>SUMIFS(tabela_registros[VALOR],tabela_registros[MÊS],$AE$1,tabela_registros[DIA],reservafixaconsolidadojul[[#Headers],[18]],tabela_registros[REGISTRO],DADOS!$N$6,tabela_registros[TIPO],DADOS!$AJ$3,tabela_registros[CATEGORIA],reservafixaconsolidadojul[[#This Row],[ATUAL]])</f>
        <v>0</v>
      </c>
      <c r="W172" s="91">
        <f>SUMIFS(tabela_registros[VALOR],tabela_registros[MÊS],$AE$1,tabela_registros[DIA],reservafixaconsolidadojul[[#Headers],[19]],tabela_registros[REGISTRO],DADOS!$N$6,tabela_registros[TIPO],DADOS!$AJ$3,tabela_registros[CATEGORIA],reservafixaconsolidadojul[[#This Row],[ATUAL]])</f>
        <v>0</v>
      </c>
      <c r="X172" s="91">
        <f>SUMIFS(tabela_registros[VALOR],tabela_registros[MÊS],$AE$1,tabela_registros[DIA],reservafixaconsolidadojul[[#Headers],[20]],tabela_registros[REGISTRO],DADOS!$N$6,tabela_registros[TIPO],DADOS!$AJ$3,tabela_registros[CATEGORIA],reservafixaconsolidadojul[[#This Row],[ATUAL]])</f>
        <v>0</v>
      </c>
      <c r="Y172" s="91">
        <f>SUMIFS(tabela_registros[VALOR],tabela_registros[MÊS],$AE$1,tabela_registros[DIA],reservafixaconsolidadojul[[#Headers],[21]],tabela_registros[REGISTRO],DADOS!$N$6,tabela_registros[TIPO],DADOS!$AJ$3,tabela_registros[CATEGORIA],reservafixaconsolidadojul[[#This Row],[ATUAL]])</f>
        <v>0</v>
      </c>
      <c r="Z172" s="91">
        <f>SUMIFS(tabela_registros[VALOR],tabela_registros[MÊS],$AE$1,tabela_registros[DIA],reservafixaconsolidadojul[[#Headers],[22]],tabela_registros[REGISTRO],DADOS!$N$6,tabela_registros[TIPO],DADOS!$AJ$3,tabela_registros[CATEGORIA],reservafixaconsolidadojul[[#This Row],[ATUAL]])</f>
        <v>0</v>
      </c>
      <c r="AA172" s="91">
        <f>SUMIFS(tabela_registros[VALOR],tabela_registros[MÊS],$AE$1,tabela_registros[DIA],reservafixaconsolidadojul[[#Headers],[23]],tabela_registros[REGISTRO],DADOS!$N$6,tabela_registros[TIPO],DADOS!$AJ$3,tabela_registros[CATEGORIA],reservafixaconsolidadojul[[#This Row],[ATUAL]])</f>
        <v>0</v>
      </c>
      <c r="AB172" s="91">
        <f>SUMIFS(tabela_registros[VALOR],tabela_registros[MÊS],$AE$1,tabela_registros[DIA],reservafixaconsolidadojul[[#Headers],[24]],tabela_registros[REGISTRO],DADOS!$N$6,tabela_registros[TIPO],DADOS!$AJ$3,tabela_registros[CATEGORIA],reservafixaconsolidadojul[[#This Row],[ATUAL]])</f>
        <v>0</v>
      </c>
      <c r="AC172" s="91">
        <f>SUMIFS(tabela_registros[VALOR],tabela_registros[MÊS],$AE$1,tabela_registros[DIA],reservafixaconsolidadojul[[#Headers],[25]],tabela_registros[REGISTRO],DADOS!$N$6,tabela_registros[TIPO],DADOS!$AJ$3,tabela_registros[CATEGORIA],reservafixaconsolidadojul[[#This Row],[ATUAL]])</f>
        <v>0</v>
      </c>
      <c r="AD172" s="91">
        <f>SUMIFS(tabela_registros[VALOR],tabela_registros[MÊS],$AE$1,tabela_registros[DIA],reservafixaconsolidadojul[[#Headers],[26]],tabela_registros[REGISTRO],DADOS!$N$6,tabela_registros[TIPO],DADOS!$AJ$3,tabela_registros[CATEGORIA],reservafixaconsolidadojul[[#This Row],[ATUAL]])</f>
        <v>0</v>
      </c>
      <c r="AE172" s="91">
        <f>SUMIFS(tabela_registros[VALOR],tabela_registros[MÊS],$AE$1,tabela_registros[DIA],reservafixaconsolidadojul[[#Headers],[27]],tabela_registros[REGISTRO],DADOS!$N$6,tabela_registros[TIPO],DADOS!$AJ$3,tabela_registros[CATEGORIA],reservafixaconsolidadojul[[#This Row],[ATUAL]])</f>
        <v>0</v>
      </c>
      <c r="AF172" s="91">
        <f>SUMIFS(tabela_registros[VALOR],tabela_registros[MÊS],$AE$1,tabela_registros[DIA],reservafixaconsolidadojul[[#Headers],[28]],tabela_registros[REGISTRO],DADOS!$N$6,tabela_registros[TIPO],DADOS!$AJ$3,tabela_registros[CATEGORIA],reservafixaconsolidadojul[[#This Row],[ATUAL]])</f>
        <v>0</v>
      </c>
      <c r="AG172" s="91">
        <f>SUMIFS(tabela_registros[VALOR],tabela_registros[MÊS],$AE$1,tabela_registros[DIA],reservafixaconsolidadojul[[#Headers],[29]],tabela_registros[REGISTRO],DADOS!$N$6,tabela_registros[TIPO],DADOS!$AJ$3,tabela_registros[CATEGORIA],reservafixaconsolidadojul[[#This Row],[ATUAL]])</f>
        <v>0</v>
      </c>
      <c r="AH172" s="91">
        <f>SUMIFS(tabela_registros[VALOR],tabela_registros[MÊS],$AE$1,tabela_registros[DIA],reservafixaconsolidadojul[[#Headers],[30]],tabela_registros[REGISTRO],DADOS!$N$6,tabela_registros[TIPO],DADOS!$AJ$3,tabela_registros[CATEGORIA],reservafixaconsolidadojul[[#This Row],[ATUAL]])</f>
        <v>0</v>
      </c>
      <c r="AI172" s="101">
        <f>SUMIFS(tabela_registros[VALOR],tabela_registros[MÊS],$AE$1,tabela_registros[DIA],reservafixaconsolidadojul[[#Headers],[31]],tabela_registros[REGISTRO],DADOS!$N$6,tabela_registros[TIPO],DADOS!$AJ$3,tabela_registros[CATEGORIA],reservafixaconsolidadojul[[#This Row],[ATUAL]])</f>
        <v>0</v>
      </c>
      <c r="AJ172" s="97">
        <f>SUM(reservafixaconsolidadojul[[#This Row],[1]:[31]])</f>
        <v>0</v>
      </c>
      <c r="AK172" s="25"/>
    </row>
    <row r="173" spans="2:37" ht="19.5" customHeight="1" thickTop="1" thickBot="1" x14ac:dyDescent="0.3">
      <c r="B173" s="28"/>
      <c r="C173" s="27" t="str">
        <f>DADOS!$AL$8</f>
        <v>📝 LC</v>
      </c>
      <c r="D173" s="26" t="str">
        <f>IF(reservafixaconsolidadojul[[#This Row],[TOTAL (R$)]]=0,"",IF(OR(reservafixaconsolidadojul[[#This Row],[TOTAL (R$)]]=LARGE($AJ$168:$AJ$177,1),reservafixaconsolidadojul[[#This Row],[TOTAL (R$)]]=LARGE($AJ$168:$AJ$177,2)),DADOS!$I$11,""))</f>
        <v/>
      </c>
      <c r="E173" s="96">
        <f>SUMIFS(tabela_registros[VALOR],tabela_registros[MÊS],$AE$1,tabela_registros[DIA],reservafixaconsolidadojul[[#Headers],[1]],tabela_registros[REGISTRO],DADOS!$N$6,tabela_registros[TIPO],DADOS!$AJ$3,tabela_registros[CATEGORIA],reservafixaconsolidadojul[[#This Row],[ATUAL]])</f>
        <v>0</v>
      </c>
      <c r="F173" s="91">
        <f>SUMIFS(tabela_registros[VALOR],tabela_registros[MÊS],$AE$1,tabela_registros[DIA],reservafixaconsolidadojul[[#Headers],[2]],tabela_registros[REGISTRO],DADOS!$N$6,tabela_registros[TIPO],DADOS!$AJ$3,tabela_registros[CATEGORIA],reservafixaconsolidadojul[[#This Row],[ATUAL]])</f>
        <v>0</v>
      </c>
      <c r="G173" s="91">
        <f>SUMIFS(tabela_registros[VALOR],tabela_registros[MÊS],$AE$1,tabela_registros[DIA],reservafixaconsolidadojul[[#Headers],[3]],tabela_registros[REGISTRO],DADOS!$N$6,tabela_registros[TIPO],DADOS!$AJ$3,tabela_registros[CATEGORIA],reservafixaconsolidadojul[[#This Row],[ATUAL]])</f>
        <v>0</v>
      </c>
      <c r="H173" s="91">
        <f>SUMIFS(tabela_registros[VALOR],tabela_registros[MÊS],$AE$1,tabela_registros[DIA],reservafixaconsolidadojul[[#Headers],[4]],tabela_registros[REGISTRO],DADOS!$N$6,tabela_registros[TIPO],DADOS!$AJ$3,tabela_registros[CATEGORIA],reservafixaconsolidadojul[[#This Row],[ATUAL]])</f>
        <v>0</v>
      </c>
      <c r="I173" s="91">
        <f>SUMIFS(tabela_registros[VALOR],tabela_registros[MÊS],$AE$1,tabela_registros[DIA],reservafixaconsolidadojul[[#Headers],[5]],tabela_registros[REGISTRO],DADOS!$N$6,tabela_registros[TIPO],DADOS!$AJ$3,tabela_registros[CATEGORIA],reservafixaconsolidadojul[[#This Row],[ATUAL]])</f>
        <v>0</v>
      </c>
      <c r="J173" s="91">
        <f>SUMIFS(tabela_registros[VALOR],tabela_registros[MÊS],$AE$1,tabela_registros[DIA],reservafixaconsolidadojul[[#Headers],[6]],tabela_registros[REGISTRO],DADOS!$N$6,tabela_registros[TIPO],DADOS!$AJ$3,tabela_registros[CATEGORIA],reservafixaconsolidadojul[[#This Row],[ATUAL]])</f>
        <v>0</v>
      </c>
      <c r="K173" s="91">
        <f>SUMIFS(tabela_registros[VALOR],tabela_registros[MÊS],$AE$1,tabela_registros[DIA],reservafixaconsolidadojul[[#Headers],[7]],tabela_registros[REGISTRO],DADOS!$N$6,tabela_registros[TIPO],DADOS!$AJ$3,tabela_registros[CATEGORIA],reservafixaconsolidadojul[[#This Row],[ATUAL]])</f>
        <v>0</v>
      </c>
      <c r="L173" s="91">
        <f>SUMIFS(tabela_registros[VALOR],tabela_registros[MÊS],$AE$1,tabela_registros[DIA],reservafixaconsolidadojul[[#Headers],[8]],tabela_registros[REGISTRO],DADOS!$N$6,tabela_registros[TIPO],DADOS!$AJ$3,tabela_registros[CATEGORIA],reservafixaconsolidadojul[[#This Row],[ATUAL]])</f>
        <v>0</v>
      </c>
      <c r="M173" s="91">
        <f>SUMIFS(tabela_registros[VALOR],tabela_registros[MÊS],$AE$1,tabela_registros[DIA],reservafixaconsolidadojul[[#Headers],[9]],tabela_registros[REGISTRO],DADOS!$N$6,tabela_registros[TIPO],DADOS!$AJ$3,tabela_registros[CATEGORIA],reservafixaconsolidadojul[[#This Row],[ATUAL]])</f>
        <v>0</v>
      </c>
      <c r="N173" s="91">
        <f>SUMIFS(tabela_registros[VALOR],tabela_registros[MÊS],$AE$1,tabela_registros[DIA],reservafixaconsolidadojul[[#Headers],[10]],tabela_registros[REGISTRO],DADOS!$N$6,tabela_registros[TIPO],DADOS!$AJ$3,tabela_registros[CATEGORIA],reservafixaconsolidadojul[[#This Row],[ATUAL]])</f>
        <v>0</v>
      </c>
      <c r="O173" s="91">
        <f>SUMIFS(tabela_registros[VALOR],tabela_registros[MÊS],$AE$1,tabela_registros[DIA],reservafixaconsolidadojul[[#Headers],[11]],tabela_registros[REGISTRO],DADOS!$N$6,tabela_registros[TIPO],DADOS!$AJ$3,tabela_registros[CATEGORIA],reservafixaconsolidadojul[[#This Row],[ATUAL]])</f>
        <v>0</v>
      </c>
      <c r="P173" s="91">
        <f>SUMIFS(tabela_registros[VALOR],tabela_registros[MÊS],$AE$1,tabela_registros[DIA],reservafixaconsolidadojul[[#Headers],[12]],tabela_registros[REGISTRO],DADOS!$N$6,tabela_registros[TIPO],DADOS!$AJ$3,tabela_registros[CATEGORIA],reservafixaconsolidadojul[[#This Row],[ATUAL]])</f>
        <v>0</v>
      </c>
      <c r="Q173" s="91">
        <f>SUMIFS(tabela_registros[VALOR],tabela_registros[MÊS],$AE$1,tabela_registros[DIA],reservafixaconsolidadojul[[#Headers],[13]],tabela_registros[REGISTRO],DADOS!$N$6,tabela_registros[TIPO],DADOS!$AJ$3,tabela_registros[CATEGORIA],reservafixaconsolidadojul[[#This Row],[ATUAL]])</f>
        <v>0</v>
      </c>
      <c r="R173" s="91">
        <f>SUMIFS(tabela_registros[VALOR],tabela_registros[MÊS],$AE$1,tabela_registros[DIA],reservafixaconsolidadojul[[#Headers],[14]],tabela_registros[REGISTRO],DADOS!$N$6,tabela_registros[TIPO],DADOS!$AJ$3,tabela_registros[CATEGORIA],reservafixaconsolidadojul[[#This Row],[ATUAL]])</f>
        <v>0</v>
      </c>
      <c r="S173" s="91">
        <f>SUMIFS(tabela_registros[VALOR],tabela_registros[MÊS],$AE$1,tabela_registros[DIA],reservafixaconsolidadojul[[#Headers],[15]],tabela_registros[REGISTRO],DADOS!$N$6,tabela_registros[TIPO],DADOS!$AJ$3,tabela_registros[CATEGORIA],reservafixaconsolidadojul[[#This Row],[ATUAL]])</f>
        <v>0</v>
      </c>
      <c r="T173" s="91">
        <f>SUMIFS(tabela_registros[VALOR],tabela_registros[MÊS],$AE$1,tabela_registros[DIA],reservafixaconsolidadojul[[#Headers],[16]],tabela_registros[REGISTRO],DADOS!$N$6,tabela_registros[TIPO],DADOS!$AJ$3,tabela_registros[CATEGORIA],reservafixaconsolidadojul[[#This Row],[ATUAL]])</f>
        <v>0</v>
      </c>
      <c r="U173" s="91">
        <f>SUMIFS(tabela_registros[VALOR],tabela_registros[MÊS],$AE$1,tabela_registros[DIA],reservafixaconsolidadojul[[#Headers],[17]],tabela_registros[REGISTRO],DADOS!$N$6,tabela_registros[TIPO],DADOS!$AJ$3,tabela_registros[CATEGORIA],reservafixaconsolidadojul[[#This Row],[ATUAL]])</f>
        <v>0</v>
      </c>
      <c r="V173" s="91">
        <f>SUMIFS(tabela_registros[VALOR],tabela_registros[MÊS],$AE$1,tabela_registros[DIA],reservafixaconsolidadojul[[#Headers],[18]],tabela_registros[REGISTRO],DADOS!$N$6,tabela_registros[TIPO],DADOS!$AJ$3,tabela_registros[CATEGORIA],reservafixaconsolidadojul[[#This Row],[ATUAL]])</f>
        <v>0</v>
      </c>
      <c r="W173" s="91">
        <f>SUMIFS(tabela_registros[VALOR],tabela_registros[MÊS],$AE$1,tabela_registros[DIA],reservafixaconsolidadojul[[#Headers],[19]],tabela_registros[REGISTRO],DADOS!$N$6,tabela_registros[TIPO],DADOS!$AJ$3,tabela_registros[CATEGORIA],reservafixaconsolidadojul[[#This Row],[ATUAL]])</f>
        <v>0</v>
      </c>
      <c r="X173" s="91">
        <f>SUMIFS(tabela_registros[VALOR],tabela_registros[MÊS],$AE$1,tabela_registros[DIA],reservafixaconsolidadojul[[#Headers],[20]],tabela_registros[REGISTRO],DADOS!$N$6,tabela_registros[TIPO],DADOS!$AJ$3,tabela_registros[CATEGORIA],reservafixaconsolidadojul[[#This Row],[ATUAL]])</f>
        <v>0</v>
      </c>
      <c r="Y173" s="91">
        <f>SUMIFS(tabela_registros[VALOR],tabela_registros[MÊS],$AE$1,tabela_registros[DIA],reservafixaconsolidadojul[[#Headers],[21]],tabela_registros[REGISTRO],DADOS!$N$6,tabela_registros[TIPO],DADOS!$AJ$3,tabela_registros[CATEGORIA],reservafixaconsolidadojul[[#This Row],[ATUAL]])</f>
        <v>0</v>
      </c>
      <c r="Z173" s="91">
        <f>SUMIFS(tabela_registros[VALOR],tabela_registros[MÊS],$AE$1,tabela_registros[DIA],reservafixaconsolidadojul[[#Headers],[22]],tabela_registros[REGISTRO],DADOS!$N$6,tabela_registros[TIPO],DADOS!$AJ$3,tabela_registros[CATEGORIA],reservafixaconsolidadojul[[#This Row],[ATUAL]])</f>
        <v>0</v>
      </c>
      <c r="AA173" s="91">
        <f>SUMIFS(tabela_registros[VALOR],tabela_registros[MÊS],$AE$1,tabela_registros[DIA],reservafixaconsolidadojul[[#Headers],[23]],tabela_registros[REGISTRO],DADOS!$N$6,tabela_registros[TIPO],DADOS!$AJ$3,tabela_registros[CATEGORIA],reservafixaconsolidadojul[[#This Row],[ATUAL]])</f>
        <v>0</v>
      </c>
      <c r="AB173" s="91">
        <f>SUMIFS(tabela_registros[VALOR],tabela_registros[MÊS],$AE$1,tabela_registros[DIA],reservafixaconsolidadojul[[#Headers],[24]],tabela_registros[REGISTRO],DADOS!$N$6,tabela_registros[TIPO],DADOS!$AJ$3,tabela_registros[CATEGORIA],reservafixaconsolidadojul[[#This Row],[ATUAL]])</f>
        <v>0</v>
      </c>
      <c r="AC173" s="91">
        <f>SUMIFS(tabela_registros[VALOR],tabela_registros[MÊS],$AE$1,tabela_registros[DIA],reservafixaconsolidadojul[[#Headers],[25]],tabela_registros[REGISTRO],DADOS!$N$6,tabela_registros[TIPO],DADOS!$AJ$3,tabela_registros[CATEGORIA],reservafixaconsolidadojul[[#This Row],[ATUAL]])</f>
        <v>0</v>
      </c>
      <c r="AD173" s="91">
        <f>SUMIFS(tabela_registros[VALOR],tabela_registros[MÊS],$AE$1,tabela_registros[DIA],reservafixaconsolidadojul[[#Headers],[26]],tabela_registros[REGISTRO],DADOS!$N$6,tabela_registros[TIPO],DADOS!$AJ$3,tabela_registros[CATEGORIA],reservafixaconsolidadojul[[#This Row],[ATUAL]])</f>
        <v>0</v>
      </c>
      <c r="AE173" s="91">
        <f>SUMIFS(tabela_registros[VALOR],tabela_registros[MÊS],$AE$1,tabela_registros[DIA],reservafixaconsolidadojul[[#Headers],[27]],tabela_registros[REGISTRO],DADOS!$N$6,tabela_registros[TIPO],DADOS!$AJ$3,tabela_registros[CATEGORIA],reservafixaconsolidadojul[[#This Row],[ATUAL]])</f>
        <v>0</v>
      </c>
      <c r="AF173" s="91">
        <f>SUMIFS(tabela_registros[VALOR],tabela_registros[MÊS],$AE$1,tabela_registros[DIA],reservafixaconsolidadojul[[#Headers],[28]],tabela_registros[REGISTRO],DADOS!$N$6,tabela_registros[TIPO],DADOS!$AJ$3,tabela_registros[CATEGORIA],reservafixaconsolidadojul[[#This Row],[ATUAL]])</f>
        <v>0</v>
      </c>
      <c r="AG173" s="91">
        <f>SUMIFS(tabela_registros[VALOR],tabela_registros[MÊS],$AE$1,tabela_registros[DIA],reservafixaconsolidadojul[[#Headers],[29]],tabela_registros[REGISTRO],DADOS!$N$6,tabela_registros[TIPO],DADOS!$AJ$3,tabela_registros[CATEGORIA],reservafixaconsolidadojul[[#This Row],[ATUAL]])</f>
        <v>0</v>
      </c>
      <c r="AH173" s="91">
        <f>SUMIFS(tabela_registros[VALOR],tabela_registros[MÊS],$AE$1,tabela_registros[DIA],reservafixaconsolidadojul[[#Headers],[30]],tabela_registros[REGISTRO],DADOS!$N$6,tabela_registros[TIPO],DADOS!$AJ$3,tabela_registros[CATEGORIA],reservafixaconsolidadojul[[#This Row],[ATUAL]])</f>
        <v>0</v>
      </c>
      <c r="AI173" s="101">
        <f>SUMIFS(tabela_registros[VALOR],tabela_registros[MÊS],$AE$1,tabela_registros[DIA],reservafixaconsolidadojul[[#Headers],[31]],tabela_registros[REGISTRO],DADOS!$N$6,tabela_registros[TIPO],DADOS!$AJ$3,tabela_registros[CATEGORIA],reservafixaconsolidadojul[[#This Row],[ATUAL]])</f>
        <v>0</v>
      </c>
      <c r="AJ173" s="97">
        <f>SUM(reservafixaconsolidadojul[[#This Row],[1]:[31]])</f>
        <v>0</v>
      </c>
      <c r="AK173" s="25"/>
    </row>
    <row r="174" spans="2:37" ht="19.5" customHeight="1" thickTop="1" thickBot="1" x14ac:dyDescent="0.3">
      <c r="B174" s="28"/>
      <c r="C174" s="27" t="str">
        <f>DADOS!$AL$9</f>
        <v>📝 LCA</v>
      </c>
      <c r="D174" s="26" t="str">
        <f>IF(reservafixaconsolidadojul[[#This Row],[TOTAL (R$)]]=0,"",IF(OR(reservafixaconsolidadojul[[#This Row],[TOTAL (R$)]]=LARGE($AJ$168:$AJ$177,1),reservafixaconsolidadojul[[#This Row],[TOTAL (R$)]]=LARGE($AJ$168:$AJ$177,2)),DADOS!$I$11,""))</f>
        <v/>
      </c>
      <c r="E174" s="96">
        <f>SUMIFS(tabela_registros[VALOR],tabela_registros[MÊS],$AE$1,tabela_registros[DIA],reservafixaconsolidadojul[[#Headers],[1]],tabela_registros[REGISTRO],DADOS!$N$6,tabela_registros[TIPO],DADOS!$AJ$3,tabela_registros[CATEGORIA],reservafixaconsolidadojul[[#This Row],[ATUAL]])</f>
        <v>0</v>
      </c>
      <c r="F174" s="91">
        <f>SUMIFS(tabela_registros[VALOR],tabela_registros[MÊS],$AE$1,tabela_registros[DIA],reservafixaconsolidadojul[[#Headers],[2]],tabela_registros[REGISTRO],DADOS!$N$6,tabela_registros[TIPO],DADOS!$AJ$3,tabela_registros[CATEGORIA],reservafixaconsolidadojul[[#This Row],[ATUAL]])</f>
        <v>0</v>
      </c>
      <c r="G174" s="91">
        <f>SUMIFS(tabela_registros[VALOR],tabela_registros[MÊS],$AE$1,tabela_registros[DIA],reservafixaconsolidadojul[[#Headers],[3]],tabela_registros[REGISTRO],DADOS!$N$6,tabela_registros[TIPO],DADOS!$AJ$3,tabela_registros[CATEGORIA],reservafixaconsolidadojul[[#This Row],[ATUAL]])</f>
        <v>0</v>
      </c>
      <c r="H174" s="91">
        <f>SUMIFS(tabela_registros[VALOR],tabela_registros[MÊS],$AE$1,tabela_registros[DIA],reservafixaconsolidadojul[[#Headers],[4]],tabela_registros[REGISTRO],DADOS!$N$6,tabela_registros[TIPO],DADOS!$AJ$3,tabela_registros[CATEGORIA],reservafixaconsolidadojul[[#This Row],[ATUAL]])</f>
        <v>0</v>
      </c>
      <c r="I174" s="91">
        <f>SUMIFS(tabela_registros[VALOR],tabela_registros[MÊS],$AE$1,tabela_registros[DIA],reservafixaconsolidadojul[[#Headers],[5]],tabela_registros[REGISTRO],DADOS!$N$6,tabela_registros[TIPO],DADOS!$AJ$3,tabela_registros[CATEGORIA],reservafixaconsolidadojul[[#This Row],[ATUAL]])</f>
        <v>0</v>
      </c>
      <c r="J174" s="91">
        <f>SUMIFS(tabela_registros[VALOR],tabela_registros[MÊS],$AE$1,tabela_registros[DIA],reservafixaconsolidadojul[[#Headers],[6]],tabela_registros[REGISTRO],DADOS!$N$6,tabela_registros[TIPO],DADOS!$AJ$3,tabela_registros[CATEGORIA],reservafixaconsolidadojul[[#This Row],[ATUAL]])</f>
        <v>0</v>
      </c>
      <c r="K174" s="91">
        <f>SUMIFS(tabela_registros[VALOR],tabela_registros[MÊS],$AE$1,tabela_registros[DIA],reservafixaconsolidadojul[[#Headers],[7]],tabela_registros[REGISTRO],DADOS!$N$6,tabela_registros[TIPO],DADOS!$AJ$3,tabela_registros[CATEGORIA],reservafixaconsolidadojul[[#This Row],[ATUAL]])</f>
        <v>0</v>
      </c>
      <c r="L174" s="91">
        <f>SUMIFS(tabela_registros[VALOR],tabela_registros[MÊS],$AE$1,tabela_registros[DIA],reservafixaconsolidadojul[[#Headers],[8]],tabela_registros[REGISTRO],DADOS!$N$6,tabela_registros[TIPO],DADOS!$AJ$3,tabela_registros[CATEGORIA],reservafixaconsolidadojul[[#This Row],[ATUAL]])</f>
        <v>0</v>
      </c>
      <c r="M174" s="91">
        <f>SUMIFS(tabela_registros[VALOR],tabela_registros[MÊS],$AE$1,tabela_registros[DIA],reservafixaconsolidadojul[[#Headers],[9]],tabela_registros[REGISTRO],DADOS!$N$6,tabela_registros[TIPO],DADOS!$AJ$3,tabela_registros[CATEGORIA],reservafixaconsolidadojul[[#This Row],[ATUAL]])</f>
        <v>0</v>
      </c>
      <c r="N174" s="91">
        <f>SUMIFS(tabela_registros[VALOR],tabela_registros[MÊS],$AE$1,tabela_registros[DIA],reservafixaconsolidadojul[[#Headers],[10]],tabela_registros[REGISTRO],DADOS!$N$6,tabela_registros[TIPO],DADOS!$AJ$3,tabela_registros[CATEGORIA],reservafixaconsolidadojul[[#This Row],[ATUAL]])</f>
        <v>0</v>
      </c>
      <c r="O174" s="91">
        <f>SUMIFS(tabela_registros[VALOR],tabela_registros[MÊS],$AE$1,tabela_registros[DIA],reservafixaconsolidadojul[[#Headers],[11]],tabela_registros[REGISTRO],DADOS!$N$6,tabela_registros[TIPO],DADOS!$AJ$3,tabela_registros[CATEGORIA],reservafixaconsolidadojul[[#This Row],[ATUAL]])</f>
        <v>0</v>
      </c>
      <c r="P174" s="91">
        <f>SUMIFS(tabela_registros[VALOR],tabela_registros[MÊS],$AE$1,tabela_registros[DIA],reservafixaconsolidadojul[[#Headers],[12]],tabela_registros[REGISTRO],DADOS!$N$6,tabela_registros[TIPO],DADOS!$AJ$3,tabela_registros[CATEGORIA],reservafixaconsolidadojul[[#This Row],[ATUAL]])</f>
        <v>0</v>
      </c>
      <c r="Q174" s="91">
        <f>SUMIFS(tabela_registros[VALOR],tabela_registros[MÊS],$AE$1,tabela_registros[DIA],reservafixaconsolidadojul[[#Headers],[13]],tabela_registros[REGISTRO],DADOS!$N$6,tabela_registros[TIPO],DADOS!$AJ$3,tabela_registros[CATEGORIA],reservafixaconsolidadojul[[#This Row],[ATUAL]])</f>
        <v>0</v>
      </c>
      <c r="R174" s="91">
        <f>SUMIFS(tabela_registros[VALOR],tabela_registros[MÊS],$AE$1,tabela_registros[DIA],reservafixaconsolidadojul[[#Headers],[14]],tabela_registros[REGISTRO],DADOS!$N$6,tabela_registros[TIPO],DADOS!$AJ$3,tabela_registros[CATEGORIA],reservafixaconsolidadojul[[#This Row],[ATUAL]])</f>
        <v>0</v>
      </c>
      <c r="S174" s="91">
        <f>SUMIFS(tabela_registros[VALOR],tabela_registros[MÊS],$AE$1,tabela_registros[DIA],reservafixaconsolidadojul[[#Headers],[15]],tabela_registros[REGISTRO],DADOS!$N$6,tabela_registros[TIPO],DADOS!$AJ$3,tabela_registros[CATEGORIA],reservafixaconsolidadojul[[#This Row],[ATUAL]])</f>
        <v>0</v>
      </c>
      <c r="T174" s="91">
        <f>SUMIFS(tabela_registros[VALOR],tabela_registros[MÊS],$AE$1,tabela_registros[DIA],reservafixaconsolidadojul[[#Headers],[16]],tabela_registros[REGISTRO],DADOS!$N$6,tabela_registros[TIPO],DADOS!$AJ$3,tabela_registros[CATEGORIA],reservafixaconsolidadojul[[#This Row],[ATUAL]])</f>
        <v>0</v>
      </c>
      <c r="U174" s="91">
        <f>SUMIFS(tabela_registros[VALOR],tabela_registros[MÊS],$AE$1,tabela_registros[DIA],reservafixaconsolidadojul[[#Headers],[17]],tabela_registros[REGISTRO],DADOS!$N$6,tabela_registros[TIPO],DADOS!$AJ$3,tabela_registros[CATEGORIA],reservafixaconsolidadojul[[#This Row],[ATUAL]])</f>
        <v>0</v>
      </c>
      <c r="V174" s="91">
        <f>SUMIFS(tabela_registros[VALOR],tabela_registros[MÊS],$AE$1,tabela_registros[DIA],reservafixaconsolidadojul[[#Headers],[18]],tabela_registros[REGISTRO],DADOS!$N$6,tabela_registros[TIPO],DADOS!$AJ$3,tabela_registros[CATEGORIA],reservafixaconsolidadojul[[#This Row],[ATUAL]])</f>
        <v>0</v>
      </c>
      <c r="W174" s="91">
        <f>SUMIFS(tabela_registros[VALOR],tabela_registros[MÊS],$AE$1,tabela_registros[DIA],reservafixaconsolidadojul[[#Headers],[19]],tabela_registros[REGISTRO],DADOS!$N$6,tabela_registros[TIPO],DADOS!$AJ$3,tabela_registros[CATEGORIA],reservafixaconsolidadojul[[#This Row],[ATUAL]])</f>
        <v>0</v>
      </c>
      <c r="X174" s="91">
        <f>SUMIFS(tabela_registros[VALOR],tabela_registros[MÊS],$AE$1,tabela_registros[DIA],reservafixaconsolidadojul[[#Headers],[20]],tabela_registros[REGISTRO],DADOS!$N$6,tabela_registros[TIPO],DADOS!$AJ$3,tabela_registros[CATEGORIA],reservafixaconsolidadojul[[#This Row],[ATUAL]])</f>
        <v>0</v>
      </c>
      <c r="Y174" s="91">
        <f>SUMIFS(tabela_registros[VALOR],tabela_registros[MÊS],$AE$1,tabela_registros[DIA],reservafixaconsolidadojul[[#Headers],[21]],tabela_registros[REGISTRO],DADOS!$N$6,tabela_registros[TIPO],DADOS!$AJ$3,tabela_registros[CATEGORIA],reservafixaconsolidadojul[[#This Row],[ATUAL]])</f>
        <v>0</v>
      </c>
      <c r="Z174" s="91">
        <f>SUMIFS(tabela_registros[VALOR],tabela_registros[MÊS],$AE$1,tabela_registros[DIA],reservafixaconsolidadojul[[#Headers],[22]],tabela_registros[REGISTRO],DADOS!$N$6,tabela_registros[TIPO],DADOS!$AJ$3,tabela_registros[CATEGORIA],reservafixaconsolidadojul[[#This Row],[ATUAL]])</f>
        <v>0</v>
      </c>
      <c r="AA174" s="91">
        <f>SUMIFS(tabela_registros[VALOR],tabela_registros[MÊS],$AE$1,tabela_registros[DIA],reservafixaconsolidadojul[[#Headers],[23]],tabela_registros[REGISTRO],DADOS!$N$6,tabela_registros[TIPO],DADOS!$AJ$3,tabela_registros[CATEGORIA],reservafixaconsolidadojul[[#This Row],[ATUAL]])</f>
        <v>0</v>
      </c>
      <c r="AB174" s="91">
        <f>SUMIFS(tabela_registros[VALOR],tabela_registros[MÊS],$AE$1,tabela_registros[DIA],reservafixaconsolidadojul[[#Headers],[24]],tabela_registros[REGISTRO],DADOS!$N$6,tabela_registros[TIPO],DADOS!$AJ$3,tabela_registros[CATEGORIA],reservafixaconsolidadojul[[#This Row],[ATUAL]])</f>
        <v>0</v>
      </c>
      <c r="AC174" s="91">
        <f>SUMIFS(tabela_registros[VALOR],tabela_registros[MÊS],$AE$1,tabela_registros[DIA],reservafixaconsolidadojul[[#Headers],[25]],tabela_registros[REGISTRO],DADOS!$N$6,tabela_registros[TIPO],DADOS!$AJ$3,tabela_registros[CATEGORIA],reservafixaconsolidadojul[[#This Row],[ATUAL]])</f>
        <v>0</v>
      </c>
      <c r="AD174" s="91">
        <f>SUMIFS(tabela_registros[VALOR],tabela_registros[MÊS],$AE$1,tabela_registros[DIA],reservafixaconsolidadojul[[#Headers],[26]],tabela_registros[REGISTRO],DADOS!$N$6,tabela_registros[TIPO],DADOS!$AJ$3,tabela_registros[CATEGORIA],reservafixaconsolidadojul[[#This Row],[ATUAL]])</f>
        <v>0</v>
      </c>
      <c r="AE174" s="91">
        <f>SUMIFS(tabela_registros[VALOR],tabela_registros[MÊS],$AE$1,tabela_registros[DIA],reservafixaconsolidadojul[[#Headers],[27]],tabela_registros[REGISTRO],DADOS!$N$6,tabela_registros[TIPO],DADOS!$AJ$3,tabela_registros[CATEGORIA],reservafixaconsolidadojul[[#This Row],[ATUAL]])</f>
        <v>0</v>
      </c>
      <c r="AF174" s="91">
        <f>SUMIFS(tabela_registros[VALOR],tabela_registros[MÊS],$AE$1,tabela_registros[DIA],reservafixaconsolidadojul[[#Headers],[28]],tabela_registros[REGISTRO],DADOS!$N$6,tabela_registros[TIPO],DADOS!$AJ$3,tabela_registros[CATEGORIA],reservafixaconsolidadojul[[#This Row],[ATUAL]])</f>
        <v>0</v>
      </c>
      <c r="AG174" s="91">
        <f>SUMIFS(tabela_registros[VALOR],tabela_registros[MÊS],$AE$1,tabela_registros[DIA],reservafixaconsolidadojul[[#Headers],[29]],tabela_registros[REGISTRO],DADOS!$N$6,tabela_registros[TIPO],DADOS!$AJ$3,tabela_registros[CATEGORIA],reservafixaconsolidadojul[[#This Row],[ATUAL]])</f>
        <v>0</v>
      </c>
      <c r="AH174" s="91">
        <f>SUMIFS(tabela_registros[VALOR],tabela_registros[MÊS],$AE$1,tabela_registros[DIA],reservafixaconsolidadojul[[#Headers],[30]],tabela_registros[REGISTRO],DADOS!$N$6,tabela_registros[TIPO],DADOS!$AJ$3,tabela_registros[CATEGORIA],reservafixaconsolidadojul[[#This Row],[ATUAL]])</f>
        <v>0</v>
      </c>
      <c r="AI174" s="101">
        <f>SUMIFS(tabela_registros[VALOR],tabela_registros[MÊS],$AE$1,tabela_registros[DIA],reservafixaconsolidadojul[[#Headers],[31]],tabela_registros[REGISTRO],DADOS!$N$6,tabela_registros[TIPO],DADOS!$AJ$3,tabela_registros[CATEGORIA],reservafixaconsolidadojul[[#This Row],[ATUAL]])</f>
        <v>0</v>
      </c>
      <c r="AJ174" s="97">
        <f>SUM(reservafixaconsolidadojul[[#This Row],[1]:[31]])</f>
        <v>0</v>
      </c>
      <c r="AK174" s="25"/>
    </row>
    <row r="175" spans="2:37" ht="19.5" customHeight="1" thickTop="1" thickBot="1" x14ac:dyDescent="0.3">
      <c r="B175" s="28"/>
      <c r="C175" s="27" t="str">
        <f>DADOS!$AL$10</f>
        <v>📝 LCI</v>
      </c>
      <c r="D175" s="26" t="str">
        <f>IF(reservafixaconsolidadojul[[#This Row],[TOTAL (R$)]]=0,"",IF(OR(reservafixaconsolidadojul[[#This Row],[TOTAL (R$)]]=LARGE($AJ$168:$AJ$177,1),reservafixaconsolidadojul[[#This Row],[TOTAL (R$)]]=LARGE($AJ$168:$AJ$177,2)),DADOS!$I$11,""))</f>
        <v/>
      </c>
      <c r="E175" s="96">
        <f>SUMIFS(tabela_registros[VALOR],tabela_registros[MÊS],$AE$1,tabela_registros[DIA],reservafixaconsolidadojul[[#Headers],[1]],tabela_registros[REGISTRO],DADOS!$N$6,tabela_registros[TIPO],DADOS!$AJ$3,tabela_registros[CATEGORIA],reservafixaconsolidadojul[[#This Row],[ATUAL]])</f>
        <v>0</v>
      </c>
      <c r="F175" s="91">
        <f>SUMIFS(tabela_registros[VALOR],tabela_registros[MÊS],$AE$1,tabela_registros[DIA],reservafixaconsolidadojul[[#Headers],[2]],tabela_registros[REGISTRO],DADOS!$N$6,tabela_registros[TIPO],DADOS!$AJ$3,tabela_registros[CATEGORIA],reservafixaconsolidadojul[[#This Row],[ATUAL]])</f>
        <v>0</v>
      </c>
      <c r="G175" s="91">
        <f>SUMIFS(tabela_registros[VALOR],tabela_registros[MÊS],$AE$1,tabela_registros[DIA],reservafixaconsolidadojul[[#Headers],[3]],tabela_registros[REGISTRO],DADOS!$N$6,tabela_registros[TIPO],DADOS!$AJ$3,tabela_registros[CATEGORIA],reservafixaconsolidadojul[[#This Row],[ATUAL]])</f>
        <v>0</v>
      </c>
      <c r="H175" s="91">
        <f>SUMIFS(tabela_registros[VALOR],tabela_registros[MÊS],$AE$1,tabela_registros[DIA],reservafixaconsolidadojul[[#Headers],[4]],tabela_registros[REGISTRO],DADOS!$N$6,tabela_registros[TIPO],DADOS!$AJ$3,tabela_registros[CATEGORIA],reservafixaconsolidadojul[[#This Row],[ATUAL]])</f>
        <v>0</v>
      </c>
      <c r="I175" s="91">
        <f>SUMIFS(tabela_registros[VALOR],tabela_registros[MÊS],$AE$1,tabela_registros[DIA],reservafixaconsolidadojul[[#Headers],[5]],tabela_registros[REGISTRO],DADOS!$N$6,tabela_registros[TIPO],DADOS!$AJ$3,tabela_registros[CATEGORIA],reservafixaconsolidadojul[[#This Row],[ATUAL]])</f>
        <v>0</v>
      </c>
      <c r="J175" s="91">
        <f>SUMIFS(tabela_registros[VALOR],tabela_registros[MÊS],$AE$1,tabela_registros[DIA],reservafixaconsolidadojul[[#Headers],[6]],tabela_registros[REGISTRO],DADOS!$N$6,tabela_registros[TIPO],DADOS!$AJ$3,tabela_registros[CATEGORIA],reservafixaconsolidadojul[[#This Row],[ATUAL]])</f>
        <v>0</v>
      </c>
      <c r="K175" s="91">
        <f>SUMIFS(tabela_registros[VALOR],tabela_registros[MÊS],$AE$1,tabela_registros[DIA],reservafixaconsolidadojul[[#Headers],[7]],tabela_registros[REGISTRO],DADOS!$N$6,tabela_registros[TIPO],DADOS!$AJ$3,tabela_registros[CATEGORIA],reservafixaconsolidadojul[[#This Row],[ATUAL]])</f>
        <v>0</v>
      </c>
      <c r="L175" s="91">
        <f>SUMIFS(tabela_registros[VALOR],tabela_registros[MÊS],$AE$1,tabela_registros[DIA],reservafixaconsolidadojul[[#Headers],[8]],tabela_registros[REGISTRO],DADOS!$N$6,tabela_registros[TIPO],DADOS!$AJ$3,tabela_registros[CATEGORIA],reservafixaconsolidadojul[[#This Row],[ATUAL]])</f>
        <v>0</v>
      </c>
      <c r="M175" s="91">
        <f>SUMIFS(tabela_registros[VALOR],tabela_registros[MÊS],$AE$1,tabela_registros[DIA],reservafixaconsolidadojul[[#Headers],[9]],tabela_registros[REGISTRO],DADOS!$N$6,tabela_registros[TIPO],DADOS!$AJ$3,tabela_registros[CATEGORIA],reservafixaconsolidadojul[[#This Row],[ATUAL]])</f>
        <v>0</v>
      </c>
      <c r="N175" s="91">
        <f>SUMIFS(tabela_registros[VALOR],tabela_registros[MÊS],$AE$1,tabela_registros[DIA],reservafixaconsolidadojul[[#Headers],[10]],tabela_registros[REGISTRO],DADOS!$N$6,tabela_registros[TIPO],DADOS!$AJ$3,tabela_registros[CATEGORIA],reservafixaconsolidadojul[[#This Row],[ATUAL]])</f>
        <v>0</v>
      </c>
      <c r="O175" s="91">
        <f>SUMIFS(tabela_registros[VALOR],tabela_registros[MÊS],$AE$1,tabela_registros[DIA],reservafixaconsolidadojul[[#Headers],[11]],tabela_registros[REGISTRO],DADOS!$N$6,tabela_registros[TIPO],DADOS!$AJ$3,tabela_registros[CATEGORIA],reservafixaconsolidadojul[[#This Row],[ATUAL]])</f>
        <v>0</v>
      </c>
      <c r="P175" s="91">
        <f>SUMIFS(tabela_registros[VALOR],tabela_registros[MÊS],$AE$1,tabela_registros[DIA],reservafixaconsolidadojul[[#Headers],[12]],tabela_registros[REGISTRO],DADOS!$N$6,tabela_registros[TIPO],DADOS!$AJ$3,tabela_registros[CATEGORIA],reservafixaconsolidadojul[[#This Row],[ATUAL]])</f>
        <v>0</v>
      </c>
      <c r="Q175" s="91">
        <f>SUMIFS(tabela_registros[VALOR],tabela_registros[MÊS],$AE$1,tabela_registros[DIA],reservafixaconsolidadojul[[#Headers],[13]],tabela_registros[REGISTRO],DADOS!$N$6,tabela_registros[TIPO],DADOS!$AJ$3,tabela_registros[CATEGORIA],reservafixaconsolidadojul[[#This Row],[ATUAL]])</f>
        <v>0</v>
      </c>
      <c r="R175" s="91">
        <f>SUMIFS(tabela_registros[VALOR],tabela_registros[MÊS],$AE$1,tabela_registros[DIA],reservafixaconsolidadojul[[#Headers],[14]],tabela_registros[REGISTRO],DADOS!$N$6,tabela_registros[TIPO],DADOS!$AJ$3,tabela_registros[CATEGORIA],reservafixaconsolidadojul[[#This Row],[ATUAL]])</f>
        <v>0</v>
      </c>
      <c r="S175" s="91">
        <f>SUMIFS(tabela_registros[VALOR],tabela_registros[MÊS],$AE$1,tabela_registros[DIA],reservafixaconsolidadojul[[#Headers],[15]],tabela_registros[REGISTRO],DADOS!$N$6,tabela_registros[TIPO],DADOS!$AJ$3,tabela_registros[CATEGORIA],reservafixaconsolidadojul[[#This Row],[ATUAL]])</f>
        <v>0</v>
      </c>
      <c r="T175" s="91">
        <f>SUMIFS(tabela_registros[VALOR],tabela_registros[MÊS],$AE$1,tabela_registros[DIA],reservafixaconsolidadojul[[#Headers],[16]],tabela_registros[REGISTRO],DADOS!$N$6,tabela_registros[TIPO],DADOS!$AJ$3,tabela_registros[CATEGORIA],reservafixaconsolidadojul[[#This Row],[ATUAL]])</f>
        <v>0</v>
      </c>
      <c r="U175" s="91">
        <f>SUMIFS(tabela_registros[VALOR],tabela_registros[MÊS],$AE$1,tabela_registros[DIA],reservafixaconsolidadojul[[#Headers],[17]],tabela_registros[REGISTRO],DADOS!$N$6,tabela_registros[TIPO],DADOS!$AJ$3,tabela_registros[CATEGORIA],reservafixaconsolidadojul[[#This Row],[ATUAL]])</f>
        <v>0</v>
      </c>
      <c r="V175" s="91">
        <f>SUMIFS(tabela_registros[VALOR],tabela_registros[MÊS],$AE$1,tabela_registros[DIA],reservafixaconsolidadojul[[#Headers],[18]],tabela_registros[REGISTRO],DADOS!$N$6,tabela_registros[TIPO],DADOS!$AJ$3,tabela_registros[CATEGORIA],reservafixaconsolidadojul[[#This Row],[ATUAL]])</f>
        <v>0</v>
      </c>
      <c r="W175" s="91">
        <f>SUMIFS(tabela_registros[VALOR],tabela_registros[MÊS],$AE$1,tabela_registros[DIA],reservafixaconsolidadojul[[#Headers],[19]],tabela_registros[REGISTRO],DADOS!$N$6,tabela_registros[TIPO],DADOS!$AJ$3,tabela_registros[CATEGORIA],reservafixaconsolidadojul[[#This Row],[ATUAL]])</f>
        <v>0</v>
      </c>
      <c r="X175" s="91">
        <f>SUMIFS(tabela_registros[VALOR],tabela_registros[MÊS],$AE$1,tabela_registros[DIA],reservafixaconsolidadojul[[#Headers],[20]],tabela_registros[REGISTRO],DADOS!$N$6,tabela_registros[TIPO],DADOS!$AJ$3,tabela_registros[CATEGORIA],reservafixaconsolidadojul[[#This Row],[ATUAL]])</f>
        <v>0</v>
      </c>
      <c r="Y175" s="91">
        <f>SUMIFS(tabela_registros[VALOR],tabela_registros[MÊS],$AE$1,tabela_registros[DIA],reservafixaconsolidadojul[[#Headers],[21]],tabela_registros[REGISTRO],DADOS!$N$6,tabela_registros[TIPO],DADOS!$AJ$3,tabela_registros[CATEGORIA],reservafixaconsolidadojul[[#This Row],[ATUAL]])</f>
        <v>0</v>
      </c>
      <c r="Z175" s="91">
        <f>SUMIFS(tabela_registros[VALOR],tabela_registros[MÊS],$AE$1,tabela_registros[DIA],reservafixaconsolidadojul[[#Headers],[22]],tabela_registros[REGISTRO],DADOS!$N$6,tabela_registros[TIPO],DADOS!$AJ$3,tabela_registros[CATEGORIA],reservafixaconsolidadojul[[#This Row],[ATUAL]])</f>
        <v>0</v>
      </c>
      <c r="AA175" s="91">
        <f>SUMIFS(tabela_registros[VALOR],tabela_registros[MÊS],$AE$1,tabela_registros[DIA],reservafixaconsolidadojul[[#Headers],[23]],tabela_registros[REGISTRO],DADOS!$N$6,tabela_registros[TIPO],DADOS!$AJ$3,tabela_registros[CATEGORIA],reservafixaconsolidadojul[[#This Row],[ATUAL]])</f>
        <v>0</v>
      </c>
      <c r="AB175" s="91">
        <f>SUMIFS(tabela_registros[VALOR],tabela_registros[MÊS],$AE$1,tabela_registros[DIA],reservafixaconsolidadojul[[#Headers],[24]],tabela_registros[REGISTRO],DADOS!$N$6,tabela_registros[TIPO],DADOS!$AJ$3,tabela_registros[CATEGORIA],reservafixaconsolidadojul[[#This Row],[ATUAL]])</f>
        <v>0</v>
      </c>
      <c r="AC175" s="91">
        <f>SUMIFS(tabela_registros[VALOR],tabela_registros[MÊS],$AE$1,tabela_registros[DIA],reservafixaconsolidadojul[[#Headers],[25]],tabela_registros[REGISTRO],DADOS!$N$6,tabela_registros[TIPO],DADOS!$AJ$3,tabela_registros[CATEGORIA],reservafixaconsolidadojul[[#This Row],[ATUAL]])</f>
        <v>0</v>
      </c>
      <c r="AD175" s="91">
        <f>SUMIFS(tabela_registros[VALOR],tabela_registros[MÊS],$AE$1,tabela_registros[DIA],reservafixaconsolidadojul[[#Headers],[26]],tabela_registros[REGISTRO],DADOS!$N$6,tabela_registros[TIPO],DADOS!$AJ$3,tabela_registros[CATEGORIA],reservafixaconsolidadojul[[#This Row],[ATUAL]])</f>
        <v>0</v>
      </c>
      <c r="AE175" s="91">
        <f>SUMIFS(tabela_registros[VALOR],tabela_registros[MÊS],$AE$1,tabela_registros[DIA],reservafixaconsolidadojul[[#Headers],[27]],tabela_registros[REGISTRO],DADOS!$N$6,tabela_registros[TIPO],DADOS!$AJ$3,tabela_registros[CATEGORIA],reservafixaconsolidadojul[[#This Row],[ATUAL]])</f>
        <v>0</v>
      </c>
      <c r="AF175" s="91">
        <f>SUMIFS(tabela_registros[VALOR],tabela_registros[MÊS],$AE$1,tabela_registros[DIA],reservafixaconsolidadojul[[#Headers],[28]],tabela_registros[REGISTRO],DADOS!$N$6,tabela_registros[TIPO],DADOS!$AJ$3,tabela_registros[CATEGORIA],reservafixaconsolidadojul[[#This Row],[ATUAL]])</f>
        <v>0</v>
      </c>
      <c r="AG175" s="91">
        <f>SUMIFS(tabela_registros[VALOR],tabela_registros[MÊS],$AE$1,tabela_registros[DIA],reservafixaconsolidadojul[[#Headers],[29]],tabela_registros[REGISTRO],DADOS!$N$6,tabela_registros[TIPO],DADOS!$AJ$3,tabela_registros[CATEGORIA],reservafixaconsolidadojul[[#This Row],[ATUAL]])</f>
        <v>0</v>
      </c>
      <c r="AH175" s="91">
        <f>SUMIFS(tabela_registros[VALOR],tabela_registros[MÊS],$AE$1,tabela_registros[DIA],reservafixaconsolidadojul[[#Headers],[30]],tabela_registros[REGISTRO],DADOS!$N$6,tabela_registros[TIPO],DADOS!$AJ$3,tabela_registros[CATEGORIA],reservafixaconsolidadojul[[#This Row],[ATUAL]])</f>
        <v>0</v>
      </c>
      <c r="AI175" s="101">
        <f>SUMIFS(tabela_registros[VALOR],tabela_registros[MÊS],$AE$1,tabela_registros[DIA],reservafixaconsolidadojul[[#Headers],[31]],tabela_registros[REGISTRO],DADOS!$N$6,tabela_registros[TIPO],DADOS!$AJ$3,tabela_registros[CATEGORIA],reservafixaconsolidadojul[[#This Row],[ATUAL]])</f>
        <v>0</v>
      </c>
      <c r="AJ175" s="97">
        <f>SUM(reservafixaconsolidadojul[[#This Row],[1]:[31]])</f>
        <v>0</v>
      </c>
      <c r="AK175" s="25"/>
    </row>
    <row r="176" spans="2:37" ht="19.5" customHeight="1" thickTop="1" thickBot="1" x14ac:dyDescent="0.3">
      <c r="B176" s="28"/>
      <c r="C176" s="27" t="str">
        <f>DADOS!$AL$11</f>
        <v>📝 TESOURO DIRETO</v>
      </c>
      <c r="D176" s="26" t="str">
        <f>IF(reservafixaconsolidadojul[[#This Row],[TOTAL (R$)]]=0,"",IF(OR(reservafixaconsolidadojul[[#This Row],[TOTAL (R$)]]=LARGE($AJ$168:$AJ$177,1),reservafixaconsolidadojul[[#This Row],[TOTAL (R$)]]=LARGE($AJ$168:$AJ$177,2)),DADOS!$I$11,""))</f>
        <v/>
      </c>
      <c r="E176" s="96">
        <f>SUMIFS(tabela_registros[VALOR],tabela_registros[MÊS],$AE$1,tabela_registros[DIA],reservafixaconsolidadojul[[#Headers],[1]],tabela_registros[REGISTRO],DADOS!$N$6,tabela_registros[TIPO],DADOS!$AJ$3,tabela_registros[CATEGORIA],reservafixaconsolidadojul[[#This Row],[ATUAL]])</f>
        <v>0</v>
      </c>
      <c r="F176" s="91">
        <f>SUMIFS(tabela_registros[VALOR],tabela_registros[MÊS],$AE$1,tabela_registros[DIA],reservafixaconsolidadojul[[#Headers],[2]],tabela_registros[REGISTRO],DADOS!$N$6,tabela_registros[TIPO],DADOS!$AJ$3,tabela_registros[CATEGORIA],reservafixaconsolidadojul[[#This Row],[ATUAL]])</f>
        <v>0</v>
      </c>
      <c r="G176" s="91">
        <f>SUMIFS(tabela_registros[VALOR],tabela_registros[MÊS],$AE$1,tabela_registros[DIA],reservafixaconsolidadojul[[#Headers],[3]],tabela_registros[REGISTRO],DADOS!$N$6,tabela_registros[TIPO],DADOS!$AJ$3,tabela_registros[CATEGORIA],reservafixaconsolidadojul[[#This Row],[ATUAL]])</f>
        <v>0</v>
      </c>
      <c r="H176" s="91">
        <f>SUMIFS(tabela_registros[VALOR],tabela_registros[MÊS],$AE$1,tabela_registros[DIA],reservafixaconsolidadojul[[#Headers],[4]],tabela_registros[REGISTRO],DADOS!$N$6,tabela_registros[TIPO],DADOS!$AJ$3,tabela_registros[CATEGORIA],reservafixaconsolidadojul[[#This Row],[ATUAL]])</f>
        <v>0</v>
      </c>
      <c r="I176" s="91">
        <f>SUMIFS(tabela_registros[VALOR],tabela_registros[MÊS],$AE$1,tabela_registros[DIA],reservafixaconsolidadojul[[#Headers],[5]],tabela_registros[REGISTRO],DADOS!$N$6,tabela_registros[TIPO],DADOS!$AJ$3,tabela_registros[CATEGORIA],reservafixaconsolidadojul[[#This Row],[ATUAL]])</f>
        <v>0</v>
      </c>
      <c r="J176" s="91">
        <f>SUMIFS(tabela_registros[VALOR],tabela_registros[MÊS],$AE$1,tabela_registros[DIA],reservafixaconsolidadojul[[#Headers],[6]],tabela_registros[REGISTRO],DADOS!$N$6,tabela_registros[TIPO],DADOS!$AJ$3,tabela_registros[CATEGORIA],reservafixaconsolidadojul[[#This Row],[ATUAL]])</f>
        <v>0</v>
      </c>
      <c r="K176" s="91">
        <f>SUMIFS(tabela_registros[VALOR],tabela_registros[MÊS],$AE$1,tabela_registros[DIA],reservafixaconsolidadojul[[#Headers],[7]],tabela_registros[REGISTRO],DADOS!$N$6,tabela_registros[TIPO],DADOS!$AJ$3,tabela_registros[CATEGORIA],reservafixaconsolidadojul[[#This Row],[ATUAL]])</f>
        <v>0</v>
      </c>
      <c r="L176" s="91">
        <f>SUMIFS(tabela_registros[VALOR],tabela_registros[MÊS],$AE$1,tabela_registros[DIA],reservafixaconsolidadojul[[#Headers],[8]],tabela_registros[REGISTRO],DADOS!$N$6,tabela_registros[TIPO],DADOS!$AJ$3,tabela_registros[CATEGORIA],reservafixaconsolidadojul[[#This Row],[ATUAL]])</f>
        <v>0</v>
      </c>
      <c r="M176" s="91">
        <f>SUMIFS(tabela_registros[VALOR],tabela_registros[MÊS],$AE$1,tabela_registros[DIA],reservafixaconsolidadojul[[#Headers],[9]],tabela_registros[REGISTRO],DADOS!$N$6,tabela_registros[TIPO],DADOS!$AJ$3,tabela_registros[CATEGORIA],reservafixaconsolidadojul[[#This Row],[ATUAL]])</f>
        <v>0</v>
      </c>
      <c r="N176" s="91">
        <f>SUMIFS(tabela_registros[VALOR],tabela_registros[MÊS],$AE$1,tabela_registros[DIA],reservafixaconsolidadojul[[#Headers],[10]],tabela_registros[REGISTRO],DADOS!$N$6,tabela_registros[TIPO],DADOS!$AJ$3,tabela_registros[CATEGORIA],reservafixaconsolidadojul[[#This Row],[ATUAL]])</f>
        <v>0</v>
      </c>
      <c r="O176" s="91">
        <f>SUMIFS(tabela_registros[VALOR],tabela_registros[MÊS],$AE$1,tabela_registros[DIA],reservafixaconsolidadojul[[#Headers],[11]],tabela_registros[REGISTRO],DADOS!$N$6,tabela_registros[TIPO],DADOS!$AJ$3,tabela_registros[CATEGORIA],reservafixaconsolidadojul[[#This Row],[ATUAL]])</f>
        <v>0</v>
      </c>
      <c r="P176" s="91">
        <f>SUMIFS(tabela_registros[VALOR],tabela_registros[MÊS],$AE$1,tabela_registros[DIA],reservafixaconsolidadojul[[#Headers],[12]],tabela_registros[REGISTRO],DADOS!$N$6,tabela_registros[TIPO],DADOS!$AJ$3,tabela_registros[CATEGORIA],reservafixaconsolidadojul[[#This Row],[ATUAL]])</f>
        <v>0</v>
      </c>
      <c r="Q176" s="91">
        <f>SUMIFS(tabela_registros[VALOR],tabela_registros[MÊS],$AE$1,tabela_registros[DIA],reservafixaconsolidadojul[[#Headers],[13]],tabela_registros[REGISTRO],DADOS!$N$6,tabela_registros[TIPO],DADOS!$AJ$3,tabela_registros[CATEGORIA],reservafixaconsolidadojul[[#This Row],[ATUAL]])</f>
        <v>0</v>
      </c>
      <c r="R176" s="91">
        <f>SUMIFS(tabela_registros[VALOR],tabela_registros[MÊS],$AE$1,tabela_registros[DIA],reservafixaconsolidadojul[[#Headers],[14]],tabela_registros[REGISTRO],DADOS!$N$6,tabela_registros[TIPO],DADOS!$AJ$3,tabela_registros[CATEGORIA],reservafixaconsolidadojul[[#This Row],[ATUAL]])</f>
        <v>0</v>
      </c>
      <c r="S176" s="91">
        <f>SUMIFS(tabela_registros[VALOR],tabela_registros[MÊS],$AE$1,tabela_registros[DIA],reservafixaconsolidadojul[[#Headers],[15]],tabela_registros[REGISTRO],DADOS!$N$6,tabela_registros[TIPO],DADOS!$AJ$3,tabela_registros[CATEGORIA],reservafixaconsolidadojul[[#This Row],[ATUAL]])</f>
        <v>0</v>
      </c>
      <c r="T176" s="91">
        <f>SUMIFS(tabela_registros[VALOR],tabela_registros[MÊS],$AE$1,tabela_registros[DIA],reservafixaconsolidadojul[[#Headers],[16]],tabela_registros[REGISTRO],DADOS!$N$6,tabela_registros[TIPO],DADOS!$AJ$3,tabela_registros[CATEGORIA],reservafixaconsolidadojul[[#This Row],[ATUAL]])</f>
        <v>0</v>
      </c>
      <c r="U176" s="91">
        <f>SUMIFS(tabela_registros[VALOR],tabela_registros[MÊS],$AE$1,tabela_registros[DIA],reservafixaconsolidadojul[[#Headers],[17]],tabela_registros[REGISTRO],DADOS!$N$6,tabela_registros[TIPO],DADOS!$AJ$3,tabela_registros[CATEGORIA],reservafixaconsolidadojul[[#This Row],[ATUAL]])</f>
        <v>0</v>
      </c>
      <c r="V176" s="91">
        <f>SUMIFS(tabela_registros[VALOR],tabela_registros[MÊS],$AE$1,tabela_registros[DIA],reservafixaconsolidadojul[[#Headers],[18]],tabela_registros[REGISTRO],DADOS!$N$6,tabela_registros[TIPO],DADOS!$AJ$3,tabela_registros[CATEGORIA],reservafixaconsolidadojul[[#This Row],[ATUAL]])</f>
        <v>0</v>
      </c>
      <c r="W176" s="91">
        <f>SUMIFS(tabela_registros[VALOR],tabela_registros[MÊS],$AE$1,tabela_registros[DIA],reservafixaconsolidadojul[[#Headers],[19]],tabela_registros[REGISTRO],DADOS!$N$6,tabela_registros[TIPO],DADOS!$AJ$3,tabela_registros[CATEGORIA],reservafixaconsolidadojul[[#This Row],[ATUAL]])</f>
        <v>0</v>
      </c>
      <c r="X176" s="91">
        <f>SUMIFS(tabela_registros[VALOR],tabela_registros[MÊS],$AE$1,tabela_registros[DIA],reservafixaconsolidadojul[[#Headers],[20]],tabela_registros[REGISTRO],DADOS!$N$6,tabela_registros[TIPO],DADOS!$AJ$3,tabela_registros[CATEGORIA],reservafixaconsolidadojul[[#This Row],[ATUAL]])</f>
        <v>0</v>
      </c>
      <c r="Y176" s="91">
        <f>SUMIFS(tabela_registros[VALOR],tabela_registros[MÊS],$AE$1,tabela_registros[DIA],reservafixaconsolidadojul[[#Headers],[21]],tabela_registros[REGISTRO],DADOS!$N$6,tabela_registros[TIPO],DADOS!$AJ$3,tabela_registros[CATEGORIA],reservafixaconsolidadojul[[#This Row],[ATUAL]])</f>
        <v>0</v>
      </c>
      <c r="Z176" s="91">
        <f>SUMIFS(tabela_registros[VALOR],tabela_registros[MÊS],$AE$1,tabela_registros[DIA],reservafixaconsolidadojul[[#Headers],[22]],tabela_registros[REGISTRO],DADOS!$N$6,tabela_registros[TIPO],DADOS!$AJ$3,tabela_registros[CATEGORIA],reservafixaconsolidadojul[[#This Row],[ATUAL]])</f>
        <v>0</v>
      </c>
      <c r="AA176" s="91">
        <f>SUMIFS(tabela_registros[VALOR],tabela_registros[MÊS],$AE$1,tabela_registros[DIA],reservafixaconsolidadojul[[#Headers],[23]],tabela_registros[REGISTRO],DADOS!$N$6,tabela_registros[TIPO],DADOS!$AJ$3,tabela_registros[CATEGORIA],reservafixaconsolidadojul[[#This Row],[ATUAL]])</f>
        <v>0</v>
      </c>
      <c r="AB176" s="91">
        <f>SUMIFS(tabela_registros[VALOR],tabela_registros[MÊS],$AE$1,tabela_registros[DIA],reservafixaconsolidadojul[[#Headers],[24]],tabela_registros[REGISTRO],DADOS!$N$6,tabela_registros[TIPO],DADOS!$AJ$3,tabela_registros[CATEGORIA],reservafixaconsolidadojul[[#This Row],[ATUAL]])</f>
        <v>0</v>
      </c>
      <c r="AC176" s="91">
        <f>SUMIFS(tabela_registros[VALOR],tabela_registros[MÊS],$AE$1,tabela_registros[DIA],reservafixaconsolidadojul[[#Headers],[25]],tabela_registros[REGISTRO],DADOS!$N$6,tabela_registros[TIPO],DADOS!$AJ$3,tabela_registros[CATEGORIA],reservafixaconsolidadojul[[#This Row],[ATUAL]])</f>
        <v>0</v>
      </c>
      <c r="AD176" s="91">
        <f>SUMIFS(tabela_registros[VALOR],tabela_registros[MÊS],$AE$1,tabela_registros[DIA],reservafixaconsolidadojul[[#Headers],[26]],tabela_registros[REGISTRO],DADOS!$N$6,tabela_registros[TIPO],DADOS!$AJ$3,tabela_registros[CATEGORIA],reservafixaconsolidadojul[[#This Row],[ATUAL]])</f>
        <v>0</v>
      </c>
      <c r="AE176" s="91">
        <f>SUMIFS(tabela_registros[VALOR],tabela_registros[MÊS],$AE$1,tabela_registros[DIA],reservafixaconsolidadojul[[#Headers],[27]],tabela_registros[REGISTRO],DADOS!$N$6,tabela_registros[TIPO],DADOS!$AJ$3,tabela_registros[CATEGORIA],reservafixaconsolidadojul[[#This Row],[ATUAL]])</f>
        <v>0</v>
      </c>
      <c r="AF176" s="91">
        <f>SUMIFS(tabela_registros[VALOR],tabela_registros[MÊS],$AE$1,tabela_registros[DIA],reservafixaconsolidadojul[[#Headers],[28]],tabela_registros[REGISTRO],DADOS!$N$6,tabela_registros[TIPO],DADOS!$AJ$3,tabela_registros[CATEGORIA],reservafixaconsolidadojul[[#This Row],[ATUAL]])</f>
        <v>0</v>
      </c>
      <c r="AG176" s="91">
        <f>SUMIFS(tabela_registros[VALOR],tabela_registros[MÊS],$AE$1,tabela_registros[DIA],reservafixaconsolidadojul[[#Headers],[29]],tabela_registros[REGISTRO],DADOS!$N$6,tabela_registros[TIPO],DADOS!$AJ$3,tabela_registros[CATEGORIA],reservafixaconsolidadojul[[#This Row],[ATUAL]])</f>
        <v>0</v>
      </c>
      <c r="AH176" s="91">
        <f>SUMIFS(tabela_registros[VALOR],tabela_registros[MÊS],$AE$1,tabela_registros[DIA],reservafixaconsolidadojul[[#Headers],[30]],tabela_registros[REGISTRO],DADOS!$N$6,tabela_registros[TIPO],DADOS!$AJ$3,tabela_registros[CATEGORIA],reservafixaconsolidadojul[[#This Row],[ATUAL]])</f>
        <v>0</v>
      </c>
      <c r="AI176" s="101">
        <f>SUMIFS(tabela_registros[VALOR],tabela_registros[MÊS],$AE$1,tabela_registros[DIA],reservafixaconsolidadojul[[#Headers],[31]],tabela_registros[REGISTRO],DADOS!$N$6,tabela_registros[TIPO],DADOS!$AJ$3,tabela_registros[CATEGORIA],reservafixaconsolidadojul[[#This Row],[ATUAL]])</f>
        <v>0</v>
      </c>
      <c r="AJ176" s="97">
        <f>SUM(reservafixaconsolidadojul[[#This Row],[1]:[31]])</f>
        <v>0</v>
      </c>
      <c r="AK176" s="25"/>
    </row>
    <row r="177" spans="2:37" ht="19.5" customHeight="1" thickTop="1" thickBot="1" x14ac:dyDescent="0.3">
      <c r="B177" s="28"/>
      <c r="C177" s="27" t="str">
        <f>DADOS!$AL$12</f>
        <v>📎 OUTROS</v>
      </c>
      <c r="D177" s="26" t="str">
        <f>IF(reservafixaconsolidadojul[[#This Row],[TOTAL (R$)]]=0,"",IF(OR(reservafixaconsolidadojul[[#This Row],[TOTAL (R$)]]=LARGE($AJ$168:$AJ$177,1),reservafixaconsolidadojul[[#This Row],[TOTAL (R$)]]=LARGE($AJ$168:$AJ$177,2)),DADOS!$I$11,""))</f>
        <v/>
      </c>
      <c r="E177" s="96">
        <f>SUMIFS(tabela_registros[VALOR],tabela_registros[MÊS],$AE$1,tabela_registros[DIA],reservafixaconsolidadojul[[#Headers],[1]],tabela_registros[REGISTRO],DADOS!$N$6,tabela_registros[TIPO],DADOS!$AJ$3,tabela_registros[CATEGORIA],reservafixaconsolidadojul[[#This Row],[ATUAL]])</f>
        <v>0</v>
      </c>
      <c r="F177" s="91">
        <f>SUMIFS(tabela_registros[VALOR],tabela_registros[MÊS],$AE$1,tabela_registros[DIA],reservafixaconsolidadojul[[#Headers],[2]],tabela_registros[REGISTRO],DADOS!$N$6,tabela_registros[TIPO],DADOS!$AJ$3,tabela_registros[CATEGORIA],reservafixaconsolidadojul[[#This Row],[ATUAL]])</f>
        <v>0</v>
      </c>
      <c r="G177" s="91">
        <f>SUMIFS(tabela_registros[VALOR],tabela_registros[MÊS],$AE$1,tabela_registros[DIA],reservafixaconsolidadojul[[#Headers],[3]],tabela_registros[REGISTRO],DADOS!$N$6,tabela_registros[TIPO],DADOS!$AJ$3,tabela_registros[CATEGORIA],reservafixaconsolidadojul[[#This Row],[ATUAL]])</f>
        <v>0</v>
      </c>
      <c r="H177" s="91">
        <f>SUMIFS(tabela_registros[VALOR],tabela_registros[MÊS],$AE$1,tabela_registros[DIA],reservafixaconsolidadojul[[#Headers],[4]],tabela_registros[REGISTRO],DADOS!$N$6,tabela_registros[TIPO],DADOS!$AJ$3,tabela_registros[CATEGORIA],reservafixaconsolidadojul[[#This Row],[ATUAL]])</f>
        <v>0</v>
      </c>
      <c r="I177" s="91">
        <f>SUMIFS(tabela_registros[VALOR],tabela_registros[MÊS],$AE$1,tabela_registros[DIA],reservafixaconsolidadojul[[#Headers],[5]],tabela_registros[REGISTRO],DADOS!$N$6,tabela_registros[TIPO],DADOS!$AJ$3,tabela_registros[CATEGORIA],reservafixaconsolidadojul[[#This Row],[ATUAL]])</f>
        <v>0</v>
      </c>
      <c r="J177" s="91">
        <f>SUMIFS(tabela_registros[VALOR],tabela_registros[MÊS],$AE$1,tabela_registros[DIA],reservafixaconsolidadojul[[#Headers],[6]],tabela_registros[REGISTRO],DADOS!$N$6,tabela_registros[TIPO],DADOS!$AJ$3,tabela_registros[CATEGORIA],reservafixaconsolidadojul[[#This Row],[ATUAL]])</f>
        <v>0</v>
      </c>
      <c r="K177" s="91">
        <f>SUMIFS(tabela_registros[VALOR],tabela_registros[MÊS],$AE$1,tabela_registros[DIA],reservafixaconsolidadojul[[#Headers],[7]],tabela_registros[REGISTRO],DADOS!$N$6,tabela_registros[TIPO],DADOS!$AJ$3,tabela_registros[CATEGORIA],reservafixaconsolidadojul[[#This Row],[ATUAL]])</f>
        <v>0</v>
      </c>
      <c r="L177" s="91">
        <f>SUMIFS(tabela_registros[VALOR],tabela_registros[MÊS],$AE$1,tabela_registros[DIA],reservafixaconsolidadojul[[#Headers],[8]],tabela_registros[REGISTRO],DADOS!$N$6,tabela_registros[TIPO],DADOS!$AJ$3,tabela_registros[CATEGORIA],reservafixaconsolidadojul[[#This Row],[ATUAL]])</f>
        <v>0</v>
      </c>
      <c r="M177" s="91">
        <f>SUMIFS(tabela_registros[VALOR],tabela_registros[MÊS],$AE$1,tabela_registros[DIA],reservafixaconsolidadojul[[#Headers],[9]],tabela_registros[REGISTRO],DADOS!$N$6,tabela_registros[TIPO],DADOS!$AJ$3,tabela_registros[CATEGORIA],reservafixaconsolidadojul[[#This Row],[ATUAL]])</f>
        <v>0</v>
      </c>
      <c r="N177" s="91">
        <f>SUMIFS(tabela_registros[VALOR],tabela_registros[MÊS],$AE$1,tabela_registros[DIA],reservafixaconsolidadojul[[#Headers],[10]],tabela_registros[REGISTRO],DADOS!$N$6,tabela_registros[TIPO],DADOS!$AJ$3,tabela_registros[CATEGORIA],reservafixaconsolidadojul[[#This Row],[ATUAL]])</f>
        <v>0</v>
      </c>
      <c r="O177" s="91">
        <f>SUMIFS(tabela_registros[VALOR],tabela_registros[MÊS],$AE$1,tabela_registros[DIA],reservafixaconsolidadojul[[#Headers],[11]],tabela_registros[REGISTRO],DADOS!$N$6,tabela_registros[TIPO],DADOS!$AJ$3,tabela_registros[CATEGORIA],reservafixaconsolidadojul[[#This Row],[ATUAL]])</f>
        <v>0</v>
      </c>
      <c r="P177" s="91">
        <f>SUMIFS(tabela_registros[VALOR],tabela_registros[MÊS],$AE$1,tabela_registros[DIA],reservafixaconsolidadojul[[#Headers],[12]],tabela_registros[REGISTRO],DADOS!$N$6,tabela_registros[TIPO],DADOS!$AJ$3,tabela_registros[CATEGORIA],reservafixaconsolidadojul[[#This Row],[ATUAL]])</f>
        <v>0</v>
      </c>
      <c r="Q177" s="91">
        <f>SUMIFS(tabela_registros[VALOR],tabela_registros[MÊS],$AE$1,tabela_registros[DIA],reservafixaconsolidadojul[[#Headers],[13]],tabela_registros[REGISTRO],DADOS!$N$6,tabela_registros[TIPO],DADOS!$AJ$3,tabela_registros[CATEGORIA],reservafixaconsolidadojul[[#This Row],[ATUAL]])</f>
        <v>0</v>
      </c>
      <c r="R177" s="91">
        <f>SUMIFS(tabela_registros[VALOR],tabela_registros[MÊS],$AE$1,tabela_registros[DIA],reservafixaconsolidadojul[[#Headers],[14]],tabela_registros[REGISTRO],DADOS!$N$6,tabela_registros[TIPO],DADOS!$AJ$3,tabela_registros[CATEGORIA],reservafixaconsolidadojul[[#This Row],[ATUAL]])</f>
        <v>0</v>
      </c>
      <c r="S177" s="91">
        <f>SUMIFS(tabela_registros[VALOR],tabela_registros[MÊS],$AE$1,tabela_registros[DIA],reservafixaconsolidadojul[[#Headers],[15]],tabela_registros[REGISTRO],DADOS!$N$6,tabela_registros[TIPO],DADOS!$AJ$3,tabela_registros[CATEGORIA],reservafixaconsolidadojul[[#This Row],[ATUAL]])</f>
        <v>0</v>
      </c>
      <c r="T177" s="91">
        <f>SUMIFS(tabela_registros[VALOR],tabela_registros[MÊS],$AE$1,tabela_registros[DIA],reservafixaconsolidadojul[[#Headers],[16]],tabela_registros[REGISTRO],DADOS!$N$6,tabela_registros[TIPO],DADOS!$AJ$3,tabela_registros[CATEGORIA],reservafixaconsolidadojul[[#This Row],[ATUAL]])</f>
        <v>0</v>
      </c>
      <c r="U177" s="91">
        <f>SUMIFS(tabela_registros[VALOR],tabela_registros[MÊS],$AE$1,tabela_registros[DIA],reservafixaconsolidadojul[[#Headers],[17]],tabela_registros[REGISTRO],DADOS!$N$6,tabela_registros[TIPO],DADOS!$AJ$3,tabela_registros[CATEGORIA],reservafixaconsolidadojul[[#This Row],[ATUAL]])</f>
        <v>0</v>
      </c>
      <c r="V177" s="91">
        <f>SUMIFS(tabela_registros[VALOR],tabela_registros[MÊS],$AE$1,tabela_registros[DIA],reservafixaconsolidadojul[[#Headers],[18]],tabela_registros[REGISTRO],DADOS!$N$6,tabela_registros[TIPO],DADOS!$AJ$3,tabela_registros[CATEGORIA],reservafixaconsolidadojul[[#This Row],[ATUAL]])</f>
        <v>0</v>
      </c>
      <c r="W177" s="91">
        <f>SUMIFS(tabela_registros[VALOR],tabela_registros[MÊS],$AE$1,tabela_registros[DIA],reservafixaconsolidadojul[[#Headers],[19]],tabela_registros[REGISTRO],DADOS!$N$6,tabela_registros[TIPO],DADOS!$AJ$3,tabela_registros[CATEGORIA],reservafixaconsolidadojul[[#This Row],[ATUAL]])</f>
        <v>0</v>
      </c>
      <c r="X177" s="91">
        <f>SUMIFS(tabela_registros[VALOR],tabela_registros[MÊS],$AE$1,tabela_registros[DIA],reservafixaconsolidadojul[[#Headers],[20]],tabela_registros[REGISTRO],DADOS!$N$6,tabela_registros[TIPO],DADOS!$AJ$3,tabela_registros[CATEGORIA],reservafixaconsolidadojul[[#This Row],[ATUAL]])</f>
        <v>0</v>
      </c>
      <c r="Y177" s="91">
        <f>SUMIFS(tabela_registros[VALOR],tabela_registros[MÊS],$AE$1,tabela_registros[DIA],reservafixaconsolidadojul[[#Headers],[21]],tabela_registros[REGISTRO],DADOS!$N$6,tabela_registros[TIPO],DADOS!$AJ$3,tabela_registros[CATEGORIA],reservafixaconsolidadojul[[#This Row],[ATUAL]])</f>
        <v>0</v>
      </c>
      <c r="Z177" s="91">
        <f>SUMIFS(tabela_registros[VALOR],tabela_registros[MÊS],$AE$1,tabela_registros[DIA],reservafixaconsolidadojul[[#Headers],[22]],tabela_registros[REGISTRO],DADOS!$N$6,tabela_registros[TIPO],DADOS!$AJ$3,tabela_registros[CATEGORIA],reservafixaconsolidadojul[[#This Row],[ATUAL]])</f>
        <v>0</v>
      </c>
      <c r="AA177" s="91">
        <f>SUMIFS(tabela_registros[VALOR],tabela_registros[MÊS],$AE$1,tabela_registros[DIA],reservafixaconsolidadojul[[#Headers],[23]],tabela_registros[REGISTRO],DADOS!$N$6,tabela_registros[TIPO],DADOS!$AJ$3,tabela_registros[CATEGORIA],reservafixaconsolidadojul[[#This Row],[ATUAL]])</f>
        <v>0</v>
      </c>
      <c r="AB177" s="91">
        <f>SUMIFS(tabela_registros[VALOR],tabela_registros[MÊS],$AE$1,tabela_registros[DIA],reservafixaconsolidadojul[[#Headers],[24]],tabela_registros[REGISTRO],DADOS!$N$6,tabela_registros[TIPO],DADOS!$AJ$3,tabela_registros[CATEGORIA],reservafixaconsolidadojul[[#This Row],[ATUAL]])</f>
        <v>0</v>
      </c>
      <c r="AC177" s="91">
        <f>SUMIFS(tabela_registros[VALOR],tabela_registros[MÊS],$AE$1,tabela_registros[DIA],reservafixaconsolidadojul[[#Headers],[25]],tabela_registros[REGISTRO],DADOS!$N$6,tabela_registros[TIPO],DADOS!$AJ$3,tabela_registros[CATEGORIA],reservafixaconsolidadojul[[#This Row],[ATUAL]])</f>
        <v>0</v>
      </c>
      <c r="AD177" s="91">
        <f>SUMIFS(tabela_registros[VALOR],tabela_registros[MÊS],$AE$1,tabela_registros[DIA],reservafixaconsolidadojul[[#Headers],[26]],tabela_registros[REGISTRO],DADOS!$N$6,tabela_registros[TIPO],DADOS!$AJ$3,tabela_registros[CATEGORIA],reservafixaconsolidadojul[[#This Row],[ATUAL]])</f>
        <v>0</v>
      </c>
      <c r="AE177" s="91">
        <f>SUMIFS(tabela_registros[VALOR],tabela_registros[MÊS],$AE$1,tabela_registros[DIA],reservafixaconsolidadojul[[#Headers],[27]],tabela_registros[REGISTRO],DADOS!$N$6,tabela_registros[TIPO],DADOS!$AJ$3,tabela_registros[CATEGORIA],reservafixaconsolidadojul[[#This Row],[ATUAL]])</f>
        <v>0</v>
      </c>
      <c r="AF177" s="91">
        <f>SUMIFS(tabela_registros[VALOR],tabela_registros[MÊS],$AE$1,tabela_registros[DIA],reservafixaconsolidadojul[[#Headers],[28]],tabela_registros[REGISTRO],DADOS!$N$6,tabela_registros[TIPO],DADOS!$AJ$3,tabela_registros[CATEGORIA],reservafixaconsolidadojul[[#This Row],[ATUAL]])</f>
        <v>0</v>
      </c>
      <c r="AG177" s="91">
        <f>SUMIFS(tabela_registros[VALOR],tabela_registros[MÊS],$AE$1,tabela_registros[DIA],reservafixaconsolidadojul[[#Headers],[29]],tabela_registros[REGISTRO],DADOS!$N$6,tabela_registros[TIPO],DADOS!$AJ$3,tabela_registros[CATEGORIA],reservafixaconsolidadojul[[#This Row],[ATUAL]])</f>
        <v>0</v>
      </c>
      <c r="AH177" s="91">
        <f>SUMIFS(tabela_registros[VALOR],tabela_registros[MÊS],$AE$1,tabela_registros[DIA],reservafixaconsolidadojul[[#Headers],[30]],tabela_registros[REGISTRO],DADOS!$N$6,tabela_registros[TIPO],DADOS!$AJ$3,tabela_registros[CATEGORIA],reservafixaconsolidadojul[[#This Row],[ATUAL]])</f>
        <v>0</v>
      </c>
      <c r="AI177" s="102">
        <f>SUMIFS(tabela_registros[VALOR],tabela_registros[MÊS],$AE$1,tabela_registros[DIA],reservafixaconsolidadojul[[#Headers],[31]],tabela_registros[REGISTRO],DADOS!$N$6,tabela_registros[TIPO],DADOS!$AJ$3,tabela_registros[CATEGORIA],reservafixaconsolidadojul[[#This Row],[ATUAL]])</f>
        <v>0</v>
      </c>
      <c r="AJ177" s="97">
        <f>SUM(reservafixaconsolidadojul[[#This Row],[1]:[31]])</f>
        <v>0</v>
      </c>
      <c r="AK177" s="25"/>
    </row>
    <row r="178" spans="2:37" s="16" customFormat="1" ht="21" customHeight="1" thickTop="1" thickBot="1" x14ac:dyDescent="0.35">
      <c r="B178" s="24"/>
      <c r="C178" s="23" t="s">
        <v>19</v>
      </c>
      <c r="D178" s="22"/>
      <c r="E178" s="21">
        <f>SUM(E168:E177)</f>
        <v>0</v>
      </c>
      <c r="F178" s="20">
        <f>SUM(F168:F177)+reservafixaconsolidadojul[[#This Row],[1]]</f>
        <v>0</v>
      </c>
      <c r="G178" s="20">
        <f>SUM(G168:G177)+reservafixaconsolidadojul[[#This Row],[2]]</f>
        <v>0</v>
      </c>
      <c r="H178" s="20">
        <f>SUM(H168:H177)+reservafixaconsolidadojul[[#This Row],[3]]</f>
        <v>0</v>
      </c>
      <c r="I178" s="20">
        <f>SUM(I168:I177)+reservafixaconsolidadojul[[#This Row],[4]]</f>
        <v>0</v>
      </c>
      <c r="J178" s="20">
        <f>SUM(J168:J177)+reservafixaconsolidadojul[[#This Row],[5]]</f>
        <v>0</v>
      </c>
      <c r="K178" s="20">
        <f>SUM(K168:K177)+reservafixaconsolidadojul[[#This Row],[6]]</f>
        <v>0</v>
      </c>
      <c r="L178" s="20">
        <f>SUM(L168:L177)+reservafixaconsolidadojul[[#This Row],[7]]</f>
        <v>0</v>
      </c>
      <c r="M178" s="20">
        <f>SUM(M168:M177)+reservafixaconsolidadojul[[#This Row],[8]]</f>
        <v>0</v>
      </c>
      <c r="N178" s="20">
        <f>SUM(N168:N177)+reservafixaconsolidadojul[[#This Row],[9]]</f>
        <v>0</v>
      </c>
      <c r="O178" s="20">
        <f>SUM(O168:O177)+reservafixaconsolidadojul[[#This Row],[10]]</f>
        <v>0</v>
      </c>
      <c r="P178" s="20">
        <f>SUM(P168:P177)+reservafixaconsolidadojul[[#This Row],[11]]</f>
        <v>0</v>
      </c>
      <c r="Q178" s="20">
        <f>SUM(Q168:Q177)+reservafixaconsolidadojul[[#This Row],[12]]</f>
        <v>0</v>
      </c>
      <c r="R178" s="20">
        <f>SUM(R168:R177)+reservafixaconsolidadojul[[#This Row],[13]]</f>
        <v>0</v>
      </c>
      <c r="S178" s="20">
        <f>SUM(S168:S177)+reservafixaconsolidadojul[[#This Row],[14]]</f>
        <v>0</v>
      </c>
      <c r="T178" s="20">
        <f>SUM(T168:T177)+reservafixaconsolidadojul[[#This Row],[15]]</f>
        <v>0</v>
      </c>
      <c r="U178" s="20">
        <f>SUM(U168:U177)+reservafixaconsolidadojul[[#This Row],[16]]</f>
        <v>0</v>
      </c>
      <c r="V178" s="20">
        <f>SUM(V168:V177)+reservafixaconsolidadojul[[#This Row],[17]]</f>
        <v>0</v>
      </c>
      <c r="W178" s="20">
        <f>SUM(W168:W177)+reservafixaconsolidadojul[[#This Row],[18]]</f>
        <v>0</v>
      </c>
      <c r="X178" s="20">
        <f>SUM(X168:X177)+reservafixaconsolidadojul[[#This Row],[19]]</f>
        <v>0</v>
      </c>
      <c r="Y178" s="20">
        <f>SUM(Y168:Y177)+reservafixaconsolidadojul[[#This Row],[20]]</f>
        <v>0</v>
      </c>
      <c r="Z178" s="20">
        <f>SUM(Z168:Z177)+reservafixaconsolidadojul[[#This Row],[21]]</f>
        <v>0</v>
      </c>
      <c r="AA178" s="20">
        <f>SUM(AA168:AA177)+reservafixaconsolidadojul[[#This Row],[22]]</f>
        <v>0</v>
      </c>
      <c r="AB178" s="20">
        <f>SUM(AB168:AB177)+reservafixaconsolidadojul[[#This Row],[23]]</f>
        <v>0</v>
      </c>
      <c r="AC178" s="20">
        <f>SUM(AC168:AC177)+reservafixaconsolidadojul[[#This Row],[24]]</f>
        <v>0</v>
      </c>
      <c r="AD178" s="20">
        <f>SUM(AD168:AD177)+reservafixaconsolidadojul[[#This Row],[25]]</f>
        <v>0</v>
      </c>
      <c r="AE178" s="20">
        <f>SUM(AE168:AE177)+reservafixaconsolidadojul[[#This Row],[26]]</f>
        <v>0</v>
      </c>
      <c r="AF178" s="20">
        <f>SUM(AF168:AF177)+reservafixaconsolidadojul[[#This Row],[27]]</f>
        <v>0</v>
      </c>
      <c r="AG178" s="20">
        <f>SUM(AG168:AG177)+reservafixaconsolidadojul[[#This Row],[28]]</f>
        <v>0</v>
      </c>
      <c r="AH178" s="20">
        <f>SUM(AH168:AH177)+reservafixaconsolidadojul[[#This Row],[29]]</f>
        <v>0</v>
      </c>
      <c r="AI178" s="19">
        <f>SUM(AI168:AI177)+reservafixaconsolidadojul[[#This Row],[30]]</f>
        <v>0</v>
      </c>
      <c r="AJ178" s="18">
        <f>reservafixaconsolidadojul[[#This Row],[31]]</f>
        <v>0</v>
      </c>
      <c r="AK178" s="17"/>
    </row>
    <row r="179" spans="2:37" ht="6.75" customHeight="1" thickTop="1" thickBot="1" x14ac:dyDescent="0.3">
      <c r="B179" s="15"/>
      <c r="C179" s="14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3"/>
      <c r="AF179" s="13"/>
      <c r="AG179" s="13"/>
      <c r="AH179" s="13"/>
      <c r="AI179" s="12"/>
      <c r="AJ179" s="11"/>
      <c r="AK179" s="10"/>
    </row>
    <row r="180" spans="2:37" ht="12.6" thickTop="1" x14ac:dyDescent="0.25">
      <c r="E180" s="37"/>
      <c r="AI180" s="4"/>
    </row>
    <row r="181" spans="2:37" x14ac:dyDescent="0.25">
      <c r="AI181" s="4"/>
    </row>
    <row r="182" spans="2:37" x14ac:dyDescent="0.25">
      <c r="AI182" s="4"/>
    </row>
    <row r="183" spans="2:37" ht="39.75" customHeight="1" x14ac:dyDescent="0.7">
      <c r="C183" s="36"/>
      <c r="E183" s="240"/>
      <c r="F183" s="240"/>
      <c r="G183" s="240"/>
      <c r="H183" s="240"/>
      <c r="I183" s="240"/>
      <c r="J183" s="240"/>
      <c r="K183" s="240"/>
      <c r="L183" s="240"/>
      <c r="M183" s="240"/>
      <c r="N183" s="240"/>
      <c r="O183" s="240"/>
      <c r="P183" s="240"/>
      <c r="Q183" s="240"/>
      <c r="R183" s="240"/>
      <c r="S183" s="240"/>
      <c r="T183" s="240"/>
      <c r="U183" s="240"/>
      <c r="V183" s="240"/>
      <c r="W183" s="240"/>
      <c r="X183" s="240"/>
      <c r="Y183" s="240"/>
      <c r="Z183" s="240"/>
      <c r="AA183" s="240"/>
      <c r="AB183" s="240"/>
      <c r="AC183" s="240"/>
      <c r="AD183" s="240"/>
      <c r="AE183" s="240"/>
      <c r="AF183" s="240"/>
      <c r="AG183" s="240"/>
      <c r="AH183" s="240"/>
      <c r="AI183" s="240"/>
      <c r="AJ183" s="32" t="s">
        <v>19</v>
      </c>
    </row>
    <row r="184" spans="2:37" ht="12.6" thickBot="1" x14ac:dyDescent="0.3">
      <c r="B184" s="35"/>
      <c r="AI184" s="4"/>
      <c r="AJ184" s="34" t="s">
        <v>202</v>
      </c>
    </row>
    <row r="185" spans="2:37" ht="6.75" customHeight="1" thickTop="1" thickBot="1" x14ac:dyDescent="0.3">
      <c r="B185" s="2"/>
      <c r="C185" s="14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  <c r="AF185" s="13"/>
      <c r="AG185" s="13"/>
      <c r="AH185" s="13"/>
      <c r="AI185" s="13"/>
      <c r="AJ185" s="12"/>
      <c r="AK185" s="33"/>
    </row>
    <row r="186" spans="2:37" ht="13.2" hidden="1" thickTop="1" thickBot="1" x14ac:dyDescent="0.3">
      <c r="B186" s="2"/>
      <c r="C186" s="31" t="s">
        <v>199</v>
      </c>
      <c r="D186" s="30" t="s">
        <v>198</v>
      </c>
      <c r="E186" s="30" t="s">
        <v>197</v>
      </c>
      <c r="F186" s="30" t="s">
        <v>196</v>
      </c>
      <c r="G186" s="30" t="s">
        <v>195</v>
      </c>
      <c r="H186" s="30" t="s">
        <v>194</v>
      </c>
      <c r="I186" s="30" t="s">
        <v>193</v>
      </c>
      <c r="J186" s="30" t="s">
        <v>192</v>
      </c>
      <c r="K186" s="30" t="s">
        <v>191</v>
      </c>
      <c r="L186" s="30" t="s">
        <v>190</v>
      </c>
      <c r="M186" s="30" t="s">
        <v>189</v>
      </c>
      <c r="N186" s="30" t="s">
        <v>188</v>
      </c>
      <c r="O186" s="30" t="s">
        <v>187</v>
      </c>
      <c r="P186" s="30" t="s">
        <v>186</v>
      </c>
      <c r="Q186" s="30" t="s">
        <v>185</v>
      </c>
      <c r="R186" s="30" t="s">
        <v>184</v>
      </c>
      <c r="S186" s="30" t="s">
        <v>183</v>
      </c>
      <c r="T186" s="30" t="s">
        <v>182</v>
      </c>
      <c r="U186" s="30" t="s">
        <v>181</v>
      </c>
      <c r="V186" s="30" t="s">
        <v>180</v>
      </c>
      <c r="W186" s="30" t="s">
        <v>179</v>
      </c>
      <c r="X186" s="30" t="s">
        <v>178</v>
      </c>
      <c r="Y186" s="30" t="s">
        <v>177</v>
      </c>
      <c r="Z186" s="30" t="s">
        <v>176</v>
      </c>
      <c r="AA186" s="30" t="s">
        <v>175</v>
      </c>
      <c r="AB186" s="30" t="s">
        <v>174</v>
      </c>
      <c r="AC186" s="30" t="s">
        <v>173</v>
      </c>
      <c r="AD186" s="30" t="s">
        <v>172</v>
      </c>
      <c r="AE186" s="30" t="s">
        <v>171</v>
      </c>
      <c r="AF186" s="30" t="s">
        <v>170</v>
      </c>
      <c r="AG186" s="30" t="s">
        <v>169</v>
      </c>
      <c r="AH186" s="30" t="s">
        <v>168</v>
      </c>
      <c r="AI186" s="30" t="s">
        <v>167</v>
      </c>
      <c r="AJ186" s="29" t="s">
        <v>166</v>
      </c>
      <c r="AK186" s="2"/>
    </row>
    <row r="187" spans="2:37" ht="19.5" customHeight="1" thickTop="1" thickBot="1" x14ac:dyDescent="0.3">
      <c r="B187" s="28"/>
      <c r="C187" s="27" t="str">
        <f>DADOS!$AN$3</f>
        <v>📝 AÇÃO</v>
      </c>
      <c r="D187" s="26" t="str">
        <f>IF(reservavariáveisconsolidadojul[[#This Row],[TOTAL (R$)]]=0,"",IF(OR(reservavariáveisconsolidadojul[[#This Row],[TOTAL (R$)]]=LARGE($AJ$187:$AJ$196,1),reservavariáveisconsolidadojul[[#This Row],[TOTAL (R$)]]=LARGE($AJ$187:$AJ$196,2)),DADOS!$I$11,""))</f>
        <v/>
      </c>
      <c r="E187" s="96">
        <f>SUMIFS(tabela_registros[VALOR],tabela_registros[MÊS],$AE$1,tabela_registros[DIA],reservavariáveisconsolidadojul[[#Headers],[1]],tabela_registros[REGISTRO],DADOS!$N$6,tabela_registros[TIPO],DADOS!$AJ$4,tabela_registros[CATEGORIA],reservavariáveisconsolidadojul[[#This Row],[ATUAL]])</f>
        <v>0</v>
      </c>
      <c r="F187" s="91">
        <f>SUMIFS(tabela_registros[VALOR],tabela_registros[MÊS],$AE$1,tabela_registros[DIA],reservavariáveisconsolidadojul[[#Headers],[2]],tabela_registros[REGISTRO],DADOS!$N$6,tabela_registros[TIPO],DADOS!$AJ$4,tabela_registros[CATEGORIA],reservavariáveisconsolidadojul[[#This Row],[ATUAL]])</f>
        <v>0</v>
      </c>
      <c r="G187" s="91">
        <f>SUMIFS(tabela_registros[VALOR],tabela_registros[MÊS],$AE$1,tabela_registros[DIA],reservavariáveisconsolidadojul[[#Headers],[3]],tabela_registros[REGISTRO],DADOS!$N$6,tabela_registros[TIPO],DADOS!$AJ$4,tabela_registros[CATEGORIA],reservavariáveisconsolidadojul[[#This Row],[ATUAL]])</f>
        <v>0</v>
      </c>
      <c r="H187" s="91">
        <f>SUMIFS(tabela_registros[VALOR],tabela_registros[MÊS],$AE$1,tabela_registros[DIA],reservavariáveisconsolidadojul[[#Headers],[4]],tabela_registros[REGISTRO],DADOS!$N$6,tabela_registros[TIPO],DADOS!$AJ$4,tabela_registros[CATEGORIA],reservavariáveisconsolidadojul[[#This Row],[ATUAL]])</f>
        <v>0</v>
      </c>
      <c r="I187" s="91">
        <f>SUMIFS(tabela_registros[VALOR],tabela_registros[MÊS],$AE$1,tabela_registros[DIA],reservavariáveisconsolidadojul[[#Headers],[5]],tabela_registros[REGISTRO],DADOS!$N$6,tabela_registros[TIPO],DADOS!$AJ$4,tabela_registros[CATEGORIA],reservavariáveisconsolidadojul[[#This Row],[ATUAL]])</f>
        <v>0</v>
      </c>
      <c r="J187" s="91">
        <f>SUMIFS(tabela_registros[VALOR],tabela_registros[MÊS],$AE$1,tabela_registros[DIA],reservavariáveisconsolidadojul[[#Headers],[6]],tabela_registros[REGISTRO],DADOS!$N$6,tabela_registros[TIPO],DADOS!$AJ$4,tabela_registros[CATEGORIA],reservavariáveisconsolidadojul[[#This Row],[ATUAL]])</f>
        <v>0</v>
      </c>
      <c r="K187" s="91">
        <f>SUMIFS(tabela_registros[VALOR],tabela_registros[MÊS],$AE$1,tabela_registros[DIA],reservavariáveisconsolidadojul[[#Headers],[7]],tabela_registros[REGISTRO],DADOS!$N$6,tabela_registros[TIPO],DADOS!$AJ$4,tabela_registros[CATEGORIA],reservavariáveisconsolidadojul[[#This Row],[ATUAL]])</f>
        <v>0</v>
      </c>
      <c r="L187" s="91">
        <f>SUMIFS(tabela_registros[VALOR],tabela_registros[MÊS],$AE$1,tabela_registros[DIA],reservavariáveisconsolidadojul[[#Headers],[8]],tabela_registros[REGISTRO],DADOS!$N$6,tabela_registros[TIPO],DADOS!$AJ$4,tabela_registros[CATEGORIA],reservavariáveisconsolidadojul[[#This Row],[ATUAL]])</f>
        <v>0</v>
      </c>
      <c r="M187" s="91">
        <f>SUMIFS(tabela_registros[VALOR],tabela_registros[MÊS],$AE$1,tabela_registros[DIA],reservavariáveisconsolidadojul[[#Headers],[9]],tabela_registros[REGISTRO],DADOS!$N$6,tabela_registros[TIPO],DADOS!$AJ$4,tabela_registros[CATEGORIA],reservavariáveisconsolidadojul[[#This Row],[ATUAL]])</f>
        <v>0</v>
      </c>
      <c r="N187" s="91">
        <f>SUMIFS(tabela_registros[VALOR],tabela_registros[MÊS],$AE$1,tabela_registros[DIA],reservavariáveisconsolidadojul[[#Headers],[10]],tabela_registros[REGISTRO],DADOS!$N$6,tabela_registros[TIPO],DADOS!$AJ$4,tabela_registros[CATEGORIA],reservavariáveisconsolidadojul[[#This Row],[ATUAL]])</f>
        <v>0</v>
      </c>
      <c r="O187" s="91">
        <f>SUMIFS(tabela_registros[VALOR],tabela_registros[MÊS],$AE$1,tabela_registros[DIA],reservavariáveisconsolidadojul[[#Headers],[11]],tabela_registros[REGISTRO],DADOS!$N$6,tabela_registros[TIPO],DADOS!$AJ$4,tabela_registros[CATEGORIA],reservavariáveisconsolidadojul[[#This Row],[ATUAL]])</f>
        <v>0</v>
      </c>
      <c r="P187" s="91">
        <f>SUMIFS(tabela_registros[VALOR],tabela_registros[MÊS],$AE$1,tabela_registros[DIA],reservavariáveisconsolidadojul[[#Headers],[12]],tabela_registros[REGISTRO],DADOS!$N$6,tabela_registros[TIPO],DADOS!$AJ$4,tabela_registros[CATEGORIA],reservavariáveisconsolidadojul[[#This Row],[ATUAL]])</f>
        <v>0</v>
      </c>
      <c r="Q187" s="91">
        <f>SUMIFS(tabela_registros[VALOR],tabela_registros[MÊS],$AE$1,tabela_registros[DIA],reservavariáveisconsolidadojul[[#Headers],[13]],tabela_registros[REGISTRO],DADOS!$N$6,tabela_registros[TIPO],DADOS!$AJ$4,tabela_registros[CATEGORIA],reservavariáveisconsolidadojul[[#This Row],[ATUAL]])</f>
        <v>0</v>
      </c>
      <c r="R187" s="91">
        <f>SUMIFS(tabela_registros[VALOR],tabela_registros[MÊS],$AE$1,tabela_registros[DIA],reservavariáveisconsolidadojul[[#Headers],[14]],tabela_registros[REGISTRO],DADOS!$N$6,tabela_registros[TIPO],DADOS!$AJ$4,tabela_registros[CATEGORIA],reservavariáveisconsolidadojul[[#This Row],[ATUAL]])</f>
        <v>0</v>
      </c>
      <c r="S187" s="91">
        <f>SUMIFS(tabela_registros[VALOR],tabela_registros[MÊS],$AE$1,tabela_registros[DIA],reservavariáveisconsolidadojul[[#Headers],[15]],tabela_registros[REGISTRO],DADOS!$N$6,tabela_registros[TIPO],DADOS!$AJ$4,tabela_registros[CATEGORIA],reservavariáveisconsolidadojul[[#This Row],[ATUAL]])</f>
        <v>0</v>
      </c>
      <c r="T187" s="91">
        <f>SUMIFS(tabela_registros[VALOR],tabela_registros[MÊS],$AE$1,tabela_registros[DIA],reservavariáveisconsolidadojul[[#Headers],[16]],tabela_registros[REGISTRO],DADOS!$N$6,tabela_registros[TIPO],DADOS!$AJ$4,tabela_registros[CATEGORIA],reservavariáveisconsolidadojul[[#This Row],[ATUAL]])</f>
        <v>0</v>
      </c>
      <c r="U187" s="91">
        <f>SUMIFS(tabela_registros[VALOR],tabela_registros[MÊS],$AE$1,tabela_registros[DIA],reservavariáveisconsolidadojul[[#Headers],[17]],tabela_registros[REGISTRO],DADOS!$N$6,tabela_registros[TIPO],DADOS!$AJ$4,tabela_registros[CATEGORIA],reservavariáveisconsolidadojul[[#This Row],[ATUAL]])</f>
        <v>0</v>
      </c>
      <c r="V187" s="91">
        <f>SUMIFS(tabela_registros[VALOR],tabela_registros[MÊS],$AE$1,tabela_registros[DIA],reservavariáveisconsolidadojul[[#Headers],[18]],tabela_registros[REGISTRO],DADOS!$N$6,tabela_registros[TIPO],DADOS!$AJ$4,tabela_registros[CATEGORIA],reservavariáveisconsolidadojul[[#This Row],[ATUAL]])</f>
        <v>0</v>
      </c>
      <c r="W187" s="91">
        <f>SUMIFS(tabela_registros[VALOR],tabela_registros[MÊS],$AE$1,tabela_registros[DIA],reservavariáveisconsolidadojul[[#Headers],[19]],tabela_registros[REGISTRO],DADOS!$N$6,tabela_registros[TIPO],DADOS!$AJ$4,tabela_registros[CATEGORIA],reservavariáveisconsolidadojul[[#This Row],[ATUAL]])</f>
        <v>0</v>
      </c>
      <c r="X187" s="91">
        <f>SUMIFS(tabela_registros[VALOR],tabela_registros[MÊS],$AE$1,tabela_registros[DIA],reservavariáveisconsolidadojul[[#Headers],[20]],tabela_registros[REGISTRO],DADOS!$N$6,tabela_registros[TIPO],DADOS!$AJ$4,tabela_registros[CATEGORIA],reservavariáveisconsolidadojul[[#This Row],[ATUAL]])</f>
        <v>0</v>
      </c>
      <c r="Y187" s="91">
        <f>SUMIFS(tabela_registros[VALOR],tabela_registros[MÊS],$AE$1,tabela_registros[DIA],reservavariáveisconsolidadojul[[#Headers],[21]],tabela_registros[REGISTRO],DADOS!$N$6,tabela_registros[TIPO],DADOS!$AJ$4,tabela_registros[CATEGORIA],reservavariáveisconsolidadojul[[#This Row],[ATUAL]])</f>
        <v>0</v>
      </c>
      <c r="Z187" s="91">
        <f>SUMIFS(tabela_registros[VALOR],tabela_registros[MÊS],$AE$1,tabela_registros[DIA],reservavariáveisconsolidadojul[[#Headers],[22]],tabela_registros[REGISTRO],DADOS!$N$6,tabela_registros[TIPO],DADOS!$AJ$4,tabela_registros[CATEGORIA],reservavariáveisconsolidadojul[[#This Row],[ATUAL]])</f>
        <v>0</v>
      </c>
      <c r="AA187" s="91">
        <f>SUMIFS(tabela_registros[VALOR],tabela_registros[MÊS],$AE$1,tabela_registros[DIA],reservavariáveisconsolidadojul[[#Headers],[23]],tabela_registros[REGISTRO],DADOS!$N$6,tabela_registros[TIPO],DADOS!$AJ$4,tabela_registros[CATEGORIA],reservavariáveisconsolidadojul[[#This Row],[ATUAL]])</f>
        <v>0</v>
      </c>
      <c r="AB187" s="91">
        <f>SUMIFS(tabela_registros[VALOR],tabela_registros[MÊS],$AE$1,tabela_registros[DIA],reservavariáveisconsolidadojul[[#Headers],[24]],tabela_registros[REGISTRO],DADOS!$N$6,tabela_registros[TIPO],DADOS!$AJ$4,tabela_registros[CATEGORIA],reservavariáveisconsolidadojul[[#This Row],[ATUAL]])</f>
        <v>0</v>
      </c>
      <c r="AC187" s="91">
        <f>SUMIFS(tabela_registros[VALOR],tabela_registros[MÊS],$AE$1,tabela_registros[DIA],reservavariáveisconsolidadojul[[#Headers],[25]],tabela_registros[REGISTRO],DADOS!$N$6,tabela_registros[TIPO],DADOS!$AJ$4,tabela_registros[CATEGORIA],reservavariáveisconsolidadojul[[#This Row],[ATUAL]])</f>
        <v>0</v>
      </c>
      <c r="AD187" s="91">
        <f>SUMIFS(tabela_registros[VALOR],tabela_registros[MÊS],$AE$1,tabela_registros[DIA],reservavariáveisconsolidadojul[[#Headers],[26]],tabela_registros[REGISTRO],DADOS!$N$6,tabela_registros[TIPO],DADOS!$AJ$4,tabela_registros[CATEGORIA],reservavariáveisconsolidadojul[[#This Row],[ATUAL]])</f>
        <v>0</v>
      </c>
      <c r="AE187" s="91">
        <f>SUMIFS(tabela_registros[VALOR],tabela_registros[MÊS],$AE$1,tabela_registros[DIA],reservavariáveisconsolidadojul[[#Headers],[27]],tabela_registros[REGISTRO],DADOS!$N$6,tabela_registros[TIPO],DADOS!$AJ$4,tabela_registros[CATEGORIA],reservavariáveisconsolidadojul[[#This Row],[ATUAL]])</f>
        <v>0</v>
      </c>
      <c r="AF187" s="91">
        <f>SUMIFS(tabela_registros[VALOR],tabela_registros[MÊS],$AE$1,tabela_registros[DIA],reservavariáveisconsolidadojul[[#Headers],[28]],tabela_registros[REGISTRO],DADOS!$N$6,tabela_registros[TIPO],DADOS!$AJ$4,tabela_registros[CATEGORIA],reservavariáveisconsolidadojul[[#This Row],[ATUAL]])</f>
        <v>0</v>
      </c>
      <c r="AG187" s="91">
        <f>SUMIFS(tabela_registros[VALOR],tabela_registros[MÊS],$AE$1,tabela_registros[DIA],reservavariáveisconsolidadojul[[#Headers],[29]],tabela_registros[REGISTRO],DADOS!$N$6,tabela_registros[TIPO],DADOS!$AJ$4,tabela_registros[CATEGORIA],reservavariáveisconsolidadojul[[#This Row],[ATUAL]])</f>
        <v>0</v>
      </c>
      <c r="AH187" s="91">
        <f>SUMIFS(tabela_registros[VALOR],tabela_registros[MÊS],$AE$1,tabela_registros[DIA],reservavariáveisconsolidadojul[[#Headers],[30]],tabela_registros[REGISTRO],DADOS!$N$6,tabela_registros[TIPO],DADOS!$AJ$4,tabela_registros[CATEGORIA],reservavariáveisconsolidadojul[[#This Row],[ATUAL]])</f>
        <v>0</v>
      </c>
      <c r="AI187" s="101">
        <f>SUMIFS(tabela_registros[VALOR],tabela_registros[MÊS],$AE$1,tabela_registros[DIA],reservavariáveisconsolidadojul[[#Headers],[31]],tabela_registros[REGISTRO],DADOS!$N$6,tabela_registros[TIPO],DADOS!$AJ$4,tabela_registros[CATEGORIA],reservavariáveisconsolidadojul[[#This Row],[ATUAL]])</f>
        <v>0</v>
      </c>
      <c r="AJ187" s="97">
        <f>SUM(reservavariáveisconsolidadojul[[#This Row],[1]:[31]])</f>
        <v>0</v>
      </c>
      <c r="AK187" s="25"/>
    </row>
    <row r="188" spans="2:37" ht="19.5" customHeight="1" thickTop="1" thickBot="1" x14ac:dyDescent="0.3">
      <c r="B188" s="28"/>
      <c r="C188" s="27" t="str">
        <f>DADOS!$AN$4</f>
        <v>📝 COMÓDITE</v>
      </c>
      <c r="D188" s="26" t="str">
        <f>IF(reservavariáveisconsolidadojul[[#This Row],[TOTAL (R$)]]=0,"",IF(OR(reservavariáveisconsolidadojul[[#This Row],[TOTAL (R$)]]=LARGE($AJ$187:$AJ$196,1),reservavariáveisconsolidadojul[[#This Row],[TOTAL (R$)]]=LARGE($AJ$187:$AJ$196,2)),DADOS!$I$11,""))</f>
        <v/>
      </c>
      <c r="E188" s="96">
        <f>SUMIFS(tabela_registros[VALOR],tabela_registros[MÊS],$AE$1,tabela_registros[DIA],reservavariáveisconsolidadojul[[#Headers],[1]],tabela_registros[REGISTRO],DADOS!$N$6,tabela_registros[TIPO],DADOS!$AJ$4,tabela_registros[CATEGORIA],reservavariáveisconsolidadojul[[#This Row],[ATUAL]])</f>
        <v>0</v>
      </c>
      <c r="F188" s="91">
        <f>SUMIFS(tabela_registros[VALOR],tabela_registros[MÊS],$AE$1,tabela_registros[DIA],reservavariáveisconsolidadojul[[#Headers],[2]],tabela_registros[REGISTRO],DADOS!$N$6,tabela_registros[TIPO],DADOS!$AJ$4,tabela_registros[CATEGORIA],reservavariáveisconsolidadojul[[#This Row],[ATUAL]])</f>
        <v>0</v>
      </c>
      <c r="G188" s="91">
        <f>SUMIFS(tabela_registros[VALOR],tabela_registros[MÊS],$AE$1,tabela_registros[DIA],reservavariáveisconsolidadojul[[#Headers],[3]],tabela_registros[REGISTRO],DADOS!$N$6,tabela_registros[TIPO],DADOS!$AJ$4,tabela_registros[CATEGORIA],reservavariáveisconsolidadojul[[#This Row],[ATUAL]])</f>
        <v>0</v>
      </c>
      <c r="H188" s="91">
        <f>SUMIFS(tabela_registros[VALOR],tabela_registros[MÊS],$AE$1,tabela_registros[DIA],reservavariáveisconsolidadojul[[#Headers],[4]],tabela_registros[REGISTRO],DADOS!$N$6,tabela_registros[TIPO],DADOS!$AJ$4,tabela_registros[CATEGORIA],reservavariáveisconsolidadojul[[#This Row],[ATUAL]])</f>
        <v>0</v>
      </c>
      <c r="I188" s="91">
        <f>SUMIFS(tabela_registros[VALOR],tabela_registros[MÊS],$AE$1,tabela_registros[DIA],reservavariáveisconsolidadojul[[#Headers],[5]],tabela_registros[REGISTRO],DADOS!$N$6,tabela_registros[TIPO],DADOS!$AJ$4,tabela_registros[CATEGORIA],reservavariáveisconsolidadojul[[#This Row],[ATUAL]])</f>
        <v>0</v>
      </c>
      <c r="J188" s="91">
        <f>SUMIFS(tabela_registros[VALOR],tabela_registros[MÊS],$AE$1,tabela_registros[DIA],reservavariáveisconsolidadojul[[#Headers],[6]],tabela_registros[REGISTRO],DADOS!$N$6,tabela_registros[TIPO],DADOS!$AJ$4,tabela_registros[CATEGORIA],reservavariáveisconsolidadojul[[#This Row],[ATUAL]])</f>
        <v>0</v>
      </c>
      <c r="K188" s="91">
        <f>SUMIFS(tabela_registros[VALOR],tabela_registros[MÊS],$AE$1,tabela_registros[DIA],reservavariáveisconsolidadojul[[#Headers],[7]],tabela_registros[REGISTRO],DADOS!$N$6,tabela_registros[TIPO],DADOS!$AJ$4,tabela_registros[CATEGORIA],reservavariáveisconsolidadojul[[#This Row],[ATUAL]])</f>
        <v>0</v>
      </c>
      <c r="L188" s="91">
        <f>SUMIFS(tabela_registros[VALOR],tabela_registros[MÊS],$AE$1,tabela_registros[DIA],reservavariáveisconsolidadojul[[#Headers],[8]],tabela_registros[REGISTRO],DADOS!$N$6,tabela_registros[TIPO],DADOS!$AJ$4,tabela_registros[CATEGORIA],reservavariáveisconsolidadojul[[#This Row],[ATUAL]])</f>
        <v>0</v>
      </c>
      <c r="M188" s="91">
        <f>SUMIFS(tabela_registros[VALOR],tabela_registros[MÊS],$AE$1,tabela_registros[DIA],reservavariáveisconsolidadojul[[#Headers],[9]],tabela_registros[REGISTRO],DADOS!$N$6,tabela_registros[TIPO],DADOS!$AJ$4,tabela_registros[CATEGORIA],reservavariáveisconsolidadojul[[#This Row],[ATUAL]])</f>
        <v>0</v>
      </c>
      <c r="N188" s="91">
        <f>SUMIFS(tabela_registros[VALOR],tabela_registros[MÊS],$AE$1,tabela_registros[DIA],reservavariáveisconsolidadojul[[#Headers],[10]],tabela_registros[REGISTRO],DADOS!$N$6,tabela_registros[TIPO],DADOS!$AJ$4,tabela_registros[CATEGORIA],reservavariáveisconsolidadojul[[#This Row],[ATUAL]])</f>
        <v>0</v>
      </c>
      <c r="O188" s="91">
        <f>SUMIFS(tabela_registros[VALOR],tabela_registros[MÊS],$AE$1,tabela_registros[DIA],reservavariáveisconsolidadojul[[#Headers],[11]],tabela_registros[REGISTRO],DADOS!$N$6,tabela_registros[TIPO],DADOS!$AJ$4,tabela_registros[CATEGORIA],reservavariáveisconsolidadojul[[#This Row],[ATUAL]])</f>
        <v>0</v>
      </c>
      <c r="P188" s="91">
        <f>SUMIFS(tabela_registros[VALOR],tabela_registros[MÊS],$AE$1,tabela_registros[DIA],reservavariáveisconsolidadojul[[#Headers],[12]],tabela_registros[REGISTRO],DADOS!$N$6,tabela_registros[TIPO],DADOS!$AJ$4,tabela_registros[CATEGORIA],reservavariáveisconsolidadojul[[#This Row],[ATUAL]])</f>
        <v>0</v>
      </c>
      <c r="Q188" s="91">
        <f>SUMIFS(tabela_registros[VALOR],tabela_registros[MÊS],$AE$1,tabela_registros[DIA],reservavariáveisconsolidadojul[[#Headers],[13]],tabela_registros[REGISTRO],DADOS!$N$6,tabela_registros[TIPO],DADOS!$AJ$4,tabela_registros[CATEGORIA],reservavariáveisconsolidadojul[[#This Row],[ATUAL]])</f>
        <v>0</v>
      </c>
      <c r="R188" s="91">
        <f>SUMIFS(tabela_registros[VALOR],tabela_registros[MÊS],$AE$1,tabela_registros[DIA],reservavariáveisconsolidadojul[[#Headers],[14]],tabela_registros[REGISTRO],DADOS!$N$6,tabela_registros[TIPO],DADOS!$AJ$4,tabela_registros[CATEGORIA],reservavariáveisconsolidadojul[[#This Row],[ATUAL]])</f>
        <v>0</v>
      </c>
      <c r="S188" s="91">
        <f>SUMIFS(tabela_registros[VALOR],tabela_registros[MÊS],$AE$1,tabela_registros[DIA],reservavariáveisconsolidadojul[[#Headers],[15]],tabela_registros[REGISTRO],DADOS!$N$6,tabela_registros[TIPO],DADOS!$AJ$4,tabela_registros[CATEGORIA],reservavariáveisconsolidadojul[[#This Row],[ATUAL]])</f>
        <v>0</v>
      </c>
      <c r="T188" s="91">
        <f>SUMIFS(tabela_registros[VALOR],tabela_registros[MÊS],$AE$1,tabela_registros[DIA],reservavariáveisconsolidadojul[[#Headers],[16]],tabela_registros[REGISTRO],DADOS!$N$6,tabela_registros[TIPO],DADOS!$AJ$4,tabela_registros[CATEGORIA],reservavariáveisconsolidadojul[[#This Row],[ATUAL]])</f>
        <v>0</v>
      </c>
      <c r="U188" s="91">
        <f>SUMIFS(tabela_registros[VALOR],tabela_registros[MÊS],$AE$1,tabela_registros[DIA],reservavariáveisconsolidadojul[[#Headers],[17]],tabela_registros[REGISTRO],DADOS!$N$6,tabela_registros[TIPO],DADOS!$AJ$4,tabela_registros[CATEGORIA],reservavariáveisconsolidadojul[[#This Row],[ATUAL]])</f>
        <v>0</v>
      </c>
      <c r="V188" s="91">
        <f>SUMIFS(tabela_registros[VALOR],tabela_registros[MÊS],$AE$1,tabela_registros[DIA],reservavariáveisconsolidadojul[[#Headers],[18]],tabela_registros[REGISTRO],DADOS!$N$6,tabela_registros[TIPO],DADOS!$AJ$4,tabela_registros[CATEGORIA],reservavariáveisconsolidadojul[[#This Row],[ATUAL]])</f>
        <v>0</v>
      </c>
      <c r="W188" s="91">
        <f>SUMIFS(tabela_registros[VALOR],tabela_registros[MÊS],$AE$1,tabela_registros[DIA],reservavariáveisconsolidadojul[[#Headers],[19]],tabela_registros[REGISTRO],DADOS!$N$6,tabela_registros[TIPO],DADOS!$AJ$4,tabela_registros[CATEGORIA],reservavariáveisconsolidadojul[[#This Row],[ATUAL]])</f>
        <v>0</v>
      </c>
      <c r="X188" s="91">
        <f>SUMIFS(tabela_registros[VALOR],tabela_registros[MÊS],$AE$1,tabela_registros[DIA],reservavariáveisconsolidadojul[[#Headers],[20]],tabela_registros[REGISTRO],DADOS!$N$6,tabela_registros[TIPO],DADOS!$AJ$4,tabela_registros[CATEGORIA],reservavariáveisconsolidadojul[[#This Row],[ATUAL]])</f>
        <v>0</v>
      </c>
      <c r="Y188" s="91">
        <f>SUMIFS(tabela_registros[VALOR],tabela_registros[MÊS],$AE$1,tabela_registros[DIA],reservavariáveisconsolidadojul[[#Headers],[21]],tabela_registros[REGISTRO],DADOS!$N$6,tabela_registros[TIPO],DADOS!$AJ$4,tabela_registros[CATEGORIA],reservavariáveisconsolidadojul[[#This Row],[ATUAL]])</f>
        <v>0</v>
      </c>
      <c r="Z188" s="91">
        <f>SUMIFS(tabela_registros[VALOR],tabela_registros[MÊS],$AE$1,tabela_registros[DIA],reservavariáveisconsolidadojul[[#Headers],[22]],tabela_registros[REGISTRO],DADOS!$N$6,tabela_registros[TIPO],DADOS!$AJ$4,tabela_registros[CATEGORIA],reservavariáveisconsolidadojul[[#This Row],[ATUAL]])</f>
        <v>0</v>
      </c>
      <c r="AA188" s="91">
        <f>SUMIFS(tabela_registros[VALOR],tabela_registros[MÊS],$AE$1,tabela_registros[DIA],reservavariáveisconsolidadojul[[#Headers],[23]],tabela_registros[REGISTRO],DADOS!$N$6,tabela_registros[TIPO],DADOS!$AJ$4,tabela_registros[CATEGORIA],reservavariáveisconsolidadojul[[#This Row],[ATUAL]])</f>
        <v>0</v>
      </c>
      <c r="AB188" s="91">
        <f>SUMIFS(tabela_registros[VALOR],tabela_registros[MÊS],$AE$1,tabela_registros[DIA],reservavariáveisconsolidadojul[[#Headers],[24]],tabela_registros[REGISTRO],DADOS!$N$6,tabela_registros[TIPO],DADOS!$AJ$4,tabela_registros[CATEGORIA],reservavariáveisconsolidadojul[[#This Row],[ATUAL]])</f>
        <v>0</v>
      </c>
      <c r="AC188" s="91">
        <f>SUMIFS(tabela_registros[VALOR],tabela_registros[MÊS],$AE$1,tabela_registros[DIA],reservavariáveisconsolidadojul[[#Headers],[25]],tabela_registros[REGISTRO],DADOS!$N$6,tabela_registros[TIPO],DADOS!$AJ$4,tabela_registros[CATEGORIA],reservavariáveisconsolidadojul[[#This Row],[ATUAL]])</f>
        <v>0</v>
      </c>
      <c r="AD188" s="91">
        <f>SUMIFS(tabela_registros[VALOR],tabela_registros[MÊS],$AE$1,tabela_registros[DIA],reservavariáveisconsolidadojul[[#Headers],[26]],tabela_registros[REGISTRO],DADOS!$N$6,tabela_registros[TIPO],DADOS!$AJ$4,tabela_registros[CATEGORIA],reservavariáveisconsolidadojul[[#This Row],[ATUAL]])</f>
        <v>0</v>
      </c>
      <c r="AE188" s="91">
        <f>SUMIFS(tabela_registros[VALOR],tabela_registros[MÊS],$AE$1,tabela_registros[DIA],reservavariáveisconsolidadojul[[#Headers],[27]],tabela_registros[REGISTRO],DADOS!$N$6,tabela_registros[TIPO],DADOS!$AJ$4,tabela_registros[CATEGORIA],reservavariáveisconsolidadojul[[#This Row],[ATUAL]])</f>
        <v>0</v>
      </c>
      <c r="AF188" s="91">
        <f>SUMIFS(tabela_registros[VALOR],tabela_registros[MÊS],$AE$1,tabela_registros[DIA],reservavariáveisconsolidadojul[[#Headers],[28]],tabela_registros[REGISTRO],DADOS!$N$6,tabela_registros[TIPO],DADOS!$AJ$4,tabela_registros[CATEGORIA],reservavariáveisconsolidadojul[[#This Row],[ATUAL]])</f>
        <v>0</v>
      </c>
      <c r="AG188" s="91">
        <f>SUMIFS(tabela_registros[VALOR],tabela_registros[MÊS],$AE$1,tabela_registros[DIA],reservavariáveisconsolidadojul[[#Headers],[29]],tabela_registros[REGISTRO],DADOS!$N$6,tabela_registros[TIPO],DADOS!$AJ$4,tabela_registros[CATEGORIA],reservavariáveisconsolidadojul[[#This Row],[ATUAL]])</f>
        <v>0</v>
      </c>
      <c r="AH188" s="91">
        <f>SUMIFS(tabela_registros[VALOR],tabela_registros[MÊS],$AE$1,tabela_registros[DIA],reservavariáveisconsolidadojul[[#Headers],[30]],tabela_registros[REGISTRO],DADOS!$N$6,tabela_registros[TIPO],DADOS!$AJ$4,tabela_registros[CATEGORIA],reservavariáveisconsolidadojul[[#This Row],[ATUAL]])</f>
        <v>0</v>
      </c>
      <c r="AI188" s="101">
        <f>SUMIFS(tabela_registros[VALOR],tabela_registros[MÊS],$AE$1,tabela_registros[DIA],reservavariáveisconsolidadojul[[#Headers],[31]],tabela_registros[REGISTRO],DADOS!$N$6,tabela_registros[TIPO],DADOS!$AJ$4,tabela_registros[CATEGORIA],reservavariáveisconsolidadojul[[#This Row],[ATUAL]])</f>
        <v>0</v>
      </c>
      <c r="AJ188" s="97">
        <f>SUM(reservavariáveisconsolidadojul[[#This Row],[1]:[31]])</f>
        <v>0</v>
      </c>
      <c r="AK188" s="25"/>
    </row>
    <row r="189" spans="2:37" ht="19.5" customHeight="1" thickTop="1" thickBot="1" x14ac:dyDescent="0.3">
      <c r="B189" s="28"/>
      <c r="C189" s="27" t="str">
        <f>DADOS!$AN$5</f>
        <v>📝 CONTRATO DE FUTUROS</v>
      </c>
      <c r="D189" s="26" t="str">
        <f>IF(reservavariáveisconsolidadojul[[#This Row],[TOTAL (R$)]]=0,"",IF(OR(reservavariáveisconsolidadojul[[#This Row],[TOTAL (R$)]]=LARGE($AJ$187:$AJ$196,1),reservavariáveisconsolidadojul[[#This Row],[TOTAL (R$)]]=LARGE($AJ$187:$AJ$196,2)),DADOS!$I$11,""))</f>
        <v/>
      </c>
      <c r="E189" s="96">
        <f>SUMIFS(tabela_registros[VALOR],tabela_registros[MÊS],$AE$1,tabela_registros[DIA],reservavariáveisconsolidadojul[[#Headers],[1]],tabela_registros[REGISTRO],DADOS!$N$6,tabela_registros[TIPO],DADOS!$AJ$4,tabela_registros[CATEGORIA],reservavariáveisconsolidadojul[[#This Row],[ATUAL]])</f>
        <v>0</v>
      </c>
      <c r="F189" s="91">
        <f>SUMIFS(tabela_registros[VALOR],tabela_registros[MÊS],$AE$1,tabela_registros[DIA],reservavariáveisconsolidadojul[[#Headers],[2]],tabela_registros[REGISTRO],DADOS!$N$6,tabela_registros[TIPO],DADOS!$AJ$4,tabela_registros[CATEGORIA],reservavariáveisconsolidadojul[[#This Row],[ATUAL]])</f>
        <v>0</v>
      </c>
      <c r="G189" s="91">
        <f>SUMIFS(tabela_registros[VALOR],tabela_registros[MÊS],$AE$1,tabela_registros[DIA],reservavariáveisconsolidadojul[[#Headers],[3]],tabela_registros[REGISTRO],DADOS!$N$6,tabela_registros[TIPO],DADOS!$AJ$4,tabela_registros[CATEGORIA],reservavariáveisconsolidadojul[[#This Row],[ATUAL]])</f>
        <v>0</v>
      </c>
      <c r="H189" s="91">
        <f>SUMIFS(tabela_registros[VALOR],tabela_registros[MÊS],$AE$1,tabela_registros[DIA],reservavariáveisconsolidadojul[[#Headers],[4]],tabela_registros[REGISTRO],DADOS!$N$6,tabela_registros[TIPO],DADOS!$AJ$4,tabela_registros[CATEGORIA],reservavariáveisconsolidadojul[[#This Row],[ATUAL]])</f>
        <v>0</v>
      </c>
      <c r="I189" s="91">
        <f>SUMIFS(tabela_registros[VALOR],tabela_registros[MÊS],$AE$1,tabela_registros[DIA],reservavariáveisconsolidadojul[[#Headers],[5]],tabela_registros[REGISTRO],DADOS!$N$6,tabela_registros[TIPO],DADOS!$AJ$4,tabela_registros[CATEGORIA],reservavariáveisconsolidadojul[[#This Row],[ATUAL]])</f>
        <v>0</v>
      </c>
      <c r="J189" s="91">
        <f>SUMIFS(tabela_registros[VALOR],tabela_registros[MÊS],$AE$1,tabela_registros[DIA],reservavariáveisconsolidadojul[[#Headers],[6]],tabela_registros[REGISTRO],DADOS!$N$6,tabela_registros[TIPO],DADOS!$AJ$4,tabela_registros[CATEGORIA],reservavariáveisconsolidadojul[[#This Row],[ATUAL]])</f>
        <v>0</v>
      </c>
      <c r="K189" s="91">
        <f>SUMIFS(tabela_registros[VALOR],tabela_registros[MÊS],$AE$1,tabela_registros[DIA],reservavariáveisconsolidadojul[[#Headers],[7]],tabela_registros[REGISTRO],DADOS!$N$6,tabela_registros[TIPO],DADOS!$AJ$4,tabela_registros[CATEGORIA],reservavariáveisconsolidadojul[[#This Row],[ATUAL]])</f>
        <v>0</v>
      </c>
      <c r="L189" s="91">
        <f>SUMIFS(tabela_registros[VALOR],tabela_registros[MÊS],$AE$1,tabela_registros[DIA],reservavariáveisconsolidadojul[[#Headers],[8]],tabela_registros[REGISTRO],DADOS!$N$6,tabela_registros[TIPO],DADOS!$AJ$4,tabela_registros[CATEGORIA],reservavariáveisconsolidadojul[[#This Row],[ATUAL]])</f>
        <v>0</v>
      </c>
      <c r="M189" s="91">
        <f>SUMIFS(tabela_registros[VALOR],tabela_registros[MÊS],$AE$1,tabela_registros[DIA],reservavariáveisconsolidadojul[[#Headers],[9]],tabela_registros[REGISTRO],DADOS!$N$6,tabela_registros[TIPO],DADOS!$AJ$4,tabela_registros[CATEGORIA],reservavariáveisconsolidadojul[[#This Row],[ATUAL]])</f>
        <v>0</v>
      </c>
      <c r="N189" s="91">
        <f>SUMIFS(tabela_registros[VALOR],tabela_registros[MÊS],$AE$1,tabela_registros[DIA],reservavariáveisconsolidadojul[[#Headers],[10]],tabela_registros[REGISTRO],DADOS!$N$6,tabela_registros[TIPO],DADOS!$AJ$4,tabela_registros[CATEGORIA],reservavariáveisconsolidadojul[[#This Row],[ATUAL]])</f>
        <v>0</v>
      </c>
      <c r="O189" s="91">
        <f>SUMIFS(tabela_registros[VALOR],tabela_registros[MÊS],$AE$1,tabela_registros[DIA],reservavariáveisconsolidadojul[[#Headers],[11]],tabela_registros[REGISTRO],DADOS!$N$6,tabela_registros[TIPO],DADOS!$AJ$4,tabela_registros[CATEGORIA],reservavariáveisconsolidadojul[[#This Row],[ATUAL]])</f>
        <v>0</v>
      </c>
      <c r="P189" s="91">
        <f>SUMIFS(tabela_registros[VALOR],tabela_registros[MÊS],$AE$1,tabela_registros[DIA],reservavariáveisconsolidadojul[[#Headers],[12]],tabela_registros[REGISTRO],DADOS!$N$6,tabela_registros[TIPO],DADOS!$AJ$4,tabela_registros[CATEGORIA],reservavariáveisconsolidadojul[[#This Row],[ATUAL]])</f>
        <v>0</v>
      </c>
      <c r="Q189" s="91">
        <f>SUMIFS(tabela_registros[VALOR],tabela_registros[MÊS],$AE$1,tabela_registros[DIA],reservavariáveisconsolidadojul[[#Headers],[13]],tabela_registros[REGISTRO],DADOS!$N$6,tabela_registros[TIPO],DADOS!$AJ$4,tabela_registros[CATEGORIA],reservavariáveisconsolidadojul[[#This Row],[ATUAL]])</f>
        <v>0</v>
      </c>
      <c r="R189" s="91">
        <f>SUMIFS(tabela_registros[VALOR],tabela_registros[MÊS],$AE$1,tabela_registros[DIA],reservavariáveisconsolidadojul[[#Headers],[14]],tabela_registros[REGISTRO],DADOS!$N$6,tabela_registros[TIPO],DADOS!$AJ$4,tabela_registros[CATEGORIA],reservavariáveisconsolidadojul[[#This Row],[ATUAL]])</f>
        <v>0</v>
      </c>
      <c r="S189" s="91">
        <f>SUMIFS(tabela_registros[VALOR],tabela_registros[MÊS],$AE$1,tabela_registros[DIA],reservavariáveisconsolidadojul[[#Headers],[15]],tabela_registros[REGISTRO],DADOS!$N$6,tabela_registros[TIPO],DADOS!$AJ$4,tabela_registros[CATEGORIA],reservavariáveisconsolidadojul[[#This Row],[ATUAL]])</f>
        <v>0</v>
      </c>
      <c r="T189" s="91">
        <f>SUMIFS(tabela_registros[VALOR],tabela_registros[MÊS],$AE$1,tabela_registros[DIA],reservavariáveisconsolidadojul[[#Headers],[16]],tabela_registros[REGISTRO],DADOS!$N$6,tabela_registros[TIPO],DADOS!$AJ$4,tabela_registros[CATEGORIA],reservavariáveisconsolidadojul[[#This Row],[ATUAL]])</f>
        <v>0</v>
      </c>
      <c r="U189" s="91">
        <f>SUMIFS(tabela_registros[VALOR],tabela_registros[MÊS],$AE$1,tabela_registros[DIA],reservavariáveisconsolidadojul[[#Headers],[17]],tabela_registros[REGISTRO],DADOS!$N$6,tabela_registros[TIPO],DADOS!$AJ$4,tabela_registros[CATEGORIA],reservavariáveisconsolidadojul[[#This Row],[ATUAL]])</f>
        <v>0</v>
      </c>
      <c r="V189" s="91">
        <f>SUMIFS(tabela_registros[VALOR],tabela_registros[MÊS],$AE$1,tabela_registros[DIA],reservavariáveisconsolidadojul[[#Headers],[18]],tabela_registros[REGISTRO],DADOS!$N$6,tabela_registros[TIPO],DADOS!$AJ$4,tabela_registros[CATEGORIA],reservavariáveisconsolidadojul[[#This Row],[ATUAL]])</f>
        <v>0</v>
      </c>
      <c r="W189" s="91">
        <f>SUMIFS(tabela_registros[VALOR],tabela_registros[MÊS],$AE$1,tabela_registros[DIA],reservavariáveisconsolidadojul[[#Headers],[19]],tabela_registros[REGISTRO],DADOS!$N$6,tabela_registros[TIPO],DADOS!$AJ$4,tabela_registros[CATEGORIA],reservavariáveisconsolidadojul[[#This Row],[ATUAL]])</f>
        <v>0</v>
      </c>
      <c r="X189" s="91">
        <f>SUMIFS(tabela_registros[VALOR],tabela_registros[MÊS],$AE$1,tabela_registros[DIA],reservavariáveisconsolidadojul[[#Headers],[20]],tabela_registros[REGISTRO],DADOS!$N$6,tabela_registros[TIPO],DADOS!$AJ$4,tabela_registros[CATEGORIA],reservavariáveisconsolidadojul[[#This Row],[ATUAL]])</f>
        <v>0</v>
      </c>
      <c r="Y189" s="91">
        <f>SUMIFS(tabela_registros[VALOR],tabela_registros[MÊS],$AE$1,tabela_registros[DIA],reservavariáveisconsolidadojul[[#Headers],[21]],tabela_registros[REGISTRO],DADOS!$N$6,tabela_registros[TIPO],DADOS!$AJ$4,tabela_registros[CATEGORIA],reservavariáveisconsolidadojul[[#This Row],[ATUAL]])</f>
        <v>0</v>
      </c>
      <c r="Z189" s="91">
        <f>SUMIFS(tabela_registros[VALOR],tabela_registros[MÊS],$AE$1,tabela_registros[DIA],reservavariáveisconsolidadojul[[#Headers],[22]],tabela_registros[REGISTRO],DADOS!$N$6,tabela_registros[TIPO],DADOS!$AJ$4,tabela_registros[CATEGORIA],reservavariáveisconsolidadojul[[#This Row],[ATUAL]])</f>
        <v>0</v>
      </c>
      <c r="AA189" s="91">
        <f>SUMIFS(tabela_registros[VALOR],tabela_registros[MÊS],$AE$1,tabela_registros[DIA],reservavariáveisconsolidadojul[[#Headers],[23]],tabela_registros[REGISTRO],DADOS!$N$6,tabela_registros[TIPO],DADOS!$AJ$4,tabela_registros[CATEGORIA],reservavariáveisconsolidadojul[[#This Row],[ATUAL]])</f>
        <v>0</v>
      </c>
      <c r="AB189" s="91">
        <f>SUMIFS(tabela_registros[VALOR],tabela_registros[MÊS],$AE$1,tabela_registros[DIA],reservavariáveisconsolidadojul[[#Headers],[24]],tabela_registros[REGISTRO],DADOS!$N$6,tabela_registros[TIPO],DADOS!$AJ$4,tabela_registros[CATEGORIA],reservavariáveisconsolidadojul[[#This Row],[ATUAL]])</f>
        <v>0</v>
      </c>
      <c r="AC189" s="91">
        <f>SUMIFS(tabela_registros[VALOR],tabela_registros[MÊS],$AE$1,tabela_registros[DIA],reservavariáveisconsolidadojul[[#Headers],[25]],tabela_registros[REGISTRO],DADOS!$N$6,tabela_registros[TIPO],DADOS!$AJ$4,tabela_registros[CATEGORIA],reservavariáveisconsolidadojul[[#This Row],[ATUAL]])</f>
        <v>0</v>
      </c>
      <c r="AD189" s="91">
        <f>SUMIFS(tabela_registros[VALOR],tabela_registros[MÊS],$AE$1,tabela_registros[DIA],reservavariáveisconsolidadojul[[#Headers],[26]],tabela_registros[REGISTRO],DADOS!$N$6,tabela_registros[TIPO],DADOS!$AJ$4,tabela_registros[CATEGORIA],reservavariáveisconsolidadojul[[#This Row],[ATUAL]])</f>
        <v>0</v>
      </c>
      <c r="AE189" s="91">
        <f>SUMIFS(tabela_registros[VALOR],tabela_registros[MÊS],$AE$1,tabela_registros[DIA],reservavariáveisconsolidadojul[[#Headers],[27]],tabela_registros[REGISTRO],DADOS!$N$6,tabela_registros[TIPO],DADOS!$AJ$4,tabela_registros[CATEGORIA],reservavariáveisconsolidadojul[[#This Row],[ATUAL]])</f>
        <v>0</v>
      </c>
      <c r="AF189" s="91">
        <f>SUMIFS(tabela_registros[VALOR],tabela_registros[MÊS],$AE$1,tabela_registros[DIA],reservavariáveisconsolidadojul[[#Headers],[28]],tabela_registros[REGISTRO],DADOS!$N$6,tabela_registros[TIPO],DADOS!$AJ$4,tabela_registros[CATEGORIA],reservavariáveisconsolidadojul[[#This Row],[ATUAL]])</f>
        <v>0</v>
      </c>
      <c r="AG189" s="91">
        <f>SUMIFS(tabela_registros[VALOR],tabela_registros[MÊS],$AE$1,tabela_registros[DIA],reservavariáveisconsolidadojul[[#Headers],[29]],tabela_registros[REGISTRO],DADOS!$N$6,tabela_registros[TIPO],DADOS!$AJ$4,tabela_registros[CATEGORIA],reservavariáveisconsolidadojul[[#This Row],[ATUAL]])</f>
        <v>0</v>
      </c>
      <c r="AH189" s="91">
        <f>SUMIFS(tabela_registros[VALOR],tabela_registros[MÊS],$AE$1,tabela_registros[DIA],reservavariáveisconsolidadojul[[#Headers],[30]],tabela_registros[REGISTRO],DADOS!$N$6,tabela_registros[TIPO],DADOS!$AJ$4,tabela_registros[CATEGORIA],reservavariáveisconsolidadojul[[#This Row],[ATUAL]])</f>
        <v>0</v>
      </c>
      <c r="AI189" s="101">
        <f>SUMIFS(tabela_registros[VALOR],tabela_registros[MÊS],$AE$1,tabela_registros[DIA],reservavariáveisconsolidadojul[[#Headers],[31]],tabela_registros[REGISTRO],DADOS!$N$6,tabela_registros[TIPO],DADOS!$AJ$4,tabela_registros[CATEGORIA],reservavariáveisconsolidadojul[[#This Row],[ATUAL]])</f>
        <v>0</v>
      </c>
      <c r="AJ189" s="97">
        <f>SUM(reservavariáveisconsolidadojul[[#This Row],[1]:[31]])</f>
        <v>0</v>
      </c>
      <c r="AK189" s="25"/>
    </row>
    <row r="190" spans="2:37" ht="19.5" customHeight="1" thickTop="1" thickBot="1" x14ac:dyDescent="0.3">
      <c r="B190" s="28"/>
      <c r="C190" s="27" t="str">
        <f>DADOS!$AN$6</f>
        <v>📝 CONTRATO DE OPÇÕES</v>
      </c>
      <c r="D190" s="26" t="str">
        <f>IF(reservavariáveisconsolidadojul[[#This Row],[TOTAL (R$)]]=0,"",IF(OR(reservavariáveisconsolidadojul[[#This Row],[TOTAL (R$)]]=LARGE($AJ$187:$AJ$196,1),reservavariáveisconsolidadojul[[#This Row],[TOTAL (R$)]]=LARGE($AJ$187:$AJ$196,2)),DADOS!$I$11,""))</f>
        <v/>
      </c>
      <c r="E190" s="96">
        <f>SUMIFS(tabela_registros[VALOR],tabela_registros[MÊS],$AE$1,tabela_registros[DIA],reservavariáveisconsolidadojul[[#Headers],[1]],tabela_registros[REGISTRO],DADOS!$N$6,tabela_registros[TIPO],DADOS!$AJ$4,tabela_registros[CATEGORIA],reservavariáveisconsolidadojul[[#This Row],[ATUAL]])</f>
        <v>0</v>
      </c>
      <c r="F190" s="91">
        <f>SUMIFS(tabela_registros[VALOR],tabela_registros[MÊS],$AE$1,tabela_registros[DIA],reservavariáveisconsolidadojul[[#Headers],[2]],tabela_registros[REGISTRO],DADOS!$N$6,tabela_registros[TIPO],DADOS!$AJ$4,tabela_registros[CATEGORIA],reservavariáveisconsolidadojul[[#This Row],[ATUAL]])</f>
        <v>0</v>
      </c>
      <c r="G190" s="91">
        <f>SUMIFS(tabela_registros[VALOR],tabela_registros[MÊS],$AE$1,tabela_registros[DIA],reservavariáveisconsolidadojul[[#Headers],[3]],tabela_registros[REGISTRO],DADOS!$N$6,tabela_registros[TIPO],DADOS!$AJ$4,tabela_registros[CATEGORIA],reservavariáveisconsolidadojul[[#This Row],[ATUAL]])</f>
        <v>0</v>
      </c>
      <c r="H190" s="91">
        <f>SUMIFS(tabela_registros[VALOR],tabela_registros[MÊS],$AE$1,tabela_registros[DIA],reservavariáveisconsolidadojul[[#Headers],[4]],tabela_registros[REGISTRO],DADOS!$N$6,tabela_registros[TIPO],DADOS!$AJ$4,tabela_registros[CATEGORIA],reservavariáveisconsolidadojul[[#This Row],[ATUAL]])</f>
        <v>0</v>
      </c>
      <c r="I190" s="91">
        <f>SUMIFS(tabela_registros[VALOR],tabela_registros[MÊS],$AE$1,tabela_registros[DIA],reservavariáveisconsolidadojul[[#Headers],[5]],tabela_registros[REGISTRO],DADOS!$N$6,tabela_registros[TIPO],DADOS!$AJ$4,tabela_registros[CATEGORIA],reservavariáveisconsolidadojul[[#This Row],[ATUAL]])</f>
        <v>0</v>
      </c>
      <c r="J190" s="91">
        <f>SUMIFS(tabela_registros[VALOR],tabela_registros[MÊS],$AE$1,tabela_registros[DIA],reservavariáveisconsolidadojul[[#Headers],[6]],tabela_registros[REGISTRO],DADOS!$N$6,tabela_registros[TIPO],DADOS!$AJ$4,tabela_registros[CATEGORIA],reservavariáveisconsolidadojul[[#This Row],[ATUAL]])</f>
        <v>0</v>
      </c>
      <c r="K190" s="91">
        <f>SUMIFS(tabela_registros[VALOR],tabela_registros[MÊS],$AE$1,tabela_registros[DIA],reservavariáveisconsolidadojul[[#Headers],[7]],tabela_registros[REGISTRO],DADOS!$N$6,tabela_registros[TIPO],DADOS!$AJ$4,tabela_registros[CATEGORIA],reservavariáveisconsolidadojul[[#This Row],[ATUAL]])</f>
        <v>0</v>
      </c>
      <c r="L190" s="91">
        <f>SUMIFS(tabela_registros[VALOR],tabela_registros[MÊS],$AE$1,tabela_registros[DIA],reservavariáveisconsolidadojul[[#Headers],[8]],tabela_registros[REGISTRO],DADOS!$N$6,tabela_registros[TIPO],DADOS!$AJ$4,tabela_registros[CATEGORIA],reservavariáveisconsolidadojul[[#This Row],[ATUAL]])</f>
        <v>0</v>
      </c>
      <c r="M190" s="91">
        <f>SUMIFS(tabela_registros[VALOR],tabela_registros[MÊS],$AE$1,tabela_registros[DIA],reservavariáveisconsolidadojul[[#Headers],[9]],tabela_registros[REGISTRO],DADOS!$N$6,tabela_registros[TIPO],DADOS!$AJ$4,tabela_registros[CATEGORIA],reservavariáveisconsolidadojul[[#This Row],[ATUAL]])</f>
        <v>0</v>
      </c>
      <c r="N190" s="91">
        <f>SUMIFS(tabela_registros[VALOR],tabela_registros[MÊS],$AE$1,tabela_registros[DIA],reservavariáveisconsolidadojul[[#Headers],[10]],tabela_registros[REGISTRO],DADOS!$N$6,tabela_registros[TIPO],DADOS!$AJ$4,tabela_registros[CATEGORIA],reservavariáveisconsolidadojul[[#This Row],[ATUAL]])</f>
        <v>0</v>
      </c>
      <c r="O190" s="91">
        <f>SUMIFS(tabela_registros[VALOR],tabela_registros[MÊS],$AE$1,tabela_registros[DIA],reservavariáveisconsolidadojul[[#Headers],[11]],tabela_registros[REGISTRO],DADOS!$N$6,tabela_registros[TIPO],DADOS!$AJ$4,tabela_registros[CATEGORIA],reservavariáveisconsolidadojul[[#This Row],[ATUAL]])</f>
        <v>0</v>
      </c>
      <c r="P190" s="91">
        <f>SUMIFS(tabela_registros[VALOR],tabela_registros[MÊS],$AE$1,tabela_registros[DIA],reservavariáveisconsolidadojul[[#Headers],[12]],tabela_registros[REGISTRO],DADOS!$N$6,tabela_registros[TIPO],DADOS!$AJ$4,tabela_registros[CATEGORIA],reservavariáveisconsolidadojul[[#This Row],[ATUAL]])</f>
        <v>0</v>
      </c>
      <c r="Q190" s="91">
        <f>SUMIFS(tabela_registros[VALOR],tabela_registros[MÊS],$AE$1,tabela_registros[DIA],reservavariáveisconsolidadojul[[#Headers],[13]],tabela_registros[REGISTRO],DADOS!$N$6,tabela_registros[TIPO],DADOS!$AJ$4,tabela_registros[CATEGORIA],reservavariáveisconsolidadojul[[#This Row],[ATUAL]])</f>
        <v>0</v>
      </c>
      <c r="R190" s="91">
        <f>SUMIFS(tabela_registros[VALOR],tabela_registros[MÊS],$AE$1,tabela_registros[DIA],reservavariáveisconsolidadojul[[#Headers],[14]],tabela_registros[REGISTRO],DADOS!$N$6,tabela_registros[TIPO],DADOS!$AJ$4,tabela_registros[CATEGORIA],reservavariáveisconsolidadojul[[#This Row],[ATUAL]])</f>
        <v>0</v>
      </c>
      <c r="S190" s="91">
        <f>SUMIFS(tabela_registros[VALOR],tabela_registros[MÊS],$AE$1,tabela_registros[DIA],reservavariáveisconsolidadojul[[#Headers],[15]],tabela_registros[REGISTRO],DADOS!$N$6,tabela_registros[TIPO],DADOS!$AJ$4,tabela_registros[CATEGORIA],reservavariáveisconsolidadojul[[#This Row],[ATUAL]])</f>
        <v>0</v>
      </c>
      <c r="T190" s="91">
        <f>SUMIFS(tabela_registros[VALOR],tabela_registros[MÊS],$AE$1,tabela_registros[DIA],reservavariáveisconsolidadojul[[#Headers],[16]],tabela_registros[REGISTRO],DADOS!$N$6,tabela_registros[TIPO],DADOS!$AJ$4,tabela_registros[CATEGORIA],reservavariáveisconsolidadojul[[#This Row],[ATUAL]])</f>
        <v>0</v>
      </c>
      <c r="U190" s="91">
        <f>SUMIFS(tabela_registros[VALOR],tabela_registros[MÊS],$AE$1,tabela_registros[DIA],reservavariáveisconsolidadojul[[#Headers],[17]],tabela_registros[REGISTRO],DADOS!$N$6,tabela_registros[TIPO],DADOS!$AJ$4,tabela_registros[CATEGORIA],reservavariáveisconsolidadojul[[#This Row],[ATUAL]])</f>
        <v>0</v>
      </c>
      <c r="V190" s="91">
        <f>SUMIFS(tabela_registros[VALOR],tabela_registros[MÊS],$AE$1,tabela_registros[DIA],reservavariáveisconsolidadojul[[#Headers],[18]],tabela_registros[REGISTRO],DADOS!$N$6,tabela_registros[TIPO],DADOS!$AJ$4,tabela_registros[CATEGORIA],reservavariáveisconsolidadojul[[#This Row],[ATUAL]])</f>
        <v>0</v>
      </c>
      <c r="W190" s="91">
        <f>SUMIFS(tabela_registros[VALOR],tabela_registros[MÊS],$AE$1,tabela_registros[DIA],reservavariáveisconsolidadojul[[#Headers],[19]],tabela_registros[REGISTRO],DADOS!$N$6,tabela_registros[TIPO],DADOS!$AJ$4,tabela_registros[CATEGORIA],reservavariáveisconsolidadojul[[#This Row],[ATUAL]])</f>
        <v>0</v>
      </c>
      <c r="X190" s="91">
        <f>SUMIFS(tabela_registros[VALOR],tabela_registros[MÊS],$AE$1,tabela_registros[DIA],reservavariáveisconsolidadojul[[#Headers],[20]],tabela_registros[REGISTRO],DADOS!$N$6,tabela_registros[TIPO],DADOS!$AJ$4,tabela_registros[CATEGORIA],reservavariáveisconsolidadojul[[#This Row],[ATUAL]])</f>
        <v>0</v>
      </c>
      <c r="Y190" s="91">
        <f>SUMIFS(tabela_registros[VALOR],tabela_registros[MÊS],$AE$1,tabela_registros[DIA],reservavariáveisconsolidadojul[[#Headers],[21]],tabela_registros[REGISTRO],DADOS!$N$6,tabela_registros[TIPO],DADOS!$AJ$4,tabela_registros[CATEGORIA],reservavariáveisconsolidadojul[[#This Row],[ATUAL]])</f>
        <v>0</v>
      </c>
      <c r="Z190" s="91">
        <f>SUMIFS(tabela_registros[VALOR],tabela_registros[MÊS],$AE$1,tabela_registros[DIA],reservavariáveisconsolidadojul[[#Headers],[22]],tabela_registros[REGISTRO],DADOS!$N$6,tabela_registros[TIPO],DADOS!$AJ$4,tabela_registros[CATEGORIA],reservavariáveisconsolidadojul[[#This Row],[ATUAL]])</f>
        <v>0</v>
      </c>
      <c r="AA190" s="91">
        <f>SUMIFS(tabela_registros[VALOR],tabela_registros[MÊS],$AE$1,tabela_registros[DIA],reservavariáveisconsolidadojul[[#Headers],[23]],tabela_registros[REGISTRO],DADOS!$N$6,tabela_registros[TIPO],DADOS!$AJ$4,tabela_registros[CATEGORIA],reservavariáveisconsolidadojul[[#This Row],[ATUAL]])</f>
        <v>0</v>
      </c>
      <c r="AB190" s="91">
        <f>SUMIFS(tabela_registros[VALOR],tabela_registros[MÊS],$AE$1,tabela_registros[DIA],reservavariáveisconsolidadojul[[#Headers],[24]],tabela_registros[REGISTRO],DADOS!$N$6,tabela_registros[TIPO],DADOS!$AJ$4,tabela_registros[CATEGORIA],reservavariáveisconsolidadojul[[#This Row],[ATUAL]])</f>
        <v>0</v>
      </c>
      <c r="AC190" s="91">
        <f>SUMIFS(tabela_registros[VALOR],tabela_registros[MÊS],$AE$1,tabela_registros[DIA],reservavariáveisconsolidadojul[[#Headers],[25]],tabela_registros[REGISTRO],DADOS!$N$6,tabela_registros[TIPO],DADOS!$AJ$4,tabela_registros[CATEGORIA],reservavariáveisconsolidadojul[[#This Row],[ATUAL]])</f>
        <v>0</v>
      </c>
      <c r="AD190" s="91">
        <f>SUMIFS(tabela_registros[VALOR],tabela_registros[MÊS],$AE$1,tabela_registros[DIA],reservavariáveisconsolidadojul[[#Headers],[26]],tabela_registros[REGISTRO],DADOS!$N$6,tabela_registros[TIPO],DADOS!$AJ$4,tabela_registros[CATEGORIA],reservavariáveisconsolidadojul[[#This Row],[ATUAL]])</f>
        <v>0</v>
      </c>
      <c r="AE190" s="91">
        <f>SUMIFS(tabela_registros[VALOR],tabela_registros[MÊS],$AE$1,tabela_registros[DIA],reservavariáveisconsolidadojul[[#Headers],[27]],tabela_registros[REGISTRO],DADOS!$N$6,tabela_registros[TIPO],DADOS!$AJ$4,tabela_registros[CATEGORIA],reservavariáveisconsolidadojul[[#This Row],[ATUAL]])</f>
        <v>0</v>
      </c>
      <c r="AF190" s="91">
        <f>SUMIFS(tabela_registros[VALOR],tabela_registros[MÊS],$AE$1,tabela_registros[DIA],reservavariáveisconsolidadojul[[#Headers],[28]],tabela_registros[REGISTRO],DADOS!$N$6,tabela_registros[TIPO],DADOS!$AJ$4,tabela_registros[CATEGORIA],reservavariáveisconsolidadojul[[#This Row],[ATUAL]])</f>
        <v>0</v>
      </c>
      <c r="AG190" s="91">
        <f>SUMIFS(tabela_registros[VALOR],tabela_registros[MÊS],$AE$1,tabela_registros[DIA],reservavariáveisconsolidadojul[[#Headers],[29]],tabela_registros[REGISTRO],DADOS!$N$6,tabela_registros[TIPO],DADOS!$AJ$4,tabela_registros[CATEGORIA],reservavariáveisconsolidadojul[[#This Row],[ATUAL]])</f>
        <v>0</v>
      </c>
      <c r="AH190" s="91">
        <f>SUMIFS(tabela_registros[VALOR],tabela_registros[MÊS],$AE$1,tabela_registros[DIA],reservavariáveisconsolidadojul[[#Headers],[30]],tabela_registros[REGISTRO],DADOS!$N$6,tabela_registros[TIPO],DADOS!$AJ$4,tabela_registros[CATEGORIA],reservavariáveisconsolidadojul[[#This Row],[ATUAL]])</f>
        <v>0</v>
      </c>
      <c r="AI190" s="101">
        <f>SUMIFS(tabela_registros[VALOR],tabela_registros[MÊS],$AE$1,tabela_registros[DIA],reservavariáveisconsolidadojul[[#Headers],[31]],tabela_registros[REGISTRO],DADOS!$N$6,tabela_registros[TIPO],DADOS!$AJ$4,tabela_registros[CATEGORIA],reservavariáveisconsolidadojul[[#This Row],[ATUAL]])</f>
        <v>0</v>
      </c>
      <c r="AJ190" s="97">
        <f>SUM(reservavariáveisconsolidadojul[[#This Row],[1]:[31]])</f>
        <v>0</v>
      </c>
      <c r="AK190" s="25"/>
    </row>
    <row r="191" spans="2:37" ht="19.5" customHeight="1" thickTop="1" thickBot="1" x14ac:dyDescent="0.3">
      <c r="B191" s="28"/>
      <c r="C191" s="27" t="str">
        <f>DADOS!$AN$7</f>
        <v>📝 CRIPTOMOEDA</v>
      </c>
      <c r="D191" s="26" t="str">
        <f>IF(reservavariáveisconsolidadojul[[#This Row],[TOTAL (R$)]]=0,"",IF(OR(reservavariáveisconsolidadojul[[#This Row],[TOTAL (R$)]]=LARGE($AJ$187:$AJ$196,1),reservavariáveisconsolidadojul[[#This Row],[TOTAL (R$)]]=LARGE($AJ$187:$AJ$196,2)),DADOS!$I$11,""))</f>
        <v/>
      </c>
      <c r="E191" s="96">
        <f>SUMIFS(tabela_registros[VALOR],tabela_registros[MÊS],$AE$1,tabela_registros[DIA],reservavariáveisconsolidadojul[[#Headers],[1]],tabela_registros[REGISTRO],DADOS!$N$6,tabela_registros[TIPO],DADOS!$AJ$4,tabela_registros[CATEGORIA],reservavariáveisconsolidadojul[[#This Row],[ATUAL]])</f>
        <v>0</v>
      </c>
      <c r="F191" s="91">
        <f>SUMIFS(tabela_registros[VALOR],tabela_registros[MÊS],$AE$1,tabela_registros[DIA],reservavariáveisconsolidadojul[[#Headers],[2]],tabela_registros[REGISTRO],DADOS!$N$6,tabela_registros[TIPO],DADOS!$AJ$4,tabela_registros[CATEGORIA],reservavariáveisconsolidadojul[[#This Row],[ATUAL]])</f>
        <v>0</v>
      </c>
      <c r="G191" s="91">
        <f>SUMIFS(tabela_registros[VALOR],tabela_registros[MÊS],$AE$1,tabela_registros[DIA],reservavariáveisconsolidadojul[[#Headers],[3]],tabela_registros[REGISTRO],DADOS!$N$6,tabela_registros[TIPO],DADOS!$AJ$4,tabela_registros[CATEGORIA],reservavariáveisconsolidadojul[[#This Row],[ATUAL]])</f>
        <v>0</v>
      </c>
      <c r="H191" s="91">
        <f>SUMIFS(tabela_registros[VALOR],tabela_registros[MÊS],$AE$1,tabela_registros[DIA],reservavariáveisconsolidadojul[[#Headers],[4]],tabela_registros[REGISTRO],DADOS!$N$6,tabela_registros[TIPO],DADOS!$AJ$4,tabela_registros[CATEGORIA],reservavariáveisconsolidadojul[[#This Row],[ATUAL]])</f>
        <v>0</v>
      </c>
      <c r="I191" s="91">
        <f>SUMIFS(tabela_registros[VALOR],tabela_registros[MÊS],$AE$1,tabela_registros[DIA],reservavariáveisconsolidadojul[[#Headers],[5]],tabela_registros[REGISTRO],DADOS!$N$6,tabela_registros[TIPO],DADOS!$AJ$4,tabela_registros[CATEGORIA],reservavariáveisconsolidadojul[[#This Row],[ATUAL]])</f>
        <v>0</v>
      </c>
      <c r="J191" s="91">
        <f>SUMIFS(tabela_registros[VALOR],tabela_registros[MÊS],$AE$1,tabela_registros[DIA],reservavariáveisconsolidadojul[[#Headers],[6]],tabela_registros[REGISTRO],DADOS!$N$6,tabela_registros[TIPO],DADOS!$AJ$4,tabela_registros[CATEGORIA],reservavariáveisconsolidadojul[[#This Row],[ATUAL]])</f>
        <v>0</v>
      </c>
      <c r="K191" s="91">
        <f>SUMIFS(tabela_registros[VALOR],tabela_registros[MÊS],$AE$1,tabela_registros[DIA],reservavariáveisconsolidadojul[[#Headers],[7]],tabela_registros[REGISTRO],DADOS!$N$6,tabela_registros[TIPO],DADOS!$AJ$4,tabela_registros[CATEGORIA],reservavariáveisconsolidadojul[[#This Row],[ATUAL]])</f>
        <v>0</v>
      </c>
      <c r="L191" s="91">
        <f>SUMIFS(tabela_registros[VALOR],tabela_registros[MÊS],$AE$1,tabela_registros[DIA],reservavariáveisconsolidadojul[[#Headers],[8]],tabela_registros[REGISTRO],DADOS!$N$6,tabela_registros[TIPO],DADOS!$AJ$4,tabela_registros[CATEGORIA],reservavariáveisconsolidadojul[[#This Row],[ATUAL]])</f>
        <v>0</v>
      </c>
      <c r="M191" s="91">
        <f>SUMIFS(tabela_registros[VALOR],tabela_registros[MÊS],$AE$1,tabela_registros[DIA],reservavariáveisconsolidadojul[[#Headers],[9]],tabela_registros[REGISTRO],DADOS!$N$6,tabela_registros[TIPO],DADOS!$AJ$4,tabela_registros[CATEGORIA],reservavariáveisconsolidadojul[[#This Row],[ATUAL]])</f>
        <v>0</v>
      </c>
      <c r="N191" s="91">
        <f>SUMIFS(tabela_registros[VALOR],tabela_registros[MÊS],$AE$1,tabela_registros[DIA],reservavariáveisconsolidadojul[[#Headers],[10]],tabela_registros[REGISTRO],DADOS!$N$6,tabela_registros[TIPO],DADOS!$AJ$4,tabela_registros[CATEGORIA],reservavariáveisconsolidadojul[[#This Row],[ATUAL]])</f>
        <v>0</v>
      </c>
      <c r="O191" s="91">
        <f>SUMIFS(tabela_registros[VALOR],tabela_registros[MÊS],$AE$1,tabela_registros[DIA],reservavariáveisconsolidadojul[[#Headers],[11]],tabela_registros[REGISTRO],DADOS!$N$6,tabela_registros[TIPO],DADOS!$AJ$4,tabela_registros[CATEGORIA],reservavariáveisconsolidadojul[[#This Row],[ATUAL]])</f>
        <v>0</v>
      </c>
      <c r="P191" s="91">
        <f>SUMIFS(tabela_registros[VALOR],tabela_registros[MÊS],$AE$1,tabela_registros[DIA],reservavariáveisconsolidadojul[[#Headers],[12]],tabela_registros[REGISTRO],DADOS!$N$6,tabela_registros[TIPO],DADOS!$AJ$4,tabela_registros[CATEGORIA],reservavariáveisconsolidadojul[[#This Row],[ATUAL]])</f>
        <v>0</v>
      </c>
      <c r="Q191" s="91">
        <f>SUMIFS(tabela_registros[VALOR],tabela_registros[MÊS],$AE$1,tabela_registros[DIA],reservavariáveisconsolidadojul[[#Headers],[13]],tabela_registros[REGISTRO],DADOS!$N$6,tabela_registros[TIPO],DADOS!$AJ$4,tabela_registros[CATEGORIA],reservavariáveisconsolidadojul[[#This Row],[ATUAL]])</f>
        <v>0</v>
      </c>
      <c r="R191" s="91">
        <f>SUMIFS(tabela_registros[VALOR],tabela_registros[MÊS],$AE$1,tabela_registros[DIA],reservavariáveisconsolidadojul[[#Headers],[14]],tabela_registros[REGISTRO],DADOS!$N$6,tabela_registros[TIPO],DADOS!$AJ$4,tabela_registros[CATEGORIA],reservavariáveisconsolidadojul[[#This Row],[ATUAL]])</f>
        <v>0</v>
      </c>
      <c r="S191" s="91">
        <f>SUMIFS(tabela_registros[VALOR],tabela_registros[MÊS],$AE$1,tabela_registros[DIA],reservavariáveisconsolidadojul[[#Headers],[15]],tabela_registros[REGISTRO],DADOS!$N$6,tabela_registros[TIPO],DADOS!$AJ$4,tabela_registros[CATEGORIA],reservavariáveisconsolidadojul[[#This Row],[ATUAL]])</f>
        <v>0</v>
      </c>
      <c r="T191" s="91">
        <f>SUMIFS(tabela_registros[VALOR],tabela_registros[MÊS],$AE$1,tabela_registros[DIA],reservavariáveisconsolidadojul[[#Headers],[16]],tabela_registros[REGISTRO],DADOS!$N$6,tabela_registros[TIPO],DADOS!$AJ$4,tabela_registros[CATEGORIA],reservavariáveisconsolidadojul[[#This Row],[ATUAL]])</f>
        <v>0</v>
      </c>
      <c r="U191" s="91">
        <f>SUMIFS(tabela_registros[VALOR],tabela_registros[MÊS],$AE$1,tabela_registros[DIA],reservavariáveisconsolidadojul[[#Headers],[17]],tabela_registros[REGISTRO],DADOS!$N$6,tabela_registros[TIPO],DADOS!$AJ$4,tabela_registros[CATEGORIA],reservavariáveisconsolidadojul[[#This Row],[ATUAL]])</f>
        <v>0</v>
      </c>
      <c r="V191" s="91">
        <f>SUMIFS(tabela_registros[VALOR],tabela_registros[MÊS],$AE$1,tabela_registros[DIA],reservavariáveisconsolidadojul[[#Headers],[18]],tabela_registros[REGISTRO],DADOS!$N$6,tabela_registros[TIPO],DADOS!$AJ$4,tabela_registros[CATEGORIA],reservavariáveisconsolidadojul[[#This Row],[ATUAL]])</f>
        <v>0</v>
      </c>
      <c r="W191" s="91">
        <f>SUMIFS(tabela_registros[VALOR],tabela_registros[MÊS],$AE$1,tabela_registros[DIA],reservavariáveisconsolidadojul[[#Headers],[19]],tabela_registros[REGISTRO],DADOS!$N$6,tabela_registros[TIPO],DADOS!$AJ$4,tabela_registros[CATEGORIA],reservavariáveisconsolidadojul[[#This Row],[ATUAL]])</f>
        <v>0</v>
      </c>
      <c r="X191" s="91">
        <f>SUMIFS(tabela_registros[VALOR],tabela_registros[MÊS],$AE$1,tabela_registros[DIA],reservavariáveisconsolidadojul[[#Headers],[20]],tabela_registros[REGISTRO],DADOS!$N$6,tabela_registros[TIPO],DADOS!$AJ$4,tabela_registros[CATEGORIA],reservavariáveisconsolidadojul[[#This Row],[ATUAL]])</f>
        <v>0</v>
      </c>
      <c r="Y191" s="91">
        <f>SUMIFS(tabela_registros[VALOR],tabela_registros[MÊS],$AE$1,tabela_registros[DIA],reservavariáveisconsolidadojul[[#Headers],[21]],tabela_registros[REGISTRO],DADOS!$N$6,tabela_registros[TIPO],DADOS!$AJ$4,tabela_registros[CATEGORIA],reservavariáveisconsolidadojul[[#This Row],[ATUAL]])</f>
        <v>0</v>
      </c>
      <c r="Z191" s="91">
        <f>SUMIFS(tabela_registros[VALOR],tabela_registros[MÊS],$AE$1,tabela_registros[DIA],reservavariáveisconsolidadojul[[#Headers],[22]],tabela_registros[REGISTRO],DADOS!$N$6,tabela_registros[TIPO],DADOS!$AJ$4,tabela_registros[CATEGORIA],reservavariáveisconsolidadojul[[#This Row],[ATUAL]])</f>
        <v>0</v>
      </c>
      <c r="AA191" s="91">
        <f>SUMIFS(tabela_registros[VALOR],tabela_registros[MÊS],$AE$1,tabela_registros[DIA],reservavariáveisconsolidadojul[[#Headers],[23]],tabela_registros[REGISTRO],DADOS!$N$6,tabela_registros[TIPO],DADOS!$AJ$4,tabela_registros[CATEGORIA],reservavariáveisconsolidadojul[[#This Row],[ATUAL]])</f>
        <v>0</v>
      </c>
      <c r="AB191" s="91">
        <f>SUMIFS(tabela_registros[VALOR],tabela_registros[MÊS],$AE$1,tabela_registros[DIA],reservavariáveisconsolidadojul[[#Headers],[24]],tabela_registros[REGISTRO],DADOS!$N$6,tabela_registros[TIPO],DADOS!$AJ$4,tabela_registros[CATEGORIA],reservavariáveisconsolidadojul[[#This Row],[ATUAL]])</f>
        <v>0</v>
      </c>
      <c r="AC191" s="91">
        <f>SUMIFS(tabela_registros[VALOR],tabela_registros[MÊS],$AE$1,tabela_registros[DIA],reservavariáveisconsolidadojul[[#Headers],[25]],tabela_registros[REGISTRO],DADOS!$N$6,tabela_registros[TIPO],DADOS!$AJ$4,tabela_registros[CATEGORIA],reservavariáveisconsolidadojul[[#This Row],[ATUAL]])</f>
        <v>0</v>
      </c>
      <c r="AD191" s="91">
        <f>SUMIFS(tabela_registros[VALOR],tabela_registros[MÊS],$AE$1,tabela_registros[DIA],reservavariáveisconsolidadojul[[#Headers],[26]],tabela_registros[REGISTRO],DADOS!$N$6,tabela_registros[TIPO],DADOS!$AJ$4,tabela_registros[CATEGORIA],reservavariáveisconsolidadojul[[#This Row],[ATUAL]])</f>
        <v>0</v>
      </c>
      <c r="AE191" s="91">
        <f>SUMIFS(tabela_registros[VALOR],tabela_registros[MÊS],$AE$1,tabela_registros[DIA],reservavariáveisconsolidadojul[[#Headers],[27]],tabela_registros[REGISTRO],DADOS!$N$6,tabela_registros[TIPO],DADOS!$AJ$4,tabela_registros[CATEGORIA],reservavariáveisconsolidadojul[[#This Row],[ATUAL]])</f>
        <v>0</v>
      </c>
      <c r="AF191" s="91">
        <f>SUMIFS(tabela_registros[VALOR],tabela_registros[MÊS],$AE$1,tabela_registros[DIA],reservavariáveisconsolidadojul[[#Headers],[28]],tabela_registros[REGISTRO],DADOS!$N$6,tabela_registros[TIPO],DADOS!$AJ$4,tabela_registros[CATEGORIA],reservavariáveisconsolidadojul[[#This Row],[ATUAL]])</f>
        <v>0</v>
      </c>
      <c r="AG191" s="91">
        <f>SUMIFS(tabela_registros[VALOR],tabela_registros[MÊS],$AE$1,tabela_registros[DIA],reservavariáveisconsolidadojul[[#Headers],[29]],tabela_registros[REGISTRO],DADOS!$N$6,tabela_registros[TIPO],DADOS!$AJ$4,tabela_registros[CATEGORIA],reservavariáveisconsolidadojul[[#This Row],[ATUAL]])</f>
        <v>0</v>
      </c>
      <c r="AH191" s="91">
        <f>SUMIFS(tabela_registros[VALOR],tabela_registros[MÊS],$AE$1,tabela_registros[DIA],reservavariáveisconsolidadojul[[#Headers],[30]],tabela_registros[REGISTRO],DADOS!$N$6,tabela_registros[TIPO],DADOS!$AJ$4,tabela_registros[CATEGORIA],reservavariáveisconsolidadojul[[#This Row],[ATUAL]])</f>
        <v>0</v>
      </c>
      <c r="AI191" s="101">
        <f>SUMIFS(tabela_registros[VALOR],tabela_registros[MÊS],$AE$1,tabela_registros[DIA],reservavariáveisconsolidadojul[[#Headers],[31]],tabela_registros[REGISTRO],DADOS!$N$6,tabela_registros[TIPO],DADOS!$AJ$4,tabela_registros[CATEGORIA],reservavariáveisconsolidadojul[[#This Row],[ATUAL]])</f>
        <v>0</v>
      </c>
      <c r="AJ191" s="97">
        <f>SUM(reservavariáveisconsolidadojul[[#This Row],[1]:[31]])</f>
        <v>0</v>
      </c>
      <c r="AK191" s="25"/>
    </row>
    <row r="192" spans="2:37" ht="19.5" customHeight="1" thickTop="1" thickBot="1" x14ac:dyDescent="0.3">
      <c r="B192" s="28"/>
      <c r="C192" s="27" t="str">
        <f>DADOS!$AN$8</f>
        <v>📝 ETF</v>
      </c>
      <c r="D192" s="26" t="str">
        <f>IF(reservavariáveisconsolidadojul[[#This Row],[TOTAL (R$)]]=0,"",IF(OR(reservavariáveisconsolidadojul[[#This Row],[TOTAL (R$)]]=LARGE($AJ$187:$AJ$196,1),reservavariáveisconsolidadojul[[#This Row],[TOTAL (R$)]]=LARGE($AJ$187:$AJ$196,2)),DADOS!$I$11,""))</f>
        <v/>
      </c>
      <c r="E192" s="96">
        <f>SUMIFS(tabela_registros[VALOR],tabela_registros[MÊS],$AE$1,tabela_registros[DIA],reservavariáveisconsolidadojul[[#Headers],[1]],tabela_registros[REGISTRO],DADOS!$N$6,tabela_registros[TIPO],DADOS!$AJ$4,tabela_registros[CATEGORIA],reservavariáveisconsolidadojul[[#This Row],[ATUAL]])</f>
        <v>0</v>
      </c>
      <c r="F192" s="91">
        <f>SUMIFS(tabela_registros[VALOR],tabela_registros[MÊS],$AE$1,tabela_registros[DIA],reservavariáveisconsolidadojul[[#Headers],[2]],tabela_registros[REGISTRO],DADOS!$N$6,tabela_registros[TIPO],DADOS!$AJ$4,tabela_registros[CATEGORIA],reservavariáveisconsolidadojul[[#This Row],[ATUAL]])</f>
        <v>0</v>
      </c>
      <c r="G192" s="91">
        <f>SUMIFS(tabela_registros[VALOR],tabela_registros[MÊS],$AE$1,tabela_registros[DIA],reservavariáveisconsolidadojul[[#Headers],[3]],tabela_registros[REGISTRO],DADOS!$N$6,tabela_registros[TIPO],DADOS!$AJ$4,tabela_registros[CATEGORIA],reservavariáveisconsolidadojul[[#This Row],[ATUAL]])</f>
        <v>0</v>
      </c>
      <c r="H192" s="91">
        <f>SUMIFS(tabela_registros[VALOR],tabela_registros[MÊS],$AE$1,tabela_registros[DIA],reservavariáveisconsolidadojul[[#Headers],[4]],tabela_registros[REGISTRO],DADOS!$N$6,tabela_registros[TIPO],DADOS!$AJ$4,tabela_registros[CATEGORIA],reservavariáveisconsolidadojul[[#This Row],[ATUAL]])</f>
        <v>0</v>
      </c>
      <c r="I192" s="91">
        <f>SUMIFS(tabela_registros[VALOR],tabela_registros[MÊS],$AE$1,tabela_registros[DIA],reservavariáveisconsolidadojul[[#Headers],[5]],tabela_registros[REGISTRO],DADOS!$N$6,tabela_registros[TIPO],DADOS!$AJ$4,tabela_registros[CATEGORIA],reservavariáveisconsolidadojul[[#This Row],[ATUAL]])</f>
        <v>0</v>
      </c>
      <c r="J192" s="91">
        <f>SUMIFS(tabela_registros[VALOR],tabela_registros[MÊS],$AE$1,tabela_registros[DIA],reservavariáveisconsolidadojul[[#Headers],[6]],tabela_registros[REGISTRO],DADOS!$N$6,tabela_registros[TIPO],DADOS!$AJ$4,tabela_registros[CATEGORIA],reservavariáveisconsolidadojul[[#This Row],[ATUAL]])</f>
        <v>0</v>
      </c>
      <c r="K192" s="91">
        <f>SUMIFS(tabela_registros[VALOR],tabela_registros[MÊS],$AE$1,tabela_registros[DIA],reservavariáveisconsolidadojul[[#Headers],[7]],tabela_registros[REGISTRO],DADOS!$N$6,tabela_registros[TIPO],DADOS!$AJ$4,tabela_registros[CATEGORIA],reservavariáveisconsolidadojul[[#This Row],[ATUAL]])</f>
        <v>0</v>
      </c>
      <c r="L192" s="91">
        <f>SUMIFS(tabela_registros[VALOR],tabela_registros[MÊS],$AE$1,tabela_registros[DIA],reservavariáveisconsolidadojul[[#Headers],[8]],tabela_registros[REGISTRO],DADOS!$N$6,tabela_registros[TIPO],DADOS!$AJ$4,tabela_registros[CATEGORIA],reservavariáveisconsolidadojul[[#This Row],[ATUAL]])</f>
        <v>0</v>
      </c>
      <c r="M192" s="91">
        <f>SUMIFS(tabela_registros[VALOR],tabela_registros[MÊS],$AE$1,tabela_registros[DIA],reservavariáveisconsolidadojul[[#Headers],[9]],tabela_registros[REGISTRO],DADOS!$N$6,tabela_registros[TIPO],DADOS!$AJ$4,tabela_registros[CATEGORIA],reservavariáveisconsolidadojul[[#This Row],[ATUAL]])</f>
        <v>0</v>
      </c>
      <c r="N192" s="91">
        <f>SUMIFS(tabela_registros[VALOR],tabela_registros[MÊS],$AE$1,tabela_registros[DIA],reservavariáveisconsolidadojul[[#Headers],[10]],tabela_registros[REGISTRO],DADOS!$N$6,tabela_registros[TIPO],DADOS!$AJ$4,tabela_registros[CATEGORIA],reservavariáveisconsolidadojul[[#This Row],[ATUAL]])</f>
        <v>0</v>
      </c>
      <c r="O192" s="91">
        <f>SUMIFS(tabela_registros[VALOR],tabela_registros[MÊS],$AE$1,tabela_registros[DIA],reservavariáveisconsolidadojul[[#Headers],[11]],tabela_registros[REGISTRO],DADOS!$N$6,tabela_registros[TIPO],DADOS!$AJ$4,tabela_registros[CATEGORIA],reservavariáveisconsolidadojul[[#This Row],[ATUAL]])</f>
        <v>0</v>
      </c>
      <c r="P192" s="91">
        <f>SUMIFS(tabela_registros[VALOR],tabela_registros[MÊS],$AE$1,tabela_registros[DIA],reservavariáveisconsolidadojul[[#Headers],[12]],tabela_registros[REGISTRO],DADOS!$N$6,tabela_registros[TIPO],DADOS!$AJ$4,tabela_registros[CATEGORIA],reservavariáveisconsolidadojul[[#This Row],[ATUAL]])</f>
        <v>0</v>
      </c>
      <c r="Q192" s="91">
        <f>SUMIFS(tabela_registros[VALOR],tabela_registros[MÊS],$AE$1,tabela_registros[DIA],reservavariáveisconsolidadojul[[#Headers],[13]],tabela_registros[REGISTRO],DADOS!$N$6,tabela_registros[TIPO],DADOS!$AJ$4,tabela_registros[CATEGORIA],reservavariáveisconsolidadojul[[#This Row],[ATUAL]])</f>
        <v>0</v>
      </c>
      <c r="R192" s="91">
        <f>SUMIFS(tabela_registros[VALOR],tabela_registros[MÊS],$AE$1,tabela_registros[DIA],reservavariáveisconsolidadojul[[#Headers],[14]],tabela_registros[REGISTRO],DADOS!$N$6,tabela_registros[TIPO],DADOS!$AJ$4,tabela_registros[CATEGORIA],reservavariáveisconsolidadojul[[#This Row],[ATUAL]])</f>
        <v>0</v>
      </c>
      <c r="S192" s="91">
        <f>SUMIFS(tabela_registros[VALOR],tabela_registros[MÊS],$AE$1,tabela_registros[DIA],reservavariáveisconsolidadojul[[#Headers],[15]],tabela_registros[REGISTRO],DADOS!$N$6,tabela_registros[TIPO],DADOS!$AJ$4,tabela_registros[CATEGORIA],reservavariáveisconsolidadojul[[#This Row],[ATUAL]])</f>
        <v>0</v>
      </c>
      <c r="T192" s="91">
        <f>SUMIFS(tabela_registros[VALOR],tabela_registros[MÊS],$AE$1,tabela_registros[DIA],reservavariáveisconsolidadojul[[#Headers],[16]],tabela_registros[REGISTRO],DADOS!$N$6,tabela_registros[TIPO],DADOS!$AJ$4,tabela_registros[CATEGORIA],reservavariáveisconsolidadojul[[#This Row],[ATUAL]])</f>
        <v>0</v>
      </c>
      <c r="U192" s="91">
        <f>SUMIFS(tabela_registros[VALOR],tabela_registros[MÊS],$AE$1,tabela_registros[DIA],reservavariáveisconsolidadojul[[#Headers],[17]],tabela_registros[REGISTRO],DADOS!$N$6,tabela_registros[TIPO],DADOS!$AJ$4,tabela_registros[CATEGORIA],reservavariáveisconsolidadojul[[#This Row],[ATUAL]])</f>
        <v>0</v>
      </c>
      <c r="V192" s="91">
        <f>SUMIFS(tabela_registros[VALOR],tabela_registros[MÊS],$AE$1,tabela_registros[DIA],reservavariáveisconsolidadojul[[#Headers],[18]],tabela_registros[REGISTRO],DADOS!$N$6,tabela_registros[TIPO],DADOS!$AJ$4,tabela_registros[CATEGORIA],reservavariáveisconsolidadojul[[#This Row],[ATUAL]])</f>
        <v>0</v>
      </c>
      <c r="W192" s="91">
        <f>SUMIFS(tabela_registros[VALOR],tabela_registros[MÊS],$AE$1,tabela_registros[DIA],reservavariáveisconsolidadojul[[#Headers],[19]],tabela_registros[REGISTRO],DADOS!$N$6,tabela_registros[TIPO],DADOS!$AJ$4,tabela_registros[CATEGORIA],reservavariáveisconsolidadojul[[#This Row],[ATUAL]])</f>
        <v>0</v>
      </c>
      <c r="X192" s="91">
        <f>SUMIFS(tabela_registros[VALOR],tabela_registros[MÊS],$AE$1,tabela_registros[DIA],reservavariáveisconsolidadojul[[#Headers],[20]],tabela_registros[REGISTRO],DADOS!$N$6,tabela_registros[TIPO],DADOS!$AJ$4,tabela_registros[CATEGORIA],reservavariáveisconsolidadojul[[#This Row],[ATUAL]])</f>
        <v>0</v>
      </c>
      <c r="Y192" s="91">
        <f>SUMIFS(tabela_registros[VALOR],tabela_registros[MÊS],$AE$1,tabela_registros[DIA],reservavariáveisconsolidadojul[[#Headers],[21]],tabela_registros[REGISTRO],DADOS!$N$6,tabela_registros[TIPO],DADOS!$AJ$4,tabela_registros[CATEGORIA],reservavariáveisconsolidadojul[[#This Row],[ATUAL]])</f>
        <v>0</v>
      </c>
      <c r="Z192" s="91">
        <f>SUMIFS(tabela_registros[VALOR],tabela_registros[MÊS],$AE$1,tabela_registros[DIA],reservavariáveisconsolidadojul[[#Headers],[22]],tabela_registros[REGISTRO],DADOS!$N$6,tabela_registros[TIPO],DADOS!$AJ$4,tabela_registros[CATEGORIA],reservavariáveisconsolidadojul[[#This Row],[ATUAL]])</f>
        <v>0</v>
      </c>
      <c r="AA192" s="91">
        <f>SUMIFS(tabela_registros[VALOR],tabela_registros[MÊS],$AE$1,tabela_registros[DIA],reservavariáveisconsolidadojul[[#Headers],[23]],tabela_registros[REGISTRO],DADOS!$N$6,tabela_registros[TIPO],DADOS!$AJ$4,tabela_registros[CATEGORIA],reservavariáveisconsolidadojul[[#This Row],[ATUAL]])</f>
        <v>0</v>
      </c>
      <c r="AB192" s="91">
        <f>SUMIFS(tabela_registros[VALOR],tabela_registros[MÊS],$AE$1,tabela_registros[DIA],reservavariáveisconsolidadojul[[#Headers],[24]],tabela_registros[REGISTRO],DADOS!$N$6,tabela_registros[TIPO],DADOS!$AJ$4,tabela_registros[CATEGORIA],reservavariáveisconsolidadojul[[#This Row],[ATUAL]])</f>
        <v>0</v>
      </c>
      <c r="AC192" s="91">
        <f>SUMIFS(tabela_registros[VALOR],tabela_registros[MÊS],$AE$1,tabela_registros[DIA],reservavariáveisconsolidadojul[[#Headers],[25]],tabela_registros[REGISTRO],DADOS!$N$6,tabela_registros[TIPO],DADOS!$AJ$4,tabela_registros[CATEGORIA],reservavariáveisconsolidadojul[[#This Row],[ATUAL]])</f>
        <v>0</v>
      </c>
      <c r="AD192" s="91">
        <f>SUMIFS(tabela_registros[VALOR],tabela_registros[MÊS],$AE$1,tabela_registros[DIA],reservavariáveisconsolidadojul[[#Headers],[26]],tabela_registros[REGISTRO],DADOS!$N$6,tabela_registros[TIPO],DADOS!$AJ$4,tabela_registros[CATEGORIA],reservavariáveisconsolidadojul[[#This Row],[ATUAL]])</f>
        <v>0</v>
      </c>
      <c r="AE192" s="91">
        <f>SUMIFS(tabela_registros[VALOR],tabela_registros[MÊS],$AE$1,tabela_registros[DIA],reservavariáveisconsolidadojul[[#Headers],[27]],tabela_registros[REGISTRO],DADOS!$N$6,tabela_registros[TIPO],DADOS!$AJ$4,tabela_registros[CATEGORIA],reservavariáveisconsolidadojul[[#This Row],[ATUAL]])</f>
        <v>0</v>
      </c>
      <c r="AF192" s="91">
        <f>SUMIFS(tabela_registros[VALOR],tabela_registros[MÊS],$AE$1,tabela_registros[DIA],reservavariáveisconsolidadojul[[#Headers],[28]],tabela_registros[REGISTRO],DADOS!$N$6,tabela_registros[TIPO],DADOS!$AJ$4,tabela_registros[CATEGORIA],reservavariáveisconsolidadojul[[#This Row],[ATUAL]])</f>
        <v>0</v>
      </c>
      <c r="AG192" s="91">
        <f>SUMIFS(tabela_registros[VALOR],tabela_registros[MÊS],$AE$1,tabela_registros[DIA],reservavariáveisconsolidadojul[[#Headers],[29]],tabela_registros[REGISTRO],DADOS!$N$6,tabela_registros[TIPO],DADOS!$AJ$4,tabela_registros[CATEGORIA],reservavariáveisconsolidadojul[[#This Row],[ATUAL]])</f>
        <v>0</v>
      </c>
      <c r="AH192" s="91">
        <f>SUMIFS(tabela_registros[VALOR],tabela_registros[MÊS],$AE$1,tabela_registros[DIA],reservavariáveisconsolidadojul[[#Headers],[30]],tabela_registros[REGISTRO],DADOS!$N$6,tabela_registros[TIPO],DADOS!$AJ$4,tabela_registros[CATEGORIA],reservavariáveisconsolidadojul[[#This Row],[ATUAL]])</f>
        <v>0</v>
      </c>
      <c r="AI192" s="101">
        <f>SUMIFS(tabela_registros[VALOR],tabela_registros[MÊS],$AE$1,tabela_registros[DIA],reservavariáveisconsolidadojul[[#Headers],[31]],tabela_registros[REGISTRO],DADOS!$N$6,tabela_registros[TIPO],DADOS!$AJ$4,tabela_registros[CATEGORIA],reservavariáveisconsolidadojul[[#This Row],[ATUAL]])</f>
        <v>0</v>
      </c>
      <c r="AJ192" s="97">
        <f>SUM(reservavariáveisconsolidadojul[[#This Row],[1]:[31]])</f>
        <v>0</v>
      </c>
      <c r="AK192" s="25"/>
    </row>
    <row r="193" spans="2:37" ht="19.5" customHeight="1" thickTop="1" thickBot="1" x14ac:dyDescent="0.3">
      <c r="B193" s="28"/>
      <c r="C193" s="27" t="str">
        <f>DADOS!$AN$9</f>
        <v>📝 EXTERIOR</v>
      </c>
      <c r="D193" s="26" t="str">
        <f>IF(reservavariáveisconsolidadojul[[#This Row],[TOTAL (R$)]]=0,"",IF(OR(reservavariáveisconsolidadojul[[#This Row],[TOTAL (R$)]]=LARGE($AJ$187:$AJ$196,1),reservavariáveisconsolidadojul[[#This Row],[TOTAL (R$)]]=LARGE($AJ$187:$AJ$196,2)),DADOS!$I$11,""))</f>
        <v/>
      </c>
      <c r="E193" s="96">
        <f>SUMIFS(tabela_registros[VALOR],tabela_registros[MÊS],$AE$1,tabela_registros[DIA],reservavariáveisconsolidadojul[[#Headers],[1]],tabela_registros[REGISTRO],DADOS!$N$6,tabela_registros[TIPO],DADOS!$AJ$4,tabela_registros[CATEGORIA],reservavariáveisconsolidadojul[[#This Row],[ATUAL]])</f>
        <v>0</v>
      </c>
      <c r="F193" s="91">
        <f>SUMIFS(tabela_registros[VALOR],tabela_registros[MÊS],$AE$1,tabela_registros[DIA],reservavariáveisconsolidadojul[[#Headers],[2]],tabela_registros[REGISTRO],DADOS!$N$6,tabela_registros[TIPO],DADOS!$AJ$4,tabela_registros[CATEGORIA],reservavariáveisconsolidadojul[[#This Row],[ATUAL]])</f>
        <v>0</v>
      </c>
      <c r="G193" s="91">
        <f>SUMIFS(tabela_registros[VALOR],tabela_registros[MÊS],$AE$1,tabela_registros[DIA],reservavariáveisconsolidadojul[[#Headers],[3]],tabela_registros[REGISTRO],DADOS!$N$6,tabela_registros[TIPO],DADOS!$AJ$4,tabela_registros[CATEGORIA],reservavariáveisconsolidadojul[[#This Row],[ATUAL]])</f>
        <v>0</v>
      </c>
      <c r="H193" s="91">
        <f>SUMIFS(tabela_registros[VALOR],tabela_registros[MÊS],$AE$1,tabela_registros[DIA],reservavariáveisconsolidadojul[[#Headers],[4]],tabela_registros[REGISTRO],DADOS!$N$6,tabela_registros[TIPO],DADOS!$AJ$4,tabela_registros[CATEGORIA],reservavariáveisconsolidadojul[[#This Row],[ATUAL]])</f>
        <v>0</v>
      </c>
      <c r="I193" s="91">
        <f>SUMIFS(tabela_registros[VALOR],tabela_registros[MÊS],$AE$1,tabela_registros[DIA],reservavariáveisconsolidadojul[[#Headers],[5]],tabela_registros[REGISTRO],DADOS!$N$6,tabela_registros[TIPO],DADOS!$AJ$4,tabela_registros[CATEGORIA],reservavariáveisconsolidadojul[[#This Row],[ATUAL]])</f>
        <v>0</v>
      </c>
      <c r="J193" s="91">
        <f>SUMIFS(tabela_registros[VALOR],tabela_registros[MÊS],$AE$1,tabela_registros[DIA],reservavariáveisconsolidadojul[[#Headers],[6]],tabela_registros[REGISTRO],DADOS!$N$6,tabela_registros[TIPO],DADOS!$AJ$4,tabela_registros[CATEGORIA],reservavariáveisconsolidadojul[[#This Row],[ATUAL]])</f>
        <v>0</v>
      </c>
      <c r="K193" s="91">
        <f>SUMIFS(tabela_registros[VALOR],tabela_registros[MÊS],$AE$1,tabela_registros[DIA],reservavariáveisconsolidadojul[[#Headers],[7]],tabela_registros[REGISTRO],DADOS!$N$6,tabela_registros[TIPO],DADOS!$AJ$4,tabela_registros[CATEGORIA],reservavariáveisconsolidadojul[[#This Row],[ATUAL]])</f>
        <v>0</v>
      </c>
      <c r="L193" s="91">
        <f>SUMIFS(tabela_registros[VALOR],tabela_registros[MÊS],$AE$1,tabela_registros[DIA],reservavariáveisconsolidadojul[[#Headers],[8]],tabela_registros[REGISTRO],DADOS!$N$6,tabela_registros[TIPO],DADOS!$AJ$4,tabela_registros[CATEGORIA],reservavariáveisconsolidadojul[[#This Row],[ATUAL]])</f>
        <v>0</v>
      </c>
      <c r="M193" s="91">
        <f>SUMIFS(tabela_registros[VALOR],tabela_registros[MÊS],$AE$1,tabela_registros[DIA],reservavariáveisconsolidadojul[[#Headers],[9]],tabela_registros[REGISTRO],DADOS!$N$6,tabela_registros[TIPO],DADOS!$AJ$4,tabela_registros[CATEGORIA],reservavariáveisconsolidadojul[[#This Row],[ATUAL]])</f>
        <v>0</v>
      </c>
      <c r="N193" s="91">
        <f>SUMIFS(tabela_registros[VALOR],tabela_registros[MÊS],$AE$1,tabela_registros[DIA],reservavariáveisconsolidadojul[[#Headers],[10]],tabela_registros[REGISTRO],DADOS!$N$6,tabela_registros[TIPO],DADOS!$AJ$4,tabela_registros[CATEGORIA],reservavariáveisconsolidadojul[[#This Row],[ATUAL]])</f>
        <v>0</v>
      </c>
      <c r="O193" s="91">
        <f>SUMIFS(tabela_registros[VALOR],tabela_registros[MÊS],$AE$1,tabela_registros[DIA],reservavariáveisconsolidadojul[[#Headers],[11]],tabela_registros[REGISTRO],DADOS!$N$6,tabela_registros[TIPO],DADOS!$AJ$4,tabela_registros[CATEGORIA],reservavariáveisconsolidadojul[[#This Row],[ATUAL]])</f>
        <v>0</v>
      </c>
      <c r="P193" s="91">
        <f>SUMIFS(tabela_registros[VALOR],tabela_registros[MÊS],$AE$1,tabela_registros[DIA],reservavariáveisconsolidadojul[[#Headers],[12]],tabela_registros[REGISTRO],DADOS!$N$6,tabela_registros[TIPO],DADOS!$AJ$4,tabela_registros[CATEGORIA],reservavariáveisconsolidadojul[[#This Row],[ATUAL]])</f>
        <v>0</v>
      </c>
      <c r="Q193" s="91">
        <f>SUMIFS(tabela_registros[VALOR],tabela_registros[MÊS],$AE$1,tabela_registros[DIA],reservavariáveisconsolidadojul[[#Headers],[13]],tabela_registros[REGISTRO],DADOS!$N$6,tabela_registros[TIPO],DADOS!$AJ$4,tabela_registros[CATEGORIA],reservavariáveisconsolidadojul[[#This Row],[ATUAL]])</f>
        <v>0</v>
      </c>
      <c r="R193" s="91">
        <f>SUMIFS(tabela_registros[VALOR],tabela_registros[MÊS],$AE$1,tabela_registros[DIA],reservavariáveisconsolidadojul[[#Headers],[14]],tabela_registros[REGISTRO],DADOS!$N$6,tabela_registros[TIPO],DADOS!$AJ$4,tabela_registros[CATEGORIA],reservavariáveisconsolidadojul[[#This Row],[ATUAL]])</f>
        <v>0</v>
      </c>
      <c r="S193" s="91">
        <f>SUMIFS(tabela_registros[VALOR],tabela_registros[MÊS],$AE$1,tabela_registros[DIA],reservavariáveisconsolidadojul[[#Headers],[15]],tabela_registros[REGISTRO],DADOS!$N$6,tabela_registros[TIPO],DADOS!$AJ$4,tabela_registros[CATEGORIA],reservavariáveisconsolidadojul[[#This Row],[ATUAL]])</f>
        <v>0</v>
      </c>
      <c r="T193" s="91">
        <f>SUMIFS(tabela_registros[VALOR],tabela_registros[MÊS],$AE$1,tabela_registros[DIA],reservavariáveisconsolidadojul[[#Headers],[16]],tabela_registros[REGISTRO],DADOS!$N$6,tabela_registros[TIPO],DADOS!$AJ$4,tabela_registros[CATEGORIA],reservavariáveisconsolidadojul[[#This Row],[ATUAL]])</f>
        <v>0</v>
      </c>
      <c r="U193" s="91">
        <f>SUMIFS(tabela_registros[VALOR],tabela_registros[MÊS],$AE$1,tabela_registros[DIA],reservavariáveisconsolidadojul[[#Headers],[17]],tabela_registros[REGISTRO],DADOS!$N$6,tabela_registros[TIPO],DADOS!$AJ$4,tabela_registros[CATEGORIA],reservavariáveisconsolidadojul[[#This Row],[ATUAL]])</f>
        <v>0</v>
      </c>
      <c r="V193" s="91">
        <f>SUMIFS(tabela_registros[VALOR],tabela_registros[MÊS],$AE$1,tabela_registros[DIA],reservavariáveisconsolidadojul[[#Headers],[18]],tabela_registros[REGISTRO],DADOS!$N$6,tabela_registros[TIPO],DADOS!$AJ$4,tabela_registros[CATEGORIA],reservavariáveisconsolidadojul[[#This Row],[ATUAL]])</f>
        <v>0</v>
      </c>
      <c r="W193" s="91">
        <f>SUMIFS(tabela_registros[VALOR],tabela_registros[MÊS],$AE$1,tabela_registros[DIA],reservavariáveisconsolidadojul[[#Headers],[19]],tabela_registros[REGISTRO],DADOS!$N$6,tabela_registros[TIPO],DADOS!$AJ$4,tabela_registros[CATEGORIA],reservavariáveisconsolidadojul[[#This Row],[ATUAL]])</f>
        <v>0</v>
      </c>
      <c r="X193" s="91">
        <f>SUMIFS(tabela_registros[VALOR],tabela_registros[MÊS],$AE$1,tabela_registros[DIA],reservavariáveisconsolidadojul[[#Headers],[20]],tabela_registros[REGISTRO],DADOS!$N$6,tabela_registros[TIPO],DADOS!$AJ$4,tabela_registros[CATEGORIA],reservavariáveisconsolidadojul[[#This Row],[ATUAL]])</f>
        <v>0</v>
      </c>
      <c r="Y193" s="91">
        <f>SUMIFS(tabela_registros[VALOR],tabela_registros[MÊS],$AE$1,tabela_registros[DIA],reservavariáveisconsolidadojul[[#Headers],[21]],tabela_registros[REGISTRO],DADOS!$N$6,tabela_registros[TIPO],DADOS!$AJ$4,tabela_registros[CATEGORIA],reservavariáveisconsolidadojul[[#This Row],[ATUAL]])</f>
        <v>0</v>
      </c>
      <c r="Z193" s="91">
        <f>SUMIFS(tabela_registros[VALOR],tabela_registros[MÊS],$AE$1,tabela_registros[DIA],reservavariáveisconsolidadojul[[#Headers],[22]],tabela_registros[REGISTRO],DADOS!$N$6,tabela_registros[TIPO],DADOS!$AJ$4,tabela_registros[CATEGORIA],reservavariáveisconsolidadojul[[#This Row],[ATUAL]])</f>
        <v>0</v>
      </c>
      <c r="AA193" s="91">
        <f>SUMIFS(tabela_registros[VALOR],tabela_registros[MÊS],$AE$1,tabela_registros[DIA],reservavariáveisconsolidadojul[[#Headers],[23]],tabela_registros[REGISTRO],DADOS!$N$6,tabela_registros[TIPO],DADOS!$AJ$4,tabela_registros[CATEGORIA],reservavariáveisconsolidadojul[[#This Row],[ATUAL]])</f>
        <v>0</v>
      </c>
      <c r="AB193" s="91">
        <f>SUMIFS(tabela_registros[VALOR],tabela_registros[MÊS],$AE$1,tabela_registros[DIA],reservavariáveisconsolidadojul[[#Headers],[24]],tabela_registros[REGISTRO],DADOS!$N$6,tabela_registros[TIPO],DADOS!$AJ$4,tabela_registros[CATEGORIA],reservavariáveisconsolidadojul[[#This Row],[ATUAL]])</f>
        <v>0</v>
      </c>
      <c r="AC193" s="91">
        <f>SUMIFS(tabela_registros[VALOR],tabela_registros[MÊS],$AE$1,tabela_registros[DIA],reservavariáveisconsolidadojul[[#Headers],[25]],tabela_registros[REGISTRO],DADOS!$N$6,tabela_registros[TIPO],DADOS!$AJ$4,tabela_registros[CATEGORIA],reservavariáveisconsolidadojul[[#This Row],[ATUAL]])</f>
        <v>0</v>
      </c>
      <c r="AD193" s="91">
        <f>SUMIFS(tabela_registros[VALOR],tabela_registros[MÊS],$AE$1,tabela_registros[DIA],reservavariáveisconsolidadojul[[#Headers],[26]],tabela_registros[REGISTRO],DADOS!$N$6,tabela_registros[TIPO],DADOS!$AJ$4,tabela_registros[CATEGORIA],reservavariáveisconsolidadojul[[#This Row],[ATUAL]])</f>
        <v>0</v>
      </c>
      <c r="AE193" s="91">
        <f>SUMIFS(tabela_registros[VALOR],tabela_registros[MÊS],$AE$1,tabela_registros[DIA],reservavariáveisconsolidadojul[[#Headers],[27]],tabela_registros[REGISTRO],DADOS!$N$6,tabela_registros[TIPO],DADOS!$AJ$4,tabela_registros[CATEGORIA],reservavariáveisconsolidadojul[[#This Row],[ATUAL]])</f>
        <v>0</v>
      </c>
      <c r="AF193" s="91">
        <f>SUMIFS(tabela_registros[VALOR],tabela_registros[MÊS],$AE$1,tabela_registros[DIA],reservavariáveisconsolidadojul[[#Headers],[28]],tabela_registros[REGISTRO],DADOS!$N$6,tabela_registros[TIPO],DADOS!$AJ$4,tabela_registros[CATEGORIA],reservavariáveisconsolidadojul[[#This Row],[ATUAL]])</f>
        <v>0</v>
      </c>
      <c r="AG193" s="91">
        <f>SUMIFS(tabela_registros[VALOR],tabela_registros[MÊS],$AE$1,tabela_registros[DIA],reservavariáveisconsolidadojul[[#Headers],[29]],tabela_registros[REGISTRO],DADOS!$N$6,tabela_registros[TIPO],DADOS!$AJ$4,tabela_registros[CATEGORIA],reservavariáveisconsolidadojul[[#This Row],[ATUAL]])</f>
        <v>0</v>
      </c>
      <c r="AH193" s="91">
        <f>SUMIFS(tabela_registros[VALOR],tabela_registros[MÊS],$AE$1,tabela_registros[DIA],reservavariáveisconsolidadojul[[#Headers],[30]],tabela_registros[REGISTRO],DADOS!$N$6,tabela_registros[TIPO],DADOS!$AJ$4,tabela_registros[CATEGORIA],reservavariáveisconsolidadojul[[#This Row],[ATUAL]])</f>
        <v>0</v>
      </c>
      <c r="AI193" s="101">
        <f>SUMIFS(tabela_registros[VALOR],tabela_registros[MÊS],$AE$1,tabela_registros[DIA],reservavariáveisconsolidadojul[[#Headers],[31]],tabela_registros[REGISTRO],DADOS!$N$6,tabela_registros[TIPO],DADOS!$AJ$4,tabela_registros[CATEGORIA],reservavariáveisconsolidadojul[[#This Row],[ATUAL]])</f>
        <v>0</v>
      </c>
      <c r="AJ193" s="97">
        <f>SUM(reservavariáveisconsolidadojul[[#This Row],[1]:[31]])</f>
        <v>0</v>
      </c>
      <c r="AK193" s="25"/>
    </row>
    <row r="194" spans="2:37" ht="19.5" customHeight="1" thickTop="1" thickBot="1" x14ac:dyDescent="0.3">
      <c r="B194" s="28"/>
      <c r="C194" s="27" t="str">
        <f>DADOS!$AN$10</f>
        <v>📝 FII</v>
      </c>
      <c r="D194" s="26" t="str">
        <f>IF(reservavariáveisconsolidadojul[[#This Row],[TOTAL (R$)]]=0,"",IF(OR(reservavariáveisconsolidadojul[[#This Row],[TOTAL (R$)]]=LARGE($AJ$187:$AJ$196,1),reservavariáveisconsolidadojul[[#This Row],[TOTAL (R$)]]=LARGE($AJ$187:$AJ$196,2)),DADOS!$I$11,""))</f>
        <v/>
      </c>
      <c r="E194" s="96">
        <f>SUMIFS(tabela_registros[VALOR],tabela_registros[MÊS],$AE$1,tabela_registros[DIA],reservavariáveisconsolidadojul[[#Headers],[1]],tabela_registros[REGISTRO],DADOS!$N$6,tabela_registros[TIPO],DADOS!$AJ$4,tabela_registros[CATEGORIA],reservavariáveisconsolidadojul[[#This Row],[ATUAL]])</f>
        <v>0</v>
      </c>
      <c r="F194" s="91">
        <f>SUMIFS(tabela_registros[VALOR],tabela_registros[MÊS],$AE$1,tabela_registros[DIA],reservavariáveisconsolidadojul[[#Headers],[2]],tabela_registros[REGISTRO],DADOS!$N$6,tabela_registros[TIPO],DADOS!$AJ$4,tabela_registros[CATEGORIA],reservavariáveisconsolidadojul[[#This Row],[ATUAL]])</f>
        <v>0</v>
      </c>
      <c r="G194" s="91">
        <f>SUMIFS(tabela_registros[VALOR],tabela_registros[MÊS],$AE$1,tabela_registros[DIA],reservavariáveisconsolidadojul[[#Headers],[3]],tabela_registros[REGISTRO],DADOS!$N$6,tabela_registros[TIPO],DADOS!$AJ$4,tabela_registros[CATEGORIA],reservavariáveisconsolidadojul[[#This Row],[ATUAL]])</f>
        <v>0</v>
      </c>
      <c r="H194" s="91">
        <f>SUMIFS(tabela_registros[VALOR],tabela_registros[MÊS],$AE$1,tabela_registros[DIA],reservavariáveisconsolidadojul[[#Headers],[4]],tabela_registros[REGISTRO],DADOS!$N$6,tabela_registros[TIPO],DADOS!$AJ$4,tabela_registros[CATEGORIA],reservavariáveisconsolidadojul[[#This Row],[ATUAL]])</f>
        <v>0</v>
      </c>
      <c r="I194" s="91">
        <f>SUMIFS(tabela_registros[VALOR],tabela_registros[MÊS],$AE$1,tabela_registros[DIA],reservavariáveisconsolidadojul[[#Headers],[5]],tabela_registros[REGISTRO],DADOS!$N$6,tabela_registros[TIPO],DADOS!$AJ$4,tabela_registros[CATEGORIA],reservavariáveisconsolidadojul[[#This Row],[ATUAL]])</f>
        <v>0</v>
      </c>
      <c r="J194" s="91">
        <f>SUMIFS(tabela_registros[VALOR],tabela_registros[MÊS],$AE$1,tabela_registros[DIA],reservavariáveisconsolidadojul[[#Headers],[6]],tabela_registros[REGISTRO],DADOS!$N$6,tabela_registros[TIPO],DADOS!$AJ$4,tabela_registros[CATEGORIA],reservavariáveisconsolidadojul[[#This Row],[ATUAL]])</f>
        <v>0</v>
      </c>
      <c r="K194" s="91">
        <f>SUMIFS(tabela_registros[VALOR],tabela_registros[MÊS],$AE$1,tabela_registros[DIA],reservavariáveisconsolidadojul[[#Headers],[7]],tabela_registros[REGISTRO],DADOS!$N$6,tabela_registros[TIPO],DADOS!$AJ$4,tabela_registros[CATEGORIA],reservavariáveisconsolidadojul[[#This Row],[ATUAL]])</f>
        <v>0</v>
      </c>
      <c r="L194" s="91">
        <f>SUMIFS(tabela_registros[VALOR],tabela_registros[MÊS],$AE$1,tabela_registros[DIA],reservavariáveisconsolidadojul[[#Headers],[8]],tabela_registros[REGISTRO],DADOS!$N$6,tabela_registros[TIPO],DADOS!$AJ$4,tabela_registros[CATEGORIA],reservavariáveisconsolidadojul[[#This Row],[ATUAL]])</f>
        <v>0</v>
      </c>
      <c r="M194" s="91">
        <f>SUMIFS(tabela_registros[VALOR],tabela_registros[MÊS],$AE$1,tabela_registros[DIA],reservavariáveisconsolidadojul[[#Headers],[9]],tabela_registros[REGISTRO],DADOS!$N$6,tabela_registros[TIPO],DADOS!$AJ$4,tabela_registros[CATEGORIA],reservavariáveisconsolidadojul[[#This Row],[ATUAL]])</f>
        <v>0</v>
      </c>
      <c r="N194" s="91">
        <f>SUMIFS(tabela_registros[VALOR],tabela_registros[MÊS],$AE$1,tabela_registros[DIA],reservavariáveisconsolidadojul[[#Headers],[10]],tabela_registros[REGISTRO],DADOS!$N$6,tabela_registros[TIPO],DADOS!$AJ$4,tabela_registros[CATEGORIA],reservavariáveisconsolidadojul[[#This Row],[ATUAL]])</f>
        <v>0</v>
      </c>
      <c r="O194" s="91">
        <f>SUMIFS(tabela_registros[VALOR],tabela_registros[MÊS],$AE$1,tabela_registros[DIA],reservavariáveisconsolidadojul[[#Headers],[11]],tabela_registros[REGISTRO],DADOS!$N$6,tabela_registros[TIPO],DADOS!$AJ$4,tabela_registros[CATEGORIA],reservavariáveisconsolidadojul[[#This Row],[ATUAL]])</f>
        <v>0</v>
      </c>
      <c r="P194" s="91">
        <f>SUMIFS(tabela_registros[VALOR],tabela_registros[MÊS],$AE$1,tabela_registros[DIA],reservavariáveisconsolidadojul[[#Headers],[12]],tabela_registros[REGISTRO],DADOS!$N$6,tabela_registros[TIPO],DADOS!$AJ$4,tabela_registros[CATEGORIA],reservavariáveisconsolidadojul[[#This Row],[ATUAL]])</f>
        <v>0</v>
      </c>
      <c r="Q194" s="91">
        <f>SUMIFS(tabela_registros[VALOR],tabela_registros[MÊS],$AE$1,tabela_registros[DIA],reservavariáveisconsolidadojul[[#Headers],[13]],tabela_registros[REGISTRO],DADOS!$N$6,tabela_registros[TIPO],DADOS!$AJ$4,tabela_registros[CATEGORIA],reservavariáveisconsolidadojul[[#This Row],[ATUAL]])</f>
        <v>0</v>
      </c>
      <c r="R194" s="91">
        <f>SUMIFS(tabela_registros[VALOR],tabela_registros[MÊS],$AE$1,tabela_registros[DIA],reservavariáveisconsolidadojul[[#Headers],[14]],tabela_registros[REGISTRO],DADOS!$N$6,tabela_registros[TIPO],DADOS!$AJ$4,tabela_registros[CATEGORIA],reservavariáveisconsolidadojul[[#This Row],[ATUAL]])</f>
        <v>0</v>
      </c>
      <c r="S194" s="91">
        <f>SUMIFS(tabela_registros[VALOR],tabela_registros[MÊS],$AE$1,tabela_registros[DIA],reservavariáveisconsolidadojul[[#Headers],[15]],tabela_registros[REGISTRO],DADOS!$N$6,tabela_registros[TIPO],DADOS!$AJ$4,tabela_registros[CATEGORIA],reservavariáveisconsolidadojul[[#This Row],[ATUAL]])</f>
        <v>0</v>
      </c>
      <c r="T194" s="91">
        <f>SUMIFS(tabela_registros[VALOR],tabela_registros[MÊS],$AE$1,tabela_registros[DIA],reservavariáveisconsolidadojul[[#Headers],[16]],tabela_registros[REGISTRO],DADOS!$N$6,tabela_registros[TIPO],DADOS!$AJ$4,tabela_registros[CATEGORIA],reservavariáveisconsolidadojul[[#This Row],[ATUAL]])</f>
        <v>0</v>
      </c>
      <c r="U194" s="91">
        <f>SUMIFS(tabela_registros[VALOR],tabela_registros[MÊS],$AE$1,tabela_registros[DIA],reservavariáveisconsolidadojul[[#Headers],[17]],tabela_registros[REGISTRO],DADOS!$N$6,tabela_registros[TIPO],DADOS!$AJ$4,tabela_registros[CATEGORIA],reservavariáveisconsolidadojul[[#This Row],[ATUAL]])</f>
        <v>0</v>
      </c>
      <c r="V194" s="91">
        <f>SUMIFS(tabela_registros[VALOR],tabela_registros[MÊS],$AE$1,tabela_registros[DIA],reservavariáveisconsolidadojul[[#Headers],[18]],tabela_registros[REGISTRO],DADOS!$N$6,tabela_registros[TIPO],DADOS!$AJ$4,tabela_registros[CATEGORIA],reservavariáveisconsolidadojul[[#This Row],[ATUAL]])</f>
        <v>0</v>
      </c>
      <c r="W194" s="91">
        <f>SUMIFS(tabela_registros[VALOR],tabela_registros[MÊS],$AE$1,tabela_registros[DIA],reservavariáveisconsolidadojul[[#Headers],[19]],tabela_registros[REGISTRO],DADOS!$N$6,tabela_registros[TIPO],DADOS!$AJ$4,tabela_registros[CATEGORIA],reservavariáveisconsolidadojul[[#This Row],[ATUAL]])</f>
        <v>0</v>
      </c>
      <c r="X194" s="91">
        <f>SUMIFS(tabela_registros[VALOR],tabela_registros[MÊS],$AE$1,tabela_registros[DIA],reservavariáveisconsolidadojul[[#Headers],[20]],tabela_registros[REGISTRO],DADOS!$N$6,tabela_registros[TIPO],DADOS!$AJ$4,tabela_registros[CATEGORIA],reservavariáveisconsolidadojul[[#This Row],[ATUAL]])</f>
        <v>0</v>
      </c>
      <c r="Y194" s="91">
        <f>SUMIFS(tabela_registros[VALOR],tabela_registros[MÊS],$AE$1,tabela_registros[DIA],reservavariáveisconsolidadojul[[#Headers],[21]],tabela_registros[REGISTRO],DADOS!$N$6,tabela_registros[TIPO],DADOS!$AJ$4,tabela_registros[CATEGORIA],reservavariáveisconsolidadojul[[#This Row],[ATUAL]])</f>
        <v>0</v>
      </c>
      <c r="Z194" s="91">
        <f>SUMIFS(tabela_registros[VALOR],tabela_registros[MÊS],$AE$1,tabela_registros[DIA],reservavariáveisconsolidadojul[[#Headers],[22]],tabela_registros[REGISTRO],DADOS!$N$6,tabela_registros[TIPO],DADOS!$AJ$4,tabela_registros[CATEGORIA],reservavariáveisconsolidadojul[[#This Row],[ATUAL]])</f>
        <v>0</v>
      </c>
      <c r="AA194" s="91">
        <f>SUMIFS(tabela_registros[VALOR],tabela_registros[MÊS],$AE$1,tabela_registros[DIA],reservavariáveisconsolidadojul[[#Headers],[23]],tabela_registros[REGISTRO],DADOS!$N$6,tabela_registros[TIPO],DADOS!$AJ$4,tabela_registros[CATEGORIA],reservavariáveisconsolidadojul[[#This Row],[ATUAL]])</f>
        <v>0</v>
      </c>
      <c r="AB194" s="91">
        <f>SUMIFS(tabela_registros[VALOR],tabela_registros[MÊS],$AE$1,tabela_registros[DIA],reservavariáveisconsolidadojul[[#Headers],[24]],tabela_registros[REGISTRO],DADOS!$N$6,tabela_registros[TIPO],DADOS!$AJ$4,tabela_registros[CATEGORIA],reservavariáveisconsolidadojul[[#This Row],[ATUAL]])</f>
        <v>0</v>
      </c>
      <c r="AC194" s="91">
        <f>SUMIFS(tabela_registros[VALOR],tabela_registros[MÊS],$AE$1,tabela_registros[DIA],reservavariáveisconsolidadojul[[#Headers],[25]],tabela_registros[REGISTRO],DADOS!$N$6,tabela_registros[TIPO],DADOS!$AJ$4,tabela_registros[CATEGORIA],reservavariáveisconsolidadojul[[#This Row],[ATUAL]])</f>
        <v>0</v>
      </c>
      <c r="AD194" s="91">
        <f>SUMIFS(tabela_registros[VALOR],tabela_registros[MÊS],$AE$1,tabela_registros[DIA],reservavariáveisconsolidadojul[[#Headers],[26]],tabela_registros[REGISTRO],DADOS!$N$6,tabela_registros[TIPO],DADOS!$AJ$4,tabela_registros[CATEGORIA],reservavariáveisconsolidadojul[[#This Row],[ATUAL]])</f>
        <v>0</v>
      </c>
      <c r="AE194" s="91">
        <f>SUMIFS(tabela_registros[VALOR],tabela_registros[MÊS],$AE$1,tabela_registros[DIA],reservavariáveisconsolidadojul[[#Headers],[27]],tabela_registros[REGISTRO],DADOS!$N$6,tabela_registros[TIPO],DADOS!$AJ$4,tabela_registros[CATEGORIA],reservavariáveisconsolidadojul[[#This Row],[ATUAL]])</f>
        <v>0</v>
      </c>
      <c r="AF194" s="91">
        <f>SUMIFS(tabela_registros[VALOR],tabela_registros[MÊS],$AE$1,tabela_registros[DIA],reservavariáveisconsolidadojul[[#Headers],[28]],tabela_registros[REGISTRO],DADOS!$N$6,tabela_registros[TIPO],DADOS!$AJ$4,tabela_registros[CATEGORIA],reservavariáveisconsolidadojul[[#This Row],[ATUAL]])</f>
        <v>0</v>
      </c>
      <c r="AG194" s="91">
        <f>SUMIFS(tabela_registros[VALOR],tabela_registros[MÊS],$AE$1,tabela_registros[DIA],reservavariáveisconsolidadojul[[#Headers],[29]],tabela_registros[REGISTRO],DADOS!$N$6,tabela_registros[TIPO],DADOS!$AJ$4,tabela_registros[CATEGORIA],reservavariáveisconsolidadojul[[#This Row],[ATUAL]])</f>
        <v>0</v>
      </c>
      <c r="AH194" s="91">
        <f>SUMIFS(tabela_registros[VALOR],tabela_registros[MÊS],$AE$1,tabela_registros[DIA],reservavariáveisconsolidadojul[[#Headers],[30]],tabela_registros[REGISTRO],DADOS!$N$6,tabela_registros[TIPO],DADOS!$AJ$4,tabela_registros[CATEGORIA],reservavariáveisconsolidadojul[[#This Row],[ATUAL]])</f>
        <v>0</v>
      </c>
      <c r="AI194" s="101">
        <f>SUMIFS(tabela_registros[VALOR],tabela_registros[MÊS],$AE$1,tabela_registros[DIA],reservavariáveisconsolidadojul[[#Headers],[31]],tabela_registros[REGISTRO],DADOS!$N$6,tabela_registros[TIPO],DADOS!$AJ$4,tabela_registros[CATEGORIA],reservavariáveisconsolidadojul[[#This Row],[ATUAL]])</f>
        <v>0</v>
      </c>
      <c r="AJ194" s="97">
        <f>SUM(reservavariáveisconsolidadojul[[#This Row],[1]:[31]])</f>
        <v>0</v>
      </c>
      <c r="AK194" s="25"/>
    </row>
    <row r="195" spans="2:37" ht="19.5" customHeight="1" thickTop="1" thickBot="1" x14ac:dyDescent="0.3">
      <c r="B195" s="28"/>
      <c r="C195" s="27" t="str">
        <f>DADOS!$AN$11</f>
        <v>📝 MOEDA</v>
      </c>
      <c r="D195" s="26" t="str">
        <f>IF(reservavariáveisconsolidadojul[[#This Row],[TOTAL (R$)]]=0,"",IF(OR(reservavariáveisconsolidadojul[[#This Row],[TOTAL (R$)]]=LARGE($AJ$187:$AJ$196,1),reservavariáveisconsolidadojul[[#This Row],[TOTAL (R$)]]=LARGE($AJ$187:$AJ$196,2)),DADOS!$I$11,""))</f>
        <v/>
      </c>
      <c r="E195" s="96">
        <f>SUMIFS(tabela_registros[VALOR],tabela_registros[MÊS],$AE$1,tabela_registros[DIA],reservavariáveisconsolidadojul[[#Headers],[1]],tabela_registros[REGISTRO],DADOS!$N$6,tabela_registros[TIPO],DADOS!$AJ$4,tabela_registros[CATEGORIA],reservavariáveisconsolidadojul[[#This Row],[ATUAL]])</f>
        <v>0</v>
      </c>
      <c r="F195" s="91">
        <f>SUMIFS(tabela_registros[VALOR],tabela_registros[MÊS],$AE$1,tabela_registros[DIA],reservavariáveisconsolidadojul[[#Headers],[2]],tabela_registros[REGISTRO],DADOS!$N$6,tabela_registros[TIPO],DADOS!$AJ$4,tabela_registros[CATEGORIA],reservavariáveisconsolidadojul[[#This Row],[ATUAL]])</f>
        <v>0</v>
      </c>
      <c r="G195" s="91">
        <f>SUMIFS(tabela_registros[VALOR],tabela_registros[MÊS],$AE$1,tabela_registros[DIA],reservavariáveisconsolidadojul[[#Headers],[3]],tabela_registros[REGISTRO],DADOS!$N$6,tabela_registros[TIPO],DADOS!$AJ$4,tabela_registros[CATEGORIA],reservavariáveisconsolidadojul[[#This Row],[ATUAL]])</f>
        <v>0</v>
      </c>
      <c r="H195" s="91">
        <f>SUMIFS(tabela_registros[VALOR],tabela_registros[MÊS],$AE$1,tabela_registros[DIA],reservavariáveisconsolidadojul[[#Headers],[4]],tabela_registros[REGISTRO],DADOS!$N$6,tabela_registros[TIPO],DADOS!$AJ$4,tabela_registros[CATEGORIA],reservavariáveisconsolidadojul[[#This Row],[ATUAL]])</f>
        <v>0</v>
      </c>
      <c r="I195" s="91">
        <f>SUMIFS(tabela_registros[VALOR],tabela_registros[MÊS],$AE$1,tabela_registros[DIA],reservavariáveisconsolidadojul[[#Headers],[5]],tabela_registros[REGISTRO],DADOS!$N$6,tabela_registros[TIPO],DADOS!$AJ$4,tabela_registros[CATEGORIA],reservavariáveisconsolidadojul[[#This Row],[ATUAL]])</f>
        <v>0</v>
      </c>
      <c r="J195" s="91">
        <f>SUMIFS(tabela_registros[VALOR],tabela_registros[MÊS],$AE$1,tabela_registros[DIA],reservavariáveisconsolidadojul[[#Headers],[6]],tabela_registros[REGISTRO],DADOS!$N$6,tabela_registros[TIPO],DADOS!$AJ$4,tabela_registros[CATEGORIA],reservavariáveisconsolidadojul[[#This Row],[ATUAL]])</f>
        <v>0</v>
      </c>
      <c r="K195" s="91">
        <f>SUMIFS(tabela_registros[VALOR],tabela_registros[MÊS],$AE$1,tabela_registros[DIA],reservavariáveisconsolidadojul[[#Headers],[7]],tabela_registros[REGISTRO],DADOS!$N$6,tabela_registros[TIPO],DADOS!$AJ$4,tabela_registros[CATEGORIA],reservavariáveisconsolidadojul[[#This Row],[ATUAL]])</f>
        <v>0</v>
      </c>
      <c r="L195" s="91">
        <f>SUMIFS(tabela_registros[VALOR],tabela_registros[MÊS],$AE$1,tabela_registros[DIA],reservavariáveisconsolidadojul[[#Headers],[8]],tabela_registros[REGISTRO],DADOS!$N$6,tabela_registros[TIPO],DADOS!$AJ$4,tabela_registros[CATEGORIA],reservavariáveisconsolidadojul[[#This Row],[ATUAL]])</f>
        <v>0</v>
      </c>
      <c r="M195" s="91">
        <f>SUMIFS(tabela_registros[VALOR],tabela_registros[MÊS],$AE$1,tabela_registros[DIA],reservavariáveisconsolidadojul[[#Headers],[9]],tabela_registros[REGISTRO],DADOS!$N$6,tabela_registros[TIPO],DADOS!$AJ$4,tabela_registros[CATEGORIA],reservavariáveisconsolidadojul[[#This Row],[ATUAL]])</f>
        <v>0</v>
      </c>
      <c r="N195" s="91">
        <f>SUMIFS(tabela_registros[VALOR],tabela_registros[MÊS],$AE$1,tabela_registros[DIA],reservavariáveisconsolidadojul[[#Headers],[10]],tabela_registros[REGISTRO],DADOS!$N$6,tabela_registros[TIPO],DADOS!$AJ$4,tabela_registros[CATEGORIA],reservavariáveisconsolidadojul[[#This Row],[ATUAL]])</f>
        <v>0</v>
      </c>
      <c r="O195" s="91">
        <f>SUMIFS(tabela_registros[VALOR],tabela_registros[MÊS],$AE$1,tabela_registros[DIA],reservavariáveisconsolidadojul[[#Headers],[11]],tabela_registros[REGISTRO],DADOS!$N$6,tabela_registros[TIPO],DADOS!$AJ$4,tabela_registros[CATEGORIA],reservavariáveisconsolidadojul[[#This Row],[ATUAL]])</f>
        <v>0</v>
      </c>
      <c r="P195" s="91">
        <f>SUMIFS(tabela_registros[VALOR],tabela_registros[MÊS],$AE$1,tabela_registros[DIA],reservavariáveisconsolidadojul[[#Headers],[12]],tabela_registros[REGISTRO],DADOS!$N$6,tabela_registros[TIPO],DADOS!$AJ$4,tabela_registros[CATEGORIA],reservavariáveisconsolidadojul[[#This Row],[ATUAL]])</f>
        <v>0</v>
      </c>
      <c r="Q195" s="91">
        <f>SUMIFS(tabela_registros[VALOR],tabela_registros[MÊS],$AE$1,tabela_registros[DIA],reservavariáveisconsolidadojul[[#Headers],[13]],tabela_registros[REGISTRO],DADOS!$N$6,tabela_registros[TIPO],DADOS!$AJ$4,tabela_registros[CATEGORIA],reservavariáveisconsolidadojul[[#This Row],[ATUAL]])</f>
        <v>0</v>
      </c>
      <c r="R195" s="91">
        <f>SUMIFS(tabela_registros[VALOR],tabela_registros[MÊS],$AE$1,tabela_registros[DIA],reservavariáveisconsolidadojul[[#Headers],[14]],tabela_registros[REGISTRO],DADOS!$N$6,tabela_registros[TIPO],DADOS!$AJ$4,tabela_registros[CATEGORIA],reservavariáveisconsolidadojul[[#This Row],[ATUAL]])</f>
        <v>0</v>
      </c>
      <c r="S195" s="91">
        <f>SUMIFS(tabela_registros[VALOR],tabela_registros[MÊS],$AE$1,tabela_registros[DIA],reservavariáveisconsolidadojul[[#Headers],[15]],tabela_registros[REGISTRO],DADOS!$N$6,tabela_registros[TIPO],DADOS!$AJ$4,tabela_registros[CATEGORIA],reservavariáveisconsolidadojul[[#This Row],[ATUAL]])</f>
        <v>0</v>
      </c>
      <c r="T195" s="91">
        <f>SUMIFS(tabela_registros[VALOR],tabela_registros[MÊS],$AE$1,tabela_registros[DIA],reservavariáveisconsolidadojul[[#Headers],[16]],tabela_registros[REGISTRO],DADOS!$N$6,tabela_registros[TIPO],DADOS!$AJ$4,tabela_registros[CATEGORIA],reservavariáveisconsolidadojul[[#This Row],[ATUAL]])</f>
        <v>0</v>
      </c>
      <c r="U195" s="91">
        <f>SUMIFS(tabela_registros[VALOR],tabela_registros[MÊS],$AE$1,tabela_registros[DIA],reservavariáveisconsolidadojul[[#Headers],[17]],tabela_registros[REGISTRO],DADOS!$N$6,tabela_registros[TIPO],DADOS!$AJ$4,tabela_registros[CATEGORIA],reservavariáveisconsolidadojul[[#This Row],[ATUAL]])</f>
        <v>0</v>
      </c>
      <c r="V195" s="91">
        <f>SUMIFS(tabela_registros[VALOR],tabela_registros[MÊS],$AE$1,tabela_registros[DIA],reservavariáveisconsolidadojul[[#Headers],[18]],tabela_registros[REGISTRO],DADOS!$N$6,tabela_registros[TIPO],DADOS!$AJ$4,tabela_registros[CATEGORIA],reservavariáveisconsolidadojul[[#This Row],[ATUAL]])</f>
        <v>0</v>
      </c>
      <c r="W195" s="91">
        <f>SUMIFS(tabela_registros[VALOR],tabela_registros[MÊS],$AE$1,tabela_registros[DIA],reservavariáveisconsolidadojul[[#Headers],[19]],tabela_registros[REGISTRO],DADOS!$N$6,tabela_registros[TIPO],DADOS!$AJ$4,tabela_registros[CATEGORIA],reservavariáveisconsolidadojul[[#This Row],[ATUAL]])</f>
        <v>0</v>
      </c>
      <c r="X195" s="91">
        <f>SUMIFS(tabela_registros[VALOR],tabela_registros[MÊS],$AE$1,tabela_registros[DIA],reservavariáveisconsolidadojul[[#Headers],[20]],tabela_registros[REGISTRO],DADOS!$N$6,tabela_registros[TIPO],DADOS!$AJ$4,tabela_registros[CATEGORIA],reservavariáveisconsolidadojul[[#This Row],[ATUAL]])</f>
        <v>0</v>
      </c>
      <c r="Y195" s="91">
        <f>SUMIFS(tabela_registros[VALOR],tabela_registros[MÊS],$AE$1,tabela_registros[DIA],reservavariáveisconsolidadojul[[#Headers],[21]],tabela_registros[REGISTRO],DADOS!$N$6,tabela_registros[TIPO],DADOS!$AJ$4,tabela_registros[CATEGORIA],reservavariáveisconsolidadojul[[#This Row],[ATUAL]])</f>
        <v>0</v>
      </c>
      <c r="Z195" s="91">
        <f>SUMIFS(tabela_registros[VALOR],tabela_registros[MÊS],$AE$1,tabela_registros[DIA],reservavariáveisconsolidadojul[[#Headers],[22]],tabela_registros[REGISTRO],DADOS!$N$6,tabela_registros[TIPO],DADOS!$AJ$4,tabela_registros[CATEGORIA],reservavariáveisconsolidadojul[[#This Row],[ATUAL]])</f>
        <v>0</v>
      </c>
      <c r="AA195" s="91">
        <f>SUMIFS(tabela_registros[VALOR],tabela_registros[MÊS],$AE$1,tabela_registros[DIA],reservavariáveisconsolidadojul[[#Headers],[23]],tabela_registros[REGISTRO],DADOS!$N$6,tabela_registros[TIPO],DADOS!$AJ$4,tabela_registros[CATEGORIA],reservavariáveisconsolidadojul[[#This Row],[ATUAL]])</f>
        <v>0</v>
      </c>
      <c r="AB195" s="91">
        <f>SUMIFS(tabela_registros[VALOR],tabela_registros[MÊS],$AE$1,tabela_registros[DIA],reservavariáveisconsolidadojul[[#Headers],[24]],tabela_registros[REGISTRO],DADOS!$N$6,tabela_registros[TIPO],DADOS!$AJ$4,tabela_registros[CATEGORIA],reservavariáveisconsolidadojul[[#This Row],[ATUAL]])</f>
        <v>0</v>
      </c>
      <c r="AC195" s="91">
        <f>SUMIFS(tabela_registros[VALOR],tabela_registros[MÊS],$AE$1,tabela_registros[DIA],reservavariáveisconsolidadojul[[#Headers],[25]],tabela_registros[REGISTRO],DADOS!$N$6,tabela_registros[TIPO],DADOS!$AJ$4,tabela_registros[CATEGORIA],reservavariáveisconsolidadojul[[#This Row],[ATUAL]])</f>
        <v>0</v>
      </c>
      <c r="AD195" s="91">
        <f>SUMIFS(tabela_registros[VALOR],tabela_registros[MÊS],$AE$1,tabela_registros[DIA],reservavariáveisconsolidadojul[[#Headers],[26]],tabela_registros[REGISTRO],DADOS!$N$6,tabela_registros[TIPO],DADOS!$AJ$4,tabela_registros[CATEGORIA],reservavariáveisconsolidadojul[[#This Row],[ATUAL]])</f>
        <v>0</v>
      </c>
      <c r="AE195" s="91">
        <f>SUMIFS(tabela_registros[VALOR],tabela_registros[MÊS],$AE$1,tabela_registros[DIA],reservavariáveisconsolidadojul[[#Headers],[27]],tabela_registros[REGISTRO],DADOS!$N$6,tabela_registros[TIPO],DADOS!$AJ$4,tabela_registros[CATEGORIA],reservavariáveisconsolidadojul[[#This Row],[ATUAL]])</f>
        <v>0</v>
      </c>
      <c r="AF195" s="91">
        <f>SUMIFS(tabela_registros[VALOR],tabela_registros[MÊS],$AE$1,tabela_registros[DIA],reservavariáveisconsolidadojul[[#Headers],[28]],tabela_registros[REGISTRO],DADOS!$N$6,tabela_registros[TIPO],DADOS!$AJ$4,tabela_registros[CATEGORIA],reservavariáveisconsolidadojul[[#This Row],[ATUAL]])</f>
        <v>0</v>
      </c>
      <c r="AG195" s="91">
        <f>SUMIFS(tabela_registros[VALOR],tabela_registros[MÊS],$AE$1,tabela_registros[DIA],reservavariáveisconsolidadojul[[#Headers],[29]],tabela_registros[REGISTRO],DADOS!$N$6,tabela_registros[TIPO],DADOS!$AJ$4,tabela_registros[CATEGORIA],reservavariáveisconsolidadojul[[#This Row],[ATUAL]])</f>
        <v>0</v>
      </c>
      <c r="AH195" s="91">
        <f>SUMIFS(tabela_registros[VALOR],tabela_registros[MÊS],$AE$1,tabela_registros[DIA],reservavariáveisconsolidadojul[[#Headers],[30]],tabela_registros[REGISTRO],DADOS!$N$6,tabela_registros[TIPO],DADOS!$AJ$4,tabela_registros[CATEGORIA],reservavariáveisconsolidadojul[[#This Row],[ATUAL]])</f>
        <v>0</v>
      </c>
      <c r="AI195" s="101">
        <f>SUMIFS(tabela_registros[VALOR],tabela_registros[MÊS],$AE$1,tabela_registros[DIA],reservavariáveisconsolidadojul[[#Headers],[31]],tabela_registros[REGISTRO],DADOS!$N$6,tabela_registros[TIPO],DADOS!$AJ$4,tabela_registros[CATEGORIA],reservavariáveisconsolidadojul[[#This Row],[ATUAL]])</f>
        <v>0</v>
      </c>
      <c r="AJ195" s="97">
        <f>SUM(reservavariáveisconsolidadojul[[#This Row],[1]:[31]])</f>
        <v>0</v>
      </c>
      <c r="AK195" s="25"/>
    </row>
    <row r="196" spans="2:37" ht="19.5" customHeight="1" thickTop="1" thickBot="1" x14ac:dyDescent="0.3">
      <c r="B196" s="28"/>
      <c r="C196" s="27" t="str">
        <f>DADOS!$AN$12</f>
        <v>📎 OUTROS</v>
      </c>
      <c r="D196" s="26" t="str">
        <f>IF(reservavariáveisconsolidadojul[[#This Row],[TOTAL (R$)]]=0,"",IF(OR(reservavariáveisconsolidadojul[[#This Row],[TOTAL (R$)]]=LARGE($AJ$187:$AJ$196,1),reservavariáveisconsolidadojul[[#This Row],[TOTAL (R$)]]=LARGE($AJ$187:$AJ$196,2)),DADOS!$I$11,""))</f>
        <v/>
      </c>
      <c r="E196" s="96">
        <f>SUMIFS(tabela_registros[VALOR],tabela_registros[MÊS],$AE$1,tabela_registros[DIA],reservavariáveisconsolidadojul[[#Headers],[1]],tabela_registros[REGISTRO],DADOS!$N$6,tabela_registros[TIPO],DADOS!$AJ$4,tabela_registros[CATEGORIA],reservavariáveisconsolidadojul[[#This Row],[ATUAL]])</f>
        <v>0</v>
      </c>
      <c r="F196" s="91">
        <f>SUMIFS(tabela_registros[VALOR],tabela_registros[MÊS],$AE$1,tabela_registros[DIA],reservavariáveisconsolidadojul[[#Headers],[2]],tabela_registros[REGISTRO],DADOS!$N$6,tabela_registros[TIPO],DADOS!$AJ$4,tabela_registros[CATEGORIA],reservavariáveisconsolidadojul[[#This Row],[ATUAL]])</f>
        <v>0</v>
      </c>
      <c r="G196" s="91">
        <f>SUMIFS(tabela_registros[VALOR],tabela_registros[MÊS],$AE$1,tabela_registros[DIA],reservavariáveisconsolidadojul[[#Headers],[3]],tabela_registros[REGISTRO],DADOS!$N$6,tabela_registros[TIPO],DADOS!$AJ$4,tabela_registros[CATEGORIA],reservavariáveisconsolidadojul[[#This Row],[ATUAL]])</f>
        <v>0</v>
      </c>
      <c r="H196" s="91">
        <f>SUMIFS(tabela_registros[VALOR],tabela_registros[MÊS],$AE$1,tabela_registros[DIA],reservavariáveisconsolidadojul[[#Headers],[4]],tabela_registros[REGISTRO],DADOS!$N$6,tabela_registros[TIPO],DADOS!$AJ$4,tabela_registros[CATEGORIA],reservavariáveisconsolidadojul[[#This Row],[ATUAL]])</f>
        <v>0</v>
      </c>
      <c r="I196" s="91">
        <f>SUMIFS(tabela_registros[VALOR],tabela_registros[MÊS],$AE$1,tabela_registros[DIA],reservavariáveisconsolidadojul[[#Headers],[5]],tabela_registros[REGISTRO],DADOS!$N$6,tabela_registros[TIPO],DADOS!$AJ$4,tabela_registros[CATEGORIA],reservavariáveisconsolidadojul[[#This Row],[ATUAL]])</f>
        <v>0</v>
      </c>
      <c r="J196" s="91">
        <f>SUMIFS(tabela_registros[VALOR],tabela_registros[MÊS],$AE$1,tabela_registros[DIA],reservavariáveisconsolidadojul[[#Headers],[6]],tabela_registros[REGISTRO],DADOS!$N$6,tabela_registros[TIPO],DADOS!$AJ$4,tabela_registros[CATEGORIA],reservavariáveisconsolidadojul[[#This Row],[ATUAL]])</f>
        <v>0</v>
      </c>
      <c r="K196" s="91">
        <f>SUMIFS(tabela_registros[VALOR],tabela_registros[MÊS],$AE$1,tabela_registros[DIA],reservavariáveisconsolidadojul[[#Headers],[7]],tabela_registros[REGISTRO],DADOS!$N$6,tabela_registros[TIPO],DADOS!$AJ$4,tabela_registros[CATEGORIA],reservavariáveisconsolidadojul[[#This Row],[ATUAL]])</f>
        <v>0</v>
      </c>
      <c r="L196" s="91">
        <f>SUMIFS(tabela_registros[VALOR],tabela_registros[MÊS],$AE$1,tabela_registros[DIA],reservavariáveisconsolidadojul[[#Headers],[8]],tabela_registros[REGISTRO],DADOS!$N$6,tabela_registros[TIPO],DADOS!$AJ$4,tabela_registros[CATEGORIA],reservavariáveisconsolidadojul[[#This Row],[ATUAL]])</f>
        <v>0</v>
      </c>
      <c r="M196" s="91">
        <f>SUMIFS(tabela_registros[VALOR],tabela_registros[MÊS],$AE$1,tabela_registros[DIA],reservavariáveisconsolidadojul[[#Headers],[9]],tabela_registros[REGISTRO],DADOS!$N$6,tabela_registros[TIPO],DADOS!$AJ$4,tabela_registros[CATEGORIA],reservavariáveisconsolidadojul[[#This Row],[ATUAL]])</f>
        <v>0</v>
      </c>
      <c r="N196" s="91">
        <f>SUMIFS(tabela_registros[VALOR],tabela_registros[MÊS],$AE$1,tabela_registros[DIA],reservavariáveisconsolidadojul[[#Headers],[10]],tabela_registros[REGISTRO],DADOS!$N$6,tabela_registros[TIPO],DADOS!$AJ$4,tabela_registros[CATEGORIA],reservavariáveisconsolidadojul[[#This Row],[ATUAL]])</f>
        <v>0</v>
      </c>
      <c r="O196" s="91">
        <f>SUMIFS(tabela_registros[VALOR],tabela_registros[MÊS],$AE$1,tabela_registros[DIA],reservavariáveisconsolidadojul[[#Headers],[11]],tabela_registros[REGISTRO],DADOS!$N$6,tabela_registros[TIPO],DADOS!$AJ$4,tabela_registros[CATEGORIA],reservavariáveisconsolidadojul[[#This Row],[ATUAL]])</f>
        <v>0</v>
      </c>
      <c r="P196" s="91">
        <f>SUMIFS(tabela_registros[VALOR],tabela_registros[MÊS],$AE$1,tabela_registros[DIA],reservavariáveisconsolidadojul[[#Headers],[12]],tabela_registros[REGISTRO],DADOS!$N$6,tabela_registros[TIPO],DADOS!$AJ$4,tabela_registros[CATEGORIA],reservavariáveisconsolidadojul[[#This Row],[ATUAL]])</f>
        <v>0</v>
      </c>
      <c r="Q196" s="91">
        <f>SUMIFS(tabela_registros[VALOR],tabela_registros[MÊS],$AE$1,tabela_registros[DIA],reservavariáveisconsolidadojul[[#Headers],[13]],tabela_registros[REGISTRO],DADOS!$N$6,tabela_registros[TIPO],DADOS!$AJ$4,tabela_registros[CATEGORIA],reservavariáveisconsolidadojul[[#This Row],[ATUAL]])</f>
        <v>0</v>
      </c>
      <c r="R196" s="91">
        <f>SUMIFS(tabela_registros[VALOR],tabela_registros[MÊS],$AE$1,tabela_registros[DIA],reservavariáveisconsolidadojul[[#Headers],[14]],tabela_registros[REGISTRO],DADOS!$N$6,tabela_registros[TIPO],DADOS!$AJ$4,tabela_registros[CATEGORIA],reservavariáveisconsolidadojul[[#This Row],[ATUAL]])</f>
        <v>0</v>
      </c>
      <c r="S196" s="91">
        <f>SUMIFS(tabela_registros[VALOR],tabela_registros[MÊS],$AE$1,tabela_registros[DIA],reservavariáveisconsolidadojul[[#Headers],[15]],tabela_registros[REGISTRO],DADOS!$N$6,tabela_registros[TIPO],DADOS!$AJ$4,tabela_registros[CATEGORIA],reservavariáveisconsolidadojul[[#This Row],[ATUAL]])</f>
        <v>0</v>
      </c>
      <c r="T196" s="91">
        <f>SUMIFS(tabela_registros[VALOR],tabela_registros[MÊS],$AE$1,tabela_registros[DIA],reservavariáveisconsolidadojul[[#Headers],[16]],tabela_registros[REGISTRO],DADOS!$N$6,tabela_registros[TIPO],DADOS!$AJ$4,tabela_registros[CATEGORIA],reservavariáveisconsolidadojul[[#This Row],[ATUAL]])</f>
        <v>0</v>
      </c>
      <c r="U196" s="91">
        <f>SUMIFS(tabela_registros[VALOR],tabela_registros[MÊS],$AE$1,tabela_registros[DIA],reservavariáveisconsolidadojul[[#Headers],[17]],tabela_registros[REGISTRO],DADOS!$N$6,tabela_registros[TIPO],DADOS!$AJ$4,tabela_registros[CATEGORIA],reservavariáveisconsolidadojul[[#This Row],[ATUAL]])</f>
        <v>0</v>
      </c>
      <c r="V196" s="91">
        <f>SUMIFS(tabela_registros[VALOR],tabela_registros[MÊS],$AE$1,tabela_registros[DIA],reservavariáveisconsolidadojul[[#Headers],[18]],tabela_registros[REGISTRO],DADOS!$N$6,tabela_registros[TIPO],DADOS!$AJ$4,tabela_registros[CATEGORIA],reservavariáveisconsolidadojul[[#This Row],[ATUAL]])</f>
        <v>0</v>
      </c>
      <c r="W196" s="91">
        <f>SUMIFS(tabela_registros[VALOR],tabela_registros[MÊS],$AE$1,tabela_registros[DIA],reservavariáveisconsolidadojul[[#Headers],[19]],tabela_registros[REGISTRO],DADOS!$N$6,tabela_registros[TIPO],DADOS!$AJ$4,tabela_registros[CATEGORIA],reservavariáveisconsolidadojul[[#This Row],[ATUAL]])</f>
        <v>0</v>
      </c>
      <c r="X196" s="91">
        <f>SUMIFS(tabela_registros[VALOR],tabela_registros[MÊS],$AE$1,tabela_registros[DIA],reservavariáveisconsolidadojul[[#Headers],[20]],tabela_registros[REGISTRO],DADOS!$N$6,tabela_registros[TIPO],DADOS!$AJ$4,tabela_registros[CATEGORIA],reservavariáveisconsolidadojul[[#This Row],[ATUAL]])</f>
        <v>0</v>
      </c>
      <c r="Y196" s="91">
        <f>SUMIFS(tabela_registros[VALOR],tabela_registros[MÊS],$AE$1,tabela_registros[DIA],reservavariáveisconsolidadojul[[#Headers],[21]],tabela_registros[REGISTRO],DADOS!$N$6,tabela_registros[TIPO],DADOS!$AJ$4,tabela_registros[CATEGORIA],reservavariáveisconsolidadojul[[#This Row],[ATUAL]])</f>
        <v>0</v>
      </c>
      <c r="Z196" s="91">
        <f>SUMIFS(tabela_registros[VALOR],tabela_registros[MÊS],$AE$1,tabela_registros[DIA],reservavariáveisconsolidadojul[[#Headers],[22]],tabela_registros[REGISTRO],DADOS!$N$6,tabela_registros[TIPO],DADOS!$AJ$4,tabela_registros[CATEGORIA],reservavariáveisconsolidadojul[[#This Row],[ATUAL]])</f>
        <v>0</v>
      </c>
      <c r="AA196" s="91">
        <f>SUMIFS(tabela_registros[VALOR],tabela_registros[MÊS],$AE$1,tabela_registros[DIA],reservavariáveisconsolidadojul[[#Headers],[23]],tabela_registros[REGISTRO],DADOS!$N$6,tabela_registros[TIPO],DADOS!$AJ$4,tabela_registros[CATEGORIA],reservavariáveisconsolidadojul[[#This Row],[ATUAL]])</f>
        <v>0</v>
      </c>
      <c r="AB196" s="91">
        <f>SUMIFS(tabela_registros[VALOR],tabela_registros[MÊS],$AE$1,tabela_registros[DIA],reservavariáveisconsolidadojul[[#Headers],[24]],tabela_registros[REGISTRO],DADOS!$N$6,tabela_registros[TIPO],DADOS!$AJ$4,tabela_registros[CATEGORIA],reservavariáveisconsolidadojul[[#This Row],[ATUAL]])</f>
        <v>0</v>
      </c>
      <c r="AC196" s="91">
        <f>SUMIFS(tabela_registros[VALOR],tabela_registros[MÊS],$AE$1,tabela_registros[DIA],reservavariáveisconsolidadojul[[#Headers],[25]],tabela_registros[REGISTRO],DADOS!$N$6,tabela_registros[TIPO],DADOS!$AJ$4,tabela_registros[CATEGORIA],reservavariáveisconsolidadojul[[#This Row],[ATUAL]])</f>
        <v>0</v>
      </c>
      <c r="AD196" s="91">
        <f>SUMIFS(tabela_registros[VALOR],tabela_registros[MÊS],$AE$1,tabela_registros[DIA],reservavariáveisconsolidadojul[[#Headers],[26]],tabela_registros[REGISTRO],DADOS!$N$6,tabela_registros[TIPO],DADOS!$AJ$4,tabela_registros[CATEGORIA],reservavariáveisconsolidadojul[[#This Row],[ATUAL]])</f>
        <v>0</v>
      </c>
      <c r="AE196" s="91">
        <f>SUMIFS(tabela_registros[VALOR],tabela_registros[MÊS],$AE$1,tabela_registros[DIA],reservavariáveisconsolidadojul[[#Headers],[27]],tabela_registros[REGISTRO],DADOS!$N$6,tabela_registros[TIPO],DADOS!$AJ$4,tabela_registros[CATEGORIA],reservavariáveisconsolidadojul[[#This Row],[ATUAL]])</f>
        <v>0</v>
      </c>
      <c r="AF196" s="91">
        <f>SUMIFS(tabela_registros[VALOR],tabela_registros[MÊS],$AE$1,tabela_registros[DIA],reservavariáveisconsolidadojul[[#Headers],[28]],tabela_registros[REGISTRO],DADOS!$N$6,tabela_registros[TIPO],DADOS!$AJ$4,tabela_registros[CATEGORIA],reservavariáveisconsolidadojul[[#This Row],[ATUAL]])</f>
        <v>0</v>
      </c>
      <c r="AG196" s="91">
        <f>SUMIFS(tabela_registros[VALOR],tabela_registros[MÊS],$AE$1,tabela_registros[DIA],reservavariáveisconsolidadojul[[#Headers],[29]],tabela_registros[REGISTRO],DADOS!$N$6,tabela_registros[TIPO],DADOS!$AJ$4,tabela_registros[CATEGORIA],reservavariáveisconsolidadojul[[#This Row],[ATUAL]])</f>
        <v>0</v>
      </c>
      <c r="AH196" s="91">
        <f>SUMIFS(tabela_registros[VALOR],tabela_registros[MÊS],$AE$1,tabela_registros[DIA],reservavariáveisconsolidadojul[[#Headers],[30]],tabela_registros[REGISTRO],DADOS!$N$6,tabela_registros[TIPO],DADOS!$AJ$4,tabela_registros[CATEGORIA],reservavariáveisconsolidadojul[[#This Row],[ATUAL]])</f>
        <v>0</v>
      </c>
      <c r="AI196" s="102">
        <f>SUMIFS(tabela_registros[VALOR],tabela_registros[MÊS],$AE$1,tabela_registros[DIA],reservavariáveisconsolidadojul[[#Headers],[31]],tabela_registros[REGISTRO],DADOS!$N$6,tabela_registros[TIPO],DADOS!$AJ$4,tabela_registros[CATEGORIA],reservavariáveisconsolidadojul[[#This Row],[ATUAL]])</f>
        <v>0</v>
      </c>
      <c r="AJ196" s="97">
        <f>SUM(reservavariáveisconsolidadojul[[#This Row],[1]:[31]])</f>
        <v>0</v>
      </c>
      <c r="AK196" s="25"/>
    </row>
    <row r="197" spans="2:37" s="16" customFormat="1" ht="21" customHeight="1" thickTop="1" thickBot="1" x14ac:dyDescent="0.35">
      <c r="B197" s="24"/>
      <c r="C197" s="23" t="s">
        <v>19</v>
      </c>
      <c r="D197" s="22"/>
      <c r="E197" s="21">
        <f>SUM(E187:E196)</f>
        <v>0</v>
      </c>
      <c r="F197" s="20">
        <f>SUM(F187:F196)+reservavariáveisconsolidadojul[[#This Row],[1]]</f>
        <v>0</v>
      </c>
      <c r="G197" s="20">
        <f>SUM(G187:G196)+reservavariáveisconsolidadojul[[#This Row],[2]]</f>
        <v>0</v>
      </c>
      <c r="H197" s="20">
        <f>SUM(H187:H196)+reservavariáveisconsolidadojul[[#This Row],[3]]</f>
        <v>0</v>
      </c>
      <c r="I197" s="20">
        <f>SUM(I187:I196)+reservavariáveisconsolidadojul[[#This Row],[4]]</f>
        <v>0</v>
      </c>
      <c r="J197" s="20">
        <f>SUM(J187:J196)+reservavariáveisconsolidadojul[[#This Row],[5]]</f>
        <v>0</v>
      </c>
      <c r="K197" s="20">
        <f>SUM(K187:K196)+reservavariáveisconsolidadojul[[#This Row],[6]]</f>
        <v>0</v>
      </c>
      <c r="L197" s="20">
        <f>SUM(L187:L196)+reservavariáveisconsolidadojul[[#This Row],[7]]</f>
        <v>0</v>
      </c>
      <c r="M197" s="20">
        <f>SUM(M187:M196)+reservavariáveisconsolidadojul[[#This Row],[8]]</f>
        <v>0</v>
      </c>
      <c r="N197" s="20">
        <f>SUM(N187:N196)+reservavariáveisconsolidadojul[[#This Row],[9]]</f>
        <v>0</v>
      </c>
      <c r="O197" s="20">
        <f>SUM(O187:O196)+reservavariáveisconsolidadojul[[#This Row],[10]]</f>
        <v>0</v>
      </c>
      <c r="P197" s="20">
        <f>SUM(P187:P196)+reservavariáveisconsolidadojul[[#This Row],[11]]</f>
        <v>0</v>
      </c>
      <c r="Q197" s="20">
        <f>SUM(Q187:Q196)+reservavariáveisconsolidadojul[[#This Row],[12]]</f>
        <v>0</v>
      </c>
      <c r="R197" s="20">
        <f>SUM(R187:R196)+reservavariáveisconsolidadojul[[#This Row],[13]]</f>
        <v>0</v>
      </c>
      <c r="S197" s="20">
        <f>SUM(S187:S196)+reservavariáveisconsolidadojul[[#This Row],[14]]</f>
        <v>0</v>
      </c>
      <c r="T197" s="20">
        <f>SUM(T187:T196)+reservavariáveisconsolidadojul[[#This Row],[15]]</f>
        <v>0</v>
      </c>
      <c r="U197" s="20">
        <f>SUM(U187:U196)+reservavariáveisconsolidadojul[[#This Row],[16]]</f>
        <v>0</v>
      </c>
      <c r="V197" s="20">
        <f>SUM(V187:V196)+reservavariáveisconsolidadojul[[#This Row],[17]]</f>
        <v>0</v>
      </c>
      <c r="W197" s="20">
        <f>SUM(W187:W196)+reservavariáveisconsolidadojul[[#This Row],[18]]</f>
        <v>0</v>
      </c>
      <c r="X197" s="20">
        <f>SUM(X187:X196)+reservavariáveisconsolidadojul[[#This Row],[19]]</f>
        <v>0</v>
      </c>
      <c r="Y197" s="20">
        <f>SUM(Y187:Y196)+reservavariáveisconsolidadojul[[#This Row],[20]]</f>
        <v>0</v>
      </c>
      <c r="Z197" s="20">
        <f>SUM(Z187:Z196)+reservavariáveisconsolidadojul[[#This Row],[21]]</f>
        <v>0</v>
      </c>
      <c r="AA197" s="20">
        <f>SUM(AA187:AA196)+reservavariáveisconsolidadojul[[#This Row],[22]]</f>
        <v>0</v>
      </c>
      <c r="AB197" s="20">
        <f>SUM(AB187:AB196)+reservavariáveisconsolidadojul[[#This Row],[23]]</f>
        <v>0</v>
      </c>
      <c r="AC197" s="20">
        <f>SUM(AC187:AC196)+reservavariáveisconsolidadojul[[#This Row],[24]]</f>
        <v>0</v>
      </c>
      <c r="AD197" s="20">
        <f>SUM(AD187:AD196)+reservavariáveisconsolidadojul[[#This Row],[25]]</f>
        <v>0</v>
      </c>
      <c r="AE197" s="20">
        <f>SUM(AE187:AE196)+reservavariáveisconsolidadojul[[#This Row],[26]]</f>
        <v>0</v>
      </c>
      <c r="AF197" s="20">
        <f>SUM(AF187:AF196)+reservavariáveisconsolidadojul[[#This Row],[27]]</f>
        <v>0</v>
      </c>
      <c r="AG197" s="20">
        <f>SUM(AG187:AG196)+reservavariáveisconsolidadojul[[#This Row],[28]]</f>
        <v>0</v>
      </c>
      <c r="AH197" s="20">
        <f>SUM(AH187:AH196)+reservavariáveisconsolidadojul[[#This Row],[29]]</f>
        <v>0</v>
      </c>
      <c r="AI197" s="19">
        <f>SUM(AI187:AI196)+reservavariáveisconsolidadojul[[#This Row],[30]]</f>
        <v>0</v>
      </c>
      <c r="AJ197" s="18">
        <f>reservavariáveisconsolidadojul[[#This Row],[31]]</f>
        <v>0</v>
      </c>
      <c r="AK197" s="17"/>
    </row>
    <row r="198" spans="2:37" ht="6.75" customHeight="1" thickTop="1" thickBot="1" x14ac:dyDescent="0.3">
      <c r="B198" s="15"/>
      <c r="C198" s="14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  <c r="AC198" s="13"/>
      <c r="AD198" s="13"/>
      <c r="AE198" s="13"/>
      <c r="AF198" s="13"/>
      <c r="AG198" s="13"/>
      <c r="AH198" s="13"/>
      <c r="AI198" s="12"/>
      <c r="AJ198" s="11"/>
      <c r="AK198" s="10"/>
    </row>
    <row r="199" spans="2:37" ht="12.6" thickTop="1" x14ac:dyDescent="0.25">
      <c r="E199" s="37"/>
      <c r="AI199" s="4"/>
    </row>
    <row r="200" spans="2:37" x14ac:dyDescent="0.25">
      <c r="AI200" s="4"/>
    </row>
    <row r="201" spans="2:37" x14ac:dyDescent="0.25">
      <c r="AI201" s="4"/>
    </row>
    <row r="202" spans="2:37" ht="39.75" customHeight="1" x14ac:dyDescent="0.7">
      <c r="C202" s="36"/>
      <c r="E202" s="240"/>
      <c r="F202" s="240"/>
      <c r="G202" s="240"/>
      <c r="H202" s="240"/>
      <c r="I202" s="240"/>
      <c r="J202" s="240"/>
      <c r="K202" s="240"/>
      <c r="L202" s="240"/>
      <c r="M202" s="240"/>
      <c r="N202" s="240"/>
      <c r="O202" s="240"/>
      <c r="P202" s="240"/>
      <c r="Q202" s="240"/>
      <c r="R202" s="240"/>
      <c r="S202" s="240"/>
      <c r="T202" s="240"/>
      <c r="U202" s="240"/>
      <c r="V202" s="240"/>
      <c r="W202" s="240"/>
      <c r="X202" s="240"/>
      <c r="Y202" s="240"/>
      <c r="Z202" s="240"/>
      <c r="AA202" s="240"/>
      <c r="AB202" s="240"/>
      <c r="AC202" s="240"/>
      <c r="AD202" s="240"/>
      <c r="AE202" s="240"/>
      <c r="AF202" s="240"/>
      <c r="AG202" s="240"/>
      <c r="AH202" s="240"/>
      <c r="AI202" s="240"/>
      <c r="AJ202" s="32" t="s">
        <v>19</v>
      </c>
    </row>
    <row r="203" spans="2:37" ht="12.6" thickBot="1" x14ac:dyDescent="0.3">
      <c r="B203" s="35"/>
      <c r="AI203" s="4"/>
      <c r="AJ203" s="34" t="s">
        <v>202</v>
      </c>
    </row>
    <row r="204" spans="2:37" ht="6.75" customHeight="1" thickTop="1" thickBot="1" x14ac:dyDescent="0.3">
      <c r="B204" s="2"/>
      <c r="C204" s="14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3"/>
      <c r="AD204" s="13"/>
      <c r="AE204" s="13"/>
      <c r="AF204" s="13"/>
      <c r="AG204" s="13"/>
      <c r="AH204" s="13"/>
      <c r="AI204" s="13"/>
      <c r="AJ204" s="12"/>
      <c r="AK204" s="33"/>
    </row>
    <row r="205" spans="2:37" ht="13.2" hidden="1" thickTop="1" thickBot="1" x14ac:dyDescent="0.3">
      <c r="B205" s="2"/>
      <c r="C205" s="31" t="s">
        <v>199</v>
      </c>
      <c r="D205" s="30" t="s">
        <v>198</v>
      </c>
      <c r="E205" s="30" t="s">
        <v>197</v>
      </c>
      <c r="F205" s="30" t="s">
        <v>196</v>
      </c>
      <c r="G205" s="30" t="s">
        <v>195</v>
      </c>
      <c r="H205" s="30" t="s">
        <v>194</v>
      </c>
      <c r="I205" s="30" t="s">
        <v>193</v>
      </c>
      <c r="J205" s="30" t="s">
        <v>192</v>
      </c>
      <c r="K205" s="30" t="s">
        <v>191</v>
      </c>
      <c r="L205" s="30" t="s">
        <v>190</v>
      </c>
      <c r="M205" s="30" t="s">
        <v>189</v>
      </c>
      <c r="N205" s="30" t="s">
        <v>188</v>
      </c>
      <c r="O205" s="30" t="s">
        <v>187</v>
      </c>
      <c r="P205" s="30" t="s">
        <v>186</v>
      </c>
      <c r="Q205" s="30" t="s">
        <v>185</v>
      </c>
      <c r="R205" s="30" t="s">
        <v>184</v>
      </c>
      <c r="S205" s="30" t="s">
        <v>183</v>
      </c>
      <c r="T205" s="30" t="s">
        <v>182</v>
      </c>
      <c r="U205" s="30" t="s">
        <v>181</v>
      </c>
      <c r="V205" s="30" t="s">
        <v>180</v>
      </c>
      <c r="W205" s="30" t="s">
        <v>179</v>
      </c>
      <c r="X205" s="30" t="s">
        <v>178</v>
      </c>
      <c r="Y205" s="30" t="s">
        <v>177</v>
      </c>
      <c r="Z205" s="30" t="s">
        <v>176</v>
      </c>
      <c r="AA205" s="30" t="s">
        <v>175</v>
      </c>
      <c r="AB205" s="30" t="s">
        <v>174</v>
      </c>
      <c r="AC205" s="30" t="s">
        <v>173</v>
      </c>
      <c r="AD205" s="30" t="s">
        <v>172</v>
      </c>
      <c r="AE205" s="30" t="s">
        <v>171</v>
      </c>
      <c r="AF205" s="30" t="s">
        <v>170</v>
      </c>
      <c r="AG205" s="30" t="s">
        <v>169</v>
      </c>
      <c r="AH205" s="30" t="s">
        <v>168</v>
      </c>
      <c r="AI205" s="30" t="s">
        <v>167</v>
      </c>
      <c r="AJ205" s="29" t="s">
        <v>166</v>
      </c>
      <c r="AK205" s="2"/>
    </row>
    <row r="206" spans="2:37" ht="19.5" customHeight="1" thickTop="1" thickBot="1" x14ac:dyDescent="0.3">
      <c r="B206" s="28"/>
      <c r="C206" s="27" t="str">
        <f>DADOS!$AP$3</f>
        <v>📝 COE</v>
      </c>
      <c r="D206" s="26" t="str">
        <f>IF(reservaoutrosconsolidadojul[[#This Row],[TOTAL (R$)]]=0,"",IF(OR(reservaoutrosconsolidadojul[[#This Row],[TOTAL (R$)]]=LARGE($AJ$206:$AJ$213,1),reservaoutrosconsolidadojul[[#This Row],[TOTAL (R$)]]=LARGE($AJ$206:$AJ$213,2)),DADOS!$I$11,""))</f>
        <v/>
      </c>
      <c r="E206" s="96">
        <f>SUMIFS(tabela_registros[VALOR],tabela_registros[MÊS],$AE$1,tabela_registros[DIA],reservaoutrosconsolidadojul[[#Headers],[1]],tabela_registros[REGISTRO],DADOS!$N$6,tabela_registros[TIPO],DADOS!$AJ$5,tabela_registros[CATEGORIA],reservaoutrosconsolidadojul[[#This Row],[ATUAL]])</f>
        <v>0</v>
      </c>
      <c r="F206" s="91">
        <f>SUMIFS(tabela_registros[VALOR],tabela_registros[MÊS],$AE$1,tabela_registros[DIA],reservaoutrosconsolidadojul[[#Headers],[2]],tabela_registros[REGISTRO],DADOS!$N$6,tabela_registros[TIPO],DADOS!$AJ$5,tabela_registros[CATEGORIA],reservaoutrosconsolidadojul[[#This Row],[ATUAL]])</f>
        <v>0</v>
      </c>
      <c r="G206" s="91">
        <f>SUMIFS(tabela_registros[VALOR],tabela_registros[MÊS],$AE$1,tabela_registros[DIA],reservaoutrosconsolidadojul[[#Headers],[3]],tabela_registros[REGISTRO],DADOS!$N$6,tabela_registros[TIPO],DADOS!$AJ$5,tabela_registros[CATEGORIA],reservaoutrosconsolidadojul[[#This Row],[ATUAL]])</f>
        <v>0</v>
      </c>
      <c r="H206" s="91">
        <f>SUMIFS(tabela_registros[VALOR],tabela_registros[MÊS],$AE$1,tabela_registros[DIA],reservaoutrosconsolidadojul[[#Headers],[4]],tabela_registros[REGISTRO],DADOS!$N$6,tabela_registros[TIPO],DADOS!$AJ$5,tabela_registros[CATEGORIA],reservaoutrosconsolidadojul[[#This Row],[ATUAL]])</f>
        <v>0</v>
      </c>
      <c r="I206" s="91">
        <f>SUMIFS(tabela_registros[VALOR],tabela_registros[MÊS],$AE$1,tabela_registros[DIA],reservaoutrosconsolidadojul[[#Headers],[5]],tabela_registros[REGISTRO],DADOS!$N$6,tabela_registros[TIPO],DADOS!$AJ$5,tabela_registros[CATEGORIA],reservaoutrosconsolidadojul[[#This Row],[ATUAL]])</f>
        <v>0</v>
      </c>
      <c r="J206" s="91">
        <f>SUMIFS(tabela_registros[VALOR],tabela_registros[MÊS],$AE$1,tabela_registros[DIA],reservaoutrosconsolidadojul[[#Headers],[6]],tabela_registros[REGISTRO],DADOS!$N$6,tabela_registros[TIPO],DADOS!$AJ$5,tabela_registros[CATEGORIA],reservaoutrosconsolidadojul[[#This Row],[ATUAL]])</f>
        <v>0</v>
      </c>
      <c r="K206" s="91">
        <f>SUMIFS(tabela_registros[VALOR],tabela_registros[MÊS],$AE$1,tabela_registros[DIA],reservaoutrosconsolidadojul[[#Headers],[7]],tabela_registros[REGISTRO],DADOS!$N$6,tabela_registros[TIPO],DADOS!$AJ$5,tabela_registros[CATEGORIA],reservaoutrosconsolidadojul[[#This Row],[ATUAL]])</f>
        <v>0</v>
      </c>
      <c r="L206" s="91">
        <f>SUMIFS(tabela_registros[VALOR],tabela_registros[MÊS],$AE$1,tabela_registros[DIA],reservaoutrosconsolidadojul[[#Headers],[8]],tabela_registros[REGISTRO],DADOS!$N$6,tabela_registros[TIPO],DADOS!$AJ$5,tabela_registros[CATEGORIA],reservaoutrosconsolidadojul[[#This Row],[ATUAL]])</f>
        <v>0</v>
      </c>
      <c r="M206" s="91">
        <f>SUMIFS(tabela_registros[VALOR],tabela_registros[MÊS],$AE$1,tabela_registros[DIA],reservaoutrosconsolidadojul[[#Headers],[9]],tabela_registros[REGISTRO],DADOS!$N$6,tabela_registros[TIPO],DADOS!$AJ$5,tabela_registros[CATEGORIA],reservaoutrosconsolidadojul[[#This Row],[ATUAL]])</f>
        <v>0</v>
      </c>
      <c r="N206" s="91">
        <f>SUMIFS(tabela_registros[VALOR],tabela_registros[MÊS],$AE$1,tabela_registros[DIA],reservaoutrosconsolidadojul[[#Headers],[10]],tabela_registros[REGISTRO],DADOS!$N$6,tabela_registros[TIPO],DADOS!$AJ$5,tabela_registros[CATEGORIA],reservaoutrosconsolidadojul[[#This Row],[ATUAL]])</f>
        <v>0</v>
      </c>
      <c r="O206" s="91">
        <f>SUMIFS(tabela_registros[VALOR],tabela_registros[MÊS],$AE$1,tabela_registros[DIA],reservaoutrosconsolidadojul[[#Headers],[11]],tabela_registros[REGISTRO],DADOS!$N$6,tabela_registros[TIPO],DADOS!$AJ$5,tabela_registros[CATEGORIA],reservaoutrosconsolidadojul[[#This Row],[ATUAL]])</f>
        <v>0</v>
      </c>
      <c r="P206" s="91">
        <f>SUMIFS(tabela_registros[VALOR],tabela_registros[MÊS],$AE$1,tabela_registros[DIA],reservaoutrosconsolidadojul[[#Headers],[12]],tabela_registros[REGISTRO],DADOS!$N$6,tabela_registros[TIPO],DADOS!$AJ$5,tabela_registros[CATEGORIA],reservaoutrosconsolidadojul[[#This Row],[ATUAL]])</f>
        <v>0</v>
      </c>
      <c r="Q206" s="91">
        <f>SUMIFS(tabela_registros[VALOR],tabela_registros[MÊS],$AE$1,tabela_registros[DIA],reservaoutrosconsolidadojul[[#Headers],[13]],tabela_registros[REGISTRO],DADOS!$N$6,tabela_registros[TIPO],DADOS!$AJ$5,tabela_registros[CATEGORIA],reservaoutrosconsolidadojul[[#This Row],[ATUAL]])</f>
        <v>0</v>
      </c>
      <c r="R206" s="91">
        <f>SUMIFS(tabela_registros[VALOR],tabela_registros[MÊS],$AE$1,tabela_registros[DIA],reservaoutrosconsolidadojul[[#Headers],[14]],tabela_registros[REGISTRO],DADOS!$N$6,tabela_registros[TIPO],DADOS!$AJ$5,tabela_registros[CATEGORIA],reservaoutrosconsolidadojul[[#This Row],[ATUAL]])</f>
        <v>0</v>
      </c>
      <c r="S206" s="91">
        <f>SUMIFS(tabela_registros[VALOR],tabela_registros[MÊS],$AE$1,tabela_registros[DIA],reservaoutrosconsolidadojul[[#Headers],[15]],tabela_registros[REGISTRO],DADOS!$N$6,tabela_registros[TIPO],DADOS!$AJ$5,tabela_registros[CATEGORIA],reservaoutrosconsolidadojul[[#This Row],[ATUAL]])</f>
        <v>0</v>
      </c>
      <c r="T206" s="91">
        <f>SUMIFS(tabela_registros[VALOR],tabela_registros[MÊS],$AE$1,tabela_registros[DIA],reservaoutrosconsolidadojul[[#Headers],[16]],tabela_registros[REGISTRO],DADOS!$N$6,tabela_registros[TIPO],DADOS!$AJ$5,tabela_registros[CATEGORIA],reservaoutrosconsolidadojul[[#This Row],[ATUAL]])</f>
        <v>0</v>
      </c>
      <c r="U206" s="91">
        <f>SUMIFS(tabela_registros[VALOR],tabela_registros[MÊS],$AE$1,tabela_registros[DIA],reservaoutrosconsolidadojul[[#Headers],[17]],tabela_registros[REGISTRO],DADOS!$N$6,tabela_registros[TIPO],DADOS!$AJ$5,tabela_registros[CATEGORIA],reservaoutrosconsolidadojul[[#This Row],[ATUAL]])</f>
        <v>0</v>
      </c>
      <c r="V206" s="91">
        <f>SUMIFS(tabela_registros[VALOR],tabela_registros[MÊS],$AE$1,tabela_registros[DIA],reservaoutrosconsolidadojul[[#Headers],[18]],tabela_registros[REGISTRO],DADOS!$N$6,tabela_registros[TIPO],DADOS!$AJ$5,tabela_registros[CATEGORIA],reservaoutrosconsolidadojul[[#This Row],[ATUAL]])</f>
        <v>0</v>
      </c>
      <c r="W206" s="91">
        <f>SUMIFS(tabela_registros[VALOR],tabela_registros[MÊS],$AE$1,tabela_registros[DIA],reservaoutrosconsolidadojul[[#Headers],[19]],tabela_registros[REGISTRO],DADOS!$N$6,tabela_registros[TIPO],DADOS!$AJ$5,tabela_registros[CATEGORIA],reservaoutrosconsolidadojul[[#This Row],[ATUAL]])</f>
        <v>0</v>
      </c>
      <c r="X206" s="91">
        <f>SUMIFS(tabela_registros[VALOR],tabela_registros[MÊS],$AE$1,tabela_registros[DIA],reservaoutrosconsolidadojul[[#Headers],[20]],tabela_registros[REGISTRO],DADOS!$N$6,tabela_registros[TIPO],DADOS!$AJ$5,tabela_registros[CATEGORIA],reservaoutrosconsolidadojul[[#This Row],[ATUAL]])</f>
        <v>0</v>
      </c>
      <c r="Y206" s="91">
        <f>SUMIFS(tabela_registros[VALOR],tabela_registros[MÊS],$AE$1,tabela_registros[DIA],reservaoutrosconsolidadojul[[#Headers],[21]],tabela_registros[REGISTRO],DADOS!$N$6,tabela_registros[TIPO],DADOS!$AJ$5,tabela_registros[CATEGORIA],reservaoutrosconsolidadojul[[#This Row],[ATUAL]])</f>
        <v>0</v>
      </c>
      <c r="Z206" s="91">
        <f>SUMIFS(tabela_registros[VALOR],tabela_registros[MÊS],$AE$1,tabela_registros[DIA],reservaoutrosconsolidadojul[[#Headers],[22]],tabela_registros[REGISTRO],DADOS!$N$6,tabela_registros[TIPO],DADOS!$AJ$5,tabela_registros[CATEGORIA],reservaoutrosconsolidadojul[[#This Row],[ATUAL]])</f>
        <v>0</v>
      </c>
      <c r="AA206" s="91">
        <f>SUMIFS(tabela_registros[VALOR],tabela_registros[MÊS],$AE$1,tabela_registros[DIA],reservaoutrosconsolidadojul[[#Headers],[23]],tabela_registros[REGISTRO],DADOS!$N$6,tabela_registros[TIPO],DADOS!$AJ$5,tabela_registros[CATEGORIA],reservaoutrosconsolidadojul[[#This Row],[ATUAL]])</f>
        <v>0</v>
      </c>
      <c r="AB206" s="91">
        <f>SUMIFS(tabela_registros[VALOR],tabela_registros[MÊS],$AE$1,tabela_registros[DIA],reservaoutrosconsolidadojul[[#Headers],[24]],tabela_registros[REGISTRO],DADOS!$N$6,tabela_registros[TIPO],DADOS!$AJ$5,tabela_registros[CATEGORIA],reservaoutrosconsolidadojul[[#This Row],[ATUAL]])</f>
        <v>0</v>
      </c>
      <c r="AC206" s="91">
        <f>SUMIFS(tabela_registros[VALOR],tabela_registros[MÊS],$AE$1,tabela_registros[DIA],reservaoutrosconsolidadojul[[#Headers],[25]],tabela_registros[REGISTRO],DADOS!$N$6,tabela_registros[TIPO],DADOS!$AJ$5,tabela_registros[CATEGORIA],reservaoutrosconsolidadojul[[#This Row],[ATUAL]])</f>
        <v>0</v>
      </c>
      <c r="AD206" s="91">
        <f>SUMIFS(tabela_registros[VALOR],tabela_registros[MÊS],$AE$1,tabela_registros[DIA],reservaoutrosconsolidadojul[[#Headers],[26]],tabela_registros[REGISTRO],DADOS!$N$6,tabela_registros[TIPO],DADOS!$AJ$5,tabela_registros[CATEGORIA],reservaoutrosconsolidadojul[[#This Row],[ATUAL]])</f>
        <v>0</v>
      </c>
      <c r="AE206" s="91">
        <f>SUMIFS(tabela_registros[VALOR],tabela_registros[MÊS],$AE$1,tabela_registros[DIA],reservaoutrosconsolidadojul[[#Headers],[27]],tabela_registros[REGISTRO],DADOS!$N$6,tabela_registros[TIPO],DADOS!$AJ$5,tabela_registros[CATEGORIA],reservaoutrosconsolidadojul[[#This Row],[ATUAL]])</f>
        <v>0</v>
      </c>
      <c r="AF206" s="91">
        <f>SUMIFS(tabela_registros[VALOR],tabela_registros[MÊS],$AE$1,tabela_registros[DIA],reservaoutrosconsolidadojul[[#Headers],[28]],tabela_registros[REGISTRO],DADOS!$N$6,tabela_registros[TIPO],DADOS!$AJ$5,tabela_registros[CATEGORIA],reservaoutrosconsolidadojul[[#This Row],[ATUAL]])</f>
        <v>0</v>
      </c>
      <c r="AG206" s="91">
        <f>SUMIFS(tabela_registros[VALOR],tabela_registros[MÊS],$AE$1,tabela_registros[DIA],reservaoutrosconsolidadojul[[#Headers],[29]],tabela_registros[REGISTRO],DADOS!$N$6,tabela_registros[TIPO],DADOS!$AJ$5,tabela_registros[CATEGORIA],reservaoutrosconsolidadojul[[#This Row],[ATUAL]])</f>
        <v>0</v>
      </c>
      <c r="AH206" s="91">
        <f>SUMIFS(tabela_registros[VALOR],tabela_registros[MÊS],$AE$1,tabela_registros[DIA],reservaoutrosconsolidadojul[[#Headers],[30]],tabela_registros[REGISTRO],DADOS!$N$6,tabela_registros[TIPO],DADOS!$AJ$5,tabela_registros[CATEGORIA],reservaoutrosconsolidadojul[[#This Row],[ATUAL]])</f>
        <v>0</v>
      </c>
      <c r="AI206" s="101">
        <f>SUMIFS(tabela_registros[VALOR],tabela_registros[MÊS],$AE$1,tabela_registros[DIA],reservaoutrosconsolidadojul[[#Headers],[31]],tabela_registros[REGISTRO],DADOS!$N$6,tabela_registros[TIPO],DADOS!$AJ$5,tabela_registros[CATEGORIA],reservaoutrosconsolidadojul[[#This Row],[ATUAL]])</f>
        <v>0</v>
      </c>
      <c r="AJ206" s="97">
        <f>SUM(reservaoutrosconsolidadojul[[#This Row],[1]:[31]])</f>
        <v>0</v>
      </c>
      <c r="AK206" s="25"/>
    </row>
    <row r="207" spans="2:37" ht="19.5" customHeight="1" thickTop="1" thickBot="1" x14ac:dyDescent="0.3">
      <c r="B207" s="28"/>
      <c r="C207" s="27" t="str">
        <f>DADOS!$AP$4</f>
        <v>📝 FOREX</v>
      </c>
      <c r="D207" s="26" t="str">
        <f>IF(reservaoutrosconsolidadojul[[#This Row],[TOTAL (R$)]]=0,"",IF(OR(reservaoutrosconsolidadojul[[#This Row],[TOTAL (R$)]]=LARGE($AJ$206:$AJ$213,1),reservaoutrosconsolidadojul[[#This Row],[TOTAL (R$)]]=LARGE($AJ$206:$AJ$213,2)),DADOS!$I$11,""))</f>
        <v/>
      </c>
      <c r="E207" s="96">
        <f>SUMIFS(tabela_registros[VALOR],tabela_registros[MÊS],$AE$1,tabela_registros[DIA],reservaoutrosconsolidadojul[[#Headers],[1]],tabela_registros[REGISTRO],DADOS!$N$6,tabela_registros[TIPO],DADOS!$AJ$5,tabela_registros[CATEGORIA],reservaoutrosconsolidadojul[[#This Row],[ATUAL]])</f>
        <v>0</v>
      </c>
      <c r="F207" s="91">
        <f>SUMIFS(tabela_registros[VALOR],tabela_registros[MÊS],$AE$1,tabela_registros[DIA],reservaoutrosconsolidadojul[[#Headers],[2]],tabela_registros[REGISTRO],DADOS!$N$6,tabela_registros[TIPO],DADOS!$AJ$5,tabela_registros[CATEGORIA],reservaoutrosconsolidadojul[[#This Row],[ATUAL]])</f>
        <v>0</v>
      </c>
      <c r="G207" s="91">
        <f>SUMIFS(tabela_registros[VALOR],tabela_registros[MÊS],$AE$1,tabela_registros[DIA],reservaoutrosconsolidadojul[[#Headers],[3]],tabela_registros[REGISTRO],DADOS!$N$6,tabela_registros[TIPO],DADOS!$AJ$5,tabela_registros[CATEGORIA],reservaoutrosconsolidadojul[[#This Row],[ATUAL]])</f>
        <v>0</v>
      </c>
      <c r="H207" s="91">
        <f>SUMIFS(tabela_registros[VALOR],tabela_registros[MÊS],$AE$1,tabela_registros[DIA],reservaoutrosconsolidadojul[[#Headers],[4]],tabela_registros[REGISTRO],DADOS!$N$6,tabela_registros[TIPO],DADOS!$AJ$5,tabela_registros[CATEGORIA],reservaoutrosconsolidadojul[[#This Row],[ATUAL]])</f>
        <v>0</v>
      </c>
      <c r="I207" s="91">
        <f>SUMIFS(tabela_registros[VALOR],tabela_registros[MÊS],$AE$1,tabela_registros[DIA],reservaoutrosconsolidadojul[[#Headers],[5]],tabela_registros[REGISTRO],DADOS!$N$6,tabela_registros[TIPO],DADOS!$AJ$5,tabela_registros[CATEGORIA],reservaoutrosconsolidadojul[[#This Row],[ATUAL]])</f>
        <v>0</v>
      </c>
      <c r="J207" s="91">
        <f>SUMIFS(tabela_registros[VALOR],tabela_registros[MÊS],$AE$1,tabela_registros[DIA],reservaoutrosconsolidadojul[[#Headers],[6]],tabela_registros[REGISTRO],DADOS!$N$6,tabela_registros[TIPO],DADOS!$AJ$5,tabela_registros[CATEGORIA],reservaoutrosconsolidadojul[[#This Row],[ATUAL]])</f>
        <v>0</v>
      </c>
      <c r="K207" s="91">
        <f>SUMIFS(tabela_registros[VALOR],tabela_registros[MÊS],$AE$1,tabela_registros[DIA],reservaoutrosconsolidadojul[[#Headers],[7]],tabela_registros[REGISTRO],DADOS!$N$6,tabela_registros[TIPO],DADOS!$AJ$5,tabela_registros[CATEGORIA],reservaoutrosconsolidadojul[[#This Row],[ATUAL]])</f>
        <v>0</v>
      </c>
      <c r="L207" s="91">
        <f>SUMIFS(tabela_registros[VALOR],tabela_registros[MÊS],$AE$1,tabela_registros[DIA],reservaoutrosconsolidadojul[[#Headers],[8]],tabela_registros[REGISTRO],DADOS!$N$6,tabela_registros[TIPO],DADOS!$AJ$5,tabela_registros[CATEGORIA],reservaoutrosconsolidadojul[[#This Row],[ATUAL]])</f>
        <v>0</v>
      </c>
      <c r="M207" s="91">
        <f>SUMIFS(tabela_registros[VALOR],tabela_registros[MÊS],$AE$1,tabela_registros[DIA],reservaoutrosconsolidadojul[[#Headers],[9]],tabela_registros[REGISTRO],DADOS!$N$6,tabela_registros[TIPO],DADOS!$AJ$5,tabela_registros[CATEGORIA],reservaoutrosconsolidadojul[[#This Row],[ATUAL]])</f>
        <v>0</v>
      </c>
      <c r="N207" s="91">
        <f>SUMIFS(tabela_registros[VALOR],tabela_registros[MÊS],$AE$1,tabela_registros[DIA],reservaoutrosconsolidadojul[[#Headers],[10]],tabela_registros[REGISTRO],DADOS!$N$6,tabela_registros[TIPO],DADOS!$AJ$5,tabela_registros[CATEGORIA],reservaoutrosconsolidadojul[[#This Row],[ATUAL]])</f>
        <v>0</v>
      </c>
      <c r="O207" s="91">
        <f>SUMIFS(tabela_registros[VALOR],tabela_registros[MÊS],$AE$1,tabela_registros[DIA],reservaoutrosconsolidadojul[[#Headers],[11]],tabela_registros[REGISTRO],DADOS!$N$6,tabela_registros[TIPO],DADOS!$AJ$5,tabela_registros[CATEGORIA],reservaoutrosconsolidadojul[[#This Row],[ATUAL]])</f>
        <v>0</v>
      </c>
      <c r="P207" s="91">
        <f>SUMIFS(tabela_registros[VALOR],tabela_registros[MÊS],$AE$1,tabela_registros[DIA],reservaoutrosconsolidadojul[[#Headers],[12]],tabela_registros[REGISTRO],DADOS!$N$6,tabela_registros[TIPO],DADOS!$AJ$5,tabela_registros[CATEGORIA],reservaoutrosconsolidadojul[[#This Row],[ATUAL]])</f>
        <v>0</v>
      </c>
      <c r="Q207" s="91">
        <f>SUMIFS(tabela_registros[VALOR],tabela_registros[MÊS],$AE$1,tabela_registros[DIA],reservaoutrosconsolidadojul[[#Headers],[13]],tabela_registros[REGISTRO],DADOS!$N$6,tabela_registros[TIPO],DADOS!$AJ$5,tabela_registros[CATEGORIA],reservaoutrosconsolidadojul[[#This Row],[ATUAL]])</f>
        <v>0</v>
      </c>
      <c r="R207" s="91">
        <f>SUMIFS(tabela_registros[VALOR],tabela_registros[MÊS],$AE$1,tabela_registros[DIA],reservaoutrosconsolidadojul[[#Headers],[14]],tabela_registros[REGISTRO],DADOS!$N$6,tabela_registros[TIPO],DADOS!$AJ$5,tabela_registros[CATEGORIA],reservaoutrosconsolidadojul[[#This Row],[ATUAL]])</f>
        <v>0</v>
      </c>
      <c r="S207" s="91">
        <f>SUMIFS(tabela_registros[VALOR],tabela_registros[MÊS],$AE$1,tabela_registros[DIA],reservaoutrosconsolidadojul[[#Headers],[15]],tabela_registros[REGISTRO],DADOS!$N$6,tabela_registros[TIPO],DADOS!$AJ$5,tabela_registros[CATEGORIA],reservaoutrosconsolidadojul[[#This Row],[ATUAL]])</f>
        <v>0</v>
      </c>
      <c r="T207" s="91">
        <f>SUMIFS(tabela_registros[VALOR],tabela_registros[MÊS],$AE$1,tabela_registros[DIA],reservaoutrosconsolidadojul[[#Headers],[16]],tabela_registros[REGISTRO],DADOS!$N$6,tabela_registros[TIPO],DADOS!$AJ$5,tabela_registros[CATEGORIA],reservaoutrosconsolidadojul[[#This Row],[ATUAL]])</f>
        <v>0</v>
      </c>
      <c r="U207" s="91">
        <f>SUMIFS(tabela_registros[VALOR],tabela_registros[MÊS],$AE$1,tabela_registros[DIA],reservaoutrosconsolidadojul[[#Headers],[17]],tabela_registros[REGISTRO],DADOS!$N$6,tabela_registros[TIPO],DADOS!$AJ$5,tabela_registros[CATEGORIA],reservaoutrosconsolidadojul[[#This Row],[ATUAL]])</f>
        <v>0</v>
      </c>
      <c r="V207" s="91">
        <f>SUMIFS(tabela_registros[VALOR],tabela_registros[MÊS],$AE$1,tabela_registros[DIA],reservaoutrosconsolidadojul[[#Headers],[18]],tabela_registros[REGISTRO],DADOS!$N$6,tabela_registros[TIPO],DADOS!$AJ$5,tabela_registros[CATEGORIA],reservaoutrosconsolidadojul[[#This Row],[ATUAL]])</f>
        <v>0</v>
      </c>
      <c r="W207" s="91">
        <f>SUMIFS(tabela_registros[VALOR],tabela_registros[MÊS],$AE$1,tabela_registros[DIA],reservaoutrosconsolidadojul[[#Headers],[19]],tabela_registros[REGISTRO],DADOS!$N$6,tabela_registros[TIPO],DADOS!$AJ$5,tabela_registros[CATEGORIA],reservaoutrosconsolidadojul[[#This Row],[ATUAL]])</f>
        <v>0</v>
      </c>
      <c r="X207" s="91">
        <f>SUMIFS(tabela_registros[VALOR],tabela_registros[MÊS],$AE$1,tabela_registros[DIA],reservaoutrosconsolidadojul[[#Headers],[20]],tabela_registros[REGISTRO],DADOS!$N$6,tabela_registros[TIPO],DADOS!$AJ$5,tabela_registros[CATEGORIA],reservaoutrosconsolidadojul[[#This Row],[ATUAL]])</f>
        <v>0</v>
      </c>
      <c r="Y207" s="91">
        <f>SUMIFS(tabela_registros[VALOR],tabela_registros[MÊS],$AE$1,tabela_registros[DIA],reservaoutrosconsolidadojul[[#Headers],[21]],tabela_registros[REGISTRO],DADOS!$N$6,tabela_registros[TIPO],DADOS!$AJ$5,tabela_registros[CATEGORIA],reservaoutrosconsolidadojul[[#This Row],[ATUAL]])</f>
        <v>0</v>
      </c>
      <c r="Z207" s="91">
        <f>SUMIFS(tabela_registros[VALOR],tabela_registros[MÊS],$AE$1,tabela_registros[DIA],reservaoutrosconsolidadojul[[#Headers],[22]],tabela_registros[REGISTRO],DADOS!$N$6,tabela_registros[TIPO],DADOS!$AJ$5,tabela_registros[CATEGORIA],reservaoutrosconsolidadojul[[#This Row],[ATUAL]])</f>
        <v>0</v>
      </c>
      <c r="AA207" s="91">
        <f>SUMIFS(tabela_registros[VALOR],tabela_registros[MÊS],$AE$1,tabela_registros[DIA],reservaoutrosconsolidadojul[[#Headers],[23]],tabela_registros[REGISTRO],DADOS!$N$6,tabela_registros[TIPO],DADOS!$AJ$5,tabela_registros[CATEGORIA],reservaoutrosconsolidadojul[[#This Row],[ATUAL]])</f>
        <v>0</v>
      </c>
      <c r="AB207" s="91">
        <f>SUMIFS(tabela_registros[VALOR],tabela_registros[MÊS],$AE$1,tabela_registros[DIA],reservaoutrosconsolidadojul[[#Headers],[24]],tabela_registros[REGISTRO],DADOS!$N$6,tabela_registros[TIPO],DADOS!$AJ$5,tabela_registros[CATEGORIA],reservaoutrosconsolidadojul[[#This Row],[ATUAL]])</f>
        <v>0</v>
      </c>
      <c r="AC207" s="91">
        <f>SUMIFS(tabela_registros[VALOR],tabela_registros[MÊS],$AE$1,tabela_registros[DIA],reservaoutrosconsolidadojul[[#Headers],[25]],tabela_registros[REGISTRO],DADOS!$N$6,tabela_registros[TIPO],DADOS!$AJ$5,tabela_registros[CATEGORIA],reservaoutrosconsolidadojul[[#This Row],[ATUAL]])</f>
        <v>0</v>
      </c>
      <c r="AD207" s="91">
        <f>SUMIFS(tabela_registros[VALOR],tabela_registros[MÊS],$AE$1,tabela_registros[DIA],reservaoutrosconsolidadojul[[#Headers],[26]],tabela_registros[REGISTRO],DADOS!$N$6,tabela_registros[TIPO],DADOS!$AJ$5,tabela_registros[CATEGORIA],reservaoutrosconsolidadojul[[#This Row],[ATUAL]])</f>
        <v>0</v>
      </c>
      <c r="AE207" s="91">
        <f>SUMIFS(tabela_registros[VALOR],tabela_registros[MÊS],$AE$1,tabela_registros[DIA],reservaoutrosconsolidadojul[[#Headers],[27]],tabela_registros[REGISTRO],DADOS!$N$6,tabela_registros[TIPO],DADOS!$AJ$5,tabela_registros[CATEGORIA],reservaoutrosconsolidadojul[[#This Row],[ATUAL]])</f>
        <v>0</v>
      </c>
      <c r="AF207" s="91">
        <f>SUMIFS(tabela_registros[VALOR],tabela_registros[MÊS],$AE$1,tabela_registros[DIA],reservaoutrosconsolidadojul[[#Headers],[28]],tabela_registros[REGISTRO],DADOS!$N$6,tabela_registros[TIPO],DADOS!$AJ$5,tabela_registros[CATEGORIA],reservaoutrosconsolidadojul[[#This Row],[ATUAL]])</f>
        <v>0</v>
      </c>
      <c r="AG207" s="91">
        <f>SUMIFS(tabela_registros[VALOR],tabela_registros[MÊS],$AE$1,tabela_registros[DIA],reservaoutrosconsolidadojul[[#Headers],[29]],tabela_registros[REGISTRO],DADOS!$N$6,tabela_registros[TIPO],DADOS!$AJ$5,tabela_registros[CATEGORIA],reservaoutrosconsolidadojul[[#This Row],[ATUAL]])</f>
        <v>0</v>
      </c>
      <c r="AH207" s="91">
        <f>SUMIFS(tabela_registros[VALOR],tabela_registros[MÊS],$AE$1,tabela_registros[DIA],reservaoutrosconsolidadojul[[#Headers],[30]],tabela_registros[REGISTRO],DADOS!$N$6,tabela_registros[TIPO],DADOS!$AJ$5,tabela_registros[CATEGORIA],reservaoutrosconsolidadojul[[#This Row],[ATUAL]])</f>
        <v>0</v>
      </c>
      <c r="AI207" s="101">
        <f>SUMIFS(tabela_registros[VALOR],tabela_registros[MÊS],$AE$1,tabela_registros[DIA],reservaoutrosconsolidadojul[[#Headers],[31]],tabela_registros[REGISTRO],DADOS!$N$6,tabela_registros[TIPO],DADOS!$AJ$5,tabela_registros[CATEGORIA],reservaoutrosconsolidadojul[[#This Row],[ATUAL]])</f>
        <v>0</v>
      </c>
      <c r="AJ207" s="97">
        <f>SUM(reservaoutrosconsolidadojul[[#This Row],[1]:[31]])</f>
        <v>0</v>
      </c>
      <c r="AK207" s="25"/>
    </row>
    <row r="208" spans="2:37" ht="19.5" customHeight="1" thickTop="1" thickBot="1" x14ac:dyDescent="0.3">
      <c r="B208" s="28"/>
      <c r="C208" s="27" t="str">
        <f>DADOS!$AP$5</f>
        <v>📝 FUNDO DE INVESTIMENTO</v>
      </c>
      <c r="D208" s="26" t="str">
        <f>IF(reservaoutrosconsolidadojul[[#This Row],[TOTAL (R$)]]=0,"",IF(OR(reservaoutrosconsolidadojul[[#This Row],[TOTAL (R$)]]=LARGE($AJ$206:$AJ$213,1),reservaoutrosconsolidadojul[[#This Row],[TOTAL (R$)]]=LARGE($AJ$206:$AJ$213,2)),DADOS!$I$11,""))</f>
        <v/>
      </c>
      <c r="E208" s="96">
        <f>SUMIFS(tabela_registros[VALOR],tabela_registros[MÊS],$AE$1,tabela_registros[DIA],reservaoutrosconsolidadojul[[#Headers],[1]],tabela_registros[REGISTRO],DADOS!$N$6,tabela_registros[TIPO],DADOS!$AJ$5,tabela_registros[CATEGORIA],reservaoutrosconsolidadojul[[#This Row],[ATUAL]])</f>
        <v>0</v>
      </c>
      <c r="F208" s="91">
        <f>SUMIFS(tabela_registros[VALOR],tabela_registros[MÊS],$AE$1,tabela_registros[DIA],reservaoutrosconsolidadojul[[#Headers],[2]],tabela_registros[REGISTRO],DADOS!$N$6,tabela_registros[TIPO],DADOS!$AJ$5,tabela_registros[CATEGORIA],reservaoutrosconsolidadojul[[#This Row],[ATUAL]])</f>
        <v>0</v>
      </c>
      <c r="G208" s="91">
        <f>SUMIFS(tabela_registros[VALOR],tabela_registros[MÊS],$AE$1,tabela_registros[DIA],reservaoutrosconsolidadojul[[#Headers],[3]],tabela_registros[REGISTRO],DADOS!$N$6,tabela_registros[TIPO],DADOS!$AJ$5,tabela_registros[CATEGORIA],reservaoutrosconsolidadojul[[#This Row],[ATUAL]])</f>
        <v>0</v>
      </c>
      <c r="H208" s="91">
        <f>SUMIFS(tabela_registros[VALOR],tabela_registros[MÊS],$AE$1,tabela_registros[DIA],reservaoutrosconsolidadojul[[#Headers],[4]],tabela_registros[REGISTRO],DADOS!$N$6,tabela_registros[TIPO],DADOS!$AJ$5,tabela_registros[CATEGORIA],reservaoutrosconsolidadojul[[#This Row],[ATUAL]])</f>
        <v>0</v>
      </c>
      <c r="I208" s="91">
        <f>SUMIFS(tabela_registros[VALOR],tabela_registros[MÊS],$AE$1,tabela_registros[DIA],reservaoutrosconsolidadojul[[#Headers],[5]],tabela_registros[REGISTRO],DADOS!$N$6,tabela_registros[TIPO],DADOS!$AJ$5,tabela_registros[CATEGORIA],reservaoutrosconsolidadojul[[#This Row],[ATUAL]])</f>
        <v>0</v>
      </c>
      <c r="J208" s="91">
        <f>SUMIFS(tabela_registros[VALOR],tabela_registros[MÊS],$AE$1,tabela_registros[DIA],reservaoutrosconsolidadojul[[#Headers],[6]],tabela_registros[REGISTRO],DADOS!$N$6,tabela_registros[TIPO],DADOS!$AJ$5,tabela_registros[CATEGORIA],reservaoutrosconsolidadojul[[#This Row],[ATUAL]])</f>
        <v>0</v>
      </c>
      <c r="K208" s="91">
        <f>SUMIFS(tabela_registros[VALOR],tabela_registros[MÊS],$AE$1,tabela_registros[DIA],reservaoutrosconsolidadojul[[#Headers],[7]],tabela_registros[REGISTRO],DADOS!$N$6,tabela_registros[TIPO],DADOS!$AJ$5,tabela_registros[CATEGORIA],reservaoutrosconsolidadojul[[#This Row],[ATUAL]])</f>
        <v>0</v>
      </c>
      <c r="L208" s="91">
        <f>SUMIFS(tabela_registros[VALOR],tabela_registros[MÊS],$AE$1,tabela_registros[DIA],reservaoutrosconsolidadojul[[#Headers],[8]],tabela_registros[REGISTRO],DADOS!$N$6,tabela_registros[TIPO],DADOS!$AJ$5,tabela_registros[CATEGORIA],reservaoutrosconsolidadojul[[#This Row],[ATUAL]])</f>
        <v>0</v>
      </c>
      <c r="M208" s="91">
        <f>SUMIFS(tabela_registros[VALOR],tabela_registros[MÊS],$AE$1,tabela_registros[DIA],reservaoutrosconsolidadojul[[#Headers],[9]],tabela_registros[REGISTRO],DADOS!$N$6,tabela_registros[TIPO],DADOS!$AJ$5,tabela_registros[CATEGORIA],reservaoutrosconsolidadojul[[#This Row],[ATUAL]])</f>
        <v>0</v>
      </c>
      <c r="N208" s="91">
        <f>SUMIFS(tabela_registros[VALOR],tabela_registros[MÊS],$AE$1,tabela_registros[DIA],reservaoutrosconsolidadojul[[#Headers],[10]],tabela_registros[REGISTRO],DADOS!$N$6,tabela_registros[TIPO],DADOS!$AJ$5,tabela_registros[CATEGORIA],reservaoutrosconsolidadojul[[#This Row],[ATUAL]])</f>
        <v>0</v>
      </c>
      <c r="O208" s="91">
        <f>SUMIFS(tabela_registros[VALOR],tabela_registros[MÊS],$AE$1,tabela_registros[DIA],reservaoutrosconsolidadojul[[#Headers],[11]],tabela_registros[REGISTRO],DADOS!$N$6,tabela_registros[TIPO],DADOS!$AJ$5,tabela_registros[CATEGORIA],reservaoutrosconsolidadojul[[#This Row],[ATUAL]])</f>
        <v>0</v>
      </c>
      <c r="P208" s="91">
        <f>SUMIFS(tabela_registros[VALOR],tabela_registros[MÊS],$AE$1,tabela_registros[DIA],reservaoutrosconsolidadojul[[#Headers],[12]],tabela_registros[REGISTRO],DADOS!$N$6,tabela_registros[TIPO],DADOS!$AJ$5,tabela_registros[CATEGORIA],reservaoutrosconsolidadojul[[#This Row],[ATUAL]])</f>
        <v>0</v>
      </c>
      <c r="Q208" s="91">
        <f>SUMIFS(tabela_registros[VALOR],tabela_registros[MÊS],$AE$1,tabela_registros[DIA],reservaoutrosconsolidadojul[[#Headers],[13]],tabela_registros[REGISTRO],DADOS!$N$6,tabela_registros[TIPO],DADOS!$AJ$5,tabela_registros[CATEGORIA],reservaoutrosconsolidadojul[[#This Row],[ATUAL]])</f>
        <v>0</v>
      </c>
      <c r="R208" s="91">
        <f>SUMIFS(tabela_registros[VALOR],tabela_registros[MÊS],$AE$1,tabela_registros[DIA],reservaoutrosconsolidadojul[[#Headers],[14]],tabela_registros[REGISTRO],DADOS!$N$6,tabela_registros[TIPO],DADOS!$AJ$5,tabela_registros[CATEGORIA],reservaoutrosconsolidadojul[[#This Row],[ATUAL]])</f>
        <v>0</v>
      </c>
      <c r="S208" s="91">
        <f>SUMIFS(tabela_registros[VALOR],tabela_registros[MÊS],$AE$1,tabela_registros[DIA],reservaoutrosconsolidadojul[[#Headers],[15]],tabela_registros[REGISTRO],DADOS!$N$6,tabela_registros[TIPO],DADOS!$AJ$5,tabela_registros[CATEGORIA],reservaoutrosconsolidadojul[[#This Row],[ATUAL]])</f>
        <v>0</v>
      </c>
      <c r="T208" s="91">
        <f>SUMIFS(tabela_registros[VALOR],tabela_registros[MÊS],$AE$1,tabela_registros[DIA],reservaoutrosconsolidadojul[[#Headers],[16]],tabela_registros[REGISTRO],DADOS!$N$6,tabela_registros[TIPO],DADOS!$AJ$5,tabela_registros[CATEGORIA],reservaoutrosconsolidadojul[[#This Row],[ATUAL]])</f>
        <v>0</v>
      </c>
      <c r="U208" s="91">
        <f>SUMIFS(tabela_registros[VALOR],tabela_registros[MÊS],$AE$1,tabela_registros[DIA],reservaoutrosconsolidadojul[[#Headers],[17]],tabela_registros[REGISTRO],DADOS!$N$6,tabela_registros[TIPO],DADOS!$AJ$5,tabela_registros[CATEGORIA],reservaoutrosconsolidadojul[[#This Row],[ATUAL]])</f>
        <v>0</v>
      </c>
      <c r="V208" s="91">
        <f>SUMIFS(tabela_registros[VALOR],tabela_registros[MÊS],$AE$1,tabela_registros[DIA],reservaoutrosconsolidadojul[[#Headers],[18]],tabela_registros[REGISTRO],DADOS!$N$6,tabela_registros[TIPO],DADOS!$AJ$5,tabela_registros[CATEGORIA],reservaoutrosconsolidadojul[[#This Row],[ATUAL]])</f>
        <v>0</v>
      </c>
      <c r="W208" s="91">
        <f>SUMIFS(tabela_registros[VALOR],tabela_registros[MÊS],$AE$1,tabela_registros[DIA],reservaoutrosconsolidadojul[[#Headers],[19]],tabela_registros[REGISTRO],DADOS!$N$6,tabela_registros[TIPO],DADOS!$AJ$5,tabela_registros[CATEGORIA],reservaoutrosconsolidadojul[[#This Row],[ATUAL]])</f>
        <v>0</v>
      </c>
      <c r="X208" s="91">
        <f>SUMIFS(tabela_registros[VALOR],tabela_registros[MÊS],$AE$1,tabela_registros[DIA],reservaoutrosconsolidadojul[[#Headers],[20]],tabela_registros[REGISTRO],DADOS!$N$6,tabela_registros[TIPO],DADOS!$AJ$5,tabela_registros[CATEGORIA],reservaoutrosconsolidadojul[[#This Row],[ATUAL]])</f>
        <v>0</v>
      </c>
      <c r="Y208" s="91">
        <f>SUMIFS(tabela_registros[VALOR],tabela_registros[MÊS],$AE$1,tabela_registros[DIA],reservaoutrosconsolidadojul[[#Headers],[21]],tabela_registros[REGISTRO],DADOS!$N$6,tabela_registros[TIPO],DADOS!$AJ$5,tabela_registros[CATEGORIA],reservaoutrosconsolidadojul[[#This Row],[ATUAL]])</f>
        <v>0</v>
      </c>
      <c r="Z208" s="91">
        <f>SUMIFS(tabela_registros[VALOR],tabela_registros[MÊS],$AE$1,tabela_registros[DIA],reservaoutrosconsolidadojul[[#Headers],[22]],tabela_registros[REGISTRO],DADOS!$N$6,tabela_registros[TIPO],DADOS!$AJ$5,tabela_registros[CATEGORIA],reservaoutrosconsolidadojul[[#This Row],[ATUAL]])</f>
        <v>0</v>
      </c>
      <c r="AA208" s="91">
        <f>SUMIFS(tabela_registros[VALOR],tabela_registros[MÊS],$AE$1,tabela_registros[DIA],reservaoutrosconsolidadojul[[#Headers],[23]],tabela_registros[REGISTRO],DADOS!$N$6,tabela_registros[TIPO],DADOS!$AJ$5,tabela_registros[CATEGORIA],reservaoutrosconsolidadojul[[#This Row],[ATUAL]])</f>
        <v>0</v>
      </c>
      <c r="AB208" s="91">
        <f>SUMIFS(tabela_registros[VALOR],tabela_registros[MÊS],$AE$1,tabela_registros[DIA],reservaoutrosconsolidadojul[[#Headers],[24]],tabela_registros[REGISTRO],DADOS!$N$6,tabela_registros[TIPO],DADOS!$AJ$5,tabela_registros[CATEGORIA],reservaoutrosconsolidadojul[[#This Row],[ATUAL]])</f>
        <v>0</v>
      </c>
      <c r="AC208" s="91">
        <f>SUMIFS(tabela_registros[VALOR],tabela_registros[MÊS],$AE$1,tabela_registros[DIA],reservaoutrosconsolidadojul[[#Headers],[25]],tabela_registros[REGISTRO],DADOS!$N$6,tabela_registros[TIPO],DADOS!$AJ$5,tabela_registros[CATEGORIA],reservaoutrosconsolidadojul[[#This Row],[ATUAL]])</f>
        <v>0</v>
      </c>
      <c r="AD208" s="91">
        <f>SUMIFS(tabela_registros[VALOR],tabela_registros[MÊS],$AE$1,tabela_registros[DIA],reservaoutrosconsolidadojul[[#Headers],[26]],tabela_registros[REGISTRO],DADOS!$N$6,tabela_registros[TIPO],DADOS!$AJ$5,tabela_registros[CATEGORIA],reservaoutrosconsolidadojul[[#This Row],[ATUAL]])</f>
        <v>0</v>
      </c>
      <c r="AE208" s="91">
        <f>SUMIFS(tabela_registros[VALOR],tabela_registros[MÊS],$AE$1,tabela_registros[DIA],reservaoutrosconsolidadojul[[#Headers],[27]],tabela_registros[REGISTRO],DADOS!$N$6,tabela_registros[TIPO],DADOS!$AJ$5,tabela_registros[CATEGORIA],reservaoutrosconsolidadojul[[#This Row],[ATUAL]])</f>
        <v>0</v>
      </c>
      <c r="AF208" s="91">
        <f>SUMIFS(tabela_registros[VALOR],tabela_registros[MÊS],$AE$1,tabela_registros[DIA],reservaoutrosconsolidadojul[[#Headers],[28]],tabela_registros[REGISTRO],DADOS!$N$6,tabela_registros[TIPO],DADOS!$AJ$5,tabela_registros[CATEGORIA],reservaoutrosconsolidadojul[[#This Row],[ATUAL]])</f>
        <v>0</v>
      </c>
      <c r="AG208" s="91">
        <f>SUMIFS(tabela_registros[VALOR],tabela_registros[MÊS],$AE$1,tabela_registros[DIA],reservaoutrosconsolidadojul[[#Headers],[29]],tabela_registros[REGISTRO],DADOS!$N$6,tabela_registros[TIPO],DADOS!$AJ$5,tabela_registros[CATEGORIA],reservaoutrosconsolidadojul[[#This Row],[ATUAL]])</f>
        <v>0</v>
      </c>
      <c r="AH208" s="91">
        <f>SUMIFS(tabela_registros[VALOR],tabela_registros[MÊS],$AE$1,tabela_registros[DIA],reservaoutrosconsolidadojul[[#Headers],[30]],tabela_registros[REGISTRO],DADOS!$N$6,tabela_registros[TIPO],DADOS!$AJ$5,tabela_registros[CATEGORIA],reservaoutrosconsolidadojul[[#This Row],[ATUAL]])</f>
        <v>0</v>
      </c>
      <c r="AI208" s="101">
        <f>SUMIFS(tabela_registros[VALOR],tabela_registros[MÊS],$AE$1,tabela_registros[DIA],reservaoutrosconsolidadojul[[#Headers],[31]],tabela_registros[REGISTRO],DADOS!$N$6,tabela_registros[TIPO],DADOS!$AJ$5,tabela_registros[CATEGORIA],reservaoutrosconsolidadojul[[#This Row],[ATUAL]])</f>
        <v>0</v>
      </c>
      <c r="AJ208" s="97">
        <f>SUM(reservaoutrosconsolidadojul[[#This Row],[1]:[31]])</f>
        <v>0</v>
      </c>
      <c r="AK208" s="25"/>
    </row>
    <row r="209" spans="2:37" ht="19.5" customHeight="1" thickTop="1" thickBot="1" x14ac:dyDescent="0.3">
      <c r="B209" s="28"/>
      <c r="C209" s="27" t="str">
        <f>DADOS!$AP$6</f>
        <v>📝 NOVA EMPRESA</v>
      </c>
      <c r="D209" s="26" t="str">
        <f>IF(reservaoutrosconsolidadojul[[#This Row],[TOTAL (R$)]]=0,"",IF(OR(reservaoutrosconsolidadojul[[#This Row],[TOTAL (R$)]]=LARGE($AJ$206:$AJ$213,1),reservaoutrosconsolidadojul[[#This Row],[TOTAL (R$)]]=LARGE($AJ$206:$AJ$213,2)),DADOS!$I$11,""))</f>
        <v/>
      </c>
      <c r="E209" s="96">
        <f>SUMIFS(tabela_registros[VALOR],tabela_registros[MÊS],$AE$1,tabela_registros[DIA],reservaoutrosconsolidadojul[[#Headers],[1]],tabela_registros[REGISTRO],DADOS!$N$6,tabela_registros[TIPO],DADOS!$AJ$5,tabela_registros[CATEGORIA],reservaoutrosconsolidadojul[[#This Row],[ATUAL]])</f>
        <v>0</v>
      </c>
      <c r="F209" s="91">
        <f>SUMIFS(tabela_registros[VALOR],tabela_registros[MÊS],$AE$1,tabela_registros[DIA],reservaoutrosconsolidadojul[[#Headers],[2]],tabela_registros[REGISTRO],DADOS!$N$6,tabela_registros[TIPO],DADOS!$AJ$5,tabela_registros[CATEGORIA],reservaoutrosconsolidadojul[[#This Row],[ATUAL]])</f>
        <v>0</v>
      </c>
      <c r="G209" s="91">
        <f>SUMIFS(tabela_registros[VALOR],tabela_registros[MÊS],$AE$1,tabela_registros[DIA],reservaoutrosconsolidadojul[[#Headers],[3]],tabela_registros[REGISTRO],DADOS!$N$6,tabela_registros[TIPO],DADOS!$AJ$5,tabela_registros[CATEGORIA],reservaoutrosconsolidadojul[[#This Row],[ATUAL]])</f>
        <v>0</v>
      </c>
      <c r="H209" s="91">
        <f>SUMIFS(tabela_registros[VALOR],tabela_registros[MÊS],$AE$1,tabela_registros[DIA],reservaoutrosconsolidadojul[[#Headers],[4]],tabela_registros[REGISTRO],DADOS!$N$6,tabela_registros[TIPO],DADOS!$AJ$5,tabela_registros[CATEGORIA],reservaoutrosconsolidadojul[[#This Row],[ATUAL]])</f>
        <v>0</v>
      </c>
      <c r="I209" s="91">
        <f>SUMIFS(tabela_registros[VALOR],tabela_registros[MÊS],$AE$1,tabela_registros[DIA],reservaoutrosconsolidadojul[[#Headers],[5]],tabela_registros[REGISTRO],DADOS!$N$6,tabela_registros[TIPO],DADOS!$AJ$5,tabela_registros[CATEGORIA],reservaoutrosconsolidadojul[[#This Row],[ATUAL]])</f>
        <v>0</v>
      </c>
      <c r="J209" s="91">
        <f>SUMIFS(tabela_registros[VALOR],tabela_registros[MÊS],$AE$1,tabela_registros[DIA],reservaoutrosconsolidadojul[[#Headers],[6]],tabela_registros[REGISTRO],DADOS!$N$6,tabela_registros[TIPO],DADOS!$AJ$5,tabela_registros[CATEGORIA],reservaoutrosconsolidadojul[[#This Row],[ATUAL]])</f>
        <v>0</v>
      </c>
      <c r="K209" s="91">
        <f>SUMIFS(tabela_registros[VALOR],tabela_registros[MÊS],$AE$1,tabela_registros[DIA],reservaoutrosconsolidadojul[[#Headers],[7]],tabela_registros[REGISTRO],DADOS!$N$6,tabela_registros[TIPO],DADOS!$AJ$5,tabela_registros[CATEGORIA],reservaoutrosconsolidadojul[[#This Row],[ATUAL]])</f>
        <v>0</v>
      </c>
      <c r="L209" s="91">
        <f>SUMIFS(tabela_registros[VALOR],tabela_registros[MÊS],$AE$1,tabela_registros[DIA],reservaoutrosconsolidadojul[[#Headers],[8]],tabela_registros[REGISTRO],DADOS!$N$6,tabela_registros[TIPO],DADOS!$AJ$5,tabela_registros[CATEGORIA],reservaoutrosconsolidadojul[[#This Row],[ATUAL]])</f>
        <v>0</v>
      </c>
      <c r="M209" s="91">
        <f>SUMIFS(tabela_registros[VALOR],tabela_registros[MÊS],$AE$1,tabela_registros[DIA],reservaoutrosconsolidadojul[[#Headers],[9]],tabela_registros[REGISTRO],DADOS!$N$6,tabela_registros[TIPO],DADOS!$AJ$5,tabela_registros[CATEGORIA],reservaoutrosconsolidadojul[[#This Row],[ATUAL]])</f>
        <v>0</v>
      </c>
      <c r="N209" s="91">
        <f>SUMIFS(tabela_registros[VALOR],tabela_registros[MÊS],$AE$1,tabela_registros[DIA],reservaoutrosconsolidadojul[[#Headers],[10]],tabela_registros[REGISTRO],DADOS!$N$6,tabela_registros[TIPO],DADOS!$AJ$5,tabela_registros[CATEGORIA],reservaoutrosconsolidadojul[[#This Row],[ATUAL]])</f>
        <v>0</v>
      </c>
      <c r="O209" s="91">
        <f>SUMIFS(tabela_registros[VALOR],tabela_registros[MÊS],$AE$1,tabela_registros[DIA],reservaoutrosconsolidadojul[[#Headers],[11]],tabela_registros[REGISTRO],DADOS!$N$6,tabela_registros[TIPO],DADOS!$AJ$5,tabela_registros[CATEGORIA],reservaoutrosconsolidadojul[[#This Row],[ATUAL]])</f>
        <v>0</v>
      </c>
      <c r="P209" s="91">
        <f>SUMIFS(tabela_registros[VALOR],tabela_registros[MÊS],$AE$1,tabela_registros[DIA],reservaoutrosconsolidadojul[[#Headers],[12]],tabela_registros[REGISTRO],DADOS!$N$6,tabela_registros[TIPO],DADOS!$AJ$5,tabela_registros[CATEGORIA],reservaoutrosconsolidadojul[[#This Row],[ATUAL]])</f>
        <v>0</v>
      </c>
      <c r="Q209" s="91">
        <f>SUMIFS(tabela_registros[VALOR],tabela_registros[MÊS],$AE$1,tabela_registros[DIA],reservaoutrosconsolidadojul[[#Headers],[13]],tabela_registros[REGISTRO],DADOS!$N$6,tabela_registros[TIPO],DADOS!$AJ$5,tabela_registros[CATEGORIA],reservaoutrosconsolidadojul[[#This Row],[ATUAL]])</f>
        <v>0</v>
      </c>
      <c r="R209" s="91">
        <f>SUMIFS(tabela_registros[VALOR],tabela_registros[MÊS],$AE$1,tabela_registros[DIA],reservaoutrosconsolidadojul[[#Headers],[14]],tabela_registros[REGISTRO],DADOS!$N$6,tabela_registros[TIPO],DADOS!$AJ$5,tabela_registros[CATEGORIA],reservaoutrosconsolidadojul[[#This Row],[ATUAL]])</f>
        <v>0</v>
      </c>
      <c r="S209" s="91">
        <f>SUMIFS(tabela_registros[VALOR],tabela_registros[MÊS],$AE$1,tabela_registros[DIA],reservaoutrosconsolidadojul[[#Headers],[15]],tabela_registros[REGISTRO],DADOS!$N$6,tabela_registros[TIPO],DADOS!$AJ$5,tabela_registros[CATEGORIA],reservaoutrosconsolidadojul[[#This Row],[ATUAL]])</f>
        <v>0</v>
      </c>
      <c r="T209" s="91">
        <f>SUMIFS(tabela_registros[VALOR],tabela_registros[MÊS],$AE$1,tabela_registros[DIA],reservaoutrosconsolidadojul[[#Headers],[16]],tabela_registros[REGISTRO],DADOS!$N$6,tabela_registros[TIPO],DADOS!$AJ$5,tabela_registros[CATEGORIA],reservaoutrosconsolidadojul[[#This Row],[ATUAL]])</f>
        <v>0</v>
      </c>
      <c r="U209" s="91">
        <f>SUMIFS(tabela_registros[VALOR],tabela_registros[MÊS],$AE$1,tabela_registros[DIA],reservaoutrosconsolidadojul[[#Headers],[17]],tabela_registros[REGISTRO],DADOS!$N$6,tabela_registros[TIPO],DADOS!$AJ$5,tabela_registros[CATEGORIA],reservaoutrosconsolidadojul[[#This Row],[ATUAL]])</f>
        <v>0</v>
      </c>
      <c r="V209" s="91">
        <f>SUMIFS(tabela_registros[VALOR],tabela_registros[MÊS],$AE$1,tabela_registros[DIA],reservaoutrosconsolidadojul[[#Headers],[18]],tabela_registros[REGISTRO],DADOS!$N$6,tabela_registros[TIPO],DADOS!$AJ$5,tabela_registros[CATEGORIA],reservaoutrosconsolidadojul[[#This Row],[ATUAL]])</f>
        <v>0</v>
      </c>
      <c r="W209" s="91">
        <f>SUMIFS(tabela_registros[VALOR],tabela_registros[MÊS],$AE$1,tabela_registros[DIA],reservaoutrosconsolidadojul[[#Headers],[19]],tabela_registros[REGISTRO],DADOS!$N$6,tabela_registros[TIPO],DADOS!$AJ$5,tabela_registros[CATEGORIA],reservaoutrosconsolidadojul[[#This Row],[ATUAL]])</f>
        <v>0</v>
      </c>
      <c r="X209" s="91">
        <f>SUMIFS(tabela_registros[VALOR],tabela_registros[MÊS],$AE$1,tabela_registros[DIA],reservaoutrosconsolidadojul[[#Headers],[20]],tabela_registros[REGISTRO],DADOS!$N$6,tabela_registros[TIPO],DADOS!$AJ$5,tabela_registros[CATEGORIA],reservaoutrosconsolidadojul[[#This Row],[ATUAL]])</f>
        <v>0</v>
      </c>
      <c r="Y209" s="91">
        <f>SUMIFS(tabela_registros[VALOR],tabela_registros[MÊS],$AE$1,tabela_registros[DIA],reservaoutrosconsolidadojul[[#Headers],[21]],tabela_registros[REGISTRO],DADOS!$N$6,tabela_registros[TIPO],DADOS!$AJ$5,tabela_registros[CATEGORIA],reservaoutrosconsolidadojul[[#This Row],[ATUAL]])</f>
        <v>0</v>
      </c>
      <c r="Z209" s="91">
        <f>SUMIFS(tabela_registros[VALOR],tabela_registros[MÊS],$AE$1,tabela_registros[DIA],reservaoutrosconsolidadojul[[#Headers],[22]],tabela_registros[REGISTRO],DADOS!$N$6,tabela_registros[TIPO],DADOS!$AJ$5,tabela_registros[CATEGORIA],reservaoutrosconsolidadojul[[#This Row],[ATUAL]])</f>
        <v>0</v>
      </c>
      <c r="AA209" s="91">
        <f>SUMIFS(tabela_registros[VALOR],tabela_registros[MÊS],$AE$1,tabela_registros[DIA],reservaoutrosconsolidadojul[[#Headers],[23]],tabela_registros[REGISTRO],DADOS!$N$6,tabela_registros[TIPO],DADOS!$AJ$5,tabela_registros[CATEGORIA],reservaoutrosconsolidadojul[[#This Row],[ATUAL]])</f>
        <v>0</v>
      </c>
      <c r="AB209" s="91">
        <f>SUMIFS(tabela_registros[VALOR],tabela_registros[MÊS],$AE$1,tabela_registros[DIA],reservaoutrosconsolidadojul[[#Headers],[24]],tabela_registros[REGISTRO],DADOS!$N$6,tabela_registros[TIPO],DADOS!$AJ$5,tabela_registros[CATEGORIA],reservaoutrosconsolidadojul[[#This Row],[ATUAL]])</f>
        <v>0</v>
      </c>
      <c r="AC209" s="91">
        <f>SUMIFS(tabela_registros[VALOR],tabela_registros[MÊS],$AE$1,tabela_registros[DIA],reservaoutrosconsolidadojul[[#Headers],[25]],tabela_registros[REGISTRO],DADOS!$N$6,tabela_registros[TIPO],DADOS!$AJ$5,tabela_registros[CATEGORIA],reservaoutrosconsolidadojul[[#This Row],[ATUAL]])</f>
        <v>0</v>
      </c>
      <c r="AD209" s="91">
        <f>SUMIFS(tabela_registros[VALOR],tabela_registros[MÊS],$AE$1,tabela_registros[DIA],reservaoutrosconsolidadojul[[#Headers],[26]],tabela_registros[REGISTRO],DADOS!$N$6,tabela_registros[TIPO],DADOS!$AJ$5,tabela_registros[CATEGORIA],reservaoutrosconsolidadojul[[#This Row],[ATUAL]])</f>
        <v>0</v>
      </c>
      <c r="AE209" s="91">
        <f>SUMIFS(tabela_registros[VALOR],tabela_registros[MÊS],$AE$1,tabela_registros[DIA],reservaoutrosconsolidadojul[[#Headers],[27]],tabela_registros[REGISTRO],DADOS!$N$6,tabela_registros[TIPO],DADOS!$AJ$5,tabela_registros[CATEGORIA],reservaoutrosconsolidadojul[[#This Row],[ATUAL]])</f>
        <v>0</v>
      </c>
      <c r="AF209" s="91">
        <f>SUMIFS(tabela_registros[VALOR],tabela_registros[MÊS],$AE$1,tabela_registros[DIA],reservaoutrosconsolidadojul[[#Headers],[28]],tabela_registros[REGISTRO],DADOS!$N$6,tabela_registros[TIPO],DADOS!$AJ$5,tabela_registros[CATEGORIA],reservaoutrosconsolidadojul[[#This Row],[ATUAL]])</f>
        <v>0</v>
      </c>
      <c r="AG209" s="91">
        <f>SUMIFS(tabela_registros[VALOR],tabela_registros[MÊS],$AE$1,tabela_registros[DIA],reservaoutrosconsolidadojul[[#Headers],[29]],tabela_registros[REGISTRO],DADOS!$N$6,tabela_registros[TIPO],DADOS!$AJ$5,tabela_registros[CATEGORIA],reservaoutrosconsolidadojul[[#This Row],[ATUAL]])</f>
        <v>0</v>
      </c>
      <c r="AH209" s="91">
        <f>SUMIFS(tabela_registros[VALOR],tabela_registros[MÊS],$AE$1,tabela_registros[DIA],reservaoutrosconsolidadojul[[#Headers],[30]],tabela_registros[REGISTRO],DADOS!$N$6,tabela_registros[TIPO],DADOS!$AJ$5,tabela_registros[CATEGORIA],reservaoutrosconsolidadojul[[#This Row],[ATUAL]])</f>
        <v>0</v>
      </c>
      <c r="AI209" s="101">
        <f>SUMIFS(tabela_registros[VALOR],tabela_registros[MÊS],$AE$1,tabela_registros[DIA],reservaoutrosconsolidadojul[[#Headers],[31]],tabela_registros[REGISTRO],DADOS!$N$6,tabela_registros[TIPO],DADOS!$AJ$5,tabela_registros[CATEGORIA],reservaoutrosconsolidadojul[[#This Row],[ATUAL]])</f>
        <v>0</v>
      </c>
      <c r="AJ209" s="97">
        <f>SUM(reservaoutrosconsolidadojul[[#This Row],[1]:[31]])</f>
        <v>0</v>
      </c>
      <c r="AK209" s="25"/>
    </row>
    <row r="210" spans="2:37" ht="19.5" customHeight="1" thickTop="1" thickBot="1" x14ac:dyDescent="0.3">
      <c r="B210" s="28"/>
      <c r="C210" s="27" t="str">
        <f>DADOS!$AP$7</f>
        <v>📝 PEER TO COMPANY</v>
      </c>
      <c r="D210" s="26" t="str">
        <f>IF(reservaoutrosconsolidadojul[[#This Row],[TOTAL (R$)]]=0,"",IF(OR(reservaoutrosconsolidadojul[[#This Row],[TOTAL (R$)]]=LARGE($AJ$206:$AJ$213,1),reservaoutrosconsolidadojul[[#This Row],[TOTAL (R$)]]=LARGE($AJ$206:$AJ$213,2)),DADOS!$I$11,""))</f>
        <v/>
      </c>
      <c r="E210" s="96">
        <f>SUMIFS(tabela_registros[VALOR],tabela_registros[MÊS],$AE$1,tabela_registros[DIA],reservaoutrosconsolidadojul[[#Headers],[1]],tabela_registros[REGISTRO],DADOS!$N$6,tabela_registros[TIPO],DADOS!$AJ$5,tabela_registros[CATEGORIA],reservaoutrosconsolidadojul[[#This Row],[ATUAL]])</f>
        <v>0</v>
      </c>
      <c r="F210" s="91">
        <f>SUMIFS(tabela_registros[VALOR],tabela_registros[MÊS],$AE$1,tabela_registros[DIA],reservaoutrosconsolidadojul[[#Headers],[2]],tabela_registros[REGISTRO],DADOS!$N$6,tabela_registros[TIPO],DADOS!$AJ$5,tabela_registros[CATEGORIA],reservaoutrosconsolidadojul[[#This Row],[ATUAL]])</f>
        <v>0</v>
      </c>
      <c r="G210" s="91">
        <f>SUMIFS(tabela_registros[VALOR],tabela_registros[MÊS],$AE$1,tabela_registros[DIA],reservaoutrosconsolidadojul[[#Headers],[3]],tabela_registros[REGISTRO],DADOS!$N$6,tabela_registros[TIPO],DADOS!$AJ$5,tabela_registros[CATEGORIA],reservaoutrosconsolidadojul[[#This Row],[ATUAL]])</f>
        <v>0</v>
      </c>
      <c r="H210" s="91">
        <f>SUMIFS(tabela_registros[VALOR],tabela_registros[MÊS],$AE$1,tabela_registros[DIA],reservaoutrosconsolidadojul[[#Headers],[4]],tabela_registros[REGISTRO],DADOS!$N$6,tabela_registros[TIPO],DADOS!$AJ$5,tabela_registros[CATEGORIA],reservaoutrosconsolidadojul[[#This Row],[ATUAL]])</f>
        <v>0</v>
      </c>
      <c r="I210" s="91">
        <f>SUMIFS(tabela_registros[VALOR],tabela_registros[MÊS],$AE$1,tabela_registros[DIA],reservaoutrosconsolidadojul[[#Headers],[5]],tabela_registros[REGISTRO],DADOS!$N$6,tabela_registros[TIPO],DADOS!$AJ$5,tabela_registros[CATEGORIA],reservaoutrosconsolidadojul[[#This Row],[ATUAL]])</f>
        <v>0</v>
      </c>
      <c r="J210" s="91">
        <f>SUMIFS(tabela_registros[VALOR],tabela_registros[MÊS],$AE$1,tabela_registros[DIA],reservaoutrosconsolidadojul[[#Headers],[6]],tabela_registros[REGISTRO],DADOS!$N$6,tabela_registros[TIPO],DADOS!$AJ$5,tabela_registros[CATEGORIA],reservaoutrosconsolidadojul[[#This Row],[ATUAL]])</f>
        <v>0</v>
      </c>
      <c r="K210" s="91">
        <f>SUMIFS(tabela_registros[VALOR],tabela_registros[MÊS],$AE$1,tabela_registros[DIA],reservaoutrosconsolidadojul[[#Headers],[7]],tabela_registros[REGISTRO],DADOS!$N$6,tabela_registros[TIPO],DADOS!$AJ$5,tabela_registros[CATEGORIA],reservaoutrosconsolidadojul[[#This Row],[ATUAL]])</f>
        <v>0</v>
      </c>
      <c r="L210" s="91">
        <f>SUMIFS(tabela_registros[VALOR],tabela_registros[MÊS],$AE$1,tabela_registros[DIA],reservaoutrosconsolidadojul[[#Headers],[8]],tabela_registros[REGISTRO],DADOS!$N$6,tabela_registros[TIPO],DADOS!$AJ$5,tabela_registros[CATEGORIA],reservaoutrosconsolidadojul[[#This Row],[ATUAL]])</f>
        <v>0</v>
      </c>
      <c r="M210" s="91">
        <f>SUMIFS(tabela_registros[VALOR],tabela_registros[MÊS],$AE$1,tabela_registros[DIA],reservaoutrosconsolidadojul[[#Headers],[9]],tabela_registros[REGISTRO],DADOS!$N$6,tabela_registros[TIPO],DADOS!$AJ$5,tabela_registros[CATEGORIA],reservaoutrosconsolidadojul[[#This Row],[ATUAL]])</f>
        <v>0</v>
      </c>
      <c r="N210" s="91">
        <f>SUMIFS(tabela_registros[VALOR],tabela_registros[MÊS],$AE$1,tabela_registros[DIA],reservaoutrosconsolidadojul[[#Headers],[10]],tabela_registros[REGISTRO],DADOS!$N$6,tabela_registros[TIPO],DADOS!$AJ$5,tabela_registros[CATEGORIA],reservaoutrosconsolidadojul[[#This Row],[ATUAL]])</f>
        <v>0</v>
      </c>
      <c r="O210" s="91">
        <f>SUMIFS(tabela_registros[VALOR],tabela_registros[MÊS],$AE$1,tabela_registros[DIA],reservaoutrosconsolidadojul[[#Headers],[11]],tabela_registros[REGISTRO],DADOS!$N$6,tabela_registros[TIPO],DADOS!$AJ$5,tabela_registros[CATEGORIA],reservaoutrosconsolidadojul[[#This Row],[ATUAL]])</f>
        <v>0</v>
      </c>
      <c r="P210" s="91">
        <f>SUMIFS(tabela_registros[VALOR],tabela_registros[MÊS],$AE$1,tabela_registros[DIA],reservaoutrosconsolidadojul[[#Headers],[12]],tabela_registros[REGISTRO],DADOS!$N$6,tabela_registros[TIPO],DADOS!$AJ$5,tabela_registros[CATEGORIA],reservaoutrosconsolidadojul[[#This Row],[ATUAL]])</f>
        <v>0</v>
      </c>
      <c r="Q210" s="91">
        <f>SUMIFS(tabela_registros[VALOR],tabela_registros[MÊS],$AE$1,tabela_registros[DIA],reservaoutrosconsolidadojul[[#Headers],[13]],tabela_registros[REGISTRO],DADOS!$N$6,tabela_registros[TIPO],DADOS!$AJ$5,tabela_registros[CATEGORIA],reservaoutrosconsolidadojul[[#This Row],[ATUAL]])</f>
        <v>0</v>
      </c>
      <c r="R210" s="91">
        <f>SUMIFS(tabela_registros[VALOR],tabela_registros[MÊS],$AE$1,tabela_registros[DIA],reservaoutrosconsolidadojul[[#Headers],[14]],tabela_registros[REGISTRO],DADOS!$N$6,tabela_registros[TIPO],DADOS!$AJ$5,tabela_registros[CATEGORIA],reservaoutrosconsolidadojul[[#This Row],[ATUAL]])</f>
        <v>0</v>
      </c>
      <c r="S210" s="91">
        <f>SUMIFS(tabela_registros[VALOR],tabela_registros[MÊS],$AE$1,tabela_registros[DIA],reservaoutrosconsolidadojul[[#Headers],[15]],tabela_registros[REGISTRO],DADOS!$N$6,tabela_registros[TIPO],DADOS!$AJ$5,tabela_registros[CATEGORIA],reservaoutrosconsolidadojul[[#This Row],[ATUAL]])</f>
        <v>0</v>
      </c>
      <c r="T210" s="91">
        <f>SUMIFS(tabela_registros[VALOR],tabela_registros[MÊS],$AE$1,tabela_registros[DIA],reservaoutrosconsolidadojul[[#Headers],[16]],tabela_registros[REGISTRO],DADOS!$N$6,tabela_registros[TIPO],DADOS!$AJ$5,tabela_registros[CATEGORIA],reservaoutrosconsolidadojul[[#This Row],[ATUAL]])</f>
        <v>0</v>
      </c>
      <c r="U210" s="91">
        <f>SUMIFS(tabela_registros[VALOR],tabela_registros[MÊS],$AE$1,tabela_registros[DIA],reservaoutrosconsolidadojul[[#Headers],[17]],tabela_registros[REGISTRO],DADOS!$N$6,tabela_registros[TIPO],DADOS!$AJ$5,tabela_registros[CATEGORIA],reservaoutrosconsolidadojul[[#This Row],[ATUAL]])</f>
        <v>0</v>
      </c>
      <c r="V210" s="91">
        <f>SUMIFS(tabela_registros[VALOR],tabela_registros[MÊS],$AE$1,tabela_registros[DIA],reservaoutrosconsolidadojul[[#Headers],[18]],tabela_registros[REGISTRO],DADOS!$N$6,tabela_registros[TIPO],DADOS!$AJ$5,tabela_registros[CATEGORIA],reservaoutrosconsolidadojul[[#This Row],[ATUAL]])</f>
        <v>0</v>
      </c>
      <c r="W210" s="91">
        <f>SUMIFS(tabela_registros[VALOR],tabela_registros[MÊS],$AE$1,tabela_registros[DIA],reservaoutrosconsolidadojul[[#Headers],[19]],tabela_registros[REGISTRO],DADOS!$N$6,tabela_registros[TIPO],DADOS!$AJ$5,tabela_registros[CATEGORIA],reservaoutrosconsolidadojul[[#This Row],[ATUAL]])</f>
        <v>0</v>
      </c>
      <c r="X210" s="91">
        <f>SUMIFS(tabela_registros[VALOR],tabela_registros[MÊS],$AE$1,tabela_registros[DIA],reservaoutrosconsolidadojul[[#Headers],[20]],tabela_registros[REGISTRO],DADOS!$N$6,tabela_registros[TIPO],DADOS!$AJ$5,tabela_registros[CATEGORIA],reservaoutrosconsolidadojul[[#This Row],[ATUAL]])</f>
        <v>0</v>
      </c>
      <c r="Y210" s="91">
        <f>SUMIFS(tabela_registros[VALOR],tabela_registros[MÊS],$AE$1,tabela_registros[DIA],reservaoutrosconsolidadojul[[#Headers],[21]],tabela_registros[REGISTRO],DADOS!$N$6,tabela_registros[TIPO],DADOS!$AJ$5,tabela_registros[CATEGORIA],reservaoutrosconsolidadojul[[#This Row],[ATUAL]])</f>
        <v>0</v>
      </c>
      <c r="Z210" s="91">
        <f>SUMIFS(tabela_registros[VALOR],tabela_registros[MÊS],$AE$1,tabela_registros[DIA],reservaoutrosconsolidadojul[[#Headers],[22]],tabela_registros[REGISTRO],DADOS!$N$6,tabela_registros[TIPO],DADOS!$AJ$5,tabela_registros[CATEGORIA],reservaoutrosconsolidadojul[[#This Row],[ATUAL]])</f>
        <v>0</v>
      </c>
      <c r="AA210" s="91">
        <f>SUMIFS(tabela_registros[VALOR],tabela_registros[MÊS],$AE$1,tabela_registros[DIA],reservaoutrosconsolidadojul[[#Headers],[23]],tabela_registros[REGISTRO],DADOS!$N$6,tabela_registros[TIPO],DADOS!$AJ$5,tabela_registros[CATEGORIA],reservaoutrosconsolidadojul[[#This Row],[ATUAL]])</f>
        <v>0</v>
      </c>
      <c r="AB210" s="91">
        <f>SUMIFS(tabela_registros[VALOR],tabela_registros[MÊS],$AE$1,tabela_registros[DIA],reservaoutrosconsolidadojul[[#Headers],[24]],tabela_registros[REGISTRO],DADOS!$N$6,tabela_registros[TIPO],DADOS!$AJ$5,tabela_registros[CATEGORIA],reservaoutrosconsolidadojul[[#This Row],[ATUAL]])</f>
        <v>0</v>
      </c>
      <c r="AC210" s="91">
        <f>SUMIFS(tabela_registros[VALOR],tabela_registros[MÊS],$AE$1,tabela_registros[DIA],reservaoutrosconsolidadojul[[#Headers],[25]],tabela_registros[REGISTRO],DADOS!$N$6,tabela_registros[TIPO],DADOS!$AJ$5,tabela_registros[CATEGORIA],reservaoutrosconsolidadojul[[#This Row],[ATUAL]])</f>
        <v>0</v>
      </c>
      <c r="AD210" s="91">
        <f>SUMIFS(tabela_registros[VALOR],tabela_registros[MÊS],$AE$1,tabela_registros[DIA],reservaoutrosconsolidadojul[[#Headers],[26]],tabela_registros[REGISTRO],DADOS!$N$6,tabela_registros[TIPO],DADOS!$AJ$5,tabela_registros[CATEGORIA],reservaoutrosconsolidadojul[[#This Row],[ATUAL]])</f>
        <v>0</v>
      </c>
      <c r="AE210" s="91">
        <f>SUMIFS(tabela_registros[VALOR],tabela_registros[MÊS],$AE$1,tabela_registros[DIA],reservaoutrosconsolidadojul[[#Headers],[27]],tabela_registros[REGISTRO],DADOS!$N$6,tabela_registros[TIPO],DADOS!$AJ$5,tabela_registros[CATEGORIA],reservaoutrosconsolidadojul[[#This Row],[ATUAL]])</f>
        <v>0</v>
      </c>
      <c r="AF210" s="91">
        <f>SUMIFS(tabela_registros[VALOR],tabela_registros[MÊS],$AE$1,tabela_registros[DIA],reservaoutrosconsolidadojul[[#Headers],[28]],tabela_registros[REGISTRO],DADOS!$N$6,tabela_registros[TIPO],DADOS!$AJ$5,tabela_registros[CATEGORIA],reservaoutrosconsolidadojul[[#This Row],[ATUAL]])</f>
        <v>0</v>
      </c>
      <c r="AG210" s="91">
        <f>SUMIFS(tabela_registros[VALOR],tabela_registros[MÊS],$AE$1,tabela_registros[DIA],reservaoutrosconsolidadojul[[#Headers],[29]],tabela_registros[REGISTRO],DADOS!$N$6,tabela_registros[TIPO],DADOS!$AJ$5,tabela_registros[CATEGORIA],reservaoutrosconsolidadojul[[#This Row],[ATUAL]])</f>
        <v>0</v>
      </c>
      <c r="AH210" s="91">
        <f>SUMIFS(tabela_registros[VALOR],tabela_registros[MÊS],$AE$1,tabela_registros[DIA],reservaoutrosconsolidadojul[[#Headers],[30]],tabela_registros[REGISTRO],DADOS!$N$6,tabela_registros[TIPO],DADOS!$AJ$5,tabela_registros[CATEGORIA],reservaoutrosconsolidadojul[[#This Row],[ATUAL]])</f>
        <v>0</v>
      </c>
      <c r="AI210" s="101">
        <f>SUMIFS(tabela_registros[VALOR],tabela_registros[MÊS],$AE$1,tabela_registros[DIA],reservaoutrosconsolidadojul[[#Headers],[31]],tabela_registros[REGISTRO],DADOS!$N$6,tabela_registros[TIPO],DADOS!$AJ$5,tabela_registros[CATEGORIA],reservaoutrosconsolidadojul[[#This Row],[ATUAL]])</f>
        <v>0</v>
      </c>
      <c r="AJ210" s="97">
        <f>SUM(reservaoutrosconsolidadojul[[#This Row],[1]:[31]])</f>
        <v>0</v>
      </c>
      <c r="AK210" s="25"/>
    </row>
    <row r="211" spans="2:37" ht="19.5" customHeight="1" thickTop="1" thickBot="1" x14ac:dyDescent="0.3">
      <c r="B211" s="28"/>
      <c r="C211" s="27" t="str">
        <f>DADOS!$AP$8</f>
        <v>📝 PEER TO PEER</v>
      </c>
      <c r="D211" s="26" t="str">
        <f>IF(reservaoutrosconsolidadojul[[#This Row],[TOTAL (R$)]]=0,"",IF(OR(reservaoutrosconsolidadojul[[#This Row],[TOTAL (R$)]]=LARGE($AJ$206:$AJ$213,1),reservaoutrosconsolidadojul[[#This Row],[TOTAL (R$)]]=LARGE($AJ$206:$AJ$213,2)),DADOS!$I$11,""))</f>
        <v/>
      </c>
      <c r="E211" s="96">
        <f>SUMIFS(tabela_registros[VALOR],tabela_registros[MÊS],$AE$1,tabela_registros[DIA],reservaoutrosconsolidadojul[[#Headers],[1]],tabela_registros[REGISTRO],DADOS!$N$6,tabela_registros[TIPO],DADOS!$AJ$5,tabela_registros[CATEGORIA],reservaoutrosconsolidadojul[[#This Row],[ATUAL]])</f>
        <v>0</v>
      </c>
      <c r="F211" s="91">
        <f>SUMIFS(tabela_registros[VALOR],tabela_registros[MÊS],$AE$1,tabela_registros[DIA],reservaoutrosconsolidadojul[[#Headers],[2]],tabela_registros[REGISTRO],DADOS!$N$6,tabela_registros[TIPO],DADOS!$AJ$5,tabela_registros[CATEGORIA],reservaoutrosconsolidadojul[[#This Row],[ATUAL]])</f>
        <v>0</v>
      </c>
      <c r="G211" s="91">
        <f>SUMIFS(tabela_registros[VALOR],tabela_registros[MÊS],$AE$1,tabela_registros[DIA],reservaoutrosconsolidadojul[[#Headers],[3]],tabela_registros[REGISTRO],DADOS!$N$6,tabela_registros[TIPO],DADOS!$AJ$5,tabela_registros[CATEGORIA],reservaoutrosconsolidadojul[[#This Row],[ATUAL]])</f>
        <v>0</v>
      </c>
      <c r="H211" s="91">
        <f>SUMIFS(tabela_registros[VALOR],tabela_registros[MÊS],$AE$1,tabela_registros[DIA],reservaoutrosconsolidadojul[[#Headers],[4]],tabela_registros[REGISTRO],DADOS!$N$6,tabela_registros[TIPO],DADOS!$AJ$5,tabela_registros[CATEGORIA],reservaoutrosconsolidadojul[[#This Row],[ATUAL]])</f>
        <v>0</v>
      </c>
      <c r="I211" s="91">
        <f>SUMIFS(tabela_registros[VALOR],tabela_registros[MÊS],$AE$1,tabela_registros[DIA],reservaoutrosconsolidadojul[[#Headers],[5]],tabela_registros[REGISTRO],DADOS!$N$6,tabela_registros[TIPO],DADOS!$AJ$5,tabela_registros[CATEGORIA],reservaoutrosconsolidadojul[[#This Row],[ATUAL]])</f>
        <v>0</v>
      </c>
      <c r="J211" s="91">
        <f>SUMIFS(tabela_registros[VALOR],tabela_registros[MÊS],$AE$1,tabela_registros[DIA],reservaoutrosconsolidadojul[[#Headers],[6]],tabela_registros[REGISTRO],DADOS!$N$6,tabela_registros[TIPO],DADOS!$AJ$5,tabela_registros[CATEGORIA],reservaoutrosconsolidadojul[[#This Row],[ATUAL]])</f>
        <v>0</v>
      </c>
      <c r="K211" s="91">
        <f>SUMIFS(tabela_registros[VALOR],tabela_registros[MÊS],$AE$1,tabela_registros[DIA],reservaoutrosconsolidadojul[[#Headers],[7]],tabela_registros[REGISTRO],DADOS!$N$6,tabela_registros[TIPO],DADOS!$AJ$5,tabela_registros[CATEGORIA],reservaoutrosconsolidadojul[[#This Row],[ATUAL]])</f>
        <v>0</v>
      </c>
      <c r="L211" s="91">
        <f>SUMIFS(tabela_registros[VALOR],tabela_registros[MÊS],$AE$1,tabela_registros[DIA],reservaoutrosconsolidadojul[[#Headers],[8]],tabela_registros[REGISTRO],DADOS!$N$6,tabela_registros[TIPO],DADOS!$AJ$5,tabela_registros[CATEGORIA],reservaoutrosconsolidadojul[[#This Row],[ATUAL]])</f>
        <v>0</v>
      </c>
      <c r="M211" s="91">
        <f>SUMIFS(tabela_registros[VALOR],tabela_registros[MÊS],$AE$1,tabela_registros[DIA],reservaoutrosconsolidadojul[[#Headers],[9]],tabela_registros[REGISTRO],DADOS!$N$6,tabela_registros[TIPO],DADOS!$AJ$5,tabela_registros[CATEGORIA],reservaoutrosconsolidadojul[[#This Row],[ATUAL]])</f>
        <v>0</v>
      </c>
      <c r="N211" s="91">
        <f>SUMIFS(tabela_registros[VALOR],tabela_registros[MÊS],$AE$1,tabela_registros[DIA],reservaoutrosconsolidadojul[[#Headers],[10]],tabela_registros[REGISTRO],DADOS!$N$6,tabela_registros[TIPO],DADOS!$AJ$5,tabela_registros[CATEGORIA],reservaoutrosconsolidadojul[[#This Row],[ATUAL]])</f>
        <v>0</v>
      </c>
      <c r="O211" s="91">
        <f>SUMIFS(tabela_registros[VALOR],tabela_registros[MÊS],$AE$1,tabela_registros[DIA],reservaoutrosconsolidadojul[[#Headers],[11]],tabela_registros[REGISTRO],DADOS!$N$6,tabela_registros[TIPO],DADOS!$AJ$5,tabela_registros[CATEGORIA],reservaoutrosconsolidadojul[[#This Row],[ATUAL]])</f>
        <v>0</v>
      </c>
      <c r="P211" s="91">
        <f>SUMIFS(tabela_registros[VALOR],tabela_registros[MÊS],$AE$1,tabela_registros[DIA],reservaoutrosconsolidadojul[[#Headers],[12]],tabela_registros[REGISTRO],DADOS!$N$6,tabela_registros[TIPO],DADOS!$AJ$5,tabela_registros[CATEGORIA],reservaoutrosconsolidadojul[[#This Row],[ATUAL]])</f>
        <v>0</v>
      </c>
      <c r="Q211" s="91">
        <f>SUMIFS(tabela_registros[VALOR],tabela_registros[MÊS],$AE$1,tabela_registros[DIA],reservaoutrosconsolidadojul[[#Headers],[13]],tabela_registros[REGISTRO],DADOS!$N$6,tabela_registros[TIPO],DADOS!$AJ$5,tabela_registros[CATEGORIA],reservaoutrosconsolidadojul[[#This Row],[ATUAL]])</f>
        <v>0</v>
      </c>
      <c r="R211" s="91">
        <f>SUMIFS(tabela_registros[VALOR],tabela_registros[MÊS],$AE$1,tabela_registros[DIA],reservaoutrosconsolidadojul[[#Headers],[14]],tabela_registros[REGISTRO],DADOS!$N$6,tabela_registros[TIPO],DADOS!$AJ$5,tabela_registros[CATEGORIA],reservaoutrosconsolidadojul[[#This Row],[ATUAL]])</f>
        <v>0</v>
      </c>
      <c r="S211" s="91">
        <f>SUMIFS(tabela_registros[VALOR],tabela_registros[MÊS],$AE$1,tabela_registros[DIA],reservaoutrosconsolidadojul[[#Headers],[15]],tabela_registros[REGISTRO],DADOS!$N$6,tabela_registros[TIPO],DADOS!$AJ$5,tabela_registros[CATEGORIA],reservaoutrosconsolidadojul[[#This Row],[ATUAL]])</f>
        <v>0</v>
      </c>
      <c r="T211" s="91">
        <f>SUMIFS(tabela_registros[VALOR],tabela_registros[MÊS],$AE$1,tabela_registros[DIA],reservaoutrosconsolidadojul[[#Headers],[16]],tabela_registros[REGISTRO],DADOS!$N$6,tabela_registros[TIPO],DADOS!$AJ$5,tabela_registros[CATEGORIA],reservaoutrosconsolidadojul[[#This Row],[ATUAL]])</f>
        <v>0</v>
      </c>
      <c r="U211" s="91">
        <f>SUMIFS(tabela_registros[VALOR],tabela_registros[MÊS],$AE$1,tabela_registros[DIA],reservaoutrosconsolidadojul[[#Headers],[17]],tabela_registros[REGISTRO],DADOS!$N$6,tabela_registros[TIPO],DADOS!$AJ$5,tabela_registros[CATEGORIA],reservaoutrosconsolidadojul[[#This Row],[ATUAL]])</f>
        <v>0</v>
      </c>
      <c r="V211" s="91">
        <f>SUMIFS(tabela_registros[VALOR],tabela_registros[MÊS],$AE$1,tabela_registros[DIA],reservaoutrosconsolidadojul[[#Headers],[18]],tabela_registros[REGISTRO],DADOS!$N$6,tabela_registros[TIPO],DADOS!$AJ$5,tabela_registros[CATEGORIA],reservaoutrosconsolidadojul[[#This Row],[ATUAL]])</f>
        <v>0</v>
      </c>
      <c r="W211" s="91">
        <f>SUMIFS(tabela_registros[VALOR],tabela_registros[MÊS],$AE$1,tabela_registros[DIA],reservaoutrosconsolidadojul[[#Headers],[19]],tabela_registros[REGISTRO],DADOS!$N$6,tabela_registros[TIPO],DADOS!$AJ$5,tabela_registros[CATEGORIA],reservaoutrosconsolidadojul[[#This Row],[ATUAL]])</f>
        <v>0</v>
      </c>
      <c r="X211" s="91">
        <f>SUMIFS(tabela_registros[VALOR],tabela_registros[MÊS],$AE$1,tabela_registros[DIA],reservaoutrosconsolidadojul[[#Headers],[20]],tabela_registros[REGISTRO],DADOS!$N$6,tabela_registros[TIPO],DADOS!$AJ$5,tabela_registros[CATEGORIA],reservaoutrosconsolidadojul[[#This Row],[ATUAL]])</f>
        <v>0</v>
      </c>
      <c r="Y211" s="91">
        <f>SUMIFS(tabela_registros[VALOR],tabela_registros[MÊS],$AE$1,tabela_registros[DIA],reservaoutrosconsolidadojul[[#Headers],[21]],tabela_registros[REGISTRO],DADOS!$N$6,tabela_registros[TIPO],DADOS!$AJ$5,tabela_registros[CATEGORIA],reservaoutrosconsolidadojul[[#This Row],[ATUAL]])</f>
        <v>0</v>
      </c>
      <c r="Z211" s="91">
        <f>SUMIFS(tabela_registros[VALOR],tabela_registros[MÊS],$AE$1,tabela_registros[DIA],reservaoutrosconsolidadojul[[#Headers],[22]],tabela_registros[REGISTRO],DADOS!$N$6,tabela_registros[TIPO],DADOS!$AJ$5,tabela_registros[CATEGORIA],reservaoutrosconsolidadojul[[#This Row],[ATUAL]])</f>
        <v>0</v>
      </c>
      <c r="AA211" s="91">
        <f>SUMIFS(tabela_registros[VALOR],tabela_registros[MÊS],$AE$1,tabela_registros[DIA],reservaoutrosconsolidadojul[[#Headers],[23]],tabela_registros[REGISTRO],DADOS!$N$6,tabela_registros[TIPO],DADOS!$AJ$5,tabela_registros[CATEGORIA],reservaoutrosconsolidadojul[[#This Row],[ATUAL]])</f>
        <v>0</v>
      </c>
      <c r="AB211" s="91">
        <f>SUMIFS(tabela_registros[VALOR],tabela_registros[MÊS],$AE$1,tabela_registros[DIA],reservaoutrosconsolidadojul[[#Headers],[24]],tabela_registros[REGISTRO],DADOS!$N$6,tabela_registros[TIPO],DADOS!$AJ$5,tabela_registros[CATEGORIA],reservaoutrosconsolidadojul[[#This Row],[ATUAL]])</f>
        <v>0</v>
      </c>
      <c r="AC211" s="91">
        <f>SUMIFS(tabela_registros[VALOR],tabela_registros[MÊS],$AE$1,tabela_registros[DIA],reservaoutrosconsolidadojul[[#Headers],[25]],tabela_registros[REGISTRO],DADOS!$N$6,tabela_registros[TIPO],DADOS!$AJ$5,tabela_registros[CATEGORIA],reservaoutrosconsolidadojul[[#This Row],[ATUAL]])</f>
        <v>0</v>
      </c>
      <c r="AD211" s="91">
        <f>SUMIFS(tabela_registros[VALOR],tabela_registros[MÊS],$AE$1,tabela_registros[DIA],reservaoutrosconsolidadojul[[#Headers],[26]],tabela_registros[REGISTRO],DADOS!$N$6,tabela_registros[TIPO],DADOS!$AJ$5,tabela_registros[CATEGORIA],reservaoutrosconsolidadojul[[#This Row],[ATUAL]])</f>
        <v>0</v>
      </c>
      <c r="AE211" s="91">
        <f>SUMIFS(tabela_registros[VALOR],tabela_registros[MÊS],$AE$1,tabela_registros[DIA],reservaoutrosconsolidadojul[[#Headers],[27]],tabela_registros[REGISTRO],DADOS!$N$6,tabela_registros[TIPO],DADOS!$AJ$5,tabela_registros[CATEGORIA],reservaoutrosconsolidadojul[[#This Row],[ATUAL]])</f>
        <v>0</v>
      </c>
      <c r="AF211" s="91">
        <f>SUMIFS(tabela_registros[VALOR],tabela_registros[MÊS],$AE$1,tabela_registros[DIA],reservaoutrosconsolidadojul[[#Headers],[28]],tabela_registros[REGISTRO],DADOS!$N$6,tabela_registros[TIPO],DADOS!$AJ$5,tabela_registros[CATEGORIA],reservaoutrosconsolidadojul[[#This Row],[ATUAL]])</f>
        <v>0</v>
      </c>
      <c r="AG211" s="91">
        <f>SUMIFS(tabela_registros[VALOR],tabela_registros[MÊS],$AE$1,tabela_registros[DIA],reservaoutrosconsolidadojul[[#Headers],[29]],tabela_registros[REGISTRO],DADOS!$N$6,tabela_registros[TIPO],DADOS!$AJ$5,tabela_registros[CATEGORIA],reservaoutrosconsolidadojul[[#This Row],[ATUAL]])</f>
        <v>0</v>
      </c>
      <c r="AH211" s="91">
        <f>SUMIFS(tabela_registros[VALOR],tabela_registros[MÊS],$AE$1,tabela_registros[DIA],reservaoutrosconsolidadojul[[#Headers],[30]],tabela_registros[REGISTRO],DADOS!$N$6,tabela_registros[TIPO],DADOS!$AJ$5,tabela_registros[CATEGORIA],reservaoutrosconsolidadojul[[#This Row],[ATUAL]])</f>
        <v>0</v>
      </c>
      <c r="AI211" s="101">
        <f>SUMIFS(tabela_registros[VALOR],tabela_registros[MÊS],$AE$1,tabela_registros[DIA],reservaoutrosconsolidadojul[[#Headers],[31]],tabela_registros[REGISTRO],DADOS!$N$6,tabela_registros[TIPO],DADOS!$AJ$5,tabela_registros[CATEGORIA],reservaoutrosconsolidadojul[[#This Row],[ATUAL]])</f>
        <v>0</v>
      </c>
      <c r="AJ211" s="97">
        <f>SUM(reservaoutrosconsolidadojul[[#This Row],[1]:[31]])</f>
        <v>0</v>
      </c>
      <c r="AK211" s="25"/>
    </row>
    <row r="212" spans="2:37" ht="19.5" customHeight="1" thickTop="1" thickBot="1" x14ac:dyDescent="0.3">
      <c r="B212" s="28"/>
      <c r="C212" s="27" t="str">
        <f>DADOS!$AP$9</f>
        <v>📝 PREVIDÊNCIA PRIVADA</v>
      </c>
      <c r="D212" s="26" t="str">
        <f>IF(reservaoutrosconsolidadojul[[#This Row],[TOTAL (R$)]]=0,"",IF(OR(reservaoutrosconsolidadojul[[#This Row],[TOTAL (R$)]]=LARGE($AJ$206:$AJ$213,1),reservaoutrosconsolidadojul[[#This Row],[TOTAL (R$)]]=LARGE($AJ$206:$AJ$213,2)),DADOS!$I$11,""))</f>
        <v/>
      </c>
      <c r="E212" s="96">
        <f>SUMIFS(tabela_registros[VALOR],tabela_registros[MÊS],$AE$1,tabela_registros[DIA],reservaoutrosconsolidadojul[[#Headers],[1]],tabela_registros[REGISTRO],DADOS!$N$6,tabela_registros[TIPO],DADOS!$AJ$5,tabela_registros[CATEGORIA],reservaoutrosconsolidadojul[[#This Row],[ATUAL]])</f>
        <v>0</v>
      </c>
      <c r="F212" s="91">
        <f>SUMIFS(tabela_registros[VALOR],tabela_registros[MÊS],$AE$1,tabela_registros[DIA],reservaoutrosconsolidadojul[[#Headers],[2]],tabela_registros[REGISTRO],DADOS!$N$6,tabela_registros[TIPO],DADOS!$AJ$5,tabela_registros[CATEGORIA],reservaoutrosconsolidadojul[[#This Row],[ATUAL]])</f>
        <v>0</v>
      </c>
      <c r="G212" s="91">
        <f>SUMIFS(tabela_registros[VALOR],tabela_registros[MÊS],$AE$1,tabela_registros[DIA],reservaoutrosconsolidadojul[[#Headers],[3]],tabela_registros[REGISTRO],DADOS!$N$6,tabela_registros[TIPO],DADOS!$AJ$5,tabela_registros[CATEGORIA],reservaoutrosconsolidadojul[[#This Row],[ATUAL]])</f>
        <v>0</v>
      </c>
      <c r="H212" s="91">
        <f>SUMIFS(tabela_registros[VALOR],tabela_registros[MÊS],$AE$1,tabela_registros[DIA],reservaoutrosconsolidadojul[[#Headers],[4]],tabela_registros[REGISTRO],DADOS!$N$6,tabela_registros[TIPO],DADOS!$AJ$5,tabela_registros[CATEGORIA],reservaoutrosconsolidadojul[[#This Row],[ATUAL]])</f>
        <v>0</v>
      </c>
      <c r="I212" s="91">
        <f>SUMIFS(tabela_registros[VALOR],tabela_registros[MÊS],$AE$1,tabela_registros[DIA],reservaoutrosconsolidadojul[[#Headers],[5]],tabela_registros[REGISTRO],DADOS!$N$6,tabela_registros[TIPO],DADOS!$AJ$5,tabela_registros[CATEGORIA],reservaoutrosconsolidadojul[[#This Row],[ATUAL]])</f>
        <v>0</v>
      </c>
      <c r="J212" s="91">
        <f>SUMIFS(tabela_registros[VALOR],tabela_registros[MÊS],$AE$1,tabela_registros[DIA],reservaoutrosconsolidadojul[[#Headers],[6]],tabela_registros[REGISTRO],DADOS!$N$6,tabela_registros[TIPO],DADOS!$AJ$5,tabela_registros[CATEGORIA],reservaoutrosconsolidadojul[[#This Row],[ATUAL]])</f>
        <v>0</v>
      </c>
      <c r="K212" s="91">
        <f>SUMIFS(tabela_registros[VALOR],tabela_registros[MÊS],$AE$1,tabela_registros[DIA],reservaoutrosconsolidadojul[[#Headers],[7]],tabela_registros[REGISTRO],DADOS!$N$6,tabela_registros[TIPO],DADOS!$AJ$5,tabela_registros[CATEGORIA],reservaoutrosconsolidadojul[[#This Row],[ATUAL]])</f>
        <v>0</v>
      </c>
      <c r="L212" s="91">
        <f>SUMIFS(tabela_registros[VALOR],tabela_registros[MÊS],$AE$1,tabela_registros[DIA],reservaoutrosconsolidadojul[[#Headers],[8]],tabela_registros[REGISTRO],DADOS!$N$6,tabela_registros[TIPO],DADOS!$AJ$5,tabela_registros[CATEGORIA],reservaoutrosconsolidadojul[[#This Row],[ATUAL]])</f>
        <v>0</v>
      </c>
      <c r="M212" s="91">
        <f>SUMIFS(tabela_registros[VALOR],tabela_registros[MÊS],$AE$1,tabela_registros[DIA],reservaoutrosconsolidadojul[[#Headers],[9]],tabela_registros[REGISTRO],DADOS!$N$6,tabela_registros[TIPO],DADOS!$AJ$5,tabela_registros[CATEGORIA],reservaoutrosconsolidadojul[[#This Row],[ATUAL]])</f>
        <v>0</v>
      </c>
      <c r="N212" s="91">
        <f>SUMIFS(tabela_registros[VALOR],tabela_registros[MÊS],$AE$1,tabela_registros[DIA],reservaoutrosconsolidadojul[[#Headers],[10]],tabela_registros[REGISTRO],DADOS!$N$6,tabela_registros[TIPO],DADOS!$AJ$5,tabela_registros[CATEGORIA],reservaoutrosconsolidadojul[[#This Row],[ATUAL]])</f>
        <v>0</v>
      </c>
      <c r="O212" s="91">
        <f>SUMIFS(tabela_registros[VALOR],tabela_registros[MÊS],$AE$1,tabela_registros[DIA],reservaoutrosconsolidadojul[[#Headers],[11]],tabela_registros[REGISTRO],DADOS!$N$6,tabela_registros[TIPO],DADOS!$AJ$5,tabela_registros[CATEGORIA],reservaoutrosconsolidadojul[[#This Row],[ATUAL]])</f>
        <v>0</v>
      </c>
      <c r="P212" s="91">
        <f>SUMIFS(tabela_registros[VALOR],tabela_registros[MÊS],$AE$1,tabela_registros[DIA],reservaoutrosconsolidadojul[[#Headers],[12]],tabela_registros[REGISTRO],DADOS!$N$6,tabela_registros[TIPO],DADOS!$AJ$5,tabela_registros[CATEGORIA],reservaoutrosconsolidadojul[[#This Row],[ATUAL]])</f>
        <v>0</v>
      </c>
      <c r="Q212" s="91">
        <f>SUMIFS(tabela_registros[VALOR],tabela_registros[MÊS],$AE$1,tabela_registros[DIA],reservaoutrosconsolidadojul[[#Headers],[13]],tabela_registros[REGISTRO],DADOS!$N$6,tabela_registros[TIPO],DADOS!$AJ$5,tabela_registros[CATEGORIA],reservaoutrosconsolidadojul[[#This Row],[ATUAL]])</f>
        <v>0</v>
      </c>
      <c r="R212" s="91">
        <f>SUMIFS(tabela_registros[VALOR],tabela_registros[MÊS],$AE$1,tabela_registros[DIA],reservaoutrosconsolidadojul[[#Headers],[14]],tabela_registros[REGISTRO],DADOS!$N$6,tabela_registros[TIPO],DADOS!$AJ$5,tabela_registros[CATEGORIA],reservaoutrosconsolidadojul[[#This Row],[ATUAL]])</f>
        <v>0</v>
      </c>
      <c r="S212" s="91">
        <f>SUMIFS(tabela_registros[VALOR],tabela_registros[MÊS],$AE$1,tabela_registros[DIA],reservaoutrosconsolidadojul[[#Headers],[15]],tabela_registros[REGISTRO],DADOS!$N$6,tabela_registros[TIPO],DADOS!$AJ$5,tabela_registros[CATEGORIA],reservaoutrosconsolidadojul[[#This Row],[ATUAL]])</f>
        <v>0</v>
      </c>
      <c r="T212" s="91">
        <f>SUMIFS(tabela_registros[VALOR],tabela_registros[MÊS],$AE$1,tabela_registros[DIA],reservaoutrosconsolidadojul[[#Headers],[16]],tabela_registros[REGISTRO],DADOS!$N$6,tabela_registros[TIPO],DADOS!$AJ$5,tabela_registros[CATEGORIA],reservaoutrosconsolidadojul[[#This Row],[ATUAL]])</f>
        <v>0</v>
      </c>
      <c r="U212" s="91">
        <f>SUMIFS(tabela_registros[VALOR],tabela_registros[MÊS],$AE$1,tabela_registros[DIA],reservaoutrosconsolidadojul[[#Headers],[17]],tabela_registros[REGISTRO],DADOS!$N$6,tabela_registros[TIPO],DADOS!$AJ$5,tabela_registros[CATEGORIA],reservaoutrosconsolidadojul[[#This Row],[ATUAL]])</f>
        <v>0</v>
      </c>
      <c r="V212" s="91">
        <f>SUMIFS(tabela_registros[VALOR],tabela_registros[MÊS],$AE$1,tabela_registros[DIA],reservaoutrosconsolidadojul[[#Headers],[18]],tabela_registros[REGISTRO],DADOS!$N$6,tabela_registros[TIPO],DADOS!$AJ$5,tabela_registros[CATEGORIA],reservaoutrosconsolidadojul[[#This Row],[ATUAL]])</f>
        <v>0</v>
      </c>
      <c r="W212" s="91">
        <f>SUMIFS(tabela_registros[VALOR],tabela_registros[MÊS],$AE$1,tabela_registros[DIA],reservaoutrosconsolidadojul[[#Headers],[19]],tabela_registros[REGISTRO],DADOS!$N$6,tabela_registros[TIPO],DADOS!$AJ$5,tabela_registros[CATEGORIA],reservaoutrosconsolidadojul[[#This Row],[ATUAL]])</f>
        <v>0</v>
      </c>
      <c r="X212" s="91">
        <f>SUMIFS(tabela_registros[VALOR],tabela_registros[MÊS],$AE$1,tabela_registros[DIA],reservaoutrosconsolidadojul[[#Headers],[20]],tabela_registros[REGISTRO],DADOS!$N$6,tabela_registros[TIPO],DADOS!$AJ$5,tabela_registros[CATEGORIA],reservaoutrosconsolidadojul[[#This Row],[ATUAL]])</f>
        <v>0</v>
      </c>
      <c r="Y212" s="91">
        <f>SUMIFS(tabela_registros[VALOR],tabela_registros[MÊS],$AE$1,tabela_registros[DIA],reservaoutrosconsolidadojul[[#Headers],[21]],tabela_registros[REGISTRO],DADOS!$N$6,tabela_registros[TIPO],DADOS!$AJ$5,tabela_registros[CATEGORIA],reservaoutrosconsolidadojul[[#This Row],[ATUAL]])</f>
        <v>0</v>
      </c>
      <c r="Z212" s="91">
        <f>SUMIFS(tabela_registros[VALOR],tabela_registros[MÊS],$AE$1,tabela_registros[DIA],reservaoutrosconsolidadojul[[#Headers],[22]],tabela_registros[REGISTRO],DADOS!$N$6,tabela_registros[TIPO],DADOS!$AJ$5,tabela_registros[CATEGORIA],reservaoutrosconsolidadojul[[#This Row],[ATUAL]])</f>
        <v>0</v>
      </c>
      <c r="AA212" s="91">
        <f>SUMIFS(tabela_registros[VALOR],tabela_registros[MÊS],$AE$1,tabela_registros[DIA],reservaoutrosconsolidadojul[[#Headers],[23]],tabela_registros[REGISTRO],DADOS!$N$6,tabela_registros[TIPO],DADOS!$AJ$5,tabela_registros[CATEGORIA],reservaoutrosconsolidadojul[[#This Row],[ATUAL]])</f>
        <v>0</v>
      </c>
      <c r="AB212" s="91">
        <f>SUMIFS(tabela_registros[VALOR],tabela_registros[MÊS],$AE$1,tabela_registros[DIA],reservaoutrosconsolidadojul[[#Headers],[24]],tabela_registros[REGISTRO],DADOS!$N$6,tabela_registros[TIPO],DADOS!$AJ$5,tabela_registros[CATEGORIA],reservaoutrosconsolidadojul[[#This Row],[ATUAL]])</f>
        <v>0</v>
      </c>
      <c r="AC212" s="91">
        <f>SUMIFS(tabela_registros[VALOR],tabela_registros[MÊS],$AE$1,tabela_registros[DIA],reservaoutrosconsolidadojul[[#Headers],[25]],tabela_registros[REGISTRO],DADOS!$N$6,tabela_registros[TIPO],DADOS!$AJ$5,tabela_registros[CATEGORIA],reservaoutrosconsolidadojul[[#This Row],[ATUAL]])</f>
        <v>0</v>
      </c>
      <c r="AD212" s="91">
        <f>SUMIFS(tabela_registros[VALOR],tabela_registros[MÊS],$AE$1,tabela_registros[DIA],reservaoutrosconsolidadojul[[#Headers],[26]],tabela_registros[REGISTRO],DADOS!$N$6,tabela_registros[TIPO],DADOS!$AJ$5,tabela_registros[CATEGORIA],reservaoutrosconsolidadojul[[#This Row],[ATUAL]])</f>
        <v>0</v>
      </c>
      <c r="AE212" s="91">
        <f>SUMIFS(tabela_registros[VALOR],tabela_registros[MÊS],$AE$1,tabela_registros[DIA],reservaoutrosconsolidadojul[[#Headers],[27]],tabela_registros[REGISTRO],DADOS!$N$6,tabela_registros[TIPO],DADOS!$AJ$5,tabela_registros[CATEGORIA],reservaoutrosconsolidadojul[[#This Row],[ATUAL]])</f>
        <v>0</v>
      </c>
      <c r="AF212" s="91">
        <f>SUMIFS(tabela_registros[VALOR],tabela_registros[MÊS],$AE$1,tabela_registros[DIA],reservaoutrosconsolidadojul[[#Headers],[28]],tabela_registros[REGISTRO],DADOS!$N$6,tabela_registros[TIPO],DADOS!$AJ$5,tabela_registros[CATEGORIA],reservaoutrosconsolidadojul[[#This Row],[ATUAL]])</f>
        <v>0</v>
      </c>
      <c r="AG212" s="91">
        <f>SUMIFS(tabela_registros[VALOR],tabela_registros[MÊS],$AE$1,tabela_registros[DIA],reservaoutrosconsolidadojul[[#Headers],[29]],tabela_registros[REGISTRO],DADOS!$N$6,tabela_registros[TIPO],DADOS!$AJ$5,tabela_registros[CATEGORIA],reservaoutrosconsolidadojul[[#This Row],[ATUAL]])</f>
        <v>0</v>
      </c>
      <c r="AH212" s="91">
        <f>SUMIFS(tabela_registros[VALOR],tabela_registros[MÊS],$AE$1,tabela_registros[DIA],reservaoutrosconsolidadojul[[#Headers],[30]],tabela_registros[REGISTRO],DADOS!$N$6,tabela_registros[TIPO],DADOS!$AJ$5,tabela_registros[CATEGORIA],reservaoutrosconsolidadojul[[#This Row],[ATUAL]])</f>
        <v>0</v>
      </c>
      <c r="AI212" s="101">
        <f>SUMIFS(tabela_registros[VALOR],tabela_registros[MÊS],$AE$1,tabela_registros[DIA],reservaoutrosconsolidadojul[[#Headers],[31]],tabela_registros[REGISTRO],DADOS!$N$6,tabela_registros[TIPO],DADOS!$AJ$5,tabela_registros[CATEGORIA],reservaoutrosconsolidadojul[[#This Row],[ATUAL]])</f>
        <v>0</v>
      </c>
      <c r="AJ212" s="97">
        <f>SUM(reservaoutrosconsolidadojul[[#This Row],[1]:[31]])</f>
        <v>0</v>
      </c>
      <c r="AK212" s="25"/>
    </row>
    <row r="213" spans="2:37" ht="19.5" customHeight="1" thickTop="1" thickBot="1" x14ac:dyDescent="0.3">
      <c r="B213" s="28"/>
      <c r="C213" s="27" t="str">
        <f>DADOS!$AP$10</f>
        <v>📎 OUTROS</v>
      </c>
      <c r="D213" s="26" t="str">
        <f>IF(reservaoutrosconsolidadojul[[#This Row],[TOTAL (R$)]]=0,"",IF(OR(reservaoutrosconsolidadojul[[#This Row],[TOTAL (R$)]]=LARGE($AJ$206:$AJ$213,1),reservaoutrosconsolidadojul[[#This Row],[TOTAL (R$)]]=LARGE($AJ$206:$AJ$213,2)),DADOS!$I$11,""))</f>
        <v/>
      </c>
      <c r="E213" s="96">
        <f>SUMIFS(tabela_registros[VALOR],tabela_registros[MÊS],$AE$1,tabela_registros[DIA],reservaoutrosconsolidadojul[[#Headers],[1]],tabela_registros[REGISTRO],DADOS!$N$6,tabela_registros[TIPO],DADOS!$AJ$5,tabela_registros[CATEGORIA],reservaoutrosconsolidadojul[[#This Row],[ATUAL]])</f>
        <v>0</v>
      </c>
      <c r="F213" s="91">
        <f>SUMIFS(tabela_registros[VALOR],tabela_registros[MÊS],$AE$1,tabela_registros[DIA],reservaoutrosconsolidadojul[[#Headers],[2]],tabela_registros[REGISTRO],DADOS!$N$6,tabela_registros[TIPO],DADOS!$AJ$5,tabela_registros[CATEGORIA],reservaoutrosconsolidadojul[[#This Row],[ATUAL]])</f>
        <v>0</v>
      </c>
      <c r="G213" s="91">
        <f>SUMIFS(tabela_registros[VALOR],tabela_registros[MÊS],$AE$1,tabela_registros[DIA],reservaoutrosconsolidadojul[[#Headers],[3]],tabela_registros[REGISTRO],DADOS!$N$6,tabela_registros[TIPO],DADOS!$AJ$5,tabela_registros[CATEGORIA],reservaoutrosconsolidadojul[[#This Row],[ATUAL]])</f>
        <v>0</v>
      </c>
      <c r="H213" s="91">
        <f>SUMIFS(tabela_registros[VALOR],tabela_registros[MÊS],$AE$1,tabela_registros[DIA],reservaoutrosconsolidadojul[[#Headers],[4]],tabela_registros[REGISTRO],DADOS!$N$6,tabela_registros[TIPO],DADOS!$AJ$5,tabela_registros[CATEGORIA],reservaoutrosconsolidadojul[[#This Row],[ATUAL]])</f>
        <v>0</v>
      </c>
      <c r="I213" s="91">
        <f>SUMIFS(tabela_registros[VALOR],tabela_registros[MÊS],$AE$1,tabela_registros[DIA],reservaoutrosconsolidadojul[[#Headers],[5]],tabela_registros[REGISTRO],DADOS!$N$6,tabela_registros[TIPO],DADOS!$AJ$5,tabela_registros[CATEGORIA],reservaoutrosconsolidadojul[[#This Row],[ATUAL]])</f>
        <v>0</v>
      </c>
      <c r="J213" s="91">
        <f>SUMIFS(tabela_registros[VALOR],tabela_registros[MÊS],$AE$1,tabela_registros[DIA],reservaoutrosconsolidadojul[[#Headers],[6]],tabela_registros[REGISTRO],DADOS!$N$6,tabela_registros[TIPO],DADOS!$AJ$5,tabela_registros[CATEGORIA],reservaoutrosconsolidadojul[[#This Row],[ATUAL]])</f>
        <v>0</v>
      </c>
      <c r="K213" s="91">
        <f>SUMIFS(tabela_registros[VALOR],tabela_registros[MÊS],$AE$1,tabela_registros[DIA],reservaoutrosconsolidadojul[[#Headers],[7]],tabela_registros[REGISTRO],DADOS!$N$6,tabela_registros[TIPO],DADOS!$AJ$5,tabela_registros[CATEGORIA],reservaoutrosconsolidadojul[[#This Row],[ATUAL]])</f>
        <v>0</v>
      </c>
      <c r="L213" s="91">
        <f>SUMIFS(tabela_registros[VALOR],tabela_registros[MÊS],$AE$1,tabela_registros[DIA],reservaoutrosconsolidadojul[[#Headers],[8]],tabela_registros[REGISTRO],DADOS!$N$6,tabela_registros[TIPO],DADOS!$AJ$5,tabela_registros[CATEGORIA],reservaoutrosconsolidadojul[[#This Row],[ATUAL]])</f>
        <v>0</v>
      </c>
      <c r="M213" s="91">
        <f>SUMIFS(tabela_registros[VALOR],tabela_registros[MÊS],$AE$1,tabela_registros[DIA],reservaoutrosconsolidadojul[[#Headers],[9]],tabela_registros[REGISTRO],DADOS!$N$6,tabela_registros[TIPO],DADOS!$AJ$5,tabela_registros[CATEGORIA],reservaoutrosconsolidadojul[[#This Row],[ATUAL]])</f>
        <v>0</v>
      </c>
      <c r="N213" s="91">
        <f>SUMIFS(tabela_registros[VALOR],tabela_registros[MÊS],$AE$1,tabela_registros[DIA],reservaoutrosconsolidadojul[[#Headers],[10]],tabela_registros[REGISTRO],DADOS!$N$6,tabela_registros[TIPO],DADOS!$AJ$5,tabela_registros[CATEGORIA],reservaoutrosconsolidadojul[[#This Row],[ATUAL]])</f>
        <v>0</v>
      </c>
      <c r="O213" s="91">
        <f>SUMIFS(tabela_registros[VALOR],tabela_registros[MÊS],$AE$1,tabela_registros[DIA],reservaoutrosconsolidadojul[[#Headers],[11]],tabela_registros[REGISTRO],DADOS!$N$6,tabela_registros[TIPO],DADOS!$AJ$5,tabela_registros[CATEGORIA],reservaoutrosconsolidadojul[[#This Row],[ATUAL]])</f>
        <v>0</v>
      </c>
      <c r="P213" s="91">
        <f>SUMIFS(tabela_registros[VALOR],tabela_registros[MÊS],$AE$1,tabela_registros[DIA],reservaoutrosconsolidadojul[[#Headers],[12]],tabela_registros[REGISTRO],DADOS!$N$6,tabela_registros[TIPO],DADOS!$AJ$5,tabela_registros[CATEGORIA],reservaoutrosconsolidadojul[[#This Row],[ATUAL]])</f>
        <v>0</v>
      </c>
      <c r="Q213" s="91">
        <f>SUMIFS(tabela_registros[VALOR],tabela_registros[MÊS],$AE$1,tabela_registros[DIA],reservaoutrosconsolidadojul[[#Headers],[13]],tabela_registros[REGISTRO],DADOS!$N$6,tabela_registros[TIPO],DADOS!$AJ$5,tabela_registros[CATEGORIA],reservaoutrosconsolidadojul[[#This Row],[ATUAL]])</f>
        <v>0</v>
      </c>
      <c r="R213" s="91">
        <f>SUMIFS(tabela_registros[VALOR],tabela_registros[MÊS],$AE$1,tabela_registros[DIA],reservaoutrosconsolidadojul[[#Headers],[14]],tabela_registros[REGISTRO],DADOS!$N$6,tabela_registros[TIPO],DADOS!$AJ$5,tabela_registros[CATEGORIA],reservaoutrosconsolidadojul[[#This Row],[ATUAL]])</f>
        <v>0</v>
      </c>
      <c r="S213" s="91">
        <f>SUMIFS(tabela_registros[VALOR],tabela_registros[MÊS],$AE$1,tabela_registros[DIA],reservaoutrosconsolidadojul[[#Headers],[15]],tabela_registros[REGISTRO],DADOS!$N$6,tabela_registros[TIPO],DADOS!$AJ$5,tabela_registros[CATEGORIA],reservaoutrosconsolidadojul[[#This Row],[ATUAL]])</f>
        <v>0</v>
      </c>
      <c r="T213" s="91">
        <f>SUMIFS(tabela_registros[VALOR],tabela_registros[MÊS],$AE$1,tabela_registros[DIA],reservaoutrosconsolidadojul[[#Headers],[16]],tabela_registros[REGISTRO],DADOS!$N$6,tabela_registros[TIPO],DADOS!$AJ$5,tabela_registros[CATEGORIA],reservaoutrosconsolidadojul[[#This Row],[ATUAL]])</f>
        <v>0</v>
      </c>
      <c r="U213" s="91">
        <f>SUMIFS(tabela_registros[VALOR],tabela_registros[MÊS],$AE$1,tabela_registros[DIA],reservaoutrosconsolidadojul[[#Headers],[17]],tabela_registros[REGISTRO],DADOS!$N$6,tabela_registros[TIPO],DADOS!$AJ$5,tabela_registros[CATEGORIA],reservaoutrosconsolidadojul[[#This Row],[ATUAL]])</f>
        <v>0</v>
      </c>
      <c r="V213" s="91">
        <f>SUMIFS(tabela_registros[VALOR],tabela_registros[MÊS],$AE$1,tabela_registros[DIA],reservaoutrosconsolidadojul[[#Headers],[18]],tabela_registros[REGISTRO],DADOS!$N$6,tabela_registros[TIPO],DADOS!$AJ$5,tabela_registros[CATEGORIA],reservaoutrosconsolidadojul[[#This Row],[ATUAL]])</f>
        <v>0</v>
      </c>
      <c r="W213" s="91">
        <f>SUMIFS(tabela_registros[VALOR],tabela_registros[MÊS],$AE$1,tabela_registros[DIA],reservaoutrosconsolidadojul[[#Headers],[19]],tabela_registros[REGISTRO],DADOS!$N$6,tabela_registros[TIPO],DADOS!$AJ$5,tabela_registros[CATEGORIA],reservaoutrosconsolidadojul[[#This Row],[ATUAL]])</f>
        <v>0</v>
      </c>
      <c r="X213" s="91">
        <f>SUMIFS(tabela_registros[VALOR],tabela_registros[MÊS],$AE$1,tabela_registros[DIA],reservaoutrosconsolidadojul[[#Headers],[20]],tabela_registros[REGISTRO],DADOS!$N$6,tabela_registros[TIPO],DADOS!$AJ$5,tabela_registros[CATEGORIA],reservaoutrosconsolidadojul[[#This Row],[ATUAL]])</f>
        <v>0</v>
      </c>
      <c r="Y213" s="91">
        <f>SUMIFS(tabela_registros[VALOR],tabela_registros[MÊS],$AE$1,tabela_registros[DIA],reservaoutrosconsolidadojul[[#Headers],[21]],tabela_registros[REGISTRO],DADOS!$N$6,tabela_registros[TIPO],DADOS!$AJ$5,tabela_registros[CATEGORIA],reservaoutrosconsolidadojul[[#This Row],[ATUAL]])</f>
        <v>0</v>
      </c>
      <c r="Z213" s="91">
        <f>SUMIFS(tabela_registros[VALOR],tabela_registros[MÊS],$AE$1,tabela_registros[DIA],reservaoutrosconsolidadojul[[#Headers],[22]],tabela_registros[REGISTRO],DADOS!$N$6,tabela_registros[TIPO],DADOS!$AJ$5,tabela_registros[CATEGORIA],reservaoutrosconsolidadojul[[#This Row],[ATUAL]])</f>
        <v>0</v>
      </c>
      <c r="AA213" s="91">
        <f>SUMIFS(tabela_registros[VALOR],tabela_registros[MÊS],$AE$1,tabela_registros[DIA],reservaoutrosconsolidadojul[[#Headers],[23]],tabela_registros[REGISTRO],DADOS!$N$6,tabela_registros[TIPO],DADOS!$AJ$5,tabela_registros[CATEGORIA],reservaoutrosconsolidadojul[[#This Row],[ATUAL]])</f>
        <v>0</v>
      </c>
      <c r="AB213" s="91">
        <f>SUMIFS(tabela_registros[VALOR],tabela_registros[MÊS],$AE$1,tabela_registros[DIA],reservaoutrosconsolidadojul[[#Headers],[24]],tabela_registros[REGISTRO],DADOS!$N$6,tabela_registros[TIPO],DADOS!$AJ$5,tabela_registros[CATEGORIA],reservaoutrosconsolidadojul[[#This Row],[ATUAL]])</f>
        <v>0</v>
      </c>
      <c r="AC213" s="91">
        <f>SUMIFS(tabela_registros[VALOR],tabela_registros[MÊS],$AE$1,tabela_registros[DIA],reservaoutrosconsolidadojul[[#Headers],[25]],tabela_registros[REGISTRO],DADOS!$N$6,tabela_registros[TIPO],DADOS!$AJ$5,tabela_registros[CATEGORIA],reservaoutrosconsolidadojul[[#This Row],[ATUAL]])</f>
        <v>0</v>
      </c>
      <c r="AD213" s="91">
        <f>SUMIFS(tabela_registros[VALOR],tabela_registros[MÊS],$AE$1,tabela_registros[DIA],reservaoutrosconsolidadojul[[#Headers],[26]],tabela_registros[REGISTRO],DADOS!$N$6,tabela_registros[TIPO],DADOS!$AJ$5,tabela_registros[CATEGORIA],reservaoutrosconsolidadojul[[#This Row],[ATUAL]])</f>
        <v>0</v>
      </c>
      <c r="AE213" s="91">
        <f>SUMIFS(tabela_registros[VALOR],tabela_registros[MÊS],$AE$1,tabela_registros[DIA],reservaoutrosconsolidadojul[[#Headers],[27]],tabela_registros[REGISTRO],DADOS!$N$6,tabela_registros[TIPO],DADOS!$AJ$5,tabela_registros[CATEGORIA],reservaoutrosconsolidadojul[[#This Row],[ATUAL]])</f>
        <v>0</v>
      </c>
      <c r="AF213" s="91">
        <f>SUMIFS(tabela_registros[VALOR],tabela_registros[MÊS],$AE$1,tabela_registros[DIA],reservaoutrosconsolidadojul[[#Headers],[28]],tabela_registros[REGISTRO],DADOS!$N$6,tabela_registros[TIPO],DADOS!$AJ$5,tabela_registros[CATEGORIA],reservaoutrosconsolidadojul[[#This Row],[ATUAL]])</f>
        <v>0</v>
      </c>
      <c r="AG213" s="91">
        <f>SUMIFS(tabela_registros[VALOR],tabela_registros[MÊS],$AE$1,tabela_registros[DIA],reservaoutrosconsolidadojul[[#Headers],[29]],tabela_registros[REGISTRO],DADOS!$N$6,tabela_registros[TIPO],DADOS!$AJ$5,tabela_registros[CATEGORIA],reservaoutrosconsolidadojul[[#This Row],[ATUAL]])</f>
        <v>0</v>
      </c>
      <c r="AH213" s="91">
        <f>SUMIFS(tabela_registros[VALOR],tabela_registros[MÊS],$AE$1,tabela_registros[DIA],reservaoutrosconsolidadojul[[#Headers],[30]],tabela_registros[REGISTRO],DADOS!$N$6,tabela_registros[TIPO],DADOS!$AJ$5,tabela_registros[CATEGORIA],reservaoutrosconsolidadojul[[#This Row],[ATUAL]])</f>
        <v>0</v>
      </c>
      <c r="AI213" s="102">
        <f>SUMIFS(tabela_registros[VALOR],tabela_registros[MÊS],$AE$1,tabela_registros[DIA],reservaoutrosconsolidadojul[[#Headers],[31]],tabela_registros[REGISTRO],DADOS!$N$6,tabela_registros[TIPO],DADOS!$AJ$5,tabela_registros[CATEGORIA],reservaoutrosconsolidadojul[[#This Row],[ATUAL]])</f>
        <v>0</v>
      </c>
      <c r="AJ213" s="97">
        <f>SUM(reservaoutrosconsolidadojul[[#This Row],[1]:[31]])</f>
        <v>0</v>
      </c>
      <c r="AK213" s="25"/>
    </row>
    <row r="214" spans="2:37" s="16" customFormat="1" ht="21" customHeight="1" thickTop="1" thickBot="1" x14ac:dyDescent="0.35">
      <c r="B214" s="24"/>
      <c r="C214" s="23" t="s">
        <v>19</v>
      </c>
      <c r="D214" s="22"/>
      <c r="E214" s="21">
        <f>SUM(E206:E213)</f>
        <v>0</v>
      </c>
      <c r="F214" s="20">
        <f>SUM(F206:F213)+reservaoutrosconsolidadojul[[#This Row],[1]]</f>
        <v>0</v>
      </c>
      <c r="G214" s="20">
        <f>SUM(G206:G213)+reservaoutrosconsolidadojul[[#This Row],[2]]</f>
        <v>0</v>
      </c>
      <c r="H214" s="20">
        <f>SUM(H206:H213)+reservaoutrosconsolidadojul[[#This Row],[3]]</f>
        <v>0</v>
      </c>
      <c r="I214" s="20">
        <f>SUM(I206:I213)+reservaoutrosconsolidadojul[[#This Row],[4]]</f>
        <v>0</v>
      </c>
      <c r="J214" s="20">
        <f>SUM(J206:J213)+reservaoutrosconsolidadojul[[#This Row],[5]]</f>
        <v>0</v>
      </c>
      <c r="K214" s="20">
        <f>SUM(K206:K213)+reservaoutrosconsolidadojul[[#This Row],[6]]</f>
        <v>0</v>
      </c>
      <c r="L214" s="20">
        <f>SUM(L206:L213)+reservaoutrosconsolidadojul[[#This Row],[7]]</f>
        <v>0</v>
      </c>
      <c r="M214" s="20">
        <f>SUM(M206:M213)+reservaoutrosconsolidadojul[[#This Row],[8]]</f>
        <v>0</v>
      </c>
      <c r="N214" s="20">
        <f>SUM(N206:N213)+reservaoutrosconsolidadojul[[#This Row],[9]]</f>
        <v>0</v>
      </c>
      <c r="O214" s="20">
        <f>SUM(O206:O213)+reservaoutrosconsolidadojul[[#This Row],[10]]</f>
        <v>0</v>
      </c>
      <c r="P214" s="20">
        <f>SUM(P206:P213)+reservaoutrosconsolidadojul[[#This Row],[11]]</f>
        <v>0</v>
      </c>
      <c r="Q214" s="20">
        <f>SUM(Q206:Q213)+reservaoutrosconsolidadojul[[#This Row],[12]]</f>
        <v>0</v>
      </c>
      <c r="R214" s="20">
        <f>SUM(R206:R213)+reservaoutrosconsolidadojul[[#This Row],[13]]</f>
        <v>0</v>
      </c>
      <c r="S214" s="20">
        <f>SUM(S206:S213)+reservaoutrosconsolidadojul[[#This Row],[14]]</f>
        <v>0</v>
      </c>
      <c r="T214" s="20">
        <f>SUM(T206:T213)+reservaoutrosconsolidadojul[[#This Row],[15]]</f>
        <v>0</v>
      </c>
      <c r="U214" s="20">
        <f>SUM(U206:U213)+reservaoutrosconsolidadojul[[#This Row],[16]]</f>
        <v>0</v>
      </c>
      <c r="V214" s="20">
        <f>SUM(V206:V213)+reservaoutrosconsolidadojul[[#This Row],[17]]</f>
        <v>0</v>
      </c>
      <c r="W214" s="20">
        <f>SUM(W206:W213)+reservaoutrosconsolidadojul[[#This Row],[18]]</f>
        <v>0</v>
      </c>
      <c r="X214" s="20">
        <f>SUM(X206:X213)+reservaoutrosconsolidadojul[[#This Row],[19]]</f>
        <v>0</v>
      </c>
      <c r="Y214" s="20">
        <f>SUM(Y206:Y213)+reservaoutrosconsolidadojul[[#This Row],[20]]</f>
        <v>0</v>
      </c>
      <c r="Z214" s="20">
        <f>SUM(Z206:Z213)+reservaoutrosconsolidadojul[[#This Row],[21]]</f>
        <v>0</v>
      </c>
      <c r="AA214" s="20">
        <f>SUM(AA206:AA213)+reservaoutrosconsolidadojul[[#This Row],[22]]</f>
        <v>0</v>
      </c>
      <c r="AB214" s="20">
        <f>SUM(AB206:AB213)+reservaoutrosconsolidadojul[[#This Row],[23]]</f>
        <v>0</v>
      </c>
      <c r="AC214" s="20">
        <f>SUM(AC206:AC213)+reservaoutrosconsolidadojul[[#This Row],[24]]</f>
        <v>0</v>
      </c>
      <c r="AD214" s="20">
        <f>SUM(AD206:AD213)+reservaoutrosconsolidadojul[[#This Row],[25]]</f>
        <v>0</v>
      </c>
      <c r="AE214" s="20">
        <f>SUM(AE206:AE213)+reservaoutrosconsolidadojul[[#This Row],[26]]</f>
        <v>0</v>
      </c>
      <c r="AF214" s="20">
        <f>SUM(AF206:AF213)+reservaoutrosconsolidadojul[[#This Row],[27]]</f>
        <v>0</v>
      </c>
      <c r="AG214" s="20">
        <f>SUM(AG206:AG213)+reservaoutrosconsolidadojul[[#This Row],[28]]</f>
        <v>0</v>
      </c>
      <c r="AH214" s="20">
        <f>SUM(AH206:AH213)+reservaoutrosconsolidadojul[[#This Row],[29]]</f>
        <v>0</v>
      </c>
      <c r="AI214" s="19">
        <f>SUM(AI206:AI213)+reservaoutrosconsolidadojul[[#This Row],[30]]</f>
        <v>0</v>
      </c>
      <c r="AJ214" s="18">
        <f>reservaoutrosconsolidadojul[[#This Row],[31]]</f>
        <v>0</v>
      </c>
      <c r="AK214" s="17"/>
    </row>
    <row r="215" spans="2:37" ht="6.75" customHeight="1" thickTop="1" thickBot="1" x14ac:dyDescent="0.3">
      <c r="B215" s="15"/>
      <c r="C215" s="14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3"/>
      <c r="AE215" s="13"/>
      <c r="AF215" s="13"/>
      <c r="AG215" s="13"/>
      <c r="AH215" s="13"/>
      <c r="AI215" s="12"/>
      <c r="AJ215" s="11"/>
      <c r="AK215" s="10"/>
    </row>
    <row r="216" spans="2:37" ht="12.6" thickTop="1" x14ac:dyDescent="0.25"/>
    <row r="217" spans="2:37" x14ac:dyDescent="0.25"/>
  </sheetData>
  <sheetProtection algorithmName="SHA-512" hashValue="RBWr0LTkFPvSXEVRzCr7tF2Ns6YRSNNREZ75T1DM9tJjDq+M5qA4M/7qJCxb0hbFmb+ET+0fntjDVVsUtl5OHQ==" saltValue="+Vh1Ank+ErzydQsP6cO4xQ==" spinCount="100000" sheet="1" objects="1" scenarios="1" selectLockedCells="1" selectUnlockedCells="1"/>
  <mergeCells count="26">
    <mergeCell ref="E164:AI164"/>
    <mergeCell ref="E183:AI183"/>
    <mergeCell ref="E202:AI202"/>
    <mergeCell ref="E10:AI10"/>
    <mergeCell ref="E21:AI21"/>
    <mergeCell ref="E33:AI33"/>
    <mergeCell ref="E56:AI56"/>
    <mergeCell ref="E78:AI78"/>
    <mergeCell ref="E92:AI92"/>
    <mergeCell ref="E109:AI109"/>
    <mergeCell ref="E128:AI128"/>
    <mergeCell ref="E147:AI147"/>
    <mergeCell ref="AC3:AD4"/>
    <mergeCell ref="AF3:AG4"/>
    <mergeCell ref="E4:G4"/>
    <mergeCell ref="I4:K4"/>
    <mergeCell ref="M4:O4"/>
    <mergeCell ref="Q4:S4"/>
    <mergeCell ref="U4:W4"/>
    <mergeCell ref="U3:W3"/>
    <mergeCell ref="Z3:AA4"/>
    <mergeCell ref="C2:C6"/>
    <mergeCell ref="E3:G3"/>
    <mergeCell ref="I3:K3"/>
    <mergeCell ref="M3:O3"/>
    <mergeCell ref="Q3:S3"/>
  </mergeCells>
  <hyperlinks>
    <hyperlink ref="Z3:AA4" location="'🔒'!A1" display="REGISTROS" xr:uid="{721A24A0-E648-4C3E-A5B3-45DEFF51F5AC}"/>
    <hyperlink ref="AF3:AG4" location="ANUAL!A1" display="ANUAL" xr:uid="{31739DCA-4A02-4061-82DD-F7E0FBBF00AF}"/>
    <hyperlink ref="AC3:AD4" location="'📈'!A1" display="RADAR" xr:uid="{0AA83D0B-F3A2-42CB-9B83-76935CDCB012}"/>
  </hyperlinks>
  <pageMargins left="0.511811024" right="0.511811024" top="0.78740157499999996" bottom="0.78740157499999996" header="0.31496062000000002" footer="0.31496062000000002"/>
  <ignoredErrors>
    <ignoredError sqref="E6:AI6" numberStoredAsText="1"/>
    <ignoredError sqref="AJ16:AJ27 D37:AJ214" calculatedColumn="1"/>
  </ignoredErrors>
  <drawing r:id="rId1"/>
  <tableParts count="12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</tableParts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type="column" displayEmptyCellsAs="gap" high="1" low="1" negative="1" minAxisType="custom" maxAxisType="group" xr2:uid="{9645DB0F-6E4B-4FCF-B9B3-F80374330F5F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'7'!E27:AI27</xm:f>
              <xm:sqref>E21</xm:sqref>
            </x14:sparkline>
          </x14:sparklines>
        </x14:sparklineGroup>
        <x14:sparklineGroup manualMax="0" manualMin="0" type="column" displayEmptyCellsAs="gap" high="1" low="1" negative="1" minAxisType="custom" maxAxisType="group" xr2:uid="{710C6F91-4476-41E8-A077-5CC9402D40BA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'7'!E87:AI87</xm:f>
              <xm:sqref>E78</xm:sqref>
            </x14:sparkline>
          </x14:sparklines>
        </x14:sparklineGroup>
        <x14:sparklineGroup manualMax="0" manualMin="0" type="column" displayEmptyCellsAs="gap" high="1" low="1" negative="1" minAxisType="custom" maxAxisType="group" xr2:uid="{DAE55906-553F-4364-9CDE-826C8ACA406B}">
          <x14:colorSeries rgb="FFC00000"/>
          <x14:colorNegative rgb="FFC00000"/>
          <x14:colorAxis rgb="FF000000"/>
          <x14:colorMarkers rgb="FF0070C0"/>
          <x14:colorFirst rgb="FFFFC000"/>
          <x14:colorLast rgb="FFFFC000"/>
          <x14:colorHigh rgb="FFFF0000"/>
          <x14:colorLow rgb="FFFFC000"/>
          <x14:sparklines>
            <x14:sparkline>
              <xm:f>'7'!E73:AI73</xm:f>
              <xm:sqref>E56</xm:sqref>
            </x14:sparkline>
          </x14:sparklines>
        </x14:sparklineGroup>
        <x14:sparklineGroup manualMax="0" manualMin="0" type="column" displayEmptyCellsAs="gap" high="1" low="1" negative="1" minAxisType="custom" maxAxisType="group" xr2:uid="{F0E51670-E4B2-47E4-A712-8FF3B944876C}">
          <x14:colorSeries rgb="FFC00000"/>
          <x14:colorNegative rgb="FFC00000"/>
          <x14:colorAxis rgb="FF000000"/>
          <x14:colorMarkers rgb="FF0070C0"/>
          <x14:colorFirst rgb="FFFFC000"/>
          <x14:colorLast rgb="FFFFC000"/>
          <x14:colorHigh rgb="FFFF0000"/>
          <x14:colorLow rgb="FFFFC000"/>
          <x14:sparklines>
            <x14:sparkline>
              <xm:f>'7'!E51:AI51</xm:f>
              <xm:sqref>E33</xm:sqref>
            </x14:sparkline>
          </x14:sparklines>
        </x14:sparklineGroup>
        <x14:sparklineGroup manualMax="0" manualMin="0" type="column" displayEmptyCellsAs="gap" high="1" low="1" negative="1" minAxisType="custom" maxAxisType="group" xr2:uid="{1F135B03-E121-4181-85EC-846E1004E6E6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'7'!E104:AI104</xm:f>
              <xm:sqref>E92</xm:sqref>
            </x14:sparkline>
          </x14:sparklines>
        </x14:sparklineGroup>
        <x14:sparklineGroup manualMax="0" manualMin="0" type="column" displayEmptyCellsAs="gap" high="1" low="1" negative="1" minAxisType="custom" maxAxisType="group" xr2:uid="{40310BAC-E56C-4F60-9FCE-E109EF12D738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'7'!E123:AI123</xm:f>
              <xm:sqref>E109</xm:sqref>
            </x14:sparkline>
          </x14:sparklines>
        </x14:sparklineGroup>
        <x14:sparklineGroup manualMax="0" manualMin="0" type="column" displayEmptyCellsAs="gap" high="1" low="1" negative="1" minAxisType="custom" maxAxisType="group" xr2:uid="{1FFB3D55-BC3F-47B3-83C9-E28012F1F29B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'7'!E142:AI142</xm:f>
              <xm:sqref>E128</xm:sqref>
            </x14:sparkline>
          </x14:sparklines>
        </x14:sparklineGroup>
        <x14:sparklineGroup manualMax="0" manualMin="0" type="column" displayEmptyCellsAs="gap" high="1" low="1" negative="1" minAxisType="custom" maxAxisType="group" xr2:uid="{3BBE8CA3-9A9F-486A-BA97-6A5885C39162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'7'!E159:AI159</xm:f>
              <xm:sqref>E147</xm:sqref>
            </x14:sparkline>
          </x14:sparklines>
        </x14:sparklineGroup>
        <x14:sparklineGroup manualMax="0" manualMin="0" type="column" displayEmptyCellsAs="gap" high="1" low="1" negative="1" minAxisType="custom" maxAxisType="group" xr2:uid="{69D3EF29-66C8-4E10-8B98-52624DBD119E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'7'!E178:AI178</xm:f>
              <xm:sqref>E164</xm:sqref>
            </x14:sparkline>
          </x14:sparklines>
        </x14:sparklineGroup>
        <x14:sparklineGroup manualMax="0" manualMin="0" type="column" displayEmptyCellsAs="gap" high="1" low="1" negative="1" minAxisType="custom" maxAxisType="group" xr2:uid="{D414E53F-B650-4788-98AB-70C9EB6F010C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'7'!E197:AI197</xm:f>
              <xm:sqref>E183</xm:sqref>
            </x14:sparkline>
          </x14:sparklines>
        </x14:sparklineGroup>
        <x14:sparklineGroup manualMax="0" manualMin="0" type="column" displayEmptyCellsAs="gap" high="1" low="1" negative="1" minAxisType="custom" maxAxisType="group" xr2:uid="{F707A36B-4C68-483A-8FD6-122CDBE640D7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'7'!E214:AI214</xm:f>
              <xm:sqref>E202</xm:sqref>
            </x14:sparkline>
          </x14:sparklines>
        </x14:sparklineGroup>
        <x14:sparklineGroup manualMax="0" type="column" displayEmptyCellsAs="gap" high="1" negative="1" maxAxisType="group" xr2:uid="{7F806A69-3944-4063-906B-CCA0F72E1DCC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'7'!E16:AI16</xm:f>
              <xm:sqref>E10</xm:sqref>
            </x14:sparkline>
          </x14:sparklines>
        </x14:sparklineGroup>
      </x14:sparklineGroup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E6AB70-C698-4578-8D7E-0768563A9A4C}">
  <sheetPr codeName="Planilha12">
    <tabColor rgb="FFFFEBAB"/>
  </sheetPr>
  <dimension ref="A1:AL217"/>
  <sheetViews>
    <sheetView showGridLines="0" showRowColHeaders="0" showZeros="0" zoomScale="85" zoomScaleNormal="85" workbookViewId="0">
      <pane xSplit="3" ySplit="6" topLeftCell="D7" activePane="bottomRight" state="frozen"/>
      <selection activeCell="D24" sqref="D24"/>
      <selection pane="topRight" activeCell="D24" sqref="D24"/>
      <selection pane="bottomLeft" activeCell="D24" sqref="D24"/>
      <selection pane="bottomRight" activeCell="D24" sqref="D24"/>
    </sheetView>
  </sheetViews>
  <sheetFormatPr defaultColWidth="0" defaultRowHeight="12" zeroHeight="1" x14ac:dyDescent="0.25"/>
  <cols>
    <col min="1" max="1" width="2.109375" style="4" customWidth="1"/>
    <col min="2" max="2" width="1.5546875" style="4" customWidth="1"/>
    <col min="3" max="3" width="29.33203125" style="4" bestFit="1" customWidth="1"/>
    <col min="4" max="4" width="4.6640625" style="4" customWidth="1"/>
    <col min="5" max="34" width="5.5546875" style="4" customWidth="1"/>
    <col min="35" max="35" width="5.5546875" style="9" customWidth="1"/>
    <col min="36" max="36" width="9.5546875" style="4" customWidth="1"/>
    <col min="37" max="37" width="1.5546875" style="4" customWidth="1"/>
    <col min="38" max="38" width="2" style="4" customWidth="1"/>
    <col min="39" max="16384" width="2.109375" style="4" hidden="1"/>
  </cols>
  <sheetData>
    <row r="1" spans="1:38" ht="29.25" hidden="1" customHeight="1" thickBot="1" x14ac:dyDescent="0.3">
      <c r="A1" s="80"/>
      <c r="B1" s="80"/>
      <c r="C1" s="80"/>
      <c r="D1" s="79"/>
      <c r="AD1" s="4" t="s">
        <v>215</v>
      </c>
      <c r="AE1" s="78">
        <v>8</v>
      </c>
      <c r="AH1" s="4" t="s">
        <v>214</v>
      </c>
      <c r="AI1" s="75">
        <f>IF('⚙️'!$Q$3=$AE$1,'⚙️'!$F$13,0)</f>
        <v>0</v>
      </c>
      <c r="AK1" s="75"/>
    </row>
    <row r="2" spans="1:38" ht="15.75" customHeight="1" thickTop="1" thickBot="1" x14ac:dyDescent="0.3">
      <c r="A2" s="77"/>
      <c r="B2" s="77"/>
      <c r="C2" s="245" t="s">
        <v>47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71"/>
      <c r="U2" s="71"/>
      <c r="V2" s="71"/>
      <c r="W2" s="71"/>
      <c r="X2" s="71"/>
      <c r="Y2" s="71"/>
      <c r="Z2" s="71"/>
      <c r="AA2" s="71"/>
      <c r="AB2" s="71"/>
      <c r="AC2" s="76"/>
      <c r="AD2" s="64"/>
      <c r="AE2" s="64"/>
      <c r="AF2" s="64"/>
      <c r="AG2" s="64"/>
      <c r="AH2" s="64"/>
      <c r="AI2" s="64"/>
      <c r="AJ2" s="64"/>
      <c r="AK2" s="64"/>
      <c r="AL2" s="64"/>
    </row>
    <row r="3" spans="1:38" s="73" customFormat="1" ht="18" customHeight="1" thickTop="1" thickBot="1" x14ac:dyDescent="0.3">
      <c r="A3" s="72"/>
      <c r="B3" s="72"/>
      <c r="C3" s="246"/>
      <c r="D3" s="2"/>
      <c r="E3" s="243" t="s">
        <v>211</v>
      </c>
      <c r="F3" s="243"/>
      <c r="G3" s="243"/>
      <c r="H3" s="71"/>
      <c r="I3" s="243" t="s">
        <v>210</v>
      </c>
      <c r="J3" s="243"/>
      <c r="K3" s="243"/>
      <c r="L3" s="71"/>
      <c r="M3" s="243" t="s">
        <v>209</v>
      </c>
      <c r="N3" s="243"/>
      <c r="O3" s="243"/>
      <c r="P3" s="71"/>
      <c r="Q3" s="243" t="s">
        <v>208</v>
      </c>
      <c r="R3" s="243"/>
      <c r="S3" s="243"/>
      <c r="T3" s="71"/>
      <c r="U3" s="243" t="s">
        <v>207</v>
      </c>
      <c r="V3" s="243"/>
      <c r="W3" s="243"/>
      <c r="X3" s="71"/>
      <c r="Y3" s="71"/>
      <c r="Z3" s="252" t="s">
        <v>23</v>
      </c>
      <c r="AA3" s="253"/>
      <c r="AB3" s="64"/>
      <c r="AC3" s="252" t="s">
        <v>24</v>
      </c>
      <c r="AD3" s="253"/>
      <c r="AE3" s="64"/>
      <c r="AF3" s="252" t="s">
        <v>22</v>
      </c>
      <c r="AG3" s="253"/>
      <c r="AH3" s="74"/>
      <c r="AI3" s="74"/>
      <c r="AJ3" s="74"/>
      <c r="AK3" s="64"/>
      <c r="AL3" s="64"/>
    </row>
    <row r="4" spans="1:38" s="73" customFormat="1" ht="18" customHeight="1" thickTop="1" thickBot="1" x14ac:dyDescent="0.3">
      <c r="A4" s="72"/>
      <c r="B4" s="72"/>
      <c r="C4" s="246"/>
      <c r="D4" s="2"/>
      <c r="E4" s="242">
        <f>$AJ$16</f>
        <v>2613</v>
      </c>
      <c r="F4" s="242"/>
      <c r="G4" s="242"/>
      <c r="H4" s="71"/>
      <c r="I4" s="242">
        <f>$AJ$14</f>
        <v>2613</v>
      </c>
      <c r="J4" s="242"/>
      <c r="K4" s="242"/>
      <c r="L4" s="71"/>
      <c r="M4" s="242">
        <f>$AJ$15</f>
        <v>0</v>
      </c>
      <c r="N4" s="242"/>
      <c r="O4" s="242"/>
      <c r="P4" s="71"/>
      <c r="Q4" s="242">
        <f>$AJ$25</f>
        <v>0</v>
      </c>
      <c r="R4" s="242"/>
      <c r="S4" s="242"/>
      <c r="T4" s="71"/>
      <c r="U4" s="242">
        <f>$AJ$26</f>
        <v>0</v>
      </c>
      <c r="V4" s="242"/>
      <c r="W4" s="242"/>
      <c r="X4" s="71"/>
      <c r="Y4" s="71"/>
      <c r="Z4" s="254"/>
      <c r="AA4" s="255"/>
      <c r="AB4" s="64"/>
      <c r="AC4" s="254"/>
      <c r="AD4" s="255"/>
      <c r="AE4" s="64"/>
      <c r="AF4" s="254"/>
      <c r="AG4" s="255"/>
      <c r="AH4" s="74"/>
      <c r="AI4" s="74"/>
      <c r="AJ4" s="74"/>
      <c r="AK4" s="64"/>
      <c r="AL4" s="64"/>
    </row>
    <row r="5" spans="1:38" ht="11.25" customHeight="1" thickTop="1" thickBot="1" x14ac:dyDescent="0.3">
      <c r="A5" s="72"/>
      <c r="B5" s="72"/>
      <c r="C5" s="246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71"/>
      <c r="Y5" s="2"/>
      <c r="Z5" s="2"/>
      <c r="AA5" s="71"/>
      <c r="AB5" s="71"/>
      <c r="AC5" s="70"/>
      <c r="AD5" s="69"/>
      <c r="AE5" s="69"/>
      <c r="AF5" s="69"/>
      <c r="AG5" s="69"/>
      <c r="AH5" s="69"/>
      <c r="AI5" s="69"/>
      <c r="AJ5" s="64"/>
      <c r="AK5" s="64"/>
      <c r="AL5" s="64"/>
    </row>
    <row r="6" spans="1:38" ht="13.5" customHeight="1" thickTop="1" thickBot="1" x14ac:dyDescent="0.3">
      <c r="A6" s="68"/>
      <c r="B6" s="68"/>
      <c r="C6" s="247"/>
      <c r="D6" s="15"/>
      <c r="E6" s="67" t="s">
        <v>197</v>
      </c>
      <c r="F6" s="67" t="s">
        <v>196</v>
      </c>
      <c r="G6" s="66" t="s">
        <v>195</v>
      </c>
      <c r="H6" s="66" t="s">
        <v>194</v>
      </c>
      <c r="I6" s="66" t="s">
        <v>193</v>
      </c>
      <c r="J6" s="66" t="s">
        <v>192</v>
      </c>
      <c r="K6" s="66" t="s">
        <v>191</v>
      </c>
      <c r="L6" s="66" t="s">
        <v>190</v>
      </c>
      <c r="M6" s="66" t="s">
        <v>189</v>
      </c>
      <c r="N6" s="66" t="s">
        <v>188</v>
      </c>
      <c r="O6" s="66" t="s">
        <v>187</v>
      </c>
      <c r="P6" s="66" t="s">
        <v>186</v>
      </c>
      <c r="Q6" s="66" t="s">
        <v>185</v>
      </c>
      <c r="R6" s="66" t="s">
        <v>184</v>
      </c>
      <c r="S6" s="66" t="s">
        <v>183</v>
      </c>
      <c r="T6" s="66" t="s">
        <v>182</v>
      </c>
      <c r="U6" s="66" t="s">
        <v>181</v>
      </c>
      <c r="V6" s="66" t="s">
        <v>180</v>
      </c>
      <c r="W6" s="66" t="s">
        <v>179</v>
      </c>
      <c r="X6" s="66" t="s">
        <v>178</v>
      </c>
      <c r="Y6" s="66" t="s">
        <v>177</v>
      </c>
      <c r="Z6" s="66" t="s">
        <v>176</v>
      </c>
      <c r="AA6" s="66" t="s">
        <v>175</v>
      </c>
      <c r="AB6" s="66" t="s">
        <v>174</v>
      </c>
      <c r="AC6" s="66" t="s">
        <v>173</v>
      </c>
      <c r="AD6" s="66" t="s">
        <v>172</v>
      </c>
      <c r="AE6" s="66" t="s">
        <v>171</v>
      </c>
      <c r="AF6" s="66" t="s">
        <v>170</v>
      </c>
      <c r="AG6" s="66" t="s">
        <v>169</v>
      </c>
      <c r="AH6" s="66" t="s">
        <v>168</v>
      </c>
      <c r="AI6" s="65" t="s">
        <v>167</v>
      </c>
      <c r="AJ6" s="64"/>
      <c r="AK6" s="64"/>
      <c r="AL6" s="64"/>
    </row>
    <row r="7" spans="1:38" ht="12.6" thickTop="1" x14ac:dyDescent="0.25">
      <c r="E7" s="37"/>
      <c r="AI7" s="4"/>
    </row>
    <row r="8" spans="1:38" x14ac:dyDescent="0.25">
      <c r="AI8" s="4"/>
    </row>
    <row r="9" spans="1:38" x14ac:dyDescent="0.25">
      <c r="AI9" s="4"/>
    </row>
    <row r="10" spans="1:38" ht="39.75" customHeight="1" x14ac:dyDescent="0.7">
      <c r="C10" s="36"/>
      <c r="E10" s="240"/>
      <c r="F10" s="240"/>
      <c r="G10" s="240"/>
      <c r="H10" s="240"/>
      <c r="I10" s="240"/>
      <c r="J10" s="240"/>
      <c r="K10" s="240"/>
      <c r="L10" s="240"/>
      <c r="M10" s="240"/>
      <c r="N10" s="240"/>
      <c r="O10" s="240"/>
      <c r="P10" s="240"/>
      <c r="Q10" s="240"/>
      <c r="R10" s="240"/>
      <c r="S10" s="240"/>
      <c r="T10" s="240"/>
      <c r="U10" s="240"/>
      <c r="V10" s="240"/>
      <c r="W10" s="240"/>
      <c r="X10" s="240"/>
      <c r="Y10" s="240"/>
      <c r="Z10" s="240"/>
      <c r="AA10" s="240"/>
      <c r="AB10" s="240"/>
      <c r="AC10" s="240"/>
      <c r="AD10" s="240"/>
      <c r="AE10" s="240"/>
      <c r="AF10" s="240"/>
      <c r="AG10" s="240"/>
      <c r="AH10" s="240"/>
      <c r="AI10" s="240"/>
      <c r="AJ10" s="32" t="s">
        <v>19</v>
      </c>
    </row>
    <row r="11" spans="1:38" ht="12.6" thickBot="1" x14ac:dyDescent="0.3">
      <c r="AI11" s="4"/>
      <c r="AJ11" s="34" t="s">
        <v>202</v>
      </c>
    </row>
    <row r="12" spans="1:38" ht="6.75" customHeight="1" thickTop="1" thickBot="1" x14ac:dyDescent="0.3">
      <c r="B12" s="49"/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49"/>
      <c r="X12" s="49"/>
      <c r="Y12" s="49"/>
      <c r="Z12" s="49"/>
      <c r="AA12" s="49"/>
      <c r="AB12" s="49"/>
      <c r="AC12" s="49"/>
      <c r="AD12" s="49"/>
      <c r="AE12" s="49"/>
      <c r="AF12" s="49"/>
      <c r="AG12" s="49"/>
      <c r="AH12" s="49"/>
      <c r="AI12" s="49"/>
      <c r="AJ12" s="50"/>
      <c r="AK12" s="49"/>
    </row>
    <row r="13" spans="1:38" ht="13.2" hidden="1" thickTop="1" thickBot="1" x14ac:dyDescent="0.3">
      <c r="B13" s="2"/>
      <c r="C13" s="31" t="s">
        <v>199</v>
      </c>
      <c r="D13" s="30" t="s">
        <v>198</v>
      </c>
      <c r="E13" s="30" t="s">
        <v>197</v>
      </c>
      <c r="F13" s="30" t="s">
        <v>196</v>
      </c>
      <c r="G13" s="30" t="s">
        <v>195</v>
      </c>
      <c r="H13" s="30" t="s">
        <v>194</v>
      </c>
      <c r="I13" s="30" t="s">
        <v>193</v>
      </c>
      <c r="J13" s="30" t="s">
        <v>192</v>
      </c>
      <c r="K13" s="30" t="s">
        <v>191</v>
      </c>
      <c r="L13" s="30" t="s">
        <v>190</v>
      </c>
      <c r="M13" s="30" t="s">
        <v>189</v>
      </c>
      <c r="N13" s="30" t="s">
        <v>188</v>
      </c>
      <c r="O13" s="30" t="s">
        <v>187</v>
      </c>
      <c r="P13" s="30" t="s">
        <v>186</v>
      </c>
      <c r="Q13" s="30" t="s">
        <v>185</v>
      </c>
      <c r="R13" s="30" t="s">
        <v>184</v>
      </c>
      <c r="S13" s="30" t="s">
        <v>183</v>
      </c>
      <c r="T13" s="30" t="s">
        <v>182</v>
      </c>
      <c r="U13" s="30" t="s">
        <v>181</v>
      </c>
      <c r="V13" s="30" t="s">
        <v>180</v>
      </c>
      <c r="W13" s="30" t="s">
        <v>179</v>
      </c>
      <c r="X13" s="30" t="s">
        <v>178</v>
      </c>
      <c r="Y13" s="30" t="s">
        <v>177</v>
      </c>
      <c r="Z13" s="30" t="s">
        <v>176</v>
      </c>
      <c r="AA13" s="30" t="s">
        <v>175</v>
      </c>
      <c r="AB13" s="30" t="s">
        <v>174</v>
      </c>
      <c r="AC13" s="30" t="s">
        <v>173</v>
      </c>
      <c r="AD13" s="30" t="s">
        <v>172</v>
      </c>
      <c r="AE13" s="30" t="s">
        <v>171</v>
      </c>
      <c r="AF13" s="30" t="s">
        <v>170</v>
      </c>
      <c r="AG13" s="30" t="s">
        <v>169</v>
      </c>
      <c r="AH13" s="30" t="s">
        <v>168</v>
      </c>
      <c r="AI13" s="30" t="s">
        <v>167</v>
      </c>
      <c r="AJ13" s="29" t="s">
        <v>166</v>
      </c>
      <c r="AK13" s="49"/>
    </row>
    <row r="14" spans="1:38" ht="19.5" customHeight="1" thickTop="1" thickBot="1" x14ac:dyDescent="0.3">
      <c r="B14" s="49"/>
      <c r="C14" s="61" t="s">
        <v>206</v>
      </c>
      <c r="D14" s="60"/>
      <c r="E14" s="88">
        <f>SUMIFS(tabela_registros[VALOR],tabela_registros[MÊS],$AE$1,tabela_registros[DIA],agototal3059718395107119[[#Headers],[1]],tabela_registros[REGISTRO],DADOS!$N$3)</f>
        <v>0</v>
      </c>
      <c r="F14" s="88">
        <f>SUMIFS(tabela_registros[VALOR],tabela_registros[MÊS],$AE$1,tabela_registros[DIA],agototal3059718395107119[[#Headers],[2]],tabela_registros[REGISTRO],DADOS!$N$3)</f>
        <v>0</v>
      </c>
      <c r="G14" s="88">
        <f>SUMIFS(tabela_registros[VALOR],tabela_registros[MÊS],$AE$1,tabela_registros[DIA],agototal3059718395107119[[#Headers],[3]],tabela_registros[REGISTRO],DADOS!$N$3)</f>
        <v>0</v>
      </c>
      <c r="H14" s="88">
        <f>SUMIFS(tabela_registros[VALOR],tabela_registros[MÊS],$AE$1,tabela_registros[DIA],agototal3059718395107119[[#Headers],[4]],tabela_registros[REGISTRO],DADOS!$N$3)</f>
        <v>0</v>
      </c>
      <c r="I14" s="88">
        <f>SUMIFS(tabela_registros[VALOR],tabela_registros[MÊS],$AE$1,tabela_registros[DIA],agototal3059718395107119[[#Headers],[5]],tabela_registros[REGISTRO],DADOS!$N$3)</f>
        <v>0</v>
      </c>
      <c r="J14" s="88">
        <f>SUMIFS(tabela_registros[VALOR],tabela_registros[MÊS],$AE$1,tabela_registros[DIA],agototal3059718395107119[[#Headers],[6]],tabela_registros[REGISTRO],DADOS!$N$3)</f>
        <v>0</v>
      </c>
      <c r="K14" s="88">
        <f>SUMIFS(tabela_registros[VALOR],tabela_registros[MÊS],$AE$1,tabela_registros[DIA],agototal3059718395107119[[#Headers],[7]],tabela_registros[REGISTRO],DADOS!$N$3)</f>
        <v>0</v>
      </c>
      <c r="L14" s="88">
        <f>SUMIFS(tabela_registros[VALOR],tabela_registros[MÊS],$AE$1,tabela_registros[DIA],agototal3059718395107119[[#Headers],[8]],tabela_registros[REGISTRO],DADOS!$N$3)</f>
        <v>0</v>
      </c>
      <c r="M14" s="88">
        <f>SUMIFS(tabela_registros[VALOR],tabela_registros[MÊS],$AE$1,tabela_registros[DIA],agototal3059718395107119[[#Headers],[9]],tabela_registros[REGISTRO],DADOS!$N$3)</f>
        <v>0</v>
      </c>
      <c r="N14" s="88">
        <f>SUMIFS(tabela_registros[VALOR],tabela_registros[MÊS],$AE$1,tabela_registros[DIA],agototal3059718395107119[[#Headers],[10]],tabela_registros[REGISTRO],DADOS!$N$3)</f>
        <v>0</v>
      </c>
      <c r="O14" s="88">
        <f>SUMIFS(tabela_registros[VALOR],tabela_registros[MÊS],$AE$1,tabela_registros[DIA],agototal3059718395107119[[#Headers],[11]],tabela_registros[REGISTRO],DADOS!$N$3)</f>
        <v>0</v>
      </c>
      <c r="P14" s="88">
        <f>SUMIFS(tabela_registros[VALOR],tabela_registros[MÊS],$AE$1,tabela_registros[DIA],agototal3059718395107119[[#Headers],[12]],tabela_registros[REGISTRO],DADOS!$N$3)</f>
        <v>0</v>
      </c>
      <c r="Q14" s="88">
        <f>SUMIFS(tabela_registros[VALOR],tabela_registros[MÊS],$AE$1,tabela_registros[DIA],agototal3059718395107119[[#Headers],[13]],tabela_registros[REGISTRO],DADOS!$N$3)</f>
        <v>0</v>
      </c>
      <c r="R14" s="88">
        <f>SUMIFS(tabela_registros[VALOR],tabela_registros[MÊS],$AE$1,tabela_registros[DIA],agototal3059718395107119[[#Headers],[14]],tabela_registros[REGISTRO],DADOS!$N$3)</f>
        <v>0</v>
      </c>
      <c r="S14" s="88">
        <f>SUMIFS(tabela_registros[VALOR],tabela_registros[MÊS],$AE$1,tabela_registros[DIA],agototal3059718395107119[[#Headers],[15]],tabela_registros[REGISTRO],DADOS!$N$3)</f>
        <v>193</v>
      </c>
      <c r="T14" s="88">
        <f>SUMIFS(tabela_registros[VALOR],tabela_registros[MÊS],$AE$1,tabela_registros[DIA],agototal3059718395107119[[#Headers],[16]],tabela_registros[REGISTRO],DADOS!$N$3)</f>
        <v>0</v>
      </c>
      <c r="U14" s="88">
        <f>SUMIFS(tabela_registros[VALOR],tabela_registros[MÊS],$AE$1,tabela_registros[DIA],agototal3059718395107119[[#Headers],[17]],tabela_registros[REGISTRO],DADOS!$N$3)</f>
        <v>0</v>
      </c>
      <c r="V14" s="88">
        <f>SUMIFS(tabela_registros[VALOR],tabela_registros[MÊS],$AE$1,tabela_registros[DIA],agototal3059718395107119[[#Headers],[18]],tabela_registros[REGISTRO],DADOS!$N$3)</f>
        <v>0</v>
      </c>
      <c r="W14" s="88">
        <f>SUMIFS(tabela_registros[VALOR],tabela_registros[MÊS],$AE$1,tabela_registros[DIA],agototal3059718395107119[[#Headers],[19]],tabela_registros[REGISTRO],DADOS!$N$3)</f>
        <v>0</v>
      </c>
      <c r="X14" s="88">
        <f>SUMIFS(tabela_registros[VALOR],tabela_registros[MÊS],$AE$1,tabela_registros[DIA],agototal3059718395107119[[#Headers],[20]],tabela_registros[REGISTRO],DADOS!$N$3)</f>
        <v>2000</v>
      </c>
      <c r="Y14" s="88">
        <f>SUMIFS(tabela_registros[VALOR],tabela_registros[MÊS],$AE$1,tabela_registros[DIA],agototal3059718395107119[[#Headers],[21]],tabela_registros[REGISTRO],DADOS!$N$3)</f>
        <v>420</v>
      </c>
      <c r="Z14" s="88">
        <f>SUMIFS(tabela_registros[VALOR],tabela_registros[MÊS],$AE$1,tabela_registros[DIA],agototal3059718395107119[[#Headers],[22]],tabela_registros[REGISTRO],DADOS!$N$3)</f>
        <v>0</v>
      </c>
      <c r="AA14" s="88">
        <f>SUMIFS(tabela_registros[VALOR],tabela_registros[MÊS],$AE$1,tabela_registros[DIA],agototal3059718395107119[[#Headers],[23]],tabela_registros[REGISTRO],DADOS!$N$3)</f>
        <v>0</v>
      </c>
      <c r="AB14" s="88">
        <f>SUMIFS(tabela_registros[VALOR],tabela_registros[MÊS],$AE$1,tabela_registros[DIA],agototal3059718395107119[[#Headers],[24]],tabela_registros[REGISTRO],DADOS!$N$3)</f>
        <v>0</v>
      </c>
      <c r="AC14" s="88">
        <f>SUMIFS(tabela_registros[VALOR],tabela_registros[MÊS],$AE$1,tabela_registros[DIA],agototal3059718395107119[[#Headers],[25]],tabela_registros[REGISTRO],DADOS!$N$3)</f>
        <v>0</v>
      </c>
      <c r="AD14" s="88">
        <f>SUMIFS(tabela_registros[VALOR],tabela_registros[MÊS],$AE$1,tabela_registros[DIA],agototal3059718395107119[[#Headers],[26]],tabela_registros[REGISTRO],DADOS!$N$3)</f>
        <v>0</v>
      </c>
      <c r="AE14" s="88">
        <f>SUMIFS(tabela_registros[VALOR],tabela_registros[MÊS],$AE$1,tabela_registros[DIA],agototal3059718395107119[[#Headers],[27]],tabela_registros[REGISTRO],DADOS!$N$3)</f>
        <v>0</v>
      </c>
      <c r="AF14" s="88">
        <f>SUMIFS(tabela_registros[VALOR],tabela_registros[MÊS],$AE$1,tabela_registros[DIA],agototal3059718395107119[[#Headers],[28]],tabela_registros[REGISTRO],DADOS!$N$3)</f>
        <v>0</v>
      </c>
      <c r="AG14" s="88">
        <f>SUMIFS(tabela_registros[VALOR],tabela_registros[MÊS],$AE$1,tabela_registros[DIA],agototal3059718395107119[[#Headers],[29]],tabela_registros[REGISTRO],DADOS!$N$3)</f>
        <v>0</v>
      </c>
      <c r="AH14" s="88">
        <f>SUMIFS(tabela_registros[VALOR],tabela_registros[MÊS],$AE$1,tabela_registros[DIA],agototal3059718395107119[[#Headers],[30]],tabela_registros[REGISTRO],DADOS!$N$3)</f>
        <v>0</v>
      </c>
      <c r="AI14" s="89">
        <f>SUMIFS(tabela_registros[VALOR],tabela_registros[MÊS],$AE$1,tabela_registros[DIA],agototal3059718395107119[[#Headers],[31]],tabela_registros[REGISTRO],DADOS!$N$3)</f>
        <v>0</v>
      </c>
      <c r="AJ14" s="90">
        <f>SUM(agototal3059718395107119[[#This Row],[1]:[31]])</f>
        <v>2613</v>
      </c>
      <c r="AK14" s="49"/>
    </row>
    <row r="15" spans="1:38" ht="18" customHeight="1" thickTop="1" thickBot="1" x14ac:dyDescent="0.3">
      <c r="B15" s="49"/>
      <c r="C15" s="61" t="s">
        <v>205</v>
      </c>
      <c r="D15" s="60"/>
      <c r="E15" s="91">
        <f>SUMIFS(tabela_registros[VALOR],tabela_registros[MÊS],$AE$1,tabela_registros[DIA],agototal3059718395107119[[#Headers],[1]],tabela_registros[REGISTRO],DADOS!$N$4)</f>
        <v>0</v>
      </c>
      <c r="F15" s="91">
        <f>SUMIFS(tabela_registros[VALOR],tabela_registros[MÊS],$AE$1,tabela_registros[DIA],agototal3059718395107119[[#Headers],[2]],tabela_registros[REGISTRO],DADOS!$N$4)</f>
        <v>0</v>
      </c>
      <c r="G15" s="91">
        <f>SUMIFS(tabela_registros[VALOR],tabela_registros[MÊS],$AE$1,tabela_registros[DIA],agototal3059718395107119[[#Headers],[3]],tabela_registros[REGISTRO],DADOS!$N$4)</f>
        <v>0</v>
      </c>
      <c r="H15" s="91">
        <f>SUMIFS(tabela_registros[VALOR],tabela_registros[MÊS],$AE$1,tabela_registros[DIA],agototal3059718395107119[[#Headers],[4]],tabela_registros[REGISTRO],DADOS!$N$4)</f>
        <v>0</v>
      </c>
      <c r="I15" s="91">
        <f>SUMIFS(tabela_registros[VALOR],tabela_registros[MÊS],$AE$1,tabela_registros[DIA],agototal3059718395107119[[#Headers],[5]],tabela_registros[REGISTRO],DADOS!$N$4)</f>
        <v>0</v>
      </c>
      <c r="J15" s="91">
        <f>SUMIFS(tabela_registros[VALOR],tabela_registros[MÊS],$AE$1,tabela_registros[DIA],agototal3059718395107119[[#Headers],[6]],tabela_registros[REGISTRO],DADOS!$N$4)</f>
        <v>0</v>
      </c>
      <c r="K15" s="91">
        <f>SUMIFS(tabela_registros[VALOR],tabela_registros[MÊS],$AE$1,tabela_registros[DIA],agototal3059718395107119[[#Headers],[7]],tabela_registros[REGISTRO],DADOS!$N$4)</f>
        <v>0</v>
      </c>
      <c r="L15" s="91">
        <f>SUMIFS(tabela_registros[VALOR],tabela_registros[MÊS],$AE$1,tabela_registros[DIA],agototal3059718395107119[[#Headers],[8]],tabela_registros[REGISTRO],DADOS!$N$4)</f>
        <v>0</v>
      </c>
      <c r="M15" s="91">
        <f>SUMIFS(tabela_registros[VALOR],tabela_registros[MÊS],$AE$1,tabela_registros[DIA],agototal3059718395107119[[#Headers],[9]],tabela_registros[REGISTRO],DADOS!$N$4)</f>
        <v>0</v>
      </c>
      <c r="N15" s="91">
        <f>SUMIFS(tabela_registros[VALOR],tabela_registros[MÊS],$AE$1,tabela_registros[DIA],agototal3059718395107119[[#Headers],[10]],tabela_registros[REGISTRO],DADOS!$N$4)</f>
        <v>0</v>
      </c>
      <c r="O15" s="91">
        <f>SUMIFS(tabela_registros[VALOR],tabela_registros[MÊS],$AE$1,tabela_registros[DIA],agototal3059718395107119[[#Headers],[11]],tabela_registros[REGISTRO],DADOS!$N$4)</f>
        <v>0</v>
      </c>
      <c r="P15" s="91">
        <f>SUMIFS(tabela_registros[VALOR],tabela_registros[MÊS],$AE$1,tabela_registros[DIA],agototal3059718395107119[[#Headers],[12]],tabela_registros[REGISTRO],DADOS!$N$4)</f>
        <v>0</v>
      </c>
      <c r="Q15" s="91">
        <f>SUMIFS(tabela_registros[VALOR],tabela_registros[MÊS],$AE$1,tabela_registros[DIA],agototal3059718395107119[[#Headers],[13]],tabela_registros[REGISTRO],DADOS!$N$4)</f>
        <v>0</v>
      </c>
      <c r="R15" s="91">
        <f>SUMIFS(tabela_registros[VALOR],tabela_registros[MÊS],$AE$1,tabela_registros[DIA],agototal3059718395107119[[#Headers],[14]],tabela_registros[REGISTRO],DADOS!$N$4)</f>
        <v>0</v>
      </c>
      <c r="S15" s="91">
        <f>SUMIFS(tabela_registros[VALOR],tabela_registros[MÊS],$AE$1,tabela_registros[DIA],agototal3059718395107119[[#Headers],[15]],tabela_registros[REGISTRO],DADOS!$N$4)</f>
        <v>0</v>
      </c>
      <c r="T15" s="91">
        <f>SUMIFS(tabela_registros[VALOR],tabela_registros[MÊS],$AE$1,tabela_registros[DIA],agototal3059718395107119[[#Headers],[16]],tabela_registros[REGISTRO],DADOS!$N$4)</f>
        <v>0</v>
      </c>
      <c r="U15" s="91">
        <f>SUMIFS(tabela_registros[VALOR],tabela_registros[MÊS],$AE$1,tabela_registros[DIA],agototal3059718395107119[[#Headers],[17]],tabela_registros[REGISTRO],DADOS!$N$4)</f>
        <v>0</v>
      </c>
      <c r="V15" s="91">
        <f>SUMIFS(tabela_registros[VALOR],tabela_registros[MÊS],$AE$1,tabela_registros[DIA],agototal3059718395107119[[#Headers],[18]],tabela_registros[REGISTRO],DADOS!$N$4)</f>
        <v>0</v>
      </c>
      <c r="W15" s="91">
        <f>SUMIFS(tabela_registros[VALOR],tabela_registros[MÊS],$AE$1,tabela_registros[DIA],agototal3059718395107119[[#Headers],[19]],tabela_registros[REGISTRO],DADOS!$N$4)</f>
        <v>0</v>
      </c>
      <c r="X15" s="91">
        <f>SUMIFS(tabela_registros[VALOR],tabela_registros[MÊS],$AE$1,tabela_registros[DIA],agototal3059718395107119[[#Headers],[20]],tabela_registros[REGISTRO],DADOS!$N$4)</f>
        <v>0</v>
      </c>
      <c r="Y15" s="91">
        <f>SUMIFS(tabela_registros[VALOR],tabela_registros[MÊS],$AE$1,tabela_registros[DIA],agototal3059718395107119[[#Headers],[21]],tabela_registros[REGISTRO],DADOS!$N$4)</f>
        <v>0</v>
      </c>
      <c r="Z15" s="91">
        <f>SUMIFS(tabela_registros[VALOR],tabela_registros[MÊS],$AE$1,tabela_registros[DIA],agototal3059718395107119[[#Headers],[22]],tabela_registros[REGISTRO],DADOS!$N$4)</f>
        <v>0</v>
      </c>
      <c r="AA15" s="91">
        <f>SUMIFS(tabela_registros[VALOR],tabela_registros[MÊS],$AE$1,tabela_registros[DIA],agototal3059718395107119[[#Headers],[23]],tabela_registros[REGISTRO],DADOS!$N$4)</f>
        <v>0</v>
      </c>
      <c r="AB15" s="91">
        <f>SUMIFS(tabela_registros[VALOR],tabela_registros[MÊS],$AE$1,tabela_registros[DIA],agototal3059718395107119[[#Headers],[24]],tabela_registros[REGISTRO],DADOS!$N$4)</f>
        <v>0</v>
      </c>
      <c r="AC15" s="91">
        <f>SUMIFS(tabela_registros[VALOR],tabela_registros[MÊS],$AE$1,tabela_registros[DIA],agototal3059718395107119[[#Headers],[25]],tabela_registros[REGISTRO],DADOS!$N$4)</f>
        <v>0</v>
      </c>
      <c r="AD15" s="91">
        <f>SUMIFS(tabela_registros[VALOR],tabela_registros[MÊS],$AE$1,tabela_registros[DIA],agototal3059718395107119[[#Headers],[26]],tabela_registros[REGISTRO],DADOS!$N$4)</f>
        <v>0</v>
      </c>
      <c r="AE15" s="91">
        <f>SUMIFS(tabela_registros[VALOR],tabela_registros[MÊS],$AE$1,tabela_registros[DIA],agototal3059718395107119[[#Headers],[27]],tabela_registros[REGISTRO],DADOS!$N$4)</f>
        <v>0</v>
      </c>
      <c r="AF15" s="91">
        <f>SUMIFS(tabela_registros[VALOR],tabela_registros[MÊS],$AE$1,tabela_registros[DIA],agototal3059718395107119[[#Headers],[28]],tabela_registros[REGISTRO],DADOS!$N$4)</f>
        <v>0</v>
      </c>
      <c r="AG15" s="91">
        <f>SUMIFS(tabela_registros[VALOR],tabela_registros[MÊS],$AE$1,tabela_registros[DIA],agototal3059718395107119[[#Headers],[29]],tabela_registros[REGISTRO],DADOS!$N$4)</f>
        <v>0</v>
      </c>
      <c r="AH15" s="91">
        <f>SUMIFS(tabela_registros[VALOR],tabela_registros[MÊS],$AE$1,tabela_registros[DIA],agototal3059718395107119[[#Headers],[30]],tabela_registros[REGISTRO],DADOS!$N$4)</f>
        <v>0</v>
      </c>
      <c r="AI15" s="92">
        <f>SUMIFS(tabela_registros[VALOR],tabela_registros[MÊS],$AE$1,tabela_registros[DIA],agototal3059718395107119[[#Headers],[31]],tabela_registros[REGISTRO],DADOS!$N$4)</f>
        <v>0</v>
      </c>
      <c r="AJ15" s="93">
        <f>SUM(agototal3059718395107119[[#This Row],[1]:[31]])</f>
        <v>0</v>
      </c>
      <c r="AK15" s="49"/>
    </row>
    <row r="16" spans="1:38" s="16" customFormat="1" ht="21" customHeight="1" thickTop="1" thickBot="1" x14ac:dyDescent="0.35">
      <c r="B16" s="52"/>
      <c r="C16" s="57" t="s">
        <v>204</v>
      </c>
      <c r="D16" s="63"/>
      <c r="E16" s="55">
        <f>(E14-E15)+AI1</f>
        <v>0</v>
      </c>
      <c r="F16" s="54">
        <f>agototal3059718395107119[[#This Row],[1]]+(F14-F15)</f>
        <v>0</v>
      </c>
      <c r="G16" s="54">
        <f>agototal3059718395107119[[#This Row],[2]]+(G14-G15)</f>
        <v>0</v>
      </c>
      <c r="H16" s="54">
        <f>agototal3059718395107119[[#This Row],[3]]+(H14-H15)</f>
        <v>0</v>
      </c>
      <c r="I16" s="54">
        <f>agototal3059718395107119[[#This Row],[4]]+(I14-I15)</f>
        <v>0</v>
      </c>
      <c r="J16" s="54">
        <f>agototal3059718395107119[[#This Row],[5]]+(J14-J15)</f>
        <v>0</v>
      </c>
      <c r="K16" s="54">
        <f>agototal3059718395107119[[#This Row],[6]]+(K14-K15)</f>
        <v>0</v>
      </c>
      <c r="L16" s="54">
        <f>agototal3059718395107119[[#This Row],[7]]+(L14-L15)</f>
        <v>0</v>
      </c>
      <c r="M16" s="54">
        <f>agototal3059718395107119[[#This Row],[8]]+(M14-M15)</f>
        <v>0</v>
      </c>
      <c r="N16" s="54">
        <f>agototal3059718395107119[[#This Row],[9]]+(N14-N15)</f>
        <v>0</v>
      </c>
      <c r="O16" s="54">
        <f>agototal3059718395107119[[#This Row],[10]]+(O14-O15)</f>
        <v>0</v>
      </c>
      <c r="P16" s="54">
        <f>agototal3059718395107119[[#This Row],[11]]+(P14-P15)</f>
        <v>0</v>
      </c>
      <c r="Q16" s="54">
        <f>agototal3059718395107119[[#This Row],[12]]+(Q14-Q15)</f>
        <v>0</v>
      </c>
      <c r="R16" s="54">
        <f>agototal3059718395107119[[#This Row],[13]]+(R14-R15)</f>
        <v>0</v>
      </c>
      <c r="S16" s="54">
        <f>agototal3059718395107119[[#This Row],[14]]+(S14-S15)</f>
        <v>193</v>
      </c>
      <c r="T16" s="54">
        <f>agototal3059718395107119[[#This Row],[15]]+(T14-T15)</f>
        <v>193</v>
      </c>
      <c r="U16" s="54">
        <f>agototal3059718395107119[[#This Row],[16]]+(U14-U15)</f>
        <v>193</v>
      </c>
      <c r="V16" s="54">
        <f>agototal3059718395107119[[#This Row],[17]]+(V14-V15)</f>
        <v>193</v>
      </c>
      <c r="W16" s="54">
        <f>agototal3059718395107119[[#This Row],[18]]+(W14-W15)</f>
        <v>193</v>
      </c>
      <c r="X16" s="54">
        <f>agototal3059718395107119[[#This Row],[19]]+(X14-X15)</f>
        <v>2193</v>
      </c>
      <c r="Y16" s="54">
        <f>agototal3059718395107119[[#This Row],[20]]+(Y14-Y15)</f>
        <v>2613</v>
      </c>
      <c r="Z16" s="54">
        <f>agototal3059718395107119[[#This Row],[21]]+(Z14-Z15)</f>
        <v>2613</v>
      </c>
      <c r="AA16" s="54">
        <f>agototal3059718395107119[[#This Row],[22]]+(AA14-AA15)</f>
        <v>2613</v>
      </c>
      <c r="AB16" s="54">
        <f>agototal3059718395107119[[#This Row],[23]]+(AB14-AB15)</f>
        <v>2613</v>
      </c>
      <c r="AC16" s="54">
        <f>agototal3059718395107119[[#This Row],[24]]+(AC14-AC15)</f>
        <v>2613</v>
      </c>
      <c r="AD16" s="54">
        <f>agototal3059718395107119[[#This Row],[25]]+(AD14-AD15)</f>
        <v>2613</v>
      </c>
      <c r="AE16" s="54">
        <f>agototal3059718395107119[[#This Row],[26]]+(AE14-AE15)</f>
        <v>2613</v>
      </c>
      <c r="AF16" s="54">
        <f>agototal3059718395107119[[#This Row],[27]]+(AF14-AF15)</f>
        <v>2613</v>
      </c>
      <c r="AG16" s="54">
        <f>agototal3059718395107119[[#This Row],[28]]+(AG14-AG15)</f>
        <v>2613</v>
      </c>
      <c r="AH16" s="54">
        <f>agototal3059718395107119[[#This Row],[29]]+(AH14-AH15)</f>
        <v>2613</v>
      </c>
      <c r="AI16" s="62">
        <f>agototal3059718395107119[[#This Row],[30]]+(AI14-AI15)</f>
        <v>2613</v>
      </c>
      <c r="AJ16" s="53">
        <f>agototal3059718395107119[[#This Row],[31]]</f>
        <v>2613</v>
      </c>
      <c r="AK16" s="52"/>
    </row>
    <row r="17" spans="1:37" ht="6.75" customHeight="1" thickTop="1" thickBot="1" x14ac:dyDescent="0.3">
      <c r="B17" s="49"/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49"/>
      <c r="X17" s="49"/>
      <c r="Y17" s="49"/>
      <c r="Z17" s="49"/>
      <c r="AA17" s="49"/>
      <c r="AB17" s="49"/>
      <c r="AC17" s="49"/>
      <c r="AD17" s="49"/>
      <c r="AE17" s="49"/>
      <c r="AF17" s="49"/>
      <c r="AG17" s="49"/>
      <c r="AH17" s="49"/>
      <c r="AI17" s="50"/>
      <c r="AJ17" s="49"/>
      <c r="AK17" s="49"/>
    </row>
    <row r="18" spans="1:37" ht="12.6" thickTop="1" x14ac:dyDescent="0.25">
      <c r="C18" s="46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  <c r="AH18" s="47"/>
      <c r="AI18" s="47"/>
    </row>
    <row r="19" spans="1:37" x14ac:dyDescent="0.25">
      <c r="C19" s="46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  <c r="AA19" s="47"/>
      <c r="AB19" s="47"/>
      <c r="AC19" s="47"/>
      <c r="AD19" s="47"/>
      <c r="AE19" s="47"/>
      <c r="AF19" s="47"/>
      <c r="AG19" s="47"/>
      <c r="AH19" s="47"/>
      <c r="AI19" s="47"/>
    </row>
    <row r="20" spans="1:37" x14ac:dyDescent="0.25">
      <c r="A20" s="46"/>
      <c r="B20" s="46"/>
      <c r="C20" s="46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  <c r="AA20" s="47"/>
      <c r="AB20" s="47"/>
      <c r="AC20" s="47"/>
      <c r="AD20" s="47"/>
      <c r="AE20" s="47"/>
      <c r="AF20" s="47"/>
      <c r="AG20" s="47"/>
      <c r="AH20" s="47"/>
      <c r="AI20" s="47"/>
    </row>
    <row r="21" spans="1:37" ht="39.75" customHeight="1" x14ac:dyDescent="0.25">
      <c r="A21" s="46"/>
      <c r="B21" s="46"/>
      <c r="C21" s="46"/>
      <c r="E21" s="240"/>
      <c r="F21" s="240"/>
      <c r="G21" s="240"/>
      <c r="H21" s="240"/>
      <c r="I21" s="240"/>
      <c r="J21" s="240"/>
      <c r="K21" s="240"/>
      <c r="L21" s="240"/>
      <c r="M21" s="240"/>
      <c r="N21" s="240"/>
      <c r="O21" s="240"/>
      <c r="P21" s="240"/>
      <c r="Q21" s="240"/>
      <c r="R21" s="240"/>
      <c r="S21" s="240"/>
      <c r="T21" s="240"/>
      <c r="U21" s="240"/>
      <c r="V21" s="240"/>
      <c r="W21" s="240"/>
      <c r="X21" s="240"/>
      <c r="Y21" s="240"/>
      <c r="Z21" s="240"/>
      <c r="AA21" s="240"/>
      <c r="AB21" s="240"/>
      <c r="AC21" s="240"/>
      <c r="AD21" s="240"/>
      <c r="AE21" s="240"/>
      <c r="AF21" s="240"/>
      <c r="AG21" s="240"/>
      <c r="AH21" s="240"/>
      <c r="AI21" s="240"/>
      <c r="AJ21" s="32" t="s">
        <v>19</v>
      </c>
    </row>
    <row r="22" spans="1:37" ht="11.25" customHeight="1" thickBot="1" x14ac:dyDescent="0.75">
      <c r="C22" s="36"/>
      <c r="AI22" s="4"/>
      <c r="AJ22" s="34" t="s">
        <v>202</v>
      </c>
    </row>
    <row r="23" spans="1:37" ht="6.75" customHeight="1" thickTop="1" thickBot="1" x14ac:dyDescent="0.3">
      <c r="B23" s="49"/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49"/>
      <c r="X23" s="49"/>
      <c r="Y23" s="49"/>
      <c r="Z23" s="49"/>
      <c r="AA23" s="49"/>
      <c r="AB23" s="49"/>
      <c r="AC23" s="49"/>
      <c r="AD23" s="49"/>
      <c r="AE23" s="49"/>
      <c r="AF23" s="49"/>
      <c r="AG23" s="49"/>
      <c r="AH23" s="49"/>
      <c r="AI23" s="49"/>
      <c r="AJ23" s="50"/>
      <c r="AK23" s="49"/>
    </row>
    <row r="24" spans="1:37" ht="13.2" hidden="1" thickTop="1" thickBot="1" x14ac:dyDescent="0.3">
      <c r="B24" s="2"/>
      <c r="C24" s="30" t="s">
        <v>199</v>
      </c>
      <c r="D24" s="49" t="s">
        <v>198</v>
      </c>
      <c r="E24" s="30" t="s">
        <v>197</v>
      </c>
      <c r="F24" s="30" t="s">
        <v>196</v>
      </c>
      <c r="G24" s="30" t="s">
        <v>195</v>
      </c>
      <c r="H24" s="30" t="s">
        <v>194</v>
      </c>
      <c r="I24" s="30" t="s">
        <v>193</v>
      </c>
      <c r="J24" s="30" t="s">
        <v>192</v>
      </c>
      <c r="K24" s="30" t="s">
        <v>191</v>
      </c>
      <c r="L24" s="30" t="s">
        <v>190</v>
      </c>
      <c r="M24" s="30" t="s">
        <v>189</v>
      </c>
      <c r="N24" s="30" t="s">
        <v>188</v>
      </c>
      <c r="O24" s="30" t="s">
        <v>187</v>
      </c>
      <c r="P24" s="30" t="s">
        <v>186</v>
      </c>
      <c r="Q24" s="30" t="s">
        <v>185</v>
      </c>
      <c r="R24" s="30" t="s">
        <v>184</v>
      </c>
      <c r="S24" s="30" t="s">
        <v>183</v>
      </c>
      <c r="T24" s="30" t="s">
        <v>182</v>
      </c>
      <c r="U24" s="30" t="s">
        <v>181</v>
      </c>
      <c r="V24" s="30" t="s">
        <v>180</v>
      </c>
      <c r="W24" s="30" t="s">
        <v>179</v>
      </c>
      <c r="X24" s="30" t="s">
        <v>178</v>
      </c>
      <c r="Y24" s="30" t="s">
        <v>177</v>
      </c>
      <c r="Z24" s="30" t="s">
        <v>176</v>
      </c>
      <c r="AA24" s="30" t="s">
        <v>175</v>
      </c>
      <c r="AB24" s="30" t="s">
        <v>174</v>
      </c>
      <c r="AC24" s="30" t="s">
        <v>173</v>
      </c>
      <c r="AD24" s="30" t="s">
        <v>172</v>
      </c>
      <c r="AE24" s="30" t="s">
        <v>171</v>
      </c>
      <c r="AF24" s="30" t="s">
        <v>170</v>
      </c>
      <c r="AG24" s="30" t="s">
        <v>169</v>
      </c>
      <c r="AH24" s="30" t="s">
        <v>168</v>
      </c>
      <c r="AI24" s="30" t="s">
        <v>167</v>
      </c>
      <c r="AJ24" s="29" t="s">
        <v>166</v>
      </c>
      <c r="AK24" s="49"/>
    </row>
    <row r="25" spans="1:37" ht="19.5" customHeight="1" thickTop="1" thickBot="1" x14ac:dyDescent="0.3">
      <c r="B25" s="49"/>
      <c r="C25" s="61" t="s">
        <v>7</v>
      </c>
      <c r="D25" s="60"/>
      <c r="E25" s="88">
        <f>SUMIFS(tabela_registros[VALOR],tabela_registros[MÊS],$AE$1,tabela_registros[DIA],agototal3059718395107119[[#Headers],[1]],tabela_registros[REGISTRO],DADOS!$N$5)</f>
        <v>0</v>
      </c>
      <c r="F25" s="88">
        <f>SUMIFS(tabela_registros[VALOR],tabela_registros[MÊS],$AE$1,tabela_registros[DIA],agototal3059718395107119[[#Headers],[2]],tabela_registros[REGISTRO],DADOS!$N$5)</f>
        <v>0</v>
      </c>
      <c r="G25" s="88">
        <f>SUMIFS(tabela_registros[VALOR],tabela_registros[MÊS],$AE$1,tabela_registros[DIA],agototal3059718395107119[[#Headers],[3]],tabela_registros[REGISTRO],DADOS!$N$5)</f>
        <v>0</v>
      </c>
      <c r="H25" s="88">
        <f>SUMIFS(tabela_registros[VALOR],tabela_registros[MÊS],$AE$1,tabela_registros[DIA],agototal3059718395107119[[#Headers],[4]],tabela_registros[REGISTRO],DADOS!$N$5)</f>
        <v>0</v>
      </c>
      <c r="I25" s="88">
        <f>SUMIFS(tabela_registros[VALOR],tabela_registros[MÊS],$AE$1,tabela_registros[DIA],agototal3059718395107119[[#Headers],[5]],tabela_registros[REGISTRO],DADOS!$N$5)</f>
        <v>0</v>
      </c>
      <c r="J25" s="88">
        <f>SUMIFS(tabela_registros[VALOR],tabela_registros[MÊS],$AE$1,tabela_registros[DIA],agototal3059718395107119[[#Headers],[6]],tabela_registros[REGISTRO],DADOS!$N$5)</f>
        <v>0</v>
      </c>
      <c r="K25" s="88">
        <f>SUMIFS(tabela_registros[VALOR],tabela_registros[MÊS],$AE$1,tabela_registros[DIA],agototal3059718395107119[[#Headers],[7]],tabela_registros[REGISTRO],DADOS!$N$5)</f>
        <v>0</v>
      </c>
      <c r="L25" s="88">
        <f>SUMIFS(tabela_registros[VALOR],tabela_registros[MÊS],$AE$1,tabela_registros[DIA],agototal3059718395107119[[#Headers],[8]],tabela_registros[REGISTRO],DADOS!$N$5)</f>
        <v>0</v>
      </c>
      <c r="M25" s="88">
        <f>SUMIFS(tabela_registros[VALOR],tabela_registros[MÊS],$AE$1,tabela_registros[DIA],agototal3059718395107119[[#Headers],[9]],tabela_registros[REGISTRO],DADOS!$N$5)</f>
        <v>0</v>
      </c>
      <c r="N25" s="88">
        <f>SUMIFS(tabela_registros[VALOR],tabela_registros[MÊS],$AE$1,tabela_registros[DIA],agototal3059718395107119[[#Headers],[10]],tabela_registros[REGISTRO],DADOS!$N$5)</f>
        <v>0</v>
      </c>
      <c r="O25" s="88">
        <f>SUMIFS(tabela_registros[VALOR],tabela_registros[MÊS],$AE$1,tabela_registros[DIA],agototal3059718395107119[[#Headers],[11]],tabela_registros[REGISTRO],DADOS!$N$5)</f>
        <v>0</v>
      </c>
      <c r="P25" s="88">
        <f>SUMIFS(tabela_registros[VALOR],tabela_registros[MÊS],$AE$1,tabela_registros[DIA],agototal3059718395107119[[#Headers],[12]],tabela_registros[REGISTRO],DADOS!$N$5)</f>
        <v>0</v>
      </c>
      <c r="Q25" s="88">
        <f>SUMIFS(tabela_registros[VALOR],tabela_registros[MÊS],$AE$1,tabela_registros[DIA],agototal3059718395107119[[#Headers],[13]],tabela_registros[REGISTRO],DADOS!$N$5)</f>
        <v>0</v>
      </c>
      <c r="R25" s="88">
        <f>SUMIFS(tabela_registros[VALOR],tabela_registros[MÊS],$AE$1,tabela_registros[DIA],agototal3059718395107119[[#Headers],[14]],tabela_registros[REGISTRO],DADOS!$N$5)</f>
        <v>0</v>
      </c>
      <c r="S25" s="88">
        <f>SUMIFS(tabela_registros[VALOR],tabela_registros[MÊS],$AE$1,tabela_registros[DIA],agototal3059718395107119[[#Headers],[15]],tabela_registros[REGISTRO],DADOS!$N$5)</f>
        <v>0</v>
      </c>
      <c r="T25" s="88">
        <f>SUMIFS(tabela_registros[VALOR],tabela_registros[MÊS],$AE$1,tabela_registros[DIA],agototal3059718395107119[[#Headers],[16]],tabela_registros[REGISTRO],DADOS!$N$5)</f>
        <v>0</v>
      </c>
      <c r="U25" s="88">
        <f>SUMIFS(tabela_registros[VALOR],tabela_registros[MÊS],$AE$1,tabela_registros[DIA],agototal3059718395107119[[#Headers],[17]],tabela_registros[REGISTRO],DADOS!$N$5)</f>
        <v>0</v>
      </c>
      <c r="V25" s="88">
        <f>SUMIFS(tabela_registros[VALOR],tabela_registros[MÊS],$AE$1,tabela_registros[DIA],agototal3059718395107119[[#Headers],[18]],tabela_registros[REGISTRO],DADOS!$N$5)</f>
        <v>0</v>
      </c>
      <c r="W25" s="88">
        <f>SUMIFS(tabela_registros[VALOR],tabela_registros[MÊS],$AE$1,tabela_registros[DIA],agototal3059718395107119[[#Headers],[19]],tabela_registros[REGISTRO],DADOS!$N$5)</f>
        <v>0</v>
      </c>
      <c r="X25" s="88">
        <f>SUMIFS(tabela_registros[VALOR],tabela_registros[MÊS],$AE$1,tabela_registros[DIA],agototal3059718395107119[[#Headers],[20]],tabela_registros[REGISTRO],DADOS!$N$5)</f>
        <v>0</v>
      </c>
      <c r="Y25" s="88">
        <f>SUMIFS(tabela_registros[VALOR],tabela_registros[MÊS],$AE$1,tabela_registros[DIA],agototal3059718395107119[[#Headers],[21]],tabela_registros[REGISTRO],DADOS!$N$5)</f>
        <v>0</v>
      </c>
      <c r="Z25" s="88">
        <f>SUMIFS(tabela_registros[VALOR],tabela_registros[MÊS],$AE$1,tabela_registros[DIA],agototal3059718395107119[[#Headers],[22]],tabela_registros[REGISTRO],DADOS!$N$5)</f>
        <v>0</v>
      </c>
      <c r="AA25" s="88">
        <f>SUMIFS(tabela_registros[VALOR],tabela_registros[MÊS],$AE$1,tabela_registros[DIA],agototal3059718395107119[[#Headers],[23]],tabela_registros[REGISTRO],DADOS!$N$5)</f>
        <v>0</v>
      </c>
      <c r="AB25" s="88">
        <f>SUMIFS(tabela_registros[VALOR],tabela_registros[MÊS],$AE$1,tabela_registros[DIA],agototal3059718395107119[[#Headers],[24]],tabela_registros[REGISTRO],DADOS!$N$5)</f>
        <v>0</v>
      </c>
      <c r="AC25" s="88">
        <f>SUMIFS(tabela_registros[VALOR],tabela_registros[MÊS],$AE$1,tabela_registros[DIA],agototal3059718395107119[[#Headers],[25]],tabela_registros[REGISTRO],DADOS!$N$5)</f>
        <v>0</v>
      </c>
      <c r="AD25" s="88">
        <f>SUMIFS(tabela_registros[VALOR],tabela_registros[MÊS],$AE$1,tabela_registros[DIA],agototal3059718395107119[[#Headers],[26]],tabela_registros[REGISTRO],DADOS!$N$5)</f>
        <v>0</v>
      </c>
      <c r="AE25" s="88">
        <f>SUMIFS(tabela_registros[VALOR],tabela_registros[MÊS],$AE$1,tabela_registros[DIA],agototal3059718395107119[[#Headers],[27]],tabela_registros[REGISTRO],DADOS!$N$5)</f>
        <v>0</v>
      </c>
      <c r="AF25" s="88">
        <f>SUMIFS(tabela_registros[VALOR],tabela_registros[MÊS],$AE$1,tabela_registros[DIA],agototal3059718395107119[[#Headers],[28]],tabela_registros[REGISTRO],DADOS!$N$5)</f>
        <v>0</v>
      </c>
      <c r="AG25" s="88">
        <f>SUMIFS(tabela_registros[VALOR],tabela_registros[MÊS],$AE$1,tabela_registros[DIA],agototal3059718395107119[[#Headers],[29]],tabela_registros[REGISTRO],DADOS!$N$5)</f>
        <v>0</v>
      </c>
      <c r="AH25" s="88">
        <f>SUMIFS(tabela_registros[VALOR],tabela_registros[MÊS],$AE$1,tabela_registros[DIA],agototal3059718395107119[[#Headers],[30]],tabela_registros[REGISTRO],DADOS!$N$5)</f>
        <v>0</v>
      </c>
      <c r="AI25" s="89">
        <f>SUMIFS(tabela_registros[VALOR],tabela_registros[MÊS],$AE$1,tabela_registros[DIA],agototal3059718395107119[[#Headers],[31]],tabela_registros[REGISTRO],DADOS!$N$5)</f>
        <v>0</v>
      </c>
      <c r="AJ25" s="90">
        <f>SUM(E25:AI25)</f>
        <v>0</v>
      </c>
      <c r="AK25" s="49"/>
    </row>
    <row r="26" spans="1:37" ht="18" customHeight="1" thickTop="1" thickBot="1" x14ac:dyDescent="0.3">
      <c r="B26" s="49"/>
      <c r="C26" s="59" t="s">
        <v>8</v>
      </c>
      <c r="D26" s="58"/>
      <c r="E26" s="91">
        <f>SUMIFS(tabela_registros[VALOR],tabela_registros[MÊS],$AE$1,tabela_registros[DIA],agototal3059718395107119[[#Headers],[1]],tabela_registros[REGISTRO],DADOS!$N$6)</f>
        <v>0</v>
      </c>
      <c r="F26" s="91">
        <f>SUMIFS(tabela_registros[VALOR],tabela_registros[MÊS],$AE$1,tabela_registros[DIA],agototal3059718395107119[[#Headers],[2]],tabela_registros[REGISTRO],DADOS!$N$6)</f>
        <v>0</v>
      </c>
      <c r="G26" s="91">
        <f>SUMIFS(tabela_registros[VALOR],tabela_registros[MÊS],$AE$1,tabela_registros[DIA],agototal3059718395107119[[#Headers],[3]],tabela_registros[REGISTRO],DADOS!$N$6)</f>
        <v>0</v>
      </c>
      <c r="H26" s="91">
        <f>SUMIFS(tabela_registros[VALOR],tabela_registros[MÊS],$AE$1,tabela_registros[DIA],agototal3059718395107119[[#Headers],[4]],tabela_registros[REGISTRO],DADOS!$N$6)</f>
        <v>0</v>
      </c>
      <c r="I26" s="91">
        <f>SUMIFS(tabela_registros[VALOR],tabela_registros[MÊS],$AE$1,tabela_registros[DIA],agototal3059718395107119[[#Headers],[5]],tabela_registros[REGISTRO],DADOS!$N$6)</f>
        <v>0</v>
      </c>
      <c r="J26" s="91">
        <f>SUMIFS(tabela_registros[VALOR],tabela_registros[MÊS],$AE$1,tabela_registros[DIA],agototal3059718395107119[[#Headers],[6]],tabela_registros[REGISTRO],DADOS!$N$6)</f>
        <v>0</v>
      </c>
      <c r="K26" s="91">
        <f>SUMIFS(tabela_registros[VALOR],tabela_registros[MÊS],$AE$1,tabela_registros[DIA],agototal3059718395107119[[#Headers],[7]],tabela_registros[REGISTRO],DADOS!$N$6)</f>
        <v>0</v>
      </c>
      <c r="L26" s="91">
        <f>SUMIFS(tabela_registros[VALOR],tabela_registros[MÊS],$AE$1,tabela_registros[DIA],agototal3059718395107119[[#Headers],[8]],tabela_registros[REGISTRO],DADOS!$N$6)</f>
        <v>0</v>
      </c>
      <c r="M26" s="91">
        <f>SUMIFS(tabela_registros[VALOR],tabela_registros[MÊS],$AE$1,tabela_registros[DIA],agototal3059718395107119[[#Headers],[9]],tabela_registros[REGISTRO],DADOS!$N$6)</f>
        <v>0</v>
      </c>
      <c r="N26" s="91">
        <f>SUMIFS(tabela_registros[VALOR],tabela_registros[MÊS],$AE$1,tabela_registros[DIA],agototal3059718395107119[[#Headers],[10]],tabela_registros[REGISTRO],DADOS!$N$6)</f>
        <v>0</v>
      </c>
      <c r="O26" s="91">
        <f>SUMIFS(tabela_registros[VALOR],tabela_registros[MÊS],$AE$1,tabela_registros[DIA],agototal3059718395107119[[#Headers],[11]],tabela_registros[REGISTRO],DADOS!$N$6)</f>
        <v>0</v>
      </c>
      <c r="P26" s="91">
        <f>SUMIFS(tabela_registros[VALOR],tabela_registros[MÊS],$AE$1,tabela_registros[DIA],agototal3059718395107119[[#Headers],[12]],tabela_registros[REGISTRO],DADOS!$N$6)</f>
        <v>0</v>
      </c>
      <c r="Q26" s="91">
        <f>SUMIFS(tabela_registros[VALOR],tabela_registros[MÊS],$AE$1,tabela_registros[DIA],agototal3059718395107119[[#Headers],[13]],tabela_registros[REGISTRO],DADOS!$N$6)</f>
        <v>0</v>
      </c>
      <c r="R26" s="91">
        <f>SUMIFS(tabela_registros[VALOR],tabela_registros[MÊS],$AE$1,tabela_registros[DIA],agototal3059718395107119[[#Headers],[14]],tabela_registros[REGISTRO],DADOS!$N$6)</f>
        <v>0</v>
      </c>
      <c r="S26" s="91">
        <f>SUMIFS(tabela_registros[VALOR],tabela_registros[MÊS],$AE$1,tabela_registros[DIA],agototal3059718395107119[[#Headers],[15]],tabela_registros[REGISTRO],DADOS!$N$6)</f>
        <v>0</v>
      </c>
      <c r="T26" s="91">
        <f>SUMIFS(tabela_registros[VALOR],tabela_registros[MÊS],$AE$1,tabela_registros[DIA],agototal3059718395107119[[#Headers],[16]],tabela_registros[REGISTRO],DADOS!$N$6)</f>
        <v>0</v>
      </c>
      <c r="U26" s="91">
        <f>SUMIFS(tabela_registros[VALOR],tabela_registros[MÊS],$AE$1,tabela_registros[DIA],agototal3059718395107119[[#Headers],[17]],tabela_registros[REGISTRO],DADOS!$N$6)</f>
        <v>0</v>
      </c>
      <c r="V26" s="91">
        <f>SUMIFS(tabela_registros[VALOR],tabela_registros[MÊS],$AE$1,tabela_registros[DIA],agototal3059718395107119[[#Headers],[18]],tabela_registros[REGISTRO],DADOS!$N$6)</f>
        <v>0</v>
      </c>
      <c r="W26" s="91">
        <f>SUMIFS(tabela_registros[VALOR],tabela_registros[MÊS],$AE$1,tabela_registros[DIA],agototal3059718395107119[[#Headers],[19]],tabela_registros[REGISTRO],DADOS!$N$6)</f>
        <v>0</v>
      </c>
      <c r="X26" s="91">
        <f>SUMIFS(tabela_registros[VALOR],tabela_registros[MÊS],$AE$1,tabela_registros[DIA],agototal3059718395107119[[#Headers],[20]],tabela_registros[REGISTRO],DADOS!$N$6)</f>
        <v>0</v>
      </c>
      <c r="Y26" s="91">
        <f>SUMIFS(tabela_registros[VALOR],tabela_registros[MÊS],$AE$1,tabela_registros[DIA],agototal3059718395107119[[#Headers],[21]],tabela_registros[REGISTRO],DADOS!$N$6)</f>
        <v>0</v>
      </c>
      <c r="Z26" s="91">
        <f>SUMIFS(tabela_registros[VALOR],tabela_registros[MÊS],$AE$1,tabela_registros[DIA],agototal3059718395107119[[#Headers],[22]],tabela_registros[REGISTRO],DADOS!$N$6)</f>
        <v>0</v>
      </c>
      <c r="AA26" s="91">
        <f>SUMIFS(tabela_registros[VALOR],tabela_registros[MÊS],$AE$1,tabela_registros[DIA],agototal3059718395107119[[#Headers],[23]],tabela_registros[REGISTRO],DADOS!$N$6)</f>
        <v>0</v>
      </c>
      <c r="AB26" s="91">
        <f>SUMIFS(tabela_registros[VALOR],tabela_registros[MÊS],$AE$1,tabela_registros[DIA],agototal3059718395107119[[#Headers],[24]],tabela_registros[REGISTRO],DADOS!$N$6)</f>
        <v>0</v>
      </c>
      <c r="AC26" s="91">
        <f>SUMIFS(tabela_registros[VALOR],tabela_registros[MÊS],$AE$1,tabela_registros[DIA],agototal3059718395107119[[#Headers],[25]],tabela_registros[REGISTRO],DADOS!$N$6)</f>
        <v>0</v>
      </c>
      <c r="AD26" s="91">
        <f>SUMIFS(tabela_registros[VALOR],tabela_registros[MÊS],$AE$1,tabela_registros[DIA],agototal3059718395107119[[#Headers],[26]],tabela_registros[REGISTRO],DADOS!$N$6)</f>
        <v>0</v>
      </c>
      <c r="AE26" s="91">
        <f>SUMIFS(tabela_registros[VALOR],tabela_registros[MÊS],$AE$1,tabela_registros[DIA],agototal3059718395107119[[#Headers],[27]],tabela_registros[REGISTRO],DADOS!$N$6)</f>
        <v>0</v>
      </c>
      <c r="AF26" s="91">
        <f>SUMIFS(tabela_registros[VALOR],tabela_registros[MÊS],$AE$1,tabela_registros[DIA],agototal3059718395107119[[#Headers],[28]],tabela_registros[REGISTRO],DADOS!$N$6)</f>
        <v>0</v>
      </c>
      <c r="AG26" s="91">
        <f>SUMIFS(tabela_registros[VALOR],tabela_registros[MÊS],$AE$1,tabela_registros[DIA],agototal3059718395107119[[#Headers],[29]],tabela_registros[REGISTRO],DADOS!$N$6)</f>
        <v>0</v>
      </c>
      <c r="AH26" s="91">
        <f>SUMIFS(tabela_registros[VALOR],tabela_registros[MÊS],$AE$1,tabela_registros[DIA],agototal3059718395107119[[#Headers],[30]],tabela_registros[REGISTRO],DADOS!$N$6)</f>
        <v>0</v>
      </c>
      <c r="AI26" s="92">
        <f>SUMIFS(tabela_registros[VALOR],tabela_registros[MÊS],$AE$1,tabela_registros[DIA],agototal3059718395107119[[#Headers],[31]],tabela_registros[REGISTRO],DADOS!$N$6)</f>
        <v>0</v>
      </c>
      <c r="AJ26" s="93">
        <f>SUM(E26:AI26)</f>
        <v>0</v>
      </c>
      <c r="AK26" s="49"/>
    </row>
    <row r="27" spans="1:37" s="16" customFormat="1" ht="21" customHeight="1" thickTop="1" thickBot="1" x14ac:dyDescent="0.35">
      <c r="B27" s="52"/>
      <c r="C27" s="57" t="s">
        <v>19</v>
      </c>
      <c r="D27" s="56"/>
      <c r="E27" s="55">
        <f>SUM(E25:E26)</f>
        <v>0</v>
      </c>
      <c r="F27" s="54">
        <f>SUM(F25:F26)+agoinvestir2158708294106118[[#This Row],[1]]</f>
        <v>0</v>
      </c>
      <c r="G27" s="54">
        <f>SUM(G25:G26)+agoinvestir2158708294106118[[#This Row],[2]]</f>
        <v>0</v>
      </c>
      <c r="H27" s="54">
        <f>SUM(H25:H26)+agoinvestir2158708294106118[[#This Row],[3]]</f>
        <v>0</v>
      </c>
      <c r="I27" s="54">
        <f>SUM(I25:I26)+agoinvestir2158708294106118[[#This Row],[4]]</f>
        <v>0</v>
      </c>
      <c r="J27" s="54">
        <f>SUM(J25:J26)+agoinvestir2158708294106118[[#This Row],[5]]</f>
        <v>0</v>
      </c>
      <c r="K27" s="54">
        <f>SUM(K25:K26)+agoinvestir2158708294106118[[#This Row],[6]]</f>
        <v>0</v>
      </c>
      <c r="L27" s="54">
        <f>SUM(L25:L26)+agoinvestir2158708294106118[[#This Row],[7]]</f>
        <v>0</v>
      </c>
      <c r="M27" s="54">
        <f>SUM(M25:M26)+agoinvestir2158708294106118[[#This Row],[8]]</f>
        <v>0</v>
      </c>
      <c r="N27" s="54">
        <f>SUM(N25:N26)+agoinvestir2158708294106118[[#This Row],[9]]</f>
        <v>0</v>
      </c>
      <c r="O27" s="54">
        <f>SUM(O25:O26)+agoinvestir2158708294106118[[#This Row],[10]]</f>
        <v>0</v>
      </c>
      <c r="P27" s="54">
        <f>SUM(P25:P26)+agoinvestir2158708294106118[[#This Row],[11]]</f>
        <v>0</v>
      </c>
      <c r="Q27" s="54">
        <f>SUM(Q25:Q26)+agoinvestir2158708294106118[[#This Row],[12]]</f>
        <v>0</v>
      </c>
      <c r="R27" s="54">
        <f>SUM(R25:R26)+agoinvestir2158708294106118[[#This Row],[13]]</f>
        <v>0</v>
      </c>
      <c r="S27" s="54">
        <f>SUM(S25:S26)+agoinvestir2158708294106118[[#This Row],[14]]</f>
        <v>0</v>
      </c>
      <c r="T27" s="54">
        <f>SUM(T25:T26)+agoinvestir2158708294106118[[#This Row],[15]]</f>
        <v>0</v>
      </c>
      <c r="U27" s="54">
        <f>SUM(U25:U26)+agoinvestir2158708294106118[[#This Row],[16]]</f>
        <v>0</v>
      </c>
      <c r="V27" s="54">
        <f>SUM(V25:V26)+agoinvestir2158708294106118[[#This Row],[17]]</f>
        <v>0</v>
      </c>
      <c r="W27" s="54">
        <f>SUM(W25:W26)+agoinvestir2158708294106118[[#This Row],[18]]</f>
        <v>0</v>
      </c>
      <c r="X27" s="54">
        <f>SUM(X25:X26)+agoinvestir2158708294106118[[#This Row],[19]]</f>
        <v>0</v>
      </c>
      <c r="Y27" s="54">
        <f>SUM(Y25:Y26)+agoinvestir2158708294106118[[#This Row],[20]]</f>
        <v>0</v>
      </c>
      <c r="Z27" s="54">
        <f>SUM(Z25:Z26)+agoinvestir2158708294106118[[#This Row],[21]]</f>
        <v>0</v>
      </c>
      <c r="AA27" s="54">
        <f>SUM(AA25:AA26)+agoinvestir2158708294106118[[#This Row],[22]]</f>
        <v>0</v>
      </c>
      <c r="AB27" s="54">
        <f>SUM(AB25:AB26)+agoinvestir2158708294106118[[#This Row],[23]]</f>
        <v>0</v>
      </c>
      <c r="AC27" s="54">
        <f>SUM(AC25:AC26)+agoinvestir2158708294106118[[#This Row],[24]]</f>
        <v>0</v>
      </c>
      <c r="AD27" s="54">
        <f>SUM(AD25:AD26)+agoinvestir2158708294106118[[#This Row],[25]]</f>
        <v>0</v>
      </c>
      <c r="AE27" s="54">
        <f>SUM(AE25:AE26)+agoinvestir2158708294106118[[#This Row],[26]]</f>
        <v>0</v>
      </c>
      <c r="AF27" s="54">
        <f>SUM(AF25:AF26)+agoinvestir2158708294106118[[#This Row],[27]]</f>
        <v>0</v>
      </c>
      <c r="AG27" s="54">
        <f>SUM(AG25:AG26)+agoinvestir2158708294106118[[#This Row],[28]]</f>
        <v>0</v>
      </c>
      <c r="AH27" s="54">
        <f>SUM(AH25:AH26)+agoinvestir2158708294106118[[#This Row],[29]]</f>
        <v>0</v>
      </c>
      <c r="AI27" s="62">
        <f>SUM(AI25:AI26)+agoinvestir2158708294106118[[#This Row],[30]]</f>
        <v>0</v>
      </c>
      <c r="AJ27" s="53">
        <f>agoinvestir2158708294106118[[#This Row],[31]]</f>
        <v>0</v>
      </c>
      <c r="AK27" s="52"/>
    </row>
    <row r="28" spans="1:37" ht="6.75" hidden="1" customHeight="1" thickTop="1" thickBot="1" x14ac:dyDescent="0.35">
      <c r="B28" s="49"/>
      <c r="C28" t="s">
        <v>204</v>
      </c>
      <c r="D28"/>
      <c r="E28" s="51">
        <f>SUBTOTAL(109,agoinvestir2158708294106118[1])</f>
        <v>0</v>
      </c>
      <c r="F28" s="51">
        <f>SUBTOTAL(109,agoinvestir2158708294106118[2])</f>
        <v>0</v>
      </c>
      <c r="G28" s="51">
        <f>SUBTOTAL(109,agoinvestir2158708294106118[3])</f>
        <v>0</v>
      </c>
      <c r="H28" s="51">
        <f>SUBTOTAL(109,agoinvestir2158708294106118[4])</f>
        <v>0</v>
      </c>
      <c r="I28" s="51">
        <f>SUBTOTAL(109,agoinvestir2158708294106118[5])</f>
        <v>0</v>
      </c>
      <c r="J28" s="51">
        <f>SUBTOTAL(109,agoinvestir2158708294106118[6])</f>
        <v>0</v>
      </c>
      <c r="K28" s="51">
        <f>SUBTOTAL(109,agoinvestir2158708294106118[7])</f>
        <v>0</v>
      </c>
      <c r="L28" s="51">
        <f>SUBTOTAL(109,agoinvestir2158708294106118[8])</f>
        <v>0</v>
      </c>
      <c r="M28" s="51">
        <f>SUBTOTAL(109,agoinvestir2158708294106118[9])</f>
        <v>0</v>
      </c>
      <c r="N28" s="51">
        <f>SUBTOTAL(109,agoinvestir2158708294106118[10])</f>
        <v>0</v>
      </c>
      <c r="O28" s="51">
        <f>SUBTOTAL(109,agoinvestir2158708294106118[11])</f>
        <v>0</v>
      </c>
      <c r="P28" s="51">
        <f>SUBTOTAL(109,agoinvestir2158708294106118[12])</f>
        <v>0</v>
      </c>
      <c r="Q28" s="51">
        <f>SUBTOTAL(109,agoinvestir2158708294106118[13])</f>
        <v>0</v>
      </c>
      <c r="R28" s="51">
        <f>SUBTOTAL(109,agoinvestir2158708294106118[14])</f>
        <v>0</v>
      </c>
      <c r="S28" s="51">
        <f>SUBTOTAL(109,agoinvestir2158708294106118[15])</f>
        <v>0</v>
      </c>
      <c r="T28" s="51">
        <f>SUBTOTAL(109,agoinvestir2158708294106118[16])</f>
        <v>0</v>
      </c>
      <c r="U28" s="51">
        <f>SUBTOTAL(109,agoinvestir2158708294106118[17])</f>
        <v>0</v>
      </c>
      <c r="V28" s="51">
        <f>SUBTOTAL(109,agoinvestir2158708294106118[18])</f>
        <v>0</v>
      </c>
      <c r="W28" s="51">
        <f>SUBTOTAL(109,agoinvestir2158708294106118[19])</f>
        <v>0</v>
      </c>
      <c r="X28" s="51">
        <f>SUBTOTAL(109,agoinvestir2158708294106118[20])</f>
        <v>0</v>
      </c>
      <c r="Y28" s="51">
        <f>SUBTOTAL(109,agoinvestir2158708294106118[21])</f>
        <v>0</v>
      </c>
      <c r="Z28" s="51">
        <f>SUBTOTAL(109,agoinvestir2158708294106118[22])</f>
        <v>0</v>
      </c>
      <c r="AA28" s="51">
        <f>SUBTOTAL(109,agoinvestir2158708294106118[23])</f>
        <v>0</v>
      </c>
      <c r="AB28" s="51">
        <f>SUBTOTAL(109,agoinvestir2158708294106118[24])</f>
        <v>0</v>
      </c>
      <c r="AC28" s="51">
        <f>SUBTOTAL(109,agoinvestir2158708294106118[25])</f>
        <v>0</v>
      </c>
      <c r="AD28" s="51">
        <f>SUBTOTAL(109,agoinvestir2158708294106118[26])</f>
        <v>0</v>
      </c>
      <c r="AE28" s="51">
        <f>SUBTOTAL(109,agoinvestir2158708294106118[27])</f>
        <v>0</v>
      </c>
      <c r="AF28" s="51">
        <f>SUBTOTAL(109,agoinvestir2158708294106118[28])</f>
        <v>0</v>
      </c>
      <c r="AG28" s="51">
        <f>SUBTOTAL(109,agoinvestir2158708294106118[29])</f>
        <v>0</v>
      </c>
      <c r="AH28" s="51">
        <f>SUBTOTAL(109,agoinvestir2158708294106118[30])</f>
        <v>0</v>
      </c>
      <c r="AI28" s="51">
        <f>SUBTOTAL(109,agoinvestir2158708294106118[31])</f>
        <v>0</v>
      </c>
      <c r="AJ28" s="51">
        <f>SUBTOTAL(109,agoinvestir2158708294106118[TOTAL (R$)])</f>
        <v>0</v>
      </c>
      <c r="AK28" s="49"/>
    </row>
    <row r="29" spans="1:37" ht="6.75" customHeight="1" thickTop="1" thickBot="1" x14ac:dyDescent="0.3">
      <c r="B29" s="49"/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49"/>
      <c r="X29" s="49"/>
      <c r="Y29" s="49"/>
      <c r="Z29" s="49"/>
      <c r="AA29" s="49"/>
      <c r="AB29" s="49"/>
      <c r="AC29" s="49"/>
      <c r="AD29" s="49"/>
      <c r="AE29" s="49"/>
      <c r="AF29" s="49"/>
      <c r="AG29" s="49"/>
      <c r="AH29" s="49"/>
      <c r="AI29" s="50"/>
      <c r="AJ29" s="49"/>
      <c r="AK29" s="49"/>
    </row>
    <row r="30" spans="1:37" ht="12.6" thickTop="1" x14ac:dyDescent="0.25">
      <c r="C30" s="46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 s="47"/>
      <c r="Z30" s="47"/>
      <c r="AA30" s="47"/>
      <c r="AB30" s="47"/>
      <c r="AC30" s="47"/>
      <c r="AD30" s="47"/>
      <c r="AE30" s="47"/>
      <c r="AF30" s="47"/>
      <c r="AG30" s="47"/>
      <c r="AH30" s="47"/>
      <c r="AI30" s="47"/>
    </row>
    <row r="31" spans="1:37" x14ac:dyDescent="0.25">
      <c r="C31" s="46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47"/>
      <c r="X31" s="47"/>
      <c r="Y31" s="47"/>
      <c r="Z31" s="47"/>
      <c r="AA31" s="47"/>
      <c r="AB31" s="47"/>
      <c r="AC31" s="47"/>
      <c r="AD31" s="47"/>
      <c r="AE31" s="47"/>
      <c r="AF31" s="47"/>
      <c r="AG31" s="47"/>
      <c r="AH31" s="47"/>
      <c r="AI31" s="47"/>
    </row>
    <row r="32" spans="1:37" x14ac:dyDescent="0.25">
      <c r="C32" s="46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47"/>
      <c r="AB32" s="47"/>
      <c r="AC32" s="47"/>
      <c r="AD32" s="47"/>
      <c r="AE32" s="47"/>
      <c r="AF32" s="47"/>
      <c r="AG32" s="47"/>
      <c r="AH32" s="47"/>
      <c r="AI32" s="47"/>
    </row>
    <row r="33" spans="2:37" ht="39.75" customHeight="1" x14ac:dyDescent="0.25">
      <c r="C33" s="46"/>
      <c r="E33" s="240"/>
      <c r="F33" s="240"/>
      <c r="G33" s="240"/>
      <c r="H33" s="240"/>
      <c r="I33" s="240"/>
      <c r="J33" s="240"/>
      <c r="K33" s="240"/>
      <c r="L33" s="240"/>
      <c r="M33" s="240"/>
      <c r="N33" s="240"/>
      <c r="O33" s="240"/>
      <c r="P33" s="240"/>
      <c r="Q33" s="240"/>
      <c r="R33" s="240"/>
      <c r="S33" s="240"/>
      <c r="T33" s="240"/>
      <c r="U33" s="240"/>
      <c r="V33" s="240"/>
      <c r="W33" s="240"/>
      <c r="X33" s="240"/>
      <c r="Y33" s="240"/>
      <c r="Z33" s="240"/>
      <c r="AA33" s="240"/>
      <c r="AB33" s="240"/>
      <c r="AC33" s="240"/>
      <c r="AD33" s="240"/>
      <c r="AE33" s="240"/>
      <c r="AF33" s="240"/>
      <c r="AG33" s="240"/>
      <c r="AH33" s="240"/>
      <c r="AI33" s="240"/>
      <c r="AJ33" s="32" t="s">
        <v>19</v>
      </c>
    </row>
    <row r="34" spans="2:37" ht="11.25" customHeight="1" thickBot="1" x14ac:dyDescent="0.75">
      <c r="C34" s="36"/>
      <c r="AI34" s="4"/>
      <c r="AJ34" s="34" t="s">
        <v>202</v>
      </c>
    </row>
    <row r="35" spans="2:37" ht="6.75" customHeight="1" thickTop="1" thickBot="1" x14ac:dyDescent="0.3">
      <c r="B35" s="33"/>
      <c r="C35" s="45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F35" s="44"/>
      <c r="AG35" s="44"/>
      <c r="AH35" s="44"/>
      <c r="AI35" s="44"/>
      <c r="AJ35" s="43"/>
      <c r="AK35" s="33"/>
    </row>
    <row r="36" spans="2:37" ht="12.6" hidden="1" thickBot="1" x14ac:dyDescent="0.3">
      <c r="B36" s="2"/>
      <c r="C36" s="31" t="s">
        <v>132</v>
      </c>
      <c r="D36" s="30" t="s">
        <v>198</v>
      </c>
      <c r="E36" s="30" t="s">
        <v>197</v>
      </c>
      <c r="F36" s="30" t="s">
        <v>196</v>
      </c>
      <c r="G36" s="30" t="s">
        <v>195</v>
      </c>
      <c r="H36" s="30" t="s">
        <v>194</v>
      </c>
      <c r="I36" s="30" t="s">
        <v>193</v>
      </c>
      <c r="J36" s="30" t="s">
        <v>192</v>
      </c>
      <c r="K36" s="30" t="s">
        <v>191</v>
      </c>
      <c r="L36" s="30" t="s">
        <v>190</v>
      </c>
      <c r="M36" s="30" t="s">
        <v>189</v>
      </c>
      <c r="N36" s="30" t="s">
        <v>188</v>
      </c>
      <c r="O36" s="30" t="s">
        <v>187</v>
      </c>
      <c r="P36" s="30" t="s">
        <v>186</v>
      </c>
      <c r="Q36" s="30" t="s">
        <v>185</v>
      </c>
      <c r="R36" s="30" t="s">
        <v>184</v>
      </c>
      <c r="S36" s="30" t="s">
        <v>183</v>
      </c>
      <c r="T36" s="30" t="s">
        <v>182</v>
      </c>
      <c r="U36" s="30" t="s">
        <v>181</v>
      </c>
      <c r="V36" s="30" t="s">
        <v>180</v>
      </c>
      <c r="W36" s="30" t="s">
        <v>179</v>
      </c>
      <c r="X36" s="30" t="s">
        <v>178</v>
      </c>
      <c r="Y36" s="30" t="s">
        <v>177</v>
      </c>
      <c r="Z36" s="30" t="s">
        <v>176</v>
      </c>
      <c r="AA36" s="30" t="s">
        <v>175</v>
      </c>
      <c r="AB36" s="30" t="s">
        <v>174</v>
      </c>
      <c r="AC36" s="30" t="s">
        <v>173</v>
      </c>
      <c r="AD36" s="30" t="s">
        <v>172</v>
      </c>
      <c r="AE36" s="30" t="s">
        <v>171</v>
      </c>
      <c r="AF36" s="30" t="s">
        <v>170</v>
      </c>
      <c r="AG36" s="30" t="s">
        <v>169</v>
      </c>
      <c r="AH36" s="30" t="s">
        <v>168</v>
      </c>
      <c r="AI36" s="30" t="s">
        <v>167</v>
      </c>
      <c r="AJ36" s="42" t="s">
        <v>19</v>
      </c>
      <c r="AK36" s="2" t="s">
        <v>203</v>
      </c>
    </row>
    <row r="37" spans="2:37" ht="19.5" customHeight="1" thickTop="1" thickBot="1" x14ac:dyDescent="0.3">
      <c r="B37" s="28"/>
      <c r="C37" s="27" t="str">
        <f>DADOS!$R$3</f>
        <v>💧 ÁGUA</v>
      </c>
      <c r="D37" s="26" t="str">
        <f>IF(despesafixaconsolidadoago[[#This Row],[TOTAL]]=0,"",IF(OR(despesafixaconsolidadoago[[#This Row],[TOTAL]]=LARGE($AJ$37:$AJ$50,1),despesafixaconsolidadoago[[#This Row],[TOTAL]]=LARGE($AJ$37:$AJ$50,2),despesafixaconsolidadoago[[#This Row],[TOTAL]]=LARGE($AJ$37:$AJ$50,3),despesafixaconsolidadoago[[#This Row],[TOTAL]]=LARGE($AJ$37:$AJ$50,4),despesafixaconsolidadoago[[#This Row],[TOTAL]]=LARGE($AJ$37:$AJ$50,5)),DADOS!$I$8,""))</f>
        <v/>
      </c>
      <c r="E37" s="94">
        <f>SUMIFS(tabela_registros[VALOR],tabela_registros[MÊS],$AE$1,tabela_registros[DIA],agototal3059718395107119[[#Headers],[1]],tabela_registros[REGISTRO],DADOS!$N$4,tabela_registros[TIPO],DADOS!$P$3,tabela_registros[CATEGORIA],despesafixaconsolidadoago[[#This Row],[DESPESA FIXA]])</f>
        <v>0</v>
      </c>
      <c r="F37" s="88">
        <f>SUMIFS(tabela_registros[VALOR],tabela_registros[MÊS],$AE$1,tabela_registros[DIA],agototal3059718395107119[[#Headers],[2]],tabela_registros[REGISTRO],DADOS!$N$4,tabela_registros[TIPO],DADOS!$P$3,tabela_registros[CATEGORIA],despesafixaconsolidadoago[[#This Row],[DESPESA FIXA]])</f>
        <v>0</v>
      </c>
      <c r="G37" s="88">
        <f>SUMIFS(tabela_registros[VALOR],tabela_registros[MÊS],$AE$1,tabela_registros[DIA],agototal3059718395107119[[#Headers],[3]],tabela_registros[REGISTRO],DADOS!$N$4,tabela_registros[TIPO],DADOS!$P$3,tabela_registros[CATEGORIA],despesafixaconsolidadoago[[#This Row],[DESPESA FIXA]])</f>
        <v>0</v>
      </c>
      <c r="H37" s="88">
        <f>SUMIFS(tabela_registros[VALOR],tabela_registros[MÊS],$AE$1,tabela_registros[DIA],agototal3059718395107119[[#Headers],[4]],tabela_registros[REGISTRO],DADOS!$N$4,tabela_registros[TIPO],DADOS!$P$3,tabela_registros[CATEGORIA],despesafixaconsolidadoago[[#This Row],[DESPESA FIXA]])</f>
        <v>0</v>
      </c>
      <c r="I37" s="88">
        <f>SUMIFS(tabela_registros[VALOR],tabela_registros[MÊS],$AE$1,tabela_registros[DIA],agototal3059718395107119[[#Headers],[5]],tabela_registros[REGISTRO],DADOS!$N$4,tabela_registros[TIPO],DADOS!$P$3,tabela_registros[CATEGORIA],despesafixaconsolidadoago[[#This Row],[DESPESA FIXA]])</f>
        <v>0</v>
      </c>
      <c r="J37" s="88">
        <f>SUMIFS(tabela_registros[VALOR],tabela_registros[MÊS],$AE$1,tabela_registros[DIA],agototal3059718395107119[[#Headers],[6]],tabela_registros[REGISTRO],DADOS!$N$4,tabela_registros[TIPO],DADOS!$P$3,tabela_registros[CATEGORIA],despesafixaconsolidadoago[[#This Row],[DESPESA FIXA]])</f>
        <v>0</v>
      </c>
      <c r="K37" s="88">
        <f>SUMIFS(tabela_registros[VALOR],tabela_registros[MÊS],$AE$1,tabela_registros[DIA],agototal3059718395107119[[#Headers],[7]],tabela_registros[REGISTRO],DADOS!$N$4,tabela_registros[TIPO],DADOS!$P$3,tabela_registros[CATEGORIA],despesafixaconsolidadoago[[#This Row],[DESPESA FIXA]])</f>
        <v>0</v>
      </c>
      <c r="L37" s="88">
        <f>SUMIFS(tabela_registros[VALOR],tabela_registros[MÊS],$AE$1,tabela_registros[DIA],agototal3059718395107119[[#Headers],[8]],tabela_registros[REGISTRO],DADOS!$N$4,tabela_registros[TIPO],DADOS!$P$3,tabela_registros[CATEGORIA],despesafixaconsolidadoago[[#This Row],[DESPESA FIXA]])</f>
        <v>0</v>
      </c>
      <c r="M37" s="88">
        <f>SUMIFS(tabela_registros[VALOR],tabela_registros[MÊS],$AE$1,tabela_registros[DIA],agototal3059718395107119[[#Headers],[9]],tabela_registros[REGISTRO],DADOS!$N$4,tabela_registros[TIPO],DADOS!$P$3,tabela_registros[CATEGORIA],despesafixaconsolidadoago[[#This Row],[DESPESA FIXA]])</f>
        <v>0</v>
      </c>
      <c r="N37" s="88">
        <f>SUMIFS(tabela_registros[VALOR],tabela_registros[MÊS],$AE$1,tabela_registros[DIA],agototal3059718395107119[[#Headers],[10]],tabela_registros[REGISTRO],DADOS!$N$4,tabela_registros[TIPO],DADOS!$P$3,tabela_registros[CATEGORIA],despesafixaconsolidadoago[[#This Row],[DESPESA FIXA]])</f>
        <v>0</v>
      </c>
      <c r="O37" s="88">
        <f>SUMIFS(tabela_registros[VALOR],tabela_registros[MÊS],$AE$1,tabela_registros[DIA],agototal3059718395107119[[#Headers],[11]],tabela_registros[REGISTRO],DADOS!$N$4,tabela_registros[TIPO],DADOS!$P$3,tabela_registros[CATEGORIA],despesafixaconsolidadoago[[#This Row],[DESPESA FIXA]])</f>
        <v>0</v>
      </c>
      <c r="P37" s="88">
        <f>SUMIFS(tabela_registros[VALOR],tabela_registros[MÊS],$AE$1,tabela_registros[DIA],agototal3059718395107119[[#Headers],[12]],tabela_registros[REGISTRO],DADOS!$N$4,tabela_registros[TIPO],DADOS!$P$3,tabela_registros[CATEGORIA],despesafixaconsolidadoago[[#This Row],[DESPESA FIXA]])</f>
        <v>0</v>
      </c>
      <c r="Q37" s="88">
        <f>SUMIFS(tabela_registros[VALOR],tabela_registros[MÊS],$AE$1,tabela_registros[DIA],agototal3059718395107119[[#Headers],[13]],tabela_registros[REGISTRO],DADOS!$N$4,tabela_registros[TIPO],DADOS!$P$3,tabela_registros[CATEGORIA],despesafixaconsolidadoago[[#This Row],[DESPESA FIXA]])</f>
        <v>0</v>
      </c>
      <c r="R37" s="88">
        <f>SUMIFS(tabela_registros[VALOR],tabela_registros[MÊS],$AE$1,tabela_registros[DIA],agototal3059718395107119[[#Headers],[14]],tabela_registros[REGISTRO],DADOS!$N$4,tabela_registros[TIPO],DADOS!$P$3,tabela_registros[CATEGORIA],despesafixaconsolidadoago[[#This Row],[DESPESA FIXA]])</f>
        <v>0</v>
      </c>
      <c r="S37" s="88">
        <f>SUMIFS(tabela_registros[VALOR],tabela_registros[MÊS],$AE$1,tabela_registros[DIA],agototal3059718395107119[[#Headers],[15]],tabela_registros[REGISTRO],DADOS!$N$4,tabela_registros[TIPO],DADOS!$P$3,tabela_registros[CATEGORIA],despesafixaconsolidadoago[[#This Row],[DESPESA FIXA]])</f>
        <v>0</v>
      </c>
      <c r="T37" s="88">
        <f>SUMIFS(tabela_registros[VALOR],tabela_registros[MÊS],$AE$1,tabela_registros[DIA],agototal3059718395107119[[#Headers],[16]],tabela_registros[REGISTRO],DADOS!$N$4,tabela_registros[TIPO],DADOS!$P$3,tabela_registros[CATEGORIA],despesafixaconsolidadoago[[#This Row],[DESPESA FIXA]])</f>
        <v>0</v>
      </c>
      <c r="U37" s="88">
        <f>SUMIFS(tabela_registros[VALOR],tabela_registros[MÊS],$AE$1,tabela_registros[DIA],agototal3059718395107119[[#Headers],[17]],tabela_registros[REGISTRO],DADOS!$N$4,tabela_registros[TIPO],DADOS!$P$3,tabela_registros[CATEGORIA],despesafixaconsolidadoago[[#This Row],[DESPESA FIXA]])</f>
        <v>0</v>
      </c>
      <c r="V37" s="88">
        <f>SUMIFS(tabela_registros[VALOR],tabela_registros[MÊS],$AE$1,tabela_registros[DIA],agototal3059718395107119[[#Headers],[18]],tabela_registros[REGISTRO],DADOS!$N$4,tabela_registros[TIPO],DADOS!$P$3,tabela_registros[CATEGORIA],despesafixaconsolidadoago[[#This Row],[DESPESA FIXA]])</f>
        <v>0</v>
      </c>
      <c r="W37" s="88">
        <f>SUMIFS(tabela_registros[VALOR],tabela_registros[MÊS],$AE$1,tabela_registros[DIA],agototal3059718395107119[[#Headers],[19]],tabela_registros[REGISTRO],DADOS!$N$4,tabela_registros[TIPO],DADOS!$P$3,tabela_registros[CATEGORIA],despesafixaconsolidadoago[[#This Row],[DESPESA FIXA]])</f>
        <v>0</v>
      </c>
      <c r="X37" s="88">
        <f>SUMIFS(tabela_registros[VALOR],tabela_registros[MÊS],$AE$1,tabela_registros[DIA],agototal3059718395107119[[#Headers],[20]],tabela_registros[REGISTRO],DADOS!$N$4,tabela_registros[TIPO],DADOS!$P$3,tabela_registros[CATEGORIA],despesafixaconsolidadoago[[#This Row],[DESPESA FIXA]])</f>
        <v>0</v>
      </c>
      <c r="Y37" s="88">
        <f>SUMIFS(tabela_registros[VALOR],tabela_registros[MÊS],$AE$1,tabela_registros[DIA],agototal3059718395107119[[#Headers],[21]],tabela_registros[REGISTRO],DADOS!$N$4,tabela_registros[TIPO],DADOS!$P$3,tabela_registros[CATEGORIA],despesafixaconsolidadoago[[#This Row],[DESPESA FIXA]])</f>
        <v>0</v>
      </c>
      <c r="Z37" s="88">
        <f>SUMIFS(tabela_registros[VALOR],tabela_registros[MÊS],$AE$1,tabela_registros[DIA],agototal3059718395107119[[#Headers],[22]],tabela_registros[REGISTRO],DADOS!$N$4,tabela_registros[TIPO],DADOS!$P$3,tabela_registros[CATEGORIA],despesafixaconsolidadoago[[#This Row],[DESPESA FIXA]])</f>
        <v>0</v>
      </c>
      <c r="AA37" s="88">
        <f>SUMIFS(tabela_registros[VALOR],tabela_registros[MÊS],$AE$1,tabela_registros[DIA],agototal3059718395107119[[#Headers],[23]],tabela_registros[REGISTRO],DADOS!$N$4,tabela_registros[TIPO],DADOS!$P$3,tabela_registros[CATEGORIA],despesafixaconsolidadoago[[#This Row],[DESPESA FIXA]])</f>
        <v>0</v>
      </c>
      <c r="AB37" s="88">
        <f>SUMIFS(tabela_registros[VALOR],tabela_registros[MÊS],$AE$1,tabela_registros[DIA],agototal3059718395107119[[#Headers],[24]],tabela_registros[REGISTRO],DADOS!$N$4,tabela_registros[TIPO],DADOS!$P$3,tabela_registros[CATEGORIA],despesafixaconsolidadoago[[#This Row],[DESPESA FIXA]])</f>
        <v>0</v>
      </c>
      <c r="AC37" s="88">
        <f>SUMIFS(tabela_registros[VALOR],tabela_registros[MÊS],$AE$1,tabela_registros[DIA],agototal3059718395107119[[#Headers],[25]],tabela_registros[REGISTRO],DADOS!$N$4,tabela_registros[TIPO],DADOS!$P$3,tabela_registros[CATEGORIA],despesafixaconsolidadoago[[#This Row],[DESPESA FIXA]])</f>
        <v>0</v>
      </c>
      <c r="AD37" s="88">
        <f>SUMIFS(tabela_registros[VALOR],tabela_registros[MÊS],$AE$1,tabela_registros[DIA],agototal3059718395107119[[#Headers],[26]],tabela_registros[REGISTRO],DADOS!$N$4,tabela_registros[TIPO],DADOS!$P$3,tabela_registros[CATEGORIA],despesafixaconsolidadoago[[#This Row],[DESPESA FIXA]])</f>
        <v>0</v>
      </c>
      <c r="AE37" s="88">
        <f>SUMIFS(tabela_registros[VALOR],tabela_registros[MÊS],$AE$1,tabela_registros[DIA],agototal3059718395107119[[#Headers],[27]],tabela_registros[REGISTRO],DADOS!$N$4,tabela_registros[TIPO],DADOS!$P$3,tabela_registros[CATEGORIA],despesafixaconsolidadoago[[#This Row],[DESPESA FIXA]])</f>
        <v>0</v>
      </c>
      <c r="AF37" s="88">
        <f>SUMIFS(tabela_registros[VALOR],tabela_registros[MÊS],$AE$1,tabela_registros[DIA],agototal3059718395107119[[#Headers],[28]],tabela_registros[REGISTRO],DADOS!$N$4,tabela_registros[TIPO],DADOS!$P$3,tabela_registros[CATEGORIA],despesafixaconsolidadoago[[#This Row],[DESPESA FIXA]])</f>
        <v>0</v>
      </c>
      <c r="AG37" s="88">
        <f>SUMIFS(tabela_registros[VALOR],tabela_registros[MÊS],$AE$1,tabela_registros[DIA],agototal3059718395107119[[#Headers],[29]],tabela_registros[REGISTRO],DADOS!$N$4,tabela_registros[TIPO],DADOS!$P$3,tabela_registros[CATEGORIA],despesafixaconsolidadoago[[#This Row],[DESPESA FIXA]])</f>
        <v>0</v>
      </c>
      <c r="AH37" s="88">
        <f>SUMIFS(tabela_registros[VALOR],tabela_registros[MÊS],$AE$1,tabela_registros[DIA],agototal3059718395107119[[#Headers],[30]],tabela_registros[REGISTRO],DADOS!$N$4,tabela_registros[TIPO],DADOS!$P$3,tabela_registros[CATEGORIA],despesafixaconsolidadoago[[#This Row],[DESPESA FIXA]])</f>
        <v>0</v>
      </c>
      <c r="AI37" s="100">
        <f>SUMIFS(tabela_registros[VALOR],tabela_registros[MÊS],$AE$1,tabela_registros[DIA],agototal3059718395107119[[#Headers],[31]],tabela_registros[REGISTRO],DADOS!$N$4,tabela_registros[TIPO],DADOS!$P$3,tabela_registros[CATEGORIA],despesafixaconsolidadoago[[#This Row],[DESPESA FIXA]])</f>
        <v>0</v>
      </c>
      <c r="AJ37" s="95">
        <f>SUM(despesafixaconsolidadoago[[#This Row],[1]:[31]])</f>
        <v>0</v>
      </c>
      <c r="AK37" s="28"/>
    </row>
    <row r="38" spans="2:37" ht="18" customHeight="1" thickTop="1" thickBot="1" x14ac:dyDescent="0.3">
      <c r="B38" s="28"/>
      <c r="C38" s="27" t="str">
        <f>DADOS!$R$4</f>
        <v>🐶 ANIMAIS DE ESTIMAÇÃO</v>
      </c>
      <c r="D38" s="26" t="str">
        <f>IF(despesafixaconsolidadoago[[#This Row],[TOTAL]]=0,"",IF(OR(despesafixaconsolidadoago[[#This Row],[TOTAL]]=LARGE($AJ$37:$AJ$50,1),despesafixaconsolidadoago[[#This Row],[TOTAL]]=LARGE($AJ$37:$AJ$50,2),despesafixaconsolidadoago[[#This Row],[TOTAL]]=LARGE($AJ$37:$AJ$50,3),despesafixaconsolidadoago[[#This Row],[TOTAL]]=LARGE($AJ$37:$AJ$50,4),despesafixaconsolidadoago[[#This Row],[TOTAL]]=LARGE($AJ$37:$AJ$50,5)),DADOS!$I$8,""))</f>
        <v/>
      </c>
      <c r="E38" s="96">
        <f>SUMIFS(tabela_registros[VALOR],tabela_registros[MÊS],$AE$1,tabela_registros[DIA],agototal3059718395107119[[#Headers],[1]],tabela_registros[REGISTRO],DADOS!$N$4,tabela_registros[TIPO],DADOS!$P$3,tabela_registros[CATEGORIA],despesafixaconsolidadoago[[#This Row],[DESPESA FIXA]])</f>
        <v>0</v>
      </c>
      <c r="F38" s="91">
        <f>SUMIFS(tabela_registros[VALOR],tabela_registros[MÊS],$AE$1,tabela_registros[DIA],agototal3059718395107119[[#Headers],[2]],tabela_registros[REGISTRO],DADOS!$N$4,tabela_registros[TIPO],DADOS!$P$3,tabela_registros[CATEGORIA],despesafixaconsolidadoago[[#This Row],[DESPESA FIXA]])</f>
        <v>0</v>
      </c>
      <c r="G38" s="91">
        <f>SUMIFS(tabela_registros[VALOR],tabela_registros[MÊS],$AE$1,tabela_registros[DIA],agototal3059718395107119[[#Headers],[3]],tabela_registros[REGISTRO],DADOS!$N$4,tabela_registros[TIPO],DADOS!$P$3,tabela_registros[CATEGORIA],despesafixaconsolidadoago[[#This Row],[DESPESA FIXA]])</f>
        <v>0</v>
      </c>
      <c r="H38" s="91">
        <f>SUMIFS(tabela_registros[VALOR],tabela_registros[MÊS],$AE$1,tabela_registros[DIA],agototal3059718395107119[[#Headers],[4]],tabela_registros[REGISTRO],DADOS!$N$4,tabela_registros[TIPO],DADOS!$P$3,tabela_registros[CATEGORIA],despesafixaconsolidadoago[[#This Row],[DESPESA FIXA]])</f>
        <v>0</v>
      </c>
      <c r="I38" s="91">
        <f>SUMIFS(tabela_registros[VALOR],tabela_registros[MÊS],$AE$1,tabela_registros[DIA],agototal3059718395107119[[#Headers],[5]],tabela_registros[REGISTRO],DADOS!$N$4,tabela_registros[TIPO],DADOS!$P$3,tabela_registros[CATEGORIA],despesafixaconsolidadoago[[#This Row],[DESPESA FIXA]])</f>
        <v>0</v>
      </c>
      <c r="J38" s="91">
        <f>SUMIFS(tabela_registros[VALOR],tabela_registros[MÊS],$AE$1,tabela_registros[DIA],agototal3059718395107119[[#Headers],[6]],tabela_registros[REGISTRO],DADOS!$N$4,tabela_registros[TIPO],DADOS!$P$3,tabela_registros[CATEGORIA],despesafixaconsolidadoago[[#This Row],[DESPESA FIXA]])</f>
        <v>0</v>
      </c>
      <c r="K38" s="91">
        <f>SUMIFS(tabela_registros[VALOR],tabela_registros[MÊS],$AE$1,tabela_registros[DIA],agototal3059718395107119[[#Headers],[7]],tabela_registros[REGISTRO],DADOS!$N$4,tabela_registros[TIPO],DADOS!$P$3,tabela_registros[CATEGORIA],despesafixaconsolidadoago[[#This Row],[DESPESA FIXA]])</f>
        <v>0</v>
      </c>
      <c r="L38" s="91">
        <f>SUMIFS(tabela_registros[VALOR],tabela_registros[MÊS],$AE$1,tabela_registros[DIA],agototal3059718395107119[[#Headers],[8]],tabela_registros[REGISTRO],DADOS!$N$4,tabela_registros[TIPO],DADOS!$P$3,tabela_registros[CATEGORIA],despesafixaconsolidadoago[[#This Row],[DESPESA FIXA]])</f>
        <v>0</v>
      </c>
      <c r="M38" s="91">
        <f>SUMIFS(tabela_registros[VALOR],tabela_registros[MÊS],$AE$1,tabela_registros[DIA],agototal3059718395107119[[#Headers],[9]],tabela_registros[REGISTRO],DADOS!$N$4,tabela_registros[TIPO],DADOS!$P$3,tabela_registros[CATEGORIA],despesafixaconsolidadoago[[#This Row],[DESPESA FIXA]])</f>
        <v>0</v>
      </c>
      <c r="N38" s="91">
        <f>SUMIFS(tabela_registros[VALOR],tabela_registros[MÊS],$AE$1,tabela_registros[DIA],agototal3059718395107119[[#Headers],[10]],tabela_registros[REGISTRO],DADOS!$N$4,tabela_registros[TIPO],DADOS!$P$3,tabela_registros[CATEGORIA],despesafixaconsolidadoago[[#This Row],[DESPESA FIXA]])</f>
        <v>0</v>
      </c>
      <c r="O38" s="91">
        <f>SUMIFS(tabela_registros[VALOR],tabela_registros[MÊS],$AE$1,tabela_registros[DIA],agototal3059718395107119[[#Headers],[11]],tabela_registros[REGISTRO],DADOS!$N$4,tabela_registros[TIPO],DADOS!$P$3,tabela_registros[CATEGORIA],despesafixaconsolidadoago[[#This Row],[DESPESA FIXA]])</f>
        <v>0</v>
      </c>
      <c r="P38" s="91">
        <f>SUMIFS(tabela_registros[VALOR],tabela_registros[MÊS],$AE$1,tabela_registros[DIA],agototal3059718395107119[[#Headers],[12]],tabela_registros[REGISTRO],DADOS!$N$4,tabela_registros[TIPO],DADOS!$P$3,tabela_registros[CATEGORIA],despesafixaconsolidadoago[[#This Row],[DESPESA FIXA]])</f>
        <v>0</v>
      </c>
      <c r="Q38" s="91">
        <f>SUMIFS(tabela_registros[VALOR],tabela_registros[MÊS],$AE$1,tabela_registros[DIA],agototal3059718395107119[[#Headers],[13]],tabela_registros[REGISTRO],DADOS!$N$4,tabela_registros[TIPO],DADOS!$P$3,tabela_registros[CATEGORIA],despesafixaconsolidadoago[[#This Row],[DESPESA FIXA]])</f>
        <v>0</v>
      </c>
      <c r="R38" s="91">
        <f>SUMIFS(tabela_registros[VALOR],tabela_registros[MÊS],$AE$1,tabela_registros[DIA],agototal3059718395107119[[#Headers],[14]],tabela_registros[REGISTRO],DADOS!$N$4,tabela_registros[TIPO],DADOS!$P$3,tabela_registros[CATEGORIA],despesafixaconsolidadoago[[#This Row],[DESPESA FIXA]])</f>
        <v>0</v>
      </c>
      <c r="S38" s="91">
        <f>SUMIFS(tabela_registros[VALOR],tabela_registros[MÊS],$AE$1,tabela_registros[DIA],agototal3059718395107119[[#Headers],[15]],tabela_registros[REGISTRO],DADOS!$N$4,tabela_registros[TIPO],DADOS!$P$3,tabela_registros[CATEGORIA],despesafixaconsolidadoago[[#This Row],[DESPESA FIXA]])</f>
        <v>0</v>
      </c>
      <c r="T38" s="91">
        <f>SUMIFS(tabela_registros[VALOR],tabela_registros[MÊS],$AE$1,tabela_registros[DIA],agototal3059718395107119[[#Headers],[16]],tabela_registros[REGISTRO],DADOS!$N$4,tabela_registros[TIPO],DADOS!$P$3,tabela_registros[CATEGORIA],despesafixaconsolidadoago[[#This Row],[DESPESA FIXA]])</f>
        <v>0</v>
      </c>
      <c r="U38" s="91">
        <f>SUMIFS(tabela_registros[VALOR],tabela_registros[MÊS],$AE$1,tabela_registros[DIA],agototal3059718395107119[[#Headers],[17]],tabela_registros[REGISTRO],DADOS!$N$4,tabela_registros[TIPO],DADOS!$P$3,tabela_registros[CATEGORIA],despesafixaconsolidadoago[[#This Row],[DESPESA FIXA]])</f>
        <v>0</v>
      </c>
      <c r="V38" s="91">
        <f>SUMIFS(tabela_registros[VALOR],tabela_registros[MÊS],$AE$1,tabela_registros[DIA],agototal3059718395107119[[#Headers],[18]],tabela_registros[REGISTRO],DADOS!$N$4,tabela_registros[TIPO],DADOS!$P$3,tabela_registros[CATEGORIA],despesafixaconsolidadoago[[#This Row],[DESPESA FIXA]])</f>
        <v>0</v>
      </c>
      <c r="W38" s="91">
        <f>SUMIFS(tabela_registros[VALOR],tabela_registros[MÊS],$AE$1,tabela_registros[DIA],agototal3059718395107119[[#Headers],[19]],tabela_registros[REGISTRO],DADOS!$N$4,tabela_registros[TIPO],DADOS!$P$3,tabela_registros[CATEGORIA],despesafixaconsolidadoago[[#This Row],[DESPESA FIXA]])</f>
        <v>0</v>
      </c>
      <c r="X38" s="91">
        <f>SUMIFS(tabela_registros[VALOR],tabela_registros[MÊS],$AE$1,tabela_registros[DIA],agototal3059718395107119[[#Headers],[20]],tabela_registros[REGISTRO],DADOS!$N$4,tabela_registros[TIPO],DADOS!$P$3,tabela_registros[CATEGORIA],despesafixaconsolidadoago[[#This Row],[DESPESA FIXA]])</f>
        <v>0</v>
      </c>
      <c r="Y38" s="91">
        <f>SUMIFS(tabela_registros[VALOR],tabela_registros[MÊS],$AE$1,tabela_registros[DIA],agototal3059718395107119[[#Headers],[21]],tabela_registros[REGISTRO],DADOS!$N$4,tabela_registros[TIPO],DADOS!$P$3,tabela_registros[CATEGORIA],despesafixaconsolidadoago[[#This Row],[DESPESA FIXA]])</f>
        <v>0</v>
      </c>
      <c r="Z38" s="91">
        <f>SUMIFS(tabela_registros[VALOR],tabela_registros[MÊS],$AE$1,tabela_registros[DIA],agototal3059718395107119[[#Headers],[22]],tabela_registros[REGISTRO],DADOS!$N$4,tabela_registros[TIPO],DADOS!$P$3,tabela_registros[CATEGORIA],despesafixaconsolidadoago[[#This Row],[DESPESA FIXA]])</f>
        <v>0</v>
      </c>
      <c r="AA38" s="91">
        <f>SUMIFS(tabela_registros[VALOR],tabela_registros[MÊS],$AE$1,tabela_registros[DIA],agototal3059718395107119[[#Headers],[23]],tabela_registros[REGISTRO],DADOS!$N$4,tabela_registros[TIPO],DADOS!$P$3,tabela_registros[CATEGORIA],despesafixaconsolidadoago[[#This Row],[DESPESA FIXA]])</f>
        <v>0</v>
      </c>
      <c r="AB38" s="91">
        <f>SUMIFS(tabela_registros[VALOR],tabela_registros[MÊS],$AE$1,tabela_registros[DIA],agototal3059718395107119[[#Headers],[24]],tabela_registros[REGISTRO],DADOS!$N$4,tabela_registros[TIPO],DADOS!$P$3,tabela_registros[CATEGORIA],despesafixaconsolidadoago[[#This Row],[DESPESA FIXA]])</f>
        <v>0</v>
      </c>
      <c r="AC38" s="91">
        <f>SUMIFS(tabela_registros[VALOR],tabela_registros[MÊS],$AE$1,tabela_registros[DIA],agototal3059718395107119[[#Headers],[25]],tabela_registros[REGISTRO],DADOS!$N$4,tabela_registros[TIPO],DADOS!$P$3,tabela_registros[CATEGORIA],despesafixaconsolidadoago[[#This Row],[DESPESA FIXA]])</f>
        <v>0</v>
      </c>
      <c r="AD38" s="91">
        <f>SUMIFS(tabela_registros[VALOR],tabela_registros[MÊS],$AE$1,tabela_registros[DIA],agototal3059718395107119[[#Headers],[26]],tabela_registros[REGISTRO],DADOS!$N$4,tabela_registros[TIPO],DADOS!$P$3,tabela_registros[CATEGORIA],despesafixaconsolidadoago[[#This Row],[DESPESA FIXA]])</f>
        <v>0</v>
      </c>
      <c r="AE38" s="91">
        <f>SUMIFS(tabela_registros[VALOR],tabela_registros[MÊS],$AE$1,tabela_registros[DIA],agototal3059718395107119[[#Headers],[27]],tabela_registros[REGISTRO],DADOS!$N$4,tabela_registros[TIPO],DADOS!$P$3,tabela_registros[CATEGORIA],despesafixaconsolidadoago[[#This Row],[DESPESA FIXA]])</f>
        <v>0</v>
      </c>
      <c r="AF38" s="91">
        <f>SUMIFS(tabela_registros[VALOR],tabela_registros[MÊS],$AE$1,tabela_registros[DIA],agototal3059718395107119[[#Headers],[28]],tabela_registros[REGISTRO],DADOS!$N$4,tabela_registros[TIPO],DADOS!$P$3,tabela_registros[CATEGORIA],despesafixaconsolidadoago[[#This Row],[DESPESA FIXA]])</f>
        <v>0</v>
      </c>
      <c r="AG38" s="91">
        <f>SUMIFS(tabela_registros[VALOR],tabela_registros[MÊS],$AE$1,tabela_registros[DIA],agototal3059718395107119[[#Headers],[29]],tabela_registros[REGISTRO],DADOS!$N$4,tabela_registros[TIPO],DADOS!$P$3,tabela_registros[CATEGORIA],despesafixaconsolidadoago[[#This Row],[DESPESA FIXA]])</f>
        <v>0</v>
      </c>
      <c r="AH38" s="91">
        <f>SUMIFS(tabela_registros[VALOR],tabela_registros[MÊS],$AE$1,tabela_registros[DIA],agototal3059718395107119[[#Headers],[30]],tabela_registros[REGISTRO],DADOS!$N$4,tabela_registros[TIPO],DADOS!$P$3,tabela_registros[CATEGORIA],despesafixaconsolidadoago[[#This Row],[DESPESA FIXA]])</f>
        <v>0</v>
      </c>
      <c r="AI38" s="101">
        <f>SUMIFS(tabela_registros[VALOR],tabela_registros[MÊS],$AE$1,tabela_registros[DIA],agototal3059718395107119[[#Headers],[31]],tabela_registros[REGISTRO],DADOS!$N$4,tabela_registros[TIPO],DADOS!$P$3,tabela_registros[CATEGORIA],despesafixaconsolidadoago[[#This Row],[DESPESA FIXA]])</f>
        <v>0</v>
      </c>
      <c r="AJ38" s="97">
        <f>SUM(despesafixaconsolidadoago[[#This Row],[1]:[31]])</f>
        <v>0</v>
      </c>
      <c r="AK38" s="28"/>
    </row>
    <row r="39" spans="2:37" ht="18" customHeight="1" thickTop="1" thickBot="1" x14ac:dyDescent="0.3">
      <c r="B39" s="28"/>
      <c r="C39" s="27" t="str">
        <f>DADOS!$R$5</f>
        <v>🔖 ASSINATURAS E SERVIÇOS</v>
      </c>
      <c r="D39" s="26" t="str">
        <f>IF(despesafixaconsolidadoago[[#This Row],[TOTAL]]=0,"",IF(OR(despesafixaconsolidadoago[[#This Row],[TOTAL]]=LARGE($AJ$37:$AJ$50,1),despesafixaconsolidadoago[[#This Row],[TOTAL]]=LARGE($AJ$37:$AJ$50,2),despesafixaconsolidadoago[[#This Row],[TOTAL]]=LARGE($AJ$37:$AJ$50,3),despesafixaconsolidadoago[[#This Row],[TOTAL]]=LARGE($AJ$37:$AJ$50,4),despesafixaconsolidadoago[[#This Row],[TOTAL]]=LARGE($AJ$37:$AJ$50,5)),DADOS!$I$8,""))</f>
        <v/>
      </c>
      <c r="E39" s="96">
        <f>SUMIFS(tabela_registros[VALOR],tabela_registros[MÊS],$AE$1,tabela_registros[DIA],agototal3059718395107119[[#Headers],[1]],tabela_registros[REGISTRO],DADOS!$N$4,tabela_registros[TIPO],DADOS!$P$3,tabela_registros[CATEGORIA],despesafixaconsolidadoago[[#This Row],[DESPESA FIXA]])</f>
        <v>0</v>
      </c>
      <c r="F39" s="91">
        <f>SUMIFS(tabela_registros[VALOR],tabela_registros[MÊS],$AE$1,tabela_registros[DIA],agototal3059718395107119[[#Headers],[2]],tabela_registros[REGISTRO],DADOS!$N$4,tabela_registros[TIPO],DADOS!$P$3,tabela_registros[CATEGORIA],despesafixaconsolidadoago[[#This Row],[DESPESA FIXA]])</f>
        <v>0</v>
      </c>
      <c r="G39" s="91">
        <f>SUMIFS(tabela_registros[VALOR],tabela_registros[MÊS],$AE$1,tabela_registros[DIA],agototal3059718395107119[[#Headers],[3]],tabela_registros[REGISTRO],DADOS!$N$4,tabela_registros[TIPO],DADOS!$P$3,tabela_registros[CATEGORIA],despesafixaconsolidadoago[[#This Row],[DESPESA FIXA]])</f>
        <v>0</v>
      </c>
      <c r="H39" s="91">
        <f>SUMIFS(tabela_registros[VALOR],tabela_registros[MÊS],$AE$1,tabela_registros[DIA],agototal3059718395107119[[#Headers],[4]],tabela_registros[REGISTRO],DADOS!$N$4,tabela_registros[TIPO],DADOS!$P$3,tabela_registros[CATEGORIA],despesafixaconsolidadoago[[#This Row],[DESPESA FIXA]])</f>
        <v>0</v>
      </c>
      <c r="I39" s="91">
        <f>SUMIFS(tabela_registros[VALOR],tabela_registros[MÊS],$AE$1,tabela_registros[DIA],agototal3059718395107119[[#Headers],[5]],tabela_registros[REGISTRO],DADOS!$N$4,tabela_registros[TIPO],DADOS!$P$3,tabela_registros[CATEGORIA],despesafixaconsolidadoago[[#This Row],[DESPESA FIXA]])</f>
        <v>0</v>
      </c>
      <c r="J39" s="91">
        <f>SUMIFS(tabela_registros[VALOR],tabela_registros[MÊS],$AE$1,tabela_registros[DIA],agototal3059718395107119[[#Headers],[6]],tabela_registros[REGISTRO],DADOS!$N$4,tabela_registros[TIPO],DADOS!$P$3,tabela_registros[CATEGORIA],despesafixaconsolidadoago[[#This Row],[DESPESA FIXA]])</f>
        <v>0</v>
      </c>
      <c r="K39" s="91">
        <f>SUMIFS(tabela_registros[VALOR],tabela_registros[MÊS],$AE$1,tabela_registros[DIA],agototal3059718395107119[[#Headers],[7]],tabela_registros[REGISTRO],DADOS!$N$4,tabela_registros[TIPO],DADOS!$P$3,tabela_registros[CATEGORIA],despesafixaconsolidadoago[[#This Row],[DESPESA FIXA]])</f>
        <v>0</v>
      </c>
      <c r="L39" s="91">
        <f>SUMIFS(tabela_registros[VALOR],tabela_registros[MÊS],$AE$1,tabela_registros[DIA],agototal3059718395107119[[#Headers],[8]],tabela_registros[REGISTRO],DADOS!$N$4,tabela_registros[TIPO],DADOS!$P$3,tabela_registros[CATEGORIA],despesafixaconsolidadoago[[#This Row],[DESPESA FIXA]])</f>
        <v>0</v>
      </c>
      <c r="M39" s="91">
        <f>SUMIFS(tabela_registros[VALOR],tabela_registros[MÊS],$AE$1,tabela_registros[DIA],agototal3059718395107119[[#Headers],[9]],tabela_registros[REGISTRO],DADOS!$N$4,tabela_registros[TIPO],DADOS!$P$3,tabela_registros[CATEGORIA],despesafixaconsolidadoago[[#This Row],[DESPESA FIXA]])</f>
        <v>0</v>
      </c>
      <c r="N39" s="91">
        <f>SUMIFS(tabela_registros[VALOR],tabela_registros[MÊS],$AE$1,tabela_registros[DIA],agototal3059718395107119[[#Headers],[10]],tabela_registros[REGISTRO],DADOS!$N$4,tabela_registros[TIPO],DADOS!$P$3,tabela_registros[CATEGORIA],despesafixaconsolidadoago[[#This Row],[DESPESA FIXA]])</f>
        <v>0</v>
      </c>
      <c r="O39" s="91">
        <f>SUMIFS(tabela_registros[VALOR],tabela_registros[MÊS],$AE$1,tabela_registros[DIA],agototal3059718395107119[[#Headers],[11]],tabela_registros[REGISTRO],DADOS!$N$4,tabela_registros[TIPO],DADOS!$P$3,tabela_registros[CATEGORIA],despesafixaconsolidadoago[[#This Row],[DESPESA FIXA]])</f>
        <v>0</v>
      </c>
      <c r="P39" s="91">
        <f>SUMIFS(tabela_registros[VALOR],tabela_registros[MÊS],$AE$1,tabela_registros[DIA],agototal3059718395107119[[#Headers],[12]],tabela_registros[REGISTRO],DADOS!$N$4,tabela_registros[TIPO],DADOS!$P$3,tabela_registros[CATEGORIA],despesafixaconsolidadoago[[#This Row],[DESPESA FIXA]])</f>
        <v>0</v>
      </c>
      <c r="Q39" s="91">
        <f>SUMIFS(tabela_registros[VALOR],tabela_registros[MÊS],$AE$1,tabela_registros[DIA],agototal3059718395107119[[#Headers],[13]],tabela_registros[REGISTRO],DADOS!$N$4,tabela_registros[TIPO],DADOS!$P$3,tabela_registros[CATEGORIA],despesafixaconsolidadoago[[#This Row],[DESPESA FIXA]])</f>
        <v>0</v>
      </c>
      <c r="R39" s="91">
        <f>SUMIFS(tabela_registros[VALOR],tabela_registros[MÊS],$AE$1,tabela_registros[DIA],agototal3059718395107119[[#Headers],[14]],tabela_registros[REGISTRO],DADOS!$N$4,tabela_registros[TIPO],DADOS!$P$3,tabela_registros[CATEGORIA],despesafixaconsolidadoago[[#This Row],[DESPESA FIXA]])</f>
        <v>0</v>
      </c>
      <c r="S39" s="91">
        <f>SUMIFS(tabela_registros[VALOR],tabela_registros[MÊS],$AE$1,tabela_registros[DIA],agototal3059718395107119[[#Headers],[15]],tabela_registros[REGISTRO],DADOS!$N$4,tabela_registros[TIPO],DADOS!$P$3,tabela_registros[CATEGORIA],despesafixaconsolidadoago[[#This Row],[DESPESA FIXA]])</f>
        <v>0</v>
      </c>
      <c r="T39" s="91">
        <f>SUMIFS(tabela_registros[VALOR],tabela_registros[MÊS],$AE$1,tabela_registros[DIA],agototal3059718395107119[[#Headers],[16]],tabela_registros[REGISTRO],DADOS!$N$4,tabela_registros[TIPO],DADOS!$P$3,tabela_registros[CATEGORIA],despesafixaconsolidadoago[[#This Row],[DESPESA FIXA]])</f>
        <v>0</v>
      </c>
      <c r="U39" s="91">
        <f>SUMIFS(tabela_registros[VALOR],tabela_registros[MÊS],$AE$1,tabela_registros[DIA],agototal3059718395107119[[#Headers],[17]],tabela_registros[REGISTRO],DADOS!$N$4,tabela_registros[TIPO],DADOS!$P$3,tabela_registros[CATEGORIA],despesafixaconsolidadoago[[#This Row],[DESPESA FIXA]])</f>
        <v>0</v>
      </c>
      <c r="V39" s="91">
        <f>SUMIFS(tabela_registros[VALOR],tabela_registros[MÊS],$AE$1,tabela_registros[DIA],agototal3059718395107119[[#Headers],[18]],tabela_registros[REGISTRO],DADOS!$N$4,tabela_registros[TIPO],DADOS!$P$3,tabela_registros[CATEGORIA],despesafixaconsolidadoago[[#This Row],[DESPESA FIXA]])</f>
        <v>0</v>
      </c>
      <c r="W39" s="91">
        <f>SUMIFS(tabela_registros[VALOR],tabela_registros[MÊS],$AE$1,tabela_registros[DIA],agototal3059718395107119[[#Headers],[19]],tabela_registros[REGISTRO],DADOS!$N$4,tabela_registros[TIPO],DADOS!$P$3,tabela_registros[CATEGORIA],despesafixaconsolidadoago[[#This Row],[DESPESA FIXA]])</f>
        <v>0</v>
      </c>
      <c r="X39" s="91">
        <f>SUMIFS(tabela_registros[VALOR],tabela_registros[MÊS],$AE$1,tabela_registros[DIA],agototal3059718395107119[[#Headers],[20]],tabela_registros[REGISTRO],DADOS!$N$4,tabela_registros[TIPO],DADOS!$P$3,tabela_registros[CATEGORIA],despesafixaconsolidadoago[[#This Row],[DESPESA FIXA]])</f>
        <v>0</v>
      </c>
      <c r="Y39" s="91">
        <f>SUMIFS(tabela_registros[VALOR],tabela_registros[MÊS],$AE$1,tabela_registros[DIA],agototal3059718395107119[[#Headers],[21]],tabela_registros[REGISTRO],DADOS!$N$4,tabela_registros[TIPO],DADOS!$P$3,tabela_registros[CATEGORIA],despesafixaconsolidadoago[[#This Row],[DESPESA FIXA]])</f>
        <v>0</v>
      </c>
      <c r="Z39" s="91">
        <f>SUMIFS(tabela_registros[VALOR],tabela_registros[MÊS],$AE$1,tabela_registros[DIA],agototal3059718395107119[[#Headers],[22]],tabela_registros[REGISTRO],DADOS!$N$4,tabela_registros[TIPO],DADOS!$P$3,tabela_registros[CATEGORIA],despesafixaconsolidadoago[[#This Row],[DESPESA FIXA]])</f>
        <v>0</v>
      </c>
      <c r="AA39" s="91">
        <f>SUMIFS(tabela_registros[VALOR],tabela_registros[MÊS],$AE$1,tabela_registros[DIA],agototal3059718395107119[[#Headers],[23]],tabela_registros[REGISTRO],DADOS!$N$4,tabela_registros[TIPO],DADOS!$P$3,tabela_registros[CATEGORIA],despesafixaconsolidadoago[[#This Row],[DESPESA FIXA]])</f>
        <v>0</v>
      </c>
      <c r="AB39" s="91">
        <f>SUMIFS(tabela_registros[VALOR],tabela_registros[MÊS],$AE$1,tabela_registros[DIA],agototal3059718395107119[[#Headers],[24]],tabela_registros[REGISTRO],DADOS!$N$4,tabela_registros[TIPO],DADOS!$P$3,tabela_registros[CATEGORIA],despesafixaconsolidadoago[[#This Row],[DESPESA FIXA]])</f>
        <v>0</v>
      </c>
      <c r="AC39" s="91">
        <f>SUMIFS(tabela_registros[VALOR],tabela_registros[MÊS],$AE$1,tabela_registros[DIA],agototal3059718395107119[[#Headers],[25]],tabela_registros[REGISTRO],DADOS!$N$4,tabela_registros[TIPO],DADOS!$P$3,tabela_registros[CATEGORIA],despesafixaconsolidadoago[[#This Row],[DESPESA FIXA]])</f>
        <v>0</v>
      </c>
      <c r="AD39" s="91">
        <f>SUMIFS(tabela_registros[VALOR],tabela_registros[MÊS],$AE$1,tabela_registros[DIA],agototal3059718395107119[[#Headers],[26]],tabela_registros[REGISTRO],DADOS!$N$4,tabela_registros[TIPO],DADOS!$P$3,tabela_registros[CATEGORIA],despesafixaconsolidadoago[[#This Row],[DESPESA FIXA]])</f>
        <v>0</v>
      </c>
      <c r="AE39" s="91">
        <f>SUMIFS(tabela_registros[VALOR],tabela_registros[MÊS],$AE$1,tabela_registros[DIA],agototal3059718395107119[[#Headers],[27]],tabela_registros[REGISTRO],DADOS!$N$4,tabela_registros[TIPO],DADOS!$P$3,tabela_registros[CATEGORIA],despesafixaconsolidadoago[[#This Row],[DESPESA FIXA]])</f>
        <v>0</v>
      </c>
      <c r="AF39" s="91">
        <f>SUMIFS(tabela_registros[VALOR],tabela_registros[MÊS],$AE$1,tabela_registros[DIA],agototal3059718395107119[[#Headers],[28]],tabela_registros[REGISTRO],DADOS!$N$4,tabela_registros[TIPO],DADOS!$P$3,tabela_registros[CATEGORIA],despesafixaconsolidadoago[[#This Row],[DESPESA FIXA]])</f>
        <v>0</v>
      </c>
      <c r="AG39" s="91">
        <f>SUMIFS(tabela_registros[VALOR],tabela_registros[MÊS],$AE$1,tabela_registros[DIA],agototal3059718395107119[[#Headers],[29]],tabela_registros[REGISTRO],DADOS!$N$4,tabela_registros[TIPO],DADOS!$P$3,tabela_registros[CATEGORIA],despesafixaconsolidadoago[[#This Row],[DESPESA FIXA]])</f>
        <v>0</v>
      </c>
      <c r="AH39" s="91">
        <f>SUMIFS(tabela_registros[VALOR],tabela_registros[MÊS],$AE$1,tabela_registros[DIA],agototal3059718395107119[[#Headers],[30]],tabela_registros[REGISTRO],DADOS!$N$4,tabela_registros[TIPO],DADOS!$P$3,tabela_registros[CATEGORIA],despesafixaconsolidadoago[[#This Row],[DESPESA FIXA]])</f>
        <v>0</v>
      </c>
      <c r="AI39" s="101">
        <f>SUMIFS(tabela_registros[VALOR],tabela_registros[MÊS],$AE$1,tabela_registros[DIA],agototal3059718395107119[[#Headers],[31]],tabela_registros[REGISTRO],DADOS!$N$4,tabela_registros[TIPO],DADOS!$P$3,tabela_registros[CATEGORIA],despesafixaconsolidadoago[[#This Row],[DESPESA FIXA]])</f>
        <v>0</v>
      </c>
      <c r="AJ39" s="97">
        <f>SUM(despesafixaconsolidadoago[[#This Row],[1]:[31]])</f>
        <v>0</v>
      </c>
      <c r="AK39" s="28"/>
    </row>
    <row r="40" spans="2:37" ht="18" customHeight="1" thickTop="1" thickBot="1" x14ac:dyDescent="0.3">
      <c r="B40" s="28"/>
      <c r="C40" s="27" t="str">
        <f>DADOS!$R$6</f>
        <v>📱 CELULAR</v>
      </c>
      <c r="D40" s="26" t="str">
        <f>IF(despesafixaconsolidadoago[[#This Row],[TOTAL]]=0,"",IF(OR(despesafixaconsolidadoago[[#This Row],[TOTAL]]=LARGE($AJ$37:$AJ$50,1),despesafixaconsolidadoago[[#This Row],[TOTAL]]=LARGE($AJ$37:$AJ$50,2),despesafixaconsolidadoago[[#This Row],[TOTAL]]=LARGE($AJ$37:$AJ$50,3),despesafixaconsolidadoago[[#This Row],[TOTAL]]=LARGE($AJ$37:$AJ$50,4),despesafixaconsolidadoago[[#This Row],[TOTAL]]=LARGE($AJ$37:$AJ$50,5)),DADOS!$I$8,""))</f>
        <v/>
      </c>
      <c r="E40" s="96">
        <f>SUMIFS(tabela_registros[VALOR],tabela_registros[MÊS],$AE$1,tabela_registros[DIA],agototal3059718395107119[[#Headers],[1]],tabela_registros[REGISTRO],DADOS!$N$4,tabela_registros[TIPO],DADOS!$P$3,tabela_registros[CATEGORIA],despesafixaconsolidadoago[[#This Row],[DESPESA FIXA]])</f>
        <v>0</v>
      </c>
      <c r="F40" s="91">
        <f>SUMIFS(tabela_registros[VALOR],tabela_registros[MÊS],$AE$1,tabela_registros[DIA],agototal3059718395107119[[#Headers],[2]],tabela_registros[REGISTRO],DADOS!$N$4,tabela_registros[TIPO],DADOS!$P$3,tabela_registros[CATEGORIA],despesafixaconsolidadoago[[#This Row],[DESPESA FIXA]])</f>
        <v>0</v>
      </c>
      <c r="G40" s="91">
        <f>SUMIFS(tabela_registros[VALOR],tabela_registros[MÊS],$AE$1,tabela_registros[DIA],agototal3059718395107119[[#Headers],[3]],tabela_registros[REGISTRO],DADOS!$N$4,tabela_registros[TIPO],DADOS!$P$3,tabela_registros[CATEGORIA],despesafixaconsolidadoago[[#This Row],[DESPESA FIXA]])</f>
        <v>0</v>
      </c>
      <c r="H40" s="91">
        <f>SUMIFS(tabela_registros[VALOR],tabela_registros[MÊS],$AE$1,tabela_registros[DIA],agototal3059718395107119[[#Headers],[4]],tabela_registros[REGISTRO],DADOS!$N$4,tabela_registros[TIPO],DADOS!$P$3,tabela_registros[CATEGORIA],despesafixaconsolidadoago[[#This Row],[DESPESA FIXA]])</f>
        <v>0</v>
      </c>
      <c r="I40" s="91">
        <f>SUMIFS(tabela_registros[VALOR],tabela_registros[MÊS],$AE$1,tabela_registros[DIA],agototal3059718395107119[[#Headers],[5]],tabela_registros[REGISTRO],DADOS!$N$4,tabela_registros[TIPO],DADOS!$P$3,tabela_registros[CATEGORIA],despesafixaconsolidadoago[[#This Row],[DESPESA FIXA]])</f>
        <v>0</v>
      </c>
      <c r="J40" s="91">
        <f>SUMIFS(tabela_registros[VALOR],tabela_registros[MÊS],$AE$1,tabela_registros[DIA],agototal3059718395107119[[#Headers],[6]],tabela_registros[REGISTRO],DADOS!$N$4,tabela_registros[TIPO],DADOS!$P$3,tabela_registros[CATEGORIA],despesafixaconsolidadoago[[#This Row],[DESPESA FIXA]])</f>
        <v>0</v>
      </c>
      <c r="K40" s="91">
        <f>SUMIFS(tabela_registros[VALOR],tabela_registros[MÊS],$AE$1,tabela_registros[DIA],agototal3059718395107119[[#Headers],[7]],tabela_registros[REGISTRO],DADOS!$N$4,tabela_registros[TIPO],DADOS!$P$3,tabela_registros[CATEGORIA],despesafixaconsolidadoago[[#This Row],[DESPESA FIXA]])</f>
        <v>0</v>
      </c>
      <c r="L40" s="91">
        <f>SUMIFS(tabela_registros[VALOR],tabela_registros[MÊS],$AE$1,tabela_registros[DIA],agototal3059718395107119[[#Headers],[8]],tabela_registros[REGISTRO],DADOS!$N$4,tabela_registros[TIPO],DADOS!$P$3,tabela_registros[CATEGORIA],despesafixaconsolidadoago[[#This Row],[DESPESA FIXA]])</f>
        <v>0</v>
      </c>
      <c r="M40" s="91">
        <f>SUMIFS(tabela_registros[VALOR],tabela_registros[MÊS],$AE$1,tabela_registros[DIA],agototal3059718395107119[[#Headers],[9]],tabela_registros[REGISTRO],DADOS!$N$4,tabela_registros[TIPO],DADOS!$P$3,tabela_registros[CATEGORIA],despesafixaconsolidadoago[[#This Row],[DESPESA FIXA]])</f>
        <v>0</v>
      </c>
      <c r="N40" s="91">
        <f>SUMIFS(tabela_registros[VALOR],tabela_registros[MÊS],$AE$1,tabela_registros[DIA],agototal3059718395107119[[#Headers],[10]],tabela_registros[REGISTRO],DADOS!$N$4,tabela_registros[TIPO],DADOS!$P$3,tabela_registros[CATEGORIA],despesafixaconsolidadoago[[#This Row],[DESPESA FIXA]])</f>
        <v>0</v>
      </c>
      <c r="O40" s="91">
        <f>SUMIFS(tabela_registros[VALOR],tabela_registros[MÊS],$AE$1,tabela_registros[DIA],agototal3059718395107119[[#Headers],[11]],tabela_registros[REGISTRO],DADOS!$N$4,tabela_registros[TIPO],DADOS!$P$3,tabela_registros[CATEGORIA],despesafixaconsolidadoago[[#This Row],[DESPESA FIXA]])</f>
        <v>0</v>
      </c>
      <c r="P40" s="91">
        <f>SUMIFS(tabela_registros[VALOR],tabela_registros[MÊS],$AE$1,tabela_registros[DIA],agototal3059718395107119[[#Headers],[12]],tabela_registros[REGISTRO],DADOS!$N$4,tabela_registros[TIPO],DADOS!$P$3,tabela_registros[CATEGORIA],despesafixaconsolidadoago[[#This Row],[DESPESA FIXA]])</f>
        <v>0</v>
      </c>
      <c r="Q40" s="91">
        <f>SUMIFS(tabela_registros[VALOR],tabela_registros[MÊS],$AE$1,tabela_registros[DIA],agototal3059718395107119[[#Headers],[13]],tabela_registros[REGISTRO],DADOS!$N$4,tabela_registros[TIPO],DADOS!$P$3,tabela_registros[CATEGORIA],despesafixaconsolidadoago[[#This Row],[DESPESA FIXA]])</f>
        <v>0</v>
      </c>
      <c r="R40" s="91">
        <f>SUMIFS(tabela_registros[VALOR],tabela_registros[MÊS],$AE$1,tabela_registros[DIA],agototal3059718395107119[[#Headers],[14]],tabela_registros[REGISTRO],DADOS!$N$4,tabela_registros[TIPO],DADOS!$P$3,tabela_registros[CATEGORIA],despesafixaconsolidadoago[[#This Row],[DESPESA FIXA]])</f>
        <v>0</v>
      </c>
      <c r="S40" s="91">
        <f>SUMIFS(tabela_registros[VALOR],tabela_registros[MÊS],$AE$1,tabela_registros[DIA],agototal3059718395107119[[#Headers],[15]],tabela_registros[REGISTRO],DADOS!$N$4,tabela_registros[TIPO],DADOS!$P$3,tabela_registros[CATEGORIA],despesafixaconsolidadoago[[#This Row],[DESPESA FIXA]])</f>
        <v>0</v>
      </c>
      <c r="T40" s="91">
        <f>SUMIFS(tabela_registros[VALOR],tabela_registros[MÊS],$AE$1,tabela_registros[DIA],agototal3059718395107119[[#Headers],[16]],tabela_registros[REGISTRO],DADOS!$N$4,tabela_registros[TIPO],DADOS!$P$3,tabela_registros[CATEGORIA],despesafixaconsolidadoago[[#This Row],[DESPESA FIXA]])</f>
        <v>0</v>
      </c>
      <c r="U40" s="91">
        <f>SUMIFS(tabela_registros[VALOR],tabela_registros[MÊS],$AE$1,tabela_registros[DIA],agototal3059718395107119[[#Headers],[17]],tabela_registros[REGISTRO],DADOS!$N$4,tabela_registros[TIPO],DADOS!$P$3,tabela_registros[CATEGORIA],despesafixaconsolidadoago[[#This Row],[DESPESA FIXA]])</f>
        <v>0</v>
      </c>
      <c r="V40" s="91">
        <f>SUMIFS(tabela_registros[VALOR],tabela_registros[MÊS],$AE$1,tabela_registros[DIA],agototal3059718395107119[[#Headers],[18]],tabela_registros[REGISTRO],DADOS!$N$4,tabela_registros[TIPO],DADOS!$P$3,tabela_registros[CATEGORIA],despesafixaconsolidadoago[[#This Row],[DESPESA FIXA]])</f>
        <v>0</v>
      </c>
      <c r="W40" s="91">
        <f>SUMIFS(tabela_registros[VALOR],tabela_registros[MÊS],$AE$1,tabela_registros[DIA],agototal3059718395107119[[#Headers],[19]],tabela_registros[REGISTRO],DADOS!$N$4,tabela_registros[TIPO],DADOS!$P$3,tabela_registros[CATEGORIA],despesafixaconsolidadoago[[#This Row],[DESPESA FIXA]])</f>
        <v>0</v>
      </c>
      <c r="X40" s="91">
        <f>SUMIFS(tabela_registros[VALOR],tabela_registros[MÊS],$AE$1,tabela_registros[DIA],agototal3059718395107119[[#Headers],[20]],tabela_registros[REGISTRO],DADOS!$N$4,tabela_registros[TIPO],DADOS!$P$3,tabela_registros[CATEGORIA],despesafixaconsolidadoago[[#This Row],[DESPESA FIXA]])</f>
        <v>0</v>
      </c>
      <c r="Y40" s="91">
        <f>SUMIFS(tabela_registros[VALOR],tabela_registros[MÊS],$AE$1,tabela_registros[DIA],agototal3059718395107119[[#Headers],[21]],tabela_registros[REGISTRO],DADOS!$N$4,tabela_registros[TIPO],DADOS!$P$3,tabela_registros[CATEGORIA],despesafixaconsolidadoago[[#This Row],[DESPESA FIXA]])</f>
        <v>0</v>
      </c>
      <c r="Z40" s="91">
        <f>SUMIFS(tabela_registros[VALOR],tabela_registros[MÊS],$AE$1,tabela_registros[DIA],agototal3059718395107119[[#Headers],[22]],tabela_registros[REGISTRO],DADOS!$N$4,tabela_registros[TIPO],DADOS!$P$3,tabela_registros[CATEGORIA],despesafixaconsolidadoago[[#This Row],[DESPESA FIXA]])</f>
        <v>0</v>
      </c>
      <c r="AA40" s="91">
        <f>SUMIFS(tabela_registros[VALOR],tabela_registros[MÊS],$AE$1,tabela_registros[DIA],agototal3059718395107119[[#Headers],[23]],tabela_registros[REGISTRO],DADOS!$N$4,tabela_registros[TIPO],DADOS!$P$3,tabela_registros[CATEGORIA],despesafixaconsolidadoago[[#This Row],[DESPESA FIXA]])</f>
        <v>0</v>
      </c>
      <c r="AB40" s="91">
        <f>SUMIFS(tabela_registros[VALOR],tabela_registros[MÊS],$AE$1,tabela_registros[DIA],agototal3059718395107119[[#Headers],[24]],tabela_registros[REGISTRO],DADOS!$N$4,tabela_registros[TIPO],DADOS!$P$3,tabela_registros[CATEGORIA],despesafixaconsolidadoago[[#This Row],[DESPESA FIXA]])</f>
        <v>0</v>
      </c>
      <c r="AC40" s="91">
        <f>SUMIFS(tabela_registros[VALOR],tabela_registros[MÊS],$AE$1,tabela_registros[DIA],agototal3059718395107119[[#Headers],[25]],tabela_registros[REGISTRO],DADOS!$N$4,tabela_registros[TIPO],DADOS!$P$3,tabela_registros[CATEGORIA],despesafixaconsolidadoago[[#This Row],[DESPESA FIXA]])</f>
        <v>0</v>
      </c>
      <c r="AD40" s="91">
        <f>SUMIFS(tabela_registros[VALOR],tabela_registros[MÊS],$AE$1,tabela_registros[DIA],agototal3059718395107119[[#Headers],[26]],tabela_registros[REGISTRO],DADOS!$N$4,tabela_registros[TIPO],DADOS!$P$3,tabela_registros[CATEGORIA],despesafixaconsolidadoago[[#This Row],[DESPESA FIXA]])</f>
        <v>0</v>
      </c>
      <c r="AE40" s="91">
        <f>SUMIFS(tabela_registros[VALOR],tabela_registros[MÊS],$AE$1,tabela_registros[DIA],agototal3059718395107119[[#Headers],[27]],tabela_registros[REGISTRO],DADOS!$N$4,tabela_registros[TIPO],DADOS!$P$3,tabela_registros[CATEGORIA],despesafixaconsolidadoago[[#This Row],[DESPESA FIXA]])</f>
        <v>0</v>
      </c>
      <c r="AF40" s="91">
        <f>SUMIFS(tabela_registros[VALOR],tabela_registros[MÊS],$AE$1,tabela_registros[DIA],agototal3059718395107119[[#Headers],[28]],tabela_registros[REGISTRO],DADOS!$N$4,tabela_registros[TIPO],DADOS!$P$3,tabela_registros[CATEGORIA],despesafixaconsolidadoago[[#This Row],[DESPESA FIXA]])</f>
        <v>0</v>
      </c>
      <c r="AG40" s="91">
        <f>SUMIFS(tabela_registros[VALOR],tabela_registros[MÊS],$AE$1,tabela_registros[DIA],agototal3059718395107119[[#Headers],[29]],tabela_registros[REGISTRO],DADOS!$N$4,tabela_registros[TIPO],DADOS!$P$3,tabela_registros[CATEGORIA],despesafixaconsolidadoago[[#This Row],[DESPESA FIXA]])</f>
        <v>0</v>
      </c>
      <c r="AH40" s="91">
        <f>SUMIFS(tabela_registros[VALOR],tabela_registros[MÊS],$AE$1,tabela_registros[DIA],agototal3059718395107119[[#Headers],[30]],tabela_registros[REGISTRO],DADOS!$N$4,tabela_registros[TIPO],DADOS!$P$3,tabela_registros[CATEGORIA],despesafixaconsolidadoago[[#This Row],[DESPESA FIXA]])</f>
        <v>0</v>
      </c>
      <c r="AI40" s="101">
        <f>SUMIFS(tabela_registros[VALOR],tabela_registros[MÊS],$AE$1,tabela_registros[DIA],agototal3059718395107119[[#Headers],[31]],tabela_registros[REGISTRO],DADOS!$N$4,tabela_registros[TIPO],DADOS!$P$3,tabela_registros[CATEGORIA],despesafixaconsolidadoago[[#This Row],[DESPESA FIXA]])</f>
        <v>0</v>
      </c>
      <c r="AJ40" s="97">
        <f>SUM(despesafixaconsolidadoago[[#This Row],[1]:[31]])</f>
        <v>0</v>
      </c>
      <c r="AK40" s="28"/>
    </row>
    <row r="41" spans="2:37" ht="18" customHeight="1" thickTop="1" thickBot="1" x14ac:dyDescent="0.3">
      <c r="B41" s="28"/>
      <c r="C41" s="27" t="str">
        <f>DADOS!$R$7</f>
        <v>📖 EDUCAÇÃO</v>
      </c>
      <c r="D41" s="26" t="str">
        <f>IF(despesafixaconsolidadoago[[#This Row],[TOTAL]]=0,"",IF(OR(despesafixaconsolidadoago[[#This Row],[TOTAL]]=LARGE($AJ$37:$AJ$50,1),despesafixaconsolidadoago[[#This Row],[TOTAL]]=LARGE($AJ$37:$AJ$50,2),despesafixaconsolidadoago[[#This Row],[TOTAL]]=LARGE($AJ$37:$AJ$50,3),despesafixaconsolidadoago[[#This Row],[TOTAL]]=LARGE($AJ$37:$AJ$50,4),despesafixaconsolidadoago[[#This Row],[TOTAL]]=LARGE($AJ$37:$AJ$50,5)),DADOS!$I$8,""))</f>
        <v/>
      </c>
      <c r="E41" s="96">
        <f>SUMIFS(tabela_registros[VALOR],tabela_registros[MÊS],$AE$1,tabela_registros[DIA],agototal3059718395107119[[#Headers],[1]],tabela_registros[REGISTRO],DADOS!$N$4,tabela_registros[TIPO],DADOS!$P$3,tabela_registros[CATEGORIA],despesafixaconsolidadoago[[#This Row],[DESPESA FIXA]])</f>
        <v>0</v>
      </c>
      <c r="F41" s="91">
        <f>SUMIFS(tabela_registros[VALOR],tabela_registros[MÊS],$AE$1,tabela_registros[DIA],agototal3059718395107119[[#Headers],[2]],tabela_registros[REGISTRO],DADOS!$N$4,tabela_registros[TIPO],DADOS!$P$3,tabela_registros[CATEGORIA],despesafixaconsolidadoago[[#This Row],[DESPESA FIXA]])</f>
        <v>0</v>
      </c>
      <c r="G41" s="91">
        <f>SUMIFS(tabela_registros[VALOR],tabela_registros[MÊS],$AE$1,tabela_registros[DIA],agototal3059718395107119[[#Headers],[3]],tabela_registros[REGISTRO],DADOS!$N$4,tabela_registros[TIPO],DADOS!$P$3,tabela_registros[CATEGORIA],despesafixaconsolidadoago[[#This Row],[DESPESA FIXA]])</f>
        <v>0</v>
      </c>
      <c r="H41" s="91">
        <f>SUMIFS(tabela_registros[VALOR],tabela_registros[MÊS],$AE$1,tabela_registros[DIA],agototal3059718395107119[[#Headers],[4]],tabela_registros[REGISTRO],DADOS!$N$4,tabela_registros[TIPO],DADOS!$P$3,tabela_registros[CATEGORIA],despesafixaconsolidadoago[[#This Row],[DESPESA FIXA]])</f>
        <v>0</v>
      </c>
      <c r="I41" s="91">
        <f>SUMIFS(tabela_registros[VALOR],tabela_registros[MÊS],$AE$1,tabela_registros[DIA],agototal3059718395107119[[#Headers],[5]],tabela_registros[REGISTRO],DADOS!$N$4,tabela_registros[TIPO],DADOS!$P$3,tabela_registros[CATEGORIA],despesafixaconsolidadoago[[#This Row],[DESPESA FIXA]])</f>
        <v>0</v>
      </c>
      <c r="J41" s="91">
        <f>SUMIFS(tabela_registros[VALOR],tabela_registros[MÊS],$AE$1,tabela_registros[DIA],agototal3059718395107119[[#Headers],[6]],tabela_registros[REGISTRO],DADOS!$N$4,tabela_registros[TIPO],DADOS!$P$3,tabela_registros[CATEGORIA],despesafixaconsolidadoago[[#This Row],[DESPESA FIXA]])</f>
        <v>0</v>
      </c>
      <c r="K41" s="91">
        <f>SUMIFS(tabela_registros[VALOR],tabela_registros[MÊS],$AE$1,tabela_registros[DIA],agototal3059718395107119[[#Headers],[7]],tabela_registros[REGISTRO],DADOS!$N$4,tabela_registros[TIPO],DADOS!$P$3,tabela_registros[CATEGORIA],despesafixaconsolidadoago[[#This Row],[DESPESA FIXA]])</f>
        <v>0</v>
      </c>
      <c r="L41" s="91">
        <f>SUMIFS(tabela_registros[VALOR],tabela_registros[MÊS],$AE$1,tabela_registros[DIA],agototal3059718395107119[[#Headers],[8]],tabela_registros[REGISTRO],DADOS!$N$4,tabela_registros[TIPO],DADOS!$P$3,tabela_registros[CATEGORIA],despesafixaconsolidadoago[[#This Row],[DESPESA FIXA]])</f>
        <v>0</v>
      </c>
      <c r="M41" s="91">
        <f>SUMIFS(tabela_registros[VALOR],tabela_registros[MÊS],$AE$1,tabela_registros[DIA],agototal3059718395107119[[#Headers],[9]],tabela_registros[REGISTRO],DADOS!$N$4,tabela_registros[TIPO],DADOS!$P$3,tabela_registros[CATEGORIA],despesafixaconsolidadoago[[#This Row],[DESPESA FIXA]])</f>
        <v>0</v>
      </c>
      <c r="N41" s="91">
        <f>SUMIFS(tabela_registros[VALOR],tabela_registros[MÊS],$AE$1,tabela_registros[DIA],agototal3059718395107119[[#Headers],[10]],tabela_registros[REGISTRO],DADOS!$N$4,tabela_registros[TIPO],DADOS!$P$3,tabela_registros[CATEGORIA],despesafixaconsolidadoago[[#This Row],[DESPESA FIXA]])</f>
        <v>0</v>
      </c>
      <c r="O41" s="91">
        <f>SUMIFS(tabela_registros[VALOR],tabela_registros[MÊS],$AE$1,tabela_registros[DIA],agototal3059718395107119[[#Headers],[11]],tabela_registros[REGISTRO],DADOS!$N$4,tabela_registros[TIPO],DADOS!$P$3,tabela_registros[CATEGORIA],despesafixaconsolidadoago[[#This Row],[DESPESA FIXA]])</f>
        <v>0</v>
      </c>
      <c r="P41" s="91">
        <f>SUMIFS(tabela_registros[VALOR],tabela_registros[MÊS],$AE$1,tabela_registros[DIA],agototal3059718395107119[[#Headers],[12]],tabela_registros[REGISTRO],DADOS!$N$4,tabela_registros[TIPO],DADOS!$P$3,tabela_registros[CATEGORIA],despesafixaconsolidadoago[[#This Row],[DESPESA FIXA]])</f>
        <v>0</v>
      </c>
      <c r="Q41" s="91">
        <f>SUMIFS(tabela_registros[VALOR],tabela_registros[MÊS],$AE$1,tabela_registros[DIA],agototal3059718395107119[[#Headers],[13]],tabela_registros[REGISTRO],DADOS!$N$4,tabela_registros[TIPO],DADOS!$P$3,tabela_registros[CATEGORIA],despesafixaconsolidadoago[[#This Row],[DESPESA FIXA]])</f>
        <v>0</v>
      </c>
      <c r="R41" s="91">
        <f>SUMIFS(tabela_registros[VALOR],tabela_registros[MÊS],$AE$1,tabela_registros[DIA],agototal3059718395107119[[#Headers],[14]],tabela_registros[REGISTRO],DADOS!$N$4,tabela_registros[TIPO],DADOS!$P$3,tabela_registros[CATEGORIA],despesafixaconsolidadoago[[#This Row],[DESPESA FIXA]])</f>
        <v>0</v>
      </c>
      <c r="S41" s="91">
        <f>SUMIFS(tabela_registros[VALOR],tabela_registros[MÊS],$AE$1,tabela_registros[DIA],agototal3059718395107119[[#Headers],[15]],tabela_registros[REGISTRO],DADOS!$N$4,tabela_registros[TIPO],DADOS!$P$3,tabela_registros[CATEGORIA],despesafixaconsolidadoago[[#This Row],[DESPESA FIXA]])</f>
        <v>0</v>
      </c>
      <c r="T41" s="91">
        <f>SUMIFS(tabela_registros[VALOR],tabela_registros[MÊS],$AE$1,tabela_registros[DIA],agototal3059718395107119[[#Headers],[16]],tabela_registros[REGISTRO],DADOS!$N$4,tabela_registros[TIPO],DADOS!$P$3,tabela_registros[CATEGORIA],despesafixaconsolidadoago[[#This Row],[DESPESA FIXA]])</f>
        <v>0</v>
      </c>
      <c r="U41" s="91">
        <f>SUMIFS(tabela_registros[VALOR],tabela_registros[MÊS],$AE$1,tabela_registros[DIA],agototal3059718395107119[[#Headers],[17]],tabela_registros[REGISTRO],DADOS!$N$4,tabela_registros[TIPO],DADOS!$P$3,tabela_registros[CATEGORIA],despesafixaconsolidadoago[[#This Row],[DESPESA FIXA]])</f>
        <v>0</v>
      </c>
      <c r="V41" s="91">
        <f>SUMIFS(tabela_registros[VALOR],tabela_registros[MÊS],$AE$1,tabela_registros[DIA],agototal3059718395107119[[#Headers],[18]],tabela_registros[REGISTRO],DADOS!$N$4,tabela_registros[TIPO],DADOS!$P$3,tabela_registros[CATEGORIA],despesafixaconsolidadoago[[#This Row],[DESPESA FIXA]])</f>
        <v>0</v>
      </c>
      <c r="W41" s="91">
        <f>SUMIFS(tabela_registros[VALOR],tabela_registros[MÊS],$AE$1,tabela_registros[DIA],agototal3059718395107119[[#Headers],[19]],tabela_registros[REGISTRO],DADOS!$N$4,tabela_registros[TIPO],DADOS!$P$3,tabela_registros[CATEGORIA],despesafixaconsolidadoago[[#This Row],[DESPESA FIXA]])</f>
        <v>0</v>
      </c>
      <c r="X41" s="91">
        <f>SUMIFS(tabela_registros[VALOR],tabela_registros[MÊS],$AE$1,tabela_registros[DIA],agototal3059718395107119[[#Headers],[20]],tabela_registros[REGISTRO],DADOS!$N$4,tabela_registros[TIPO],DADOS!$P$3,tabela_registros[CATEGORIA],despesafixaconsolidadoago[[#This Row],[DESPESA FIXA]])</f>
        <v>0</v>
      </c>
      <c r="Y41" s="91">
        <f>SUMIFS(tabela_registros[VALOR],tabela_registros[MÊS],$AE$1,tabela_registros[DIA],agototal3059718395107119[[#Headers],[21]],tabela_registros[REGISTRO],DADOS!$N$4,tabela_registros[TIPO],DADOS!$P$3,tabela_registros[CATEGORIA],despesafixaconsolidadoago[[#This Row],[DESPESA FIXA]])</f>
        <v>0</v>
      </c>
      <c r="Z41" s="91">
        <f>SUMIFS(tabela_registros[VALOR],tabela_registros[MÊS],$AE$1,tabela_registros[DIA],agototal3059718395107119[[#Headers],[22]],tabela_registros[REGISTRO],DADOS!$N$4,tabela_registros[TIPO],DADOS!$P$3,tabela_registros[CATEGORIA],despesafixaconsolidadoago[[#This Row],[DESPESA FIXA]])</f>
        <v>0</v>
      </c>
      <c r="AA41" s="91">
        <f>SUMIFS(tabela_registros[VALOR],tabela_registros[MÊS],$AE$1,tabela_registros[DIA],agototal3059718395107119[[#Headers],[23]],tabela_registros[REGISTRO],DADOS!$N$4,tabela_registros[TIPO],DADOS!$P$3,tabela_registros[CATEGORIA],despesafixaconsolidadoago[[#This Row],[DESPESA FIXA]])</f>
        <v>0</v>
      </c>
      <c r="AB41" s="91">
        <f>SUMIFS(tabela_registros[VALOR],tabela_registros[MÊS],$AE$1,tabela_registros[DIA],agototal3059718395107119[[#Headers],[24]],tabela_registros[REGISTRO],DADOS!$N$4,tabela_registros[TIPO],DADOS!$P$3,tabela_registros[CATEGORIA],despesafixaconsolidadoago[[#This Row],[DESPESA FIXA]])</f>
        <v>0</v>
      </c>
      <c r="AC41" s="91">
        <f>SUMIFS(tabela_registros[VALOR],tabela_registros[MÊS],$AE$1,tabela_registros[DIA],agototal3059718395107119[[#Headers],[25]],tabela_registros[REGISTRO],DADOS!$N$4,tabela_registros[TIPO],DADOS!$P$3,tabela_registros[CATEGORIA],despesafixaconsolidadoago[[#This Row],[DESPESA FIXA]])</f>
        <v>0</v>
      </c>
      <c r="AD41" s="91">
        <f>SUMIFS(tabela_registros[VALOR],tabela_registros[MÊS],$AE$1,tabela_registros[DIA],agototal3059718395107119[[#Headers],[26]],tabela_registros[REGISTRO],DADOS!$N$4,tabela_registros[TIPO],DADOS!$P$3,tabela_registros[CATEGORIA],despesafixaconsolidadoago[[#This Row],[DESPESA FIXA]])</f>
        <v>0</v>
      </c>
      <c r="AE41" s="91">
        <f>SUMIFS(tabela_registros[VALOR],tabela_registros[MÊS],$AE$1,tabela_registros[DIA],agototal3059718395107119[[#Headers],[27]],tabela_registros[REGISTRO],DADOS!$N$4,tabela_registros[TIPO],DADOS!$P$3,tabela_registros[CATEGORIA],despesafixaconsolidadoago[[#This Row],[DESPESA FIXA]])</f>
        <v>0</v>
      </c>
      <c r="AF41" s="91">
        <f>SUMIFS(tabela_registros[VALOR],tabela_registros[MÊS],$AE$1,tabela_registros[DIA],agototal3059718395107119[[#Headers],[28]],tabela_registros[REGISTRO],DADOS!$N$4,tabela_registros[TIPO],DADOS!$P$3,tabela_registros[CATEGORIA],despesafixaconsolidadoago[[#This Row],[DESPESA FIXA]])</f>
        <v>0</v>
      </c>
      <c r="AG41" s="91">
        <f>SUMIFS(tabela_registros[VALOR],tabela_registros[MÊS],$AE$1,tabela_registros[DIA],agototal3059718395107119[[#Headers],[29]],tabela_registros[REGISTRO],DADOS!$N$4,tabela_registros[TIPO],DADOS!$P$3,tabela_registros[CATEGORIA],despesafixaconsolidadoago[[#This Row],[DESPESA FIXA]])</f>
        <v>0</v>
      </c>
      <c r="AH41" s="91">
        <f>SUMIFS(tabela_registros[VALOR],tabela_registros[MÊS],$AE$1,tabela_registros[DIA],agototal3059718395107119[[#Headers],[30]],tabela_registros[REGISTRO],DADOS!$N$4,tabela_registros[TIPO],DADOS!$P$3,tabela_registros[CATEGORIA],despesafixaconsolidadoago[[#This Row],[DESPESA FIXA]])</f>
        <v>0</v>
      </c>
      <c r="AI41" s="101">
        <f>SUMIFS(tabela_registros[VALOR],tabela_registros[MÊS],$AE$1,tabela_registros[DIA],agototal3059718395107119[[#Headers],[31]],tabela_registros[REGISTRO],DADOS!$N$4,tabela_registros[TIPO],DADOS!$P$3,tabela_registros[CATEGORIA],despesafixaconsolidadoago[[#This Row],[DESPESA FIXA]])</f>
        <v>0</v>
      </c>
      <c r="AJ41" s="97">
        <f>SUM(despesafixaconsolidadoago[[#This Row],[1]:[31]])</f>
        <v>0</v>
      </c>
      <c r="AK41" s="28"/>
    </row>
    <row r="42" spans="2:37" ht="18" customHeight="1" thickTop="1" thickBot="1" x14ac:dyDescent="0.3">
      <c r="B42" s="28"/>
      <c r="C42" s="27" t="str">
        <f>DADOS!$R$8</f>
        <v>🏦 EMPRÉSTIMO</v>
      </c>
      <c r="D42" s="26" t="str">
        <f>IF(despesafixaconsolidadoago[[#This Row],[TOTAL]]=0,"",IF(OR(despesafixaconsolidadoago[[#This Row],[TOTAL]]=LARGE($AJ$37:$AJ$50,1),despesafixaconsolidadoago[[#This Row],[TOTAL]]=LARGE($AJ$37:$AJ$50,2),despesafixaconsolidadoago[[#This Row],[TOTAL]]=LARGE($AJ$37:$AJ$50,3),despesafixaconsolidadoago[[#This Row],[TOTAL]]=LARGE($AJ$37:$AJ$50,4),despesafixaconsolidadoago[[#This Row],[TOTAL]]=LARGE($AJ$37:$AJ$50,5)),DADOS!$I$8,""))</f>
        <v/>
      </c>
      <c r="E42" s="96">
        <f>SUMIFS(tabela_registros[VALOR],tabela_registros[MÊS],$AE$1,tabela_registros[DIA],agototal3059718395107119[[#Headers],[1]],tabela_registros[REGISTRO],DADOS!$N$4,tabela_registros[TIPO],DADOS!$P$3,tabela_registros[CATEGORIA],despesafixaconsolidadoago[[#This Row],[DESPESA FIXA]])</f>
        <v>0</v>
      </c>
      <c r="F42" s="91">
        <f>SUMIFS(tabela_registros[VALOR],tabela_registros[MÊS],$AE$1,tabela_registros[DIA],agototal3059718395107119[[#Headers],[2]],tabela_registros[REGISTRO],DADOS!$N$4,tabela_registros[TIPO],DADOS!$P$3,tabela_registros[CATEGORIA],despesafixaconsolidadoago[[#This Row],[DESPESA FIXA]])</f>
        <v>0</v>
      </c>
      <c r="G42" s="91">
        <f>SUMIFS(tabela_registros[VALOR],tabela_registros[MÊS],$AE$1,tabela_registros[DIA],agototal3059718395107119[[#Headers],[3]],tabela_registros[REGISTRO],DADOS!$N$4,tabela_registros[TIPO],DADOS!$P$3,tabela_registros[CATEGORIA],despesafixaconsolidadoago[[#This Row],[DESPESA FIXA]])</f>
        <v>0</v>
      </c>
      <c r="H42" s="91">
        <f>SUMIFS(tabela_registros[VALOR],tabela_registros[MÊS],$AE$1,tabela_registros[DIA],agototal3059718395107119[[#Headers],[4]],tabela_registros[REGISTRO],DADOS!$N$4,tabela_registros[TIPO],DADOS!$P$3,tabela_registros[CATEGORIA],despesafixaconsolidadoago[[#This Row],[DESPESA FIXA]])</f>
        <v>0</v>
      </c>
      <c r="I42" s="91">
        <f>SUMIFS(tabela_registros[VALOR],tabela_registros[MÊS],$AE$1,tabela_registros[DIA],agototal3059718395107119[[#Headers],[5]],tabela_registros[REGISTRO],DADOS!$N$4,tabela_registros[TIPO],DADOS!$P$3,tabela_registros[CATEGORIA],despesafixaconsolidadoago[[#This Row],[DESPESA FIXA]])</f>
        <v>0</v>
      </c>
      <c r="J42" s="91">
        <f>SUMIFS(tabela_registros[VALOR],tabela_registros[MÊS],$AE$1,tabela_registros[DIA],agototal3059718395107119[[#Headers],[6]],tabela_registros[REGISTRO],DADOS!$N$4,tabela_registros[TIPO],DADOS!$P$3,tabela_registros[CATEGORIA],despesafixaconsolidadoago[[#This Row],[DESPESA FIXA]])</f>
        <v>0</v>
      </c>
      <c r="K42" s="91">
        <f>SUMIFS(tabela_registros[VALOR],tabela_registros[MÊS],$AE$1,tabela_registros[DIA],agototal3059718395107119[[#Headers],[7]],tabela_registros[REGISTRO],DADOS!$N$4,tabela_registros[TIPO],DADOS!$P$3,tabela_registros[CATEGORIA],despesafixaconsolidadoago[[#This Row],[DESPESA FIXA]])</f>
        <v>0</v>
      </c>
      <c r="L42" s="91">
        <f>SUMIFS(tabela_registros[VALOR],tabela_registros[MÊS],$AE$1,tabela_registros[DIA],agototal3059718395107119[[#Headers],[8]],tabela_registros[REGISTRO],DADOS!$N$4,tabela_registros[TIPO],DADOS!$P$3,tabela_registros[CATEGORIA],despesafixaconsolidadoago[[#This Row],[DESPESA FIXA]])</f>
        <v>0</v>
      </c>
      <c r="M42" s="91">
        <f>SUMIFS(tabela_registros[VALOR],tabela_registros[MÊS],$AE$1,tabela_registros[DIA],agototal3059718395107119[[#Headers],[9]],tabela_registros[REGISTRO],DADOS!$N$4,tabela_registros[TIPO],DADOS!$P$3,tabela_registros[CATEGORIA],despesafixaconsolidadoago[[#This Row],[DESPESA FIXA]])</f>
        <v>0</v>
      </c>
      <c r="N42" s="91">
        <f>SUMIFS(tabela_registros[VALOR],tabela_registros[MÊS],$AE$1,tabela_registros[DIA],agototal3059718395107119[[#Headers],[10]],tabela_registros[REGISTRO],DADOS!$N$4,tabela_registros[TIPO],DADOS!$P$3,tabela_registros[CATEGORIA],despesafixaconsolidadoago[[#This Row],[DESPESA FIXA]])</f>
        <v>0</v>
      </c>
      <c r="O42" s="91">
        <f>SUMIFS(tabela_registros[VALOR],tabela_registros[MÊS],$AE$1,tabela_registros[DIA],agototal3059718395107119[[#Headers],[11]],tabela_registros[REGISTRO],DADOS!$N$4,tabela_registros[TIPO],DADOS!$P$3,tabela_registros[CATEGORIA],despesafixaconsolidadoago[[#This Row],[DESPESA FIXA]])</f>
        <v>0</v>
      </c>
      <c r="P42" s="91">
        <f>SUMIFS(tabela_registros[VALOR],tabela_registros[MÊS],$AE$1,tabela_registros[DIA],agototal3059718395107119[[#Headers],[12]],tabela_registros[REGISTRO],DADOS!$N$4,tabela_registros[TIPO],DADOS!$P$3,tabela_registros[CATEGORIA],despesafixaconsolidadoago[[#This Row],[DESPESA FIXA]])</f>
        <v>0</v>
      </c>
      <c r="Q42" s="91">
        <f>SUMIFS(tabela_registros[VALOR],tabela_registros[MÊS],$AE$1,tabela_registros[DIA],agototal3059718395107119[[#Headers],[13]],tabela_registros[REGISTRO],DADOS!$N$4,tabela_registros[TIPO],DADOS!$P$3,tabela_registros[CATEGORIA],despesafixaconsolidadoago[[#This Row],[DESPESA FIXA]])</f>
        <v>0</v>
      </c>
      <c r="R42" s="91">
        <f>SUMIFS(tabela_registros[VALOR],tabela_registros[MÊS],$AE$1,tabela_registros[DIA],agototal3059718395107119[[#Headers],[14]],tabela_registros[REGISTRO],DADOS!$N$4,tabela_registros[TIPO],DADOS!$P$3,tabela_registros[CATEGORIA],despesafixaconsolidadoago[[#This Row],[DESPESA FIXA]])</f>
        <v>0</v>
      </c>
      <c r="S42" s="91">
        <f>SUMIFS(tabela_registros[VALOR],tabela_registros[MÊS],$AE$1,tabela_registros[DIA],agototal3059718395107119[[#Headers],[15]],tabela_registros[REGISTRO],DADOS!$N$4,tabela_registros[TIPO],DADOS!$P$3,tabela_registros[CATEGORIA],despesafixaconsolidadoago[[#This Row],[DESPESA FIXA]])</f>
        <v>0</v>
      </c>
      <c r="T42" s="91">
        <f>SUMIFS(tabela_registros[VALOR],tabela_registros[MÊS],$AE$1,tabela_registros[DIA],agototal3059718395107119[[#Headers],[16]],tabela_registros[REGISTRO],DADOS!$N$4,tabela_registros[TIPO],DADOS!$P$3,tabela_registros[CATEGORIA],despesafixaconsolidadoago[[#This Row],[DESPESA FIXA]])</f>
        <v>0</v>
      </c>
      <c r="U42" s="91">
        <f>SUMIFS(tabela_registros[VALOR],tabela_registros[MÊS],$AE$1,tabela_registros[DIA],agototal3059718395107119[[#Headers],[17]],tabela_registros[REGISTRO],DADOS!$N$4,tabela_registros[TIPO],DADOS!$P$3,tabela_registros[CATEGORIA],despesafixaconsolidadoago[[#This Row],[DESPESA FIXA]])</f>
        <v>0</v>
      </c>
      <c r="V42" s="91">
        <f>SUMIFS(tabela_registros[VALOR],tabela_registros[MÊS],$AE$1,tabela_registros[DIA],agototal3059718395107119[[#Headers],[18]],tabela_registros[REGISTRO],DADOS!$N$4,tabela_registros[TIPO],DADOS!$P$3,tabela_registros[CATEGORIA],despesafixaconsolidadoago[[#This Row],[DESPESA FIXA]])</f>
        <v>0</v>
      </c>
      <c r="W42" s="91">
        <f>SUMIFS(tabela_registros[VALOR],tabela_registros[MÊS],$AE$1,tabela_registros[DIA],agototal3059718395107119[[#Headers],[19]],tabela_registros[REGISTRO],DADOS!$N$4,tabela_registros[TIPO],DADOS!$P$3,tabela_registros[CATEGORIA],despesafixaconsolidadoago[[#This Row],[DESPESA FIXA]])</f>
        <v>0</v>
      </c>
      <c r="X42" s="91">
        <f>SUMIFS(tabela_registros[VALOR],tabela_registros[MÊS],$AE$1,tabela_registros[DIA],agototal3059718395107119[[#Headers],[20]],tabela_registros[REGISTRO],DADOS!$N$4,tabela_registros[TIPO],DADOS!$P$3,tabela_registros[CATEGORIA],despesafixaconsolidadoago[[#This Row],[DESPESA FIXA]])</f>
        <v>0</v>
      </c>
      <c r="Y42" s="91">
        <f>SUMIFS(tabela_registros[VALOR],tabela_registros[MÊS],$AE$1,tabela_registros[DIA],agototal3059718395107119[[#Headers],[21]],tabela_registros[REGISTRO],DADOS!$N$4,tabela_registros[TIPO],DADOS!$P$3,tabela_registros[CATEGORIA],despesafixaconsolidadoago[[#This Row],[DESPESA FIXA]])</f>
        <v>0</v>
      </c>
      <c r="Z42" s="91">
        <f>SUMIFS(tabela_registros[VALOR],tabela_registros[MÊS],$AE$1,tabela_registros[DIA],agototal3059718395107119[[#Headers],[22]],tabela_registros[REGISTRO],DADOS!$N$4,tabela_registros[TIPO],DADOS!$P$3,tabela_registros[CATEGORIA],despesafixaconsolidadoago[[#This Row],[DESPESA FIXA]])</f>
        <v>0</v>
      </c>
      <c r="AA42" s="91">
        <f>SUMIFS(tabela_registros[VALOR],tabela_registros[MÊS],$AE$1,tabela_registros[DIA],agototal3059718395107119[[#Headers],[23]],tabela_registros[REGISTRO],DADOS!$N$4,tabela_registros[TIPO],DADOS!$P$3,tabela_registros[CATEGORIA],despesafixaconsolidadoago[[#This Row],[DESPESA FIXA]])</f>
        <v>0</v>
      </c>
      <c r="AB42" s="91">
        <f>SUMIFS(tabela_registros[VALOR],tabela_registros[MÊS],$AE$1,tabela_registros[DIA],agototal3059718395107119[[#Headers],[24]],tabela_registros[REGISTRO],DADOS!$N$4,tabela_registros[TIPO],DADOS!$P$3,tabela_registros[CATEGORIA],despesafixaconsolidadoago[[#This Row],[DESPESA FIXA]])</f>
        <v>0</v>
      </c>
      <c r="AC42" s="91">
        <f>SUMIFS(tabela_registros[VALOR],tabela_registros[MÊS],$AE$1,tabela_registros[DIA],agototal3059718395107119[[#Headers],[25]],tabela_registros[REGISTRO],DADOS!$N$4,tabela_registros[TIPO],DADOS!$P$3,tabela_registros[CATEGORIA],despesafixaconsolidadoago[[#This Row],[DESPESA FIXA]])</f>
        <v>0</v>
      </c>
      <c r="AD42" s="91">
        <f>SUMIFS(tabela_registros[VALOR],tabela_registros[MÊS],$AE$1,tabela_registros[DIA],agototal3059718395107119[[#Headers],[26]],tabela_registros[REGISTRO],DADOS!$N$4,tabela_registros[TIPO],DADOS!$P$3,tabela_registros[CATEGORIA],despesafixaconsolidadoago[[#This Row],[DESPESA FIXA]])</f>
        <v>0</v>
      </c>
      <c r="AE42" s="91">
        <f>SUMIFS(tabela_registros[VALOR],tabela_registros[MÊS],$AE$1,tabela_registros[DIA],agototal3059718395107119[[#Headers],[27]],tabela_registros[REGISTRO],DADOS!$N$4,tabela_registros[TIPO],DADOS!$P$3,tabela_registros[CATEGORIA],despesafixaconsolidadoago[[#This Row],[DESPESA FIXA]])</f>
        <v>0</v>
      </c>
      <c r="AF42" s="91">
        <f>SUMIFS(tabela_registros[VALOR],tabela_registros[MÊS],$AE$1,tabela_registros[DIA],agototal3059718395107119[[#Headers],[28]],tabela_registros[REGISTRO],DADOS!$N$4,tabela_registros[TIPO],DADOS!$P$3,tabela_registros[CATEGORIA],despesafixaconsolidadoago[[#This Row],[DESPESA FIXA]])</f>
        <v>0</v>
      </c>
      <c r="AG42" s="91">
        <f>SUMIFS(tabela_registros[VALOR],tabela_registros[MÊS],$AE$1,tabela_registros[DIA],agototal3059718395107119[[#Headers],[29]],tabela_registros[REGISTRO],DADOS!$N$4,tabela_registros[TIPO],DADOS!$P$3,tabela_registros[CATEGORIA],despesafixaconsolidadoago[[#This Row],[DESPESA FIXA]])</f>
        <v>0</v>
      </c>
      <c r="AH42" s="91">
        <f>SUMIFS(tabela_registros[VALOR],tabela_registros[MÊS],$AE$1,tabela_registros[DIA],agototal3059718395107119[[#Headers],[30]],tabela_registros[REGISTRO],DADOS!$N$4,tabela_registros[TIPO],DADOS!$P$3,tabela_registros[CATEGORIA],despesafixaconsolidadoago[[#This Row],[DESPESA FIXA]])</f>
        <v>0</v>
      </c>
      <c r="AI42" s="101">
        <f>SUMIFS(tabela_registros[VALOR],tabela_registros[MÊS],$AE$1,tabela_registros[DIA],agototal3059718395107119[[#Headers],[31]],tabela_registros[REGISTRO],DADOS!$N$4,tabela_registros[TIPO],DADOS!$P$3,tabela_registros[CATEGORIA],despesafixaconsolidadoago[[#This Row],[DESPESA FIXA]])</f>
        <v>0</v>
      </c>
      <c r="AJ42" s="97">
        <f>SUM(despesafixaconsolidadoago[[#This Row],[1]:[31]])</f>
        <v>0</v>
      </c>
      <c r="AK42" s="28"/>
    </row>
    <row r="43" spans="2:37" ht="18" customHeight="1" thickTop="1" thickBot="1" x14ac:dyDescent="0.3">
      <c r="B43" s="28"/>
      <c r="C43" s="27" t="str">
        <f>DADOS!$R$9</f>
        <v>💡 ENERGIA</v>
      </c>
      <c r="D43" s="26" t="str">
        <f>IF(despesafixaconsolidadoago[[#This Row],[TOTAL]]=0,"",IF(OR(despesafixaconsolidadoago[[#This Row],[TOTAL]]=LARGE($AJ$37:$AJ$50,1),despesafixaconsolidadoago[[#This Row],[TOTAL]]=LARGE($AJ$37:$AJ$50,2),despesafixaconsolidadoago[[#This Row],[TOTAL]]=LARGE($AJ$37:$AJ$50,3),despesafixaconsolidadoago[[#This Row],[TOTAL]]=LARGE($AJ$37:$AJ$50,4),despesafixaconsolidadoago[[#This Row],[TOTAL]]=LARGE($AJ$37:$AJ$50,5)),DADOS!$I$8,""))</f>
        <v/>
      </c>
      <c r="E43" s="96">
        <f>SUMIFS(tabela_registros[VALOR],tabela_registros[MÊS],$AE$1,tabela_registros[DIA],agototal3059718395107119[[#Headers],[1]],tabela_registros[REGISTRO],DADOS!$N$4,tabela_registros[TIPO],DADOS!$P$3,tabela_registros[CATEGORIA],despesafixaconsolidadoago[[#This Row],[DESPESA FIXA]])</f>
        <v>0</v>
      </c>
      <c r="F43" s="91">
        <f>SUMIFS(tabela_registros[VALOR],tabela_registros[MÊS],$AE$1,tabela_registros[DIA],agototal3059718395107119[[#Headers],[2]],tabela_registros[REGISTRO],DADOS!$N$4,tabela_registros[TIPO],DADOS!$P$3,tabela_registros[CATEGORIA],despesafixaconsolidadoago[[#This Row],[DESPESA FIXA]])</f>
        <v>0</v>
      </c>
      <c r="G43" s="91">
        <f>SUMIFS(tabela_registros[VALOR],tabela_registros[MÊS],$AE$1,tabela_registros[DIA],agototal3059718395107119[[#Headers],[3]],tabela_registros[REGISTRO],DADOS!$N$4,tabela_registros[TIPO],DADOS!$P$3,tabela_registros[CATEGORIA],despesafixaconsolidadoago[[#This Row],[DESPESA FIXA]])</f>
        <v>0</v>
      </c>
      <c r="H43" s="91">
        <f>SUMIFS(tabela_registros[VALOR],tabela_registros[MÊS],$AE$1,tabela_registros[DIA],agototal3059718395107119[[#Headers],[4]],tabela_registros[REGISTRO],DADOS!$N$4,tabela_registros[TIPO],DADOS!$P$3,tabela_registros[CATEGORIA],despesafixaconsolidadoago[[#This Row],[DESPESA FIXA]])</f>
        <v>0</v>
      </c>
      <c r="I43" s="91">
        <f>SUMIFS(tabela_registros[VALOR],tabela_registros[MÊS],$AE$1,tabela_registros[DIA],agototal3059718395107119[[#Headers],[5]],tabela_registros[REGISTRO],DADOS!$N$4,tabela_registros[TIPO],DADOS!$P$3,tabela_registros[CATEGORIA],despesafixaconsolidadoago[[#This Row],[DESPESA FIXA]])</f>
        <v>0</v>
      </c>
      <c r="J43" s="91">
        <f>SUMIFS(tabela_registros[VALOR],tabela_registros[MÊS],$AE$1,tabela_registros[DIA],agototal3059718395107119[[#Headers],[6]],tabela_registros[REGISTRO],DADOS!$N$4,tabela_registros[TIPO],DADOS!$P$3,tabela_registros[CATEGORIA],despesafixaconsolidadoago[[#This Row],[DESPESA FIXA]])</f>
        <v>0</v>
      </c>
      <c r="K43" s="91">
        <f>SUMIFS(tabela_registros[VALOR],tabela_registros[MÊS],$AE$1,tabela_registros[DIA],agototal3059718395107119[[#Headers],[7]],tabela_registros[REGISTRO],DADOS!$N$4,tabela_registros[TIPO],DADOS!$P$3,tabela_registros[CATEGORIA],despesafixaconsolidadoago[[#This Row],[DESPESA FIXA]])</f>
        <v>0</v>
      </c>
      <c r="L43" s="91">
        <f>SUMIFS(tabela_registros[VALOR],tabela_registros[MÊS],$AE$1,tabela_registros[DIA],agototal3059718395107119[[#Headers],[8]],tabela_registros[REGISTRO],DADOS!$N$4,tabela_registros[TIPO],DADOS!$P$3,tabela_registros[CATEGORIA],despesafixaconsolidadoago[[#This Row],[DESPESA FIXA]])</f>
        <v>0</v>
      </c>
      <c r="M43" s="91">
        <f>SUMIFS(tabela_registros[VALOR],tabela_registros[MÊS],$AE$1,tabela_registros[DIA],agototal3059718395107119[[#Headers],[9]],tabela_registros[REGISTRO],DADOS!$N$4,tabela_registros[TIPO],DADOS!$P$3,tabela_registros[CATEGORIA],despesafixaconsolidadoago[[#This Row],[DESPESA FIXA]])</f>
        <v>0</v>
      </c>
      <c r="N43" s="91">
        <f>SUMIFS(tabela_registros[VALOR],tabela_registros[MÊS],$AE$1,tabela_registros[DIA],agototal3059718395107119[[#Headers],[10]],tabela_registros[REGISTRO],DADOS!$N$4,tabela_registros[TIPO],DADOS!$P$3,tabela_registros[CATEGORIA],despesafixaconsolidadoago[[#This Row],[DESPESA FIXA]])</f>
        <v>0</v>
      </c>
      <c r="O43" s="91">
        <f>SUMIFS(tabela_registros[VALOR],tabela_registros[MÊS],$AE$1,tabela_registros[DIA],agototal3059718395107119[[#Headers],[11]],tabela_registros[REGISTRO],DADOS!$N$4,tabela_registros[TIPO],DADOS!$P$3,tabela_registros[CATEGORIA],despesafixaconsolidadoago[[#This Row],[DESPESA FIXA]])</f>
        <v>0</v>
      </c>
      <c r="P43" s="91">
        <f>SUMIFS(tabela_registros[VALOR],tabela_registros[MÊS],$AE$1,tabela_registros[DIA],agototal3059718395107119[[#Headers],[12]],tabela_registros[REGISTRO],DADOS!$N$4,tabela_registros[TIPO],DADOS!$P$3,tabela_registros[CATEGORIA],despesafixaconsolidadoago[[#This Row],[DESPESA FIXA]])</f>
        <v>0</v>
      </c>
      <c r="Q43" s="91">
        <f>SUMIFS(tabela_registros[VALOR],tabela_registros[MÊS],$AE$1,tabela_registros[DIA],agototal3059718395107119[[#Headers],[13]],tabela_registros[REGISTRO],DADOS!$N$4,tabela_registros[TIPO],DADOS!$P$3,tabela_registros[CATEGORIA],despesafixaconsolidadoago[[#This Row],[DESPESA FIXA]])</f>
        <v>0</v>
      </c>
      <c r="R43" s="91">
        <f>SUMIFS(tabela_registros[VALOR],tabela_registros[MÊS],$AE$1,tabela_registros[DIA],agototal3059718395107119[[#Headers],[14]],tabela_registros[REGISTRO],DADOS!$N$4,tabela_registros[TIPO],DADOS!$P$3,tabela_registros[CATEGORIA],despesafixaconsolidadoago[[#This Row],[DESPESA FIXA]])</f>
        <v>0</v>
      </c>
      <c r="S43" s="91">
        <f>SUMIFS(tabela_registros[VALOR],tabela_registros[MÊS],$AE$1,tabela_registros[DIA],agototal3059718395107119[[#Headers],[15]],tabela_registros[REGISTRO],DADOS!$N$4,tabela_registros[TIPO],DADOS!$P$3,tabela_registros[CATEGORIA],despesafixaconsolidadoago[[#This Row],[DESPESA FIXA]])</f>
        <v>0</v>
      </c>
      <c r="T43" s="91">
        <f>SUMIFS(tabela_registros[VALOR],tabela_registros[MÊS],$AE$1,tabela_registros[DIA],agototal3059718395107119[[#Headers],[16]],tabela_registros[REGISTRO],DADOS!$N$4,tabela_registros[TIPO],DADOS!$P$3,tabela_registros[CATEGORIA],despesafixaconsolidadoago[[#This Row],[DESPESA FIXA]])</f>
        <v>0</v>
      </c>
      <c r="U43" s="91">
        <f>SUMIFS(tabela_registros[VALOR],tabela_registros[MÊS],$AE$1,tabela_registros[DIA],agototal3059718395107119[[#Headers],[17]],tabela_registros[REGISTRO],DADOS!$N$4,tabela_registros[TIPO],DADOS!$P$3,tabela_registros[CATEGORIA],despesafixaconsolidadoago[[#This Row],[DESPESA FIXA]])</f>
        <v>0</v>
      </c>
      <c r="V43" s="91">
        <f>SUMIFS(tabela_registros[VALOR],tabela_registros[MÊS],$AE$1,tabela_registros[DIA],agototal3059718395107119[[#Headers],[18]],tabela_registros[REGISTRO],DADOS!$N$4,tabela_registros[TIPO],DADOS!$P$3,tabela_registros[CATEGORIA],despesafixaconsolidadoago[[#This Row],[DESPESA FIXA]])</f>
        <v>0</v>
      </c>
      <c r="W43" s="91">
        <f>SUMIFS(tabela_registros[VALOR],tabela_registros[MÊS],$AE$1,tabela_registros[DIA],agototal3059718395107119[[#Headers],[19]],tabela_registros[REGISTRO],DADOS!$N$4,tabela_registros[TIPO],DADOS!$P$3,tabela_registros[CATEGORIA],despesafixaconsolidadoago[[#This Row],[DESPESA FIXA]])</f>
        <v>0</v>
      </c>
      <c r="X43" s="91">
        <f>SUMIFS(tabela_registros[VALOR],tabela_registros[MÊS],$AE$1,tabela_registros[DIA],agototal3059718395107119[[#Headers],[20]],tabela_registros[REGISTRO],DADOS!$N$4,tabela_registros[TIPO],DADOS!$P$3,tabela_registros[CATEGORIA],despesafixaconsolidadoago[[#This Row],[DESPESA FIXA]])</f>
        <v>0</v>
      </c>
      <c r="Y43" s="91">
        <f>SUMIFS(tabela_registros[VALOR],tabela_registros[MÊS],$AE$1,tabela_registros[DIA],agototal3059718395107119[[#Headers],[21]],tabela_registros[REGISTRO],DADOS!$N$4,tabela_registros[TIPO],DADOS!$P$3,tabela_registros[CATEGORIA],despesafixaconsolidadoago[[#This Row],[DESPESA FIXA]])</f>
        <v>0</v>
      </c>
      <c r="Z43" s="91">
        <f>SUMIFS(tabela_registros[VALOR],tabela_registros[MÊS],$AE$1,tabela_registros[DIA],agototal3059718395107119[[#Headers],[22]],tabela_registros[REGISTRO],DADOS!$N$4,tabela_registros[TIPO],DADOS!$P$3,tabela_registros[CATEGORIA],despesafixaconsolidadoago[[#This Row],[DESPESA FIXA]])</f>
        <v>0</v>
      </c>
      <c r="AA43" s="91">
        <f>SUMIFS(tabela_registros[VALOR],tabela_registros[MÊS],$AE$1,tabela_registros[DIA],agototal3059718395107119[[#Headers],[23]],tabela_registros[REGISTRO],DADOS!$N$4,tabela_registros[TIPO],DADOS!$P$3,tabela_registros[CATEGORIA],despesafixaconsolidadoago[[#This Row],[DESPESA FIXA]])</f>
        <v>0</v>
      </c>
      <c r="AB43" s="91">
        <f>SUMIFS(tabela_registros[VALOR],tabela_registros[MÊS],$AE$1,tabela_registros[DIA],agototal3059718395107119[[#Headers],[24]],tabela_registros[REGISTRO],DADOS!$N$4,tabela_registros[TIPO],DADOS!$P$3,tabela_registros[CATEGORIA],despesafixaconsolidadoago[[#This Row],[DESPESA FIXA]])</f>
        <v>0</v>
      </c>
      <c r="AC43" s="91">
        <f>SUMIFS(tabela_registros[VALOR],tabela_registros[MÊS],$AE$1,tabela_registros[DIA],agototal3059718395107119[[#Headers],[25]],tabela_registros[REGISTRO],DADOS!$N$4,tabela_registros[TIPO],DADOS!$P$3,tabela_registros[CATEGORIA],despesafixaconsolidadoago[[#This Row],[DESPESA FIXA]])</f>
        <v>0</v>
      </c>
      <c r="AD43" s="91">
        <f>SUMIFS(tabela_registros[VALOR],tabela_registros[MÊS],$AE$1,tabela_registros[DIA],agototal3059718395107119[[#Headers],[26]],tabela_registros[REGISTRO],DADOS!$N$4,tabela_registros[TIPO],DADOS!$P$3,tabela_registros[CATEGORIA],despesafixaconsolidadoago[[#This Row],[DESPESA FIXA]])</f>
        <v>0</v>
      </c>
      <c r="AE43" s="91">
        <f>SUMIFS(tabela_registros[VALOR],tabela_registros[MÊS],$AE$1,tabela_registros[DIA],agototal3059718395107119[[#Headers],[27]],tabela_registros[REGISTRO],DADOS!$N$4,tabela_registros[TIPO],DADOS!$P$3,tabela_registros[CATEGORIA],despesafixaconsolidadoago[[#This Row],[DESPESA FIXA]])</f>
        <v>0</v>
      </c>
      <c r="AF43" s="91">
        <f>SUMIFS(tabela_registros[VALOR],tabela_registros[MÊS],$AE$1,tabela_registros[DIA],agototal3059718395107119[[#Headers],[28]],tabela_registros[REGISTRO],DADOS!$N$4,tabela_registros[TIPO],DADOS!$P$3,tabela_registros[CATEGORIA],despesafixaconsolidadoago[[#This Row],[DESPESA FIXA]])</f>
        <v>0</v>
      </c>
      <c r="AG43" s="91">
        <f>SUMIFS(tabela_registros[VALOR],tabela_registros[MÊS],$AE$1,tabela_registros[DIA],agototal3059718395107119[[#Headers],[29]],tabela_registros[REGISTRO],DADOS!$N$4,tabela_registros[TIPO],DADOS!$P$3,tabela_registros[CATEGORIA],despesafixaconsolidadoago[[#This Row],[DESPESA FIXA]])</f>
        <v>0</v>
      </c>
      <c r="AH43" s="91">
        <f>SUMIFS(tabela_registros[VALOR],tabela_registros[MÊS],$AE$1,tabela_registros[DIA],agototal3059718395107119[[#Headers],[30]],tabela_registros[REGISTRO],DADOS!$N$4,tabela_registros[TIPO],DADOS!$P$3,tabela_registros[CATEGORIA],despesafixaconsolidadoago[[#This Row],[DESPESA FIXA]])</f>
        <v>0</v>
      </c>
      <c r="AI43" s="101">
        <f>SUMIFS(tabela_registros[VALOR],tabela_registros[MÊS],$AE$1,tabela_registros[DIA],agototal3059718395107119[[#Headers],[31]],tabela_registros[REGISTRO],DADOS!$N$4,tabela_registros[TIPO],DADOS!$P$3,tabela_registros[CATEGORIA],despesafixaconsolidadoago[[#This Row],[DESPESA FIXA]])</f>
        <v>0</v>
      </c>
      <c r="AJ43" s="97">
        <f>SUM(despesafixaconsolidadoago[[#This Row],[1]:[31]])</f>
        <v>0</v>
      </c>
      <c r="AK43" s="28"/>
    </row>
    <row r="44" spans="2:37" ht="18" customHeight="1" thickTop="1" thickBot="1" x14ac:dyDescent="0.3">
      <c r="B44" s="28"/>
      <c r="C44" s="27" t="str">
        <f>DADOS!$R$10</f>
        <v>👨‍👩‍👧 FAMÍLIA</v>
      </c>
      <c r="D44" s="26" t="str">
        <f>IF(despesafixaconsolidadoago[[#This Row],[TOTAL]]=0,"",IF(OR(despesafixaconsolidadoago[[#This Row],[TOTAL]]=LARGE($AJ$37:$AJ$50,1),despesafixaconsolidadoago[[#This Row],[TOTAL]]=LARGE($AJ$37:$AJ$50,2),despesafixaconsolidadoago[[#This Row],[TOTAL]]=LARGE($AJ$37:$AJ$50,3),despesafixaconsolidadoago[[#This Row],[TOTAL]]=LARGE($AJ$37:$AJ$50,4),despesafixaconsolidadoago[[#This Row],[TOTAL]]=LARGE($AJ$37:$AJ$50,5)),DADOS!$I$8,""))</f>
        <v/>
      </c>
      <c r="E44" s="96">
        <f>SUMIFS(tabela_registros[VALOR],tabela_registros[MÊS],$AE$1,tabela_registros[DIA],agototal3059718395107119[[#Headers],[1]],tabela_registros[REGISTRO],DADOS!$N$4,tabela_registros[TIPO],DADOS!$P$3,tabela_registros[CATEGORIA],despesafixaconsolidadoago[[#This Row],[DESPESA FIXA]])</f>
        <v>0</v>
      </c>
      <c r="F44" s="91">
        <f>SUMIFS(tabela_registros[VALOR],tabela_registros[MÊS],$AE$1,tabela_registros[DIA],agototal3059718395107119[[#Headers],[2]],tabela_registros[REGISTRO],DADOS!$N$4,tabela_registros[TIPO],DADOS!$P$3,tabela_registros[CATEGORIA],despesafixaconsolidadoago[[#This Row],[DESPESA FIXA]])</f>
        <v>0</v>
      </c>
      <c r="G44" s="91">
        <f>SUMIFS(tabela_registros[VALOR],tabela_registros[MÊS],$AE$1,tabela_registros[DIA],agototal3059718395107119[[#Headers],[3]],tabela_registros[REGISTRO],DADOS!$N$4,tabela_registros[TIPO],DADOS!$P$3,tabela_registros[CATEGORIA],despesafixaconsolidadoago[[#This Row],[DESPESA FIXA]])</f>
        <v>0</v>
      </c>
      <c r="H44" s="91">
        <f>SUMIFS(tabela_registros[VALOR],tabela_registros[MÊS],$AE$1,tabela_registros[DIA],agototal3059718395107119[[#Headers],[4]],tabela_registros[REGISTRO],DADOS!$N$4,tabela_registros[TIPO],DADOS!$P$3,tabela_registros[CATEGORIA],despesafixaconsolidadoago[[#This Row],[DESPESA FIXA]])</f>
        <v>0</v>
      </c>
      <c r="I44" s="91">
        <f>SUMIFS(tabela_registros[VALOR],tabela_registros[MÊS],$AE$1,tabela_registros[DIA],agototal3059718395107119[[#Headers],[5]],tabela_registros[REGISTRO],DADOS!$N$4,tabela_registros[TIPO],DADOS!$P$3,tabela_registros[CATEGORIA],despesafixaconsolidadoago[[#This Row],[DESPESA FIXA]])</f>
        <v>0</v>
      </c>
      <c r="J44" s="91">
        <f>SUMIFS(tabela_registros[VALOR],tabela_registros[MÊS],$AE$1,tabela_registros[DIA],agototal3059718395107119[[#Headers],[6]],tabela_registros[REGISTRO],DADOS!$N$4,tabela_registros[TIPO],DADOS!$P$3,tabela_registros[CATEGORIA],despesafixaconsolidadoago[[#This Row],[DESPESA FIXA]])</f>
        <v>0</v>
      </c>
      <c r="K44" s="91">
        <f>SUMIFS(tabela_registros[VALOR],tabela_registros[MÊS],$AE$1,tabela_registros[DIA],agototal3059718395107119[[#Headers],[7]],tabela_registros[REGISTRO],DADOS!$N$4,tabela_registros[TIPO],DADOS!$P$3,tabela_registros[CATEGORIA],despesafixaconsolidadoago[[#This Row],[DESPESA FIXA]])</f>
        <v>0</v>
      </c>
      <c r="L44" s="91">
        <f>SUMIFS(tabela_registros[VALOR],tabela_registros[MÊS],$AE$1,tabela_registros[DIA],agototal3059718395107119[[#Headers],[8]],tabela_registros[REGISTRO],DADOS!$N$4,tabela_registros[TIPO],DADOS!$P$3,tabela_registros[CATEGORIA],despesafixaconsolidadoago[[#This Row],[DESPESA FIXA]])</f>
        <v>0</v>
      </c>
      <c r="M44" s="91">
        <f>SUMIFS(tabela_registros[VALOR],tabela_registros[MÊS],$AE$1,tabela_registros[DIA],agototal3059718395107119[[#Headers],[9]],tabela_registros[REGISTRO],DADOS!$N$4,tabela_registros[TIPO],DADOS!$P$3,tabela_registros[CATEGORIA],despesafixaconsolidadoago[[#This Row],[DESPESA FIXA]])</f>
        <v>0</v>
      </c>
      <c r="N44" s="91">
        <f>SUMIFS(tabela_registros[VALOR],tabela_registros[MÊS],$AE$1,tabela_registros[DIA],agototal3059718395107119[[#Headers],[10]],tabela_registros[REGISTRO],DADOS!$N$4,tabela_registros[TIPO],DADOS!$P$3,tabela_registros[CATEGORIA],despesafixaconsolidadoago[[#This Row],[DESPESA FIXA]])</f>
        <v>0</v>
      </c>
      <c r="O44" s="91">
        <f>SUMIFS(tabela_registros[VALOR],tabela_registros[MÊS],$AE$1,tabela_registros[DIA],agototal3059718395107119[[#Headers],[11]],tabela_registros[REGISTRO],DADOS!$N$4,tabela_registros[TIPO],DADOS!$P$3,tabela_registros[CATEGORIA],despesafixaconsolidadoago[[#This Row],[DESPESA FIXA]])</f>
        <v>0</v>
      </c>
      <c r="P44" s="91">
        <f>SUMIFS(tabela_registros[VALOR],tabela_registros[MÊS],$AE$1,tabela_registros[DIA],agototal3059718395107119[[#Headers],[12]],tabela_registros[REGISTRO],DADOS!$N$4,tabela_registros[TIPO],DADOS!$P$3,tabela_registros[CATEGORIA],despesafixaconsolidadoago[[#This Row],[DESPESA FIXA]])</f>
        <v>0</v>
      </c>
      <c r="Q44" s="91">
        <f>SUMIFS(tabela_registros[VALOR],tabela_registros[MÊS],$AE$1,tabela_registros[DIA],agototal3059718395107119[[#Headers],[13]],tabela_registros[REGISTRO],DADOS!$N$4,tabela_registros[TIPO],DADOS!$P$3,tabela_registros[CATEGORIA],despesafixaconsolidadoago[[#This Row],[DESPESA FIXA]])</f>
        <v>0</v>
      </c>
      <c r="R44" s="91">
        <f>SUMIFS(tabela_registros[VALOR],tabela_registros[MÊS],$AE$1,tabela_registros[DIA],agototal3059718395107119[[#Headers],[14]],tabela_registros[REGISTRO],DADOS!$N$4,tabela_registros[TIPO],DADOS!$P$3,tabela_registros[CATEGORIA],despesafixaconsolidadoago[[#This Row],[DESPESA FIXA]])</f>
        <v>0</v>
      </c>
      <c r="S44" s="91">
        <f>SUMIFS(tabela_registros[VALOR],tabela_registros[MÊS],$AE$1,tabela_registros[DIA],agototal3059718395107119[[#Headers],[15]],tabela_registros[REGISTRO],DADOS!$N$4,tabela_registros[TIPO],DADOS!$P$3,tabela_registros[CATEGORIA],despesafixaconsolidadoago[[#This Row],[DESPESA FIXA]])</f>
        <v>0</v>
      </c>
      <c r="T44" s="91">
        <f>SUMIFS(tabela_registros[VALOR],tabela_registros[MÊS],$AE$1,tabela_registros[DIA],agototal3059718395107119[[#Headers],[16]],tabela_registros[REGISTRO],DADOS!$N$4,tabela_registros[TIPO],DADOS!$P$3,tabela_registros[CATEGORIA],despesafixaconsolidadoago[[#This Row],[DESPESA FIXA]])</f>
        <v>0</v>
      </c>
      <c r="U44" s="91">
        <f>SUMIFS(tabela_registros[VALOR],tabela_registros[MÊS],$AE$1,tabela_registros[DIA],agototal3059718395107119[[#Headers],[17]],tabela_registros[REGISTRO],DADOS!$N$4,tabela_registros[TIPO],DADOS!$P$3,tabela_registros[CATEGORIA],despesafixaconsolidadoago[[#This Row],[DESPESA FIXA]])</f>
        <v>0</v>
      </c>
      <c r="V44" s="91">
        <f>SUMIFS(tabela_registros[VALOR],tabela_registros[MÊS],$AE$1,tabela_registros[DIA],agototal3059718395107119[[#Headers],[18]],tabela_registros[REGISTRO],DADOS!$N$4,tabela_registros[TIPO],DADOS!$P$3,tabela_registros[CATEGORIA],despesafixaconsolidadoago[[#This Row],[DESPESA FIXA]])</f>
        <v>0</v>
      </c>
      <c r="W44" s="91">
        <f>SUMIFS(tabela_registros[VALOR],tabela_registros[MÊS],$AE$1,tabela_registros[DIA],agototal3059718395107119[[#Headers],[19]],tabela_registros[REGISTRO],DADOS!$N$4,tabela_registros[TIPO],DADOS!$P$3,tabela_registros[CATEGORIA],despesafixaconsolidadoago[[#This Row],[DESPESA FIXA]])</f>
        <v>0</v>
      </c>
      <c r="X44" s="91">
        <f>SUMIFS(tabela_registros[VALOR],tabela_registros[MÊS],$AE$1,tabela_registros[DIA],agototal3059718395107119[[#Headers],[20]],tabela_registros[REGISTRO],DADOS!$N$4,tabela_registros[TIPO],DADOS!$P$3,tabela_registros[CATEGORIA],despesafixaconsolidadoago[[#This Row],[DESPESA FIXA]])</f>
        <v>0</v>
      </c>
      <c r="Y44" s="91">
        <f>SUMIFS(tabela_registros[VALOR],tabela_registros[MÊS],$AE$1,tabela_registros[DIA],agototal3059718395107119[[#Headers],[21]],tabela_registros[REGISTRO],DADOS!$N$4,tabela_registros[TIPO],DADOS!$P$3,tabela_registros[CATEGORIA],despesafixaconsolidadoago[[#This Row],[DESPESA FIXA]])</f>
        <v>0</v>
      </c>
      <c r="Z44" s="91">
        <f>SUMIFS(tabela_registros[VALOR],tabela_registros[MÊS],$AE$1,tabela_registros[DIA],agototal3059718395107119[[#Headers],[22]],tabela_registros[REGISTRO],DADOS!$N$4,tabela_registros[TIPO],DADOS!$P$3,tabela_registros[CATEGORIA],despesafixaconsolidadoago[[#This Row],[DESPESA FIXA]])</f>
        <v>0</v>
      </c>
      <c r="AA44" s="91">
        <f>SUMIFS(tabela_registros[VALOR],tabela_registros[MÊS],$AE$1,tabela_registros[DIA],agototal3059718395107119[[#Headers],[23]],tabela_registros[REGISTRO],DADOS!$N$4,tabela_registros[TIPO],DADOS!$P$3,tabela_registros[CATEGORIA],despesafixaconsolidadoago[[#This Row],[DESPESA FIXA]])</f>
        <v>0</v>
      </c>
      <c r="AB44" s="91">
        <f>SUMIFS(tabela_registros[VALOR],tabela_registros[MÊS],$AE$1,tabela_registros[DIA],agototal3059718395107119[[#Headers],[24]],tabela_registros[REGISTRO],DADOS!$N$4,tabela_registros[TIPO],DADOS!$P$3,tabela_registros[CATEGORIA],despesafixaconsolidadoago[[#This Row],[DESPESA FIXA]])</f>
        <v>0</v>
      </c>
      <c r="AC44" s="91">
        <f>SUMIFS(tabela_registros[VALOR],tabela_registros[MÊS],$AE$1,tabela_registros[DIA],agototal3059718395107119[[#Headers],[25]],tabela_registros[REGISTRO],DADOS!$N$4,tabela_registros[TIPO],DADOS!$P$3,tabela_registros[CATEGORIA],despesafixaconsolidadoago[[#This Row],[DESPESA FIXA]])</f>
        <v>0</v>
      </c>
      <c r="AD44" s="91">
        <f>SUMIFS(tabela_registros[VALOR],tabela_registros[MÊS],$AE$1,tabela_registros[DIA],agototal3059718395107119[[#Headers],[26]],tabela_registros[REGISTRO],DADOS!$N$4,tabela_registros[TIPO],DADOS!$P$3,tabela_registros[CATEGORIA],despesafixaconsolidadoago[[#This Row],[DESPESA FIXA]])</f>
        <v>0</v>
      </c>
      <c r="AE44" s="91">
        <f>SUMIFS(tabela_registros[VALOR],tabela_registros[MÊS],$AE$1,tabela_registros[DIA],agototal3059718395107119[[#Headers],[27]],tabela_registros[REGISTRO],DADOS!$N$4,tabela_registros[TIPO],DADOS!$P$3,tabela_registros[CATEGORIA],despesafixaconsolidadoago[[#This Row],[DESPESA FIXA]])</f>
        <v>0</v>
      </c>
      <c r="AF44" s="91">
        <f>SUMIFS(tabela_registros[VALOR],tabela_registros[MÊS],$AE$1,tabela_registros[DIA],agototal3059718395107119[[#Headers],[28]],tabela_registros[REGISTRO],DADOS!$N$4,tabela_registros[TIPO],DADOS!$P$3,tabela_registros[CATEGORIA],despesafixaconsolidadoago[[#This Row],[DESPESA FIXA]])</f>
        <v>0</v>
      </c>
      <c r="AG44" s="91">
        <f>SUMIFS(tabela_registros[VALOR],tabela_registros[MÊS],$AE$1,tabela_registros[DIA],agototal3059718395107119[[#Headers],[29]],tabela_registros[REGISTRO],DADOS!$N$4,tabela_registros[TIPO],DADOS!$P$3,tabela_registros[CATEGORIA],despesafixaconsolidadoago[[#This Row],[DESPESA FIXA]])</f>
        <v>0</v>
      </c>
      <c r="AH44" s="91">
        <f>SUMIFS(tabela_registros[VALOR],tabela_registros[MÊS],$AE$1,tabela_registros[DIA],agototal3059718395107119[[#Headers],[30]],tabela_registros[REGISTRO],DADOS!$N$4,tabela_registros[TIPO],DADOS!$P$3,tabela_registros[CATEGORIA],despesafixaconsolidadoago[[#This Row],[DESPESA FIXA]])</f>
        <v>0</v>
      </c>
      <c r="AI44" s="101">
        <f>SUMIFS(tabela_registros[VALOR],tabela_registros[MÊS],$AE$1,tabela_registros[DIA],agototal3059718395107119[[#Headers],[31]],tabela_registros[REGISTRO],DADOS!$N$4,tabela_registros[TIPO],DADOS!$P$3,tabela_registros[CATEGORIA],despesafixaconsolidadoago[[#This Row],[DESPESA FIXA]])</f>
        <v>0</v>
      </c>
      <c r="AJ44" s="97">
        <f>SUM(despesafixaconsolidadoago[[#This Row],[1]:[31]])</f>
        <v>0</v>
      </c>
      <c r="AK44" s="28"/>
    </row>
    <row r="45" spans="2:37" ht="18" customHeight="1" thickTop="1" thickBot="1" x14ac:dyDescent="0.3">
      <c r="B45" s="28"/>
      <c r="C45" s="27" t="str">
        <f>DADOS!$R$11</f>
        <v>🔢 IMPOSTOS</v>
      </c>
      <c r="D45" s="26" t="str">
        <f>IF(despesafixaconsolidadoago[[#This Row],[TOTAL]]=0,"",IF(OR(despesafixaconsolidadoago[[#This Row],[TOTAL]]=LARGE($AJ$37:$AJ$50,1),despesafixaconsolidadoago[[#This Row],[TOTAL]]=LARGE($AJ$37:$AJ$50,2),despesafixaconsolidadoago[[#This Row],[TOTAL]]=LARGE($AJ$37:$AJ$50,3),despesafixaconsolidadoago[[#This Row],[TOTAL]]=LARGE($AJ$37:$AJ$50,4),despesafixaconsolidadoago[[#This Row],[TOTAL]]=LARGE($AJ$37:$AJ$50,5)),DADOS!$I$8,""))</f>
        <v/>
      </c>
      <c r="E45" s="96">
        <f>SUMIFS(tabela_registros[VALOR],tabela_registros[MÊS],$AE$1,tabela_registros[DIA],agototal3059718395107119[[#Headers],[1]],tabela_registros[REGISTRO],DADOS!$N$4,tabela_registros[TIPO],DADOS!$P$3,tabela_registros[CATEGORIA],despesafixaconsolidadoago[[#This Row],[DESPESA FIXA]])</f>
        <v>0</v>
      </c>
      <c r="F45" s="91">
        <f>SUMIFS(tabela_registros[VALOR],tabela_registros[MÊS],$AE$1,tabela_registros[DIA],agototal3059718395107119[[#Headers],[2]],tabela_registros[REGISTRO],DADOS!$N$4,tabela_registros[TIPO],DADOS!$P$3,tabela_registros[CATEGORIA],despesafixaconsolidadoago[[#This Row],[DESPESA FIXA]])</f>
        <v>0</v>
      </c>
      <c r="G45" s="91">
        <f>SUMIFS(tabela_registros[VALOR],tabela_registros[MÊS],$AE$1,tabela_registros[DIA],agototal3059718395107119[[#Headers],[3]],tabela_registros[REGISTRO],DADOS!$N$4,tabela_registros[TIPO],DADOS!$P$3,tabela_registros[CATEGORIA],despesafixaconsolidadoago[[#This Row],[DESPESA FIXA]])</f>
        <v>0</v>
      </c>
      <c r="H45" s="91">
        <f>SUMIFS(tabela_registros[VALOR],tabela_registros[MÊS],$AE$1,tabela_registros[DIA],agototal3059718395107119[[#Headers],[4]],tabela_registros[REGISTRO],DADOS!$N$4,tabela_registros[TIPO],DADOS!$P$3,tabela_registros[CATEGORIA],despesafixaconsolidadoago[[#This Row],[DESPESA FIXA]])</f>
        <v>0</v>
      </c>
      <c r="I45" s="91">
        <f>SUMIFS(tabela_registros[VALOR],tabela_registros[MÊS],$AE$1,tabela_registros[DIA],agototal3059718395107119[[#Headers],[5]],tabela_registros[REGISTRO],DADOS!$N$4,tabela_registros[TIPO],DADOS!$P$3,tabela_registros[CATEGORIA],despesafixaconsolidadoago[[#This Row],[DESPESA FIXA]])</f>
        <v>0</v>
      </c>
      <c r="J45" s="91">
        <f>SUMIFS(tabela_registros[VALOR],tabela_registros[MÊS],$AE$1,tabela_registros[DIA],agototal3059718395107119[[#Headers],[6]],tabela_registros[REGISTRO],DADOS!$N$4,tabela_registros[TIPO],DADOS!$P$3,tabela_registros[CATEGORIA],despesafixaconsolidadoago[[#This Row],[DESPESA FIXA]])</f>
        <v>0</v>
      </c>
      <c r="K45" s="91">
        <f>SUMIFS(tabela_registros[VALOR],tabela_registros[MÊS],$AE$1,tabela_registros[DIA],agototal3059718395107119[[#Headers],[7]],tabela_registros[REGISTRO],DADOS!$N$4,tabela_registros[TIPO],DADOS!$P$3,tabela_registros[CATEGORIA],despesafixaconsolidadoago[[#This Row],[DESPESA FIXA]])</f>
        <v>0</v>
      </c>
      <c r="L45" s="91">
        <f>SUMIFS(tabela_registros[VALOR],tabela_registros[MÊS],$AE$1,tabela_registros[DIA],agototal3059718395107119[[#Headers],[8]],tabela_registros[REGISTRO],DADOS!$N$4,tabela_registros[TIPO],DADOS!$P$3,tabela_registros[CATEGORIA],despesafixaconsolidadoago[[#This Row],[DESPESA FIXA]])</f>
        <v>0</v>
      </c>
      <c r="M45" s="91">
        <f>SUMIFS(tabela_registros[VALOR],tabela_registros[MÊS],$AE$1,tabela_registros[DIA],agototal3059718395107119[[#Headers],[9]],tabela_registros[REGISTRO],DADOS!$N$4,tabela_registros[TIPO],DADOS!$P$3,tabela_registros[CATEGORIA],despesafixaconsolidadoago[[#This Row],[DESPESA FIXA]])</f>
        <v>0</v>
      </c>
      <c r="N45" s="91">
        <f>SUMIFS(tabela_registros[VALOR],tabela_registros[MÊS],$AE$1,tabela_registros[DIA],agototal3059718395107119[[#Headers],[10]],tabela_registros[REGISTRO],DADOS!$N$4,tabela_registros[TIPO],DADOS!$P$3,tabela_registros[CATEGORIA],despesafixaconsolidadoago[[#This Row],[DESPESA FIXA]])</f>
        <v>0</v>
      </c>
      <c r="O45" s="91">
        <f>SUMIFS(tabela_registros[VALOR],tabela_registros[MÊS],$AE$1,tabela_registros[DIA],agototal3059718395107119[[#Headers],[11]],tabela_registros[REGISTRO],DADOS!$N$4,tabela_registros[TIPO],DADOS!$P$3,tabela_registros[CATEGORIA],despesafixaconsolidadoago[[#This Row],[DESPESA FIXA]])</f>
        <v>0</v>
      </c>
      <c r="P45" s="91">
        <f>SUMIFS(tabela_registros[VALOR],tabela_registros[MÊS],$AE$1,tabela_registros[DIA],agototal3059718395107119[[#Headers],[12]],tabela_registros[REGISTRO],DADOS!$N$4,tabela_registros[TIPO],DADOS!$P$3,tabela_registros[CATEGORIA],despesafixaconsolidadoago[[#This Row],[DESPESA FIXA]])</f>
        <v>0</v>
      </c>
      <c r="Q45" s="91">
        <f>SUMIFS(tabela_registros[VALOR],tabela_registros[MÊS],$AE$1,tabela_registros[DIA],agototal3059718395107119[[#Headers],[13]],tabela_registros[REGISTRO],DADOS!$N$4,tabela_registros[TIPO],DADOS!$P$3,tabela_registros[CATEGORIA],despesafixaconsolidadoago[[#This Row],[DESPESA FIXA]])</f>
        <v>0</v>
      </c>
      <c r="R45" s="91">
        <f>SUMIFS(tabela_registros[VALOR],tabela_registros[MÊS],$AE$1,tabela_registros[DIA],agototal3059718395107119[[#Headers],[14]],tabela_registros[REGISTRO],DADOS!$N$4,tabela_registros[TIPO],DADOS!$P$3,tabela_registros[CATEGORIA],despesafixaconsolidadoago[[#This Row],[DESPESA FIXA]])</f>
        <v>0</v>
      </c>
      <c r="S45" s="91">
        <f>SUMIFS(tabela_registros[VALOR],tabela_registros[MÊS],$AE$1,tabela_registros[DIA],agototal3059718395107119[[#Headers],[15]],tabela_registros[REGISTRO],DADOS!$N$4,tabela_registros[TIPO],DADOS!$P$3,tabela_registros[CATEGORIA],despesafixaconsolidadoago[[#This Row],[DESPESA FIXA]])</f>
        <v>0</v>
      </c>
      <c r="T45" s="91">
        <f>SUMIFS(tabela_registros[VALOR],tabela_registros[MÊS],$AE$1,tabela_registros[DIA],agototal3059718395107119[[#Headers],[16]],tabela_registros[REGISTRO],DADOS!$N$4,tabela_registros[TIPO],DADOS!$P$3,tabela_registros[CATEGORIA],despesafixaconsolidadoago[[#This Row],[DESPESA FIXA]])</f>
        <v>0</v>
      </c>
      <c r="U45" s="91">
        <f>SUMIFS(tabela_registros[VALOR],tabela_registros[MÊS],$AE$1,tabela_registros[DIA],agototal3059718395107119[[#Headers],[17]],tabela_registros[REGISTRO],DADOS!$N$4,tabela_registros[TIPO],DADOS!$P$3,tabela_registros[CATEGORIA],despesafixaconsolidadoago[[#This Row],[DESPESA FIXA]])</f>
        <v>0</v>
      </c>
      <c r="V45" s="91">
        <f>SUMIFS(tabela_registros[VALOR],tabela_registros[MÊS],$AE$1,tabela_registros[DIA],agototal3059718395107119[[#Headers],[18]],tabela_registros[REGISTRO],DADOS!$N$4,tabela_registros[TIPO],DADOS!$P$3,tabela_registros[CATEGORIA],despesafixaconsolidadoago[[#This Row],[DESPESA FIXA]])</f>
        <v>0</v>
      </c>
      <c r="W45" s="91">
        <f>SUMIFS(tabela_registros[VALOR],tabela_registros[MÊS],$AE$1,tabela_registros[DIA],agototal3059718395107119[[#Headers],[19]],tabela_registros[REGISTRO],DADOS!$N$4,tabela_registros[TIPO],DADOS!$P$3,tabela_registros[CATEGORIA],despesafixaconsolidadoago[[#This Row],[DESPESA FIXA]])</f>
        <v>0</v>
      </c>
      <c r="X45" s="91">
        <f>SUMIFS(tabela_registros[VALOR],tabela_registros[MÊS],$AE$1,tabela_registros[DIA],agototal3059718395107119[[#Headers],[20]],tabela_registros[REGISTRO],DADOS!$N$4,tabela_registros[TIPO],DADOS!$P$3,tabela_registros[CATEGORIA],despesafixaconsolidadoago[[#This Row],[DESPESA FIXA]])</f>
        <v>0</v>
      </c>
      <c r="Y45" s="91">
        <f>SUMIFS(tabela_registros[VALOR],tabela_registros[MÊS],$AE$1,tabela_registros[DIA],agototal3059718395107119[[#Headers],[21]],tabela_registros[REGISTRO],DADOS!$N$4,tabela_registros[TIPO],DADOS!$P$3,tabela_registros[CATEGORIA],despesafixaconsolidadoago[[#This Row],[DESPESA FIXA]])</f>
        <v>0</v>
      </c>
      <c r="Z45" s="91">
        <f>SUMIFS(tabela_registros[VALOR],tabela_registros[MÊS],$AE$1,tabela_registros[DIA],agototal3059718395107119[[#Headers],[22]],tabela_registros[REGISTRO],DADOS!$N$4,tabela_registros[TIPO],DADOS!$P$3,tabela_registros[CATEGORIA],despesafixaconsolidadoago[[#This Row],[DESPESA FIXA]])</f>
        <v>0</v>
      </c>
      <c r="AA45" s="91">
        <f>SUMIFS(tabela_registros[VALOR],tabela_registros[MÊS],$AE$1,tabela_registros[DIA],agototal3059718395107119[[#Headers],[23]],tabela_registros[REGISTRO],DADOS!$N$4,tabela_registros[TIPO],DADOS!$P$3,tabela_registros[CATEGORIA],despesafixaconsolidadoago[[#This Row],[DESPESA FIXA]])</f>
        <v>0</v>
      </c>
      <c r="AB45" s="91">
        <f>SUMIFS(tabela_registros[VALOR],tabela_registros[MÊS],$AE$1,tabela_registros[DIA],agototal3059718395107119[[#Headers],[24]],tabela_registros[REGISTRO],DADOS!$N$4,tabela_registros[TIPO],DADOS!$P$3,tabela_registros[CATEGORIA],despesafixaconsolidadoago[[#This Row],[DESPESA FIXA]])</f>
        <v>0</v>
      </c>
      <c r="AC45" s="91">
        <f>SUMIFS(tabela_registros[VALOR],tabela_registros[MÊS],$AE$1,tabela_registros[DIA],agototal3059718395107119[[#Headers],[25]],tabela_registros[REGISTRO],DADOS!$N$4,tabela_registros[TIPO],DADOS!$P$3,tabela_registros[CATEGORIA],despesafixaconsolidadoago[[#This Row],[DESPESA FIXA]])</f>
        <v>0</v>
      </c>
      <c r="AD45" s="91">
        <f>SUMIFS(tabela_registros[VALOR],tabela_registros[MÊS],$AE$1,tabela_registros[DIA],agototal3059718395107119[[#Headers],[26]],tabela_registros[REGISTRO],DADOS!$N$4,tabela_registros[TIPO],DADOS!$P$3,tabela_registros[CATEGORIA],despesafixaconsolidadoago[[#This Row],[DESPESA FIXA]])</f>
        <v>0</v>
      </c>
      <c r="AE45" s="91">
        <f>SUMIFS(tabela_registros[VALOR],tabela_registros[MÊS],$AE$1,tabela_registros[DIA],agototal3059718395107119[[#Headers],[27]],tabela_registros[REGISTRO],DADOS!$N$4,tabela_registros[TIPO],DADOS!$P$3,tabela_registros[CATEGORIA],despesafixaconsolidadoago[[#This Row],[DESPESA FIXA]])</f>
        <v>0</v>
      </c>
      <c r="AF45" s="91">
        <f>SUMIFS(tabela_registros[VALOR],tabela_registros[MÊS],$AE$1,tabela_registros[DIA],agototal3059718395107119[[#Headers],[28]],tabela_registros[REGISTRO],DADOS!$N$4,tabela_registros[TIPO],DADOS!$P$3,tabela_registros[CATEGORIA],despesafixaconsolidadoago[[#This Row],[DESPESA FIXA]])</f>
        <v>0</v>
      </c>
      <c r="AG45" s="91">
        <f>SUMIFS(tabela_registros[VALOR],tabela_registros[MÊS],$AE$1,tabela_registros[DIA],agototal3059718395107119[[#Headers],[29]],tabela_registros[REGISTRO],DADOS!$N$4,tabela_registros[TIPO],DADOS!$P$3,tabela_registros[CATEGORIA],despesafixaconsolidadoago[[#This Row],[DESPESA FIXA]])</f>
        <v>0</v>
      </c>
      <c r="AH45" s="91">
        <f>SUMIFS(tabela_registros[VALOR],tabela_registros[MÊS],$AE$1,tabela_registros[DIA],agototal3059718395107119[[#Headers],[30]],tabela_registros[REGISTRO],DADOS!$N$4,tabela_registros[TIPO],DADOS!$P$3,tabela_registros[CATEGORIA],despesafixaconsolidadoago[[#This Row],[DESPESA FIXA]])</f>
        <v>0</v>
      </c>
      <c r="AI45" s="101">
        <f>SUMIFS(tabela_registros[VALOR],tabela_registros[MÊS],$AE$1,tabela_registros[DIA],agototal3059718395107119[[#Headers],[31]],tabela_registros[REGISTRO],DADOS!$N$4,tabela_registros[TIPO],DADOS!$P$3,tabela_registros[CATEGORIA],despesafixaconsolidadoago[[#This Row],[DESPESA FIXA]])</f>
        <v>0</v>
      </c>
      <c r="AJ45" s="97">
        <f>SUM(despesafixaconsolidadoago[[#This Row],[1]:[31]])</f>
        <v>0</v>
      </c>
      <c r="AK45" s="28"/>
    </row>
    <row r="46" spans="2:37" ht="18" customHeight="1" thickTop="1" thickBot="1" x14ac:dyDescent="0.3">
      <c r="B46" s="28"/>
      <c r="C46" s="27" t="str">
        <f>DADOS!$R$12</f>
        <v>🖱️ INTERNET</v>
      </c>
      <c r="D46" s="26" t="str">
        <f>IF(despesafixaconsolidadoago[[#This Row],[TOTAL]]=0,"",IF(OR(despesafixaconsolidadoago[[#This Row],[TOTAL]]=LARGE($AJ$37:$AJ$50,1),despesafixaconsolidadoago[[#This Row],[TOTAL]]=LARGE($AJ$37:$AJ$50,2),despesafixaconsolidadoago[[#This Row],[TOTAL]]=LARGE($AJ$37:$AJ$50,3),despesafixaconsolidadoago[[#This Row],[TOTAL]]=LARGE($AJ$37:$AJ$50,4),despesafixaconsolidadoago[[#This Row],[TOTAL]]=LARGE($AJ$37:$AJ$50,5)),DADOS!$I$8,""))</f>
        <v/>
      </c>
      <c r="E46" s="96">
        <f>SUMIFS(tabela_registros[VALOR],tabela_registros[MÊS],$AE$1,tabela_registros[DIA],agototal3059718395107119[[#Headers],[1]],tabela_registros[REGISTRO],DADOS!$N$4,tabela_registros[TIPO],DADOS!$P$3,tabela_registros[CATEGORIA],despesafixaconsolidadoago[[#This Row],[DESPESA FIXA]])</f>
        <v>0</v>
      </c>
      <c r="F46" s="91">
        <f>SUMIFS(tabela_registros[VALOR],tabela_registros[MÊS],$AE$1,tabela_registros[DIA],agototal3059718395107119[[#Headers],[2]],tabela_registros[REGISTRO],DADOS!$N$4,tabela_registros[TIPO],DADOS!$P$3,tabela_registros[CATEGORIA],despesafixaconsolidadoago[[#This Row],[DESPESA FIXA]])</f>
        <v>0</v>
      </c>
      <c r="G46" s="91">
        <f>SUMIFS(tabela_registros[VALOR],tabela_registros[MÊS],$AE$1,tabela_registros[DIA],agototal3059718395107119[[#Headers],[3]],tabela_registros[REGISTRO],DADOS!$N$4,tabela_registros[TIPO],DADOS!$P$3,tabela_registros[CATEGORIA],despesafixaconsolidadoago[[#This Row],[DESPESA FIXA]])</f>
        <v>0</v>
      </c>
      <c r="H46" s="91">
        <f>SUMIFS(tabela_registros[VALOR],tabela_registros[MÊS],$AE$1,tabela_registros[DIA],agototal3059718395107119[[#Headers],[4]],tabela_registros[REGISTRO],DADOS!$N$4,tabela_registros[TIPO],DADOS!$P$3,tabela_registros[CATEGORIA],despesafixaconsolidadoago[[#This Row],[DESPESA FIXA]])</f>
        <v>0</v>
      </c>
      <c r="I46" s="91">
        <f>SUMIFS(tabela_registros[VALOR],tabela_registros[MÊS],$AE$1,tabela_registros[DIA],agototal3059718395107119[[#Headers],[5]],tabela_registros[REGISTRO],DADOS!$N$4,tabela_registros[TIPO],DADOS!$P$3,tabela_registros[CATEGORIA],despesafixaconsolidadoago[[#This Row],[DESPESA FIXA]])</f>
        <v>0</v>
      </c>
      <c r="J46" s="91">
        <f>SUMIFS(tabela_registros[VALOR],tabela_registros[MÊS],$AE$1,tabela_registros[DIA],agototal3059718395107119[[#Headers],[6]],tabela_registros[REGISTRO],DADOS!$N$4,tabela_registros[TIPO],DADOS!$P$3,tabela_registros[CATEGORIA],despesafixaconsolidadoago[[#This Row],[DESPESA FIXA]])</f>
        <v>0</v>
      </c>
      <c r="K46" s="91">
        <f>SUMIFS(tabela_registros[VALOR],tabela_registros[MÊS],$AE$1,tabela_registros[DIA],agototal3059718395107119[[#Headers],[7]],tabela_registros[REGISTRO],DADOS!$N$4,tabela_registros[TIPO],DADOS!$P$3,tabela_registros[CATEGORIA],despesafixaconsolidadoago[[#This Row],[DESPESA FIXA]])</f>
        <v>0</v>
      </c>
      <c r="L46" s="91">
        <f>SUMIFS(tabela_registros[VALOR],tabela_registros[MÊS],$AE$1,tabela_registros[DIA],agototal3059718395107119[[#Headers],[8]],tabela_registros[REGISTRO],DADOS!$N$4,tabela_registros[TIPO],DADOS!$P$3,tabela_registros[CATEGORIA],despesafixaconsolidadoago[[#This Row],[DESPESA FIXA]])</f>
        <v>0</v>
      </c>
      <c r="M46" s="91">
        <f>SUMIFS(tabela_registros[VALOR],tabela_registros[MÊS],$AE$1,tabela_registros[DIA],agototal3059718395107119[[#Headers],[9]],tabela_registros[REGISTRO],DADOS!$N$4,tabela_registros[TIPO],DADOS!$P$3,tabela_registros[CATEGORIA],despesafixaconsolidadoago[[#This Row],[DESPESA FIXA]])</f>
        <v>0</v>
      </c>
      <c r="N46" s="91">
        <f>SUMIFS(tabela_registros[VALOR],tabela_registros[MÊS],$AE$1,tabela_registros[DIA],agototal3059718395107119[[#Headers],[10]],tabela_registros[REGISTRO],DADOS!$N$4,tabela_registros[TIPO],DADOS!$P$3,tabela_registros[CATEGORIA],despesafixaconsolidadoago[[#This Row],[DESPESA FIXA]])</f>
        <v>0</v>
      </c>
      <c r="O46" s="91">
        <f>SUMIFS(tabela_registros[VALOR],tabela_registros[MÊS],$AE$1,tabela_registros[DIA],agototal3059718395107119[[#Headers],[11]],tabela_registros[REGISTRO],DADOS!$N$4,tabela_registros[TIPO],DADOS!$P$3,tabela_registros[CATEGORIA],despesafixaconsolidadoago[[#This Row],[DESPESA FIXA]])</f>
        <v>0</v>
      </c>
      <c r="P46" s="91">
        <f>SUMIFS(tabela_registros[VALOR],tabela_registros[MÊS],$AE$1,tabela_registros[DIA],agototal3059718395107119[[#Headers],[12]],tabela_registros[REGISTRO],DADOS!$N$4,tabela_registros[TIPO],DADOS!$P$3,tabela_registros[CATEGORIA],despesafixaconsolidadoago[[#This Row],[DESPESA FIXA]])</f>
        <v>0</v>
      </c>
      <c r="Q46" s="91">
        <f>SUMIFS(tabela_registros[VALOR],tabela_registros[MÊS],$AE$1,tabela_registros[DIA],agototal3059718395107119[[#Headers],[13]],tabela_registros[REGISTRO],DADOS!$N$4,tabela_registros[TIPO],DADOS!$P$3,tabela_registros[CATEGORIA],despesafixaconsolidadoago[[#This Row],[DESPESA FIXA]])</f>
        <v>0</v>
      </c>
      <c r="R46" s="91">
        <f>SUMIFS(tabela_registros[VALOR],tabela_registros[MÊS],$AE$1,tabela_registros[DIA],agototal3059718395107119[[#Headers],[14]],tabela_registros[REGISTRO],DADOS!$N$4,tabela_registros[TIPO],DADOS!$P$3,tabela_registros[CATEGORIA],despesafixaconsolidadoago[[#This Row],[DESPESA FIXA]])</f>
        <v>0</v>
      </c>
      <c r="S46" s="91">
        <f>SUMIFS(tabela_registros[VALOR],tabela_registros[MÊS],$AE$1,tabela_registros[DIA],agototal3059718395107119[[#Headers],[15]],tabela_registros[REGISTRO],DADOS!$N$4,tabela_registros[TIPO],DADOS!$P$3,tabela_registros[CATEGORIA],despesafixaconsolidadoago[[#This Row],[DESPESA FIXA]])</f>
        <v>0</v>
      </c>
      <c r="T46" s="91">
        <f>SUMIFS(tabela_registros[VALOR],tabela_registros[MÊS],$AE$1,tabela_registros[DIA],agototal3059718395107119[[#Headers],[16]],tabela_registros[REGISTRO],DADOS!$N$4,tabela_registros[TIPO],DADOS!$P$3,tabela_registros[CATEGORIA],despesafixaconsolidadoago[[#This Row],[DESPESA FIXA]])</f>
        <v>0</v>
      </c>
      <c r="U46" s="91">
        <f>SUMIFS(tabela_registros[VALOR],tabela_registros[MÊS],$AE$1,tabela_registros[DIA],agototal3059718395107119[[#Headers],[17]],tabela_registros[REGISTRO],DADOS!$N$4,tabela_registros[TIPO],DADOS!$P$3,tabela_registros[CATEGORIA],despesafixaconsolidadoago[[#This Row],[DESPESA FIXA]])</f>
        <v>0</v>
      </c>
      <c r="V46" s="91">
        <f>SUMIFS(tabela_registros[VALOR],tabela_registros[MÊS],$AE$1,tabela_registros[DIA],agototal3059718395107119[[#Headers],[18]],tabela_registros[REGISTRO],DADOS!$N$4,tabela_registros[TIPO],DADOS!$P$3,tabela_registros[CATEGORIA],despesafixaconsolidadoago[[#This Row],[DESPESA FIXA]])</f>
        <v>0</v>
      </c>
      <c r="W46" s="91">
        <f>SUMIFS(tabela_registros[VALOR],tabela_registros[MÊS],$AE$1,tabela_registros[DIA],agototal3059718395107119[[#Headers],[19]],tabela_registros[REGISTRO],DADOS!$N$4,tabela_registros[TIPO],DADOS!$P$3,tabela_registros[CATEGORIA],despesafixaconsolidadoago[[#This Row],[DESPESA FIXA]])</f>
        <v>0</v>
      </c>
      <c r="X46" s="91">
        <f>SUMIFS(tabela_registros[VALOR],tabela_registros[MÊS],$AE$1,tabela_registros[DIA],agototal3059718395107119[[#Headers],[20]],tabela_registros[REGISTRO],DADOS!$N$4,tabela_registros[TIPO],DADOS!$P$3,tabela_registros[CATEGORIA],despesafixaconsolidadoago[[#This Row],[DESPESA FIXA]])</f>
        <v>0</v>
      </c>
      <c r="Y46" s="91">
        <f>SUMIFS(tabela_registros[VALOR],tabela_registros[MÊS],$AE$1,tabela_registros[DIA],agototal3059718395107119[[#Headers],[21]],tabela_registros[REGISTRO],DADOS!$N$4,tabela_registros[TIPO],DADOS!$P$3,tabela_registros[CATEGORIA],despesafixaconsolidadoago[[#This Row],[DESPESA FIXA]])</f>
        <v>0</v>
      </c>
      <c r="Z46" s="91">
        <f>SUMIFS(tabela_registros[VALOR],tabela_registros[MÊS],$AE$1,tabela_registros[DIA],agototal3059718395107119[[#Headers],[22]],tabela_registros[REGISTRO],DADOS!$N$4,tabela_registros[TIPO],DADOS!$P$3,tabela_registros[CATEGORIA],despesafixaconsolidadoago[[#This Row],[DESPESA FIXA]])</f>
        <v>0</v>
      </c>
      <c r="AA46" s="91">
        <f>SUMIFS(tabela_registros[VALOR],tabela_registros[MÊS],$AE$1,tabela_registros[DIA],agototal3059718395107119[[#Headers],[23]],tabela_registros[REGISTRO],DADOS!$N$4,tabela_registros[TIPO],DADOS!$P$3,tabela_registros[CATEGORIA],despesafixaconsolidadoago[[#This Row],[DESPESA FIXA]])</f>
        <v>0</v>
      </c>
      <c r="AB46" s="91">
        <f>SUMIFS(tabela_registros[VALOR],tabela_registros[MÊS],$AE$1,tabela_registros[DIA],agototal3059718395107119[[#Headers],[24]],tabela_registros[REGISTRO],DADOS!$N$4,tabela_registros[TIPO],DADOS!$P$3,tabela_registros[CATEGORIA],despesafixaconsolidadoago[[#This Row],[DESPESA FIXA]])</f>
        <v>0</v>
      </c>
      <c r="AC46" s="91">
        <f>SUMIFS(tabela_registros[VALOR],tabela_registros[MÊS],$AE$1,tabela_registros[DIA],agototal3059718395107119[[#Headers],[25]],tabela_registros[REGISTRO],DADOS!$N$4,tabela_registros[TIPO],DADOS!$P$3,tabela_registros[CATEGORIA],despesafixaconsolidadoago[[#This Row],[DESPESA FIXA]])</f>
        <v>0</v>
      </c>
      <c r="AD46" s="91">
        <f>SUMIFS(tabela_registros[VALOR],tabela_registros[MÊS],$AE$1,tabela_registros[DIA],agototal3059718395107119[[#Headers],[26]],tabela_registros[REGISTRO],DADOS!$N$4,tabela_registros[TIPO],DADOS!$P$3,tabela_registros[CATEGORIA],despesafixaconsolidadoago[[#This Row],[DESPESA FIXA]])</f>
        <v>0</v>
      </c>
      <c r="AE46" s="91">
        <f>SUMIFS(tabela_registros[VALOR],tabela_registros[MÊS],$AE$1,tabela_registros[DIA],agototal3059718395107119[[#Headers],[27]],tabela_registros[REGISTRO],DADOS!$N$4,tabela_registros[TIPO],DADOS!$P$3,tabela_registros[CATEGORIA],despesafixaconsolidadoago[[#This Row],[DESPESA FIXA]])</f>
        <v>0</v>
      </c>
      <c r="AF46" s="91">
        <f>SUMIFS(tabela_registros[VALOR],tabela_registros[MÊS],$AE$1,tabela_registros[DIA],agototal3059718395107119[[#Headers],[28]],tabela_registros[REGISTRO],DADOS!$N$4,tabela_registros[TIPO],DADOS!$P$3,tabela_registros[CATEGORIA],despesafixaconsolidadoago[[#This Row],[DESPESA FIXA]])</f>
        <v>0</v>
      </c>
      <c r="AG46" s="91">
        <f>SUMIFS(tabela_registros[VALOR],tabela_registros[MÊS],$AE$1,tabela_registros[DIA],agototal3059718395107119[[#Headers],[29]],tabela_registros[REGISTRO],DADOS!$N$4,tabela_registros[TIPO],DADOS!$P$3,tabela_registros[CATEGORIA],despesafixaconsolidadoago[[#This Row],[DESPESA FIXA]])</f>
        <v>0</v>
      </c>
      <c r="AH46" s="91">
        <f>SUMIFS(tabela_registros[VALOR],tabela_registros[MÊS],$AE$1,tabela_registros[DIA],agototal3059718395107119[[#Headers],[30]],tabela_registros[REGISTRO],DADOS!$N$4,tabela_registros[TIPO],DADOS!$P$3,tabela_registros[CATEGORIA],despesafixaconsolidadoago[[#This Row],[DESPESA FIXA]])</f>
        <v>0</v>
      </c>
      <c r="AI46" s="101">
        <f>SUMIFS(tabela_registros[VALOR],tabela_registros[MÊS],$AE$1,tabela_registros[DIA],agototal3059718395107119[[#Headers],[31]],tabela_registros[REGISTRO],DADOS!$N$4,tabela_registros[TIPO],DADOS!$P$3,tabela_registros[CATEGORIA],despesafixaconsolidadoago[[#This Row],[DESPESA FIXA]])</f>
        <v>0</v>
      </c>
      <c r="AJ46" s="97">
        <f>SUM(despesafixaconsolidadoago[[#This Row],[1]:[31]])</f>
        <v>0</v>
      </c>
      <c r="AK46" s="28"/>
    </row>
    <row r="47" spans="2:37" ht="18" customHeight="1" thickTop="1" thickBot="1" x14ac:dyDescent="0.3">
      <c r="B47" s="28"/>
      <c r="C47" s="27" t="str">
        <f>DADOS!$R$13</f>
        <v>🏠 MORADIA</v>
      </c>
      <c r="D47" s="26" t="str">
        <f>IF(despesafixaconsolidadoago[[#This Row],[TOTAL]]=0,"",IF(OR(despesafixaconsolidadoago[[#This Row],[TOTAL]]=LARGE($AJ$37:$AJ$50,1),despesafixaconsolidadoago[[#This Row],[TOTAL]]=LARGE($AJ$37:$AJ$50,2),despesafixaconsolidadoago[[#This Row],[TOTAL]]=LARGE($AJ$37:$AJ$50,3),despesafixaconsolidadoago[[#This Row],[TOTAL]]=LARGE($AJ$37:$AJ$50,4),despesafixaconsolidadoago[[#This Row],[TOTAL]]=LARGE($AJ$37:$AJ$50,5)),DADOS!$I$8,""))</f>
        <v/>
      </c>
      <c r="E47" s="96">
        <f>SUMIFS(tabela_registros[VALOR],tabela_registros[MÊS],$AE$1,tabela_registros[DIA],agototal3059718395107119[[#Headers],[1]],tabela_registros[REGISTRO],DADOS!$N$4,tabela_registros[TIPO],DADOS!$P$3,tabela_registros[CATEGORIA],despesafixaconsolidadoago[[#This Row],[DESPESA FIXA]])</f>
        <v>0</v>
      </c>
      <c r="F47" s="91">
        <f>SUMIFS(tabela_registros[VALOR],tabela_registros[MÊS],$AE$1,tabela_registros[DIA],agototal3059718395107119[[#Headers],[2]],tabela_registros[REGISTRO],DADOS!$N$4,tabela_registros[TIPO],DADOS!$P$3,tabela_registros[CATEGORIA],despesafixaconsolidadoago[[#This Row],[DESPESA FIXA]])</f>
        <v>0</v>
      </c>
      <c r="G47" s="91">
        <f>SUMIFS(tabela_registros[VALOR],tabela_registros[MÊS],$AE$1,tabela_registros[DIA],agototal3059718395107119[[#Headers],[3]],tabela_registros[REGISTRO],DADOS!$N$4,tabela_registros[TIPO],DADOS!$P$3,tabela_registros[CATEGORIA],despesafixaconsolidadoago[[#This Row],[DESPESA FIXA]])</f>
        <v>0</v>
      </c>
      <c r="H47" s="91">
        <f>SUMIFS(tabela_registros[VALOR],tabela_registros[MÊS],$AE$1,tabela_registros[DIA],agototal3059718395107119[[#Headers],[4]],tabela_registros[REGISTRO],DADOS!$N$4,tabela_registros[TIPO],DADOS!$P$3,tabela_registros[CATEGORIA],despesafixaconsolidadoago[[#This Row],[DESPESA FIXA]])</f>
        <v>0</v>
      </c>
      <c r="I47" s="91">
        <f>SUMIFS(tabela_registros[VALOR],tabela_registros[MÊS],$AE$1,tabela_registros[DIA],agototal3059718395107119[[#Headers],[5]],tabela_registros[REGISTRO],DADOS!$N$4,tabela_registros[TIPO],DADOS!$P$3,tabela_registros[CATEGORIA],despesafixaconsolidadoago[[#This Row],[DESPESA FIXA]])</f>
        <v>0</v>
      </c>
      <c r="J47" s="91">
        <f>SUMIFS(tabela_registros[VALOR],tabela_registros[MÊS],$AE$1,tabela_registros[DIA],agototal3059718395107119[[#Headers],[6]],tabela_registros[REGISTRO],DADOS!$N$4,tabela_registros[TIPO],DADOS!$P$3,tabela_registros[CATEGORIA],despesafixaconsolidadoago[[#This Row],[DESPESA FIXA]])</f>
        <v>0</v>
      </c>
      <c r="K47" s="91">
        <f>SUMIFS(tabela_registros[VALOR],tabela_registros[MÊS],$AE$1,tabela_registros[DIA],agototal3059718395107119[[#Headers],[7]],tabela_registros[REGISTRO],DADOS!$N$4,tabela_registros[TIPO],DADOS!$P$3,tabela_registros[CATEGORIA],despesafixaconsolidadoago[[#This Row],[DESPESA FIXA]])</f>
        <v>0</v>
      </c>
      <c r="L47" s="91">
        <f>SUMIFS(tabela_registros[VALOR],tabela_registros[MÊS],$AE$1,tabela_registros[DIA],agototal3059718395107119[[#Headers],[8]],tabela_registros[REGISTRO],DADOS!$N$4,tabela_registros[TIPO],DADOS!$P$3,tabela_registros[CATEGORIA],despesafixaconsolidadoago[[#This Row],[DESPESA FIXA]])</f>
        <v>0</v>
      </c>
      <c r="M47" s="91">
        <f>SUMIFS(tabela_registros[VALOR],tabela_registros[MÊS],$AE$1,tabela_registros[DIA],agototal3059718395107119[[#Headers],[9]],tabela_registros[REGISTRO],DADOS!$N$4,tabela_registros[TIPO],DADOS!$P$3,tabela_registros[CATEGORIA],despesafixaconsolidadoago[[#This Row],[DESPESA FIXA]])</f>
        <v>0</v>
      </c>
      <c r="N47" s="91">
        <f>SUMIFS(tabela_registros[VALOR],tabela_registros[MÊS],$AE$1,tabela_registros[DIA],agototal3059718395107119[[#Headers],[10]],tabela_registros[REGISTRO],DADOS!$N$4,tabela_registros[TIPO],DADOS!$P$3,tabela_registros[CATEGORIA],despesafixaconsolidadoago[[#This Row],[DESPESA FIXA]])</f>
        <v>0</v>
      </c>
      <c r="O47" s="91">
        <f>SUMIFS(tabela_registros[VALOR],tabela_registros[MÊS],$AE$1,tabela_registros[DIA],agototal3059718395107119[[#Headers],[11]],tabela_registros[REGISTRO],DADOS!$N$4,tabela_registros[TIPO],DADOS!$P$3,tabela_registros[CATEGORIA],despesafixaconsolidadoago[[#This Row],[DESPESA FIXA]])</f>
        <v>0</v>
      </c>
      <c r="P47" s="91">
        <f>SUMIFS(tabela_registros[VALOR],tabela_registros[MÊS],$AE$1,tabela_registros[DIA],agototal3059718395107119[[#Headers],[12]],tabela_registros[REGISTRO],DADOS!$N$4,tabela_registros[TIPO],DADOS!$P$3,tabela_registros[CATEGORIA],despesafixaconsolidadoago[[#This Row],[DESPESA FIXA]])</f>
        <v>0</v>
      </c>
      <c r="Q47" s="91">
        <f>SUMIFS(tabela_registros[VALOR],tabela_registros[MÊS],$AE$1,tabela_registros[DIA],agototal3059718395107119[[#Headers],[13]],tabela_registros[REGISTRO],DADOS!$N$4,tabela_registros[TIPO],DADOS!$P$3,tabela_registros[CATEGORIA],despesafixaconsolidadoago[[#This Row],[DESPESA FIXA]])</f>
        <v>0</v>
      </c>
      <c r="R47" s="91">
        <f>SUMIFS(tabela_registros[VALOR],tabela_registros[MÊS],$AE$1,tabela_registros[DIA],agototal3059718395107119[[#Headers],[14]],tabela_registros[REGISTRO],DADOS!$N$4,tabela_registros[TIPO],DADOS!$P$3,tabela_registros[CATEGORIA],despesafixaconsolidadoago[[#This Row],[DESPESA FIXA]])</f>
        <v>0</v>
      </c>
      <c r="S47" s="91">
        <f>SUMIFS(tabela_registros[VALOR],tabela_registros[MÊS],$AE$1,tabela_registros[DIA],agototal3059718395107119[[#Headers],[15]],tabela_registros[REGISTRO],DADOS!$N$4,tabela_registros[TIPO],DADOS!$P$3,tabela_registros[CATEGORIA],despesafixaconsolidadoago[[#This Row],[DESPESA FIXA]])</f>
        <v>0</v>
      </c>
      <c r="T47" s="91">
        <f>SUMIFS(tabela_registros[VALOR],tabela_registros[MÊS],$AE$1,tabela_registros[DIA],agototal3059718395107119[[#Headers],[16]],tabela_registros[REGISTRO],DADOS!$N$4,tabela_registros[TIPO],DADOS!$P$3,tabela_registros[CATEGORIA],despesafixaconsolidadoago[[#This Row],[DESPESA FIXA]])</f>
        <v>0</v>
      </c>
      <c r="U47" s="91">
        <f>SUMIFS(tabela_registros[VALOR],tabela_registros[MÊS],$AE$1,tabela_registros[DIA],agototal3059718395107119[[#Headers],[17]],tabela_registros[REGISTRO],DADOS!$N$4,tabela_registros[TIPO],DADOS!$P$3,tabela_registros[CATEGORIA],despesafixaconsolidadoago[[#This Row],[DESPESA FIXA]])</f>
        <v>0</v>
      </c>
      <c r="V47" s="91">
        <f>SUMIFS(tabela_registros[VALOR],tabela_registros[MÊS],$AE$1,tabela_registros[DIA],agototal3059718395107119[[#Headers],[18]],tabela_registros[REGISTRO],DADOS!$N$4,tabela_registros[TIPO],DADOS!$P$3,tabela_registros[CATEGORIA],despesafixaconsolidadoago[[#This Row],[DESPESA FIXA]])</f>
        <v>0</v>
      </c>
      <c r="W47" s="91">
        <f>SUMIFS(tabela_registros[VALOR],tabela_registros[MÊS],$AE$1,tabela_registros[DIA],agototal3059718395107119[[#Headers],[19]],tabela_registros[REGISTRO],DADOS!$N$4,tabela_registros[TIPO],DADOS!$P$3,tabela_registros[CATEGORIA],despesafixaconsolidadoago[[#This Row],[DESPESA FIXA]])</f>
        <v>0</v>
      </c>
      <c r="X47" s="91">
        <f>SUMIFS(tabela_registros[VALOR],tabela_registros[MÊS],$AE$1,tabela_registros[DIA],agototal3059718395107119[[#Headers],[20]],tabela_registros[REGISTRO],DADOS!$N$4,tabela_registros[TIPO],DADOS!$P$3,tabela_registros[CATEGORIA],despesafixaconsolidadoago[[#This Row],[DESPESA FIXA]])</f>
        <v>0</v>
      </c>
      <c r="Y47" s="91">
        <f>SUMIFS(tabela_registros[VALOR],tabela_registros[MÊS],$AE$1,tabela_registros[DIA],agototal3059718395107119[[#Headers],[21]],tabela_registros[REGISTRO],DADOS!$N$4,tabela_registros[TIPO],DADOS!$P$3,tabela_registros[CATEGORIA],despesafixaconsolidadoago[[#This Row],[DESPESA FIXA]])</f>
        <v>0</v>
      </c>
      <c r="Z47" s="91">
        <f>SUMIFS(tabela_registros[VALOR],tabela_registros[MÊS],$AE$1,tabela_registros[DIA],agototal3059718395107119[[#Headers],[22]],tabela_registros[REGISTRO],DADOS!$N$4,tabela_registros[TIPO],DADOS!$P$3,tabela_registros[CATEGORIA],despesafixaconsolidadoago[[#This Row],[DESPESA FIXA]])</f>
        <v>0</v>
      </c>
      <c r="AA47" s="91">
        <f>SUMIFS(tabela_registros[VALOR],tabela_registros[MÊS],$AE$1,tabela_registros[DIA],agototal3059718395107119[[#Headers],[23]],tabela_registros[REGISTRO],DADOS!$N$4,tabela_registros[TIPO],DADOS!$P$3,tabela_registros[CATEGORIA],despesafixaconsolidadoago[[#This Row],[DESPESA FIXA]])</f>
        <v>0</v>
      </c>
      <c r="AB47" s="91">
        <f>SUMIFS(tabela_registros[VALOR],tabela_registros[MÊS],$AE$1,tabela_registros[DIA],agototal3059718395107119[[#Headers],[24]],tabela_registros[REGISTRO],DADOS!$N$4,tabela_registros[TIPO],DADOS!$P$3,tabela_registros[CATEGORIA],despesafixaconsolidadoago[[#This Row],[DESPESA FIXA]])</f>
        <v>0</v>
      </c>
      <c r="AC47" s="91">
        <f>SUMIFS(tabela_registros[VALOR],tabela_registros[MÊS],$AE$1,tabela_registros[DIA],agototal3059718395107119[[#Headers],[25]],tabela_registros[REGISTRO],DADOS!$N$4,tabela_registros[TIPO],DADOS!$P$3,tabela_registros[CATEGORIA],despesafixaconsolidadoago[[#This Row],[DESPESA FIXA]])</f>
        <v>0</v>
      </c>
      <c r="AD47" s="91">
        <f>SUMIFS(tabela_registros[VALOR],tabela_registros[MÊS],$AE$1,tabela_registros[DIA],agototal3059718395107119[[#Headers],[26]],tabela_registros[REGISTRO],DADOS!$N$4,tabela_registros[TIPO],DADOS!$P$3,tabela_registros[CATEGORIA],despesafixaconsolidadoago[[#This Row],[DESPESA FIXA]])</f>
        <v>0</v>
      </c>
      <c r="AE47" s="91">
        <f>SUMIFS(tabela_registros[VALOR],tabela_registros[MÊS],$AE$1,tabela_registros[DIA],agototal3059718395107119[[#Headers],[27]],tabela_registros[REGISTRO],DADOS!$N$4,tabela_registros[TIPO],DADOS!$P$3,tabela_registros[CATEGORIA],despesafixaconsolidadoago[[#This Row],[DESPESA FIXA]])</f>
        <v>0</v>
      </c>
      <c r="AF47" s="91">
        <f>SUMIFS(tabela_registros[VALOR],tabela_registros[MÊS],$AE$1,tabela_registros[DIA],agototal3059718395107119[[#Headers],[28]],tabela_registros[REGISTRO],DADOS!$N$4,tabela_registros[TIPO],DADOS!$P$3,tabela_registros[CATEGORIA],despesafixaconsolidadoago[[#This Row],[DESPESA FIXA]])</f>
        <v>0</v>
      </c>
      <c r="AG47" s="91">
        <f>SUMIFS(tabela_registros[VALOR],tabela_registros[MÊS],$AE$1,tabela_registros[DIA],agototal3059718395107119[[#Headers],[29]],tabela_registros[REGISTRO],DADOS!$N$4,tabela_registros[TIPO],DADOS!$P$3,tabela_registros[CATEGORIA],despesafixaconsolidadoago[[#This Row],[DESPESA FIXA]])</f>
        <v>0</v>
      </c>
      <c r="AH47" s="91">
        <f>SUMIFS(tabela_registros[VALOR],tabela_registros[MÊS],$AE$1,tabela_registros[DIA],agototal3059718395107119[[#Headers],[30]],tabela_registros[REGISTRO],DADOS!$N$4,tabela_registros[TIPO],DADOS!$P$3,tabela_registros[CATEGORIA],despesafixaconsolidadoago[[#This Row],[DESPESA FIXA]])</f>
        <v>0</v>
      </c>
      <c r="AI47" s="101">
        <f>SUMIFS(tabela_registros[VALOR],tabela_registros[MÊS],$AE$1,tabela_registros[DIA],agototal3059718395107119[[#Headers],[31]],tabela_registros[REGISTRO],DADOS!$N$4,tabela_registros[TIPO],DADOS!$P$3,tabela_registros[CATEGORIA],despesafixaconsolidadoago[[#This Row],[DESPESA FIXA]])</f>
        <v>0</v>
      </c>
      <c r="AJ47" s="97">
        <f>SUM(despesafixaconsolidadoago[[#This Row],[1]:[31]])</f>
        <v>0</v>
      </c>
      <c r="AK47" s="28"/>
    </row>
    <row r="48" spans="2:37" ht="18" customHeight="1" thickTop="1" thickBot="1" x14ac:dyDescent="0.3">
      <c r="B48" s="28"/>
      <c r="C48" s="27" t="str">
        <f>DADOS!$R$14</f>
        <v>💊 SAÚDE</v>
      </c>
      <c r="D48" s="26" t="str">
        <f>IF(despesafixaconsolidadoago[[#This Row],[TOTAL]]=0,"",IF(OR(despesafixaconsolidadoago[[#This Row],[TOTAL]]=LARGE($AJ$37:$AJ$50,1),despesafixaconsolidadoago[[#This Row],[TOTAL]]=LARGE($AJ$37:$AJ$50,2),despesafixaconsolidadoago[[#This Row],[TOTAL]]=LARGE($AJ$37:$AJ$50,3),despesafixaconsolidadoago[[#This Row],[TOTAL]]=LARGE($AJ$37:$AJ$50,4),despesafixaconsolidadoago[[#This Row],[TOTAL]]=LARGE($AJ$37:$AJ$50,5)),DADOS!$I$8,""))</f>
        <v/>
      </c>
      <c r="E48" s="96">
        <f>SUMIFS(tabela_registros[VALOR],tabela_registros[MÊS],$AE$1,tabela_registros[DIA],agototal3059718395107119[[#Headers],[1]],tabela_registros[REGISTRO],DADOS!$N$4,tabela_registros[TIPO],DADOS!$P$3,tabela_registros[CATEGORIA],despesafixaconsolidadoago[[#This Row],[DESPESA FIXA]])</f>
        <v>0</v>
      </c>
      <c r="F48" s="91">
        <f>SUMIFS(tabela_registros[VALOR],tabela_registros[MÊS],$AE$1,tabela_registros[DIA],agototal3059718395107119[[#Headers],[2]],tabela_registros[REGISTRO],DADOS!$N$4,tabela_registros[TIPO],DADOS!$P$3,tabela_registros[CATEGORIA],despesafixaconsolidadoago[[#This Row],[DESPESA FIXA]])</f>
        <v>0</v>
      </c>
      <c r="G48" s="91">
        <f>SUMIFS(tabela_registros[VALOR],tabela_registros[MÊS],$AE$1,tabela_registros[DIA],agototal3059718395107119[[#Headers],[3]],tabela_registros[REGISTRO],DADOS!$N$4,tabela_registros[TIPO],DADOS!$P$3,tabela_registros[CATEGORIA],despesafixaconsolidadoago[[#This Row],[DESPESA FIXA]])</f>
        <v>0</v>
      </c>
      <c r="H48" s="91">
        <f>SUMIFS(tabela_registros[VALOR],tabela_registros[MÊS],$AE$1,tabela_registros[DIA],agototal3059718395107119[[#Headers],[4]],tabela_registros[REGISTRO],DADOS!$N$4,tabela_registros[TIPO],DADOS!$P$3,tabela_registros[CATEGORIA],despesafixaconsolidadoago[[#This Row],[DESPESA FIXA]])</f>
        <v>0</v>
      </c>
      <c r="I48" s="91">
        <f>SUMIFS(tabela_registros[VALOR],tabela_registros[MÊS],$AE$1,tabela_registros[DIA],agototal3059718395107119[[#Headers],[5]],tabela_registros[REGISTRO],DADOS!$N$4,tabela_registros[TIPO],DADOS!$P$3,tabela_registros[CATEGORIA],despesafixaconsolidadoago[[#This Row],[DESPESA FIXA]])</f>
        <v>0</v>
      </c>
      <c r="J48" s="91">
        <f>SUMIFS(tabela_registros[VALOR],tabela_registros[MÊS],$AE$1,tabela_registros[DIA],agototal3059718395107119[[#Headers],[6]],tabela_registros[REGISTRO],DADOS!$N$4,tabela_registros[TIPO],DADOS!$P$3,tabela_registros[CATEGORIA],despesafixaconsolidadoago[[#This Row],[DESPESA FIXA]])</f>
        <v>0</v>
      </c>
      <c r="K48" s="91">
        <f>SUMIFS(tabela_registros[VALOR],tabela_registros[MÊS],$AE$1,tabela_registros[DIA],agototal3059718395107119[[#Headers],[7]],tabela_registros[REGISTRO],DADOS!$N$4,tabela_registros[TIPO],DADOS!$P$3,tabela_registros[CATEGORIA],despesafixaconsolidadoago[[#This Row],[DESPESA FIXA]])</f>
        <v>0</v>
      </c>
      <c r="L48" s="91">
        <f>SUMIFS(tabela_registros[VALOR],tabela_registros[MÊS],$AE$1,tabela_registros[DIA],agototal3059718395107119[[#Headers],[8]],tabela_registros[REGISTRO],DADOS!$N$4,tabela_registros[TIPO],DADOS!$P$3,tabela_registros[CATEGORIA],despesafixaconsolidadoago[[#This Row],[DESPESA FIXA]])</f>
        <v>0</v>
      </c>
      <c r="M48" s="91">
        <f>SUMIFS(tabela_registros[VALOR],tabela_registros[MÊS],$AE$1,tabela_registros[DIA],agototal3059718395107119[[#Headers],[9]],tabela_registros[REGISTRO],DADOS!$N$4,tabela_registros[TIPO],DADOS!$P$3,tabela_registros[CATEGORIA],despesafixaconsolidadoago[[#This Row],[DESPESA FIXA]])</f>
        <v>0</v>
      </c>
      <c r="N48" s="91">
        <f>SUMIFS(tabela_registros[VALOR],tabela_registros[MÊS],$AE$1,tabela_registros[DIA],agototal3059718395107119[[#Headers],[10]],tabela_registros[REGISTRO],DADOS!$N$4,tabela_registros[TIPO],DADOS!$P$3,tabela_registros[CATEGORIA],despesafixaconsolidadoago[[#This Row],[DESPESA FIXA]])</f>
        <v>0</v>
      </c>
      <c r="O48" s="91">
        <f>SUMIFS(tabela_registros[VALOR],tabela_registros[MÊS],$AE$1,tabela_registros[DIA],agototal3059718395107119[[#Headers],[11]],tabela_registros[REGISTRO],DADOS!$N$4,tabela_registros[TIPO],DADOS!$P$3,tabela_registros[CATEGORIA],despesafixaconsolidadoago[[#This Row],[DESPESA FIXA]])</f>
        <v>0</v>
      </c>
      <c r="P48" s="91">
        <f>SUMIFS(tabela_registros[VALOR],tabela_registros[MÊS],$AE$1,tabela_registros[DIA],agototal3059718395107119[[#Headers],[12]],tabela_registros[REGISTRO],DADOS!$N$4,tabela_registros[TIPO],DADOS!$P$3,tabela_registros[CATEGORIA],despesafixaconsolidadoago[[#This Row],[DESPESA FIXA]])</f>
        <v>0</v>
      </c>
      <c r="Q48" s="91">
        <f>SUMIFS(tabela_registros[VALOR],tabela_registros[MÊS],$AE$1,tabela_registros[DIA],agototal3059718395107119[[#Headers],[13]],tabela_registros[REGISTRO],DADOS!$N$4,tabela_registros[TIPO],DADOS!$P$3,tabela_registros[CATEGORIA],despesafixaconsolidadoago[[#This Row],[DESPESA FIXA]])</f>
        <v>0</v>
      </c>
      <c r="R48" s="91">
        <f>SUMIFS(tabela_registros[VALOR],tabela_registros[MÊS],$AE$1,tabela_registros[DIA],agototal3059718395107119[[#Headers],[14]],tabela_registros[REGISTRO],DADOS!$N$4,tabela_registros[TIPO],DADOS!$P$3,tabela_registros[CATEGORIA],despesafixaconsolidadoago[[#This Row],[DESPESA FIXA]])</f>
        <v>0</v>
      </c>
      <c r="S48" s="91">
        <f>SUMIFS(tabela_registros[VALOR],tabela_registros[MÊS],$AE$1,tabela_registros[DIA],agototal3059718395107119[[#Headers],[15]],tabela_registros[REGISTRO],DADOS!$N$4,tabela_registros[TIPO],DADOS!$P$3,tabela_registros[CATEGORIA],despesafixaconsolidadoago[[#This Row],[DESPESA FIXA]])</f>
        <v>0</v>
      </c>
      <c r="T48" s="91">
        <f>SUMIFS(tabela_registros[VALOR],tabela_registros[MÊS],$AE$1,tabela_registros[DIA],agototal3059718395107119[[#Headers],[16]],tabela_registros[REGISTRO],DADOS!$N$4,tabela_registros[TIPO],DADOS!$P$3,tabela_registros[CATEGORIA],despesafixaconsolidadoago[[#This Row],[DESPESA FIXA]])</f>
        <v>0</v>
      </c>
      <c r="U48" s="91">
        <f>SUMIFS(tabela_registros[VALOR],tabela_registros[MÊS],$AE$1,tabela_registros[DIA],agototal3059718395107119[[#Headers],[17]],tabela_registros[REGISTRO],DADOS!$N$4,tabela_registros[TIPO],DADOS!$P$3,tabela_registros[CATEGORIA],despesafixaconsolidadoago[[#This Row],[DESPESA FIXA]])</f>
        <v>0</v>
      </c>
      <c r="V48" s="91">
        <f>SUMIFS(tabela_registros[VALOR],tabela_registros[MÊS],$AE$1,tabela_registros[DIA],agototal3059718395107119[[#Headers],[18]],tabela_registros[REGISTRO],DADOS!$N$4,tabela_registros[TIPO],DADOS!$P$3,tabela_registros[CATEGORIA],despesafixaconsolidadoago[[#This Row],[DESPESA FIXA]])</f>
        <v>0</v>
      </c>
      <c r="W48" s="91">
        <f>SUMIFS(tabela_registros[VALOR],tabela_registros[MÊS],$AE$1,tabela_registros[DIA],agototal3059718395107119[[#Headers],[19]],tabela_registros[REGISTRO],DADOS!$N$4,tabela_registros[TIPO],DADOS!$P$3,tabela_registros[CATEGORIA],despesafixaconsolidadoago[[#This Row],[DESPESA FIXA]])</f>
        <v>0</v>
      </c>
      <c r="X48" s="91">
        <f>SUMIFS(tabela_registros[VALOR],tabela_registros[MÊS],$AE$1,tabela_registros[DIA],agototal3059718395107119[[#Headers],[20]],tabela_registros[REGISTRO],DADOS!$N$4,tabela_registros[TIPO],DADOS!$P$3,tabela_registros[CATEGORIA],despesafixaconsolidadoago[[#This Row],[DESPESA FIXA]])</f>
        <v>0</v>
      </c>
      <c r="Y48" s="91">
        <f>SUMIFS(tabela_registros[VALOR],tabela_registros[MÊS],$AE$1,tabela_registros[DIA],agototal3059718395107119[[#Headers],[21]],tabela_registros[REGISTRO],DADOS!$N$4,tabela_registros[TIPO],DADOS!$P$3,tabela_registros[CATEGORIA],despesafixaconsolidadoago[[#This Row],[DESPESA FIXA]])</f>
        <v>0</v>
      </c>
      <c r="Z48" s="91">
        <f>SUMIFS(tabela_registros[VALOR],tabela_registros[MÊS],$AE$1,tabela_registros[DIA],agototal3059718395107119[[#Headers],[22]],tabela_registros[REGISTRO],DADOS!$N$4,tabela_registros[TIPO],DADOS!$P$3,tabela_registros[CATEGORIA],despesafixaconsolidadoago[[#This Row],[DESPESA FIXA]])</f>
        <v>0</v>
      </c>
      <c r="AA48" s="91">
        <f>SUMIFS(tabela_registros[VALOR],tabela_registros[MÊS],$AE$1,tabela_registros[DIA],agototal3059718395107119[[#Headers],[23]],tabela_registros[REGISTRO],DADOS!$N$4,tabela_registros[TIPO],DADOS!$P$3,tabela_registros[CATEGORIA],despesafixaconsolidadoago[[#This Row],[DESPESA FIXA]])</f>
        <v>0</v>
      </c>
      <c r="AB48" s="91">
        <f>SUMIFS(tabela_registros[VALOR],tabela_registros[MÊS],$AE$1,tabela_registros[DIA],agototal3059718395107119[[#Headers],[24]],tabela_registros[REGISTRO],DADOS!$N$4,tabela_registros[TIPO],DADOS!$P$3,tabela_registros[CATEGORIA],despesafixaconsolidadoago[[#This Row],[DESPESA FIXA]])</f>
        <v>0</v>
      </c>
      <c r="AC48" s="91">
        <f>SUMIFS(tabela_registros[VALOR],tabela_registros[MÊS],$AE$1,tabela_registros[DIA],agototal3059718395107119[[#Headers],[25]],tabela_registros[REGISTRO],DADOS!$N$4,tabela_registros[TIPO],DADOS!$P$3,tabela_registros[CATEGORIA],despesafixaconsolidadoago[[#This Row],[DESPESA FIXA]])</f>
        <v>0</v>
      </c>
      <c r="AD48" s="91">
        <f>SUMIFS(tabela_registros[VALOR],tabela_registros[MÊS],$AE$1,tabela_registros[DIA],agototal3059718395107119[[#Headers],[26]],tabela_registros[REGISTRO],DADOS!$N$4,tabela_registros[TIPO],DADOS!$P$3,tabela_registros[CATEGORIA],despesafixaconsolidadoago[[#This Row],[DESPESA FIXA]])</f>
        <v>0</v>
      </c>
      <c r="AE48" s="91">
        <f>SUMIFS(tabela_registros[VALOR],tabela_registros[MÊS],$AE$1,tabela_registros[DIA],agototal3059718395107119[[#Headers],[27]],tabela_registros[REGISTRO],DADOS!$N$4,tabela_registros[TIPO],DADOS!$P$3,tabela_registros[CATEGORIA],despesafixaconsolidadoago[[#This Row],[DESPESA FIXA]])</f>
        <v>0</v>
      </c>
      <c r="AF48" s="91">
        <f>SUMIFS(tabela_registros[VALOR],tabela_registros[MÊS],$AE$1,tabela_registros[DIA],agototal3059718395107119[[#Headers],[28]],tabela_registros[REGISTRO],DADOS!$N$4,tabela_registros[TIPO],DADOS!$P$3,tabela_registros[CATEGORIA],despesafixaconsolidadoago[[#This Row],[DESPESA FIXA]])</f>
        <v>0</v>
      </c>
      <c r="AG48" s="91">
        <f>SUMIFS(tabela_registros[VALOR],tabela_registros[MÊS],$AE$1,tabela_registros[DIA],agototal3059718395107119[[#Headers],[29]],tabela_registros[REGISTRO],DADOS!$N$4,tabela_registros[TIPO],DADOS!$P$3,tabela_registros[CATEGORIA],despesafixaconsolidadoago[[#This Row],[DESPESA FIXA]])</f>
        <v>0</v>
      </c>
      <c r="AH48" s="91">
        <f>SUMIFS(tabela_registros[VALOR],tabela_registros[MÊS],$AE$1,tabela_registros[DIA],agototal3059718395107119[[#Headers],[30]],tabela_registros[REGISTRO],DADOS!$N$4,tabela_registros[TIPO],DADOS!$P$3,tabela_registros[CATEGORIA],despesafixaconsolidadoago[[#This Row],[DESPESA FIXA]])</f>
        <v>0</v>
      </c>
      <c r="AI48" s="101">
        <f>SUMIFS(tabela_registros[VALOR],tabela_registros[MÊS],$AE$1,tabela_registros[DIA],agototal3059718395107119[[#Headers],[31]],tabela_registros[REGISTRO],DADOS!$N$4,tabela_registros[TIPO],DADOS!$P$3,tabela_registros[CATEGORIA],despesafixaconsolidadoago[[#This Row],[DESPESA FIXA]])</f>
        <v>0</v>
      </c>
      <c r="AJ48" s="97">
        <f>SUM(despesafixaconsolidadoago[[#This Row],[1]:[31]])</f>
        <v>0</v>
      </c>
      <c r="AK48" s="28"/>
    </row>
    <row r="49" spans="2:37" ht="18" customHeight="1" thickTop="1" thickBot="1" x14ac:dyDescent="0.3">
      <c r="B49" s="28"/>
      <c r="C49" s="27" t="str">
        <f>DADOS!$R$15</f>
        <v>📞 TELEFONE</v>
      </c>
      <c r="D49" s="26" t="str">
        <f>IF(despesafixaconsolidadoago[[#This Row],[TOTAL]]=0,"",IF(OR(despesafixaconsolidadoago[[#This Row],[TOTAL]]=LARGE($AJ$37:$AJ$50,1),despesafixaconsolidadoago[[#This Row],[TOTAL]]=LARGE($AJ$37:$AJ$50,2),despesafixaconsolidadoago[[#This Row],[TOTAL]]=LARGE($AJ$37:$AJ$50,3),despesafixaconsolidadoago[[#This Row],[TOTAL]]=LARGE($AJ$37:$AJ$50,4),despesafixaconsolidadoago[[#This Row],[TOTAL]]=LARGE($AJ$37:$AJ$50,5)),DADOS!$I$8,""))</f>
        <v/>
      </c>
      <c r="E49" s="96">
        <f>SUMIFS(tabela_registros[VALOR],tabela_registros[MÊS],$AE$1,tabela_registros[DIA],agototal3059718395107119[[#Headers],[1]],tabela_registros[REGISTRO],DADOS!$N$4,tabela_registros[TIPO],DADOS!$P$3,tabela_registros[CATEGORIA],despesafixaconsolidadoago[[#This Row],[DESPESA FIXA]])</f>
        <v>0</v>
      </c>
      <c r="F49" s="91">
        <f>SUMIFS(tabela_registros[VALOR],tabela_registros[MÊS],$AE$1,tabela_registros[DIA],agototal3059718395107119[[#Headers],[2]],tabela_registros[REGISTRO],DADOS!$N$4,tabela_registros[TIPO],DADOS!$P$3,tabela_registros[CATEGORIA],despesafixaconsolidadoago[[#This Row],[DESPESA FIXA]])</f>
        <v>0</v>
      </c>
      <c r="G49" s="91">
        <f>SUMIFS(tabela_registros[VALOR],tabela_registros[MÊS],$AE$1,tabela_registros[DIA],agototal3059718395107119[[#Headers],[3]],tabela_registros[REGISTRO],DADOS!$N$4,tabela_registros[TIPO],DADOS!$P$3,tabela_registros[CATEGORIA],despesafixaconsolidadoago[[#This Row],[DESPESA FIXA]])</f>
        <v>0</v>
      </c>
      <c r="H49" s="91">
        <f>SUMIFS(tabela_registros[VALOR],tabela_registros[MÊS],$AE$1,tabela_registros[DIA],agototal3059718395107119[[#Headers],[4]],tabela_registros[REGISTRO],DADOS!$N$4,tabela_registros[TIPO],DADOS!$P$3,tabela_registros[CATEGORIA],despesafixaconsolidadoago[[#This Row],[DESPESA FIXA]])</f>
        <v>0</v>
      </c>
      <c r="I49" s="91">
        <f>SUMIFS(tabela_registros[VALOR],tabela_registros[MÊS],$AE$1,tabela_registros[DIA],agototal3059718395107119[[#Headers],[5]],tabela_registros[REGISTRO],DADOS!$N$4,tabela_registros[TIPO],DADOS!$P$3,tabela_registros[CATEGORIA],despesafixaconsolidadoago[[#This Row],[DESPESA FIXA]])</f>
        <v>0</v>
      </c>
      <c r="J49" s="91">
        <f>SUMIFS(tabela_registros[VALOR],tabela_registros[MÊS],$AE$1,tabela_registros[DIA],agototal3059718395107119[[#Headers],[6]],tabela_registros[REGISTRO],DADOS!$N$4,tabela_registros[TIPO],DADOS!$P$3,tabela_registros[CATEGORIA],despesafixaconsolidadoago[[#This Row],[DESPESA FIXA]])</f>
        <v>0</v>
      </c>
      <c r="K49" s="91">
        <f>SUMIFS(tabela_registros[VALOR],tabela_registros[MÊS],$AE$1,tabela_registros[DIA],agototal3059718395107119[[#Headers],[7]],tabela_registros[REGISTRO],DADOS!$N$4,tabela_registros[TIPO],DADOS!$P$3,tabela_registros[CATEGORIA],despesafixaconsolidadoago[[#This Row],[DESPESA FIXA]])</f>
        <v>0</v>
      </c>
      <c r="L49" s="91">
        <f>SUMIFS(tabela_registros[VALOR],tabela_registros[MÊS],$AE$1,tabela_registros[DIA],agototal3059718395107119[[#Headers],[8]],tabela_registros[REGISTRO],DADOS!$N$4,tabela_registros[TIPO],DADOS!$P$3,tabela_registros[CATEGORIA],despesafixaconsolidadoago[[#This Row],[DESPESA FIXA]])</f>
        <v>0</v>
      </c>
      <c r="M49" s="91">
        <f>SUMIFS(tabela_registros[VALOR],tabela_registros[MÊS],$AE$1,tabela_registros[DIA],agototal3059718395107119[[#Headers],[9]],tabela_registros[REGISTRO],DADOS!$N$4,tabela_registros[TIPO],DADOS!$P$3,tabela_registros[CATEGORIA],despesafixaconsolidadoago[[#This Row],[DESPESA FIXA]])</f>
        <v>0</v>
      </c>
      <c r="N49" s="91">
        <f>SUMIFS(tabela_registros[VALOR],tabela_registros[MÊS],$AE$1,tabela_registros[DIA],agototal3059718395107119[[#Headers],[10]],tabela_registros[REGISTRO],DADOS!$N$4,tabela_registros[TIPO],DADOS!$P$3,tabela_registros[CATEGORIA],despesafixaconsolidadoago[[#This Row],[DESPESA FIXA]])</f>
        <v>0</v>
      </c>
      <c r="O49" s="91">
        <f>SUMIFS(tabela_registros[VALOR],tabela_registros[MÊS],$AE$1,tabela_registros[DIA],agototal3059718395107119[[#Headers],[11]],tabela_registros[REGISTRO],DADOS!$N$4,tabela_registros[TIPO],DADOS!$P$3,tabela_registros[CATEGORIA],despesafixaconsolidadoago[[#This Row],[DESPESA FIXA]])</f>
        <v>0</v>
      </c>
      <c r="P49" s="91">
        <f>SUMIFS(tabela_registros[VALOR],tabela_registros[MÊS],$AE$1,tabela_registros[DIA],agototal3059718395107119[[#Headers],[12]],tabela_registros[REGISTRO],DADOS!$N$4,tabela_registros[TIPO],DADOS!$P$3,tabela_registros[CATEGORIA],despesafixaconsolidadoago[[#This Row],[DESPESA FIXA]])</f>
        <v>0</v>
      </c>
      <c r="Q49" s="91">
        <f>SUMIFS(tabela_registros[VALOR],tabela_registros[MÊS],$AE$1,tabela_registros[DIA],agototal3059718395107119[[#Headers],[13]],tabela_registros[REGISTRO],DADOS!$N$4,tabela_registros[TIPO],DADOS!$P$3,tabela_registros[CATEGORIA],despesafixaconsolidadoago[[#This Row],[DESPESA FIXA]])</f>
        <v>0</v>
      </c>
      <c r="R49" s="91">
        <f>SUMIFS(tabela_registros[VALOR],tabela_registros[MÊS],$AE$1,tabela_registros[DIA],agototal3059718395107119[[#Headers],[14]],tabela_registros[REGISTRO],DADOS!$N$4,tabela_registros[TIPO],DADOS!$P$3,tabela_registros[CATEGORIA],despesafixaconsolidadoago[[#This Row],[DESPESA FIXA]])</f>
        <v>0</v>
      </c>
      <c r="S49" s="91">
        <f>SUMIFS(tabela_registros[VALOR],tabela_registros[MÊS],$AE$1,tabela_registros[DIA],agototal3059718395107119[[#Headers],[15]],tabela_registros[REGISTRO],DADOS!$N$4,tabela_registros[TIPO],DADOS!$P$3,tabela_registros[CATEGORIA],despesafixaconsolidadoago[[#This Row],[DESPESA FIXA]])</f>
        <v>0</v>
      </c>
      <c r="T49" s="91">
        <f>SUMIFS(tabela_registros[VALOR],tabela_registros[MÊS],$AE$1,tabela_registros[DIA],agototal3059718395107119[[#Headers],[16]],tabela_registros[REGISTRO],DADOS!$N$4,tabela_registros[TIPO],DADOS!$P$3,tabela_registros[CATEGORIA],despesafixaconsolidadoago[[#This Row],[DESPESA FIXA]])</f>
        <v>0</v>
      </c>
      <c r="U49" s="91">
        <f>SUMIFS(tabela_registros[VALOR],tabela_registros[MÊS],$AE$1,tabela_registros[DIA],agototal3059718395107119[[#Headers],[17]],tabela_registros[REGISTRO],DADOS!$N$4,tabela_registros[TIPO],DADOS!$P$3,tabela_registros[CATEGORIA],despesafixaconsolidadoago[[#This Row],[DESPESA FIXA]])</f>
        <v>0</v>
      </c>
      <c r="V49" s="91">
        <f>SUMIFS(tabela_registros[VALOR],tabela_registros[MÊS],$AE$1,tabela_registros[DIA],agototal3059718395107119[[#Headers],[18]],tabela_registros[REGISTRO],DADOS!$N$4,tabela_registros[TIPO],DADOS!$P$3,tabela_registros[CATEGORIA],despesafixaconsolidadoago[[#This Row],[DESPESA FIXA]])</f>
        <v>0</v>
      </c>
      <c r="W49" s="91">
        <f>SUMIFS(tabela_registros[VALOR],tabela_registros[MÊS],$AE$1,tabela_registros[DIA],agototal3059718395107119[[#Headers],[19]],tabela_registros[REGISTRO],DADOS!$N$4,tabela_registros[TIPO],DADOS!$P$3,tabela_registros[CATEGORIA],despesafixaconsolidadoago[[#This Row],[DESPESA FIXA]])</f>
        <v>0</v>
      </c>
      <c r="X49" s="91">
        <f>SUMIFS(tabela_registros[VALOR],tabela_registros[MÊS],$AE$1,tabela_registros[DIA],agototal3059718395107119[[#Headers],[20]],tabela_registros[REGISTRO],DADOS!$N$4,tabela_registros[TIPO],DADOS!$P$3,tabela_registros[CATEGORIA],despesafixaconsolidadoago[[#This Row],[DESPESA FIXA]])</f>
        <v>0</v>
      </c>
      <c r="Y49" s="91">
        <f>SUMIFS(tabela_registros[VALOR],tabela_registros[MÊS],$AE$1,tabela_registros[DIA],agototal3059718395107119[[#Headers],[21]],tabela_registros[REGISTRO],DADOS!$N$4,tabela_registros[TIPO],DADOS!$P$3,tabela_registros[CATEGORIA],despesafixaconsolidadoago[[#This Row],[DESPESA FIXA]])</f>
        <v>0</v>
      </c>
      <c r="Z49" s="91">
        <f>SUMIFS(tabela_registros[VALOR],tabela_registros[MÊS],$AE$1,tabela_registros[DIA],agototal3059718395107119[[#Headers],[22]],tabela_registros[REGISTRO],DADOS!$N$4,tabela_registros[TIPO],DADOS!$P$3,tabela_registros[CATEGORIA],despesafixaconsolidadoago[[#This Row],[DESPESA FIXA]])</f>
        <v>0</v>
      </c>
      <c r="AA49" s="91">
        <f>SUMIFS(tabela_registros[VALOR],tabela_registros[MÊS],$AE$1,tabela_registros[DIA],agototal3059718395107119[[#Headers],[23]],tabela_registros[REGISTRO],DADOS!$N$4,tabela_registros[TIPO],DADOS!$P$3,tabela_registros[CATEGORIA],despesafixaconsolidadoago[[#This Row],[DESPESA FIXA]])</f>
        <v>0</v>
      </c>
      <c r="AB49" s="91">
        <f>SUMIFS(tabela_registros[VALOR],tabela_registros[MÊS],$AE$1,tabela_registros[DIA],agototal3059718395107119[[#Headers],[24]],tabela_registros[REGISTRO],DADOS!$N$4,tabela_registros[TIPO],DADOS!$P$3,tabela_registros[CATEGORIA],despesafixaconsolidadoago[[#This Row],[DESPESA FIXA]])</f>
        <v>0</v>
      </c>
      <c r="AC49" s="91">
        <f>SUMIFS(tabela_registros[VALOR],tabela_registros[MÊS],$AE$1,tabela_registros[DIA],agototal3059718395107119[[#Headers],[25]],tabela_registros[REGISTRO],DADOS!$N$4,tabela_registros[TIPO],DADOS!$P$3,tabela_registros[CATEGORIA],despesafixaconsolidadoago[[#This Row],[DESPESA FIXA]])</f>
        <v>0</v>
      </c>
      <c r="AD49" s="91">
        <f>SUMIFS(tabela_registros[VALOR],tabela_registros[MÊS],$AE$1,tabela_registros[DIA],agototal3059718395107119[[#Headers],[26]],tabela_registros[REGISTRO],DADOS!$N$4,tabela_registros[TIPO],DADOS!$P$3,tabela_registros[CATEGORIA],despesafixaconsolidadoago[[#This Row],[DESPESA FIXA]])</f>
        <v>0</v>
      </c>
      <c r="AE49" s="91">
        <f>SUMIFS(tabela_registros[VALOR],tabela_registros[MÊS],$AE$1,tabela_registros[DIA],agototal3059718395107119[[#Headers],[27]],tabela_registros[REGISTRO],DADOS!$N$4,tabela_registros[TIPO],DADOS!$P$3,tabela_registros[CATEGORIA],despesafixaconsolidadoago[[#This Row],[DESPESA FIXA]])</f>
        <v>0</v>
      </c>
      <c r="AF49" s="91">
        <f>SUMIFS(tabela_registros[VALOR],tabela_registros[MÊS],$AE$1,tabela_registros[DIA],agototal3059718395107119[[#Headers],[28]],tabela_registros[REGISTRO],DADOS!$N$4,tabela_registros[TIPO],DADOS!$P$3,tabela_registros[CATEGORIA],despesafixaconsolidadoago[[#This Row],[DESPESA FIXA]])</f>
        <v>0</v>
      </c>
      <c r="AG49" s="91">
        <f>SUMIFS(tabela_registros[VALOR],tabela_registros[MÊS],$AE$1,tabela_registros[DIA],agototal3059718395107119[[#Headers],[29]],tabela_registros[REGISTRO],DADOS!$N$4,tabela_registros[TIPO],DADOS!$P$3,tabela_registros[CATEGORIA],despesafixaconsolidadoago[[#This Row],[DESPESA FIXA]])</f>
        <v>0</v>
      </c>
      <c r="AH49" s="91">
        <f>SUMIFS(tabela_registros[VALOR],tabela_registros[MÊS],$AE$1,tabela_registros[DIA],agototal3059718395107119[[#Headers],[30]],tabela_registros[REGISTRO],DADOS!$N$4,tabela_registros[TIPO],DADOS!$P$3,tabela_registros[CATEGORIA],despesafixaconsolidadoago[[#This Row],[DESPESA FIXA]])</f>
        <v>0</v>
      </c>
      <c r="AI49" s="101">
        <f>SUMIFS(tabela_registros[VALOR],tabela_registros[MÊS],$AE$1,tabela_registros[DIA],agototal3059718395107119[[#Headers],[31]],tabela_registros[REGISTRO],DADOS!$N$4,tabela_registros[TIPO],DADOS!$P$3,tabela_registros[CATEGORIA],despesafixaconsolidadoago[[#This Row],[DESPESA FIXA]])</f>
        <v>0</v>
      </c>
      <c r="AJ49" s="97">
        <f>SUM(despesafixaconsolidadoago[[#This Row],[1]:[31]])</f>
        <v>0</v>
      </c>
      <c r="AK49" s="28"/>
    </row>
    <row r="50" spans="2:37" ht="18" customHeight="1" thickTop="1" thickBot="1" x14ac:dyDescent="0.3">
      <c r="B50" s="28"/>
      <c r="C50" s="27" t="str">
        <f>DADOS!$R$16</f>
        <v>📎 OUTROS</v>
      </c>
      <c r="D50" s="26" t="str">
        <f>IF(despesafixaconsolidadoago[[#This Row],[TOTAL]]=0,"",IF(OR(despesafixaconsolidadoago[[#This Row],[TOTAL]]=LARGE($AJ$37:$AJ$50,1),despesafixaconsolidadoago[[#This Row],[TOTAL]]=LARGE($AJ$37:$AJ$50,2),despesafixaconsolidadoago[[#This Row],[TOTAL]]=LARGE($AJ$37:$AJ$50,3),despesafixaconsolidadoago[[#This Row],[TOTAL]]=LARGE($AJ$37:$AJ$50,4),despesafixaconsolidadoago[[#This Row],[TOTAL]]=LARGE($AJ$37:$AJ$50,5)),DADOS!$I$8,""))</f>
        <v/>
      </c>
      <c r="E50" s="98">
        <f>SUMIFS(tabela_registros[VALOR],tabela_registros[MÊS],$AE$1,tabela_registros[DIA],agototal3059718395107119[[#Headers],[1]],tabela_registros[REGISTRO],DADOS!$N$4,tabela_registros[TIPO],DADOS!$P$3,tabela_registros[CATEGORIA],despesafixaconsolidadoago[[#This Row],[DESPESA FIXA]])</f>
        <v>0</v>
      </c>
      <c r="F50" s="99">
        <f>SUMIFS(tabela_registros[VALOR],tabela_registros[MÊS],$AE$1,tabela_registros[DIA],agototal3059718395107119[[#Headers],[2]],tabela_registros[REGISTRO],DADOS!$N$4,tabela_registros[TIPO],DADOS!$P$3,tabela_registros[CATEGORIA],despesafixaconsolidadoago[[#This Row],[DESPESA FIXA]])</f>
        <v>0</v>
      </c>
      <c r="G50" s="99">
        <f>SUMIFS(tabela_registros[VALOR],tabela_registros[MÊS],$AE$1,tabela_registros[DIA],agototal3059718395107119[[#Headers],[3]],tabela_registros[REGISTRO],DADOS!$N$4,tabela_registros[TIPO],DADOS!$P$3,tabela_registros[CATEGORIA],despesafixaconsolidadoago[[#This Row],[DESPESA FIXA]])</f>
        <v>0</v>
      </c>
      <c r="H50" s="99">
        <f>SUMIFS(tabela_registros[VALOR],tabela_registros[MÊS],$AE$1,tabela_registros[DIA],agototal3059718395107119[[#Headers],[4]],tabela_registros[REGISTRO],DADOS!$N$4,tabela_registros[TIPO],DADOS!$P$3,tabela_registros[CATEGORIA],despesafixaconsolidadoago[[#This Row],[DESPESA FIXA]])</f>
        <v>0</v>
      </c>
      <c r="I50" s="99">
        <f>SUMIFS(tabela_registros[VALOR],tabela_registros[MÊS],$AE$1,tabela_registros[DIA],agototal3059718395107119[[#Headers],[5]],tabela_registros[REGISTRO],DADOS!$N$4,tabela_registros[TIPO],DADOS!$P$3,tabela_registros[CATEGORIA],despesafixaconsolidadoago[[#This Row],[DESPESA FIXA]])</f>
        <v>0</v>
      </c>
      <c r="J50" s="99">
        <f>SUMIFS(tabela_registros[VALOR],tabela_registros[MÊS],$AE$1,tabela_registros[DIA],agototal3059718395107119[[#Headers],[6]],tabela_registros[REGISTRO],DADOS!$N$4,tabela_registros[TIPO],DADOS!$P$3,tabela_registros[CATEGORIA],despesafixaconsolidadoago[[#This Row],[DESPESA FIXA]])</f>
        <v>0</v>
      </c>
      <c r="K50" s="99">
        <f>SUMIFS(tabela_registros[VALOR],tabela_registros[MÊS],$AE$1,tabela_registros[DIA],agototal3059718395107119[[#Headers],[7]],tabela_registros[REGISTRO],DADOS!$N$4,tabela_registros[TIPO],DADOS!$P$3,tabela_registros[CATEGORIA],despesafixaconsolidadoago[[#This Row],[DESPESA FIXA]])</f>
        <v>0</v>
      </c>
      <c r="L50" s="99">
        <f>SUMIFS(tabela_registros[VALOR],tabela_registros[MÊS],$AE$1,tabela_registros[DIA],agototal3059718395107119[[#Headers],[8]],tabela_registros[REGISTRO],DADOS!$N$4,tabela_registros[TIPO],DADOS!$P$3,tabela_registros[CATEGORIA],despesafixaconsolidadoago[[#This Row],[DESPESA FIXA]])</f>
        <v>0</v>
      </c>
      <c r="M50" s="99">
        <f>SUMIFS(tabela_registros[VALOR],tabela_registros[MÊS],$AE$1,tabela_registros[DIA],agototal3059718395107119[[#Headers],[9]],tabela_registros[REGISTRO],DADOS!$N$4,tabela_registros[TIPO],DADOS!$P$3,tabela_registros[CATEGORIA],despesafixaconsolidadoago[[#This Row],[DESPESA FIXA]])</f>
        <v>0</v>
      </c>
      <c r="N50" s="99">
        <f>SUMIFS(tabela_registros[VALOR],tabela_registros[MÊS],$AE$1,tabela_registros[DIA],agototal3059718395107119[[#Headers],[10]],tabela_registros[REGISTRO],DADOS!$N$4,tabela_registros[TIPO],DADOS!$P$3,tabela_registros[CATEGORIA],despesafixaconsolidadoago[[#This Row],[DESPESA FIXA]])</f>
        <v>0</v>
      </c>
      <c r="O50" s="99">
        <f>SUMIFS(tabela_registros[VALOR],tabela_registros[MÊS],$AE$1,tabela_registros[DIA],agototal3059718395107119[[#Headers],[11]],tabela_registros[REGISTRO],DADOS!$N$4,tabela_registros[TIPO],DADOS!$P$3,tabela_registros[CATEGORIA],despesafixaconsolidadoago[[#This Row],[DESPESA FIXA]])</f>
        <v>0</v>
      </c>
      <c r="P50" s="99">
        <f>SUMIFS(tabela_registros[VALOR],tabela_registros[MÊS],$AE$1,tabela_registros[DIA],agototal3059718395107119[[#Headers],[12]],tabela_registros[REGISTRO],DADOS!$N$4,tabela_registros[TIPO],DADOS!$P$3,tabela_registros[CATEGORIA],despesafixaconsolidadoago[[#This Row],[DESPESA FIXA]])</f>
        <v>0</v>
      </c>
      <c r="Q50" s="99">
        <f>SUMIFS(tabela_registros[VALOR],tabela_registros[MÊS],$AE$1,tabela_registros[DIA],agototal3059718395107119[[#Headers],[13]],tabela_registros[REGISTRO],DADOS!$N$4,tabela_registros[TIPO],DADOS!$P$3,tabela_registros[CATEGORIA],despesafixaconsolidadoago[[#This Row],[DESPESA FIXA]])</f>
        <v>0</v>
      </c>
      <c r="R50" s="99">
        <f>SUMIFS(tabela_registros[VALOR],tabela_registros[MÊS],$AE$1,tabela_registros[DIA],agototal3059718395107119[[#Headers],[14]],tabela_registros[REGISTRO],DADOS!$N$4,tabela_registros[TIPO],DADOS!$P$3,tabela_registros[CATEGORIA],despesafixaconsolidadoago[[#This Row],[DESPESA FIXA]])</f>
        <v>0</v>
      </c>
      <c r="S50" s="99">
        <f>SUMIFS(tabela_registros[VALOR],tabela_registros[MÊS],$AE$1,tabela_registros[DIA],agototal3059718395107119[[#Headers],[15]],tabela_registros[REGISTRO],DADOS!$N$4,tabela_registros[TIPO],DADOS!$P$3,tabela_registros[CATEGORIA],despesafixaconsolidadoago[[#This Row],[DESPESA FIXA]])</f>
        <v>0</v>
      </c>
      <c r="T50" s="99">
        <f>SUMIFS(tabela_registros[VALOR],tabela_registros[MÊS],$AE$1,tabela_registros[DIA],agototal3059718395107119[[#Headers],[16]],tabela_registros[REGISTRO],DADOS!$N$4,tabela_registros[TIPO],DADOS!$P$3,tabela_registros[CATEGORIA],despesafixaconsolidadoago[[#This Row],[DESPESA FIXA]])</f>
        <v>0</v>
      </c>
      <c r="U50" s="99">
        <f>SUMIFS(tabela_registros[VALOR],tabela_registros[MÊS],$AE$1,tabela_registros[DIA],agototal3059718395107119[[#Headers],[17]],tabela_registros[REGISTRO],DADOS!$N$4,tabela_registros[TIPO],DADOS!$P$3,tabela_registros[CATEGORIA],despesafixaconsolidadoago[[#This Row],[DESPESA FIXA]])</f>
        <v>0</v>
      </c>
      <c r="V50" s="99">
        <f>SUMIFS(tabela_registros[VALOR],tabela_registros[MÊS],$AE$1,tabela_registros[DIA],agototal3059718395107119[[#Headers],[18]],tabela_registros[REGISTRO],DADOS!$N$4,tabela_registros[TIPO],DADOS!$P$3,tabela_registros[CATEGORIA],despesafixaconsolidadoago[[#This Row],[DESPESA FIXA]])</f>
        <v>0</v>
      </c>
      <c r="W50" s="99">
        <f>SUMIFS(tabela_registros[VALOR],tabela_registros[MÊS],$AE$1,tabela_registros[DIA],agototal3059718395107119[[#Headers],[19]],tabela_registros[REGISTRO],DADOS!$N$4,tabela_registros[TIPO],DADOS!$P$3,tabela_registros[CATEGORIA],despesafixaconsolidadoago[[#This Row],[DESPESA FIXA]])</f>
        <v>0</v>
      </c>
      <c r="X50" s="99">
        <f>SUMIFS(tabela_registros[VALOR],tabela_registros[MÊS],$AE$1,tabela_registros[DIA],agototal3059718395107119[[#Headers],[20]],tabela_registros[REGISTRO],DADOS!$N$4,tabela_registros[TIPO],DADOS!$P$3,tabela_registros[CATEGORIA],despesafixaconsolidadoago[[#This Row],[DESPESA FIXA]])</f>
        <v>0</v>
      </c>
      <c r="Y50" s="99">
        <f>SUMIFS(tabela_registros[VALOR],tabela_registros[MÊS],$AE$1,tabela_registros[DIA],agototal3059718395107119[[#Headers],[21]],tabela_registros[REGISTRO],DADOS!$N$4,tabela_registros[TIPO],DADOS!$P$3,tabela_registros[CATEGORIA],despesafixaconsolidadoago[[#This Row],[DESPESA FIXA]])</f>
        <v>0</v>
      </c>
      <c r="Z50" s="99">
        <f>SUMIFS(tabela_registros[VALOR],tabela_registros[MÊS],$AE$1,tabela_registros[DIA],agototal3059718395107119[[#Headers],[22]],tabela_registros[REGISTRO],DADOS!$N$4,tabela_registros[TIPO],DADOS!$P$3,tabela_registros[CATEGORIA],despesafixaconsolidadoago[[#This Row],[DESPESA FIXA]])</f>
        <v>0</v>
      </c>
      <c r="AA50" s="99">
        <f>SUMIFS(tabela_registros[VALOR],tabela_registros[MÊS],$AE$1,tabela_registros[DIA],agototal3059718395107119[[#Headers],[23]],tabela_registros[REGISTRO],DADOS!$N$4,tabela_registros[TIPO],DADOS!$P$3,tabela_registros[CATEGORIA],despesafixaconsolidadoago[[#This Row],[DESPESA FIXA]])</f>
        <v>0</v>
      </c>
      <c r="AB50" s="99">
        <f>SUMIFS(tabela_registros[VALOR],tabela_registros[MÊS],$AE$1,tabela_registros[DIA],agototal3059718395107119[[#Headers],[24]],tabela_registros[REGISTRO],DADOS!$N$4,tabela_registros[TIPO],DADOS!$P$3,tabela_registros[CATEGORIA],despesafixaconsolidadoago[[#This Row],[DESPESA FIXA]])</f>
        <v>0</v>
      </c>
      <c r="AC50" s="99">
        <f>SUMIFS(tabela_registros[VALOR],tabela_registros[MÊS],$AE$1,tabela_registros[DIA],agototal3059718395107119[[#Headers],[25]],tabela_registros[REGISTRO],DADOS!$N$4,tabela_registros[TIPO],DADOS!$P$3,tabela_registros[CATEGORIA],despesafixaconsolidadoago[[#This Row],[DESPESA FIXA]])</f>
        <v>0</v>
      </c>
      <c r="AD50" s="99">
        <f>SUMIFS(tabela_registros[VALOR],tabela_registros[MÊS],$AE$1,tabela_registros[DIA],agototal3059718395107119[[#Headers],[26]],tabela_registros[REGISTRO],DADOS!$N$4,tabela_registros[TIPO],DADOS!$P$3,tabela_registros[CATEGORIA],despesafixaconsolidadoago[[#This Row],[DESPESA FIXA]])</f>
        <v>0</v>
      </c>
      <c r="AE50" s="99">
        <f>SUMIFS(tabela_registros[VALOR],tabela_registros[MÊS],$AE$1,tabela_registros[DIA],agototal3059718395107119[[#Headers],[27]],tabela_registros[REGISTRO],DADOS!$N$4,tabela_registros[TIPO],DADOS!$P$3,tabela_registros[CATEGORIA],despesafixaconsolidadoago[[#This Row],[DESPESA FIXA]])</f>
        <v>0</v>
      </c>
      <c r="AF50" s="99">
        <f>SUMIFS(tabela_registros[VALOR],tabela_registros[MÊS],$AE$1,tabela_registros[DIA],agototal3059718395107119[[#Headers],[28]],tabela_registros[REGISTRO],DADOS!$N$4,tabela_registros[TIPO],DADOS!$P$3,tabela_registros[CATEGORIA],despesafixaconsolidadoago[[#This Row],[DESPESA FIXA]])</f>
        <v>0</v>
      </c>
      <c r="AG50" s="99">
        <f>SUMIFS(tabela_registros[VALOR],tabela_registros[MÊS],$AE$1,tabela_registros[DIA],agototal3059718395107119[[#Headers],[29]],tabela_registros[REGISTRO],DADOS!$N$4,tabela_registros[TIPO],DADOS!$P$3,tabela_registros[CATEGORIA],despesafixaconsolidadoago[[#This Row],[DESPESA FIXA]])</f>
        <v>0</v>
      </c>
      <c r="AH50" s="99">
        <f>SUMIFS(tabela_registros[VALOR],tabela_registros[MÊS],$AE$1,tabela_registros[DIA],agototal3059718395107119[[#Headers],[30]],tabela_registros[REGISTRO],DADOS!$N$4,tabela_registros[TIPO],DADOS!$P$3,tabela_registros[CATEGORIA],despesafixaconsolidadoago[[#This Row],[DESPESA FIXA]])</f>
        <v>0</v>
      </c>
      <c r="AI50" s="102">
        <f>SUMIFS(tabela_registros[VALOR],tabela_registros[MÊS],$AE$1,tabela_registros[DIA],agototal3059718395107119[[#Headers],[31]],tabela_registros[REGISTRO],DADOS!$N$4,tabela_registros[TIPO],DADOS!$P$3,tabela_registros[CATEGORIA],despesafixaconsolidadoago[[#This Row],[DESPESA FIXA]])</f>
        <v>0</v>
      </c>
      <c r="AJ50" s="103">
        <f>SUM(despesafixaconsolidadoago[[#This Row],[1]:[31]])</f>
        <v>0</v>
      </c>
      <c r="AK50" s="28"/>
    </row>
    <row r="51" spans="2:37" s="16" customFormat="1" ht="21" customHeight="1" thickTop="1" thickBot="1" x14ac:dyDescent="0.35">
      <c r="B51" s="24"/>
      <c r="C51" s="23" t="s">
        <v>19</v>
      </c>
      <c r="D51" s="41" t="str">
        <f>IF(despesafixaconsolidadoago[[#This Row],[TOTAL]]=0,"",IF(OR(despesafixaconsolidadoago[[#This Row],[TOTAL]]=SMALL($AJ$37:$AJ$50,1),despesafixaconsolidadoago[[#This Row],[TOTAL]]=SMALL($AJ$37:$AJ$50,2),despesafixaconsolidadoago[[#This Row],[TOTAL]]=SMALL($AJ$37:$AJ$50,3),despesafixaconsolidadoago[[#This Row],[TOTAL]]=SMALL($AJ$37:$AJ$50,4),despesafixaconsolidadoago[[#This Row],[TOTAL]]=SMALL($AJ$37:$AJ$50,5)),DADOS!$I$8,""))</f>
        <v/>
      </c>
      <c r="E51" s="21">
        <f>SUM(E37:E50)</f>
        <v>0</v>
      </c>
      <c r="F51" s="20">
        <f>SUM(F37:F50)+despesafixaconsolidadoago[[#This Row],[1]]</f>
        <v>0</v>
      </c>
      <c r="G51" s="20">
        <f>SUM(G37:G50)+despesafixaconsolidadoago[[#This Row],[2]]</f>
        <v>0</v>
      </c>
      <c r="H51" s="20">
        <f>SUM(H37:H50)+despesafixaconsolidadoago[[#This Row],[3]]</f>
        <v>0</v>
      </c>
      <c r="I51" s="20">
        <f>SUM(I37:I50)+despesafixaconsolidadoago[[#This Row],[4]]</f>
        <v>0</v>
      </c>
      <c r="J51" s="20">
        <f>SUM(J37:J50)+despesafixaconsolidadoago[[#This Row],[5]]</f>
        <v>0</v>
      </c>
      <c r="K51" s="20">
        <f>SUM(K37:K50)+despesafixaconsolidadoago[[#This Row],[6]]</f>
        <v>0</v>
      </c>
      <c r="L51" s="20">
        <f>SUM(L37:L50)+despesafixaconsolidadoago[[#This Row],[7]]</f>
        <v>0</v>
      </c>
      <c r="M51" s="20">
        <f>SUM(M37:M50)+despesafixaconsolidadoago[[#This Row],[8]]</f>
        <v>0</v>
      </c>
      <c r="N51" s="20">
        <f>SUM(N37:N50)+despesafixaconsolidadoago[[#This Row],[9]]</f>
        <v>0</v>
      </c>
      <c r="O51" s="20">
        <f>SUM(O37:O50)+despesafixaconsolidadoago[[#This Row],[10]]</f>
        <v>0</v>
      </c>
      <c r="P51" s="20">
        <f>SUM(P37:P50)+despesafixaconsolidadoago[[#This Row],[11]]</f>
        <v>0</v>
      </c>
      <c r="Q51" s="20">
        <f>SUM(Q37:Q50)+despesafixaconsolidadoago[[#This Row],[12]]</f>
        <v>0</v>
      </c>
      <c r="R51" s="20">
        <f>SUM(R37:R50)+despesafixaconsolidadoago[[#This Row],[13]]</f>
        <v>0</v>
      </c>
      <c r="S51" s="20">
        <f>SUM(S37:S50)+despesafixaconsolidadoago[[#This Row],[14]]</f>
        <v>0</v>
      </c>
      <c r="T51" s="20">
        <f>SUM(T37:T50)+despesafixaconsolidadoago[[#This Row],[15]]</f>
        <v>0</v>
      </c>
      <c r="U51" s="20">
        <f>SUM(U37:U50)+despesafixaconsolidadoago[[#This Row],[16]]</f>
        <v>0</v>
      </c>
      <c r="V51" s="20">
        <f>SUM(V37:V50)+despesafixaconsolidadoago[[#This Row],[17]]</f>
        <v>0</v>
      </c>
      <c r="W51" s="20">
        <f>SUM(W37:W50)+despesafixaconsolidadoago[[#This Row],[18]]</f>
        <v>0</v>
      </c>
      <c r="X51" s="20">
        <f>SUM(X37:X50)+despesafixaconsolidadoago[[#This Row],[19]]</f>
        <v>0</v>
      </c>
      <c r="Y51" s="20">
        <f>SUM(Y37:Y50)+despesafixaconsolidadoago[[#This Row],[20]]</f>
        <v>0</v>
      </c>
      <c r="Z51" s="20">
        <f>SUM(Z37:Z50)+despesafixaconsolidadoago[[#This Row],[21]]</f>
        <v>0</v>
      </c>
      <c r="AA51" s="20">
        <f>SUM(AA37:AA50)+despesafixaconsolidadoago[[#This Row],[22]]</f>
        <v>0</v>
      </c>
      <c r="AB51" s="20">
        <f>SUM(AB37:AB50)+despesafixaconsolidadoago[[#This Row],[23]]</f>
        <v>0</v>
      </c>
      <c r="AC51" s="20">
        <f>SUM(AC37:AC50)+despesafixaconsolidadoago[[#This Row],[24]]</f>
        <v>0</v>
      </c>
      <c r="AD51" s="20">
        <f>SUM(AD37:AD50)+despesafixaconsolidadoago[[#This Row],[25]]</f>
        <v>0</v>
      </c>
      <c r="AE51" s="20">
        <f>SUM(AE37:AE50)+despesafixaconsolidadoago[[#This Row],[26]]</f>
        <v>0</v>
      </c>
      <c r="AF51" s="20">
        <f>SUM(AF37:AF50)+despesafixaconsolidadoago[[#This Row],[27]]</f>
        <v>0</v>
      </c>
      <c r="AG51" s="20">
        <f>SUM(AG37:AG50)+despesafixaconsolidadoago[[#This Row],[28]]</f>
        <v>0</v>
      </c>
      <c r="AH51" s="20">
        <f>SUM(AH37:AH50)+despesafixaconsolidadoago[[#This Row],[29]]</f>
        <v>0</v>
      </c>
      <c r="AI51" s="19">
        <f>SUM(AI37:AI50)+despesafixaconsolidadoago[[#This Row],[30]]</f>
        <v>0</v>
      </c>
      <c r="AJ51" s="18">
        <f>despesafixaconsolidadoago[[#This Row],[31]]</f>
        <v>0</v>
      </c>
      <c r="AK51" s="17"/>
    </row>
    <row r="52" spans="2:37" ht="6.75" customHeight="1" thickTop="1" thickBot="1" x14ac:dyDescent="0.3">
      <c r="B52" s="15"/>
      <c r="C52" s="40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39"/>
      <c r="AG52" s="39"/>
      <c r="AH52" s="39"/>
      <c r="AI52" s="48"/>
      <c r="AJ52" s="15"/>
      <c r="AK52" s="10"/>
    </row>
    <row r="53" spans="2:37" ht="12.6" thickTop="1" x14ac:dyDescent="0.25">
      <c r="C53" s="46"/>
      <c r="D53" s="47"/>
      <c r="E53" s="47"/>
      <c r="F53" s="47"/>
      <c r="G53" s="47"/>
      <c r="H53" s="47"/>
      <c r="I53" s="47"/>
      <c r="J53" s="47"/>
      <c r="K53" s="47"/>
      <c r="L53" s="47"/>
      <c r="M53" s="47"/>
      <c r="N53" s="47"/>
      <c r="O53" s="47"/>
      <c r="P53" s="47"/>
      <c r="Q53" s="47"/>
      <c r="R53" s="47"/>
      <c r="S53" s="47"/>
      <c r="T53" s="47"/>
      <c r="U53" s="47"/>
      <c r="V53" s="47"/>
      <c r="W53" s="47"/>
      <c r="X53" s="47"/>
      <c r="Y53" s="47"/>
      <c r="Z53" s="47"/>
      <c r="AA53" s="47"/>
      <c r="AB53" s="47"/>
      <c r="AC53" s="47"/>
      <c r="AD53" s="47"/>
      <c r="AE53" s="47"/>
      <c r="AF53" s="47"/>
      <c r="AG53" s="47"/>
      <c r="AH53" s="47"/>
      <c r="AI53" s="47"/>
      <c r="AK53" s="37"/>
    </row>
    <row r="54" spans="2:37" x14ac:dyDescent="0.25">
      <c r="C54" s="46"/>
      <c r="D54" s="47"/>
      <c r="E54" s="47"/>
      <c r="F54" s="47"/>
      <c r="G54" s="47"/>
      <c r="H54" s="47"/>
      <c r="I54" s="47"/>
      <c r="J54" s="47"/>
      <c r="K54" s="47"/>
      <c r="L54" s="47"/>
      <c r="M54" s="47"/>
      <c r="N54" s="47"/>
      <c r="O54" s="47"/>
      <c r="P54" s="47"/>
      <c r="Q54" s="47"/>
      <c r="R54" s="47"/>
      <c r="S54" s="47"/>
      <c r="T54" s="47"/>
      <c r="U54" s="47"/>
      <c r="V54" s="47"/>
      <c r="W54" s="47"/>
      <c r="X54" s="47"/>
      <c r="Y54" s="47"/>
      <c r="Z54" s="47"/>
      <c r="AA54" s="47"/>
      <c r="AB54" s="47"/>
      <c r="AC54" s="47"/>
      <c r="AD54" s="47"/>
      <c r="AE54" s="47"/>
      <c r="AF54" s="47"/>
      <c r="AG54" s="47"/>
      <c r="AH54" s="47"/>
      <c r="AI54" s="47"/>
    </row>
    <row r="55" spans="2:37" x14ac:dyDescent="0.25">
      <c r="C55" s="46"/>
      <c r="D55" s="47"/>
      <c r="E55" s="47"/>
      <c r="F55" s="47"/>
      <c r="G55" s="47"/>
      <c r="H55" s="47"/>
      <c r="I55" s="47"/>
      <c r="J55" s="47"/>
      <c r="K55" s="47"/>
      <c r="L55" s="47"/>
      <c r="M55" s="47"/>
      <c r="N55" s="47"/>
      <c r="O55" s="47"/>
      <c r="P55" s="47"/>
      <c r="Q55" s="47"/>
      <c r="R55" s="47"/>
      <c r="S55" s="47"/>
      <c r="T55" s="47"/>
      <c r="U55" s="47"/>
      <c r="V55" s="47"/>
      <c r="W55" s="47"/>
      <c r="X55" s="47"/>
      <c r="Y55" s="47"/>
      <c r="Z55" s="47"/>
      <c r="AA55" s="47"/>
      <c r="AB55" s="47"/>
      <c r="AC55" s="47"/>
      <c r="AD55" s="47"/>
      <c r="AE55" s="47"/>
      <c r="AF55" s="47"/>
      <c r="AG55" s="47"/>
      <c r="AH55" s="47"/>
      <c r="AI55" s="47"/>
    </row>
    <row r="56" spans="2:37" ht="39.75" customHeight="1" x14ac:dyDescent="0.25">
      <c r="C56" s="46"/>
      <c r="E56" s="240"/>
      <c r="F56" s="240"/>
      <c r="G56" s="240"/>
      <c r="H56" s="240"/>
      <c r="I56" s="240"/>
      <c r="J56" s="240"/>
      <c r="K56" s="240"/>
      <c r="L56" s="240"/>
      <c r="M56" s="240"/>
      <c r="N56" s="240"/>
      <c r="O56" s="240"/>
      <c r="P56" s="240"/>
      <c r="Q56" s="240"/>
      <c r="R56" s="240"/>
      <c r="S56" s="240"/>
      <c r="T56" s="240"/>
      <c r="U56" s="240"/>
      <c r="V56" s="240"/>
      <c r="W56" s="240"/>
      <c r="X56" s="240"/>
      <c r="Y56" s="240"/>
      <c r="Z56" s="240"/>
      <c r="AA56" s="240"/>
      <c r="AB56" s="240"/>
      <c r="AC56" s="240"/>
      <c r="AD56" s="240"/>
      <c r="AE56" s="240"/>
      <c r="AF56" s="240"/>
      <c r="AG56" s="240"/>
      <c r="AH56" s="240"/>
      <c r="AI56" s="240"/>
      <c r="AJ56" s="32" t="s">
        <v>19</v>
      </c>
    </row>
    <row r="57" spans="2:37" ht="11.25" customHeight="1" thickBot="1" x14ac:dyDescent="0.75">
      <c r="C57" s="36"/>
      <c r="AI57" s="4"/>
      <c r="AJ57" s="34" t="s">
        <v>202</v>
      </c>
    </row>
    <row r="58" spans="2:37" ht="6.75" customHeight="1" thickTop="1" thickBot="1" x14ac:dyDescent="0.3">
      <c r="B58" s="33"/>
      <c r="C58" s="45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44"/>
      <c r="AH58" s="44"/>
      <c r="AI58" s="44"/>
      <c r="AJ58" s="43"/>
      <c r="AK58" s="33"/>
    </row>
    <row r="59" spans="2:37" ht="12.6" hidden="1" thickBot="1" x14ac:dyDescent="0.3">
      <c r="B59" s="2"/>
      <c r="C59" s="31" t="s">
        <v>116</v>
      </c>
      <c r="D59" s="30" t="s">
        <v>198</v>
      </c>
      <c r="E59" s="30" t="s">
        <v>197</v>
      </c>
      <c r="F59" s="30" t="s">
        <v>196</v>
      </c>
      <c r="G59" s="30" t="s">
        <v>195</v>
      </c>
      <c r="H59" s="30" t="s">
        <v>194</v>
      </c>
      <c r="I59" s="30" t="s">
        <v>193</v>
      </c>
      <c r="J59" s="30" t="s">
        <v>192</v>
      </c>
      <c r="K59" s="30" t="s">
        <v>191</v>
      </c>
      <c r="L59" s="30" t="s">
        <v>190</v>
      </c>
      <c r="M59" s="30" t="s">
        <v>189</v>
      </c>
      <c r="N59" s="30" t="s">
        <v>188</v>
      </c>
      <c r="O59" s="30" t="s">
        <v>187</v>
      </c>
      <c r="P59" s="30" t="s">
        <v>186</v>
      </c>
      <c r="Q59" s="30" t="s">
        <v>185</v>
      </c>
      <c r="R59" s="30" t="s">
        <v>184</v>
      </c>
      <c r="S59" s="30" t="s">
        <v>183</v>
      </c>
      <c r="T59" s="30" t="s">
        <v>182</v>
      </c>
      <c r="U59" s="30" t="s">
        <v>181</v>
      </c>
      <c r="V59" s="30" t="s">
        <v>180</v>
      </c>
      <c r="W59" s="30" t="s">
        <v>179</v>
      </c>
      <c r="X59" s="30" t="s">
        <v>178</v>
      </c>
      <c r="Y59" s="30" t="s">
        <v>177</v>
      </c>
      <c r="Z59" s="30" t="s">
        <v>176</v>
      </c>
      <c r="AA59" s="30" t="s">
        <v>175</v>
      </c>
      <c r="AB59" s="30" t="s">
        <v>174</v>
      </c>
      <c r="AC59" s="30" t="s">
        <v>173</v>
      </c>
      <c r="AD59" s="30" t="s">
        <v>172</v>
      </c>
      <c r="AE59" s="30" t="s">
        <v>171</v>
      </c>
      <c r="AF59" s="30" t="s">
        <v>170</v>
      </c>
      <c r="AG59" s="30" t="s">
        <v>169</v>
      </c>
      <c r="AH59" s="30" t="s">
        <v>168</v>
      </c>
      <c r="AI59" s="30" t="s">
        <v>167</v>
      </c>
      <c r="AJ59" s="42" t="s">
        <v>19</v>
      </c>
      <c r="AK59" s="2" t="s">
        <v>203</v>
      </c>
    </row>
    <row r="60" spans="2:37" ht="19.5" customHeight="1" thickTop="1" thickBot="1" x14ac:dyDescent="0.3">
      <c r="B60" s="28"/>
      <c r="C60" s="27" t="str">
        <f>DADOS!$T$3</f>
        <v>🍕 ALIMENTAÇÃO</v>
      </c>
      <c r="D60" s="26" t="str">
        <f>IF(despesavariávelconsolidadoago[[#This Row],[TOTAL]]=0,"",IF(OR(despesavariávelconsolidadoago[[#This Row],[TOTAL]]=LARGE($AJ$60:$AJ$72,1),despesavariávelconsolidadoago[[#This Row],[TOTAL]]=LARGE($AJ$60:$AJ$72,2),despesavariávelconsolidadoago[[#This Row],[TOTAL]]=LARGE($AJ$60:$AJ$72,3),despesavariávelconsolidadoago[[#This Row],[TOTAL]]=LARGE($AJ$60:$AJ$72,4),despesavariávelconsolidadoago[[#This Row],[TOTAL]]=LARGE($AJ$60:$AJ$72,5)),DADOS!$I$8,""))</f>
        <v/>
      </c>
      <c r="E60" s="94">
        <f>SUMIFS(tabela_registros[VALOR],tabela_registros[MÊS],$AE$1,tabela_registros[DIA],agototal3059718395107119[[#Headers],[1]],tabela_registros[REGISTRO],DADOS!$N$4,tabela_registros[TIPO],DADOS!$P$4,tabela_registros[CATEGORIA],despesavariávelconsolidadoago[[#This Row],[DESPESA VARIÁVEL]])</f>
        <v>0</v>
      </c>
      <c r="F60" s="88">
        <f>SUMIFS(tabela_registros[VALOR],tabela_registros[MÊS],$AE$1,tabela_registros[DIA],agototal3059718395107119[[#Headers],[2]],tabela_registros[REGISTRO],DADOS!$N$4,tabela_registros[TIPO],DADOS!$P$4,tabela_registros[CATEGORIA],despesavariávelconsolidadoago[[#This Row],[DESPESA VARIÁVEL]])</f>
        <v>0</v>
      </c>
      <c r="G60" s="88">
        <f>SUMIFS(tabela_registros[VALOR],tabela_registros[MÊS],$AE$1,tabela_registros[DIA],agototal3059718395107119[[#Headers],[3]],tabela_registros[REGISTRO],DADOS!$N$4,tabela_registros[TIPO],DADOS!$P$4,tabela_registros[CATEGORIA],despesavariávelconsolidadoago[[#This Row],[DESPESA VARIÁVEL]])</f>
        <v>0</v>
      </c>
      <c r="H60" s="88">
        <f>SUMIFS(tabela_registros[VALOR],tabela_registros[MÊS],$AE$1,tabela_registros[DIA],agototal3059718395107119[[#Headers],[4]],tabela_registros[REGISTRO],DADOS!$N$4,tabela_registros[TIPO],DADOS!$P$4,tabela_registros[CATEGORIA],despesavariávelconsolidadoago[[#This Row],[DESPESA VARIÁVEL]])</f>
        <v>0</v>
      </c>
      <c r="I60" s="88">
        <f>SUMIFS(tabela_registros[VALOR],tabela_registros[MÊS],$AE$1,tabela_registros[DIA],agototal3059718395107119[[#Headers],[5]],tabela_registros[REGISTRO],DADOS!$N$4,tabela_registros[TIPO],DADOS!$P$4,tabela_registros[CATEGORIA],despesavariávelconsolidadoago[[#This Row],[DESPESA VARIÁVEL]])</f>
        <v>0</v>
      </c>
      <c r="J60" s="88">
        <f>SUMIFS(tabela_registros[VALOR],tabela_registros[MÊS],$AE$1,tabela_registros[DIA],agototal3059718395107119[[#Headers],[6]],tabela_registros[REGISTRO],DADOS!$N$4,tabela_registros[TIPO],DADOS!$P$4,tabela_registros[CATEGORIA],despesavariávelconsolidadoago[[#This Row],[DESPESA VARIÁVEL]])</f>
        <v>0</v>
      </c>
      <c r="K60" s="88">
        <f>SUMIFS(tabela_registros[VALOR],tabela_registros[MÊS],$AE$1,tabela_registros[DIA],agototal3059718395107119[[#Headers],[7]],tabela_registros[REGISTRO],DADOS!$N$4,tabela_registros[TIPO],DADOS!$P$4,tabela_registros[CATEGORIA],despesavariávelconsolidadoago[[#This Row],[DESPESA VARIÁVEL]])</f>
        <v>0</v>
      </c>
      <c r="L60" s="88">
        <f>SUMIFS(tabela_registros[VALOR],tabela_registros[MÊS],$AE$1,tabela_registros[DIA],agototal3059718395107119[[#Headers],[8]],tabela_registros[REGISTRO],DADOS!$N$4,tabela_registros[TIPO],DADOS!$P$4,tabela_registros[CATEGORIA],despesavariávelconsolidadoago[[#This Row],[DESPESA VARIÁVEL]])</f>
        <v>0</v>
      </c>
      <c r="M60" s="88">
        <f>SUMIFS(tabela_registros[VALOR],tabela_registros[MÊS],$AE$1,tabela_registros[DIA],agototal3059718395107119[[#Headers],[9]],tabela_registros[REGISTRO],DADOS!$N$4,tabela_registros[TIPO],DADOS!$P$4,tabela_registros[CATEGORIA],despesavariávelconsolidadoago[[#This Row],[DESPESA VARIÁVEL]])</f>
        <v>0</v>
      </c>
      <c r="N60" s="88">
        <f>SUMIFS(tabela_registros[VALOR],tabela_registros[MÊS],$AE$1,tabela_registros[DIA],agototal3059718395107119[[#Headers],[10]],tabela_registros[REGISTRO],DADOS!$N$4,tabela_registros[TIPO],DADOS!$P$4,tabela_registros[CATEGORIA],despesavariávelconsolidadoago[[#This Row],[DESPESA VARIÁVEL]])</f>
        <v>0</v>
      </c>
      <c r="O60" s="88">
        <f>SUMIFS(tabela_registros[VALOR],tabela_registros[MÊS],$AE$1,tabela_registros[DIA],agototal3059718395107119[[#Headers],[11]],tabela_registros[REGISTRO],DADOS!$N$4,tabela_registros[TIPO],DADOS!$P$4,tabela_registros[CATEGORIA],despesavariávelconsolidadoago[[#This Row],[DESPESA VARIÁVEL]])</f>
        <v>0</v>
      </c>
      <c r="P60" s="88">
        <f>SUMIFS(tabela_registros[VALOR],tabela_registros[MÊS],$AE$1,tabela_registros[DIA],agototal3059718395107119[[#Headers],[12]],tabela_registros[REGISTRO],DADOS!$N$4,tabela_registros[TIPO],DADOS!$P$4,tabela_registros[CATEGORIA],despesavariávelconsolidadoago[[#This Row],[DESPESA VARIÁVEL]])</f>
        <v>0</v>
      </c>
      <c r="Q60" s="88">
        <f>SUMIFS(tabela_registros[VALOR],tabela_registros[MÊS],$AE$1,tabela_registros[DIA],agototal3059718395107119[[#Headers],[13]],tabela_registros[REGISTRO],DADOS!$N$4,tabela_registros[TIPO],DADOS!$P$4,tabela_registros[CATEGORIA],despesavariávelconsolidadoago[[#This Row],[DESPESA VARIÁVEL]])</f>
        <v>0</v>
      </c>
      <c r="R60" s="88">
        <f>SUMIFS(tabela_registros[VALOR],tabela_registros[MÊS],$AE$1,tabela_registros[DIA],agototal3059718395107119[[#Headers],[14]],tabela_registros[REGISTRO],DADOS!$N$4,tabela_registros[TIPO],DADOS!$P$4,tabela_registros[CATEGORIA],despesavariávelconsolidadoago[[#This Row],[DESPESA VARIÁVEL]])</f>
        <v>0</v>
      </c>
      <c r="S60" s="88">
        <f>SUMIFS(tabela_registros[VALOR],tabela_registros[MÊS],$AE$1,tabela_registros[DIA],agototal3059718395107119[[#Headers],[15]],tabela_registros[REGISTRO],DADOS!$N$4,tabela_registros[TIPO],DADOS!$P$4,tabela_registros[CATEGORIA],despesavariávelconsolidadoago[[#This Row],[DESPESA VARIÁVEL]])</f>
        <v>0</v>
      </c>
      <c r="T60" s="88">
        <f>SUMIFS(tabela_registros[VALOR],tabela_registros[MÊS],$AE$1,tabela_registros[DIA],agototal3059718395107119[[#Headers],[16]],tabela_registros[REGISTRO],DADOS!$N$4,tabela_registros[TIPO],DADOS!$P$4,tabela_registros[CATEGORIA],despesavariávelconsolidadoago[[#This Row],[DESPESA VARIÁVEL]])</f>
        <v>0</v>
      </c>
      <c r="U60" s="88">
        <f>SUMIFS(tabela_registros[VALOR],tabela_registros[MÊS],$AE$1,tabela_registros[DIA],agototal3059718395107119[[#Headers],[17]],tabela_registros[REGISTRO],DADOS!$N$4,tabela_registros[TIPO],DADOS!$P$4,tabela_registros[CATEGORIA],despesavariávelconsolidadoago[[#This Row],[DESPESA VARIÁVEL]])</f>
        <v>0</v>
      </c>
      <c r="V60" s="88">
        <f>SUMIFS(tabela_registros[VALOR],tabela_registros[MÊS],$AE$1,tabela_registros[DIA],agototal3059718395107119[[#Headers],[18]],tabela_registros[REGISTRO],DADOS!$N$4,tabela_registros[TIPO],DADOS!$P$4,tabela_registros[CATEGORIA],despesavariávelconsolidadoago[[#This Row],[DESPESA VARIÁVEL]])</f>
        <v>0</v>
      </c>
      <c r="W60" s="88">
        <f>SUMIFS(tabela_registros[VALOR],tabela_registros[MÊS],$AE$1,tabela_registros[DIA],agototal3059718395107119[[#Headers],[19]],tabela_registros[REGISTRO],DADOS!$N$4,tabela_registros[TIPO],DADOS!$P$4,tabela_registros[CATEGORIA],despesavariávelconsolidadoago[[#This Row],[DESPESA VARIÁVEL]])</f>
        <v>0</v>
      </c>
      <c r="X60" s="88">
        <f>SUMIFS(tabela_registros[VALOR],tabela_registros[MÊS],$AE$1,tabela_registros[DIA],agototal3059718395107119[[#Headers],[20]],tabela_registros[REGISTRO],DADOS!$N$4,tabela_registros[TIPO],DADOS!$P$4,tabela_registros[CATEGORIA],despesavariávelconsolidadoago[[#This Row],[DESPESA VARIÁVEL]])</f>
        <v>0</v>
      </c>
      <c r="Y60" s="88">
        <f>SUMIFS(tabela_registros[VALOR],tabela_registros[MÊS],$AE$1,tabela_registros[DIA],agototal3059718395107119[[#Headers],[21]],tabela_registros[REGISTRO],DADOS!$N$4,tabela_registros[TIPO],DADOS!$P$4,tabela_registros[CATEGORIA],despesavariávelconsolidadoago[[#This Row],[DESPESA VARIÁVEL]])</f>
        <v>0</v>
      </c>
      <c r="Z60" s="88">
        <f>SUMIFS(tabela_registros[VALOR],tabela_registros[MÊS],$AE$1,tabela_registros[DIA],agototal3059718395107119[[#Headers],[22]],tabela_registros[REGISTRO],DADOS!$N$4,tabela_registros[TIPO],DADOS!$P$4,tabela_registros[CATEGORIA],despesavariávelconsolidadoago[[#This Row],[DESPESA VARIÁVEL]])</f>
        <v>0</v>
      </c>
      <c r="AA60" s="88">
        <f>SUMIFS(tabela_registros[VALOR],tabela_registros[MÊS],$AE$1,tabela_registros[DIA],agototal3059718395107119[[#Headers],[23]],tabela_registros[REGISTRO],DADOS!$N$4,tabela_registros[TIPO],DADOS!$P$4,tabela_registros[CATEGORIA],despesavariávelconsolidadoago[[#This Row],[DESPESA VARIÁVEL]])</f>
        <v>0</v>
      </c>
      <c r="AB60" s="88">
        <f>SUMIFS(tabela_registros[VALOR],tabela_registros[MÊS],$AE$1,tabela_registros[DIA],agototal3059718395107119[[#Headers],[24]],tabela_registros[REGISTRO],DADOS!$N$4,tabela_registros[TIPO],DADOS!$P$4,tabela_registros[CATEGORIA],despesavariávelconsolidadoago[[#This Row],[DESPESA VARIÁVEL]])</f>
        <v>0</v>
      </c>
      <c r="AC60" s="88">
        <f>SUMIFS(tabela_registros[VALOR],tabela_registros[MÊS],$AE$1,tabela_registros[DIA],agototal3059718395107119[[#Headers],[25]],tabela_registros[REGISTRO],DADOS!$N$4,tabela_registros[TIPO],DADOS!$P$4,tabela_registros[CATEGORIA],despesavariávelconsolidadoago[[#This Row],[DESPESA VARIÁVEL]])</f>
        <v>0</v>
      </c>
      <c r="AD60" s="88">
        <f>SUMIFS(tabela_registros[VALOR],tabela_registros[MÊS],$AE$1,tabela_registros[DIA],agototal3059718395107119[[#Headers],[26]],tabela_registros[REGISTRO],DADOS!$N$4,tabela_registros[TIPO],DADOS!$P$4,tabela_registros[CATEGORIA],despesavariávelconsolidadoago[[#This Row],[DESPESA VARIÁVEL]])</f>
        <v>0</v>
      </c>
      <c r="AE60" s="88">
        <f>SUMIFS(tabela_registros[VALOR],tabela_registros[MÊS],$AE$1,tabela_registros[DIA],agototal3059718395107119[[#Headers],[27]],tabela_registros[REGISTRO],DADOS!$N$4,tabela_registros[TIPO],DADOS!$P$4,tabela_registros[CATEGORIA],despesavariávelconsolidadoago[[#This Row],[DESPESA VARIÁVEL]])</f>
        <v>0</v>
      </c>
      <c r="AF60" s="88">
        <f>SUMIFS(tabela_registros[VALOR],tabela_registros[MÊS],$AE$1,tabela_registros[DIA],agototal3059718395107119[[#Headers],[28]],tabela_registros[REGISTRO],DADOS!$N$4,tabela_registros[TIPO],DADOS!$P$4,tabela_registros[CATEGORIA],despesavariávelconsolidadoago[[#This Row],[DESPESA VARIÁVEL]])</f>
        <v>0</v>
      </c>
      <c r="AG60" s="88">
        <f>SUMIFS(tabela_registros[VALOR],tabela_registros[MÊS],$AE$1,tabela_registros[DIA],agototal3059718395107119[[#Headers],[29]],tabela_registros[REGISTRO],DADOS!$N$4,tabela_registros[TIPO],DADOS!$P$4,tabela_registros[CATEGORIA],despesavariávelconsolidadoago[[#This Row],[DESPESA VARIÁVEL]])</f>
        <v>0</v>
      </c>
      <c r="AH60" s="88">
        <f>SUMIFS(tabela_registros[VALOR],tabela_registros[MÊS],$AE$1,tabela_registros[DIA],agototal3059718395107119[[#Headers],[30]],tabela_registros[REGISTRO],DADOS!$N$4,tabela_registros[TIPO],DADOS!$P$4,tabela_registros[CATEGORIA],despesavariávelconsolidadoago[[#This Row],[DESPESA VARIÁVEL]])</f>
        <v>0</v>
      </c>
      <c r="AI60" s="100">
        <f>SUMIFS(tabela_registros[VALOR],tabela_registros[MÊS],$AE$1,tabela_registros[DIA],agototal3059718395107119[[#Headers],[31]],tabela_registros[REGISTRO],DADOS!$N$4,tabela_registros[TIPO],DADOS!$P$4,tabela_registros[CATEGORIA],despesavariávelconsolidadoago[[#This Row],[DESPESA VARIÁVEL]])</f>
        <v>0</v>
      </c>
      <c r="AJ60" s="95">
        <f>SUM(despesavariávelconsolidadoago[[#This Row],[1]:[31]])</f>
        <v>0</v>
      </c>
      <c r="AK60" s="28"/>
    </row>
    <row r="61" spans="2:37" ht="18" customHeight="1" thickTop="1" thickBot="1" x14ac:dyDescent="0.3">
      <c r="B61" s="28"/>
      <c r="C61" s="27" t="str">
        <f>DADOS!$T$4</f>
        <v>💳 CARTÃO DE CRÉDITO</v>
      </c>
      <c r="D61" s="26" t="str">
        <f>IF(despesavariávelconsolidadoago[[#This Row],[TOTAL]]=0,"",IF(OR(despesavariávelconsolidadoago[[#This Row],[TOTAL]]=LARGE($AJ$60:$AJ$72,1),despesavariávelconsolidadoago[[#This Row],[TOTAL]]=LARGE($AJ$60:$AJ$72,2),despesavariávelconsolidadoago[[#This Row],[TOTAL]]=LARGE($AJ$60:$AJ$72,3),despesavariávelconsolidadoago[[#This Row],[TOTAL]]=LARGE($AJ$60:$AJ$72,4),despesavariávelconsolidadoago[[#This Row],[TOTAL]]=LARGE($AJ$60:$AJ$72,5)),DADOS!$I$8,""))</f>
        <v/>
      </c>
      <c r="E61" s="96">
        <f>SUMIFS(tabela_registros[VALOR],tabela_registros[MÊS],$AE$1,tabela_registros[DIA],agototal3059718395107119[[#Headers],[1]],tabela_registros[REGISTRO],DADOS!$N$4,tabela_registros[TIPO],DADOS!$P$4,tabela_registros[CATEGORIA],despesavariávelconsolidadoago[[#This Row],[DESPESA VARIÁVEL]])</f>
        <v>0</v>
      </c>
      <c r="F61" s="91">
        <f>SUMIFS(tabela_registros[VALOR],tabela_registros[MÊS],$AE$1,tabela_registros[DIA],agototal3059718395107119[[#Headers],[2]],tabela_registros[REGISTRO],DADOS!$N$4,tabela_registros[TIPO],DADOS!$P$4,tabela_registros[CATEGORIA],despesavariávelconsolidadoago[[#This Row],[DESPESA VARIÁVEL]])</f>
        <v>0</v>
      </c>
      <c r="G61" s="91">
        <f>SUMIFS(tabela_registros[VALOR],tabela_registros[MÊS],$AE$1,tabela_registros[DIA],agototal3059718395107119[[#Headers],[3]],tabela_registros[REGISTRO],DADOS!$N$4,tabela_registros[TIPO],DADOS!$P$4,tabela_registros[CATEGORIA],despesavariávelconsolidadoago[[#This Row],[DESPESA VARIÁVEL]])</f>
        <v>0</v>
      </c>
      <c r="H61" s="91">
        <f>SUMIFS(tabela_registros[VALOR],tabela_registros[MÊS],$AE$1,tabela_registros[DIA],agototal3059718395107119[[#Headers],[4]],tabela_registros[REGISTRO],DADOS!$N$4,tabela_registros[TIPO],DADOS!$P$4,tabela_registros[CATEGORIA],despesavariávelconsolidadoago[[#This Row],[DESPESA VARIÁVEL]])</f>
        <v>0</v>
      </c>
      <c r="I61" s="91">
        <f>SUMIFS(tabela_registros[VALOR],tabela_registros[MÊS],$AE$1,tabela_registros[DIA],agototal3059718395107119[[#Headers],[5]],tabela_registros[REGISTRO],DADOS!$N$4,tabela_registros[TIPO],DADOS!$P$4,tabela_registros[CATEGORIA],despesavariávelconsolidadoago[[#This Row],[DESPESA VARIÁVEL]])</f>
        <v>0</v>
      </c>
      <c r="J61" s="91">
        <f>SUMIFS(tabela_registros[VALOR],tabela_registros[MÊS],$AE$1,tabela_registros[DIA],agototal3059718395107119[[#Headers],[6]],tabela_registros[REGISTRO],DADOS!$N$4,tabela_registros[TIPO],DADOS!$P$4,tabela_registros[CATEGORIA],despesavariávelconsolidadoago[[#This Row],[DESPESA VARIÁVEL]])</f>
        <v>0</v>
      </c>
      <c r="K61" s="91">
        <f>SUMIFS(tabela_registros[VALOR],tabela_registros[MÊS],$AE$1,tabela_registros[DIA],agototal3059718395107119[[#Headers],[7]],tabela_registros[REGISTRO],DADOS!$N$4,tabela_registros[TIPO],DADOS!$P$4,tabela_registros[CATEGORIA],despesavariávelconsolidadoago[[#This Row],[DESPESA VARIÁVEL]])</f>
        <v>0</v>
      </c>
      <c r="L61" s="91">
        <f>SUMIFS(tabela_registros[VALOR],tabela_registros[MÊS],$AE$1,tabela_registros[DIA],agototal3059718395107119[[#Headers],[8]],tabela_registros[REGISTRO],DADOS!$N$4,tabela_registros[TIPO],DADOS!$P$4,tabela_registros[CATEGORIA],despesavariávelconsolidadoago[[#This Row],[DESPESA VARIÁVEL]])</f>
        <v>0</v>
      </c>
      <c r="M61" s="91">
        <f>SUMIFS(tabela_registros[VALOR],tabela_registros[MÊS],$AE$1,tabela_registros[DIA],agototal3059718395107119[[#Headers],[9]],tabela_registros[REGISTRO],DADOS!$N$4,tabela_registros[TIPO],DADOS!$P$4,tabela_registros[CATEGORIA],despesavariávelconsolidadoago[[#This Row],[DESPESA VARIÁVEL]])</f>
        <v>0</v>
      </c>
      <c r="N61" s="91">
        <f>SUMIFS(tabela_registros[VALOR],tabela_registros[MÊS],$AE$1,tabela_registros[DIA],agototal3059718395107119[[#Headers],[10]],tabela_registros[REGISTRO],DADOS!$N$4,tabela_registros[TIPO],DADOS!$P$4,tabela_registros[CATEGORIA],despesavariávelconsolidadoago[[#This Row],[DESPESA VARIÁVEL]])</f>
        <v>0</v>
      </c>
      <c r="O61" s="91">
        <f>SUMIFS(tabela_registros[VALOR],tabela_registros[MÊS],$AE$1,tabela_registros[DIA],agototal3059718395107119[[#Headers],[11]],tabela_registros[REGISTRO],DADOS!$N$4,tabela_registros[TIPO],DADOS!$P$4,tabela_registros[CATEGORIA],despesavariávelconsolidadoago[[#This Row],[DESPESA VARIÁVEL]])</f>
        <v>0</v>
      </c>
      <c r="P61" s="91">
        <f>SUMIFS(tabela_registros[VALOR],tabela_registros[MÊS],$AE$1,tabela_registros[DIA],agototal3059718395107119[[#Headers],[12]],tabela_registros[REGISTRO],DADOS!$N$4,tabela_registros[TIPO],DADOS!$P$4,tabela_registros[CATEGORIA],despesavariávelconsolidadoago[[#This Row],[DESPESA VARIÁVEL]])</f>
        <v>0</v>
      </c>
      <c r="Q61" s="91">
        <f>SUMIFS(tabela_registros[VALOR],tabela_registros[MÊS],$AE$1,tabela_registros[DIA],agototal3059718395107119[[#Headers],[13]],tabela_registros[REGISTRO],DADOS!$N$4,tabela_registros[TIPO],DADOS!$P$4,tabela_registros[CATEGORIA],despesavariávelconsolidadoago[[#This Row],[DESPESA VARIÁVEL]])</f>
        <v>0</v>
      </c>
      <c r="R61" s="91">
        <f>SUMIFS(tabela_registros[VALOR],tabela_registros[MÊS],$AE$1,tabela_registros[DIA],agototal3059718395107119[[#Headers],[14]],tabela_registros[REGISTRO],DADOS!$N$4,tabela_registros[TIPO],DADOS!$P$4,tabela_registros[CATEGORIA],despesavariávelconsolidadoago[[#This Row],[DESPESA VARIÁVEL]])</f>
        <v>0</v>
      </c>
      <c r="S61" s="91">
        <f>SUMIFS(tabela_registros[VALOR],tabela_registros[MÊS],$AE$1,tabela_registros[DIA],agototal3059718395107119[[#Headers],[15]],tabela_registros[REGISTRO],DADOS!$N$4,tabela_registros[TIPO],DADOS!$P$4,tabela_registros[CATEGORIA],despesavariávelconsolidadoago[[#This Row],[DESPESA VARIÁVEL]])</f>
        <v>0</v>
      </c>
      <c r="T61" s="91">
        <f>SUMIFS(tabela_registros[VALOR],tabela_registros[MÊS],$AE$1,tabela_registros[DIA],agototal3059718395107119[[#Headers],[16]],tabela_registros[REGISTRO],DADOS!$N$4,tabela_registros[TIPO],DADOS!$P$4,tabela_registros[CATEGORIA],despesavariávelconsolidadoago[[#This Row],[DESPESA VARIÁVEL]])</f>
        <v>0</v>
      </c>
      <c r="U61" s="91">
        <f>SUMIFS(tabela_registros[VALOR],tabela_registros[MÊS],$AE$1,tabela_registros[DIA],agototal3059718395107119[[#Headers],[17]],tabela_registros[REGISTRO],DADOS!$N$4,tabela_registros[TIPO],DADOS!$P$4,tabela_registros[CATEGORIA],despesavariávelconsolidadoago[[#This Row],[DESPESA VARIÁVEL]])</f>
        <v>0</v>
      </c>
      <c r="V61" s="91">
        <f>SUMIFS(tabela_registros[VALOR],tabela_registros[MÊS],$AE$1,tabela_registros[DIA],agototal3059718395107119[[#Headers],[18]],tabela_registros[REGISTRO],DADOS!$N$4,tabela_registros[TIPO],DADOS!$P$4,tabela_registros[CATEGORIA],despesavariávelconsolidadoago[[#This Row],[DESPESA VARIÁVEL]])</f>
        <v>0</v>
      </c>
      <c r="W61" s="91">
        <f>SUMIFS(tabela_registros[VALOR],tabela_registros[MÊS],$AE$1,tabela_registros[DIA],agototal3059718395107119[[#Headers],[19]],tabela_registros[REGISTRO],DADOS!$N$4,tabela_registros[TIPO],DADOS!$P$4,tabela_registros[CATEGORIA],despesavariávelconsolidadoago[[#This Row],[DESPESA VARIÁVEL]])</f>
        <v>0</v>
      </c>
      <c r="X61" s="91">
        <f>SUMIFS(tabela_registros[VALOR],tabela_registros[MÊS],$AE$1,tabela_registros[DIA],agototal3059718395107119[[#Headers],[20]],tabela_registros[REGISTRO],DADOS!$N$4,tabela_registros[TIPO],DADOS!$P$4,tabela_registros[CATEGORIA],despesavariávelconsolidadoago[[#This Row],[DESPESA VARIÁVEL]])</f>
        <v>0</v>
      </c>
      <c r="Y61" s="91">
        <f>SUMIFS(tabela_registros[VALOR],tabela_registros[MÊS],$AE$1,tabela_registros[DIA],agototal3059718395107119[[#Headers],[21]],tabela_registros[REGISTRO],DADOS!$N$4,tabela_registros[TIPO],DADOS!$P$4,tabela_registros[CATEGORIA],despesavariávelconsolidadoago[[#This Row],[DESPESA VARIÁVEL]])</f>
        <v>0</v>
      </c>
      <c r="Z61" s="91">
        <f>SUMIFS(tabela_registros[VALOR],tabela_registros[MÊS],$AE$1,tabela_registros[DIA],agototal3059718395107119[[#Headers],[22]],tabela_registros[REGISTRO],DADOS!$N$4,tabela_registros[TIPO],DADOS!$P$4,tabela_registros[CATEGORIA],despesavariávelconsolidadoago[[#This Row],[DESPESA VARIÁVEL]])</f>
        <v>0</v>
      </c>
      <c r="AA61" s="91">
        <f>SUMIFS(tabela_registros[VALOR],tabela_registros[MÊS],$AE$1,tabela_registros[DIA],agototal3059718395107119[[#Headers],[23]],tabela_registros[REGISTRO],DADOS!$N$4,tabela_registros[TIPO],DADOS!$P$4,tabela_registros[CATEGORIA],despesavariávelconsolidadoago[[#This Row],[DESPESA VARIÁVEL]])</f>
        <v>0</v>
      </c>
      <c r="AB61" s="91">
        <f>SUMIFS(tabela_registros[VALOR],tabela_registros[MÊS],$AE$1,tabela_registros[DIA],agototal3059718395107119[[#Headers],[24]],tabela_registros[REGISTRO],DADOS!$N$4,tabela_registros[TIPO],DADOS!$P$4,tabela_registros[CATEGORIA],despesavariávelconsolidadoago[[#This Row],[DESPESA VARIÁVEL]])</f>
        <v>0</v>
      </c>
      <c r="AC61" s="91">
        <f>SUMIFS(tabela_registros[VALOR],tabela_registros[MÊS],$AE$1,tabela_registros[DIA],agototal3059718395107119[[#Headers],[25]],tabela_registros[REGISTRO],DADOS!$N$4,tabela_registros[TIPO],DADOS!$P$4,tabela_registros[CATEGORIA],despesavariávelconsolidadoago[[#This Row],[DESPESA VARIÁVEL]])</f>
        <v>0</v>
      </c>
      <c r="AD61" s="91">
        <f>SUMIFS(tabela_registros[VALOR],tabela_registros[MÊS],$AE$1,tabela_registros[DIA],agototal3059718395107119[[#Headers],[26]],tabela_registros[REGISTRO],DADOS!$N$4,tabela_registros[TIPO],DADOS!$P$4,tabela_registros[CATEGORIA],despesavariávelconsolidadoago[[#This Row],[DESPESA VARIÁVEL]])</f>
        <v>0</v>
      </c>
      <c r="AE61" s="91">
        <f>SUMIFS(tabela_registros[VALOR],tabela_registros[MÊS],$AE$1,tabela_registros[DIA],agototal3059718395107119[[#Headers],[27]],tabela_registros[REGISTRO],DADOS!$N$4,tabela_registros[TIPO],DADOS!$P$4,tabela_registros[CATEGORIA],despesavariávelconsolidadoago[[#This Row],[DESPESA VARIÁVEL]])</f>
        <v>0</v>
      </c>
      <c r="AF61" s="91">
        <f>SUMIFS(tabela_registros[VALOR],tabela_registros[MÊS],$AE$1,tabela_registros[DIA],agototal3059718395107119[[#Headers],[28]],tabela_registros[REGISTRO],DADOS!$N$4,tabela_registros[TIPO],DADOS!$P$4,tabela_registros[CATEGORIA],despesavariávelconsolidadoago[[#This Row],[DESPESA VARIÁVEL]])</f>
        <v>0</v>
      </c>
      <c r="AG61" s="91">
        <f>SUMIFS(tabela_registros[VALOR],tabela_registros[MÊS],$AE$1,tabela_registros[DIA],agototal3059718395107119[[#Headers],[29]],tabela_registros[REGISTRO],DADOS!$N$4,tabela_registros[TIPO],DADOS!$P$4,tabela_registros[CATEGORIA],despesavariávelconsolidadoago[[#This Row],[DESPESA VARIÁVEL]])</f>
        <v>0</v>
      </c>
      <c r="AH61" s="91">
        <f>SUMIFS(tabela_registros[VALOR],tabela_registros[MÊS],$AE$1,tabela_registros[DIA],agototal3059718395107119[[#Headers],[30]],tabela_registros[REGISTRO],DADOS!$N$4,tabela_registros[TIPO],DADOS!$P$4,tabela_registros[CATEGORIA],despesavariávelconsolidadoago[[#This Row],[DESPESA VARIÁVEL]])</f>
        <v>0</v>
      </c>
      <c r="AI61" s="101">
        <f>SUMIFS(tabela_registros[VALOR],tabela_registros[MÊS],$AE$1,tabela_registros[DIA],agototal3059718395107119[[#Headers],[31]],tabela_registros[REGISTRO],DADOS!$N$4,tabela_registros[TIPO],DADOS!$P$4,tabela_registros[CATEGORIA],despesavariávelconsolidadoago[[#This Row],[DESPESA VARIÁVEL]])</f>
        <v>0</v>
      </c>
      <c r="AJ61" s="97">
        <f>SUM(despesavariávelconsolidadoago[[#This Row],[1]:[31]])</f>
        <v>0</v>
      </c>
      <c r="AK61" s="28"/>
    </row>
    <row r="62" spans="2:37" ht="18" customHeight="1" thickTop="1" thickBot="1" x14ac:dyDescent="0.3">
      <c r="B62" s="28"/>
      <c r="C62" s="27" t="str">
        <f>DADOS!$T$5</f>
        <v>✍️ CHEQUE ESPECIAL</v>
      </c>
      <c r="D62" s="26" t="str">
        <f>IF(despesavariávelconsolidadoago[[#This Row],[TOTAL]]=0,"",IF(OR(despesavariávelconsolidadoago[[#This Row],[TOTAL]]=LARGE($AJ$60:$AJ$72,1),despesavariávelconsolidadoago[[#This Row],[TOTAL]]=LARGE($AJ$60:$AJ$72,2),despesavariávelconsolidadoago[[#This Row],[TOTAL]]=LARGE($AJ$60:$AJ$72,3),despesavariávelconsolidadoago[[#This Row],[TOTAL]]=LARGE($AJ$60:$AJ$72,4),despesavariávelconsolidadoago[[#This Row],[TOTAL]]=LARGE($AJ$60:$AJ$72,5)),DADOS!$I$8,""))</f>
        <v/>
      </c>
      <c r="E62" s="96">
        <f>SUMIFS(tabela_registros[VALOR],tabela_registros[MÊS],$AE$1,tabela_registros[DIA],agototal3059718395107119[[#Headers],[1]],tabela_registros[REGISTRO],DADOS!$N$4,tabela_registros[TIPO],DADOS!$P$4,tabela_registros[CATEGORIA],despesavariávelconsolidadoago[[#This Row],[DESPESA VARIÁVEL]])</f>
        <v>0</v>
      </c>
      <c r="F62" s="91">
        <f>SUMIFS(tabela_registros[VALOR],tabela_registros[MÊS],$AE$1,tabela_registros[DIA],agototal3059718395107119[[#Headers],[2]],tabela_registros[REGISTRO],DADOS!$N$4,tabela_registros[TIPO],DADOS!$P$4,tabela_registros[CATEGORIA],despesavariávelconsolidadoago[[#This Row],[DESPESA VARIÁVEL]])</f>
        <v>0</v>
      </c>
      <c r="G62" s="91">
        <f>SUMIFS(tabela_registros[VALOR],tabela_registros[MÊS],$AE$1,tabela_registros[DIA],agototal3059718395107119[[#Headers],[3]],tabela_registros[REGISTRO],DADOS!$N$4,tabela_registros[TIPO],DADOS!$P$4,tabela_registros[CATEGORIA],despesavariávelconsolidadoago[[#This Row],[DESPESA VARIÁVEL]])</f>
        <v>0</v>
      </c>
      <c r="H62" s="91">
        <f>SUMIFS(tabela_registros[VALOR],tabela_registros[MÊS],$AE$1,tabela_registros[DIA],agototal3059718395107119[[#Headers],[4]],tabela_registros[REGISTRO],DADOS!$N$4,tabela_registros[TIPO],DADOS!$P$4,tabela_registros[CATEGORIA],despesavariávelconsolidadoago[[#This Row],[DESPESA VARIÁVEL]])</f>
        <v>0</v>
      </c>
      <c r="I62" s="91">
        <f>SUMIFS(tabela_registros[VALOR],tabela_registros[MÊS],$AE$1,tabela_registros[DIA],agototal3059718395107119[[#Headers],[5]],tabela_registros[REGISTRO],DADOS!$N$4,tabela_registros[TIPO],DADOS!$P$4,tabela_registros[CATEGORIA],despesavariávelconsolidadoago[[#This Row],[DESPESA VARIÁVEL]])</f>
        <v>0</v>
      </c>
      <c r="J62" s="91">
        <f>SUMIFS(tabela_registros[VALOR],tabela_registros[MÊS],$AE$1,tabela_registros[DIA],agototal3059718395107119[[#Headers],[6]],tabela_registros[REGISTRO],DADOS!$N$4,tabela_registros[TIPO],DADOS!$P$4,tabela_registros[CATEGORIA],despesavariávelconsolidadoago[[#This Row],[DESPESA VARIÁVEL]])</f>
        <v>0</v>
      </c>
      <c r="K62" s="91">
        <f>SUMIFS(tabela_registros[VALOR],tabela_registros[MÊS],$AE$1,tabela_registros[DIA],agototal3059718395107119[[#Headers],[7]],tabela_registros[REGISTRO],DADOS!$N$4,tabela_registros[TIPO],DADOS!$P$4,tabela_registros[CATEGORIA],despesavariávelconsolidadoago[[#This Row],[DESPESA VARIÁVEL]])</f>
        <v>0</v>
      </c>
      <c r="L62" s="91">
        <f>SUMIFS(tabela_registros[VALOR],tabela_registros[MÊS],$AE$1,tabela_registros[DIA],agototal3059718395107119[[#Headers],[8]],tabela_registros[REGISTRO],DADOS!$N$4,tabela_registros[TIPO],DADOS!$P$4,tabela_registros[CATEGORIA],despesavariávelconsolidadoago[[#This Row],[DESPESA VARIÁVEL]])</f>
        <v>0</v>
      </c>
      <c r="M62" s="91">
        <f>SUMIFS(tabela_registros[VALOR],tabela_registros[MÊS],$AE$1,tabela_registros[DIA],agototal3059718395107119[[#Headers],[9]],tabela_registros[REGISTRO],DADOS!$N$4,tabela_registros[TIPO],DADOS!$P$4,tabela_registros[CATEGORIA],despesavariávelconsolidadoago[[#This Row],[DESPESA VARIÁVEL]])</f>
        <v>0</v>
      </c>
      <c r="N62" s="91">
        <f>SUMIFS(tabela_registros[VALOR],tabela_registros[MÊS],$AE$1,tabela_registros[DIA],agototal3059718395107119[[#Headers],[10]],tabela_registros[REGISTRO],DADOS!$N$4,tabela_registros[TIPO],DADOS!$P$4,tabela_registros[CATEGORIA],despesavariávelconsolidadoago[[#This Row],[DESPESA VARIÁVEL]])</f>
        <v>0</v>
      </c>
      <c r="O62" s="91">
        <f>SUMIFS(tabela_registros[VALOR],tabela_registros[MÊS],$AE$1,tabela_registros[DIA],agototal3059718395107119[[#Headers],[11]],tabela_registros[REGISTRO],DADOS!$N$4,tabela_registros[TIPO],DADOS!$P$4,tabela_registros[CATEGORIA],despesavariávelconsolidadoago[[#This Row],[DESPESA VARIÁVEL]])</f>
        <v>0</v>
      </c>
      <c r="P62" s="91">
        <f>SUMIFS(tabela_registros[VALOR],tabela_registros[MÊS],$AE$1,tabela_registros[DIA],agototal3059718395107119[[#Headers],[12]],tabela_registros[REGISTRO],DADOS!$N$4,tabela_registros[TIPO],DADOS!$P$4,tabela_registros[CATEGORIA],despesavariávelconsolidadoago[[#This Row],[DESPESA VARIÁVEL]])</f>
        <v>0</v>
      </c>
      <c r="Q62" s="91">
        <f>SUMIFS(tabela_registros[VALOR],tabela_registros[MÊS],$AE$1,tabela_registros[DIA],agototal3059718395107119[[#Headers],[13]],tabela_registros[REGISTRO],DADOS!$N$4,tabela_registros[TIPO],DADOS!$P$4,tabela_registros[CATEGORIA],despesavariávelconsolidadoago[[#This Row],[DESPESA VARIÁVEL]])</f>
        <v>0</v>
      </c>
      <c r="R62" s="91">
        <f>SUMIFS(tabela_registros[VALOR],tabela_registros[MÊS],$AE$1,tabela_registros[DIA],agototal3059718395107119[[#Headers],[14]],tabela_registros[REGISTRO],DADOS!$N$4,tabela_registros[TIPO],DADOS!$P$4,tabela_registros[CATEGORIA],despesavariávelconsolidadoago[[#This Row],[DESPESA VARIÁVEL]])</f>
        <v>0</v>
      </c>
      <c r="S62" s="91">
        <f>SUMIFS(tabela_registros[VALOR],tabela_registros[MÊS],$AE$1,tabela_registros[DIA],agototal3059718395107119[[#Headers],[15]],tabela_registros[REGISTRO],DADOS!$N$4,tabela_registros[TIPO],DADOS!$P$4,tabela_registros[CATEGORIA],despesavariávelconsolidadoago[[#This Row],[DESPESA VARIÁVEL]])</f>
        <v>0</v>
      </c>
      <c r="T62" s="91">
        <f>SUMIFS(tabela_registros[VALOR],tabela_registros[MÊS],$AE$1,tabela_registros[DIA],agototal3059718395107119[[#Headers],[16]],tabela_registros[REGISTRO],DADOS!$N$4,tabela_registros[TIPO],DADOS!$P$4,tabela_registros[CATEGORIA],despesavariávelconsolidadoago[[#This Row],[DESPESA VARIÁVEL]])</f>
        <v>0</v>
      </c>
      <c r="U62" s="91">
        <f>SUMIFS(tabela_registros[VALOR],tabela_registros[MÊS],$AE$1,tabela_registros[DIA],agototal3059718395107119[[#Headers],[17]],tabela_registros[REGISTRO],DADOS!$N$4,tabela_registros[TIPO],DADOS!$P$4,tabela_registros[CATEGORIA],despesavariávelconsolidadoago[[#This Row],[DESPESA VARIÁVEL]])</f>
        <v>0</v>
      </c>
      <c r="V62" s="91">
        <f>SUMIFS(tabela_registros[VALOR],tabela_registros[MÊS],$AE$1,tabela_registros[DIA],agototal3059718395107119[[#Headers],[18]],tabela_registros[REGISTRO],DADOS!$N$4,tabela_registros[TIPO],DADOS!$P$4,tabela_registros[CATEGORIA],despesavariávelconsolidadoago[[#This Row],[DESPESA VARIÁVEL]])</f>
        <v>0</v>
      </c>
      <c r="W62" s="91">
        <f>SUMIFS(tabela_registros[VALOR],tabela_registros[MÊS],$AE$1,tabela_registros[DIA],agototal3059718395107119[[#Headers],[19]],tabela_registros[REGISTRO],DADOS!$N$4,tabela_registros[TIPO],DADOS!$P$4,tabela_registros[CATEGORIA],despesavariávelconsolidadoago[[#This Row],[DESPESA VARIÁVEL]])</f>
        <v>0</v>
      </c>
      <c r="X62" s="91">
        <f>SUMIFS(tabela_registros[VALOR],tabela_registros[MÊS],$AE$1,tabela_registros[DIA],agototal3059718395107119[[#Headers],[20]],tabela_registros[REGISTRO],DADOS!$N$4,tabela_registros[TIPO],DADOS!$P$4,tabela_registros[CATEGORIA],despesavariávelconsolidadoago[[#This Row],[DESPESA VARIÁVEL]])</f>
        <v>0</v>
      </c>
      <c r="Y62" s="91">
        <f>SUMIFS(tabela_registros[VALOR],tabela_registros[MÊS],$AE$1,tabela_registros[DIA],agototal3059718395107119[[#Headers],[21]],tabela_registros[REGISTRO],DADOS!$N$4,tabela_registros[TIPO],DADOS!$P$4,tabela_registros[CATEGORIA],despesavariávelconsolidadoago[[#This Row],[DESPESA VARIÁVEL]])</f>
        <v>0</v>
      </c>
      <c r="Z62" s="91">
        <f>SUMIFS(tabela_registros[VALOR],tabela_registros[MÊS],$AE$1,tabela_registros[DIA],agototal3059718395107119[[#Headers],[22]],tabela_registros[REGISTRO],DADOS!$N$4,tabela_registros[TIPO],DADOS!$P$4,tabela_registros[CATEGORIA],despesavariávelconsolidadoago[[#This Row],[DESPESA VARIÁVEL]])</f>
        <v>0</v>
      </c>
      <c r="AA62" s="91">
        <f>SUMIFS(tabela_registros[VALOR],tabela_registros[MÊS],$AE$1,tabela_registros[DIA],agototal3059718395107119[[#Headers],[23]],tabela_registros[REGISTRO],DADOS!$N$4,tabela_registros[TIPO],DADOS!$P$4,tabela_registros[CATEGORIA],despesavariávelconsolidadoago[[#This Row],[DESPESA VARIÁVEL]])</f>
        <v>0</v>
      </c>
      <c r="AB62" s="91">
        <f>SUMIFS(tabela_registros[VALOR],tabela_registros[MÊS],$AE$1,tabela_registros[DIA],agototal3059718395107119[[#Headers],[24]],tabela_registros[REGISTRO],DADOS!$N$4,tabela_registros[TIPO],DADOS!$P$4,tabela_registros[CATEGORIA],despesavariávelconsolidadoago[[#This Row],[DESPESA VARIÁVEL]])</f>
        <v>0</v>
      </c>
      <c r="AC62" s="91">
        <f>SUMIFS(tabela_registros[VALOR],tabela_registros[MÊS],$AE$1,tabela_registros[DIA],agototal3059718395107119[[#Headers],[25]],tabela_registros[REGISTRO],DADOS!$N$4,tabela_registros[TIPO],DADOS!$P$4,tabela_registros[CATEGORIA],despesavariávelconsolidadoago[[#This Row],[DESPESA VARIÁVEL]])</f>
        <v>0</v>
      </c>
      <c r="AD62" s="91">
        <f>SUMIFS(tabela_registros[VALOR],tabela_registros[MÊS],$AE$1,tabela_registros[DIA],agototal3059718395107119[[#Headers],[26]],tabela_registros[REGISTRO],DADOS!$N$4,tabela_registros[TIPO],DADOS!$P$4,tabela_registros[CATEGORIA],despesavariávelconsolidadoago[[#This Row],[DESPESA VARIÁVEL]])</f>
        <v>0</v>
      </c>
      <c r="AE62" s="91">
        <f>SUMIFS(tabela_registros[VALOR],tabela_registros[MÊS],$AE$1,tabela_registros[DIA],agototal3059718395107119[[#Headers],[27]],tabela_registros[REGISTRO],DADOS!$N$4,tabela_registros[TIPO],DADOS!$P$4,tabela_registros[CATEGORIA],despesavariávelconsolidadoago[[#This Row],[DESPESA VARIÁVEL]])</f>
        <v>0</v>
      </c>
      <c r="AF62" s="91">
        <f>SUMIFS(tabela_registros[VALOR],tabela_registros[MÊS],$AE$1,tabela_registros[DIA],agototal3059718395107119[[#Headers],[28]],tabela_registros[REGISTRO],DADOS!$N$4,tabela_registros[TIPO],DADOS!$P$4,tabela_registros[CATEGORIA],despesavariávelconsolidadoago[[#This Row],[DESPESA VARIÁVEL]])</f>
        <v>0</v>
      </c>
      <c r="AG62" s="91">
        <f>SUMIFS(tabela_registros[VALOR],tabela_registros[MÊS],$AE$1,tabela_registros[DIA],agototal3059718395107119[[#Headers],[29]],tabela_registros[REGISTRO],DADOS!$N$4,tabela_registros[TIPO],DADOS!$P$4,tabela_registros[CATEGORIA],despesavariávelconsolidadoago[[#This Row],[DESPESA VARIÁVEL]])</f>
        <v>0</v>
      </c>
      <c r="AH62" s="91">
        <f>SUMIFS(tabela_registros[VALOR],tabela_registros[MÊS],$AE$1,tabela_registros[DIA],agototal3059718395107119[[#Headers],[30]],tabela_registros[REGISTRO],DADOS!$N$4,tabela_registros[TIPO],DADOS!$P$4,tabela_registros[CATEGORIA],despesavariávelconsolidadoago[[#This Row],[DESPESA VARIÁVEL]])</f>
        <v>0</v>
      </c>
      <c r="AI62" s="101">
        <f>SUMIFS(tabela_registros[VALOR],tabela_registros[MÊS],$AE$1,tabela_registros[DIA],agototal3059718395107119[[#Headers],[31]],tabela_registros[REGISTRO],DADOS!$N$4,tabela_registros[TIPO],DADOS!$P$4,tabela_registros[CATEGORIA],despesavariávelconsolidadoago[[#This Row],[DESPESA VARIÁVEL]])</f>
        <v>0</v>
      </c>
      <c r="AJ62" s="97">
        <f>SUM(despesavariávelconsolidadoago[[#This Row],[1]:[31]])</f>
        <v>0</v>
      </c>
      <c r="AK62" s="28"/>
    </row>
    <row r="63" spans="2:37" ht="18" customHeight="1" thickTop="1" thickBot="1" x14ac:dyDescent="0.3">
      <c r="B63" s="28"/>
      <c r="C63" s="27" t="str">
        <f>DADOS!$T$6</f>
        <v>💄 CUIDADOS PESSOAIS</v>
      </c>
      <c r="D63" s="26" t="str">
        <f>IF(despesavariávelconsolidadoago[[#This Row],[TOTAL]]=0,"",IF(OR(despesavariávelconsolidadoago[[#This Row],[TOTAL]]=LARGE($AJ$60:$AJ$72,1),despesavariávelconsolidadoago[[#This Row],[TOTAL]]=LARGE($AJ$60:$AJ$72,2),despesavariávelconsolidadoago[[#This Row],[TOTAL]]=LARGE($AJ$60:$AJ$72,3),despesavariávelconsolidadoago[[#This Row],[TOTAL]]=LARGE($AJ$60:$AJ$72,4),despesavariávelconsolidadoago[[#This Row],[TOTAL]]=LARGE($AJ$60:$AJ$72,5)),DADOS!$I$8,""))</f>
        <v/>
      </c>
      <c r="E63" s="96">
        <f>SUMIFS(tabela_registros[VALOR],tabela_registros[MÊS],$AE$1,tabela_registros[DIA],agototal3059718395107119[[#Headers],[1]],tabela_registros[REGISTRO],DADOS!$N$4,tabela_registros[TIPO],DADOS!$P$4,tabela_registros[CATEGORIA],despesavariávelconsolidadoago[[#This Row],[DESPESA VARIÁVEL]])</f>
        <v>0</v>
      </c>
      <c r="F63" s="91">
        <f>SUMIFS(tabela_registros[VALOR],tabela_registros[MÊS],$AE$1,tabela_registros[DIA],agototal3059718395107119[[#Headers],[2]],tabela_registros[REGISTRO],DADOS!$N$4,tabela_registros[TIPO],DADOS!$P$4,tabela_registros[CATEGORIA],despesavariávelconsolidadoago[[#This Row],[DESPESA VARIÁVEL]])</f>
        <v>0</v>
      </c>
      <c r="G63" s="91">
        <f>SUMIFS(tabela_registros[VALOR],tabela_registros[MÊS],$AE$1,tabela_registros[DIA],agototal3059718395107119[[#Headers],[3]],tabela_registros[REGISTRO],DADOS!$N$4,tabela_registros[TIPO],DADOS!$P$4,tabela_registros[CATEGORIA],despesavariávelconsolidadoago[[#This Row],[DESPESA VARIÁVEL]])</f>
        <v>0</v>
      </c>
      <c r="H63" s="91">
        <f>SUMIFS(tabela_registros[VALOR],tabela_registros[MÊS],$AE$1,tabela_registros[DIA],agototal3059718395107119[[#Headers],[4]],tabela_registros[REGISTRO],DADOS!$N$4,tabela_registros[TIPO],DADOS!$P$4,tabela_registros[CATEGORIA],despesavariávelconsolidadoago[[#This Row],[DESPESA VARIÁVEL]])</f>
        <v>0</v>
      </c>
      <c r="I63" s="91">
        <f>SUMIFS(tabela_registros[VALOR],tabela_registros[MÊS],$AE$1,tabela_registros[DIA],agototal3059718395107119[[#Headers],[5]],tabela_registros[REGISTRO],DADOS!$N$4,tabela_registros[TIPO],DADOS!$P$4,tabela_registros[CATEGORIA],despesavariávelconsolidadoago[[#This Row],[DESPESA VARIÁVEL]])</f>
        <v>0</v>
      </c>
      <c r="J63" s="91">
        <f>SUMIFS(tabela_registros[VALOR],tabela_registros[MÊS],$AE$1,tabela_registros[DIA],agototal3059718395107119[[#Headers],[6]],tabela_registros[REGISTRO],DADOS!$N$4,tabela_registros[TIPO],DADOS!$P$4,tabela_registros[CATEGORIA],despesavariávelconsolidadoago[[#This Row],[DESPESA VARIÁVEL]])</f>
        <v>0</v>
      </c>
      <c r="K63" s="91">
        <f>SUMIFS(tabela_registros[VALOR],tabela_registros[MÊS],$AE$1,tabela_registros[DIA],agototal3059718395107119[[#Headers],[7]],tabela_registros[REGISTRO],DADOS!$N$4,tabela_registros[TIPO],DADOS!$P$4,tabela_registros[CATEGORIA],despesavariávelconsolidadoago[[#This Row],[DESPESA VARIÁVEL]])</f>
        <v>0</v>
      </c>
      <c r="L63" s="91">
        <f>SUMIFS(tabela_registros[VALOR],tabela_registros[MÊS],$AE$1,tabela_registros[DIA],agototal3059718395107119[[#Headers],[8]],tabela_registros[REGISTRO],DADOS!$N$4,tabela_registros[TIPO],DADOS!$P$4,tabela_registros[CATEGORIA],despesavariávelconsolidadoago[[#This Row],[DESPESA VARIÁVEL]])</f>
        <v>0</v>
      </c>
      <c r="M63" s="91">
        <f>SUMIFS(tabela_registros[VALOR],tabela_registros[MÊS],$AE$1,tabela_registros[DIA],agototal3059718395107119[[#Headers],[9]],tabela_registros[REGISTRO],DADOS!$N$4,tabela_registros[TIPO],DADOS!$P$4,tabela_registros[CATEGORIA],despesavariávelconsolidadoago[[#This Row],[DESPESA VARIÁVEL]])</f>
        <v>0</v>
      </c>
      <c r="N63" s="91">
        <f>SUMIFS(tabela_registros[VALOR],tabela_registros[MÊS],$AE$1,tabela_registros[DIA],agototal3059718395107119[[#Headers],[10]],tabela_registros[REGISTRO],DADOS!$N$4,tabela_registros[TIPO],DADOS!$P$4,tabela_registros[CATEGORIA],despesavariávelconsolidadoago[[#This Row],[DESPESA VARIÁVEL]])</f>
        <v>0</v>
      </c>
      <c r="O63" s="91">
        <f>SUMIFS(tabela_registros[VALOR],tabela_registros[MÊS],$AE$1,tabela_registros[DIA],agototal3059718395107119[[#Headers],[11]],tabela_registros[REGISTRO],DADOS!$N$4,tabela_registros[TIPO],DADOS!$P$4,tabela_registros[CATEGORIA],despesavariávelconsolidadoago[[#This Row],[DESPESA VARIÁVEL]])</f>
        <v>0</v>
      </c>
      <c r="P63" s="91">
        <f>SUMIFS(tabela_registros[VALOR],tabela_registros[MÊS],$AE$1,tabela_registros[DIA],agototal3059718395107119[[#Headers],[12]],tabela_registros[REGISTRO],DADOS!$N$4,tabela_registros[TIPO],DADOS!$P$4,tabela_registros[CATEGORIA],despesavariávelconsolidadoago[[#This Row],[DESPESA VARIÁVEL]])</f>
        <v>0</v>
      </c>
      <c r="Q63" s="91">
        <f>SUMIFS(tabela_registros[VALOR],tabela_registros[MÊS],$AE$1,tabela_registros[DIA],agototal3059718395107119[[#Headers],[13]],tabela_registros[REGISTRO],DADOS!$N$4,tabela_registros[TIPO],DADOS!$P$4,tabela_registros[CATEGORIA],despesavariávelconsolidadoago[[#This Row],[DESPESA VARIÁVEL]])</f>
        <v>0</v>
      </c>
      <c r="R63" s="91">
        <f>SUMIFS(tabela_registros[VALOR],tabela_registros[MÊS],$AE$1,tabela_registros[DIA],agototal3059718395107119[[#Headers],[14]],tabela_registros[REGISTRO],DADOS!$N$4,tabela_registros[TIPO],DADOS!$P$4,tabela_registros[CATEGORIA],despesavariávelconsolidadoago[[#This Row],[DESPESA VARIÁVEL]])</f>
        <v>0</v>
      </c>
      <c r="S63" s="91">
        <f>SUMIFS(tabela_registros[VALOR],tabela_registros[MÊS],$AE$1,tabela_registros[DIA],agototal3059718395107119[[#Headers],[15]],tabela_registros[REGISTRO],DADOS!$N$4,tabela_registros[TIPO],DADOS!$P$4,tabela_registros[CATEGORIA],despesavariávelconsolidadoago[[#This Row],[DESPESA VARIÁVEL]])</f>
        <v>0</v>
      </c>
      <c r="T63" s="91">
        <f>SUMIFS(tabela_registros[VALOR],tabela_registros[MÊS],$AE$1,tabela_registros[DIA],agototal3059718395107119[[#Headers],[16]],tabela_registros[REGISTRO],DADOS!$N$4,tabela_registros[TIPO],DADOS!$P$4,tabela_registros[CATEGORIA],despesavariávelconsolidadoago[[#This Row],[DESPESA VARIÁVEL]])</f>
        <v>0</v>
      </c>
      <c r="U63" s="91">
        <f>SUMIFS(tabela_registros[VALOR],tabela_registros[MÊS],$AE$1,tabela_registros[DIA],agototal3059718395107119[[#Headers],[17]],tabela_registros[REGISTRO],DADOS!$N$4,tabela_registros[TIPO],DADOS!$P$4,tabela_registros[CATEGORIA],despesavariávelconsolidadoago[[#This Row],[DESPESA VARIÁVEL]])</f>
        <v>0</v>
      </c>
      <c r="V63" s="91">
        <f>SUMIFS(tabela_registros[VALOR],tabela_registros[MÊS],$AE$1,tabela_registros[DIA],agototal3059718395107119[[#Headers],[18]],tabela_registros[REGISTRO],DADOS!$N$4,tabela_registros[TIPO],DADOS!$P$4,tabela_registros[CATEGORIA],despesavariávelconsolidadoago[[#This Row],[DESPESA VARIÁVEL]])</f>
        <v>0</v>
      </c>
      <c r="W63" s="91">
        <f>SUMIFS(tabela_registros[VALOR],tabela_registros[MÊS],$AE$1,tabela_registros[DIA],agototal3059718395107119[[#Headers],[19]],tabela_registros[REGISTRO],DADOS!$N$4,tabela_registros[TIPO],DADOS!$P$4,tabela_registros[CATEGORIA],despesavariávelconsolidadoago[[#This Row],[DESPESA VARIÁVEL]])</f>
        <v>0</v>
      </c>
      <c r="X63" s="91">
        <f>SUMIFS(tabela_registros[VALOR],tabela_registros[MÊS],$AE$1,tabela_registros[DIA],agototal3059718395107119[[#Headers],[20]],tabela_registros[REGISTRO],DADOS!$N$4,tabela_registros[TIPO],DADOS!$P$4,tabela_registros[CATEGORIA],despesavariávelconsolidadoago[[#This Row],[DESPESA VARIÁVEL]])</f>
        <v>0</v>
      </c>
      <c r="Y63" s="91">
        <f>SUMIFS(tabela_registros[VALOR],tabela_registros[MÊS],$AE$1,tabela_registros[DIA],agototal3059718395107119[[#Headers],[21]],tabela_registros[REGISTRO],DADOS!$N$4,tabela_registros[TIPO],DADOS!$P$4,tabela_registros[CATEGORIA],despesavariávelconsolidadoago[[#This Row],[DESPESA VARIÁVEL]])</f>
        <v>0</v>
      </c>
      <c r="Z63" s="91">
        <f>SUMIFS(tabela_registros[VALOR],tabela_registros[MÊS],$AE$1,tabela_registros[DIA],agototal3059718395107119[[#Headers],[22]],tabela_registros[REGISTRO],DADOS!$N$4,tabela_registros[TIPO],DADOS!$P$4,tabela_registros[CATEGORIA],despesavariávelconsolidadoago[[#This Row],[DESPESA VARIÁVEL]])</f>
        <v>0</v>
      </c>
      <c r="AA63" s="91">
        <f>SUMIFS(tabela_registros[VALOR],tabela_registros[MÊS],$AE$1,tabela_registros[DIA],agototal3059718395107119[[#Headers],[23]],tabela_registros[REGISTRO],DADOS!$N$4,tabela_registros[TIPO],DADOS!$P$4,tabela_registros[CATEGORIA],despesavariávelconsolidadoago[[#This Row],[DESPESA VARIÁVEL]])</f>
        <v>0</v>
      </c>
      <c r="AB63" s="91">
        <f>SUMIFS(tabela_registros[VALOR],tabela_registros[MÊS],$AE$1,tabela_registros[DIA],agototal3059718395107119[[#Headers],[24]],tabela_registros[REGISTRO],DADOS!$N$4,tabela_registros[TIPO],DADOS!$P$4,tabela_registros[CATEGORIA],despesavariávelconsolidadoago[[#This Row],[DESPESA VARIÁVEL]])</f>
        <v>0</v>
      </c>
      <c r="AC63" s="91">
        <f>SUMIFS(tabela_registros[VALOR],tabela_registros[MÊS],$AE$1,tabela_registros[DIA],agototal3059718395107119[[#Headers],[25]],tabela_registros[REGISTRO],DADOS!$N$4,tabela_registros[TIPO],DADOS!$P$4,tabela_registros[CATEGORIA],despesavariávelconsolidadoago[[#This Row],[DESPESA VARIÁVEL]])</f>
        <v>0</v>
      </c>
      <c r="AD63" s="91">
        <f>SUMIFS(tabela_registros[VALOR],tabela_registros[MÊS],$AE$1,tabela_registros[DIA],agototal3059718395107119[[#Headers],[26]],tabela_registros[REGISTRO],DADOS!$N$4,tabela_registros[TIPO],DADOS!$P$4,tabela_registros[CATEGORIA],despesavariávelconsolidadoago[[#This Row],[DESPESA VARIÁVEL]])</f>
        <v>0</v>
      </c>
      <c r="AE63" s="91">
        <f>SUMIFS(tabela_registros[VALOR],tabela_registros[MÊS],$AE$1,tabela_registros[DIA],agototal3059718395107119[[#Headers],[27]],tabela_registros[REGISTRO],DADOS!$N$4,tabela_registros[TIPO],DADOS!$P$4,tabela_registros[CATEGORIA],despesavariávelconsolidadoago[[#This Row],[DESPESA VARIÁVEL]])</f>
        <v>0</v>
      </c>
      <c r="AF63" s="91">
        <f>SUMIFS(tabela_registros[VALOR],tabela_registros[MÊS],$AE$1,tabela_registros[DIA],agototal3059718395107119[[#Headers],[28]],tabela_registros[REGISTRO],DADOS!$N$4,tabela_registros[TIPO],DADOS!$P$4,tabela_registros[CATEGORIA],despesavariávelconsolidadoago[[#This Row],[DESPESA VARIÁVEL]])</f>
        <v>0</v>
      </c>
      <c r="AG63" s="91">
        <f>SUMIFS(tabela_registros[VALOR],tabela_registros[MÊS],$AE$1,tabela_registros[DIA],agototal3059718395107119[[#Headers],[29]],tabela_registros[REGISTRO],DADOS!$N$4,tabela_registros[TIPO],DADOS!$P$4,tabela_registros[CATEGORIA],despesavariávelconsolidadoago[[#This Row],[DESPESA VARIÁVEL]])</f>
        <v>0</v>
      </c>
      <c r="AH63" s="91">
        <f>SUMIFS(tabela_registros[VALOR],tabela_registros[MÊS],$AE$1,tabela_registros[DIA],agototal3059718395107119[[#Headers],[30]],tabela_registros[REGISTRO],DADOS!$N$4,tabela_registros[TIPO],DADOS!$P$4,tabela_registros[CATEGORIA],despesavariávelconsolidadoago[[#This Row],[DESPESA VARIÁVEL]])</f>
        <v>0</v>
      </c>
      <c r="AI63" s="101">
        <f>SUMIFS(tabela_registros[VALOR],tabela_registros[MÊS],$AE$1,tabela_registros[DIA],agototal3059718395107119[[#Headers],[31]],tabela_registros[REGISTRO],DADOS!$N$4,tabela_registros[TIPO],DADOS!$P$4,tabela_registros[CATEGORIA],despesavariávelconsolidadoago[[#This Row],[DESPESA VARIÁVEL]])</f>
        <v>0</v>
      </c>
      <c r="AJ63" s="97">
        <f>SUM(despesavariávelconsolidadoago[[#This Row],[1]:[31]])</f>
        <v>0</v>
      </c>
      <c r="AK63" s="28"/>
    </row>
    <row r="64" spans="2:37" ht="18" customHeight="1" thickTop="1" thickBot="1" x14ac:dyDescent="0.3">
      <c r="B64" s="28"/>
      <c r="C64" s="27" t="str">
        <f>DADOS!$T$7</f>
        <v>🤝 DOAÇÃO</v>
      </c>
      <c r="D64" s="26" t="str">
        <f>IF(despesavariávelconsolidadoago[[#This Row],[TOTAL]]=0,"",IF(OR(despesavariávelconsolidadoago[[#This Row],[TOTAL]]=LARGE($AJ$60:$AJ$72,1),despesavariávelconsolidadoago[[#This Row],[TOTAL]]=LARGE($AJ$60:$AJ$72,2),despesavariávelconsolidadoago[[#This Row],[TOTAL]]=LARGE($AJ$60:$AJ$72,3),despesavariávelconsolidadoago[[#This Row],[TOTAL]]=LARGE($AJ$60:$AJ$72,4),despesavariávelconsolidadoago[[#This Row],[TOTAL]]=LARGE($AJ$60:$AJ$72,5)),DADOS!$I$8,""))</f>
        <v/>
      </c>
      <c r="E64" s="96">
        <f>SUMIFS(tabela_registros[VALOR],tabela_registros[MÊS],$AE$1,tabela_registros[DIA],agototal3059718395107119[[#Headers],[1]],tabela_registros[REGISTRO],DADOS!$N$4,tabela_registros[TIPO],DADOS!$P$4,tabela_registros[CATEGORIA],despesavariávelconsolidadoago[[#This Row],[DESPESA VARIÁVEL]])</f>
        <v>0</v>
      </c>
      <c r="F64" s="91">
        <f>SUMIFS(tabela_registros[VALOR],tabela_registros[MÊS],$AE$1,tabela_registros[DIA],agototal3059718395107119[[#Headers],[2]],tabela_registros[REGISTRO],DADOS!$N$4,tabela_registros[TIPO],DADOS!$P$4,tabela_registros[CATEGORIA],despesavariávelconsolidadoago[[#This Row],[DESPESA VARIÁVEL]])</f>
        <v>0</v>
      </c>
      <c r="G64" s="91">
        <f>SUMIFS(tabela_registros[VALOR],tabela_registros[MÊS],$AE$1,tabela_registros[DIA],agototal3059718395107119[[#Headers],[3]],tabela_registros[REGISTRO],DADOS!$N$4,tabela_registros[TIPO],DADOS!$P$4,tabela_registros[CATEGORIA],despesavariávelconsolidadoago[[#This Row],[DESPESA VARIÁVEL]])</f>
        <v>0</v>
      </c>
      <c r="H64" s="91">
        <f>SUMIFS(tabela_registros[VALOR],tabela_registros[MÊS],$AE$1,tabela_registros[DIA],agototal3059718395107119[[#Headers],[4]],tabela_registros[REGISTRO],DADOS!$N$4,tabela_registros[TIPO],DADOS!$P$4,tabela_registros[CATEGORIA],despesavariávelconsolidadoago[[#This Row],[DESPESA VARIÁVEL]])</f>
        <v>0</v>
      </c>
      <c r="I64" s="91">
        <f>SUMIFS(tabela_registros[VALOR],tabela_registros[MÊS],$AE$1,tabela_registros[DIA],agototal3059718395107119[[#Headers],[5]],tabela_registros[REGISTRO],DADOS!$N$4,tabela_registros[TIPO],DADOS!$P$4,tabela_registros[CATEGORIA],despesavariávelconsolidadoago[[#This Row],[DESPESA VARIÁVEL]])</f>
        <v>0</v>
      </c>
      <c r="J64" s="91">
        <f>SUMIFS(tabela_registros[VALOR],tabela_registros[MÊS],$AE$1,tabela_registros[DIA],agototal3059718395107119[[#Headers],[6]],tabela_registros[REGISTRO],DADOS!$N$4,tabela_registros[TIPO],DADOS!$P$4,tabela_registros[CATEGORIA],despesavariávelconsolidadoago[[#This Row],[DESPESA VARIÁVEL]])</f>
        <v>0</v>
      </c>
      <c r="K64" s="91">
        <f>SUMIFS(tabela_registros[VALOR],tabela_registros[MÊS],$AE$1,tabela_registros[DIA],agototal3059718395107119[[#Headers],[7]],tabela_registros[REGISTRO],DADOS!$N$4,tabela_registros[TIPO],DADOS!$P$4,tabela_registros[CATEGORIA],despesavariávelconsolidadoago[[#This Row],[DESPESA VARIÁVEL]])</f>
        <v>0</v>
      </c>
      <c r="L64" s="91">
        <f>SUMIFS(tabela_registros[VALOR],tabela_registros[MÊS],$AE$1,tabela_registros[DIA],agototal3059718395107119[[#Headers],[8]],tabela_registros[REGISTRO],DADOS!$N$4,tabela_registros[TIPO],DADOS!$P$4,tabela_registros[CATEGORIA],despesavariávelconsolidadoago[[#This Row],[DESPESA VARIÁVEL]])</f>
        <v>0</v>
      </c>
      <c r="M64" s="91">
        <f>SUMIFS(tabela_registros[VALOR],tabela_registros[MÊS],$AE$1,tabela_registros[DIA],agototal3059718395107119[[#Headers],[9]],tabela_registros[REGISTRO],DADOS!$N$4,tabela_registros[TIPO],DADOS!$P$4,tabela_registros[CATEGORIA],despesavariávelconsolidadoago[[#This Row],[DESPESA VARIÁVEL]])</f>
        <v>0</v>
      </c>
      <c r="N64" s="91">
        <f>SUMIFS(tabela_registros[VALOR],tabela_registros[MÊS],$AE$1,tabela_registros[DIA],agototal3059718395107119[[#Headers],[10]],tabela_registros[REGISTRO],DADOS!$N$4,tabela_registros[TIPO],DADOS!$P$4,tabela_registros[CATEGORIA],despesavariávelconsolidadoago[[#This Row],[DESPESA VARIÁVEL]])</f>
        <v>0</v>
      </c>
      <c r="O64" s="91">
        <f>SUMIFS(tabela_registros[VALOR],tabela_registros[MÊS],$AE$1,tabela_registros[DIA],agototal3059718395107119[[#Headers],[11]],tabela_registros[REGISTRO],DADOS!$N$4,tabela_registros[TIPO],DADOS!$P$4,tabela_registros[CATEGORIA],despesavariávelconsolidadoago[[#This Row],[DESPESA VARIÁVEL]])</f>
        <v>0</v>
      </c>
      <c r="P64" s="91">
        <f>SUMIFS(tabela_registros[VALOR],tabela_registros[MÊS],$AE$1,tabela_registros[DIA],agototal3059718395107119[[#Headers],[12]],tabela_registros[REGISTRO],DADOS!$N$4,tabela_registros[TIPO],DADOS!$P$4,tabela_registros[CATEGORIA],despesavariávelconsolidadoago[[#This Row],[DESPESA VARIÁVEL]])</f>
        <v>0</v>
      </c>
      <c r="Q64" s="91">
        <f>SUMIFS(tabela_registros[VALOR],tabela_registros[MÊS],$AE$1,tabela_registros[DIA],agototal3059718395107119[[#Headers],[13]],tabela_registros[REGISTRO],DADOS!$N$4,tabela_registros[TIPO],DADOS!$P$4,tabela_registros[CATEGORIA],despesavariávelconsolidadoago[[#This Row],[DESPESA VARIÁVEL]])</f>
        <v>0</v>
      </c>
      <c r="R64" s="91">
        <f>SUMIFS(tabela_registros[VALOR],tabela_registros[MÊS],$AE$1,tabela_registros[DIA],agototal3059718395107119[[#Headers],[14]],tabela_registros[REGISTRO],DADOS!$N$4,tabela_registros[TIPO],DADOS!$P$4,tabela_registros[CATEGORIA],despesavariávelconsolidadoago[[#This Row],[DESPESA VARIÁVEL]])</f>
        <v>0</v>
      </c>
      <c r="S64" s="91">
        <f>SUMIFS(tabela_registros[VALOR],tabela_registros[MÊS],$AE$1,tabela_registros[DIA],agototal3059718395107119[[#Headers],[15]],tabela_registros[REGISTRO],DADOS!$N$4,tabela_registros[TIPO],DADOS!$P$4,tabela_registros[CATEGORIA],despesavariávelconsolidadoago[[#This Row],[DESPESA VARIÁVEL]])</f>
        <v>0</v>
      </c>
      <c r="T64" s="91">
        <f>SUMIFS(tabela_registros[VALOR],tabela_registros[MÊS],$AE$1,tabela_registros[DIA],agototal3059718395107119[[#Headers],[16]],tabela_registros[REGISTRO],DADOS!$N$4,tabela_registros[TIPO],DADOS!$P$4,tabela_registros[CATEGORIA],despesavariávelconsolidadoago[[#This Row],[DESPESA VARIÁVEL]])</f>
        <v>0</v>
      </c>
      <c r="U64" s="91">
        <f>SUMIFS(tabela_registros[VALOR],tabela_registros[MÊS],$AE$1,tabela_registros[DIA],agototal3059718395107119[[#Headers],[17]],tabela_registros[REGISTRO],DADOS!$N$4,tabela_registros[TIPO],DADOS!$P$4,tabela_registros[CATEGORIA],despesavariávelconsolidadoago[[#This Row],[DESPESA VARIÁVEL]])</f>
        <v>0</v>
      </c>
      <c r="V64" s="91">
        <f>SUMIFS(tabela_registros[VALOR],tabela_registros[MÊS],$AE$1,tabela_registros[DIA],agototal3059718395107119[[#Headers],[18]],tabela_registros[REGISTRO],DADOS!$N$4,tabela_registros[TIPO],DADOS!$P$4,tabela_registros[CATEGORIA],despesavariávelconsolidadoago[[#This Row],[DESPESA VARIÁVEL]])</f>
        <v>0</v>
      </c>
      <c r="W64" s="91">
        <f>SUMIFS(tabela_registros[VALOR],tabela_registros[MÊS],$AE$1,tabela_registros[DIA],agototal3059718395107119[[#Headers],[19]],tabela_registros[REGISTRO],DADOS!$N$4,tabela_registros[TIPO],DADOS!$P$4,tabela_registros[CATEGORIA],despesavariávelconsolidadoago[[#This Row],[DESPESA VARIÁVEL]])</f>
        <v>0</v>
      </c>
      <c r="X64" s="91">
        <f>SUMIFS(tabela_registros[VALOR],tabela_registros[MÊS],$AE$1,tabela_registros[DIA],agototal3059718395107119[[#Headers],[20]],tabela_registros[REGISTRO],DADOS!$N$4,tabela_registros[TIPO],DADOS!$P$4,tabela_registros[CATEGORIA],despesavariávelconsolidadoago[[#This Row],[DESPESA VARIÁVEL]])</f>
        <v>0</v>
      </c>
      <c r="Y64" s="91">
        <f>SUMIFS(tabela_registros[VALOR],tabela_registros[MÊS],$AE$1,tabela_registros[DIA],agototal3059718395107119[[#Headers],[21]],tabela_registros[REGISTRO],DADOS!$N$4,tabela_registros[TIPO],DADOS!$P$4,tabela_registros[CATEGORIA],despesavariávelconsolidadoago[[#This Row],[DESPESA VARIÁVEL]])</f>
        <v>0</v>
      </c>
      <c r="Z64" s="91">
        <f>SUMIFS(tabela_registros[VALOR],tabela_registros[MÊS],$AE$1,tabela_registros[DIA],agototal3059718395107119[[#Headers],[22]],tabela_registros[REGISTRO],DADOS!$N$4,tabela_registros[TIPO],DADOS!$P$4,tabela_registros[CATEGORIA],despesavariávelconsolidadoago[[#This Row],[DESPESA VARIÁVEL]])</f>
        <v>0</v>
      </c>
      <c r="AA64" s="91">
        <f>SUMIFS(tabela_registros[VALOR],tabela_registros[MÊS],$AE$1,tabela_registros[DIA],agototal3059718395107119[[#Headers],[23]],tabela_registros[REGISTRO],DADOS!$N$4,tabela_registros[TIPO],DADOS!$P$4,tabela_registros[CATEGORIA],despesavariávelconsolidadoago[[#This Row],[DESPESA VARIÁVEL]])</f>
        <v>0</v>
      </c>
      <c r="AB64" s="91">
        <f>SUMIFS(tabela_registros[VALOR],tabela_registros[MÊS],$AE$1,tabela_registros[DIA],agototal3059718395107119[[#Headers],[24]],tabela_registros[REGISTRO],DADOS!$N$4,tabela_registros[TIPO],DADOS!$P$4,tabela_registros[CATEGORIA],despesavariávelconsolidadoago[[#This Row],[DESPESA VARIÁVEL]])</f>
        <v>0</v>
      </c>
      <c r="AC64" s="91">
        <f>SUMIFS(tabela_registros[VALOR],tabela_registros[MÊS],$AE$1,tabela_registros[DIA],agototal3059718395107119[[#Headers],[25]],tabela_registros[REGISTRO],DADOS!$N$4,tabela_registros[TIPO],DADOS!$P$4,tabela_registros[CATEGORIA],despesavariávelconsolidadoago[[#This Row],[DESPESA VARIÁVEL]])</f>
        <v>0</v>
      </c>
      <c r="AD64" s="91">
        <f>SUMIFS(tabela_registros[VALOR],tabela_registros[MÊS],$AE$1,tabela_registros[DIA],agototal3059718395107119[[#Headers],[26]],tabela_registros[REGISTRO],DADOS!$N$4,tabela_registros[TIPO],DADOS!$P$4,tabela_registros[CATEGORIA],despesavariávelconsolidadoago[[#This Row],[DESPESA VARIÁVEL]])</f>
        <v>0</v>
      </c>
      <c r="AE64" s="91">
        <f>SUMIFS(tabela_registros[VALOR],tabela_registros[MÊS],$AE$1,tabela_registros[DIA],agototal3059718395107119[[#Headers],[27]],tabela_registros[REGISTRO],DADOS!$N$4,tabela_registros[TIPO],DADOS!$P$4,tabela_registros[CATEGORIA],despesavariávelconsolidadoago[[#This Row],[DESPESA VARIÁVEL]])</f>
        <v>0</v>
      </c>
      <c r="AF64" s="91">
        <f>SUMIFS(tabela_registros[VALOR],tabela_registros[MÊS],$AE$1,tabela_registros[DIA],agototal3059718395107119[[#Headers],[28]],tabela_registros[REGISTRO],DADOS!$N$4,tabela_registros[TIPO],DADOS!$P$4,tabela_registros[CATEGORIA],despesavariávelconsolidadoago[[#This Row],[DESPESA VARIÁVEL]])</f>
        <v>0</v>
      </c>
      <c r="AG64" s="91">
        <f>SUMIFS(tabela_registros[VALOR],tabela_registros[MÊS],$AE$1,tabela_registros[DIA],agototal3059718395107119[[#Headers],[29]],tabela_registros[REGISTRO],DADOS!$N$4,tabela_registros[TIPO],DADOS!$P$4,tabela_registros[CATEGORIA],despesavariávelconsolidadoago[[#This Row],[DESPESA VARIÁVEL]])</f>
        <v>0</v>
      </c>
      <c r="AH64" s="91">
        <f>SUMIFS(tabela_registros[VALOR],tabela_registros[MÊS],$AE$1,tabela_registros[DIA],agototal3059718395107119[[#Headers],[30]],tabela_registros[REGISTRO],DADOS!$N$4,tabela_registros[TIPO],DADOS!$P$4,tabela_registros[CATEGORIA],despesavariávelconsolidadoago[[#This Row],[DESPESA VARIÁVEL]])</f>
        <v>0</v>
      </c>
      <c r="AI64" s="101">
        <f>SUMIFS(tabela_registros[VALOR],tabela_registros[MÊS],$AE$1,tabela_registros[DIA],agototal3059718395107119[[#Headers],[31]],tabela_registros[REGISTRO],DADOS!$N$4,tabela_registros[TIPO],DADOS!$P$4,tabela_registros[CATEGORIA],despesavariávelconsolidadoago[[#This Row],[DESPESA VARIÁVEL]])</f>
        <v>0</v>
      </c>
      <c r="AJ64" s="97">
        <f>SUM(despesavariávelconsolidadoago[[#This Row],[1]:[31]])</f>
        <v>0</v>
      </c>
      <c r="AK64" s="28"/>
    </row>
    <row r="65" spans="2:37" ht="18" customHeight="1" thickTop="1" thickBot="1" x14ac:dyDescent="0.3">
      <c r="B65" s="28"/>
      <c r="C65" s="27" t="str">
        <f>DADOS!$T$8</f>
        <v>📖 EDUCAÇÃO</v>
      </c>
      <c r="D65" s="26" t="str">
        <f>IF(despesavariávelconsolidadoago[[#This Row],[TOTAL]]=0,"",IF(OR(despesavariávelconsolidadoago[[#This Row],[TOTAL]]=LARGE($AJ$60:$AJ$72,1),despesavariávelconsolidadoago[[#This Row],[TOTAL]]=LARGE($AJ$60:$AJ$72,2),despesavariávelconsolidadoago[[#This Row],[TOTAL]]=LARGE($AJ$60:$AJ$72,3),despesavariávelconsolidadoago[[#This Row],[TOTAL]]=LARGE($AJ$60:$AJ$72,4),despesavariávelconsolidadoago[[#This Row],[TOTAL]]=LARGE($AJ$60:$AJ$72,5)),DADOS!$I$8,""))</f>
        <v/>
      </c>
      <c r="E65" s="96">
        <f>SUMIFS(tabela_registros[VALOR],tabela_registros[MÊS],$AE$1,tabela_registros[DIA],agototal3059718395107119[[#Headers],[1]],tabela_registros[REGISTRO],DADOS!$N$4,tabela_registros[TIPO],DADOS!$P$4,tabela_registros[CATEGORIA],despesavariávelconsolidadoago[[#This Row],[DESPESA VARIÁVEL]])</f>
        <v>0</v>
      </c>
      <c r="F65" s="91">
        <f>SUMIFS(tabela_registros[VALOR],tabela_registros[MÊS],$AE$1,tabela_registros[DIA],agototal3059718395107119[[#Headers],[2]],tabela_registros[REGISTRO],DADOS!$N$4,tabela_registros[TIPO],DADOS!$P$4,tabela_registros[CATEGORIA],despesavariávelconsolidadoago[[#This Row],[DESPESA VARIÁVEL]])</f>
        <v>0</v>
      </c>
      <c r="G65" s="91">
        <f>SUMIFS(tabela_registros[VALOR],tabela_registros[MÊS],$AE$1,tabela_registros[DIA],agototal3059718395107119[[#Headers],[3]],tabela_registros[REGISTRO],DADOS!$N$4,tabela_registros[TIPO],DADOS!$P$4,tabela_registros[CATEGORIA],despesavariávelconsolidadoago[[#This Row],[DESPESA VARIÁVEL]])</f>
        <v>0</v>
      </c>
      <c r="H65" s="91">
        <f>SUMIFS(tabela_registros[VALOR],tabela_registros[MÊS],$AE$1,tabela_registros[DIA],agototal3059718395107119[[#Headers],[4]],tabela_registros[REGISTRO],DADOS!$N$4,tabela_registros[TIPO],DADOS!$P$4,tabela_registros[CATEGORIA],despesavariávelconsolidadoago[[#This Row],[DESPESA VARIÁVEL]])</f>
        <v>0</v>
      </c>
      <c r="I65" s="91">
        <f>SUMIFS(tabela_registros[VALOR],tabela_registros[MÊS],$AE$1,tabela_registros[DIA],agototal3059718395107119[[#Headers],[5]],tabela_registros[REGISTRO],DADOS!$N$4,tabela_registros[TIPO],DADOS!$P$4,tabela_registros[CATEGORIA],despesavariávelconsolidadoago[[#This Row],[DESPESA VARIÁVEL]])</f>
        <v>0</v>
      </c>
      <c r="J65" s="91">
        <f>SUMIFS(tabela_registros[VALOR],tabela_registros[MÊS],$AE$1,tabela_registros[DIA],agototal3059718395107119[[#Headers],[6]],tabela_registros[REGISTRO],DADOS!$N$4,tabela_registros[TIPO],DADOS!$P$4,tabela_registros[CATEGORIA],despesavariávelconsolidadoago[[#This Row],[DESPESA VARIÁVEL]])</f>
        <v>0</v>
      </c>
      <c r="K65" s="91">
        <f>SUMIFS(tabela_registros[VALOR],tabela_registros[MÊS],$AE$1,tabela_registros[DIA],agototal3059718395107119[[#Headers],[7]],tabela_registros[REGISTRO],DADOS!$N$4,tabela_registros[TIPO],DADOS!$P$4,tabela_registros[CATEGORIA],despesavariávelconsolidadoago[[#This Row],[DESPESA VARIÁVEL]])</f>
        <v>0</v>
      </c>
      <c r="L65" s="91">
        <f>SUMIFS(tabela_registros[VALOR],tabela_registros[MÊS],$AE$1,tabela_registros[DIA],agototal3059718395107119[[#Headers],[8]],tabela_registros[REGISTRO],DADOS!$N$4,tabela_registros[TIPO],DADOS!$P$4,tabela_registros[CATEGORIA],despesavariávelconsolidadoago[[#This Row],[DESPESA VARIÁVEL]])</f>
        <v>0</v>
      </c>
      <c r="M65" s="91">
        <f>SUMIFS(tabela_registros[VALOR],tabela_registros[MÊS],$AE$1,tabela_registros[DIA],agototal3059718395107119[[#Headers],[9]],tabela_registros[REGISTRO],DADOS!$N$4,tabela_registros[TIPO],DADOS!$P$4,tabela_registros[CATEGORIA],despesavariávelconsolidadoago[[#This Row],[DESPESA VARIÁVEL]])</f>
        <v>0</v>
      </c>
      <c r="N65" s="91">
        <f>SUMIFS(tabela_registros[VALOR],tabela_registros[MÊS],$AE$1,tabela_registros[DIA],agototal3059718395107119[[#Headers],[10]],tabela_registros[REGISTRO],DADOS!$N$4,tabela_registros[TIPO],DADOS!$P$4,tabela_registros[CATEGORIA],despesavariávelconsolidadoago[[#This Row],[DESPESA VARIÁVEL]])</f>
        <v>0</v>
      </c>
      <c r="O65" s="91">
        <f>SUMIFS(tabela_registros[VALOR],tabela_registros[MÊS],$AE$1,tabela_registros[DIA],agototal3059718395107119[[#Headers],[11]],tabela_registros[REGISTRO],DADOS!$N$4,tabela_registros[TIPO],DADOS!$P$4,tabela_registros[CATEGORIA],despesavariávelconsolidadoago[[#This Row],[DESPESA VARIÁVEL]])</f>
        <v>0</v>
      </c>
      <c r="P65" s="91">
        <f>SUMIFS(tabela_registros[VALOR],tabela_registros[MÊS],$AE$1,tabela_registros[DIA],agototal3059718395107119[[#Headers],[12]],tabela_registros[REGISTRO],DADOS!$N$4,tabela_registros[TIPO],DADOS!$P$4,tabela_registros[CATEGORIA],despesavariávelconsolidadoago[[#This Row],[DESPESA VARIÁVEL]])</f>
        <v>0</v>
      </c>
      <c r="Q65" s="91">
        <f>SUMIFS(tabela_registros[VALOR],tabela_registros[MÊS],$AE$1,tabela_registros[DIA],agototal3059718395107119[[#Headers],[13]],tabela_registros[REGISTRO],DADOS!$N$4,tabela_registros[TIPO],DADOS!$P$4,tabela_registros[CATEGORIA],despesavariávelconsolidadoago[[#This Row],[DESPESA VARIÁVEL]])</f>
        <v>0</v>
      </c>
      <c r="R65" s="91">
        <f>SUMIFS(tabela_registros[VALOR],tabela_registros[MÊS],$AE$1,tabela_registros[DIA],agototal3059718395107119[[#Headers],[14]],tabela_registros[REGISTRO],DADOS!$N$4,tabela_registros[TIPO],DADOS!$P$4,tabela_registros[CATEGORIA],despesavariávelconsolidadoago[[#This Row],[DESPESA VARIÁVEL]])</f>
        <v>0</v>
      </c>
      <c r="S65" s="91">
        <f>SUMIFS(tabela_registros[VALOR],tabela_registros[MÊS],$AE$1,tabela_registros[DIA],agototal3059718395107119[[#Headers],[15]],tabela_registros[REGISTRO],DADOS!$N$4,tabela_registros[TIPO],DADOS!$P$4,tabela_registros[CATEGORIA],despesavariávelconsolidadoago[[#This Row],[DESPESA VARIÁVEL]])</f>
        <v>0</v>
      </c>
      <c r="T65" s="91">
        <f>SUMIFS(tabela_registros[VALOR],tabela_registros[MÊS],$AE$1,tabela_registros[DIA],agototal3059718395107119[[#Headers],[16]],tabela_registros[REGISTRO],DADOS!$N$4,tabela_registros[TIPO],DADOS!$P$4,tabela_registros[CATEGORIA],despesavariávelconsolidadoago[[#This Row],[DESPESA VARIÁVEL]])</f>
        <v>0</v>
      </c>
      <c r="U65" s="91">
        <f>SUMIFS(tabela_registros[VALOR],tabela_registros[MÊS],$AE$1,tabela_registros[DIA],agototal3059718395107119[[#Headers],[17]],tabela_registros[REGISTRO],DADOS!$N$4,tabela_registros[TIPO],DADOS!$P$4,tabela_registros[CATEGORIA],despesavariávelconsolidadoago[[#This Row],[DESPESA VARIÁVEL]])</f>
        <v>0</v>
      </c>
      <c r="V65" s="91">
        <f>SUMIFS(tabela_registros[VALOR],tabela_registros[MÊS],$AE$1,tabela_registros[DIA],agototal3059718395107119[[#Headers],[18]],tabela_registros[REGISTRO],DADOS!$N$4,tabela_registros[TIPO],DADOS!$P$4,tabela_registros[CATEGORIA],despesavariávelconsolidadoago[[#This Row],[DESPESA VARIÁVEL]])</f>
        <v>0</v>
      </c>
      <c r="W65" s="91">
        <f>SUMIFS(tabela_registros[VALOR],tabela_registros[MÊS],$AE$1,tabela_registros[DIA],agototal3059718395107119[[#Headers],[19]],tabela_registros[REGISTRO],DADOS!$N$4,tabela_registros[TIPO],DADOS!$P$4,tabela_registros[CATEGORIA],despesavariávelconsolidadoago[[#This Row],[DESPESA VARIÁVEL]])</f>
        <v>0</v>
      </c>
      <c r="X65" s="91">
        <f>SUMIFS(tabela_registros[VALOR],tabela_registros[MÊS],$AE$1,tabela_registros[DIA],agototal3059718395107119[[#Headers],[20]],tabela_registros[REGISTRO],DADOS!$N$4,tabela_registros[TIPO],DADOS!$P$4,tabela_registros[CATEGORIA],despesavariávelconsolidadoago[[#This Row],[DESPESA VARIÁVEL]])</f>
        <v>0</v>
      </c>
      <c r="Y65" s="91">
        <f>SUMIFS(tabela_registros[VALOR],tabela_registros[MÊS],$AE$1,tabela_registros[DIA],agototal3059718395107119[[#Headers],[21]],tabela_registros[REGISTRO],DADOS!$N$4,tabela_registros[TIPO],DADOS!$P$4,tabela_registros[CATEGORIA],despesavariávelconsolidadoago[[#This Row],[DESPESA VARIÁVEL]])</f>
        <v>0</v>
      </c>
      <c r="Z65" s="91">
        <f>SUMIFS(tabela_registros[VALOR],tabela_registros[MÊS],$AE$1,tabela_registros[DIA],agototal3059718395107119[[#Headers],[22]],tabela_registros[REGISTRO],DADOS!$N$4,tabela_registros[TIPO],DADOS!$P$4,tabela_registros[CATEGORIA],despesavariávelconsolidadoago[[#This Row],[DESPESA VARIÁVEL]])</f>
        <v>0</v>
      </c>
      <c r="AA65" s="91">
        <f>SUMIFS(tabela_registros[VALOR],tabela_registros[MÊS],$AE$1,tabela_registros[DIA],agototal3059718395107119[[#Headers],[23]],tabela_registros[REGISTRO],DADOS!$N$4,tabela_registros[TIPO],DADOS!$P$4,tabela_registros[CATEGORIA],despesavariávelconsolidadoago[[#This Row],[DESPESA VARIÁVEL]])</f>
        <v>0</v>
      </c>
      <c r="AB65" s="91">
        <f>SUMIFS(tabela_registros[VALOR],tabela_registros[MÊS],$AE$1,tabela_registros[DIA],agototal3059718395107119[[#Headers],[24]],tabela_registros[REGISTRO],DADOS!$N$4,tabela_registros[TIPO],DADOS!$P$4,tabela_registros[CATEGORIA],despesavariávelconsolidadoago[[#This Row],[DESPESA VARIÁVEL]])</f>
        <v>0</v>
      </c>
      <c r="AC65" s="91">
        <f>SUMIFS(tabela_registros[VALOR],tabela_registros[MÊS],$AE$1,tabela_registros[DIA],agototal3059718395107119[[#Headers],[25]],tabela_registros[REGISTRO],DADOS!$N$4,tabela_registros[TIPO],DADOS!$P$4,tabela_registros[CATEGORIA],despesavariávelconsolidadoago[[#This Row],[DESPESA VARIÁVEL]])</f>
        <v>0</v>
      </c>
      <c r="AD65" s="91">
        <f>SUMIFS(tabela_registros[VALOR],tabela_registros[MÊS],$AE$1,tabela_registros[DIA],agototal3059718395107119[[#Headers],[26]],tabela_registros[REGISTRO],DADOS!$N$4,tabela_registros[TIPO],DADOS!$P$4,tabela_registros[CATEGORIA],despesavariávelconsolidadoago[[#This Row],[DESPESA VARIÁVEL]])</f>
        <v>0</v>
      </c>
      <c r="AE65" s="91">
        <f>SUMIFS(tabela_registros[VALOR],tabela_registros[MÊS],$AE$1,tabela_registros[DIA],agototal3059718395107119[[#Headers],[27]],tabela_registros[REGISTRO],DADOS!$N$4,tabela_registros[TIPO],DADOS!$P$4,tabela_registros[CATEGORIA],despesavariávelconsolidadoago[[#This Row],[DESPESA VARIÁVEL]])</f>
        <v>0</v>
      </c>
      <c r="AF65" s="91">
        <f>SUMIFS(tabela_registros[VALOR],tabela_registros[MÊS],$AE$1,tabela_registros[DIA],agototal3059718395107119[[#Headers],[28]],tabela_registros[REGISTRO],DADOS!$N$4,tabela_registros[TIPO],DADOS!$P$4,tabela_registros[CATEGORIA],despesavariávelconsolidadoago[[#This Row],[DESPESA VARIÁVEL]])</f>
        <v>0</v>
      </c>
      <c r="AG65" s="91">
        <f>SUMIFS(tabela_registros[VALOR],tabela_registros[MÊS],$AE$1,tabela_registros[DIA],agototal3059718395107119[[#Headers],[29]],tabela_registros[REGISTRO],DADOS!$N$4,tabela_registros[TIPO],DADOS!$P$4,tabela_registros[CATEGORIA],despesavariávelconsolidadoago[[#This Row],[DESPESA VARIÁVEL]])</f>
        <v>0</v>
      </c>
      <c r="AH65" s="91">
        <f>SUMIFS(tabela_registros[VALOR],tabela_registros[MÊS],$AE$1,tabela_registros[DIA],agototal3059718395107119[[#Headers],[30]],tabela_registros[REGISTRO],DADOS!$N$4,tabela_registros[TIPO],DADOS!$P$4,tabela_registros[CATEGORIA],despesavariávelconsolidadoago[[#This Row],[DESPESA VARIÁVEL]])</f>
        <v>0</v>
      </c>
      <c r="AI65" s="101">
        <f>SUMIFS(tabela_registros[VALOR],tabela_registros[MÊS],$AE$1,tabela_registros[DIA],agototal3059718395107119[[#Headers],[31]],tabela_registros[REGISTRO],DADOS!$N$4,tabela_registros[TIPO],DADOS!$P$4,tabela_registros[CATEGORIA],despesavariávelconsolidadoago[[#This Row],[DESPESA VARIÁVEL]])</f>
        <v>0</v>
      </c>
      <c r="AJ65" s="97">
        <f>SUM(despesavariávelconsolidadoago[[#This Row],[1]:[31]])</f>
        <v>0</v>
      </c>
      <c r="AK65" s="28"/>
    </row>
    <row r="66" spans="2:37" ht="18" customHeight="1" thickTop="1" thickBot="1" x14ac:dyDescent="0.3">
      <c r="B66" s="28"/>
      <c r="C66" s="27" t="str">
        <f>DADOS!$T$9</f>
        <v>🎭 LAZER</v>
      </c>
      <c r="D66" s="26" t="str">
        <f>IF(despesavariávelconsolidadoago[[#This Row],[TOTAL]]=0,"",IF(OR(despesavariávelconsolidadoago[[#This Row],[TOTAL]]=LARGE($AJ$60:$AJ$72,1),despesavariávelconsolidadoago[[#This Row],[TOTAL]]=LARGE($AJ$60:$AJ$72,2),despesavariávelconsolidadoago[[#This Row],[TOTAL]]=LARGE($AJ$60:$AJ$72,3),despesavariávelconsolidadoago[[#This Row],[TOTAL]]=LARGE($AJ$60:$AJ$72,4),despesavariávelconsolidadoago[[#This Row],[TOTAL]]=LARGE($AJ$60:$AJ$72,5)),DADOS!$I$8,""))</f>
        <v/>
      </c>
      <c r="E66" s="96">
        <f>SUMIFS(tabela_registros[VALOR],tabela_registros[MÊS],$AE$1,tabela_registros[DIA],agototal3059718395107119[[#Headers],[1]],tabela_registros[REGISTRO],DADOS!$N$4,tabela_registros[TIPO],DADOS!$P$4,tabela_registros[CATEGORIA],despesavariávelconsolidadoago[[#This Row],[DESPESA VARIÁVEL]])</f>
        <v>0</v>
      </c>
      <c r="F66" s="91">
        <f>SUMIFS(tabela_registros[VALOR],tabela_registros[MÊS],$AE$1,tabela_registros[DIA],agototal3059718395107119[[#Headers],[2]],tabela_registros[REGISTRO],DADOS!$N$4,tabela_registros[TIPO],DADOS!$P$4,tabela_registros[CATEGORIA],despesavariávelconsolidadoago[[#This Row],[DESPESA VARIÁVEL]])</f>
        <v>0</v>
      </c>
      <c r="G66" s="91">
        <f>SUMIFS(tabela_registros[VALOR],tabela_registros[MÊS],$AE$1,tabela_registros[DIA],agototal3059718395107119[[#Headers],[3]],tabela_registros[REGISTRO],DADOS!$N$4,tabela_registros[TIPO],DADOS!$P$4,tabela_registros[CATEGORIA],despesavariávelconsolidadoago[[#This Row],[DESPESA VARIÁVEL]])</f>
        <v>0</v>
      </c>
      <c r="H66" s="91">
        <f>SUMIFS(tabela_registros[VALOR],tabela_registros[MÊS],$AE$1,tabela_registros[DIA],agototal3059718395107119[[#Headers],[4]],tabela_registros[REGISTRO],DADOS!$N$4,tabela_registros[TIPO],DADOS!$P$4,tabela_registros[CATEGORIA],despesavariávelconsolidadoago[[#This Row],[DESPESA VARIÁVEL]])</f>
        <v>0</v>
      </c>
      <c r="I66" s="91">
        <f>SUMIFS(tabela_registros[VALOR],tabela_registros[MÊS],$AE$1,tabela_registros[DIA],agototal3059718395107119[[#Headers],[5]],tabela_registros[REGISTRO],DADOS!$N$4,tabela_registros[TIPO],DADOS!$P$4,tabela_registros[CATEGORIA],despesavariávelconsolidadoago[[#This Row],[DESPESA VARIÁVEL]])</f>
        <v>0</v>
      </c>
      <c r="J66" s="91">
        <f>SUMIFS(tabela_registros[VALOR],tabela_registros[MÊS],$AE$1,tabela_registros[DIA],agototal3059718395107119[[#Headers],[6]],tabela_registros[REGISTRO],DADOS!$N$4,tabela_registros[TIPO],DADOS!$P$4,tabela_registros[CATEGORIA],despesavariávelconsolidadoago[[#This Row],[DESPESA VARIÁVEL]])</f>
        <v>0</v>
      </c>
      <c r="K66" s="91">
        <f>SUMIFS(tabela_registros[VALOR],tabela_registros[MÊS],$AE$1,tabela_registros[DIA],agototal3059718395107119[[#Headers],[7]],tabela_registros[REGISTRO],DADOS!$N$4,tabela_registros[TIPO],DADOS!$P$4,tabela_registros[CATEGORIA],despesavariávelconsolidadoago[[#This Row],[DESPESA VARIÁVEL]])</f>
        <v>0</v>
      </c>
      <c r="L66" s="91">
        <f>SUMIFS(tabela_registros[VALOR],tabela_registros[MÊS],$AE$1,tabela_registros[DIA],agototal3059718395107119[[#Headers],[8]],tabela_registros[REGISTRO],DADOS!$N$4,tabela_registros[TIPO],DADOS!$P$4,tabela_registros[CATEGORIA],despesavariávelconsolidadoago[[#This Row],[DESPESA VARIÁVEL]])</f>
        <v>0</v>
      </c>
      <c r="M66" s="91">
        <f>SUMIFS(tabela_registros[VALOR],tabela_registros[MÊS],$AE$1,tabela_registros[DIA],agototal3059718395107119[[#Headers],[9]],tabela_registros[REGISTRO],DADOS!$N$4,tabela_registros[TIPO],DADOS!$P$4,tabela_registros[CATEGORIA],despesavariávelconsolidadoago[[#This Row],[DESPESA VARIÁVEL]])</f>
        <v>0</v>
      </c>
      <c r="N66" s="91">
        <f>SUMIFS(tabela_registros[VALOR],tabela_registros[MÊS],$AE$1,tabela_registros[DIA],agototal3059718395107119[[#Headers],[10]],tabela_registros[REGISTRO],DADOS!$N$4,tabela_registros[TIPO],DADOS!$P$4,tabela_registros[CATEGORIA],despesavariávelconsolidadoago[[#This Row],[DESPESA VARIÁVEL]])</f>
        <v>0</v>
      </c>
      <c r="O66" s="91">
        <f>SUMIFS(tabela_registros[VALOR],tabela_registros[MÊS],$AE$1,tabela_registros[DIA],agototal3059718395107119[[#Headers],[11]],tabela_registros[REGISTRO],DADOS!$N$4,tabela_registros[TIPO],DADOS!$P$4,tabela_registros[CATEGORIA],despesavariávelconsolidadoago[[#This Row],[DESPESA VARIÁVEL]])</f>
        <v>0</v>
      </c>
      <c r="P66" s="91">
        <f>SUMIFS(tabela_registros[VALOR],tabela_registros[MÊS],$AE$1,tabela_registros[DIA],agototal3059718395107119[[#Headers],[12]],tabela_registros[REGISTRO],DADOS!$N$4,tabela_registros[TIPO],DADOS!$P$4,tabela_registros[CATEGORIA],despesavariávelconsolidadoago[[#This Row],[DESPESA VARIÁVEL]])</f>
        <v>0</v>
      </c>
      <c r="Q66" s="91">
        <f>SUMIFS(tabela_registros[VALOR],tabela_registros[MÊS],$AE$1,tabela_registros[DIA],agototal3059718395107119[[#Headers],[13]],tabela_registros[REGISTRO],DADOS!$N$4,tabela_registros[TIPO],DADOS!$P$4,tabela_registros[CATEGORIA],despesavariávelconsolidadoago[[#This Row],[DESPESA VARIÁVEL]])</f>
        <v>0</v>
      </c>
      <c r="R66" s="91">
        <f>SUMIFS(tabela_registros[VALOR],tabela_registros[MÊS],$AE$1,tabela_registros[DIA],agototal3059718395107119[[#Headers],[14]],tabela_registros[REGISTRO],DADOS!$N$4,tabela_registros[TIPO],DADOS!$P$4,tabela_registros[CATEGORIA],despesavariávelconsolidadoago[[#This Row],[DESPESA VARIÁVEL]])</f>
        <v>0</v>
      </c>
      <c r="S66" s="91">
        <f>SUMIFS(tabela_registros[VALOR],tabela_registros[MÊS],$AE$1,tabela_registros[DIA],agototal3059718395107119[[#Headers],[15]],tabela_registros[REGISTRO],DADOS!$N$4,tabela_registros[TIPO],DADOS!$P$4,tabela_registros[CATEGORIA],despesavariávelconsolidadoago[[#This Row],[DESPESA VARIÁVEL]])</f>
        <v>0</v>
      </c>
      <c r="T66" s="91">
        <f>SUMIFS(tabela_registros[VALOR],tabela_registros[MÊS],$AE$1,tabela_registros[DIA],agototal3059718395107119[[#Headers],[16]],tabela_registros[REGISTRO],DADOS!$N$4,tabela_registros[TIPO],DADOS!$P$4,tabela_registros[CATEGORIA],despesavariávelconsolidadoago[[#This Row],[DESPESA VARIÁVEL]])</f>
        <v>0</v>
      </c>
      <c r="U66" s="91">
        <f>SUMIFS(tabela_registros[VALOR],tabela_registros[MÊS],$AE$1,tabela_registros[DIA],agototal3059718395107119[[#Headers],[17]],tabela_registros[REGISTRO],DADOS!$N$4,tabela_registros[TIPO],DADOS!$P$4,tabela_registros[CATEGORIA],despesavariávelconsolidadoago[[#This Row],[DESPESA VARIÁVEL]])</f>
        <v>0</v>
      </c>
      <c r="V66" s="91">
        <f>SUMIFS(tabela_registros[VALOR],tabela_registros[MÊS],$AE$1,tabela_registros[DIA],agototal3059718395107119[[#Headers],[18]],tabela_registros[REGISTRO],DADOS!$N$4,tabela_registros[TIPO],DADOS!$P$4,tabela_registros[CATEGORIA],despesavariávelconsolidadoago[[#This Row],[DESPESA VARIÁVEL]])</f>
        <v>0</v>
      </c>
      <c r="W66" s="91">
        <f>SUMIFS(tabela_registros[VALOR],tabela_registros[MÊS],$AE$1,tabela_registros[DIA],agototal3059718395107119[[#Headers],[19]],tabela_registros[REGISTRO],DADOS!$N$4,tabela_registros[TIPO],DADOS!$P$4,tabela_registros[CATEGORIA],despesavariávelconsolidadoago[[#This Row],[DESPESA VARIÁVEL]])</f>
        <v>0</v>
      </c>
      <c r="X66" s="91">
        <f>SUMIFS(tabela_registros[VALOR],tabela_registros[MÊS],$AE$1,tabela_registros[DIA],agototal3059718395107119[[#Headers],[20]],tabela_registros[REGISTRO],DADOS!$N$4,tabela_registros[TIPO],DADOS!$P$4,tabela_registros[CATEGORIA],despesavariávelconsolidadoago[[#This Row],[DESPESA VARIÁVEL]])</f>
        <v>0</v>
      </c>
      <c r="Y66" s="91">
        <f>SUMIFS(tabela_registros[VALOR],tabela_registros[MÊS],$AE$1,tabela_registros[DIA],agototal3059718395107119[[#Headers],[21]],tabela_registros[REGISTRO],DADOS!$N$4,tabela_registros[TIPO],DADOS!$P$4,tabela_registros[CATEGORIA],despesavariávelconsolidadoago[[#This Row],[DESPESA VARIÁVEL]])</f>
        <v>0</v>
      </c>
      <c r="Z66" s="91">
        <f>SUMIFS(tabela_registros[VALOR],tabela_registros[MÊS],$AE$1,tabela_registros[DIA],agototal3059718395107119[[#Headers],[22]],tabela_registros[REGISTRO],DADOS!$N$4,tabela_registros[TIPO],DADOS!$P$4,tabela_registros[CATEGORIA],despesavariávelconsolidadoago[[#This Row],[DESPESA VARIÁVEL]])</f>
        <v>0</v>
      </c>
      <c r="AA66" s="91">
        <f>SUMIFS(tabela_registros[VALOR],tabela_registros[MÊS],$AE$1,tabela_registros[DIA],agototal3059718395107119[[#Headers],[23]],tabela_registros[REGISTRO],DADOS!$N$4,tabela_registros[TIPO],DADOS!$P$4,tabela_registros[CATEGORIA],despesavariávelconsolidadoago[[#This Row],[DESPESA VARIÁVEL]])</f>
        <v>0</v>
      </c>
      <c r="AB66" s="91">
        <f>SUMIFS(tabela_registros[VALOR],tabela_registros[MÊS],$AE$1,tabela_registros[DIA],agototal3059718395107119[[#Headers],[24]],tabela_registros[REGISTRO],DADOS!$N$4,tabela_registros[TIPO],DADOS!$P$4,tabela_registros[CATEGORIA],despesavariávelconsolidadoago[[#This Row],[DESPESA VARIÁVEL]])</f>
        <v>0</v>
      </c>
      <c r="AC66" s="91">
        <f>SUMIFS(tabela_registros[VALOR],tabela_registros[MÊS],$AE$1,tabela_registros[DIA],agototal3059718395107119[[#Headers],[25]],tabela_registros[REGISTRO],DADOS!$N$4,tabela_registros[TIPO],DADOS!$P$4,tabela_registros[CATEGORIA],despesavariávelconsolidadoago[[#This Row],[DESPESA VARIÁVEL]])</f>
        <v>0</v>
      </c>
      <c r="AD66" s="91">
        <f>SUMIFS(tabela_registros[VALOR],tabela_registros[MÊS],$AE$1,tabela_registros[DIA],agototal3059718395107119[[#Headers],[26]],tabela_registros[REGISTRO],DADOS!$N$4,tabela_registros[TIPO],DADOS!$P$4,tabela_registros[CATEGORIA],despesavariávelconsolidadoago[[#This Row],[DESPESA VARIÁVEL]])</f>
        <v>0</v>
      </c>
      <c r="AE66" s="91">
        <f>SUMIFS(tabela_registros[VALOR],tabela_registros[MÊS],$AE$1,tabela_registros[DIA],agototal3059718395107119[[#Headers],[27]],tabela_registros[REGISTRO],DADOS!$N$4,tabela_registros[TIPO],DADOS!$P$4,tabela_registros[CATEGORIA],despesavariávelconsolidadoago[[#This Row],[DESPESA VARIÁVEL]])</f>
        <v>0</v>
      </c>
      <c r="AF66" s="91">
        <f>SUMIFS(tabela_registros[VALOR],tabela_registros[MÊS],$AE$1,tabela_registros[DIA],agototal3059718395107119[[#Headers],[28]],tabela_registros[REGISTRO],DADOS!$N$4,tabela_registros[TIPO],DADOS!$P$4,tabela_registros[CATEGORIA],despesavariávelconsolidadoago[[#This Row],[DESPESA VARIÁVEL]])</f>
        <v>0</v>
      </c>
      <c r="AG66" s="91">
        <f>SUMIFS(tabela_registros[VALOR],tabela_registros[MÊS],$AE$1,tabela_registros[DIA],agototal3059718395107119[[#Headers],[29]],tabela_registros[REGISTRO],DADOS!$N$4,tabela_registros[TIPO],DADOS!$P$4,tabela_registros[CATEGORIA],despesavariávelconsolidadoago[[#This Row],[DESPESA VARIÁVEL]])</f>
        <v>0</v>
      </c>
      <c r="AH66" s="91">
        <f>SUMIFS(tabela_registros[VALOR],tabela_registros[MÊS],$AE$1,tabela_registros[DIA],agototal3059718395107119[[#Headers],[30]],tabela_registros[REGISTRO],DADOS!$N$4,tabela_registros[TIPO],DADOS!$P$4,tabela_registros[CATEGORIA],despesavariávelconsolidadoago[[#This Row],[DESPESA VARIÁVEL]])</f>
        <v>0</v>
      </c>
      <c r="AI66" s="101">
        <f>SUMIFS(tabela_registros[VALOR],tabela_registros[MÊS],$AE$1,tabela_registros[DIA],agototal3059718395107119[[#Headers],[31]],tabela_registros[REGISTRO],DADOS!$N$4,tabela_registros[TIPO],DADOS!$P$4,tabela_registros[CATEGORIA],despesavariávelconsolidadoago[[#This Row],[DESPESA VARIÁVEL]])</f>
        <v>0</v>
      </c>
      <c r="AJ66" s="97">
        <f>SUM(despesavariávelconsolidadoago[[#This Row],[1]:[31]])</f>
        <v>0</v>
      </c>
      <c r="AK66" s="28"/>
    </row>
    <row r="67" spans="2:37" ht="18" customHeight="1" thickTop="1" thickBot="1" x14ac:dyDescent="0.3">
      <c r="B67" s="28"/>
      <c r="C67" s="27" t="str">
        <f>DADOS!$T$10</f>
        <v>🛒 MERCADO</v>
      </c>
      <c r="D67" s="26" t="str">
        <f>IF(despesavariávelconsolidadoago[[#This Row],[TOTAL]]=0,"",IF(OR(despesavariávelconsolidadoago[[#This Row],[TOTAL]]=LARGE($AJ$60:$AJ$72,1),despesavariávelconsolidadoago[[#This Row],[TOTAL]]=LARGE($AJ$60:$AJ$72,2),despesavariávelconsolidadoago[[#This Row],[TOTAL]]=LARGE($AJ$60:$AJ$72,3),despesavariávelconsolidadoago[[#This Row],[TOTAL]]=LARGE($AJ$60:$AJ$72,4),despesavariávelconsolidadoago[[#This Row],[TOTAL]]=LARGE($AJ$60:$AJ$72,5)),DADOS!$I$8,""))</f>
        <v/>
      </c>
      <c r="E67" s="96">
        <f>SUMIFS(tabela_registros[VALOR],tabela_registros[MÊS],$AE$1,tabela_registros[DIA],agototal3059718395107119[[#Headers],[1]],tabela_registros[REGISTRO],DADOS!$N$4,tabela_registros[TIPO],DADOS!$P$4,tabela_registros[CATEGORIA],despesavariávelconsolidadoago[[#This Row],[DESPESA VARIÁVEL]])</f>
        <v>0</v>
      </c>
      <c r="F67" s="91">
        <f>SUMIFS(tabela_registros[VALOR],tabela_registros[MÊS],$AE$1,tabela_registros[DIA],agototal3059718395107119[[#Headers],[2]],tabela_registros[REGISTRO],DADOS!$N$4,tabela_registros[TIPO],DADOS!$P$4,tabela_registros[CATEGORIA],despesavariávelconsolidadoago[[#This Row],[DESPESA VARIÁVEL]])</f>
        <v>0</v>
      </c>
      <c r="G67" s="91">
        <f>SUMIFS(tabela_registros[VALOR],tabela_registros[MÊS],$AE$1,tabela_registros[DIA],agototal3059718395107119[[#Headers],[3]],tabela_registros[REGISTRO],DADOS!$N$4,tabela_registros[TIPO],DADOS!$P$4,tabela_registros[CATEGORIA],despesavariávelconsolidadoago[[#This Row],[DESPESA VARIÁVEL]])</f>
        <v>0</v>
      </c>
      <c r="H67" s="91">
        <f>SUMIFS(tabela_registros[VALOR],tabela_registros[MÊS],$AE$1,tabela_registros[DIA],agototal3059718395107119[[#Headers],[4]],tabela_registros[REGISTRO],DADOS!$N$4,tabela_registros[TIPO],DADOS!$P$4,tabela_registros[CATEGORIA],despesavariávelconsolidadoago[[#This Row],[DESPESA VARIÁVEL]])</f>
        <v>0</v>
      </c>
      <c r="I67" s="91">
        <f>SUMIFS(tabela_registros[VALOR],tabela_registros[MÊS],$AE$1,tabela_registros[DIA],agototal3059718395107119[[#Headers],[5]],tabela_registros[REGISTRO],DADOS!$N$4,tabela_registros[TIPO],DADOS!$P$4,tabela_registros[CATEGORIA],despesavariávelconsolidadoago[[#This Row],[DESPESA VARIÁVEL]])</f>
        <v>0</v>
      </c>
      <c r="J67" s="91">
        <f>SUMIFS(tabela_registros[VALOR],tabela_registros[MÊS],$AE$1,tabela_registros[DIA],agototal3059718395107119[[#Headers],[6]],tabela_registros[REGISTRO],DADOS!$N$4,tabela_registros[TIPO],DADOS!$P$4,tabela_registros[CATEGORIA],despesavariávelconsolidadoago[[#This Row],[DESPESA VARIÁVEL]])</f>
        <v>0</v>
      </c>
      <c r="K67" s="91">
        <f>SUMIFS(tabela_registros[VALOR],tabela_registros[MÊS],$AE$1,tabela_registros[DIA],agototal3059718395107119[[#Headers],[7]],tabela_registros[REGISTRO],DADOS!$N$4,tabela_registros[TIPO],DADOS!$P$4,tabela_registros[CATEGORIA],despesavariávelconsolidadoago[[#This Row],[DESPESA VARIÁVEL]])</f>
        <v>0</v>
      </c>
      <c r="L67" s="91">
        <f>SUMIFS(tabela_registros[VALOR],tabela_registros[MÊS],$AE$1,tabela_registros[DIA],agototal3059718395107119[[#Headers],[8]],tabela_registros[REGISTRO],DADOS!$N$4,tabela_registros[TIPO],DADOS!$P$4,tabela_registros[CATEGORIA],despesavariávelconsolidadoago[[#This Row],[DESPESA VARIÁVEL]])</f>
        <v>0</v>
      </c>
      <c r="M67" s="91">
        <f>SUMIFS(tabela_registros[VALOR],tabela_registros[MÊS],$AE$1,tabela_registros[DIA],agototal3059718395107119[[#Headers],[9]],tabela_registros[REGISTRO],DADOS!$N$4,tabela_registros[TIPO],DADOS!$P$4,tabela_registros[CATEGORIA],despesavariávelconsolidadoago[[#This Row],[DESPESA VARIÁVEL]])</f>
        <v>0</v>
      </c>
      <c r="N67" s="91">
        <f>SUMIFS(tabela_registros[VALOR],tabela_registros[MÊS],$AE$1,tabela_registros[DIA],agototal3059718395107119[[#Headers],[10]],tabela_registros[REGISTRO],DADOS!$N$4,tabela_registros[TIPO],DADOS!$P$4,tabela_registros[CATEGORIA],despesavariávelconsolidadoago[[#This Row],[DESPESA VARIÁVEL]])</f>
        <v>0</v>
      </c>
      <c r="O67" s="91">
        <f>SUMIFS(tabela_registros[VALOR],tabela_registros[MÊS],$AE$1,tabela_registros[DIA],agototal3059718395107119[[#Headers],[11]],tabela_registros[REGISTRO],DADOS!$N$4,tabela_registros[TIPO],DADOS!$P$4,tabela_registros[CATEGORIA],despesavariávelconsolidadoago[[#This Row],[DESPESA VARIÁVEL]])</f>
        <v>0</v>
      </c>
      <c r="P67" s="91">
        <f>SUMIFS(tabela_registros[VALOR],tabela_registros[MÊS],$AE$1,tabela_registros[DIA],agototal3059718395107119[[#Headers],[12]],tabela_registros[REGISTRO],DADOS!$N$4,tabela_registros[TIPO],DADOS!$P$4,tabela_registros[CATEGORIA],despesavariávelconsolidadoago[[#This Row],[DESPESA VARIÁVEL]])</f>
        <v>0</v>
      </c>
      <c r="Q67" s="91">
        <f>SUMIFS(tabela_registros[VALOR],tabela_registros[MÊS],$AE$1,tabela_registros[DIA],agototal3059718395107119[[#Headers],[13]],tabela_registros[REGISTRO],DADOS!$N$4,tabela_registros[TIPO],DADOS!$P$4,tabela_registros[CATEGORIA],despesavariávelconsolidadoago[[#This Row],[DESPESA VARIÁVEL]])</f>
        <v>0</v>
      </c>
      <c r="R67" s="91">
        <f>SUMIFS(tabela_registros[VALOR],tabela_registros[MÊS],$AE$1,tabela_registros[DIA],agototal3059718395107119[[#Headers],[14]],tabela_registros[REGISTRO],DADOS!$N$4,tabela_registros[TIPO],DADOS!$P$4,tabela_registros[CATEGORIA],despesavariávelconsolidadoago[[#This Row],[DESPESA VARIÁVEL]])</f>
        <v>0</v>
      </c>
      <c r="S67" s="91">
        <f>SUMIFS(tabela_registros[VALOR],tabela_registros[MÊS],$AE$1,tabela_registros[DIA],agototal3059718395107119[[#Headers],[15]],tabela_registros[REGISTRO],DADOS!$N$4,tabela_registros[TIPO],DADOS!$P$4,tabela_registros[CATEGORIA],despesavariávelconsolidadoago[[#This Row],[DESPESA VARIÁVEL]])</f>
        <v>0</v>
      </c>
      <c r="T67" s="91">
        <f>SUMIFS(tabela_registros[VALOR],tabela_registros[MÊS],$AE$1,tabela_registros[DIA],agototal3059718395107119[[#Headers],[16]],tabela_registros[REGISTRO],DADOS!$N$4,tabela_registros[TIPO],DADOS!$P$4,tabela_registros[CATEGORIA],despesavariávelconsolidadoago[[#This Row],[DESPESA VARIÁVEL]])</f>
        <v>0</v>
      </c>
      <c r="U67" s="91">
        <f>SUMIFS(tabela_registros[VALOR],tabela_registros[MÊS],$AE$1,tabela_registros[DIA],agototal3059718395107119[[#Headers],[17]],tabela_registros[REGISTRO],DADOS!$N$4,tabela_registros[TIPO],DADOS!$P$4,tabela_registros[CATEGORIA],despesavariávelconsolidadoago[[#This Row],[DESPESA VARIÁVEL]])</f>
        <v>0</v>
      </c>
      <c r="V67" s="91">
        <f>SUMIFS(tabela_registros[VALOR],tabela_registros[MÊS],$AE$1,tabela_registros[DIA],agototal3059718395107119[[#Headers],[18]],tabela_registros[REGISTRO],DADOS!$N$4,tabela_registros[TIPO],DADOS!$P$4,tabela_registros[CATEGORIA],despesavariávelconsolidadoago[[#This Row],[DESPESA VARIÁVEL]])</f>
        <v>0</v>
      </c>
      <c r="W67" s="91">
        <f>SUMIFS(tabela_registros[VALOR],tabela_registros[MÊS],$AE$1,tabela_registros[DIA],agototal3059718395107119[[#Headers],[19]],tabela_registros[REGISTRO],DADOS!$N$4,tabela_registros[TIPO],DADOS!$P$4,tabela_registros[CATEGORIA],despesavariávelconsolidadoago[[#This Row],[DESPESA VARIÁVEL]])</f>
        <v>0</v>
      </c>
      <c r="X67" s="91">
        <f>SUMIFS(tabela_registros[VALOR],tabela_registros[MÊS],$AE$1,tabela_registros[DIA],agototal3059718395107119[[#Headers],[20]],tabela_registros[REGISTRO],DADOS!$N$4,tabela_registros[TIPO],DADOS!$P$4,tabela_registros[CATEGORIA],despesavariávelconsolidadoago[[#This Row],[DESPESA VARIÁVEL]])</f>
        <v>0</v>
      </c>
      <c r="Y67" s="91">
        <f>SUMIFS(tabela_registros[VALOR],tabela_registros[MÊS],$AE$1,tabela_registros[DIA],agototal3059718395107119[[#Headers],[21]],tabela_registros[REGISTRO],DADOS!$N$4,tabela_registros[TIPO],DADOS!$P$4,tabela_registros[CATEGORIA],despesavariávelconsolidadoago[[#This Row],[DESPESA VARIÁVEL]])</f>
        <v>0</v>
      </c>
      <c r="Z67" s="91">
        <f>SUMIFS(tabela_registros[VALOR],tabela_registros[MÊS],$AE$1,tabela_registros[DIA],agototal3059718395107119[[#Headers],[22]],tabela_registros[REGISTRO],DADOS!$N$4,tabela_registros[TIPO],DADOS!$P$4,tabela_registros[CATEGORIA],despesavariávelconsolidadoago[[#This Row],[DESPESA VARIÁVEL]])</f>
        <v>0</v>
      </c>
      <c r="AA67" s="91">
        <f>SUMIFS(tabela_registros[VALOR],tabela_registros[MÊS],$AE$1,tabela_registros[DIA],agototal3059718395107119[[#Headers],[23]],tabela_registros[REGISTRO],DADOS!$N$4,tabela_registros[TIPO],DADOS!$P$4,tabela_registros[CATEGORIA],despesavariávelconsolidadoago[[#This Row],[DESPESA VARIÁVEL]])</f>
        <v>0</v>
      </c>
      <c r="AB67" s="91">
        <f>SUMIFS(tabela_registros[VALOR],tabela_registros[MÊS],$AE$1,tabela_registros[DIA],agototal3059718395107119[[#Headers],[24]],tabela_registros[REGISTRO],DADOS!$N$4,tabela_registros[TIPO],DADOS!$P$4,tabela_registros[CATEGORIA],despesavariávelconsolidadoago[[#This Row],[DESPESA VARIÁVEL]])</f>
        <v>0</v>
      </c>
      <c r="AC67" s="91">
        <f>SUMIFS(tabela_registros[VALOR],tabela_registros[MÊS],$AE$1,tabela_registros[DIA],agototal3059718395107119[[#Headers],[25]],tabela_registros[REGISTRO],DADOS!$N$4,tabela_registros[TIPO],DADOS!$P$4,tabela_registros[CATEGORIA],despesavariávelconsolidadoago[[#This Row],[DESPESA VARIÁVEL]])</f>
        <v>0</v>
      </c>
      <c r="AD67" s="91">
        <f>SUMIFS(tabela_registros[VALOR],tabela_registros[MÊS],$AE$1,tabela_registros[DIA],agototal3059718395107119[[#Headers],[26]],tabela_registros[REGISTRO],DADOS!$N$4,tabela_registros[TIPO],DADOS!$P$4,tabela_registros[CATEGORIA],despesavariávelconsolidadoago[[#This Row],[DESPESA VARIÁVEL]])</f>
        <v>0</v>
      </c>
      <c r="AE67" s="91">
        <f>SUMIFS(tabela_registros[VALOR],tabela_registros[MÊS],$AE$1,tabela_registros[DIA],agototal3059718395107119[[#Headers],[27]],tabela_registros[REGISTRO],DADOS!$N$4,tabela_registros[TIPO],DADOS!$P$4,tabela_registros[CATEGORIA],despesavariávelconsolidadoago[[#This Row],[DESPESA VARIÁVEL]])</f>
        <v>0</v>
      </c>
      <c r="AF67" s="91">
        <f>SUMIFS(tabela_registros[VALOR],tabela_registros[MÊS],$AE$1,tabela_registros[DIA],agototal3059718395107119[[#Headers],[28]],tabela_registros[REGISTRO],DADOS!$N$4,tabela_registros[TIPO],DADOS!$P$4,tabela_registros[CATEGORIA],despesavariávelconsolidadoago[[#This Row],[DESPESA VARIÁVEL]])</f>
        <v>0</v>
      </c>
      <c r="AG67" s="91">
        <f>SUMIFS(tabela_registros[VALOR],tabela_registros[MÊS],$AE$1,tabela_registros[DIA],agototal3059718395107119[[#Headers],[29]],tabela_registros[REGISTRO],DADOS!$N$4,tabela_registros[TIPO],DADOS!$P$4,tabela_registros[CATEGORIA],despesavariávelconsolidadoago[[#This Row],[DESPESA VARIÁVEL]])</f>
        <v>0</v>
      </c>
      <c r="AH67" s="91">
        <f>SUMIFS(tabela_registros[VALOR],tabela_registros[MÊS],$AE$1,tabela_registros[DIA],agototal3059718395107119[[#Headers],[30]],tabela_registros[REGISTRO],DADOS!$N$4,tabela_registros[TIPO],DADOS!$P$4,tabela_registros[CATEGORIA],despesavariávelconsolidadoago[[#This Row],[DESPESA VARIÁVEL]])</f>
        <v>0</v>
      </c>
      <c r="AI67" s="101">
        <f>SUMIFS(tabela_registros[VALOR],tabela_registros[MÊS],$AE$1,tabela_registros[DIA],agototal3059718395107119[[#Headers],[31]],tabela_registros[REGISTRO],DADOS!$N$4,tabela_registros[TIPO],DADOS!$P$4,tabela_registros[CATEGORIA],despesavariávelconsolidadoago[[#This Row],[DESPESA VARIÁVEL]])</f>
        <v>0</v>
      </c>
      <c r="AJ67" s="97">
        <f>SUM(despesavariávelconsolidadoago[[#This Row],[1]:[31]])</f>
        <v>0</v>
      </c>
      <c r="AK67" s="28"/>
    </row>
    <row r="68" spans="2:37" ht="18" customHeight="1" thickTop="1" thickBot="1" x14ac:dyDescent="0.3">
      <c r="B68" s="28"/>
      <c r="C68" s="27" t="str">
        <f>DADOS!$T$11</f>
        <v>🎁 PRESENTES</v>
      </c>
      <c r="D68" s="26" t="str">
        <f>IF(despesavariávelconsolidadoago[[#This Row],[TOTAL]]=0,"",IF(OR(despesavariávelconsolidadoago[[#This Row],[TOTAL]]=LARGE($AJ$60:$AJ$72,1),despesavariávelconsolidadoago[[#This Row],[TOTAL]]=LARGE($AJ$60:$AJ$72,2),despesavariávelconsolidadoago[[#This Row],[TOTAL]]=LARGE($AJ$60:$AJ$72,3),despesavariávelconsolidadoago[[#This Row],[TOTAL]]=LARGE($AJ$60:$AJ$72,4),despesavariávelconsolidadoago[[#This Row],[TOTAL]]=LARGE($AJ$60:$AJ$72,5)),DADOS!$I$8,""))</f>
        <v/>
      </c>
      <c r="E68" s="96">
        <f>SUMIFS(tabela_registros[VALOR],tabela_registros[MÊS],$AE$1,tabela_registros[DIA],agototal3059718395107119[[#Headers],[1]],tabela_registros[REGISTRO],DADOS!$N$4,tabela_registros[TIPO],DADOS!$P$4,tabela_registros[CATEGORIA],despesavariávelconsolidadoago[[#This Row],[DESPESA VARIÁVEL]])</f>
        <v>0</v>
      </c>
      <c r="F68" s="91">
        <f>SUMIFS(tabela_registros[VALOR],tabela_registros[MÊS],$AE$1,tabela_registros[DIA],agototal3059718395107119[[#Headers],[2]],tabela_registros[REGISTRO],DADOS!$N$4,tabela_registros[TIPO],DADOS!$P$4,tabela_registros[CATEGORIA],despesavariávelconsolidadoago[[#This Row],[DESPESA VARIÁVEL]])</f>
        <v>0</v>
      </c>
      <c r="G68" s="91">
        <f>SUMIFS(tabela_registros[VALOR],tabela_registros[MÊS],$AE$1,tabela_registros[DIA],agototal3059718395107119[[#Headers],[3]],tabela_registros[REGISTRO],DADOS!$N$4,tabela_registros[TIPO],DADOS!$P$4,tabela_registros[CATEGORIA],despesavariávelconsolidadoago[[#This Row],[DESPESA VARIÁVEL]])</f>
        <v>0</v>
      </c>
      <c r="H68" s="91">
        <f>SUMIFS(tabela_registros[VALOR],tabela_registros[MÊS],$AE$1,tabela_registros[DIA],agototal3059718395107119[[#Headers],[4]],tabela_registros[REGISTRO],DADOS!$N$4,tabela_registros[TIPO],DADOS!$P$4,tabela_registros[CATEGORIA],despesavariávelconsolidadoago[[#This Row],[DESPESA VARIÁVEL]])</f>
        <v>0</v>
      </c>
      <c r="I68" s="91">
        <f>SUMIFS(tabela_registros[VALOR],tabela_registros[MÊS],$AE$1,tabela_registros[DIA],agototal3059718395107119[[#Headers],[5]],tabela_registros[REGISTRO],DADOS!$N$4,tabela_registros[TIPO],DADOS!$P$4,tabela_registros[CATEGORIA],despesavariávelconsolidadoago[[#This Row],[DESPESA VARIÁVEL]])</f>
        <v>0</v>
      </c>
      <c r="J68" s="91">
        <f>SUMIFS(tabela_registros[VALOR],tabela_registros[MÊS],$AE$1,tabela_registros[DIA],agototal3059718395107119[[#Headers],[6]],tabela_registros[REGISTRO],DADOS!$N$4,tabela_registros[TIPO],DADOS!$P$4,tabela_registros[CATEGORIA],despesavariávelconsolidadoago[[#This Row],[DESPESA VARIÁVEL]])</f>
        <v>0</v>
      </c>
      <c r="K68" s="91">
        <f>SUMIFS(tabela_registros[VALOR],tabela_registros[MÊS],$AE$1,tabela_registros[DIA],agototal3059718395107119[[#Headers],[7]],tabela_registros[REGISTRO],DADOS!$N$4,tabela_registros[TIPO],DADOS!$P$4,tabela_registros[CATEGORIA],despesavariávelconsolidadoago[[#This Row],[DESPESA VARIÁVEL]])</f>
        <v>0</v>
      </c>
      <c r="L68" s="91">
        <f>SUMIFS(tabela_registros[VALOR],tabela_registros[MÊS],$AE$1,tabela_registros[DIA],agototal3059718395107119[[#Headers],[8]],tabela_registros[REGISTRO],DADOS!$N$4,tabela_registros[TIPO],DADOS!$P$4,tabela_registros[CATEGORIA],despesavariávelconsolidadoago[[#This Row],[DESPESA VARIÁVEL]])</f>
        <v>0</v>
      </c>
      <c r="M68" s="91">
        <f>SUMIFS(tabela_registros[VALOR],tabela_registros[MÊS],$AE$1,tabela_registros[DIA],agototal3059718395107119[[#Headers],[9]],tabela_registros[REGISTRO],DADOS!$N$4,tabela_registros[TIPO],DADOS!$P$4,tabela_registros[CATEGORIA],despesavariávelconsolidadoago[[#This Row],[DESPESA VARIÁVEL]])</f>
        <v>0</v>
      </c>
      <c r="N68" s="91">
        <f>SUMIFS(tabela_registros[VALOR],tabela_registros[MÊS],$AE$1,tabela_registros[DIA],agototal3059718395107119[[#Headers],[10]],tabela_registros[REGISTRO],DADOS!$N$4,tabela_registros[TIPO],DADOS!$P$4,tabela_registros[CATEGORIA],despesavariávelconsolidadoago[[#This Row],[DESPESA VARIÁVEL]])</f>
        <v>0</v>
      </c>
      <c r="O68" s="91">
        <f>SUMIFS(tabela_registros[VALOR],tabela_registros[MÊS],$AE$1,tabela_registros[DIA],agototal3059718395107119[[#Headers],[11]],tabela_registros[REGISTRO],DADOS!$N$4,tabela_registros[TIPO],DADOS!$P$4,tabela_registros[CATEGORIA],despesavariávelconsolidadoago[[#This Row],[DESPESA VARIÁVEL]])</f>
        <v>0</v>
      </c>
      <c r="P68" s="91">
        <f>SUMIFS(tabela_registros[VALOR],tabela_registros[MÊS],$AE$1,tabela_registros[DIA],agototal3059718395107119[[#Headers],[12]],tabela_registros[REGISTRO],DADOS!$N$4,tabela_registros[TIPO],DADOS!$P$4,tabela_registros[CATEGORIA],despesavariávelconsolidadoago[[#This Row],[DESPESA VARIÁVEL]])</f>
        <v>0</v>
      </c>
      <c r="Q68" s="91">
        <f>SUMIFS(tabela_registros[VALOR],tabela_registros[MÊS],$AE$1,tabela_registros[DIA],agototal3059718395107119[[#Headers],[13]],tabela_registros[REGISTRO],DADOS!$N$4,tabela_registros[TIPO],DADOS!$P$4,tabela_registros[CATEGORIA],despesavariávelconsolidadoago[[#This Row],[DESPESA VARIÁVEL]])</f>
        <v>0</v>
      </c>
      <c r="R68" s="91">
        <f>SUMIFS(tabela_registros[VALOR],tabela_registros[MÊS],$AE$1,tabela_registros[DIA],agototal3059718395107119[[#Headers],[14]],tabela_registros[REGISTRO],DADOS!$N$4,tabela_registros[TIPO],DADOS!$P$4,tabela_registros[CATEGORIA],despesavariávelconsolidadoago[[#This Row],[DESPESA VARIÁVEL]])</f>
        <v>0</v>
      </c>
      <c r="S68" s="91">
        <f>SUMIFS(tabela_registros[VALOR],tabela_registros[MÊS],$AE$1,tabela_registros[DIA],agototal3059718395107119[[#Headers],[15]],tabela_registros[REGISTRO],DADOS!$N$4,tabela_registros[TIPO],DADOS!$P$4,tabela_registros[CATEGORIA],despesavariávelconsolidadoago[[#This Row],[DESPESA VARIÁVEL]])</f>
        <v>0</v>
      </c>
      <c r="T68" s="91">
        <f>SUMIFS(tabela_registros[VALOR],tabela_registros[MÊS],$AE$1,tabela_registros[DIA],agototal3059718395107119[[#Headers],[16]],tabela_registros[REGISTRO],DADOS!$N$4,tabela_registros[TIPO],DADOS!$P$4,tabela_registros[CATEGORIA],despesavariávelconsolidadoago[[#This Row],[DESPESA VARIÁVEL]])</f>
        <v>0</v>
      </c>
      <c r="U68" s="91">
        <f>SUMIFS(tabela_registros[VALOR],tabela_registros[MÊS],$AE$1,tabela_registros[DIA],agototal3059718395107119[[#Headers],[17]],tabela_registros[REGISTRO],DADOS!$N$4,tabela_registros[TIPO],DADOS!$P$4,tabela_registros[CATEGORIA],despesavariávelconsolidadoago[[#This Row],[DESPESA VARIÁVEL]])</f>
        <v>0</v>
      </c>
      <c r="V68" s="91">
        <f>SUMIFS(tabela_registros[VALOR],tabela_registros[MÊS],$AE$1,tabela_registros[DIA],agototal3059718395107119[[#Headers],[18]],tabela_registros[REGISTRO],DADOS!$N$4,tabela_registros[TIPO],DADOS!$P$4,tabela_registros[CATEGORIA],despesavariávelconsolidadoago[[#This Row],[DESPESA VARIÁVEL]])</f>
        <v>0</v>
      </c>
      <c r="W68" s="91">
        <f>SUMIFS(tabela_registros[VALOR],tabela_registros[MÊS],$AE$1,tabela_registros[DIA],agototal3059718395107119[[#Headers],[19]],tabela_registros[REGISTRO],DADOS!$N$4,tabela_registros[TIPO],DADOS!$P$4,tabela_registros[CATEGORIA],despesavariávelconsolidadoago[[#This Row],[DESPESA VARIÁVEL]])</f>
        <v>0</v>
      </c>
      <c r="X68" s="91">
        <f>SUMIFS(tabela_registros[VALOR],tabela_registros[MÊS],$AE$1,tabela_registros[DIA],agototal3059718395107119[[#Headers],[20]],tabela_registros[REGISTRO],DADOS!$N$4,tabela_registros[TIPO],DADOS!$P$4,tabela_registros[CATEGORIA],despesavariávelconsolidadoago[[#This Row],[DESPESA VARIÁVEL]])</f>
        <v>0</v>
      </c>
      <c r="Y68" s="91">
        <f>SUMIFS(tabela_registros[VALOR],tabela_registros[MÊS],$AE$1,tabela_registros[DIA],agototal3059718395107119[[#Headers],[21]],tabela_registros[REGISTRO],DADOS!$N$4,tabela_registros[TIPO],DADOS!$P$4,tabela_registros[CATEGORIA],despesavariávelconsolidadoago[[#This Row],[DESPESA VARIÁVEL]])</f>
        <v>0</v>
      </c>
      <c r="Z68" s="91">
        <f>SUMIFS(tabela_registros[VALOR],tabela_registros[MÊS],$AE$1,tabela_registros[DIA],agototal3059718395107119[[#Headers],[22]],tabela_registros[REGISTRO],DADOS!$N$4,tabela_registros[TIPO],DADOS!$P$4,tabela_registros[CATEGORIA],despesavariávelconsolidadoago[[#This Row],[DESPESA VARIÁVEL]])</f>
        <v>0</v>
      </c>
      <c r="AA68" s="91">
        <f>SUMIFS(tabela_registros[VALOR],tabela_registros[MÊS],$AE$1,tabela_registros[DIA],agototal3059718395107119[[#Headers],[23]],tabela_registros[REGISTRO],DADOS!$N$4,tabela_registros[TIPO],DADOS!$P$4,tabela_registros[CATEGORIA],despesavariávelconsolidadoago[[#This Row],[DESPESA VARIÁVEL]])</f>
        <v>0</v>
      </c>
      <c r="AB68" s="91">
        <f>SUMIFS(tabela_registros[VALOR],tabela_registros[MÊS],$AE$1,tabela_registros[DIA],agototal3059718395107119[[#Headers],[24]],tabela_registros[REGISTRO],DADOS!$N$4,tabela_registros[TIPO],DADOS!$P$4,tabela_registros[CATEGORIA],despesavariávelconsolidadoago[[#This Row],[DESPESA VARIÁVEL]])</f>
        <v>0</v>
      </c>
      <c r="AC68" s="91">
        <f>SUMIFS(tabela_registros[VALOR],tabela_registros[MÊS],$AE$1,tabela_registros[DIA],agototal3059718395107119[[#Headers],[25]],tabela_registros[REGISTRO],DADOS!$N$4,tabela_registros[TIPO],DADOS!$P$4,tabela_registros[CATEGORIA],despesavariávelconsolidadoago[[#This Row],[DESPESA VARIÁVEL]])</f>
        <v>0</v>
      </c>
      <c r="AD68" s="91">
        <f>SUMIFS(tabela_registros[VALOR],tabela_registros[MÊS],$AE$1,tabela_registros[DIA],agototal3059718395107119[[#Headers],[26]],tabela_registros[REGISTRO],DADOS!$N$4,tabela_registros[TIPO],DADOS!$P$4,tabela_registros[CATEGORIA],despesavariávelconsolidadoago[[#This Row],[DESPESA VARIÁVEL]])</f>
        <v>0</v>
      </c>
      <c r="AE68" s="91">
        <f>SUMIFS(tabela_registros[VALOR],tabela_registros[MÊS],$AE$1,tabela_registros[DIA],agototal3059718395107119[[#Headers],[27]],tabela_registros[REGISTRO],DADOS!$N$4,tabela_registros[TIPO],DADOS!$P$4,tabela_registros[CATEGORIA],despesavariávelconsolidadoago[[#This Row],[DESPESA VARIÁVEL]])</f>
        <v>0</v>
      </c>
      <c r="AF68" s="91">
        <f>SUMIFS(tabela_registros[VALOR],tabela_registros[MÊS],$AE$1,tabela_registros[DIA],agototal3059718395107119[[#Headers],[28]],tabela_registros[REGISTRO],DADOS!$N$4,tabela_registros[TIPO],DADOS!$P$4,tabela_registros[CATEGORIA],despesavariávelconsolidadoago[[#This Row],[DESPESA VARIÁVEL]])</f>
        <v>0</v>
      </c>
      <c r="AG68" s="91">
        <f>SUMIFS(tabela_registros[VALOR],tabela_registros[MÊS],$AE$1,tabela_registros[DIA],agototal3059718395107119[[#Headers],[29]],tabela_registros[REGISTRO],DADOS!$N$4,tabela_registros[TIPO],DADOS!$P$4,tabela_registros[CATEGORIA],despesavariávelconsolidadoago[[#This Row],[DESPESA VARIÁVEL]])</f>
        <v>0</v>
      </c>
      <c r="AH68" s="91">
        <f>SUMIFS(tabela_registros[VALOR],tabela_registros[MÊS],$AE$1,tabela_registros[DIA],agototal3059718395107119[[#Headers],[30]],tabela_registros[REGISTRO],DADOS!$N$4,tabela_registros[TIPO],DADOS!$P$4,tabela_registros[CATEGORIA],despesavariávelconsolidadoago[[#This Row],[DESPESA VARIÁVEL]])</f>
        <v>0</v>
      </c>
      <c r="AI68" s="101">
        <f>SUMIFS(tabela_registros[VALOR],tabela_registros[MÊS],$AE$1,tabela_registros[DIA],agototal3059718395107119[[#Headers],[31]],tabela_registros[REGISTRO],DADOS!$N$4,tabela_registros[TIPO],DADOS!$P$4,tabela_registros[CATEGORIA],despesavariávelconsolidadoago[[#This Row],[DESPESA VARIÁVEL]])</f>
        <v>0</v>
      </c>
      <c r="AJ68" s="97">
        <f>SUM(despesavariávelconsolidadoago[[#This Row],[1]:[31]])</f>
        <v>0</v>
      </c>
      <c r="AK68" s="28"/>
    </row>
    <row r="69" spans="2:37" ht="18" customHeight="1" thickTop="1" thickBot="1" x14ac:dyDescent="0.3">
      <c r="B69" s="28"/>
      <c r="C69" s="27" t="str">
        <f>DADOS!$T$12</f>
        <v>💊 SAÚDE</v>
      </c>
      <c r="D69" s="26" t="str">
        <f>IF(despesavariávelconsolidadoago[[#This Row],[TOTAL]]=0,"",IF(OR(despesavariávelconsolidadoago[[#This Row],[TOTAL]]=LARGE($AJ$60:$AJ$72,1),despesavariávelconsolidadoago[[#This Row],[TOTAL]]=LARGE($AJ$60:$AJ$72,2),despesavariávelconsolidadoago[[#This Row],[TOTAL]]=LARGE($AJ$60:$AJ$72,3),despesavariávelconsolidadoago[[#This Row],[TOTAL]]=LARGE($AJ$60:$AJ$72,4),despesavariávelconsolidadoago[[#This Row],[TOTAL]]=LARGE($AJ$60:$AJ$72,5)),DADOS!$I$8,""))</f>
        <v/>
      </c>
      <c r="E69" s="96">
        <f>SUMIFS(tabela_registros[VALOR],tabela_registros[MÊS],$AE$1,tabela_registros[DIA],agototal3059718395107119[[#Headers],[1]],tabela_registros[REGISTRO],DADOS!$N$4,tabela_registros[TIPO],DADOS!$P$4,tabela_registros[CATEGORIA],despesavariávelconsolidadoago[[#This Row],[DESPESA VARIÁVEL]])</f>
        <v>0</v>
      </c>
      <c r="F69" s="91">
        <f>SUMIFS(tabela_registros[VALOR],tabela_registros[MÊS],$AE$1,tabela_registros[DIA],agototal3059718395107119[[#Headers],[2]],tabela_registros[REGISTRO],DADOS!$N$4,tabela_registros[TIPO],DADOS!$P$4,tabela_registros[CATEGORIA],despesavariávelconsolidadoago[[#This Row],[DESPESA VARIÁVEL]])</f>
        <v>0</v>
      </c>
      <c r="G69" s="91">
        <f>SUMIFS(tabela_registros[VALOR],tabela_registros[MÊS],$AE$1,tabela_registros[DIA],agototal3059718395107119[[#Headers],[3]],tabela_registros[REGISTRO],DADOS!$N$4,tabela_registros[TIPO],DADOS!$P$4,tabela_registros[CATEGORIA],despesavariávelconsolidadoago[[#This Row],[DESPESA VARIÁVEL]])</f>
        <v>0</v>
      </c>
      <c r="H69" s="91">
        <f>SUMIFS(tabela_registros[VALOR],tabela_registros[MÊS],$AE$1,tabela_registros[DIA],agototal3059718395107119[[#Headers],[4]],tabela_registros[REGISTRO],DADOS!$N$4,tabela_registros[TIPO],DADOS!$P$4,tabela_registros[CATEGORIA],despesavariávelconsolidadoago[[#This Row],[DESPESA VARIÁVEL]])</f>
        <v>0</v>
      </c>
      <c r="I69" s="91">
        <f>SUMIFS(tabela_registros[VALOR],tabela_registros[MÊS],$AE$1,tabela_registros[DIA],agototal3059718395107119[[#Headers],[5]],tabela_registros[REGISTRO],DADOS!$N$4,tabela_registros[TIPO],DADOS!$P$4,tabela_registros[CATEGORIA],despesavariávelconsolidadoago[[#This Row],[DESPESA VARIÁVEL]])</f>
        <v>0</v>
      </c>
      <c r="J69" s="91">
        <f>SUMIFS(tabela_registros[VALOR],tabela_registros[MÊS],$AE$1,tabela_registros[DIA],agototal3059718395107119[[#Headers],[6]],tabela_registros[REGISTRO],DADOS!$N$4,tabela_registros[TIPO],DADOS!$P$4,tabela_registros[CATEGORIA],despesavariávelconsolidadoago[[#This Row],[DESPESA VARIÁVEL]])</f>
        <v>0</v>
      </c>
      <c r="K69" s="91">
        <f>SUMIFS(tabela_registros[VALOR],tabela_registros[MÊS],$AE$1,tabela_registros[DIA],agototal3059718395107119[[#Headers],[7]],tabela_registros[REGISTRO],DADOS!$N$4,tabela_registros[TIPO],DADOS!$P$4,tabela_registros[CATEGORIA],despesavariávelconsolidadoago[[#This Row],[DESPESA VARIÁVEL]])</f>
        <v>0</v>
      </c>
      <c r="L69" s="91">
        <f>SUMIFS(tabela_registros[VALOR],tabela_registros[MÊS],$AE$1,tabela_registros[DIA],agototal3059718395107119[[#Headers],[8]],tabela_registros[REGISTRO],DADOS!$N$4,tabela_registros[TIPO],DADOS!$P$4,tabela_registros[CATEGORIA],despesavariávelconsolidadoago[[#This Row],[DESPESA VARIÁVEL]])</f>
        <v>0</v>
      </c>
      <c r="M69" s="91">
        <f>SUMIFS(tabela_registros[VALOR],tabela_registros[MÊS],$AE$1,tabela_registros[DIA],agototal3059718395107119[[#Headers],[9]],tabela_registros[REGISTRO],DADOS!$N$4,tabela_registros[TIPO],DADOS!$P$4,tabela_registros[CATEGORIA],despesavariávelconsolidadoago[[#This Row],[DESPESA VARIÁVEL]])</f>
        <v>0</v>
      </c>
      <c r="N69" s="91">
        <f>SUMIFS(tabela_registros[VALOR],tabela_registros[MÊS],$AE$1,tabela_registros[DIA],agototal3059718395107119[[#Headers],[10]],tabela_registros[REGISTRO],DADOS!$N$4,tabela_registros[TIPO],DADOS!$P$4,tabela_registros[CATEGORIA],despesavariávelconsolidadoago[[#This Row],[DESPESA VARIÁVEL]])</f>
        <v>0</v>
      </c>
      <c r="O69" s="91">
        <f>SUMIFS(tabela_registros[VALOR],tabela_registros[MÊS],$AE$1,tabela_registros[DIA],agototal3059718395107119[[#Headers],[11]],tabela_registros[REGISTRO],DADOS!$N$4,tabela_registros[TIPO],DADOS!$P$4,tabela_registros[CATEGORIA],despesavariávelconsolidadoago[[#This Row],[DESPESA VARIÁVEL]])</f>
        <v>0</v>
      </c>
      <c r="P69" s="91">
        <f>SUMIFS(tabela_registros[VALOR],tabela_registros[MÊS],$AE$1,tabela_registros[DIA],agototal3059718395107119[[#Headers],[12]],tabela_registros[REGISTRO],DADOS!$N$4,tabela_registros[TIPO],DADOS!$P$4,tabela_registros[CATEGORIA],despesavariávelconsolidadoago[[#This Row],[DESPESA VARIÁVEL]])</f>
        <v>0</v>
      </c>
      <c r="Q69" s="91">
        <f>SUMIFS(tabela_registros[VALOR],tabela_registros[MÊS],$AE$1,tabela_registros[DIA],agototal3059718395107119[[#Headers],[13]],tabela_registros[REGISTRO],DADOS!$N$4,tabela_registros[TIPO],DADOS!$P$4,tabela_registros[CATEGORIA],despesavariávelconsolidadoago[[#This Row],[DESPESA VARIÁVEL]])</f>
        <v>0</v>
      </c>
      <c r="R69" s="91">
        <f>SUMIFS(tabela_registros[VALOR],tabela_registros[MÊS],$AE$1,tabela_registros[DIA],agototal3059718395107119[[#Headers],[14]],tabela_registros[REGISTRO],DADOS!$N$4,tabela_registros[TIPO],DADOS!$P$4,tabela_registros[CATEGORIA],despesavariávelconsolidadoago[[#This Row],[DESPESA VARIÁVEL]])</f>
        <v>0</v>
      </c>
      <c r="S69" s="91">
        <f>SUMIFS(tabela_registros[VALOR],tabela_registros[MÊS],$AE$1,tabela_registros[DIA],agototal3059718395107119[[#Headers],[15]],tabela_registros[REGISTRO],DADOS!$N$4,tabela_registros[TIPO],DADOS!$P$4,tabela_registros[CATEGORIA],despesavariávelconsolidadoago[[#This Row],[DESPESA VARIÁVEL]])</f>
        <v>0</v>
      </c>
      <c r="T69" s="91">
        <f>SUMIFS(tabela_registros[VALOR],tabela_registros[MÊS],$AE$1,tabela_registros[DIA],agototal3059718395107119[[#Headers],[16]],tabela_registros[REGISTRO],DADOS!$N$4,tabela_registros[TIPO],DADOS!$P$4,tabela_registros[CATEGORIA],despesavariávelconsolidadoago[[#This Row],[DESPESA VARIÁVEL]])</f>
        <v>0</v>
      </c>
      <c r="U69" s="91">
        <f>SUMIFS(tabela_registros[VALOR],tabela_registros[MÊS],$AE$1,tabela_registros[DIA],agototal3059718395107119[[#Headers],[17]],tabela_registros[REGISTRO],DADOS!$N$4,tabela_registros[TIPO],DADOS!$P$4,tabela_registros[CATEGORIA],despesavariávelconsolidadoago[[#This Row],[DESPESA VARIÁVEL]])</f>
        <v>0</v>
      </c>
      <c r="V69" s="91">
        <f>SUMIFS(tabela_registros[VALOR],tabela_registros[MÊS],$AE$1,tabela_registros[DIA],agototal3059718395107119[[#Headers],[18]],tabela_registros[REGISTRO],DADOS!$N$4,tabela_registros[TIPO],DADOS!$P$4,tabela_registros[CATEGORIA],despesavariávelconsolidadoago[[#This Row],[DESPESA VARIÁVEL]])</f>
        <v>0</v>
      </c>
      <c r="W69" s="91">
        <f>SUMIFS(tabela_registros[VALOR],tabela_registros[MÊS],$AE$1,tabela_registros[DIA],agototal3059718395107119[[#Headers],[19]],tabela_registros[REGISTRO],DADOS!$N$4,tabela_registros[TIPO],DADOS!$P$4,tabela_registros[CATEGORIA],despesavariávelconsolidadoago[[#This Row],[DESPESA VARIÁVEL]])</f>
        <v>0</v>
      </c>
      <c r="X69" s="91">
        <f>SUMIFS(tabela_registros[VALOR],tabela_registros[MÊS],$AE$1,tabela_registros[DIA],agototal3059718395107119[[#Headers],[20]],tabela_registros[REGISTRO],DADOS!$N$4,tabela_registros[TIPO],DADOS!$P$4,tabela_registros[CATEGORIA],despesavariávelconsolidadoago[[#This Row],[DESPESA VARIÁVEL]])</f>
        <v>0</v>
      </c>
      <c r="Y69" s="91">
        <f>SUMIFS(tabela_registros[VALOR],tabela_registros[MÊS],$AE$1,tabela_registros[DIA],agototal3059718395107119[[#Headers],[21]],tabela_registros[REGISTRO],DADOS!$N$4,tabela_registros[TIPO],DADOS!$P$4,tabela_registros[CATEGORIA],despesavariávelconsolidadoago[[#This Row],[DESPESA VARIÁVEL]])</f>
        <v>0</v>
      </c>
      <c r="Z69" s="91">
        <f>SUMIFS(tabela_registros[VALOR],tabela_registros[MÊS],$AE$1,tabela_registros[DIA],agototal3059718395107119[[#Headers],[22]],tabela_registros[REGISTRO],DADOS!$N$4,tabela_registros[TIPO],DADOS!$P$4,tabela_registros[CATEGORIA],despesavariávelconsolidadoago[[#This Row],[DESPESA VARIÁVEL]])</f>
        <v>0</v>
      </c>
      <c r="AA69" s="91">
        <f>SUMIFS(tabela_registros[VALOR],tabela_registros[MÊS],$AE$1,tabela_registros[DIA],agototal3059718395107119[[#Headers],[23]],tabela_registros[REGISTRO],DADOS!$N$4,tabela_registros[TIPO],DADOS!$P$4,tabela_registros[CATEGORIA],despesavariávelconsolidadoago[[#This Row],[DESPESA VARIÁVEL]])</f>
        <v>0</v>
      </c>
      <c r="AB69" s="91">
        <f>SUMIFS(tabela_registros[VALOR],tabela_registros[MÊS],$AE$1,tabela_registros[DIA],agototal3059718395107119[[#Headers],[24]],tabela_registros[REGISTRO],DADOS!$N$4,tabela_registros[TIPO],DADOS!$P$4,tabela_registros[CATEGORIA],despesavariávelconsolidadoago[[#This Row],[DESPESA VARIÁVEL]])</f>
        <v>0</v>
      </c>
      <c r="AC69" s="91">
        <f>SUMIFS(tabela_registros[VALOR],tabela_registros[MÊS],$AE$1,tabela_registros[DIA],agototal3059718395107119[[#Headers],[25]],tabela_registros[REGISTRO],DADOS!$N$4,tabela_registros[TIPO],DADOS!$P$4,tabela_registros[CATEGORIA],despesavariávelconsolidadoago[[#This Row],[DESPESA VARIÁVEL]])</f>
        <v>0</v>
      </c>
      <c r="AD69" s="91">
        <f>SUMIFS(tabela_registros[VALOR],tabela_registros[MÊS],$AE$1,tabela_registros[DIA],agototal3059718395107119[[#Headers],[26]],tabela_registros[REGISTRO],DADOS!$N$4,tabela_registros[TIPO],DADOS!$P$4,tabela_registros[CATEGORIA],despesavariávelconsolidadoago[[#This Row],[DESPESA VARIÁVEL]])</f>
        <v>0</v>
      </c>
      <c r="AE69" s="91">
        <f>SUMIFS(tabela_registros[VALOR],tabela_registros[MÊS],$AE$1,tabela_registros[DIA],agototal3059718395107119[[#Headers],[27]],tabela_registros[REGISTRO],DADOS!$N$4,tabela_registros[TIPO],DADOS!$P$4,tabela_registros[CATEGORIA],despesavariávelconsolidadoago[[#This Row],[DESPESA VARIÁVEL]])</f>
        <v>0</v>
      </c>
      <c r="AF69" s="91">
        <f>SUMIFS(tabela_registros[VALOR],tabela_registros[MÊS],$AE$1,tabela_registros[DIA],agototal3059718395107119[[#Headers],[28]],tabela_registros[REGISTRO],DADOS!$N$4,tabela_registros[TIPO],DADOS!$P$4,tabela_registros[CATEGORIA],despesavariávelconsolidadoago[[#This Row],[DESPESA VARIÁVEL]])</f>
        <v>0</v>
      </c>
      <c r="AG69" s="91">
        <f>SUMIFS(tabela_registros[VALOR],tabela_registros[MÊS],$AE$1,tabela_registros[DIA],agototal3059718395107119[[#Headers],[29]],tabela_registros[REGISTRO],DADOS!$N$4,tabela_registros[TIPO],DADOS!$P$4,tabela_registros[CATEGORIA],despesavariávelconsolidadoago[[#This Row],[DESPESA VARIÁVEL]])</f>
        <v>0</v>
      </c>
      <c r="AH69" s="91">
        <f>SUMIFS(tabela_registros[VALOR],tabela_registros[MÊS],$AE$1,tabela_registros[DIA],agototal3059718395107119[[#Headers],[30]],tabela_registros[REGISTRO],DADOS!$N$4,tabela_registros[TIPO],DADOS!$P$4,tabela_registros[CATEGORIA],despesavariávelconsolidadoago[[#This Row],[DESPESA VARIÁVEL]])</f>
        <v>0</v>
      </c>
      <c r="AI69" s="101">
        <f>SUMIFS(tabela_registros[VALOR],tabela_registros[MÊS],$AE$1,tabela_registros[DIA],agototal3059718395107119[[#Headers],[31]],tabela_registros[REGISTRO],DADOS!$N$4,tabela_registros[TIPO],DADOS!$P$4,tabela_registros[CATEGORIA],despesavariávelconsolidadoago[[#This Row],[DESPESA VARIÁVEL]])</f>
        <v>0</v>
      </c>
      <c r="AJ69" s="97">
        <f>SUM(despesavariávelconsolidadoago[[#This Row],[1]:[31]])</f>
        <v>0</v>
      </c>
      <c r="AK69" s="28"/>
    </row>
    <row r="70" spans="2:37" ht="18" customHeight="1" thickTop="1" thickBot="1" x14ac:dyDescent="0.3">
      <c r="B70" s="28"/>
      <c r="C70" s="27" t="str">
        <f>DADOS!$T$13</f>
        <v>🚍 TRANSPORTE</v>
      </c>
      <c r="D70" s="26" t="str">
        <f>IF(despesavariávelconsolidadoago[[#This Row],[TOTAL]]=0,"",IF(OR(despesavariávelconsolidadoago[[#This Row],[TOTAL]]=LARGE($AJ$60:$AJ$72,1),despesavariávelconsolidadoago[[#This Row],[TOTAL]]=LARGE($AJ$60:$AJ$72,2),despesavariávelconsolidadoago[[#This Row],[TOTAL]]=LARGE($AJ$60:$AJ$72,3),despesavariávelconsolidadoago[[#This Row],[TOTAL]]=LARGE($AJ$60:$AJ$72,4),despesavariávelconsolidadoago[[#This Row],[TOTAL]]=LARGE($AJ$60:$AJ$72,5)),DADOS!$I$8,""))</f>
        <v/>
      </c>
      <c r="E70" s="96">
        <f>SUMIFS(tabela_registros[VALOR],tabela_registros[MÊS],$AE$1,tabela_registros[DIA],agototal3059718395107119[[#Headers],[1]],tabela_registros[REGISTRO],DADOS!$N$4,tabela_registros[TIPO],DADOS!$P$4,tabela_registros[CATEGORIA],despesavariávelconsolidadoago[[#This Row],[DESPESA VARIÁVEL]])</f>
        <v>0</v>
      </c>
      <c r="F70" s="91">
        <f>SUMIFS(tabela_registros[VALOR],tabela_registros[MÊS],$AE$1,tabela_registros[DIA],agototal3059718395107119[[#Headers],[2]],tabela_registros[REGISTRO],DADOS!$N$4,tabela_registros[TIPO],DADOS!$P$4,tabela_registros[CATEGORIA],despesavariávelconsolidadoago[[#This Row],[DESPESA VARIÁVEL]])</f>
        <v>0</v>
      </c>
      <c r="G70" s="91">
        <f>SUMIFS(tabela_registros[VALOR],tabela_registros[MÊS],$AE$1,tabela_registros[DIA],agototal3059718395107119[[#Headers],[3]],tabela_registros[REGISTRO],DADOS!$N$4,tabela_registros[TIPO],DADOS!$P$4,tabela_registros[CATEGORIA],despesavariávelconsolidadoago[[#This Row],[DESPESA VARIÁVEL]])</f>
        <v>0</v>
      </c>
      <c r="H70" s="91">
        <f>SUMIFS(tabela_registros[VALOR],tabela_registros[MÊS],$AE$1,tabela_registros[DIA],agototal3059718395107119[[#Headers],[4]],tabela_registros[REGISTRO],DADOS!$N$4,tabela_registros[TIPO],DADOS!$P$4,tabela_registros[CATEGORIA],despesavariávelconsolidadoago[[#This Row],[DESPESA VARIÁVEL]])</f>
        <v>0</v>
      </c>
      <c r="I70" s="91">
        <f>SUMIFS(tabela_registros[VALOR],tabela_registros[MÊS],$AE$1,tabela_registros[DIA],agototal3059718395107119[[#Headers],[5]],tabela_registros[REGISTRO],DADOS!$N$4,tabela_registros[TIPO],DADOS!$P$4,tabela_registros[CATEGORIA],despesavariávelconsolidadoago[[#This Row],[DESPESA VARIÁVEL]])</f>
        <v>0</v>
      </c>
      <c r="J70" s="91">
        <f>SUMIFS(tabela_registros[VALOR],tabela_registros[MÊS],$AE$1,tabela_registros[DIA],agototal3059718395107119[[#Headers],[6]],tabela_registros[REGISTRO],DADOS!$N$4,tabela_registros[TIPO],DADOS!$P$4,tabela_registros[CATEGORIA],despesavariávelconsolidadoago[[#This Row],[DESPESA VARIÁVEL]])</f>
        <v>0</v>
      </c>
      <c r="K70" s="91">
        <f>SUMIFS(tabela_registros[VALOR],tabela_registros[MÊS],$AE$1,tabela_registros[DIA],agototal3059718395107119[[#Headers],[7]],tabela_registros[REGISTRO],DADOS!$N$4,tabela_registros[TIPO],DADOS!$P$4,tabela_registros[CATEGORIA],despesavariávelconsolidadoago[[#This Row],[DESPESA VARIÁVEL]])</f>
        <v>0</v>
      </c>
      <c r="L70" s="91">
        <f>SUMIFS(tabela_registros[VALOR],tabela_registros[MÊS],$AE$1,tabela_registros[DIA],agototal3059718395107119[[#Headers],[8]],tabela_registros[REGISTRO],DADOS!$N$4,tabela_registros[TIPO],DADOS!$P$4,tabela_registros[CATEGORIA],despesavariávelconsolidadoago[[#This Row],[DESPESA VARIÁVEL]])</f>
        <v>0</v>
      </c>
      <c r="M70" s="91">
        <f>SUMIFS(tabela_registros[VALOR],tabela_registros[MÊS],$AE$1,tabela_registros[DIA],agototal3059718395107119[[#Headers],[9]],tabela_registros[REGISTRO],DADOS!$N$4,tabela_registros[TIPO],DADOS!$P$4,tabela_registros[CATEGORIA],despesavariávelconsolidadoago[[#This Row],[DESPESA VARIÁVEL]])</f>
        <v>0</v>
      </c>
      <c r="N70" s="91">
        <f>SUMIFS(tabela_registros[VALOR],tabela_registros[MÊS],$AE$1,tabela_registros[DIA],agototal3059718395107119[[#Headers],[10]],tabela_registros[REGISTRO],DADOS!$N$4,tabela_registros[TIPO],DADOS!$P$4,tabela_registros[CATEGORIA],despesavariávelconsolidadoago[[#This Row],[DESPESA VARIÁVEL]])</f>
        <v>0</v>
      </c>
      <c r="O70" s="91">
        <f>SUMIFS(tabela_registros[VALOR],tabela_registros[MÊS],$AE$1,tabela_registros[DIA],agototal3059718395107119[[#Headers],[11]],tabela_registros[REGISTRO],DADOS!$N$4,tabela_registros[TIPO],DADOS!$P$4,tabela_registros[CATEGORIA],despesavariávelconsolidadoago[[#This Row],[DESPESA VARIÁVEL]])</f>
        <v>0</v>
      </c>
      <c r="P70" s="91">
        <f>SUMIFS(tabela_registros[VALOR],tabela_registros[MÊS],$AE$1,tabela_registros[DIA],agototal3059718395107119[[#Headers],[12]],tabela_registros[REGISTRO],DADOS!$N$4,tabela_registros[TIPO],DADOS!$P$4,tabela_registros[CATEGORIA],despesavariávelconsolidadoago[[#This Row],[DESPESA VARIÁVEL]])</f>
        <v>0</v>
      </c>
      <c r="Q70" s="91">
        <f>SUMIFS(tabela_registros[VALOR],tabela_registros[MÊS],$AE$1,tabela_registros[DIA],agototal3059718395107119[[#Headers],[13]],tabela_registros[REGISTRO],DADOS!$N$4,tabela_registros[TIPO],DADOS!$P$4,tabela_registros[CATEGORIA],despesavariávelconsolidadoago[[#This Row],[DESPESA VARIÁVEL]])</f>
        <v>0</v>
      </c>
      <c r="R70" s="91">
        <f>SUMIFS(tabela_registros[VALOR],tabela_registros[MÊS],$AE$1,tabela_registros[DIA],agototal3059718395107119[[#Headers],[14]],tabela_registros[REGISTRO],DADOS!$N$4,tabela_registros[TIPO],DADOS!$P$4,tabela_registros[CATEGORIA],despesavariávelconsolidadoago[[#This Row],[DESPESA VARIÁVEL]])</f>
        <v>0</v>
      </c>
      <c r="S70" s="91">
        <f>SUMIFS(tabela_registros[VALOR],tabela_registros[MÊS],$AE$1,tabela_registros[DIA],agototal3059718395107119[[#Headers],[15]],tabela_registros[REGISTRO],DADOS!$N$4,tabela_registros[TIPO],DADOS!$P$4,tabela_registros[CATEGORIA],despesavariávelconsolidadoago[[#This Row],[DESPESA VARIÁVEL]])</f>
        <v>0</v>
      </c>
      <c r="T70" s="91">
        <f>SUMIFS(tabela_registros[VALOR],tabela_registros[MÊS],$AE$1,tabela_registros[DIA],agototal3059718395107119[[#Headers],[16]],tabela_registros[REGISTRO],DADOS!$N$4,tabela_registros[TIPO],DADOS!$P$4,tabela_registros[CATEGORIA],despesavariávelconsolidadoago[[#This Row],[DESPESA VARIÁVEL]])</f>
        <v>0</v>
      </c>
      <c r="U70" s="91">
        <f>SUMIFS(tabela_registros[VALOR],tabela_registros[MÊS],$AE$1,tabela_registros[DIA],agototal3059718395107119[[#Headers],[17]],tabela_registros[REGISTRO],DADOS!$N$4,tabela_registros[TIPO],DADOS!$P$4,tabela_registros[CATEGORIA],despesavariávelconsolidadoago[[#This Row],[DESPESA VARIÁVEL]])</f>
        <v>0</v>
      </c>
      <c r="V70" s="91">
        <f>SUMIFS(tabela_registros[VALOR],tabela_registros[MÊS],$AE$1,tabela_registros[DIA],agototal3059718395107119[[#Headers],[18]],tabela_registros[REGISTRO],DADOS!$N$4,tabela_registros[TIPO],DADOS!$P$4,tabela_registros[CATEGORIA],despesavariávelconsolidadoago[[#This Row],[DESPESA VARIÁVEL]])</f>
        <v>0</v>
      </c>
      <c r="W70" s="91">
        <f>SUMIFS(tabela_registros[VALOR],tabela_registros[MÊS],$AE$1,tabela_registros[DIA],agototal3059718395107119[[#Headers],[19]],tabela_registros[REGISTRO],DADOS!$N$4,tabela_registros[TIPO],DADOS!$P$4,tabela_registros[CATEGORIA],despesavariávelconsolidadoago[[#This Row],[DESPESA VARIÁVEL]])</f>
        <v>0</v>
      </c>
      <c r="X70" s="91">
        <f>SUMIFS(tabela_registros[VALOR],tabela_registros[MÊS],$AE$1,tabela_registros[DIA],agototal3059718395107119[[#Headers],[20]],tabela_registros[REGISTRO],DADOS!$N$4,tabela_registros[TIPO],DADOS!$P$4,tabela_registros[CATEGORIA],despesavariávelconsolidadoago[[#This Row],[DESPESA VARIÁVEL]])</f>
        <v>0</v>
      </c>
      <c r="Y70" s="91">
        <f>SUMIFS(tabela_registros[VALOR],tabela_registros[MÊS],$AE$1,tabela_registros[DIA],agototal3059718395107119[[#Headers],[21]],tabela_registros[REGISTRO],DADOS!$N$4,tabela_registros[TIPO],DADOS!$P$4,tabela_registros[CATEGORIA],despesavariávelconsolidadoago[[#This Row],[DESPESA VARIÁVEL]])</f>
        <v>0</v>
      </c>
      <c r="Z70" s="91">
        <f>SUMIFS(tabela_registros[VALOR],tabela_registros[MÊS],$AE$1,tabela_registros[DIA],agototal3059718395107119[[#Headers],[22]],tabela_registros[REGISTRO],DADOS!$N$4,tabela_registros[TIPO],DADOS!$P$4,tabela_registros[CATEGORIA],despesavariávelconsolidadoago[[#This Row],[DESPESA VARIÁVEL]])</f>
        <v>0</v>
      </c>
      <c r="AA70" s="91">
        <f>SUMIFS(tabela_registros[VALOR],tabela_registros[MÊS],$AE$1,tabela_registros[DIA],agototal3059718395107119[[#Headers],[23]],tabela_registros[REGISTRO],DADOS!$N$4,tabela_registros[TIPO],DADOS!$P$4,tabela_registros[CATEGORIA],despesavariávelconsolidadoago[[#This Row],[DESPESA VARIÁVEL]])</f>
        <v>0</v>
      </c>
      <c r="AB70" s="91">
        <f>SUMIFS(tabela_registros[VALOR],tabela_registros[MÊS],$AE$1,tabela_registros[DIA],agototal3059718395107119[[#Headers],[24]],tabela_registros[REGISTRO],DADOS!$N$4,tabela_registros[TIPO],DADOS!$P$4,tabela_registros[CATEGORIA],despesavariávelconsolidadoago[[#This Row],[DESPESA VARIÁVEL]])</f>
        <v>0</v>
      </c>
      <c r="AC70" s="91">
        <f>SUMIFS(tabela_registros[VALOR],tabela_registros[MÊS],$AE$1,tabela_registros[DIA],agototal3059718395107119[[#Headers],[25]],tabela_registros[REGISTRO],DADOS!$N$4,tabela_registros[TIPO],DADOS!$P$4,tabela_registros[CATEGORIA],despesavariávelconsolidadoago[[#This Row],[DESPESA VARIÁVEL]])</f>
        <v>0</v>
      </c>
      <c r="AD70" s="91">
        <f>SUMIFS(tabela_registros[VALOR],tabela_registros[MÊS],$AE$1,tabela_registros[DIA],agototal3059718395107119[[#Headers],[26]],tabela_registros[REGISTRO],DADOS!$N$4,tabela_registros[TIPO],DADOS!$P$4,tabela_registros[CATEGORIA],despesavariávelconsolidadoago[[#This Row],[DESPESA VARIÁVEL]])</f>
        <v>0</v>
      </c>
      <c r="AE70" s="91">
        <f>SUMIFS(tabela_registros[VALOR],tabela_registros[MÊS],$AE$1,tabela_registros[DIA],agototal3059718395107119[[#Headers],[27]],tabela_registros[REGISTRO],DADOS!$N$4,tabela_registros[TIPO],DADOS!$P$4,tabela_registros[CATEGORIA],despesavariávelconsolidadoago[[#This Row],[DESPESA VARIÁVEL]])</f>
        <v>0</v>
      </c>
      <c r="AF70" s="91">
        <f>SUMIFS(tabela_registros[VALOR],tabela_registros[MÊS],$AE$1,tabela_registros[DIA],agototal3059718395107119[[#Headers],[28]],tabela_registros[REGISTRO],DADOS!$N$4,tabela_registros[TIPO],DADOS!$P$4,tabela_registros[CATEGORIA],despesavariávelconsolidadoago[[#This Row],[DESPESA VARIÁVEL]])</f>
        <v>0</v>
      </c>
      <c r="AG70" s="91">
        <f>SUMIFS(tabela_registros[VALOR],tabela_registros[MÊS],$AE$1,tabela_registros[DIA],agototal3059718395107119[[#Headers],[29]],tabela_registros[REGISTRO],DADOS!$N$4,tabela_registros[TIPO],DADOS!$P$4,tabela_registros[CATEGORIA],despesavariávelconsolidadoago[[#This Row],[DESPESA VARIÁVEL]])</f>
        <v>0</v>
      </c>
      <c r="AH70" s="91">
        <f>SUMIFS(tabela_registros[VALOR],tabela_registros[MÊS],$AE$1,tabela_registros[DIA],agototal3059718395107119[[#Headers],[30]],tabela_registros[REGISTRO],DADOS!$N$4,tabela_registros[TIPO],DADOS!$P$4,tabela_registros[CATEGORIA],despesavariávelconsolidadoago[[#This Row],[DESPESA VARIÁVEL]])</f>
        <v>0</v>
      </c>
      <c r="AI70" s="101">
        <f>SUMIFS(tabela_registros[VALOR],tabela_registros[MÊS],$AE$1,tabela_registros[DIA],agototal3059718395107119[[#Headers],[31]],tabela_registros[REGISTRO],DADOS!$N$4,tabela_registros[TIPO],DADOS!$P$4,tabela_registros[CATEGORIA],despesavariávelconsolidadoago[[#This Row],[DESPESA VARIÁVEL]])</f>
        <v>0</v>
      </c>
      <c r="AJ70" s="97">
        <f>SUM(despesavariávelconsolidadoago[[#This Row],[1]:[31]])</f>
        <v>0</v>
      </c>
      <c r="AK70" s="28"/>
    </row>
    <row r="71" spans="2:37" ht="18" customHeight="1" thickTop="1" thickBot="1" x14ac:dyDescent="0.3">
      <c r="B71" s="28"/>
      <c r="C71" s="27" t="str">
        <f>DADOS!$T$14</f>
        <v>🛍️ VESTUÁRIO</v>
      </c>
      <c r="D71" s="26" t="str">
        <f>IF(despesavariávelconsolidadoago[[#This Row],[TOTAL]]=0,"",IF(OR(despesavariávelconsolidadoago[[#This Row],[TOTAL]]=LARGE($AJ$60:$AJ$72,1),despesavariávelconsolidadoago[[#This Row],[TOTAL]]=LARGE($AJ$60:$AJ$72,2),despesavariávelconsolidadoago[[#This Row],[TOTAL]]=LARGE($AJ$60:$AJ$72,3),despesavariávelconsolidadoago[[#This Row],[TOTAL]]=LARGE($AJ$60:$AJ$72,4),despesavariávelconsolidadoago[[#This Row],[TOTAL]]=LARGE($AJ$60:$AJ$72,5)),DADOS!$I$8,""))</f>
        <v/>
      </c>
      <c r="E71" s="96">
        <f>SUMIFS(tabela_registros[VALOR],tabela_registros[MÊS],$AE$1,tabela_registros[DIA],agototal3059718395107119[[#Headers],[1]],tabela_registros[REGISTRO],DADOS!$N$4,tabela_registros[TIPO],DADOS!$P$4,tabela_registros[CATEGORIA],despesavariávelconsolidadoago[[#This Row],[DESPESA VARIÁVEL]])</f>
        <v>0</v>
      </c>
      <c r="F71" s="91">
        <f>SUMIFS(tabela_registros[VALOR],tabela_registros[MÊS],$AE$1,tabela_registros[DIA],agototal3059718395107119[[#Headers],[2]],tabela_registros[REGISTRO],DADOS!$N$4,tabela_registros[TIPO],DADOS!$P$4,tabela_registros[CATEGORIA],despesavariávelconsolidadoago[[#This Row],[DESPESA VARIÁVEL]])</f>
        <v>0</v>
      </c>
      <c r="G71" s="91">
        <f>SUMIFS(tabela_registros[VALOR],tabela_registros[MÊS],$AE$1,tabela_registros[DIA],agototal3059718395107119[[#Headers],[3]],tabela_registros[REGISTRO],DADOS!$N$4,tabela_registros[TIPO],DADOS!$P$4,tabela_registros[CATEGORIA],despesavariávelconsolidadoago[[#This Row],[DESPESA VARIÁVEL]])</f>
        <v>0</v>
      </c>
      <c r="H71" s="91">
        <f>SUMIFS(tabela_registros[VALOR],tabela_registros[MÊS],$AE$1,tabela_registros[DIA],agototal3059718395107119[[#Headers],[4]],tabela_registros[REGISTRO],DADOS!$N$4,tabela_registros[TIPO],DADOS!$P$4,tabela_registros[CATEGORIA],despesavariávelconsolidadoago[[#This Row],[DESPESA VARIÁVEL]])</f>
        <v>0</v>
      </c>
      <c r="I71" s="91">
        <f>SUMIFS(tabela_registros[VALOR],tabela_registros[MÊS],$AE$1,tabela_registros[DIA],agototal3059718395107119[[#Headers],[5]],tabela_registros[REGISTRO],DADOS!$N$4,tabela_registros[TIPO],DADOS!$P$4,tabela_registros[CATEGORIA],despesavariávelconsolidadoago[[#This Row],[DESPESA VARIÁVEL]])</f>
        <v>0</v>
      </c>
      <c r="J71" s="91">
        <f>SUMIFS(tabela_registros[VALOR],tabela_registros[MÊS],$AE$1,tabela_registros[DIA],agototal3059718395107119[[#Headers],[6]],tabela_registros[REGISTRO],DADOS!$N$4,tabela_registros[TIPO],DADOS!$P$4,tabela_registros[CATEGORIA],despesavariávelconsolidadoago[[#This Row],[DESPESA VARIÁVEL]])</f>
        <v>0</v>
      </c>
      <c r="K71" s="91">
        <f>SUMIFS(tabela_registros[VALOR],tabela_registros[MÊS],$AE$1,tabela_registros[DIA],agototal3059718395107119[[#Headers],[7]],tabela_registros[REGISTRO],DADOS!$N$4,tabela_registros[TIPO],DADOS!$P$4,tabela_registros[CATEGORIA],despesavariávelconsolidadoago[[#This Row],[DESPESA VARIÁVEL]])</f>
        <v>0</v>
      </c>
      <c r="L71" s="91">
        <f>SUMIFS(tabela_registros[VALOR],tabela_registros[MÊS],$AE$1,tabela_registros[DIA],agototal3059718395107119[[#Headers],[8]],tabela_registros[REGISTRO],DADOS!$N$4,tabela_registros[TIPO],DADOS!$P$4,tabela_registros[CATEGORIA],despesavariávelconsolidadoago[[#This Row],[DESPESA VARIÁVEL]])</f>
        <v>0</v>
      </c>
      <c r="M71" s="91">
        <f>SUMIFS(tabela_registros[VALOR],tabela_registros[MÊS],$AE$1,tabela_registros[DIA],agototal3059718395107119[[#Headers],[9]],tabela_registros[REGISTRO],DADOS!$N$4,tabela_registros[TIPO],DADOS!$P$4,tabela_registros[CATEGORIA],despesavariávelconsolidadoago[[#This Row],[DESPESA VARIÁVEL]])</f>
        <v>0</v>
      </c>
      <c r="N71" s="91">
        <f>SUMIFS(tabela_registros[VALOR],tabela_registros[MÊS],$AE$1,tabela_registros[DIA],agototal3059718395107119[[#Headers],[10]],tabela_registros[REGISTRO],DADOS!$N$4,tabela_registros[TIPO],DADOS!$P$4,tabela_registros[CATEGORIA],despesavariávelconsolidadoago[[#This Row],[DESPESA VARIÁVEL]])</f>
        <v>0</v>
      </c>
      <c r="O71" s="91">
        <f>SUMIFS(tabela_registros[VALOR],tabela_registros[MÊS],$AE$1,tabela_registros[DIA],agototal3059718395107119[[#Headers],[11]],tabela_registros[REGISTRO],DADOS!$N$4,tabela_registros[TIPO],DADOS!$P$4,tabela_registros[CATEGORIA],despesavariávelconsolidadoago[[#This Row],[DESPESA VARIÁVEL]])</f>
        <v>0</v>
      </c>
      <c r="P71" s="91">
        <f>SUMIFS(tabela_registros[VALOR],tabela_registros[MÊS],$AE$1,tabela_registros[DIA],agototal3059718395107119[[#Headers],[12]],tabela_registros[REGISTRO],DADOS!$N$4,tabela_registros[TIPO],DADOS!$P$4,tabela_registros[CATEGORIA],despesavariávelconsolidadoago[[#This Row],[DESPESA VARIÁVEL]])</f>
        <v>0</v>
      </c>
      <c r="Q71" s="91">
        <f>SUMIFS(tabela_registros[VALOR],tabela_registros[MÊS],$AE$1,tabela_registros[DIA],agototal3059718395107119[[#Headers],[13]],tabela_registros[REGISTRO],DADOS!$N$4,tabela_registros[TIPO],DADOS!$P$4,tabela_registros[CATEGORIA],despesavariávelconsolidadoago[[#This Row],[DESPESA VARIÁVEL]])</f>
        <v>0</v>
      </c>
      <c r="R71" s="91">
        <f>SUMIFS(tabela_registros[VALOR],tabela_registros[MÊS],$AE$1,tabela_registros[DIA],agototal3059718395107119[[#Headers],[14]],tabela_registros[REGISTRO],DADOS!$N$4,tabela_registros[TIPO],DADOS!$P$4,tabela_registros[CATEGORIA],despesavariávelconsolidadoago[[#This Row],[DESPESA VARIÁVEL]])</f>
        <v>0</v>
      </c>
      <c r="S71" s="91">
        <f>SUMIFS(tabela_registros[VALOR],tabela_registros[MÊS],$AE$1,tabela_registros[DIA],agototal3059718395107119[[#Headers],[15]],tabela_registros[REGISTRO],DADOS!$N$4,tabela_registros[TIPO],DADOS!$P$4,tabela_registros[CATEGORIA],despesavariávelconsolidadoago[[#This Row],[DESPESA VARIÁVEL]])</f>
        <v>0</v>
      </c>
      <c r="T71" s="91">
        <f>SUMIFS(tabela_registros[VALOR],tabela_registros[MÊS],$AE$1,tabela_registros[DIA],agototal3059718395107119[[#Headers],[16]],tabela_registros[REGISTRO],DADOS!$N$4,tabela_registros[TIPO],DADOS!$P$4,tabela_registros[CATEGORIA],despesavariávelconsolidadoago[[#This Row],[DESPESA VARIÁVEL]])</f>
        <v>0</v>
      </c>
      <c r="U71" s="91">
        <f>SUMIFS(tabela_registros[VALOR],tabela_registros[MÊS],$AE$1,tabela_registros[DIA],agototal3059718395107119[[#Headers],[17]],tabela_registros[REGISTRO],DADOS!$N$4,tabela_registros[TIPO],DADOS!$P$4,tabela_registros[CATEGORIA],despesavariávelconsolidadoago[[#This Row],[DESPESA VARIÁVEL]])</f>
        <v>0</v>
      </c>
      <c r="V71" s="91">
        <f>SUMIFS(tabela_registros[VALOR],tabela_registros[MÊS],$AE$1,tabela_registros[DIA],agototal3059718395107119[[#Headers],[18]],tabela_registros[REGISTRO],DADOS!$N$4,tabela_registros[TIPO],DADOS!$P$4,tabela_registros[CATEGORIA],despesavariávelconsolidadoago[[#This Row],[DESPESA VARIÁVEL]])</f>
        <v>0</v>
      </c>
      <c r="W71" s="91">
        <f>SUMIFS(tabela_registros[VALOR],tabela_registros[MÊS],$AE$1,tabela_registros[DIA],agototal3059718395107119[[#Headers],[19]],tabela_registros[REGISTRO],DADOS!$N$4,tabela_registros[TIPO],DADOS!$P$4,tabela_registros[CATEGORIA],despesavariávelconsolidadoago[[#This Row],[DESPESA VARIÁVEL]])</f>
        <v>0</v>
      </c>
      <c r="X71" s="91">
        <f>SUMIFS(tabela_registros[VALOR],tabela_registros[MÊS],$AE$1,tabela_registros[DIA],agototal3059718395107119[[#Headers],[20]],tabela_registros[REGISTRO],DADOS!$N$4,tabela_registros[TIPO],DADOS!$P$4,tabela_registros[CATEGORIA],despesavariávelconsolidadoago[[#This Row],[DESPESA VARIÁVEL]])</f>
        <v>0</v>
      </c>
      <c r="Y71" s="91">
        <f>SUMIFS(tabela_registros[VALOR],tabela_registros[MÊS],$AE$1,tabela_registros[DIA],agototal3059718395107119[[#Headers],[21]],tabela_registros[REGISTRO],DADOS!$N$4,tabela_registros[TIPO],DADOS!$P$4,tabela_registros[CATEGORIA],despesavariávelconsolidadoago[[#This Row],[DESPESA VARIÁVEL]])</f>
        <v>0</v>
      </c>
      <c r="Z71" s="91">
        <f>SUMIFS(tabela_registros[VALOR],tabela_registros[MÊS],$AE$1,tabela_registros[DIA],agototal3059718395107119[[#Headers],[22]],tabela_registros[REGISTRO],DADOS!$N$4,tabela_registros[TIPO],DADOS!$P$4,tabela_registros[CATEGORIA],despesavariávelconsolidadoago[[#This Row],[DESPESA VARIÁVEL]])</f>
        <v>0</v>
      </c>
      <c r="AA71" s="91">
        <f>SUMIFS(tabela_registros[VALOR],tabela_registros[MÊS],$AE$1,tabela_registros[DIA],agototal3059718395107119[[#Headers],[23]],tabela_registros[REGISTRO],DADOS!$N$4,tabela_registros[TIPO],DADOS!$P$4,tabela_registros[CATEGORIA],despesavariávelconsolidadoago[[#This Row],[DESPESA VARIÁVEL]])</f>
        <v>0</v>
      </c>
      <c r="AB71" s="91">
        <f>SUMIFS(tabela_registros[VALOR],tabela_registros[MÊS],$AE$1,tabela_registros[DIA],agototal3059718395107119[[#Headers],[24]],tabela_registros[REGISTRO],DADOS!$N$4,tabela_registros[TIPO],DADOS!$P$4,tabela_registros[CATEGORIA],despesavariávelconsolidadoago[[#This Row],[DESPESA VARIÁVEL]])</f>
        <v>0</v>
      </c>
      <c r="AC71" s="91">
        <f>SUMIFS(tabela_registros[VALOR],tabela_registros[MÊS],$AE$1,tabela_registros[DIA],agototal3059718395107119[[#Headers],[25]],tabela_registros[REGISTRO],DADOS!$N$4,tabela_registros[TIPO],DADOS!$P$4,tabela_registros[CATEGORIA],despesavariávelconsolidadoago[[#This Row],[DESPESA VARIÁVEL]])</f>
        <v>0</v>
      </c>
      <c r="AD71" s="91">
        <f>SUMIFS(tabela_registros[VALOR],tabela_registros[MÊS],$AE$1,tabela_registros[DIA],agototal3059718395107119[[#Headers],[26]],tabela_registros[REGISTRO],DADOS!$N$4,tabela_registros[TIPO],DADOS!$P$4,tabela_registros[CATEGORIA],despesavariávelconsolidadoago[[#This Row],[DESPESA VARIÁVEL]])</f>
        <v>0</v>
      </c>
      <c r="AE71" s="91">
        <f>SUMIFS(tabela_registros[VALOR],tabela_registros[MÊS],$AE$1,tabela_registros[DIA],agototal3059718395107119[[#Headers],[27]],tabela_registros[REGISTRO],DADOS!$N$4,tabela_registros[TIPO],DADOS!$P$4,tabela_registros[CATEGORIA],despesavariávelconsolidadoago[[#This Row],[DESPESA VARIÁVEL]])</f>
        <v>0</v>
      </c>
      <c r="AF71" s="91">
        <f>SUMIFS(tabela_registros[VALOR],tabela_registros[MÊS],$AE$1,tabela_registros[DIA],agototal3059718395107119[[#Headers],[28]],tabela_registros[REGISTRO],DADOS!$N$4,tabela_registros[TIPO],DADOS!$P$4,tabela_registros[CATEGORIA],despesavariávelconsolidadoago[[#This Row],[DESPESA VARIÁVEL]])</f>
        <v>0</v>
      </c>
      <c r="AG71" s="91">
        <f>SUMIFS(tabela_registros[VALOR],tabela_registros[MÊS],$AE$1,tabela_registros[DIA],agototal3059718395107119[[#Headers],[29]],tabela_registros[REGISTRO],DADOS!$N$4,tabela_registros[TIPO],DADOS!$P$4,tabela_registros[CATEGORIA],despesavariávelconsolidadoago[[#This Row],[DESPESA VARIÁVEL]])</f>
        <v>0</v>
      </c>
      <c r="AH71" s="91">
        <f>SUMIFS(tabela_registros[VALOR],tabela_registros[MÊS],$AE$1,tabela_registros[DIA],agototal3059718395107119[[#Headers],[30]],tabela_registros[REGISTRO],DADOS!$N$4,tabela_registros[TIPO],DADOS!$P$4,tabela_registros[CATEGORIA],despesavariávelconsolidadoago[[#This Row],[DESPESA VARIÁVEL]])</f>
        <v>0</v>
      </c>
      <c r="AI71" s="101">
        <f>SUMIFS(tabela_registros[VALOR],tabela_registros[MÊS],$AE$1,tabela_registros[DIA],agototal3059718395107119[[#Headers],[31]],tabela_registros[REGISTRO],DADOS!$N$4,tabela_registros[TIPO],DADOS!$P$4,tabela_registros[CATEGORIA],despesavariávelconsolidadoago[[#This Row],[DESPESA VARIÁVEL]])</f>
        <v>0</v>
      </c>
      <c r="AJ71" s="97">
        <f>SUM(despesavariávelconsolidadoago[[#This Row],[1]:[31]])</f>
        <v>0</v>
      </c>
      <c r="AK71" s="28"/>
    </row>
    <row r="72" spans="2:37" ht="18" customHeight="1" thickTop="1" thickBot="1" x14ac:dyDescent="0.3">
      <c r="B72" s="28"/>
      <c r="C72" s="27" t="str">
        <f>DADOS!$T$15</f>
        <v>📎 OUTROS</v>
      </c>
      <c r="D72" s="26" t="str">
        <f>IF(despesavariávelconsolidadoago[[#This Row],[TOTAL]]=0,"",IF(OR(despesavariávelconsolidadoago[[#This Row],[TOTAL]]=LARGE($AJ$60:$AJ$72,1),despesavariávelconsolidadoago[[#This Row],[TOTAL]]=LARGE($AJ$60:$AJ$72,2),despesavariávelconsolidadoago[[#This Row],[TOTAL]]=LARGE($AJ$60:$AJ$72,3),despesavariávelconsolidadoago[[#This Row],[TOTAL]]=LARGE($AJ$60:$AJ$72,4),despesavariávelconsolidadoago[[#This Row],[TOTAL]]=LARGE($AJ$60:$AJ$72,5)),DADOS!$I$8,""))</f>
        <v/>
      </c>
      <c r="E72" s="96">
        <f>SUMIFS(tabela_registros[VALOR],tabela_registros[MÊS],$AE$1,tabela_registros[DIA],agototal3059718395107119[[#Headers],[1]],tabela_registros[REGISTRO],DADOS!$N$4,tabela_registros[TIPO],DADOS!$P$4,tabela_registros[CATEGORIA],despesavariávelconsolidadoago[[#This Row],[DESPESA VARIÁVEL]])</f>
        <v>0</v>
      </c>
      <c r="F72" s="91">
        <f>SUMIFS(tabela_registros[VALOR],tabela_registros[MÊS],$AE$1,tabela_registros[DIA],agototal3059718395107119[[#Headers],[2]],tabela_registros[REGISTRO],DADOS!$N$4,tabela_registros[TIPO],DADOS!$P$4,tabela_registros[CATEGORIA],despesavariávelconsolidadoago[[#This Row],[DESPESA VARIÁVEL]])</f>
        <v>0</v>
      </c>
      <c r="G72" s="91">
        <f>SUMIFS(tabela_registros[VALOR],tabela_registros[MÊS],$AE$1,tabela_registros[DIA],agototal3059718395107119[[#Headers],[3]],tabela_registros[REGISTRO],DADOS!$N$4,tabela_registros[TIPO],DADOS!$P$4,tabela_registros[CATEGORIA],despesavariávelconsolidadoago[[#This Row],[DESPESA VARIÁVEL]])</f>
        <v>0</v>
      </c>
      <c r="H72" s="91">
        <f>SUMIFS(tabela_registros[VALOR],tabela_registros[MÊS],$AE$1,tabela_registros[DIA],agototal3059718395107119[[#Headers],[4]],tabela_registros[REGISTRO],DADOS!$N$4,tabela_registros[TIPO],DADOS!$P$4,tabela_registros[CATEGORIA],despesavariávelconsolidadoago[[#This Row],[DESPESA VARIÁVEL]])</f>
        <v>0</v>
      </c>
      <c r="I72" s="91">
        <f>SUMIFS(tabela_registros[VALOR],tabela_registros[MÊS],$AE$1,tabela_registros[DIA],agototal3059718395107119[[#Headers],[5]],tabela_registros[REGISTRO],DADOS!$N$4,tabela_registros[TIPO],DADOS!$P$4,tabela_registros[CATEGORIA],despesavariávelconsolidadoago[[#This Row],[DESPESA VARIÁVEL]])</f>
        <v>0</v>
      </c>
      <c r="J72" s="91">
        <f>SUMIFS(tabela_registros[VALOR],tabela_registros[MÊS],$AE$1,tabela_registros[DIA],agototal3059718395107119[[#Headers],[6]],tabela_registros[REGISTRO],DADOS!$N$4,tabela_registros[TIPO],DADOS!$P$4,tabela_registros[CATEGORIA],despesavariávelconsolidadoago[[#This Row],[DESPESA VARIÁVEL]])</f>
        <v>0</v>
      </c>
      <c r="K72" s="91">
        <f>SUMIFS(tabela_registros[VALOR],tabela_registros[MÊS],$AE$1,tabela_registros[DIA],agototal3059718395107119[[#Headers],[7]],tabela_registros[REGISTRO],DADOS!$N$4,tabela_registros[TIPO],DADOS!$P$4,tabela_registros[CATEGORIA],despesavariávelconsolidadoago[[#This Row],[DESPESA VARIÁVEL]])</f>
        <v>0</v>
      </c>
      <c r="L72" s="91">
        <f>SUMIFS(tabela_registros[VALOR],tabela_registros[MÊS],$AE$1,tabela_registros[DIA],agototal3059718395107119[[#Headers],[8]],tabela_registros[REGISTRO],DADOS!$N$4,tabela_registros[TIPO],DADOS!$P$4,tabela_registros[CATEGORIA],despesavariávelconsolidadoago[[#This Row],[DESPESA VARIÁVEL]])</f>
        <v>0</v>
      </c>
      <c r="M72" s="91">
        <f>SUMIFS(tabela_registros[VALOR],tabela_registros[MÊS],$AE$1,tabela_registros[DIA],agototal3059718395107119[[#Headers],[9]],tabela_registros[REGISTRO],DADOS!$N$4,tabela_registros[TIPO],DADOS!$P$4,tabela_registros[CATEGORIA],despesavariávelconsolidadoago[[#This Row],[DESPESA VARIÁVEL]])</f>
        <v>0</v>
      </c>
      <c r="N72" s="91">
        <f>SUMIFS(tabela_registros[VALOR],tabela_registros[MÊS],$AE$1,tabela_registros[DIA],agototal3059718395107119[[#Headers],[10]],tabela_registros[REGISTRO],DADOS!$N$4,tabela_registros[TIPO],DADOS!$P$4,tabela_registros[CATEGORIA],despesavariávelconsolidadoago[[#This Row],[DESPESA VARIÁVEL]])</f>
        <v>0</v>
      </c>
      <c r="O72" s="91">
        <f>SUMIFS(tabela_registros[VALOR],tabela_registros[MÊS],$AE$1,tabela_registros[DIA],agototal3059718395107119[[#Headers],[11]],tabela_registros[REGISTRO],DADOS!$N$4,tabela_registros[TIPO],DADOS!$P$4,tabela_registros[CATEGORIA],despesavariávelconsolidadoago[[#This Row],[DESPESA VARIÁVEL]])</f>
        <v>0</v>
      </c>
      <c r="P72" s="91">
        <f>SUMIFS(tabela_registros[VALOR],tabela_registros[MÊS],$AE$1,tabela_registros[DIA],agototal3059718395107119[[#Headers],[12]],tabela_registros[REGISTRO],DADOS!$N$4,tabela_registros[TIPO],DADOS!$P$4,tabela_registros[CATEGORIA],despesavariávelconsolidadoago[[#This Row],[DESPESA VARIÁVEL]])</f>
        <v>0</v>
      </c>
      <c r="Q72" s="91">
        <f>SUMIFS(tabela_registros[VALOR],tabela_registros[MÊS],$AE$1,tabela_registros[DIA],agototal3059718395107119[[#Headers],[13]],tabela_registros[REGISTRO],DADOS!$N$4,tabela_registros[TIPO],DADOS!$P$4,tabela_registros[CATEGORIA],despesavariávelconsolidadoago[[#This Row],[DESPESA VARIÁVEL]])</f>
        <v>0</v>
      </c>
      <c r="R72" s="91">
        <f>SUMIFS(tabela_registros[VALOR],tabela_registros[MÊS],$AE$1,tabela_registros[DIA],agototal3059718395107119[[#Headers],[14]],tabela_registros[REGISTRO],DADOS!$N$4,tabela_registros[TIPO],DADOS!$P$4,tabela_registros[CATEGORIA],despesavariávelconsolidadoago[[#This Row],[DESPESA VARIÁVEL]])</f>
        <v>0</v>
      </c>
      <c r="S72" s="91">
        <f>SUMIFS(tabela_registros[VALOR],tabela_registros[MÊS],$AE$1,tabela_registros[DIA],agototal3059718395107119[[#Headers],[15]],tabela_registros[REGISTRO],DADOS!$N$4,tabela_registros[TIPO],DADOS!$P$4,tabela_registros[CATEGORIA],despesavariávelconsolidadoago[[#This Row],[DESPESA VARIÁVEL]])</f>
        <v>0</v>
      </c>
      <c r="T72" s="91">
        <f>SUMIFS(tabela_registros[VALOR],tabela_registros[MÊS],$AE$1,tabela_registros[DIA],agototal3059718395107119[[#Headers],[16]],tabela_registros[REGISTRO],DADOS!$N$4,tabela_registros[TIPO],DADOS!$P$4,tabela_registros[CATEGORIA],despesavariávelconsolidadoago[[#This Row],[DESPESA VARIÁVEL]])</f>
        <v>0</v>
      </c>
      <c r="U72" s="91">
        <f>SUMIFS(tabela_registros[VALOR],tabela_registros[MÊS],$AE$1,tabela_registros[DIA],agototal3059718395107119[[#Headers],[17]],tabela_registros[REGISTRO],DADOS!$N$4,tabela_registros[TIPO],DADOS!$P$4,tabela_registros[CATEGORIA],despesavariávelconsolidadoago[[#This Row],[DESPESA VARIÁVEL]])</f>
        <v>0</v>
      </c>
      <c r="V72" s="91">
        <f>SUMIFS(tabela_registros[VALOR],tabela_registros[MÊS],$AE$1,tabela_registros[DIA],agototal3059718395107119[[#Headers],[18]],tabela_registros[REGISTRO],DADOS!$N$4,tabela_registros[TIPO],DADOS!$P$4,tabela_registros[CATEGORIA],despesavariávelconsolidadoago[[#This Row],[DESPESA VARIÁVEL]])</f>
        <v>0</v>
      </c>
      <c r="W72" s="91">
        <f>SUMIFS(tabela_registros[VALOR],tabela_registros[MÊS],$AE$1,tabela_registros[DIA],agototal3059718395107119[[#Headers],[19]],tabela_registros[REGISTRO],DADOS!$N$4,tabela_registros[TIPO],DADOS!$P$4,tabela_registros[CATEGORIA],despesavariávelconsolidadoago[[#This Row],[DESPESA VARIÁVEL]])</f>
        <v>0</v>
      </c>
      <c r="X72" s="91">
        <f>SUMIFS(tabela_registros[VALOR],tabela_registros[MÊS],$AE$1,tabela_registros[DIA],agototal3059718395107119[[#Headers],[20]],tabela_registros[REGISTRO],DADOS!$N$4,tabela_registros[TIPO],DADOS!$P$4,tabela_registros[CATEGORIA],despesavariávelconsolidadoago[[#This Row],[DESPESA VARIÁVEL]])</f>
        <v>0</v>
      </c>
      <c r="Y72" s="91">
        <f>SUMIFS(tabela_registros[VALOR],tabela_registros[MÊS],$AE$1,tabela_registros[DIA],agototal3059718395107119[[#Headers],[21]],tabela_registros[REGISTRO],DADOS!$N$4,tabela_registros[TIPO],DADOS!$P$4,tabela_registros[CATEGORIA],despesavariávelconsolidadoago[[#This Row],[DESPESA VARIÁVEL]])</f>
        <v>0</v>
      </c>
      <c r="Z72" s="91">
        <f>SUMIFS(tabela_registros[VALOR],tabela_registros[MÊS],$AE$1,tabela_registros[DIA],agototal3059718395107119[[#Headers],[22]],tabela_registros[REGISTRO],DADOS!$N$4,tabela_registros[TIPO],DADOS!$P$4,tabela_registros[CATEGORIA],despesavariávelconsolidadoago[[#This Row],[DESPESA VARIÁVEL]])</f>
        <v>0</v>
      </c>
      <c r="AA72" s="91">
        <f>SUMIFS(tabela_registros[VALOR],tabela_registros[MÊS],$AE$1,tabela_registros[DIA],agototal3059718395107119[[#Headers],[23]],tabela_registros[REGISTRO],DADOS!$N$4,tabela_registros[TIPO],DADOS!$P$4,tabela_registros[CATEGORIA],despesavariávelconsolidadoago[[#This Row],[DESPESA VARIÁVEL]])</f>
        <v>0</v>
      </c>
      <c r="AB72" s="91">
        <f>SUMIFS(tabela_registros[VALOR],tabela_registros[MÊS],$AE$1,tabela_registros[DIA],agototal3059718395107119[[#Headers],[24]],tabela_registros[REGISTRO],DADOS!$N$4,tabela_registros[TIPO],DADOS!$P$4,tabela_registros[CATEGORIA],despesavariávelconsolidadoago[[#This Row],[DESPESA VARIÁVEL]])</f>
        <v>0</v>
      </c>
      <c r="AC72" s="91">
        <f>SUMIFS(tabela_registros[VALOR],tabela_registros[MÊS],$AE$1,tabela_registros[DIA],agototal3059718395107119[[#Headers],[25]],tabela_registros[REGISTRO],DADOS!$N$4,tabela_registros[TIPO],DADOS!$P$4,tabela_registros[CATEGORIA],despesavariávelconsolidadoago[[#This Row],[DESPESA VARIÁVEL]])</f>
        <v>0</v>
      </c>
      <c r="AD72" s="91">
        <f>SUMIFS(tabela_registros[VALOR],tabela_registros[MÊS],$AE$1,tabela_registros[DIA],agototal3059718395107119[[#Headers],[26]],tabela_registros[REGISTRO],DADOS!$N$4,tabela_registros[TIPO],DADOS!$P$4,tabela_registros[CATEGORIA],despesavariávelconsolidadoago[[#This Row],[DESPESA VARIÁVEL]])</f>
        <v>0</v>
      </c>
      <c r="AE72" s="91">
        <f>SUMIFS(tabela_registros[VALOR],tabela_registros[MÊS],$AE$1,tabela_registros[DIA],agototal3059718395107119[[#Headers],[27]],tabela_registros[REGISTRO],DADOS!$N$4,tabela_registros[TIPO],DADOS!$P$4,tabela_registros[CATEGORIA],despesavariávelconsolidadoago[[#This Row],[DESPESA VARIÁVEL]])</f>
        <v>0</v>
      </c>
      <c r="AF72" s="91">
        <f>SUMIFS(tabela_registros[VALOR],tabela_registros[MÊS],$AE$1,tabela_registros[DIA],agototal3059718395107119[[#Headers],[28]],tabela_registros[REGISTRO],DADOS!$N$4,tabela_registros[TIPO],DADOS!$P$4,tabela_registros[CATEGORIA],despesavariávelconsolidadoago[[#This Row],[DESPESA VARIÁVEL]])</f>
        <v>0</v>
      </c>
      <c r="AG72" s="91">
        <f>SUMIFS(tabela_registros[VALOR],tabela_registros[MÊS],$AE$1,tabela_registros[DIA],agototal3059718395107119[[#Headers],[29]],tabela_registros[REGISTRO],DADOS!$N$4,tabela_registros[TIPO],DADOS!$P$4,tabela_registros[CATEGORIA],despesavariávelconsolidadoago[[#This Row],[DESPESA VARIÁVEL]])</f>
        <v>0</v>
      </c>
      <c r="AH72" s="91">
        <f>SUMIFS(tabela_registros[VALOR],tabela_registros[MÊS],$AE$1,tabela_registros[DIA],agototal3059718395107119[[#Headers],[30]],tabela_registros[REGISTRO],DADOS!$N$4,tabela_registros[TIPO],DADOS!$P$4,tabela_registros[CATEGORIA],despesavariávelconsolidadoago[[#This Row],[DESPESA VARIÁVEL]])</f>
        <v>0</v>
      </c>
      <c r="AI72" s="102">
        <f>SUMIFS(tabela_registros[VALOR],tabela_registros[MÊS],$AE$1,tabela_registros[DIA],agototal3059718395107119[[#Headers],[31]],tabela_registros[REGISTRO],DADOS!$N$4,tabela_registros[TIPO],DADOS!$P$4,tabela_registros[CATEGORIA],despesavariávelconsolidadoago[[#This Row],[DESPESA VARIÁVEL]])</f>
        <v>0</v>
      </c>
      <c r="AJ72" s="97">
        <f>SUM(despesavariávelconsolidadoago[[#This Row],[1]:[31]])</f>
        <v>0</v>
      </c>
      <c r="AK72" s="28"/>
    </row>
    <row r="73" spans="2:37" s="16" customFormat="1" ht="21" customHeight="1" thickTop="1" thickBot="1" x14ac:dyDescent="0.35">
      <c r="B73" s="24"/>
      <c r="C73" s="23" t="s">
        <v>19</v>
      </c>
      <c r="D73" s="41" t="str">
        <f>IF(despesavariávelconsolidadoago[[#This Row],[TOTAL]]=0,"",IF(OR(despesavariávelconsolidadoago[[#This Row],[TOTAL]]=SMALL(despesavariávelconsolidadoago[TOTAL],1),despesavariávelconsolidadoago[[#This Row],[TOTAL]]=SMALL(despesavariávelconsolidadoago[TOTAL],2),despesavariávelconsolidadoago[[#This Row],[TOTAL]]=SMALL(despesavariávelconsolidadoago[TOTAL],3),despesavariávelconsolidadoago[[#This Row],[TOTAL]]=SMALL(despesavariávelconsolidadoago[TOTAL],4),despesavariávelconsolidadoago[[#This Row],[TOTAL]]=SMALL(despesavariávelconsolidadoago[TOTAL],5)),DADOS!$I$8,""))</f>
        <v/>
      </c>
      <c r="E73" s="21">
        <f>SUM(E60:E72)</f>
        <v>0</v>
      </c>
      <c r="F73" s="20">
        <f>SUM(F60:F72)+despesavariávelconsolidadoago[[#This Row],[1]]</f>
        <v>0</v>
      </c>
      <c r="G73" s="20">
        <f>SUM(G60:G72)+despesavariávelconsolidadoago[[#This Row],[2]]</f>
        <v>0</v>
      </c>
      <c r="H73" s="20">
        <f>SUM(H60:H72)+despesavariávelconsolidadoago[[#This Row],[3]]</f>
        <v>0</v>
      </c>
      <c r="I73" s="20">
        <f>SUM(I60:I72)+despesavariávelconsolidadoago[[#This Row],[4]]</f>
        <v>0</v>
      </c>
      <c r="J73" s="20">
        <f>SUM(J60:J72)+despesavariávelconsolidadoago[[#This Row],[5]]</f>
        <v>0</v>
      </c>
      <c r="K73" s="20">
        <f>SUM(K60:K72)+despesavariávelconsolidadoago[[#This Row],[6]]</f>
        <v>0</v>
      </c>
      <c r="L73" s="20">
        <f>SUM(L60:L72)+despesavariávelconsolidadoago[[#This Row],[7]]</f>
        <v>0</v>
      </c>
      <c r="M73" s="20">
        <f>SUM(M60:M72)+despesavariávelconsolidadoago[[#This Row],[8]]</f>
        <v>0</v>
      </c>
      <c r="N73" s="20">
        <f>SUM(N60:N72)+despesavariávelconsolidadoago[[#This Row],[9]]</f>
        <v>0</v>
      </c>
      <c r="O73" s="20">
        <f>SUM(O60:O72)+despesavariávelconsolidadoago[[#This Row],[10]]</f>
        <v>0</v>
      </c>
      <c r="P73" s="20">
        <f>SUM(P60:P72)+despesavariávelconsolidadoago[[#This Row],[11]]</f>
        <v>0</v>
      </c>
      <c r="Q73" s="20">
        <f>SUM(Q60:Q72)+despesavariávelconsolidadoago[[#This Row],[12]]</f>
        <v>0</v>
      </c>
      <c r="R73" s="20">
        <f>SUM(R60:R72)+despesavariávelconsolidadoago[[#This Row],[13]]</f>
        <v>0</v>
      </c>
      <c r="S73" s="20">
        <f>SUM(S60:S72)+despesavariávelconsolidadoago[[#This Row],[14]]</f>
        <v>0</v>
      </c>
      <c r="T73" s="20">
        <f>SUM(T60:T72)+despesavariávelconsolidadoago[[#This Row],[15]]</f>
        <v>0</v>
      </c>
      <c r="U73" s="20">
        <f>SUM(U60:U72)+despesavariávelconsolidadoago[[#This Row],[16]]</f>
        <v>0</v>
      </c>
      <c r="V73" s="20">
        <f>SUM(V60:V72)+despesavariávelconsolidadoago[[#This Row],[17]]</f>
        <v>0</v>
      </c>
      <c r="W73" s="20">
        <f>SUM(W60:W72)+despesavariávelconsolidadoago[[#This Row],[18]]</f>
        <v>0</v>
      </c>
      <c r="X73" s="20">
        <f>SUM(X60:X72)+despesavariávelconsolidadoago[[#This Row],[19]]</f>
        <v>0</v>
      </c>
      <c r="Y73" s="20">
        <f>SUM(Y60:Y72)+despesavariávelconsolidadoago[[#This Row],[20]]</f>
        <v>0</v>
      </c>
      <c r="Z73" s="20">
        <f>SUM(Z60:Z72)+despesavariávelconsolidadoago[[#This Row],[21]]</f>
        <v>0</v>
      </c>
      <c r="AA73" s="20">
        <f>SUM(AA60:AA72)+despesavariávelconsolidadoago[[#This Row],[22]]</f>
        <v>0</v>
      </c>
      <c r="AB73" s="20">
        <f>SUM(AB60:AB72)+despesavariávelconsolidadoago[[#This Row],[23]]</f>
        <v>0</v>
      </c>
      <c r="AC73" s="20">
        <f>SUM(AC60:AC72)+despesavariávelconsolidadoago[[#This Row],[24]]</f>
        <v>0</v>
      </c>
      <c r="AD73" s="20">
        <f>SUM(AD60:AD72)+despesavariávelconsolidadoago[[#This Row],[25]]</f>
        <v>0</v>
      </c>
      <c r="AE73" s="20">
        <f>SUM(AE60:AE72)+despesavariávelconsolidadoago[[#This Row],[26]]</f>
        <v>0</v>
      </c>
      <c r="AF73" s="20">
        <f>SUM(AF60:AF72)+despesavariávelconsolidadoago[[#This Row],[27]]</f>
        <v>0</v>
      </c>
      <c r="AG73" s="20">
        <f>SUM(AG60:AG72)+despesavariávelconsolidadoago[[#This Row],[28]]</f>
        <v>0</v>
      </c>
      <c r="AH73" s="20">
        <f>SUM(AH60:AH72)+despesavariávelconsolidadoago[[#This Row],[29]]</f>
        <v>0</v>
      </c>
      <c r="AI73" s="19">
        <f>SUM(AI60:AI72)+despesavariávelconsolidadoago[[#This Row],[30]]</f>
        <v>0</v>
      </c>
      <c r="AJ73" s="18">
        <f>despesavariávelconsolidadoago[[#This Row],[31]]</f>
        <v>0</v>
      </c>
      <c r="AK73" s="17"/>
    </row>
    <row r="74" spans="2:37" ht="6.75" customHeight="1" thickTop="1" thickBot="1" x14ac:dyDescent="0.3">
      <c r="B74" s="15"/>
      <c r="C74" s="40"/>
      <c r="D74" s="39"/>
      <c r="E74" s="39"/>
      <c r="F74" s="39"/>
      <c r="G74" s="39"/>
      <c r="H74" s="39"/>
      <c r="I74" s="39"/>
      <c r="J74" s="39"/>
      <c r="K74" s="39"/>
      <c r="L74" s="39"/>
      <c r="M74" s="39"/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  <c r="AG74" s="39"/>
      <c r="AH74" s="39"/>
      <c r="AI74" s="38"/>
      <c r="AJ74" s="15"/>
      <c r="AK74" s="10"/>
    </row>
    <row r="75" spans="2:37" ht="12.6" thickTop="1" x14ac:dyDescent="0.25">
      <c r="E75" s="37"/>
      <c r="AI75" s="4"/>
    </row>
    <row r="76" spans="2:37" x14ac:dyDescent="0.25">
      <c r="AI76" s="4"/>
    </row>
    <row r="77" spans="2:37" x14ac:dyDescent="0.25">
      <c r="AI77" s="4"/>
    </row>
    <row r="78" spans="2:37" ht="39.75" customHeight="1" x14ac:dyDescent="0.7">
      <c r="C78" s="36"/>
      <c r="E78" s="240"/>
      <c r="F78" s="240"/>
      <c r="G78" s="240"/>
      <c r="H78" s="240"/>
      <c r="I78" s="240"/>
      <c r="J78" s="240"/>
      <c r="K78" s="240"/>
      <c r="L78" s="240"/>
      <c r="M78" s="240"/>
      <c r="N78" s="240"/>
      <c r="O78" s="240"/>
      <c r="P78" s="240"/>
      <c r="Q78" s="240"/>
      <c r="R78" s="240"/>
      <c r="S78" s="240"/>
      <c r="T78" s="240"/>
      <c r="U78" s="240"/>
      <c r="V78" s="240"/>
      <c r="W78" s="240"/>
      <c r="X78" s="240"/>
      <c r="Y78" s="240"/>
      <c r="Z78" s="240"/>
      <c r="AA78" s="240"/>
      <c r="AB78" s="240"/>
      <c r="AC78" s="240"/>
      <c r="AD78" s="240"/>
      <c r="AE78" s="240"/>
      <c r="AF78" s="240"/>
      <c r="AG78" s="240"/>
      <c r="AH78" s="240"/>
      <c r="AI78" s="240"/>
      <c r="AJ78" s="32" t="s">
        <v>19</v>
      </c>
    </row>
    <row r="79" spans="2:37" ht="12.6" thickBot="1" x14ac:dyDescent="0.3">
      <c r="B79" s="35"/>
      <c r="AI79" s="4"/>
      <c r="AJ79" s="34" t="s">
        <v>202</v>
      </c>
    </row>
    <row r="80" spans="2:37" ht="6.75" customHeight="1" thickTop="1" thickBot="1" x14ac:dyDescent="0.3">
      <c r="B80" s="2"/>
      <c r="C80" s="14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I80" s="13"/>
      <c r="AJ80" s="12"/>
      <c r="AK80" s="33"/>
    </row>
    <row r="81" spans="2:37" ht="13.2" hidden="1" thickTop="1" thickBot="1" x14ac:dyDescent="0.3">
      <c r="B81" s="2"/>
      <c r="C81" s="31" t="s">
        <v>199</v>
      </c>
      <c r="D81" s="30" t="s">
        <v>198</v>
      </c>
      <c r="E81" s="30" t="s">
        <v>197</v>
      </c>
      <c r="F81" s="30" t="s">
        <v>196</v>
      </c>
      <c r="G81" s="30" t="s">
        <v>195</v>
      </c>
      <c r="H81" s="30" t="s">
        <v>194</v>
      </c>
      <c r="I81" s="30" t="s">
        <v>193</v>
      </c>
      <c r="J81" s="30" t="s">
        <v>192</v>
      </c>
      <c r="K81" s="30" t="s">
        <v>191</v>
      </c>
      <c r="L81" s="30" t="s">
        <v>190</v>
      </c>
      <c r="M81" s="30" t="s">
        <v>189</v>
      </c>
      <c r="N81" s="30" t="s">
        <v>188</v>
      </c>
      <c r="O81" s="30" t="s">
        <v>187</v>
      </c>
      <c r="P81" s="30" t="s">
        <v>186</v>
      </c>
      <c r="Q81" s="30" t="s">
        <v>185</v>
      </c>
      <c r="R81" s="30" t="s">
        <v>184</v>
      </c>
      <c r="S81" s="30" t="s">
        <v>183</v>
      </c>
      <c r="T81" s="30" t="s">
        <v>182</v>
      </c>
      <c r="U81" s="30" t="s">
        <v>181</v>
      </c>
      <c r="V81" s="30" t="s">
        <v>180</v>
      </c>
      <c r="W81" s="30" t="s">
        <v>179</v>
      </c>
      <c r="X81" s="30" t="s">
        <v>178</v>
      </c>
      <c r="Y81" s="30" t="s">
        <v>177</v>
      </c>
      <c r="Z81" s="30" t="s">
        <v>176</v>
      </c>
      <c r="AA81" s="30" t="s">
        <v>175</v>
      </c>
      <c r="AB81" s="30" t="s">
        <v>174</v>
      </c>
      <c r="AC81" s="30" t="s">
        <v>173</v>
      </c>
      <c r="AD81" s="30" t="s">
        <v>172</v>
      </c>
      <c r="AE81" s="30" t="s">
        <v>171</v>
      </c>
      <c r="AF81" s="30" t="s">
        <v>170</v>
      </c>
      <c r="AG81" s="30" t="s">
        <v>169</v>
      </c>
      <c r="AH81" s="30" t="s">
        <v>168</v>
      </c>
      <c r="AI81" s="30" t="s">
        <v>167</v>
      </c>
      <c r="AJ81" s="29" t="s">
        <v>166</v>
      </c>
      <c r="AK81" s="2"/>
    </row>
    <row r="82" spans="2:37" ht="19.5" customHeight="1" thickTop="1" thickBot="1" x14ac:dyDescent="0.3">
      <c r="B82" s="28"/>
      <c r="C82" s="27" t="str">
        <f>DADOS!$X$3</f>
        <v>💵 ALUGUEL</v>
      </c>
      <c r="D82" s="26" t="str">
        <f>IF(receitasfixasconsolidadoago[[#This Row],[TOTAL (R$)]]=0,"",IF(OR(receitasfixasconsolidadoago[[#This Row],[TOTAL (R$)]]=LARGE($AJ$82:$AJ$86,1),receitasfixasconsolidadoago[[#This Row],[TOTAL (R$)]]=LARGE($AJ$82:$AJ$86,2)),DADOS!$I$9,""))</f>
        <v/>
      </c>
      <c r="E82" s="94">
        <f>SUMIFS(tabela_registros[VALOR],tabela_registros[MÊS],$AE$1,tabela_registros[DIA],receitasfixasconsolidadoago[[#Headers],[1]],tabela_registros[REGISTRO],DADOS!$N$3,tabela_registros[TIPO],DADOS!$V$3,tabela_registros[CATEGORIA],receitasfixasconsolidadoago[[#This Row],[ATUAL]])</f>
        <v>0</v>
      </c>
      <c r="F82" s="88">
        <f>SUMIFS(tabela_registros[VALOR],tabela_registros[MÊS],$AE$1,tabela_registros[DIA],receitasfixasconsolidadoago[[#Headers],[2]],tabela_registros[REGISTRO],DADOS!$N$3,tabela_registros[TIPO],DADOS!$V$3,tabela_registros[CATEGORIA],receitasfixasconsolidadoago[[#This Row],[ATUAL]])</f>
        <v>0</v>
      </c>
      <c r="G82" s="88">
        <f>SUMIFS(tabela_registros[VALOR],tabela_registros[MÊS],$AE$1,tabela_registros[DIA],receitasfixasconsolidadoago[[#Headers],[3]],tabela_registros[REGISTRO],DADOS!$N$3,tabela_registros[TIPO],DADOS!$V$3,tabela_registros[CATEGORIA],receitasfixasconsolidadoago[[#This Row],[ATUAL]])</f>
        <v>0</v>
      </c>
      <c r="H82" s="88">
        <f>SUMIFS(tabela_registros[VALOR],tabela_registros[MÊS],$AE$1,tabela_registros[DIA],receitasfixasconsolidadoago[[#Headers],[4]],tabela_registros[REGISTRO],DADOS!$N$3,tabela_registros[TIPO],DADOS!$V$3,tabela_registros[CATEGORIA],receitasfixasconsolidadoago[[#This Row],[ATUAL]])</f>
        <v>0</v>
      </c>
      <c r="I82" s="88">
        <f>SUMIFS(tabela_registros[VALOR],tabela_registros[MÊS],$AE$1,tabela_registros[DIA],receitasfixasconsolidadoago[[#Headers],[5]],tabela_registros[REGISTRO],DADOS!$N$3,tabela_registros[TIPO],DADOS!$V$3,tabela_registros[CATEGORIA],receitasfixasconsolidadoago[[#This Row],[ATUAL]])</f>
        <v>0</v>
      </c>
      <c r="J82" s="88">
        <f>SUMIFS(tabela_registros[VALOR],tabela_registros[MÊS],$AE$1,tabela_registros[DIA],receitasfixasconsolidadoago[[#Headers],[6]],tabela_registros[REGISTRO],DADOS!$N$3,tabela_registros[TIPO],DADOS!$V$3,tabela_registros[CATEGORIA],receitasfixasconsolidadoago[[#This Row],[ATUAL]])</f>
        <v>0</v>
      </c>
      <c r="K82" s="88">
        <f>SUMIFS(tabela_registros[VALOR],tabela_registros[MÊS],$AE$1,tabela_registros[DIA],receitasfixasconsolidadoago[[#Headers],[7]],tabela_registros[REGISTRO],DADOS!$N$3,tabela_registros[TIPO],DADOS!$V$3,tabela_registros[CATEGORIA],receitasfixasconsolidadoago[[#This Row],[ATUAL]])</f>
        <v>0</v>
      </c>
      <c r="L82" s="88">
        <f>SUMIFS(tabela_registros[VALOR],tabela_registros[MÊS],$AE$1,tabela_registros[DIA],receitasfixasconsolidadoago[[#Headers],[8]],tabela_registros[REGISTRO],DADOS!$N$3,tabela_registros[TIPO],DADOS!$V$3,tabela_registros[CATEGORIA],receitasfixasconsolidadoago[[#This Row],[ATUAL]])</f>
        <v>0</v>
      </c>
      <c r="M82" s="88">
        <f>SUMIFS(tabela_registros[VALOR],tabela_registros[MÊS],$AE$1,tabela_registros[DIA],receitasfixasconsolidadoago[[#Headers],[9]],tabela_registros[REGISTRO],DADOS!$N$3,tabela_registros[TIPO],DADOS!$V$3,tabela_registros[CATEGORIA],receitasfixasconsolidadoago[[#This Row],[ATUAL]])</f>
        <v>0</v>
      </c>
      <c r="N82" s="88">
        <f>SUMIFS(tabela_registros[VALOR],tabela_registros[MÊS],$AE$1,tabela_registros[DIA],receitasfixasconsolidadoago[[#Headers],[10]],tabela_registros[REGISTRO],DADOS!$N$3,tabela_registros[TIPO],DADOS!$V$3,tabela_registros[CATEGORIA],receitasfixasconsolidadoago[[#This Row],[ATUAL]])</f>
        <v>0</v>
      </c>
      <c r="O82" s="88">
        <f>SUMIFS(tabela_registros[VALOR],tabela_registros[MÊS],$AE$1,tabela_registros[DIA],receitasfixasconsolidadoago[[#Headers],[11]],tabela_registros[REGISTRO],DADOS!$N$3,tabela_registros[TIPO],DADOS!$V$3,tabela_registros[CATEGORIA],receitasfixasconsolidadoago[[#This Row],[ATUAL]])</f>
        <v>0</v>
      </c>
      <c r="P82" s="88">
        <f>SUMIFS(tabela_registros[VALOR],tabela_registros[MÊS],$AE$1,tabela_registros[DIA],receitasfixasconsolidadoago[[#Headers],[12]],tabela_registros[REGISTRO],DADOS!$N$3,tabela_registros[TIPO],DADOS!$V$3,tabela_registros[CATEGORIA],receitasfixasconsolidadoago[[#This Row],[ATUAL]])</f>
        <v>0</v>
      </c>
      <c r="Q82" s="88">
        <f>SUMIFS(tabela_registros[VALOR],tabela_registros[MÊS],$AE$1,tabela_registros[DIA],receitasfixasconsolidadoago[[#Headers],[13]],tabela_registros[REGISTRO],DADOS!$N$3,tabela_registros[TIPO],DADOS!$V$3,tabela_registros[CATEGORIA],receitasfixasconsolidadoago[[#This Row],[ATUAL]])</f>
        <v>0</v>
      </c>
      <c r="R82" s="88">
        <f>SUMIFS(tabela_registros[VALOR],tabela_registros[MÊS],$AE$1,tabela_registros[DIA],receitasfixasconsolidadoago[[#Headers],[14]],tabela_registros[REGISTRO],DADOS!$N$3,tabela_registros[TIPO],DADOS!$V$3,tabela_registros[CATEGORIA],receitasfixasconsolidadoago[[#This Row],[ATUAL]])</f>
        <v>0</v>
      </c>
      <c r="S82" s="88">
        <f>SUMIFS(tabela_registros[VALOR],tabela_registros[MÊS],$AE$1,tabela_registros[DIA],receitasfixasconsolidadoago[[#Headers],[15]],tabela_registros[REGISTRO],DADOS!$N$3,tabela_registros[TIPO],DADOS!$V$3,tabela_registros[CATEGORIA],receitasfixasconsolidadoago[[#This Row],[ATUAL]])</f>
        <v>0</v>
      </c>
      <c r="T82" s="88">
        <f>SUMIFS(tabela_registros[VALOR],tabela_registros[MÊS],$AE$1,tabela_registros[DIA],receitasfixasconsolidadoago[[#Headers],[16]],tabela_registros[REGISTRO],DADOS!$N$3,tabela_registros[TIPO],DADOS!$V$3,tabela_registros[CATEGORIA],receitasfixasconsolidadoago[[#This Row],[ATUAL]])</f>
        <v>0</v>
      </c>
      <c r="U82" s="88">
        <f>SUMIFS(tabela_registros[VALOR],tabela_registros[MÊS],$AE$1,tabela_registros[DIA],receitasfixasconsolidadoago[[#Headers],[17]],tabela_registros[REGISTRO],DADOS!$N$3,tabela_registros[TIPO],DADOS!$V$3,tabela_registros[CATEGORIA],receitasfixasconsolidadoago[[#This Row],[ATUAL]])</f>
        <v>0</v>
      </c>
      <c r="V82" s="88">
        <f>SUMIFS(tabela_registros[VALOR],tabela_registros[MÊS],$AE$1,tabela_registros[DIA],receitasfixasconsolidadoago[[#Headers],[18]],tabela_registros[REGISTRO],DADOS!$N$3,tabela_registros[TIPO],DADOS!$V$3,tabela_registros[CATEGORIA],receitasfixasconsolidadoago[[#This Row],[ATUAL]])</f>
        <v>0</v>
      </c>
      <c r="W82" s="88">
        <f>SUMIFS(tabela_registros[VALOR],tabela_registros[MÊS],$AE$1,tabela_registros[DIA],receitasfixasconsolidadoago[[#Headers],[19]],tabela_registros[REGISTRO],DADOS!$N$3,tabela_registros[TIPO],DADOS!$V$3,tabela_registros[CATEGORIA],receitasfixasconsolidadoago[[#This Row],[ATUAL]])</f>
        <v>0</v>
      </c>
      <c r="X82" s="88">
        <f>SUMIFS(tabela_registros[VALOR],tabela_registros[MÊS],$AE$1,tabela_registros[DIA],receitasfixasconsolidadoago[[#Headers],[20]],tabela_registros[REGISTRO],DADOS!$N$3,tabela_registros[TIPO],DADOS!$V$3,tabela_registros[CATEGORIA],receitasfixasconsolidadoago[[#This Row],[ATUAL]])</f>
        <v>0</v>
      </c>
      <c r="Y82" s="88">
        <f>SUMIFS(tabela_registros[VALOR],tabela_registros[MÊS],$AE$1,tabela_registros[DIA],receitasfixasconsolidadoago[[#Headers],[21]],tabela_registros[REGISTRO],DADOS!$N$3,tabela_registros[TIPO],DADOS!$V$3,tabela_registros[CATEGORIA],receitasfixasconsolidadoago[[#This Row],[ATUAL]])</f>
        <v>0</v>
      </c>
      <c r="Z82" s="88">
        <f>SUMIFS(tabela_registros[VALOR],tabela_registros[MÊS],$AE$1,tabela_registros[DIA],receitasfixasconsolidadoago[[#Headers],[22]],tabela_registros[REGISTRO],DADOS!$N$3,tabela_registros[TIPO],DADOS!$V$3,tabela_registros[CATEGORIA],receitasfixasconsolidadoago[[#This Row],[ATUAL]])</f>
        <v>0</v>
      </c>
      <c r="AA82" s="88">
        <f>SUMIFS(tabela_registros[VALOR],tabela_registros[MÊS],$AE$1,tabela_registros[DIA],receitasfixasconsolidadoago[[#Headers],[23]],tabela_registros[REGISTRO],DADOS!$N$3,tabela_registros[TIPO],DADOS!$V$3,tabela_registros[CATEGORIA],receitasfixasconsolidadoago[[#This Row],[ATUAL]])</f>
        <v>0</v>
      </c>
      <c r="AB82" s="88">
        <f>SUMIFS(tabela_registros[VALOR],tabela_registros[MÊS],$AE$1,tabela_registros[DIA],receitasfixasconsolidadoago[[#Headers],[24]],tabela_registros[REGISTRO],DADOS!$N$3,tabela_registros[TIPO],DADOS!$V$3,tabela_registros[CATEGORIA],receitasfixasconsolidadoago[[#This Row],[ATUAL]])</f>
        <v>0</v>
      </c>
      <c r="AC82" s="88">
        <f>SUMIFS(tabela_registros[VALOR],tabela_registros[MÊS],$AE$1,tabela_registros[DIA],receitasfixasconsolidadoago[[#Headers],[25]],tabela_registros[REGISTRO],DADOS!$N$3,tabela_registros[TIPO],DADOS!$V$3,tabela_registros[CATEGORIA],receitasfixasconsolidadoago[[#This Row],[ATUAL]])</f>
        <v>0</v>
      </c>
      <c r="AD82" s="88">
        <f>SUMIFS(tabela_registros[VALOR],tabela_registros[MÊS],$AE$1,tabela_registros[DIA],receitasfixasconsolidadoago[[#Headers],[26]],tabela_registros[REGISTRO],DADOS!$N$3,tabela_registros[TIPO],DADOS!$V$3,tabela_registros[CATEGORIA],receitasfixasconsolidadoago[[#This Row],[ATUAL]])</f>
        <v>0</v>
      </c>
      <c r="AE82" s="88">
        <f>SUMIFS(tabela_registros[VALOR],tabela_registros[MÊS],$AE$1,tabela_registros[DIA],receitasfixasconsolidadoago[[#Headers],[27]],tabela_registros[REGISTRO],DADOS!$N$3,tabela_registros[TIPO],DADOS!$V$3,tabela_registros[CATEGORIA],receitasfixasconsolidadoago[[#This Row],[ATUAL]])</f>
        <v>0</v>
      </c>
      <c r="AF82" s="88">
        <f>SUMIFS(tabela_registros[VALOR],tabela_registros[MÊS],$AE$1,tabela_registros[DIA],receitasfixasconsolidadoago[[#Headers],[28]],tabela_registros[REGISTRO],DADOS!$N$3,tabela_registros[TIPO],DADOS!$V$3,tabela_registros[CATEGORIA],receitasfixasconsolidadoago[[#This Row],[ATUAL]])</f>
        <v>0</v>
      </c>
      <c r="AG82" s="88">
        <f>SUMIFS(tabela_registros[VALOR],tabela_registros[MÊS],$AE$1,tabela_registros[DIA],receitasfixasconsolidadoago[[#Headers],[29]],tabela_registros[REGISTRO],DADOS!$N$3,tabela_registros[TIPO],DADOS!$V$3,tabela_registros[CATEGORIA],receitasfixasconsolidadoago[[#This Row],[ATUAL]])</f>
        <v>0</v>
      </c>
      <c r="AH82" s="88">
        <f>SUMIFS(tabela_registros[VALOR],tabela_registros[MÊS],$AE$1,tabela_registros[DIA],receitasfixasconsolidadoago[[#Headers],[30]],tabela_registros[REGISTRO],DADOS!$N$3,tabela_registros[TIPO],DADOS!$V$3,tabela_registros[CATEGORIA],receitasfixasconsolidadoago[[#This Row],[ATUAL]])</f>
        <v>0</v>
      </c>
      <c r="AI82" s="100">
        <f>SUMIFS(tabela_registros[VALOR],tabela_registros[MÊS],$AE$1,tabela_registros[DIA],receitasfixasconsolidadoago[[#Headers],[31]],tabela_registros[REGISTRO],DADOS!$N$3,tabela_registros[TIPO],DADOS!$V$3,tabela_registros[CATEGORIA],receitasfixasconsolidadoago[[#This Row],[ATUAL]])</f>
        <v>0</v>
      </c>
      <c r="AJ82" s="97">
        <f>SUM(receitasfixasconsolidadoago[[#This Row],[1]:[31]])</f>
        <v>0</v>
      </c>
      <c r="AK82" s="25"/>
    </row>
    <row r="83" spans="2:37" ht="19.5" customHeight="1" thickTop="1" thickBot="1" x14ac:dyDescent="0.3">
      <c r="B83" s="28"/>
      <c r="C83" s="27" t="str">
        <f>DADOS!$X$4</f>
        <v>💸APOSENTADORIA</v>
      </c>
      <c r="D83" s="26" t="str">
        <f>IF(receitasfixasconsolidadoago[[#This Row],[TOTAL (R$)]]=0,"",IF(OR(receitasfixasconsolidadoago[[#This Row],[TOTAL (R$)]]=LARGE($AJ$82:$AJ$86,1),receitasfixasconsolidadoago[[#This Row],[TOTAL (R$)]]=LARGE($AJ$82:$AJ$86,2)),DADOS!$I$9,""))</f>
        <v/>
      </c>
      <c r="E83" s="96">
        <f>SUMIFS(tabela_registros[VALOR],tabela_registros[MÊS],$AE$1,tabela_registros[DIA],receitasfixasconsolidadoago[[#Headers],[1]],tabela_registros[REGISTRO],DADOS!$N$3,tabela_registros[TIPO],DADOS!$V$3,tabela_registros[CATEGORIA],receitasfixasconsolidadoago[[#This Row],[ATUAL]])</f>
        <v>0</v>
      </c>
      <c r="F83" s="91">
        <f>SUMIFS(tabela_registros[VALOR],tabela_registros[MÊS],$AE$1,tabela_registros[DIA],receitasfixasconsolidadoago[[#Headers],[2]],tabela_registros[REGISTRO],DADOS!$N$3,tabela_registros[TIPO],DADOS!$V$3,tabela_registros[CATEGORIA],receitasfixasconsolidadoago[[#This Row],[ATUAL]])</f>
        <v>0</v>
      </c>
      <c r="G83" s="91">
        <f>SUMIFS(tabela_registros[VALOR],tabela_registros[MÊS],$AE$1,tabela_registros[DIA],receitasfixasconsolidadoago[[#Headers],[3]],tabela_registros[REGISTRO],DADOS!$N$3,tabela_registros[TIPO],DADOS!$V$3,tabela_registros[CATEGORIA],receitasfixasconsolidadoago[[#This Row],[ATUAL]])</f>
        <v>0</v>
      </c>
      <c r="H83" s="91">
        <f>SUMIFS(tabela_registros[VALOR],tabela_registros[MÊS],$AE$1,tabela_registros[DIA],receitasfixasconsolidadoago[[#Headers],[4]],tabela_registros[REGISTRO],DADOS!$N$3,tabela_registros[TIPO],DADOS!$V$3,tabela_registros[CATEGORIA],receitasfixasconsolidadoago[[#This Row],[ATUAL]])</f>
        <v>0</v>
      </c>
      <c r="I83" s="91">
        <f>SUMIFS(tabela_registros[VALOR],tabela_registros[MÊS],$AE$1,tabela_registros[DIA],receitasfixasconsolidadoago[[#Headers],[5]],tabela_registros[REGISTRO],DADOS!$N$3,tabela_registros[TIPO],DADOS!$V$3,tabela_registros[CATEGORIA],receitasfixasconsolidadoago[[#This Row],[ATUAL]])</f>
        <v>0</v>
      </c>
      <c r="J83" s="91">
        <f>SUMIFS(tabela_registros[VALOR],tabela_registros[MÊS],$AE$1,tabela_registros[DIA],receitasfixasconsolidadoago[[#Headers],[6]],tabela_registros[REGISTRO],DADOS!$N$3,tabela_registros[TIPO],DADOS!$V$3,tabela_registros[CATEGORIA],receitasfixasconsolidadoago[[#This Row],[ATUAL]])</f>
        <v>0</v>
      </c>
      <c r="K83" s="91">
        <f>SUMIFS(tabela_registros[VALOR],tabela_registros[MÊS],$AE$1,tabela_registros[DIA],receitasfixasconsolidadoago[[#Headers],[7]],tabela_registros[REGISTRO],DADOS!$N$3,tabela_registros[TIPO],DADOS!$V$3,tabela_registros[CATEGORIA],receitasfixasconsolidadoago[[#This Row],[ATUAL]])</f>
        <v>0</v>
      </c>
      <c r="L83" s="91">
        <f>SUMIFS(tabela_registros[VALOR],tabela_registros[MÊS],$AE$1,tabela_registros[DIA],receitasfixasconsolidadoago[[#Headers],[8]],tabela_registros[REGISTRO],DADOS!$N$3,tabela_registros[TIPO],DADOS!$V$3,tabela_registros[CATEGORIA],receitasfixasconsolidadoago[[#This Row],[ATUAL]])</f>
        <v>0</v>
      </c>
      <c r="M83" s="91">
        <f>SUMIFS(tabela_registros[VALOR],tabela_registros[MÊS],$AE$1,tabela_registros[DIA],receitasfixasconsolidadoago[[#Headers],[9]],tabela_registros[REGISTRO],DADOS!$N$3,tabela_registros[TIPO],DADOS!$V$3,tabela_registros[CATEGORIA],receitasfixasconsolidadoago[[#This Row],[ATUAL]])</f>
        <v>0</v>
      </c>
      <c r="N83" s="91">
        <f>SUMIFS(tabela_registros[VALOR],tabela_registros[MÊS],$AE$1,tabela_registros[DIA],receitasfixasconsolidadoago[[#Headers],[10]],tabela_registros[REGISTRO],DADOS!$N$3,tabela_registros[TIPO],DADOS!$V$3,tabela_registros[CATEGORIA],receitasfixasconsolidadoago[[#This Row],[ATUAL]])</f>
        <v>0</v>
      </c>
      <c r="O83" s="91">
        <f>SUMIFS(tabela_registros[VALOR],tabela_registros[MÊS],$AE$1,tabela_registros[DIA],receitasfixasconsolidadoago[[#Headers],[11]],tabela_registros[REGISTRO],DADOS!$N$3,tabela_registros[TIPO],DADOS!$V$3,tabela_registros[CATEGORIA],receitasfixasconsolidadoago[[#This Row],[ATUAL]])</f>
        <v>0</v>
      </c>
      <c r="P83" s="91">
        <f>SUMIFS(tabela_registros[VALOR],tabela_registros[MÊS],$AE$1,tabela_registros[DIA],receitasfixasconsolidadoago[[#Headers],[12]],tabela_registros[REGISTRO],DADOS!$N$3,tabela_registros[TIPO],DADOS!$V$3,tabela_registros[CATEGORIA],receitasfixasconsolidadoago[[#This Row],[ATUAL]])</f>
        <v>0</v>
      </c>
      <c r="Q83" s="91">
        <f>SUMIFS(tabela_registros[VALOR],tabela_registros[MÊS],$AE$1,tabela_registros[DIA],receitasfixasconsolidadoago[[#Headers],[13]],tabela_registros[REGISTRO],DADOS!$N$3,tabela_registros[TIPO],DADOS!$V$3,tabela_registros[CATEGORIA],receitasfixasconsolidadoago[[#This Row],[ATUAL]])</f>
        <v>0</v>
      </c>
      <c r="R83" s="91">
        <f>SUMIFS(tabela_registros[VALOR],tabela_registros[MÊS],$AE$1,tabela_registros[DIA],receitasfixasconsolidadoago[[#Headers],[14]],tabela_registros[REGISTRO],DADOS!$N$3,tabela_registros[TIPO],DADOS!$V$3,tabela_registros[CATEGORIA],receitasfixasconsolidadoago[[#This Row],[ATUAL]])</f>
        <v>0</v>
      </c>
      <c r="S83" s="91">
        <f>SUMIFS(tabela_registros[VALOR],tabela_registros[MÊS],$AE$1,tabela_registros[DIA],receitasfixasconsolidadoago[[#Headers],[15]],tabela_registros[REGISTRO],DADOS!$N$3,tabela_registros[TIPO],DADOS!$V$3,tabela_registros[CATEGORIA],receitasfixasconsolidadoago[[#This Row],[ATUAL]])</f>
        <v>0</v>
      </c>
      <c r="T83" s="91">
        <f>SUMIFS(tabela_registros[VALOR],tabela_registros[MÊS],$AE$1,tabela_registros[DIA],receitasfixasconsolidadoago[[#Headers],[16]],tabela_registros[REGISTRO],DADOS!$N$3,tabela_registros[TIPO],DADOS!$V$3,tabela_registros[CATEGORIA],receitasfixasconsolidadoago[[#This Row],[ATUAL]])</f>
        <v>0</v>
      </c>
      <c r="U83" s="91">
        <f>SUMIFS(tabela_registros[VALOR],tabela_registros[MÊS],$AE$1,tabela_registros[DIA],receitasfixasconsolidadoago[[#Headers],[17]],tabela_registros[REGISTRO],DADOS!$N$3,tabela_registros[TIPO],DADOS!$V$3,tabela_registros[CATEGORIA],receitasfixasconsolidadoago[[#This Row],[ATUAL]])</f>
        <v>0</v>
      </c>
      <c r="V83" s="91">
        <f>SUMIFS(tabela_registros[VALOR],tabela_registros[MÊS],$AE$1,tabela_registros[DIA],receitasfixasconsolidadoago[[#Headers],[18]],tabela_registros[REGISTRO],DADOS!$N$3,tabela_registros[TIPO],DADOS!$V$3,tabela_registros[CATEGORIA],receitasfixasconsolidadoago[[#This Row],[ATUAL]])</f>
        <v>0</v>
      </c>
      <c r="W83" s="91">
        <f>SUMIFS(tabela_registros[VALOR],tabela_registros[MÊS],$AE$1,tabela_registros[DIA],receitasfixasconsolidadoago[[#Headers],[19]],tabela_registros[REGISTRO],DADOS!$N$3,tabela_registros[TIPO],DADOS!$V$3,tabela_registros[CATEGORIA],receitasfixasconsolidadoago[[#This Row],[ATUAL]])</f>
        <v>0</v>
      </c>
      <c r="X83" s="91">
        <f>SUMIFS(tabela_registros[VALOR],tabela_registros[MÊS],$AE$1,tabela_registros[DIA],receitasfixasconsolidadoago[[#Headers],[20]],tabela_registros[REGISTRO],DADOS!$N$3,tabela_registros[TIPO],DADOS!$V$3,tabela_registros[CATEGORIA],receitasfixasconsolidadoago[[#This Row],[ATUAL]])</f>
        <v>0</v>
      </c>
      <c r="Y83" s="91">
        <f>SUMIFS(tabela_registros[VALOR],tabela_registros[MÊS],$AE$1,tabela_registros[DIA],receitasfixasconsolidadoago[[#Headers],[21]],tabela_registros[REGISTRO],DADOS!$N$3,tabela_registros[TIPO],DADOS!$V$3,tabela_registros[CATEGORIA],receitasfixasconsolidadoago[[#This Row],[ATUAL]])</f>
        <v>0</v>
      </c>
      <c r="Z83" s="91">
        <f>SUMIFS(tabela_registros[VALOR],tabela_registros[MÊS],$AE$1,tabela_registros[DIA],receitasfixasconsolidadoago[[#Headers],[22]],tabela_registros[REGISTRO],DADOS!$N$3,tabela_registros[TIPO],DADOS!$V$3,tabela_registros[CATEGORIA],receitasfixasconsolidadoago[[#This Row],[ATUAL]])</f>
        <v>0</v>
      </c>
      <c r="AA83" s="91">
        <f>SUMIFS(tabela_registros[VALOR],tabela_registros[MÊS],$AE$1,tabela_registros[DIA],receitasfixasconsolidadoago[[#Headers],[23]],tabela_registros[REGISTRO],DADOS!$N$3,tabela_registros[TIPO],DADOS!$V$3,tabela_registros[CATEGORIA],receitasfixasconsolidadoago[[#This Row],[ATUAL]])</f>
        <v>0</v>
      </c>
      <c r="AB83" s="91">
        <f>SUMIFS(tabela_registros[VALOR],tabela_registros[MÊS],$AE$1,tabela_registros[DIA],receitasfixasconsolidadoago[[#Headers],[24]],tabela_registros[REGISTRO],DADOS!$N$3,tabela_registros[TIPO],DADOS!$V$3,tabela_registros[CATEGORIA],receitasfixasconsolidadoago[[#This Row],[ATUAL]])</f>
        <v>0</v>
      </c>
      <c r="AC83" s="91">
        <f>SUMIFS(tabela_registros[VALOR],tabela_registros[MÊS],$AE$1,tabela_registros[DIA],receitasfixasconsolidadoago[[#Headers],[25]],tabela_registros[REGISTRO],DADOS!$N$3,tabela_registros[TIPO],DADOS!$V$3,tabela_registros[CATEGORIA],receitasfixasconsolidadoago[[#This Row],[ATUAL]])</f>
        <v>0</v>
      </c>
      <c r="AD83" s="91">
        <f>SUMIFS(tabela_registros[VALOR],tabela_registros[MÊS],$AE$1,tabela_registros[DIA],receitasfixasconsolidadoago[[#Headers],[26]],tabela_registros[REGISTRO],DADOS!$N$3,tabela_registros[TIPO],DADOS!$V$3,tabela_registros[CATEGORIA],receitasfixasconsolidadoago[[#This Row],[ATUAL]])</f>
        <v>0</v>
      </c>
      <c r="AE83" s="91">
        <f>SUMIFS(tabela_registros[VALOR],tabela_registros[MÊS],$AE$1,tabela_registros[DIA],receitasfixasconsolidadoago[[#Headers],[27]],tabela_registros[REGISTRO],DADOS!$N$3,tabela_registros[TIPO],DADOS!$V$3,tabela_registros[CATEGORIA],receitasfixasconsolidadoago[[#This Row],[ATUAL]])</f>
        <v>0</v>
      </c>
      <c r="AF83" s="91">
        <f>SUMIFS(tabela_registros[VALOR],tabela_registros[MÊS],$AE$1,tabela_registros[DIA],receitasfixasconsolidadoago[[#Headers],[28]],tabela_registros[REGISTRO],DADOS!$N$3,tabela_registros[TIPO],DADOS!$V$3,tabela_registros[CATEGORIA],receitasfixasconsolidadoago[[#This Row],[ATUAL]])</f>
        <v>0</v>
      </c>
      <c r="AG83" s="91">
        <f>SUMIFS(tabela_registros[VALOR],tabela_registros[MÊS],$AE$1,tabela_registros[DIA],receitasfixasconsolidadoago[[#Headers],[29]],tabela_registros[REGISTRO],DADOS!$N$3,tabela_registros[TIPO],DADOS!$V$3,tabela_registros[CATEGORIA],receitasfixasconsolidadoago[[#This Row],[ATUAL]])</f>
        <v>0</v>
      </c>
      <c r="AH83" s="91">
        <f>SUMIFS(tabela_registros[VALOR],tabela_registros[MÊS],$AE$1,tabela_registros[DIA],receitasfixasconsolidadoago[[#Headers],[30]],tabela_registros[REGISTRO],DADOS!$N$3,tabela_registros[TIPO],DADOS!$V$3,tabela_registros[CATEGORIA],receitasfixasconsolidadoago[[#This Row],[ATUAL]])</f>
        <v>0</v>
      </c>
      <c r="AI83" s="101">
        <f>SUMIFS(tabela_registros[VALOR],tabela_registros[MÊS],$AE$1,tabela_registros[DIA],receitasfixasconsolidadoago[[#Headers],[31]],tabela_registros[REGISTRO],DADOS!$N$3,tabela_registros[TIPO],DADOS!$V$3,tabela_registros[CATEGORIA],receitasfixasconsolidadoago[[#This Row],[ATUAL]])</f>
        <v>0</v>
      </c>
      <c r="AJ83" s="97">
        <f>SUM(receitasfixasconsolidadoago[[#This Row],[1]:[31]])</f>
        <v>0</v>
      </c>
      <c r="AK83" s="25"/>
    </row>
    <row r="84" spans="2:37" ht="19.5" customHeight="1" thickTop="1" thickBot="1" x14ac:dyDescent="0.3">
      <c r="B84" s="28"/>
      <c r="C84" s="27" t="str">
        <f>DADOS!$X$5</f>
        <v>🎀 MESADA</v>
      </c>
      <c r="D84" s="26" t="str">
        <f>IF(receitasfixasconsolidadoago[[#This Row],[TOTAL (R$)]]=0,"",IF(OR(receitasfixasconsolidadoago[[#This Row],[TOTAL (R$)]]=LARGE($AJ$82:$AJ$86,1),receitasfixasconsolidadoago[[#This Row],[TOTAL (R$)]]=LARGE($AJ$82:$AJ$86,2)),DADOS!$I$9,""))</f>
        <v/>
      </c>
      <c r="E84" s="96">
        <f>SUMIFS(tabela_registros[VALOR],tabela_registros[MÊS],$AE$1,tabela_registros[DIA],receitasfixasconsolidadoago[[#Headers],[1]],tabela_registros[REGISTRO],DADOS!$N$3,tabela_registros[TIPO],DADOS!$V$3,tabela_registros[CATEGORIA],receitasfixasconsolidadoago[[#This Row],[ATUAL]])</f>
        <v>0</v>
      </c>
      <c r="F84" s="91">
        <f>SUMIFS(tabela_registros[VALOR],tabela_registros[MÊS],$AE$1,tabela_registros[DIA],receitasfixasconsolidadoago[[#Headers],[2]],tabela_registros[REGISTRO],DADOS!$N$3,tabela_registros[TIPO],DADOS!$V$3,tabela_registros[CATEGORIA],receitasfixasconsolidadoago[[#This Row],[ATUAL]])</f>
        <v>0</v>
      </c>
      <c r="G84" s="91">
        <f>SUMIFS(tabela_registros[VALOR],tabela_registros[MÊS],$AE$1,tabela_registros[DIA],receitasfixasconsolidadoago[[#Headers],[3]],tabela_registros[REGISTRO],DADOS!$N$3,tabela_registros[TIPO],DADOS!$V$3,tabela_registros[CATEGORIA],receitasfixasconsolidadoago[[#This Row],[ATUAL]])</f>
        <v>0</v>
      </c>
      <c r="H84" s="91">
        <f>SUMIFS(tabela_registros[VALOR],tabela_registros[MÊS],$AE$1,tabela_registros[DIA],receitasfixasconsolidadoago[[#Headers],[4]],tabela_registros[REGISTRO],DADOS!$N$3,tabela_registros[TIPO],DADOS!$V$3,tabela_registros[CATEGORIA],receitasfixasconsolidadoago[[#This Row],[ATUAL]])</f>
        <v>0</v>
      </c>
      <c r="I84" s="91">
        <f>SUMIFS(tabela_registros[VALOR],tabela_registros[MÊS],$AE$1,tabela_registros[DIA],receitasfixasconsolidadoago[[#Headers],[5]],tabela_registros[REGISTRO],DADOS!$N$3,tabela_registros[TIPO],DADOS!$V$3,tabela_registros[CATEGORIA],receitasfixasconsolidadoago[[#This Row],[ATUAL]])</f>
        <v>0</v>
      </c>
      <c r="J84" s="91">
        <f>SUMIFS(tabela_registros[VALOR],tabela_registros[MÊS],$AE$1,tabela_registros[DIA],receitasfixasconsolidadoago[[#Headers],[6]],tabela_registros[REGISTRO],DADOS!$N$3,tabela_registros[TIPO],DADOS!$V$3,tabela_registros[CATEGORIA],receitasfixasconsolidadoago[[#This Row],[ATUAL]])</f>
        <v>0</v>
      </c>
      <c r="K84" s="91">
        <f>SUMIFS(tabela_registros[VALOR],tabela_registros[MÊS],$AE$1,tabela_registros[DIA],receitasfixasconsolidadoago[[#Headers],[7]],tabela_registros[REGISTRO],DADOS!$N$3,tabela_registros[TIPO],DADOS!$V$3,tabela_registros[CATEGORIA],receitasfixasconsolidadoago[[#This Row],[ATUAL]])</f>
        <v>0</v>
      </c>
      <c r="L84" s="91">
        <f>SUMIFS(tabela_registros[VALOR],tabela_registros[MÊS],$AE$1,tabela_registros[DIA],receitasfixasconsolidadoago[[#Headers],[8]],tabela_registros[REGISTRO],DADOS!$N$3,tabela_registros[TIPO],DADOS!$V$3,tabela_registros[CATEGORIA],receitasfixasconsolidadoago[[#This Row],[ATUAL]])</f>
        <v>0</v>
      </c>
      <c r="M84" s="91">
        <f>SUMIFS(tabela_registros[VALOR],tabela_registros[MÊS],$AE$1,tabela_registros[DIA],receitasfixasconsolidadoago[[#Headers],[9]],tabela_registros[REGISTRO],DADOS!$N$3,tabela_registros[TIPO],DADOS!$V$3,tabela_registros[CATEGORIA],receitasfixasconsolidadoago[[#This Row],[ATUAL]])</f>
        <v>0</v>
      </c>
      <c r="N84" s="91">
        <f>SUMIFS(tabela_registros[VALOR],tabela_registros[MÊS],$AE$1,tabela_registros[DIA],receitasfixasconsolidadoago[[#Headers],[10]],tabela_registros[REGISTRO],DADOS!$N$3,tabela_registros[TIPO],DADOS!$V$3,tabela_registros[CATEGORIA],receitasfixasconsolidadoago[[#This Row],[ATUAL]])</f>
        <v>0</v>
      </c>
      <c r="O84" s="91">
        <f>SUMIFS(tabela_registros[VALOR],tabela_registros[MÊS],$AE$1,tabela_registros[DIA],receitasfixasconsolidadoago[[#Headers],[11]],tabela_registros[REGISTRO],DADOS!$N$3,tabela_registros[TIPO],DADOS!$V$3,tabela_registros[CATEGORIA],receitasfixasconsolidadoago[[#This Row],[ATUAL]])</f>
        <v>0</v>
      </c>
      <c r="P84" s="91">
        <f>SUMIFS(tabela_registros[VALOR],tabela_registros[MÊS],$AE$1,tabela_registros[DIA],receitasfixasconsolidadoago[[#Headers],[12]],tabela_registros[REGISTRO],DADOS!$N$3,tabela_registros[TIPO],DADOS!$V$3,tabela_registros[CATEGORIA],receitasfixasconsolidadoago[[#This Row],[ATUAL]])</f>
        <v>0</v>
      </c>
      <c r="Q84" s="91">
        <f>SUMIFS(tabela_registros[VALOR],tabela_registros[MÊS],$AE$1,tabela_registros[DIA],receitasfixasconsolidadoago[[#Headers],[13]],tabela_registros[REGISTRO],DADOS!$N$3,tabela_registros[TIPO],DADOS!$V$3,tabela_registros[CATEGORIA],receitasfixasconsolidadoago[[#This Row],[ATUAL]])</f>
        <v>0</v>
      </c>
      <c r="R84" s="91">
        <f>SUMIFS(tabela_registros[VALOR],tabela_registros[MÊS],$AE$1,tabela_registros[DIA],receitasfixasconsolidadoago[[#Headers],[14]],tabela_registros[REGISTRO],DADOS!$N$3,tabela_registros[TIPO],DADOS!$V$3,tabela_registros[CATEGORIA],receitasfixasconsolidadoago[[#This Row],[ATUAL]])</f>
        <v>0</v>
      </c>
      <c r="S84" s="91">
        <f>SUMIFS(tabela_registros[VALOR],tabela_registros[MÊS],$AE$1,tabela_registros[DIA],receitasfixasconsolidadoago[[#Headers],[15]],tabela_registros[REGISTRO],DADOS!$N$3,tabela_registros[TIPO],DADOS!$V$3,tabela_registros[CATEGORIA],receitasfixasconsolidadoago[[#This Row],[ATUAL]])</f>
        <v>0</v>
      </c>
      <c r="T84" s="91">
        <f>SUMIFS(tabela_registros[VALOR],tabela_registros[MÊS],$AE$1,tabela_registros[DIA],receitasfixasconsolidadoago[[#Headers],[16]],tabela_registros[REGISTRO],DADOS!$N$3,tabela_registros[TIPO],DADOS!$V$3,tabela_registros[CATEGORIA],receitasfixasconsolidadoago[[#This Row],[ATUAL]])</f>
        <v>0</v>
      </c>
      <c r="U84" s="91">
        <f>SUMIFS(tabela_registros[VALOR],tabela_registros[MÊS],$AE$1,tabela_registros[DIA],receitasfixasconsolidadoago[[#Headers],[17]],tabela_registros[REGISTRO],DADOS!$N$3,tabela_registros[TIPO],DADOS!$V$3,tabela_registros[CATEGORIA],receitasfixasconsolidadoago[[#This Row],[ATUAL]])</f>
        <v>0</v>
      </c>
      <c r="V84" s="91">
        <f>SUMIFS(tabela_registros[VALOR],tabela_registros[MÊS],$AE$1,tabela_registros[DIA],receitasfixasconsolidadoago[[#Headers],[18]],tabela_registros[REGISTRO],DADOS!$N$3,tabela_registros[TIPO],DADOS!$V$3,tabela_registros[CATEGORIA],receitasfixasconsolidadoago[[#This Row],[ATUAL]])</f>
        <v>0</v>
      </c>
      <c r="W84" s="91">
        <f>SUMIFS(tabela_registros[VALOR],tabela_registros[MÊS],$AE$1,tabela_registros[DIA],receitasfixasconsolidadoago[[#Headers],[19]],tabela_registros[REGISTRO],DADOS!$N$3,tabela_registros[TIPO],DADOS!$V$3,tabela_registros[CATEGORIA],receitasfixasconsolidadoago[[#This Row],[ATUAL]])</f>
        <v>0</v>
      </c>
      <c r="X84" s="91">
        <f>SUMIFS(tabela_registros[VALOR],tabela_registros[MÊS],$AE$1,tabela_registros[DIA],receitasfixasconsolidadoago[[#Headers],[20]],tabela_registros[REGISTRO],DADOS!$N$3,tabela_registros[TIPO],DADOS!$V$3,tabela_registros[CATEGORIA],receitasfixasconsolidadoago[[#This Row],[ATUAL]])</f>
        <v>0</v>
      </c>
      <c r="Y84" s="91">
        <f>SUMIFS(tabela_registros[VALOR],tabela_registros[MÊS],$AE$1,tabela_registros[DIA],receitasfixasconsolidadoago[[#Headers],[21]],tabela_registros[REGISTRO],DADOS!$N$3,tabela_registros[TIPO],DADOS!$V$3,tabela_registros[CATEGORIA],receitasfixasconsolidadoago[[#This Row],[ATUAL]])</f>
        <v>0</v>
      </c>
      <c r="Z84" s="91">
        <f>SUMIFS(tabela_registros[VALOR],tabela_registros[MÊS],$AE$1,tabela_registros[DIA],receitasfixasconsolidadoago[[#Headers],[22]],tabela_registros[REGISTRO],DADOS!$N$3,tabela_registros[TIPO],DADOS!$V$3,tabela_registros[CATEGORIA],receitasfixasconsolidadoago[[#This Row],[ATUAL]])</f>
        <v>0</v>
      </c>
      <c r="AA84" s="91">
        <f>SUMIFS(tabela_registros[VALOR],tabela_registros[MÊS],$AE$1,tabela_registros[DIA],receitasfixasconsolidadoago[[#Headers],[23]],tabela_registros[REGISTRO],DADOS!$N$3,tabela_registros[TIPO],DADOS!$V$3,tabela_registros[CATEGORIA],receitasfixasconsolidadoago[[#This Row],[ATUAL]])</f>
        <v>0</v>
      </c>
      <c r="AB84" s="91">
        <f>SUMIFS(tabela_registros[VALOR],tabela_registros[MÊS],$AE$1,tabela_registros[DIA],receitasfixasconsolidadoago[[#Headers],[24]],tabela_registros[REGISTRO],DADOS!$N$3,tabela_registros[TIPO],DADOS!$V$3,tabela_registros[CATEGORIA],receitasfixasconsolidadoago[[#This Row],[ATUAL]])</f>
        <v>0</v>
      </c>
      <c r="AC84" s="91">
        <f>SUMIFS(tabela_registros[VALOR],tabela_registros[MÊS],$AE$1,tabela_registros[DIA],receitasfixasconsolidadoago[[#Headers],[25]],tabela_registros[REGISTRO],DADOS!$N$3,tabela_registros[TIPO],DADOS!$V$3,tabela_registros[CATEGORIA],receitasfixasconsolidadoago[[#This Row],[ATUAL]])</f>
        <v>0</v>
      </c>
      <c r="AD84" s="91">
        <f>SUMIFS(tabela_registros[VALOR],tabela_registros[MÊS],$AE$1,tabela_registros[DIA],receitasfixasconsolidadoago[[#Headers],[26]],tabela_registros[REGISTRO],DADOS!$N$3,tabela_registros[TIPO],DADOS!$V$3,tabela_registros[CATEGORIA],receitasfixasconsolidadoago[[#This Row],[ATUAL]])</f>
        <v>0</v>
      </c>
      <c r="AE84" s="91">
        <f>SUMIFS(tabela_registros[VALOR],tabela_registros[MÊS],$AE$1,tabela_registros[DIA],receitasfixasconsolidadoago[[#Headers],[27]],tabela_registros[REGISTRO],DADOS!$N$3,tabela_registros[TIPO],DADOS!$V$3,tabela_registros[CATEGORIA],receitasfixasconsolidadoago[[#This Row],[ATUAL]])</f>
        <v>0</v>
      </c>
      <c r="AF84" s="91">
        <f>SUMIFS(tabela_registros[VALOR],tabela_registros[MÊS],$AE$1,tabela_registros[DIA],receitasfixasconsolidadoago[[#Headers],[28]],tabela_registros[REGISTRO],DADOS!$N$3,tabela_registros[TIPO],DADOS!$V$3,tabela_registros[CATEGORIA],receitasfixasconsolidadoago[[#This Row],[ATUAL]])</f>
        <v>0</v>
      </c>
      <c r="AG84" s="91">
        <f>SUMIFS(tabela_registros[VALOR],tabela_registros[MÊS],$AE$1,tabela_registros[DIA],receitasfixasconsolidadoago[[#Headers],[29]],tabela_registros[REGISTRO],DADOS!$N$3,tabela_registros[TIPO],DADOS!$V$3,tabela_registros[CATEGORIA],receitasfixasconsolidadoago[[#This Row],[ATUAL]])</f>
        <v>0</v>
      </c>
      <c r="AH84" s="91">
        <f>SUMIFS(tabela_registros[VALOR],tabela_registros[MÊS],$AE$1,tabela_registros[DIA],receitasfixasconsolidadoago[[#Headers],[30]],tabela_registros[REGISTRO],DADOS!$N$3,tabela_registros[TIPO],DADOS!$V$3,tabela_registros[CATEGORIA],receitasfixasconsolidadoago[[#This Row],[ATUAL]])</f>
        <v>0</v>
      </c>
      <c r="AI84" s="101">
        <f>SUMIFS(tabela_registros[VALOR],tabela_registros[MÊS],$AE$1,tabela_registros[DIA],receitasfixasconsolidadoago[[#Headers],[31]],tabela_registros[REGISTRO],DADOS!$N$3,tabela_registros[TIPO],DADOS!$V$3,tabela_registros[CATEGORIA],receitasfixasconsolidadoago[[#This Row],[ATUAL]])</f>
        <v>0</v>
      </c>
      <c r="AJ84" s="97">
        <f>SUM(receitasfixasconsolidadoago[[#This Row],[1]:[31]])</f>
        <v>0</v>
      </c>
      <c r="AK84" s="25"/>
    </row>
    <row r="85" spans="2:37" ht="19.5" customHeight="1" thickTop="1" thickBot="1" x14ac:dyDescent="0.3">
      <c r="B85" s="28"/>
      <c r="C85" s="27" t="str">
        <f>DADOS!$X$6</f>
        <v>💰 SALÁRIO</v>
      </c>
      <c r="D85" s="26" t="str">
        <f>IF(receitasfixasconsolidadoago[[#This Row],[TOTAL (R$)]]=0,"",IF(OR(receitasfixasconsolidadoago[[#This Row],[TOTAL (R$)]]=LARGE($AJ$82:$AJ$86,1),receitasfixasconsolidadoago[[#This Row],[TOTAL (R$)]]=LARGE($AJ$82:$AJ$86,2)),DADOS!$I$9,""))</f>
        <v>🐄</v>
      </c>
      <c r="E85" s="96">
        <f>SUMIFS(tabela_registros[VALOR],tabela_registros[MÊS],$AE$1,tabela_registros[DIA],receitasfixasconsolidadoago[[#Headers],[1]],tabela_registros[REGISTRO],DADOS!$N$3,tabela_registros[TIPO],DADOS!$V$3,tabela_registros[CATEGORIA],receitasfixasconsolidadoago[[#This Row],[ATUAL]])</f>
        <v>0</v>
      </c>
      <c r="F85" s="91">
        <f>SUMIFS(tabela_registros[VALOR],tabela_registros[MÊS],$AE$1,tabela_registros[DIA],receitasfixasconsolidadoago[[#Headers],[2]],tabela_registros[REGISTRO],DADOS!$N$3,tabela_registros[TIPO],DADOS!$V$3,tabela_registros[CATEGORIA],receitasfixasconsolidadoago[[#This Row],[ATUAL]])</f>
        <v>0</v>
      </c>
      <c r="G85" s="91">
        <f>SUMIFS(tabela_registros[VALOR],tabela_registros[MÊS],$AE$1,tabela_registros[DIA],receitasfixasconsolidadoago[[#Headers],[3]],tabela_registros[REGISTRO],DADOS!$N$3,tabela_registros[TIPO],DADOS!$V$3,tabela_registros[CATEGORIA],receitasfixasconsolidadoago[[#This Row],[ATUAL]])</f>
        <v>0</v>
      </c>
      <c r="H85" s="91">
        <f>SUMIFS(tabela_registros[VALOR],tabela_registros[MÊS],$AE$1,tabela_registros[DIA],receitasfixasconsolidadoago[[#Headers],[4]],tabela_registros[REGISTRO],DADOS!$N$3,tabela_registros[TIPO],DADOS!$V$3,tabela_registros[CATEGORIA],receitasfixasconsolidadoago[[#This Row],[ATUAL]])</f>
        <v>0</v>
      </c>
      <c r="I85" s="91">
        <f>SUMIFS(tabela_registros[VALOR],tabela_registros[MÊS],$AE$1,tabela_registros[DIA],receitasfixasconsolidadoago[[#Headers],[5]],tabela_registros[REGISTRO],DADOS!$N$3,tabela_registros[TIPO],DADOS!$V$3,tabela_registros[CATEGORIA],receitasfixasconsolidadoago[[#This Row],[ATUAL]])</f>
        <v>0</v>
      </c>
      <c r="J85" s="91">
        <f>SUMIFS(tabela_registros[VALOR],tabela_registros[MÊS],$AE$1,tabela_registros[DIA],receitasfixasconsolidadoago[[#Headers],[6]],tabela_registros[REGISTRO],DADOS!$N$3,tabela_registros[TIPO],DADOS!$V$3,tabela_registros[CATEGORIA],receitasfixasconsolidadoago[[#This Row],[ATUAL]])</f>
        <v>0</v>
      </c>
      <c r="K85" s="91">
        <f>SUMIFS(tabela_registros[VALOR],tabela_registros[MÊS],$AE$1,tabela_registros[DIA],receitasfixasconsolidadoago[[#Headers],[7]],tabela_registros[REGISTRO],DADOS!$N$3,tabela_registros[TIPO],DADOS!$V$3,tabela_registros[CATEGORIA],receitasfixasconsolidadoago[[#This Row],[ATUAL]])</f>
        <v>0</v>
      </c>
      <c r="L85" s="91">
        <f>SUMIFS(tabela_registros[VALOR],tabela_registros[MÊS],$AE$1,tabela_registros[DIA],receitasfixasconsolidadoago[[#Headers],[8]],tabela_registros[REGISTRO],DADOS!$N$3,tabela_registros[TIPO],DADOS!$V$3,tabela_registros[CATEGORIA],receitasfixasconsolidadoago[[#This Row],[ATUAL]])</f>
        <v>0</v>
      </c>
      <c r="M85" s="91">
        <f>SUMIFS(tabela_registros[VALOR],tabela_registros[MÊS],$AE$1,tabela_registros[DIA],receitasfixasconsolidadoago[[#Headers],[9]],tabela_registros[REGISTRO],DADOS!$N$3,tabela_registros[TIPO],DADOS!$V$3,tabela_registros[CATEGORIA],receitasfixasconsolidadoago[[#This Row],[ATUAL]])</f>
        <v>0</v>
      </c>
      <c r="N85" s="91">
        <f>SUMIFS(tabela_registros[VALOR],tabela_registros[MÊS],$AE$1,tabela_registros[DIA],receitasfixasconsolidadoago[[#Headers],[10]],tabela_registros[REGISTRO],DADOS!$N$3,tabela_registros[TIPO],DADOS!$V$3,tabela_registros[CATEGORIA],receitasfixasconsolidadoago[[#This Row],[ATUAL]])</f>
        <v>0</v>
      </c>
      <c r="O85" s="91">
        <f>SUMIFS(tabela_registros[VALOR],tabela_registros[MÊS],$AE$1,tabela_registros[DIA],receitasfixasconsolidadoago[[#Headers],[11]],tabela_registros[REGISTRO],DADOS!$N$3,tabela_registros[TIPO],DADOS!$V$3,tabela_registros[CATEGORIA],receitasfixasconsolidadoago[[#This Row],[ATUAL]])</f>
        <v>0</v>
      </c>
      <c r="P85" s="91">
        <f>SUMIFS(tabela_registros[VALOR],tabela_registros[MÊS],$AE$1,tabela_registros[DIA],receitasfixasconsolidadoago[[#Headers],[12]],tabela_registros[REGISTRO],DADOS!$N$3,tabela_registros[TIPO],DADOS!$V$3,tabela_registros[CATEGORIA],receitasfixasconsolidadoago[[#This Row],[ATUAL]])</f>
        <v>0</v>
      </c>
      <c r="Q85" s="91">
        <f>SUMIFS(tabela_registros[VALOR],tabela_registros[MÊS],$AE$1,tabela_registros[DIA],receitasfixasconsolidadoago[[#Headers],[13]],tabela_registros[REGISTRO],DADOS!$N$3,tabela_registros[TIPO],DADOS!$V$3,tabela_registros[CATEGORIA],receitasfixasconsolidadoago[[#This Row],[ATUAL]])</f>
        <v>0</v>
      </c>
      <c r="R85" s="91">
        <f>SUMIFS(tabela_registros[VALOR],tabela_registros[MÊS],$AE$1,tabela_registros[DIA],receitasfixasconsolidadoago[[#Headers],[14]],tabela_registros[REGISTRO],DADOS!$N$3,tabela_registros[TIPO],DADOS!$V$3,tabela_registros[CATEGORIA],receitasfixasconsolidadoago[[#This Row],[ATUAL]])</f>
        <v>0</v>
      </c>
      <c r="S85" s="91">
        <f>SUMIFS(tabela_registros[VALOR],tabela_registros[MÊS],$AE$1,tabela_registros[DIA],receitasfixasconsolidadoago[[#Headers],[15]],tabela_registros[REGISTRO],DADOS!$N$3,tabela_registros[TIPO],DADOS!$V$3,tabela_registros[CATEGORIA],receitasfixasconsolidadoago[[#This Row],[ATUAL]])</f>
        <v>0</v>
      </c>
      <c r="T85" s="91">
        <f>SUMIFS(tabela_registros[VALOR],tabela_registros[MÊS],$AE$1,tabela_registros[DIA],receitasfixasconsolidadoago[[#Headers],[16]],tabela_registros[REGISTRO],DADOS!$N$3,tabela_registros[TIPO],DADOS!$V$3,tabela_registros[CATEGORIA],receitasfixasconsolidadoago[[#This Row],[ATUAL]])</f>
        <v>0</v>
      </c>
      <c r="U85" s="91">
        <f>SUMIFS(tabela_registros[VALOR],tabela_registros[MÊS],$AE$1,tabela_registros[DIA],receitasfixasconsolidadoago[[#Headers],[17]],tabela_registros[REGISTRO],DADOS!$N$3,tabela_registros[TIPO],DADOS!$V$3,tabela_registros[CATEGORIA],receitasfixasconsolidadoago[[#This Row],[ATUAL]])</f>
        <v>0</v>
      </c>
      <c r="V85" s="91">
        <f>SUMIFS(tabela_registros[VALOR],tabela_registros[MÊS],$AE$1,tabela_registros[DIA],receitasfixasconsolidadoago[[#Headers],[18]],tabela_registros[REGISTRO],DADOS!$N$3,tabela_registros[TIPO],DADOS!$V$3,tabela_registros[CATEGORIA],receitasfixasconsolidadoago[[#This Row],[ATUAL]])</f>
        <v>0</v>
      </c>
      <c r="W85" s="91">
        <f>SUMIFS(tabela_registros[VALOR],tabela_registros[MÊS],$AE$1,tabela_registros[DIA],receitasfixasconsolidadoago[[#Headers],[19]],tabela_registros[REGISTRO],DADOS!$N$3,tabela_registros[TIPO],DADOS!$V$3,tabela_registros[CATEGORIA],receitasfixasconsolidadoago[[#This Row],[ATUAL]])</f>
        <v>0</v>
      </c>
      <c r="X85" s="91">
        <f>SUMIFS(tabela_registros[VALOR],tabela_registros[MÊS],$AE$1,tabela_registros[DIA],receitasfixasconsolidadoago[[#Headers],[20]],tabela_registros[REGISTRO],DADOS!$N$3,tabela_registros[TIPO],DADOS!$V$3,tabela_registros[CATEGORIA],receitasfixasconsolidadoago[[#This Row],[ATUAL]])</f>
        <v>2000</v>
      </c>
      <c r="Y85" s="91">
        <f>SUMIFS(tabela_registros[VALOR],tabela_registros[MÊS],$AE$1,tabela_registros[DIA],receitasfixasconsolidadoago[[#Headers],[21]],tabela_registros[REGISTRO],DADOS!$N$3,tabela_registros[TIPO],DADOS!$V$3,tabela_registros[CATEGORIA],receitasfixasconsolidadoago[[#This Row],[ATUAL]])</f>
        <v>0</v>
      </c>
      <c r="Z85" s="91">
        <f>SUMIFS(tabela_registros[VALOR],tabela_registros[MÊS],$AE$1,tabela_registros[DIA],receitasfixasconsolidadoago[[#Headers],[22]],tabela_registros[REGISTRO],DADOS!$N$3,tabela_registros[TIPO],DADOS!$V$3,tabela_registros[CATEGORIA],receitasfixasconsolidadoago[[#This Row],[ATUAL]])</f>
        <v>0</v>
      </c>
      <c r="AA85" s="91">
        <f>SUMIFS(tabela_registros[VALOR],tabela_registros[MÊS],$AE$1,tabela_registros[DIA],receitasfixasconsolidadoago[[#Headers],[23]],tabela_registros[REGISTRO],DADOS!$N$3,tabela_registros[TIPO],DADOS!$V$3,tabela_registros[CATEGORIA],receitasfixasconsolidadoago[[#This Row],[ATUAL]])</f>
        <v>0</v>
      </c>
      <c r="AB85" s="91">
        <f>SUMIFS(tabela_registros[VALOR],tabela_registros[MÊS],$AE$1,tabela_registros[DIA],receitasfixasconsolidadoago[[#Headers],[24]],tabela_registros[REGISTRO],DADOS!$N$3,tabela_registros[TIPO],DADOS!$V$3,tabela_registros[CATEGORIA],receitasfixasconsolidadoago[[#This Row],[ATUAL]])</f>
        <v>0</v>
      </c>
      <c r="AC85" s="91">
        <f>SUMIFS(tabela_registros[VALOR],tabela_registros[MÊS],$AE$1,tabela_registros[DIA],receitasfixasconsolidadoago[[#Headers],[25]],tabela_registros[REGISTRO],DADOS!$N$3,tabela_registros[TIPO],DADOS!$V$3,tabela_registros[CATEGORIA],receitasfixasconsolidadoago[[#This Row],[ATUAL]])</f>
        <v>0</v>
      </c>
      <c r="AD85" s="91">
        <f>SUMIFS(tabela_registros[VALOR],tabela_registros[MÊS],$AE$1,tabela_registros[DIA],receitasfixasconsolidadoago[[#Headers],[26]],tabela_registros[REGISTRO],DADOS!$N$3,tabela_registros[TIPO],DADOS!$V$3,tabela_registros[CATEGORIA],receitasfixasconsolidadoago[[#This Row],[ATUAL]])</f>
        <v>0</v>
      </c>
      <c r="AE85" s="91">
        <f>SUMIFS(tabela_registros[VALOR],tabela_registros[MÊS],$AE$1,tabela_registros[DIA],receitasfixasconsolidadoago[[#Headers],[27]],tabela_registros[REGISTRO],DADOS!$N$3,tabela_registros[TIPO],DADOS!$V$3,tabela_registros[CATEGORIA],receitasfixasconsolidadoago[[#This Row],[ATUAL]])</f>
        <v>0</v>
      </c>
      <c r="AF85" s="91">
        <f>SUMIFS(tabela_registros[VALOR],tabela_registros[MÊS],$AE$1,tabela_registros[DIA],receitasfixasconsolidadoago[[#Headers],[28]],tabela_registros[REGISTRO],DADOS!$N$3,tabela_registros[TIPO],DADOS!$V$3,tabela_registros[CATEGORIA],receitasfixasconsolidadoago[[#This Row],[ATUAL]])</f>
        <v>0</v>
      </c>
      <c r="AG85" s="91">
        <f>SUMIFS(tabela_registros[VALOR],tabela_registros[MÊS],$AE$1,tabela_registros[DIA],receitasfixasconsolidadoago[[#Headers],[29]],tabela_registros[REGISTRO],DADOS!$N$3,tabela_registros[TIPO],DADOS!$V$3,tabela_registros[CATEGORIA],receitasfixasconsolidadoago[[#This Row],[ATUAL]])</f>
        <v>0</v>
      </c>
      <c r="AH85" s="91">
        <f>SUMIFS(tabela_registros[VALOR],tabela_registros[MÊS],$AE$1,tabela_registros[DIA],receitasfixasconsolidadoago[[#Headers],[30]],tabela_registros[REGISTRO],DADOS!$N$3,tabela_registros[TIPO],DADOS!$V$3,tabela_registros[CATEGORIA],receitasfixasconsolidadoago[[#This Row],[ATUAL]])</f>
        <v>0</v>
      </c>
      <c r="AI85" s="101">
        <f>SUMIFS(tabela_registros[VALOR],tabela_registros[MÊS],$AE$1,tabela_registros[DIA],receitasfixasconsolidadoago[[#Headers],[31]],tabela_registros[REGISTRO],DADOS!$N$3,tabela_registros[TIPO],DADOS!$V$3,tabela_registros[CATEGORIA],receitasfixasconsolidadoago[[#This Row],[ATUAL]])</f>
        <v>0</v>
      </c>
      <c r="AJ85" s="97">
        <f>SUM(receitasfixasconsolidadoago[[#This Row],[1]:[31]])</f>
        <v>2000</v>
      </c>
      <c r="AK85" s="25"/>
    </row>
    <row r="86" spans="2:37" ht="18" customHeight="1" thickTop="1" thickBot="1" x14ac:dyDescent="0.3">
      <c r="B86" s="28"/>
      <c r="C86" s="27" t="str">
        <f>DADOS!$X$7</f>
        <v>📎 OUTROS</v>
      </c>
      <c r="D86" s="26" t="str">
        <f>IF(receitasfixasconsolidadoago[[#This Row],[TOTAL (R$)]]=0,"",IF(OR(receitasfixasconsolidadoago[[#This Row],[TOTAL (R$)]]=LARGE($AJ$82:$AJ$86,1),receitasfixasconsolidadoago[[#This Row],[TOTAL (R$)]]=LARGE($AJ$82:$AJ$86,2)),DADOS!$I$9,""))</f>
        <v/>
      </c>
      <c r="E86" s="96">
        <f>SUMIFS(tabela_registros[VALOR],tabela_registros[MÊS],$AE$1,tabela_registros[DIA],receitasfixasconsolidadoago[[#Headers],[1]],tabela_registros[REGISTRO],DADOS!$N$3,tabela_registros[TIPO],DADOS!$V$3,tabela_registros[CATEGORIA],receitasfixasconsolidadoago[[#This Row],[ATUAL]])</f>
        <v>0</v>
      </c>
      <c r="F86" s="91">
        <f>SUMIFS(tabela_registros[VALOR],tabela_registros[MÊS],$AE$1,tabela_registros[DIA],receitasfixasconsolidadoago[[#Headers],[2]],tabela_registros[REGISTRO],DADOS!$N$3,tabela_registros[TIPO],DADOS!$V$3,tabela_registros[CATEGORIA],receitasfixasconsolidadoago[[#This Row],[ATUAL]])</f>
        <v>0</v>
      </c>
      <c r="G86" s="91">
        <f>SUMIFS(tabela_registros[VALOR],tabela_registros[MÊS],$AE$1,tabela_registros[DIA],receitasfixasconsolidadoago[[#Headers],[3]],tabela_registros[REGISTRO],DADOS!$N$3,tabela_registros[TIPO],DADOS!$V$3,tabela_registros[CATEGORIA],receitasfixasconsolidadoago[[#This Row],[ATUAL]])</f>
        <v>0</v>
      </c>
      <c r="H86" s="91">
        <f>SUMIFS(tabela_registros[VALOR],tabela_registros[MÊS],$AE$1,tabela_registros[DIA],receitasfixasconsolidadoago[[#Headers],[4]],tabela_registros[REGISTRO],DADOS!$N$3,tabela_registros[TIPO],DADOS!$V$3,tabela_registros[CATEGORIA],receitasfixasconsolidadoago[[#This Row],[ATUAL]])</f>
        <v>0</v>
      </c>
      <c r="I86" s="91">
        <f>SUMIFS(tabela_registros[VALOR],tabela_registros[MÊS],$AE$1,tabela_registros[DIA],receitasfixasconsolidadoago[[#Headers],[5]],tabela_registros[REGISTRO],DADOS!$N$3,tabela_registros[TIPO],DADOS!$V$3,tabela_registros[CATEGORIA],receitasfixasconsolidadoago[[#This Row],[ATUAL]])</f>
        <v>0</v>
      </c>
      <c r="J86" s="91">
        <f>SUMIFS(tabela_registros[VALOR],tabela_registros[MÊS],$AE$1,tabela_registros[DIA],receitasfixasconsolidadoago[[#Headers],[6]],tabela_registros[REGISTRO],DADOS!$N$3,tabela_registros[TIPO],DADOS!$V$3,tabela_registros[CATEGORIA],receitasfixasconsolidadoago[[#This Row],[ATUAL]])</f>
        <v>0</v>
      </c>
      <c r="K86" s="91">
        <f>SUMIFS(tabela_registros[VALOR],tabela_registros[MÊS],$AE$1,tabela_registros[DIA],receitasfixasconsolidadoago[[#Headers],[7]],tabela_registros[REGISTRO],DADOS!$N$3,tabela_registros[TIPO],DADOS!$V$3,tabela_registros[CATEGORIA],receitasfixasconsolidadoago[[#This Row],[ATUAL]])</f>
        <v>0</v>
      </c>
      <c r="L86" s="91">
        <f>SUMIFS(tabela_registros[VALOR],tabela_registros[MÊS],$AE$1,tabela_registros[DIA],receitasfixasconsolidadoago[[#Headers],[8]],tabela_registros[REGISTRO],DADOS!$N$3,tabela_registros[TIPO],DADOS!$V$3,tabela_registros[CATEGORIA],receitasfixasconsolidadoago[[#This Row],[ATUAL]])</f>
        <v>0</v>
      </c>
      <c r="M86" s="91">
        <f>SUMIFS(tabela_registros[VALOR],tabela_registros[MÊS],$AE$1,tabela_registros[DIA],receitasfixasconsolidadoago[[#Headers],[9]],tabela_registros[REGISTRO],DADOS!$N$3,tabela_registros[TIPO],DADOS!$V$3,tabela_registros[CATEGORIA],receitasfixasconsolidadoago[[#This Row],[ATUAL]])</f>
        <v>0</v>
      </c>
      <c r="N86" s="91">
        <f>SUMIFS(tabela_registros[VALOR],tabela_registros[MÊS],$AE$1,tabela_registros[DIA],receitasfixasconsolidadoago[[#Headers],[10]],tabela_registros[REGISTRO],DADOS!$N$3,tabela_registros[TIPO],DADOS!$V$3,tabela_registros[CATEGORIA],receitasfixasconsolidadoago[[#This Row],[ATUAL]])</f>
        <v>0</v>
      </c>
      <c r="O86" s="91">
        <f>SUMIFS(tabela_registros[VALOR],tabela_registros[MÊS],$AE$1,tabela_registros[DIA],receitasfixasconsolidadoago[[#Headers],[11]],tabela_registros[REGISTRO],DADOS!$N$3,tabela_registros[TIPO],DADOS!$V$3,tabela_registros[CATEGORIA],receitasfixasconsolidadoago[[#This Row],[ATUAL]])</f>
        <v>0</v>
      </c>
      <c r="P86" s="91">
        <f>SUMIFS(tabela_registros[VALOR],tabela_registros[MÊS],$AE$1,tabela_registros[DIA],receitasfixasconsolidadoago[[#Headers],[12]],tabela_registros[REGISTRO],DADOS!$N$3,tabela_registros[TIPO],DADOS!$V$3,tabela_registros[CATEGORIA],receitasfixasconsolidadoago[[#This Row],[ATUAL]])</f>
        <v>0</v>
      </c>
      <c r="Q86" s="91">
        <f>SUMIFS(tabela_registros[VALOR],tabela_registros[MÊS],$AE$1,tabela_registros[DIA],receitasfixasconsolidadoago[[#Headers],[13]],tabela_registros[REGISTRO],DADOS!$N$3,tabela_registros[TIPO],DADOS!$V$3,tabela_registros[CATEGORIA],receitasfixasconsolidadoago[[#This Row],[ATUAL]])</f>
        <v>0</v>
      </c>
      <c r="R86" s="91">
        <f>SUMIFS(tabela_registros[VALOR],tabela_registros[MÊS],$AE$1,tabela_registros[DIA],receitasfixasconsolidadoago[[#Headers],[14]],tabela_registros[REGISTRO],DADOS!$N$3,tabela_registros[TIPO],DADOS!$V$3,tabela_registros[CATEGORIA],receitasfixasconsolidadoago[[#This Row],[ATUAL]])</f>
        <v>0</v>
      </c>
      <c r="S86" s="91">
        <f>SUMIFS(tabela_registros[VALOR],tabela_registros[MÊS],$AE$1,tabela_registros[DIA],receitasfixasconsolidadoago[[#Headers],[15]],tabela_registros[REGISTRO],DADOS!$N$3,tabela_registros[TIPO],DADOS!$V$3,tabela_registros[CATEGORIA],receitasfixasconsolidadoago[[#This Row],[ATUAL]])</f>
        <v>0</v>
      </c>
      <c r="T86" s="91">
        <f>SUMIFS(tabela_registros[VALOR],tabela_registros[MÊS],$AE$1,tabela_registros[DIA],receitasfixasconsolidadoago[[#Headers],[16]],tabela_registros[REGISTRO],DADOS!$N$3,tabela_registros[TIPO],DADOS!$V$3,tabela_registros[CATEGORIA],receitasfixasconsolidadoago[[#This Row],[ATUAL]])</f>
        <v>0</v>
      </c>
      <c r="U86" s="91">
        <f>SUMIFS(tabela_registros[VALOR],tabela_registros[MÊS],$AE$1,tabela_registros[DIA],receitasfixasconsolidadoago[[#Headers],[17]],tabela_registros[REGISTRO],DADOS!$N$3,tabela_registros[TIPO],DADOS!$V$3,tabela_registros[CATEGORIA],receitasfixasconsolidadoago[[#This Row],[ATUAL]])</f>
        <v>0</v>
      </c>
      <c r="V86" s="91">
        <f>SUMIFS(tabela_registros[VALOR],tabela_registros[MÊS],$AE$1,tabela_registros[DIA],receitasfixasconsolidadoago[[#Headers],[18]],tabela_registros[REGISTRO],DADOS!$N$3,tabela_registros[TIPO],DADOS!$V$3,tabela_registros[CATEGORIA],receitasfixasconsolidadoago[[#This Row],[ATUAL]])</f>
        <v>0</v>
      </c>
      <c r="W86" s="91">
        <f>SUMIFS(tabela_registros[VALOR],tabela_registros[MÊS],$AE$1,tabela_registros[DIA],receitasfixasconsolidadoago[[#Headers],[19]],tabela_registros[REGISTRO],DADOS!$N$3,tabela_registros[TIPO],DADOS!$V$3,tabela_registros[CATEGORIA],receitasfixasconsolidadoago[[#This Row],[ATUAL]])</f>
        <v>0</v>
      </c>
      <c r="X86" s="91">
        <f>SUMIFS(tabela_registros[VALOR],tabela_registros[MÊS],$AE$1,tabela_registros[DIA],receitasfixasconsolidadoago[[#Headers],[20]],tabela_registros[REGISTRO],DADOS!$N$3,tabela_registros[TIPO],DADOS!$V$3,tabela_registros[CATEGORIA],receitasfixasconsolidadoago[[#This Row],[ATUAL]])</f>
        <v>0</v>
      </c>
      <c r="Y86" s="91">
        <f>SUMIFS(tabela_registros[VALOR],tabela_registros[MÊS],$AE$1,tabela_registros[DIA],receitasfixasconsolidadoago[[#Headers],[21]],tabela_registros[REGISTRO],DADOS!$N$3,tabela_registros[TIPO],DADOS!$V$3,tabela_registros[CATEGORIA],receitasfixasconsolidadoago[[#This Row],[ATUAL]])</f>
        <v>0</v>
      </c>
      <c r="Z86" s="91">
        <f>SUMIFS(tabela_registros[VALOR],tabela_registros[MÊS],$AE$1,tabela_registros[DIA],receitasfixasconsolidadoago[[#Headers],[22]],tabela_registros[REGISTRO],DADOS!$N$3,tabela_registros[TIPO],DADOS!$V$3,tabela_registros[CATEGORIA],receitasfixasconsolidadoago[[#This Row],[ATUAL]])</f>
        <v>0</v>
      </c>
      <c r="AA86" s="91">
        <f>SUMIFS(tabela_registros[VALOR],tabela_registros[MÊS],$AE$1,tabela_registros[DIA],receitasfixasconsolidadoago[[#Headers],[23]],tabela_registros[REGISTRO],DADOS!$N$3,tabela_registros[TIPO],DADOS!$V$3,tabela_registros[CATEGORIA],receitasfixasconsolidadoago[[#This Row],[ATUAL]])</f>
        <v>0</v>
      </c>
      <c r="AB86" s="91">
        <f>SUMIFS(tabela_registros[VALOR],tabela_registros[MÊS],$AE$1,tabela_registros[DIA],receitasfixasconsolidadoago[[#Headers],[24]],tabela_registros[REGISTRO],DADOS!$N$3,tabela_registros[TIPO],DADOS!$V$3,tabela_registros[CATEGORIA],receitasfixasconsolidadoago[[#This Row],[ATUAL]])</f>
        <v>0</v>
      </c>
      <c r="AC86" s="91">
        <f>SUMIFS(tabela_registros[VALOR],tabela_registros[MÊS],$AE$1,tabela_registros[DIA],receitasfixasconsolidadoago[[#Headers],[25]],tabela_registros[REGISTRO],DADOS!$N$3,tabela_registros[TIPO],DADOS!$V$3,tabela_registros[CATEGORIA],receitasfixasconsolidadoago[[#This Row],[ATUAL]])</f>
        <v>0</v>
      </c>
      <c r="AD86" s="91">
        <f>SUMIFS(tabela_registros[VALOR],tabela_registros[MÊS],$AE$1,tabela_registros[DIA],receitasfixasconsolidadoago[[#Headers],[26]],tabela_registros[REGISTRO],DADOS!$N$3,tabela_registros[TIPO],DADOS!$V$3,tabela_registros[CATEGORIA],receitasfixasconsolidadoago[[#This Row],[ATUAL]])</f>
        <v>0</v>
      </c>
      <c r="AE86" s="91">
        <f>SUMIFS(tabela_registros[VALOR],tabela_registros[MÊS],$AE$1,tabela_registros[DIA],receitasfixasconsolidadoago[[#Headers],[27]],tabela_registros[REGISTRO],DADOS!$N$3,tabela_registros[TIPO],DADOS!$V$3,tabela_registros[CATEGORIA],receitasfixasconsolidadoago[[#This Row],[ATUAL]])</f>
        <v>0</v>
      </c>
      <c r="AF86" s="91">
        <f>SUMIFS(tabela_registros[VALOR],tabela_registros[MÊS],$AE$1,tabela_registros[DIA],receitasfixasconsolidadoago[[#Headers],[28]],tabela_registros[REGISTRO],DADOS!$N$3,tabela_registros[TIPO],DADOS!$V$3,tabela_registros[CATEGORIA],receitasfixasconsolidadoago[[#This Row],[ATUAL]])</f>
        <v>0</v>
      </c>
      <c r="AG86" s="91">
        <f>SUMIFS(tabela_registros[VALOR],tabela_registros[MÊS],$AE$1,tabela_registros[DIA],receitasfixasconsolidadoago[[#Headers],[29]],tabela_registros[REGISTRO],DADOS!$N$3,tabela_registros[TIPO],DADOS!$V$3,tabela_registros[CATEGORIA],receitasfixasconsolidadoago[[#This Row],[ATUAL]])</f>
        <v>0</v>
      </c>
      <c r="AH86" s="91">
        <f>SUMIFS(tabela_registros[VALOR],tabela_registros[MÊS],$AE$1,tabela_registros[DIA],receitasfixasconsolidadoago[[#Headers],[30]],tabela_registros[REGISTRO],DADOS!$N$3,tabela_registros[TIPO],DADOS!$V$3,tabela_registros[CATEGORIA],receitasfixasconsolidadoago[[#This Row],[ATUAL]])</f>
        <v>0</v>
      </c>
      <c r="AI86" s="102">
        <f>SUMIFS(tabela_registros[VALOR],tabela_registros[MÊS],$AE$1,tabela_registros[DIA],receitasfixasconsolidadoago[[#Headers],[31]],tabela_registros[REGISTRO],DADOS!$N$3,tabela_registros[TIPO],DADOS!$V$3,tabela_registros[CATEGORIA],receitasfixasconsolidadoago[[#This Row],[ATUAL]])</f>
        <v>0</v>
      </c>
      <c r="AJ86" s="97">
        <f>SUM(receitasfixasconsolidadoago[[#This Row],[1]:[31]])</f>
        <v>0</v>
      </c>
      <c r="AK86" s="25"/>
    </row>
    <row r="87" spans="2:37" s="16" customFormat="1" ht="21" customHeight="1" thickTop="1" thickBot="1" x14ac:dyDescent="0.35">
      <c r="B87" s="24"/>
      <c r="C87" s="23" t="s">
        <v>19</v>
      </c>
      <c r="D87" s="22"/>
      <c r="E87" s="21">
        <f>SUM(E82:E86)</f>
        <v>0</v>
      </c>
      <c r="F87" s="20">
        <f>SUM(F82:F86)+receitasfixasconsolidadoago[[#This Row],[1]]</f>
        <v>0</v>
      </c>
      <c r="G87" s="20">
        <f>SUM(G82:G86)+receitasfixasconsolidadoago[[#This Row],[2]]</f>
        <v>0</v>
      </c>
      <c r="H87" s="20">
        <f>SUM(H82:H86)+receitasfixasconsolidadoago[[#This Row],[3]]</f>
        <v>0</v>
      </c>
      <c r="I87" s="20">
        <f>SUM(I82:I86)+receitasfixasconsolidadoago[[#This Row],[4]]</f>
        <v>0</v>
      </c>
      <c r="J87" s="20">
        <f>SUM(J82:J86)+receitasfixasconsolidadoago[[#This Row],[5]]</f>
        <v>0</v>
      </c>
      <c r="K87" s="20">
        <f>SUM(K82:K86)+receitasfixasconsolidadoago[[#This Row],[6]]</f>
        <v>0</v>
      </c>
      <c r="L87" s="20">
        <f>SUM(L82:L86)+receitasfixasconsolidadoago[[#This Row],[7]]</f>
        <v>0</v>
      </c>
      <c r="M87" s="20">
        <f>SUM(M82:M86)+receitasfixasconsolidadoago[[#This Row],[8]]</f>
        <v>0</v>
      </c>
      <c r="N87" s="20">
        <f>SUM(N82:N86)+receitasfixasconsolidadoago[[#This Row],[9]]</f>
        <v>0</v>
      </c>
      <c r="O87" s="20">
        <f>SUM(O82:O86)+receitasfixasconsolidadoago[[#This Row],[10]]</f>
        <v>0</v>
      </c>
      <c r="P87" s="20">
        <f>SUM(P82:P86)+receitasfixasconsolidadoago[[#This Row],[11]]</f>
        <v>0</v>
      </c>
      <c r="Q87" s="20">
        <f>SUM(Q82:Q86)+receitasfixasconsolidadoago[[#This Row],[12]]</f>
        <v>0</v>
      </c>
      <c r="R87" s="20">
        <f>SUM(R82:R86)+receitasfixasconsolidadoago[[#This Row],[13]]</f>
        <v>0</v>
      </c>
      <c r="S87" s="20">
        <f>SUM(S82:S86)+receitasfixasconsolidadoago[[#This Row],[14]]</f>
        <v>0</v>
      </c>
      <c r="T87" s="20">
        <f>SUM(T82:T86)+receitasfixasconsolidadoago[[#This Row],[15]]</f>
        <v>0</v>
      </c>
      <c r="U87" s="20">
        <f>SUM(U82:U86)+receitasfixasconsolidadoago[[#This Row],[16]]</f>
        <v>0</v>
      </c>
      <c r="V87" s="20">
        <f>SUM(V82:V86)+receitasfixasconsolidadoago[[#This Row],[17]]</f>
        <v>0</v>
      </c>
      <c r="W87" s="20">
        <f>SUM(W82:W86)+receitasfixasconsolidadoago[[#This Row],[18]]</f>
        <v>0</v>
      </c>
      <c r="X87" s="20">
        <f>SUM(X82:X86)+receitasfixasconsolidadoago[[#This Row],[19]]</f>
        <v>2000</v>
      </c>
      <c r="Y87" s="20">
        <f>SUM(Y82:Y86)+receitasfixasconsolidadoago[[#This Row],[20]]</f>
        <v>2000</v>
      </c>
      <c r="Z87" s="20">
        <f>SUM(Z82:Z86)+receitasfixasconsolidadoago[[#This Row],[21]]</f>
        <v>2000</v>
      </c>
      <c r="AA87" s="20">
        <f>SUM(AA82:AA86)+receitasfixasconsolidadoago[[#This Row],[22]]</f>
        <v>2000</v>
      </c>
      <c r="AB87" s="20">
        <f>SUM(AB82:AB86)+receitasfixasconsolidadoago[[#This Row],[23]]</f>
        <v>2000</v>
      </c>
      <c r="AC87" s="20">
        <f>SUM(AC82:AC86)+receitasfixasconsolidadoago[[#This Row],[24]]</f>
        <v>2000</v>
      </c>
      <c r="AD87" s="20">
        <f>SUM(AD82:AD86)+receitasfixasconsolidadoago[[#This Row],[25]]</f>
        <v>2000</v>
      </c>
      <c r="AE87" s="20">
        <f>SUM(AE82:AE86)+receitasfixasconsolidadoago[[#This Row],[26]]</f>
        <v>2000</v>
      </c>
      <c r="AF87" s="20">
        <f>SUM(AF82:AF86)+receitasfixasconsolidadoago[[#This Row],[27]]</f>
        <v>2000</v>
      </c>
      <c r="AG87" s="20">
        <f>SUM(AG82:AG86)+receitasfixasconsolidadoago[[#This Row],[28]]</f>
        <v>2000</v>
      </c>
      <c r="AH87" s="20">
        <f>SUM(AH82:AH86)+receitasfixasconsolidadoago[[#This Row],[29]]</f>
        <v>2000</v>
      </c>
      <c r="AI87" s="19">
        <f>SUM(AI82:AI86)+receitasfixasconsolidadoago[[#This Row],[30]]</f>
        <v>2000</v>
      </c>
      <c r="AJ87" s="18">
        <f>receitasfixasconsolidadoago[[#This Row],[31]]</f>
        <v>2000</v>
      </c>
      <c r="AK87" s="17"/>
    </row>
    <row r="88" spans="2:37" ht="6.75" customHeight="1" thickTop="1" thickBot="1" x14ac:dyDescent="0.3">
      <c r="B88" s="15"/>
      <c r="C88" s="14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2"/>
      <c r="AJ88" s="11"/>
      <c r="AK88" s="10"/>
    </row>
    <row r="89" spans="2:37" ht="12.6" thickTop="1" x14ac:dyDescent="0.25">
      <c r="E89" s="37"/>
      <c r="AI89" s="4"/>
    </row>
    <row r="90" spans="2:37" x14ac:dyDescent="0.25">
      <c r="AI90" s="4"/>
    </row>
    <row r="91" spans="2:37" x14ac:dyDescent="0.25">
      <c r="AI91" s="4"/>
    </row>
    <row r="92" spans="2:37" ht="39.75" customHeight="1" x14ac:dyDescent="0.7">
      <c r="C92" s="36"/>
      <c r="E92" s="240"/>
      <c r="F92" s="240"/>
      <c r="G92" s="240"/>
      <c r="H92" s="240"/>
      <c r="I92" s="240"/>
      <c r="J92" s="240"/>
      <c r="K92" s="240"/>
      <c r="L92" s="240"/>
      <c r="M92" s="240"/>
      <c r="N92" s="240"/>
      <c r="O92" s="240"/>
      <c r="P92" s="240"/>
      <c r="Q92" s="240"/>
      <c r="R92" s="240"/>
      <c r="S92" s="240"/>
      <c r="T92" s="240"/>
      <c r="U92" s="240"/>
      <c r="V92" s="240"/>
      <c r="W92" s="240"/>
      <c r="X92" s="240"/>
      <c r="Y92" s="240"/>
      <c r="Z92" s="240"/>
      <c r="AA92" s="240"/>
      <c r="AB92" s="240"/>
      <c r="AC92" s="240"/>
      <c r="AD92" s="240"/>
      <c r="AE92" s="240"/>
      <c r="AF92" s="240"/>
      <c r="AG92" s="240"/>
      <c r="AH92" s="240"/>
      <c r="AI92" s="240"/>
      <c r="AJ92" s="32" t="s">
        <v>19</v>
      </c>
    </row>
    <row r="93" spans="2:37" ht="12.6" thickBot="1" x14ac:dyDescent="0.3">
      <c r="B93" s="35"/>
      <c r="AI93" s="4"/>
      <c r="AJ93" s="34" t="s">
        <v>202</v>
      </c>
    </row>
    <row r="94" spans="2:37" ht="6.75" customHeight="1" thickTop="1" thickBot="1" x14ac:dyDescent="0.3">
      <c r="B94" s="2"/>
      <c r="C94" s="14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2"/>
      <c r="AK94" s="33"/>
    </row>
    <row r="95" spans="2:37" ht="13.2" hidden="1" thickTop="1" thickBot="1" x14ac:dyDescent="0.3">
      <c r="B95" s="2"/>
      <c r="C95" s="31" t="s">
        <v>199</v>
      </c>
      <c r="D95" s="30" t="s">
        <v>198</v>
      </c>
      <c r="E95" s="30" t="s">
        <v>197</v>
      </c>
      <c r="F95" s="30" t="s">
        <v>196</v>
      </c>
      <c r="G95" s="30" t="s">
        <v>195</v>
      </c>
      <c r="H95" s="30" t="s">
        <v>194</v>
      </c>
      <c r="I95" s="30" t="s">
        <v>193</v>
      </c>
      <c r="J95" s="30" t="s">
        <v>192</v>
      </c>
      <c r="K95" s="30" t="s">
        <v>191</v>
      </c>
      <c r="L95" s="30" t="s">
        <v>190</v>
      </c>
      <c r="M95" s="30" t="s">
        <v>189</v>
      </c>
      <c r="N95" s="30" t="s">
        <v>188</v>
      </c>
      <c r="O95" s="30" t="s">
        <v>187</v>
      </c>
      <c r="P95" s="30" t="s">
        <v>186</v>
      </c>
      <c r="Q95" s="30" t="s">
        <v>185</v>
      </c>
      <c r="R95" s="30" t="s">
        <v>184</v>
      </c>
      <c r="S95" s="30" t="s">
        <v>183</v>
      </c>
      <c r="T95" s="30" t="s">
        <v>182</v>
      </c>
      <c r="U95" s="30" t="s">
        <v>181</v>
      </c>
      <c r="V95" s="30" t="s">
        <v>180</v>
      </c>
      <c r="W95" s="30" t="s">
        <v>179</v>
      </c>
      <c r="X95" s="30" t="s">
        <v>178</v>
      </c>
      <c r="Y95" s="30" t="s">
        <v>177</v>
      </c>
      <c r="Z95" s="30" t="s">
        <v>176</v>
      </c>
      <c r="AA95" s="30" t="s">
        <v>175</v>
      </c>
      <c r="AB95" s="30" t="s">
        <v>174</v>
      </c>
      <c r="AC95" s="30" t="s">
        <v>173</v>
      </c>
      <c r="AD95" s="30" t="s">
        <v>172</v>
      </c>
      <c r="AE95" s="30" t="s">
        <v>171</v>
      </c>
      <c r="AF95" s="30" t="s">
        <v>170</v>
      </c>
      <c r="AG95" s="30" t="s">
        <v>169</v>
      </c>
      <c r="AH95" s="30" t="s">
        <v>168</v>
      </c>
      <c r="AI95" s="30" t="s">
        <v>167</v>
      </c>
      <c r="AJ95" s="29" t="s">
        <v>166</v>
      </c>
      <c r="AK95" s="2"/>
    </row>
    <row r="96" spans="2:37" ht="19.5" customHeight="1" thickTop="1" thickBot="1" x14ac:dyDescent="0.3">
      <c r="B96" s="28"/>
      <c r="C96" s="27" t="str">
        <f>DADOS!$Z$3</f>
        <v>🏅 BÔNUS</v>
      </c>
      <c r="D96" s="26" t="str">
        <f>IF(receitasvariáveisconsolidadoago[[#This Row],[TOTAL (R$)]]=0,"",IF(OR(receitasvariáveisconsolidadoago[[#This Row],[TOTAL (R$)]]=LARGE($AJ$96:$AJ$103,1),receitasvariáveisconsolidadoago[[#This Row],[TOTAL (R$)]]=LARGE($AJ$96:$AJ$103,2)),DADOS!$I$9,""))</f>
        <v/>
      </c>
      <c r="E96" s="96">
        <f>SUMIFS(tabela_registros[VALOR],tabela_registros[MÊS],$AE$1,tabela_registros[DIA],receitasvariáveisconsolidadoago[[#Headers],[1]],tabela_registros[REGISTRO],DADOS!$N$3,tabela_registros[TIPO],DADOS!$V$4,tabela_registros[CATEGORIA],receitasvariáveisconsolidadoago[[#This Row],[ATUAL]])</f>
        <v>0</v>
      </c>
      <c r="F96" s="91">
        <f>SUMIFS(tabela_registros[VALOR],tabela_registros[MÊS],$AE$1,tabela_registros[DIA],receitasvariáveisconsolidadoago[[#Headers],[2]],tabela_registros[REGISTRO],DADOS!$N$3,tabela_registros[TIPO],DADOS!$V$4,tabela_registros[CATEGORIA],receitasvariáveisconsolidadoago[[#This Row],[ATUAL]])</f>
        <v>0</v>
      </c>
      <c r="G96" s="91">
        <f>SUMIFS(tabela_registros[VALOR],tabela_registros[MÊS],$AE$1,tabela_registros[DIA],receitasvariáveisconsolidadoago[[#Headers],[3]],tabela_registros[REGISTRO],DADOS!$N$3,tabela_registros[TIPO],DADOS!$V$4,tabela_registros[CATEGORIA],receitasvariáveisconsolidadoago[[#This Row],[ATUAL]])</f>
        <v>0</v>
      </c>
      <c r="H96" s="91">
        <f>SUMIFS(tabela_registros[VALOR],tabela_registros[MÊS],$AE$1,tabela_registros[DIA],receitasvariáveisconsolidadoago[[#Headers],[4]],tabela_registros[REGISTRO],DADOS!$N$3,tabela_registros[TIPO],DADOS!$V$4,tabela_registros[CATEGORIA],receitasvariáveisconsolidadoago[[#This Row],[ATUAL]])</f>
        <v>0</v>
      </c>
      <c r="I96" s="91">
        <f>SUMIFS(tabela_registros[VALOR],tabela_registros[MÊS],$AE$1,tabela_registros[DIA],receitasvariáveisconsolidadoago[[#Headers],[5]],tabela_registros[REGISTRO],DADOS!$N$3,tabela_registros[TIPO],DADOS!$V$4,tabela_registros[CATEGORIA],receitasvariáveisconsolidadoago[[#This Row],[ATUAL]])</f>
        <v>0</v>
      </c>
      <c r="J96" s="91">
        <f>SUMIFS(tabela_registros[VALOR],tabela_registros[MÊS],$AE$1,tabela_registros[DIA],receitasvariáveisconsolidadoago[[#Headers],[6]],tabela_registros[REGISTRO],DADOS!$N$3,tabela_registros[TIPO],DADOS!$V$4,tabela_registros[CATEGORIA],receitasvariáveisconsolidadoago[[#This Row],[ATUAL]])</f>
        <v>0</v>
      </c>
      <c r="K96" s="91">
        <f>SUMIFS(tabela_registros[VALOR],tabela_registros[MÊS],$AE$1,tabela_registros[DIA],receitasvariáveisconsolidadoago[[#Headers],[7]],tabela_registros[REGISTRO],DADOS!$N$3,tabela_registros[TIPO],DADOS!$V$4,tabela_registros[CATEGORIA],receitasvariáveisconsolidadoago[[#This Row],[ATUAL]])</f>
        <v>0</v>
      </c>
      <c r="L96" s="91">
        <f>SUMIFS(tabela_registros[VALOR],tabela_registros[MÊS],$AE$1,tabela_registros[DIA],receitasvariáveisconsolidadoago[[#Headers],[8]],tabela_registros[REGISTRO],DADOS!$N$3,tabela_registros[TIPO],DADOS!$V$4,tabela_registros[CATEGORIA],receitasvariáveisconsolidadoago[[#This Row],[ATUAL]])</f>
        <v>0</v>
      </c>
      <c r="M96" s="91">
        <f>SUMIFS(tabela_registros[VALOR],tabela_registros[MÊS],$AE$1,tabela_registros[DIA],receitasvariáveisconsolidadoago[[#Headers],[9]],tabela_registros[REGISTRO],DADOS!$N$3,tabela_registros[TIPO],DADOS!$V$4,tabela_registros[CATEGORIA],receitasvariáveisconsolidadoago[[#This Row],[ATUAL]])</f>
        <v>0</v>
      </c>
      <c r="N96" s="91">
        <f>SUMIFS(tabela_registros[VALOR],tabela_registros[MÊS],$AE$1,tabela_registros[DIA],receitasvariáveisconsolidadoago[[#Headers],[10]],tabela_registros[REGISTRO],DADOS!$N$3,tabela_registros[TIPO],DADOS!$V$4,tabela_registros[CATEGORIA],receitasvariáveisconsolidadoago[[#This Row],[ATUAL]])</f>
        <v>0</v>
      </c>
      <c r="O96" s="91">
        <f>SUMIFS(tabela_registros[VALOR],tabela_registros[MÊS],$AE$1,tabela_registros[DIA],receitasvariáveisconsolidadoago[[#Headers],[11]],tabela_registros[REGISTRO],DADOS!$N$3,tabela_registros[TIPO],DADOS!$V$4,tabela_registros[CATEGORIA],receitasvariáveisconsolidadoago[[#This Row],[ATUAL]])</f>
        <v>0</v>
      </c>
      <c r="P96" s="91">
        <f>SUMIFS(tabela_registros[VALOR],tabela_registros[MÊS],$AE$1,tabela_registros[DIA],receitasvariáveisconsolidadoago[[#Headers],[12]],tabela_registros[REGISTRO],DADOS!$N$3,tabela_registros[TIPO],DADOS!$V$4,tabela_registros[CATEGORIA],receitasvariáveisconsolidadoago[[#This Row],[ATUAL]])</f>
        <v>0</v>
      </c>
      <c r="Q96" s="91">
        <f>SUMIFS(tabela_registros[VALOR],tabela_registros[MÊS],$AE$1,tabela_registros[DIA],receitasvariáveisconsolidadoago[[#Headers],[13]],tabela_registros[REGISTRO],DADOS!$N$3,tabela_registros[TIPO],DADOS!$V$4,tabela_registros[CATEGORIA],receitasvariáveisconsolidadoago[[#This Row],[ATUAL]])</f>
        <v>0</v>
      </c>
      <c r="R96" s="91">
        <f>SUMIFS(tabela_registros[VALOR],tabela_registros[MÊS],$AE$1,tabela_registros[DIA],receitasvariáveisconsolidadoago[[#Headers],[14]],tabela_registros[REGISTRO],DADOS!$N$3,tabela_registros[TIPO],DADOS!$V$4,tabela_registros[CATEGORIA],receitasvariáveisconsolidadoago[[#This Row],[ATUAL]])</f>
        <v>0</v>
      </c>
      <c r="S96" s="91">
        <f>SUMIFS(tabela_registros[VALOR],tabela_registros[MÊS],$AE$1,tabela_registros[DIA],receitasvariáveisconsolidadoago[[#Headers],[15]],tabela_registros[REGISTRO],DADOS!$N$3,tabela_registros[TIPO],DADOS!$V$4,tabela_registros[CATEGORIA],receitasvariáveisconsolidadoago[[#This Row],[ATUAL]])</f>
        <v>0</v>
      </c>
      <c r="T96" s="91">
        <f>SUMIFS(tabela_registros[VALOR],tabela_registros[MÊS],$AE$1,tabela_registros[DIA],receitasvariáveisconsolidadoago[[#Headers],[16]],tabela_registros[REGISTRO],DADOS!$N$3,tabela_registros[TIPO],DADOS!$V$4,tabela_registros[CATEGORIA],receitasvariáveisconsolidadoago[[#This Row],[ATUAL]])</f>
        <v>0</v>
      </c>
      <c r="U96" s="91">
        <f>SUMIFS(tabela_registros[VALOR],tabela_registros[MÊS],$AE$1,tabela_registros[DIA],receitasvariáveisconsolidadoago[[#Headers],[17]],tabela_registros[REGISTRO],DADOS!$N$3,tabela_registros[TIPO],DADOS!$V$4,tabela_registros[CATEGORIA],receitasvariáveisconsolidadoago[[#This Row],[ATUAL]])</f>
        <v>0</v>
      </c>
      <c r="V96" s="91">
        <f>SUMIFS(tabela_registros[VALOR],tabela_registros[MÊS],$AE$1,tabela_registros[DIA],receitasvariáveisconsolidadoago[[#Headers],[18]],tabela_registros[REGISTRO],DADOS!$N$3,tabela_registros[TIPO],DADOS!$V$4,tabela_registros[CATEGORIA],receitasvariáveisconsolidadoago[[#This Row],[ATUAL]])</f>
        <v>0</v>
      </c>
      <c r="W96" s="91">
        <f>SUMIFS(tabela_registros[VALOR],tabela_registros[MÊS],$AE$1,tabela_registros[DIA],receitasvariáveisconsolidadoago[[#Headers],[19]],tabela_registros[REGISTRO],DADOS!$N$3,tabela_registros[TIPO],DADOS!$V$4,tabela_registros[CATEGORIA],receitasvariáveisconsolidadoago[[#This Row],[ATUAL]])</f>
        <v>0</v>
      </c>
      <c r="X96" s="91">
        <f>SUMIFS(tabela_registros[VALOR],tabela_registros[MÊS],$AE$1,tabela_registros[DIA],receitasvariáveisconsolidadoago[[#Headers],[20]],tabela_registros[REGISTRO],DADOS!$N$3,tabela_registros[TIPO],DADOS!$V$4,tabela_registros[CATEGORIA],receitasvariáveisconsolidadoago[[#This Row],[ATUAL]])</f>
        <v>0</v>
      </c>
      <c r="Y96" s="91">
        <f>SUMIFS(tabela_registros[VALOR],tabela_registros[MÊS],$AE$1,tabela_registros[DIA],receitasvariáveisconsolidadoago[[#Headers],[21]],tabela_registros[REGISTRO],DADOS!$N$3,tabela_registros[TIPO],DADOS!$V$4,tabela_registros[CATEGORIA],receitasvariáveisconsolidadoago[[#This Row],[ATUAL]])</f>
        <v>0</v>
      </c>
      <c r="Z96" s="91">
        <f>SUMIFS(tabela_registros[VALOR],tabela_registros[MÊS],$AE$1,tabela_registros[DIA],receitasvariáveisconsolidadoago[[#Headers],[22]],tabela_registros[REGISTRO],DADOS!$N$3,tabela_registros[TIPO],DADOS!$V$4,tabela_registros[CATEGORIA],receitasvariáveisconsolidadoago[[#This Row],[ATUAL]])</f>
        <v>0</v>
      </c>
      <c r="AA96" s="91">
        <f>SUMIFS(tabela_registros[VALOR],tabela_registros[MÊS],$AE$1,tabela_registros[DIA],receitasvariáveisconsolidadoago[[#Headers],[23]],tabela_registros[REGISTRO],DADOS!$N$3,tabela_registros[TIPO],DADOS!$V$4,tabela_registros[CATEGORIA],receitasvariáveisconsolidadoago[[#This Row],[ATUAL]])</f>
        <v>0</v>
      </c>
      <c r="AB96" s="91">
        <f>SUMIFS(tabela_registros[VALOR],tabela_registros[MÊS],$AE$1,tabela_registros[DIA],receitasvariáveisconsolidadoago[[#Headers],[24]],tabela_registros[REGISTRO],DADOS!$N$3,tabela_registros[TIPO],DADOS!$V$4,tabela_registros[CATEGORIA],receitasvariáveisconsolidadoago[[#This Row],[ATUAL]])</f>
        <v>0</v>
      </c>
      <c r="AC96" s="91">
        <f>SUMIFS(tabela_registros[VALOR],tabela_registros[MÊS],$AE$1,tabela_registros[DIA],receitasvariáveisconsolidadoago[[#Headers],[25]],tabela_registros[REGISTRO],DADOS!$N$3,tabela_registros[TIPO],DADOS!$V$4,tabela_registros[CATEGORIA],receitasvariáveisconsolidadoago[[#This Row],[ATUAL]])</f>
        <v>0</v>
      </c>
      <c r="AD96" s="91">
        <f>SUMIFS(tabela_registros[VALOR],tabela_registros[MÊS],$AE$1,tabela_registros[DIA],receitasvariáveisconsolidadoago[[#Headers],[26]],tabela_registros[REGISTRO],DADOS!$N$3,tabela_registros[TIPO],DADOS!$V$4,tabela_registros[CATEGORIA],receitasvariáveisconsolidadoago[[#This Row],[ATUAL]])</f>
        <v>0</v>
      </c>
      <c r="AE96" s="91">
        <f>SUMIFS(tabela_registros[VALOR],tabela_registros[MÊS],$AE$1,tabela_registros[DIA],receitasvariáveisconsolidadoago[[#Headers],[27]],tabela_registros[REGISTRO],DADOS!$N$3,tabela_registros[TIPO],DADOS!$V$4,tabela_registros[CATEGORIA],receitasvariáveisconsolidadoago[[#This Row],[ATUAL]])</f>
        <v>0</v>
      </c>
      <c r="AF96" s="91">
        <f>SUMIFS(tabela_registros[VALOR],tabela_registros[MÊS],$AE$1,tabela_registros[DIA],receitasvariáveisconsolidadoago[[#Headers],[28]],tabela_registros[REGISTRO],DADOS!$N$3,tabela_registros[TIPO],DADOS!$V$4,tabela_registros[CATEGORIA],receitasvariáveisconsolidadoago[[#This Row],[ATUAL]])</f>
        <v>0</v>
      </c>
      <c r="AG96" s="91">
        <f>SUMIFS(tabela_registros[VALOR],tabela_registros[MÊS],$AE$1,tabela_registros[DIA],receitasvariáveisconsolidadoago[[#Headers],[29]],tabela_registros[REGISTRO],DADOS!$N$3,tabela_registros[TIPO],DADOS!$V$4,tabela_registros[CATEGORIA],receitasvariáveisconsolidadoago[[#This Row],[ATUAL]])</f>
        <v>0</v>
      </c>
      <c r="AH96" s="91">
        <f>SUMIFS(tabela_registros[VALOR],tabela_registros[MÊS],$AE$1,tabela_registros[DIA],receitasvariáveisconsolidadoago[[#Headers],[30]],tabela_registros[REGISTRO],DADOS!$N$3,tabela_registros[TIPO],DADOS!$V$4,tabela_registros[CATEGORIA],receitasvariáveisconsolidadoago[[#This Row],[ATUAL]])</f>
        <v>0</v>
      </c>
      <c r="AI96" s="101">
        <f>SUMIFS(tabela_registros[VALOR],tabela_registros[MÊS],$AE$1,tabela_registros[DIA],receitasvariáveisconsolidadoago[[#Headers],[31]],tabela_registros[REGISTRO],DADOS!$N$3,tabela_registros[TIPO],DADOS!$V$4,tabela_registros[CATEGORIA],receitasvariáveisconsolidadoago[[#This Row],[ATUAL]])</f>
        <v>0</v>
      </c>
      <c r="AJ96" s="97">
        <f>SUM(receitasvariáveisconsolidadoago[[#This Row],[1]:[31]])</f>
        <v>0</v>
      </c>
      <c r="AK96" s="25"/>
    </row>
    <row r="97" spans="2:37" ht="19.5" customHeight="1" thickTop="1" thickBot="1" x14ac:dyDescent="0.3">
      <c r="B97" s="28"/>
      <c r="C97" s="27" t="str">
        <f>DADOS!$Z$4</f>
        <v>🤑 COMISSÃO</v>
      </c>
      <c r="D97" s="26" t="str">
        <f>IF(receitasvariáveisconsolidadoago[[#This Row],[TOTAL (R$)]]=0,"",IF(OR(receitasvariáveisconsolidadoago[[#This Row],[TOTAL (R$)]]=LARGE($AJ$96:$AJ$103,1),receitasvariáveisconsolidadoago[[#This Row],[TOTAL (R$)]]=LARGE($AJ$96:$AJ$103,2)),DADOS!$I$9,""))</f>
        <v/>
      </c>
      <c r="E97" s="96">
        <f>SUMIFS(tabela_registros[VALOR],tabela_registros[MÊS],$AE$1,tabela_registros[DIA],receitasvariáveisconsolidadoago[[#Headers],[1]],tabela_registros[REGISTRO],DADOS!$N$3,tabela_registros[TIPO],DADOS!$V$4,tabela_registros[CATEGORIA],receitasvariáveisconsolidadoago[[#This Row],[ATUAL]])</f>
        <v>0</v>
      </c>
      <c r="F97" s="91">
        <f>SUMIFS(tabela_registros[VALOR],tabela_registros[MÊS],$AE$1,tabela_registros[DIA],receitasvariáveisconsolidadoago[[#Headers],[2]],tabela_registros[REGISTRO],DADOS!$N$3,tabela_registros[TIPO],DADOS!$V$4,tabela_registros[CATEGORIA],receitasvariáveisconsolidadoago[[#This Row],[ATUAL]])</f>
        <v>0</v>
      </c>
      <c r="G97" s="91">
        <f>SUMIFS(tabela_registros[VALOR],tabela_registros[MÊS],$AE$1,tabela_registros[DIA],receitasvariáveisconsolidadoago[[#Headers],[3]],tabela_registros[REGISTRO],DADOS!$N$3,tabela_registros[TIPO],DADOS!$V$4,tabela_registros[CATEGORIA],receitasvariáveisconsolidadoago[[#This Row],[ATUAL]])</f>
        <v>0</v>
      </c>
      <c r="H97" s="91">
        <f>SUMIFS(tabela_registros[VALOR],tabela_registros[MÊS],$AE$1,tabela_registros[DIA],receitasvariáveisconsolidadoago[[#Headers],[4]],tabela_registros[REGISTRO],DADOS!$N$3,tabela_registros[TIPO],DADOS!$V$4,tabela_registros[CATEGORIA],receitasvariáveisconsolidadoago[[#This Row],[ATUAL]])</f>
        <v>0</v>
      </c>
      <c r="I97" s="91">
        <f>SUMIFS(tabela_registros[VALOR],tabela_registros[MÊS],$AE$1,tabela_registros[DIA],receitasvariáveisconsolidadoago[[#Headers],[5]],tabela_registros[REGISTRO],DADOS!$N$3,tabela_registros[TIPO],DADOS!$V$4,tabela_registros[CATEGORIA],receitasvariáveisconsolidadoago[[#This Row],[ATUAL]])</f>
        <v>0</v>
      </c>
      <c r="J97" s="91">
        <f>SUMIFS(tabela_registros[VALOR],tabela_registros[MÊS],$AE$1,tabela_registros[DIA],receitasvariáveisconsolidadoago[[#Headers],[6]],tabela_registros[REGISTRO],DADOS!$N$3,tabela_registros[TIPO],DADOS!$V$4,tabela_registros[CATEGORIA],receitasvariáveisconsolidadoago[[#This Row],[ATUAL]])</f>
        <v>0</v>
      </c>
      <c r="K97" s="91">
        <f>SUMIFS(tabela_registros[VALOR],tabela_registros[MÊS],$AE$1,tabela_registros[DIA],receitasvariáveisconsolidadoago[[#Headers],[7]],tabela_registros[REGISTRO],DADOS!$N$3,tabela_registros[TIPO],DADOS!$V$4,tabela_registros[CATEGORIA],receitasvariáveisconsolidadoago[[#This Row],[ATUAL]])</f>
        <v>0</v>
      </c>
      <c r="L97" s="91">
        <f>SUMIFS(tabela_registros[VALOR],tabela_registros[MÊS],$AE$1,tabela_registros[DIA],receitasvariáveisconsolidadoago[[#Headers],[8]],tabela_registros[REGISTRO],DADOS!$N$3,tabela_registros[TIPO],DADOS!$V$4,tabela_registros[CATEGORIA],receitasvariáveisconsolidadoago[[#This Row],[ATUAL]])</f>
        <v>0</v>
      </c>
      <c r="M97" s="91">
        <f>SUMIFS(tabela_registros[VALOR],tabela_registros[MÊS],$AE$1,tabela_registros[DIA],receitasvariáveisconsolidadoago[[#Headers],[9]],tabela_registros[REGISTRO],DADOS!$N$3,tabela_registros[TIPO],DADOS!$V$4,tabela_registros[CATEGORIA],receitasvariáveisconsolidadoago[[#This Row],[ATUAL]])</f>
        <v>0</v>
      </c>
      <c r="N97" s="91">
        <f>SUMIFS(tabela_registros[VALOR],tabela_registros[MÊS],$AE$1,tabela_registros[DIA],receitasvariáveisconsolidadoago[[#Headers],[10]],tabela_registros[REGISTRO],DADOS!$N$3,tabela_registros[TIPO],DADOS!$V$4,tabela_registros[CATEGORIA],receitasvariáveisconsolidadoago[[#This Row],[ATUAL]])</f>
        <v>0</v>
      </c>
      <c r="O97" s="91">
        <f>SUMIFS(tabela_registros[VALOR],tabela_registros[MÊS],$AE$1,tabela_registros[DIA],receitasvariáveisconsolidadoago[[#Headers],[11]],tabela_registros[REGISTRO],DADOS!$N$3,tabela_registros[TIPO],DADOS!$V$4,tabela_registros[CATEGORIA],receitasvariáveisconsolidadoago[[#This Row],[ATUAL]])</f>
        <v>0</v>
      </c>
      <c r="P97" s="91">
        <f>SUMIFS(tabela_registros[VALOR],tabela_registros[MÊS],$AE$1,tabela_registros[DIA],receitasvariáveisconsolidadoago[[#Headers],[12]],tabela_registros[REGISTRO],DADOS!$N$3,tabela_registros[TIPO],DADOS!$V$4,tabela_registros[CATEGORIA],receitasvariáveisconsolidadoago[[#This Row],[ATUAL]])</f>
        <v>0</v>
      </c>
      <c r="Q97" s="91">
        <f>SUMIFS(tabela_registros[VALOR],tabela_registros[MÊS],$AE$1,tabela_registros[DIA],receitasvariáveisconsolidadoago[[#Headers],[13]],tabela_registros[REGISTRO],DADOS!$N$3,tabela_registros[TIPO],DADOS!$V$4,tabela_registros[CATEGORIA],receitasvariáveisconsolidadoago[[#This Row],[ATUAL]])</f>
        <v>0</v>
      </c>
      <c r="R97" s="91">
        <f>SUMIFS(tabela_registros[VALOR],tabela_registros[MÊS],$AE$1,tabela_registros[DIA],receitasvariáveisconsolidadoago[[#Headers],[14]],tabela_registros[REGISTRO],DADOS!$N$3,tabela_registros[TIPO],DADOS!$V$4,tabela_registros[CATEGORIA],receitasvariáveisconsolidadoago[[#This Row],[ATUAL]])</f>
        <v>0</v>
      </c>
      <c r="S97" s="91">
        <f>SUMIFS(tabela_registros[VALOR],tabela_registros[MÊS],$AE$1,tabela_registros[DIA],receitasvariáveisconsolidadoago[[#Headers],[15]],tabela_registros[REGISTRO],DADOS!$N$3,tabela_registros[TIPO],DADOS!$V$4,tabela_registros[CATEGORIA],receitasvariáveisconsolidadoago[[#This Row],[ATUAL]])</f>
        <v>0</v>
      </c>
      <c r="T97" s="91">
        <f>SUMIFS(tabela_registros[VALOR],tabela_registros[MÊS],$AE$1,tabela_registros[DIA],receitasvariáveisconsolidadoago[[#Headers],[16]],tabela_registros[REGISTRO],DADOS!$N$3,tabela_registros[TIPO],DADOS!$V$4,tabela_registros[CATEGORIA],receitasvariáveisconsolidadoago[[#This Row],[ATUAL]])</f>
        <v>0</v>
      </c>
      <c r="U97" s="91">
        <f>SUMIFS(tabela_registros[VALOR],tabela_registros[MÊS],$AE$1,tabela_registros[DIA],receitasvariáveisconsolidadoago[[#Headers],[17]],tabela_registros[REGISTRO],DADOS!$N$3,tabela_registros[TIPO],DADOS!$V$4,tabela_registros[CATEGORIA],receitasvariáveisconsolidadoago[[#This Row],[ATUAL]])</f>
        <v>0</v>
      </c>
      <c r="V97" s="91">
        <f>SUMIFS(tabela_registros[VALOR],tabela_registros[MÊS],$AE$1,tabela_registros[DIA],receitasvariáveisconsolidadoago[[#Headers],[18]],tabela_registros[REGISTRO],DADOS!$N$3,tabela_registros[TIPO],DADOS!$V$4,tabela_registros[CATEGORIA],receitasvariáveisconsolidadoago[[#This Row],[ATUAL]])</f>
        <v>0</v>
      </c>
      <c r="W97" s="91">
        <f>SUMIFS(tabela_registros[VALOR],tabela_registros[MÊS],$AE$1,tabela_registros[DIA],receitasvariáveisconsolidadoago[[#Headers],[19]],tabela_registros[REGISTRO],DADOS!$N$3,tabela_registros[TIPO],DADOS!$V$4,tabela_registros[CATEGORIA],receitasvariáveisconsolidadoago[[#This Row],[ATUAL]])</f>
        <v>0</v>
      </c>
      <c r="X97" s="91">
        <f>SUMIFS(tabela_registros[VALOR],tabela_registros[MÊS],$AE$1,tabela_registros[DIA],receitasvariáveisconsolidadoago[[#Headers],[20]],tabela_registros[REGISTRO],DADOS!$N$3,tabela_registros[TIPO],DADOS!$V$4,tabela_registros[CATEGORIA],receitasvariáveisconsolidadoago[[#This Row],[ATUAL]])</f>
        <v>0</v>
      </c>
      <c r="Y97" s="91">
        <f>SUMIFS(tabela_registros[VALOR],tabela_registros[MÊS],$AE$1,tabela_registros[DIA],receitasvariáveisconsolidadoago[[#Headers],[21]],tabela_registros[REGISTRO],DADOS!$N$3,tabela_registros[TIPO],DADOS!$V$4,tabela_registros[CATEGORIA],receitasvariáveisconsolidadoago[[#This Row],[ATUAL]])</f>
        <v>0</v>
      </c>
      <c r="Z97" s="91">
        <f>SUMIFS(tabela_registros[VALOR],tabela_registros[MÊS],$AE$1,tabela_registros[DIA],receitasvariáveisconsolidadoago[[#Headers],[22]],tabela_registros[REGISTRO],DADOS!$N$3,tabela_registros[TIPO],DADOS!$V$4,tabela_registros[CATEGORIA],receitasvariáveisconsolidadoago[[#This Row],[ATUAL]])</f>
        <v>0</v>
      </c>
      <c r="AA97" s="91">
        <f>SUMIFS(tabela_registros[VALOR],tabela_registros[MÊS],$AE$1,tabela_registros[DIA],receitasvariáveisconsolidadoago[[#Headers],[23]],tabela_registros[REGISTRO],DADOS!$N$3,tabela_registros[TIPO],DADOS!$V$4,tabela_registros[CATEGORIA],receitasvariáveisconsolidadoago[[#This Row],[ATUAL]])</f>
        <v>0</v>
      </c>
      <c r="AB97" s="91">
        <f>SUMIFS(tabela_registros[VALOR],tabela_registros[MÊS],$AE$1,tabela_registros[DIA],receitasvariáveisconsolidadoago[[#Headers],[24]],tabela_registros[REGISTRO],DADOS!$N$3,tabela_registros[TIPO],DADOS!$V$4,tabela_registros[CATEGORIA],receitasvariáveisconsolidadoago[[#This Row],[ATUAL]])</f>
        <v>0</v>
      </c>
      <c r="AC97" s="91">
        <f>SUMIFS(tabela_registros[VALOR],tabela_registros[MÊS],$AE$1,tabela_registros[DIA],receitasvariáveisconsolidadoago[[#Headers],[25]],tabela_registros[REGISTRO],DADOS!$N$3,tabela_registros[TIPO],DADOS!$V$4,tabela_registros[CATEGORIA],receitasvariáveisconsolidadoago[[#This Row],[ATUAL]])</f>
        <v>0</v>
      </c>
      <c r="AD97" s="91">
        <f>SUMIFS(tabela_registros[VALOR],tabela_registros[MÊS],$AE$1,tabela_registros[DIA],receitasvariáveisconsolidadoago[[#Headers],[26]],tabela_registros[REGISTRO],DADOS!$N$3,tabela_registros[TIPO],DADOS!$V$4,tabela_registros[CATEGORIA],receitasvariáveisconsolidadoago[[#This Row],[ATUAL]])</f>
        <v>0</v>
      </c>
      <c r="AE97" s="91">
        <f>SUMIFS(tabela_registros[VALOR],tabela_registros[MÊS],$AE$1,tabela_registros[DIA],receitasvariáveisconsolidadoago[[#Headers],[27]],tabela_registros[REGISTRO],DADOS!$N$3,tabela_registros[TIPO],DADOS!$V$4,tabela_registros[CATEGORIA],receitasvariáveisconsolidadoago[[#This Row],[ATUAL]])</f>
        <v>0</v>
      </c>
      <c r="AF97" s="91">
        <f>SUMIFS(tabela_registros[VALOR],tabela_registros[MÊS],$AE$1,tabela_registros[DIA],receitasvariáveisconsolidadoago[[#Headers],[28]],tabela_registros[REGISTRO],DADOS!$N$3,tabela_registros[TIPO],DADOS!$V$4,tabela_registros[CATEGORIA],receitasvariáveisconsolidadoago[[#This Row],[ATUAL]])</f>
        <v>0</v>
      </c>
      <c r="AG97" s="91">
        <f>SUMIFS(tabela_registros[VALOR],tabela_registros[MÊS],$AE$1,tabela_registros[DIA],receitasvariáveisconsolidadoago[[#Headers],[29]],tabela_registros[REGISTRO],DADOS!$N$3,tabela_registros[TIPO],DADOS!$V$4,tabela_registros[CATEGORIA],receitasvariáveisconsolidadoago[[#This Row],[ATUAL]])</f>
        <v>0</v>
      </c>
      <c r="AH97" s="91">
        <f>SUMIFS(tabela_registros[VALOR],tabela_registros[MÊS],$AE$1,tabela_registros[DIA],receitasvariáveisconsolidadoago[[#Headers],[30]],tabela_registros[REGISTRO],DADOS!$N$3,tabela_registros[TIPO],DADOS!$V$4,tabela_registros[CATEGORIA],receitasvariáveisconsolidadoago[[#This Row],[ATUAL]])</f>
        <v>0</v>
      </c>
      <c r="AI97" s="101">
        <f>SUMIFS(tabela_registros[VALOR],tabela_registros[MÊS],$AE$1,tabela_registros[DIA],receitasvariáveisconsolidadoago[[#Headers],[31]],tabela_registros[REGISTRO],DADOS!$N$3,tabela_registros[TIPO],DADOS!$V$4,tabela_registros[CATEGORIA],receitasvariáveisconsolidadoago[[#This Row],[ATUAL]])</f>
        <v>0</v>
      </c>
      <c r="AJ97" s="97">
        <f>SUM(receitasvariáveisconsolidadoago[[#This Row],[1]:[31]])</f>
        <v>0</v>
      </c>
      <c r="AK97" s="25"/>
    </row>
    <row r="98" spans="2:37" ht="19.5" customHeight="1" thickTop="1" thickBot="1" x14ac:dyDescent="0.3">
      <c r="B98" s="28"/>
      <c r="C98" s="27" t="str">
        <f>DADOS!$Z$5</f>
        <v>🎗️ HERANÇA</v>
      </c>
      <c r="D98" s="26" t="str">
        <f>IF(receitasvariáveisconsolidadoago[[#This Row],[TOTAL (R$)]]=0,"",IF(OR(receitasvariáveisconsolidadoago[[#This Row],[TOTAL (R$)]]=LARGE($AJ$96:$AJ$103,1),receitasvariáveisconsolidadoago[[#This Row],[TOTAL (R$)]]=LARGE($AJ$96:$AJ$103,2)),DADOS!$I$9,""))</f>
        <v/>
      </c>
      <c r="E98" s="96">
        <f>SUMIFS(tabela_registros[VALOR],tabela_registros[MÊS],$AE$1,tabela_registros[DIA],receitasvariáveisconsolidadoago[[#Headers],[1]],tabela_registros[REGISTRO],DADOS!$N$3,tabela_registros[TIPO],DADOS!$V$4,tabela_registros[CATEGORIA],receitasvariáveisconsolidadoago[[#This Row],[ATUAL]])</f>
        <v>0</v>
      </c>
      <c r="F98" s="91">
        <f>SUMIFS(tabela_registros[VALOR],tabela_registros[MÊS],$AE$1,tabela_registros[DIA],receitasvariáveisconsolidadoago[[#Headers],[2]],tabela_registros[REGISTRO],DADOS!$N$3,tabela_registros[TIPO],DADOS!$V$4,tabela_registros[CATEGORIA],receitasvariáveisconsolidadoago[[#This Row],[ATUAL]])</f>
        <v>0</v>
      </c>
      <c r="G98" s="91">
        <f>SUMIFS(tabela_registros[VALOR],tabela_registros[MÊS],$AE$1,tabela_registros[DIA],receitasvariáveisconsolidadoago[[#Headers],[3]],tabela_registros[REGISTRO],DADOS!$N$3,tabela_registros[TIPO],DADOS!$V$4,tabela_registros[CATEGORIA],receitasvariáveisconsolidadoago[[#This Row],[ATUAL]])</f>
        <v>0</v>
      </c>
      <c r="H98" s="91">
        <f>SUMIFS(tabela_registros[VALOR],tabela_registros[MÊS],$AE$1,tabela_registros[DIA],receitasvariáveisconsolidadoago[[#Headers],[4]],tabela_registros[REGISTRO],DADOS!$N$3,tabela_registros[TIPO],DADOS!$V$4,tabela_registros[CATEGORIA],receitasvariáveisconsolidadoago[[#This Row],[ATUAL]])</f>
        <v>0</v>
      </c>
      <c r="I98" s="91">
        <f>SUMIFS(tabela_registros[VALOR],tabela_registros[MÊS],$AE$1,tabela_registros[DIA],receitasvariáveisconsolidadoago[[#Headers],[5]],tabela_registros[REGISTRO],DADOS!$N$3,tabela_registros[TIPO],DADOS!$V$4,tabela_registros[CATEGORIA],receitasvariáveisconsolidadoago[[#This Row],[ATUAL]])</f>
        <v>0</v>
      </c>
      <c r="J98" s="91">
        <f>SUMIFS(tabela_registros[VALOR],tabela_registros[MÊS],$AE$1,tabela_registros[DIA],receitasvariáveisconsolidadoago[[#Headers],[6]],tabela_registros[REGISTRO],DADOS!$N$3,tabela_registros[TIPO],DADOS!$V$4,tabela_registros[CATEGORIA],receitasvariáveisconsolidadoago[[#This Row],[ATUAL]])</f>
        <v>0</v>
      </c>
      <c r="K98" s="91">
        <f>SUMIFS(tabela_registros[VALOR],tabela_registros[MÊS],$AE$1,tabela_registros[DIA],receitasvariáveisconsolidadoago[[#Headers],[7]],tabela_registros[REGISTRO],DADOS!$N$3,tabela_registros[TIPO],DADOS!$V$4,tabela_registros[CATEGORIA],receitasvariáveisconsolidadoago[[#This Row],[ATUAL]])</f>
        <v>0</v>
      </c>
      <c r="L98" s="91">
        <f>SUMIFS(tabela_registros[VALOR],tabela_registros[MÊS],$AE$1,tabela_registros[DIA],receitasvariáveisconsolidadoago[[#Headers],[8]],tabela_registros[REGISTRO],DADOS!$N$3,tabela_registros[TIPO],DADOS!$V$4,tabela_registros[CATEGORIA],receitasvariáveisconsolidadoago[[#This Row],[ATUAL]])</f>
        <v>0</v>
      </c>
      <c r="M98" s="91">
        <f>SUMIFS(tabela_registros[VALOR],tabela_registros[MÊS],$AE$1,tabela_registros[DIA],receitasvariáveisconsolidadoago[[#Headers],[9]],tabela_registros[REGISTRO],DADOS!$N$3,tabela_registros[TIPO],DADOS!$V$4,tabela_registros[CATEGORIA],receitasvariáveisconsolidadoago[[#This Row],[ATUAL]])</f>
        <v>0</v>
      </c>
      <c r="N98" s="91">
        <f>SUMIFS(tabela_registros[VALOR],tabela_registros[MÊS],$AE$1,tabela_registros[DIA],receitasvariáveisconsolidadoago[[#Headers],[10]],tabela_registros[REGISTRO],DADOS!$N$3,tabela_registros[TIPO],DADOS!$V$4,tabela_registros[CATEGORIA],receitasvariáveisconsolidadoago[[#This Row],[ATUAL]])</f>
        <v>0</v>
      </c>
      <c r="O98" s="91">
        <f>SUMIFS(tabela_registros[VALOR],tabela_registros[MÊS],$AE$1,tabela_registros[DIA],receitasvariáveisconsolidadoago[[#Headers],[11]],tabela_registros[REGISTRO],DADOS!$N$3,tabela_registros[TIPO],DADOS!$V$4,tabela_registros[CATEGORIA],receitasvariáveisconsolidadoago[[#This Row],[ATUAL]])</f>
        <v>0</v>
      </c>
      <c r="P98" s="91">
        <f>SUMIFS(tabela_registros[VALOR],tabela_registros[MÊS],$AE$1,tabela_registros[DIA],receitasvariáveisconsolidadoago[[#Headers],[12]],tabela_registros[REGISTRO],DADOS!$N$3,tabela_registros[TIPO],DADOS!$V$4,tabela_registros[CATEGORIA],receitasvariáveisconsolidadoago[[#This Row],[ATUAL]])</f>
        <v>0</v>
      </c>
      <c r="Q98" s="91">
        <f>SUMIFS(tabela_registros[VALOR],tabela_registros[MÊS],$AE$1,tabela_registros[DIA],receitasvariáveisconsolidadoago[[#Headers],[13]],tabela_registros[REGISTRO],DADOS!$N$3,tabela_registros[TIPO],DADOS!$V$4,tabela_registros[CATEGORIA],receitasvariáveisconsolidadoago[[#This Row],[ATUAL]])</f>
        <v>0</v>
      </c>
      <c r="R98" s="91">
        <f>SUMIFS(tabela_registros[VALOR],tabela_registros[MÊS],$AE$1,tabela_registros[DIA],receitasvariáveisconsolidadoago[[#Headers],[14]],tabela_registros[REGISTRO],DADOS!$N$3,tabela_registros[TIPO],DADOS!$V$4,tabela_registros[CATEGORIA],receitasvariáveisconsolidadoago[[#This Row],[ATUAL]])</f>
        <v>0</v>
      </c>
      <c r="S98" s="91">
        <f>SUMIFS(tabela_registros[VALOR],tabela_registros[MÊS],$AE$1,tabela_registros[DIA],receitasvariáveisconsolidadoago[[#Headers],[15]],tabela_registros[REGISTRO],DADOS!$N$3,tabela_registros[TIPO],DADOS!$V$4,tabela_registros[CATEGORIA],receitasvariáveisconsolidadoago[[#This Row],[ATUAL]])</f>
        <v>0</v>
      </c>
      <c r="T98" s="91">
        <f>SUMIFS(tabela_registros[VALOR],tabela_registros[MÊS],$AE$1,tabela_registros[DIA],receitasvariáveisconsolidadoago[[#Headers],[16]],tabela_registros[REGISTRO],DADOS!$N$3,tabela_registros[TIPO],DADOS!$V$4,tabela_registros[CATEGORIA],receitasvariáveisconsolidadoago[[#This Row],[ATUAL]])</f>
        <v>0</v>
      </c>
      <c r="U98" s="91">
        <f>SUMIFS(tabela_registros[VALOR],tabela_registros[MÊS],$AE$1,tabela_registros[DIA],receitasvariáveisconsolidadoago[[#Headers],[17]],tabela_registros[REGISTRO],DADOS!$N$3,tabela_registros[TIPO],DADOS!$V$4,tabela_registros[CATEGORIA],receitasvariáveisconsolidadoago[[#This Row],[ATUAL]])</f>
        <v>0</v>
      </c>
      <c r="V98" s="91">
        <f>SUMIFS(tabela_registros[VALOR],tabela_registros[MÊS],$AE$1,tabela_registros[DIA],receitasvariáveisconsolidadoago[[#Headers],[18]],tabela_registros[REGISTRO],DADOS!$N$3,tabela_registros[TIPO],DADOS!$V$4,tabela_registros[CATEGORIA],receitasvariáveisconsolidadoago[[#This Row],[ATUAL]])</f>
        <v>0</v>
      </c>
      <c r="W98" s="91">
        <f>SUMIFS(tabela_registros[VALOR],tabela_registros[MÊS],$AE$1,tabela_registros[DIA],receitasvariáveisconsolidadoago[[#Headers],[19]],tabela_registros[REGISTRO],DADOS!$N$3,tabela_registros[TIPO],DADOS!$V$4,tabela_registros[CATEGORIA],receitasvariáveisconsolidadoago[[#This Row],[ATUAL]])</f>
        <v>0</v>
      </c>
      <c r="X98" s="91">
        <f>SUMIFS(tabela_registros[VALOR],tabela_registros[MÊS],$AE$1,tabela_registros[DIA],receitasvariáveisconsolidadoago[[#Headers],[20]],tabela_registros[REGISTRO],DADOS!$N$3,tabela_registros[TIPO],DADOS!$V$4,tabela_registros[CATEGORIA],receitasvariáveisconsolidadoago[[#This Row],[ATUAL]])</f>
        <v>0</v>
      </c>
      <c r="Y98" s="91">
        <f>SUMIFS(tabela_registros[VALOR],tabela_registros[MÊS],$AE$1,tabela_registros[DIA],receitasvariáveisconsolidadoago[[#Headers],[21]],tabela_registros[REGISTRO],DADOS!$N$3,tabela_registros[TIPO],DADOS!$V$4,tabela_registros[CATEGORIA],receitasvariáveisconsolidadoago[[#This Row],[ATUAL]])</f>
        <v>0</v>
      </c>
      <c r="Z98" s="91">
        <f>SUMIFS(tabela_registros[VALOR],tabela_registros[MÊS],$AE$1,tabela_registros[DIA],receitasvariáveisconsolidadoago[[#Headers],[22]],tabela_registros[REGISTRO],DADOS!$N$3,tabela_registros[TIPO],DADOS!$V$4,tabela_registros[CATEGORIA],receitasvariáveisconsolidadoago[[#This Row],[ATUAL]])</f>
        <v>0</v>
      </c>
      <c r="AA98" s="91">
        <f>SUMIFS(tabela_registros[VALOR],tabela_registros[MÊS],$AE$1,tabela_registros[DIA],receitasvariáveisconsolidadoago[[#Headers],[23]],tabela_registros[REGISTRO],DADOS!$N$3,tabela_registros[TIPO],DADOS!$V$4,tabela_registros[CATEGORIA],receitasvariáveisconsolidadoago[[#This Row],[ATUAL]])</f>
        <v>0</v>
      </c>
      <c r="AB98" s="91">
        <f>SUMIFS(tabela_registros[VALOR],tabela_registros[MÊS],$AE$1,tabela_registros[DIA],receitasvariáveisconsolidadoago[[#Headers],[24]],tabela_registros[REGISTRO],DADOS!$N$3,tabela_registros[TIPO],DADOS!$V$4,tabela_registros[CATEGORIA],receitasvariáveisconsolidadoago[[#This Row],[ATUAL]])</f>
        <v>0</v>
      </c>
      <c r="AC98" s="91">
        <f>SUMIFS(tabela_registros[VALOR],tabela_registros[MÊS],$AE$1,tabela_registros[DIA],receitasvariáveisconsolidadoago[[#Headers],[25]],tabela_registros[REGISTRO],DADOS!$N$3,tabela_registros[TIPO],DADOS!$V$4,tabela_registros[CATEGORIA],receitasvariáveisconsolidadoago[[#This Row],[ATUAL]])</f>
        <v>0</v>
      </c>
      <c r="AD98" s="91">
        <f>SUMIFS(tabela_registros[VALOR],tabela_registros[MÊS],$AE$1,tabela_registros[DIA],receitasvariáveisconsolidadoago[[#Headers],[26]],tabela_registros[REGISTRO],DADOS!$N$3,tabela_registros[TIPO],DADOS!$V$4,tabela_registros[CATEGORIA],receitasvariáveisconsolidadoago[[#This Row],[ATUAL]])</f>
        <v>0</v>
      </c>
      <c r="AE98" s="91">
        <f>SUMIFS(tabela_registros[VALOR],tabela_registros[MÊS],$AE$1,tabela_registros[DIA],receitasvariáveisconsolidadoago[[#Headers],[27]],tabela_registros[REGISTRO],DADOS!$N$3,tabela_registros[TIPO],DADOS!$V$4,tabela_registros[CATEGORIA],receitasvariáveisconsolidadoago[[#This Row],[ATUAL]])</f>
        <v>0</v>
      </c>
      <c r="AF98" s="91">
        <f>SUMIFS(tabela_registros[VALOR],tabela_registros[MÊS],$AE$1,tabela_registros[DIA],receitasvariáveisconsolidadoago[[#Headers],[28]],tabela_registros[REGISTRO],DADOS!$N$3,tabela_registros[TIPO],DADOS!$V$4,tabela_registros[CATEGORIA],receitasvariáveisconsolidadoago[[#This Row],[ATUAL]])</f>
        <v>0</v>
      </c>
      <c r="AG98" s="91">
        <f>SUMIFS(tabela_registros[VALOR],tabela_registros[MÊS],$AE$1,tabela_registros[DIA],receitasvariáveisconsolidadoago[[#Headers],[29]],tabela_registros[REGISTRO],DADOS!$N$3,tabela_registros[TIPO],DADOS!$V$4,tabela_registros[CATEGORIA],receitasvariáveisconsolidadoago[[#This Row],[ATUAL]])</f>
        <v>0</v>
      </c>
      <c r="AH98" s="91">
        <f>SUMIFS(tabela_registros[VALOR],tabela_registros[MÊS],$AE$1,tabela_registros[DIA],receitasvariáveisconsolidadoago[[#Headers],[30]],tabela_registros[REGISTRO],DADOS!$N$3,tabela_registros[TIPO],DADOS!$V$4,tabela_registros[CATEGORIA],receitasvariáveisconsolidadoago[[#This Row],[ATUAL]])</f>
        <v>0</v>
      </c>
      <c r="AI98" s="101">
        <f>SUMIFS(tabela_registros[VALOR],tabela_registros[MÊS],$AE$1,tabela_registros[DIA],receitasvariáveisconsolidadoago[[#Headers],[31]],tabela_registros[REGISTRO],DADOS!$N$3,tabela_registros[TIPO],DADOS!$V$4,tabela_registros[CATEGORIA],receitasvariáveisconsolidadoago[[#This Row],[ATUAL]])</f>
        <v>0</v>
      </c>
      <c r="AJ98" s="97">
        <f>SUM(receitasvariáveisconsolidadoago[[#This Row],[1]:[31]])</f>
        <v>0</v>
      </c>
      <c r="AK98" s="25"/>
    </row>
    <row r="99" spans="2:37" ht="19.5" customHeight="1" thickTop="1" thickBot="1" x14ac:dyDescent="0.3">
      <c r="B99" s="28"/>
      <c r="C99" s="27" t="str">
        <f>DADOS!$Z$6</f>
        <v>💲 INVESTIMENTOS</v>
      </c>
      <c r="D99" s="26" t="str">
        <f>IF(receitasvariáveisconsolidadoago[[#This Row],[TOTAL (R$)]]=0,"",IF(OR(receitasvariáveisconsolidadoago[[#This Row],[TOTAL (R$)]]=LARGE($AJ$96:$AJ$103,1),receitasvariáveisconsolidadoago[[#This Row],[TOTAL (R$)]]=LARGE($AJ$96:$AJ$103,2)),DADOS!$I$9,""))</f>
        <v>🐄</v>
      </c>
      <c r="E99" s="96">
        <f>SUMIFS(tabela_registros[VALOR],tabela_registros[MÊS],$AE$1,tabela_registros[DIA],receitasvariáveisconsolidadoago[[#Headers],[1]],tabela_registros[REGISTRO],DADOS!$N$3,tabela_registros[TIPO],DADOS!$V$4,tabela_registros[CATEGORIA],receitasvariáveisconsolidadoago[[#This Row],[ATUAL]])</f>
        <v>0</v>
      </c>
      <c r="F99" s="91">
        <f>SUMIFS(tabela_registros[VALOR],tabela_registros[MÊS],$AE$1,tabela_registros[DIA],receitasvariáveisconsolidadoago[[#Headers],[2]],tabela_registros[REGISTRO],DADOS!$N$3,tabela_registros[TIPO],DADOS!$V$4,tabela_registros[CATEGORIA],receitasvariáveisconsolidadoago[[#This Row],[ATUAL]])</f>
        <v>0</v>
      </c>
      <c r="G99" s="91">
        <f>SUMIFS(tabela_registros[VALOR],tabela_registros[MÊS],$AE$1,tabela_registros[DIA],receitasvariáveisconsolidadoago[[#Headers],[3]],tabela_registros[REGISTRO],DADOS!$N$3,tabela_registros[TIPO],DADOS!$V$4,tabela_registros[CATEGORIA],receitasvariáveisconsolidadoago[[#This Row],[ATUAL]])</f>
        <v>0</v>
      </c>
      <c r="H99" s="91">
        <f>SUMIFS(tabela_registros[VALOR],tabela_registros[MÊS],$AE$1,tabela_registros[DIA],receitasvariáveisconsolidadoago[[#Headers],[4]],tabela_registros[REGISTRO],DADOS!$N$3,tabela_registros[TIPO],DADOS!$V$4,tabela_registros[CATEGORIA],receitasvariáveisconsolidadoago[[#This Row],[ATUAL]])</f>
        <v>0</v>
      </c>
      <c r="I99" s="91">
        <f>SUMIFS(tabela_registros[VALOR],tabela_registros[MÊS],$AE$1,tabela_registros[DIA],receitasvariáveisconsolidadoago[[#Headers],[5]],tabela_registros[REGISTRO],DADOS!$N$3,tabela_registros[TIPO],DADOS!$V$4,tabela_registros[CATEGORIA],receitasvariáveisconsolidadoago[[#This Row],[ATUAL]])</f>
        <v>0</v>
      </c>
      <c r="J99" s="91">
        <f>SUMIFS(tabela_registros[VALOR],tabela_registros[MÊS],$AE$1,tabela_registros[DIA],receitasvariáveisconsolidadoago[[#Headers],[6]],tabela_registros[REGISTRO],DADOS!$N$3,tabela_registros[TIPO],DADOS!$V$4,tabela_registros[CATEGORIA],receitasvariáveisconsolidadoago[[#This Row],[ATUAL]])</f>
        <v>0</v>
      </c>
      <c r="K99" s="91">
        <f>SUMIFS(tabela_registros[VALOR],tabela_registros[MÊS],$AE$1,tabela_registros[DIA],receitasvariáveisconsolidadoago[[#Headers],[7]],tabela_registros[REGISTRO],DADOS!$N$3,tabela_registros[TIPO],DADOS!$V$4,tabela_registros[CATEGORIA],receitasvariáveisconsolidadoago[[#This Row],[ATUAL]])</f>
        <v>0</v>
      </c>
      <c r="L99" s="91">
        <f>SUMIFS(tabela_registros[VALOR],tabela_registros[MÊS],$AE$1,tabela_registros[DIA],receitasvariáveisconsolidadoago[[#Headers],[8]],tabela_registros[REGISTRO],DADOS!$N$3,tabela_registros[TIPO],DADOS!$V$4,tabela_registros[CATEGORIA],receitasvariáveisconsolidadoago[[#This Row],[ATUAL]])</f>
        <v>0</v>
      </c>
      <c r="M99" s="91">
        <f>SUMIFS(tabela_registros[VALOR],tabela_registros[MÊS],$AE$1,tabela_registros[DIA],receitasvariáveisconsolidadoago[[#Headers],[9]],tabela_registros[REGISTRO],DADOS!$N$3,tabela_registros[TIPO],DADOS!$V$4,tabela_registros[CATEGORIA],receitasvariáveisconsolidadoago[[#This Row],[ATUAL]])</f>
        <v>0</v>
      </c>
      <c r="N99" s="91">
        <f>SUMIFS(tabela_registros[VALOR],tabela_registros[MÊS],$AE$1,tabela_registros[DIA],receitasvariáveisconsolidadoago[[#Headers],[10]],tabela_registros[REGISTRO],DADOS!$N$3,tabela_registros[TIPO],DADOS!$V$4,tabela_registros[CATEGORIA],receitasvariáveisconsolidadoago[[#This Row],[ATUAL]])</f>
        <v>0</v>
      </c>
      <c r="O99" s="91">
        <f>SUMIFS(tabela_registros[VALOR],tabela_registros[MÊS],$AE$1,tabela_registros[DIA],receitasvariáveisconsolidadoago[[#Headers],[11]],tabela_registros[REGISTRO],DADOS!$N$3,tabela_registros[TIPO],DADOS!$V$4,tabela_registros[CATEGORIA],receitasvariáveisconsolidadoago[[#This Row],[ATUAL]])</f>
        <v>0</v>
      </c>
      <c r="P99" s="91">
        <f>SUMIFS(tabela_registros[VALOR],tabela_registros[MÊS],$AE$1,tabela_registros[DIA],receitasvariáveisconsolidadoago[[#Headers],[12]],tabela_registros[REGISTRO],DADOS!$N$3,tabela_registros[TIPO],DADOS!$V$4,tabela_registros[CATEGORIA],receitasvariáveisconsolidadoago[[#This Row],[ATUAL]])</f>
        <v>0</v>
      </c>
      <c r="Q99" s="91">
        <f>SUMIFS(tabela_registros[VALOR],tabela_registros[MÊS],$AE$1,tabela_registros[DIA],receitasvariáveisconsolidadoago[[#Headers],[13]],tabela_registros[REGISTRO],DADOS!$N$3,tabela_registros[TIPO],DADOS!$V$4,tabela_registros[CATEGORIA],receitasvariáveisconsolidadoago[[#This Row],[ATUAL]])</f>
        <v>0</v>
      </c>
      <c r="R99" s="91">
        <f>SUMIFS(tabela_registros[VALOR],tabela_registros[MÊS],$AE$1,tabela_registros[DIA],receitasvariáveisconsolidadoago[[#Headers],[14]],tabela_registros[REGISTRO],DADOS!$N$3,tabela_registros[TIPO],DADOS!$V$4,tabela_registros[CATEGORIA],receitasvariáveisconsolidadoago[[#This Row],[ATUAL]])</f>
        <v>0</v>
      </c>
      <c r="S99" s="91">
        <f>SUMIFS(tabela_registros[VALOR],tabela_registros[MÊS],$AE$1,tabela_registros[DIA],receitasvariáveisconsolidadoago[[#Headers],[15]],tabela_registros[REGISTRO],DADOS!$N$3,tabela_registros[TIPO],DADOS!$V$4,tabela_registros[CATEGORIA],receitasvariáveisconsolidadoago[[#This Row],[ATUAL]])</f>
        <v>148</v>
      </c>
      <c r="T99" s="91">
        <f>SUMIFS(tabela_registros[VALOR],tabela_registros[MÊS],$AE$1,tabela_registros[DIA],receitasvariáveisconsolidadoago[[#Headers],[16]],tabela_registros[REGISTRO],DADOS!$N$3,tabela_registros[TIPO],DADOS!$V$4,tabela_registros[CATEGORIA],receitasvariáveisconsolidadoago[[#This Row],[ATUAL]])</f>
        <v>0</v>
      </c>
      <c r="U99" s="91">
        <f>SUMIFS(tabela_registros[VALOR],tabela_registros[MÊS],$AE$1,tabela_registros[DIA],receitasvariáveisconsolidadoago[[#Headers],[17]],tabela_registros[REGISTRO],DADOS!$N$3,tabela_registros[TIPO],DADOS!$V$4,tabela_registros[CATEGORIA],receitasvariáveisconsolidadoago[[#This Row],[ATUAL]])</f>
        <v>0</v>
      </c>
      <c r="V99" s="91">
        <f>SUMIFS(tabela_registros[VALOR],tabela_registros[MÊS],$AE$1,tabela_registros[DIA],receitasvariáveisconsolidadoago[[#Headers],[18]],tabela_registros[REGISTRO],DADOS!$N$3,tabela_registros[TIPO],DADOS!$V$4,tabela_registros[CATEGORIA],receitasvariáveisconsolidadoago[[#This Row],[ATUAL]])</f>
        <v>0</v>
      </c>
      <c r="W99" s="91">
        <f>SUMIFS(tabela_registros[VALOR],tabela_registros[MÊS],$AE$1,tabela_registros[DIA],receitasvariáveisconsolidadoago[[#Headers],[19]],tabela_registros[REGISTRO],DADOS!$N$3,tabela_registros[TIPO],DADOS!$V$4,tabela_registros[CATEGORIA],receitasvariáveisconsolidadoago[[#This Row],[ATUAL]])</f>
        <v>0</v>
      </c>
      <c r="X99" s="91">
        <f>SUMIFS(tabela_registros[VALOR],tabela_registros[MÊS],$AE$1,tabela_registros[DIA],receitasvariáveisconsolidadoago[[#Headers],[20]],tabela_registros[REGISTRO],DADOS!$N$3,tabela_registros[TIPO],DADOS!$V$4,tabela_registros[CATEGORIA],receitasvariáveisconsolidadoago[[#This Row],[ATUAL]])</f>
        <v>0</v>
      </c>
      <c r="Y99" s="91">
        <f>SUMIFS(tabela_registros[VALOR],tabela_registros[MÊS],$AE$1,tabela_registros[DIA],receitasvariáveisconsolidadoago[[#Headers],[21]],tabela_registros[REGISTRO],DADOS!$N$3,tabela_registros[TIPO],DADOS!$V$4,tabela_registros[CATEGORIA],receitasvariáveisconsolidadoago[[#This Row],[ATUAL]])</f>
        <v>420</v>
      </c>
      <c r="Z99" s="91">
        <f>SUMIFS(tabela_registros[VALOR],tabela_registros[MÊS],$AE$1,tabela_registros[DIA],receitasvariáveisconsolidadoago[[#Headers],[22]],tabela_registros[REGISTRO],DADOS!$N$3,tabela_registros[TIPO],DADOS!$V$4,tabela_registros[CATEGORIA],receitasvariáveisconsolidadoago[[#This Row],[ATUAL]])</f>
        <v>0</v>
      </c>
      <c r="AA99" s="91">
        <f>SUMIFS(tabela_registros[VALOR],tabela_registros[MÊS],$AE$1,tabela_registros[DIA],receitasvariáveisconsolidadoago[[#Headers],[23]],tabela_registros[REGISTRO],DADOS!$N$3,tabela_registros[TIPO],DADOS!$V$4,tabela_registros[CATEGORIA],receitasvariáveisconsolidadoago[[#This Row],[ATUAL]])</f>
        <v>0</v>
      </c>
      <c r="AB99" s="91">
        <f>SUMIFS(tabela_registros[VALOR],tabela_registros[MÊS],$AE$1,tabela_registros[DIA],receitasvariáveisconsolidadoago[[#Headers],[24]],tabela_registros[REGISTRO],DADOS!$N$3,tabela_registros[TIPO],DADOS!$V$4,tabela_registros[CATEGORIA],receitasvariáveisconsolidadoago[[#This Row],[ATUAL]])</f>
        <v>0</v>
      </c>
      <c r="AC99" s="91">
        <f>SUMIFS(tabela_registros[VALOR],tabela_registros[MÊS],$AE$1,tabela_registros[DIA],receitasvariáveisconsolidadoago[[#Headers],[25]],tabela_registros[REGISTRO],DADOS!$N$3,tabela_registros[TIPO],DADOS!$V$4,tabela_registros[CATEGORIA],receitasvariáveisconsolidadoago[[#This Row],[ATUAL]])</f>
        <v>0</v>
      </c>
      <c r="AD99" s="91">
        <f>SUMIFS(tabela_registros[VALOR],tabela_registros[MÊS],$AE$1,tabela_registros[DIA],receitasvariáveisconsolidadoago[[#Headers],[26]],tabela_registros[REGISTRO],DADOS!$N$3,tabela_registros[TIPO],DADOS!$V$4,tabela_registros[CATEGORIA],receitasvariáveisconsolidadoago[[#This Row],[ATUAL]])</f>
        <v>0</v>
      </c>
      <c r="AE99" s="91">
        <f>SUMIFS(tabela_registros[VALOR],tabela_registros[MÊS],$AE$1,tabela_registros[DIA],receitasvariáveisconsolidadoago[[#Headers],[27]],tabela_registros[REGISTRO],DADOS!$N$3,tabela_registros[TIPO],DADOS!$V$4,tabela_registros[CATEGORIA],receitasvariáveisconsolidadoago[[#This Row],[ATUAL]])</f>
        <v>0</v>
      </c>
      <c r="AF99" s="91">
        <f>SUMIFS(tabela_registros[VALOR],tabela_registros[MÊS],$AE$1,tabela_registros[DIA],receitasvariáveisconsolidadoago[[#Headers],[28]],tabela_registros[REGISTRO],DADOS!$N$3,tabela_registros[TIPO],DADOS!$V$4,tabela_registros[CATEGORIA],receitasvariáveisconsolidadoago[[#This Row],[ATUAL]])</f>
        <v>0</v>
      </c>
      <c r="AG99" s="91">
        <f>SUMIFS(tabela_registros[VALOR],tabela_registros[MÊS],$AE$1,tabela_registros[DIA],receitasvariáveisconsolidadoago[[#Headers],[29]],tabela_registros[REGISTRO],DADOS!$N$3,tabela_registros[TIPO],DADOS!$V$4,tabela_registros[CATEGORIA],receitasvariáveisconsolidadoago[[#This Row],[ATUAL]])</f>
        <v>0</v>
      </c>
      <c r="AH99" s="91">
        <f>SUMIFS(tabela_registros[VALOR],tabela_registros[MÊS],$AE$1,tabela_registros[DIA],receitasvariáveisconsolidadoago[[#Headers],[30]],tabela_registros[REGISTRO],DADOS!$N$3,tabela_registros[TIPO],DADOS!$V$4,tabela_registros[CATEGORIA],receitasvariáveisconsolidadoago[[#This Row],[ATUAL]])</f>
        <v>0</v>
      </c>
      <c r="AI99" s="101">
        <f>SUMIFS(tabela_registros[VALOR],tabela_registros[MÊS],$AE$1,tabela_registros[DIA],receitasvariáveisconsolidadoago[[#Headers],[31]],tabela_registros[REGISTRO],DADOS!$N$3,tabela_registros[TIPO],DADOS!$V$4,tabela_registros[CATEGORIA],receitasvariáveisconsolidadoago[[#This Row],[ATUAL]])</f>
        <v>0</v>
      </c>
      <c r="AJ99" s="97">
        <f>SUM(receitasvariáveisconsolidadoago[[#This Row],[1]:[31]])</f>
        <v>568</v>
      </c>
      <c r="AK99" s="25"/>
    </row>
    <row r="100" spans="2:37" ht="19.5" customHeight="1" thickTop="1" thickBot="1" x14ac:dyDescent="0.3">
      <c r="B100" s="28"/>
      <c r="C100" s="27" t="str">
        <f>DADOS!$Z$7</f>
        <v>🧾 NOTA DE SERVIÇO</v>
      </c>
      <c r="D100" s="26" t="str">
        <f>IF(receitasvariáveisconsolidadoago[[#This Row],[TOTAL (R$)]]=0,"",IF(OR(receitasvariáveisconsolidadoago[[#This Row],[TOTAL (R$)]]=LARGE($AJ$96:$AJ$103,1),receitasvariáveisconsolidadoago[[#This Row],[TOTAL (R$)]]=LARGE($AJ$96:$AJ$103,2)),DADOS!$I$9,""))</f>
        <v/>
      </c>
      <c r="E100" s="96">
        <f>SUMIFS(tabela_registros[VALOR],tabela_registros[MÊS],$AE$1,tabela_registros[DIA],receitasvariáveisconsolidadoago[[#Headers],[1]],tabela_registros[REGISTRO],DADOS!$N$3,tabela_registros[TIPO],DADOS!$V$4,tabela_registros[CATEGORIA],receitasvariáveisconsolidadoago[[#This Row],[ATUAL]])</f>
        <v>0</v>
      </c>
      <c r="F100" s="91">
        <f>SUMIFS(tabela_registros[VALOR],tabela_registros[MÊS],$AE$1,tabela_registros[DIA],receitasvariáveisconsolidadoago[[#Headers],[2]],tabela_registros[REGISTRO],DADOS!$N$3,tabela_registros[TIPO],DADOS!$V$4,tabela_registros[CATEGORIA],receitasvariáveisconsolidadoago[[#This Row],[ATUAL]])</f>
        <v>0</v>
      </c>
      <c r="G100" s="91">
        <f>SUMIFS(tabela_registros[VALOR],tabela_registros[MÊS],$AE$1,tabela_registros[DIA],receitasvariáveisconsolidadoago[[#Headers],[3]],tabela_registros[REGISTRO],DADOS!$N$3,tabela_registros[TIPO],DADOS!$V$4,tabela_registros[CATEGORIA],receitasvariáveisconsolidadoago[[#This Row],[ATUAL]])</f>
        <v>0</v>
      </c>
      <c r="H100" s="91">
        <f>SUMIFS(tabela_registros[VALOR],tabela_registros[MÊS],$AE$1,tabela_registros[DIA],receitasvariáveisconsolidadoago[[#Headers],[4]],tabela_registros[REGISTRO],DADOS!$N$3,tabela_registros[TIPO],DADOS!$V$4,tabela_registros[CATEGORIA],receitasvariáveisconsolidadoago[[#This Row],[ATUAL]])</f>
        <v>0</v>
      </c>
      <c r="I100" s="91">
        <f>SUMIFS(tabela_registros[VALOR],tabela_registros[MÊS],$AE$1,tabela_registros[DIA],receitasvariáveisconsolidadoago[[#Headers],[5]],tabela_registros[REGISTRO],DADOS!$N$3,tabela_registros[TIPO],DADOS!$V$4,tabela_registros[CATEGORIA],receitasvariáveisconsolidadoago[[#This Row],[ATUAL]])</f>
        <v>0</v>
      </c>
      <c r="J100" s="91">
        <f>SUMIFS(tabela_registros[VALOR],tabela_registros[MÊS],$AE$1,tabela_registros[DIA],receitasvariáveisconsolidadoago[[#Headers],[6]],tabela_registros[REGISTRO],DADOS!$N$3,tabela_registros[TIPO],DADOS!$V$4,tabela_registros[CATEGORIA],receitasvariáveisconsolidadoago[[#This Row],[ATUAL]])</f>
        <v>0</v>
      </c>
      <c r="K100" s="91">
        <f>SUMIFS(tabela_registros[VALOR],tabela_registros[MÊS],$AE$1,tabela_registros[DIA],receitasvariáveisconsolidadoago[[#Headers],[7]],tabela_registros[REGISTRO],DADOS!$N$3,tabela_registros[TIPO],DADOS!$V$4,tabela_registros[CATEGORIA],receitasvariáveisconsolidadoago[[#This Row],[ATUAL]])</f>
        <v>0</v>
      </c>
      <c r="L100" s="91">
        <f>SUMIFS(tabela_registros[VALOR],tabela_registros[MÊS],$AE$1,tabela_registros[DIA],receitasvariáveisconsolidadoago[[#Headers],[8]],tabela_registros[REGISTRO],DADOS!$N$3,tabela_registros[TIPO],DADOS!$V$4,tabela_registros[CATEGORIA],receitasvariáveisconsolidadoago[[#This Row],[ATUAL]])</f>
        <v>0</v>
      </c>
      <c r="M100" s="91">
        <f>SUMIFS(tabela_registros[VALOR],tabela_registros[MÊS],$AE$1,tabela_registros[DIA],receitasvariáveisconsolidadoago[[#Headers],[9]],tabela_registros[REGISTRO],DADOS!$N$3,tabela_registros[TIPO],DADOS!$V$4,tabela_registros[CATEGORIA],receitasvariáveisconsolidadoago[[#This Row],[ATUAL]])</f>
        <v>0</v>
      </c>
      <c r="N100" s="91">
        <f>SUMIFS(tabela_registros[VALOR],tabela_registros[MÊS],$AE$1,tabela_registros[DIA],receitasvariáveisconsolidadoago[[#Headers],[10]],tabela_registros[REGISTRO],DADOS!$N$3,tabela_registros[TIPO],DADOS!$V$4,tabela_registros[CATEGORIA],receitasvariáveisconsolidadoago[[#This Row],[ATUAL]])</f>
        <v>0</v>
      </c>
      <c r="O100" s="91">
        <f>SUMIFS(tabela_registros[VALOR],tabela_registros[MÊS],$AE$1,tabela_registros[DIA],receitasvariáveisconsolidadoago[[#Headers],[11]],tabela_registros[REGISTRO],DADOS!$N$3,tabela_registros[TIPO],DADOS!$V$4,tabela_registros[CATEGORIA],receitasvariáveisconsolidadoago[[#This Row],[ATUAL]])</f>
        <v>0</v>
      </c>
      <c r="P100" s="91">
        <f>SUMIFS(tabela_registros[VALOR],tabela_registros[MÊS],$AE$1,tabela_registros[DIA],receitasvariáveisconsolidadoago[[#Headers],[12]],tabela_registros[REGISTRO],DADOS!$N$3,tabela_registros[TIPO],DADOS!$V$4,tabela_registros[CATEGORIA],receitasvariáveisconsolidadoago[[#This Row],[ATUAL]])</f>
        <v>0</v>
      </c>
      <c r="Q100" s="91">
        <f>SUMIFS(tabela_registros[VALOR],tabela_registros[MÊS],$AE$1,tabela_registros[DIA],receitasvariáveisconsolidadoago[[#Headers],[13]],tabela_registros[REGISTRO],DADOS!$N$3,tabela_registros[TIPO],DADOS!$V$4,tabela_registros[CATEGORIA],receitasvariáveisconsolidadoago[[#This Row],[ATUAL]])</f>
        <v>0</v>
      </c>
      <c r="R100" s="91">
        <f>SUMIFS(tabela_registros[VALOR],tabela_registros[MÊS],$AE$1,tabela_registros[DIA],receitasvariáveisconsolidadoago[[#Headers],[14]],tabela_registros[REGISTRO],DADOS!$N$3,tabela_registros[TIPO],DADOS!$V$4,tabela_registros[CATEGORIA],receitasvariáveisconsolidadoago[[#This Row],[ATUAL]])</f>
        <v>0</v>
      </c>
      <c r="S100" s="91">
        <f>SUMIFS(tabela_registros[VALOR],tabela_registros[MÊS],$AE$1,tabela_registros[DIA],receitasvariáveisconsolidadoago[[#Headers],[15]],tabela_registros[REGISTRO],DADOS!$N$3,tabela_registros[TIPO],DADOS!$V$4,tabela_registros[CATEGORIA],receitasvariáveisconsolidadoago[[#This Row],[ATUAL]])</f>
        <v>0</v>
      </c>
      <c r="T100" s="91">
        <f>SUMIFS(tabela_registros[VALOR],tabela_registros[MÊS],$AE$1,tabela_registros[DIA],receitasvariáveisconsolidadoago[[#Headers],[16]],tabela_registros[REGISTRO],DADOS!$N$3,tabela_registros[TIPO],DADOS!$V$4,tabela_registros[CATEGORIA],receitasvariáveisconsolidadoago[[#This Row],[ATUAL]])</f>
        <v>0</v>
      </c>
      <c r="U100" s="91">
        <f>SUMIFS(tabela_registros[VALOR],tabela_registros[MÊS],$AE$1,tabela_registros[DIA],receitasvariáveisconsolidadoago[[#Headers],[17]],tabela_registros[REGISTRO],DADOS!$N$3,tabela_registros[TIPO],DADOS!$V$4,tabela_registros[CATEGORIA],receitasvariáveisconsolidadoago[[#This Row],[ATUAL]])</f>
        <v>0</v>
      </c>
      <c r="V100" s="91">
        <f>SUMIFS(tabela_registros[VALOR],tabela_registros[MÊS],$AE$1,tabela_registros[DIA],receitasvariáveisconsolidadoago[[#Headers],[18]],tabela_registros[REGISTRO],DADOS!$N$3,tabela_registros[TIPO],DADOS!$V$4,tabela_registros[CATEGORIA],receitasvariáveisconsolidadoago[[#This Row],[ATUAL]])</f>
        <v>0</v>
      </c>
      <c r="W100" s="91">
        <f>SUMIFS(tabela_registros[VALOR],tabela_registros[MÊS],$AE$1,tabela_registros[DIA],receitasvariáveisconsolidadoago[[#Headers],[19]],tabela_registros[REGISTRO],DADOS!$N$3,tabela_registros[TIPO],DADOS!$V$4,tabela_registros[CATEGORIA],receitasvariáveisconsolidadoago[[#This Row],[ATUAL]])</f>
        <v>0</v>
      </c>
      <c r="X100" s="91">
        <f>SUMIFS(tabela_registros[VALOR],tabela_registros[MÊS],$AE$1,tabela_registros[DIA],receitasvariáveisconsolidadoago[[#Headers],[20]],tabela_registros[REGISTRO],DADOS!$N$3,tabela_registros[TIPO],DADOS!$V$4,tabela_registros[CATEGORIA],receitasvariáveisconsolidadoago[[#This Row],[ATUAL]])</f>
        <v>0</v>
      </c>
      <c r="Y100" s="91">
        <f>SUMIFS(tabela_registros[VALOR],tabela_registros[MÊS],$AE$1,tabela_registros[DIA],receitasvariáveisconsolidadoago[[#Headers],[21]],tabela_registros[REGISTRO],DADOS!$N$3,tabela_registros[TIPO],DADOS!$V$4,tabela_registros[CATEGORIA],receitasvariáveisconsolidadoago[[#This Row],[ATUAL]])</f>
        <v>0</v>
      </c>
      <c r="Z100" s="91">
        <f>SUMIFS(tabela_registros[VALOR],tabela_registros[MÊS],$AE$1,tabela_registros[DIA],receitasvariáveisconsolidadoago[[#Headers],[22]],tabela_registros[REGISTRO],DADOS!$N$3,tabela_registros[TIPO],DADOS!$V$4,tabela_registros[CATEGORIA],receitasvariáveisconsolidadoago[[#This Row],[ATUAL]])</f>
        <v>0</v>
      </c>
      <c r="AA100" s="91">
        <f>SUMIFS(tabela_registros[VALOR],tabela_registros[MÊS],$AE$1,tabela_registros[DIA],receitasvariáveisconsolidadoago[[#Headers],[23]],tabela_registros[REGISTRO],DADOS!$N$3,tabela_registros[TIPO],DADOS!$V$4,tabela_registros[CATEGORIA],receitasvariáveisconsolidadoago[[#This Row],[ATUAL]])</f>
        <v>0</v>
      </c>
      <c r="AB100" s="91">
        <f>SUMIFS(tabela_registros[VALOR],tabela_registros[MÊS],$AE$1,tabela_registros[DIA],receitasvariáveisconsolidadoago[[#Headers],[24]],tabela_registros[REGISTRO],DADOS!$N$3,tabela_registros[TIPO],DADOS!$V$4,tabela_registros[CATEGORIA],receitasvariáveisconsolidadoago[[#This Row],[ATUAL]])</f>
        <v>0</v>
      </c>
      <c r="AC100" s="91">
        <f>SUMIFS(tabela_registros[VALOR],tabela_registros[MÊS],$AE$1,tabela_registros[DIA],receitasvariáveisconsolidadoago[[#Headers],[25]],tabela_registros[REGISTRO],DADOS!$N$3,tabela_registros[TIPO],DADOS!$V$4,tabela_registros[CATEGORIA],receitasvariáveisconsolidadoago[[#This Row],[ATUAL]])</f>
        <v>0</v>
      </c>
      <c r="AD100" s="91">
        <f>SUMIFS(tabela_registros[VALOR],tabela_registros[MÊS],$AE$1,tabela_registros[DIA],receitasvariáveisconsolidadoago[[#Headers],[26]],tabela_registros[REGISTRO],DADOS!$N$3,tabela_registros[TIPO],DADOS!$V$4,tabela_registros[CATEGORIA],receitasvariáveisconsolidadoago[[#This Row],[ATUAL]])</f>
        <v>0</v>
      </c>
      <c r="AE100" s="91">
        <f>SUMIFS(tabela_registros[VALOR],tabela_registros[MÊS],$AE$1,tabela_registros[DIA],receitasvariáveisconsolidadoago[[#Headers],[27]],tabela_registros[REGISTRO],DADOS!$N$3,tabela_registros[TIPO],DADOS!$V$4,tabela_registros[CATEGORIA],receitasvariáveisconsolidadoago[[#This Row],[ATUAL]])</f>
        <v>0</v>
      </c>
      <c r="AF100" s="91">
        <f>SUMIFS(tabela_registros[VALOR],tabela_registros[MÊS],$AE$1,tabela_registros[DIA],receitasvariáveisconsolidadoago[[#Headers],[28]],tabela_registros[REGISTRO],DADOS!$N$3,tabela_registros[TIPO],DADOS!$V$4,tabela_registros[CATEGORIA],receitasvariáveisconsolidadoago[[#This Row],[ATUAL]])</f>
        <v>0</v>
      </c>
      <c r="AG100" s="91">
        <f>SUMIFS(tabela_registros[VALOR],tabela_registros[MÊS],$AE$1,tabela_registros[DIA],receitasvariáveisconsolidadoago[[#Headers],[29]],tabela_registros[REGISTRO],DADOS!$N$3,tabela_registros[TIPO],DADOS!$V$4,tabela_registros[CATEGORIA],receitasvariáveisconsolidadoago[[#This Row],[ATUAL]])</f>
        <v>0</v>
      </c>
      <c r="AH100" s="91">
        <f>SUMIFS(tabela_registros[VALOR],tabela_registros[MÊS],$AE$1,tabela_registros[DIA],receitasvariáveisconsolidadoago[[#Headers],[30]],tabela_registros[REGISTRO],DADOS!$N$3,tabela_registros[TIPO],DADOS!$V$4,tabela_registros[CATEGORIA],receitasvariáveisconsolidadoago[[#This Row],[ATUAL]])</f>
        <v>0</v>
      </c>
      <c r="AI100" s="101">
        <f>SUMIFS(tabela_registros[VALOR],tabela_registros[MÊS],$AE$1,tabela_registros[DIA],receitasvariáveisconsolidadoago[[#Headers],[31]],tabela_registros[REGISTRO],DADOS!$N$3,tabela_registros[TIPO],DADOS!$V$4,tabela_registros[CATEGORIA],receitasvariáveisconsolidadoago[[#This Row],[ATUAL]])</f>
        <v>0</v>
      </c>
      <c r="AJ100" s="104">
        <f>SUM(receitasvariáveisconsolidadoago[[#This Row],[1]:[31]])</f>
        <v>0</v>
      </c>
      <c r="AK100" s="25"/>
    </row>
    <row r="101" spans="2:37" ht="19.5" customHeight="1" thickTop="1" thickBot="1" x14ac:dyDescent="0.3">
      <c r="B101" s="28"/>
      <c r="C101" s="27" t="str">
        <f>DADOS!$Z$8</f>
        <v>🎁 PRESENTE</v>
      </c>
      <c r="D101" s="26" t="str">
        <f>IF(receitasvariáveisconsolidadoago[[#This Row],[TOTAL (R$)]]=0,"",IF(OR(receitasvariáveisconsolidadoago[[#This Row],[TOTAL (R$)]]=LARGE($AJ$96:$AJ$103,1),receitasvariáveisconsolidadoago[[#This Row],[TOTAL (R$)]]=LARGE($AJ$96:$AJ$103,2)),DADOS!$I$9,""))</f>
        <v/>
      </c>
      <c r="E101" s="96">
        <f>SUMIFS(tabela_registros[VALOR],tabela_registros[MÊS],$AE$1,tabela_registros[DIA],receitasvariáveisconsolidadoago[[#Headers],[1]],tabela_registros[REGISTRO],DADOS!$N$3,tabela_registros[TIPO],DADOS!$V$4,tabela_registros[CATEGORIA],receitasvariáveisconsolidadoago[[#This Row],[ATUAL]])</f>
        <v>0</v>
      </c>
      <c r="F101" s="91">
        <f>SUMIFS(tabela_registros[VALOR],tabela_registros[MÊS],$AE$1,tabela_registros[DIA],receitasvariáveisconsolidadoago[[#Headers],[2]],tabela_registros[REGISTRO],DADOS!$N$3,tabela_registros[TIPO],DADOS!$V$4,tabela_registros[CATEGORIA],receitasvariáveisconsolidadoago[[#This Row],[ATUAL]])</f>
        <v>0</v>
      </c>
      <c r="G101" s="91">
        <f>SUMIFS(tabela_registros[VALOR],tabela_registros[MÊS],$AE$1,tabela_registros[DIA],receitasvariáveisconsolidadoago[[#Headers],[3]],tabela_registros[REGISTRO],DADOS!$N$3,tabela_registros[TIPO],DADOS!$V$4,tabela_registros[CATEGORIA],receitasvariáveisconsolidadoago[[#This Row],[ATUAL]])</f>
        <v>0</v>
      </c>
      <c r="H101" s="91">
        <f>SUMIFS(tabela_registros[VALOR],tabela_registros[MÊS],$AE$1,tabela_registros[DIA],receitasvariáveisconsolidadoago[[#Headers],[4]],tabela_registros[REGISTRO],DADOS!$N$3,tabela_registros[TIPO],DADOS!$V$4,tabela_registros[CATEGORIA],receitasvariáveisconsolidadoago[[#This Row],[ATUAL]])</f>
        <v>0</v>
      </c>
      <c r="I101" s="91">
        <f>SUMIFS(tabela_registros[VALOR],tabela_registros[MÊS],$AE$1,tabela_registros[DIA],receitasvariáveisconsolidadoago[[#Headers],[5]],tabela_registros[REGISTRO],DADOS!$N$3,tabela_registros[TIPO],DADOS!$V$4,tabela_registros[CATEGORIA],receitasvariáveisconsolidadoago[[#This Row],[ATUAL]])</f>
        <v>0</v>
      </c>
      <c r="J101" s="91">
        <f>SUMIFS(tabela_registros[VALOR],tabela_registros[MÊS],$AE$1,tabela_registros[DIA],receitasvariáveisconsolidadoago[[#Headers],[6]],tabela_registros[REGISTRO],DADOS!$N$3,tabela_registros[TIPO],DADOS!$V$4,tabela_registros[CATEGORIA],receitasvariáveisconsolidadoago[[#This Row],[ATUAL]])</f>
        <v>0</v>
      </c>
      <c r="K101" s="91">
        <f>SUMIFS(tabela_registros[VALOR],tabela_registros[MÊS],$AE$1,tabela_registros[DIA],receitasvariáveisconsolidadoago[[#Headers],[7]],tabela_registros[REGISTRO],DADOS!$N$3,tabela_registros[TIPO],DADOS!$V$4,tabela_registros[CATEGORIA],receitasvariáveisconsolidadoago[[#This Row],[ATUAL]])</f>
        <v>0</v>
      </c>
      <c r="L101" s="91">
        <f>SUMIFS(tabela_registros[VALOR],tabela_registros[MÊS],$AE$1,tabela_registros[DIA],receitasvariáveisconsolidadoago[[#Headers],[8]],tabela_registros[REGISTRO],DADOS!$N$3,tabela_registros[TIPO],DADOS!$V$4,tabela_registros[CATEGORIA],receitasvariáveisconsolidadoago[[#This Row],[ATUAL]])</f>
        <v>0</v>
      </c>
      <c r="M101" s="91">
        <f>SUMIFS(tabela_registros[VALOR],tabela_registros[MÊS],$AE$1,tabela_registros[DIA],receitasvariáveisconsolidadoago[[#Headers],[9]],tabela_registros[REGISTRO],DADOS!$N$3,tabela_registros[TIPO],DADOS!$V$4,tabela_registros[CATEGORIA],receitasvariáveisconsolidadoago[[#This Row],[ATUAL]])</f>
        <v>0</v>
      </c>
      <c r="N101" s="91">
        <f>SUMIFS(tabela_registros[VALOR],tabela_registros[MÊS],$AE$1,tabela_registros[DIA],receitasvariáveisconsolidadoago[[#Headers],[10]],tabela_registros[REGISTRO],DADOS!$N$3,tabela_registros[TIPO],DADOS!$V$4,tabela_registros[CATEGORIA],receitasvariáveisconsolidadoago[[#This Row],[ATUAL]])</f>
        <v>0</v>
      </c>
      <c r="O101" s="91">
        <f>SUMIFS(tabela_registros[VALOR],tabela_registros[MÊS],$AE$1,tabela_registros[DIA],receitasvariáveisconsolidadoago[[#Headers],[11]],tabela_registros[REGISTRO],DADOS!$N$3,tabela_registros[TIPO],DADOS!$V$4,tabela_registros[CATEGORIA],receitasvariáveisconsolidadoago[[#This Row],[ATUAL]])</f>
        <v>0</v>
      </c>
      <c r="P101" s="91">
        <f>SUMIFS(tabela_registros[VALOR],tabela_registros[MÊS],$AE$1,tabela_registros[DIA],receitasvariáveisconsolidadoago[[#Headers],[12]],tabela_registros[REGISTRO],DADOS!$N$3,tabela_registros[TIPO],DADOS!$V$4,tabela_registros[CATEGORIA],receitasvariáveisconsolidadoago[[#This Row],[ATUAL]])</f>
        <v>0</v>
      </c>
      <c r="Q101" s="91">
        <f>SUMIFS(tabela_registros[VALOR],tabela_registros[MÊS],$AE$1,tabela_registros[DIA],receitasvariáveisconsolidadoago[[#Headers],[13]],tabela_registros[REGISTRO],DADOS!$N$3,tabela_registros[TIPO],DADOS!$V$4,tabela_registros[CATEGORIA],receitasvariáveisconsolidadoago[[#This Row],[ATUAL]])</f>
        <v>0</v>
      </c>
      <c r="R101" s="91">
        <f>SUMIFS(tabela_registros[VALOR],tabela_registros[MÊS],$AE$1,tabela_registros[DIA],receitasvariáveisconsolidadoago[[#Headers],[14]],tabela_registros[REGISTRO],DADOS!$N$3,tabela_registros[TIPO],DADOS!$V$4,tabela_registros[CATEGORIA],receitasvariáveisconsolidadoago[[#This Row],[ATUAL]])</f>
        <v>0</v>
      </c>
      <c r="S101" s="91">
        <f>SUMIFS(tabela_registros[VALOR],tabela_registros[MÊS],$AE$1,tabela_registros[DIA],receitasvariáveisconsolidadoago[[#Headers],[15]],tabela_registros[REGISTRO],DADOS!$N$3,tabela_registros[TIPO],DADOS!$V$4,tabela_registros[CATEGORIA],receitasvariáveisconsolidadoago[[#This Row],[ATUAL]])</f>
        <v>0</v>
      </c>
      <c r="T101" s="91">
        <f>SUMIFS(tabela_registros[VALOR],tabela_registros[MÊS],$AE$1,tabela_registros[DIA],receitasvariáveisconsolidadoago[[#Headers],[16]],tabela_registros[REGISTRO],DADOS!$N$3,tabela_registros[TIPO],DADOS!$V$4,tabela_registros[CATEGORIA],receitasvariáveisconsolidadoago[[#This Row],[ATUAL]])</f>
        <v>0</v>
      </c>
      <c r="U101" s="91">
        <f>SUMIFS(tabela_registros[VALOR],tabela_registros[MÊS],$AE$1,tabela_registros[DIA],receitasvariáveisconsolidadoago[[#Headers],[17]],tabela_registros[REGISTRO],DADOS!$N$3,tabela_registros[TIPO],DADOS!$V$4,tabela_registros[CATEGORIA],receitasvariáveisconsolidadoago[[#This Row],[ATUAL]])</f>
        <v>0</v>
      </c>
      <c r="V101" s="91">
        <f>SUMIFS(tabela_registros[VALOR],tabela_registros[MÊS],$AE$1,tabela_registros[DIA],receitasvariáveisconsolidadoago[[#Headers],[18]],tabela_registros[REGISTRO],DADOS!$N$3,tabela_registros[TIPO],DADOS!$V$4,tabela_registros[CATEGORIA],receitasvariáveisconsolidadoago[[#This Row],[ATUAL]])</f>
        <v>0</v>
      </c>
      <c r="W101" s="91">
        <f>SUMIFS(tabela_registros[VALOR],tabela_registros[MÊS],$AE$1,tabela_registros[DIA],receitasvariáveisconsolidadoago[[#Headers],[19]],tabela_registros[REGISTRO],DADOS!$N$3,tabela_registros[TIPO],DADOS!$V$4,tabela_registros[CATEGORIA],receitasvariáveisconsolidadoago[[#This Row],[ATUAL]])</f>
        <v>0</v>
      </c>
      <c r="X101" s="91">
        <f>SUMIFS(tabela_registros[VALOR],tabela_registros[MÊS],$AE$1,tabela_registros[DIA],receitasvariáveisconsolidadoago[[#Headers],[20]],tabela_registros[REGISTRO],DADOS!$N$3,tabela_registros[TIPO],DADOS!$V$4,tabela_registros[CATEGORIA],receitasvariáveisconsolidadoago[[#This Row],[ATUAL]])</f>
        <v>0</v>
      </c>
      <c r="Y101" s="91">
        <f>SUMIFS(tabela_registros[VALOR],tabela_registros[MÊS],$AE$1,tabela_registros[DIA],receitasvariáveisconsolidadoago[[#Headers],[21]],tabela_registros[REGISTRO],DADOS!$N$3,tabela_registros[TIPO],DADOS!$V$4,tabela_registros[CATEGORIA],receitasvariáveisconsolidadoago[[#This Row],[ATUAL]])</f>
        <v>0</v>
      </c>
      <c r="Z101" s="91">
        <f>SUMIFS(tabela_registros[VALOR],tabela_registros[MÊS],$AE$1,tabela_registros[DIA],receitasvariáveisconsolidadoago[[#Headers],[22]],tabela_registros[REGISTRO],DADOS!$N$3,tabela_registros[TIPO],DADOS!$V$4,tabela_registros[CATEGORIA],receitasvariáveisconsolidadoago[[#This Row],[ATUAL]])</f>
        <v>0</v>
      </c>
      <c r="AA101" s="91">
        <f>SUMIFS(tabela_registros[VALOR],tabela_registros[MÊS],$AE$1,tabela_registros[DIA],receitasvariáveisconsolidadoago[[#Headers],[23]],tabela_registros[REGISTRO],DADOS!$N$3,tabela_registros[TIPO],DADOS!$V$4,tabela_registros[CATEGORIA],receitasvariáveisconsolidadoago[[#This Row],[ATUAL]])</f>
        <v>0</v>
      </c>
      <c r="AB101" s="91">
        <f>SUMIFS(tabela_registros[VALOR],tabela_registros[MÊS],$AE$1,tabela_registros[DIA],receitasvariáveisconsolidadoago[[#Headers],[24]],tabela_registros[REGISTRO],DADOS!$N$3,tabela_registros[TIPO],DADOS!$V$4,tabela_registros[CATEGORIA],receitasvariáveisconsolidadoago[[#This Row],[ATUAL]])</f>
        <v>0</v>
      </c>
      <c r="AC101" s="91">
        <f>SUMIFS(tabela_registros[VALOR],tabela_registros[MÊS],$AE$1,tabela_registros[DIA],receitasvariáveisconsolidadoago[[#Headers],[25]],tabela_registros[REGISTRO],DADOS!$N$3,tabela_registros[TIPO],DADOS!$V$4,tabela_registros[CATEGORIA],receitasvariáveisconsolidadoago[[#This Row],[ATUAL]])</f>
        <v>0</v>
      </c>
      <c r="AD101" s="91">
        <f>SUMIFS(tabela_registros[VALOR],tabela_registros[MÊS],$AE$1,tabela_registros[DIA],receitasvariáveisconsolidadoago[[#Headers],[26]],tabela_registros[REGISTRO],DADOS!$N$3,tabela_registros[TIPO],DADOS!$V$4,tabela_registros[CATEGORIA],receitasvariáveisconsolidadoago[[#This Row],[ATUAL]])</f>
        <v>0</v>
      </c>
      <c r="AE101" s="91">
        <f>SUMIFS(tabela_registros[VALOR],tabela_registros[MÊS],$AE$1,tabela_registros[DIA],receitasvariáveisconsolidadoago[[#Headers],[27]],tabela_registros[REGISTRO],DADOS!$N$3,tabela_registros[TIPO],DADOS!$V$4,tabela_registros[CATEGORIA],receitasvariáveisconsolidadoago[[#This Row],[ATUAL]])</f>
        <v>0</v>
      </c>
      <c r="AF101" s="91">
        <f>SUMIFS(tabela_registros[VALOR],tabela_registros[MÊS],$AE$1,tabela_registros[DIA],receitasvariáveisconsolidadoago[[#Headers],[28]],tabela_registros[REGISTRO],DADOS!$N$3,tabela_registros[TIPO],DADOS!$V$4,tabela_registros[CATEGORIA],receitasvariáveisconsolidadoago[[#This Row],[ATUAL]])</f>
        <v>0</v>
      </c>
      <c r="AG101" s="91">
        <f>SUMIFS(tabela_registros[VALOR],tabela_registros[MÊS],$AE$1,tabela_registros[DIA],receitasvariáveisconsolidadoago[[#Headers],[29]],tabela_registros[REGISTRO],DADOS!$N$3,tabela_registros[TIPO],DADOS!$V$4,tabela_registros[CATEGORIA],receitasvariáveisconsolidadoago[[#This Row],[ATUAL]])</f>
        <v>0</v>
      </c>
      <c r="AH101" s="91">
        <f>SUMIFS(tabela_registros[VALOR],tabela_registros[MÊS],$AE$1,tabela_registros[DIA],receitasvariáveisconsolidadoago[[#Headers],[30]],tabela_registros[REGISTRO],DADOS!$N$3,tabela_registros[TIPO],DADOS!$V$4,tabela_registros[CATEGORIA],receitasvariáveisconsolidadoago[[#This Row],[ATUAL]])</f>
        <v>0</v>
      </c>
      <c r="AI101" s="101">
        <f>SUMIFS(tabela_registros[VALOR],tabela_registros[MÊS],$AE$1,tabela_registros[DIA],receitasvariáveisconsolidadoago[[#Headers],[31]],tabela_registros[REGISTRO],DADOS!$N$3,tabela_registros[TIPO],DADOS!$V$4,tabela_registros[CATEGORIA],receitasvariáveisconsolidadoago[[#This Row],[ATUAL]])</f>
        <v>0</v>
      </c>
      <c r="AJ101" s="104">
        <f>SUM(receitasvariáveisconsolidadoago[[#This Row],[1]:[31]])</f>
        <v>0</v>
      </c>
      <c r="AK101" s="25"/>
    </row>
    <row r="102" spans="2:37" ht="19.5" customHeight="1" thickTop="1" thickBot="1" x14ac:dyDescent="0.3">
      <c r="B102" s="28"/>
      <c r="C102" s="27" t="str">
        <f>DADOS!$Z$9</f>
        <v>👷‍♀️ TRABALHO TEMPORÁRIO</v>
      </c>
      <c r="D102" s="26" t="str">
        <f>IF(receitasvariáveisconsolidadoago[[#This Row],[TOTAL (R$)]]=0,"",IF(OR(receitasvariáveisconsolidadoago[[#This Row],[TOTAL (R$)]]=LARGE($AJ$96:$AJ$103,1),receitasvariáveisconsolidadoago[[#This Row],[TOTAL (R$)]]=LARGE($AJ$96:$AJ$103,2)),DADOS!$I$9,""))</f>
        <v>🐄</v>
      </c>
      <c r="E102" s="96">
        <f>SUMIFS(tabela_registros[VALOR],tabela_registros[MÊS],$AE$1,tabela_registros[DIA],receitasvariáveisconsolidadoago[[#Headers],[1]],tabela_registros[REGISTRO],DADOS!$N$3,tabela_registros[TIPO],DADOS!$V$4,tabela_registros[CATEGORIA],receitasvariáveisconsolidadoago[[#This Row],[ATUAL]])</f>
        <v>0</v>
      </c>
      <c r="F102" s="91">
        <f>SUMIFS(tabela_registros[VALOR],tabela_registros[MÊS],$AE$1,tabela_registros[DIA],receitasvariáveisconsolidadoago[[#Headers],[2]],tabela_registros[REGISTRO],DADOS!$N$3,tabela_registros[TIPO],DADOS!$V$4,tabela_registros[CATEGORIA],receitasvariáveisconsolidadoago[[#This Row],[ATUAL]])</f>
        <v>0</v>
      </c>
      <c r="G102" s="91">
        <f>SUMIFS(tabela_registros[VALOR],tabela_registros[MÊS],$AE$1,tabela_registros[DIA],receitasvariáveisconsolidadoago[[#Headers],[3]],tabela_registros[REGISTRO],DADOS!$N$3,tabela_registros[TIPO],DADOS!$V$4,tabela_registros[CATEGORIA],receitasvariáveisconsolidadoago[[#This Row],[ATUAL]])</f>
        <v>0</v>
      </c>
      <c r="H102" s="91">
        <f>SUMIFS(tabela_registros[VALOR],tabela_registros[MÊS],$AE$1,tabela_registros[DIA],receitasvariáveisconsolidadoago[[#Headers],[4]],tabela_registros[REGISTRO],DADOS!$N$3,tabela_registros[TIPO],DADOS!$V$4,tabela_registros[CATEGORIA],receitasvariáveisconsolidadoago[[#This Row],[ATUAL]])</f>
        <v>0</v>
      </c>
      <c r="I102" s="91">
        <f>SUMIFS(tabela_registros[VALOR],tabela_registros[MÊS],$AE$1,tabela_registros[DIA],receitasvariáveisconsolidadoago[[#Headers],[5]],tabela_registros[REGISTRO],DADOS!$N$3,tabela_registros[TIPO],DADOS!$V$4,tabela_registros[CATEGORIA],receitasvariáveisconsolidadoago[[#This Row],[ATUAL]])</f>
        <v>0</v>
      </c>
      <c r="J102" s="91">
        <f>SUMIFS(tabela_registros[VALOR],tabela_registros[MÊS],$AE$1,tabela_registros[DIA],receitasvariáveisconsolidadoago[[#Headers],[6]],tabela_registros[REGISTRO],DADOS!$N$3,tabela_registros[TIPO],DADOS!$V$4,tabela_registros[CATEGORIA],receitasvariáveisconsolidadoago[[#This Row],[ATUAL]])</f>
        <v>0</v>
      </c>
      <c r="K102" s="91">
        <f>SUMIFS(tabela_registros[VALOR],tabela_registros[MÊS],$AE$1,tabela_registros[DIA],receitasvariáveisconsolidadoago[[#Headers],[7]],tabela_registros[REGISTRO],DADOS!$N$3,tabela_registros[TIPO],DADOS!$V$4,tabela_registros[CATEGORIA],receitasvariáveisconsolidadoago[[#This Row],[ATUAL]])</f>
        <v>0</v>
      </c>
      <c r="L102" s="91">
        <f>SUMIFS(tabela_registros[VALOR],tabela_registros[MÊS],$AE$1,tabela_registros[DIA],receitasvariáveisconsolidadoago[[#Headers],[8]],tabela_registros[REGISTRO],DADOS!$N$3,tabela_registros[TIPO],DADOS!$V$4,tabela_registros[CATEGORIA],receitasvariáveisconsolidadoago[[#This Row],[ATUAL]])</f>
        <v>0</v>
      </c>
      <c r="M102" s="91">
        <f>SUMIFS(tabela_registros[VALOR],tabela_registros[MÊS],$AE$1,tabela_registros[DIA],receitasvariáveisconsolidadoago[[#Headers],[9]],tabela_registros[REGISTRO],DADOS!$N$3,tabela_registros[TIPO],DADOS!$V$4,tabela_registros[CATEGORIA],receitasvariáveisconsolidadoago[[#This Row],[ATUAL]])</f>
        <v>0</v>
      </c>
      <c r="N102" s="91">
        <f>SUMIFS(tabela_registros[VALOR],tabela_registros[MÊS],$AE$1,tabela_registros[DIA],receitasvariáveisconsolidadoago[[#Headers],[10]],tabela_registros[REGISTRO],DADOS!$N$3,tabela_registros[TIPO],DADOS!$V$4,tabela_registros[CATEGORIA],receitasvariáveisconsolidadoago[[#This Row],[ATUAL]])</f>
        <v>0</v>
      </c>
      <c r="O102" s="91">
        <f>SUMIFS(tabela_registros[VALOR],tabela_registros[MÊS],$AE$1,tabela_registros[DIA],receitasvariáveisconsolidadoago[[#Headers],[11]],tabela_registros[REGISTRO],DADOS!$N$3,tabela_registros[TIPO],DADOS!$V$4,tabela_registros[CATEGORIA],receitasvariáveisconsolidadoago[[#This Row],[ATUAL]])</f>
        <v>0</v>
      </c>
      <c r="P102" s="91">
        <f>SUMIFS(tabela_registros[VALOR],tabela_registros[MÊS],$AE$1,tabela_registros[DIA],receitasvariáveisconsolidadoago[[#Headers],[12]],tabela_registros[REGISTRO],DADOS!$N$3,tabela_registros[TIPO],DADOS!$V$4,tabela_registros[CATEGORIA],receitasvariáveisconsolidadoago[[#This Row],[ATUAL]])</f>
        <v>0</v>
      </c>
      <c r="Q102" s="91">
        <f>SUMIFS(tabela_registros[VALOR],tabela_registros[MÊS],$AE$1,tabela_registros[DIA],receitasvariáveisconsolidadoago[[#Headers],[13]],tabela_registros[REGISTRO],DADOS!$N$3,tabela_registros[TIPO],DADOS!$V$4,tabela_registros[CATEGORIA],receitasvariáveisconsolidadoago[[#This Row],[ATUAL]])</f>
        <v>0</v>
      </c>
      <c r="R102" s="91">
        <f>SUMIFS(tabela_registros[VALOR],tabela_registros[MÊS],$AE$1,tabela_registros[DIA],receitasvariáveisconsolidadoago[[#Headers],[14]],tabela_registros[REGISTRO],DADOS!$N$3,tabela_registros[TIPO],DADOS!$V$4,tabela_registros[CATEGORIA],receitasvariáveisconsolidadoago[[#This Row],[ATUAL]])</f>
        <v>0</v>
      </c>
      <c r="S102" s="91">
        <f>SUMIFS(tabela_registros[VALOR],tabela_registros[MÊS],$AE$1,tabela_registros[DIA],receitasvariáveisconsolidadoago[[#Headers],[15]],tabela_registros[REGISTRO],DADOS!$N$3,tabela_registros[TIPO],DADOS!$V$4,tabela_registros[CATEGORIA],receitasvariáveisconsolidadoago[[#This Row],[ATUAL]])</f>
        <v>45</v>
      </c>
      <c r="T102" s="91">
        <f>SUMIFS(tabela_registros[VALOR],tabela_registros[MÊS],$AE$1,tabela_registros[DIA],receitasvariáveisconsolidadoago[[#Headers],[16]],tabela_registros[REGISTRO],DADOS!$N$3,tabela_registros[TIPO],DADOS!$V$4,tabela_registros[CATEGORIA],receitasvariáveisconsolidadoago[[#This Row],[ATUAL]])</f>
        <v>0</v>
      </c>
      <c r="U102" s="91">
        <f>SUMIFS(tabela_registros[VALOR],tabela_registros[MÊS],$AE$1,tabela_registros[DIA],receitasvariáveisconsolidadoago[[#Headers],[17]],tabela_registros[REGISTRO],DADOS!$N$3,tabela_registros[TIPO],DADOS!$V$4,tabela_registros[CATEGORIA],receitasvariáveisconsolidadoago[[#This Row],[ATUAL]])</f>
        <v>0</v>
      </c>
      <c r="V102" s="91">
        <f>SUMIFS(tabela_registros[VALOR],tabela_registros[MÊS],$AE$1,tabela_registros[DIA],receitasvariáveisconsolidadoago[[#Headers],[18]],tabela_registros[REGISTRO],DADOS!$N$3,tabela_registros[TIPO],DADOS!$V$4,tabela_registros[CATEGORIA],receitasvariáveisconsolidadoago[[#This Row],[ATUAL]])</f>
        <v>0</v>
      </c>
      <c r="W102" s="91">
        <f>SUMIFS(tabela_registros[VALOR],tabela_registros[MÊS],$AE$1,tabela_registros[DIA],receitasvariáveisconsolidadoago[[#Headers],[19]],tabela_registros[REGISTRO],DADOS!$N$3,tabela_registros[TIPO],DADOS!$V$4,tabela_registros[CATEGORIA],receitasvariáveisconsolidadoago[[#This Row],[ATUAL]])</f>
        <v>0</v>
      </c>
      <c r="X102" s="91">
        <f>SUMIFS(tabela_registros[VALOR],tabela_registros[MÊS],$AE$1,tabela_registros[DIA],receitasvariáveisconsolidadoago[[#Headers],[20]],tabela_registros[REGISTRO],DADOS!$N$3,tabela_registros[TIPO],DADOS!$V$4,tabela_registros[CATEGORIA],receitasvariáveisconsolidadoago[[#This Row],[ATUAL]])</f>
        <v>0</v>
      </c>
      <c r="Y102" s="91">
        <f>SUMIFS(tabela_registros[VALOR],tabela_registros[MÊS],$AE$1,tabela_registros[DIA],receitasvariáveisconsolidadoago[[#Headers],[21]],tabela_registros[REGISTRO],DADOS!$N$3,tabela_registros[TIPO],DADOS!$V$4,tabela_registros[CATEGORIA],receitasvariáveisconsolidadoago[[#This Row],[ATUAL]])</f>
        <v>0</v>
      </c>
      <c r="Z102" s="91">
        <f>SUMIFS(tabela_registros[VALOR],tabela_registros[MÊS],$AE$1,tabela_registros[DIA],receitasvariáveisconsolidadoago[[#Headers],[22]],tabela_registros[REGISTRO],DADOS!$N$3,tabela_registros[TIPO],DADOS!$V$4,tabela_registros[CATEGORIA],receitasvariáveisconsolidadoago[[#This Row],[ATUAL]])</f>
        <v>0</v>
      </c>
      <c r="AA102" s="91">
        <f>SUMIFS(tabela_registros[VALOR],tabela_registros[MÊS],$AE$1,tabela_registros[DIA],receitasvariáveisconsolidadoago[[#Headers],[23]],tabela_registros[REGISTRO],DADOS!$N$3,tabela_registros[TIPO],DADOS!$V$4,tabela_registros[CATEGORIA],receitasvariáveisconsolidadoago[[#This Row],[ATUAL]])</f>
        <v>0</v>
      </c>
      <c r="AB102" s="91">
        <f>SUMIFS(tabela_registros[VALOR],tabela_registros[MÊS],$AE$1,tabela_registros[DIA],receitasvariáveisconsolidadoago[[#Headers],[24]],tabela_registros[REGISTRO],DADOS!$N$3,tabela_registros[TIPO],DADOS!$V$4,tabela_registros[CATEGORIA],receitasvariáveisconsolidadoago[[#This Row],[ATUAL]])</f>
        <v>0</v>
      </c>
      <c r="AC102" s="91">
        <f>SUMIFS(tabela_registros[VALOR],tabela_registros[MÊS],$AE$1,tabela_registros[DIA],receitasvariáveisconsolidadoago[[#Headers],[25]],tabela_registros[REGISTRO],DADOS!$N$3,tabela_registros[TIPO],DADOS!$V$4,tabela_registros[CATEGORIA],receitasvariáveisconsolidadoago[[#This Row],[ATUAL]])</f>
        <v>0</v>
      </c>
      <c r="AD102" s="91">
        <f>SUMIFS(tabela_registros[VALOR],tabela_registros[MÊS],$AE$1,tabela_registros[DIA],receitasvariáveisconsolidadoago[[#Headers],[26]],tabela_registros[REGISTRO],DADOS!$N$3,tabela_registros[TIPO],DADOS!$V$4,tabela_registros[CATEGORIA],receitasvariáveisconsolidadoago[[#This Row],[ATUAL]])</f>
        <v>0</v>
      </c>
      <c r="AE102" s="91">
        <f>SUMIFS(tabela_registros[VALOR],tabela_registros[MÊS],$AE$1,tabela_registros[DIA],receitasvariáveisconsolidadoago[[#Headers],[27]],tabela_registros[REGISTRO],DADOS!$N$3,tabela_registros[TIPO],DADOS!$V$4,tabela_registros[CATEGORIA],receitasvariáveisconsolidadoago[[#This Row],[ATUAL]])</f>
        <v>0</v>
      </c>
      <c r="AF102" s="91">
        <f>SUMIFS(tabela_registros[VALOR],tabela_registros[MÊS],$AE$1,tabela_registros[DIA],receitasvariáveisconsolidadoago[[#Headers],[28]],tabela_registros[REGISTRO],DADOS!$N$3,tabela_registros[TIPO],DADOS!$V$4,tabela_registros[CATEGORIA],receitasvariáveisconsolidadoago[[#This Row],[ATUAL]])</f>
        <v>0</v>
      </c>
      <c r="AG102" s="91">
        <f>SUMIFS(tabela_registros[VALOR],tabela_registros[MÊS],$AE$1,tabela_registros[DIA],receitasvariáveisconsolidadoago[[#Headers],[29]],tabela_registros[REGISTRO],DADOS!$N$3,tabela_registros[TIPO],DADOS!$V$4,tabela_registros[CATEGORIA],receitasvariáveisconsolidadoago[[#This Row],[ATUAL]])</f>
        <v>0</v>
      </c>
      <c r="AH102" s="91">
        <f>SUMIFS(tabela_registros[VALOR],tabela_registros[MÊS],$AE$1,tabela_registros[DIA],receitasvariáveisconsolidadoago[[#Headers],[30]],tabela_registros[REGISTRO],DADOS!$N$3,tabela_registros[TIPO],DADOS!$V$4,tabela_registros[CATEGORIA],receitasvariáveisconsolidadoago[[#This Row],[ATUAL]])</f>
        <v>0</v>
      </c>
      <c r="AI102" s="101">
        <f>SUMIFS(tabela_registros[VALOR],tabela_registros[MÊS],$AE$1,tabela_registros[DIA],receitasvariáveisconsolidadoago[[#Headers],[31]],tabela_registros[REGISTRO],DADOS!$N$3,tabela_registros[TIPO],DADOS!$V$4,tabela_registros[CATEGORIA],receitasvariáveisconsolidadoago[[#This Row],[ATUAL]])</f>
        <v>0</v>
      </c>
      <c r="AJ102" s="104">
        <f>SUM(receitasvariáveisconsolidadoago[[#This Row],[1]:[31]])</f>
        <v>45</v>
      </c>
      <c r="AK102" s="25"/>
    </row>
    <row r="103" spans="2:37" ht="18" customHeight="1" thickTop="1" thickBot="1" x14ac:dyDescent="0.3">
      <c r="B103" s="28"/>
      <c r="C103" s="27" t="str">
        <f>DADOS!$Z$10</f>
        <v>📎 OUTROS</v>
      </c>
      <c r="D103" s="26" t="str">
        <f>IF(receitasvariáveisconsolidadoago[[#This Row],[TOTAL (R$)]]=0,"",IF(OR(receitasvariáveisconsolidadoago[[#This Row],[TOTAL (R$)]]=LARGE($AJ$96:$AJ$103,1),receitasvariáveisconsolidadoago[[#This Row],[TOTAL (R$)]]=LARGE($AJ$96:$AJ$103,2)),DADOS!$I$9,""))</f>
        <v/>
      </c>
      <c r="E103" s="96">
        <f>SUMIFS(tabela_registros[VALOR],tabela_registros[MÊS],$AE$1,tabela_registros[DIA],receitasvariáveisconsolidadoago[[#Headers],[1]],tabela_registros[REGISTRO],DADOS!$N$3,tabela_registros[TIPO],DADOS!$V$4,tabela_registros[CATEGORIA],receitasvariáveisconsolidadoago[[#This Row],[ATUAL]])</f>
        <v>0</v>
      </c>
      <c r="F103" s="91">
        <f>SUMIFS(tabela_registros[VALOR],tabela_registros[MÊS],$AE$1,tabela_registros[DIA],receitasvariáveisconsolidadoago[[#Headers],[2]],tabela_registros[REGISTRO],DADOS!$N$3,tabela_registros[TIPO],DADOS!$V$4,tabela_registros[CATEGORIA],receitasvariáveisconsolidadoago[[#This Row],[ATUAL]])</f>
        <v>0</v>
      </c>
      <c r="G103" s="91">
        <f>SUMIFS(tabela_registros[VALOR],tabela_registros[MÊS],$AE$1,tabela_registros[DIA],receitasvariáveisconsolidadoago[[#Headers],[3]],tabela_registros[REGISTRO],DADOS!$N$3,tabela_registros[TIPO],DADOS!$V$4,tabela_registros[CATEGORIA],receitasvariáveisconsolidadoago[[#This Row],[ATUAL]])</f>
        <v>0</v>
      </c>
      <c r="H103" s="91">
        <f>SUMIFS(tabela_registros[VALOR],tabela_registros[MÊS],$AE$1,tabela_registros[DIA],receitasvariáveisconsolidadoago[[#Headers],[4]],tabela_registros[REGISTRO],DADOS!$N$3,tabela_registros[TIPO],DADOS!$V$4,tabela_registros[CATEGORIA],receitasvariáveisconsolidadoago[[#This Row],[ATUAL]])</f>
        <v>0</v>
      </c>
      <c r="I103" s="91">
        <f>SUMIFS(tabela_registros[VALOR],tabela_registros[MÊS],$AE$1,tabela_registros[DIA],receitasvariáveisconsolidadoago[[#Headers],[5]],tabela_registros[REGISTRO],DADOS!$N$3,tabela_registros[TIPO],DADOS!$V$4,tabela_registros[CATEGORIA],receitasvariáveisconsolidadoago[[#This Row],[ATUAL]])</f>
        <v>0</v>
      </c>
      <c r="J103" s="91">
        <f>SUMIFS(tabela_registros[VALOR],tabela_registros[MÊS],$AE$1,tabela_registros[DIA],receitasvariáveisconsolidadoago[[#Headers],[6]],tabela_registros[REGISTRO],DADOS!$N$3,tabela_registros[TIPO],DADOS!$V$4,tabela_registros[CATEGORIA],receitasvariáveisconsolidadoago[[#This Row],[ATUAL]])</f>
        <v>0</v>
      </c>
      <c r="K103" s="91">
        <f>SUMIFS(tabela_registros[VALOR],tabela_registros[MÊS],$AE$1,tabela_registros[DIA],receitasvariáveisconsolidadoago[[#Headers],[7]],tabela_registros[REGISTRO],DADOS!$N$3,tabela_registros[TIPO],DADOS!$V$4,tabela_registros[CATEGORIA],receitasvariáveisconsolidadoago[[#This Row],[ATUAL]])</f>
        <v>0</v>
      </c>
      <c r="L103" s="91">
        <f>SUMIFS(tabela_registros[VALOR],tabela_registros[MÊS],$AE$1,tabela_registros[DIA],receitasvariáveisconsolidadoago[[#Headers],[8]],tabela_registros[REGISTRO],DADOS!$N$3,tabela_registros[TIPO],DADOS!$V$4,tabela_registros[CATEGORIA],receitasvariáveisconsolidadoago[[#This Row],[ATUAL]])</f>
        <v>0</v>
      </c>
      <c r="M103" s="91">
        <f>SUMIFS(tabela_registros[VALOR],tabela_registros[MÊS],$AE$1,tabela_registros[DIA],receitasvariáveisconsolidadoago[[#Headers],[9]],tabela_registros[REGISTRO],DADOS!$N$3,tabela_registros[TIPO],DADOS!$V$4,tabela_registros[CATEGORIA],receitasvariáveisconsolidadoago[[#This Row],[ATUAL]])</f>
        <v>0</v>
      </c>
      <c r="N103" s="91">
        <f>SUMIFS(tabela_registros[VALOR],tabela_registros[MÊS],$AE$1,tabela_registros[DIA],receitasvariáveisconsolidadoago[[#Headers],[10]],tabela_registros[REGISTRO],DADOS!$N$3,tabela_registros[TIPO],DADOS!$V$4,tabela_registros[CATEGORIA],receitasvariáveisconsolidadoago[[#This Row],[ATUAL]])</f>
        <v>0</v>
      </c>
      <c r="O103" s="91">
        <f>SUMIFS(tabela_registros[VALOR],tabela_registros[MÊS],$AE$1,tabela_registros[DIA],receitasvariáveisconsolidadoago[[#Headers],[11]],tabela_registros[REGISTRO],DADOS!$N$3,tabela_registros[TIPO],DADOS!$V$4,tabela_registros[CATEGORIA],receitasvariáveisconsolidadoago[[#This Row],[ATUAL]])</f>
        <v>0</v>
      </c>
      <c r="P103" s="91">
        <f>SUMIFS(tabela_registros[VALOR],tabela_registros[MÊS],$AE$1,tabela_registros[DIA],receitasvariáveisconsolidadoago[[#Headers],[12]],tabela_registros[REGISTRO],DADOS!$N$3,tabela_registros[TIPO],DADOS!$V$4,tabela_registros[CATEGORIA],receitasvariáveisconsolidadoago[[#This Row],[ATUAL]])</f>
        <v>0</v>
      </c>
      <c r="Q103" s="91">
        <f>SUMIFS(tabela_registros[VALOR],tabela_registros[MÊS],$AE$1,tabela_registros[DIA],receitasvariáveisconsolidadoago[[#Headers],[13]],tabela_registros[REGISTRO],DADOS!$N$3,tabela_registros[TIPO],DADOS!$V$4,tabela_registros[CATEGORIA],receitasvariáveisconsolidadoago[[#This Row],[ATUAL]])</f>
        <v>0</v>
      </c>
      <c r="R103" s="91">
        <f>SUMIFS(tabela_registros[VALOR],tabela_registros[MÊS],$AE$1,tabela_registros[DIA],receitasvariáveisconsolidadoago[[#Headers],[14]],tabela_registros[REGISTRO],DADOS!$N$3,tabela_registros[TIPO],DADOS!$V$4,tabela_registros[CATEGORIA],receitasvariáveisconsolidadoago[[#This Row],[ATUAL]])</f>
        <v>0</v>
      </c>
      <c r="S103" s="91">
        <f>SUMIFS(tabela_registros[VALOR],tabela_registros[MÊS],$AE$1,tabela_registros[DIA],receitasvariáveisconsolidadoago[[#Headers],[15]],tabela_registros[REGISTRO],DADOS!$N$3,tabela_registros[TIPO],DADOS!$V$4,tabela_registros[CATEGORIA],receitasvariáveisconsolidadoago[[#This Row],[ATUAL]])</f>
        <v>0</v>
      </c>
      <c r="T103" s="91">
        <f>SUMIFS(tabela_registros[VALOR],tabela_registros[MÊS],$AE$1,tabela_registros[DIA],receitasvariáveisconsolidadoago[[#Headers],[16]],tabela_registros[REGISTRO],DADOS!$N$3,tabela_registros[TIPO],DADOS!$V$4,tabela_registros[CATEGORIA],receitasvariáveisconsolidadoago[[#This Row],[ATUAL]])</f>
        <v>0</v>
      </c>
      <c r="U103" s="91">
        <f>SUMIFS(tabela_registros[VALOR],tabela_registros[MÊS],$AE$1,tabela_registros[DIA],receitasvariáveisconsolidadoago[[#Headers],[17]],tabela_registros[REGISTRO],DADOS!$N$3,tabela_registros[TIPO],DADOS!$V$4,tabela_registros[CATEGORIA],receitasvariáveisconsolidadoago[[#This Row],[ATUAL]])</f>
        <v>0</v>
      </c>
      <c r="V103" s="91">
        <f>SUMIFS(tabela_registros[VALOR],tabela_registros[MÊS],$AE$1,tabela_registros[DIA],receitasvariáveisconsolidadoago[[#Headers],[18]],tabela_registros[REGISTRO],DADOS!$N$3,tabela_registros[TIPO],DADOS!$V$4,tabela_registros[CATEGORIA],receitasvariáveisconsolidadoago[[#This Row],[ATUAL]])</f>
        <v>0</v>
      </c>
      <c r="W103" s="91">
        <f>SUMIFS(tabela_registros[VALOR],tabela_registros[MÊS],$AE$1,tabela_registros[DIA],receitasvariáveisconsolidadoago[[#Headers],[19]],tabela_registros[REGISTRO],DADOS!$N$3,tabela_registros[TIPO],DADOS!$V$4,tabela_registros[CATEGORIA],receitasvariáveisconsolidadoago[[#This Row],[ATUAL]])</f>
        <v>0</v>
      </c>
      <c r="X103" s="91">
        <f>SUMIFS(tabela_registros[VALOR],tabela_registros[MÊS],$AE$1,tabela_registros[DIA],receitasvariáveisconsolidadoago[[#Headers],[20]],tabela_registros[REGISTRO],DADOS!$N$3,tabela_registros[TIPO],DADOS!$V$4,tabela_registros[CATEGORIA],receitasvariáveisconsolidadoago[[#This Row],[ATUAL]])</f>
        <v>0</v>
      </c>
      <c r="Y103" s="91">
        <f>SUMIFS(tabela_registros[VALOR],tabela_registros[MÊS],$AE$1,tabela_registros[DIA],receitasvariáveisconsolidadoago[[#Headers],[21]],tabela_registros[REGISTRO],DADOS!$N$3,tabela_registros[TIPO],DADOS!$V$4,tabela_registros[CATEGORIA],receitasvariáveisconsolidadoago[[#This Row],[ATUAL]])</f>
        <v>0</v>
      </c>
      <c r="Z103" s="91">
        <f>SUMIFS(tabela_registros[VALOR],tabela_registros[MÊS],$AE$1,tabela_registros[DIA],receitasvariáveisconsolidadoago[[#Headers],[22]],tabela_registros[REGISTRO],DADOS!$N$3,tabela_registros[TIPO],DADOS!$V$4,tabela_registros[CATEGORIA],receitasvariáveisconsolidadoago[[#This Row],[ATUAL]])</f>
        <v>0</v>
      </c>
      <c r="AA103" s="91">
        <f>SUMIFS(tabela_registros[VALOR],tabela_registros[MÊS],$AE$1,tabela_registros[DIA],receitasvariáveisconsolidadoago[[#Headers],[23]],tabela_registros[REGISTRO],DADOS!$N$3,tabela_registros[TIPO],DADOS!$V$4,tabela_registros[CATEGORIA],receitasvariáveisconsolidadoago[[#This Row],[ATUAL]])</f>
        <v>0</v>
      </c>
      <c r="AB103" s="91">
        <f>SUMIFS(tabela_registros[VALOR],tabela_registros[MÊS],$AE$1,tabela_registros[DIA],receitasvariáveisconsolidadoago[[#Headers],[24]],tabela_registros[REGISTRO],DADOS!$N$3,tabela_registros[TIPO],DADOS!$V$4,tabela_registros[CATEGORIA],receitasvariáveisconsolidadoago[[#This Row],[ATUAL]])</f>
        <v>0</v>
      </c>
      <c r="AC103" s="91">
        <f>SUMIFS(tabela_registros[VALOR],tabela_registros[MÊS],$AE$1,tabela_registros[DIA],receitasvariáveisconsolidadoago[[#Headers],[25]],tabela_registros[REGISTRO],DADOS!$N$3,tabela_registros[TIPO],DADOS!$V$4,tabela_registros[CATEGORIA],receitasvariáveisconsolidadoago[[#This Row],[ATUAL]])</f>
        <v>0</v>
      </c>
      <c r="AD103" s="91">
        <f>SUMIFS(tabela_registros[VALOR],tabela_registros[MÊS],$AE$1,tabela_registros[DIA],receitasvariáveisconsolidadoago[[#Headers],[26]],tabela_registros[REGISTRO],DADOS!$N$3,tabela_registros[TIPO],DADOS!$V$4,tabela_registros[CATEGORIA],receitasvariáveisconsolidadoago[[#This Row],[ATUAL]])</f>
        <v>0</v>
      </c>
      <c r="AE103" s="91">
        <f>SUMIFS(tabela_registros[VALOR],tabela_registros[MÊS],$AE$1,tabela_registros[DIA],receitasvariáveisconsolidadoago[[#Headers],[27]],tabela_registros[REGISTRO],DADOS!$N$3,tabela_registros[TIPO],DADOS!$V$4,tabela_registros[CATEGORIA],receitasvariáveisconsolidadoago[[#This Row],[ATUAL]])</f>
        <v>0</v>
      </c>
      <c r="AF103" s="91">
        <f>SUMIFS(tabela_registros[VALOR],tabela_registros[MÊS],$AE$1,tabela_registros[DIA],receitasvariáveisconsolidadoago[[#Headers],[28]],tabela_registros[REGISTRO],DADOS!$N$3,tabela_registros[TIPO],DADOS!$V$4,tabela_registros[CATEGORIA],receitasvariáveisconsolidadoago[[#This Row],[ATUAL]])</f>
        <v>0</v>
      </c>
      <c r="AG103" s="91">
        <f>SUMIFS(tabela_registros[VALOR],tabela_registros[MÊS],$AE$1,tabela_registros[DIA],receitasvariáveisconsolidadoago[[#Headers],[29]],tabela_registros[REGISTRO],DADOS!$N$3,tabela_registros[TIPO],DADOS!$V$4,tabela_registros[CATEGORIA],receitasvariáveisconsolidadoago[[#This Row],[ATUAL]])</f>
        <v>0</v>
      </c>
      <c r="AH103" s="91">
        <f>SUMIFS(tabela_registros[VALOR],tabela_registros[MÊS],$AE$1,tabela_registros[DIA],receitasvariáveisconsolidadoago[[#Headers],[30]],tabela_registros[REGISTRO],DADOS!$N$3,tabela_registros[TIPO],DADOS!$V$4,tabela_registros[CATEGORIA],receitasvariáveisconsolidadoago[[#This Row],[ATUAL]])</f>
        <v>0</v>
      </c>
      <c r="AI103" s="102">
        <f>SUMIFS(tabela_registros[VALOR],tabela_registros[MÊS],$AE$1,tabela_registros[DIA],receitasvariáveisconsolidadoago[[#Headers],[31]],tabela_registros[REGISTRO],DADOS!$N$3,tabela_registros[TIPO],DADOS!$V$4,tabela_registros[CATEGORIA],receitasvariáveisconsolidadoago[[#This Row],[ATUAL]])</f>
        <v>0</v>
      </c>
      <c r="AJ103" s="97">
        <f>SUM(receitasvariáveisconsolidadoago[[#This Row],[1]:[31]])</f>
        <v>0</v>
      </c>
      <c r="AK103" s="25"/>
    </row>
    <row r="104" spans="2:37" s="16" customFormat="1" ht="21" customHeight="1" thickTop="1" thickBot="1" x14ac:dyDescent="0.35">
      <c r="B104" s="24"/>
      <c r="C104" s="23" t="s">
        <v>19</v>
      </c>
      <c r="D104" s="22"/>
      <c r="E104" s="21">
        <f>SUM(E96:E103)</f>
        <v>0</v>
      </c>
      <c r="F104" s="20">
        <f>SUM(F96:F103)+receitasvariáveisconsolidadoago[[#This Row],[1]]</f>
        <v>0</v>
      </c>
      <c r="G104" s="20">
        <f>SUM(G96:G103)+receitasvariáveisconsolidadoago[[#This Row],[2]]</f>
        <v>0</v>
      </c>
      <c r="H104" s="20">
        <f>SUM(H96:H103)+receitasvariáveisconsolidadoago[[#This Row],[3]]</f>
        <v>0</v>
      </c>
      <c r="I104" s="20">
        <f>SUM(I96:I103)+receitasvariáveisconsolidadoago[[#This Row],[4]]</f>
        <v>0</v>
      </c>
      <c r="J104" s="20">
        <f>SUM(J96:J103)+receitasvariáveisconsolidadoago[[#This Row],[5]]</f>
        <v>0</v>
      </c>
      <c r="K104" s="20">
        <f>SUM(K96:K103)+receitasvariáveisconsolidadoago[[#This Row],[6]]</f>
        <v>0</v>
      </c>
      <c r="L104" s="20">
        <f>SUM(L96:L103)+receitasvariáveisconsolidadoago[[#This Row],[7]]</f>
        <v>0</v>
      </c>
      <c r="M104" s="20">
        <f>SUM(M96:M103)+receitasvariáveisconsolidadoago[[#This Row],[8]]</f>
        <v>0</v>
      </c>
      <c r="N104" s="20">
        <f>SUM(N96:N103)+receitasvariáveisconsolidadoago[[#This Row],[9]]</f>
        <v>0</v>
      </c>
      <c r="O104" s="20">
        <f>SUM(O96:O103)+receitasvariáveisconsolidadoago[[#This Row],[10]]</f>
        <v>0</v>
      </c>
      <c r="P104" s="20">
        <f>SUM(P96:P103)+receitasvariáveisconsolidadoago[[#This Row],[11]]</f>
        <v>0</v>
      </c>
      <c r="Q104" s="20">
        <f>SUM(Q96:Q103)+receitasvariáveisconsolidadoago[[#This Row],[12]]</f>
        <v>0</v>
      </c>
      <c r="R104" s="20">
        <f>SUM(R96:R103)+receitasvariáveisconsolidadoago[[#This Row],[13]]</f>
        <v>0</v>
      </c>
      <c r="S104" s="20">
        <f>SUM(S96:S103)+receitasvariáveisconsolidadoago[[#This Row],[14]]</f>
        <v>193</v>
      </c>
      <c r="T104" s="20">
        <f>SUM(T96:T103)+receitasvariáveisconsolidadoago[[#This Row],[15]]</f>
        <v>193</v>
      </c>
      <c r="U104" s="20">
        <f>SUM(U96:U103)+receitasvariáveisconsolidadoago[[#This Row],[16]]</f>
        <v>193</v>
      </c>
      <c r="V104" s="20">
        <f>SUM(V96:V103)+receitasvariáveisconsolidadoago[[#This Row],[17]]</f>
        <v>193</v>
      </c>
      <c r="W104" s="20">
        <f>SUM(W96:W103)+receitasvariáveisconsolidadoago[[#This Row],[18]]</f>
        <v>193</v>
      </c>
      <c r="X104" s="20">
        <f>SUM(X96:X103)+receitasvariáveisconsolidadoago[[#This Row],[19]]</f>
        <v>193</v>
      </c>
      <c r="Y104" s="20">
        <f>SUM(Y96:Y103)+receitasvariáveisconsolidadoago[[#This Row],[20]]</f>
        <v>613</v>
      </c>
      <c r="Z104" s="20">
        <f>SUM(Z96:Z103)+receitasvariáveisconsolidadoago[[#This Row],[21]]</f>
        <v>613</v>
      </c>
      <c r="AA104" s="20">
        <f>SUM(AA96:AA103)+receitasvariáveisconsolidadoago[[#This Row],[22]]</f>
        <v>613</v>
      </c>
      <c r="AB104" s="20">
        <f>SUM(AB96:AB103)+receitasvariáveisconsolidadoago[[#This Row],[23]]</f>
        <v>613</v>
      </c>
      <c r="AC104" s="20">
        <f>SUM(AC96:AC103)+receitasvariáveisconsolidadoago[[#This Row],[24]]</f>
        <v>613</v>
      </c>
      <c r="AD104" s="20">
        <f>SUM(AD96:AD103)+receitasvariáveisconsolidadoago[[#This Row],[25]]</f>
        <v>613</v>
      </c>
      <c r="AE104" s="20">
        <f>SUM(AE96:AE103)+receitasvariáveisconsolidadoago[[#This Row],[26]]</f>
        <v>613</v>
      </c>
      <c r="AF104" s="20">
        <f>SUM(AF96:AF103)+receitasvariáveisconsolidadoago[[#This Row],[27]]</f>
        <v>613</v>
      </c>
      <c r="AG104" s="20">
        <f>SUM(AG96:AG103)+receitasvariáveisconsolidadoago[[#This Row],[28]]</f>
        <v>613</v>
      </c>
      <c r="AH104" s="20">
        <f>SUM(AH96:AH103)+receitasvariáveisconsolidadoago[[#This Row],[29]]</f>
        <v>613</v>
      </c>
      <c r="AI104" s="19">
        <f>SUM(AI96:AI103)+receitasvariáveisconsolidadoago[[#This Row],[30]]</f>
        <v>613</v>
      </c>
      <c r="AJ104" s="18">
        <f>receitasvariáveisconsolidadoago[[#This Row],[31]]</f>
        <v>613</v>
      </c>
      <c r="AK104" s="17"/>
    </row>
    <row r="105" spans="2:37" ht="6.75" customHeight="1" thickTop="1" thickBot="1" x14ac:dyDescent="0.3">
      <c r="B105" s="15"/>
      <c r="C105" s="14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2"/>
      <c r="AJ105" s="11"/>
      <c r="AK105" s="10"/>
    </row>
    <row r="106" spans="2:37" ht="12.6" thickTop="1" x14ac:dyDescent="0.25">
      <c r="E106" s="37"/>
      <c r="AI106" s="4"/>
    </row>
    <row r="107" spans="2:37" x14ac:dyDescent="0.25">
      <c r="AI107" s="4"/>
    </row>
    <row r="108" spans="2:37" x14ac:dyDescent="0.25">
      <c r="AI108" s="4"/>
    </row>
    <row r="109" spans="2:37" ht="39.75" customHeight="1" x14ac:dyDescent="0.7">
      <c r="C109" s="36"/>
      <c r="E109" s="240"/>
      <c r="F109" s="240"/>
      <c r="G109" s="240"/>
      <c r="H109" s="240"/>
      <c r="I109" s="240"/>
      <c r="J109" s="240"/>
      <c r="K109" s="240"/>
      <c r="L109" s="240"/>
      <c r="M109" s="240"/>
      <c r="N109" s="240"/>
      <c r="O109" s="240"/>
      <c r="P109" s="240"/>
      <c r="Q109" s="240"/>
      <c r="R109" s="240"/>
      <c r="S109" s="240"/>
      <c r="T109" s="240"/>
      <c r="U109" s="240"/>
      <c r="V109" s="240"/>
      <c r="W109" s="240"/>
      <c r="X109" s="240"/>
      <c r="Y109" s="240"/>
      <c r="Z109" s="240"/>
      <c r="AA109" s="240"/>
      <c r="AB109" s="240"/>
      <c r="AC109" s="240"/>
      <c r="AD109" s="240"/>
      <c r="AE109" s="240"/>
      <c r="AF109" s="240"/>
      <c r="AG109" s="240"/>
      <c r="AH109" s="240"/>
      <c r="AI109" s="240"/>
      <c r="AJ109" s="32" t="s">
        <v>19</v>
      </c>
    </row>
    <row r="110" spans="2:37" ht="12.6" thickBot="1" x14ac:dyDescent="0.3">
      <c r="B110" s="35"/>
      <c r="AI110" s="4"/>
      <c r="AJ110" s="34" t="s">
        <v>202</v>
      </c>
    </row>
    <row r="111" spans="2:37" ht="6.75" customHeight="1" thickTop="1" thickBot="1" x14ac:dyDescent="0.3">
      <c r="B111" s="2"/>
      <c r="C111" s="14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2"/>
      <c r="AK111" s="33"/>
    </row>
    <row r="112" spans="2:37" ht="13.2" hidden="1" thickTop="1" thickBot="1" x14ac:dyDescent="0.3">
      <c r="B112" s="2"/>
      <c r="C112" s="31" t="s">
        <v>199</v>
      </c>
      <c r="D112" s="30" t="s">
        <v>198</v>
      </c>
      <c r="E112" s="30" t="s">
        <v>197</v>
      </c>
      <c r="F112" s="30" t="s">
        <v>196</v>
      </c>
      <c r="G112" s="30" t="s">
        <v>195</v>
      </c>
      <c r="H112" s="30" t="s">
        <v>194</v>
      </c>
      <c r="I112" s="30" t="s">
        <v>193</v>
      </c>
      <c r="J112" s="30" t="s">
        <v>192</v>
      </c>
      <c r="K112" s="30" t="s">
        <v>191</v>
      </c>
      <c r="L112" s="30" t="s">
        <v>190</v>
      </c>
      <c r="M112" s="30" t="s">
        <v>189</v>
      </c>
      <c r="N112" s="30" t="s">
        <v>188</v>
      </c>
      <c r="O112" s="30" t="s">
        <v>187</v>
      </c>
      <c r="P112" s="30" t="s">
        <v>186</v>
      </c>
      <c r="Q112" s="30" t="s">
        <v>185</v>
      </c>
      <c r="R112" s="30" t="s">
        <v>184</v>
      </c>
      <c r="S112" s="30" t="s">
        <v>183</v>
      </c>
      <c r="T112" s="30" t="s">
        <v>182</v>
      </c>
      <c r="U112" s="30" t="s">
        <v>181</v>
      </c>
      <c r="V112" s="30" t="s">
        <v>180</v>
      </c>
      <c r="W112" s="30" t="s">
        <v>179</v>
      </c>
      <c r="X112" s="30" t="s">
        <v>178</v>
      </c>
      <c r="Y112" s="30" t="s">
        <v>177</v>
      </c>
      <c r="Z112" s="30" t="s">
        <v>176</v>
      </c>
      <c r="AA112" s="30" t="s">
        <v>175</v>
      </c>
      <c r="AB112" s="30" t="s">
        <v>174</v>
      </c>
      <c r="AC112" s="30" t="s">
        <v>173</v>
      </c>
      <c r="AD112" s="30" t="s">
        <v>172</v>
      </c>
      <c r="AE112" s="30" t="s">
        <v>171</v>
      </c>
      <c r="AF112" s="30" t="s">
        <v>170</v>
      </c>
      <c r="AG112" s="30" t="s">
        <v>169</v>
      </c>
      <c r="AH112" s="30" t="s">
        <v>168</v>
      </c>
      <c r="AI112" s="30" t="s">
        <v>167</v>
      </c>
      <c r="AJ112" s="29" t="s">
        <v>166</v>
      </c>
      <c r="AK112" s="2"/>
    </row>
    <row r="113" spans="2:37" ht="19.5" customHeight="1" thickTop="1" thickBot="1" x14ac:dyDescent="0.3">
      <c r="B113" s="28"/>
      <c r="C113" s="27" t="str">
        <f>DADOS!$AD$3</f>
        <v>📝 CDB</v>
      </c>
      <c r="D113" s="26" t="str">
        <f>IF(investirrendafixaconsolidadoago[[#This Row],[TOTAL (R$)]]=0,"",IF(OR(investirrendafixaconsolidadoago[[#This Row],[TOTAL (R$)]]=LARGE($AJ$113:$AJ$122,1),investirrendafixaconsolidadoago[[#This Row],[TOTAL (R$)]]=LARGE($AJ$113:$AJ$122,2)),DADOS!$I$10,""))</f>
        <v/>
      </c>
      <c r="E113" s="96">
        <f>SUMIFS(tabela_registros[VALOR],tabela_registros[MÊS],$AE$1,tabela_registros[DIA],investirrendafixaconsolidadoago[[#Headers],[1]],tabela_registros[REGISTRO],DADOS!$N$5,tabela_registros[TIPO],DADOS!$AB$3,tabela_registros[CATEGORIA],investirrendafixaconsolidadoago[[#This Row],[ATUAL]])</f>
        <v>0</v>
      </c>
      <c r="F113" s="91">
        <f>SUMIFS(tabela_registros[VALOR],tabela_registros[MÊS],$AE$1,tabela_registros[DIA],investirrendafixaconsolidadoago[[#Headers],[2]],tabela_registros[REGISTRO],DADOS!$N$5,tabela_registros[TIPO],DADOS!$AB$3,tabela_registros[CATEGORIA],investirrendafixaconsolidadoago[[#This Row],[ATUAL]])</f>
        <v>0</v>
      </c>
      <c r="G113" s="91">
        <f>SUMIFS(tabela_registros[VALOR],tabela_registros[MÊS],$AE$1,tabela_registros[DIA],investirrendafixaconsolidadoago[[#Headers],[3]],tabela_registros[REGISTRO],DADOS!$N$5,tabela_registros[TIPO],DADOS!$AB$3,tabela_registros[CATEGORIA],investirrendafixaconsolidadoago[[#This Row],[ATUAL]])</f>
        <v>0</v>
      </c>
      <c r="H113" s="91">
        <f>SUMIFS(tabela_registros[VALOR],tabela_registros[MÊS],$AE$1,tabela_registros[DIA],investirrendafixaconsolidadoago[[#Headers],[4]],tabela_registros[REGISTRO],DADOS!$N$5,tabela_registros[TIPO],DADOS!$AB$3,tabela_registros[CATEGORIA],investirrendafixaconsolidadoago[[#This Row],[ATUAL]])</f>
        <v>0</v>
      </c>
      <c r="I113" s="91">
        <f>SUMIFS(tabela_registros[VALOR],tabela_registros[MÊS],$AE$1,tabela_registros[DIA],investirrendafixaconsolidadoago[[#Headers],[5]],tabela_registros[REGISTRO],DADOS!$N$5,tabela_registros[TIPO],DADOS!$AB$3,tabela_registros[CATEGORIA],investirrendafixaconsolidadoago[[#This Row],[ATUAL]])</f>
        <v>0</v>
      </c>
      <c r="J113" s="91">
        <f>SUMIFS(tabela_registros[VALOR],tabela_registros[MÊS],$AE$1,tabela_registros[DIA],investirrendafixaconsolidadoago[[#Headers],[6]],tabela_registros[REGISTRO],DADOS!$N$5,tabela_registros[TIPO],DADOS!$AB$3,tabela_registros[CATEGORIA],investirrendafixaconsolidadoago[[#This Row],[ATUAL]])</f>
        <v>0</v>
      </c>
      <c r="K113" s="91">
        <f>SUMIFS(tabela_registros[VALOR],tabela_registros[MÊS],$AE$1,tabela_registros[DIA],investirrendafixaconsolidadoago[[#Headers],[7]],tabela_registros[REGISTRO],DADOS!$N$5,tabela_registros[TIPO],DADOS!$AB$3,tabela_registros[CATEGORIA],investirrendafixaconsolidadoago[[#This Row],[ATUAL]])</f>
        <v>0</v>
      </c>
      <c r="L113" s="91">
        <f>SUMIFS(tabela_registros[VALOR],tabela_registros[MÊS],$AE$1,tabela_registros[DIA],investirrendafixaconsolidadoago[[#Headers],[8]],tabela_registros[REGISTRO],DADOS!$N$5,tabela_registros[TIPO],DADOS!$AB$3,tabela_registros[CATEGORIA],investirrendafixaconsolidadoago[[#This Row],[ATUAL]])</f>
        <v>0</v>
      </c>
      <c r="M113" s="91">
        <f>SUMIFS(tabela_registros[VALOR],tabela_registros[MÊS],$AE$1,tabela_registros[DIA],investirrendafixaconsolidadoago[[#Headers],[9]],tabela_registros[REGISTRO],DADOS!$N$5,tabela_registros[TIPO],DADOS!$AB$3,tabela_registros[CATEGORIA],investirrendafixaconsolidadoago[[#This Row],[ATUAL]])</f>
        <v>0</v>
      </c>
      <c r="N113" s="91">
        <f>SUMIFS(tabela_registros[VALOR],tabela_registros[MÊS],$AE$1,tabela_registros[DIA],investirrendafixaconsolidadoago[[#Headers],[10]],tabela_registros[REGISTRO],DADOS!$N$5,tabela_registros[TIPO],DADOS!$AB$3,tabela_registros[CATEGORIA],investirrendafixaconsolidadoago[[#This Row],[ATUAL]])</f>
        <v>0</v>
      </c>
      <c r="O113" s="91">
        <f>SUMIFS(tabela_registros[VALOR],tabela_registros[MÊS],$AE$1,tabela_registros[DIA],investirrendafixaconsolidadoago[[#Headers],[11]],tabela_registros[REGISTRO],DADOS!$N$5,tabela_registros[TIPO],DADOS!$AB$3,tabela_registros[CATEGORIA],investirrendafixaconsolidadoago[[#This Row],[ATUAL]])</f>
        <v>0</v>
      </c>
      <c r="P113" s="91">
        <f>SUMIFS(tabela_registros[VALOR],tabela_registros[MÊS],$AE$1,tabela_registros[DIA],investirrendafixaconsolidadoago[[#Headers],[12]],tabela_registros[REGISTRO],DADOS!$N$5,tabela_registros[TIPO],DADOS!$AB$3,tabela_registros[CATEGORIA],investirrendafixaconsolidadoago[[#This Row],[ATUAL]])</f>
        <v>0</v>
      </c>
      <c r="Q113" s="91">
        <f>SUMIFS(tabela_registros[VALOR],tabela_registros[MÊS],$AE$1,tabela_registros[DIA],investirrendafixaconsolidadoago[[#Headers],[13]],tabela_registros[REGISTRO],DADOS!$N$5,tabela_registros[TIPO],DADOS!$AB$3,tabela_registros[CATEGORIA],investirrendafixaconsolidadoago[[#This Row],[ATUAL]])</f>
        <v>0</v>
      </c>
      <c r="R113" s="91">
        <f>SUMIFS(tabela_registros[VALOR],tabela_registros[MÊS],$AE$1,tabela_registros[DIA],investirrendafixaconsolidadoago[[#Headers],[14]],tabela_registros[REGISTRO],DADOS!$N$5,tabela_registros[TIPO],DADOS!$AB$3,tabela_registros[CATEGORIA],investirrendafixaconsolidadoago[[#This Row],[ATUAL]])</f>
        <v>0</v>
      </c>
      <c r="S113" s="91">
        <f>SUMIFS(tabela_registros[VALOR],tabela_registros[MÊS],$AE$1,tabela_registros[DIA],investirrendafixaconsolidadoago[[#Headers],[15]],tabela_registros[REGISTRO],DADOS!$N$5,tabela_registros[TIPO],DADOS!$AB$3,tabela_registros[CATEGORIA],investirrendafixaconsolidadoago[[#This Row],[ATUAL]])</f>
        <v>0</v>
      </c>
      <c r="T113" s="91">
        <f>SUMIFS(tabela_registros[VALOR],tabela_registros[MÊS],$AE$1,tabela_registros[DIA],investirrendafixaconsolidadoago[[#Headers],[16]],tabela_registros[REGISTRO],DADOS!$N$5,tabela_registros[TIPO],DADOS!$AB$3,tabela_registros[CATEGORIA],investirrendafixaconsolidadoago[[#This Row],[ATUAL]])</f>
        <v>0</v>
      </c>
      <c r="U113" s="91">
        <f>SUMIFS(tabela_registros[VALOR],tabela_registros[MÊS],$AE$1,tabela_registros[DIA],investirrendafixaconsolidadoago[[#Headers],[17]],tabela_registros[REGISTRO],DADOS!$N$5,tabela_registros[TIPO],DADOS!$AB$3,tabela_registros[CATEGORIA],investirrendafixaconsolidadoago[[#This Row],[ATUAL]])</f>
        <v>0</v>
      </c>
      <c r="V113" s="91">
        <f>SUMIFS(tabela_registros[VALOR],tabela_registros[MÊS],$AE$1,tabela_registros[DIA],investirrendafixaconsolidadoago[[#Headers],[18]],tabela_registros[REGISTRO],DADOS!$N$5,tabela_registros[TIPO],DADOS!$AB$3,tabela_registros[CATEGORIA],investirrendafixaconsolidadoago[[#This Row],[ATUAL]])</f>
        <v>0</v>
      </c>
      <c r="W113" s="91">
        <f>SUMIFS(tabela_registros[VALOR],tabela_registros[MÊS],$AE$1,tabela_registros[DIA],investirrendafixaconsolidadoago[[#Headers],[19]],tabela_registros[REGISTRO],DADOS!$N$5,tabela_registros[TIPO],DADOS!$AB$3,tabela_registros[CATEGORIA],investirrendafixaconsolidadoago[[#This Row],[ATUAL]])</f>
        <v>0</v>
      </c>
      <c r="X113" s="91">
        <f>SUMIFS(tabela_registros[VALOR],tabela_registros[MÊS],$AE$1,tabela_registros[DIA],investirrendafixaconsolidadoago[[#Headers],[20]],tabela_registros[REGISTRO],DADOS!$N$5,tabela_registros[TIPO],DADOS!$AB$3,tabela_registros[CATEGORIA],investirrendafixaconsolidadoago[[#This Row],[ATUAL]])</f>
        <v>0</v>
      </c>
      <c r="Y113" s="91">
        <f>SUMIFS(tabela_registros[VALOR],tabela_registros[MÊS],$AE$1,tabela_registros[DIA],investirrendafixaconsolidadoago[[#Headers],[21]],tabela_registros[REGISTRO],DADOS!$N$5,tabela_registros[TIPO],DADOS!$AB$3,tabela_registros[CATEGORIA],investirrendafixaconsolidadoago[[#This Row],[ATUAL]])</f>
        <v>0</v>
      </c>
      <c r="Z113" s="91">
        <f>SUMIFS(tabela_registros[VALOR],tabela_registros[MÊS],$AE$1,tabela_registros[DIA],investirrendafixaconsolidadoago[[#Headers],[22]],tabela_registros[REGISTRO],DADOS!$N$5,tabela_registros[TIPO],DADOS!$AB$3,tabela_registros[CATEGORIA],investirrendafixaconsolidadoago[[#This Row],[ATUAL]])</f>
        <v>0</v>
      </c>
      <c r="AA113" s="91">
        <f>SUMIFS(tabela_registros[VALOR],tabela_registros[MÊS],$AE$1,tabela_registros[DIA],investirrendafixaconsolidadoago[[#Headers],[23]],tabela_registros[REGISTRO],DADOS!$N$5,tabela_registros[TIPO],DADOS!$AB$3,tabela_registros[CATEGORIA],investirrendafixaconsolidadoago[[#This Row],[ATUAL]])</f>
        <v>0</v>
      </c>
      <c r="AB113" s="91">
        <f>SUMIFS(tabela_registros[VALOR],tabela_registros[MÊS],$AE$1,tabela_registros[DIA],investirrendafixaconsolidadoago[[#Headers],[24]],tabela_registros[REGISTRO],DADOS!$N$5,tabela_registros[TIPO],DADOS!$AB$3,tabela_registros[CATEGORIA],investirrendafixaconsolidadoago[[#This Row],[ATUAL]])</f>
        <v>0</v>
      </c>
      <c r="AC113" s="91">
        <f>SUMIFS(tabela_registros[VALOR],tabela_registros[MÊS],$AE$1,tabela_registros[DIA],investirrendafixaconsolidadoago[[#Headers],[25]],tabela_registros[REGISTRO],DADOS!$N$5,tabela_registros[TIPO],DADOS!$AB$3,tabela_registros[CATEGORIA],investirrendafixaconsolidadoago[[#This Row],[ATUAL]])</f>
        <v>0</v>
      </c>
      <c r="AD113" s="91">
        <f>SUMIFS(tabela_registros[VALOR],tabela_registros[MÊS],$AE$1,tabela_registros[DIA],investirrendafixaconsolidadoago[[#Headers],[26]],tabela_registros[REGISTRO],DADOS!$N$5,tabela_registros[TIPO],DADOS!$AB$3,tabela_registros[CATEGORIA],investirrendafixaconsolidadoago[[#This Row],[ATUAL]])</f>
        <v>0</v>
      </c>
      <c r="AE113" s="91">
        <f>SUMIFS(tabela_registros[VALOR],tabela_registros[MÊS],$AE$1,tabela_registros[DIA],investirrendafixaconsolidadoago[[#Headers],[27]],tabela_registros[REGISTRO],DADOS!$N$5,tabela_registros[TIPO],DADOS!$AB$3,tabela_registros[CATEGORIA],investirrendafixaconsolidadoago[[#This Row],[ATUAL]])</f>
        <v>0</v>
      </c>
      <c r="AF113" s="91">
        <f>SUMIFS(tabela_registros[VALOR],tabela_registros[MÊS],$AE$1,tabela_registros[DIA],investirrendafixaconsolidadoago[[#Headers],[28]],tabela_registros[REGISTRO],DADOS!$N$5,tabela_registros[TIPO],DADOS!$AB$3,tabela_registros[CATEGORIA],investirrendafixaconsolidadoago[[#This Row],[ATUAL]])</f>
        <v>0</v>
      </c>
      <c r="AG113" s="91">
        <f>SUMIFS(tabela_registros[VALOR],tabela_registros[MÊS],$AE$1,tabela_registros[DIA],investirrendafixaconsolidadoago[[#Headers],[29]],tabela_registros[REGISTRO],DADOS!$N$5,tabela_registros[TIPO],DADOS!$AB$3,tabela_registros[CATEGORIA],investirrendafixaconsolidadoago[[#This Row],[ATUAL]])</f>
        <v>0</v>
      </c>
      <c r="AH113" s="91">
        <f>SUMIFS(tabela_registros[VALOR],tabela_registros[MÊS],$AE$1,tabela_registros[DIA],investirrendafixaconsolidadoago[[#Headers],[30]],tabela_registros[REGISTRO],DADOS!$N$5,tabela_registros[TIPO],DADOS!$AB$3,tabela_registros[CATEGORIA],investirrendafixaconsolidadoago[[#This Row],[ATUAL]])</f>
        <v>0</v>
      </c>
      <c r="AI113" s="101">
        <f>SUMIFS(tabela_registros[VALOR],tabela_registros[MÊS],$AE$1,tabela_registros[DIA],investirrendafixaconsolidadoago[[#Headers],[31]],tabela_registros[REGISTRO],DADOS!$N$5,tabela_registros[TIPO],DADOS!$AB$3,tabela_registros[CATEGORIA],investirrendafixaconsolidadoago[[#This Row],[ATUAL]])</f>
        <v>0</v>
      </c>
      <c r="AJ113" s="97">
        <f>SUM(investirrendafixaconsolidadoago[[#This Row],[1]:[31]])</f>
        <v>0</v>
      </c>
      <c r="AK113" s="25"/>
    </row>
    <row r="114" spans="2:37" ht="19.5" customHeight="1" thickTop="1" thickBot="1" x14ac:dyDescent="0.3">
      <c r="B114" s="28"/>
      <c r="C114" s="27" t="str">
        <f>DADOS!$AD$4</f>
        <v>📝 CRA</v>
      </c>
      <c r="D114" s="26" t="str">
        <f>IF(investirrendafixaconsolidadoago[[#This Row],[TOTAL (R$)]]=0,"",IF(OR(investirrendafixaconsolidadoago[[#This Row],[TOTAL (R$)]]=LARGE($AJ$113:$AJ$122,1),investirrendafixaconsolidadoago[[#This Row],[TOTAL (R$)]]=LARGE($AJ$113:$AJ$122,2)),DADOS!$I$10,""))</f>
        <v/>
      </c>
      <c r="E114" s="96">
        <f>SUMIFS(tabela_registros[VALOR],tabela_registros[MÊS],$AE$1,tabela_registros[DIA],investirrendafixaconsolidadoago[[#Headers],[1]],tabela_registros[REGISTRO],DADOS!$N$5,tabela_registros[TIPO],DADOS!$AB$3,tabela_registros[CATEGORIA],investirrendafixaconsolidadoago[[#This Row],[ATUAL]])</f>
        <v>0</v>
      </c>
      <c r="F114" s="91">
        <f>SUMIFS(tabela_registros[VALOR],tabela_registros[MÊS],$AE$1,tabela_registros[DIA],investirrendafixaconsolidadoago[[#Headers],[2]],tabela_registros[REGISTRO],DADOS!$N$5,tabela_registros[TIPO],DADOS!$AB$3,tabela_registros[CATEGORIA],investirrendafixaconsolidadoago[[#This Row],[ATUAL]])</f>
        <v>0</v>
      </c>
      <c r="G114" s="91">
        <f>SUMIFS(tabela_registros[VALOR],tabela_registros[MÊS],$AE$1,tabela_registros[DIA],investirrendafixaconsolidadoago[[#Headers],[3]],tabela_registros[REGISTRO],DADOS!$N$5,tabela_registros[TIPO],DADOS!$AB$3,tabela_registros[CATEGORIA],investirrendafixaconsolidadoago[[#This Row],[ATUAL]])</f>
        <v>0</v>
      </c>
      <c r="H114" s="91">
        <f>SUMIFS(tabela_registros[VALOR],tabela_registros[MÊS],$AE$1,tabela_registros[DIA],investirrendafixaconsolidadoago[[#Headers],[4]],tabela_registros[REGISTRO],DADOS!$N$5,tabela_registros[TIPO],DADOS!$AB$3,tabela_registros[CATEGORIA],investirrendafixaconsolidadoago[[#This Row],[ATUAL]])</f>
        <v>0</v>
      </c>
      <c r="I114" s="91">
        <f>SUMIFS(tabela_registros[VALOR],tabela_registros[MÊS],$AE$1,tabela_registros[DIA],investirrendafixaconsolidadoago[[#Headers],[5]],tabela_registros[REGISTRO],DADOS!$N$5,tabela_registros[TIPO],DADOS!$AB$3,tabela_registros[CATEGORIA],investirrendafixaconsolidadoago[[#This Row],[ATUAL]])</f>
        <v>0</v>
      </c>
      <c r="J114" s="91">
        <f>SUMIFS(tabela_registros[VALOR],tabela_registros[MÊS],$AE$1,tabela_registros[DIA],investirrendafixaconsolidadoago[[#Headers],[6]],tabela_registros[REGISTRO],DADOS!$N$5,tabela_registros[TIPO],DADOS!$AB$3,tabela_registros[CATEGORIA],investirrendafixaconsolidadoago[[#This Row],[ATUAL]])</f>
        <v>0</v>
      </c>
      <c r="K114" s="91">
        <f>SUMIFS(tabela_registros[VALOR],tabela_registros[MÊS],$AE$1,tabela_registros[DIA],investirrendafixaconsolidadoago[[#Headers],[7]],tabela_registros[REGISTRO],DADOS!$N$5,tabela_registros[TIPO],DADOS!$AB$3,tabela_registros[CATEGORIA],investirrendafixaconsolidadoago[[#This Row],[ATUAL]])</f>
        <v>0</v>
      </c>
      <c r="L114" s="91">
        <f>SUMIFS(tabela_registros[VALOR],tabela_registros[MÊS],$AE$1,tabela_registros[DIA],investirrendafixaconsolidadoago[[#Headers],[8]],tabela_registros[REGISTRO],DADOS!$N$5,tabela_registros[TIPO],DADOS!$AB$3,tabela_registros[CATEGORIA],investirrendafixaconsolidadoago[[#This Row],[ATUAL]])</f>
        <v>0</v>
      </c>
      <c r="M114" s="91">
        <f>SUMIFS(tabela_registros[VALOR],tabela_registros[MÊS],$AE$1,tabela_registros[DIA],investirrendafixaconsolidadoago[[#Headers],[9]],tabela_registros[REGISTRO],DADOS!$N$5,tabela_registros[TIPO],DADOS!$AB$3,tabela_registros[CATEGORIA],investirrendafixaconsolidadoago[[#This Row],[ATUAL]])</f>
        <v>0</v>
      </c>
      <c r="N114" s="91">
        <f>SUMIFS(tabela_registros[VALOR],tabela_registros[MÊS],$AE$1,tabela_registros[DIA],investirrendafixaconsolidadoago[[#Headers],[10]],tabela_registros[REGISTRO],DADOS!$N$5,tabela_registros[TIPO],DADOS!$AB$3,tabela_registros[CATEGORIA],investirrendafixaconsolidadoago[[#This Row],[ATUAL]])</f>
        <v>0</v>
      </c>
      <c r="O114" s="91">
        <f>SUMIFS(tabela_registros[VALOR],tabela_registros[MÊS],$AE$1,tabela_registros[DIA],investirrendafixaconsolidadoago[[#Headers],[11]],tabela_registros[REGISTRO],DADOS!$N$5,tabela_registros[TIPO],DADOS!$AB$3,tabela_registros[CATEGORIA],investirrendafixaconsolidadoago[[#This Row],[ATUAL]])</f>
        <v>0</v>
      </c>
      <c r="P114" s="91">
        <f>SUMIFS(tabela_registros[VALOR],tabela_registros[MÊS],$AE$1,tabela_registros[DIA],investirrendafixaconsolidadoago[[#Headers],[12]],tabela_registros[REGISTRO],DADOS!$N$5,tabela_registros[TIPO],DADOS!$AB$3,tabela_registros[CATEGORIA],investirrendafixaconsolidadoago[[#This Row],[ATUAL]])</f>
        <v>0</v>
      </c>
      <c r="Q114" s="91">
        <f>SUMIFS(tabela_registros[VALOR],tabela_registros[MÊS],$AE$1,tabela_registros[DIA],investirrendafixaconsolidadoago[[#Headers],[13]],tabela_registros[REGISTRO],DADOS!$N$5,tabela_registros[TIPO],DADOS!$AB$3,tabela_registros[CATEGORIA],investirrendafixaconsolidadoago[[#This Row],[ATUAL]])</f>
        <v>0</v>
      </c>
      <c r="R114" s="91">
        <f>SUMIFS(tabela_registros[VALOR],tabela_registros[MÊS],$AE$1,tabela_registros[DIA],investirrendafixaconsolidadoago[[#Headers],[14]],tabela_registros[REGISTRO],DADOS!$N$5,tabela_registros[TIPO],DADOS!$AB$3,tabela_registros[CATEGORIA],investirrendafixaconsolidadoago[[#This Row],[ATUAL]])</f>
        <v>0</v>
      </c>
      <c r="S114" s="91">
        <f>SUMIFS(tabela_registros[VALOR],tabela_registros[MÊS],$AE$1,tabela_registros[DIA],investirrendafixaconsolidadoago[[#Headers],[15]],tabela_registros[REGISTRO],DADOS!$N$5,tabela_registros[TIPO],DADOS!$AB$3,tabela_registros[CATEGORIA],investirrendafixaconsolidadoago[[#This Row],[ATUAL]])</f>
        <v>0</v>
      </c>
      <c r="T114" s="91">
        <f>SUMIFS(tabela_registros[VALOR],tabela_registros[MÊS],$AE$1,tabela_registros[DIA],investirrendafixaconsolidadoago[[#Headers],[16]],tabela_registros[REGISTRO],DADOS!$N$5,tabela_registros[TIPO],DADOS!$AB$3,tabela_registros[CATEGORIA],investirrendafixaconsolidadoago[[#This Row],[ATUAL]])</f>
        <v>0</v>
      </c>
      <c r="U114" s="91">
        <f>SUMIFS(tabela_registros[VALOR],tabela_registros[MÊS],$AE$1,tabela_registros[DIA],investirrendafixaconsolidadoago[[#Headers],[17]],tabela_registros[REGISTRO],DADOS!$N$5,tabela_registros[TIPO],DADOS!$AB$3,tabela_registros[CATEGORIA],investirrendafixaconsolidadoago[[#This Row],[ATUAL]])</f>
        <v>0</v>
      </c>
      <c r="V114" s="91">
        <f>SUMIFS(tabela_registros[VALOR],tabela_registros[MÊS],$AE$1,tabela_registros[DIA],investirrendafixaconsolidadoago[[#Headers],[18]],tabela_registros[REGISTRO],DADOS!$N$5,tabela_registros[TIPO],DADOS!$AB$3,tabela_registros[CATEGORIA],investirrendafixaconsolidadoago[[#This Row],[ATUAL]])</f>
        <v>0</v>
      </c>
      <c r="W114" s="91">
        <f>SUMIFS(tabela_registros[VALOR],tabela_registros[MÊS],$AE$1,tabela_registros[DIA],investirrendafixaconsolidadoago[[#Headers],[19]],tabela_registros[REGISTRO],DADOS!$N$5,tabela_registros[TIPO],DADOS!$AB$3,tabela_registros[CATEGORIA],investirrendafixaconsolidadoago[[#This Row],[ATUAL]])</f>
        <v>0</v>
      </c>
      <c r="X114" s="91">
        <f>SUMIFS(tabela_registros[VALOR],tabela_registros[MÊS],$AE$1,tabela_registros[DIA],investirrendafixaconsolidadoago[[#Headers],[20]],tabela_registros[REGISTRO],DADOS!$N$5,tabela_registros[TIPO],DADOS!$AB$3,tabela_registros[CATEGORIA],investirrendafixaconsolidadoago[[#This Row],[ATUAL]])</f>
        <v>0</v>
      </c>
      <c r="Y114" s="91">
        <f>SUMIFS(tabela_registros[VALOR],tabela_registros[MÊS],$AE$1,tabela_registros[DIA],investirrendafixaconsolidadoago[[#Headers],[21]],tabela_registros[REGISTRO],DADOS!$N$5,tabela_registros[TIPO],DADOS!$AB$3,tabela_registros[CATEGORIA],investirrendafixaconsolidadoago[[#This Row],[ATUAL]])</f>
        <v>0</v>
      </c>
      <c r="Z114" s="91">
        <f>SUMIFS(tabela_registros[VALOR],tabela_registros[MÊS],$AE$1,tabela_registros[DIA],investirrendafixaconsolidadoago[[#Headers],[22]],tabela_registros[REGISTRO],DADOS!$N$5,tabela_registros[TIPO],DADOS!$AB$3,tabela_registros[CATEGORIA],investirrendafixaconsolidadoago[[#This Row],[ATUAL]])</f>
        <v>0</v>
      </c>
      <c r="AA114" s="91">
        <f>SUMIFS(tabela_registros[VALOR],tabela_registros[MÊS],$AE$1,tabela_registros[DIA],investirrendafixaconsolidadoago[[#Headers],[23]],tabela_registros[REGISTRO],DADOS!$N$5,tabela_registros[TIPO],DADOS!$AB$3,tabela_registros[CATEGORIA],investirrendafixaconsolidadoago[[#This Row],[ATUAL]])</f>
        <v>0</v>
      </c>
      <c r="AB114" s="91">
        <f>SUMIFS(tabela_registros[VALOR],tabela_registros[MÊS],$AE$1,tabela_registros[DIA],investirrendafixaconsolidadoago[[#Headers],[24]],tabela_registros[REGISTRO],DADOS!$N$5,tabela_registros[TIPO],DADOS!$AB$3,tabela_registros[CATEGORIA],investirrendafixaconsolidadoago[[#This Row],[ATUAL]])</f>
        <v>0</v>
      </c>
      <c r="AC114" s="91">
        <f>SUMIFS(tabela_registros[VALOR],tabela_registros[MÊS],$AE$1,tabela_registros[DIA],investirrendafixaconsolidadoago[[#Headers],[25]],tabela_registros[REGISTRO],DADOS!$N$5,tabela_registros[TIPO],DADOS!$AB$3,tabela_registros[CATEGORIA],investirrendafixaconsolidadoago[[#This Row],[ATUAL]])</f>
        <v>0</v>
      </c>
      <c r="AD114" s="91">
        <f>SUMIFS(tabela_registros[VALOR],tabela_registros[MÊS],$AE$1,tabela_registros[DIA],investirrendafixaconsolidadoago[[#Headers],[26]],tabela_registros[REGISTRO],DADOS!$N$5,tabela_registros[TIPO],DADOS!$AB$3,tabela_registros[CATEGORIA],investirrendafixaconsolidadoago[[#This Row],[ATUAL]])</f>
        <v>0</v>
      </c>
      <c r="AE114" s="91">
        <f>SUMIFS(tabela_registros[VALOR],tabela_registros[MÊS],$AE$1,tabela_registros[DIA],investirrendafixaconsolidadoago[[#Headers],[27]],tabela_registros[REGISTRO],DADOS!$N$5,tabela_registros[TIPO],DADOS!$AB$3,tabela_registros[CATEGORIA],investirrendafixaconsolidadoago[[#This Row],[ATUAL]])</f>
        <v>0</v>
      </c>
      <c r="AF114" s="91">
        <f>SUMIFS(tabela_registros[VALOR],tabela_registros[MÊS],$AE$1,tabela_registros[DIA],investirrendafixaconsolidadoago[[#Headers],[28]],tabela_registros[REGISTRO],DADOS!$N$5,tabela_registros[TIPO],DADOS!$AB$3,tabela_registros[CATEGORIA],investirrendafixaconsolidadoago[[#This Row],[ATUAL]])</f>
        <v>0</v>
      </c>
      <c r="AG114" s="91">
        <f>SUMIFS(tabela_registros[VALOR],tabela_registros[MÊS],$AE$1,tabela_registros[DIA],investirrendafixaconsolidadoago[[#Headers],[29]],tabela_registros[REGISTRO],DADOS!$N$5,tabela_registros[TIPO],DADOS!$AB$3,tabela_registros[CATEGORIA],investirrendafixaconsolidadoago[[#This Row],[ATUAL]])</f>
        <v>0</v>
      </c>
      <c r="AH114" s="91">
        <f>SUMIFS(tabela_registros[VALOR],tabela_registros[MÊS],$AE$1,tabela_registros[DIA],investirrendafixaconsolidadoago[[#Headers],[30]],tabela_registros[REGISTRO],DADOS!$N$5,tabela_registros[TIPO],DADOS!$AB$3,tabela_registros[CATEGORIA],investirrendafixaconsolidadoago[[#This Row],[ATUAL]])</f>
        <v>0</v>
      </c>
      <c r="AI114" s="101">
        <f>SUMIFS(tabela_registros[VALOR],tabela_registros[MÊS],$AE$1,tabela_registros[DIA],investirrendafixaconsolidadoago[[#Headers],[31]],tabela_registros[REGISTRO],DADOS!$N$5,tabela_registros[TIPO],DADOS!$AB$3,tabela_registros[CATEGORIA],investirrendafixaconsolidadoago[[#This Row],[ATUAL]])</f>
        <v>0</v>
      </c>
      <c r="AJ114" s="97">
        <f>SUM(investirrendafixaconsolidadoago[[#This Row],[1]:[31]])</f>
        <v>0</v>
      </c>
      <c r="AK114" s="25"/>
    </row>
    <row r="115" spans="2:37" ht="19.5" customHeight="1" thickTop="1" thickBot="1" x14ac:dyDescent="0.3">
      <c r="B115" s="28"/>
      <c r="C115" s="27" t="str">
        <f>DADOS!$AD$5</f>
        <v>📝 CRI</v>
      </c>
      <c r="D115" s="26" t="str">
        <f>IF(investirrendafixaconsolidadoago[[#This Row],[TOTAL (R$)]]=0,"",IF(OR(investirrendafixaconsolidadoago[[#This Row],[TOTAL (R$)]]=LARGE($AJ$113:$AJ$122,1),investirrendafixaconsolidadoago[[#This Row],[TOTAL (R$)]]=LARGE($AJ$113:$AJ$122,2)),DADOS!$I$10,""))</f>
        <v/>
      </c>
      <c r="E115" s="96">
        <f>SUMIFS(tabela_registros[VALOR],tabela_registros[MÊS],$AE$1,tabela_registros[DIA],investirrendafixaconsolidadoago[[#Headers],[1]],tabela_registros[REGISTRO],DADOS!$N$5,tabela_registros[TIPO],DADOS!$AB$3,tabela_registros[CATEGORIA],investirrendafixaconsolidadoago[[#This Row],[ATUAL]])</f>
        <v>0</v>
      </c>
      <c r="F115" s="91">
        <f>SUMIFS(tabela_registros[VALOR],tabela_registros[MÊS],$AE$1,tabela_registros[DIA],investirrendafixaconsolidadoago[[#Headers],[2]],tabela_registros[REGISTRO],DADOS!$N$5,tabela_registros[TIPO],DADOS!$AB$3,tabela_registros[CATEGORIA],investirrendafixaconsolidadoago[[#This Row],[ATUAL]])</f>
        <v>0</v>
      </c>
      <c r="G115" s="91">
        <f>SUMIFS(tabela_registros[VALOR],tabela_registros[MÊS],$AE$1,tabela_registros[DIA],investirrendafixaconsolidadoago[[#Headers],[3]],tabela_registros[REGISTRO],DADOS!$N$5,tabela_registros[TIPO],DADOS!$AB$3,tabela_registros[CATEGORIA],investirrendafixaconsolidadoago[[#This Row],[ATUAL]])</f>
        <v>0</v>
      </c>
      <c r="H115" s="91">
        <f>SUMIFS(tabela_registros[VALOR],tabela_registros[MÊS],$AE$1,tabela_registros[DIA],investirrendafixaconsolidadoago[[#Headers],[4]],tabela_registros[REGISTRO],DADOS!$N$5,tabela_registros[TIPO],DADOS!$AB$3,tabela_registros[CATEGORIA],investirrendafixaconsolidadoago[[#This Row],[ATUAL]])</f>
        <v>0</v>
      </c>
      <c r="I115" s="91">
        <f>SUMIFS(tabela_registros[VALOR],tabela_registros[MÊS],$AE$1,tabela_registros[DIA],investirrendafixaconsolidadoago[[#Headers],[5]],tabela_registros[REGISTRO],DADOS!$N$5,tabela_registros[TIPO],DADOS!$AB$3,tabela_registros[CATEGORIA],investirrendafixaconsolidadoago[[#This Row],[ATUAL]])</f>
        <v>0</v>
      </c>
      <c r="J115" s="91">
        <f>SUMIFS(tabela_registros[VALOR],tabela_registros[MÊS],$AE$1,tabela_registros[DIA],investirrendafixaconsolidadoago[[#Headers],[6]],tabela_registros[REGISTRO],DADOS!$N$5,tabela_registros[TIPO],DADOS!$AB$3,tabela_registros[CATEGORIA],investirrendafixaconsolidadoago[[#This Row],[ATUAL]])</f>
        <v>0</v>
      </c>
      <c r="K115" s="91">
        <f>SUMIFS(tabela_registros[VALOR],tabela_registros[MÊS],$AE$1,tabela_registros[DIA],investirrendafixaconsolidadoago[[#Headers],[7]],tabela_registros[REGISTRO],DADOS!$N$5,tabela_registros[TIPO],DADOS!$AB$3,tabela_registros[CATEGORIA],investirrendafixaconsolidadoago[[#This Row],[ATUAL]])</f>
        <v>0</v>
      </c>
      <c r="L115" s="91">
        <f>SUMIFS(tabela_registros[VALOR],tabela_registros[MÊS],$AE$1,tabela_registros[DIA],investirrendafixaconsolidadoago[[#Headers],[8]],tabela_registros[REGISTRO],DADOS!$N$5,tabela_registros[TIPO],DADOS!$AB$3,tabela_registros[CATEGORIA],investirrendafixaconsolidadoago[[#This Row],[ATUAL]])</f>
        <v>0</v>
      </c>
      <c r="M115" s="91">
        <f>SUMIFS(tabela_registros[VALOR],tabela_registros[MÊS],$AE$1,tabela_registros[DIA],investirrendafixaconsolidadoago[[#Headers],[9]],tabela_registros[REGISTRO],DADOS!$N$5,tabela_registros[TIPO],DADOS!$AB$3,tabela_registros[CATEGORIA],investirrendafixaconsolidadoago[[#This Row],[ATUAL]])</f>
        <v>0</v>
      </c>
      <c r="N115" s="91">
        <f>SUMIFS(tabela_registros[VALOR],tabela_registros[MÊS],$AE$1,tabela_registros[DIA],investirrendafixaconsolidadoago[[#Headers],[10]],tabela_registros[REGISTRO],DADOS!$N$5,tabela_registros[TIPO],DADOS!$AB$3,tabela_registros[CATEGORIA],investirrendafixaconsolidadoago[[#This Row],[ATUAL]])</f>
        <v>0</v>
      </c>
      <c r="O115" s="91">
        <f>SUMIFS(tabela_registros[VALOR],tabela_registros[MÊS],$AE$1,tabela_registros[DIA],investirrendafixaconsolidadoago[[#Headers],[11]],tabela_registros[REGISTRO],DADOS!$N$5,tabela_registros[TIPO],DADOS!$AB$3,tabela_registros[CATEGORIA],investirrendafixaconsolidadoago[[#This Row],[ATUAL]])</f>
        <v>0</v>
      </c>
      <c r="P115" s="91">
        <f>SUMIFS(tabela_registros[VALOR],tabela_registros[MÊS],$AE$1,tabela_registros[DIA],investirrendafixaconsolidadoago[[#Headers],[12]],tabela_registros[REGISTRO],DADOS!$N$5,tabela_registros[TIPO],DADOS!$AB$3,tabela_registros[CATEGORIA],investirrendafixaconsolidadoago[[#This Row],[ATUAL]])</f>
        <v>0</v>
      </c>
      <c r="Q115" s="91">
        <f>SUMIFS(tabela_registros[VALOR],tabela_registros[MÊS],$AE$1,tabela_registros[DIA],investirrendafixaconsolidadoago[[#Headers],[13]],tabela_registros[REGISTRO],DADOS!$N$5,tabela_registros[TIPO],DADOS!$AB$3,tabela_registros[CATEGORIA],investirrendafixaconsolidadoago[[#This Row],[ATUAL]])</f>
        <v>0</v>
      </c>
      <c r="R115" s="91">
        <f>SUMIFS(tabela_registros[VALOR],tabela_registros[MÊS],$AE$1,tabela_registros[DIA],investirrendafixaconsolidadoago[[#Headers],[14]],tabela_registros[REGISTRO],DADOS!$N$5,tabela_registros[TIPO],DADOS!$AB$3,tabela_registros[CATEGORIA],investirrendafixaconsolidadoago[[#This Row],[ATUAL]])</f>
        <v>0</v>
      </c>
      <c r="S115" s="91">
        <f>SUMIFS(tabela_registros[VALOR],tabela_registros[MÊS],$AE$1,tabela_registros[DIA],investirrendafixaconsolidadoago[[#Headers],[15]],tabela_registros[REGISTRO],DADOS!$N$5,tabela_registros[TIPO],DADOS!$AB$3,tabela_registros[CATEGORIA],investirrendafixaconsolidadoago[[#This Row],[ATUAL]])</f>
        <v>0</v>
      </c>
      <c r="T115" s="91">
        <f>SUMIFS(tabela_registros[VALOR],tabela_registros[MÊS],$AE$1,tabela_registros[DIA],investirrendafixaconsolidadoago[[#Headers],[16]],tabela_registros[REGISTRO],DADOS!$N$5,tabela_registros[TIPO],DADOS!$AB$3,tabela_registros[CATEGORIA],investirrendafixaconsolidadoago[[#This Row],[ATUAL]])</f>
        <v>0</v>
      </c>
      <c r="U115" s="91">
        <f>SUMIFS(tabela_registros[VALOR],tabela_registros[MÊS],$AE$1,tabela_registros[DIA],investirrendafixaconsolidadoago[[#Headers],[17]],tabela_registros[REGISTRO],DADOS!$N$5,tabela_registros[TIPO],DADOS!$AB$3,tabela_registros[CATEGORIA],investirrendafixaconsolidadoago[[#This Row],[ATUAL]])</f>
        <v>0</v>
      </c>
      <c r="V115" s="91">
        <f>SUMIFS(tabela_registros[VALOR],tabela_registros[MÊS],$AE$1,tabela_registros[DIA],investirrendafixaconsolidadoago[[#Headers],[18]],tabela_registros[REGISTRO],DADOS!$N$5,tabela_registros[TIPO],DADOS!$AB$3,tabela_registros[CATEGORIA],investirrendafixaconsolidadoago[[#This Row],[ATUAL]])</f>
        <v>0</v>
      </c>
      <c r="W115" s="91">
        <f>SUMIFS(tabela_registros[VALOR],tabela_registros[MÊS],$AE$1,tabela_registros[DIA],investirrendafixaconsolidadoago[[#Headers],[19]],tabela_registros[REGISTRO],DADOS!$N$5,tabela_registros[TIPO],DADOS!$AB$3,tabela_registros[CATEGORIA],investirrendafixaconsolidadoago[[#This Row],[ATUAL]])</f>
        <v>0</v>
      </c>
      <c r="X115" s="91">
        <f>SUMIFS(tabela_registros[VALOR],tabela_registros[MÊS],$AE$1,tabela_registros[DIA],investirrendafixaconsolidadoago[[#Headers],[20]],tabela_registros[REGISTRO],DADOS!$N$5,tabela_registros[TIPO],DADOS!$AB$3,tabela_registros[CATEGORIA],investirrendafixaconsolidadoago[[#This Row],[ATUAL]])</f>
        <v>0</v>
      </c>
      <c r="Y115" s="91">
        <f>SUMIFS(tabela_registros[VALOR],tabela_registros[MÊS],$AE$1,tabela_registros[DIA],investirrendafixaconsolidadoago[[#Headers],[21]],tabela_registros[REGISTRO],DADOS!$N$5,tabela_registros[TIPO],DADOS!$AB$3,tabela_registros[CATEGORIA],investirrendafixaconsolidadoago[[#This Row],[ATUAL]])</f>
        <v>0</v>
      </c>
      <c r="Z115" s="91">
        <f>SUMIFS(tabela_registros[VALOR],tabela_registros[MÊS],$AE$1,tabela_registros[DIA],investirrendafixaconsolidadoago[[#Headers],[22]],tabela_registros[REGISTRO],DADOS!$N$5,tabela_registros[TIPO],DADOS!$AB$3,tabela_registros[CATEGORIA],investirrendafixaconsolidadoago[[#This Row],[ATUAL]])</f>
        <v>0</v>
      </c>
      <c r="AA115" s="91">
        <f>SUMIFS(tabela_registros[VALOR],tabela_registros[MÊS],$AE$1,tabela_registros[DIA],investirrendafixaconsolidadoago[[#Headers],[23]],tabela_registros[REGISTRO],DADOS!$N$5,tabela_registros[TIPO],DADOS!$AB$3,tabela_registros[CATEGORIA],investirrendafixaconsolidadoago[[#This Row],[ATUAL]])</f>
        <v>0</v>
      </c>
      <c r="AB115" s="91">
        <f>SUMIFS(tabela_registros[VALOR],tabela_registros[MÊS],$AE$1,tabela_registros[DIA],investirrendafixaconsolidadoago[[#Headers],[24]],tabela_registros[REGISTRO],DADOS!$N$5,tabela_registros[TIPO],DADOS!$AB$3,tabela_registros[CATEGORIA],investirrendafixaconsolidadoago[[#This Row],[ATUAL]])</f>
        <v>0</v>
      </c>
      <c r="AC115" s="91">
        <f>SUMIFS(tabela_registros[VALOR],tabela_registros[MÊS],$AE$1,tabela_registros[DIA],investirrendafixaconsolidadoago[[#Headers],[25]],tabela_registros[REGISTRO],DADOS!$N$5,tabela_registros[TIPO],DADOS!$AB$3,tabela_registros[CATEGORIA],investirrendafixaconsolidadoago[[#This Row],[ATUAL]])</f>
        <v>0</v>
      </c>
      <c r="AD115" s="91">
        <f>SUMIFS(tabela_registros[VALOR],tabela_registros[MÊS],$AE$1,tabela_registros[DIA],investirrendafixaconsolidadoago[[#Headers],[26]],tabela_registros[REGISTRO],DADOS!$N$5,tabela_registros[TIPO],DADOS!$AB$3,tabela_registros[CATEGORIA],investirrendafixaconsolidadoago[[#This Row],[ATUAL]])</f>
        <v>0</v>
      </c>
      <c r="AE115" s="91">
        <f>SUMIFS(tabela_registros[VALOR],tabela_registros[MÊS],$AE$1,tabela_registros[DIA],investirrendafixaconsolidadoago[[#Headers],[27]],tabela_registros[REGISTRO],DADOS!$N$5,tabela_registros[TIPO],DADOS!$AB$3,tabela_registros[CATEGORIA],investirrendafixaconsolidadoago[[#This Row],[ATUAL]])</f>
        <v>0</v>
      </c>
      <c r="AF115" s="91">
        <f>SUMIFS(tabela_registros[VALOR],tabela_registros[MÊS],$AE$1,tabela_registros[DIA],investirrendafixaconsolidadoago[[#Headers],[28]],tabela_registros[REGISTRO],DADOS!$N$5,tabela_registros[TIPO],DADOS!$AB$3,tabela_registros[CATEGORIA],investirrendafixaconsolidadoago[[#This Row],[ATUAL]])</f>
        <v>0</v>
      </c>
      <c r="AG115" s="91">
        <f>SUMIFS(tabela_registros[VALOR],tabela_registros[MÊS],$AE$1,tabela_registros[DIA],investirrendafixaconsolidadoago[[#Headers],[29]],tabela_registros[REGISTRO],DADOS!$N$5,tabela_registros[TIPO],DADOS!$AB$3,tabela_registros[CATEGORIA],investirrendafixaconsolidadoago[[#This Row],[ATUAL]])</f>
        <v>0</v>
      </c>
      <c r="AH115" s="91">
        <f>SUMIFS(tabela_registros[VALOR],tabela_registros[MÊS],$AE$1,tabela_registros[DIA],investirrendafixaconsolidadoago[[#Headers],[30]],tabela_registros[REGISTRO],DADOS!$N$5,tabela_registros[TIPO],DADOS!$AB$3,tabela_registros[CATEGORIA],investirrendafixaconsolidadoago[[#This Row],[ATUAL]])</f>
        <v>0</v>
      </c>
      <c r="AI115" s="101">
        <f>SUMIFS(tabela_registros[VALOR],tabela_registros[MÊS],$AE$1,tabela_registros[DIA],investirrendafixaconsolidadoago[[#Headers],[31]],tabela_registros[REGISTRO],DADOS!$N$5,tabela_registros[TIPO],DADOS!$AB$3,tabela_registros[CATEGORIA],investirrendafixaconsolidadoago[[#This Row],[ATUAL]])</f>
        <v>0</v>
      </c>
      <c r="AJ115" s="97">
        <f>SUM(investirrendafixaconsolidadoago[[#This Row],[1]:[31]])</f>
        <v>0</v>
      </c>
      <c r="AK115" s="25"/>
    </row>
    <row r="116" spans="2:37" ht="19.5" customHeight="1" thickTop="1" thickBot="1" x14ac:dyDescent="0.3">
      <c r="B116" s="28"/>
      <c r="C116" s="27" t="str">
        <f>DADOS!$AD$6</f>
        <v>📝 DEBÊNTURE</v>
      </c>
      <c r="D116" s="26" t="str">
        <f>IF(investirrendafixaconsolidadoago[[#This Row],[TOTAL (R$)]]=0,"",IF(OR(investirrendafixaconsolidadoago[[#This Row],[TOTAL (R$)]]=LARGE($AJ$113:$AJ$122,1),investirrendafixaconsolidadoago[[#This Row],[TOTAL (R$)]]=LARGE($AJ$113:$AJ$122,2)),DADOS!$I$10,""))</f>
        <v/>
      </c>
      <c r="E116" s="96">
        <f>SUMIFS(tabela_registros[VALOR],tabela_registros[MÊS],$AE$1,tabela_registros[DIA],investirrendafixaconsolidadoago[[#Headers],[1]],tabela_registros[REGISTRO],DADOS!$N$5,tabela_registros[TIPO],DADOS!$AB$3,tabela_registros[CATEGORIA],investirrendafixaconsolidadoago[[#This Row],[ATUAL]])</f>
        <v>0</v>
      </c>
      <c r="F116" s="91">
        <f>SUMIFS(tabela_registros[VALOR],tabela_registros[MÊS],$AE$1,tabela_registros[DIA],investirrendafixaconsolidadoago[[#Headers],[2]],tabela_registros[REGISTRO],DADOS!$N$5,tabela_registros[TIPO],DADOS!$AB$3,tabela_registros[CATEGORIA],investirrendafixaconsolidadoago[[#This Row],[ATUAL]])</f>
        <v>0</v>
      </c>
      <c r="G116" s="91">
        <f>SUMIFS(tabela_registros[VALOR],tabela_registros[MÊS],$AE$1,tabela_registros[DIA],investirrendafixaconsolidadoago[[#Headers],[3]],tabela_registros[REGISTRO],DADOS!$N$5,tabela_registros[TIPO],DADOS!$AB$3,tabela_registros[CATEGORIA],investirrendafixaconsolidadoago[[#This Row],[ATUAL]])</f>
        <v>0</v>
      </c>
      <c r="H116" s="91">
        <f>SUMIFS(tabela_registros[VALOR],tabela_registros[MÊS],$AE$1,tabela_registros[DIA],investirrendafixaconsolidadoago[[#Headers],[4]],tabela_registros[REGISTRO],DADOS!$N$5,tabela_registros[TIPO],DADOS!$AB$3,tabela_registros[CATEGORIA],investirrendafixaconsolidadoago[[#This Row],[ATUAL]])</f>
        <v>0</v>
      </c>
      <c r="I116" s="91">
        <f>SUMIFS(tabela_registros[VALOR],tabela_registros[MÊS],$AE$1,tabela_registros[DIA],investirrendafixaconsolidadoago[[#Headers],[5]],tabela_registros[REGISTRO],DADOS!$N$5,tabela_registros[TIPO],DADOS!$AB$3,tabela_registros[CATEGORIA],investirrendafixaconsolidadoago[[#This Row],[ATUAL]])</f>
        <v>0</v>
      </c>
      <c r="J116" s="91">
        <f>SUMIFS(tabela_registros[VALOR],tabela_registros[MÊS],$AE$1,tabela_registros[DIA],investirrendafixaconsolidadoago[[#Headers],[6]],tabela_registros[REGISTRO],DADOS!$N$5,tabela_registros[TIPO],DADOS!$AB$3,tabela_registros[CATEGORIA],investirrendafixaconsolidadoago[[#This Row],[ATUAL]])</f>
        <v>0</v>
      </c>
      <c r="K116" s="91">
        <f>SUMIFS(tabela_registros[VALOR],tabela_registros[MÊS],$AE$1,tabela_registros[DIA],investirrendafixaconsolidadoago[[#Headers],[7]],tabela_registros[REGISTRO],DADOS!$N$5,tabela_registros[TIPO],DADOS!$AB$3,tabela_registros[CATEGORIA],investirrendafixaconsolidadoago[[#This Row],[ATUAL]])</f>
        <v>0</v>
      </c>
      <c r="L116" s="91">
        <f>SUMIFS(tabela_registros[VALOR],tabela_registros[MÊS],$AE$1,tabela_registros[DIA],investirrendafixaconsolidadoago[[#Headers],[8]],tabela_registros[REGISTRO],DADOS!$N$5,tabela_registros[TIPO],DADOS!$AB$3,tabela_registros[CATEGORIA],investirrendafixaconsolidadoago[[#This Row],[ATUAL]])</f>
        <v>0</v>
      </c>
      <c r="M116" s="91">
        <f>SUMIFS(tabela_registros[VALOR],tabela_registros[MÊS],$AE$1,tabela_registros[DIA],investirrendafixaconsolidadoago[[#Headers],[9]],tabela_registros[REGISTRO],DADOS!$N$5,tabela_registros[TIPO],DADOS!$AB$3,tabela_registros[CATEGORIA],investirrendafixaconsolidadoago[[#This Row],[ATUAL]])</f>
        <v>0</v>
      </c>
      <c r="N116" s="91">
        <f>SUMIFS(tabela_registros[VALOR],tabela_registros[MÊS],$AE$1,tabela_registros[DIA],investirrendafixaconsolidadoago[[#Headers],[10]],tabela_registros[REGISTRO],DADOS!$N$5,tabela_registros[TIPO],DADOS!$AB$3,tabela_registros[CATEGORIA],investirrendafixaconsolidadoago[[#This Row],[ATUAL]])</f>
        <v>0</v>
      </c>
      <c r="O116" s="91">
        <f>SUMIFS(tabela_registros[VALOR],tabela_registros[MÊS],$AE$1,tabela_registros[DIA],investirrendafixaconsolidadoago[[#Headers],[11]],tabela_registros[REGISTRO],DADOS!$N$5,tabela_registros[TIPO],DADOS!$AB$3,tabela_registros[CATEGORIA],investirrendafixaconsolidadoago[[#This Row],[ATUAL]])</f>
        <v>0</v>
      </c>
      <c r="P116" s="91">
        <f>SUMIFS(tabela_registros[VALOR],tabela_registros[MÊS],$AE$1,tabela_registros[DIA],investirrendafixaconsolidadoago[[#Headers],[12]],tabela_registros[REGISTRO],DADOS!$N$5,tabela_registros[TIPO],DADOS!$AB$3,tabela_registros[CATEGORIA],investirrendafixaconsolidadoago[[#This Row],[ATUAL]])</f>
        <v>0</v>
      </c>
      <c r="Q116" s="91">
        <f>SUMIFS(tabela_registros[VALOR],tabela_registros[MÊS],$AE$1,tabela_registros[DIA],investirrendafixaconsolidadoago[[#Headers],[13]],tabela_registros[REGISTRO],DADOS!$N$5,tabela_registros[TIPO],DADOS!$AB$3,tabela_registros[CATEGORIA],investirrendafixaconsolidadoago[[#This Row],[ATUAL]])</f>
        <v>0</v>
      </c>
      <c r="R116" s="91">
        <f>SUMIFS(tabela_registros[VALOR],tabela_registros[MÊS],$AE$1,tabela_registros[DIA],investirrendafixaconsolidadoago[[#Headers],[14]],tabela_registros[REGISTRO],DADOS!$N$5,tabela_registros[TIPO],DADOS!$AB$3,tabela_registros[CATEGORIA],investirrendafixaconsolidadoago[[#This Row],[ATUAL]])</f>
        <v>0</v>
      </c>
      <c r="S116" s="91">
        <f>SUMIFS(tabela_registros[VALOR],tabela_registros[MÊS],$AE$1,tabela_registros[DIA],investirrendafixaconsolidadoago[[#Headers],[15]],tabela_registros[REGISTRO],DADOS!$N$5,tabela_registros[TIPO],DADOS!$AB$3,tabela_registros[CATEGORIA],investirrendafixaconsolidadoago[[#This Row],[ATUAL]])</f>
        <v>0</v>
      </c>
      <c r="T116" s="91">
        <f>SUMIFS(tabela_registros[VALOR],tabela_registros[MÊS],$AE$1,tabela_registros[DIA],investirrendafixaconsolidadoago[[#Headers],[16]],tabela_registros[REGISTRO],DADOS!$N$5,tabela_registros[TIPO],DADOS!$AB$3,tabela_registros[CATEGORIA],investirrendafixaconsolidadoago[[#This Row],[ATUAL]])</f>
        <v>0</v>
      </c>
      <c r="U116" s="91">
        <f>SUMIFS(tabela_registros[VALOR],tabela_registros[MÊS],$AE$1,tabela_registros[DIA],investirrendafixaconsolidadoago[[#Headers],[17]],tabela_registros[REGISTRO],DADOS!$N$5,tabela_registros[TIPO],DADOS!$AB$3,tabela_registros[CATEGORIA],investirrendafixaconsolidadoago[[#This Row],[ATUAL]])</f>
        <v>0</v>
      </c>
      <c r="V116" s="91">
        <f>SUMIFS(tabela_registros[VALOR],tabela_registros[MÊS],$AE$1,tabela_registros[DIA],investirrendafixaconsolidadoago[[#Headers],[18]],tabela_registros[REGISTRO],DADOS!$N$5,tabela_registros[TIPO],DADOS!$AB$3,tabela_registros[CATEGORIA],investirrendafixaconsolidadoago[[#This Row],[ATUAL]])</f>
        <v>0</v>
      </c>
      <c r="W116" s="91">
        <f>SUMIFS(tabela_registros[VALOR],tabela_registros[MÊS],$AE$1,tabela_registros[DIA],investirrendafixaconsolidadoago[[#Headers],[19]],tabela_registros[REGISTRO],DADOS!$N$5,tabela_registros[TIPO],DADOS!$AB$3,tabela_registros[CATEGORIA],investirrendafixaconsolidadoago[[#This Row],[ATUAL]])</f>
        <v>0</v>
      </c>
      <c r="X116" s="91">
        <f>SUMIFS(tabela_registros[VALOR],tabela_registros[MÊS],$AE$1,tabela_registros[DIA],investirrendafixaconsolidadoago[[#Headers],[20]],tabela_registros[REGISTRO],DADOS!$N$5,tabela_registros[TIPO],DADOS!$AB$3,tabela_registros[CATEGORIA],investirrendafixaconsolidadoago[[#This Row],[ATUAL]])</f>
        <v>0</v>
      </c>
      <c r="Y116" s="91">
        <f>SUMIFS(tabela_registros[VALOR],tabela_registros[MÊS],$AE$1,tabela_registros[DIA],investirrendafixaconsolidadoago[[#Headers],[21]],tabela_registros[REGISTRO],DADOS!$N$5,tabela_registros[TIPO],DADOS!$AB$3,tabela_registros[CATEGORIA],investirrendafixaconsolidadoago[[#This Row],[ATUAL]])</f>
        <v>0</v>
      </c>
      <c r="Z116" s="91">
        <f>SUMIFS(tabela_registros[VALOR],tabela_registros[MÊS],$AE$1,tabela_registros[DIA],investirrendafixaconsolidadoago[[#Headers],[22]],tabela_registros[REGISTRO],DADOS!$N$5,tabela_registros[TIPO],DADOS!$AB$3,tabela_registros[CATEGORIA],investirrendafixaconsolidadoago[[#This Row],[ATUAL]])</f>
        <v>0</v>
      </c>
      <c r="AA116" s="91">
        <f>SUMIFS(tabela_registros[VALOR],tabela_registros[MÊS],$AE$1,tabela_registros[DIA],investirrendafixaconsolidadoago[[#Headers],[23]],tabela_registros[REGISTRO],DADOS!$N$5,tabela_registros[TIPO],DADOS!$AB$3,tabela_registros[CATEGORIA],investirrendafixaconsolidadoago[[#This Row],[ATUAL]])</f>
        <v>0</v>
      </c>
      <c r="AB116" s="91">
        <f>SUMIFS(tabela_registros[VALOR],tabela_registros[MÊS],$AE$1,tabela_registros[DIA],investirrendafixaconsolidadoago[[#Headers],[24]],tabela_registros[REGISTRO],DADOS!$N$5,tabela_registros[TIPO],DADOS!$AB$3,tabela_registros[CATEGORIA],investirrendafixaconsolidadoago[[#This Row],[ATUAL]])</f>
        <v>0</v>
      </c>
      <c r="AC116" s="91">
        <f>SUMIFS(tabela_registros[VALOR],tabela_registros[MÊS],$AE$1,tabela_registros[DIA],investirrendafixaconsolidadoago[[#Headers],[25]],tabela_registros[REGISTRO],DADOS!$N$5,tabela_registros[TIPO],DADOS!$AB$3,tabela_registros[CATEGORIA],investirrendafixaconsolidadoago[[#This Row],[ATUAL]])</f>
        <v>0</v>
      </c>
      <c r="AD116" s="91">
        <f>SUMIFS(tabela_registros[VALOR],tabela_registros[MÊS],$AE$1,tabela_registros[DIA],investirrendafixaconsolidadoago[[#Headers],[26]],tabela_registros[REGISTRO],DADOS!$N$5,tabela_registros[TIPO],DADOS!$AB$3,tabela_registros[CATEGORIA],investirrendafixaconsolidadoago[[#This Row],[ATUAL]])</f>
        <v>0</v>
      </c>
      <c r="AE116" s="91">
        <f>SUMIFS(tabela_registros[VALOR],tabela_registros[MÊS],$AE$1,tabela_registros[DIA],investirrendafixaconsolidadoago[[#Headers],[27]],tabela_registros[REGISTRO],DADOS!$N$5,tabela_registros[TIPO],DADOS!$AB$3,tabela_registros[CATEGORIA],investirrendafixaconsolidadoago[[#This Row],[ATUAL]])</f>
        <v>0</v>
      </c>
      <c r="AF116" s="91">
        <f>SUMIFS(tabela_registros[VALOR],tabela_registros[MÊS],$AE$1,tabela_registros[DIA],investirrendafixaconsolidadoago[[#Headers],[28]],tabela_registros[REGISTRO],DADOS!$N$5,tabela_registros[TIPO],DADOS!$AB$3,tabela_registros[CATEGORIA],investirrendafixaconsolidadoago[[#This Row],[ATUAL]])</f>
        <v>0</v>
      </c>
      <c r="AG116" s="91">
        <f>SUMIFS(tabela_registros[VALOR],tabela_registros[MÊS],$AE$1,tabela_registros[DIA],investirrendafixaconsolidadoago[[#Headers],[29]],tabela_registros[REGISTRO],DADOS!$N$5,tabela_registros[TIPO],DADOS!$AB$3,tabela_registros[CATEGORIA],investirrendafixaconsolidadoago[[#This Row],[ATUAL]])</f>
        <v>0</v>
      </c>
      <c r="AH116" s="91">
        <f>SUMIFS(tabela_registros[VALOR],tabela_registros[MÊS],$AE$1,tabela_registros[DIA],investirrendafixaconsolidadoago[[#Headers],[30]],tabela_registros[REGISTRO],DADOS!$N$5,tabela_registros[TIPO],DADOS!$AB$3,tabela_registros[CATEGORIA],investirrendafixaconsolidadoago[[#This Row],[ATUAL]])</f>
        <v>0</v>
      </c>
      <c r="AI116" s="101">
        <f>SUMIFS(tabela_registros[VALOR],tabela_registros[MÊS],$AE$1,tabela_registros[DIA],investirrendafixaconsolidadoago[[#Headers],[31]],tabela_registros[REGISTRO],DADOS!$N$5,tabela_registros[TIPO],DADOS!$AB$3,tabela_registros[CATEGORIA],investirrendafixaconsolidadoago[[#This Row],[ATUAL]])</f>
        <v>0</v>
      </c>
      <c r="AJ116" s="97">
        <f>SUM(investirrendafixaconsolidadoago[[#This Row],[1]:[31]])</f>
        <v>0</v>
      </c>
      <c r="AK116" s="25"/>
    </row>
    <row r="117" spans="2:37" ht="19.5" customHeight="1" thickTop="1" thickBot="1" x14ac:dyDescent="0.3">
      <c r="B117" s="28"/>
      <c r="C117" s="27" t="str">
        <f>DADOS!$AD$7</f>
        <v>📝 EXTERIOR</v>
      </c>
      <c r="D117" s="26" t="str">
        <f>IF(investirrendafixaconsolidadoago[[#This Row],[TOTAL (R$)]]=0,"",IF(OR(investirrendafixaconsolidadoago[[#This Row],[TOTAL (R$)]]=LARGE($AJ$113:$AJ$122,1),investirrendafixaconsolidadoago[[#This Row],[TOTAL (R$)]]=LARGE($AJ$113:$AJ$122,2)),DADOS!$I$10,""))</f>
        <v/>
      </c>
      <c r="E117" s="96">
        <f>SUMIFS(tabela_registros[VALOR],tabela_registros[MÊS],$AE$1,tabela_registros[DIA],investirrendafixaconsolidadoago[[#Headers],[1]],tabela_registros[REGISTRO],DADOS!$N$5,tabela_registros[TIPO],DADOS!$AB$3,tabela_registros[CATEGORIA],investirrendafixaconsolidadoago[[#This Row],[ATUAL]])</f>
        <v>0</v>
      </c>
      <c r="F117" s="91">
        <f>SUMIFS(tabela_registros[VALOR],tabela_registros[MÊS],$AE$1,tabela_registros[DIA],investirrendafixaconsolidadoago[[#Headers],[2]],tabela_registros[REGISTRO],DADOS!$N$5,tabela_registros[TIPO],DADOS!$AB$3,tabela_registros[CATEGORIA],investirrendafixaconsolidadoago[[#This Row],[ATUAL]])</f>
        <v>0</v>
      </c>
      <c r="G117" s="91">
        <f>SUMIFS(tabela_registros[VALOR],tabela_registros[MÊS],$AE$1,tabela_registros[DIA],investirrendafixaconsolidadoago[[#Headers],[3]],tabela_registros[REGISTRO],DADOS!$N$5,tabela_registros[TIPO],DADOS!$AB$3,tabela_registros[CATEGORIA],investirrendafixaconsolidadoago[[#This Row],[ATUAL]])</f>
        <v>0</v>
      </c>
      <c r="H117" s="91">
        <f>SUMIFS(tabela_registros[VALOR],tabela_registros[MÊS],$AE$1,tabela_registros[DIA],investirrendafixaconsolidadoago[[#Headers],[4]],tabela_registros[REGISTRO],DADOS!$N$5,tabela_registros[TIPO],DADOS!$AB$3,tabela_registros[CATEGORIA],investirrendafixaconsolidadoago[[#This Row],[ATUAL]])</f>
        <v>0</v>
      </c>
      <c r="I117" s="91">
        <f>SUMIFS(tabela_registros[VALOR],tabela_registros[MÊS],$AE$1,tabela_registros[DIA],investirrendafixaconsolidadoago[[#Headers],[5]],tabela_registros[REGISTRO],DADOS!$N$5,tabela_registros[TIPO],DADOS!$AB$3,tabela_registros[CATEGORIA],investirrendafixaconsolidadoago[[#This Row],[ATUAL]])</f>
        <v>0</v>
      </c>
      <c r="J117" s="91">
        <f>SUMIFS(tabela_registros[VALOR],tabela_registros[MÊS],$AE$1,tabela_registros[DIA],investirrendafixaconsolidadoago[[#Headers],[6]],tabela_registros[REGISTRO],DADOS!$N$5,tabela_registros[TIPO],DADOS!$AB$3,tabela_registros[CATEGORIA],investirrendafixaconsolidadoago[[#This Row],[ATUAL]])</f>
        <v>0</v>
      </c>
      <c r="K117" s="91">
        <f>SUMIFS(tabela_registros[VALOR],tabela_registros[MÊS],$AE$1,tabela_registros[DIA],investirrendafixaconsolidadoago[[#Headers],[7]],tabela_registros[REGISTRO],DADOS!$N$5,tabela_registros[TIPO],DADOS!$AB$3,tabela_registros[CATEGORIA],investirrendafixaconsolidadoago[[#This Row],[ATUAL]])</f>
        <v>0</v>
      </c>
      <c r="L117" s="91">
        <f>SUMIFS(tabela_registros[VALOR],tabela_registros[MÊS],$AE$1,tabela_registros[DIA],investirrendafixaconsolidadoago[[#Headers],[8]],tabela_registros[REGISTRO],DADOS!$N$5,tabela_registros[TIPO],DADOS!$AB$3,tabela_registros[CATEGORIA],investirrendafixaconsolidadoago[[#This Row],[ATUAL]])</f>
        <v>0</v>
      </c>
      <c r="M117" s="91">
        <f>SUMIFS(tabela_registros[VALOR],tabela_registros[MÊS],$AE$1,tabela_registros[DIA],investirrendafixaconsolidadoago[[#Headers],[9]],tabela_registros[REGISTRO],DADOS!$N$5,tabela_registros[TIPO],DADOS!$AB$3,tabela_registros[CATEGORIA],investirrendafixaconsolidadoago[[#This Row],[ATUAL]])</f>
        <v>0</v>
      </c>
      <c r="N117" s="91">
        <f>SUMIFS(tabela_registros[VALOR],tabela_registros[MÊS],$AE$1,tabela_registros[DIA],investirrendafixaconsolidadoago[[#Headers],[10]],tabela_registros[REGISTRO],DADOS!$N$5,tabela_registros[TIPO],DADOS!$AB$3,tabela_registros[CATEGORIA],investirrendafixaconsolidadoago[[#This Row],[ATUAL]])</f>
        <v>0</v>
      </c>
      <c r="O117" s="91">
        <f>SUMIFS(tabela_registros[VALOR],tabela_registros[MÊS],$AE$1,tabela_registros[DIA],investirrendafixaconsolidadoago[[#Headers],[11]],tabela_registros[REGISTRO],DADOS!$N$5,tabela_registros[TIPO],DADOS!$AB$3,tabela_registros[CATEGORIA],investirrendafixaconsolidadoago[[#This Row],[ATUAL]])</f>
        <v>0</v>
      </c>
      <c r="P117" s="91">
        <f>SUMIFS(tabela_registros[VALOR],tabela_registros[MÊS],$AE$1,tabela_registros[DIA],investirrendafixaconsolidadoago[[#Headers],[12]],tabela_registros[REGISTRO],DADOS!$N$5,tabela_registros[TIPO],DADOS!$AB$3,tabela_registros[CATEGORIA],investirrendafixaconsolidadoago[[#This Row],[ATUAL]])</f>
        <v>0</v>
      </c>
      <c r="Q117" s="91">
        <f>SUMIFS(tabela_registros[VALOR],tabela_registros[MÊS],$AE$1,tabela_registros[DIA],investirrendafixaconsolidadoago[[#Headers],[13]],tabela_registros[REGISTRO],DADOS!$N$5,tabela_registros[TIPO],DADOS!$AB$3,tabela_registros[CATEGORIA],investirrendafixaconsolidadoago[[#This Row],[ATUAL]])</f>
        <v>0</v>
      </c>
      <c r="R117" s="91">
        <f>SUMIFS(tabela_registros[VALOR],tabela_registros[MÊS],$AE$1,tabela_registros[DIA],investirrendafixaconsolidadoago[[#Headers],[14]],tabela_registros[REGISTRO],DADOS!$N$5,tabela_registros[TIPO],DADOS!$AB$3,tabela_registros[CATEGORIA],investirrendafixaconsolidadoago[[#This Row],[ATUAL]])</f>
        <v>0</v>
      </c>
      <c r="S117" s="91">
        <f>SUMIFS(tabela_registros[VALOR],tabela_registros[MÊS],$AE$1,tabela_registros[DIA],investirrendafixaconsolidadoago[[#Headers],[15]],tabela_registros[REGISTRO],DADOS!$N$5,tabela_registros[TIPO],DADOS!$AB$3,tabela_registros[CATEGORIA],investirrendafixaconsolidadoago[[#This Row],[ATUAL]])</f>
        <v>0</v>
      </c>
      <c r="T117" s="91">
        <f>SUMIFS(tabela_registros[VALOR],tabela_registros[MÊS],$AE$1,tabela_registros[DIA],investirrendafixaconsolidadoago[[#Headers],[16]],tabela_registros[REGISTRO],DADOS!$N$5,tabela_registros[TIPO],DADOS!$AB$3,tabela_registros[CATEGORIA],investirrendafixaconsolidadoago[[#This Row],[ATUAL]])</f>
        <v>0</v>
      </c>
      <c r="U117" s="91">
        <f>SUMIFS(tabela_registros[VALOR],tabela_registros[MÊS],$AE$1,tabela_registros[DIA],investirrendafixaconsolidadoago[[#Headers],[17]],tabela_registros[REGISTRO],DADOS!$N$5,tabela_registros[TIPO],DADOS!$AB$3,tabela_registros[CATEGORIA],investirrendafixaconsolidadoago[[#This Row],[ATUAL]])</f>
        <v>0</v>
      </c>
      <c r="V117" s="91">
        <f>SUMIFS(tabela_registros[VALOR],tabela_registros[MÊS],$AE$1,tabela_registros[DIA],investirrendafixaconsolidadoago[[#Headers],[18]],tabela_registros[REGISTRO],DADOS!$N$5,tabela_registros[TIPO],DADOS!$AB$3,tabela_registros[CATEGORIA],investirrendafixaconsolidadoago[[#This Row],[ATUAL]])</f>
        <v>0</v>
      </c>
      <c r="W117" s="91">
        <f>SUMIFS(tabela_registros[VALOR],tabela_registros[MÊS],$AE$1,tabela_registros[DIA],investirrendafixaconsolidadoago[[#Headers],[19]],tabela_registros[REGISTRO],DADOS!$N$5,tabela_registros[TIPO],DADOS!$AB$3,tabela_registros[CATEGORIA],investirrendafixaconsolidadoago[[#This Row],[ATUAL]])</f>
        <v>0</v>
      </c>
      <c r="X117" s="91">
        <f>SUMIFS(tabela_registros[VALOR],tabela_registros[MÊS],$AE$1,tabela_registros[DIA],investirrendafixaconsolidadoago[[#Headers],[20]],tabela_registros[REGISTRO],DADOS!$N$5,tabela_registros[TIPO],DADOS!$AB$3,tabela_registros[CATEGORIA],investirrendafixaconsolidadoago[[#This Row],[ATUAL]])</f>
        <v>0</v>
      </c>
      <c r="Y117" s="91">
        <f>SUMIFS(tabela_registros[VALOR],tabela_registros[MÊS],$AE$1,tabela_registros[DIA],investirrendafixaconsolidadoago[[#Headers],[21]],tabela_registros[REGISTRO],DADOS!$N$5,tabela_registros[TIPO],DADOS!$AB$3,tabela_registros[CATEGORIA],investirrendafixaconsolidadoago[[#This Row],[ATUAL]])</f>
        <v>0</v>
      </c>
      <c r="Z117" s="91">
        <f>SUMIFS(tabela_registros[VALOR],tabela_registros[MÊS],$AE$1,tabela_registros[DIA],investirrendafixaconsolidadoago[[#Headers],[22]],tabela_registros[REGISTRO],DADOS!$N$5,tabela_registros[TIPO],DADOS!$AB$3,tabela_registros[CATEGORIA],investirrendafixaconsolidadoago[[#This Row],[ATUAL]])</f>
        <v>0</v>
      </c>
      <c r="AA117" s="91">
        <f>SUMIFS(tabela_registros[VALOR],tabela_registros[MÊS],$AE$1,tabela_registros[DIA],investirrendafixaconsolidadoago[[#Headers],[23]],tabela_registros[REGISTRO],DADOS!$N$5,tabela_registros[TIPO],DADOS!$AB$3,tabela_registros[CATEGORIA],investirrendafixaconsolidadoago[[#This Row],[ATUAL]])</f>
        <v>0</v>
      </c>
      <c r="AB117" s="91">
        <f>SUMIFS(tabela_registros[VALOR],tabela_registros[MÊS],$AE$1,tabela_registros[DIA],investirrendafixaconsolidadoago[[#Headers],[24]],tabela_registros[REGISTRO],DADOS!$N$5,tabela_registros[TIPO],DADOS!$AB$3,tabela_registros[CATEGORIA],investirrendafixaconsolidadoago[[#This Row],[ATUAL]])</f>
        <v>0</v>
      </c>
      <c r="AC117" s="91">
        <f>SUMIFS(tabela_registros[VALOR],tabela_registros[MÊS],$AE$1,tabela_registros[DIA],investirrendafixaconsolidadoago[[#Headers],[25]],tabela_registros[REGISTRO],DADOS!$N$5,tabela_registros[TIPO],DADOS!$AB$3,tabela_registros[CATEGORIA],investirrendafixaconsolidadoago[[#This Row],[ATUAL]])</f>
        <v>0</v>
      </c>
      <c r="AD117" s="91">
        <f>SUMIFS(tabela_registros[VALOR],tabela_registros[MÊS],$AE$1,tabela_registros[DIA],investirrendafixaconsolidadoago[[#Headers],[26]],tabela_registros[REGISTRO],DADOS!$N$5,tabela_registros[TIPO],DADOS!$AB$3,tabela_registros[CATEGORIA],investirrendafixaconsolidadoago[[#This Row],[ATUAL]])</f>
        <v>0</v>
      </c>
      <c r="AE117" s="91">
        <f>SUMIFS(tabela_registros[VALOR],tabela_registros[MÊS],$AE$1,tabela_registros[DIA],investirrendafixaconsolidadoago[[#Headers],[27]],tabela_registros[REGISTRO],DADOS!$N$5,tabela_registros[TIPO],DADOS!$AB$3,tabela_registros[CATEGORIA],investirrendafixaconsolidadoago[[#This Row],[ATUAL]])</f>
        <v>0</v>
      </c>
      <c r="AF117" s="91">
        <f>SUMIFS(tabela_registros[VALOR],tabela_registros[MÊS],$AE$1,tabela_registros[DIA],investirrendafixaconsolidadoago[[#Headers],[28]],tabela_registros[REGISTRO],DADOS!$N$5,tabela_registros[TIPO],DADOS!$AB$3,tabela_registros[CATEGORIA],investirrendafixaconsolidadoago[[#This Row],[ATUAL]])</f>
        <v>0</v>
      </c>
      <c r="AG117" s="91">
        <f>SUMIFS(tabela_registros[VALOR],tabela_registros[MÊS],$AE$1,tabela_registros[DIA],investirrendafixaconsolidadoago[[#Headers],[29]],tabela_registros[REGISTRO],DADOS!$N$5,tabela_registros[TIPO],DADOS!$AB$3,tabela_registros[CATEGORIA],investirrendafixaconsolidadoago[[#This Row],[ATUAL]])</f>
        <v>0</v>
      </c>
      <c r="AH117" s="91">
        <f>SUMIFS(tabela_registros[VALOR],tabela_registros[MÊS],$AE$1,tabela_registros[DIA],investirrendafixaconsolidadoago[[#Headers],[30]],tabela_registros[REGISTRO],DADOS!$N$5,tabela_registros[TIPO],DADOS!$AB$3,tabela_registros[CATEGORIA],investirrendafixaconsolidadoago[[#This Row],[ATUAL]])</f>
        <v>0</v>
      </c>
      <c r="AI117" s="101">
        <f>SUMIFS(tabela_registros[VALOR],tabela_registros[MÊS],$AE$1,tabela_registros[DIA],investirrendafixaconsolidadoago[[#Headers],[31]],tabela_registros[REGISTRO],DADOS!$N$5,tabela_registros[TIPO],DADOS!$AB$3,tabela_registros[CATEGORIA],investirrendafixaconsolidadoago[[#This Row],[ATUAL]])</f>
        <v>0</v>
      </c>
      <c r="AJ117" s="97">
        <f>SUM(investirrendafixaconsolidadoago[[#This Row],[1]:[31]])</f>
        <v>0</v>
      </c>
      <c r="AK117" s="25"/>
    </row>
    <row r="118" spans="2:37" ht="19.5" customHeight="1" thickTop="1" thickBot="1" x14ac:dyDescent="0.3">
      <c r="B118" s="28"/>
      <c r="C118" s="27" t="str">
        <f>DADOS!$AD$8</f>
        <v>📝 LC</v>
      </c>
      <c r="D118" s="26" t="str">
        <f>IF(investirrendafixaconsolidadoago[[#This Row],[TOTAL (R$)]]=0,"",IF(OR(investirrendafixaconsolidadoago[[#This Row],[TOTAL (R$)]]=LARGE($AJ$113:$AJ$122,1),investirrendafixaconsolidadoago[[#This Row],[TOTAL (R$)]]=LARGE($AJ$113:$AJ$122,2)),DADOS!$I$10,""))</f>
        <v/>
      </c>
      <c r="E118" s="96">
        <f>SUMIFS(tabela_registros[VALOR],tabela_registros[MÊS],$AE$1,tabela_registros[DIA],investirrendafixaconsolidadoago[[#Headers],[1]],tabela_registros[REGISTRO],DADOS!$N$5,tabela_registros[TIPO],DADOS!$AB$3,tabela_registros[CATEGORIA],investirrendafixaconsolidadoago[[#This Row],[ATUAL]])</f>
        <v>0</v>
      </c>
      <c r="F118" s="91">
        <f>SUMIFS(tabela_registros[VALOR],tabela_registros[MÊS],$AE$1,tabela_registros[DIA],investirrendafixaconsolidadoago[[#Headers],[2]],tabela_registros[REGISTRO],DADOS!$N$5,tabela_registros[TIPO],DADOS!$AB$3,tabela_registros[CATEGORIA],investirrendafixaconsolidadoago[[#This Row],[ATUAL]])</f>
        <v>0</v>
      </c>
      <c r="G118" s="91">
        <f>SUMIFS(tabela_registros[VALOR],tabela_registros[MÊS],$AE$1,tabela_registros[DIA],investirrendafixaconsolidadoago[[#Headers],[3]],tabela_registros[REGISTRO],DADOS!$N$5,tabela_registros[TIPO],DADOS!$AB$3,tabela_registros[CATEGORIA],investirrendafixaconsolidadoago[[#This Row],[ATUAL]])</f>
        <v>0</v>
      </c>
      <c r="H118" s="91">
        <f>SUMIFS(tabela_registros[VALOR],tabela_registros[MÊS],$AE$1,tabela_registros[DIA],investirrendafixaconsolidadoago[[#Headers],[4]],tabela_registros[REGISTRO],DADOS!$N$5,tabela_registros[TIPO],DADOS!$AB$3,tabela_registros[CATEGORIA],investirrendafixaconsolidadoago[[#This Row],[ATUAL]])</f>
        <v>0</v>
      </c>
      <c r="I118" s="91">
        <f>SUMIFS(tabela_registros[VALOR],tabela_registros[MÊS],$AE$1,tabela_registros[DIA],investirrendafixaconsolidadoago[[#Headers],[5]],tabela_registros[REGISTRO],DADOS!$N$5,tabela_registros[TIPO],DADOS!$AB$3,tabela_registros[CATEGORIA],investirrendafixaconsolidadoago[[#This Row],[ATUAL]])</f>
        <v>0</v>
      </c>
      <c r="J118" s="91">
        <f>SUMIFS(tabela_registros[VALOR],tabela_registros[MÊS],$AE$1,tabela_registros[DIA],investirrendafixaconsolidadoago[[#Headers],[6]],tabela_registros[REGISTRO],DADOS!$N$5,tabela_registros[TIPO],DADOS!$AB$3,tabela_registros[CATEGORIA],investirrendafixaconsolidadoago[[#This Row],[ATUAL]])</f>
        <v>0</v>
      </c>
      <c r="K118" s="91">
        <f>SUMIFS(tabela_registros[VALOR],tabela_registros[MÊS],$AE$1,tabela_registros[DIA],investirrendafixaconsolidadoago[[#Headers],[7]],tabela_registros[REGISTRO],DADOS!$N$5,tabela_registros[TIPO],DADOS!$AB$3,tabela_registros[CATEGORIA],investirrendafixaconsolidadoago[[#This Row],[ATUAL]])</f>
        <v>0</v>
      </c>
      <c r="L118" s="91">
        <f>SUMIFS(tabela_registros[VALOR],tabela_registros[MÊS],$AE$1,tabela_registros[DIA],investirrendafixaconsolidadoago[[#Headers],[8]],tabela_registros[REGISTRO],DADOS!$N$5,tabela_registros[TIPO],DADOS!$AB$3,tabela_registros[CATEGORIA],investirrendafixaconsolidadoago[[#This Row],[ATUAL]])</f>
        <v>0</v>
      </c>
      <c r="M118" s="91">
        <f>SUMIFS(tabela_registros[VALOR],tabela_registros[MÊS],$AE$1,tabela_registros[DIA],investirrendafixaconsolidadoago[[#Headers],[9]],tabela_registros[REGISTRO],DADOS!$N$5,tabela_registros[TIPO],DADOS!$AB$3,tabela_registros[CATEGORIA],investirrendafixaconsolidadoago[[#This Row],[ATUAL]])</f>
        <v>0</v>
      </c>
      <c r="N118" s="91">
        <f>SUMIFS(tabela_registros[VALOR],tabela_registros[MÊS],$AE$1,tabela_registros[DIA],investirrendafixaconsolidadoago[[#Headers],[10]],tabela_registros[REGISTRO],DADOS!$N$5,tabela_registros[TIPO],DADOS!$AB$3,tabela_registros[CATEGORIA],investirrendafixaconsolidadoago[[#This Row],[ATUAL]])</f>
        <v>0</v>
      </c>
      <c r="O118" s="91">
        <f>SUMIFS(tabela_registros[VALOR],tabela_registros[MÊS],$AE$1,tabela_registros[DIA],investirrendafixaconsolidadoago[[#Headers],[11]],tabela_registros[REGISTRO],DADOS!$N$5,tabela_registros[TIPO],DADOS!$AB$3,tabela_registros[CATEGORIA],investirrendafixaconsolidadoago[[#This Row],[ATUAL]])</f>
        <v>0</v>
      </c>
      <c r="P118" s="91">
        <f>SUMIFS(tabela_registros[VALOR],tabela_registros[MÊS],$AE$1,tabela_registros[DIA],investirrendafixaconsolidadoago[[#Headers],[12]],tabela_registros[REGISTRO],DADOS!$N$5,tabela_registros[TIPO],DADOS!$AB$3,tabela_registros[CATEGORIA],investirrendafixaconsolidadoago[[#This Row],[ATUAL]])</f>
        <v>0</v>
      </c>
      <c r="Q118" s="91">
        <f>SUMIFS(tabela_registros[VALOR],tabela_registros[MÊS],$AE$1,tabela_registros[DIA],investirrendafixaconsolidadoago[[#Headers],[13]],tabela_registros[REGISTRO],DADOS!$N$5,tabela_registros[TIPO],DADOS!$AB$3,tabela_registros[CATEGORIA],investirrendafixaconsolidadoago[[#This Row],[ATUAL]])</f>
        <v>0</v>
      </c>
      <c r="R118" s="91">
        <f>SUMIFS(tabela_registros[VALOR],tabela_registros[MÊS],$AE$1,tabela_registros[DIA],investirrendafixaconsolidadoago[[#Headers],[14]],tabela_registros[REGISTRO],DADOS!$N$5,tabela_registros[TIPO],DADOS!$AB$3,tabela_registros[CATEGORIA],investirrendafixaconsolidadoago[[#This Row],[ATUAL]])</f>
        <v>0</v>
      </c>
      <c r="S118" s="91">
        <f>SUMIFS(tabela_registros[VALOR],tabela_registros[MÊS],$AE$1,tabela_registros[DIA],investirrendafixaconsolidadoago[[#Headers],[15]],tabela_registros[REGISTRO],DADOS!$N$5,tabela_registros[TIPO],DADOS!$AB$3,tabela_registros[CATEGORIA],investirrendafixaconsolidadoago[[#This Row],[ATUAL]])</f>
        <v>0</v>
      </c>
      <c r="T118" s="91">
        <f>SUMIFS(tabela_registros[VALOR],tabela_registros[MÊS],$AE$1,tabela_registros[DIA],investirrendafixaconsolidadoago[[#Headers],[16]],tabela_registros[REGISTRO],DADOS!$N$5,tabela_registros[TIPO],DADOS!$AB$3,tabela_registros[CATEGORIA],investirrendafixaconsolidadoago[[#This Row],[ATUAL]])</f>
        <v>0</v>
      </c>
      <c r="U118" s="91">
        <f>SUMIFS(tabela_registros[VALOR],tabela_registros[MÊS],$AE$1,tabela_registros[DIA],investirrendafixaconsolidadoago[[#Headers],[17]],tabela_registros[REGISTRO],DADOS!$N$5,tabela_registros[TIPO],DADOS!$AB$3,tabela_registros[CATEGORIA],investirrendafixaconsolidadoago[[#This Row],[ATUAL]])</f>
        <v>0</v>
      </c>
      <c r="V118" s="91">
        <f>SUMIFS(tabela_registros[VALOR],tabela_registros[MÊS],$AE$1,tabela_registros[DIA],investirrendafixaconsolidadoago[[#Headers],[18]],tabela_registros[REGISTRO],DADOS!$N$5,tabela_registros[TIPO],DADOS!$AB$3,tabela_registros[CATEGORIA],investirrendafixaconsolidadoago[[#This Row],[ATUAL]])</f>
        <v>0</v>
      </c>
      <c r="W118" s="91">
        <f>SUMIFS(tabela_registros[VALOR],tabela_registros[MÊS],$AE$1,tabela_registros[DIA],investirrendafixaconsolidadoago[[#Headers],[19]],tabela_registros[REGISTRO],DADOS!$N$5,tabela_registros[TIPO],DADOS!$AB$3,tabela_registros[CATEGORIA],investirrendafixaconsolidadoago[[#This Row],[ATUAL]])</f>
        <v>0</v>
      </c>
      <c r="X118" s="91">
        <f>SUMIFS(tabela_registros[VALOR],tabela_registros[MÊS],$AE$1,tabela_registros[DIA],investirrendafixaconsolidadoago[[#Headers],[20]],tabela_registros[REGISTRO],DADOS!$N$5,tabela_registros[TIPO],DADOS!$AB$3,tabela_registros[CATEGORIA],investirrendafixaconsolidadoago[[#This Row],[ATUAL]])</f>
        <v>0</v>
      </c>
      <c r="Y118" s="91">
        <f>SUMIFS(tabela_registros[VALOR],tabela_registros[MÊS],$AE$1,tabela_registros[DIA],investirrendafixaconsolidadoago[[#Headers],[21]],tabela_registros[REGISTRO],DADOS!$N$5,tabela_registros[TIPO],DADOS!$AB$3,tabela_registros[CATEGORIA],investirrendafixaconsolidadoago[[#This Row],[ATUAL]])</f>
        <v>0</v>
      </c>
      <c r="Z118" s="91">
        <f>SUMIFS(tabela_registros[VALOR],tabela_registros[MÊS],$AE$1,tabela_registros[DIA],investirrendafixaconsolidadoago[[#Headers],[22]],tabela_registros[REGISTRO],DADOS!$N$5,tabela_registros[TIPO],DADOS!$AB$3,tabela_registros[CATEGORIA],investirrendafixaconsolidadoago[[#This Row],[ATUAL]])</f>
        <v>0</v>
      </c>
      <c r="AA118" s="91">
        <f>SUMIFS(tabela_registros[VALOR],tabela_registros[MÊS],$AE$1,tabela_registros[DIA],investirrendafixaconsolidadoago[[#Headers],[23]],tabela_registros[REGISTRO],DADOS!$N$5,tabela_registros[TIPO],DADOS!$AB$3,tabela_registros[CATEGORIA],investirrendafixaconsolidadoago[[#This Row],[ATUAL]])</f>
        <v>0</v>
      </c>
      <c r="AB118" s="91">
        <f>SUMIFS(tabela_registros[VALOR],tabela_registros[MÊS],$AE$1,tabela_registros[DIA],investirrendafixaconsolidadoago[[#Headers],[24]],tabela_registros[REGISTRO],DADOS!$N$5,tabela_registros[TIPO],DADOS!$AB$3,tabela_registros[CATEGORIA],investirrendafixaconsolidadoago[[#This Row],[ATUAL]])</f>
        <v>0</v>
      </c>
      <c r="AC118" s="91">
        <f>SUMIFS(tabela_registros[VALOR],tabela_registros[MÊS],$AE$1,tabela_registros[DIA],investirrendafixaconsolidadoago[[#Headers],[25]],tabela_registros[REGISTRO],DADOS!$N$5,tabela_registros[TIPO],DADOS!$AB$3,tabela_registros[CATEGORIA],investirrendafixaconsolidadoago[[#This Row],[ATUAL]])</f>
        <v>0</v>
      </c>
      <c r="AD118" s="91">
        <f>SUMIFS(tabela_registros[VALOR],tabela_registros[MÊS],$AE$1,tabela_registros[DIA],investirrendafixaconsolidadoago[[#Headers],[26]],tabela_registros[REGISTRO],DADOS!$N$5,tabela_registros[TIPO],DADOS!$AB$3,tabela_registros[CATEGORIA],investirrendafixaconsolidadoago[[#This Row],[ATUAL]])</f>
        <v>0</v>
      </c>
      <c r="AE118" s="91">
        <f>SUMIFS(tabela_registros[VALOR],tabela_registros[MÊS],$AE$1,tabela_registros[DIA],investirrendafixaconsolidadoago[[#Headers],[27]],tabela_registros[REGISTRO],DADOS!$N$5,tabela_registros[TIPO],DADOS!$AB$3,tabela_registros[CATEGORIA],investirrendafixaconsolidadoago[[#This Row],[ATUAL]])</f>
        <v>0</v>
      </c>
      <c r="AF118" s="91">
        <f>SUMIFS(tabela_registros[VALOR],tabela_registros[MÊS],$AE$1,tabela_registros[DIA],investirrendafixaconsolidadoago[[#Headers],[28]],tabela_registros[REGISTRO],DADOS!$N$5,tabela_registros[TIPO],DADOS!$AB$3,tabela_registros[CATEGORIA],investirrendafixaconsolidadoago[[#This Row],[ATUAL]])</f>
        <v>0</v>
      </c>
      <c r="AG118" s="91">
        <f>SUMIFS(tabela_registros[VALOR],tabela_registros[MÊS],$AE$1,tabela_registros[DIA],investirrendafixaconsolidadoago[[#Headers],[29]],tabela_registros[REGISTRO],DADOS!$N$5,tabela_registros[TIPO],DADOS!$AB$3,tabela_registros[CATEGORIA],investirrendafixaconsolidadoago[[#This Row],[ATUAL]])</f>
        <v>0</v>
      </c>
      <c r="AH118" s="91">
        <f>SUMIFS(tabela_registros[VALOR],tabela_registros[MÊS],$AE$1,tabela_registros[DIA],investirrendafixaconsolidadoago[[#Headers],[30]],tabela_registros[REGISTRO],DADOS!$N$5,tabela_registros[TIPO],DADOS!$AB$3,tabela_registros[CATEGORIA],investirrendafixaconsolidadoago[[#This Row],[ATUAL]])</f>
        <v>0</v>
      </c>
      <c r="AI118" s="101">
        <f>SUMIFS(tabela_registros[VALOR],tabela_registros[MÊS],$AE$1,tabela_registros[DIA],investirrendafixaconsolidadoago[[#Headers],[31]],tabela_registros[REGISTRO],DADOS!$N$5,tabela_registros[TIPO],DADOS!$AB$3,tabela_registros[CATEGORIA],investirrendafixaconsolidadoago[[#This Row],[ATUAL]])</f>
        <v>0</v>
      </c>
      <c r="AJ118" s="97">
        <f>SUM(investirrendafixaconsolidadoago[[#This Row],[1]:[31]])</f>
        <v>0</v>
      </c>
      <c r="AK118" s="25"/>
    </row>
    <row r="119" spans="2:37" ht="19.5" customHeight="1" thickTop="1" thickBot="1" x14ac:dyDescent="0.3">
      <c r="B119" s="28"/>
      <c r="C119" s="27" t="str">
        <f>DADOS!$AD$9</f>
        <v>📝 LCA</v>
      </c>
      <c r="D119" s="26" t="str">
        <f>IF(investirrendafixaconsolidadoago[[#This Row],[TOTAL (R$)]]=0,"",IF(OR(investirrendafixaconsolidadoago[[#This Row],[TOTAL (R$)]]=LARGE($AJ$113:$AJ$122,1),investirrendafixaconsolidadoago[[#This Row],[TOTAL (R$)]]=LARGE($AJ$113:$AJ$122,2)),DADOS!$I$10,""))</f>
        <v/>
      </c>
      <c r="E119" s="96">
        <f>SUMIFS(tabela_registros[VALOR],tabela_registros[MÊS],$AE$1,tabela_registros[DIA],investirrendafixaconsolidadoago[[#Headers],[1]],tabela_registros[REGISTRO],DADOS!$N$5,tabela_registros[TIPO],DADOS!$AB$3,tabela_registros[CATEGORIA],investirrendafixaconsolidadoago[[#This Row],[ATUAL]])</f>
        <v>0</v>
      </c>
      <c r="F119" s="91">
        <f>SUMIFS(tabela_registros[VALOR],tabela_registros[MÊS],$AE$1,tabela_registros[DIA],investirrendafixaconsolidadoago[[#Headers],[2]],tabela_registros[REGISTRO],DADOS!$N$5,tabela_registros[TIPO],DADOS!$AB$3,tabela_registros[CATEGORIA],investirrendafixaconsolidadoago[[#This Row],[ATUAL]])</f>
        <v>0</v>
      </c>
      <c r="G119" s="91">
        <f>SUMIFS(tabela_registros[VALOR],tabela_registros[MÊS],$AE$1,tabela_registros[DIA],investirrendafixaconsolidadoago[[#Headers],[3]],tabela_registros[REGISTRO],DADOS!$N$5,tabela_registros[TIPO],DADOS!$AB$3,tabela_registros[CATEGORIA],investirrendafixaconsolidadoago[[#This Row],[ATUAL]])</f>
        <v>0</v>
      </c>
      <c r="H119" s="91">
        <f>SUMIFS(tabela_registros[VALOR],tabela_registros[MÊS],$AE$1,tabela_registros[DIA],investirrendafixaconsolidadoago[[#Headers],[4]],tabela_registros[REGISTRO],DADOS!$N$5,tabela_registros[TIPO],DADOS!$AB$3,tabela_registros[CATEGORIA],investirrendafixaconsolidadoago[[#This Row],[ATUAL]])</f>
        <v>0</v>
      </c>
      <c r="I119" s="91">
        <f>SUMIFS(tabela_registros[VALOR],tabela_registros[MÊS],$AE$1,tabela_registros[DIA],investirrendafixaconsolidadoago[[#Headers],[5]],tabela_registros[REGISTRO],DADOS!$N$5,tabela_registros[TIPO],DADOS!$AB$3,tabela_registros[CATEGORIA],investirrendafixaconsolidadoago[[#This Row],[ATUAL]])</f>
        <v>0</v>
      </c>
      <c r="J119" s="91">
        <f>SUMIFS(tabela_registros[VALOR],tabela_registros[MÊS],$AE$1,tabela_registros[DIA],investirrendafixaconsolidadoago[[#Headers],[6]],tabela_registros[REGISTRO],DADOS!$N$5,tabela_registros[TIPO],DADOS!$AB$3,tabela_registros[CATEGORIA],investirrendafixaconsolidadoago[[#This Row],[ATUAL]])</f>
        <v>0</v>
      </c>
      <c r="K119" s="91">
        <f>SUMIFS(tabela_registros[VALOR],tabela_registros[MÊS],$AE$1,tabela_registros[DIA],investirrendafixaconsolidadoago[[#Headers],[7]],tabela_registros[REGISTRO],DADOS!$N$5,tabela_registros[TIPO],DADOS!$AB$3,tabela_registros[CATEGORIA],investirrendafixaconsolidadoago[[#This Row],[ATUAL]])</f>
        <v>0</v>
      </c>
      <c r="L119" s="91">
        <f>SUMIFS(tabela_registros[VALOR],tabela_registros[MÊS],$AE$1,tabela_registros[DIA],investirrendafixaconsolidadoago[[#Headers],[8]],tabela_registros[REGISTRO],DADOS!$N$5,tabela_registros[TIPO],DADOS!$AB$3,tabela_registros[CATEGORIA],investirrendafixaconsolidadoago[[#This Row],[ATUAL]])</f>
        <v>0</v>
      </c>
      <c r="M119" s="91">
        <f>SUMIFS(tabela_registros[VALOR],tabela_registros[MÊS],$AE$1,tabela_registros[DIA],investirrendafixaconsolidadoago[[#Headers],[9]],tabela_registros[REGISTRO],DADOS!$N$5,tabela_registros[TIPO],DADOS!$AB$3,tabela_registros[CATEGORIA],investirrendafixaconsolidadoago[[#This Row],[ATUAL]])</f>
        <v>0</v>
      </c>
      <c r="N119" s="91">
        <f>SUMIFS(tabela_registros[VALOR],tabela_registros[MÊS],$AE$1,tabela_registros[DIA],investirrendafixaconsolidadoago[[#Headers],[10]],tabela_registros[REGISTRO],DADOS!$N$5,tabela_registros[TIPO],DADOS!$AB$3,tabela_registros[CATEGORIA],investirrendafixaconsolidadoago[[#This Row],[ATUAL]])</f>
        <v>0</v>
      </c>
      <c r="O119" s="91">
        <f>SUMIFS(tabela_registros[VALOR],tabela_registros[MÊS],$AE$1,tabela_registros[DIA],investirrendafixaconsolidadoago[[#Headers],[11]],tabela_registros[REGISTRO],DADOS!$N$5,tabela_registros[TIPO],DADOS!$AB$3,tabela_registros[CATEGORIA],investirrendafixaconsolidadoago[[#This Row],[ATUAL]])</f>
        <v>0</v>
      </c>
      <c r="P119" s="91">
        <f>SUMIFS(tabela_registros[VALOR],tabela_registros[MÊS],$AE$1,tabela_registros[DIA],investirrendafixaconsolidadoago[[#Headers],[12]],tabela_registros[REGISTRO],DADOS!$N$5,tabela_registros[TIPO],DADOS!$AB$3,tabela_registros[CATEGORIA],investirrendafixaconsolidadoago[[#This Row],[ATUAL]])</f>
        <v>0</v>
      </c>
      <c r="Q119" s="91">
        <f>SUMIFS(tabela_registros[VALOR],tabela_registros[MÊS],$AE$1,tabela_registros[DIA],investirrendafixaconsolidadoago[[#Headers],[13]],tabela_registros[REGISTRO],DADOS!$N$5,tabela_registros[TIPO],DADOS!$AB$3,tabela_registros[CATEGORIA],investirrendafixaconsolidadoago[[#This Row],[ATUAL]])</f>
        <v>0</v>
      </c>
      <c r="R119" s="91">
        <f>SUMIFS(tabela_registros[VALOR],tabela_registros[MÊS],$AE$1,tabela_registros[DIA],investirrendafixaconsolidadoago[[#Headers],[14]],tabela_registros[REGISTRO],DADOS!$N$5,tabela_registros[TIPO],DADOS!$AB$3,tabela_registros[CATEGORIA],investirrendafixaconsolidadoago[[#This Row],[ATUAL]])</f>
        <v>0</v>
      </c>
      <c r="S119" s="91">
        <f>SUMIFS(tabela_registros[VALOR],tabela_registros[MÊS],$AE$1,tabela_registros[DIA],investirrendafixaconsolidadoago[[#Headers],[15]],tabela_registros[REGISTRO],DADOS!$N$5,tabela_registros[TIPO],DADOS!$AB$3,tabela_registros[CATEGORIA],investirrendafixaconsolidadoago[[#This Row],[ATUAL]])</f>
        <v>0</v>
      </c>
      <c r="T119" s="91">
        <f>SUMIFS(tabela_registros[VALOR],tabela_registros[MÊS],$AE$1,tabela_registros[DIA],investirrendafixaconsolidadoago[[#Headers],[16]],tabela_registros[REGISTRO],DADOS!$N$5,tabela_registros[TIPO],DADOS!$AB$3,tabela_registros[CATEGORIA],investirrendafixaconsolidadoago[[#This Row],[ATUAL]])</f>
        <v>0</v>
      </c>
      <c r="U119" s="91">
        <f>SUMIFS(tabela_registros[VALOR],tabela_registros[MÊS],$AE$1,tabela_registros[DIA],investirrendafixaconsolidadoago[[#Headers],[17]],tabela_registros[REGISTRO],DADOS!$N$5,tabela_registros[TIPO],DADOS!$AB$3,tabela_registros[CATEGORIA],investirrendafixaconsolidadoago[[#This Row],[ATUAL]])</f>
        <v>0</v>
      </c>
      <c r="V119" s="91">
        <f>SUMIFS(tabela_registros[VALOR],tabela_registros[MÊS],$AE$1,tabela_registros[DIA],investirrendafixaconsolidadoago[[#Headers],[18]],tabela_registros[REGISTRO],DADOS!$N$5,tabela_registros[TIPO],DADOS!$AB$3,tabela_registros[CATEGORIA],investirrendafixaconsolidadoago[[#This Row],[ATUAL]])</f>
        <v>0</v>
      </c>
      <c r="W119" s="91">
        <f>SUMIFS(tabela_registros[VALOR],tabela_registros[MÊS],$AE$1,tabela_registros[DIA],investirrendafixaconsolidadoago[[#Headers],[19]],tabela_registros[REGISTRO],DADOS!$N$5,tabela_registros[TIPO],DADOS!$AB$3,tabela_registros[CATEGORIA],investirrendafixaconsolidadoago[[#This Row],[ATUAL]])</f>
        <v>0</v>
      </c>
      <c r="X119" s="91">
        <f>SUMIFS(tabela_registros[VALOR],tabela_registros[MÊS],$AE$1,tabela_registros[DIA],investirrendafixaconsolidadoago[[#Headers],[20]],tabela_registros[REGISTRO],DADOS!$N$5,tabela_registros[TIPO],DADOS!$AB$3,tabela_registros[CATEGORIA],investirrendafixaconsolidadoago[[#This Row],[ATUAL]])</f>
        <v>0</v>
      </c>
      <c r="Y119" s="91">
        <f>SUMIFS(tabela_registros[VALOR],tabela_registros[MÊS],$AE$1,tabela_registros[DIA],investirrendafixaconsolidadoago[[#Headers],[21]],tabela_registros[REGISTRO],DADOS!$N$5,tabela_registros[TIPO],DADOS!$AB$3,tabela_registros[CATEGORIA],investirrendafixaconsolidadoago[[#This Row],[ATUAL]])</f>
        <v>0</v>
      </c>
      <c r="Z119" s="91">
        <f>SUMIFS(tabela_registros[VALOR],tabela_registros[MÊS],$AE$1,tabela_registros[DIA],investirrendafixaconsolidadoago[[#Headers],[22]],tabela_registros[REGISTRO],DADOS!$N$5,tabela_registros[TIPO],DADOS!$AB$3,tabela_registros[CATEGORIA],investirrendafixaconsolidadoago[[#This Row],[ATUAL]])</f>
        <v>0</v>
      </c>
      <c r="AA119" s="91">
        <f>SUMIFS(tabela_registros[VALOR],tabela_registros[MÊS],$AE$1,tabela_registros[DIA],investirrendafixaconsolidadoago[[#Headers],[23]],tabela_registros[REGISTRO],DADOS!$N$5,tabela_registros[TIPO],DADOS!$AB$3,tabela_registros[CATEGORIA],investirrendafixaconsolidadoago[[#This Row],[ATUAL]])</f>
        <v>0</v>
      </c>
      <c r="AB119" s="91">
        <f>SUMIFS(tabela_registros[VALOR],tabela_registros[MÊS],$AE$1,tabela_registros[DIA],investirrendafixaconsolidadoago[[#Headers],[24]],tabela_registros[REGISTRO],DADOS!$N$5,tabela_registros[TIPO],DADOS!$AB$3,tabela_registros[CATEGORIA],investirrendafixaconsolidadoago[[#This Row],[ATUAL]])</f>
        <v>0</v>
      </c>
      <c r="AC119" s="91">
        <f>SUMIFS(tabela_registros[VALOR],tabela_registros[MÊS],$AE$1,tabela_registros[DIA],investirrendafixaconsolidadoago[[#Headers],[25]],tabela_registros[REGISTRO],DADOS!$N$5,tabela_registros[TIPO],DADOS!$AB$3,tabela_registros[CATEGORIA],investirrendafixaconsolidadoago[[#This Row],[ATUAL]])</f>
        <v>0</v>
      </c>
      <c r="AD119" s="91">
        <f>SUMIFS(tabela_registros[VALOR],tabela_registros[MÊS],$AE$1,tabela_registros[DIA],investirrendafixaconsolidadoago[[#Headers],[26]],tabela_registros[REGISTRO],DADOS!$N$5,tabela_registros[TIPO],DADOS!$AB$3,tabela_registros[CATEGORIA],investirrendafixaconsolidadoago[[#This Row],[ATUAL]])</f>
        <v>0</v>
      </c>
      <c r="AE119" s="91">
        <f>SUMIFS(tabela_registros[VALOR],tabela_registros[MÊS],$AE$1,tabela_registros[DIA],investirrendafixaconsolidadoago[[#Headers],[27]],tabela_registros[REGISTRO],DADOS!$N$5,tabela_registros[TIPO],DADOS!$AB$3,tabela_registros[CATEGORIA],investirrendafixaconsolidadoago[[#This Row],[ATUAL]])</f>
        <v>0</v>
      </c>
      <c r="AF119" s="91">
        <f>SUMIFS(tabela_registros[VALOR],tabela_registros[MÊS],$AE$1,tabela_registros[DIA],investirrendafixaconsolidadoago[[#Headers],[28]],tabela_registros[REGISTRO],DADOS!$N$5,tabela_registros[TIPO],DADOS!$AB$3,tabela_registros[CATEGORIA],investirrendafixaconsolidadoago[[#This Row],[ATUAL]])</f>
        <v>0</v>
      </c>
      <c r="AG119" s="91">
        <f>SUMIFS(tabela_registros[VALOR],tabela_registros[MÊS],$AE$1,tabela_registros[DIA],investirrendafixaconsolidadoago[[#Headers],[29]],tabela_registros[REGISTRO],DADOS!$N$5,tabela_registros[TIPO],DADOS!$AB$3,tabela_registros[CATEGORIA],investirrendafixaconsolidadoago[[#This Row],[ATUAL]])</f>
        <v>0</v>
      </c>
      <c r="AH119" s="91">
        <f>SUMIFS(tabela_registros[VALOR],tabela_registros[MÊS],$AE$1,tabela_registros[DIA],investirrendafixaconsolidadoago[[#Headers],[30]],tabela_registros[REGISTRO],DADOS!$N$5,tabela_registros[TIPO],DADOS!$AB$3,tabela_registros[CATEGORIA],investirrendafixaconsolidadoago[[#This Row],[ATUAL]])</f>
        <v>0</v>
      </c>
      <c r="AI119" s="101">
        <f>SUMIFS(tabela_registros[VALOR],tabela_registros[MÊS],$AE$1,tabela_registros[DIA],investirrendafixaconsolidadoago[[#Headers],[31]],tabela_registros[REGISTRO],DADOS!$N$5,tabela_registros[TIPO],DADOS!$AB$3,tabela_registros[CATEGORIA],investirrendafixaconsolidadoago[[#This Row],[ATUAL]])</f>
        <v>0</v>
      </c>
      <c r="AJ119" s="97">
        <f>SUM(investirrendafixaconsolidadoago[[#This Row],[1]:[31]])</f>
        <v>0</v>
      </c>
      <c r="AK119" s="25"/>
    </row>
    <row r="120" spans="2:37" ht="19.5" customHeight="1" thickTop="1" thickBot="1" x14ac:dyDescent="0.3">
      <c r="B120" s="28"/>
      <c r="C120" s="27" t="str">
        <f>DADOS!$AD$10</f>
        <v>📝 LCI</v>
      </c>
      <c r="D120" s="26" t="str">
        <f>IF(investirrendafixaconsolidadoago[[#This Row],[TOTAL (R$)]]=0,"",IF(OR(investirrendafixaconsolidadoago[[#This Row],[TOTAL (R$)]]=LARGE($AJ$113:$AJ$122,1),investirrendafixaconsolidadoago[[#This Row],[TOTAL (R$)]]=LARGE($AJ$113:$AJ$122,2)),DADOS!$I$10,""))</f>
        <v/>
      </c>
      <c r="E120" s="96">
        <f>SUMIFS(tabela_registros[VALOR],tabela_registros[MÊS],$AE$1,tabela_registros[DIA],investirrendafixaconsolidadoago[[#Headers],[1]],tabela_registros[REGISTRO],DADOS!$N$5,tabela_registros[TIPO],DADOS!$AB$3,tabela_registros[CATEGORIA],investirrendafixaconsolidadoago[[#This Row],[ATUAL]])</f>
        <v>0</v>
      </c>
      <c r="F120" s="91">
        <f>SUMIFS(tabela_registros[VALOR],tabela_registros[MÊS],$AE$1,tabela_registros[DIA],investirrendafixaconsolidadoago[[#Headers],[2]],tabela_registros[REGISTRO],DADOS!$N$5,tabela_registros[TIPO],DADOS!$AB$3,tabela_registros[CATEGORIA],investirrendafixaconsolidadoago[[#This Row],[ATUAL]])</f>
        <v>0</v>
      </c>
      <c r="G120" s="91">
        <f>SUMIFS(tabela_registros[VALOR],tabela_registros[MÊS],$AE$1,tabela_registros[DIA],investirrendafixaconsolidadoago[[#Headers],[3]],tabela_registros[REGISTRO],DADOS!$N$5,tabela_registros[TIPO],DADOS!$AB$3,tabela_registros[CATEGORIA],investirrendafixaconsolidadoago[[#This Row],[ATUAL]])</f>
        <v>0</v>
      </c>
      <c r="H120" s="91">
        <f>SUMIFS(tabela_registros[VALOR],tabela_registros[MÊS],$AE$1,tabela_registros[DIA],investirrendafixaconsolidadoago[[#Headers],[4]],tabela_registros[REGISTRO],DADOS!$N$5,tabela_registros[TIPO],DADOS!$AB$3,tabela_registros[CATEGORIA],investirrendafixaconsolidadoago[[#This Row],[ATUAL]])</f>
        <v>0</v>
      </c>
      <c r="I120" s="91">
        <f>SUMIFS(tabela_registros[VALOR],tabela_registros[MÊS],$AE$1,tabela_registros[DIA],investirrendafixaconsolidadoago[[#Headers],[5]],tabela_registros[REGISTRO],DADOS!$N$5,tabela_registros[TIPO],DADOS!$AB$3,tabela_registros[CATEGORIA],investirrendafixaconsolidadoago[[#This Row],[ATUAL]])</f>
        <v>0</v>
      </c>
      <c r="J120" s="91">
        <f>SUMIFS(tabela_registros[VALOR],tabela_registros[MÊS],$AE$1,tabela_registros[DIA],investirrendafixaconsolidadoago[[#Headers],[6]],tabela_registros[REGISTRO],DADOS!$N$5,tabela_registros[TIPO],DADOS!$AB$3,tabela_registros[CATEGORIA],investirrendafixaconsolidadoago[[#This Row],[ATUAL]])</f>
        <v>0</v>
      </c>
      <c r="K120" s="91">
        <f>SUMIFS(tabela_registros[VALOR],tabela_registros[MÊS],$AE$1,tabela_registros[DIA],investirrendafixaconsolidadoago[[#Headers],[7]],tabela_registros[REGISTRO],DADOS!$N$5,tabela_registros[TIPO],DADOS!$AB$3,tabela_registros[CATEGORIA],investirrendafixaconsolidadoago[[#This Row],[ATUAL]])</f>
        <v>0</v>
      </c>
      <c r="L120" s="91">
        <f>SUMIFS(tabela_registros[VALOR],tabela_registros[MÊS],$AE$1,tabela_registros[DIA],investirrendafixaconsolidadoago[[#Headers],[8]],tabela_registros[REGISTRO],DADOS!$N$5,tabela_registros[TIPO],DADOS!$AB$3,tabela_registros[CATEGORIA],investirrendafixaconsolidadoago[[#This Row],[ATUAL]])</f>
        <v>0</v>
      </c>
      <c r="M120" s="91">
        <f>SUMIFS(tabela_registros[VALOR],tabela_registros[MÊS],$AE$1,tabela_registros[DIA],investirrendafixaconsolidadoago[[#Headers],[9]],tabela_registros[REGISTRO],DADOS!$N$5,tabela_registros[TIPO],DADOS!$AB$3,tabela_registros[CATEGORIA],investirrendafixaconsolidadoago[[#This Row],[ATUAL]])</f>
        <v>0</v>
      </c>
      <c r="N120" s="91">
        <f>SUMIFS(tabela_registros[VALOR],tabela_registros[MÊS],$AE$1,tabela_registros[DIA],investirrendafixaconsolidadoago[[#Headers],[10]],tabela_registros[REGISTRO],DADOS!$N$5,tabela_registros[TIPO],DADOS!$AB$3,tabela_registros[CATEGORIA],investirrendafixaconsolidadoago[[#This Row],[ATUAL]])</f>
        <v>0</v>
      </c>
      <c r="O120" s="91">
        <f>SUMIFS(tabela_registros[VALOR],tabela_registros[MÊS],$AE$1,tabela_registros[DIA],investirrendafixaconsolidadoago[[#Headers],[11]],tabela_registros[REGISTRO],DADOS!$N$5,tabela_registros[TIPO],DADOS!$AB$3,tabela_registros[CATEGORIA],investirrendafixaconsolidadoago[[#This Row],[ATUAL]])</f>
        <v>0</v>
      </c>
      <c r="P120" s="91">
        <f>SUMIFS(tabela_registros[VALOR],tabela_registros[MÊS],$AE$1,tabela_registros[DIA],investirrendafixaconsolidadoago[[#Headers],[12]],tabela_registros[REGISTRO],DADOS!$N$5,tabela_registros[TIPO],DADOS!$AB$3,tabela_registros[CATEGORIA],investirrendafixaconsolidadoago[[#This Row],[ATUAL]])</f>
        <v>0</v>
      </c>
      <c r="Q120" s="91">
        <f>SUMIFS(tabela_registros[VALOR],tabela_registros[MÊS],$AE$1,tabela_registros[DIA],investirrendafixaconsolidadoago[[#Headers],[13]],tabela_registros[REGISTRO],DADOS!$N$5,tabela_registros[TIPO],DADOS!$AB$3,tabela_registros[CATEGORIA],investirrendafixaconsolidadoago[[#This Row],[ATUAL]])</f>
        <v>0</v>
      </c>
      <c r="R120" s="91">
        <f>SUMIFS(tabela_registros[VALOR],tabela_registros[MÊS],$AE$1,tabela_registros[DIA],investirrendafixaconsolidadoago[[#Headers],[14]],tabela_registros[REGISTRO],DADOS!$N$5,tabela_registros[TIPO],DADOS!$AB$3,tabela_registros[CATEGORIA],investirrendafixaconsolidadoago[[#This Row],[ATUAL]])</f>
        <v>0</v>
      </c>
      <c r="S120" s="91">
        <f>SUMIFS(tabela_registros[VALOR],tabela_registros[MÊS],$AE$1,tabela_registros[DIA],investirrendafixaconsolidadoago[[#Headers],[15]],tabela_registros[REGISTRO],DADOS!$N$5,tabela_registros[TIPO],DADOS!$AB$3,tabela_registros[CATEGORIA],investirrendafixaconsolidadoago[[#This Row],[ATUAL]])</f>
        <v>0</v>
      </c>
      <c r="T120" s="91">
        <f>SUMIFS(tabela_registros[VALOR],tabela_registros[MÊS],$AE$1,tabela_registros[DIA],investirrendafixaconsolidadoago[[#Headers],[16]],tabela_registros[REGISTRO],DADOS!$N$5,tabela_registros[TIPO],DADOS!$AB$3,tabela_registros[CATEGORIA],investirrendafixaconsolidadoago[[#This Row],[ATUAL]])</f>
        <v>0</v>
      </c>
      <c r="U120" s="91">
        <f>SUMIFS(tabela_registros[VALOR],tabela_registros[MÊS],$AE$1,tabela_registros[DIA],investirrendafixaconsolidadoago[[#Headers],[17]],tabela_registros[REGISTRO],DADOS!$N$5,tabela_registros[TIPO],DADOS!$AB$3,tabela_registros[CATEGORIA],investirrendafixaconsolidadoago[[#This Row],[ATUAL]])</f>
        <v>0</v>
      </c>
      <c r="V120" s="91">
        <f>SUMIFS(tabela_registros[VALOR],tabela_registros[MÊS],$AE$1,tabela_registros[DIA],investirrendafixaconsolidadoago[[#Headers],[18]],tabela_registros[REGISTRO],DADOS!$N$5,tabela_registros[TIPO],DADOS!$AB$3,tabela_registros[CATEGORIA],investirrendafixaconsolidadoago[[#This Row],[ATUAL]])</f>
        <v>0</v>
      </c>
      <c r="W120" s="91">
        <f>SUMIFS(tabela_registros[VALOR],tabela_registros[MÊS],$AE$1,tabela_registros[DIA],investirrendafixaconsolidadoago[[#Headers],[19]],tabela_registros[REGISTRO],DADOS!$N$5,tabela_registros[TIPO],DADOS!$AB$3,tabela_registros[CATEGORIA],investirrendafixaconsolidadoago[[#This Row],[ATUAL]])</f>
        <v>0</v>
      </c>
      <c r="X120" s="91">
        <f>SUMIFS(tabela_registros[VALOR],tabela_registros[MÊS],$AE$1,tabela_registros[DIA],investirrendafixaconsolidadoago[[#Headers],[20]],tabela_registros[REGISTRO],DADOS!$N$5,tabela_registros[TIPO],DADOS!$AB$3,tabela_registros[CATEGORIA],investirrendafixaconsolidadoago[[#This Row],[ATUAL]])</f>
        <v>0</v>
      </c>
      <c r="Y120" s="91">
        <f>SUMIFS(tabela_registros[VALOR],tabela_registros[MÊS],$AE$1,tabela_registros[DIA],investirrendafixaconsolidadoago[[#Headers],[21]],tabela_registros[REGISTRO],DADOS!$N$5,tabela_registros[TIPO],DADOS!$AB$3,tabela_registros[CATEGORIA],investirrendafixaconsolidadoago[[#This Row],[ATUAL]])</f>
        <v>0</v>
      </c>
      <c r="Z120" s="91">
        <f>SUMIFS(tabela_registros[VALOR],tabela_registros[MÊS],$AE$1,tabela_registros[DIA],investirrendafixaconsolidadoago[[#Headers],[22]],tabela_registros[REGISTRO],DADOS!$N$5,tabela_registros[TIPO],DADOS!$AB$3,tabela_registros[CATEGORIA],investirrendafixaconsolidadoago[[#This Row],[ATUAL]])</f>
        <v>0</v>
      </c>
      <c r="AA120" s="91">
        <f>SUMIFS(tabela_registros[VALOR],tabela_registros[MÊS],$AE$1,tabela_registros[DIA],investirrendafixaconsolidadoago[[#Headers],[23]],tabela_registros[REGISTRO],DADOS!$N$5,tabela_registros[TIPO],DADOS!$AB$3,tabela_registros[CATEGORIA],investirrendafixaconsolidadoago[[#This Row],[ATUAL]])</f>
        <v>0</v>
      </c>
      <c r="AB120" s="91">
        <f>SUMIFS(tabela_registros[VALOR],tabela_registros[MÊS],$AE$1,tabela_registros[DIA],investirrendafixaconsolidadoago[[#Headers],[24]],tabela_registros[REGISTRO],DADOS!$N$5,tabela_registros[TIPO],DADOS!$AB$3,tabela_registros[CATEGORIA],investirrendafixaconsolidadoago[[#This Row],[ATUAL]])</f>
        <v>0</v>
      </c>
      <c r="AC120" s="91">
        <f>SUMIFS(tabela_registros[VALOR],tabela_registros[MÊS],$AE$1,tabela_registros[DIA],investirrendafixaconsolidadoago[[#Headers],[25]],tabela_registros[REGISTRO],DADOS!$N$5,tabela_registros[TIPO],DADOS!$AB$3,tabela_registros[CATEGORIA],investirrendafixaconsolidadoago[[#This Row],[ATUAL]])</f>
        <v>0</v>
      </c>
      <c r="AD120" s="91">
        <f>SUMIFS(tabela_registros[VALOR],tabela_registros[MÊS],$AE$1,tabela_registros[DIA],investirrendafixaconsolidadoago[[#Headers],[26]],tabela_registros[REGISTRO],DADOS!$N$5,tabela_registros[TIPO],DADOS!$AB$3,tabela_registros[CATEGORIA],investirrendafixaconsolidadoago[[#This Row],[ATUAL]])</f>
        <v>0</v>
      </c>
      <c r="AE120" s="91">
        <f>SUMIFS(tabela_registros[VALOR],tabela_registros[MÊS],$AE$1,tabela_registros[DIA],investirrendafixaconsolidadoago[[#Headers],[27]],tabela_registros[REGISTRO],DADOS!$N$5,tabela_registros[TIPO],DADOS!$AB$3,tabela_registros[CATEGORIA],investirrendafixaconsolidadoago[[#This Row],[ATUAL]])</f>
        <v>0</v>
      </c>
      <c r="AF120" s="91">
        <f>SUMIFS(tabela_registros[VALOR],tabela_registros[MÊS],$AE$1,tabela_registros[DIA],investirrendafixaconsolidadoago[[#Headers],[28]],tabela_registros[REGISTRO],DADOS!$N$5,tabela_registros[TIPO],DADOS!$AB$3,tabela_registros[CATEGORIA],investirrendafixaconsolidadoago[[#This Row],[ATUAL]])</f>
        <v>0</v>
      </c>
      <c r="AG120" s="91">
        <f>SUMIFS(tabela_registros[VALOR],tabela_registros[MÊS],$AE$1,tabela_registros[DIA],investirrendafixaconsolidadoago[[#Headers],[29]],tabela_registros[REGISTRO],DADOS!$N$5,tabela_registros[TIPO],DADOS!$AB$3,tabela_registros[CATEGORIA],investirrendafixaconsolidadoago[[#This Row],[ATUAL]])</f>
        <v>0</v>
      </c>
      <c r="AH120" s="91">
        <f>SUMIFS(tabela_registros[VALOR],tabela_registros[MÊS],$AE$1,tabela_registros[DIA],investirrendafixaconsolidadoago[[#Headers],[30]],tabela_registros[REGISTRO],DADOS!$N$5,tabela_registros[TIPO],DADOS!$AB$3,tabela_registros[CATEGORIA],investirrendafixaconsolidadoago[[#This Row],[ATUAL]])</f>
        <v>0</v>
      </c>
      <c r="AI120" s="101">
        <f>SUMIFS(tabela_registros[VALOR],tabela_registros[MÊS],$AE$1,tabela_registros[DIA],investirrendafixaconsolidadoago[[#Headers],[31]],tabela_registros[REGISTRO],DADOS!$N$5,tabela_registros[TIPO],DADOS!$AB$3,tabela_registros[CATEGORIA],investirrendafixaconsolidadoago[[#This Row],[ATUAL]])</f>
        <v>0</v>
      </c>
      <c r="AJ120" s="97">
        <f>SUM(investirrendafixaconsolidadoago[[#This Row],[1]:[31]])</f>
        <v>0</v>
      </c>
      <c r="AK120" s="25"/>
    </row>
    <row r="121" spans="2:37" ht="19.5" customHeight="1" thickTop="1" thickBot="1" x14ac:dyDescent="0.3">
      <c r="B121" s="28"/>
      <c r="C121" s="27" t="str">
        <f>DADOS!$AD$11</f>
        <v>📝 TESOURO DIRETO</v>
      </c>
      <c r="D121" s="26" t="str">
        <f>IF(investirrendafixaconsolidadoago[[#This Row],[TOTAL (R$)]]=0,"",IF(OR(investirrendafixaconsolidadoago[[#This Row],[TOTAL (R$)]]=LARGE($AJ$113:$AJ$122,1),investirrendafixaconsolidadoago[[#This Row],[TOTAL (R$)]]=LARGE($AJ$113:$AJ$122,2)),DADOS!$I$10,""))</f>
        <v/>
      </c>
      <c r="E121" s="96">
        <f>SUMIFS(tabela_registros[VALOR],tabela_registros[MÊS],$AE$1,tabela_registros[DIA],investirrendafixaconsolidadoago[[#Headers],[1]],tabela_registros[REGISTRO],DADOS!$N$5,tabela_registros[TIPO],DADOS!$AB$3,tabela_registros[CATEGORIA],investirrendafixaconsolidadoago[[#This Row],[ATUAL]])</f>
        <v>0</v>
      </c>
      <c r="F121" s="91">
        <f>SUMIFS(tabela_registros[VALOR],tabela_registros[MÊS],$AE$1,tabela_registros[DIA],investirrendafixaconsolidadoago[[#Headers],[2]],tabela_registros[REGISTRO],DADOS!$N$5,tabela_registros[TIPO],DADOS!$AB$3,tabela_registros[CATEGORIA],investirrendafixaconsolidadoago[[#This Row],[ATUAL]])</f>
        <v>0</v>
      </c>
      <c r="G121" s="91">
        <f>SUMIFS(tabela_registros[VALOR],tabela_registros[MÊS],$AE$1,tabela_registros[DIA],investirrendafixaconsolidadoago[[#Headers],[3]],tabela_registros[REGISTRO],DADOS!$N$5,tabela_registros[TIPO],DADOS!$AB$3,tabela_registros[CATEGORIA],investirrendafixaconsolidadoago[[#This Row],[ATUAL]])</f>
        <v>0</v>
      </c>
      <c r="H121" s="91">
        <f>SUMIFS(tabela_registros[VALOR],tabela_registros[MÊS],$AE$1,tabela_registros[DIA],investirrendafixaconsolidadoago[[#Headers],[4]],tabela_registros[REGISTRO],DADOS!$N$5,tabela_registros[TIPO],DADOS!$AB$3,tabela_registros[CATEGORIA],investirrendafixaconsolidadoago[[#This Row],[ATUAL]])</f>
        <v>0</v>
      </c>
      <c r="I121" s="91">
        <f>SUMIFS(tabela_registros[VALOR],tabela_registros[MÊS],$AE$1,tabela_registros[DIA],investirrendafixaconsolidadoago[[#Headers],[5]],tabela_registros[REGISTRO],DADOS!$N$5,tabela_registros[TIPO],DADOS!$AB$3,tabela_registros[CATEGORIA],investirrendafixaconsolidadoago[[#This Row],[ATUAL]])</f>
        <v>0</v>
      </c>
      <c r="J121" s="91">
        <f>SUMIFS(tabela_registros[VALOR],tabela_registros[MÊS],$AE$1,tabela_registros[DIA],investirrendafixaconsolidadoago[[#Headers],[6]],tabela_registros[REGISTRO],DADOS!$N$5,tabela_registros[TIPO],DADOS!$AB$3,tabela_registros[CATEGORIA],investirrendafixaconsolidadoago[[#This Row],[ATUAL]])</f>
        <v>0</v>
      </c>
      <c r="K121" s="91">
        <f>SUMIFS(tabela_registros[VALOR],tabela_registros[MÊS],$AE$1,tabela_registros[DIA],investirrendafixaconsolidadoago[[#Headers],[7]],tabela_registros[REGISTRO],DADOS!$N$5,tabela_registros[TIPO],DADOS!$AB$3,tabela_registros[CATEGORIA],investirrendafixaconsolidadoago[[#This Row],[ATUAL]])</f>
        <v>0</v>
      </c>
      <c r="L121" s="91">
        <f>SUMIFS(tabela_registros[VALOR],tabela_registros[MÊS],$AE$1,tabela_registros[DIA],investirrendafixaconsolidadoago[[#Headers],[8]],tabela_registros[REGISTRO],DADOS!$N$5,tabela_registros[TIPO],DADOS!$AB$3,tabela_registros[CATEGORIA],investirrendafixaconsolidadoago[[#This Row],[ATUAL]])</f>
        <v>0</v>
      </c>
      <c r="M121" s="91">
        <f>SUMIFS(tabela_registros[VALOR],tabela_registros[MÊS],$AE$1,tabela_registros[DIA],investirrendafixaconsolidadoago[[#Headers],[9]],tabela_registros[REGISTRO],DADOS!$N$5,tabela_registros[TIPO],DADOS!$AB$3,tabela_registros[CATEGORIA],investirrendafixaconsolidadoago[[#This Row],[ATUAL]])</f>
        <v>0</v>
      </c>
      <c r="N121" s="91">
        <f>SUMIFS(tabela_registros[VALOR],tabela_registros[MÊS],$AE$1,tabela_registros[DIA],investirrendafixaconsolidadoago[[#Headers],[10]],tabela_registros[REGISTRO],DADOS!$N$5,tabela_registros[TIPO],DADOS!$AB$3,tabela_registros[CATEGORIA],investirrendafixaconsolidadoago[[#This Row],[ATUAL]])</f>
        <v>0</v>
      </c>
      <c r="O121" s="91">
        <f>SUMIFS(tabela_registros[VALOR],tabela_registros[MÊS],$AE$1,tabela_registros[DIA],investirrendafixaconsolidadoago[[#Headers],[11]],tabela_registros[REGISTRO],DADOS!$N$5,tabela_registros[TIPO],DADOS!$AB$3,tabela_registros[CATEGORIA],investirrendafixaconsolidadoago[[#This Row],[ATUAL]])</f>
        <v>0</v>
      </c>
      <c r="P121" s="91">
        <f>SUMIFS(tabela_registros[VALOR],tabela_registros[MÊS],$AE$1,tabela_registros[DIA],investirrendafixaconsolidadoago[[#Headers],[12]],tabela_registros[REGISTRO],DADOS!$N$5,tabela_registros[TIPO],DADOS!$AB$3,tabela_registros[CATEGORIA],investirrendafixaconsolidadoago[[#This Row],[ATUAL]])</f>
        <v>0</v>
      </c>
      <c r="Q121" s="91">
        <f>SUMIFS(tabela_registros[VALOR],tabela_registros[MÊS],$AE$1,tabela_registros[DIA],investirrendafixaconsolidadoago[[#Headers],[13]],tabela_registros[REGISTRO],DADOS!$N$5,tabela_registros[TIPO],DADOS!$AB$3,tabela_registros[CATEGORIA],investirrendafixaconsolidadoago[[#This Row],[ATUAL]])</f>
        <v>0</v>
      </c>
      <c r="R121" s="91">
        <f>SUMIFS(tabela_registros[VALOR],tabela_registros[MÊS],$AE$1,tabela_registros[DIA],investirrendafixaconsolidadoago[[#Headers],[14]],tabela_registros[REGISTRO],DADOS!$N$5,tabela_registros[TIPO],DADOS!$AB$3,tabela_registros[CATEGORIA],investirrendafixaconsolidadoago[[#This Row],[ATUAL]])</f>
        <v>0</v>
      </c>
      <c r="S121" s="91">
        <f>SUMIFS(tabela_registros[VALOR],tabela_registros[MÊS],$AE$1,tabela_registros[DIA],investirrendafixaconsolidadoago[[#Headers],[15]],tabela_registros[REGISTRO],DADOS!$N$5,tabela_registros[TIPO],DADOS!$AB$3,tabela_registros[CATEGORIA],investirrendafixaconsolidadoago[[#This Row],[ATUAL]])</f>
        <v>0</v>
      </c>
      <c r="T121" s="91">
        <f>SUMIFS(tabela_registros[VALOR],tabela_registros[MÊS],$AE$1,tabela_registros[DIA],investirrendafixaconsolidadoago[[#Headers],[16]],tabela_registros[REGISTRO],DADOS!$N$5,tabela_registros[TIPO],DADOS!$AB$3,tabela_registros[CATEGORIA],investirrendafixaconsolidadoago[[#This Row],[ATUAL]])</f>
        <v>0</v>
      </c>
      <c r="U121" s="91">
        <f>SUMIFS(tabela_registros[VALOR],tabela_registros[MÊS],$AE$1,tabela_registros[DIA],investirrendafixaconsolidadoago[[#Headers],[17]],tabela_registros[REGISTRO],DADOS!$N$5,tabela_registros[TIPO],DADOS!$AB$3,tabela_registros[CATEGORIA],investirrendafixaconsolidadoago[[#This Row],[ATUAL]])</f>
        <v>0</v>
      </c>
      <c r="V121" s="91">
        <f>SUMIFS(tabela_registros[VALOR],tabela_registros[MÊS],$AE$1,tabela_registros[DIA],investirrendafixaconsolidadoago[[#Headers],[18]],tabela_registros[REGISTRO],DADOS!$N$5,tabela_registros[TIPO],DADOS!$AB$3,tabela_registros[CATEGORIA],investirrendafixaconsolidadoago[[#This Row],[ATUAL]])</f>
        <v>0</v>
      </c>
      <c r="W121" s="91">
        <f>SUMIFS(tabela_registros[VALOR],tabela_registros[MÊS],$AE$1,tabela_registros[DIA],investirrendafixaconsolidadoago[[#Headers],[19]],tabela_registros[REGISTRO],DADOS!$N$5,tabela_registros[TIPO],DADOS!$AB$3,tabela_registros[CATEGORIA],investirrendafixaconsolidadoago[[#This Row],[ATUAL]])</f>
        <v>0</v>
      </c>
      <c r="X121" s="91">
        <f>SUMIFS(tabela_registros[VALOR],tabela_registros[MÊS],$AE$1,tabela_registros[DIA],investirrendafixaconsolidadoago[[#Headers],[20]],tabela_registros[REGISTRO],DADOS!$N$5,tabela_registros[TIPO],DADOS!$AB$3,tabela_registros[CATEGORIA],investirrendafixaconsolidadoago[[#This Row],[ATUAL]])</f>
        <v>0</v>
      </c>
      <c r="Y121" s="91">
        <f>SUMIFS(tabela_registros[VALOR],tabela_registros[MÊS],$AE$1,tabela_registros[DIA],investirrendafixaconsolidadoago[[#Headers],[21]],tabela_registros[REGISTRO],DADOS!$N$5,tabela_registros[TIPO],DADOS!$AB$3,tabela_registros[CATEGORIA],investirrendafixaconsolidadoago[[#This Row],[ATUAL]])</f>
        <v>0</v>
      </c>
      <c r="Z121" s="91">
        <f>SUMIFS(tabela_registros[VALOR],tabela_registros[MÊS],$AE$1,tabela_registros[DIA],investirrendafixaconsolidadoago[[#Headers],[22]],tabela_registros[REGISTRO],DADOS!$N$5,tabela_registros[TIPO],DADOS!$AB$3,tabela_registros[CATEGORIA],investirrendafixaconsolidadoago[[#This Row],[ATUAL]])</f>
        <v>0</v>
      </c>
      <c r="AA121" s="91">
        <f>SUMIFS(tabela_registros[VALOR],tabela_registros[MÊS],$AE$1,tabela_registros[DIA],investirrendafixaconsolidadoago[[#Headers],[23]],tabela_registros[REGISTRO],DADOS!$N$5,tabela_registros[TIPO],DADOS!$AB$3,tabela_registros[CATEGORIA],investirrendafixaconsolidadoago[[#This Row],[ATUAL]])</f>
        <v>0</v>
      </c>
      <c r="AB121" s="91">
        <f>SUMIFS(tabela_registros[VALOR],tabela_registros[MÊS],$AE$1,tabela_registros[DIA],investirrendafixaconsolidadoago[[#Headers],[24]],tabela_registros[REGISTRO],DADOS!$N$5,tabela_registros[TIPO],DADOS!$AB$3,tabela_registros[CATEGORIA],investirrendafixaconsolidadoago[[#This Row],[ATUAL]])</f>
        <v>0</v>
      </c>
      <c r="AC121" s="91">
        <f>SUMIFS(tabela_registros[VALOR],tabela_registros[MÊS],$AE$1,tabela_registros[DIA],investirrendafixaconsolidadoago[[#Headers],[25]],tabela_registros[REGISTRO],DADOS!$N$5,tabela_registros[TIPO],DADOS!$AB$3,tabela_registros[CATEGORIA],investirrendafixaconsolidadoago[[#This Row],[ATUAL]])</f>
        <v>0</v>
      </c>
      <c r="AD121" s="91">
        <f>SUMIFS(tabela_registros[VALOR],tabela_registros[MÊS],$AE$1,tabela_registros[DIA],investirrendafixaconsolidadoago[[#Headers],[26]],tabela_registros[REGISTRO],DADOS!$N$5,tabela_registros[TIPO],DADOS!$AB$3,tabela_registros[CATEGORIA],investirrendafixaconsolidadoago[[#This Row],[ATUAL]])</f>
        <v>0</v>
      </c>
      <c r="AE121" s="91">
        <f>SUMIFS(tabela_registros[VALOR],tabela_registros[MÊS],$AE$1,tabela_registros[DIA],investirrendafixaconsolidadoago[[#Headers],[27]],tabela_registros[REGISTRO],DADOS!$N$5,tabela_registros[TIPO],DADOS!$AB$3,tabela_registros[CATEGORIA],investirrendafixaconsolidadoago[[#This Row],[ATUAL]])</f>
        <v>0</v>
      </c>
      <c r="AF121" s="91">
        <f>SUMIFS(tabela_registros[VALOR],tabela_registros[MÊS],$AE$1,tabela_registros[DIA],investirrendafixaconsolidadoago[[#Headers],[28]],tabela_registros[REGISTRO],DADOS!$N$5,tabela_registros[TIPO],DADOS!$AB$3,tabela_registros[CATEGORIA],investirrendafixaconsolidadoago[[#This Row],[ATUAL]])</f>
        <v>0</v>
      </c>
      <c r="AG121" s="91">
        <f>SUMIFS(tabela_registros[VALOR],tabela_registros[MÊS],$AE$1,tabela_registros[DIA],investirrendafixaconsolidadoago[[#Headers],[29]],tabela_registros[REGISTRO],DADOS!$N$5,tabela_registros[TIPO],DADOS!$AB$3,tabela_registros[CATEGORIA],investirrendafixaconsolidadoago[[#This Row],[ATUAL]])</f>
        <v>0</v>
      </c>
      <c r="AH121" s="91">
        <f>SUMIFS(tabela_registros[VALOR],tabela_registros[MÊS],$AE$1,tabela_registros[DIA],investirrendafixaconsolidadoago[[#Headers],[30]],tabela_registros[REGISTRO],DADOS!$N$5,tabela_registros[TIPO],DADOS!$AB$3,tabela_registros[CATEGORIA],investirrendafixaconsolidadoago[[#This Row],[ATUAL]])</f>
        <v>0</v>
      </c>
      <c r="AI121" s="101">
        <f>SUMIFS(tabela_registros[VALOR],tabela_registros[MÊS],$AE$1,tabela_registros[DIA],investirrendafixaconsolidadoago[[#Headers],[31]],tabela_registros[REGISTRO],DADOS!$N$5,tabela_registros[TIPO],DADOS!$AB$3,tabela_registros[CATEGORIA],investirrendafixaconsolidadoago[[#This Row],[ATUAL]])</f>
        <v>0</v>
      </c>
      <c r="AJ121" s="97">
        <f>SUM(investirrendafixaconsolidadoago[[#This Row],[1]:[31]])</f>
        <v>0</v>
      </c>
      <c r="AK121" s="25"/>
    </row>
    <row r="122" spans="2:37" ht="19.5" customHeight="1" thickTop="1" thickBot="1" x14ac:dyDescent="0.3">
      <c r="B122" s="28"/>
      <c r="C122" s="27" t="str">
        <f>DADOS!$AD$12</f>
        <v>📎 OUTROS</v>
      </c>
      <c r="D122" s="26" t="str">
        <f>IF(investirrendafixaconsolidadoago[[#This Row],[TOTAL (R$)]]=0,"",IF(OR(investirrendafixaconsolidadoago[[#This Row],[TOTAL (R$)]]=LARGE($AJ$113:$AJ$122,1),investirrendafixaconsolidadoago[[#This Row],[TOTAL (R$)]]=LARGE($AJ$113:$AJ$122,2)),DADOS!$I$10,""))</f>
        <v/>
      </c>
      <c r="E122" s="96">
        <f>SUMIFS(tabela_registros[VALOR],tabela_registros[MÊS],$AE$1,tabela_registros[DIA],investirrendafixaconsolidadoago[[#Headers],[1]],tabela_registros[REGISTRO],DADOS!$N$5,tabela_registros[TIPO],DADOS!$AB$3,tabela_registros[CATEGORIA],investirrendafixaconsolidadoago[[#This Row],[ATUAL]])</f>
        <v>0</v>
      </c>
      <c r="F122" s="91">
        <f>SUMIFS(tabela_registros[VALOR],tabela_registros[MÊS],$AE$1,tabela_registros[DIA],investirrendafixaconsolidadoago[[#Headers],[2]],tabela_registros[REGISTRO],DADOS!$N$5,tabela_registros[TIPO],DADOS!$AB$3,tabela_registros[CATEGORIA],investirrendafixaconsolidadoago[[#This Row],[ATUAL]])</f>
        <v>0</v>
      </c>
      <c r="G122" s="91">
        <f>SUMIFS(tabela_registros[VALOR],tabela_registros[MÊS],$AE$1,tabela_registros[DIA],investirrendafixaconsolidadoago[[#Headers],[3]],tabela_registros[REGISTRO],DADOS!$N$5,tabela_registros[TIPO],DADOS!$AB$3,tabela_registros[CATEGORIA],investirrendafixaconsolidadoago[[#This Row],[ATUAL]])</f>
        <v>0</v>
      </c>
      <c r="H122" s="91">
        <f>SUMIFS(tabela_registros[VALOR],tabela_registros[MÊS],$AE$1,tabela_registros[DIA],investirrendafixaconsolidadoago[[#Headers],[4]],tabela_registros[REGISTRO],DADOS!$N$5,tabela_registros[TIPO],DADOS!$AB$3,tabela_registros[CATEGORIA],investirrendafixaconsolidadoago[[#This Row],[ATUAL]])</f>
        <v>0</v>
      </c>
      <c r="I122" s="91">
        <f>SUMIFS(tabela_registros[VALOR],tabela_registros[MÊS],$AE$1,tabela_registros[DIA],investirrendafixaconsolidadoago[[#Headers],[5]],tabela_registros[REGISTRO],DADOS!$N$5,tabela_registros[TIPO],DADOS!$AB$3,tabela_registros[CATEGORIA],investirrendafixaconsolidadoago[[#This Row],[ATUAL]])</f>
        <v>0</v>
      </c>
      <c r="J122" s="91">
        <f>SUMIFS(tabela_registros[VALOR],tabela_registros[MÊS],$AE$1,tabela_registros[DIA],investirrendafixaconsolidadoago[[#Headers],[6]],tabela_registros[REGISTRO],DADOS!$N$5,tabela_registros[TIPO],DADOS!$AB$3,tabela_registros[CATEGORIA],investirrendafixaconsolidadoago[[#This Row],[ATUAL]])</f>
        <v>0</v>
      </c>
      <c r="K122" s="91">
        <f>SUMIFS(tabela_registros[VALOR],tabela_registros[MÊS],$AE$1,tabela_registros[DIA],investirrendafixaconsolidadoago[[#Headers],[7]],tabela_registros[REGISTRO],DADOS!$N$5,tabela_registros[TIPO],DADOS!$AB$3,tabela_registros[CATEGORIA],investirrendafixaconsolidadoago[[#This Row],[ATUAL]])</f>
        <v>0</v>
      </c>
      <c r="L122" s="91">
        <f>SUMIFS(tabela_registros[VALOR],tabela_registros[MÊS],$AE$1,tabela_registros[DIA],investirrendafixaconsolidadoago[[#Headers],[8]],tabela_registros[REGISTRO],DADOS!$N$5,tabela_registros[TIPO],DADOS!$AB$3,tabela_registros[CATEGORIA],investirrendafixaconsolidadoago[[#This Row],[ATUAL]])</f>
        <v>0</v>
      </c>
      <c r="M122" s="91">
        <f>SUMIFS(tabela_registros[VALOR],tabela_registros[MÊS],$AE$1,tabela_registros[DIA],investirrendafixaconsolidadoago[[#Headers],[9]],tabela_registros[REGISTRO],DADOS!$N$5,tabela_registros[TIPO],DADOS!$AB$3,tabela_registros[CATEGORIA],investirrendafixaconsolidadoago[[#This Row],[ATUAL]])</f>
        <v>0</v>
      </c>
      <c r="N122" s="91">
        <f>SUMIFS(tabela_registros[VALOR],tabela_registros[MÊS],$AE$1,tabela_registros[DIA],investirrendafixaconsolidadoago[[#Headers],[10]],tabela_registros[REGISTRO],DADOS!$N$5,tabela_registros[TIPO],DADOS!$AB$3,tabela_registros[CATEGORIA],investirrendafixaconsolidadoago[[#This Row],[ATUAL]])</f>
        <v>0</v>
      </c>
      <c r="O122" s="91">
        <f>SUMIFS(tabela_registros[VALOR],tabela_registros[MÊS],$AE$1,tabela_registros[DIA],investirrendafixaconsolidadoago[[#Headers],[11]],tabela_registros[REGISTRO],DADOS!$N$5,tabela_registros[TIPO],DADOS!$AB$3,tabela_registros[CATEGORIA],investirrendafixaconsolidadoago[[#This Row],[ATUAL]])</f>
        <v>0</v>
      </c>
      <c r="P122" s="91">
        <f>SUMIFS(tabela_registros[VALOR],tabela_registros[MÊS],$AE$1,tabela_registros[DIA],investirrendafixaconsolidadoago[[#Headers],[12]],tabela_registros[REGISTRO],DADOS!$N$5,tabela_registros[TIPO],DADOS!$AB$3,tabela_registros[CATEGORIA],investirrendafixaconsolidadoago[[#This Row],[ATUAL]])</f>
        <v>0</v>
      </c>
      <c r="Q122" s="91">
        <f>SUMIFS(tabela_registros[VALOR],tabela_registros[MÊS],$AE$1,tabela_registros[DIA],investirrendafixaconsolidadoago[[#Headers],[13]],tabela_registros[REGISTRO],DADOS!$N$5,tabela_registros[TIPO],DADOS!$AB$3,tabela_registros[CATEGORIA],investirrendafixaconsolidadoago[[#This Row],[ATUAL]])</f>
        <v>0</v>
      </c>
      <c r="R122" s="91">
        <f>SUMIFS(tabela_registros[VALOR],tabela_registros[MÊS],$AE$1,tabela_registros[DIA],investirrendafixaconsolidadoago[[#Headers],[14]],tabela_registros[REGISTRO],DADOS!$N$5,tabela_registros[TIPO],DADOS!$AB$3,tabela_registros[CATEGORIA],investirrendafixaconsolidadoago[[#This Row],[ATUAL]])</f>
        <v>0</v>
      </c>
      <c r="S122" s="91">
        <f>SUMIFS(tabela_registros[VALOR],tabela_registros[MÊS],$AE$1,tabela_registros[DIA],investirrendafixaconsolidadoago[[#Headers],[15]],tabela_registros[REGISTRO],DADOS!$N$5,tabela_registros[TIPO],DADOS!$AB$3,tabela_registros[CATEGORIA],investirrendafixaconsolidadoago[[#This Row],[ATUAL]])</f>
        <v>0</v>
      </c>
      <c r="T122" s="91">
        <f>SUMIFS(tabela_registros[VALOR],tabela_registros[MÊS],$AE$1,tabela_registros[DIA],investirrendafixaconsolidadoago[[#Headers],[16]],tabela_registros[REGISTRO],DADOS!$N$5,tabela_registros[TIPO],DADOS!$AB$3,tabela_registros[CATEGORIA],investirrendafixaconsolidadoago[[#This Row],[ATUAL]])</f>
        <v>0</v>
      </c>
      <c r="U122" s="91">
        <f>SUMIFS(tabela_registros[VALOR],tabela_registros[MÊS],$AE$1,tabela_registros[DIA],investirrendafixaconsolidadoago[[#Headers],[17]],tabela_registros[REGISTRO],DADOS!$N$5,tabela_registros[TIPO],DADOS!$AB$3,tabela_registros[CATEGORIA],investirrendafixaconsolidadoago[[#This Row],[ATUAL]])</f>
        <v>0</v>
      </c>
      <c r="V122" s="91">
        <f>SUMIFS(tabela_registros[VALOR],tabela_registros[MÊS],$AE$1,tabela_registros[DIA],investirrendafixaconsolidadoago[[#Headers],[18]],tabela_registros[REGISTRO],DADOS!$N$5,tabela_registros[TIPO],DADOS!$AB$3,tabela_registros[CATEGORIA],investirrendafixaconsolidadoago[[#This Row],[ATUAL]])</f>
        <v>0</v>
      </c>
      <c r="W122" s="91">
        <f>SUMIFS(tabela_registros[VALOR],tabela_registros[MÊS],$AE$1,tabela_registros[DIA],investirrendafixaconsolidadoago[[#Headers],[19]],tabela_registros[REGISTRO],DADOS!$N$5,tabela_registros[TIPO],DADOS!$AB$3,tabela_registros[CATEGORIA],investirrendafixaconsolidadoago[[#This Row],[ATUAL]])</f>
        <v>0</v>
      </c>
      <c r="X122" s="91">
        <f>SUMIFS(tabela_registros[VALOR],tabela_registros[MÊS],$AE$1,tabela_registros[DIA],investirrendafixaconsolidadoago[[#Headers],[20]],tabela_registros[REGISTRO],DADOS!$N$5,tabela_registros[TIPO],DADOS!$AB$3,tabela_registros[CATEGORIA],investirrendafixaconsolidadoago[[#This Row],[ATUAL]])</f>
        <v>0</v>
      </c>
      <c r="Y122" s="91">
        <f>SUMIFS(tabela_registros[VALOR],tabela_registros[MÊS],$AE$1,tabela_registros[DIA],investirrendafixaconsolidadoago[[#Headers],[21]],tabela_registros[REGISTRO],DADOS!$N$5,tabela_registros[TIPO],DADOS!$AB$3,tabela_registros[CATEGORIA],investirrendafixaconsolidadoago[[#This Row],[ATUAL]])</f>
        <v>0</v>
      </c>
      <c r="Z122" s="91">
        <f>SUMIFS(tabela_registros[VALOR],tabela_registros[MÊS],$AE$1,tabela_registros[DIA],investirrendafixaconsolidadoago[[#Headers],[22]],tabela_registros[REGISTRO],DADOS!$N$5,tabela_registros[TIPO],DADOS!$AB$3,tabela_registros[CATEGORIA],investirrendafixaconsolidadoago[[#This Row],[ATUAL]])</f>
        <v>0</v>
      </c>
      <c r="AA122" s="91">
        <f>SUMIFS(tabela_registros[VALOR],tabela_registros[MÊS],$AE$1,tabela_registros[DIA],investirrendafixaconsolidadoago[[#Headers],[23]],tabela_registros[REGISTRO],DADOS!$N$5,tabela_registros[TIPO],DADOS!$AB$3,tabela_registros[CATEGORIA],investirrendafixaconsolidadoago[[#This Row],[ATUAL]])</f>
        <v>0</v>
      </c>
      <c r="AB122" s="91">
        <f>SUMIFS(tabela_registros[VALOR],tabela_registros[MÊS],$AE$1,tabela_registros[DIA],investirrendafixaconsolidadoago[[#Headers],[24]],tabela_registros[REGISTRO],DADOS!$N$5,tabela_registros[TIPO],DADOS!$AB$3,tabela_registros[CATEGORIA],investirrendafixaconsolidadoago[[#This Row],[ATUAL]])</f>
        <v>0</v>
      </c>
      <c r="AC122" s="91">
        <f>SUMIFS(tabela_registros[VALOR],tabela_registros[MÊS],$AE$1,tabela_registros[DIA],investirrendafixaconsolidadoago[[#Headers],[25]],tabela_registros[REGISTRO],DADOS!$N$5,tabela_registros[TIPO],DADOS!$AB$3,tabela_registros[CATEGORIA],investirrendafixaconsolidadoago[[#This Row],[ATUAL]])</f>
        <v>0</v>
      </c>
      <c r="AD122" s="91">
        <f>SUMIFS(tabela_registros[VALOR],tabela_registros[MÊS],$AE$1,tabela_registros[DIA],investirrendafixaconsolidadoago[[#Headers],[26]],tabela_registros[REGISTRO],DADOS!$N$5,tabela_registros[TIPO],DADOS!$AB$3,tabela_registros[CATEGORIA],investirrendafixaconsolidadoago[[#This Row],[ATUAL]])</f>
        <v>0</v>
      </c>
      <c r="AE122" s="91">
        <f>SUMIFS(tabela_registros[VALOR],tabela_registros[MÊS],$AE$1,tabela_registros[DIA],investirrendafixaconsolidadoago[[#Headers],[27]],tabela_registros[REGISTRO],DADOS!$N$5,tabela_registros[TIPO],DADOS!$AB$3,tabela_registros[CATEGORIA],investirrendafixaconsolidadoago[[#This Row],[ATUAL]])</f>
        <v>0</v>
      </c>
      <c r="AF122" s="91">
        <f>SUMIFS(tabela_registros[VALOR],tabela_registros[MÊS],$AE$1,tabela_registros[DIA],investirrendafixaconsolidadoago[[#Headers],[28]],tabela_registros[REGISTRO],DADOS!$N$5,tabela_registros[TIPO],DADOS!$AB$3,tabela_registros[CATEGORIA],investirrendafixaconsolidadoago[[#This Row],[ATUAL]])</f>
        <v>0</v>
      </c>
      <c r="AG122" s="91">
        <f>SUMIFS(tabela_registros[VALOR],tabela_registros[MÊS],$AE$1,tabela_registros[DIA],investirrendafixaconsolidadoago[[#Headers],[29]],tabela_registros[REGISTRO],DADOS!$N$5,tabela_registros[TIPO],DADOS!$AB$3,tabela_registros[CATEGORIA],investirrendafixaconsolidadoago[[#This Row],[ATUAL]])</f>
        <v>0</v>
      </c>
      <c r="AH122" s="91">
        <f>SUMIFS(tabela_registros[VALOR],tabela_registros[MÊS],$AE$1,tabela_registros[DIA],investirrendafixaconsolidadoago[[#Headers],[30]],tabela_registros[REGISTRO],DADOS!$N$5,tabela_registros[TIPO],DADOS!$AB$3,tabela_registros[CATEGORIA],investirrendafixaconsolidadoago[[#This Row],[ATUAL]])</f>
        <v>0</v>
      </c>
      <c r="AI122" s="102">
        <f>SUMIFS(tabela_registros[VALOR],tabela_registros[MÊS],$AE$1,tabela_registros[DIA],investirrendafixaconsolidadoago[[#Headers],[31]],tabela_registros[REGISTRO],DADOS!$N$5,tabela_registros[TIPO],DADOS!$AB$3,tabela_registros[CATEGORIA],investirrendafixaconsolidadoago[[#This Row],[ATUAL]])</f>
        <v>0</v>
      </c>
      <c r="AJ122" s="97">
        <f>SUM(investirrendafixaconsolidadoago[[#This Row],[1]:[31]])</f>
        <v>0</v>
      </c>
      <c r="AK122" s="25"/>
    </row>
    <row r="123" spans="2:37" s="16" customFormat="1" ht="21" customHeight="1" thickTop="1" thickBot="1" x14ac:dyDescent="0.35">
      <c r="B123" s="24"/>
      <c r="C123" s="23" t="s">
        <v>19</v>
      </c>
      <c r="D123" s="22"/>
      <c r="E123" s="21">
        <f>SUM(E113:E122)</f>
        <v>0</v>
      </c>
      <c r="F123" s="20">
        <f>SUM(F113:F122)+investirrendafixaconsolidadoago[[#This Row],[1]]</f>
        <v>0</v>
      </c>
      <c r="G123" s="20">
        <f>SUM(G113:G122)+investirrendafixaconsolidadoago[[#This Row],[2]]</f>
        <v>0</v>
      </c>
      <c r="H123" s="20">
        <f>SUM(H113:H122)+investirrendafixaconsolidadoago[[#This Row],[3]]</f>
        <v>0</v>
      </c>
      <c r="I123" s="20">
        <f>SUM(I113:I122)+investirrendafixaconsolidadoago[[#This Row],[4]]</f>
        <v>0</v>
      </c>
      <c r="J123" s="20">
        <f>SUM(J113:J122)+investirrendafixaconsolidadoago[[#This Row],[5]]</f>
        <v>0</v>
      </c>
      <c r="K123" s="20">
        <f>SUM(K113:K122)+investirrendafixaconsolidadoago[[#This Row],[6]]</f>
        <v>0</v>
      </c>
      <c r="L123" s="20">
        <f>SUM(L113:L122)+investirrendafixaconsolidadoago[[#This Row],[7]]</f>
        <v>0</v>
      </c>
      <c r="M123" s="20">
        <f>SUM(M113:M122)+investirrendafixaconsolidadoago[[#This Row],[8]]</f>
        <v>0</v>
      </c>
      <c r="N123" s="20">
        <f>SUM(N113:N122)+investirrendafixaconsolidadoago[[#This Row],[9]]</f>
        <v>0</v>
      </c>
      <c r="O123" s="20">
        <f>SUM(O113:O122)+investirrendafixaconsolidadoago[[#This Row],[10]]</f>
        <v>0</v>
      </c>
      <c r="P123" s="20">
        <f>SUM(P113:P122)+investirrendafixaconsolidadoago[[#This Row],[11]]</f>
        <v>0</v>
      </c>
      <c r="Q123" s="20">
        <f>SUM(Q113:Q122)+investirrendafixaconsolidadoago[[#This Row],[12]]</f>
        <v>0</v>
      </c>
      <c r="R123" s="20">
        <f>SUM(R113:R122)+investirrendafixaconsolidadoago[[#This Row],[13]]</f>
        <v>0</v>
      </c>
      <c r="S123" s="20">
        <f>SUM(S113:S122)+investirrendafixaconsolidadoago[[#This Row],[14]]</f>
        <v>0</v>
      </c>
      <c r="T123" s="20">
        <f>SUM(T113:T122)+investirrendafixaconsolidadoago[[#This Row],[15]]</f>
        <v>0</v>
      </c>
      <c r="U123" s="20">
        <f>SUM(U113:U122)+investirrendafixaconsolidadoago[[#This Row],[16]]</f>
        <v>0</v>
      </c>
      <c r="V123" s="20">
        <f>SUM(V113:V122)+investirrendafixaconsolidadoago[[#This Row],[17]]</f>
        <v>0</v>
      </c>
      <c r="W123" s="20">
        <f>SUM(W113:W122)+investirrendafixaconsolidadoago[[#This Row],[18]]</f>
        <v>0</v>
      </c>
      <c r="X123" s="20">
        <f>SUM(X113:X122)+investirrendafixaconsolidadoago[[#This Row],[19]]</f>
        <v>0</v>
      </c>
      <c r="Y123" s="20">
        <f>SUM(Y113:Y122)+investirrendafixaconsolidadoago[[#This Row],[20]]</f>
        <v>0</v>
      </c>
      <c r="Z123" s="20">
        <f>SUM(Z113:Z122)+investirrendafixaconsolidadoago[[#This Row],[21]]</f>
        <v>0</v>
      </c>
      <c r="AA123" s="20">
        <f>SUM(AA113:AA122)+investirrendafixaconsolidadoago[[#This Row],[22]]</f>
        <v>0</v>
      </c>
      <c r="AB123" s="20">
        <f>SUM(AB113:AB122)+investirrendafixaconsolidadoago[[#This Row],[23]]</f>
        <v>0</v>
      </c>
      <c r="AC123" s="20">
        <f>SUM(AC113:AC122)+investirrendafixaconsolidadoago[[#This Row],[24]]</f>
        <v>0</v>
      </c>
      <c r="AD123" s="20">
        <f>SUM(AD113:AD122)+investirrendafixaconsolidadoago[[#This Row],[25]]</f>
        <v>0</v>
      </c>
      <c r="AE123" s="20">
        <f>SUM(AE113:AE122)+investirrendafixaconsolidadoago[[#This Row],[26]]</f>
        <v>0</v>
      </c>
      <c r="AF123" s="20">
        <f>SUM(AF113:AF122)+investirrendafixaconsolidadoago[[#This Row],[27]]</f>
        <v>0</v>
      </c>
      <c r="AG123" s="20">
        <f>SUM(AG113:AG122)+investirrendafixaconsolidadoago[[#This Row],[28]]</f>
        <v>0</v>
      </c>
      <c r="AH123" s="20">
        <f>SUM(AH113:AH122)+investirrendafixaconsolidadoago[[#This Row],[29]]</f>
        <v>0</v>
      </c>
      <c r="AI123" s="19">
        <f>SUM(AI113:AI122)+investirrendafixaconsolidadoago[[#This Row],[30]]</f>
        <v>0</v>
      </c>
      <c r="AJ123" s="18">
        <f>investirrendafixaconsolidadoago[[#This Row],[31]]</f>
        <v>0</v>
      </c>
      <c r="AK123" s="17"/>
    </row>
    <row r="124" spans="2:37" ht="6.75" customHeight="1" thickTop="1" thickBot="1" x14ac:dyDescent="0.3">
      <c r="B124" s="15"/>
      <c r="C124" s="14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  <c r="AI124" s="12"/>
      <c r="AJ124" s="11"/>
      <c r="AK124" s="10"/>
    </row>
    <row r="125" spans="2:37" ht="12.6" thickTop="1" x14ac:dyDescent="0.25">
      <c r="E125" s="37"/>
      <c r="AI125" s="4"/>
    </row>
    <row r="126" spans="2:37" x14ac:dyDescent="0.25">
      <c r="AI126" s="4"/>
    </row>
    <row r="127" spans="2:37" x14ac:dyDescent="0.25">
      <c r="AI127" s="4"/>
    </row>
    <row r="128" spans="2:37" ht="39.75" customHeight="1" x14ac:dyDescent="0.7">
      <c r="C128" s="36"/>
      <c r="E128" s="240"/>
      <c r="F128" s="240"/>
      <c r="G128" s="240"/>
      <c r="H128" s="240"/>
      <c r="I128" s="240"/>
      <c r="J128" s="240"/>
      <c r="K128" s="240"/>
      <c r="L128" s="240"/>
      <c r="M128" s="240"/>
      <c r="N128" s="240"/>
      <c r="O128" s="240"/>
      <c r="P128" s="240"/>
      <c r="Q128" s="240"/>
      <c r="R128" s="240"/>
      <c r="S128" s="240"/>
      <c r="T128" s="240"/>
      <c r="U128" s="240"/>
      <c r="V128" s="240"/>
      <c r="W128" s="240"/>
      <c r="X128" s="240"/>
      <c r="Y128" s="240"/>
      <c r="Z128" s="240"/>
      <c r="AA128" s="240"/>
      <c r="AB128" s="240"/>
      <c r="AC128" s="240"/>
      <c r="AD128" s="240"/>
      <c r="AE128" s="240"/>
      <c r="AF128" s="240"/>
      <c r="AG128" s="240"/>
      <c r="AH128" s="240"/>
      <c r="AI128" s="240"/>
      <c r="AJ128" s="32" t="s">
        <v>19</v>
      </c>
    </row>
    <row r="129" spans="2:37" ht="12.6" thickBot="1" x14ac:dyDescent="0.3">
      <c r="B129" s="35"/>
      <c r="AI129" s="4"/>
      <c r="AJ129" s="34" t="s">
        <v>202</v>
      </c>
    </row>
    <row r="130" spans="2:37" ht="6.75" customHeight="1" thickTop="1" thickBot="1" x14ac:dyDescent="0.3">
      <c r="B130" s="2"/>
      <c r="C130" s="14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  <c r="AA130" s="13"/>
      <c r="AB130" s="13"/>
      <c r="AC130" s="13"/>
      <c r="AD130" s="13"/>
      <c r="AE130" s="13"/>
      <c r="AF130" s="13"/>
      <c r="AG130" s="13"/>
      <c r="AH130" s="13"/>
      <c r="AI130" s="13"/>
      <c r="AJ130" s="12"/>
      <c r="AK130" s="33"/>
    </row>
    <row r="131" spans="2:37" ht="13.2" hidden="1" thickTop="1" thickBot="1" x14ac:dyDescent="0.3">
      <c r="B131" s="2"/>
      <c r="C131" s="31" t="s">
        <v>199</v>
      </c>
      <c r="D131" s="30" t="s">
        <v>198</v>
      </c>
      <c r="E131" s="30" t="s">
        <v>197</v>
      </c>
      <c r="F131" s="30" t="s">
        <v>196</v>
      </c>
      <c r="G131" s="30" t="s">
        <v>195</v>
      </c>
      <c r="H131" s="30" t="s">
        <v>194</v>
      </c>
      <c r="I131" s="30" t="s">
        <v>193</v>
      </c>
      <c r="J131" s="30" t="s">
        <v>192</v>
      </c>
      <c r="K131" s="30" t="s">
        <v>191</v>
      </c>
      <c r="L131" s="30" t="s">
        <v>190</v>
      </c>
      <c r="M131" s="30" t="s">
        <v>189</v>
      </c>
      <c r="N131" s="30" t="s">
        <v>188</v>
      </c>
      <c r="O131" s="30" t="s">
        <v>187</v>
      </c>
      <c r="P131" s="30" t="s">
        <v>186</v>
      </c>
      <c r="Q131" s="30" t="s">
        <v>185</v>
      </c>
      <c r="R131" s="30" t="s">
        <v>184</v>
      </c>
      <c r="S131" s="30" t="s">
        <v>183</v>
      </c>
      <c r="T131" s="30" t="s">
        <v>182</v>
      </c>
      <c r="U131" s="30" t="s">
        <v>181</v>
      </c>
      <c r="V131" s="30" t="s">
        <v>180</v>
      </c>
      <c r="W131" s="30" t="s">
        <v>179</v>
      </c>
      <c r="X131" s="30" t="s">
        <v>178</v>
      </c>
      <c r="Y131" s="30" t="s">
        <v>177</v>
      </c>
      <c r="Z131" s="30" t="s">
        <v>176</v>
      </c>
      <c r="AA131" s="30" t="s">
        <v>175</v>
      </c>
      <c r="AB131" s="30" t="s">
        <v>174</v>
      </c>
      <c r="AC131" s="30" t="s">
        <v>173</v>
      </c>
      <c r="AD131" s="30" t="s">
        <v>172</v>
      </c>
      <c r="AE131" s="30" t="s">
        <v>171</v>
      </c>
      <c r="AF131" s="30" t="s">
        <v>170</v>
      </c>
      <c r="AG131" s="30" t="s">
        <v>169</v>
      </c>
      <c r="AH131" s="30" t="s">
        <v>168</v>
      </c>
      <c r="AI131" s="30" t="s">
        <v>167</v>
      </c>
      <c r="AJ131" s="29" t="s">
        <v>166</v>
      </c>
      <c r="AK131" s="2"/>
    </row>
    <row r="132" spans="2:37" ht="19.5" customHeight="1" thickTop="1" thickBot="1" x14ac:dyDescent="0.3">
      <c r="B132" s="28"/>
      <c r="C132" s="27" t="str">
        <f>DADOS!$AF$3</f>
        <v>📝 AÇÃO</v>
      </c>
      <c r="D132" s="26" t="str">
        <f>IF(investirrendavariávelconsolidadoago[[#This Row],[TOTAL (R$)]]=0,"",IF(OR(investirrendavariávelconsolidadoago[[#This Row],[TOTAL (R$)]]=LARGE($AJ$132:$AJ$141,1),investirrendavariávelconsolidadoago[[#This Row],[TOTAL (R$)]]=LARGE($AJ$132:$AJ$141,2)),DADOS!$I$10,""))</f>
        <v/>
      </c>
      <c r="E132" s="96">
        <f>SUMIFS(tabela_registros[VALOR],tabela_registros[MÊS],$AE$1,tabela_registros[DIA],investirrendavariávelconsolidadoago[[#Headers],[1]],tabela_registros[REGISTRO],DADOS!$N$5,tabela_registros[TIPO],DADOS!$AB$4,tabela_registros[CATEGORIA],investirrendavariávelconsolidadoago[[#This Row],[ATUAL]])</f>
        <v>0</v>
      </c>
      <c r="F132" s="91">
        <f>SUMIFS(tabela_registros[VALOR],tabela_registros[MÊS],$AE$1,tabela_registros[DIA],investirrendavariávelconsolidadoago[[#Headers],[2]],tabela_registros[REGISTRO],DADOS!$N$5,tabela_registros[TIPO],DADOS!$AB$4,tabela_registros[CATEGORIA],investirrendavariávelconsolidadoago[[#This Row],[ATUAL]])</f>
        <v>0</v>
      </c>
      <c r="G132" s="91">
        <f>SUMIFS(tabela_registros[VALOR],tabela_registros[MÊS],$AE$1,tabela_registros[DIA],investirrendavariávelconsolidadoago[[#Headers],[3]],tabela_registros[REGISTRO],DADOS!$N$5,tabela_registros[TIPO],DADOS!$AB$4,tabela_registros[CATEGORIA],investirrendavariávelconsolidadoago[[#This Row],[ATUAL]])</f>
        <v>0</v>
      </c>
      <c r="H132" s="91">
        <f>SUMIFS(tabela_registros[VALOR],tabela_registros[MÊS],$AE$1,tabela_registros[DIA],investirrendavariávelconsolidadoago[[#Headers],[4]],tabela_registros[REGISTRO],DADOS!$N$5,tabela_registros[TIPO],DADOS!$AB$4,tabela_registros[CATEGORIA],investirrendavariávelconsolidadoago[[#This Row],[ATUAL]])</f>
        <v>0</v>
      </c>
      <c r="I132" s="91">
        <f>SUMIFS(tabela_registros[VALOR],tabela_registros[MÊS],$AE$1,tabela_registros[DIA],investirrendavariávelconsolidadoago[[#Headers],[5]],tabela_registros[REGISTRO],DADOS!$N$5,tabela_registros[TIPO],DADOS!$AB$4,tabela_registros[CATEGORIA],investirrendavariávelconsolidadoago[[#This Row],[ATUAL]])</f>
        <v>0</v>
      </c>
      <c r="J132" s="91">
        <f>SUMIFS(tabela_registros[VALOR],tabela_registros[MÊS],$AE$1,tabela_registros[DIA],investirrendavariávelconsolidadoago[[#Headers],[6]],tabela_registros[REGISTRO],DADOS!$N$5,tabela_registros[TIPO],DADOS!$AB$4,tabela_registros[CATEGORIA],investirrendavariávelconsolidadoago[[#This Row],[ATUAL]])</f>
        <v>0</v>
      </c>
      <c r="K132" s="91">
        <f>SUMIFS(tabela_registros[VALOR],tabela_registros[MÊS],$AE$1,tabela_registros[DIA],investirrendavariávelconsolidadoago[[#Headers],[7]],tabela_registros[REGISTRO],DADOS!$N$5,tabela_registros[TIPO],DADOS!$AB$4,tabela_registros[CATEGORIA],investirrendavariávelconsolidadoago[[#This Row],[ATUAL]])</f>
        <v>0</v>
      </c>
      <c r="L132" s="91">
        <f>SUMIFS(tabela_registros[VALOR],tabela_registros[MÊS],$AE$1,tabela_registros[DIA],investirrendavariávelconsolidadoago[[#Headers],[8]],tabela_registros[REGISTRO],DADOS!$N$5,tabela_registros[TIPO],DADOS!$AB$4,tabela_registros[CATEGORIA],investirrendavariávelconsolidadoago[[#This Row],[ATUAL]])</f>
        <v>0</v>
      </c>
      <c r="M132" s="91">
        <f>SUMIFS(tabela_registros[VALOR],tabela_registros[MÊS],$AE$1,tabela_registros[DIA],investirrendavariávelconsolidadoago[[#Headers],[9]],tabela_registros[REGISTRO],DADOS!$N$5,tabela_registros[TIPO],DADOS!$AB$4,tabela_registros[CATEGORIA],investirrendavariávelconsolidadoago[[#This Row],[ATUAL]])</f>
        <v>0</v>
      </c>
      <c r="N132" s="91">
        <f>SUMIFS(tabela_registros[VALOR],tabela_registros[MÊS],$AE$1,tabela_registros[DIA],investirrendavariávelconsolidadoago[[#Headers],[10]],tabela_registros[REGISTRO],DADOS!$N$5,tabela_registros[TIPO],DADOS!$AB$4,tabela_registros[CATEGORIA],investirrendavariávelconsolidadoago[[#This Row],[ATUAL]])</f>
        <v>0</v>
      </c>
      <c r="O132" s="91">
        <f>SUMIFS(tabela_registros[VALOR],tabela_registros[MÊS],$AE$1,tabela_registros[DIA],investirrendavariávelconsolidadoago[[#Headers],[11]],tabela_registros[REGISTRO],DADOS!$N$5,tabela_registros[TIPO],DADOS!$AB$4,tabela_registros[CATEGORIA],investirrendavariávelconsolidadoago[[#This Row],[ATUAL]])</f>
        <v>0</v>
      </c>
      <c r="P132" s="91">
        <f>SUMIFS(tabela_registros[VALOR],tabela_registros[MÊS],$AE$1,tabela_registros[DIA],investirrendavariávelconsolidadoago[[#Headers],[12]],tabela_registros[REGISTRO],DADOS!$N$5,tabela_registros[TIPO],DADOS!$AB$4,tabela_registros[CATEGORIA],investirrendavariávelconsolidadoago[[#This Row],[ATUAL]])</f>
        <v>0</v>
      </c>
      <c r="Q132" s="91">
        <f>SUMIFS(tabela_registros[VALOR],tabela_registros[MÊS],$AE$1,tabela_registros[DIA],investirrendavariávelconsolidadoago[[#Headers],[13]],tabela_registros[REGISTRO],DADOS!$N$5,tabela_registros[TIPO],DADOS!$AB$4,tabela_registros[CATEGORIA],investirrendavariávelconsolidadoago[[#This Row],[ATUAL]])</f>
        <v>0</v>
      </c>
      <c r="R132" s="91">
        <f>SUMIFS(tabela_registros[VALOR],tabela_registros[MÊS],$AE$1,tabela_registros[DIA],investirrendavariávelconsolidadoago[[#Headers],[14]],tabela_registros[REGISTRO],DADOS!$N$5,tabela_registros[TIPO],DADOS!$AB$4,tabela_registros[CATEGORIA],investirrendavariávelconsolidadoago[[#This Row],[ATUAL]])</f>
        <v>0</v>
      </c>
      <c r="S132" s="91">
        <f>SUMIFS(tabela_registros[VALOR],tabela_registros[MÊS],$AE$1,tabela_registros[DIA],investirrendavariávelconsolidadoago[[#Headers],[15]],tabela_registros[REGISTRO],DADOS!$N$5,tabela_registros[TIPO],DADOS!$AB$4,tabela_registros[CATEGORIA],investirrendavariávelconsolidadoago[[#This Row],[ATUAL]])</f>
        <v>0</v>
      </c>
      <c r="T132" s="91">
        <f>SUMIFS(tabela_registros[VALOR],tabela_registros[MÊS],$AE$1,tabela_registros[DIA],investirrendavariávelconsolidadoago[[#Headers],[16]],tabela_registros[REGISTRO],DADOS!$N$5,tabela_registros[TIPO],DADOS!$AB$4,tabela_registros[CATEGORIA],investirrendavariávelconsolidadoago[[#This Row],[ATUAL]])</f>
        <v>0</v>
      </c>
      <c r="U132" s="91">
        <f>SUMIFS(tabela_registros[VALOR],tabela_registros[MÊS],$AE$1,tabela_registros[DIA],investirrendavariávelconsolidadoago[[#Headers],[17]],tabela_registros[REGISTRO],DADOS!$N$5,tabela_registros[TIPO],DADOS!$AB$4,tabela_registros[CATEGORIA],investirrendavariávelconsolidadoago[[#This Row],[ATUAL]])</f>
        <v>0</v>
      </c>
      <c r="V132" s="91">
        <f>SUMIFS(tabela_registros[VALOR],tabela_registros[MÊS],$AE$1,tabela_registros[DIA],investirrendavariávelconsolidadoago[[#Headers],[18]],tabela_registros[REGISTRO],DADOS!$N$5,tabela_registros[TIPO],DADOS!$AB$4,tabela_registros[CATEGORIA],investirrendavariávelconsolidadoago[[#This Row],[ATUAL]])</f>
        <v>0</v>
      </c>
      <c r="W132" s="91">
        <f>SUMIFS(tabela_registros[VALOR],tabela_registros[MÊS],$AE$1,tabela_registros[DIA],investirrendavariávelconsolidadoago[[#Headers],[19]],tabela_registros[REGISTRO],DADOS!$N$5,tabela_registros[TIPO],DADOS!$AB$4,tabela_registros[CATEGORIA],investirrendavariávelconsolidadoago[[#This Row],[ATUAL]])</f>
        <v>0</v>
      </c>
      <c r="X132" s="91">
        <f>SUMIFS(tabela_registros[VALOR],tabela_registros[MÊS],$AE$1,tabela_registros[DIA],investirrendavariávelconsolidadoago[[#Headers],[20]],tabela_registros[REGISTRO],DADOS!$N$5,tabela_registros[TIPO],DADOS!$AB$4,tabela_registros[CATEGORIA],investirrendavariávelconsolidadoago[[#This Row],[ATUAL]])</f>
        <v>0</v>
      </c>
      <c r="Y132" s="91">
        <f>SUMIFS(tabela_registros[VALOR],tabela_registros[MÊS],$AE$1,tabela_registros[DIA],investirrendavariávelconsolidadoago[[#Headers],[21]],tabela_registros[REGISTRO],DADOS!$N$5,tabela_registros[TIPO],DADOS!$AB$4,tabela_registros[CATEGORIA],investirrendavariávelconsolidadoago[[#This Row],[ATUAL]])</f>
        <v>0</v>
      </c>
      <c r="Z132" s="91">
        <f>SUMIFS(tabela_registros[VALOR],tabela_registros[MÊS],$AE$1,tabela_registros[DIA],investirrendavariávelconsolidadoago[[#Headers],[22]],tabela_registros[REGISTRO],DADOS!$N$5,tabela_registros[TIPO],DADOS!$AB$4,tabela_registros[CATEGORIA],investirrendavariávelconsolidadoago[[#This Row],[ATUAL]])</f>
        <v>0</v>
      </c>
      <c r="AA132" s="91">
        <f>SUMIFS(tabela_registros[VALOR],tabela_registros[MÊS],$AE$1,tabela_registros[DIA],investirrendavariávelconsolidadoago[[#Headers],[23]],tabela_registros[REGISTRO],DADOS!$N$5,tabela_registros[TIPO],DADOS!$AB$4,tabela_registros[CATEGORIA],investirrendavariávelconsolidadoago[[#This Row],[ATUAL]])</f>
        <v>0</v>
      </c>
      <c r="AB132" s="91">
        <f>SUMIFS(tabela_registros[VALOR],tabela_registros[MÊS],$AE$1,tabela_registros[DIA],investirrendavariávelconsolidadoago[[#Headers],[24]],tabela_registros[REGISTRO],DADOS!$N$5,tabela_registros[TIPO],DADOS!$AB$4,tabela_registros[CATEGORIA],investirrendavariávelconsolidadoago[[#This Row],[ATUAL]])</f>
        <v>0</v>
      </c>
      <c r="AC132" s="91">
        <f>SUMIFS(tabela_registros[VALOR],tabela_registros[MÊS],$AE$1,tabela_registros[DIA],investirrendavariávelconsolidadoago[[#Headers],[25]],tabela_registros[REGISTRO],DADOS!$N$5,tabela_registros[TIPO],DADOS!$AB$4,tabela_registros[CATEGORIA],investirrendavariávelconsolidadoago[[#This Row],[ATUAL]])</f>
        <v>0</v>
      </c>
      <c r="AD132" s="91">
        <f>SUMIFS(tabela_registros[VALOR],tabela_registros[MÊS],$AE$1,tabela_registros[DIA],investirrendavariávelconsolidadoago[[#Headers],[26]],tabela_registros[REGISTRO],DADOS!$N$5,tabela_registros[TIPO],DADOS!$AB$4,tabela_registros[CATEGORIA],investirrendavariávelconsolidadoago[[#This Row],[ATUAL]])</f>
        <v>0</v>
      </c>
      <c r="AE132" s="91">
        <f>SUMIFS(tabela_registros[VALOR],tabela_registros[MÊS],$AE$1,tabela_registros[DIA],investirrendavariávelconsolidadoago[[#Headers],[27]],tabela_registros[REGISTRO],DADOS!$N$5,tabela_registros[TIPO],DADOS!$AB$4,tabela_registros[CATEGORIA],investirrendavariávelconsolidadoago[[#This Row],[ATUAL]])</f>
        <v>0</v>
      </c>
      <c r="AF132" s="91">
        <f>SUMIFS(tabela_registros[VALOR],tabela_registros[MÊS],$AE$1,tabela_registros[DIA],investirrendavariávelconsolidadoago[[#Headers],[28]],tabela_registros[REGISTRO],DADOS!$N$5,tabela_registros[TIPO],DADOS!$AB$4,tabela_registros[CATEGORIA],investirrendavariávelconsolidadoago[[#This Row],[ATUAL]])</f>
        <v>0</v>
      </c>
      <c r="AG132" s="91">
        <f>SUMIFS(tabela_registros[VALOR],tabela_registros[MÊS],$AE$1,tabela_registros[DIA],investirrendavariávelconsolidadoago[[#Headers],[29]],tabela_registros[REGISTRO],DADOS!$N$5,tabela_registros[TIPO],DADOS!$AB$4,tabela_registros[CATEGORIA],investirrendavariávelconsolidadoago[[#This Row],[ATUAL]])</f>
        <v>0</v>
      </c>
      <c r="AH132" s="91">
        <f>SUMIFS(tabela_registros[VALOR],tabela_registros[MÊS],$AE$1,tabela_registros[DIA],investirrendavariávelconsolidadoago[[#Headers],[30]],tabela_registros[REGISTRO],DADOS!$N$5,tabela_registros[TIPO],DADOS!$AB$4,tabela_registros[CATEGORIA],investirrendavariávelconsolidadoago[[#This Row],[ATUAL]])</f>
        <v>0</v>
      </c>
      <c r="AI132" s="101">
        <f>SUMIFS(tabela_registros[VALOR],tabela_registros[MÊS],$AE$1,tabela_registros[DIA],investirrendavariávelconsolidadoago[[#Headers],[31]],tabela_registros[REGISTRO],DADOS!$N$5,tabela_registros[TIPO],DADOS!$AB$4,tabela_registros[CATEGORIA],investirrendavariávelconsolidadoago[[#This Row],[ATUAL]])</f>
        <v>0</v>
      </c>
      <c r="AJ132" s="97">
        <f>SUM(investirrendavariávelconsolidadoago[[#This Row],[1]:[31]])</f>
        <v>0</v>
      </c>
      <c r="AK132" s="25"/>
    </row>
    <row r="133" spans="2:37" ht="19.5" customHeight="1" thickTop="1" thickBot="1" x14ac:dyDescent="0.3">
      <c r="B133" s="28"/>
      <c r="C133" s="27" t="str">
        <f>DADOS!$AF$4</f>
        <v>📝 COMÓDITE</v>
      </c>
      <c r="D133" s="26" t="str">
        <f>IF(investirrendavariávelconsolidadoago[[#This Row],[TOTAL (R$)]]=0,"",IF(OR(investirrendavariávelconsolidadoago[[#This Row],[TOTAL (R$)]]=LARGE($AJ$132:$AJ$141,1),investirrendavariávelconsolidadoago[[#This Row],[TOTAL (R$)]]=LARGE($AJ$132:$AJ$141,2)),DADOS!$I$10,""))</f>
        <v/>
      </c>
      <c r="E133" s="96">
        <f>SUMIFS(tabela_registros[VALOR],tabela_registros[MÊS],$AE$1,tabela_registros[DIA],investirrendavariávelconsolidadoago[[#Headers],[1]],tabela_registros[REGISTRO],DADOS!$N$5,tabela_registros[TIPO],DADOS!$AB$4,tabela_registros[CATEGORIA],investirrendavariávelconsolidadoago[[#This Row],[ATUAL]])</f>
        <v>0</v>
      </c>
      <c r="F133" s="91">
        <f>SUMIFS(tabela_registros[VALOR],tabela_registros[MÊS],$AE$1,tabela_registros[DIA],investirrendavariávelconsolidadoago[[#Headers],[2]],tabela_registros[REGISTRO],DADOS!$N$5,tabela_registros[TIPO],DADOS!$AB$4,tabela_registros[CATEGORIA],investirrendavariávelconsolidadoago[[#This Row],[ATUAL]])</f>
        <v>0</v>
      </c>
      <c r="G133" s="91">
        <f>SUMIFS(tabela_registros[VALOR],tabela_registros[MÊS],$AE$1,tabela_registros[DIA],investirrendavariávelconsolidadoago[[#Headers],[3]],tabela_registros[REGISTRO],DADOS!$N$5,tabela_registros[TIPO],DADOS!$AB$4,tabela_registros[CATEGORIA],investirrendavariávelconsolidadoago[[#This Row],[ATUAL]])</f>
        <v>0</v>
      </c>
      <c r="H133" s="91">
        <f>SUMIFS(tabela_registros[VALOR],tabela_registros[MÊS],$AE$1,tabela_registros[DIA],investirrendavariávelconsolidadoago[[#Headers],[4]],tabela_registros[REGISTRO],DADOS!$N$5,tabela_registros[TIPO],DADOS!$AB$4,tabela_registros[CATEGORIA],investirrendavariávelconsolidadoago[[#This Row],[ATUAL]])</f>
        <v>0</v>
      </c>
      <c r="I133" s="91">
        <f>SUMIFS(tabela_registros[VALOR],tabela_registros[MÊS],$AE$1,tabela_registros[DIA],investirrendavariávelconsolidadoago[[#Headers],[5]],tabela_registros[REGISTRO],DADOS!$N$5,tabela_registros[TIPO],DADOS!$AB$4,tabela_registros[CATEGORIA],investirrendavariávelconsolidadoago[[#This Row],[ATUAL]])</f>
        <v>0</v>
      </c>
      <c r="J133" s="91">
        <f>SUMIFS(tabela_registros[VALOR],tabela_registros[MÊS],$AE$1,tabela_registros[DIA],investirrendavariávelconsolidadoago[[#Headers],[6]],tabela_registros[REGISTRO],DADOS!$N$5,tabela_registros[TIPO],DADOS!$AB$4,tabela_registros[CATEGORIA],investirrendavariávelconsolidadoago[[#This Row],[ATUAL]])</f>
        <v>0</v>
      </c>
      <c r="K133" s="91">
        <f>SUMIFS(tabela_registros[VALOR],tabela_registros[MÊS],$AE$1,tabela_registros[DIA],investirrendavariávelconsolidadoago[[#Headers],[7]],tabela_registros[REGISTRO],DADOS!$N$5,tabela_registros[TIPO],DADOS!$AB$4,tabela_registros[CATEGORIA],investirrendavariávelconsolidadoago[[#This Row],[ATUAL]])</f>
        <v>0</v>
      </c>
      <c r="L133" s="91">
        <f>SUMIFS(tabela_registros[VALOR],tabela_registros[MÊS],$AE$1,tabela_registros[DIA],investirrendavariávelconsolidadoago[[#Headers],[8]],tabela_registros[REGISTRO],DADOS!$N$5,tabela_registros[TIPO],DADOS!$AB$4,tabela_registros[CATEGORIA],investirrendavariávelconsolidadoago[[#This Row],[ATUAL]])</f>
        <v>0</v>
      </c>
      <c r="M133" s="91">
        <f>SUMIFS(tabela_registros[VALOR],tabela_registros[MÊS],$AE$1,tabela_registros[DIA],investirrendavariávelconsolidadoago[[#Headers],[9]],tabela_registros[REGISTRO],DADOS!$N$5,tabela_registros[TIPO],DADOS!$AB$4,tabela_registros[CATEGORIA],investirrendavariávelconsolidadoago[[#This Row],[ATUAL]])</f>
        <v>0</v>
      </c>
      <c r="N133" s="91">
        <f>SUMIFS(tabela_registros[VALOR],tabela_registros[MÊS],$AE$1,tabela_registros[DIA],investirrendavariávelconsolidadoago[[#Headers],[10]],tabela_registros[REGISTRO],DADOS!$N$5,tabela_registros[TIPO],DADOS!$AB$4,tabela_registros[CATEGORIA],investirrendavariávelconsolidadoago[[#This Row],[ATUAL]])</f>
        <v>0</v>
      </c>
      <c r="O133" s="91">
        <f>SUMIFS(tabela_registros[VALOR],tabela_registros[MÊS],$AE$1,tabela_registros[DIA],investirrendavariávelconsolidadoago[[#Headers],[11]],tabela_registros[REGISTRO],DADOS!$N$5,tabela_registros[TIPO],DADOS!$AB$4,tabela_registros[CATEGORIA],investirrendavariávelconsolidadoago[[#This Row],[ATUAL]])</f>
        <v>0</v>
      </c>
      <c r="P133" s="91">
        <f>SUMIFS(tabela_registros[VALOR],tabela_registros[MÊS],$AE$1,tabela_registros[DIA],investirrendavariávelconsolidadoago[[#Headers],[12]],tabela_registros[REGISTRO],DADOS!$N$5,tabela_registros[TIPO],DADOS!$AB$4,tabela_registros[CATEGORIA],investirrendavariávelconsolidadoago[[#This Row],[ATUAL]])</f>
        <v>0</v>
      </c>
      <c r="Q133" s="91">
        <f>SUMIFS(tabela_registros[VALOR],tabela_registros[MÊS],$AE$1,tabela_registros[DIA],investirrendavariávelconsolidadoago[[#Headers],[13]],tabela_registros[REGISTRO],DADOS!$N$5,tabela_registros[TIPO],DADOS!$AB$4,tabela_registros[CATEGORIA],investirrendavariávelconsolidadoago[[#This Row],[ATUAL]])</f>
        <v>0</v>
      </c>
      <c r="R133" s="91">
        <f>SUMIFS(tabela_registros[VALOR],tabela_registros[MÊS],$AE$1,tabela_registros[DIA],investirrendavariávelconsolidadoago[[#Headers],[14]],tabela_registros[REGISTRO],DADOS!$N$5,tabela_registros[TIPO],DADOS!$AB$4,tabela_registros[CATEGORIA],investirrendavariávelconsolidadoago[[#This Row],[ATUAL]])</f>
        <v>0</v>
      </c>
      <c r="S133" s="91">
        <f>SUMIFS(tabela_registros[VALOR],tabela_registros[MÊS],$AE$1,tabela_registros[DIA],investirrendavariávelconsolidadoago[[#Headers],[15]],tabela_registros[REGISTRO],DADOS!$N$5,tabela_registros[TIPO],DADOS!$AB$4,tabela_registros[CATEGORIA],investirrendavariávelconsolidadoago[[#This Row],[ATUAL]])</f>
        <v>0</v>
      </c>
      <c r="T133" s="91">
        <f>SUMIFS(tabela_registros[VALOR],tabela_registros[MÊS],$AE$1,tabela_registros[DIA],investirrendavariávelconsolidadoago[[#Headers],[16]],tabela_registros[REGISTRO],DADOS!$N$5,tabela_registros[TIPO],DADOS!$AB$4,tabela_registros[CATEGORIA],investirrendavariávelconsolidadoago[[#This Row],[ATUAL]])</f>
        <v>0</v>
      </c>
      <c r="U133" s="91">
        <f>SUMIFS(tabela_registros[VALOR],tabela_registros[MÊS],$AE$1,tabela_registros[DIA],investirrendavariávelconsolidadoago[[#Headers],[17]],tabela_registros[REGISTRO],DADOS!$N$5,tabela_registros[TIPO],DADOS!$AB$4,tabela_registros[CATEGORIA],investirrendavariávelconsolidadoago[[#This Row],[ATUAL]])</f>
        <v>0</v>
      </c>
      <c r="V133" s="91">
        <f>SUMIFS(tabela_registros[VALOR],tabela_registros[MÊS],$AE$1,tabela_registros[DIA],investirrendavariávelconsolidadoago[[#Headers],[18]],tabela_registros[REGISTRO],DADOS!$N$5,tabela_registros[TIPO],DADOS!$AB$4,tabela_registros[CATEGORIA],investirrendavariávelconsolidadoago[[#This Row],[ATUAL]])</f>
        <v>0</v>
      </c>
      <c r="W133" s="91">
        <f>SUMIFS(tabela_registros[VALOR],tabela_registros[MÊS],$AE$1,tabela_registros[DIA],investirrendavariávelconsolidadoago[[#Headers],[19]],tabela_registros[REGISTRO],DADOS!$N$5,tabela_registros[TIPO],DADOS!$AB$4,tabela_registros[CATEGORIA],investirrendavariávelconsolidadoago[[#This Row],[ATUAL]])</f>
        <v>0</v>
      </c>
      <c r="X133" s="91">
        <f>SUMIFS(tabela_registros[VALOR],tabela_registros[MÊS],$AE$1,tabela_registros[DIA],investirrendavariávelconsolidadoago[[#Headers],[20]],tabela_registros[REGISTRO],DADOS!$N$5,tabela_registros[TIPO],DADOS!$AB$4,tabela_registros[CATEGORIA],investirrendavariávelconsolidadoago[[#This Row],[ATUAL]])</f>
        <v>0</v>
      </c>
      <c r="Y133" s="91">
        <f>SUMIFS(tabela_registros[VALOR],tabela_registros[MÊS],$AE$1,tabela_registros[DIA],investirrendavariávelconsolidadoago[[#Headers],[21]],tabela_registros[REGISTRO],DADOS!$N$5,tabela_registros[TIPO],DADOS!$AB$4,tabela_registros[CATEGORIA],investirrendavariávelconsolidadoago[[#This Row],[ATUAL]])</f>
        <v>0</v>
      </c>
      <c r="Z133" s="91">
        <f>SUMIFS(tabela_registros[VALOR],tabela_registros[MÊS],$AE$1,tabela_registros[DIA],investirrendavariávelconsolidadoago[[#Headers],[22]],tabela_registros[REGISTRO],DADOS!$N$5,tabela_registros[TIPO],DADOS!$AB$4,tabela_registros[CATEGORIA],investirrendavariávelconsolidadoago[[#This Row],[ATUAL]])</f>
        <v>0</v>
      </c>
      <c r="AA133" s="91">
        <f>SUMIFS(tabela_registros[VALOR],tabela_registros[MÊS],$AE$1,tabela_registros[DIA],investirrendavariávelconsolidadoago[[#Headers],[23]],tabela_registros[REGISTRO],DADOS!$N$5,tabela_registros[TIPO],DADOS!$AB$4,tabela_registros[CATEGORIA],investirrendavariávelconsolidadoago[[#This Row],[ATUAL]])</f>
        <v>0</v>
      </c>
      <c r="AB133" s="91">
        <f>SUMIFS(tabela_registros[VALOR],tabela_registros[MÊS],$AE$1,tabela_registros[DIA],investirrendavariávelconsolidadoago[[#Headers],[24]],tabela_registros[REGISTRO],DADOS!$N$5,tabela_registros[TIPO],DADOS!$AB$4,tabela_registros[CATEGORIA],investirrendavariávelconsolidadoago[[#This Row],[ATUAL]])</f>
        <v>0</v>
      </c>
      <c r="AC133" s="91">
        <f>SUMIFS(tabela_registros[VALOR],tabela_registros[MÊS],$AE$1,tabela_registros[DIA],investirrendavariávelconsolidadoago[[#Headers],[25]],tabela_registros[REGISTRO],DADOS!$N$5,tabela_registros[TIPO],DADOS!$AB$4,tabela_registros[CATEGORIA],investirrendavariávelconsolidadoago[[#This Row],[ATUAL]])</f>
        <v>0</v>
      </c>
      <c r="AD133" s="91">
        <f>SUMIFS(tabela_registros[VALOR],tabela_registros[MÊS],$AE$1,tabela_registros[DIA],investirrendavariávelconsolidadoago[[#Headers],[26]],tabela_registros[REGISTRO],DADOS!$N$5,tabela_registros[TIPO],DADOS!$AB$4,tabela_registros[CATEGORIA],investirrendavariávelconsolidadoago[[#This Row],[ATUAL]])</f>
        <v>0</v>
      </c>
      <c r="AE133" s="91">
        <f>SUMIFS(tabela_registros[VALOR],tabela_registros[MÊS],$AE$1,tabela_registros[DIA],investirrendavariávelconsolidadoago[[#Headers],[27]],tabela_registros[REGISTRO],DADOS!$N$5,tabela_registros[TIPO],DADOS!$AB$4,tabela_registros[CATEGORIA],investirrendavariávelconsolidadoago[[#This Row],[ATUAL]])</f>
        <v>0</v>
      </c>
      <c r="AF133" s="91">
        <f>SUMIFS(tabela_registros[VALOR],tabela_registros[MÊS],$AE$1,tabela_registros[DIA],investirrendavariávelconsolidadoago[[#Headers],[28]],tabela_registros[REGISTRO],DADOS!$N$5,tabela_registros[TIPO],DADOS!$AB$4,tabela_registros[CATEGORIA],investirrendavariávelconsolidadoago[[#This Row],[ATUAL]])</f>
        <v>0</v>
      </c>
      <c r="AG133" s="91">
        <f>SUMIFS(tabela_registros[VALOR],tabela_registros[MÊS],$AE$1,tabela_registros[DIA],investirrendavariávelconsolidadoago[[#Headers],[29]],tabela_registros[REGISTRO],DADOS!$N$5,tabela_registros[TIPO],DADOS!$AB$4,tabela_registros[CATEGORIA],investirrendavariávelconsolidadoago[[#This Row],[ATUAL]])</f>
        <v>0</v>
      </c>
      <c r="AH133" s="91">
        <f>SUMIFS(tabela_registros[VALOR],tabela_registros[MÊS],$AE$1,tabela_registros[DIA],investirrendavariávelconsolidadoago[[#Headers],[30]],tabela_registros[REGISTRO],DADOS!$N$5,tabela_registros[TIPO],DADOS!$AB$4,tabela_registros[CATEGORIA],investirrendavariávelconsolidadoago[[#This Row],[ATUAL]])</f>
        <v>0</v>
      </c>
      <c r="AI133" s="101">
        <f>SUMIFS(tabela_registros[VALOR],tabela_registros[MÊS],$AE$1,tabela_registros[DIA],investirrendavariávelconsolidadoago[[#Headers],[31]],tabela_registros[REGISTRO],DADOS!$N$5,tabela_registros[TIPO],DADOS!$AB$4,tabela_registros[CATEGORIA],investirrendavariávelconsolidadoago[[#This Row],[ATUAL]])</f>
        <v>0</v>
      </c>
      <c r="AJ133" s="97">
        <f>SUM(investirrendavariávelconsolidadoago[[#This Row],[1]:[31]])</f>
        <v>0</v>
      </c>
      <c r="AK133" s="25"/>
    </row>
    <row r="134" spans="2:37" ht="19.5" customHeight="1" thickTop="1" thickBot="1" x14ac:dyDescent="0.3">
      <c r="B134" s="28"/>
      <c r="C134" s="27" t="str">
        <f>DADOS!$AF$5</f>
        <v>📝 CONTRATO DE FUTUROS</v>
      </c>
      <c r="D134" s="26" t="str">
        <f>IF(investirrendavariávelconsolidadoago[[#This Row],[TOTAL (R$)]]=0,"",IF(OR(investirrendavariávelconsolidadoago[[#This Row],[TOTAL (R$)]]=LARGE($AJ$132:$AJ$141,1),investirrendavariávelconsolidadoago[[#This Row],[TOTAL (R$)]]=LARGE($AJ$132:$AJ$141,2)),DADOS!$I$10,""))</f>
        <v/>
      </c>
      <c r="E134" s="96">
        <f>SUMIFS(tabela_registros[VALOR],tabela_registros[MÊS],$AE$1,tabela_registros[DIA],investirrendavariávelconsolidadoago[[#Headers],[1]],tabela_registros[REGISTRO],DADOS!$N$5,tabela_registros[TIPO],DADOS!$AB$4,tabela_registros[CATEGORIA],investirrendavariávelconsolidadoago[[#This Row],[ATUAL]])</f>
        <v>0</v>
      </c>
      <c r="F134" s="91">
        <f>SUMIFS(tabela_registros[VALOR],tabela_registros[MÊS],$AE$1,tabela_registros[DIA],investirrendavariávelconsolidadoago[[#Headers],[2]],tabela_registros[REGISTRO],DADOS!$N$5,tabela_registros[TIPO],DADOS!$AB$4,tabela_registros[CATEGORIA],investirrendavariávelconsolidadoago[[#This Row],[ATUAL]])</f>
        <v>0</v>
      </c>
      <c r="G134" s="91">
        <f>SUMIFS(tabela_registros[VALOR],tabela_registros[MÊS],$AE$1,tabela_registros[DIA],investirrendavariávelconsolidadoago[[#Headers],[3]],tabela_registros[REGISTRO],DADOS!$N$5,tabela_registros[TIPO],DADOS!$AB$4,tabela_registros[CATEGORIA],investirrendavariávelconsolidadoago[[#This Row],[ATUAL]])</f>
        <v>0</v>
      </c>
      <c r="H134" s="91">
        <f>SUMIFS(tabela_registros[VALOR],tabela_registros[MÊS],$AE$1,tabela_registros[DIA],investirrendavariávelconsolidadoago[[#Headers],[4]],tabela_registros[REGISTRO],DADOS!$N$5,tabela_registros[TIPO],DADOS!$AB$4,tabela_registros[CATEGORIA],investirrendavariávelconsolidadoago[[#This Row],[ATUAL]])</f>
        <v>0</v>
      </c>
      <c r="I134" s="91">
        <f>SUMIFS(tabela_registros[VALOR],tabela_registros[MÊS],$AE$1,tabela_registros[DIA],investirrendavariávelconsolidadoago[[#Headers],[5]],tabela_registros[REGISTRO],DADOS!$N$5,tabela_registros[TIPO],DADOS!$AB$4,tabela_registros[CATEGORIA],investirrendavariávelconsolidadoago[[#This Row],[ATUAL]])</f>
        <v>0</v>
      </c>
      <c r="J134" s="91">
        <f>SUMIFS(tabela_registros[VALOR],tabela_registros[MÊS],$AE$1,tabela_registros[DIA],investirrendavariávelconsolidadoago[[#Headers],[6]],tabela_registros[REGISTRO],DADOS!$N$5,tabela_registros[TIPO],DADOS!$AB$4,tabela_registros[CATEGORIA],investirrendavariávelconsolidadoago[[#This Row],[ATUAL]])</f>
        <v>0</v>
      </c>
      <c r="K134" s="91">
        <f>SUMIFS(tabela_registros[VALOR],tabela_registros[MÊS],$AE$1,tabela_registros[DIA],investirrendavariávelconsolidadoago[[#Headers],[7]],tabela_registros[REGISTRO],DADOS!$N$5,tabela_registros[TIPO],DADOS!$AB$4,tabela_registros[CATEGORIA],investirrendavariávelconsolidadoago[[#This Row],[ATUAL]])</f>
        <v>0</v>
      </c>
      <c r="L134" s="91">
        <f>SUMIFS(tabela_registros[VALOR],tabela_registros[MÊS],$AE$1,tabela_registros[DIA],investirrendavariávelconsolidadoago[[#Headers],[8]],tabela_registros[REGISTRO],DADOS!$N$5,tabela_registros[TIPO],DADOS!$AB$4,tabela_registros[CATEGORIA],investirrendavariávelconsolidadoago[[#This Row],[ATUAL]])</f>
        <v>0</v>
      </c>
      <c r="M134" s="91">
        <f>SUMIFS(tabela_registros[VALOR],tabela_registros[MÊS],$AE$1,tabela_registros[DIA],investirrendavariávelconsolidadoago[[#Headers],[9]],tabela_registros[REGISTRO],DADOS!$N$5,tabela_registros[TIPO],DADOS!$AB$4,tabela_registros[CATEGORIA],investirrendavariávelconsolidadoago[[#This Row],[ATUAL]])</f>
        <v>0</v>
      </c>
      <c r="N134" s="91">
        <f>SUMIFS(tabela_registros[VALOR],tabela_registros[MÊS],$AE$1,tabela_registros[DIA],investirrendavariávelconsolidadoago[[#Headers],[10]],tabela_registros[REGISTRO],DADOS!$N$5,tabela_registros[TIPO],DADOS!$AB$4,tabela_registros[CATEGORIA],investirrendavariávelconsolidadoago[[#This Row],[ATUAL]])</f>
        <v>0</v>
      </c>
      <c r="O134" s="91">
        <f>SUMIFS(tabela_registros[VALOR],tabela_registros[MÊS],$AE$1,tabela_registros[DIA],investirrendavariávelconsolidadoago[[#Headers],[11]],tabela_registros[REGISTRO],DADOS!$N$5,tabela_registros[TIPO],DADOS!$AB$4,tabela_registros[CATEGORIA],investirrendavariávelconsolidadoago[[#This Row],[ATUAL]])</f>
        <v>0</v>
      </c>
      <c r="P134" s="91">
        <f>SUMIFS(tabela_registros[VALOR],tabela_registros[MÊS],$AE$1,tabela_registros[DIA],investirrendavariávelconsolidadoago[[#Headers],[12]],tabela_registros[REGISTRO],DADOS!$N$5,tabela_registros[TIPO],DADOS!$AB$4,tabela_registros[CATEGORIA],investirrendavariávelconsolidadoago[[#This Row],[ATUAL]])</f>
        <v>0</v>
      </c>
      <c r="Q134" s="91">
        <f>SUMIFS(tabela_registros[VALOR],tabela_registros[MÊS],$AE$1,tabela_registros[DIA],investirrendavariávelconsolidadoago[[#Headers],[13]],tabela_registros[REGISTRO],DADOS!$N$5,tabela_registros[TIPO],DADOS!$AB$4,tabela_registros[CATEGORIA],investirrendavariávelconsolidadoago[[#This Row],[ATUAL]])</f>
        <v>0</v>
      </c>
      <c r="R134" s="91">
        <f>SUMIFS(tabela_registros[VALOR],tabela_registros[MÊS],$AE$1,tabela_registros[DIA],investirrendavariávelconsolidadoago[[#Headers],[14]],tabela_registros[REGISTRO],DADOS!$N$5,tabela_registros[TIPO],DADOS!$AB$4,tabela_registros[CATEGORIA],investirrendavariávelconsolidadoago[[#This Row],[ATUAL]])</f>
        <v>0</v>
      </c>
      <c r="S134" s="91">
        <f>SUMIFS(tabela_registros[VALOR],tabela_registros[MÊS],$AE$1,tabela_registros[DIA],investirrendavariávelconsolidadoago[[#Headers],[15]],tabela_registros[REGISTRO],DADOS!$N$5,tabela_registros[TIPO],DADOS!$AB$4,tabela_registros[CATEGORIA],investirrendavariávelconsolidadoago[[#This Row],[ATUAL]])</f>
        <v>0</v>
      </c>
      <c r="T134" s="91">
        <f>SUMIFS(tabela_registros[VALOR],tabela_registros[MÊS],$AE$1,tabela_registros[DIA],investirrendavariávelconsolidadoago[[#Headers],[16]],tabela_registros[REGISTRO],DADOS!$N$5,tabela_registros[TIPO],DADOS!$AB$4,tabela_registros[CATEGORIA],investirrendavariávelconsolidadoago[[#This Row],[ATUAL]])</f>
        <v>0</v>
      </c>
      <c r="U134" s="91">
        <f>SUMIFS(tabela_registros[VALOR],tabela_registros[MÊS],$AE$1,tabela_registros[DIA],investirrendavariávelconsolidadoago[[#Headers],[17]],tabela_registros[REGISTRO],DADOS!$N$5,tabela_registros[TIPO],DADOS!$AB$4,tabela_registros[CATEGORIA],investirrendavariávelconsolidadoago[[#This Row],[ATUAL]])</f>
        <v>0</v>
      </c>
      <c r="V134" s="91">
        <f>SUMIFS(tabela_registros[VALOR],tabela_registros[MÊS],$AE$1,tabela_registros[DIA],investirrendavariávelconsolidadoago[[#Headers],[18]],tabela_registros[REGISTRO],DADOS!$N$5,tabela_registros[TIPO],DADOS!$AB$4,tabela_registros[CATEGORIA],investirrendavariávelconsolidadoago[[#This Row],[ATUAL]])</f>
        <v>0</v>
      </c>
      <c r="W134" s="91">
        <f>SUMIFS(tabela_registros[VALOR],tabela_registros[MÊS],$AE$1,tabela_registros[DIA],investirrendavariávelconsolidadoago[[#Headers],[19]],tabela_registros[REGISTRO],DADOS!$N$5,tabela_registros[TIPO],DADOS!$AB$4,tabela_registros[CATEGORIA],investirrendavariávelconsolidadoago[[#This Row],[ATUAL]])</f>
        <v>0</v>
      </c>
      <c r="X134" s="91">
        <f>SUMIFS(tabela_registros[VALOR],tabela_registros[MÊS],$AE$1,tabela_registros[DIA],investirrendavariávelconsolidadoago[[#Headers],[20]],tabela_registros[REGISTRO],DADOS!$N$5,tabela_registros[TIPO],DADOS!$AB$4,tabela_registros[CATEGORIA],investirrendavariávelconsolidadoago[[#This Row],[ATUAL]])</f>
        <v>0</v>
      </c>
      <c r="Y134" s="91">
        <f>SUMIFS(tabela_registros[VALOR],tabela_registros[MÊS],$AE$1,tabela_registros[DIA],investirrendavariávelconsolidadoago[[#Headers],[21]],tabela_registros[REGISTRO],DADOS!$N$5,tabela_registros[TIPO],DADOS!$AB$4,tabela_registros[CATEGORIA],investirrendavariávelconsolidadoago[[#This Row],[ATUAL]])</f>
        <v>0</v>
      </c>
      <c r="Z134" s="91">
        <f>SUMIFS(tabela_registros[VALOR],tabela_registros[MÊS],$AE$1,tabela_registros[DIA],investirrendavariávelconsolidadoago[[#Headers],[22]],tabela_registros[REGISTRO],DADOS!$N$5,tabela_registros[TIPO],DADOS!$AB$4,tabela_registros[CATEGORIA],investirrendavariávelconsolidadoago[[#This Row],[ATUAL]])</f>
        <v>0</v>
      </c>
      <c r="AA134" s="91">
        <f>SUMIFS(tabela_registros[VALOR],tabela_registros[MÊS],$AE$1,tabela_registros[DIA],investirrendavariávelconsolidadoago[[#Headers],[23]],tabela_registros[REGISTRO],DADOS!$N$5,tabela_registros[TIPO],DADOS!$AB$4,tabela_registros[CATEGORIA],investirrendavariávelconsolidadoago[[#This Row],[ATUAL]])</f>
        <v>0</v>
      </c>
      <c r="AB134" s="91">
        <f>SUMIFS(tabela_registros[VALOR],tabela_registros[MÊS],$AE$1,tabela_registros[DIA],investirrendavariávelconsolidadoago[[#Headers],[24]],tabela_registros[REGISTRO],DADOS!$N$5,tabela_registros[TIPO],DADOS!$AB$4,tabela_registros[CATEGORIA],investirrendavariávelconsolidadoago[[#This Row],[ATUAL]])</f>
        <v>0</v>
      </c>
      <c r="AC134" s="91">
        <f>SUMIFS(tabela_registros[VALOR],tabela_registros[MÊS],$AE$1,tabela_registros[DIA],investirrendavariávelconsolidadoago[[#Headers],[25]],tabela_registros[REGISTRO],DADOS!$N$5,tabela_registros[TIPO],DADOS!$AB$4,tabela_registros[CATEGORIA],investirrendavariávelconsolidadoago[[#This Row],[ATUAL]])</f>
        <v>0</v>
      </c>
      <c r="AD134" s="91">
        <f>SUMIFS(tabela_registros[VALOR],tabela_registros[MÊS],$AE$1,tabela_registros[DIA],investirrendavariávelconsolidadoago[[#Headers],[26]],tabela_registros[REGISTRO],DADOS!$N$5,tabela_registros[TIPO],DADOS!$AB$4,tabela_registros[CATEGORIA],investirrendavariávelconsolidadoago[[#This Row],[ATUAL]])</f>
        <v>0</v>
      </c>
      <c r="AE134" s="91">
        <f>SUMIFS(tabela_registros[VALOR],tabela_registros[MÊS],$AE$1,tabela_registros[DIA],investirrendavariávelconsolidadoago[[#Headers],[27]],tabela_registros[REGISTRO],DADOS!$N$5,tabela_registros[TIPO],DADOS!$AB$4,tabela_registros[CATEGORIA],investirrendavariávelconsolidadoago[[#This Row],[ATUAL]])</f>
        <v>0</v>
      </c>
      <c r="AF134" s="91">
        <f>SUMIFS(tabela_registros[VALOR],tabela_registros[MÊS],$AE$1,tabela_registros[DIA],investirrendavariávelconsolidadoago[[#Headers],[28]],tabela_registros[REGISTRO],DADOS!$N$5,tabela_registros[TIPO],DADOS!$AB$4,tabela_registros[CATEGORIA],investirrendavariávelconsolidadoago[[#This Row],[ATUAL]])</f>
        <v>0</v>
      </c>
      <c r="AG134" s="91">
        <f>SUMIFS(tabela_registros[VALOR],tabela_registros[MÊS],$AE$1,tabela_registros[DIA],investirrendavariávelconsolidadoago[[#Headers],[29]],tabela_registros[REGISTRO],DADOS!$N$5,tabela_registros[TIPO],DADOS!$AB$4,tabela_registros[CATEGORIA],investirrendavariávelconsolidadoago[[#This Row],[ATUAL]])</f>
        <v>0</v>
      </c>
      <c r="AH134" s="91">
        <f>SUMIFS(tabela_registros[VALOR],tabela_registros[MÊS],$AE$1,tabela_registros[DIA],investirrendavariávelconsolidadoago[[#Headers],[30]],tabela_registros[REGISTRO],DADOS!$N$5,tabela_registros[TIPO],DADOS!$AB$4,tabela_registros[CATEGORIA],investirrendavariávelconsolidadoago[[#This Row],[ATUAL]])</f>
        <v>0</v>
      </c>
      <c r="AI134" s="101">
        <f>SUMIFS(tabela_registros[VALOR],tabela_registros[MÊS],$AE$1,tabela_registros[DIA],investirrendavariávelconsolidadoago[[#Headers],[31]],tabela_registros[REGISTRO],DADOS!$N$5,tabela_registros[TIPO],DADOS!$AB$4,tabela_registros[CATEGORIA],investirrendavariávelconsolidadoago[[#This Row],[ATUAL]])</f>
        <v>0</v>
      </c>
      <c r="AJ134" s="97">
        <f>SUM(investirrendavariávelconsolidadoago[[#This Row],[1]:[31]])</f>
        <v>0</v>
      </c>
      <c r="AK134" s="25"/>
    </row>
    <row r="135" spans="2:37" ht="19.5" customHeight="1" thickTop="1" thickBot="1" x14ac:dyDescent="0.3">
      <c r="B135" s="28"/>
      <c r="C135" s="27" t="str">
        <f>DADOS!$AF$6</f>
        <v>📝 CONTRATO DE OPÇÕES</v>
      </c>
      <c r="D135" s="26" t="str">
        <f>IF(investirrendavariávelconsolidadoago[[#This Row],[TOTAL (R$)]]=0,"",IF(OR(investirrendavariávelconsolidadoago[[#This Row],[TOTAL (R$)]]=LARGE($AJ$132:$AJ$141,1),investirrendavariávelconsolidadoago[[#This Row],[TOTAL (R$)]]=LARGE($AJ$132:$AJ$141,2)),DADOS!$I$10,""))</f>
        <v/>
      </c>
      <c r="E135" s="96">
        <f>SUMIFS(tabela_registros[VALOR],tabela_registros[MÊS],$AE$1,tabela_registros[DIA],investirrendavariávelconsolidadoago[[#Headers],[1]],tabela_registros[REGISTRO],DADOS!$N$5,tabela_registros[TIPO],DADOS!$AB$4,tabela_registros[CATEGORIA],investirrendavariávelconsolidadoago[[#This Row],[ATUAL]])</f>
        <v>0</v>
      </c>
      <c r="F135" s="91">
        <f>SUMIFS(tabela_registros[VALOR],tabela_registros[MÊS],$AE$1,tabela_registros[DIA],investirrendavariávelconsolidadoago[[#Headers],[2]],tabela_registros[REGISTRO],DADOS!$N$5,tabela_registros[TIPO],DADOS!$AB$4,tabela_registros[CATEGORIA],investirrendavariávelconsolidadoago[[#This Row],[ATUAL]])</f>
        <v>0</v>
      </c>
      <c r="G135" s="91">
        <f>SUMIFS(tabela_registros[VALOR],tabela_registros[MÊS],$AE$1,tabela_registros[DIA],investirrendavariávelconsolidadoago[[#Headers],[3]],tabela_registros[REGISTRO],DADOS!$N$5,tabela_registros[TIPO],DADOS!$AB$4,tabela_registros[CATEGORIA],investirrendavariávelconsolidadoago[[#This Row],[ATUAL]])</f>
        <v>0</v>
      </c>
      <c r="H135" s="91">
        <f>SUMIFS(tabela_registros[VALOR],tabela_registros[MÊS],$AE$1,tabela_registros[DIA],investirrendavariávelconsolidadoago[[#Headers],[4]],tabela_registros[REGISTRO],DADOS!$N$5,tabela_registros[TIPO],DADOS!$AB$4,tabela_registros[CATEGORIA],investirrendavariávelconsolidadoago[[#This Row],[ATUAL]])</f>
        <v>0</v>
      </c>
      <c r="I135" s="91">
        <f>SUMIFS(tabela_registros[VALOR],tabela_registros[MÊS],$AE$1,tabela_registros[DIA],investirrendavariávelconsolidadoago[[#Headers],[5]],tabela_registros[REGISTRO],DADOS!$N$5,tabela_registros[TIPO],DADOS!$AB$4,tabela_registros[CATEGORIA],investirrendavariávelconsolidadoago[[#This Row],[ATUAL]])</f>
        <v>0</v>
      </c>
      <c r="J135" s="91">
        <f>SUMIFS(tabela_registros[VALOR],tabela_registros[MÊS],$AE$1,tabela_registros[DIA],investirrendavariávelconsolidadoago[[#Headers],[6]],tabela_registros[REGISTRO],DADOS!$N$5,tabela_registros[TIPO],DADOS!$AB$4,tabela_registros[CATEGORIA],investirrendavariávelconsolidadoago[[#This Row],[ATUAL]])</f>
        <v>0</v>
      </c>
      <c r="K135" s="91">
        <f>SUMIFS(tabela_registros[VALOR],tabela_registros[MÊS],$AE$1,tabela_registros[DIA],investirrendavariávelconsolidadoago[[#Headers],[7]],tabela_registros[REGISTRO],DADOS!$N$5,tabela_registros[TIPO],DADOS!$AB$4,tabela_registros[CATEGORIA],investirrendavariávelconsolidadoago[[#This Row],[ATUAL]])</f>
        <v>0</v>
      </c>
      <c r="L135" s="91">
        <f>SUMIFS(tabela_registros[VALOR],tabela_registros[MÊS],$AE$1,tabela_registros[DIA],investirrendavariávelconsolidadoago[[#Headers],[8]],tabela_registros[REGISTRO],DADOS!$N$5,tabela_registros[TIPO],DADOS!$AB$4,tabela_registros[CATEGORIA],investirrendavariávelconsolidadoago[[#This Row],[ATUAL]])</f>
        <v>0</v>
      </c>
      <c r="M135" s="91">
        <f>SUMIFS(tabela_registros[VALOR],tabela_registros[MÊS],$AE$1,tabela_registros[DIA],investirrendavariávelconsolidadoago[[#Headers],[9]],tabela_registros[REGISTRO],DADOS!$N$5,tabela_registros[TIPO],DADOS!$AB$4,tabela_registros[CATEGORIA],investirrendavariávelconsolidadoago[[#This Row],[ATUAL]])</f>
        <v>0</v>
      </c>
      <c r="N135" s="91">
        <f>SUMIFS(tabela_registros[VALOR],tabela_registros[MÊS],$AE$1,tabela_registros[DIA],investirrendavariávelconsolidadoago[[#Headers],[10]],tabela_registros[REGISTRO],DADOS!$N$5,tabela_registros[TIPO],DADOS!$AB$4,tabela_registros[CATEGORIA],investirrendavariávelconsolidadoago[[#This Row],[ATUAL]])</f>
        <v>0</v>
      </c>
      <c r="O135" s="91">
        <f>SUMIFS(tabela_registros[VALOR],tabela_registros[MÊS],$AE$1,tabela_registros[DIA],investirrendavariávelconsolidadoago[[#Headers],[11]],tabela_registros[REGISTRO],DADOS!$N$5,tabela_registros[TIPO],DADOS!$AB$4,tabela_registros[CATEGORIA],investirrendavariávelconsolidadoago[[#This Row],[ATUAL]])</f>
        <v>0</v>
      </c>
      <c r="P135" s="91">
        <f>SUMIFS(tabela_registros[VALOR],tabela_registros[MÊS],$AE$1,tabela_registros[DIA],investirrendavariávelconsolidadoago[[#Headers],[12]],tabela_registros[REGISTRO],DADOS!$N$5,tabela_registros[TIPO],DADOS!$AB$4,tabela_registros[CATEGORIA],investirrendavariávelconsolidadoago[[#This Row],[ATUAL]])</f>
        <v>0</v>
      </c>
      <c r="Q135" s="91">
        <f>SUMIFS(tabela_registros[VALOR],tabela_registros[MÊS],$AE$1,tabela_registros[DIA],investirrendavariávelconsolidadoago[[#Headers],[13]],tabela_registros[REGISTRO],DADOS!$N$5,tabela_registros[TIPO],DADOS!$AB$4,tabela_registros[CATEGORIA],investirrendavariávelconsolidadoago[[#This Row],[ATUAL]])</f>
        <v>0</v>
      </c>
      <c r="R135" s="91">
        <f>SUMIFS(tabela_registros[VALOR],tabela_registros[MÊS],$AE$1,tabela_registros[DIA],investirrendavariávelconsolidadoago[[#Headers],[14]],tabela_registros[REGISTRO],DADOS!$N$5,tabela_registros[TIPO],DADOS!$AB$4,tabela_registros[CATEGORIA],investirrendavariávelconsolidadoago[[#This Row],[ATUAL]])</f>
        <v>0</v>
      </c>
      <c r="S135" s="91">
        <f>SUMIFS(tabela_registros[VALOR],tabela_registros[MÊS],$AE$1,tabela_registros[DIA],investirrendavariávelconsolidadoago[[#Headers],[15]],tabela_registros[REGISTRO],DADOS!$N$5,tabela_registros[TIPO],DADOS!$AB$4,tabela_registros[CATEGORIA],investirrendavariávelconsolidadoago[[#This Row],[ATUAL]])</f>
        <v>0</v>
      </c>
      <c r="T135" s="91">
        <f>SUMIFS(tabela_registros[VALOR],tabela_registros[MÊS],$AE$1,tabela_registros[DIA],investirrendavariávelconsolidadoago[[#Headers],[16]],tabela_registros[REGISTRO],DADOS!$N$5,tabela_registros[TIPO],DADOS!$AB$4,tabela_registros[CATEGORIA],investirrendavariávelconsolidadoago[[#This Row],[ATUAL]])</f>
        <v>0</v>
      </c>
      <c r="U135" s="91">
        <f>SUMIFS(tabela_registros[VALOR],tabela_registros[MÊS],$AE$1,tabela_registros[DIA],investirrendavariávelconsolidadoago[[#Headers],[17]],tabela_registros[REGISTRO],DADOS!$N$5,tabela_registros[TIPO],DADOS!$AB$4,tabela_registros[CATEGORIA],investirrendavariávelconsolidadoago[[#This Row],[ATUAL]])</f>
        <v>0</v>
      </c>
      <c r="V135" s="91">
        <f>SUMIFS(tabela_registros[VALOR],tabela_registros[MÊS],$AE$1,tabela_registros[DIA],investirrendavariávelconsolidadoago[[#Headers],[18]],tabela_registros[REGISTRO],DADOS!$N$5,tabela_registros[TIPO],DADOS!$AB$4,tabela_registros[CATEGORIA],investirrendavariávelconsolidadoago[[#This Row],[ATUAL]])</f>
        <v>0</v>
      </c>
      <c r="W135" s="91">
        <f>SUMIFS(tabela_registros[VALOR],tabela_registros[MÊS],$AE$1,tabela_registros[DIA],investirrendavariávelconsolidadoago[[#Headers],[19]],tabela_registros[REGISTRO],DADOS!$N$5,tabela_registros[TIPO],DADOS!$AB$4,tabela_registros[CATEGORIA],investirrendavariávelconsolidadoago[[#This Row],[ATUAL]])</f>
        <v>0</v>
      </c>
      <c r="X135" s="91">
        <f>SUMIFS(tabela_registros[VALOR],tabela_registros[MÊS],$AE$1,tabela_registros[DIA],investirrendavariávelconsolidadoago[[#Headers],[20]],tabela_registros[REGISTRO],DADOS!$N$5,tabela_registros[TIPO],DADOS!$AB$4,tabela_registros[CATEGORIA],investirrendavariávelconsolidadoago[[#This Row],[ATUAL]])</f>
        <v>0</v>
      </c>
      <c r="Y135" s="91">
        <f>SUMIFS(tabela_registros[VALOR],tabela_registros[MÊS],$AE$1,tabela_registros[DIA],investirrendavariávelconsolidadoago[[#Headers],[21]],tabela_registros[REGISTRO],DADOS!$N$5,tabela_registros[TIPO],DADOS!$AB$4,tabela_registros[CATEGORIA],investirrendavariávelconsolidadoago[[#This Row],[ATUAL]])</f>
        <v>0</v>
      </c>
      <c r="Z135" s="91">
        <f>SUMIFS(tabela_registros[VALOR],tabela_registros[MÊS],$AE$1,tabela_registros[DIA],investirrendavariávelconsolidadoago[[#Headers],[22]],tabela_registros[REGISTRO],DADOS!$N$5,tabela_registros[TIPO],DADOS!$AB$4,tabela_registros[CATEGORIA],investirrendavariávelconsolidadoago[[#This Row],[ATUAL]])</f>
        <v>0</v>
      </c>
      <c r="AA135" s="91">
        <f>SUMIFS(tabela_registros[VALOR],tabela_registros[MÊS],$AE$1,tabela_registros[DIA],investirrendavariávelconsolidadoago[[#Headers],[23]],tabela_registros[REGISTRO],DADOS!$N$5,tabela_registros[TIPO],DADOS!$AB$4,tabela_registros[CATEGORIA],investirrendavariávelconsolidadoago[[#This Row],[ATUAL]])</f>
        <v>0</v>
      </c>
      <c r="AB135" s="91">
        <f>SUMIFS(tabela_registros[VALOR],tabela_registros[MÊS],$AE$1,tabela_registros[DIA],investirrendavariávelconsolidadoago[[#Headers],[24]],tabela_registros[REGISTRO],DADOS!$N$5,tabela_registros[TIPO],DADOS!$AB$4,tabela_registros[CATEGORIA],investirrendavariávelconsolidadoago[[#This Row],[ATUAL]])</f>
        <v>0</v>
      </c>
      <c r="AC135" s="91">
        <f>SUMIFS(tabela_registros[VALOR],tabela_registros[MÊS],$AE$1,tabela_registros[DIA],investirrendavariávelconsolidadoago[[#Headers],[25]],tabela_registros[REGISTRO],DADOS!$N$5,tabela_registros[TIPO],DADOS!$AB$4,tabela_registros[CATEGORIA],investirrendavariávelconsolidadoago[[#This Row],[ATUAL]])</f>
        <v>0</v>
      </c>
      <c r="AD135" s="91">
        <f>SUMIFS(tabela_registros[VALOR],tabela_registros[MÊS],$AE$1,tabela_registros[DIA],investirrendavariávelconsolidadoago[[#Headers],[26]],tabela_registros[REGISTRO],DADOS!$N$5,tabela_registros[TIPO],DADOS!$AB$4,tabela_registros[CATEGORIA],investirrendavariávelconsolidadoago[[#This Row],[ATUAL]])</f>
        <v>0</v>
      </c>
      <c r="AE135" s="91">
        <f>SUMIFS(tabela_registros[VALOR],tabela_registros[MÊS],$AE$1,tabela_registros[DIA],investirrendavariávelconsolidadoago[[#Headers],[27]],tabela_registros[REGISTRO],DADOS!$N$5,tabela_registros[TIPO],DADOS!$AB$4,tabela_registros[CATEGORIA],investirrendavariávelconsolidadoago[[#This Row],[ATUAL]])</f>
        <v>0</v>
      </c>
      <c r="AF135" s="91">
        <f>SUMIFS(tabela_registros[VALOR],tabela_registros[MÊS],$AE$1,tabela_registros[DIA],investirrendavariávelconsolidadoago[[#Headers],[28]],tabela_registros[REGISTRO],DADOS!$N$5,tabela_registros[TIPO],DADOS!$AB$4,tabela_registros[CATEGORIA],investirrendavariávelconsolidadoago[[#This Row],[ATUAL]])</f>
        <v>0</v>
      </c>
      <c r="AG135" s="91">
        <f>SUMIFS(tabela_registros[VALOR],tabela_registros[MÊS],$AE$1,tabela_registros[DIA],investirrendavariávelconsolidadoago[[#Headers],[29]],tabela_registros[REGISTRO],DADOS!$N$5,tabela_registros[TIPO],DADOS!$AB$4,tabela_registros[CATEGORIA],investirrendavariávelconsolidadoago[[#This Row],[ATUAL]])</f>
        <v>0</v>
      </c>
      <c r="AH135" s="91">
        <f>SUMIFS(tabela_registros[VALOR],tabela_registros[MÊS],$AE$1,tabela_registros[DIA],investirrendavariávelconsolidadoago[[#Headers],[30]],tabela_registros[REGISTRO],DADOS!$N$5,tabela_registros[TIPO],DADOS!$AB$4,tabela_registros[CATEGORIA],investirrendavariávelconsolidadoago[[#This Row],[ATUAL]])</f>
        <v>0</v>
      </c>
      <c r="AI135" s="101">
        <f>SUMIFS(tabela_registros[VALOR],tabela_registros[MÊS],$AE$1,tabela_registros[DIA],investirrendavariávelconsolidadoago[[#Headers],[31]],tabela_registros[REGISTRO],DADOS!$N$5,tabela_registros[TIPO],DADOS!$AB$4,tabela_registros[CATEGORIA],investirrendavariávelconsolidadoago[[#This Row],[ATUAL]])</f>
        <v>0</v>
      </c>
      <c r="AJ135" s="97">
        <f>SUM(investirrendavariávelconsolidadoago[[#This Row],[1]:[31]])</f>
        <v>0</v>
      </c>
      <c r="AK135" s="25"/>
    </row>
    <row r="136" spans="2:37" ht="19.5" customHeight="1" thickTop="1" thickBot="1" x14ac:dyDescent="0.3">
      <c r="B136" s="28"/>
      <c r="C136" s="27" t="str">
        <f>DADOS!$AF$7</f>
        <v>📝 CRIPTOMOEDA</v>
      </c>
      <c r="D136" s="26" t="str">
        <f>IF(investirrendavariávelconsolidadoago[[#This Row],[TOTAL (R$)]]=0,"",IF(OR(investirrendavariávelconsolidadoago[[#This Row],[TOTAL (R$)]]=LARGE($AJ$132:$AJ$141,1),investirrendavariávelconsolidadoago[[#This Row],[TOTAL (R$)]]=LARGE($AJ$132:$AJ$141,2)),DADOS!$I$10,""))</f>
        <v/>
      </c>
      <c r="E136" s="96">
        <f>SUMIFS(tabela_registros[VALOR],tabela_registros[MÊS],$AE$1,tabela_registros[DIA],investirrendavariávelconsolidadoago[[#Headers],[1]],tabela_registros[REGISTRO],DADOS!$N$5,tabela_registros[TIPO],DADOS!$AB$4,tabela_registros[CATEGORIA],investirrendavariávelconsolidadoago[[#This Row],[ATUAL]])</f>
        <v>0</v>
      </c>
      <c r="F136" s="91">
        <f>SUMIFS(tabela_registros[VALOR],tabela_registros[MÊS],$AE$1,tabela_registros[DIA],investirrendavariávelconsolidadoago[[#Headers],[2]],tabela_registros[REGISTRO],DADOS!$N$5,tabela_registros[TIPO],DADOS!$AB$4,tabela_registros[CATEGORIA],investirrendavariávelconsolidadoago[[#This Row],[ATUAL]])</f>
        <v>0</v>
      </c>
      <c r="G136" s="91">
        <f>SUMIFS(tabela_registros[VALOR],tabela_registros[MÊS],$AE$1,tabela_registros[DIA],investirrendavariávelconsolidadoago[[#Headers],[3]],tabela_registros[REGISTRO],DADOS!$N$5,tabela_registros[TIPO],DADOS!$AB$4,tabela_registros[CATEGORIA],investirrendavariávelconsolidadoago[[#This Row],[ATUAL]])</f>
        <v>0</v>
      </c>
      <c r="H136" s="91">
        <f>SUMIFS(tabela_registros[VALOR],tabela_registros[MÊS],$AE$1,tabela_registros[DIA],investirrendavariávelconsolidadoago[[#Headers],[4]],tabela_registros[REGISTRO],DADOS!$N$5,tabela_registros[TIPO],DADOS!$AB$4,tabela_registros[CATEGORIA],investirrendavariávelconsolidadoago[[#This Row],[ATUAL]])</f>
        <v>0</v>
      </c>
      <c r="I136" s="91">
        <f>SUMIFS(tabela_registros[VALOR],tabela_registros[MÊS],$AE$1,tabela_registros[DIA],investirrendavariávelconsolidadoago[[#Headers],[5]],tabela_registros[REGISTRO],DADOS!$N$5,tabela_registros[TIPO],DADOS!$AB$4,tabela_registros[CATEGORIA],investirrendavariávelconsolidadoago[[#This Row],[ATUAL]])</f>
        <v>0</v>
      </c>
      <c r="J136" s="91">
        <f>SUMIFS(tabela_registros[VALOR],tabela_registros[MÊS],$AE$1,tabela_registros[DIA],investirrendavariávelconsolidadoago[[#Headers],[6]],tabela_registros[REGISTRO],DADOS!$N$5,tabela_registros[TIPO],DADOS!$AB$4,tabela_registros[CATEGORIA],investirrendavariávelconsolidadoago[[#This Row],[ATUAL]])</f>
        <v>0</v>
      </c>
      <c r="K136" s="91">
        <f>SUMIFS(tabela_registros[VALOR],tabela_registros[MÊS],$AE$1,tabela_registros[DIA],investirrendavariávelconsolidadoago[[#Headers],[7]],tabela_registros[REGISTRO],DADOS!$N$5,tabela_registros[TIPO],DADOS!$AB$4,tabela_registros[CATEGORIA],investirrendavariávelconsolidadoago[[#This Row],[ATUAL]])</f>
        <v>0</v>
      </c>
      <c r="L136" s="91">
        <f>SUMIFS(tabela_registros[VALOR],tabela_registros[MÊS],$AE$1,tabela_registros[DIA],investirrendavariávelconsolidadoago[[#Headers],[8]],tabela_registros[REGISTRO],DADOS!$N$5,tabela_registros[TIPO],DADOS!$AB$4,tabela_registros[CATEGORIA],investirrendavariávelconsolidadoago[[#This Row],[ATUAL]])</f>
        <v>0</v>
      </c>
      <c r="M136" s="91">
        <f>SUMIFS(tabela_registros[VALOR],tabela_registros[MÊS],$AE$1,tabela_registros[DIA],investirrendavariávelconsolidadoago[[#Headers],[9]],tabela_registros[REGISTRO],DADOS!$N$5,tabela_registros[TIPO],DADOS!$AB$4,tabela_registros[CATEGORIA],investirrendavariávelconsolidadoago[[#This Row],[ATUAL]])</f>
        <v>0</v>
      </c>
      <c r="N136" s="91">
        <f>SUMIFS(tabela_registros[VALOR],tabela_registros[MÊS],$AE$1,tabela_registros[DIA],investirrendavariávelconsolidadoago[[#Headers],[10]],tabela_registros[REGISTRO],DADOS!$N$5,tabela_registros[TIPO],DADOS!$AB$4,tabela_registros[CATEGORIA],investirrendavariávelconsolidadoago[[#This Row],[ATUAL]])</f>
        <v>0</v>
      </c>
      <c r="O136" s="91">
        <f>SUMIFS(tabela_registros[VALOR],tabela_registros[MÊS],$AE$1,tabela_registros[DIA],investirrendavariávelconsolidadoago[[#Headers],[11]],tabela_registros[REGISTRO],DADOS!$N$5,tabela_registros[TIPO],DADOS!$AB$4,tabela_registros[CATEGORIA],investirrendavariávelconsolidadoago[[#This Row],[ATUAL]])</f>
        <v>0</v>
      </c>
      <c r="P136" s="91">
        <f>SUMIFS(tabela_registros[VALOR],tabela_registros[MÊS],$AE$1,tabela_registros[DIA],investirrendavariávelconsolidadoago[[#Headers],[12]],tabela_registros[REGISTRO],DADOS!$N$5,tabela_registros[TIPO],DADOS!$AB$4,tabela_registros[CATEGORIA],investirrendavariávelconsolidadoago[[#This Row],[ATUAL]])</f>
        <v>0</v>
      </c>
      <c r="Q136" s="91">
        <f>SUMIFS(tabela_registros[VALOR],tabela_registros[MÊS],$AE$1,tabela_registros[DIA],investirrendavariávelconsolidadoago[[#Headers],[13]],tabela_registros[REGISTRO],DADOS!$N$5,tabela_registros[TIPO],DADOS!$AB$4,tabela_registros[CATEGORIA],investirrendavariávelconsolidadoago[[#This Row],[ATUAL]])</f>
        <v>0</v>
      </c>
      <c r="R136" s="91">
        <f>SUMIFS(tabela_registros[VALOR],tabela_registros[MÊS],$AE$1,tabela_registros[DIA],investirrendavariávelconsolidadoago[[#Headers],[14]],tabela_registros[REGISTRO],DADOS!$N$5,tabela_registros[TIPO],DADOS!$AB$4,tabela_registros[CATEGORIA],investirrendavariávelconsolidadoago[[#This Row],[ATUAL]])</f>
        <v>0</v>
      </c>
      <c r="S136" s="91">
        <f>SUMIFS(tabela_registros[VALOR],tabela_registros[MÊS],$AE$1,tabela_registros[DIA],investirrendavariávelconsolidadoago[[#Headers],[15]],tabela_registros[REGISTRO],DADOS!$N$5,tabela_registros[TIPO],DADOS!$AB$4,tabela_registros[CATEGORIA],investirrendavariávelconsolidadoago[[#This Row],[ATUAL]])</f>
        <v>0</v>
      </c>
      <c r="T136" s="91">
        <f>SUMIFS(tabela_registros[VALOR],tabela_registros[MÊS],$AE$1,tabela_registros[DIA],investirrendavariávelconsolidadoago[[#Headers],[16]],tabela_registros[REGISTRO],DADOS!$N$5,tabela_registros[TIPO],DADOS!$AB$4,tabela_registros[CATEGORIA],investirrendavariávelconsolidadoago[[#This Row],[ATUAL]])</f>
        <v>0</v>
      </c>
      <c r="U136" s="91">
        <f>SUMIFS(tabela_registros[VALOR],tabela_registros[MÊS],$AE$1,tabela_registros[DIA],investirrendavariávelconsolidadoago[[#Headers],[17]],tabela_registros[REGISTRO],DADOS!$N$5,tabela_registros[TIPO],DADOS!$AB$4,tabela_registros[CATEGORIA],investirrendavariávelconsolidadoago[[#This Row],[ATUAL]])</f>
        <v>0</v>
      </c>
      <c r="V136" s="91">
        <f>SUMIFS(tabela_registros[VALOR],tabela_registros[MÊS],$AE$1,tabela_registros[DIA],investirrendavariávelconsolidadoago[[#Headers],[18]],tabela_registros[REGISTRO],DADOS!$N$5,tabela_registros[TIPO],DADOS!$AB$4,tabela_registros[CATEGORIA],investirrendavariávelconsolidadoago[[#This Row],[ATUAL]])</f>
        <v>0</v>
      </c>
      <c r="W136" s="91">
        <f>SUMIFS(tabela_registros[VALOR],tabela_registros[MÊS],$AE$1,tabela_registros[DIA],investirrendavariávelconsolidadoago[[#Headers],[19]],tabela_registros[REGISTRO],DADOS!$N$5,tabela_registros[TIPO],DADOS!$AB$4,tabela_registros[CATEGORIA],investirrendavariávelconsolidadoago[[#This Row],[ATUAL]])</f>
        <v>0</v>
      </c>
      <c r="X136" s="91">
        <f>SUMIFS(tabela_registros[VALOR],tabela_registros[MÊS],$AE$1,tabela_registros[DIA],investirrendavariávelconsolidadoago[[#Headers],[20]],tabela_registros[REGISTRO],DADOS!$N$5,tabela_registros[TIPO],DADOS!$AB$4,tabela_registros[CATEGORIA],investirrendavariávelconsolidadoago[[#This Row],[ATUAL]])</f>
        <v>0</v>
      </c>
      <c r="Y136" s="91">
        <f>SUMIFS(tabela_registros[VALOR],tabela_registros[MÊS],$AE$1,tabela_registros[DIA],investirrendavariávelconsolidadoago[[#Headers],[21]],tabela_registros[REGISTRO],DADOS!$N$5,tabela_registros[TIPO],DADOS!$AB$4,tabela_registros[CATEGORIA],investirrendavariávelconsolidadoago[[#This Row],[ATUAL]])</f>
        <v>0</v>
      </c>
      <c r="Z136" s="91">
        <f>SUMIFS(tabela_registros[VALOR],tabela_registros[MÊS],$AE$1,tabela_registros[DIA],investirrendavariávelconsolidadoago[[#Headers],[22]],tabela_registros[REGISTRO],DADOS!$N$5,tabela_registros[TIPO],DADOS!$AB$4,tabela_registros[CATEGORIA],investirrendavariávelconsolidadoago[[#This Row],[ATUAL]])</f>
        <v>0</v>
      </c>
      <c r="AA136" s="91">
        <f>SUMIFS(tabela_registros[VALOR],tabela_registros[MÊS],$AE$1,tabela_registros[DIA],investirrendavariávelconsolidadoago[[#Headers],[23]],tabela_registros[REGISTRO],DADOS!$N$5,tabela_registros[TIPO],DADOS!$AB$4,tabela_registros[CATEGORIA],investirrendavariávelconsolidadoago[[#This Row],[ATUAL]])</f>
        <v>0</v>
      </c>
      <c r="AB136" s="91">
        <f>SUMIFS(tabela_registros[VALOR],tabela_registros[MÊS],$AE$1,tabela_registros[DIA],investirrendavariávelconsolidadoago[[#Headers],[24]],tabela_registros[REGISTRO],DADOS!$N$5,tabela_registros[TIPO],DADOS!$AB$4,tabela_registros[CATEGORIA],investirrendavariávelconsolidadoago[[#This Row],[ATUAL]])</f>
        <v>0</v>
      </c>
      <c r="AC136" s="91">
        <f>SUMIFS(tabela_registros[VALOR],tabela_registros[MÊS],$AE$1,tabela_registros[DIA],investirrendavariávelconsolidadoago[[#Headers],[25]],tabela_registros[REGISTRO],DADOS!$N$5,tabela_registros[TIPO],DADOS!$AB$4,tabela_registros[CATEGORIA],investirrendavariávelconsolidadoago[[#This Row],[ATUAL]])</f>
        <v>0</v>
      </c>
      <c r="AD136" s="91">
        <f>SUMIFS(tabela_registros[VALOR],tabela_registros[MÊS],$AE$1,tabela_registros[DIA],investirrendavariávelconsolidadoago[[#Headers],[26]],tabela_registros[REGISTRO],DADOS!$N$5,tabela_registros[TIPO],DADOS!$AB$4,tabela_registros[CATEGORIA],investirrendavariávelconsolidadoago[[#This Row],[ATUAL]])</f>
        <v>0</v>
      </c>
      <c r="AE136" s="91">
        <f>SUMIFS(tabela_registros[VALOR],tabela_registros[MÊS],$AE$1,tabela_registros[DIA],investirrendavariávelconsolidadoago[[#Headers],[27]],tabela_registros[REGISTRO],DADOS!$N$5,tabela_registros[TIPO],DADOS!$AB$4,tabela_registros[CATEGORIA],investirrendavariávelconsolidadoago[[#This Row],[ATUAL]])</f>
        <v>0</v>
      </c>
      <c r="AF136" s="91">
        <f>SUMIFS(tabela_registros[VALOR],tabela_registros[MÊS],$AE$1,tabela_registros[DIA],investirrendavariávelconsolidadoago[[#Headers],[28]],tabela_registros[REGISTRO],DADOS!$N$5,tabela_registros[TIPO],DADOS!$AB$4,tabela_registros[CATEGORIA],investirrendavariávelconsolidadoago[[#This Row],[ATUAL]])</f>
        <v>0</v>
      </c>
      <c r="AG136" s="91">
        <f>SUMIFS(tabela_registros[VALOR],tabela_registros[MÊS],$AE$1,tabela_registros[DIA],investirrendavariávelconsolidadoago[[#Headers],[29]],tabela_registros[REGISTRO],DADOS!$N$5,tabela_registros[TIPO],DADOS!$AB$4,tabela_registros[CATEGORIA],investirrendavariávelconsolidadoago[[#This Row],[ATUAL]])</f>
        <v>0</v>
      </c>
      <c r="AH136" s="91">
        <f>SUMIFS(tabela_registros[VALOR],tabela_registros[MÊS],$AE$1,tabela_registros[DIA],investirrendavariávelconsolidadoago[[#Headers],[30]],tabela_registros[REGISTRO],DADOS!$N$5,tabela_registros[TIPO],DADOS!$AB$4,tabela_registros[CATEGORIA],investirrendavariávelconsolidadoago[[#This Row],[ATUAL]])</f>
        <v>0</v>
      </c>
      <c r="AI136" s="101">
        <f>SUMIFS(tabela_registros[VALOR],tabela_registros[MÊS],$AE$1,tabela_registros[DIA],investirrendavariávelconsolidadoago[[#Headers],[31]],tabela_registros[REGISTRO],DADOS!$N$5,tabela_registros[TIPO],DADOS!$AB$4,tabela_registros[CATEGORIA],investirrendavariávelconsolidadoago[[#This Row],[ATUAL]])</f>
        <v>0</v>
      </c>
      <c r="AJ136" s="104">
        <f>SUM(investirrendavariávelconsolidadoago[[#This Row],[1]:[31]])</f>
        <v>0</v>
      </c>
      <c r="AK136" s="25"/>
    </row>
    <row r="137" spans="2:37" ht="19.5" customHeight="1" thickTop="1" thickBot="1" x14ac:dyDescent="0.3">
      <c r="B137" s="28"/>
      <c r="C137" s="27" t="str">
        <f>DADOS!$AF$8</f>
        <v>📝 ETF</v>
      </c>
      <c r="D137" s="26" t="str">
        <f>IF(investirrendavariávelconsolidadoago[[#This Row],[TOTAL (R$)]]=0,"",IF(OR(investirrendavariávelconsolidadoago[[#This Row],[TOTAL (R$)]]=LARGE($AJ$132:$AJ$141,1),investirrendavariávelconsolidadoago[[#This Row],[TOTAL (R$)]]=LARGE($AJ$132:$AJ$141,2)),DADOS!$I$10,""))</f>
        <v/>
      </c>
      <c r="E137" s="96">
        <f>SUMIFS(tabela_registros[VALOR],tabela_registros[MÊS],$AE$1,tabela_registros[DIA],investirrendavariávelconsolidadoago[[#Headers],[1]],tabela_registros[REGISTRO],DADOS!$N$5,tabela_registros[TIPO],DADOS!$AB$4,tabela_registros[CATEGORIA],investirrendavariávelconsolidadoago[[#This Row],[ATUAL]])</f>
        <v>0</v>
      </c>
      <c r="F137" s="91">
        <f>SUMIFS(tabela_registros[VALOR],tabela_registros[MÊS],$AE$1,tabela_registros[DIA],investirrendavariávelconsolidadoago[[#Headers],[2]],tabela_registros[REGISTRO],DADOS!$N$5,tabela_registros[TIPO],DADOS!$AB$4,tabela_registros[CATEGORIA],investirrendavariávelconsolidadoago[[#This Row],[ATUAL]])</f>
        <v>0</v>
      </c>
      <c r="G137" s="91">
        <f>SUMIFS(tabela_registros[VALOR],tabela_registros[MÊS],$AE$1,tabela_registros[DIA],investirrendavariávelconsolidadoago[[#Headers],[3]],tabela_registros[REGISTRO],DADOS!$N$5,tabela_registros[TIPO],DADOS!$AB$4,tabela_registros[CATEGORIA],investirrendavariávelconsolidadoago[[#This Row],[ATUAL]])</f>
        <v>0</v>
      </c>
      <c r="H137" s="91">
        <f>SUMIFS(tabela_registros[VALOR],tabela_registros[MÊS],$AE$1,tabela_registros[DIA],investirrendavariávelconsolidadoago[[#Headers],[4]],tabela_registros[REGISTRO],DADOS!$N$5,tabela_registros[TIPO],DADOS!$AB$4,tabela_registros[CATEGORIA],investirrendavariávelconsolidadoago[[#This Row],[ATUAL]])</f>
        <v>0</v>
      </c>
      <c r="I137" s="91">
        <f>SUMIFS(tabela_registros[VALOR],tabela_registros[MÊS],$AE$1,tabela_registros[DIA],investirrendavariávelconsolidadoago[[#Headers],[5]],tabela_registros[REGISTRO],DADOS!$N$5,tabela_registros[TIPO],DADOS!$AB$4,tabela_registros[CATEGORIA],investirrendavariávelconsolidadoago[[#This Row],[ATUAL]])</f>
        <v>0</v>
      </c>
      <c r="J137" s="91">
        <f>SUMIFS(tabela_registros[VALOR],tabela_registros[MÊS],$AE$1,tabela_registros[DIA],investirrendavariávelconsolidadoago[[#Headers],[6]],tabela_registros[REGISTRO],DADOS!$N$5,tabela_registros[TIPO],DADOS!$AB$4,tabela_registros[CATEGORIA],investirrendavariávelconsolidadoago[[#This Row],[ATUAL]])</f>
        <v>0</v>
      </c>
      <c r="K137" s="91">
        <f>SUMIFS(tabela_registros[VALOR],tabela_registros[MÊS],$AE$1,tabela_registros[DIA],investirrendavariávelconsolidadoago[[#Headers],[7]],tabela_registros[REGISTRO],DADOS!$N$5,tabela_registros[TIPO],DADOS!$AB$4,tabela_registros[CATEGORIA],investirrendavariávelconsolidadoago[[#This Row],[ATUAL]])</f>
        <v>0</v>
      </c>
      <c r="L137" s="91">
        <f>SUMIFS(tabela_registros[VALOR],tabela_registros[MÊS],$AE$1,tabela_registros[DIA],investirrendavariávelconsolidadoago[[#Headers],[8]],tabela_registros[REGISTRO],DADOS!$N$5,tabela_registros[TIPO],DADOS!$AB$4,tabela_registros[CATEGORIA],investirrendavariávelconsolidadoago[[#This Row],[ATUAL]])</f>
        <v>0</v>
      </c>
      <c r="M137" s="91">
        <f>SUMIFS(tabela_registros[VALOR],tabela_registros[MÊS],$AE$1,tabela_registros[DIA],investirrendavariávelconsolidadoago[[#Headers],[9]],tabela_registros[REGISTRO],DADOS!$N$5,tabela_registros[TIPO],DADOS!$AB$4,tabela_registros[CATEGORIA],investirrendavariávelconsolidadoago[[#This Row],[ATUAL]])</f>
        <v>0</v>
      </c>
      <c r="N137" s="91">
        <f>SUMIFS(tabela_registros[VALOR],tabela_registros[MÊS],$AE$1,tabela_registros[DIA],investirrendavariávelconsolidadoago[[#Headers],[10]],tabela_registros[REGISTRO],DADOS!$N$5,tabela_registros[TIPO],DADOS!$AB$4,tabela_registros[CATEGORIA],investirrendavariávelconsolidadoago[[#This Row],[ATUAL]])</f>
        <v>0</v>
      </c>
      <c r="O137" s="91">
        <f>SUMIFS(tabela_registros[VALOR],tabela_registros[MÊS],$AE$1,tabela_registros[DIA],investirrendavariávelconsolidadoago[[#Headers],[11]],tabela_registros[REGISTRO],DADOS!$N$5,tabela_registros[TIPO],DADOS!$AB$4,tabela_registros[CATEGORIA],investirrendavariávelconsolidadoago[[#This Row],[ATUAL]])</f>
        <v>0</v>
      </c>
      <c r="P137" s="91">
        <f>SUMIFS(tabela_registros[VALOR],tabela_registros[MÊS],$AE$1,tabela_registros[DIA],investirrendavariávelconsolidadoago[[#Headers],[12]],tabela_registros[REGISTRO],DADOS!$N$5,tabela_registros[TIPO],DADOS!$AB$4,tabela_registros[CATEGORIA],investirrendavariávelconsolidadoago[[#This Row],[ATUAL]])</f>
        <v>0</v>
      </c>
      <c r="Q137" s="91">
        <f>SUMIFS(tabela_registros[VALOR],tabela_registros[MÊS],$AE$1,tabela_registros[DIA],investirrendavariávelconsolidadoago[[#Headers],[13]],tabela_registros[REGISTRO],DADOS!$N$5,tabela_registros[TIPO],DADOS!$AB$4,tabela_registros[CATEGORIA],investirrendavariávelconsolidadoago[[#This Row],[ATUAL]])</f>
        <v>0</v>
      </c>
      <c r="R137" s="91">
        <f>SUMIFS(tabela_registros[VALOR],tabela_registros[MÊS],$AE$1,tabela_registros[DIA],investirrendavariávelconsolidadoago[[#Headers],[14]],tabela_registros[REGISTRO],DADOS!$N$5,tabela_registros[TIPO],DADOS!$AB$4,tabela_registros[CATEGORIA],investirrendavariávelconsolidadoago[[#This Row],[ATUAL]])</f>
        <v>0</v>
      </c>
      <c r="S137" s="91">
        <f>SUMIFS(tabela_registros[VALOR],tabela_registros[MÊS],$AE$1,tabela_registros[DIA],investirrendavariávelconsolidadoago[[#Headers],[15]],tabela_registros[REGISTRO],DADOS!$N$5,tabela_registros[TIPO],DADOS!$AB$4,tabela_registros[CATEGORIA],investirrendavariávelconsolidadoago[[#This Row],[ATUAL]])</f>
        <v>0</v>
      </c>
      <c r="T137" s="91">
        <f>SUMIFS(tabela_registros[VALOR],tabela_registros[MÊS],$AE$1,tabela_registros[DIA],investirrendavariávelconsolidadoago[[#Headers],[16]],tabela_registros[REGISTRO],DADOS!$N$5,tabela_registros[TIPO],DADOS!$AB$4,tabela_registros[CATEGORIA],investirrendavariávelconsolidadoago[[#This Row],[ATUAL]])</f>
        <v>0</v>
      </c>
      <c r="U137" s="91">
        <f>SUMIFS(tabela_registros[VALOR],tabela_registros[MÊS],$AE$1,tabela_registros[DIA],investirrendavariávelconsolidadoago[[#Headers],[17]],tabela_registros[REGISTRO],DADOS!$N$5,tabela_registros[TIPO],DADOS!$AB$4,tabela_registros[CATEGORIA],investirrendavariávelconsolidadoago[[#This Row],[ATUAL]])</f>
        <v>0</v>
      </c>
      <c r="V137" s="91">
        <f>SUMIFS(tabela_registros[VALOR],tabela_registros[MÊS],$AE$1,tabela_registros[DIA],investirrendavariávelconsolidadoago[[#Headers],[18]],tabela_registros[REGISTRO],DADOS!$N$5,tabela_registros[TIPO],DADOS!$AB$4,tabela_registros[CATEGORIA],investirrendavariávelconsolidadoago[[#This Row],[ATUAL]])</f>
        <v>0</v>
      </c>
      <c r="W137" s="91">
        <f>SUMIFS(tabela_registros[VALOR],tabela_registros[MÊS],$AE$1,tabela_registros[DIA],investirrendavariávelconsolidadoago[[#Headers],[19]],tabela_registros[REGISTRO],DADOS!$N$5,tabela_registros[TIPO],DADOS!$AB$4,tabela_registros[CATEGORIA],investirrendavariávelconsolidadoago[[#This Row],[ATUAL]])</f>
        <v>0</v>
      </c>
      <c r="X137" s="91">
        <f>SUMIFS(tabela_registros[VALOR],tabela_registros[MÊS],$AE$1,tabela_registros[DIA],investirrendavariávelconsolidadoago[[#Headers],[20]],tabela_registros[REGISTRO],DADOS!$N$5,tabela_registros[TIPO],DADOS!$AB$4,tabela_registros[CATEGORIA],investirrendavariávelconsolidadoago[[#This Row],[ATUAL]])</f>
        <v>0</v>
      </c>
      <c r="Y137" s="91">
        <f>SUMIFS(tabela_registros[VALOR],tabela_registros[MÊS],$AE$1,tabela_registros[DIA],investirrendavariávelconsolidadoago[[#Headers],[21]],tabela_registros[REGISTRO],DADOS!$N$5,tabela_registros[TIPO],DADOS!$AB$4,tabela_registros[CATEGORIA],investirrendavariávelconsolidadoago[[#This Row],[ATUAL]])</f>
        <v>0</v>
      </c>
      <c r="Z137" s="91">
        <f>SUMIFS(tabela_registros[VALOR],tabela_registros[MÊS],$AE$1,tabela_registros[DIA],investirrendavariávelconsolidadoago[[#Headers],[22]],tabela_registros[REGISTRO],DADOS!$N$5,tabela_registros[TIPO],DADOS!$AB$4,tabela_registros[CATEGORIA],investirrendavariávelconsolidadoago[[#This Row],[ATUAL]])</f>
        <v>0</v>
      </c>
      <c r="AA137" s="91">
        <f>SUMIFS(tabela_registros[VALOR],tabela_registros[MÊS],$AE$1,tabela_registros[DIA],investirrendavariávelconsolidadoago[[#Headers],[23]],tabela_registros[REGISTRO],DADOS!$N$5,tabela_registros[TIPO],DADOS!$AB$4,tabela_registros[CATEGORIA],investirrendavariávelconsolidadoago[[#This Row],[ATUAL]])</f>
        <v>0</v>
      </c>
      <c r="AB137" s="91">
        <f>SUMIFS(tabela_registros[VALOR],tabela_registros[MÊS],$AE$1,tabela_registros[DIA],investirrendavariávelconsolidadoago[[#Headers],[24]],tabela_registros[REGISTRO],DADOS!$N$5,tabela_registros[TIPO],DADOS!$AB$4,tabela_registros[CATEGORIA],investirrendavariávelconsolidadoago[[#This Row],[ATUAL]])</f>
        <v>0</v>
      </c>
      <c r="AC137" s="91">
        <f>SUMIFS(tabela_registros[VALOR],tabela_registros[MÊS],$AE$1,tabela_registros[DIA],investirrendavariávelconsolidadoago[[#Headers],[25]],tabela_registros[REGISTRO],DADOS!$N$5,tabela_registros[TIPO],DADOS!$AB$4,tabela_registros[CATEGORIA],investirrendavariávelconsolidadoago[[#This Row],[ATUAL]])</f>
        <v>0</v>
      </c>
      <c r="AD137" s="91">
        <f>SUMIFS(tabela_registros[VALOR],tabela_registros[MÊS],$AE$1,tabela_registros[DIA],investirrendavariávelconsolidadoago[[#Headers],[26]],tabela_registros[REGISTRO],DADOS!$N$5,tabela_registros[TIPO],DADOS!$AB$4,tabela_registros[CATEGORIA],investirrendavariávelconsolidadoago[[#This Row],[ATUAL]])</f>
        <v>0</v>
      </c>
      <c r="AE137" s="91">
        <f>SUMIFS(tabela_registros[VALOR],tabela_registros[MÊS],$AE$1,tabela_registros[DIA],investirrendavariávelconsolidadoago[[#Headers],[27]],tabela_registros[REGISTRO],DADOS!$N$5,tabela_registros[TIPO],DADOS!$AB$4,tabela_registros[CATEGORIA],investirrendavariávelconsolidadoago[[#This Row],[ATUAL]])</f>
        <v>0</v>
      </c>
      <c r="AF137" s="91">
        <f>SUMIFS(tabela_registros[VALOR],tabela_registros[MÊS],$AE$1,tabela_registros[DIA],investirrendavariávelconsolidadoago[[#Headers],[28]],tabela_registros[REGISTRO],DADOS!$N$5,tabela_registros[TIPO],DADOS!$AB$4,tabela_registros[CATEGORIA],investirrendavariávelconsolidadoago[[#This Row],[ATUAL]])</f>
        <v>0</v>
      </c>
      <c r="AG137" s="91">
        <f>SUMIFS(tabela_registros[VALOR],tabela_registros[MÊS],$AE$1,tabela_registros[DIA],investirrendavariávelconsolidadoago[[#Headers],[29]],tabela_registros[REGISTRO],DADOS!$N$5,tabela_registros[TIPO],DADOS!$AB$4,tabela_registros[CATEGORIA],investirrendavariávelconsolidadoago[[#This Row],[ATUAL]])</f>
        <v>0</v>
      </c>
      <c r="AH137" s="91">
        <f>SUMIFS(tabela_registros[VALOR],tabela_registros[MÊS],$AE$1,tabela_registros[DIA],investirrendavariávelconsolidadoago[[#Headers],[30]],tabela_registros[REGISTRO],DADOS!$N$5,tabela_registros[TIPO],DADOS!$AB$4,tabela_registros[CATEGORIA],investirrendavariávelconsolidadoago[[#This Row],[ATUAL]])</f>
        <v>0</v>
      </c>
      <c r="AI137" s="101">
        <f>SUMIFS(tabela_registros[VALOR],tabela_registros[MÊS],$AE$1,tabela_registros[DIA],investirrendavariávelconsolidadoago[[#Headers],[31]],tabela_registros[REGISTRO],DADOS!$N$5,tabela_registros[TIPO],DADOS!$AB$4,tabela_registros[CATEGORIA],investirrendavariávelconsolidadoago[[#This Row],[ATUAL]])</f>
        <v>0</v>
      </c>
      <c r="AJ137" s="104">
        <f>SUM(investirrendavariávelconsolidadoago[[#This Row],[1]:[31]])</f>
        <v>0</v>
      </c>
      <c r="AK137" s="25"/>
    </row>
    <row r="138" spans="2:37" ht="19.5" customHeight="1" thickTop="1" thickBot="1" x14ac:dyDescent="0.3">
      <c r="B138" s="28"/>
      <c r="C138" s="27" t="str">
        <f>DADOS!$AF$9</f>
        <v>📝 EXTERIOR</v>
      </c>
      <c r="D138" s="26" t="str">
        <f>IF(investirrendavariávelconsolidadoago[[#This Row],[TOTAL (R$)]]=0,"",IF(OR(investirrendavariávelconsolidadoago[[#This Row],[TOTAL (R$)]]=LARGE($AJ$132:$AJ$141,1),investirrendavariávelconsolidadoago[[#This Row],[TOTAL (R$)]]=LARGE($AJ$132:$AJ$141,2)),DADOS!$I$10,""))</f>
        <v/>
      </c>
      <c r="E138" s="96">
        <f>SUMIFS(tabela_registros[VALOR],tabela_registros[MÊS],$AE$1,tabela_registros[DIA],investirrendavariávelconsolidadoago[[#Headers],[1]],tabela_registros[REGISTRO],DADOS!$N$5,tabela_registros[TIPO],DADOS!$AB$4,tabela_registros[CATEGORIA],investirrendavariávelconsolidadoago[[#This Row],[ATUAL]])</f>
        <v>0</v>
      </c>
      <c r="F138" s="91">
        <f>SUMIFS(tabela_registros[VALOR],tabela_registros[MÊS],$AE$1,tabela_registros[DIA],investirrendavariávelconsolidadoago[[#Headers],[2]],tabela_registros[REGISTRO],DADOS!$N$5,tabela_registros[TIPO],DADOS!$AB$4,tabela_registros[CATEGORIA],investirrendavariávelconsolidadoago[[#This Row],[ATUAL]])</f>
        <v>0</v>
      </c>
      <c r="G138" s="91">
        <f>SUMIFS(tabela_registros[VALOR],tabela_registros[MÊS],$AE$1,tabela_registros[DIA],investirrendavariávelconsolidadoago[[#Headers],[3]],tabela_registros[REGISTRO],DADOS!$N$5,tabela_registros[TIPO],DADOS!$AB$4,tabela_registros[CATEGORIA],investirrendavariávelconsolidadoago[[#This Row],[ATUAL]])</f>
        <v>0</v>
      </c>
      <c r="H138" s="91">
        <f>SUMIFS(tabela_registros[VALOR],tabela_registros[MÊS],$AE$1,tabela_registros[DIA],investirrendavariávelconsolidadoago[[#Headers],[4]],tabela_registros[REGISTRO],DADOS!$N$5,tabela_registros[TIPO],DADOS!$AB$4,tabela_registros[CATEGORIA],investirrendavariávelconsolidadoago[[#This Row],[ATUAL]])</f>
        <v>0</v>
      </c>
      <c r="I138" s="91">
        <f>SUMIFS(tabela_registros[VALOR],tabela_registros[MÊS],$AE$1,tabela_registros[DIA],investirrendavariávelconsolidadoago[[#Headers],[5]],tabela_registros[REGISTRO],DADOS!$N$5,tabela_registros[TIPO],DADOS!$AB$4,tabela_registros[CATEGORIA],investirrendavariávelconsolidadoago[[#This Row],[ATUAL]])</f>
        <v>0</v>
      </c>
      <c r="J138" s="91">
        <f>SUMIFS(tabela_registros[VALOR],tabela_registros[MÊS],$AE$1,tabela_registros[DIA],investirrendavariávelconsolidadoago[[#Headers],[6]],tabela_registros[REGISTRO],DADOS!$N$5,tabela_registros[TIPO],DADOS!$AB$4,tabela_registros[CATEGORIA],investirrendavariávelconsolidadoago[[#This Row],[ATUAL]])</f>
        <v>0</v>
      </c>
      <c r="K138" s="91">
        <f>SUMIFS(tabela_registros[VALOR],tabela_registros[MÊS],$AE$1,tabela_registros[DIA],investirrendavariávelconsolidadoago[[#Headers],[7]],tabela_registros[REGISTRO],DADOS!$N$5,tabela_registros[TIPO],DADOS!$AB$4,tabela_registros[CATEGORIA],investirrendavariávelconsolidadoago[[#This Row],[ATUAL]])</f>
        <v>0</v>
      </c>
      <c r="L138" s="91">
        <f>SUMIFS(tabela_registros[VALOR],tabela_registros[MÊS],$AE$1,tabela_registros[DIA],investirrendavariávelconsolidadoago[[#Headers],[8]],tabela_registros[REGISTRO],DADOS!$N$5,tabela_registros[TIPO],DADOS!$AB$4,tabela_registros[CATEGORIA],investirrendavariávelconsolidadoago[[#This Row],[ATUAL]])</f>
        <v>0</v>
      </c>
      <c r="M138" s="91">
        <f>SUMIFS(tabela_registros[VALOR],tabela_registros[MÊS],$AE$1,tabela_registros[DIA],investirrendavariávelconsolidadoago[[#Headers],[9]],tabela_registros[REGISTRO],DADOS!$N$5,tabela_registros[TIPO],DADOS!$AB$4,tabela_registros[CATEGORIA],investirrendavariávelconsolidadoago[[#This Row],[ATUAL]])</f>
        <v>0</v>
      </c>
      <c r="N138" s="91">
        <f>SUMIFS(tabela_registros[VALOR],tabela_registros[MÊS],$AE$1,tabela_registros[DIA],investirrendavariávelconsolidadoago[[#Headers],[10]],tabela_registros[REGISTRO],DADOS!$N$5,tabela_registros[TIPO],DADOS!$AB$4,tabela_registros[CATEGORIA],investirrendavariávelconsolidadoago[[#This Row],[ATUAL]])</f>
        <v>0</v>
      </c>
      <c r="O138" s="91">
        <f>SUMIFS(tabela_registros[VALOR],tabela_registros[MÊS],$AE$1,tabela_registros[DIA],investirrendavariávelconsolidadoago[[#Headers],[11]],tabela_registros[REGISTRO],DADOS!$N$5,tabela_registros[TIPO],DADOS!$AB$4,tabela_registros[CATEGORIA],investirrendavariávelconsolidadoago[[#This Row],[ATUAL]])</f>
        <v>0</v>
      </c>
      <c r="P138" s="91">
        <f>SUMIFS(tabela_registros[VALOR],tabela_registros[MÊS],$AE$1,tabela_registros[DIA],investirrendavariávelconsolidadoago[[#Headers],[12]],tabela_registros[REGISTRO],DADOS!$N$5,tabela_registros[TIPO],DADOS!$AB$4,tabela_registros[CATEGORIA],investirrendavariávelconsolidadoago[[#This Row],[ATUAL]])</f>
        <v>0</v>
      </c>
      <c r="Q138" s="91">
        <f>SUMIFS(tabela_registros[VALOR],tabela_registros[MÊS],$AE$1,tabela_registros[DIA],investirrendavariávelconsolidadoago[[#Headers],[13]],tabela_registros[REGISTRO],DADOS!$N$5,tabela_registros[TIPO],DADOS!$AB$4,tabela_registros[CATEGORIA],investirrendavariávelconsolidadoago[[#This Row],[ATUAL]])</f>
        <v>0</v>
      </c>
      <c r="R138" s="91">
        <f>SUMIFS(tabela_registros[VALOR],tabela_registros[MÊS],$AE$1,tabela_registros[DIA],investirrendavariávelconsolidadoago[[#Headers],[14]],tabela_registros[REGISTRO],DADOS!$N$5,tabela_registros[TIPO],DADOS!$AB$4,tabela_registros[CATEGORIA],investirrendavariávelconsolidadoago[[#This Row],[ATUAL]])</f>
        <v>0</v>
      </c>
      <c r="S138" s="91">
        <f>SUMIFS(tabela_registros[VALOR],tabela_registros[MÊS],$AE$1,tabela_registros[DIA],investirrendavariávelconsolidadoago[[#Headers],[15]],tabela_registros[REGISTRO],DADOS!$N$5,tabela_registros[TIPO],DADOS!$AB$4,tabela_registros[CATEGORIA],investirrendavariávelconsolidadoago[[#This Row],[ATUAL]])</f>
        <v>0</v>
      </c>
      <c r="T138" s="91">
        <f>SUMIFS(tabela_registros[VALOR],tabela_registros[MÊS],$AE$1,tabela_registros[DIA],investirrendavariávelconsolidadoago[[#Headers],[16]],tabela_registros[REGISTRO],DADOS!$N$5,tabela_registros[TIPO],DADOS!$AB$4,tabela_registros[CATEGORIA],investirrendavariávelconsolidadoago[[#This Row],[ATUAL]])</f>
        <v>0</v>
      </c>
      <c r="U138" s="91">
        <f>SUMIFS(tabela_registros[VALOR],tabela_registros[MÊS],$AE$1,tabela_registros[DIA],investirrendavariávelconsolidadoago[[#Headers],[17]],tabela_registros[REGISTRO],DADOS!$N$5,tabela_registros[TIPO],DADOS!$AB$4,tabela_registros[CATEGORIA],investirrendavariávelconsolidadoago[[#This Row],[ATUAL]])</f>
        <v>0</v>
      </c>
      <c r="V138" s="91">
        <f>SUMIFS(tabela_registros[VALOR],tabela_registros[MÊS],$AE$1,tabela_registros[DIA],investirrendavariávelconsolidadoago[[#Headers],[18]],tabela_registros[REGISTRO],DADOS!$N$5,tabela_registros[TIPO],DADOS!$AB$4,tabela_registros[CATEGORIA],investirrendavariávelconsolidadoago[[#This Row],[ATUAL]])</f>
        <v>0</v>
      </c>
      <c r="W138" s="91">
        <f>SUMIFS(tabela_registros[VALOR],tabela_registros[MÊS],$AE$1,tabela_registros[DIA],investirrendavariávelconsolidadoago[[#Headers],[19]],tabela_registros[REGISTRO],DADOS!$N$5,tabela_registros[TIPO],DADOS!$AB$4,tabela_registros[CATEGORIA],investirrendavariávelconsolidadoago[[#This Row],[ATUAL]])</f>
        <v>0</v>
      </c>
      <c r="X138" s="91">
        <f>SUMIFS(tabela_registros[VALOR],tabela_registros[MÊS],$AE$1,tabela_registros[DIA],investirrendavariávelconsolidadoago[[#Headers],[20]],tabela_registros[REGISTRO],DADOS!$N$5,tabela_registros[TIPO],DADOS!$AB$4,tabela_registros[CATEGORIA],investirrendavariávelconsolidadoago[[#This Row],[ATUAL]])</f>
        <v>0</v>
      </c>
      <c r="Y138" s="91">
        <f>SUMIFS(tabela_registros[VALOR],tabela_registros[MÊS],$AE$1,tabela_registros[DIA],investirrendavariávelconsolidadoago[[#Headers],[21]],tabela_registros[REGISTRO],DADOS!$N$5,tabela_registros[TIPO],DADOS!$AB$4,tabela_registros[CATEGORIA],investirrendavariávelconsolidadoago[[#This Row],[ATUAL]])</f>
        <v>0</v>
      </c>
      <c r="Z138" s="91">
        <f>SUMIFS(tabela_registros[VALOR],tabela_registros[MÊS],$AE$1,tabela_registros[DIA],investirrendavariávelconsolidadoago[[#Headers],[22]],tabela_registros[REGISTRO],DADOS!$N$5,tabela_registros[TIPO],DADOS!$AB$4,tabela_registros[CATEGORIA],investirrendavariávelconsolidadoago[[#This Row],[ATUAL]])</f>
        <v>0</v>
      </c>
      <c r="AA138" s="91">
        <f>SUMIFS(tabela_registros[VALOR],tabela_registros[MÊS],$AE$1,tabela_registros[DIA],investirrendavariávelconsolidadoago[[#Headers],[23]],tabela_registros[REGISTRO],DADOS!$N$5,tabela_registros[TIPO],DADOS!$AB$4,tabela_registros[CATEGORIA],investirrendavariávelconsolidadoago[[#This Row],[ATUAL]])</f>
        <v>0</v>
      </c>
      <c r="AB138" s="91">
        <f>SUMIFS(tabela_registros[VALOR],tabela_registros[MÊS],$AE$1,tabela_registros[DIA],investirrendavariávelconsolidadoago[[#Headers],[24]],tabela_registros[REGISTRO],DADOS!$N$5,tabela_registros[TIPO],DADOS!$AB$4,tabela_registros[CATEGORIA],investirrendavariávelconsolidadoago[[#This Row],[ATUAL]])</f>
        <v>0</v>
      </c>
      <c r="AC138" s="91">
        <f>SUMIFS(tabela_registros[VALOR],tabela_registros[MÊS],$AE$1,tabela_registros[DIA],investirrendavariávelconsolidadoago[[#Headers],[25]],tabela_registros[REGISTRO],DADOS!$N$5,tabela_registros[TIPO],DADOS!$AB$4,tabela_registros[CATEGORIA],investirrendavariávelconsolidadoago[[#This Row],[ATUAL]])</f>
        <v>0</v>
      </c>
      <c r="AD138" s="91">
        <f>SUMIFS(tabela_registros[VALOR],tabela_registros[MÊS],$AE$1,tabela_registros[DIA],investirrendavariávelconsolidadoago[[#Headers],[26]],tabela_registros[REGISTRO],DADOS!$N$5,tabela_registros[TIPO],DADOS!$AB$4,tabela_registros[CATEGORIA],investirrendavariávelconsolidadoago[[#This Row],[ATUAL]])</f>
        <v>0</v>
      </c>
      <c r="AE138" s="91">
        <f>SUMIFS(tabela_registros[VALOR],tabela_registros[MÊS],$AE$1,tabela_registros[DIA],investirrendavariávelconsolidadoago[[#Headers],[27]],tabela_registros[REGISTRO],DADOS!$N$5,tabela_registros[TIPO],DADOS!$AB$4,tabela_registros[CATEGORIA],investirrendavariávelconsolidadoago[[#This Row],[ATUAL]])</f>
        <v>0</v>
      </c>
      <c r="AF138" s="91">
        <f>SUMIFS(tabela_registros[VALOR],tabela_registros[MÊS],$AE$1,tabela_registros[DIA],investirrendavariávelconsolidadoago[[#Headers],[28]],tabela_registros[REGISTRO],DADOS!$N$5,tabela_registros[TIPO],DADOS!$AB$4,tabela_registros[CATEGORIA],investirrendavariávelconsolidadoago[[#This Row],[ATUAL]])</f>
        <v>0</v>
      </c>
      <c r="AG138" s="91">
        <f>SUMIFS(tabela_registros[VALOR],tabela_registros[MÊS],$AE$1,tabela_registros[DIA],investirrendavariávelconsolidadoago[[#Headers],[29]],tabela_registros[REGISTRO],DADOS!$N$5,tabela_registros[TIPO],DADOS!$AB$4,tabela_registros[CATEGORIA],investirrendavariávelconsolidadoago[[#This Row],[ATUAL]])</f>
        <v>0</v>
      </c>
      <c r="AH138" s="91">
        <f>SUMIFS(tabela_registros[VALOR],tabela_registros[MÊS],$AE$1,tabela_registros[DIA],investirrendavariávelconsolidadoago[[#Headers],[30]],tabela_registros[REGISTRO],DADOS!$N$5,tabela_registros[TIPO],DADOS!$AB$4,tabela_registros[CATEGORIA],investirrendavariávelconsolidadoago[[#This Row],[ATUAL]])</f>
        <v>0</v>
      </c>
      <c r="AI138" s="101">
        <f>SUMIFS(tabela_registros[VALOR],tabela_registros[MÊS],$AE$1,tabela_registros[DIA],investirrendavariávelconsolidadoago[[#Headers],[31]],tabela_registros[REGISTRO],DADOS!$N$5,tabela_registros[TIPO],DADOS!$AB$4,tabela_registros[CATEGORIA],investirrendavariávelconsolidadoago[[#This Row],[ATUAL]])</f>
        <v>0</v>
      </c>
      <c r="AJ138" s="104">
        <f>SUM(investirrendavariávelconsolidadoago[[#This Row],[1]:[31]])</f>
        <v>0</v>
      </c>
      <c r="AK138" s="25"/>
    </row>
    <row r="139" spans="2:37" ht="19.5" customHeight="1" thickTop="1" thickBot="1" x14ac:dyDescent="0.3">
      <c r="B139" s="28"/>
      <c r="C139" s="27" t="str">
        <f>DADOS!$AF$10</f>
        <v>📝 FII</v>
      </c>
      <c r="D139" s="26" t="str">
        <f>IF(investirrendavariávelconsolidadoago[[#This Row],[TOTAL (R$)]]=0,"",IF(OR(investirrendavariávelconsolidadoago[[#This Row],[TOTAL (R$)]]=LARGE($AJ$132:$AJ$141,1),investirrendavariávelconsolidadoago[[#This Row],[TOTAL (R$)]]=LARGE($AJ$132:$AJ$141,2)),DADOS!$I$10,""))</f>
        <v/>
      </c>
      <c r="E139" s="96">
        <f>SUMIFS(tabela_registros[VALOR],tabela_registros[MÊS],$AE$1,tabela_registros[DIA],investirrendavariávelconsolidadoago[[#Headers],[1]],tabela_registros[REGISTRO],DADOS!$N$5,tabela_registros[TIPO],DADOS!$AB$4,tabela_registros[CATEGORIA],investirrendavariávelconsolidadoago[[#This Row],[ATUAL]])</f>
        <v>0</v>
      </c>
      <c r="F139" s="91">
        <f>SUMIFS(tabela_registros[VALOR],tabela_registros[MÊS],$AE$1,tabela_registros[DIA],investirrendavariávelconsolidadoago[[#Headers],[2]],tabela_registros[REGISTRO],DADOS!$N$5,tabela_registros[TIPO],DADOS!$AB$4,tabela_registros[CATEGORIA],investirrendavariávelconsolidadoago[[#This Row],[ATUAL]])</f>
        <v>0</v>
      </c>
      <c r="G139" s="91">
        <f>SUMIFS(tabela_registros[VALOR],tabela_registros[MÊS],$AE$1,tabela_registros[DIA],investirrendavariávelconsolidadoago[[#Headers],[3]],tabela_registros[REGISTRO],DADOS!$N$5,tabela_registros[TIPO],DADOS!$AB$4,tabela_registros[CATEGORIA],investirrendavariávelconsolidadoago[[#This Row],[ATUAL]])</f>
        <v>0</v>
      </c>
      <c r="H139" s="91">
        <f>SUMIFS(tabela_registros[VALOR],tabela_registros[MÊS],$AE$1,tabela_registros[DIA],investirrendavariávelconsolidadoago[[#Headers],[4]],tabela_registros[REGISTRO],DADOS!$N$5,tabela_registros[TIPO],DADOS!$AB$4,tabela_registros[CATEGORIA],investirrendavariávelconsolidadoago[[#This Row],[ATUAL]])</f>
        <v>0</v>
      </c>
      <c r="I139" s="91">
        <f>SUMIFS(tabela_registros[VALOR],tabela_registros[MÊS],$AE$1,tabela_registros[DIA],investirrendavariávelconsolidadoago[[#Headers],[5]],tabela_registros[REGISTRO],DADOS!$N$5,tabela_registros[TIPO],DADOS!$AB$4,tabela_registros[CATEGORIA],investirrendavariávelconsolidadoago[[#This Row],[ATUAL]])</f>
        <v>0</v>
      </c>
      <c r="J139" s="91">
        <f>SUMIFS(tabela_registros[VALOR],tabela_registros[MÊS],$AE$1,tabela_registros[DIA],investirrendavariávelconsolidadoago[[#Headers],[6]],tabela_registros[REGISTRO],DADOS!$N$5,tabela_registros[TIPO],DADOS!$AB$4,tabela_registros[CATEGORIA],investirrendavariávelconsolidadoago[[#This Row],[ATUAL]])</f>
        <v>0</v>
      </c>
      <c r="K139" s="91">
        <f>SUMIFS(tabela_registros[VALOR],tabela_registros[MÊS],$AE$1,tabela_registros[DIA],investirrendavariávelconsolidadoago[[#Headers],[7]],tabela_registros[REGISTRO],DADOS!$N$5,tabela_registros[TIPO],DADOS!$AB$4,tabela_registros[CATEGORIA],investirrendavariávelconsolidadoago[[#This Row],[ATUAL]])</f>
        <v>0</v>
      </c>
      <c r="L139" s="91">
        <f>SUMIFS(tabela_registros[VALOR],tabela_registros[MÊS],$AE$1,tabela_registros[DIA],investirrendavariávelconsolidadoago[[#Headers],[8]],tabela_registros[REGISTRO],DADOS!$N$5,tabela_registros[TIPO],DADOS!$AB$4,tabela_registros[CATEGORIA],investirrendavariávelconsolidadoago[[#This Row],[ATUAL]])</f>
        <v>0</v>
      </c>
      <c r="M139" s="91">
        <f>SUMIFS(tabela_registros[VALOR],tabela_registros[MÊS],$AE$1,tabela_registros[DIA],investirrendavariávelconsolidadoago[[#Headers],[9]],tabela_registros[REGISTRO],DADOS!$N$5,tabela_registros[TIPO],DADOS!$AB$4,tabela_registros[CATEGORIA],investirrendavariávelconsolidadoago[[#This Row],[ATUAL]])</f>
        <v>0</v>
      </c>
      <c r="N139" s="91">
        <f>SUMIFS(tabela_registros[VALOR],tabela_registros[MÊS],$AE$1,tabela_registros[DIA],investirrendavariávelconsolidadoago[[#Headers],[10]],tabela_registros[REGISTRO],DADOS!$N$5,tabela_registros[TIPO],DADOS!$AB$4,tabela_registros[CATEGORIA],investirrendavariávelconsolidadoago[[#This Row],[ATUAL]])</f>
        <v>0</v>
      </c>
      <c r="O139" s="91">
        <f>SUMIFS(tabela_registros[VALOR],tabela_registros[MÊS],$AE$1,tabela_registros[DIA],investirrendavariávelconsolidadoago[[#Headers],[11]],tabela_registros[REGISTRO],DADOS!$N$5,tabela_registros[TIPO],DADOS!$AB$4,tabela_registros[CATEGORIA],investirrendavariávelconsolidadoago[[#This Row],[ATUAL]])</f>
        <v>0</v>
      </c>
      <c r="P139" s="91">
        <f>SUMIFS(tabela_registros[VALOR],tabela_registros[MÊS],$AE$1,tabela_registros[DIA],investirrendavariávelconsolidadoago[[#Headers],[12]],tabela_registros[REGISTRO],DADOS!$N$5,tabela_registros[TIPO],DADOS!$AB$4,tabela_registros[CATEGORIA],investirrendavariávelconsolidadoago[[#This Row],[ATUAL]])</f>
        <v>0</v>
      </c>
      <c r="Q139" s="91">
        <f>SUMIFS(tabela_registros[VALOR],tabela_registros[MÊS],$AE$1,tabela_registros[DIA],investirrendavariávelconsolidadoago[[#Headers],[13]],tabela_registros[REGISTRO],DADOS!$N$5,tabela_registros[TIPO],DADOS!$AB$4,tabela_registros[CATEGORIA],investirrendavariávelconsolidadoago[[#This Row],[ATUAL]])</f>
        <v>0</v>
      </c>
      <c r="R139" s="91">
        <f>SUMIFS(tabela_registros[VALOR],tabela_registros[MÊS],$AE$1,tabela_registros[DIA],investirrendavariávelconsolidadoago[[#Headers],[14]],tabela_registros[REGISTRO],DADOS!$N$5,tabela_registros[TIPO],DADOS!$AB$4,tabela_registros[CATEGORIA],investirrendavariávelconsolidadoago[[#This Row],[ATUAL]])</f>
        <v>0</v>
      </c>
      <c r="S139" s="91">
        <f>SUMIFS(tabela_registros[VALOR],tabela_registros[MÊS],$AE$1,tabela_registros[DIA],investirrendavariávelconsolidadoago[[#Headers],[15]],tabela_registros[REGISTRO],DADOS!$N$5,tabela_registros[TIPO],DADOS!$AB$4,tabela_registros[CATEGORIA],investirrendavariávelconsolidadoago[[#This Row],[ATUAL]])</f>
        <v>0</v>
      </c>
      <c r="T139" s="91">
        <f>SUMIFS(tabela_registros[VALOR],tabela_registros[MÊS],$AE$1,tabela_registros[DIA],investirrendavariávelconsolidadoago[[#Headers],[16]],tabela_registros[REGISTRO],DADOS!$N$5,tabela_registros[TIPO],DADOS!$AB$4,tabela_registros[CATEGORIA],investirrendavariávelconsolidadoago[[#This Row],[ATUAL]])</f>
        <v>0</v>
      </c>
      <c r="U139" s="91">
        <f>SUMIFS(tabela_registros[VALOR],tabela_registros[MÊS],$AE$1,tabela_registros[DIA],investirrendavariávelconsolidadoago[[#Headers],[17]],tabela_registros[REGISTRO],DADOS!$N$5,tabela_registros[TIPO],DADOS!$AB$4,tabela_registros[CATEGORIA],investirrendavariávelconsolidadoago[[#This Row],[ATUAL]])</f>
        <v>0</v>
      </c>
      <c r="V139" s="91">
        <f>SUMIFS(tabela_registros[VALOR],tabela_registros[MÊS],$AE$1,tabela_registros[DIA],investirrendavariávelconsolidadoago[[#Headers],[18]],tabela_registros[REGISTRO],DADOS!$N$5,tabela_registros[TIPO],DADOS!$AB$4,tabela_registros[CATEGORIA],investirrendavariávelconsolidadoago[[#This Row],[ATUAL]])</f>
        <v>0</v>
      </c>
      <c r="W139" s="91">
        <f>SUMIFS(tabela_registros[VALOR],tabela_registros[MÊS],$AE$1,tabela_registros[DIA],investirrendavariávelconsolidadoago[[#Headers],[19]],tabela_registros[REGISTRO],DADOS!$N$5,tabela_registros[TIPO],DADOS!$AB$4,tabela_registros[CATEGORIA],investirrendavariávelconsolidadoago[[#This Row],[ATUAL]])</f>
        <v>0</v>
      </c>
      <c r="X139" s="91">
        <f>SUMIFS(tabela_registros[VALOR],tabela_registros[MÊS],$AE$1,tabela_registros[DIA],investirrendavariávelconsolidadoago[[#Headers],[20]],tabela_registros[REGISTRO],DADOS!$N$5,tabela_registros[TIPO],DADOS!$AB$4,tabela_registros[CATEGORIA],investirrendavariávelconsolidadoago[[#This Row],[ATUAL]])</f>
        <v>0</v>
      </c>
      <c r="Y139" s="91">
        <f>SUMIFS(tabela_registros[VALOR],tabela_registros[MÊS],$AE$1,tabela_registros[DIA],investirrendavariávelconsolidadoago[[#Headers],[21]],tabela_registros[REGISTRO],DADOS!$N$5,tabela_registros[TIPO],DADOS!$AB$4,tabela_registros[CATEGORIA],investirrendavariávelconsolidadoago[[#This Row],[ATUAL]])</f>
        <v>0</v>
      </c>
      <c r="Z139" s="91">
        <f>SUMIFS(tabela_registros[VALOR],tabela_registros[MÊS],$AE$1,tabela_registros[DIA],investirrendavariávelconsolidadoago[[#Headers],[22]],tabela_registros[REGISTRO],DADOS!$N$5,tabela_registros[TIPO],DADOS!$AB$4,tabela_registros[CATEGORIA],investirrendavariávelconsolidadoago[[#This Row],[ATUAL]])</f>
        <v>0</v>
      </c>
      <c r="AA139" s="91">
        <f>SUMIFS(tabela_registros[VALOR],tabela_registros[MÊS],$AE$1,tabela_registros[DIA],investirrendavariávelconsolidadoago[[#Headers],[23]],tabela_registros[REGISTRO],DADOS!$N$5,tabela_registros[TIPO],DADOS!$AB$4,tabela_registros[CATEGORIA],investirrendavariávelconsolidadoago[[#This Row],[ATUAL]])</f>
        <v>0</v>
      </c>
      <c r="AB139" s="91">
        <f>SUMIFS(tabela_registros[VALOR],tabela_registros[MÊS],$AE$1,tabela_registros[DIA],investirrendavariávelconsolidadoago[[#Headers],[24]],tabela_registros[REGISTRO],DADOS!$N$5,tabela_registros[TIPO],DADOS!$AB$4,tabela_registros[CATEGORIA],investirrendavariávelconsolidadoago[[#This Row],[ATUAL]])</f>
        <v>0</v>
      </c>
      <c r="AC139" s="91">
        <f>SUMIFS(tabela_registros[VALOR],tabela_registros[MÊS],$AE$1,tabela_registros[DIA],investirrendavariávelconsolidadoago[[#Headers],[25]],tabela_registros[REGISTRO],DADOS!$N$5,tabela_registros[TIPO],DADOS!$AB$4,tabela_registros[CATEGORIA],investirrendavariávelconsolidadoago[[#This Row],[ATUAL]])</f>
        <v>0</v>
      </c>
      <c r="AD139" s="91">
        <f>SUMIFS(tabela_registros[VALOR],tabela_registros[MÊS],$AE$1,tabela_registros[DIA],investirrendavariávelconsolidadoago[[#Headers],[26]],tabela_registros[REGISTRO],DADOS!$N$5,tabela_registros[TIPO],DADOS!$AB$4,tabela_registros[CATEGORIA],investirrendavariávelconsolidadoago[[#This Row],[ATUAL]])</f>
        <v>0</v>
      </c>
      <c r="AE139" s="91">
        <f>SUMIFS(tabela_registros[VALOR],tabela_registros[MÊS],$AE$1,tabela_registros[DIA],investirrendavariávelconsolidadoago[[#Headers],[27]],tabela_registros[REGISTRO],DADOS!$N$5,tabela_registros[TIPO],DADOS!$AB$4,tabela_registros[CATEGORIA],investirrendavariávelconsolidadoago[[#This Row],[ATUAL]])</f>
        <v>0</v>
      </c>
      <c r="AF139" s="91">
        <f>SUMIFS(tabela_registros[VALOR],tabela_registros[MÊS],$AE$1,tabela_registros[DIA],investirrendavariávelconsolidadoago[[#Headers],[28]],tabela_registros[REGISTRO],DADOS!$N$5,tabela_registros[TIPO],DADOS!$AB$4,tabela_registros[CATEGORIA],investirrendavariávelconsolidadoago[[#This Row],[ATUAL]])</f>
        <v>0</v>
      </c>
      <c r="AG139" s="91">
        <f>SUMIFS(tabela_registros[VALOR],tabela_registros[MÊS],$AE$1,tabela_registros[DIA],investirrendavariávelconsolidadoago[[#Headers],[29]],tabela_registros[REGISTRO],DADOS!$N$5,tabela_registros[TIPO],DADOS!$AB$4,tabela_registros[CATEGORIA],investirrendavariávelconsolidadoago[[#This Row],[ATUAL]])</f>
        <v>0</v>
      </c>
      <c r="AH139" s="91">
        <f>SUMIFS(tabela_registros[VALOR],tabela_registros[MÊS],$AE$1,tabela_registros[DIA],investirrendavariávelconsolidadoago[[#Headers],[30]],tabela_registros[REGISTRO],DADOS!$N$5,tabela_registros[TIPO],DADOS!$AB$4,tabela_registros[CATEGORIA],investirrendavariávelconsolidadoago[[#This Row],[ATUAL]])</f>
        <v>0</v>
      </c>
      <c r="AI139" s="101">
        <f>SUMIFS(tabela_registros[VALOR],tabela_registros[MÊS],$AE$1,tabela_registros[DIA],investirrendavariávelconsolidadoago[[#Headers],[31]],tabela_registros[REGISTRO],DADOS!$N$5,tabela_registros[TIPO],DADOS!$AB$4,tabela_registros[CATEGORIA],investirrendavariávelconsolidadoago[[#This Row],[ATUAL]])</f>
        <v>0</v>
      </c>
      <c r="AJ139" s="104">
        <f>SUM(investirrendavariávelconsolidadoago[[#This Row],[1]:[31]])</f>
        <v>0</v>
      </c>
      <c r="AK139" s="25"/>
    </row>
    <row r="140" spans="2:37" ht="19.5" customHeight="1" thickTop="1" thickBot="1" x14ac:dyDescent="0.3">
      <c r="B140" s="28"/>
      <c r="C140" s="27" t="str">
        <f>DADOS!$AF$11</f>
        <v>📝 MOEDA</v>
      </c>
      <c r="D140" s="26" t="str">
        <f>IF(investirrendavariávelconsolidadoago[[#This Row],[TOTAL (R$)]]=0,"",IF(OR(investirrendavariávelconsolidadoago[[#This Row],[TOTAL (R$)]]=LARGE($AJ$132:$AJ$141,1),investirrendavariávelconsolidadoago[[#This Row],[TOTAL (R$)]]=LARGE($AJ$132:$AJ$141,2)),DADOS!$I$10,""))</f>
        <v/>
      </c>
      <c r="E140" s="96">
        <f>SUMIFS(tabela_registros[VALOR],tabela_registros[MÊS],$AE$1,tabela_registros[DIA],investirrendavariávelconsolidadoago[[#Headers],[1]],tabela_registros[REGISTRO],DADOS!$N$5,tabela_registros[TIPO],DADOS!$AB$4,tabela_registros[CATEGORIA],investirrendavariávelconsolidadoago[[#This Row],[ATUAL]])</f>
        <v>0</v>
      </c>
      <c r="F140" s="91">
        <f>SUMIFS(tabela_registros[VALOR],tabela_registros[MÊS],$AE$1,tabela_registros[DIA],investirrendavariávelconsolidadoago[[#Headers],[2]],tabela_registros[REGISTRO],DADOS!$N$5,tabela_registros[TIPO],DADOS!$AB$4,tabela_registros[CATEGORIA],investirrendavariávelconsolidadoago[[#This Row],[ATUAL]])</f>
        <v>0</v>
      </c>
      <c r="G140" s="91">
        <f>SUMIFS(tabela_registros[VALOR],tabela_registros[MÊS],$AE$1,tabela_registros[DIA],investirrendavariávelconsolidadoago[[#Headers],[3]],tabela_registros[REGISTRO],DADOS!$N$5,tabela_registros[TIPO],DADOS!$AB$4,tabela_registros[CATEGORIA],investirrendavariávelconsolidadoago[[#This Row],[ATUAL]])</f>
        <v>0</v>
      </c>
      <c r="H140" s="91">
        <f>SUMIFS(tabela_registros[VALOR],tabela_registros[MÊS],$AE$1,tabela_registros[DIA],investirrendavariávelconsolidadoago[[#Headers],[4]],tabela_registros[REGISTRO],DADOS!$N$5,tabela_registros[TIPO],DADOS!$AB$4,tabela_registros[CATEGORIA],investirrendavariávelconsolidadoago[[#This Row],[ATUAL]])</f>
        <v>0</v>
      </c>
      <c r="I140" s="91">
        <f>SUMIFS(tabela_registros[VALOR],tabela_registros[MÊS],$AE$1,tabela_registros[DIA],investirrendavariávelconsolidadoago[[#Headers],[5]],tabela_registros[REGISTRO],DADOS!$N$5,tabela_registros[TIPO],DADOS!$AB$4,tabela_registros[CATEGORIA],investirrendavariávelconsolidadoago[[#This Row],[ATUAL]])</f>
        <v>0</v>
      </c>
      <c r="J140" s="91">
        <f>SUMIFS(tabela_registros[VALOR],tabela_registros[MÊS],$AE$1,tabela_registros[DIA],investirrendavariávelconsolidadoago[[#Headers],[6]],tabela_registros[REGISTRO],DADOS!$N$5,tabela_registros[TIPO],DADOS!$AB$4,tabela_registros[CATEGORIA],investirrendavariávelconsolidadoago[[#This Row],[ATUAL]])</f>
        <v>0</v>
      </c>
      <c r="K140" s="91">
        <f>SUMIFS(tabela_registros[VALOR],tabela_registros[MÊS],$AE$1,tabela_registros[DIA],investirrendavariávelconsolidadoago[[#Headers],[7]],tabela_registros[REGISTRO],DADOS!$N$5,tabela_registros[TIPO],DADOS!$AB$4,tabela_registros[CATEGORIA],investirrendavariávelconsolidadoago[[#This Row],[ATUAL]])</f>
        <v>0</v>
      </c>
      <c r="L140" s="91">
        <f>SUMIFS(tabela_registros[VALOR],tabela_registros[MÊS],$AE$1,tabela_registros[DIA],investirrendavariávelconsolidadoago[[#Headers],[8]],tabela_registros[REGISTRO],DADOS!$N$5,tabela_registros[TIPO],DADOS!$AB$4,tabela_registros[CATEGORIA],investirrendavariávelconsolidadoago[[#This Row],[ATUAL]])</f>
        <v>0</v>
      </c>
      <c r="M140" s="91">
        <f>SUMIFS(tabela_registros[VALOR],tabela_registros[MÊS],$AE$1,tabela_registros[DIA],investirrendavariávelconsolidadoago[[#Headers],[9]],tabela_registros[REGISTRO],DADOS!$N$5,tabela_registros[TIPO],DADOS!$AB$4,tabela_registros[CATEGORIA],investirrendavariávelconsolidadoago[[#This Row],[ATUAL]])</f>
        <v>0</v>
      </c>
      <c r="N140" s="91">
        <f>SUMIFS(tabela_registros[VALOR],tabela_registros[MÊS],$AE$1,tabela_registros[DIA],investirrendavariávelconsolidadoago[[#Headers],[10]],tabela_registros[REGISTRO],DADOS!$N$5,tabela_registros[TIPO],DADOS!$AB$4,tabela_registros[CATEGORIA],investirrendavariávelconsolidadoago[[#This Row],[ATUAL]])</f>
        <v>0</v>
      </c>
      <c r="O140" s="91">
        <f>SUMIFS(tabela_registros[VALOR],tabela_registros[MÊS],$AE$1,tabela_registros[DIA],investirrendavariávelconsolidadoago[[#Headers],[11]],tabela_registros[REGISTRO],DADOS!$N$5,tabela_registros[TIPO],DADOS!$AB$4,tabela_registros[CATEGORIA],investirrendavariávelconsolidadoago[[#This Row],[ATUAL]])</f>
        <v>0</v>
      </c>
      <c r="P140" s="91">
        <f>SUMIFS(tabela_registros[VALOR],tabela_registros[MÊS],$AE$1,tabela_registros[DIA],investirrendavariávelconsolidadoago[[#Headers],[12]],tabela_registros[REGISTRO],DADOS!$N$5,tabela_registros[TIPO],DADOS!$AB$4,tabela_registros[CATEGORIA],investirrendavariávelconsolidadoago[[#This Row],[ATUAL]])</f>
        <v>0</v>
      </c>
      <c r="Q140" s="91">
        <f>SUMIFS(tabela_registros[VALOR],tabela_registros[MÊS],$AE$1,tabela_registros[DIA],investirrendavariávelconsolidadoago[[#Headers],[13]],tabela_registros[REGISTRO],DADOS!$N$5,tabela_registros[TIPO],DADOS!$AB$4,tabela_registros[CATEGORIA],investirrendavariávelconsolidadoago[[#This Row],[ATUAL]])</f>
        <v>0</v>
      </c>
      <c r="R140" s="91">
        <f>SUMIFS(tabela_registros[VALOR],tabela_registros[MÊS],$AE$1,tabela_registros[DIA],investirrendavariávelconsolidadoago[[#Headers],[14]],tabela_registros[REGISTRO],DADOS!$N$5,tabela_registros[TIPO],DADOS!$AB$4,tabela_registros[CATEGORIA],investirrendavariávelconsolidadoago[[#This Row],[ATUAL]])</f>
        <v>0</v>
      </c>
      <c r="S140" s="91">
        <f>SUMIFS(tabela_registros[VALOR],tabela_registros[MÊS],$AE$1,tabela_registros[DIA],investirrendavariávelconsolidadoago[[#Headers],[15]],tabela_registros[REGISTRO],DADOS!$N$5,tabela_registros[TIPO],DADOS!$AB$4,tabela_registros[CATEGORIA],investirrendavariávelconsolidadoago[[#This Row],[ATUAL]])</f>
        <v>0</v>
      </c>
      <c r="T140" s="91">
        <f>SUMIFS(tabela_registros[VALOR],tabela_registros[MÊS],$AE$1,tabela_registros[DIA],investirrendavariávelconsolidadoago[[#Headers],[16]],tabela_registros[REGISTRO],DADOS!$N$5,tabela_registros[TIPO],DADOS!$AB$4,tabela_registros[CATEGORIA],investirrendavariávelconsolidadoago[[#This Row],[ATUAL]])</f>
        <v>0</v>
      </c>
      <c r="U140" s="91">
        <f>SUMIFS(tabela_registros[VALOR],tabela_registros[MÊS],$AE$1,tabela_registros[DIA],investirrendavariávelconsolidadoago[[#Headers],[17]],tabela_registros[REGISTRO],DADOS!$N$5,tabela_registros[TIPO],DADOS!$AB$4,tabela_registros[CATEGORIA],investirrendavariávelconsolidadoago[[#This Row],[ATUAL]])</f>
        <v>0</v>
      </c>
      <c r="V140" s="91">
        <f>SUMIFS(tabela_registros[VALOR],tabela_registros[MÊS],$AE$1,tabela_registros[DIA],investirrendavariávelconsolidadoago[[#Headers],[18]],tabela_registros[REGISTRO],DADOS!$N$5,tabela_registros[TIPO],DADOS!$AB$4,tabela_registros[CATEGORIA],investirrendavariávelconsolidadoago[[#This Row],[ATUAL]])</f>
        <v>0</v>
      </c>
      <c r="W140" s="91">
        <f>SUMIFS(tabela_registros[VALOR],tabela_registros[MÊS],$AE$1,tabela_registros[DIA],investirrendavariávelconsolidadoago[[#Headers],[19]],tabela_registros[REGISTRO],DADOS!$N$5,tabela_registros[TIPO],DADOS!$AB$4,tabela_registros[CATEGORIA],investirrendavariávelconsolidadoago[[#This Row],[ATUAL]])</f>
        <v>0</v>
      </c>
      <c r="X140" s="91">
        <f>SUMIFS(tabela_registros[VALOR],tabela_registros[MÊS],$AE$1,tabela_registros[DIA],investirrendavariávelconsolidadoago[[#Headers],[20]],tabela_registros[REGISTRO],DADOS!$N$5,tabela_registros[TIPO],DADOS!$AB$4,tabela_registros[CATEGORIA],investirrendavariávelconsolidadoago[[#This Row],[ATUAL]])</f>
        <v>0</v>
      </c>
      <c r="Y140" s="91">
        <f>SUMIFS(tabela_registros[VALOR],tabela_registros[MÊS],$AE$1,tabela_registros[DIA],investirrendavariávelconsolidadoago[[#Headers],[21]],tabela_registros[REGISTRO],DADOS!$N$5,tabela_registros[TIPO],DADOS!$AB$4,tabela_registros[CATEGORIA],investirrendavariávelconsolidadoago[[#This Row],[ATUAL]])</f>
        <v>0</v>
      </c>
      <c r="Z140" s="91">
        <f>SUMIFS(tabela_registros[VALOR],tabela_registros[MÊS],$AE$1,tabela_registros[DIA],investirrendavariávelconsolidadoago[[#Headers],[22]],tabela_registros[REGISTRO],DADOS!$N$5,tabela_registros[TIPO],DADOS!$AB$4,tabela_registros[CATEGORIA],investirrendavariávelconsolidadoago[[#This Row],[ATUAL]])</f>
        <v>0</v>
      </c>
      <c r="AA140" s="91">
        <f>SUMIFS(tabela_registros[VALOR],tabela_registros[MÊS],$AE$1,tabela_registros[DIA],investirrendavariávelconsolidadoago[[#Headers],[23]],tabela_registros[REGISTRO],DADOS!$N$5,tabela_registros[TIPO],DADOS!$AB$4,tabela_registros[CATEGORIA],investirrendavariávelconsolidadoago[[#This Row],[ATUAL]])</f>
        <v>0</v>
      </c>
      <c r="AB140" s="91">
        <f>SUMIFS(tabela_registros[VALOR],tabela_registros[MÊS],$AE$1,tabela_registros[DIA],investirrendavariávelconsolidadoago[[#Headers],[24]],tabela_registros[REGISTRO],DADOS!$N$5,tabela_registros[TIPO],DADOS!$AB$4,tabela_registros[CATEGORIA],investirrendavariávelconsolidadoago[[#This Row],[ATUAL]])</f>
        <v>0</v>
      </c>
      <c r="AC140" s="91">
        <f>SUMIFS(tabela_registros[VALOR],tabela_registros[MÊS],$AE$1,tabela_registros[DIA],investirrendavariávelconsolidadoago[[#Headers],[25]],tabela_registros[REGISTRO],DADOS!$N$5,tabela_registros[TIPO],DADOS!$AB$4,tabela_registros[CATEGORIA],investirrendavariávelconsolidadoago[[#This Row],[ATUAL]])</f>
        <v>0</v>
      </c>
      <c r="AD140" s="91">
        <f>SUMIFS(tabela_registros[VALOR],tabela_registros[MÊS],$AE$1,tabela_registros[DIA],investirrendavariávelconsolidadoago[[#Headers],[26]],tabela_registros[REGISTRO],DADOS!$N$5,tabela_registros[TIPO],DADOS!$AB$4,tabela_registros[CATEGORIA],investirrendavariávelconsolidadoago[[#This Row],[ATUAL]])</f>
        <v>0</v>
      </c>
      <c r="AE140" s="91">
        <f>SUMIFS(tabela_registros[VALOR],tabela_registros[MÊS],$AE$1,tabela_registros[DIA],investirrendavariávelconsolidadoago[[#Headers],[27]],tabela_registros[REGISTRO],DADOS!$N$5,tabela_registros[TIPO],DADOS!$AB$4,tabela_registros[CATEGORIA],investirrendavariávelconsolidadoago[[#This Row],[ATUAL]])</f>
        <v>0</v>
      </c>
      <c r="AF140" s="91">
        <f>SUMIFS(tabela_registros[VALOR],tabela_registros[MÊS],$AE$1,tabela_registros[DIA],investirrendavariávelconsolidadoago[[#Headers],[28]],tabela_registros[REGISTRO],DADOS!$N$5,tabela_registros[TIPO],DADOS!$AB$4,tabela_registros[CATEGORIA],investirrendavariávelconsolidadoago[[#This Row],[ATUAL]])</f>
        <v>0</v>
      </c>
      <c r="AG140" s="91">
        <f>SUMIFS(tabela_registros[VALOR],tabela_registros[MÊS],$AE$1,tabela_registros[DIA],investirrendavariávelconsolidadoago[[#Headers],[29]],tabela_registros[REGISTRO],DADOS!$N$5,tabela_registros[TIPO],DADOS!$AB$4,tabela_registros[CATEGORIA],investirrendavariávelconsolidadoago[[#This Row],[ATUAL]])</f>
        <v>0</v>
      </c>
      <c r="AH140" s="91">
        <f>SUMIFS(tabela_registros[VALOR],tabela_registros[MÊS],$AE$1,tabela_registros[DIA],investirrendavariávelconsolidadoago[[#Headers],[30]],tabela_registros[REGISTRO],DADOS!$N$5,tabela_registros[TIPO],DADOS!$AB$4,tabela_registros[CATEGORIA],investirrendavariávelconsolidadoago[[#This Row],[ATUAL]])</f>
        <v>0</v>
      </c>
      <c r="AI140" s="101">
        <f>SUMIFS(tabela_registros[VALOR],tabela_registros[MÊS],$AE$1,tabela_registros[DIA],investirrendavariávelconsolidadoago[[#Headers],[31]],tabela_registros[REGISTRO],DADOS!$N$5,tabela_registros[TIPO],DADOS!$AB$4,tabela_registros[CATEGORIA],investirrendavariávelconsolidadoago[[#This Row],[ATUAL]])</f>
        <v>0</v>
      </c>
      <c r="AJ140" s="104">
        <f>SUM(investirrendavariávelconsolidadoago[[#This Row],[1]:[31]])</f>
        <v>0</v>
      </c>
      <c r="AK140" s="25"/>
    </row>
    <row r="141" spans="2:37" ht="19.5" customHeight="1" thickTop="1" thickBot="1" x14ac:dyDescent="0.3">
      <c r="B141" s="28"/>
      <c r="C141" s="27" t="str">
        <f>DADOS!$AF$12</f>
        <v>📎 OUTROS</v>
      </c>
      <c r="D141" s="26" t="str">
        <f>IF(investirrendavariávelconsolidadoago[[#This Row],[TOTAL (R$)]]=0,"",IF(OR(investirrendavariávelconsolidadoago[[#This Row],[TOTAL (R$)]]=LARGE($AJ$132:$AJ$141,1),investirrendavariávelconsolidadoago[[#This Row],[TOTAL (R$)]]=LARGE($AJ$132:$AJ$141,2)),DADOS!$I$10,""))</f>
        <v/>
      </c>
      <c r="E141" s="96">
        <f>SUMIFS(tabela_registros[VALOR],tabela_registros[MÊS],$AE$1,tabela_registros[DIA],investirrendavariávelconsolidadoago[[#Headers],[1]],tabela_registros[REGISTRO],DADOS!$N$5,tabela_registros[TIPO],DADOS!$AB$4,tabela_registros[CATEGORIA],investirrendavariávelconsolidadoago[[#This Row],[ATUAL]])</f>
        <v>0</v>
      </c>
      <c r="F141" s="91">
        <f>SUMIFS(tabela_registros[VALOR],tabela_registros[MÊS],$AE$1,tabela_registros[DIA],investirrendavariávelconsolidadoago[[#Headers],[2]],tabela_registros[REGISTRO],DADOS!$N$5,tabela_registros[TIPO],DADOS!$AB$4,tabela_registros[CATEGORIA],investirrendavariávelconsolidadoago[[#This Row],[ATUAL]])</f>
        <v>0</v>
      </c>
      <c r="G141" s="91">
        <f>SUMIFS(tabela_registros[VALOR],tabela_registros[MÊS],$AE$1,tabela_registros[DIA],investirrendavariávelconsolidadoago[[#Headers],[3]],tabela_registros[REGISTRO],DADOS!$N$5,tabela_registros[TIPO],DADOS!$AB$4,tabela_registros[CATEGORIA],investirrendavariávelconsolidadoago[[#This Row],[ATUAL]])</f>
        <v>0</v>
      </c>
      <c r="H141" s="91">
        <f>SUMIFS(tabela_registros[VALOR],tabela_registros[MÊS],$AE$1,tabela_registros[DIA],investirrendavariávelconsolidadoago[[#Headers],[4]],tabela_registros[REGISTRO],DADOS!$N$5,tabela_registros[TIPO],DADOS!$AB$4,tabela_registros[CATEGORIA],investirrendavariávelconsolidadoago[[#This Row],[ATUAL]])</f>
        <v>0</v>
      </c>
      <c r="I141" s="91">
        <f>SUMIFS(tabela_registros[VALOR],tabela_registros[MÊS],$AE$1,tabela_registros[DIA],investirrendavariávelconsolidadoago[[#Headers],[5]],tabela_registros[REGISTRO],DADOS!$N$5,tabela_registros[TIPO],DADOS!$AB$4,tabela_registros[CATEGORIA],investirrendavariávelconsolidadoago[[#This Row],[ATUAL]])</f>
        <v>0</v>
      </c>
      <c r="J141" s="91">
        <f>SUMIFS(tabela_registros[VALOR],tabela_registros[MÊS],$AE$1,tabela_registros[DIA],investirrendavariávelconsolidadoago[[#Headers],[6]],tabela_registros[REGISTRO],DADOS!$N$5,tabela_registros[TIPO],DADOS!$AB$4,tabela_registros[CATEGORIA],investirrendavariávelconsolidadoago[[#This Row],[ATUAL]])</f>
        <v>0</v>
      </c>
      <c r="K141" s="91">
        <f>SUMIFS(tabela_registros[VALOR],tabela_registros[MÊS],$AE$1,tabela_registros[DIA],investirrendavariávelconsolidadoago[[#Headers],[7]],tabela_registros[REGISTRO],DADOS!$N$5,tabela_registros[TIPO],DADOS!$AB$4,tabela_registros[CATEGORIA],investirrendavariávelconsolidadoago[[#This Row],[ATUAL]])</f>
        <v>0</v>
      </c>
      <c r="L141" s="91">
        <f>SUMIFS(tabela_registros[VALOR],tabela_registros[MÊS],$AE$1,tabela_registros[DIA],investirrendavariávelconsolidadoago[[#Headers],[8]],tabela_registros[REGISTRO],DADOS!$N$5,tabela_registros[TIPO],DADOS!$AB$4,tabela_registros[CATEGORIA],investirrendavariávelconsolidadoago[[#This Row],[ATUAL]])</f>
        <v>0</v>
      </c>
      <c r="M141" s="91">
        <f>SUMIFS(tabela_registros[VALOR],tabela_registros[MÊS],$AE$1,tabela_registros[DIA],investirrendavariávelconsolidadoago[[#Headers],[9]],tabela_registros[REGISTRO],DADOS!$N$5,tabela_registros[TIPO],DADOS!$AB$4,tabela_registros[CATEGORIA],investirrendavariávelconsolidadoago[[#This Row],[ATUAL]])</f>
        <v>0</v>
      </c>
      <c r="N141" s="91">
        <f>SUMIFS(tabela_registros[VALOR],tabela_registros[MÊS],$AE$1,tabela_registros[DIA],investirrendavariávelconsolidadoago[[#Headers],[10]],tabela_registros[REGISTRO],DADOS!$N$5,tabela_registros[TIPO],DADOS!$AB$4,tabela_registros[CATEGORIA],investirrendavariávelconsolidadoago[[#This Row],[ATUAL]])</f>
        <v>0</v>
      </c>
      <c r="O141" s="91">
        <f>SUMIFS(tabela_registros[VALOR],tabela_registros[MÊS],$AE$1,tabela_registros[DIA],investirrendavariávelconsolidadoago[[#Headers],[11]],tabela_registros[REGISTRO],DADOS!$N$5,tabela_registros[TIPO],DADOS!$AB$4,tabela_registros[CATEGORIA],investirrendavariávelconsolidadoago[[#This Row],[ATUAL]])</f>
        <v>0</v>
      </c>
      <c r="P141" s="91">
        <f>SUMIFS(tabela_registros[VALOR],tabela_registros[MÊS],$AE$1,tabela_registros[DIA],investirrendavariávelconsolidadoago[[#Headers],[12]],tabela_registros[REGISTRO],DADOS!$N$5,tabela_registros[TIPO],DADOS!$AB$4,tabela_registros[CATEGORIA],investirrendavariávelconsolidadoago[[#This Row],[ATUAL]])</f>
        <v>0</v>
      </c>
      <c r="Q141" s="91">
        <f>SUMIFS(tabela_registros[VALOR],tabela_registros[MÊS],$AE$1,tabela_registros[DIA],investirrendavariávelconsolidadoago[[#Headers],[13]],tabela_registros[REGISTRO],DADOS!$N$5,tabela_registros[TIPO],DADOS!$AB$4,tabela_registros[CATEGORIA],investirrendavariávelconsolidadoago[[#This Row],[ATUAL]])</f>
        <v>0</v>
      </c>
      <c r="R141" s="91">
        <f>SUMIFS(tabela_registros[VALOR],tabela_registros[MÊS],$AE$1,tabela_registros[DIA],investirrendavariávelconsolidadoago[[#Headers],[14]],tabela_registros[REGISTRO],DADOS!$N$5,tabela_registros[TIPO],DADOS!$AB$4,tabela_registros[CATEGORIA],investirrendavariávelconsolidadoago[[#This Row],[ATUAL]])</f>
        <v>0</v>
      </c>
      <c r="S141" s="91">
        <f>SUMIFS(tabela_registros[VALOR],tabela_registros[MÊS],$AE$1,tabela_registros[DIA],investirrendavariávelconsolidadoago[[#Headers],[15]],tabela_registros[REGISTRO],DADOS!$N$5,tabela_registros[TIPO],DADOS!$AB$4,tabela_registros[CATEGORIA],investirrendavariávelconsolidadoago[[#This Row],[ATUAL]])</f>
        <v>0</v>
      </c>
      <c r="T141" s="91">
        <f>SUMIFS(tabela_registros[VALOR],tabela_registros[MÊS],$AE$1,tabela_registros[DIA],investirrendavariávelconsolidadoago[[#Headers],[16]],tabela_registros[REGISTRO],DADOS!$N$5,tabela_registros[TIPO],DADOS!$AB$4,tabela_registros[CATEGORIA],investirrendavariávelconsolidadoago[[#This Row],[ATUAL]])</f>
        <v>0</v>
      </c>
      <c r="U141" s="91">
        <f>SUMIFS(tabela_registros[VALOR],tabela_registros[MÊS],$AE$1,tabela_registros[DIA],investirrendavariávelconsolidadoago[[#Headers],[17]],tabela_registros[REGISTRO],DADOS!$N$5,tabela_registros[TIPO],DADOS!$AB$4,tabela_registros[CATEGORIA],investirrendavariávelconsolidadoago[[#This Row],[ATUAL]])</f>
        <v>0</v>
      </c>
      <c r="V141" s="91">
        <f>SUMIFS(tabela_registros[VALOR],tabela_registros[MÊS],$AE$1,tabela_registros[DIA],investirrendavariávelconsolidadoago[[#Headers],[18]],tabela_registros[REGISTRO],DADOS!$N$5,tabela_registros[TIPO],DADOS!$AB$4,tabela_registros[CATEGORIA],investirrendavariávelconsolidadoago[[#This Row],[ATUAL]])</f>
        <v>0</v>
      </c>
      <c r="W141" s="91">
        <f>SUMIFS(tabela_registros[VALOR],tabela_registros[MÊS],$AE$1,tabela_registros[DIA],investirrendavariávelconsolidadoago[[#Headers],[19]],tabela_registros[REGISTRO],DADOS!$N$5,tabela_registros[TIPO],DADOS!$AB$4,tabela_registros[CATEGORIA],investirrendavariávelconsolidadoago[[#This Row],[ATUAL]])</f>
        <v>0</v>
      </c>
      <c r="X141" s="91">
        <f>SUMIFS(tabela_registros[VALOR],tabela_registros[MÊS],$AE$1,tabela_registros[DIA],investirrendavariávelconsolidadoago[[#Headers],[20]],tabela_registros[REGISTRO],DADOS!$N$5,tabela_registros[TIPO],DADOS!$AB$4,tabela_registros[CATEGORIA],investirrendavariávelconsolidadoago[[#This Row],[ATUAL]])</f>
        <v>0</v>
      </c>
      <c r="Y141" s="91">
        <f>SUMIFS(tabela_registros[VALOR],tabela_registros[MÊS],$AE$1,tabela_registros[DIA],investirrendavariávelconsolidadoago[[#Headers],[21]],tabela_registros[REGISTRO],DADOS!$N$5,tabela_registros[TIPO],DADOS!$AB$4,tabela_registros[CATEGORIA],investirrendavariávelconsolidadoago[[#This Row],[ATUAL]])</f>
        <v>0</v>
      </c>
      <c r="Z141" s="91">
        <f>SUMIFS(tabela_registros[VALOR],tabela_registros[MÊS],$AE$1,tabela_registros[DIA],investirrendavariávelconsolidadoago[[#Headers],[22]],tabela_registros[REGISTRO],DADOS!$N$5,tabela_registros[TIPO],DADOS!$AB$4,tabela_registros[CATEGORIA],investirrendavariávelconsolidadoago[[#This Row],[ATUAL]])</f>
        <v>0</v>
      </c>
      <c r="AA141" s="91">
        <f>SUMIFS(tabela_registros[VALOR],tabela_registros[MÊS],$AE$1,tabela_registros[DIA],investirrendavariávelconsolidadoago[[#Headers],[23]],tabela_registros[REGISTRO],DADOS!$N$5,tabela_registros[TIPO],DADOS!$AB$4,tabela_registros[CATEGORIA],investirrendavariávelconsolidadoago[[#This Row],[ATUAL]])</f>
        <v>0</v>
      </c>
      <c r="AB141" s="91">
        <f>SUMIFS(tabela_registros[VALOR],tabela_registros[MÊS],$AE$1,tabela_registros[DIA],investirrendavariávelconsolidadoago[[#Headers],[24]],tabela_registros[REGISTRO],DADOS!$N$5,tabela_registros[TIPO],DADOS!$AB$4,tabela_registros[CATEGORIA],investirrendavariávelconsolidadoago[[#This Row],[ATUAL]])</f>
        <v>0</v>
      </c>
      <c r="AC141" s="91">
        <f>SUMIFS(tabela_registros[VALOR],tabela_registros[MÊS],$AE$1,tabela_registros[DIA],investirrendavariávelconsolidadoago[[#Headers],[25]],tabela_registros[REGISTRO],DADOS!$N$5,tabela_registros[TIPO],DADOS!$AB$4,tabela_registros[CATEGORIA],investirrendavariávelconsolidadoago[[#This Row],[ATUAL]])</f>
        <v>0</v>
      </c>
      <c r="AD141" s="91">
        <f>SUMIFS(tabela_registros[VALOR],tabela_registros[MÊS],$AE$1,tabela_registros[DIA],investirrendavariávelconsolidadoago[[#Headers],[26]],tabela_registros[REGISTRO],DADOS!$N$5,tabela_registros[TIPO],DADOS!$AB$4,tabela_registros[CATEGORIA],investirrendavariávelconsolidadoago[[#This Row],[ATUAL]])</f>
        <v>0</v>
      </c>
      <c r="AE141" s="91">
        <f>SUMIFS(tabela_registros[VALOR],tabela_registros[MÊS],$AE$1,tabela_registros[DIA],investirrendavariávelconsolidadoago[[#Headers],[27]],tabela_registros[REGISTRO],DADOS!$N$5,tabela_registros[TIPO],DADOS!$AB$4,tabela_registros[CATEGORIA],investirrendavariávelconsolidadoago[[#This Row],[ATUAL]])</f>
        <v>0</v>
      </c>
      <c r="AF141" s="91">
        <f>SUMIFS(tabela_registros[VALOR],tabela_registros[MÊS],$AE$1,tabela_registros[DIA],investirrendavariávelconsolidadoago[[#Headers],[28]],tabela_registros[REGISTRO],DADOS!$N$5,tabela_registros[TIPO],DADOS!$AB$4,tabela_registros[CATEGORIA],investirrendavariávelconsolidadoago[[#This Row],[ATUAL]])</f>
        <v>0</v>
      </c>
      <c r="AG141" s="91">
        <f>SUMIFS(tabela_registros[VALOR],tabela_registros[MÊS],$AE$1,tabela_registros[DIA],investirrendavariávelconsolidadoago[[#Headers],[29]],tabela_registros[REGISTRO],DADOS!$N$5,tabela_registros[TIPO],DADOS!$AB$4,tabela_registros[CATEGORIA],investirrendavariávelconsolidadoago[[#This Row],[ATUAL]])</f>
        <v>0</v>
      </c>
      <c r="AH141" s="91">
        <f>SUMIFS(tabela_registros[VALOR],tabela_registros[MÊS],$AE$1,tabela_registros[DIA],investirrendavariávelconsolidadoago[[#Headers],[30]],tabela_registros[REGISTRO],DADOS!$N$5,tabela_registros[TIPO],DADOS!$AB$4,tabela_registros[CATEGORIA],investirrendavariávelconsolidadoago[[#This Row],[ATUAL]])</f>
        <v>0</v>
      </c>
      <c r="AI141" s="102">
        <f>SUMIFS(tabela_registros[VALOR],tabela_registros[MÊS],$AE$1,tabela_registros[DIA],investirrendavariávelconsolidadoago[[#Headers],[31]],tabela_registros[REGISTRO],DADOS!$N$5,tabela_registros[TIPO],DADOS!$AB$4,tabela_registros[CATEGORIA],investirrendavariávelconsolidadoago[[#This Row],[ATUAL]])</f>
        <v>0</v>
      </c>
      <c r="AJ141" s="97">
        <f>SUM(investirrendavariávelconsolidadoago[[#This Row],[1]:[31]])</f>
        <v>0</v>
      </c>
      <c r="AK141" s="25"/>
    </row>
    <row r="142" spans="2:37" s="16" customFormat="1" ht="21" customHeight="1" thickTop="1" thickBot="1" x14ac:dyDescent="0.35">
      <c r="B142" s="24"/>
      <c r="C142" s="23" t="s">
        <v>19</v>
      </c>
      <c r="D142" s="22"/>
      <c r="E142" s="21">
        <f>SUM(E132:E141)</f>
        <v>0</v>
      </c>
      <c r="F142" s="20">
        <f>SUM(F132:F141)+investirrendavariávelconsolidadoago[[#This Row],[1]]</f>
        <v>0</v>
      </c>
      <c r="G142" s="20">
        <f>SUM(G132:G141)+investirrendavariávelconsolidadoago[[#This Row],[2]]</f>
        <v>0</v>
      </c>
      <c r="H142" s="20">
        <f>SUM(H132:H141)+investirrendavariávelconsolidadoago[[#This Row],[3]]</f>
        <v>0</v>
      </c>
      <c r="I142" s="20">
        <f>SUM(I132:I141)+investirrendavariávelconsolidadoago[[#This Row],[4]]</f>
        <v>0</v>
      </c>
      <c r="J142" s="20">
        <f>SUM(J132:J141)+investirrendavariávelconsolidadoago[[#This Row],[5]]</f>
        <v>0</v>
      </c>
      <c r="K142" s="20">
        <f>SUM(K132:K141)+investirrendavariávelconsolidadoago[[#This Row],[6]]</f>
        <v>0</v>
      </c>
      <c r="L142" s="20">
        <f>SUM(L132:L141)+investirrendavariávelconsolidadoago[[#This Row],[7]]</f>
        <v>0</v>
      </c>
      <c r="M142" s="20">
        <f>SUM(M132:M141)+investirrendavariávelconsolidadoago[[#This Row],[8]]</f>
        <v>0</v>
      </c>
      <c r="N142" s="20">
        <f>SUM(N132:N141)+investirrendavariávelconsolidadoago[[#This Row],[9]]</f>
        <v>0</v>
      </c>
      <c r="O142" s="20">
        <f>SUM(O132:O141)+investirrendavariávelconsolidadoago[[#This Row],[10]]</f>
        <v>0</v>
      </c>
      <c r="P142" s="20">
        <f>SUM(P132:P141)+investirrendavariávelconsolidadoago[[#This Row],[11]]</f>
        <v>0</v>
      </c>
      <c r="Q142" s="20">
        <f>SUM(Q132:Q141)+investirrendavariávelconsolidadoago[[#This Row],[12]]</f>
        <v>0</v>
      </c>
      <c r="R142" s="20">
        <f>SUM(R132:R141)+investirrendavariávelconsolidadoago[[#This Row],[13]]</f>
        <v>0</v>
      </c>
      <c r="S142" s="20">
        <f>SUM(S132:S141)+investirrendavariávelconsolidadoago[[#This Row],[14]]</f>
        <v>0</v>
      </c>
      <c r="T142" s="20">
        <f>SUM(T132:T141)+investirrendavariávelconsolidadoago[[#This Row],[15]]</f>
        <v>0</v>
      </c>
      <c r="U142" s="20">
        <f>SUM(U132:U141)+investirrendavariávelconsolidadoago[[#This Row],[16]]</f>
        <v>0</v>
      </c>
      <c r="V142" s="20">
        <f>SUM(V132:V141)+investirrendavariávelconsolidadoago[[#This Row],[17]]</f>
        <v>0</v>
      </c>
      <c r="W142" s="20">
        <f>SUM(W132:W141)+investirrendavariávelconsolidadoago[[#This Row],[18]]</f>
        <v>0</v>
      </c>
      <c r="X142" s="20">
        <f>SUM(X132:X141)+investirrendavariávelconsolidadoago[[#This Row],[19]]</f>
        <v>0</v>
      </c>
      <c r="Y142" s="20">
        <f>SUM(Y132:Y141)+investirrendavariávelconsolidadoago[[#This Row],[20]]</f>
        <v>0</v>
      </c>
      <c r="Z142" s="20">
        <f>SUM(Z132:Z141)+investirrendavariávelconsolidadoago[[#This Row],[21]]</f>
        <v>0</v>
      </c>
      <c r="AA142" s="20">
        <f>SUM(AA132:AA141)+investirrendavariávelconsolidadoago[[#This Row],[22]]</f>
        <v>0</v>
      </c>
      <c r="AB142" s="20">
        <f>SUM(AB132:AB141)+investirrendavariávelconsolidadoago[[#This Row],[23]]</f>
        <v>0</v>
      </c>
      <c r="AC142" s="20">
        <f>SUM(AC132:AC141)+investirrendavariávelconsolidadoago[[#This Row],[24]]</f>
        <v>0</v>
      </c>
      <c r="AD142" s="20">
        <f>SUM(AD132:AD141)+investirrendavariávelconsolidadoago[[#This Row],[25]]</f>
        <v>0</v>
      </c>
      <c r="AE142" s="20">
        <f>SUM(AE132:AE141)+investirrendavariávelconsolidadoago[[#This Row],[26]]</f>
        <v>0</v>
      </c>
      <c r="AF142" s="20">
        <f>SUM(AF132:AF141)+investirrendavariávelconsolidadoago[[#This Row],[27]]</f>
        <v>0</v>
      </c>
      <c r="AG142" s="20">
        <f>SUM(AG132:AG141)+investirrendavariávelconsolidadoago[[#This Row],[28]]</f>
        <v>0</v>
      </c>
      <c r="AH142" s="20">
        <f>SUM(AH132:AH141)+investirrendavariávelconsolidadoago[[#This Row],[29]]</f>
        <v>0</v>
      </c>
      <c r="AI142" s="19">
        <f>SUM(AI132:AI141)+investirrendavariávelconsolidadoago[[#This Row],[30]]</f>
        <v>0</v>
      </c>
      <c r="AJ142" s="18">
        <f>investirrendavariávelconsolidadoago[[#This Row],[31]]</f>
        <v>0</v>
      </c>
      <c r="AK142" s="17"/>
    </row>
    <row r="143" spans="2:37" ht="6.75" customHeight="1" thickTop="1" thickBot="1" x14ac:dyDescent="0.3">
      <c r="B143" s="15"/>
      <c r="C143" s="14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  <c r="AE143" s="13"/>
      <c r="AF143" s="13"/>
      <c r="AG143" s="13"/>
      <c r="AH143" s="13"/>
      <c r="AI143" s="12"/>
      <c r="AJ143" s="11"/>
      <c r="AK143" s="10"/>
    </row>
    <row r="144" spans="2:37" ht="12.6" thickTop="1" x14ac:dyDescent="0.25">
      <c r="E144" s="37"/>
      <c r="AI144" s="4"/>
    </row>
    <row r="145" spans="2:37" x14ac:dyDescent="0.25">
      <c r="AI145" s="4"/>
    </row>
    <row r="146" spans="2:37" x14ac:dyDescent="0.25">
      <c r="AI146" s="4"/>
    </row>
    <row r="147" spans="2:37" ht="39.75" customHeight="1" x14ac:dyDescent="0.7">
      <c r="C147" s="36"/>
      <c r="E147" s="240"/>
      <c r="F147" s="240"/>
      <c r="G147" s="240"/>
      <c r="H147" s="240"/>
      <c r="I147" s="240"/>
      <c r="J147" s="240"/>
      <c r="K147" s="240"/>
      <c r="L147" s="240"/>
      <c r="M147" s="240"/>
      <c r="N147" s="240"/>
      <c r="O147" s="240"/>
      <c r="P147" s="240"/>
      <c r="Q147" s="240"/>
      <c r="R147" s="240"/>
      <c r="S147" s="240"/>
      <c r="T147" s="240"/>
      <c r="U147" s="240"/>
      <c r="V147" s="240"/>
      <c r="W147" s="240"/>
      <c r="X147" s="240"/>
      <c r="Y147" s="240"/>
      <c r="Z147" s="240"/>
      <c r="AA147" s="240"/>
      <c r="AB147" s="240"/>
      <c r="AC147" s="240"/>
      <c r="AD147" s="240"/>
      <c r="AE147" s="240"/>
      <c r="AF147" s="240"/>
      <c r="AG147" s="240"/>
      <c r="AH147" s="240"/>
      <c r="AI147" s="240"/>
      <c r="AJ147" s="32" t="s">
        <v>19</v>
      </c>
    </row>
    <row r="148" spans="2:37" ht="12.6" thickBot="1" x14ac:dyDescent="0.3">
      <c r="B148" s="35"/>
      <c r="AI148" s="4"/>
      <c r="AJ148" s="34" t="s">
        <v>202</v>
      </c>
    </row>
    <row r="149" spans="2:37" ht="6.75" customHeight="1" thickTop="1" thickBot="1" x14ac:dyDescent="0.3">
      <c r="B149" s="2"/>
      <c r="C149" s="14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F149" s="13"/>
      <c r="AG149" s="13"/>
      <c r="AH149" s="13"/>
      <c r="AI149" s="13"/>
      <c r="AJ149" s="12"/>
      <c r="AK149" s="33"/>
    </row>
    <row r="150" spans="2:37" ht="13.2" hidden="1" thickTop="1" thickBot="1" x14ac:dyDescent="0.3">
      <c r="B150" s="2"/>
      <c r="C150" s="31" t="s">
        <v>199</v>
      </c>
      <c r="D150" s="30" t="s">
        <v>198</v>
      </c>
      <c r="E150" s="30" t="s">
        <v>197</v>
      </c>
      <c r="F150" s="30" t="s">
        <v>196</v>
      </c>
      <c r="G150" s="30" t="s">
        <v>195</v>
      </c>
      <c r="H150" s="30" t="s">
        <v>194</v>
      </c>
      <c r="I150" s="30" t="s">
        <v>193</v>
      </c>
      <c r="J150" s="30" t="s">
        <v>192</v>
      </c>
      <c r="K150" s="30" t="s">
        <v>191</v>
      </c>
      <c r="L150" s="30" t="s">
        <v>190</v>
      </c>
      <c r="M150" s="30" t="s">
        <v>189</v>
      </c>
      <c r="N150" s="30" t="s">
        <v>188</v>
      </c>
      <c r="O150" s="30" t="s">
        <v>187</v>
      </c>
      <c r="P150" s="30" t="s">
        <v>186</v>
      </c>
      <c r="Q150" s="30" t="s">
        <v>185</v>
      </c>
      <c r="R150" s="30" t="s">
        <v>184</v>
      </c>
      <c r="S150" s="30" t="s">
        <v>183</v>
      </c>
      <c r="T150" s="30" t="s">
        <v>182</v>
      </c>
      <c r="U150" s="30" t="s">
        <v>181</v>
      </c>
      <c r="V150" s="30" t="s">
        <v>180</v>
      </c>
      <c r="W150" s="30" t="s">
        <v>179</v>
      </c>
      <c r="X150" s="30" t="s">
        <v>178</v>
      </c>
      <c r="Y150" s="30" t="s">
        <v>177</v>
      </c>
      <c r="Z150" s="30" t="s">
        <v>176</v>
      </c>
      <c r="AA150" s="30" t="s">
        <v>175</v>
      </c>
      <c r="AB150" s="30" t="s">
        <v>174</v>
      </c>
      <c r="AC150" s="30" t="s">
        <v>173</v>
      </c>
      <c r="AD150" s="30" t="s">
        <v>172</v>
      </c>
      <c r="AE150" s="30" t="s">
        <v>171</v>
      </c>
      <c r="AF150" s="30" t="s">
        <v>170</v>
      </c>
      <c r="AG150" s="30" t="s">
        <v>169</v>
      </c>
      <c r="AH150" s="30" t="s">
        <v>168</v>
      </c>
      <c r="AI150" s="30" t="s">
        <v>167</v>
      </c>
      <c r="AJ150" s="29" t="s">
        <v>166</v>
      </c>
      <c r="AK150" s="2"/>
    </row>
    <row r="151" spans="2:37" ht="19.5" customHeight="1" thickTop="1" thickBot="1" x14ac:dyDescent="0.3">
      <c r="B151" s="28"/>
      <c r="C151" s="27" t="str">
        <f>DADOS!$AH$3</f>
        <v>📝 COE</v>
      </c>
      <c r="D151" s="26" t="str">
        <f>IF(investiroutrosconsolidadoago[[#This Row],[TOTAL (R$)]]=0,"",IF(OR(investiroutrosconsolidadoago[[#This Row],[TOTAL (R$)]]=LARGE($AJ$151:$AJ$158,1),investiroutrosconsolidadoago[[#This Row],[TOTAL (R$)]]=LARGE($AJ$151:$AJ$158,2)),DADOS!$I$10,""))</f>
        <v/>
      </c>
      <c r="E151" s="96">
        <f>SUMIFS(tabela_registros[VALOR],tabela_registros[MÊS],$AE$1,tabela_registros[DIA],investiroutrosconsolidadoago[[#Headers],[1]],tabela_registros[REGISTRO],DADOS!$N$5,tabela_registros[TIPO],DADOS!$AB$5,tabela_registros[CATEGORIA],investiroutrosconsolidadoago[[#This Row],[ATUAL]])</f>
        <v>0</v>
      </c>
      <c r="F151" s="91">
        <f>SUMIFS(tabela_registros[VALOR],tabela_registros[MÊS],$AE$1,tabela_registros[DIA],investiroutrosconsolidadoago[[#Headers],[2]],tabela_registros[REGISTRO],DADOS!$N$5,tabela_registros[TIPO],DADOS!$AB$5,tabela_registros[CATEGORIA],investiroutrosconsolidadoago[[#This Row],[ATUAL]])</f>
        <v>0</v>
      </c>
      <c r="G151" s="91">
        <f>SUMIFS(tabela_registros[VALOR],tabela_registros[MÊS],$AE$1,tabela_registros[DIA],investiroutrosconsolidadoago[[#Headers],[3]],tabela_registros[REGISTRO],DADOS!$N$5,tabela_registros[TIPO],DADOS!$AB$5,tabela_registros[CATEGORIA],investiroutrosconsolidadoago[[#This Row],[ATUAL]])</f>
        <v>0</v>
      </c>
      <c r="H151" s="91">
        <f>SUMIFS(tabela_registros[VALOR],tabela_registros[MÊS],$AE$1,tabela_registros[DIA],investiroutrosconsolidadoago[[#Headers],[4]],tabela_registros[REGISTRO],DADOS!$N$5,tabela_registros[TIPO],DADOS!$AB$5,tabela_registros[CATEGORIA],investiroutrosconsolidadoago[[#This Row],[ATUAL]])</f>
        <v>0</v>
      </c>
      <c r="I151" s="91">
        <f>SUMIFS(tabela_registros[VALOR],tabela_registros[MÊS],$AE$1,tabela_registros[DIA],investiroutrosconsolidadoago[[#Headers],[5]],tabela_registros[REGISTRO],DADOS!$N$5,tabela_registros[TIPO],DADOS!$AB$5,tabela_registros[CATEGORIA],investiroutrosconsolidadoago[[#This Row],[ATUAL]])</f>
        <v>0</v>
      </c>
      <c r="J151" s="91">
        <f>SUMIFS(tabela_registros[VALOR],tabela_registros[MÊS],$AE$1,tabela_registros[DIA],investiroutrosconsolidadoago[[#Headers],[6]],tabela_registros[REGISTRO],DADOS!$N$5,tabela_registros[TIPO],DADOS!$AB$5,tabela_registros[CATEGORIA],investiroutrosconsolidadoago[[#This Row],[ATUAL]])</f>
        <v>0</v>
      </c>
      <c r="K151" s="91">
        <f>SUMIFS(tabela_registros[VALOR],tabela_registros[MÊS],$AE$1,tabela_registros[DIA],investiroutrosconsolidadoago[[#Headers],[7]],tabela_registros[REGISTRO],DADOS!$N$5,tabela_registros[TIPO],DADOS!$AB$5,tabela_registros[CATEGORIA],investiroutrosconsolidadoago[[#This Row],[ATUAL]])</f>
        <v>0</v>
      </c>
      <c r="L151" s="91">
        <f>SUMIFS(tabela_registros[VALOR],tabela_registros[MÊS],$AE$1,tabela_registros[DIA],investiroutrosconsolidadoago[[#Headers],[8]],tabela_registros[REGISTRO],DADOS!$N$5,tabela_registros[TIPO],DADOS!$AB$5,tabela_registros[CATEGORIA],investiroutrosconsolidadoago[[#This Row],[ATUAL]])</f>
        <v>0</v>
      </c>
      <c r="M151" s="91">
        <f>SUMIFS(tabela_registros[VALOR],tabela_registros[MÊS],$AE$1,tabela_registros[DIA],investiroutrosconsolidadoago[[#Headers],[9]],tabela_registros[REGISTRO],DADOS!$N$5,tabela_registros[TIPO],DADOS!$AB$5,tabela_registros[CATEGORIA],investiroutrosconsolidadoago[[#This Row],[ATUAL]])</f>
        <v>0</v>
      </c>
      <c r="N151" s="91">
        <f>SUMIFS(tabela_registros[VALOR],tabela_registros[MÊS],$AE$1,tabela_registros[DIA],investiroutrosconsolidadoago[[#Headers],[10]],tabela_registros[REGISTRO],DADOS!$N$5,tabela_registros[TIPO],DADOS!$AB$5,tabela_registros[CATEGORIA],investiroutrosconsolidadoago[[#This Row],[ATUAL]])</f>
        <v>0</v>
      </c>
      <c r="O151" s="91">
        <f>SUMIFS(tabela_registros[VALOR],tabela_registros[MÊS],$AE$1,tabela_registros[DIA],investiroutrosconsolidadoago[[#Headers],[11]],tabela_registros[REGISTRO],DADOS!$N$5,tabela_registros[TIPO],DADOS!$AB$5,tabela_registros[CATEGORIA],investiroutrosconsolidadoago[[#This Row],[ATUAL]])</f>
        <v>0</v>
      </c>
      <c r="P151" s="91">
        <f>SUMIFS(tabela_registros[VALOR],tabela_registros[MÊS],$AE$1,tabela_registros[DIA],investiroutrosconsolidadoago[[#Headers],[12]],tabela_registros[REGISTRO],DADOS!$N$5,tabela_registros[TIPO],DADOS!$AB$5,tabela_registros[CATEGORIA],investiroutrosconsolidadoago[[#This Row],[ATUAL]])</f>
        <v>0</v>
      </c>
      <c r="Q151" s="91">
        <f>SUMIFS(tabela_registros[VALOR],tabela_registros[MÊS],$AE$1,tabela_registros[DIA],investiroutrosconsolidadoago[[#Headers],[13]],tabela_registros[REGISTRO],DADOS!$N$5,tabela_registros[TIPO],DADOS!$AB$5,tabela_registros[CATEGORIA],investiroutrosconsolidadoago[[#This Row],[ATUAL]])</f>
        <v>0</v>
      </c>
      <c r="R151" s="91">
        <f>SUMIFS(tabela_registros[VALOR],tabela_registros[MÊS],$AE$1,tabela_registros[DIA],investiroutrosconsolidadoago[[#Headers],[14]],tabela_registros[REGISTRO],DADOS!$N$5,tabela_registros[TIPO],DADOS!$AB$5,tabela_registros[CATEGORIA],investiroutrosconsolidadoago[[#This Row],[ATUAL]])</f>
        <v>0</v>
      </c>
      <c r="S151" s="91">
        <f>SUMIFS(tabela_registros[VALOR],tabela_registros[MÊS],$AE$1,tabela_registros[DIA],investiroutrosconsolidadoago[[#Headers],[15]],tabela_registros[REGISTRO],DADOS!$N$5,tabela_registros[TIPO],DADOS!$AB$5,tabela_registros[CATEGORIA],investiroutrosconsolidadoago[[#This Row],[ATUAL]])</f>
        <v>0</v>
      </c>
      <c r="T151" s="91">
        <f>SUMIFS(tabela_registros[VALOR],tabela_registros[MÊS],$AE$1,tabela_registros[DIA],investiroutrosconsolidadoago[[#Headers],[16]],tabela_registros[REGISTRO],DADOS!$N$5,tabela_registros[TIPO],DADOS!$AB$5,tabela_registros[CATEGORIA],investiroutrosconsolidadoago[[#This Row],[ATUAL]])</f>
        <v>0</v>
      </c>
      <c r="U151" s="91">
        <f>SUMIFS(tabela_registros[VALOR],tabela_registros[MÊS],$AE$1,tabela_registros[DIA],investiroutrosconsolidadoago[[#Headers],[17]],tabela_registros[REGISTRO],DADOS!$N$5,tabela_registros[TIPO],DADOS!$AB$5,tabela_registros[CATEGORIA],investiroutrosconsolidadoago[[#This Row],[ATUAL]])</f>
        <v>0</v>
      </c>
      <c r="V151" s="91">
        <f>SUMIFS(tabela_registros[VALOR],tabela_registros[MÊS],$AE$1,tabela_registros[DIA],investiroutrosconsolidadoago[[#Headers],[18]],tabela_registros[REGISTRO],DADOS!$N$5,tabela_registros[TIPO],DADOS!$AB$5,tabela_registros[CATEGORIA],investiroutrosconsolidadoago[[#This Row],[ATUAL]])</f>
        <v>0</v>
      </c>
      <c r="W151" s="91">
        <f>SUMIFS(tabela_registros[VALOR],tabela_registros[MÊS],$AE$1,tabela_registros[DIA],investiroutrosconsolidadoago[[#Headers],[19]],tabela_registros[REGISTRO],DADOS!$N$5,tabela_registros[TIPO],DADOS!$AB$5,tabela_registros[CATEGORIA],investiroutrosconsolidadoago[[#This Row],[ATUAL]])</f>
        <v>0</v>
      </c>
      <c r="X151" s="91">
        <f>SUMIFS(tabela_registros[VALOR],tabela_registros[MÊS],$AE$1,tabela_registros[DIA],investiroutrosconsolidadoago[[#Headers],[20]],tabela_registros[REGISTRO],DADOS!$N$5,tabela_registros[TIPO],DADOS!$AB$5,tabela_registros[CATEGORIA],investiroutrosconsolidadoago[[#This Row],[ATUAL]])</f>
        <v>0</v>
      </c>
      <c r="Y151" s="91">
        <f>SUMIFS(tabela_registros[VALOR],tabela_registros[MÊS],$AE$1,tabela_registros[DIA],investiroutrosconsolidadoago[[#Headers],[21]],tabela_registros[REGISTRO],DADOS!$N$5,tabela_registros[TIPO],DADOS!$AB$5,tabela_registros[CATEGORIA],investiroutrosconsolidadoago[[#This Row],[ATUAL]])</f>
        <v>0</v>
      </c>
      <c r="Z151" s="91">
        <f>SUMIFS(tabela_registros[VALOR],tabela_registros[MÊS],$AE$1,tabela_registros[DIA],investiroutrosconsolidadoago[[#Headers],[22]],tabela_registros[REGISTRO],DADOS!$N$5,tabela_registros[TIPO],DADOS!$AB$5,tabela_registros[CATEGORIA],investiroutrosconsolidadoago[[#This Row],[ATUAL]])</f>
        <v>0</v>
      </c>
      <c r="AA151" s="91">
        <f>SUMIFS(tabela_registros[VALOR],tabela_registros[MÊS],$AE$1,tabela_registros[DIA],investiroutrosconsolidadoago[[#Headers],[23]],tabela_registros[REGISTRO],DADOS!$N$5,tabela_registros[TIPO],DADOS!$AB$5,tabela_registros[CATEGORIA],investiroutrosconsolidadoago[[#This Row],[ATUAL]])</f>
        <v>0</v>
      </c>
      <c r="AB151" s="91">
        <f>SUMIFS(tabela_registros[VALOR],tabela_registros[MÊS],$AE$1,tabela_registros[DIA],investiroutrosconsolidadoago[[#Headers],[24]],tabela_registros[REGISTRO],DADOS!$N$5,tabela_registros[TIPO],DADOS!$AB$5,tabela_registros[CATEGORIA],investiroutrosconsolidadoago[[#This Row],[ATUAL]])</f>
        <v>0</v>
      </c>
      <c r="AC151" s="91">
        <f>SUMIFS(tabela_registros[VALOR],tabela_registros[MÊS],$AE$1,tabela_registros[DIA],investiroutrosconsolidadoago[[#Headers],[25]],tabela_registros[REGISTRO],DADOS!$N$5,tabela_registros[TIPO],DADOS!$AB$5,tabela_registros[CATEGORIA],investiroutrosconsolidadoago[[#This Row],[ATUAL]])</f>
        <v>0</v>
      </c>
      <c r="AD151" s="91">
        <f>SUMIFS(tabela_registros[VALOR],tabela_registros[MÊS],$AE$1,tabela_registros[DIA],investiroutrosconsolidadoago[[#Headers],[26]],tabela_registros[REGISTRO],DADOS!$N$5,tabela_registros[TIPO],DADOS!$AB$5,tabela_registros[CATEGORIA],investiroutrosconsolidadoago[[#This Row],[ATUAL]])</f>
        <v>0</v>
      </c>
      <c r="AE151" s="91">
        <f>SUMIFS(tabela_registros[VALOR],tabela_registros[MÊS],$AE$1,tabela_registros[DIA],investiroutrosconsolidadoago[[#Headers],[27]],tabela_registros[REGISTRO],DADOS!$N$5,tabela_registros[TIPO],DADOS!$AB$5,tabela_registros[CATEGORIA],investiroutrosconsolidadoago[[#This Row],[ATUAL]])</f>
        <v>0</v>
      </c>
      <c r="AF151" s="91">
        <f>SUMIFS(tabela_registros[VALOR],tabela_registros[MÊS],$AE$1,tabela_registros[DIA],investiroutrosconsolidadoago[[#Headers],[28]],tabela_registros[REGISTRO],DADOS!$N$5,tabela_registros[TIPO],DADOS!$AB$5,tabela_registros[CATEGORIA],investiroutrosconsolidadoago[[#This Row],[ATUAL]])</f>
        <v>0</v>
      </c>
      <c r="AG151" s="91">
        <f>SUMIFS(tabela_registros[VALOR],tabela_registros[MÊS],$AE$1,tabela_registros[DIA],investiroutrosconsolidadoago[[#Headers],[29]],tabela_registros[REGISTRO],DADOS!$N$5,tabela_registros[TIPO],DADOS!$AB$5,tabela_registros[CATEGORIA],investiroutrosconsolidadoago[[#This Row],[ATUAL]])</f>
        <v>0</v>
      </c>
      <c r="AH151" s="91">
        <f>SUMIFS(tabela_registros[VALOR],tabela_registros[MÊS],$AE$1,tabela_registros[DIA],investiroutrosconsolidadoago[[#Headers],[30]],tabela_registros[REGISTRO],DADOS!$N$5,tabela_registros[TIPO],DADOS!$AB$5,tabela_registros[CATEGORIA],investiroutrosconsolidadoago[[#This Row],[ATUAL]])</f>
        <v>0</v>
      </c>
      <c r="AI151" s="101">
        <f>SUMIFS(tabela_registros[VALOR],tabela_registros[MÊS],$AE$1,tabela_registros[DIA],investiroutrosconsolidadoago[[#Headers],[31]],tabela_registros[REGISTRO],DADOS!$N$5,tabela_registros[TIPO],DADOS!$AB$5,tabela_registros[CATEGORIA],investiroutrosconsolidadoago[[#This Row],[ATUAL]])</f>
        <v>0</v>
      </c>
      <c r="AJ151" s="97">
        <f>SUM(investiroutrosconsolidadoago[[#This Row],[1]:[31]])</f>
        <v>0</v>
      </c>
      <c r="AK151" s="25"/>
    </row>
    <row r="152" spans="2:37" ht="19.5" customHeight="1" thickTop="1" thickBot="1" x14ac:dyDescent="0.3">
      <c r="B152" s="28"/>
      <c r="C152" s="27" t="str">
        <f>DADOS!$AH$4</f>
        <v>📝 FOREX</v>
      </c>
      <c r="D152" s="26" t="str">
        <f>IF(investiroutrosconsolidadoago[[#This Row],[TOTAL (R$)]]=0,"",IF(OR(investiroutrosconsolidadoago[[#This Row],[TOTAL (R$)]]=LARGE($AJ$151:$AJ$158,1),investiroutrosconsolidadoago[[#This Row],[TOTAL (R$)]]=LARGE($AJ$151:$AJ$158,2)),DADOS!$I$10,""))</f>
        <v/>
      </c>
      <c r="E152" s="96">
        <f>SUMIFS(tabela_registros[VALOR],tabela_registros[MÊS],$AE$1,tabela_registros[DIA],investiroutrosconsolidadoago[[#Headers],[1]],tabela_registros[REGISTRO],DADOS!$N$5,tabela_registros[TIPO],DADOS!$AB$5,tabela_registros[CATEGORIA],investiroutrosconsolidadoago[[#This Row],[ATUAL]])</f>
        <v>0</v>
      </c>
      <c r="F152" s="91">
        <f>SUMIFS(tabela_registros[VALOR],tabela_registros[MÊS],$AE$1,tabela_registros[DIA],investiroutrosconsolidadoago[[#Headers],[2]],tabela_registros[REGISTRO],DADOS!$N$5,tabela_registros[TIPO],DADOS!$AB$5,tabela_registros[CATEGORIA],investiroutrosconsolidadoago[[#This Row],[ATUAL]])</f>
        <v>0</v>
      </c>
      <c r="G152" s="91">
        <f>SUMIFS(tabela_registros[VALOR],tabela_registros[MÊS],$AE$1,tabela_registros[DIA],investiroutrosconsolidadoago[[#Headers],[3]],tabela_registros[REGISTRO],DADOS!$N$5,tabela_registros[TIPO],DADOS!$AB$5,tabela_registros[CATEGORIA],investiroutrosconsolidadoago[[#This Row],[ATUAL]])</f>
        <v>0</v>
      </c>
      <c r="H152" s="91">
        <f>SUMIFS(tabela_registros[VALOR],tabela_registros[MÊS],$AE$1,tabela_registros[DIA],investiroutrosconsolidadoago[[#Headers],[4]],tabela_registros[REGISTRO],DADOS!$N$5,tabela_registros[TIPO],DADOS!$AB$5,tabela_registros[CATEGORIA],investiroutrosconsolidadoago[[#This Row],[ATUAL]])</f>
        <v>0</v>
      </c>
      <c r="I152" s="91">
        <f>SUMIFS(tabela_registros[VALOR],tabela_registros[MÊS],$AE$1,tabela_registros[DIA],investiroutrosconsolidadoago[[#Headers],[5]],tabela_registros[REGISTRO],DADOS!$N$5,tabela_registros[TIPO],DADOS!$AB$5,tabela_registros[CATEGORIA],investiroutrosconsolidadoago[[#This Row],[ATUAL]])</f>
        <v>0</v>
      </c>
      <c r="J152" s="91">
        <f>SUMIFS(tabela_registros[VALOR],tabela_registros[MÊS],$AE$1,tabela_registros[DIA],investiroutrosconsolidadoago[[#Headers],[6]],tabela_registros[REGISTRO],DADOS!$N$5,tabela_registros[TIPO],DADOS!$AB$5,tabela_registros[CATEGORIA],investiroutrosconsolidadoago[[#This Row],[ATUAL]])</f>
        <v>0</v>
      </c>
      <c r="K152" s="91">
        <f>SUMIFS(tabela_registros[VALOR],tabela_registros[MÊS],$AE$1,tabela_registros[DIA],investiroutrosconsolidadoago[[#Headers],[7]],tabela_registros[REGISTRO],DADOS!$N$5,tabela_registros[TIPO],DADOS!$AB$5,tabela_registros[CATEGORIA],investiroutrosconsolidadoago[[#This Row],[ATUAL]])</f>
        <v>0</v>
      </c>
      <c r="L152" s="91">
        <f>SUMIFS(tabela_registros[VALOR],tabela_registros[MÊS],$AE$1,tabela_registros[DIA],investiroutrosconsolidadoago[[#Headers],[8]],tabela_registros[REGISTRO],DADOS!$N$5,tabela_registros[TIPO],DADOS!$AB$5,tabela_registros[CATEGORIA],investiroutrosconsolidadoago[[#This Row],[ATUAL]])</f>
        <v>0</v>
      </c>
      <c r="M152" s="91">
        <f>SUMIFS(tabela_registros[VALOR],tabela_registros[MÊS],$AE$1,tabela_registros[DIA],investiroutrosconsolidadoago[[#Headers],[9]],tabela_registros[REGISTRO],DADOS!$N$5,tabela_registros[TIPO],DADOS!$AB$5,tabela_registros[CATEGORIA],investiroutrosconsolidadoago[[#This Row],[ATUAL]])</f>
        <v>0</v>
      </c>
      <c r="N152" s="91">
        <f>SUMIFS(tabela_registros[VALOR],tabela_registros[MÊS],$AE$1,tabela_registros[DIA],investiroutrosconsolidadoago[[#Headers],[10]],tabela_registros[REGISTRO],DADOS!$N$5,tabela_registros[TIPO],DADOS!$AB$5,tabela_registros[CATEGORIA],investiroutrosconsolidadoago[[#This Row],[ATUAL]])</f>
        <v>0</v>
      </c>
      <c r="O152" s="91">
        <f>SUMIFS(tabela_registros[VALOR],tabela_registros[MÊS],$AE$1,tabela_registros[DIA],investiroutrosconsolidadoago[[#Headers],[11]],tabela_registros[REGISTRO],DADOS!$N$5,tabela_registros[TIPO],DADOS!$AB$5,tabela_registros[CATEGORIA],investiroutrosconsolidadoago[[#This Row],[ATUAL]])</f>
        <v>0</v>
      </c>
      <c r="P152" s="91">
        <f>SUMIFS(tabela_registros[VALOR],tabela_registros[MÊS],$AE$1,tabela_registros[DIA],investiroutrosconsolidadoago[[#Headers],[12]],tabela_registros[REGISTRO],DADOS!$N$5,tabela_registros[TIPO],DADOS!$AB$5,tabela_registros[CATEGORIA],investiroutrosconsolidadoago[[#This Row],[ATUAL]])</f>
        <v>0</v>
      </c>
      <c r="Q152" s="91">
        <f>SUMIFS(tabela_registros[VALOR],tabela_registros[MÊS],$AE$1,tabela_registros[DIA],investiroutrosconsolidadoago[[#Headers],[13]],tabela_registros[REGISTRO],DADOS!$N$5,tabela_registros[TIPO],DADOS!$AB$5,tabela_registros[CATEGORIA],investiroutrosconsolidadoago[[#This Row],[ATUAL]])</f>
        <v>0</v>
      </c>
      <c r="R152" s="91">
        <f>SUMIFS(tabela_registros[VALOR],tabela_registros[MÊS],$AE$1,tabela_registros[DIA],investiroutrosconsolidadoago[[#Headers],[14]],tabela_registros[REGISTRO],DADOS!$N$5,tabela_registros[TIPO],DADOS!$AB$5,tabela_registros[CATEGORIA],investiroutrosconsolidadoago[[#This Row],[ATUAL]])</f>
        <v>0</v>
      </c>
      <c r="S152" s="91">
        <f>SUMIFS(tabela_registros[VALOR],tabela_registros[MÊS],$AE$1,tabela_registros[DIA],investiroutrosconsolidadoago[[#Headers],[15]],tabela_registros[REGISTRO],DADOS!$N$5,tabela_registros[TIPO],DADOS!$AB$5,tabela_registros[CATEGORIA],investiroutrosconsolidadoago[[#This Row],[ATUAL]])</f>
        <v>0</v>
      </c>
      <c r="T152" s="91">
        <f>SUMIFS(tabela_registros[VALOR],tabela_registros[MÊS],$AE$1,tabela_registros[DIA],investiroutrosconsolidadoago[[#Headers],[16]],tabela_registros[REGISTRO],DADOS!$N$5,tabela_registros[TIPO],DADOS!$AB$5,tabela_registros[CATEGORIA],investiroutrosconsolidadoago[[#This Row],[ATUAL]])</f>
        <v>0</v>
      </c>
      <c r="U152" s="91">
        <f>SUMIFS(tabela_registros[VALOR],tabela_registros[MÊS],$AE$1,tabela_registros[DIA],investiroutrosconsolidadoago[[#Headers],[17]],tabela_registros[REGISTRO],DADOS!$N$5,tabela_registros[TIPO],DADOS!$AB$5,tabela_registros[CATEGORIA],investiroutrosconsolidadoago[[#This Row],[ATUAL]])</f>
        <v>0</v>
      </c>
      <c r="V152" s="91">
        <f>SUMIFS(tabela_registros[VALOR],tabela_registros[MÊS],$AE$1,tabela_registros[DIA],investiroutrosconsolidadoago[[#Headers],[18]],tabela_registros[REGISTRO],DADOS!$N$5,tabela_registros[TIPO],DADOS!$AB$5,tabela_registros[CATEGORIA],investiroutrosconsolidadoago[[#This Row],[ATUAL]])</f>
        <v>0</v>
      </c>
      <c r="W152" s="91">
        <f>SUMIFS(tabela_registros[VALOR],tabela_registros[MÊS],$AE$1,tabela_registros[DIA],investiroutrosconsolidadoago[[#Headers],[19]],tabela_registros[REGISTRO],DADOS!$N$5,tabela_registros[TIPO],DADOS!$AB$5,tabela_registros[CATEGORIA],investiroutrosconsolidadoago[[#This Row],[ATUAL]])</f>
        <v>0</v>
      </c>
      <c r="X152" s="91">
        <f>SUMIFS(tabela_registros[VALOR],tabela_registros[MÊS],$AE$1,tabela_registros[DIA],investiroutrosconsolidadoago[[#Headers],[20]],tabela_registros[REGISTRO],DADOS!$N$5,tabela_registros[TIPO],DADOS!$AB$5,tabela_registros[CATEGORIA],investiroutrosconsolidadoago[[#This Row],[ATUAL]])</f>
        <v>0</v>
      </c>
      <c r="Y152" s="91">
        <f>SUMIFS(tabela_registros[VALOR],tabela_registros[MÊS],$AE$1,tabela_registros[DIA],investiroutrosconsolidadoago[[#Headers],[21]],tabela_registros[REGISTRO],DADOS!$N$5,tabela_registros[TIPO],DADOS!$AB$5,tabela_registros[CATEGORIA],investiroutrosconsolidadoago[[#This Row],[ATUAL]])</f>
        <v>0</v>
      </c>
      <c r="Z152" s="91">
        <f>SUMIFS(tabela_registros[VALOR],tabela_registros[MÊS],$AE$1,tabela_registros[DIA],investiroutrosconsolidadoago[[#Headers],[22]],tabela_registros[REGISTRO],DADOS!$N$5,tabela_registros[TIPO],DADOS!$AB$5,tabela_registros[CATEGORIA],investiroutrosconsolidadoago[[#This Row],[ATUAL]])</f>
        <v>0</v>
      </c>
      <c r="AA152" s="91">
        <f>SUMIFS(tabela_registros[VALOR],tabela_registros[MÊS],$AE$1,tabela_registros[DIA],investiroutrosconsolidadoago[[#Headers],[23]],tabela_registros[REGISTRO],DADOS!$N$5,tabela_registros[TIPO],DADOS!$AB$5,tabela_registros[CATEGORIA],investiroutrosconsolidadoago[[#This Row],[ATUAL]])</f>
        <v>0</v>
      </c>
      <c r="AB152" s="91">
        <f>SUMIFS(tabela_registros[VALOR],tabela_registros[MÊS],$AE$1,tabela_registros[DIA],investiroutrosconsolidadoago[[#Headers],[24]],tabela_registros[REGISTRO],DADOS!$N$5,tabela_registros[TIPO],DADOS!$AB$5,tabela_registros[CATEGORIA],investiroutrosconsolidadoago[[#This Row],[ATUAL]])</f>
        <v>0</v>
      </c>
      <c r="AC152" s="91">
        <f>SUMIFS(tabela_registros[VALOR],tabela_registros[MÊS],$AE$1,tabela_registros[DIA],investiroutrosconsolidadoago[[#Headers],[25]],tabela_registros[REGISTRO],DADOS!$N$5,tabela_registros[TIPO],DADOS!$AB$5,tabela_registros[CATEGORIA],investiroutrosconsolidadoago[[#This Row],[ATUAL]])</f>
        <v>0</v>
      </c>
      <c r="AD152" s="91">
        <f>SUMIFS(tabela_registros[VALOR],tabela_registros[MÊS],$AE$1,tabela_registros[DIA],investiroutrosconsolidadoago[[#Headers],[26]],tabela_registros[REGISTRO],DADOS!$N$5,tabela_registros[TIPO],DADOS!$AB$5,tabela_registros[CATEGORIA],investiroutrosconsolidadoago[[#This Row],[ATUAL]])</f>
        <v>0</v>
      </c>
      <c r="AE152" s="91">
        <f>SUMIFS(tabela_registros[VALOR],tabela_registros[MÊS],$AE$1,tabela_registros[DIA],investiroutrosconsolidadoago[[#Headers],[27]],tabela_registros[REGISTRO],DADOS!$N$5,tabela_registros[TIPO],DADOS!$AB$5,tabela_registros[CATEGORIA],investiroutrosconsolidadoago[[#This Row],[ATUAL]])</f>
        <v>0</v>
      </c>
      <c r="AF152" s="91">
        <f>SUMIFS(tabela_registros[VALOR],tabela_registros[MÊS],$AE$1,tabela_registros[DIA],investiroutrosconsolidadoago[[#Headers],[28]],tabela_registros[REGISTRO],DADOS!$N$5,tabela_registros[TIPO],DADOS!$AB$5,tabela_registros[CATEGORIA],investiroutrosconsolidadoago[[#This Row],[ATUAL]])</f>
        <v>0</v>
      </c>
      <c r="AG152" s="91">
        <f>SUMIFS(tabela_registros[VALOR],tabela_registros[MÊS],$AE$1,tabela_registros[DIA],investiroutrosconsolidadoago[[#Headers],[29]],tabela_registros[REGISTRO],DADOS!$N$5,tabela_registros[TIPO],DADOS!$AB$5,tabela_registros[CATEGORIA],investiroutrosconsolidadoago[[#This Row],[ATUAL]])</f>
        <v>0</v>
      </c>
      <c r="AH152" s="91">
        <f>SUMIFS(tabela_registros[VALOR],tabela_registros[MÊS],$AE$1,tabela_registros[DIA],investiroutrosconsolidadoago[[#Headers],[30]],tabela_registros[REGISTRO],DADOS!$N$5,tabela_registros[TIPO],DADOS!$AB$5,tabela_registros[CATEGORIA],investiroutrosconsolidadoago[[#This Row],[ATUAL]])</f>
        <v>0</v>
      </c>
      <c r="AI152" s="101">
        <f>SUMIFS(tabela_registros[VALOR],tabela_registros[MÊS],$AE$1,tabela_registros[DIA],investiroutrosconsolidadoago[[#Headers],[31]],tabela_registros[REGISTRO],DADOS!$N$5,tabela_registros[TIPO],DADOS!$AB$5,tabela_registros[CATEGORIA],investiroutrosconsolidadoago[[#This Row],[ATUAL]])</f>
        <v>0</v>
      </c>
      <c r="AJ152" s="97">
        <f>SUM(investiroutrosconsolidadoago[[#This Row],[1]:[31]])</f>
        <v>0</v>
      </c>
      <c r="AK152" s="25"/>
    </row>
    <row r="153" spans="2:37" ht="19.5" customHeight="1" thickTop="1" thickBot="1" x14ac:dyDescent="0.3">
      <c r="B153" s="28"/>
      <c r="C153" s="27" t="str">
        <f>DADOS!$AH$5</f>
        <v>📝 FUNDO DE INVESTIMENTO</v>
      </c>
      <c r="D153" s="26" t="str">
        <f>IF(investiroutrosconsolidadoago[[#This Row],[TOTAL (R$)]]=0,"",IF(OR(investiroutrosconsolidadoago[[#This Row],[TOTAL (R$)]]=LARGE($AJ$151:$AJ$158,1),investiroutrosconsolidadoago[[#This Row],[TOTAL (R$)]]=LARGE($AJ$151:$AJ$158,2)),DADOS!$I$10,""))</f>
        <v/>
      </c>
      <c r="E153" s="96">
        <f>SUMIFS(tabela_registros[VALOR],tabela_registros[MÊS],$AE$1,tabela_registros[DIA],investiroutrosconsolidadoago[[#Headers],[1]],tabela_registros[REGISTRO],DADOS!$N$5,tabela_registros[TIPO],DADOS!$AB$5,tabela_registros[CATEGORIA],investiroutrosconsolidadoago[[#This Row],[ATUAL]])</f>
        <v>0</v>
      </c>
      <c r="F153" s="91">
        <f>SUMIFS(tabela_registros[VALOR],tabela_registros[MÊS],$AE$1,tabela_registros[DIA],investiroutrosconsolidadoago[[#Headers],[2]],tabela_registros[REGISTRO],DADOS!$N$5,tabela_registros[TIPO],DADOS!$AB$5,tabela_registros[CATEGORIA],investiroutrosconsolidadoago[[#This Row],[ATUAL]])</f>
        <v>0</v>
      </c>
      <c r="G153" s="91">
        <f>SUMIFS(tabela_registros[VALOR],tabela_registros[MÊS],$AE$1,tabela_registros[DIA],investiroutrosconsolidadoago[[#Headers],[3]],tabela_registros[REGISTRO],DADOS!$N$5,tabela_registros[TIPO],DADOS!$AB$5,tabela_registros[CATEGORIA],investiroutrosconsolidadoago[[#This Row],[ATUAL]])</f>
        <v>0</v>
      </c>
      <c r="H153" s="91">
        <f>SUMIFS(tabela_registros[VALOR],tabela_registros[MÊS],$AE$1,tabela_registros[DIA],investiroutrosconsolidadoago[[#Headers],[4]],tabela_registros[REGISTRO],DADOS!$N$5,tabela_registros[TIPO],DADOS!$AB$5,tabela_registros[CATEGORIA],investiroutrosconsolidadoago[[#This Row],[ATUAL]])</f>
        <v>0</v>
      </c>
      <c r="I153" s="91">
        <f>SUMIFS(tabela_registros[VALOR],tabela_registros[MÊS],$AE$1,tabela_registros[DIA],investiroutrosconsolidadoago[[#Headers],[5]],tabela_registros[REGISTRO],DADOS!$N$5,tabela_registros[TIPO],DADOS!$AB$5,tabela_registros[CATEGORIA],investiroutrosconsolidadoago[[#This Row],[ATUAL]])</f>
        <v>0</v>
      </c>
      <c r="J153" s="91">
        <f>SUMIFS(tabela_registros[VALOR],tabela_registros[MÊS],$AE$1,tabela_registros[DIA],investiroutrosconsolidadoago[[#Headers],[6]],tabela_registros[REGISTRO],DADOS!$N$5,tabela_registros[TIPO],DADOS!$AB$5,tabela_registros[CATEGORIA],investiroutrosconsolidadoago[[#This Row],[ATUAL]])</f>
        <v>0</v>
      </c>
      <c r="K153" s="91">
        <f>SUMIFS(tabela_registros[VALOR],tabela_registros[MÊS],$AE$1,tabela_registros[DIA],investiroutrosconsolidadoago[[#Headers],[7]],tabela_registros[REGISTRO],DADOS!$N$5,tabela_registros[TIPO],DADOS!$AB$5,tabela_registros[CATEGORIA],investiroutrosconsolidadoago[[#This Row],[ATUAL]])</f>
        <v>0</v>
      </c>
      <c r="L153" s="91">
        <f>SUMIFS(tabela_registros[VALOR],tabela_registros[MÊS],$AE$1,tabela_registros[DIA],investiroutrosconsolidadoago[[#Headers],[8]],tabela_registros[REGISTRO],DADOS!$N$5,tabela_registros[TIPO],DADOS!$AB$5,tabela_registros[CATEGORIA],investiroutrosconsolidadoago[[#This Row],[ATUAL]])</f>
        <v>0</v>
      </c>
      <c r="M153" s="91">
        <f>SUMIFS(tabela_registros[VALOR],tabela_registros[MÊS],$AE$1,tabela_registros[DIA],investiroutrosconsolidadoago[[#Headers],[9]],tabela_registros[REGISTRO],DADOS!$N$5,tabela_registros[TIPO],DADOS!$AB$5,tabela_registros[CATEGORIA],investiroutrosconsolidadoago[[#This Row],[ATUAL]])</f>
        <v>0</v>
      </c>
      <c r="N153" s="91">
        <f>SUMIFS(tabela_registros[VALOR],tabela_registros[MÊS],$AE$1,tabela_registros[DIA],investiroutrosconsolidadoago[[#Headers],[10]],tabela_registros[REGISTRO],DADOS!$N$5,tabela_registros[TIPO],DADOS!$AB$5,tabela_registros[CATEGORIA],investiroutrosconsolidadoago[[#This Row],[ATUAL]])</f>
        <v>0</v>
      </c>
      <c r="O153" s="91">
        <f>SUMIFS(tabela_registros[VALOR],tabela_registros[MÊS],$AE$1,tabela_registros[DIA],investiroutrosconsolidadoago[[#Headers],[11]],tabela_registros[REGISTRO],DADOS!$N$5,tabela_registros[TIPO],DADOS!$AB$5,tabela_registros[CATEGORIA],investiroutrosconsolidadoago[[#This Row],[ATUAL]])</f>
        <v>0</v>
      </c>
      <c r="P153" s="91">
        <f>SUMIFS(tabela_registros[VALOR],tabela_registros[MÊS],$AE$1,tabela_registros[DIA],investiroutrosconsolidadoago[[#Headers],[12]],tabela_registros[REGISTRO],DADOS!$N$5,tabela_registros[TIPO],DADOS!$AB$5,tabela_registros[CATEGORIA],investiroutrosconsolidadoago[[#This Row],[ATUAL]])</f>
        <v>0</v>
      </c>
      <c r="Q153" s="91">
        <f>SUMIFS(tabela_registros[VALOR],tabela_registros[MÊS],$AE$1,tabela_registros[DIA],investiroutrosconsolidadoago[[#Headers],[13]],tabela_registros[REGISTRO],DADOS!$N$5,tabela_registros[TIPO],DADOS!$AB$5,tabela_registros[CATEGORIA],investiroutrosconsolidadoago[[#This Row],[ATUAL]])</f>
        <v>0</v>
      </c>
      <c r="R153" s="91">
        <f>SUMIFS(tabela_registros[VALOR],tabela_registros[MÊS],$AE$1,tabela_registros[DIA],investiroutrosconsolidadoago[[#Headers],[14]],tabela_registros[REGISTRO],DADOS!$N$5,tabela_registros[TIPO],DADOS!$AB$5,tabela_registros[CATEGORIA],investiroutrosconsolidadoago[[#This Row],[ATUAL]])</f>
        <v>0</v>
      </c>
      <c r="S153" s="91">
        <f>SUMIFS(tabela_registros[VALOR],tabela_registros[MÊS],$AE$1,tabela_registros[DIA],investiroutrosconsolidadoago[[#Headers],[15]],tabela_registros[REGISTRO],DADOS!$N$5,tabela_registros[TIPO],DADOS!$AB$5,tabela_registros[CATEGORIA],investiroutrosconsolidadoago[[#This Row],[ATUAL]])</f>
        <v>0</v>
      </c>
      <c r="T153" s="91">
        <f>SUMIFS(tabela_registros[VALOR],tabela_registros[MÊS],$AE$1,tabela_registros[DIA],investiroutrosconsolidadoago[[#Headers],[16]],tabela_registros[REGISTRO],DADOS!$N$5,tabela_registros[TIPO],DADOS!$AB$5,tabela_registros[CATEGORIA],investiroutrosconsolidadoago[[#This Row],[ATUAL]])</f>
        <v>0</v>
      </c>
      <c r="U153" s="91">
        <f>SUMIFS(tabela_registros[VALOR],tabela_registros[MÊS],$AE$1,tabela_registros[DIA],investiroutrosconsolidadoago[[#Headers],[17]],tabela_registros[REGISTRO],DADOS!$N$5,tabela_registros[TIPO],DADOS!$AB$5,tabela_registros[CATEGORIA],investiroutrosconsolidadoago[[#This Row],[ATUAL]])</f>
        <v>0</v>
      </c>
      <c r="V153" s="91">
        <f>SUMIFS(tabela_registros[VALOR],tabela_registros[MÊS],$AE$1,tabela_registros[DIA],investiroutrosconsolidadoago[[#Headers],[18]],tabela_registros[REGISTRO],DADOS!$N$5,tabela_registros[TIPO],DADOS!$AB$5,tabela_registros[CATEGORIA],investiroutrosconsolidadoago[[#This Row],[ATUAL]])</f>
        <v>0</v>
      </c>
      <c r="W153" s="91">
        <f>SUMIFS(tabela_registros[VALOR],tabela_registros[MÊS],$AE$1,tabela_registros[DIA],investiroutrosconsolidadoago[[#Headers],[19]],tabela_registros[REGISTRO],DADOS!$N$5,tabela_registros[TIPO],DADOS!$AB$5,tabela_registros[CATEGORIA],investiroutrosconsolidadoago[[#This Row],[ATUAL]])</f>
        <v>0</v>
      </c>
      <c r="X153" s="91">
        <f>SUMIFS(tabela_registros[VALOR],tabela_registros[MÊS],$AE$1,tabela_registros[DIA],investiroutrosconsolidadoago[[#Headers],[20]],tabela_registros[REGISTRO],DADOS!$N$5,tabela_registros[TIPO],DADOS!$AB$5,tabela_registros[CATEGORIA],investiroutrosconsolidadoago[[#This Row],[ATUAL]])</f>
        <v>0</v>
      </c>
      <c r="Y153" s="91">
        <f>SUMIFS(tabela_registros[VALOR],tabela_registros[MÊS],$AE$1,tabela_registros[DIA],investiroutrosconsolidadoago[[#Headers],[21]],tabela_registros[REGISTRO],DADOS!$N$5,tabela_registros[TIPO],DADOS!$AB$5,tabela_registros[CATEGORIA],investiroutrosconsolidadoago[[#This Row],[ATUAL]])</f>
        <v>0</v>
      </c>
      <c r="Z153" s="91">
        <f>SUMIFS(tabela_registros[VALOR],tabela_registros[MÊS],$AE$1,tabela_registros[DIA],investiroutrosconsolidadoago[[#Headers],[22]],tabela_registros[REGISTRO],DADOS!$N$5,tabela_registros[TIPO],DADOS!$AB$5,tabela_registros[CATEGORIA],investiroutrosconsolidadoago[[#This Row],[ATUAL]])</f>
        <v>0</v>
      </c>
      <c r="AA153" s="91">
        <f>SUMIFS(tabela_registros[VALOR],tabela_registros[MÊS],$AE$1,tabela_registros[DIA],investiroutrosconsolidadoago[[#Headers],[23]],tabela_registros[REGISTRO],DADOS!$N$5,tabela_registros[TIPO],DADOS!$AB$5,tabela_registros[CATEGORIA],investiroutrosconsolidadoago[[#This Row],[ATUAL]])</f>
        <v>0</v>
      </c>
      <c r="AB153" s="91">
        <f>SUMIFS(tabela_registros[VALOR],tabela_registros[MÊS],$AE$1,tabela_registros[DIA],investiroutrosconsolidadoago[[#Headers],[24]],tabela_registros[REGISTRO],DADOS!$N$5,tabela_registros[TIPO],DADOS!$AB$5,tabela_registros[CATEGORIA],investiroutrosconsolidadoago[[#This Row],[ATUAL]])</f>
        <v>0</v>
      </c>
      <c r="AC153" s="91">
        <f>SUMIFS(tabela_registros[VALOR],tabela_registros[MÊS],$AE$1,tabela_registros[DIA],investiroutrosconsolidadoago[[#Headers],[25]],tabela_registros[REGISTRO],DADOS!$N$5,tabela_registros[TIPO],DADOS!$AB$5,tabela_registros[CATEGORIA],investiroutrosconsolidadoago[[#This Row],[ATUAL]])</f>
        <v>0</v>
      </c>
      <c r="AD153" s="91">
        <f>SUMIFS(tabela_registros[VALOR],tabela_registros[MÊS],$AE$1,tabela_registros[DIA],investiroutrosconsolidadoago[[#Headers],[26]],tabela_registros[REGISTRO],DADOS!$N$5,tabela_registros[TIPO],DADOS!$AB$5,tabela_registros[CATEGORIA],investiroutrosconsolidadoago[[#This Row],[ATUAL]])</f>
        <v>0</v>
      </c>
      <c r="AE153" s="91">
        <f>SUMIFS(tabela_registros[VALOR],tabela_registros[MÊS],$AE$1,tabela_registros[DIA],investiroutrosconsolidadoago[[#Headers],[27]],tabela_registros[REGISTRO],DADOS!$N$5,tabela_registros[TIPO],DADOS!$AB$5,tabela_registros[CATEGORIA],investiroutrosconsolidadoago[[#This Row],[ATUAL]])</f>
        <v>0</v>
      </c>
      <c r="AF153" s="91">
        <f>SUMIFS(tabela_registros[VALOR],tabela_registros[MÊS],$AE$1,tabela_registros[DIA],investiroutrosconsolidadoago[[#Headers],[28]],tabela_registros[REGISTRO],DADOS!$N$5,tabela_registros[TIPO],DADOS!$AB$5,tabela_registros[CATEGORIA],investiroutrosconsolidadoago[[#This Row],[ATUAL]])</f>
        <v>0</v>
      </c>
      <c r="AG153" s="91">
        <f>SUMIFS(tabela_registros[VALOR],tabela_registros[MÊS],$AE$1,tabela_registros[DIA],investiroutrosconsolidadoago[[#Headers],[29]],tabela_registros[REGISTRO],DADOS!$N$5,tabela_registros[TIPO],DADOS!$AB$5,tabela_registros[CATEGORIA],investiroutrosconsolidadoago[[#This Row],[ATUAL]])</f>
        <v>0</v>
      </c>
      <c r="AH153" s="91">
        <f>SUMIFS(tabela_registros[VALOR],tabela_registros[MÊS],$AE$1,tabela_registros[DIA],investiroutrosconsolidadoago[[#Headers],[30]],tabela_registros[REGISTRO],DADOS!$N$5,tabela_registros[TIPO],DADOS!$AB$5,tabela_registros[CATEGORIA],investiroutrosconsolidadoago[[#This Row],[ATUAL]])</f>
        <v>0</v>
      </c>
      <c r="AI153" s="101">
        <f>SUMIFS(tabela_registros[VALOR],tabela_registros[MÊS],$AE$1,tabela_registros[DIA],investiroutrosconsolidadoago[[#Headers],[31]],tabela_registros[REGISTRO],DADOS!$N$5,tabela_registros[TIPO],DADOS!$AB$5,tabela_registros[CATEGORIA],investiroutrosconsolidadoago[[#This Row],[ATUAL]])</f>
        <v>0</v>
      </c>
      <c r="AJ153" s="97">
        <f>SUM(investiroutrosconsolidadoago[[#This Row],[1]:[31]])</f>
        <v>0</v>
      </c>
      <c r="AK153" s="25"/>
    </row>
    <row r="154" spans="2:37" ht="19.5" customHeight="1" thickTop="1" thickBot="1" x14ac:dyDescent="0.3">
      <c r="B154" s="28"/>
      <c r="C154" s="27" t="str">
        <f>DADOS!$AH$6</f>
        <v>📝 NOVA EMPRESA</v>
      </c>
      <c r="D154" s="26" t="str">
        <f>IF(investiroutrosconsolidadoago[[#This Row],[TOTAL (R$)]]=0,"",IF(OR(investiroutrosconsolidadoago[[#This Row],[TOTAL (R$)]]=LARGE($AJ$151:$AJ$158,1),investiroutrosconsolidadoago[[#This Row],[TOTAL (R$)]]=LARGE($AJ$151:$AJ$158,2)),DADOS!$I$10,""))</f>
        <v/>
      </c>
      <c r="E154" s="96">
        <f>SUMIFS(tabela_registros[VALOR],tabela_registros[MÊS],$AE$1,tabela_registros[DIA],investiroutrosconsolidadoago[[#Headers],[1]],tabela_registros[REGISTRO],DADOS!$N$5,tabela_registros[TIPO],DADOS!$AB$5,tabela_registros[CATEGORIA],investiroutrosconsolidadoago[[#This Row],[ATUAL]])</f>
        <v>0</v>
      </c>
      <c r="F154" s="91">
        <f>SUMIFS(tabela_registros[VALOR],tabela_registros[MÊS],$AE$1,tabela_registros[DIA],investiroutrosconsolidadoago[[#Headers],[2]],tabela_registros[REGISTRO],DADOS!$N$5,tabela_registros[TIPO],DADOS!$AB$5,tabela_registros[CATEGORIA],investiroutrosconsolidadoago[[#This Row],[ATUAL]])</f>
        <v>0</v>
      </c>
      <c r="G154" s="91">
        <f>SUMIFS(tabela_registros[VALOR],tabela_registros[MÊS],$AE$1,tabela_registros[DIA],investiroutrosconsolidadoago[[#Headers],[3]],tabela_registros[REGISTRO],DADOS!$N$5,tabela_registros[TIPO],DADOS!$AB$5,tabela_registros[CATEGORIA],investiroutrosconsolidadoago[[#This Row],[ATUAL]])</f>
        <v>0</v>
      </c>
      <c r="H154" s="91">
        <f>SUMIFS(tabela_registros[VALOR],tabela_registros[MÊS],$AE$1,tabela_registros[DIA],investiroutrosconsolidadoago[[#Headers],[4]],tabela_registros[REGISTRO],DADOS!$N$5,tabela_registros[TIPO],DADOS!$AB$5,tabela_registros[CATEGORIA],investiroutrosconsolidadoago[[#This Row],[ATUAL]])</f>
        <v>0</v>
      </c>
      <c r="I154" s="91">
        <f>SUMIFS(tabela_registros[VALOR],tabela_registros[MÊS],$AE$1,tabela_registros[DIA],investiroutrosconsolidadoago[[#Headers],[5]],tabela_registros[REGISTRO],DADOS!$N$5,tabela_registros[TIPO],DADOS!$AB$5,tabela_registros[CATEGORIA],investiroutrosconsolidadoago[[#This Row],[ATUAL]])</f>
        <v>0</v>
      </c>
      <c r="J154" s="91">
        <f>SUMIFS(tabela_registros[VALOR],tabela_registros[MÊS],$AE$1,tabela_registros[DIA],investiroutrosconsolidadoago[[#Headers],[6]],tabela_registros[REGISTRO],DADOS!$N$5,tabela_registros[TIPO],DADOS!$AB$5,tabela_registros[CATEGORIA],investiroutrosconsolidadoago[[#This Row],[ATUAL]])</f>
        <v>0</v>
      </c>
      <c r="K154" s="91">
        <f>SUMIFS(tabela_registros[VALOR],tabela_registros[MÊS],$AE$1,tabela_registros[DIA],investiroutrosconsolidadoago[[#Headers],[7]],tabela_registros[REGISTRO],DADOS!$N$5,tabela_registros[TIPO],DADOS!$AB$5,tabela_registros[CATEGORIA],investiroutrosconsolidadoago[[#This Row],[ATUAL]])</f>
        <v>0</v>
      </c>
      <c r="L154" s="91">
        <f>SUMIFS(tabela_registros[VALOR],tabela_registros[MÊS],$AE$1,tabela_registros[DIA],investiroutrosconsolidadoago[[#Headers],[8]],tabela_registros[REGISTRO],DADOS!$N$5,tabela_registros[TIPO],DADOS!$AB$5,tabela_registros[CATEGORIA],investiroutrosconsolidadoago[[#This Row],[ATUAL]])</f>
        <v>0</v>
      </c>
      <c r="M154" s="91">
        <f>SUMIFS(tabela_registros[VALOR],tabela_registros[MÊS],$AE$1,tabela_registros[DIA],investiroutrosconsolidadoago[[#Headers],[9]],tabela_registros[REGISTRO],DADOS!$N$5,tabela_registros[TIPO],DADOS!$AB$5,tabela_registros[CATEGORIA],investiroutrosconsolidadoago[[#This Row],[ATUAL]])</f>
        <v>0</v>
      </c>
      <c r="N154" s="91">
        <f>SUMIFS(tabela_registros[VALOR],tabela_registros[MÊS],$AE$1,tabela_registros[DIA],investiroutrosconsolidadoago[[#Headers],[10]],tabela_registros[REGISTRO],DADOS!$N$5,tabela_registros[TIPO],DADOS!$AB$5,tabela_registros[CATEGORIA],investiroutrosconsolidadoago[[#This Row],[ATUAL]])</f>
        <v>0</v>
      </c>
      <c r="O154" s="91">
        <f>SUMIFS(tabela_registros[VALOR],tabela_registros[MÊS],$AE$1,tabela_registros[DIA],investiroutrosconsolidadoago[[#Headers],[11]],tabela_registros[REGISTRO],DADOS!$N$5,tabela_registros[TIPO],DADOS!$AB$5,tabela_registros[CATEGORIA],investiroutrosconsolidadoago[[#This Row],[ATUAL]])</f>
        <v>0</v>
      </c>
      <c r="P154" s="91">
        <f>SUMIFS(tabela_registros[VALOR],tabela_registros[MÊS],$AE$1,tabela_registros[DIA],investiroutrosconsolidadoago[[#Headers],[12]],tabela_registros[REGISTRO],DADOS!$N$5,tabela_registros[TIPO],DADOS!$AB$5,tabela_registros[CATEGORIA],investiroutrosconsolidadoago[[#This Row],[ATUAL]])</f>
        <v>0</v>
      </c>
      <c r="Q154" s="91">
        <f>SUMIFS(tabela_registros[VALOR],tabela_registros[MÊS],$AE$1,tabela_registros[DIA],investiroutrosconsolidadoago[[#Headers],[13]],tabela_registros[REGISTRO],DADOS!$N$5,tabela_registros[TIPO],DADOS!$AB$5,tabela_registros[CATEGORIA],investiroutrosconsolidadoago[[#This Row],[ATUAL]])</f>
        <v>0</v>
      </c>
      <c r="R154" s="91">
        <f>SUMIFS(tabela_registros[VALOR],tabela_registros[MÊS],$AE$1,tabela_registros[DIA],investiroutrosconsolidadoago[[#Headers],[14]],tabela_registros[REGISTRO],DADOS!$N$5,tabela_registros[TIPO],DADOS!$AB$5,tabela_registros[CATEGORIA],investiroutrosconsolidadoago[[#This Row],[ATUAL]])</f>
        <v>0</v>
      </c>
      <c r="S154" s="91">
        <f>SUMIFS(tabela_registros[VALOR],tabela_registros[MÊS],$AE$1,tabela_registros[DIA],investiroutrosconsolidadoago[[#Headers],[15]],tabela_registros[REGISTRO],DADOS!$N$5,tabela_registros[TIPO],DADOS!$AB$5,tabela_registros[CATEGORIA],investiroutrosconsolidadoago[[#This Row],[ATUAL]])</f>
        <v>0</v>
      </c>
      <c r="T154" s="91">
        <f>SUMIFS(tabela_registros[VALOR],tabela_registros[MÊS],$AE$1,tabela_registros[DIA],investiroutrosconsolidadoago[[#Headers],[16]],tabela_registros[REGISTRO],DADOS!$N$5,tabela_registros[TIPO],DADOS!$AB$5,tabela_registros[CATEGORIA],investiroutrosconsolidadoago[[#This Row],[ATUAL]])</f>
        <v>0</v>
      </c>
      <c r="U154" s="91">
        <f>SUMIFS(tabela_registros[VALOR],tabela_registros[MÊS],$AE$1,tabela_registros[DIA],investiroutrosconsolidadoago[[#Headers],[17]],tabela_registros[REGISTRO],DADOS!$N$5,tabela_registros[TIPO],DADOS!$AB$5,tabela_registros[CATEGORIA],investiroutrosconsolidadoago[[#This Row],[ATUAL]])</f>
        <v>0</v>
      </c>
      <c r="V154" s="91">
        <f>SUMIFS(tabela_registros[VALOR],tabela_registros[MÊS],$AE$1,tabela_registros[DIA],investiroutrosconsolidadoago[[#Headers],[18]],tabela_registros[REGISTRO],DADOS!$N$5,tabela_registros[TIPO],DADOS!$AB$5,tabela_registros[CATEGORIA],investiroutrosconsolidadoago[[#This Row],[ATUAL]])</f>
        <v>0</v>
      </c>
      <c r="W154" s="91">
        <f>SUMIFS(tabela_registros[VALOR],tabela_registros[MÊS],$AE$1,tabela_registros[DIA],investiroutrosconsolidadoago[[#Headers],[19]],tabela_registros[REGISTRO],DADOS!$N$5,tabela_registros[TIPO],DADOS!$AB$5,tabela_registros[CATEGORIA],investiroutrosconsolidadoago[[#This Row],[ATUAL]])</f>
        <v>0</v>
      </c>
      <c r="X154" s="91">
        <f>SUMIFS(tabela_registros[VALOR],tabela_registros[MÊS],$AE$1,tabela_registros[DIA],investiroutrosconsolidadoago[[#Headers],[20]],tabela_registros[REGISTRO],DADOS!$N$5,tabela_registros[TIPO],DADOS!$AB$5,tabela_registros[CATEGORIA],investiroutrosconsolidadoago[[#This Row],[ATUAL]])</f>
        <v>0</v>
      </c>
      <c r="Y154" s="91">
        <f>SUMIFS(tabela_registros[VALOR],tabela_registros[MÊS],$AE$1,tabela_registros[DIA],investiroutrosconsolidadoago[[#Headers],[21]],tabela_registros[REGISTRO],DADOS!$N$5,tabela_registros[TIPO],DADOS!$AB$5,tabela_registros[CATEGORIA],investiroutrosconsolidadoago[[#This Row],[ATUAL]])</f>
        <v>0</v>
      </c>
      <c r="Z154" s="91">
        <f>SUMIFS(tabela_registros[VALOR],tabela_registros[MÊS],$AE$1,tabela_registros[DIA],investiroutrosconsolidadoago[[#Headers],[22]],tabela_registros[REGISTRO],DADOS!$N$5,tabela_registros[TIPO],DADOS!$AB$5,tabela_registros[CATEGORIA],investiroutrosconsolidadoago[[#This Row],[ATUAL]])</f>
        <v>0</v>
      </c>
      <c r="AA154" s="91">
        <f>SUMIFS(tabela_registros[VALOR],tabela_registros[MÊS],$AE$1,tabela_registros[DIA],investiroutrosconsolidadoago[[#Headers],[23]],tabela_registros[REGISTRO],DADOS!$N$5,tabela_registros[TIPO],DADOS!$AB$5,tabela_registros[CATEGORIA],investiroutrosconsolidadoago[[#This Row],[ATUAL]])</f>
        <v>0</v>
      </c>
      <c r="AB154" s="91">
        <f>SUMIFS(tabela_registros[VALOR],tabela_registros[MÊS],$AE$1,tabela_registros[DIA],investiroutrosconsolidadoago[[#Headers],[24]],tabela_registros[REGISTRO],DADOS!$N$5,tabela_registros[TIPO],DADOS!$AB$5,tabela_registros[CATEGORIA],investiroutrosconsolidadoago[[#This Row],[ATUAL]])</f>
        <v>0</v>
      </c>
      <c r="AC154" s="91">
        <f>SUMIFS(tabela_registros[VALOR],tabela_registros[MÊS],$AE$1,tabela_registros[DIA],investiroutrosconsolidadoago[[#Headers],[25]],tabela_registros[REGISTRO],DADOS!$N$5,tabela_registros[TIPO],DADOS!$AB$5,tabela_registros[CATEGORIA],investiroutrosconsolidadoago[[#This Row],[ATUAL]])</f>
        <v>0</v>
      </c>
      <c r="AD154" s="91">
        <f>SUMIFS(tabela_registros[VALOR],tabela_registros[MÊS],$AE$1,tabela_registros[DIA],investiroutrosconsolidadoago[[#Headers],[26]],tabela_registros[REGISTRO],DADOS!$N$5,tabela_registros[TIPO],DADOS!$AB$5,tabela_registros[CATEGORIA],investiroutrosconsolidadoago[[#This Row],[ATUAL]])</f>
        <v>0</v>
      </c>
      <c r="AE154" s="91">
        <f>SUMIFS(tabela_registros[VALOR],tabela_registros[MÊS],$AE$1,tabela_registros[DIA],investiroutrosconsolidadoago[[#Headers],[27]],tabela_registros[REGISTRO],DADOS!$N$5,tabela_registros[TIPO],DADOS!$AB$5,tabela_registros[CATEGORIA],investiroutrosconsolidadoago[[#This Row],[ATUAL]])</f>
        <v>0</v>
      </c>
      <c r="AF154" s="91">
        <f>SUMIFS(tabela_registros[VALOR],tabela_registros[MÊS],$AE$1,tabela_registros[DIA],investiroutrosconsolidadoago[[#Headers],[28]],tabela_registros[REGISTRO],DADOS!$N$5,tabela_registros[TIPO],DADOS!$AB$5,tabela_registros[CATEGORIA],investiroutrosconsolidadoago[[#This Row],[ATUAL]])</f>
        <v>0</v>
      </c>
      <c r="AG154" s="91">
        <f>SUMIFS(tabela_registros[VALOR],tabela_registros[MÊS],$AE$1,tabela_registros[DIA],investiroutrosconsolidadoago[[#Headers],[29]],tabela_registros[REGISTRO],DADOS!$N$5,tabela_registros[TIPO],DADOS!$AB$5,tabela_registros[CATEGORIA],investiroutrosconsolidadoago[[#This Row],[ATUAL]])</f>
        <v>0</v>
      </c>
      <c r="AH154" s="91">
        <f>SUMIFS(tabela_registros[VALOR],tabela_registros[MÊS],$AE$1,tabela_registros[DIA],investiroutrosconsolidadoago[[#Headers],[30]],tabela_registros[REGISTRO],DADOS!$N$5,tabela_registros[TIPO],DADOS!$AB$5,tabela_registros[CATEGORIA],investiroutrosconsolidadoago[[#This Row],[ATUAL]])</f>
        <v>0</v>
      </c>
      <c r="AI154" s="101">
        <f>SUMIFS(tabela_registros[VALOR],tabela_registros[MÊS],$AE$1,tabela_registros[DIA],investiroutrosconsolidadoago[[#Headers],[31]],tabela_registros[REGISTRO],DADOS!$N$5,tabela_registros[TIPO],DADOS!$AB$5,tabela_registros[CATEGORIA],investiroutrosconsolidadoago[[#This Row],[ATUAL]])</f>
        <v>0</v>
      </c>
      <c r="AJ154" s="97">
        <f>SUM(investiroutrosconsolidadoago[[#This Row],[1]:[31]])</f>
        <v>0</v>
      </c>
      <c r="AK154" s="25"/>
    </row>
    <row r="155" spans="2:37" ht="19.5" customHeight="1" thickTop="1" thickBot="1" x14ac:dyDescent="0.3">
      <c r="B155" s="28"/>
      <c r="C155" s="27" t="str">
        <f>DADOS!$AH$7</f>
        <v>📝 PEER TO COMPANY</v>
      </c>
      <c r="D155" s="26" t="str">
        <f>IF(investiroutrosconsolidadoago[[#This Row],[TOTAL (R$)]]=0,"",IF(OR(investiroutrosconsolidadoago[[#This Row],[TOTAL (R$)]]=LARGE($AJ$151:$AJ$158,1),investiroutrosconsolidadoago[[#This Row],[TOTAL (R$)]]=LARGE($AJ$151:$AJ$158,2)),DADOS!$I$10,""))</f>
        <v/>
      </c>
      <c r="E155" s="96">
        <f>SUMIFS(tabela_registros[VALOR],tabela_registros[MÊS],$AE$1,tabela_registros[DIA],investiroutrosconsolidadoago[[#Headers],[1]],tabela_registros[REGISTRO],DADOS!$N$5,tabela_registros[TIPO],DADOS!$AB$5,tabela_registros[CATEGORIA],investiroutrosconsolidadoago[[#This Row],[ATUAL]])</f>
        <v>0</v>
      </c>
      <c r="F155" s="91">
        <f>SUMIFS(tabela_registros[VALOR],tabela_registros[MÊS],$AE$1,tabela_registros[DIA],investiroutrosconsolidadoago[[#Headers],[2]],tabela_registros[REGISTRO],DADOS!$N$5,tabela_registros[TIPO],DADOS!$AB$5,tabela_registros[CATEGORIA],investiroutrosconsolidadoago[[#This Row],[ATUAL]])</f>
        <v>0</v>
      </c>
      <c r="G155" s="91">
        <f>SUMIFS(tabela_registros[VALOR],tabela_registros[MÊS],$AE$1,tabela_registros[DIA],investiroutrosconsolidadoago[[#Headers],[3]],tabela_registros[REGISTRO],DADOS!$N$5,tabela_registros[TIPO],DADOS!$AB$5,tabela_registros[CATEGORIA],investiroutrosconsolidadoago[[#This Row],[ATUAL]])</f>
        <v>0</v>
      </c>
      <c r="H155" s="91">
        <f>SUMIFS(tabela_registros[VALOR],tabela_registros[MÊS],$AE$1,tabela_registros[DIA],investiroutrosconsolidadoago[[#Headers],[4]],tabela_registros[REGISTRO],DADOS!$N$5,tabela_registros[TIPO],DADOS!$AB$5,tabela_registros[CATEGORIA],investiroutrosconsolidadoago[[#This Row],[ATUAL]])</f>
        <v>0</v>
      </c>
      <c r="I155" s="91">
        <f>SUMIFS(tabela_registros[VALOR],tabela_registros[MÊS],$AE$1,tabela_registros[DIA],investiroutrosconsolidadoago[[#Headers],[5]],tabela_registros[REGISTRO],DADOS!$N$5,tabela_registros[TIPO],DADOS!$AB$5,tabela_registros[CATEGORIA],investiroutrosconsolidadoago[[#This Row],[ATUAL]])</f>
        <v>0</v>
      </c>
      <c r="J155" s="91">
        <f>SUMIFS(tabela_registros[VALOR],tabela_registros[MÊS],$AE$1,tabela_registros[DIA],investiroutrosconsolidadoago[[#Headers],[6]],tabela_registros[REGISTRO],DADOS!$N$5,tabela_registros[TIPO],DADOS!$AB$5,tabela_registros[CATEGORIA],investiroutrosconsolidadoago[[#This Row],[ATUAL]])</f>
        <v>0</v>
      </c>
      <c r="K155" s="91">
        <f>SUMIFS(tabela_registros[VALOR],tabela_registros[MÊS],$AE$1,tabela_registros[DIA],investiroutrosconsolidadoago[[#Headers],[7]],tabela_registros[REGISTRO],DADOS!$N$5,tabela_registros[TIPO],DADOS!$AB$5,tabela_registros[CATEGORIA],investiroutrosconsolidadoago[[#This Row],[ATUAL]])</f>
        <v>0</v>
      </c>
      <c r="L155" s="91">
        <f>SUMIFS(tabela_registros[VALOR],tabela_registros[MÊS],$AE$1,tabela_registros[DIA],investiroutrosconsolidadoago[[#Headers],[8]],tabela_registros[REGISTRO],DADOS!$N$5,tabela_registros[TIPO],DADOS!$AB$5,tabela_registros[CATEGORIA],investiroutrosconsolidadoago[[#This Row],[ATUAL]])</f>
        <v>0</v>
      </c>
      <c r="M155" s="91">
        <f>SUMIFS(tabela_registros[VALOR],tabela_registros[MÊS],$AE$1,tabela_registros[DIA],investiroutrosconsolidadoago[[#Headers],[9]],tabela_registros[REGISTRO],DADOS!$N$5,tabela_registros[TIPO],DADOS!$AB$5,tabela_registros[CATEGORIA],investiroutrosconsolidadoago[[#This Row],[ATUAL]])</f>
        <v>0</v>
      </c>
      <c r="N155" s="91">
        <f>SUMIFS(tabela_registros[VALOR],tabela_registros[MÊS],$AE$1,tabela_registros[DIA],investiroutrosconsolidadoago[[#Headers],[10]],tabela_registros[REGISTRO],DADOS!$N$5,tabela_registros[TIPO],DADOS!$AB$5,tabela_registros[CATEGORIA],investiroutrosconsolidadoago[[#This Row],[ATUAL]])</f>
        <v>0</v>
      </c>
      <c r="O155" s="91">
        <f>SUMIFS(tabela_registros[VALOR],tabela_registros[MÊS],$AE$1,tabela_registros[DIA],investiroutrosconsolidadoago[[#Headers],[11]],tabela_registros[REGISTRO],DADOS!$N$5,tabela_registros[TIPO],DADOS!$AB$5,tabela_registros[CATEGORIA],investiroutrosconsolidadoago[[#This Row],[ATUAL]])</f>
        <v>0</v>
      </c>
      <c r="P155" s="91">
        <f>SUMIFS(tabela_registros[VALOR],tabela_registros[MÊS],$AE$1,tabela_registros[DIA],investiroutrosconsolidadoago[[#Headers],[12]],tabela_registros[REGISTRO],DADOS!$N$5,tabela_registros[TIPO],DADOS!$AB$5,tabela_registros[CATEGORIA],investiroutrosconsolidadoago[[#This Row],[ATUAL]])</f>
        <v>0</v>
      </c>
      <c r="Q155" s="91">
        <f>SUMIFS(tabela_registros[VALOR],tabela_registros[MÊS],$AE$1,tabela_registros[DIA],investiroutrosconsolidadoago[[#Headers],[13]],tabela_registros[REGISTRO],DADOS!$N$5,tabela_registros[TIPO],DADOS!$AB$5,tabela_registros[CATEGORIA],investiroutrosconsolidadoago[[#This Row],[ATUAL]])</f>
        <v>0</v>
      </c>
      <c r="R155" s="91">
        <f>SUMIFS(tabela_registros[VALOR],tabela_registros[MÊS],$AE$1,tabela_registros[DIA],investiroutrosconsolidadoago[[#Headers],[14]],tabela_registros[REGISTRO],DADOS!$N$5,tabela_registros[TIPO],DADOS!$AB$5,tabela_registros[CATEGORIA],investiroutrosconsolidadoago[[#This Row],[ATUAL]])</f>
        <v>0</v>
      </c>
      <c r="S155" s="91">
        <f>SUMIFS(tabela_registros[VALOR],tabela_registros[MÊS],$AE$1,tabela_registros[DIA],investiroutrosconsolidadoago[[#Headers],[15]],tabela_registros[REGISTRO],DADOS!$N$5,tabela_registros[TIPO],DADOS!$AB$5,tabela_registros[CATEGORIA],investiroutrosconsolidadoago[[#This Row],[ATUAL]])</f>
        <v>0</v>
      </c>
      <c r="T155" s="91">
        <f>SUMIFS(tabela_registros[VALOR],tabela_registros[MÊS],$AE$1,tabela_registros[DIA],investiroutrosconsolidadoago[[#Headers],[16]],tabela_registros[REGISTRO],DADOS!$N$5,tabela_registros[TIPO],DADOS!$AB$5,tabela_registros[CATEGORIA],investiroutrosconsolidadoago[[#This Row],[ATUAL]])</f>
        <v>0</v>
      </c>
      <c r="U155" s="91">
        <f>SUMIFS(tabela_registros[VALOR],tabela_registros[MÊS],$AE$1,tabela_registros[DIA],investiroutrosconsolidadoago[[#Headers],[17]],tabela_registros[REGISTRO],DADOS!$N$5,tabela_registros[TIPO],DADOS!$AB$5,tabela_registros[CATEGORIA],investiroutrosconsolidadoago[[#This Row],[ATUAL]])</f>
        <v>0</v>
      </c>
      <c r="V155" s="91">
        <f>SUMIFS(tabela_registros[VALOR],tabela_registros[MÊS],$AE$1,tabela_registros[DIA],investiroutrosconsolidadoago[[#Headers],[18]],tabela_registros[REGISTRO],DADOS!$N$5,tabela_registros[TIPO],DADOS!$AB$5,tabela_registros[CATEGORIA],investiroutrosconsolidadoago[[#This Row],[ATUAL]])</f>
        <v>0</v>
      </c>
      <c r="W155" s="91">
        <f>SUMIFS(tabela_registros[VALOR],tabela_registros[MÊS],$AE$1,tabela_registros[DIA],investiroutrosconsolidadoago[[#Headers],[19]],tabela_registros[REGISTRO],DADOS!$N$5,tabela_registros[TIPO],DADOS!$AB$5,tabela_registros[CATEGORIA],investiroutrosconsolidadoago[[#This Row],[ATUAL]])</f>
        <v>0</v>
      </c>
      <c r="X155" s="91">
        <f>SUMIFS(tabela_registros[VALOR],tabela_registros[MÊS],$AE$1,tabela_registros[DIA],investiroutrosconsolidadoago[[#Headers],[20]],tabela_registros[REGISTRO],DADOS!$N$5,tabela_registros[TIPO],DADOS!$AB$5,tabela_registros[CATEGORIA],investiroutrosconsolidadoago[[#This Row],[ATUAL]])</f>
        <v>0</v>
      </c>
      <c r="Y155" s="91">
        <f>SUMIFS(tabela_registros[VALOR],tabela_registros[MÊS],$AE$1,tabela_registros[DIA],investiroutrosconsolidadoago[[#Headers],[21]],tabela_registros[REGISTRO],DADOS!$N$5,tabela_registros[TIPO],DADOS!$AB$5,tabela_registros[CATEGORIA],investiroutrosconsolidadoago[[#This Row],[ATUAL]])</f>
        <v>0</v>
      </c>
      <c r="Z155" s="91">
        <f>SUMIFS(tabela_registros[VALOR],tabela_registros[MÊS],$AE$1,tabela_registros[DIA],investiroutrosconsolidadoago[[#Headers],[22]],tabela_registros[REGISTRO],DADOS!$N$5,tabela_registros[TIPO],DADOS!$AB$5,tabela_registros[CATEGORIA],investiroutrosconsolidadoago[[#This Row],[ATUAL]])</f>
        <v>0</v>
      </c>
      <c r="AA155" s="91">
        <f>SUMIFS(tabela_registros[VALOR],tabela_registros[MÊS],$AE$1,tabela_registros[DIA],investiroutrosconsolidadoago[[#Headers],[23]],tabela_registros[REGISTRO],DADOS!$N$5,tabela_registros[TIPO],DADOS!$AB$5,tabela_registros[CATEGORIA],investiroutrosconsolidadoago[[#This Row],[ATUAL]])</f>
        <v>0</v>
      </c>
      <c r="AB155" s="91">
        <f>SUMIFS(tabela_registros[VALOR],tabela_registros[MÊS],$AE$1,tabela_registros[DIA],investiroutrosconsolidadoago[[#Headers],[24]],tabela_registros[REGISTRO],DADOS!$N$5,tabela_registros[TIPO],DADOS!$AB$5,tabela_registros[CATEGORIA],investiroutrosconsolidadoago[[#This Row],[ATUAL]])</f>
        <v>0</v>
      </c>
      <c r="AC155" s="91">
        <f>SUMIFS(tabela_registros[VALOR],tabela_registros[MÊS],$AE$1,tabela_registros[DIA],investiroutrosconsolidadoago[[#Headers],[25]],tabela_registros[REGISTRO],DADOS!$N$5,tabela_registros[TIPO],DADOS!$AB$5,tabela_registros[CATEGORIA],investiroutrosconsolidadoago[[#This Row],[ATUAL]])</f>
        <v>0</v>
      </c>
      <c r="AD155" s="91">
        <f>SUMIFS(tabela_registros[VALOR],tabela_registros[MÊS],$AE$1,tabela_registros[DIA],investiroutrosconsolidadoago[[#Headers],[26]],tabela_registros[REGISTRO],DADOS!$N$5,tabela_registros[TIPO],DADOS!$AB$5,tabela_registros[CATEGORIA],investiroutrosconsolidadoago[[#This Row],[ATUAL]])</f>
        <v>0</v>
      </c>
      <c r="AE155" s="91">
        <f>SUMIFS(tabela_registros[VALOR],tabela_registros[MÊS],$AE$1,tabela_registros[DIA],investiroutrosconsolidadoago[[#Headers],[27]],tabela_registros[REGISTRO],DADOS!$N$5,tabela_registros[TIPO],DADOS!$AB$5,tabela_registros[CATEGORIA],investiroutrosconsolidadoago[[#This Row],[ATUAL]])</f>
        <v>0</v>
      </c>
      <c r="AF155" s="91">
        <f>SUMIFS(tabela_registros[VALOR],tabela_registros[MÊS],$AE$1,tabela_registros[DIA],investiroutrosconsolidadoago[[#Headers],[28]],tabela_registros[REGISTRO],DADOS!$N$5,tabela_registros[TIPO],DADOS!$AB$5,tabela_registros[CATEGORIA],investiroutrosconsolidadoago[[#This Row],[ATUAL]])</f>
        <v>0</v>
      </c>
      <c r="AG155" s="91">
        <f>SUMIFS(tabela_registros[VALOR],tabela_registros[MÊS],$AE$1,tabela_registros[DIA],investiroutrosconsolidadoago[[#Headers],[29]],tabela_registros[REGISTRO],DADOS!$N$5,tabela_registros[TIPO],DADOS!$AB$5,tabela_registros[CATEGORIA],investiroutrosconsolidadoago[[#This Row],[ATUAL]])</f>
        <v>0</v>
      </c>
      <c r="AH155" s="91">
        <f>SUMIFS(tabela_registros[VALOR],tabela_registros[MÊS],$AE$1,tabela_registros[DIA],investiroutrosconsolidadoago[[#Headers],[30]],tabela_registros[REGISTRO],DADOS!$N$5,tabela_registros[TIPO],DADOS!$AB$5,tabela_registros[CATEGORIA],investiroutrosconsolidadoago[[#This Row],[ATUAL]])</f>
        <v>0</v>
      </c>
      <c r="AI155" s="101">
        <f>SUMIFS(tabela_registros[VALOR],tabela_registros[MÊS],$AE$1,tabela_registros[DIA],investiroutrosconsolidadoago[[#Headers],[31]],tabela_registros[REGISTRO],DADOS!$N$5,tabela_registros[TIPO],DADOS!$AB$5,tabela_registros[CATEGORIA],investiroutrosconsolidadoago[[#This Row],[ATUAL]])</f>
        <v>0</v>
      </c>
      <c r="AJ155" s="97">
        <f>SUM(investiroutrosconsolidadoago[[#This Row],[1]:[31]])</f>
        <v>0</v>
      </c>
      <c r="AK155" s="25"/>
    </row>
    <row r="156" spans="2:37" ht="19.5" customHeight="1" thickTop="1" thickBot="1" x14ac:dyDescent="0.3">
      <c r="B156" s="28"/>
      <c r="C156" s="27" t="str">
        <f>DADOS!$AH$8</f>
        <v>📝 PEER TO PEER</v>
      </c>
      <c r="D156" s="26" t="str">
        <f>IF(investiroutrosconsolidadoago[[#This Row],[TOTAL (R$)]]=0,"",IF(OR(investiroutrosconsolidadoago[[#This Row],[TOTAL (R$)]]=LARGE($AJ$151:$AJ$158,1),investiroutrosconsolidadoago[[#This Row],[TOTAL (R$)]]=LARGE($AJ$151:$AJ$158,2)),DADOS!$I$10,""))</f>
        <v/>
      </c>
      <c r="E156" s="96">
        <f>SUMIFS(tabela_registros[VALOR],tabela_registros[MÊS],$AE$1,tabela_registros[DIA],investiroutrosconsolidadoago[[#Headers],[1]],tabela_registros[REGISTRO],DADOS!$N$5,tabela_registros[TIPO],DADOS!$AB$5,tabela_registros[CATEGORIA],investiroutrosconsolidadoago[[#This Row],[ATUAL]])</f>
        <v>0</v>
      </c>
      <c r="F156" s="91">
        <f>SUMIFS(tabela_registros[VALOR],tabela_registros[MÊS],$AE$1,tabela_registros[DIA],investiroutrosconsolidadoago[[#Headers],[2]],tabela_registros[REGISTRO],DADOS!$N$5,tabela_registros[TIPO],DADOS!$AB$5,tabela_registros[CATEGORIA],investiroutrosconsolidadoago[[#This Row],[ATUAL]])</f>
        <v>0</v>
      </c>
      <c r="G156" s="91">
        <f>SUMIFS(tabela_registros[VALOR],tabela_registros[MÊS],$AE$1,tabela_registros[DIA],investiroutrosconsolidadoago[[#Headers],[3]],tabela_registros[REGISTRO],DADOS!$N$5,tabela_registros[TIPO],DADOS!$AB$5,tabela_registros[CATEGORIA],investiroutrosconsolidadoago[[#This Row],[ATUAL]])</f>
        <v>0</v>
      </c>
      <c r="H156" s="91">
        <f>SUMIFS(tabela_registros[VALOR],tabela_registros[MÊS],$AE$1,tabela_registros[DIA],investiroutrosconsolidadoago[[#Headers],[4]],tabela_registros[REGISTRO],DADOS!$N$5,tabela_registros[TIPO],DADOS!$AB$5,tabela_registros[CATEGORIA],investiroutrosconsolidadoago[[#This Row],[ATUAL]])</f>
        <v>0</v>
      </c>
      <c r="I156" s="91">
        <f>SUMIFS(tabela_registros[VALOR],tabela_registros[MÊS],$AE$1,tabela_registros[DIA],investiroutrosconsolidadoago[[#Headers],[5]],tabela_registros[REGISTRO],DADOS!$N$5,tabela_registros[TIPO],DADOS!$AB$5,tabela_registros[CATEGORIA],investiroutrosconsolidadoago[[#This Row],[ATUAL]])</f>
        <v>0</v>
      </c>
      <c r="J156" s="91">
        <f>SUMIFS(tabela_registros[VALOR],tabela_registros[MÊS],$AE$1,tabela_registros[DIA],investiroutrosconsolidadoago[[#Headers],[6]],tabela_registros[REGISTRO],DADOS!$N$5,tabela_registros[TIPO],DADOS!$AB$5,tabela_registros[CATEGORIA],investiroutrosconsolidadoago[[#This Row],[ATUAL]])</f>
        <v>0</v>
      </c>
      <c r="K156" s="91">
        <f>SUMIFS(tabela_registros[VALOR],tabela_registros[MÊS],$AE$1,tabela_registros[DIA],investiroutrosconsolidadoago[[#Headers],[7]],tabela_registros[REGISTRO],DADOS!$N$5,tabela_registros[TIPO],DADOS!$AB$5,tabela_registros[CATEGORIA],investiroutrosconsolidadoago[[#This Row],[ATUAL]])</f>
        <v>0</v>
      </c>
      <c r="L156" s="91">
        <f>SUMIFS(tabela_registros[VALOR],tabela_registros[MÊS],$AE$1,tabela_registros[DIA],investiroutrosconsolidadoago[[#Headers],[8]],tabela_registros[REGISTRO],DADOS!$N$5,tabela_registros[TIPO],DADOS!$AB$5,tabela_registros[CATEGORIA],investiroutrosconsolidadoago[[#This Row],[ATUAL]])</f>
        <v>0</v>
      </c>
      <c r="M156" s="91">
        <f>SUMIFS(tabela_registros[VALOR],tabela_registros[MÊS],$AE$1,tabela_registros[DIA],investiroutrosconsolidadoago[[#Headers],[9]],tabela_registros[REGISTRO],DADOS!$N$5,tabela_registros[TIPO],DADOS!$AB$5,tabela_registros[CATEGORIA],investiroutrosconsolidadoago[[#This Row],[ATUAL]])</f>
        <v>0</v>
      </c>
      <c r="N156" s="91">
        <f>SUMIFS(tabela_registros[VALOR],tabela_registros[MÊS],$AE$1,tabela_registros[DIA],investiroutrosconsolidadoago[[#Headers],[10]],tabela_registros[REGISTRO],DADOS!$N$5,tabela_registros[TIPO],DADOS!$AB$5,tabela_registros[CATEGORIA],investiroutrosconsolidadoago[[#This Row],[ATUAL]])</f>
        <v>0</v>
      </c>
      <c r="O156" s="91">
        <f>SUMIFS(tabela_registros[VALOR],tabela_registros[MÊS],$AE$1,tabela_registros[DIA],investiroutrosconsolidadoago[[#Headers],[11]],tabela_registros[REGISTRO],DADOS!$N$5,tabela_registros[TIPO],DADOS!$AB$5,tabela_registros[CATEGORIA],investiroutrosconsolidadoago[[#This Row],[ATUAL]])</f>
        <v>0</v>
      </c>
      <c r="P156" s="91">
        <f>SUMIFS(tabela_registros[VALOR],tabela_registros[MÊS],$AE$1,tabela_registros[DIA],investiroutrosconsolidadoago[[#Headers],[12]],tabela_registros[REGISTRO],DADOS!$N$5,tabela_registros[TIPO],DADOS!$AB$5,tabela_registros[CATEGORIA],investiroutrosconsolidadoago[[#This Row],[ATUAL]])</f>
        <v>0</v>
      </c>
      <c r="Q156" s="91">
        <f>SUMIFS(tabela_registros[VALOR],tabela_registros[MÊS],$AE$1,tabela_registros[DIA],investiroutrosconsolidadoago[[#Headers],[13]],tabela_registros[REGISTRO],DADOS!$N$5,tabela_registros[TIPO],DADOS!$AB$5,tabela_registros[CATEGORIA],investiroutrosconsolidadoago[[#This Row],[ATUAL]])</f>
        <v>0</v>
      </c>
      <c r="R156" s="91">
        <f>SUMIFS(tabela_registros[VALOR],tabela_registros[MÊS],$AE$1,tabela_registros[DIA],investiroutrosconsolidadoago[[#Headers],[14]],tabela_registros[REGISTRO],DADOS!$N$5,tabela_registros[TIPO],DADOS!$AB$5,tabela_registros[CATEGORIA],investiroutrosconsolidadoago[[#This Row],[ATUAL]])</f>
        <v>0</v>
      </c>
      <c r="S156" s="91">
        <f>SUMIFS(tabela_registros[VALOR],tabela_registros[MÊS],$AE$1,tabela_registros[DIA],investiroutrosconsolidadoago[[#Headers],[15]],tabela_registros[REGISTRO],DADOS!$N$5,tabela_registros[TIPO],DADOS!$AB$5,tabela_registros[CATEGORIA],investiroutrosconsolidadoago[[#This Row],[ATUAL]])</f>
        <v>0</v>
      </c>
      <c r="T156" s="91">
        <f>SUMIFS(tabela_registros[VALOR],tabela_registros[MÊS],$AE$1,tabela_registros[DIA],investiroutrosconsolidadoago[[#Headers],[16]],tabela_registros[REGISTRO],DADOS!$N$5,tabela_registros[TIPO],DADOS!$AB$5,tabela_registros[CATEGORIA],investiroutrosconsolidadoago[[#This Row],[ATUAL]])</f>
        <v>0</v>
      </c>
      <c r="U156" s="91">
        <f>SUMIFS(tabela_registros[VALOR],tabela_registros[MÊS],$AE$1,tabela_registros[DIA],investiroutrosconsolidadoago[[#Headers],[17]],tabela_registros[REGISTRO],DADOS!$N$5,tabela_registros[TIPO],DADOS!$AB$5,tabela_registros[CATEGORIA],investiroutrosconsolidadoago[[#This Row],[ATUAL]])</f>
        <v>0</v>
      </c>
      <c r="V156" s="91">
        <f>SUMIFS(tabela_registros[VALOR],tabela_registros[MÊS],$AE$1,tabela_registros[DIA],investiroutrosconsolidadoago[[#Headers],[18]],tabela_registros[REGISTRO],DADOS!$N$5,tabela_registros[TIPO],DADOS!$AB$5,tabela_registros[CATEGORIA],investiroutrosconsolidadoago[[#This Row],[ATUAL]])</f>
        <v>0</v>
      </c>
      <c r="W156" s="91">
        <f>SUMIFS(tabela_registros[VALOR],tabela_registros[MÊS],$AE$1,tabela_registros[DIA],investiroutrosconsolidadoago[[#Headers],[19]],tabela_registros[REGISTRO],DADOS!$N$5,tabela_registros[TIPO],DADOS!$AB$5,tabela_registros[CATEGORIA],investiroutrosconsolidadoago[[#This Row],[ATUAL]])</f>
        <v>0</v>
      </c>
      <c r="X156" s="91">
        <f>SUMIFS(tabela_registros[VALOR],tabela_registros[MÊS],$AE$1,tabela_registros[DIA],investiroutrosconsolidadoago[[#Headers],[20]],tabela_registros[REGISTRO],DADOS!$N$5,tabela_registros[TIPO],DADOS!$AB$5,tabela_registros[CATEGORIA],investiroutrosconsolidadoago[[#This Row],[ATUAL]])</f>
        <v>0</v>
      </c>
      <c r="Y156" s="91">
        <f>SUMIFS(tabela_registros[VALOR],tabela_registros[MÊS],$AE$1,tabela_registros[DIA],investiroutrosconsolidadoago[[#Headers],[21]],tabela_registros[REGISTRO],DADOS!$N$5,tabela_registros[TIPO],DADOS!$AB$5,tabela_registros[CATEGORIA],investiroutrosconsolidadoago[[#This Row],[ATUAL]])</f>
        <v>0</v>
      </c>
      <c r="Z156" s="91">
        <f>SUMIFS(tabela_registros[VALOR],tabela_registros[MÊS],$AE$1,tabela_registros[DIA],investiroutrosconsolidadoago[[#Headers],[22]],tabela_registros[REGISTRO],DADOS!$N$5,tabela_registros[TIPO],DADOS!$AB$5,tabela_registros[CATEGORIA],investiroutrosconsolidadoago[[#This Row],[ATUAL]])</f>
        <v>0</v>
      </c>
      <c r="AA156" s="91">
        <f>SUMIFS(tabela_registros[VALOR],tabela_registros[MÊS],$AE$1,tabela_registros[DIA],investiroutrosconsolidadoago[[#Headers],[23]],tabela_registros[REGISTRO],DADOS!$N$5,tabela_registros[TIPO],DADOS!$AB$5,tabela_registros[CATEGORIA],investiroutrosconsolidadoago[[#This Row],[ATUAL]])</f>
        <v>0</v>
      </c>
      <c r="AB156" s="91">
        <f>SUMIFS(tabela_registros[VALOR],tabela_registros[MÊS],$AE$1,tabela_registros[DIA],investiroutrosconsolidadoago[[#Headers],[24]],tabela_registros[REGISTRO],DADOS!$N$5,tabela_registros[TIPO],DADOS!$AB$5,tabela_registros[CATEGORIA],investiroutrosconsolidadoago[[#This Row],[ATUAL]])</f>
        <v>0</v>
      </c>
      <c r="AC156" s="91">
        <f>SUMIFS(tabela_registros[VALOR],tabela_registros[MÊS],$AE$1,tabela_registros[DIA],investiroutrosconsolidadoago[[#Headers],[25]],tabela_registros[REGISTRO],DADOS!$N$5,tabela_registros[TIPO],DADOS!$AB$5,tabela_registros[CATEGORIA],investiroutrosconsolidadoago[[#This Row],[ATUAL]])</f>
        <v>0</v>
      </c>
      <c r="AD156" s="91">
        <f>SUMIFS(tabela_registros[VALOR],tabela_registros[MÊS],$AE$1,tabela_registros[DIA],investiroutrosconsolidadoago[[#Headers],[26]],tabela_registros[REGISTRO],DADOS!$N$5,tabela_registros[TIPO],DADOS!$AB$5,tabela_registros[CATEGORIA],investiroutrosconsolidadoago[[#This Row],[ATUAL]])</f>
        <v>0</v>
      </c>
      <c r="AE156" s="91">
        <f>SUMIFS(tabela_registros[VALOR],tabela_registros[MÊS],$AE$1,tabela_registros[DIA],investiroutrosconsolidadoago[[#Headers],[27]],tabela_registros[REGISTRO],DADOS!$N$5,tabela_registros[TIPO],DADOS!$AB$5,tabela_registros[CATEGORIA],investiroutrosconsolidadoago[[#This Row],[ATUAL]])</f>
        <v>0</v>
      </c>
      <c r="AF156" s="91">
        <f>SUMIFS(tabela_registros[VALOR],tabela_registros[MÊS],$AE$1,tabela_registros[DIA],investiroutrosconsolidadoago[[#Headers],[28]],tabela_registros[REGISTRO],DADOS!$N$5,tabela_registros[TIPO],DADOS!$AB$5,tabela_registros[CATEGORIA],investiroutrosconsolidadoago[[#This Row],[ATUAL]])</f>
        <v>0</v>
      </c>
      <c r="AG156" s="91">
        <f>SUMIFS(tabela_registros[VALOR],tabela_registros[MÊS],$AE$1,tabela_registros[DIA],investiroutrosconsolidadoago[[#Headers],[29]],tabela_registros[REGISTRO],DADOS!$N$5,tabela_registros[TIPO],DADOS!$AB$5,tabela_registros[CATEGORIA],investiroutrosconsolidadoago[[#This Row],[ATUAL]])</f>
        <v>0</v>
      </c>
      <c r="AH156" s="91">
        <f>SUMIFS(tabela_registros[VALOR],tabela_registros[MÊS],$AE$1,tabela_registros[DIA],investiroutrosconsolidadoago[[#Headers],[30]],tabela_registros[REGISTRO],DADOS!$N$5,tabela_registros[TIPO],DADOS!$AB$5,tabela_registros[CATEGORIA],investiroutrosconsolidadoago[[#This Row],[ATUAL]])</f>
        <v>0</v>
      </c>
      <c r="AI156" s="101">
        <f>SUMIFS(tabela_registros[VALOR],tabela_registros[MÊS],$AE$1,tabela_registros[DIA],investiroutrosconsolidadoago[[#Headers],[31]],tabela_registros[REGISTRO],DADOS!$N$5,tabela_registros[TIPO],DADOS!$AB$5,tabela_registros[CATEGORIA],investiroutrosconsolidadoago[[#This Row],[ATUAL]])</f>
        <v>0</v>
      </c>
      <c r="AJ156" s="97">
        <f>SUM(investiroutrosconsolidadoago[[#This Row],[1]:[31]])</f>
        <v>0</v>
      </c>
      <c r="AK156" s="25"/>
    </row>
    <row r="157" spans="2:37" ht="19.5" customHeight="1" thickTop="1" thickBot="1" x14ac:dyDescent="0.3">
      <c r="B157" s="28"/>
      <c r="C157" s="27" t="str">
        <f>DADOS!$AH$9</f>
        <v>📝 PREVIDÊNCIA PRIVADA</v>
      </c>
      <c r="D157" s="26" t="str">
        <f>IF(investiroutrosconsolidadoago[[#This Row],[TOTAL (R$)]]=0,"",IF(OR(investiroutrosconsolidadoago[[#This Row],[TOTAL (R$)]]=LARGE($AJ$151:$AJ$158,1),investiroutrosconsolidadoago[[#This Row],[TOTAL (R$)]]=LARGE($AJ$151:$AJ$158,2)),DADOS!$I$10,""))</f>
        <v/>
      </c>
      <c r="E157" s="96">
        <f>SUMIFS(tabela_registros[VALOR],tabela_registros[MÊS],$AE$1,tabela_registros[DIA],investiroutrosconsolidadoago[[#Headers],[1]],tabela_registros[REGISTRO],DADOS!$N$5,tabela_registros[TIPO],DADOS!$AB$5,tabela_registros[CATEGORIA],investiroutrosconsolidadoago[[#This Row],[ATUAL]])</f>
        <v>0</v>
      </c>
      <c r="F157" s="91">
        <f>SUMIFS(tabela_registros[VALOR],tabela_registros[MÊS],$AE$1,tabela_registros[DIA],investiroutrosconsolidadoago[[#Headers],[2]],tabela_registros[REGISTRO],DADOS!$N$5,tabela_registros[TIPO],DADOS!$AB$5,tabela_registros[CATEGORIA],investiroutrosconsolidadoago[[#This Row],[ATUAL]])</f>
        <v>0</v>
      </c>
      <c r="G157" s="91">
        <f>SUMIFS(tabela_registros[VALOR],tabela_registros[MÊS],$AE$1,tabela_registros[DIA],investiroutrosconsolidadoago[[#Headers],[3]],tabela_registros[REGISTRO],DADOS!$N$5,tabela_registros[TIPO],DADOS!$AB$5,tabela_registros[CATEGORIA],investiroutrosconsolidadoago[[#This Row],[ATUAL]])</f>
        <v>0</v>
      </c>
      <c r="H157" s="91">
        <f>SUMIFS(tabela_registros[VALOR],tabela_registros[MÊS],$AE$1,tabela_registros[DIA],investiroutrosconsolidadoago[[#Headers],[4]],tabela_registros[REGISTRO],DADOS!$N$5,tabela_registros[TIPO],DADOS!$AB$5,tabela_registros[CATEGORIA],investiroutrosconsolidadoago[[#This Row],[ATUAL]])</f>
        <v>0</v>
      </c>
      <c r="I157" s="91">
        <f>SUMIFS(tabela_registros[VALOR],tabela_registros[MÊS],$AE$1,tabela_registros[DIA],investiroutrosconsolidadoago[[#Headers],[5]],tabela_registros[REGISTRO],DADOS!$N$5,tabela_registros[TIPO],DADOS!$AB$5,tabela_registros[CATEGORIA],investiroutrosconsolidadoago[[#This Row],[ATUAL]])</f>
        <v>0</v>
      </c>
      <c r="J157" s="91">
        <f>SUMIFS(tabela_registros[VALOR],tabela_registros[MÊS],$AE$1,tabela_registros[DIA],investiroutrosconsolidadoago[[#Headers],[6]],tabela_registros[REGISTRO],DADOS!$N$5,tabela_registros[TIPO],DADOS!$AB$5,tabela_registros[CATEGORIA],investiroutrosconsolidadoago[[#This Row],[ATUAL]])</f>
        <v>0</v>
      </c>
      <c r="K157" s="91">
        <f>SUMIFS(tabela_registros[VALOR],tabela_registros[MÊS],$AE$1,tabela_registros[DIA],investiroutrosconsolidadoago[[#Headers],[7]],tabela_registros[REGISTRO],DADOS!$N$5,tabela_registros[TIPO],DADOS!$AB$5,tabela_registros[CATEGORIA],investiroutrosconsolidadoago[[#This Row],[ATUAL]])</f>
        <v>0</v>
      </c>
      <c r="L157" s="91">
        <f>SUMIFS(tabela_registros[VALOR],tabela_registros[MÊS],$AE$1,tabela_registros[DIA],investiroutrosconsolidadoago[[#Headers],[8]],tabela_registros[REGISTRO],DADOS!$N$5,tabela_registros[TIPO],DADOS!$AB$5,tabela_registros[CATEGORIA],investiroutrosconsolidadoago[[#This Row],[ATUAL]])</f>
        <v>0</v>
      </c>
      <c r="M157" s="91">
        <f>SUMIFS(tabela_registros[VALOR],tabela_registros[MÊS],$AE$1,tabela_registros[DIA],investiroutrosconsolidadoago[[#Headers],[9]],tabela_registros[REGISTRO],DADOS!$N$5,tabela_registros[TIPO],DADOS!$AB$5,tabela_registros[CATEGORIA],investiroutrosconsolidadoago[[#This Row],[ATUAL]])</f>
        <v>0</v>
      </c>
      <c r="N157" s="91">
        <f>SUMIFS(tabela_registros[VALOR],tabela_registros[MÊS],$AE$1,tabela_registros[DIA],investiroutrosconsolidadoago[[#Headers],[10]],tabela_registros[REGISTRO],DADOS!$N$5,tabela_registros[TIPO],DADOS!$AB$5,tabela_registros[CATEGORIA],investiroutrosconsolidadoago[[#This Row],[ATUAL]])</f>
        <v>0</v>
      </c>
      <c r="O157" s="91">
        <f>SUMIFS(tabela_registros[VALOR],tabela_registros[MÊS],$AE$1,tabela_registros[DIA],investiroutrosconsolidadoago[[#Headers],[11]],tabela_registros[REGISTRO],DADOS!$N$5,tabela_registros[TIPO],DADOS!$AB$5,tabela_registros[CATEGORIA],investiroutrosconsolidadoago[[#This Row],[ATUAL]])</f>
        <v>0</v>
      </c>
      <c r="P157" s="91">
        <f>SUMIFS(tabela_registros[VALOR],tabela_registros[MÊS],$AE$1,tabela_registros[DIA],investiroutrosconsolidadoago[[#Headers],[12]],tabela_registros[REGISTRO],DADOS!$N$5,tabela_registros[TIPO],DADOS!$AB$5,tabela_registros[CATEGORIA],investiroutrosconsolidadoago[[#This Row],[ATUAL]])</f>
        <v>0</v>
      </c>
      <c r="Q157" s="91">
        <f>SUMIFS(tabela_registros[VALOR],tabela_registros[MÊS],$AE$1,tabela_registros[DIA],investiroutrosconsolidadoago[[#Headers],[13]],tabela_registros[REGISTRO],DADOS!$N$5,tabela_registros[TIPO],DADOS!$AB$5,tabela_registros[CATEGORIA],investiroutrosconsolidadoago[[#This Row],[ATUAL]])</f>
        <v>0</v>
      </c>
      <c r="R157" s="91">
        <f>SUMIFS(tabela_registros[VALOR],tabela_registros[MÊS],$AE$1,tabela_registros[DIA],investiroutrosconsolidadoago[[#Headers],[14]],tabela_registros[REGISTRO],DADOS!$N$5,tabela_registros[TIPO],DADOS!$AB$5,tabela_registros[CATEGORIA],investiroutrosconsolidadoago[[#This Row],[ATUAL]])</f>
        <v>0</v>
      </c>
      <c r="S157" s="91">
        <f>SUMIFS(tabela_registros[VALOR],tabela_registros[MÊS],$AE$1,tabela_registros[DIA],investiroutrosconsolidadoago[[#Headers],[15]],tabela_registros[REGISTRO],DADOS!$N$5,tabela_registros[TIPO],DADOS!$AB$5,tabela_registros[CATEGORIA],investiroutrosconsolidadoago[[#This Row],[ATUAL]])</f>
        <v>0</v>
      </c>
      <c r="T157" s="91">
        <f>SUMIFS(tabela_registros[VALOR],tabela_registros[MÊS],$AE$1,tabela_registros[DIA],investiroutrosconsolidadoago[[#Headers],[16]],tabela_registros[REGISTRO],DADOS!$N$5,tabela_registros[TIPO],DADOS!$AB$5,tabela_registros[CATEGORIA],investiroutrosconsolidadoago[[#This Row],[ATUAL]])</f>
        <v>0</v>
      </c>
      <c r="U157" s="91">
        <f>SUMIFS(tabela_registros[VALOR],tabela_registros[MÊS],$AE$1,tabela_registros[DIA],investiroutrosconsolidadoago[[#Headers],[17]],tabela_registros[REGISTRO],DADOS!$N$5,tabela_registros[TIPO],DADOS!$AB$5,tabela_registros[CATEGORIA],investiroutrosconsolidadoago[[#This Row],[ATUAL]])</f>
        <v>0</v>
      </c>
      <c r="V157" s="91">
        <f>SUMIFS(tabela_registros[VALOR],tabela_registros[MÊS],$AE$1,tabela_registros[DIA],investiroutrosconsolidadoago[[#Headers],[18]],tabela_registros[REGISTRO],DADOS!$N$5,tabela_registros[TIPO],DADOS!$AB$5,tabela_registros[CATEGORIA],investiroutrosconsolidadoago[[#This Row],[ATUAL]])</f>
        <v>0</v>
      </c>
      <c r="W157" s="91">
        <f>SUMIFS(tabela_registros[VALOR],tabela_registros[MÊS],$AE$1,tabela_registros[DIA],investiroutrosconsolidadoago[[#Headers],[19]],tabela_registros[REGISTRO],DADOS!$N$5,tabela_registros[TIPO],DADOS!$AB$5,tabela_registros[CATEGORIA],investiroutrosconsolidadoago[[#This Row],[ATUAL]])</f>
        <v>0</v>
      </c>
      <c r="X157" s="91">
        <f>SUMIFS(tabela_registros[VALOR],tabela_registros[MÊS],$AE$1,tabela_registros[DIA],investiroutrosconsolidadoago[[#Headers],[20]],tabela_registros[REGISTRO],DADOS!$N$5,tabela_registros[TIPO],DADOS!$AB$5,tabela_registros[CATEGORIA],investiroutrosconsolidadoago[[#This Row],[ATUAL]])</f>
        <v>0</v>
      </c>
      <c r="Y157" s="91">
        <f>SUMIFS(tabela_registros[VALOR],tabela_registros[MÊS],$AE$1,tabela_registros[DIA],investiroutrosconsolidadoago[[#Headers],[21]],tabela_registros[REGISTRO],DADOS!$N$5,tabela_registros[TIPO],DADOS!$AB$5,tabela_registros[CATEGORIA],investiroutrosconsolidadoago[[#This Row],[ATUAL]])</f>
        <v>0</v>
      </c>
      <c r="Z157" s="91">
        <f>SUMIFS(tabela_registros[VALOR],tabela_registros[MÊS],$AE$1,tabela_registros[DIA],investiroutrosconsolidadoago[[#Headers],[22]],tabela_registros[REGISTRO],DADOS!$N$5,tabela_registros[TIPO],DADOS!$AB$5,tabela_registros[CATEGORIA],investiroutrosconsolidadoago[[#This Row],[ATUAL]])</f>
        <v>0</v>
      </c>
      <c r="AA157" s="91">
        <f>SUMIFS(tabela_registros[VALOR],tabela_registros[MÊS],$AE$1,tabela_registros[DIA],investiroutrosconsolidadoago[[#Headers],[23]],tabela_registros[REGISTRO],DADOS!$N$5,tabela_registros[TIPO],DADOS!$AB$5,tabela_registros[CATEGORIA],investiroutrosconsolidadoago[[#This Row],[ATUAL]])</f>
        <v>0</v>
      </c>
      <c r="AB157" s="91">
        <f>SUMIFS(tabela_registros[VALOR],tabela_registros[MÊS],$AE$1,tabela_registros[DIA],investiroutrosconsolidadoago[[#Headers],[24]],tabela_registros[REGISTRO],DADOS!$N$5,tabela_registros[TIPO],DADOS!$AB$5,tabela_registros[CATEGORIA],investiroutrosconsolidadoago[[#This Row],[ATUAL]])</f>
        <v>0</v>
      </c>
      <c r="AC157" s="91">
        <f>SUMIFS(tabela_registros[VALOR],tabela_registros[MÊS],$AE$1,tabela_registros[DIA],investiroutrosconsolidadoago[[#Headers],[25]],tabela_registros[REGISTRO],DADOS!$N$5,tabela_registros[TIPO],DADOS!$AB$5,tabela_registros[CATEGORIA],investiroutrosconsolidadoago[[#This Row],[ATUAL]])</f>
        <v>0</v>
      </c>
      <c r="AD157" s="91">
        <f>SUMIFS(tabela_registros[VALOR],tabela_registros[MÊS],$AE$1,tabela_registros[DIA],investiroutrosconsolidadoago[[#Headers],[26]],tabela_registros[REGISTRO],DADOS!$N$5,tabela_registros[TIPO],DADOS!$AB$5,tabela_registros[CATEGORIA],investiroutrosconsolidadoago[[#This Row],[ATUAL]])</f>
        <v>0</v>
      </c>
      <c r="AE157" s="91">
        <f>SUMIFS(tabela_registros[VALOR],tabela_registros[MÊS],$AE$1,tabela_registros[DIA],investiroutrosconsolidadoago[[#Headers],[27]],tabela_registros[REGISTRO],DADOS!$N$5,tabela_registros[TIPO],DADOS!$AB$5,tabela_registros[CATEGORIA],investiroutrosconsolidadoago[[#This Row],[ATUAL]])</f>
        <v>0</v>
      </c>
      <c r="AF157" s="91">
        <f>SUMIFS(tabela_registros[VALOR],tabela_registros[MÊS],$AE$1,tabela_registros[DIA],investiroutrosconsolidadoago[[#Headers],[28]],tabela_registros[REGISTRO],DADOS!$N$5,tabela_registros[TIPO],DADOS!$AB$5,tabela_registros[CATEGORIA],investiroutrosconsolidadoago[[#This Row],[ATUAL]])</f>
        <v>0</v>
      </c>
      <c r="AG157" s="91">
        <f>SUMIFS(tabela_registros[VALOR],tabela_registros[MÊS],$AE$1,tabela_registros[DIA],investiroutrosconsolidadoago[[#Headers],[29]],tabela_registros[REGISTRO],DADOS!$N$5,tabela_registros[TIPO],DADOS!$AB$5,tabela_registros[CATEGORIA],investiroutrosconsolidadoago[[#This Row],[ATUAL]])</f>
        <v>0</v>
      </c>
      <c r="AH157" s="91">
        <f>SUMIFS(tabela_registros[VALOR],tabela_registros[MÊS],$AE$1,tabela_registros[DIA],investiroutrosconsolidadoago[[#Headers],[30]],tabela_registros[REGISTRO],DADOS!$N$5,tabela_registros[TIPO],DADOS!$AB$5,tabela_registros[CATEGORIA],investiroutrosconsolidadoago[[#This Row],[ATUAL]])</f>
        <v>0</v>
      </c>
      <c r="AI157" s="101">
        <f>SUMIFS(tabela_registros[VALOR],tabela_registros[MÊS],$AE$1,tabela_registros[DIA],investiroutrosconsolidadoago[[#Headers],[31]],tabela_registros[REGISTRO],DADOS!$N$5,tabela_registros[TIPO],DADOS!$AB$5,tabela_registros[CATEGORIA],investiroutrosconsolidadoago[[#This Row],[ATUAL]])</f>
        <v>0</v>
      </c>
      <c r="AJ157" s="97">
        <f>SUM(investiroutrosconsolidadoago[[#This Row],[1]:[31]])</f>
        <v>0</v>
      </c>
      <c r="AK157" s="25"/>
    </row>
    <row r="158" spans="2:37" ht="19.5" customHeight="1" thickTop="1" thickBot="1" x14ac:dyDescent="0.3">
      <c r="B158" s="28"/>
      <c r="C158" s="27" t="str">
        <f>DADOS!$AH$10</f>
        <v>📎 OUTROS</v>
      </c>
      <c r="D158" s="26" t="str">
        <f>IF(investiroutrosconsolidadoago[[#This Row],[TOTAL (R$)]]=0,"",IF(OR(investiroutrosconsolidadoago[[#This Row],[TOTAL (R$)]]=LARGE($AJ$151:$AJ$158,1),investiroutrosconsolidadoago[[#This Row],[TOTAL (R$)]]=LARGE($AJ$151:$AJ$158,2)),DADOS!$I$10,""))</f>
        <v/>
      </c>
      <c r="E158" s="96">
        <f>SUMIFS(tabela_registros[VALOR],tabela_registros[MÊS],$AE$1,tabela_registros[DIA],investiroutrosconsolidadoago[[#Headers],[1]],tabela_registros[REGISTRO],DADOS!$N$5,tabela_registros[TIPO],DADOS!$AB$5,tabela_registros[CATEGORIA],investiroutrosconsolidadoago[[#This Row],[ATUAL]])</f>
        <v>0</v>
      </c>
      <c r="F158" s="91">
        <f>SUMIFS(tabela_registros[VALOR],tabela_registros[MÊS],$AE$1,tabela_registros[DIA],investiroutrosconsolidadoago[[#Headers],[2]],tabela_registros[REGISTRO],DADOS!$N$5,tabela_registros[TIPO],DADOS!$AB$5,tabela_registros[CATEGORIA],investiroutrosconsolidadoago[[#This Row],[ATUAL]])</f>
        <v>0</v>
      </c>
      <c r="G158" s="91">
        <f>SUMIFS(tabela_registros[VALOR],tabela_registros[MÊS],$AE$1,tabela_registros[DIA],investiroutrosconsolidadoago[[#Headers],[3]],tabela_registros[REGISTRO],DADOS!$N$5,tabela_registros[TIPO],DADOS!$AB$5,tabela_registros[CATEGORIA],investiroutrosconsolidadoago[[#This Row],[ATUAL]])</f>
        <v>0</v>
      </c>
      <c r="H158" s="91">
        <f>SUMIFS(tabela_registros[VALOR],tabela_registros[MÊS],$AE$1,tabela_registros[DIA],investiroutrosconsolidadoago[[#Headers],[4]],tabela_registros[REGISTRO],DADOS!$N$5,tabela_registros[TIPO],DADOS!$AB$5,tabela_registros[CATEGORIA],investiroutrosconsolidadoago[[#This Row],[ATUAL]])</f>
        <v>0</v>
      </c>
      <c r="I158" s="91">
        <f>SUMIFS(tabela_registros[VALOR],tabela_registros[MÊS],$AE$1,tabela_registros[DIA],investiroutrosconsolidadoago[[#Headers],[5]],tabela_registros[REGISTRO],DADOS!$N$5,tabela_registros[TIPO],DADOS!$AB$5,tabela_registros[CATEGORIA],investiroutrosconsolidadoago[[#This Row],[ATUAL]])</f>
        <v>0</v>
      </c>
      <c r="J158" s="91">
        <f>SUMIFS(tabela_registros[VALOR],tabela_registros[MÊS],$AE$1,tabela_registros[DIA],investiroutrosconsolidadoago[[#Headers],[6]],tabela_registros[REGISTRO],DADOS!$N$5,tabela_registros[TIPO],DADOS!$AB$5,tabela_registros[CATEGORIA],investiroutrosconsolidadoago[[#This Row],[ATUAL]])</f>
        <v>0</v>
      </c>
      <c r="K158" s="91">
        <f>SUMIFS(tabela_registros[VALOR],tabela_registros[MÊS],$AE$1,tabela_registros[DIA],investiroutrosconsolidadoago[[#Headers],[7]],tabela_registros[REGISTRO],DADOS!$N$5,tabela_registros[TIPO],DADOS!$AB$5,tabela_registros[CATEGORIA],investiroutrosconsolidadoago[[#This Row],[ATUAL]])</f>
        <v>0</v>
      </c>
      <c r="L158" s="91">
        <f>SUMIFS(tabela_registros[VALOR],tabela_registros[MÊS],$AE$1,tabela_registros[DIA],investiroutrosconsolidadoago[[#Headers],[8]],tabela_registros[REGISTRO],DADOS!$N$5,tabela_registros[TIPO],DADOS!$AB$5,tabela_registros[CATEGORIA],investiroutrosconsolidadoago[[#This Row],[ATUAL]])</f>
        <v>0</v>
      </c>
      <c r="M158" s="91">
        <f>SUMIFS(tabela_registros[VALOR],tabela_registros[MÊS],$AE$1,tabela_registros[DIA],investiroutrosconsolidadoago[[#Headers],[9]],tabela_registros[REGISTRO],DADOS!$N$5,tabela_registros[TIPO],DADOS!$AB$5,tabela_registros[CATEGORIA],investiroutrosconsolidadoago[[#This Row],[ATUAL]])</f>
        <v>0</v>
      </c>
      <c r="N158" s="91">
        <f>SUMIFS(tabela_registros[VALOR],tabela_registros[MÊS],$AE$1,tabela_registros[DIA],investiroutrosconsolidadoago[[#Headers],[10]],tabela_registros[REGISTRO],DADOS!$N$5,tabela_registros[TIPO],DADOS!$AB$5,tabela_registros[CATEGORIA],investiroutrosconsolidadoago[[#This Row],[ATUAL]])</f>
        <v>0</v>
      </c>
      <c r="O158" s="91">
        <f>SUMIFS(tabela_registros[VALOR],tabela_registros[MÊS],$AE$1,tabela_registros[DIA],investiroutrosconsolidadoago[[#Headers],[11]],tabela_registros[REGISTRO],DADOS!$N$5,tabela_registros[TIPO],DADOS!$AB$5,tabela_registros[CATEGORIA],investiroutrosconsolidadoago[[#This Row],[ATUAL]])</f>
        <v>0</v>
      </c>
      <c r="P158" s="91">
        <f>SUMIFS(tabela_registros[VALOR],tabela_registros[MÊS],$AE$1,tabela_registros[DIA],investiroutrosconsolidadoago[[#Headers],[12]],tabela_registros[REGISTRO],DADOS!$N$5,tabela_registros[TIPO],DADOS!$AB$5,tabela_registros[CATEGORIA],investiroutrosconsolidadoago[[#This Row],[ATUAL]])</f>
        <v>0</v>
      </c>
      <c r="Q158" s="91">
        <f>SUMIFS(tabela_registros[VALOR],tabela_registros[MÊS],$AE$1,tabela_registros[DIA],investiroutrosconsolidadoago[[#Headers],[13]],tabela_registros[REGISTRO],DADOS!$N$5,tabela_registros[TIPO],DADOS!$AB$5,tabela_registros[CATEGORIA],investiroutrosconsolidadoago[[#This Row],[ATUAL]])</f>
        <v>0</v>
      </c>
      <c r="R158" s="91">
        <f>SUMIFS(tabela_registros[VALOR],tabela_registros[MÊS],$AE$1,tabela_registros[DIA],investiroutrosconsolidadoago[[#Headers],[14]],tabela_registros[REGISTRO],DADOS!$N$5,tabela_registros[TIPO],DADOS!$AB$5,tabela_registros[CATEGORIA],investiroutrosconsolidadoago[[#This Row],[ATUAL]])</f>
        <v>0</v>
      </c>
      <c r="S158" s="91">
        <f>SUMIFS(tabela_registros[VALOR],tabela_registros[MÊS],$AE$1,tabela_registros[DIA],investiroutrosconsolidadoago[[#Headers],[15]],tabela_registros[REGISTRO],DADOS!$N$5,tabela_registros[TIPO],DADOS!$AB$5,tabela_registros[CATEGORIA],investiroutrosconsolidadoago[[#This Row],[ATUAL]])</f>
        <v>0</v>
      </c>
      <c r="T158" s="91">
        <f>SUMIFS(tabela_registros[VALOR],tabela_registros[MÊS],$AE$1,tabela_registros[DIA],investiroutrosconsolidadoago[[#Headers],[16]],tabela_registros[REGISTRO],DADOS!$N$5,tabela_registros[TIPO],DADOS!$AB$5,tabela_registros[CATEGORIA],investiroutrosconsolidadoago[[#This Row],[ATUAL]])</f>
        <v>0</v>
      </c>
      <c r="U158" s="91">
        <f>SUMIFS(tabela_registros[VALOR],tabela_registros[MÊS],$AE$1,tabela_registros[DIA],investiroutrosconsolidadoago[[#Headers],[17]],tabela_registros[REGISTRO],DADOS!$N$5,tabela_registros[TIPO],DADOS!$AB$5,tabela_registros[CATEGORIA],investiroutrosconsolidadoago[[#This Row],[ATUAL]])</f>
        <v>0</v>
      </c>
      <c r="V158" s="91">
        <f>SUMIFS(tabela_registros[VALOR],tabela_registros[MÊS],$AE$1,tabela_registros[DIA],investiroutrosconsolidadoago[[#Headers],[18]],tabela_registros[REGISTRO],DADOS!$N$5,tabela_registros[TIPO],DADOS!$AB$5,tabela_registros[CATEGORIA],investiroutrosconsolidadoago[[#This Row],[ATUAL]])</f>
        <v>0</v>
      </c>
      <c r="W158" s="91">
        <f>SUMIFS(tabela_registros[VALOR],tabela_registros[MÊS],$AE$1,tabela_registros[DIA],investiroutrosconsolidadoago[[#Headers],[19]],tabela_registros[REGISTRO],DADOS!$N$5,tabela_registros[TIPO],DADOS!$AB$5,tabela_registros[CATEGORIA],investiroutrosconsolidadoago[[#This Row],[ATUAL]])</f>
        <v>0</v>
      </c>
      <c r="X158" s="91">
        <f>SUMIFS(tabela_registros[VALOR],tabela_registros[MÊS],$AE$1,tabela_registros[DIA],investiroutrosconsolidadoago[[#Headers],[20]],tabela_registros[REGISTRO],DADOS!$N$5,tabela_registros[TIPO],DADOS!$AB$5,tabela_registros[CATEGORIA],investiroutrosconsolidadoago[[#This Row],[ATUAL]])</f>
        <v>0</v>
      </c>
      <c r="Y158" s="91">
        <f>SUMIFS(tabela_registros[VALOR],tabela_registros[MÊS],$AE$1,tabela_registros[DIA],investiroutrosconsolidadoago[[#Headers],[21]],tabela_registros[REGISTRO],DADOS!$N$5,tabela_registros[TIPO],DADOS!$AB$5,tabela_registros[CATEGORIA],investiroutrosconsolidadoago[[#This Row],[ATUAL]])</f>
        <v>0</v>
      </c>
      <c r="Z158" s="91">
        <f>SUMIFS(tabela_registros[VALOR],tabela_registros[MÊS],$AE$1,tabela_registros[DIA],investiroutrosconsolidadoago[[#Headers],[22]],tabela_registros[REGISTRO],DADOS!$N$5,tabela_registros[TIPO],DADOS!$AB$5,tabela_registros[CATEGORIA],investiroutrosconsolidadoago[[#This Row],[ATUAL]])</f>
        <v>0</v>
      </c>
      <c r="AA158" s="91">
        <f>SUMIFS(tabela_registros[VALOR],tabela_registros[MÊS],$AE$1,tabela_registros[DIA],investiroutrosconsolidadoago[[#Headers],[23]],tabela_registros[REGISTRO],DADOS!$N$5,tabela_registros[TIPO],DADOS!$AB$5,tabela_registros[CATEGORIA],investiroutrosconsolidadoago[[#This Row],[ATUAL]])</f>
        <v>0</v>
      </c>
      <c r="AB158" s="91">
        <f>SUMIFS(tabela_registros[VALOR],tabela_registros[MÊS],$AE$1,tabela_registros[DIA],investiroutrosconsolidadoago[[#Headers],[24]],tabela_registros[REGISTRO],DADOS!$N$5,tabela_registros[TIPO],DADOS!$AB$5,tabela_registros[CATEGORIA],investiroutrosconsolidadoago[[#This Row],[ATUAL]])</f>
        <v>0</v>
      </c>
      <c r="AC158" s="91">
        <f>SUMIFS(tabela_registros[VALOR],tabela_registros[MÊS],$AE$1,tabela_registros[DIA],investiroutrosconsolidadoago[[#Headers],[25]],tabela_registros[REGISTRO],DADOS!$N$5,tabela_registros[TIPO],DADOS!$AB$5,tabela_registros[CATEGORIA],investiroutrosconsolidadoago[[#This Row],[ATUAL]])</f>
        <v>0</v>
      </c>
      <c r="AD158" s="91">
        <f>SUMIFS(tabela_registros[VALOR],tabela_registros[MÊS],$AE$1,tabela_registros[DIA],investiroutrosconsolidadoago[[#Headers],[26]],tabela_registros[REGISTRO],DADOS!$N$5,tabela_registros[TIPO],DADOS!$AB$5,tabela_registros[CATEGORIA],investiroutrosconsolidadoago[[#This Row],[ATUAL]])</f>
        <v>0</v>
      </c>
      <c r="AE158" s="91">
        <f>SUMIFS(tabela_registros[VALOR],tabela_registros[MÊS],$AE$1,tabela_registros[DIA],investiroutrosconsolidadoago[[#Headers],[27]],tabela_registros[REGISTRO],DADOS!$N$5,tabela_registros[TIPO],DADOS!$AB$5,tabela_registros[CATEGORIA],investiroutrosconsolidadoago[[#This Row],[ATUAL]])</f>
        <v>0</v>
      </c>
      <c r="AF158" s="91">
        <f>SUMIFS(tabela_registros[VALOR],tabela_registros[MÊS],$AE$1,tabela_registros[DIA],investiroutrosconsolidadoago[[#Headers],[28]],tabela_registros[REGISTRO],DADOS!$N$5,tabela_registros[TIPO],DADOS!$AB$5,tabela_registros[CATEGORIA],investiroutrosconsolidadoago[[#This Row],[ATUAL]])</f>
        <v>0</v>
      </c>
      <c r="AG158" s="91">
        <f>SUMIFS(tabela_registros[VALOR],tabela_registros[MÊS],$AE$1,tabela_registros[DIA],investiroutrosconsolidadoago[[#Headers],[29]],tabela_registros[REGISTRO],DADOS!$N$5,tabela_registros[TIPO],DADOS!$AB$5,tabela_registros[CATEGORIA],investiroutrosconsolidadoago[[#This Row],[ATUAL]])</f>
        <v>0</v>
      </c>
      <c r="AH158" s="91">
        <f>SUMIFS(tabela_registros[VALOR],tabela_registros[MÊS],$AE$1,tabela_registros[DIA],investiroutrosconsolidadoago[[#Headers],[30]],tabela_registros[REGISTRO],DADOS!$N$5,tabela_registros[TIPO],DADOS!$AB$5,tabela_registros[CATEGORIA],investiroutrosconsolidadoago[[#This Row],[ATUAL]])</f>
        <v>0</v>
      </c>
      <c r="AI158" s="102">
        <f>SUMIFS(tabela_registros[VALOR],tabela_registros[MÊS],$AE$1,tabela_registros[DIA],investiroutrosconsolidadoago[[#Headers],[31]],tabela_registros[REGISTRO],DADOS!$N$5,tabela_registros[TIPO],DADOS!$AB$5,tabela_registros[CATEGORIA],investiroutrosconsolidadoago[[#This Row],[ATUAL]])</f>
        <v>0</v>
      </c>
      <c r="AJ158" s="97">
        <f>SUM(investiroutrosconsolidadoago[[#This Row],[1]:[31]])</f>
        <v>0</v>
      </c>
      <c r="AK158" s="25"/>
    </row>
    <row r="159" spans="2:37" s="16" customFormat="1" ht="21" customHeight="1" thickTop="1" thickBot="1" x14ac:dyDescent="0.35">
      <c r="B159" s="24"/>
      <c r="C159" s="23" t="s">
        <v>19</v>
      </c>
      <c r="D159" s="22"/>
      <c r="E159" s="21">
        <f>SUM(E151:E158)</f>
        <v>0</v>
      </c>
      <c r="F159" s="20">
        <f>SUM(F151:F158)+investiroutrosconsolidadoago[[#This Row],[1]]</f>
        <v>0</v>
      </c>
      <c r="G159" s="20">
        <f>SUM(G151:G158)+investiroutrosconsolidadoago[[#This Row],[2]]</f>
        <v>0</v>
      </c>
      <c r="H159" s="20">
        <f>SUM(H151:H158)+investiroutrosconsolidadoago[[#This Row],[3]]</f>
        <v>0</v>
      </c>
      <c r="I159" s="20">
        <f>SUM(I151:I158)+investiroutrosconsolidadoago[[#This Row],[4]]</f>
        <v>0</v>
      </c>
      <c r="J159" s="20">
        <f>SUM(J151:J158)+investiroutrosconsolidadoago[[#This Row],[5]]</f>
        <v>0</v>
      </c>
      <c r="K159" s="20">
        <f>SUM(K151:K158)+investiroutrosconsolidadoago[[#This Row],[6]]</f>
        <v>0</v>
      </c>
      <c r="L159" s="20">
        <f>SUM(L151:L158)+investiroutrosconsolidadoago[[#This Row],[7]]</f>
        <v>0</v>
      </c>
      <c r="M159" s="20">
        <f>SUM(M151:M158)+investiroutrosconsolidadoago[[#This Row],[8]]</f>
        <v>0</v>
      </c>
      <c r="N159" s="20">
        <f>SUM(N151:N158)+investiroutrosconsolidadoago[[#This Row],[9]]</f>
        <v>0</v>
      </c>
      <c r="O159" s="20">
        <f>SUM(O151:O158)+investiroutrosconsolidadoago[[#This Row],[10]]</f>
        <v>0</v>
      </c>
      <c r="P159" s="20">
        <f>SUM(P151:P158)+investiroutrosconsolidadoago[[#This Row],[11]]</f>
        <v>0</v>
      </c>
      <c r="Q159" s="20">
        <f>SUM(Q151:Q158)+investiroutrosconsolidadoago[[#This Row],[12]]</f>
        <v>0</v>
      </c>
      <c r="R159" s="20">
        <f>SUM(R151:R158)+investiroutrosconsolidadoago[[#This Row],[13]]</f>
        <v>0</v>
      </c>
      <c r="S159" s="20">
        <f>SUM(S151:S158)+investiroutrosconsolidadoago[[#This Row],[14]]</f>
        <v>0</v>
      </c>
      <c r="T159" s="20">
        <f>SUM(T151:T158)+investiroutrosconsolidadoago[[#This Row],[15]]</f>
        <v>0</v>
      </c>
      <c r="U159" s="20">
        <f>SUM(U151:U158)+investiroutrosconsolidadoago[[#This Row],[16]]</f>
        <v>0</v>
      </c>
      <c r="V159" s="20">
        <f>SUM(V151:V158)+investiroutrosconsolidadoago[[#This Row],[17]]</f>
        <v>0</v>
      </c>
      <c r="W159" s="20">
        <f>SUM(W151:W158)+investiroutrosconsolidadoago[[#This Row],[18]]</f>
        <v>0</v>
      </c>
      <c r="X159" s="20">
        <f>SUM(X151:X158)+investiroutrosconsolidadoago[[#This Row],[19]]</f>
        <v>0</v>
      </c>
      <c r="Y159" s="20">
        <f>SUM(Y151:Y158)+investiroutrosconsolidadoago[[#This Row],[20]]</f>
        <v>0</v>
      </c>
      <c r="Z159" s="20">
        <f>SUM(Z151:Z158)+investiroutrosconsolidadoago[[#This Row],[21]]</f>
        <v>0</v>
      </c>
      <c r="AA159" s="20">
        <f>SUM(AA151:AA158)+investiroutrosconsolidadoago[[#This Row],[22]]</f>
        <v>0</v>
      </c>
      <c r="AB159" s="20">
        <f>SUM(AB151:AB158)+investiroutrosconsolidadoago[[#This Row],[23]]</f>
        <v>0</v>
      </c>
      <c r="AC159" s="20">
        <f>SUM(AC151:AC158)+investiroutrosconsolidadoago[[#This Row],[24]]</f>
        <v>0</v>
      </c>
      <c r="AD159" s="20">
        <f>SUM(AD151:AD158)+investiroutrosconsolidadoago[[#This Row],[25]]</f>
        <v>0</v>
      </c>
      <c r="AE159" s="20">
        <f>SUM(AE151:AE158)+investiroutrosconsolidadoago[[#This Row],[26]]</f>
        <v>0</v>
      </c>
      <c r="AF159" s="20">
        <f>SUM(AF151:AF158)+investiroutrosconsolidadoago[[#This Row],[27]]</f>
        <v>0</v>
      </c>
      <c r="AG159" s="20">
        <f>SUM(AG151:AG158)+investiroutrosconsolidadoago[[#This Row],[28]]</f>
        <v>0</v>
      </c>
      <c r="AH159" s="20">
        <f>SUM(AH151:AH158)+investiroutrosconsolidadoago[[#This Row],[29]]</f>
        <v>0</v>
      </c>
      <c r="AI159" s="19">
        <f>SUM(AI151:AI158)+investiroutrosconsolidadoago[[#This Row],[30]]</f>
        <v>0</v>
      </c>
      <c r="AJ159" s="18">
        <f>investiroutrosconsolidadoago[[#This Row],[31]]</f>
        <v>0</v>
      </c>
      <c r="AK159" s="17"/>
    </row>
    <row r="160" spans="2:37" ht="6.75" customHeight="1" thickTop="1" thickBot="1" x14ac:dyDescent="0.3">
      <c r="B160" s="15"/>
      <c r="C160" s="14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  <c r="AA160" s="13"/>
      <c r="AB160" s="13"/>
      <c r="AC160" s="13"/>
      <c r="AD160" s="13"/>
      <c r="AE160" s="13"/>
      <c r="AF160" s="13"/>
      <c r="AG160" s="13"/>
      <c r="AH160" s="13"/>
      <c r="AI160" s="12"/>
      <c r="AJ160" s="11"/>
      <c r="AK160" s="10"/>
    </row>
    <row r="161" spans="2:37" ht="12.6" thickTop="1" x14ac:dyDescent="0.25">
      <c r="E161" s="37"/>
      <c r="AI161" s="4"/>
    </row>
    <row r="162" spans="2:37" x14ac:dyDescent="0.25">
      <c r="AI162" s="4"/>
    </row>
    <row r="163" spans="2:37" x14ac:dyDescent="0.25">
      <c r="AI163" s="4"/>
    </row>
    <row r="164" spans="2:37" ht="39.75" customHeight="1" x14ac:dyDescent="0.7">
      <c r="C164" s="36"/>
      <c r="E164" s="240"/>
      <c r="F164" s="240"/>
      <c r="G164" s="240"/>
      <c r="H164" s="240"/>
      <c r="I164" s="240"/>
      <c r="J164" s="240"/>
      <c r="K164" s="240"/>
      <c r="L164" s="240"/>
      <c r="M164" s="240"/>
      <c r="N164" s="240"/>
      <c r="O164" s="240"/>
      <c r="P164" s="240"/>
      <c r="Q164" s="240"/>
      <c r="R164" s="240"/>
      <c r="S164" s="240"/>
      <c r="T164" s="240"/>
      <c r="U164" s="240"/>
      <c r="V164" s="240"/>
      <c r="W164" s="240"/>
      <c r="X164" s="240"/>
      <c r="Y164" s="240"/>
      <c r="Z164" s="240"/>
      <c r="AA164" s="240"/>
      <c r="AB164" s="240"/>
      <c r="AC164" s="240"/>
      <c r="AD164" s="240"/>
      <c r="AE164" s="240"/>
      <c r="AF164" s="240"/>
      <c r="AG164" s="240"/>
      <c r="AH164" s="240"/>
      <c r="AI164" s="240"/>
      <c r="AJ164" s="32" t="s">
        <v>19</v>
      </c>
    </row>
    <row r="165" spans="2:37" ht="12.6" thickBot="1" x14ac:dyDescent="0.3">
      <c r="B165" s="35"/>
      <c r="AI165" s="4"/>
      <c r="AJ165" s="34" t="s">
        <v>202</v>
      </c>
    </row>
    <row r="166" spans="2:37" ht="6.75" customHeight="1" thickTop="1" thickBot="1" x14ac:dyDescent="0.3">
      <c r="B166" s="2"/>
      <c r="C166" s="14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F166" s="13"/>
      <c r="AG166" s="13"/>
      <c r="AH166" s="13"/>
      <c r="AI166" s="13"/>
      <c r="AJ166" s="12"/>
      <c r="AK166" s="33"/>
    </row>
    <row r="167" spans="2:37" ht="13.2" hidden="1" thickTop="1" thickBot="1" x14ac:dyDescent="0.3">
      <c r="B167" s="2"/>
      <c r="C167" s="31" t="s">
        <v>199</v>
      </c>
      <c r="D167" s="30" t="s">
        <v>198</v>
      </c>
      <c r="E167" s="30" t="s">
        <v>197</v>
      </c>
      <c r="F167" s="30" t="s">
        <v>196</v>
      </c>
      <c r="G167" s="30" t="s">
        <v>195</v>
      </c>
      <c r="H167" s="30" t="s">
        <v>194</v>
      </c>
      <c r="I167" s="30" t="s">
        <v>193</v>
      </c>
      <c r="J167" s="30" t="s">
        <v>192</v>
      </c>
      <c r="K167" s="30" t="s">
        <v>191</v>
      </c>
      <c r="L167" s="30" t="s">
        <v>190</v>
      </c>
      <c r="M167" s="30" t="s">
        <v>189</v>
      </c>
      <c r="N167" s="30" t="s">
        <v>188</v>
      </c>
      <c r="O167" s="30" t="s">
        <v>187</v>
      </c>
      <c r="P167" s="30" t="s">
        <v>186</v>
      </c>
      <c r="Q167" s="30" t="s">
        <v>185</v>
      </c>
      <c r="R167" s="30" t="s">
        <v>184</v>
      </c>
      <c r="S167" s="30" t="s">
        <v>183</v>
      </c>
      <c r="T167" s="30" t="s">
        <v>182</v>
      </c>
      <c r="U167" s="30" t="s">
        <v>181</v>
      </c>
      <c r="V167" s="30" t="s">
        <v>180</v>
      </c>
      <c r="W167" s="30" t="s">
        <v>179</v>
      </c>
      <c r="X167" s="30" t="s">
        <v>178</v>
      </c>
      <c r="Y167" s="30" t="s">
        <v>177</v>
      </c>
      <c r="Z167" s="30" t="s">
        <v>176</v>
      </c>
      <c r="AA167" s="30" t="s">
        <v>175</v>
      </c>
      <c r="AB167" s="30" t="s">
        <v>174</v>
      </c>
      <c r="AC167" s="30" t="s">
        <v>173</v>
      </c>
      <c r="AD167" s="30" t="s">
        <v>172</v>
      </c>
      <c r="AE167" s="30" t="s">
        <v>171</v>
      </c>
      <c r="AF167" s="30" t="s">
        <v>170</v>
      </c>
      <c r="AG167" s="30" t="s">
        <v>169</v>
      </c>
      <c r="AH167" s="30" t="s">
        <v>168</v>
      </c>
      <c r="AI167" s="30" t="s">
        <v>167</v>
      </c>
      <c r="AJ167" s="29" t="s">
        <v>166</v>
      </c>
      <c r="AK167" s="2"/>
    </row>
    <row r="168" spans="2:37" ht="19.5" customHeight="1" thickTop="1" thickBot="1" x14ac:dyDescent="0.3">
      <c r="B168" s="28"/>
      <c r="C168" s="27" t="str">
        <f>DADOS!$AL$3</f>
        <v>📝 CDB</v>
      </c>
      <c r="D168" s="26" t="str">
        <f>IF(reservafixaconsolidadoago[[#This Row],[TOTAL (R$)]]=0,"",IF(OR(reservafixaconsolidadoago[[#This Row],[TOTAL (R$)]]=LARGE($AJ$168:$AJ$177,1),reservafixaconsolidadoago[[#This Row],[TOTAL (R$)]]=LARGE($AJ$168:$AJ$177,2)),DADOS!$I$11,""))</f>
        <v/>
      </c>
      <c r="E168" s="96">
        <f>SUMIFS(tabela_registros[VALOR],tabela_registros[MÊS],$AE$1,tabela_registros[DIA],reservafixaconsolidadoago[[#Headers],[1]],tabela_registros[REGISTRO],DADOS!$N$6,tabela_registros[TIPO],DADOS!$AJ$3,tabela_registros[CATEGORIA],reservafixaconsolidadoago[[#This Row],[ATUAL]])</f>
        <v>0</v>
      </c>
      <c r="F168" s="91">
        <f>SUMIFS(tabela_registros[VALOR],tabela_registros[MÊS],$AE$1,tabela_registros[DIA],reservafixaconsolidadoago[[#Headers],[2]],tabela_registros[REGISTRO],DADOS!$N$6,tabela_registros[TIPO],DADOS!$AJ$3,tabela_registros[CATEGORIA],reservafixaconsolidadoago[[#This Row],[ATUAL]])</f>
        <v>0</v>
      </c>
      <c r="G168" s="91">
        <f>SUMIFS(tabela_registros[VALOR],tabela_registros[MÊS],$AE$1,tabela_registros[DIA],reservafixaconsolidadoago[[#Headers],[3]],tabela_registros[REGISTRO],DADOS!$N$6,tabela_registros[TIPO],DADOS!$AJ$3,tabela_registros[CATEGORIA],reservafixaconsolidadoago[[#This Row],[ATUAL]])</f>
        <v>0</v>
      </c>
      <c r="H168" s="91">
        <f>SUMIFS(tabela_registros[VALOR],tabela_registros[MÊS],$AE$1,tabela_registros[DIA],reservafixaconsolidadoago[[#Headers],[4]],tabela_registros[REGISTRO],DADOS!$N$6,tabela_registros[TIPO],DADOS!$AJ$3,tabela_registros[CATEGORIA],reservafixaconsolidadoago[[#This Row],[ATUAL]])</f>
        <v>0</v>
      </c>
      <c r="I168" s="91">
        <f>SUMIFS(tabela_registros[VALOR],tabela_registros[MÊS],$AE$1,tabela_registros[DIA],reservafixaconsolidadoago[[#Headers],[5]],tabela_registros[REGISTRO],DADOS!$N$6,tabela_registros[TIPO],DADOS!$AJ$3,tabela_registros[CATEGORIA],reservafixaconsolidadoago[[#This Row],[ATUAL]])</f>
        <v>0</v>
      </c>
      <c r="J168" s="91">
        <f>SUMIFS(tabela_registros[VALOR],tabela_registros[MÊS],$AE$1,tabela_registros[DIA],reservafixaconsolidadoago[[#Headers],[6]],tabela_registros[REGISTRO],DADOS!$N$6,tabela_registros[TIPO],DADOS!$AJ$3,tabela_registros[CATEGORIA],reservafixaconsolidadoago[[#This Row],[ATUAL]])</f>
        <v>0</v>
      </c>
      <c r="K168" s="91">
        <f>SUMIFS(tabela_registros[VALOR],tabela_registros[MÊS],$AE$1,tabela_registros[DIA],reservafixaconsolidadoago[[#Headers],[7]],tabela_registros[REGISTRO],DADOS!$N$6,tabela_registros[TIPO],DADOS!$AJ$3,tabela_registros[CATEGORIA],reservafixaconsolidadoago[[#This Row],[ATUAL]])</f>
        <v>0</v>
      </c>
      <c r="L168" s="91">
        <f>SUMIFS(tabela_registros[VALOR],tabela_registros[MÊS],$AE$1,tabela_registros[DIA],reservafixaconsolidadoago[[#Headers],[8]],tabela_registros[REGISTRO],DADOS!$N$6,tabela_registros[TIPO],DADOS!$AJ$3,tabela_registros[CATEGORIA],reservafixaconsolidadoago[[#This Row],[ATUAL]])</f>
        <v>0</v>
      </c>
      <c r="M168" s="91">
        <f>SUMIFS(tabela_registros[VALOR],tabela_registros[MÊS],$AE$1,tabela_registros[DIA],reservafixaconsolidadoago[[#Headers],[9]],tabela_registros[REGISTRO],DADOS!$N$6,tabela_registros[TIPO],DADOS!$AJ$3,tabela_registros[CATEGORIA],reservafixaconsolidadoago[[#This Row],[ATUAL]])</f>
        <v>0</v>
      </c>
      <c r="N168" s="91">
        <f>SUMIFS(tabela_registros[VALOR],tabela_registros[MÊS],$AE$1,tabela_registros[DIA],reservafixaconsolidadoago[[#Headers],[10]],tabela_registros[REGISTRO],DADOS!$N$6,tabela_registros[TIPO],DADOS!$AJ$3,tabela_registros[CATEGORIA],reservafixaconsolidadoago[[#This Row],[ATUAL]])</f>
        <v>0</v>
      </c>
      <c r="O168" s="91">
        <f>SUMIFS(tabela_registros[VALOR],tabela_registros[MÊS],$AE$1,tabela_registros[DIA],reservafixaconsolidadoago[[#Headers],[11]],tabela_registros[REGISTRO],DADOS!$N$6,tabela_registros[TIPO],DADOS!$AJ$3,tabela_registros[CATEGORIA],reservafixaconsolidadoago[[#This Row],[ATUAL]])</f>
        <v>0</v>
      </c>
      <c r="P168" s="91">
        <f>SUMIFS(tabela_registros[VALOR],tabela_registros[MÊS],$AE$1,tabela_registros[DIA],reservafixaconsolidadoago[[#Headers],[12]],tabela_registros[REGISTRO],DADOS!$N$6,tabela_registros[TIPO],DADOS!$AJ$3,tabela_registros[CATEGORIA],reservafixaconsolidadoago[[#This Row],[ATUAL]])</f>
        <v>0</v>
      </c>
      <c r="Q168" s="91">
        <f>SUMIFS(tabela_registros[VALOR],tabela_registros[MÊS],$AE$1,tabela_registros[DIA],reservafixaconsolidadoago[[#Headers],[13]],tabela_registros[REGISTRO],DADOS!$N$6,tabela_registros[TIPO],DADOS!$AJ$3,tabela_registros[CATEGORIA],reservafixaconsolidadoago[[#This Row],[ATUAL]])</f>
        <v>0</v>
      </c>
      <c r="R168" s="91">
        <f>SUMIFS(tabela_registros[VALOR],tabela_registros[MÊS],$AE$1,tabela_registros[DIA],reservafixaconsolidadoago[[#Headers],[14]],tabela_registros[REGISTRO],DADOS!$N$6,tabela_registros[TIPO],DADOS!$AJ$3,tabela_registros[CATEGORIA],reservafixaconsolidadoago[[#This Row],[ATUAL]])</f>
        <v>0</v>
      </c>
      <c r="S168" s="91">
        <f>SUMIFS(tabela_registros[VALOR],tabela_registros[MÊS],$AE$1,tabela_registros[DIA],reservafixaconsolidadoago[[#Headers],[15]],tabela_registros[REGISTRO],DADOS!$N$6,tabela_registros[TIPO],DADOS!$AJ$3,tabela_registros[CATEGORIA],reservafixaconsolidadoago[[#This Row],[ATUAL]])</f>
        <v>0</v>
      </c>
      <c r="T168" s="91">
        <f>SUMIFS(tabela_registros[VALOR],tabela_registros[MÊS],$AE$1,tabela_registros[DIA],reservafixaconsolidadoago[[#Headers],[16]],tabela_registros[REGISTRO],DADOS!$N$6,tabela_registros[TIPO],DADOS!$AJ$3,tabela_registros[CATEGORIA],reservafixaconsolidadoago[[#This Row],[ATUAL]])</f>
        <v>0</v>
      </c>
      <c r="U168" s="91">
        <f>SUMIFS(tabela_registros[VALOR],tabela_registros[MÊS],$AE$1,tabela_registros[DIA],reservafixaconsolidadoago[[#Headers],[17]],tabela_registros[REGISTRO],DADOS!$N$6,tabela_registros[TIPO],DADOS!$AJ$3,tabela_registros[CATEGORIA],reservafixaconsolidadoago[[#This Row],[ATUAL]])</f>
        <v>0</v>
      </c>
      <c r="V168" s="91">
        <f>SUMIFS(tabela_registros[VALOR],tabela_registros[MÊS],$AE$1,tabela_registros[DIA],reservafixaconsolidadoago[[#Headers],[18]],tabela_registros[REGISTRO],DADOS!$N$6,tabela_registros[TIPO],DADOS!$AJ$3,tabela_registros[CATEGORIA],reservafixaconsolidadoago[[#This Row],[ATUAL]])</f>
        <v>0</v>
      </c>
      <c r="W168" s="91">
        <f>SUMIFS(tabela_registros[VALOR],tabela_registros[MÊS],$AE$1,tabela_registros[DIA],reservafixaconsolidadoago[[#Headers],[19]],tabela_registros[REGISTRO],DADOS!$N$6,tabela_registros[TIPO],DADOS!$AJ$3,tabela_registros[CATEGORIA],reservafixaconsolidadoago[[#This Row],[ATUAL]])</f>
        <v>0</v>
      </c>
      <c r="X168" s="91">
        <f>SUMIFS(tabela_registros[VALOR],tabela_registros[MÊS],$AE$1,tabela_registros[DIA],reservafixaconsolidadoago[[#Headers],[20]],tabela_registros[REGISTRO],DADOS!$N$6,tabela_registros[TIPO],DADOS!$AJ$3,tabela_registros[CATEGORIA],reservafixaconsolidadoago[[#This Row],[ATUAL]])</f>
        <v>0</v>
      </c>
      <c r="Y168" s="91">
        <f>SUMIFS(tabela_registros[VALOR],tabela_registros[MÊS],$AE$1,tabela_registros[DIA],reservafixaconsolidadoago[[#Headers],[21]],tabela_registros[REGISTRO],DADOS!$N$6,tabela_registros[TIPO],DADOS!$AJ$3,tabela_registros[CATEGORIA],reservafixaconsolidadoago[[#This Row],[ATUAL]])</f>
        <v>0</v>
      </c>
      <c r="Z168" s="91">
        <f>SUMIFS(tabela_registros[VALOR],tabela_registros[MÊS],$AE$1,tabela_registros[DIA],reservafixaconsolidadoago[[#Headers],[22]],tabela_registros[REGISTRO],DADOS!$N$6,tabela_registros[TIPO],DADOS!$AJ$3,tabela_registros[CATEGORIA],reservafixaconsolidadoago[[#This Row],[ATUAL]])</f>
        <v>0</v>
      </c>
      <c r="AA168" s="91">
        <f>SUMIFS(tabela_registros[VALOR],tabela_registros[MÊS],$AE$1,tabela_registros[DIA],reservafixaconsolidadoago[[#Headers],[23]],tabela_registros[REGISTRO],DADOS!$N$6,tabela_registros[TIPO],DADOS!$AJ$3,tabela_registros[CATEGORIA],reservafixaconsolidadoago[[#This Row],[ATUAL]])</f>
        <v>0</v>
      </c>
      <c r="AB168" s="91">
        <f>SUMIFS(tabela_registros[VALOR],tabela_registros[MÊS],$AE$1,tabela_registros[DIA],reservafixaconsolidadoago[[#Headers],[24]],tabela_registros[REGISTRO],DADOS!$N$6,tabela_registros[TIPO],DADOS!$AJ$3,tabela_registros[CATEGORIA],reservafixaconsolidadoago[[#This Row],[ATUAL]])</f>
        <v>0</v>
      </c>
      <c r="AC168" s="91">
        <f>SUMIFS(tabela_registros[VALOR],tabela_registros[MÊS],$AE$1,tabela_registros[DIA],reservafixaconsolidadoago[[#Headers],[25]],tabela_registros[REGISTRO],DADOS!$N$6,tabela_registros[TIPO],DADOS!$AJ$3,tabela_registros[CATEGORIA],reservafixaconsolidadoago[[#This Row],[ATUAL]])</f>
        <v>0</v>
      </c>
      <c r="AD168" s="91">
        <f>SUMIFS(tabela_registros[VALOR],tabela_registros[MÊS],$AE$1,tabela_registros[DIA],reservafixaconsolidadoago[[#Headers],[26]],tabela_registros[REGISTRO],DADOS!$N$6,tabela_registros[TIPO],DADOS!$AJ$3,tabela_registros[CATEGORIA],reservafixaconsolidadoago[[#This Row],[ATUAL]])</f>
        <v>0</v>
      </c>
      <c r="AE168" s="91">
        <f>SUMIFS(tabela_registros[VALOR],tabela_registros[MÊS],$AE$1,tabela_registros[DIA],reservafixaconsolidadoago[[#Headers],[27]],tabela_registros[REGISTRO],DADOS!$N$6,tabela_registros[TIPO],DADOS!$AJ$3,tabela_registros[CATEGORIA],reservafixaconsolidadoago[[#This Row],[ATUAL]])</f>
        <v>0</v>
      </c>
      <c r="AF168" s="91">
        <f>SUMIFS(tabela_registros[VALOR],tabela_registros[MÊS],$AE$1,tabela_registros[DIA],reservafixaconsolidadoago[[#Headers],[28]],tabela_registros[REGISTRO],DADOS!$N$6,tabela_registros[TIPO],DADOS!$AJ$3,tabela_registros[CATEGORIA],reservafixaconsolidadoago[[#This Row],[ATUAL]])</f>
        <v>0</v>
      </c>
      <c r="AG168" s="91">
        <f>SUMIFS(tabela_registros[VALOR],tabela_registros[MÊS],$AE$1,tabela_registros[DIA],reservafixaconsolidadoago[[#Headers],[29]],tabela_registros[REGISTRO],DADOS!$N$6,tabela_registros[TIPO],DADOS!$AJ$3,tabela_registros[CATEGORIA],reservafixaconsolidadoago[[#This Row],[ATUAL]])</f>
        <v>0</v>
      </c>
      <c r="AH168" s="91">
        <f>SUMIFS(tabela_registros[VALOR],tabela_registros[MÊS],$AE$1,tabela_registros[DIA],reservafixaconsolidadoago[[#Headers],[30]],tabela_registros[REGISTRO],DADOS!$N$6,tabela_registros[TIPO],DADOS!$AJ$3,tabela_registros[CATEGORIA],reservafixaconsolidadoago[[#This Row],[ATUAL]])</f>
        <v>0</v>
      </c>
      <c r="AI168" s="101">
        <f>SUMIFS(tabela_registros[VALOR],tabela_registros[MÊS],$AE$1,tabela_registros[DIA],reservafixaconsolidadoago[[#Headers],[31]],tabela_registros[REGISTRO],DADOS!$N$6,tabela_registros[TIPO],DADOS!$AJ$3,tabela_registros[CATEGORIA],reservafixaconsolidadoago[[#This Row],[ATUAL]])</f>
        <v>0</v>
      </c>
      <c r="AJ168" s="97">
        <f>SUM(reservafixaconsolidadoago[[#This Row],[1]:[31]])</f>
        <v>0</v>
      </c>
      <c r="AK168" s="25"/>
    </row>
    <row r="169" spans="2:37" ht="19.5" customHeight="1" thickTop="1" thickBot="1" x14ac:dyDescent="0.3">
      <c r="B169" s="28"/>
      <c r="C169" s="27" t="str">
        <f>DADOS!$AL$4</f>
        <v>📝 CRA</v>
      </c>
      <c r="D169" s="26" t="str">
        <f>IF(reservafixaconsolidadoago[[#This Row],[TOTAL (R$)]]=0,"",IF(OR(reservafixaconsolidadoago[[#This Row],[TOTAL (R$)]]=LARGE($AJ$168:$AJ$177,1),reservafixaconsolidadoago[[#This Row],[TOTAL (R$)]]=LARGE($AJ$168:$AJ$177,2)),DADOS!$I$11,""))</f>
        <v/>
      </c>
      <c r="E169" s="96">
        <f>SUMIFS(tabela_registros[VALOR],tabela_registros[MÊS],$AE$1,tabela_registros[DIA],reservafixaconsolidadoago[[#Headers],[1]],tabela_registros[REGISTRO],DADOS!$N$6,tabela_registros[TIPO],DADOS!$AJ$3,tabela_registros[CATEGORIA],reservafixaconsolidadoago[[#This Row],[ATUAL]])</f>
        <v>0</v>
      </c>
      <c r="F169" s="91">
        <f>SUMIFS(tabela_registros[VALOR],tabela_registros[MÊS],$AE$1,tabela_registros[DIA],reservafixaconsolidadoago[[#Headers],[2]],tabela_registros[REGISTRO],DADOS!$N$6,tabela_registros[TIPO],DADOS!$AJ$3,tabela_registros[CATEGORIA],reservafixaconsolidadoago[[#This Row],[ATUAL]])</f>
        <v>0</v>
      </c>
      <c r="G169" s="91">
        <f>SUMIFS(tabela_registros[VALOR],tabela_registros[MÊS],$AE$1,tabela_registros[DIA],reservafixaconsolidadoago[[#Headers],[3]],tabela_registros[REGISTRO],DADOS!$N$6,tabela_registros[TIPO],DADOS!$AJ$3,tabela_registros[CATEGORIA],reservafixaconsolidadoago[[#This Row],[ATUAL]])</f>
        <v>0</v>
      </c>
      <c r="H169" s="91">
        <f>SUMIFS(tabela_registros[VALOR],tabela_registros[MÊS],$AE$1,tabela_registros[DIA],reservafixaconsolidadoago[[#Headers],[4]],tabela_registros[REGISTRO],DADOS!$N$6,tabela_registros[TIPO],DADOS!$AJ$3,tabela_registros[CATEGORIA],reservafixaconsolidadoago[[#This Row],[ATUAL]])</f>
        <v>0</v>
      </c>
      <c r="I169" s="91">
        <f>SUMIFS(tabela_registros[VALOR],tabela_registros[MÊS],$AE$1,tabela_registros[DIA],reservafixaconsolidadoago[[#Headers],[5]],tabela_registros[REGISTRO],DADOS!$N$6,tabela_registros[TIPO],DADOS!$AJ$3,tabela_registros[CATEGORIA],reservafixaconsolidadoago[[#This Row],[ATUAL]])</f>
        <v>0</v>
      </c>
      <c r="J169" s="91">
        <f>SUMIFS(tabela_registros[VALOR],tabela_registros[MÊS],$AE$1,tabela_registros[DIA],reservafixaconsolidadoago[[#Headers],[6]],tabela_registros[REGISTRO],DADOS!$N$6,tabela_registros[TIPO],DADOS!$AJ$3,tabela_registros[CATEGORIA],reservafixaconsolidadoago[[#This Row],[ATUAL]])</f>
        <v>0</v>
      </c>
      <c r="K169" s="91">
        <f>SUMIFS(tabela_registros[VALOR],tabela_registros[MÊS],$AE$1,tabela_registros[DIA],reservafixaconsolidadoago[[#Headers],[7]],tabela_registros[REGISTRO],DADOS!$N$6,tabela_registros[TIPO],DADOS!$AJ$3,tabela_registros[CATEGORIA],reservafixaconsolidadoago[[#This Row],[ATUAL]])</f>
        <v>0</v>
      </c>
      <c r="L169" s="91">
        <f>SUMIFS(tabela_registros[VALOR],tabela_registros[MÊS],$AE$1,tabela_registros[DIA],reservafixaconsolidadoago[[#Headers],[8]],tabela_registros[REGISTRO],DADOS!$N$6,tabela_registros[TIPO],DADOS!$AJ$3,tabela_registros[CATEGORIA],reservafixaconsolidadoago[[#This Row],[ATUAL]])</f>
        <v>0</v>
      </c>
      <c r="M169" s="91">
        <f>SUMIFS(tabela_registros[VALOR],tabela_registros[MÊS],$AE$1,tabela_registros[DIA],reservafixaconsolidadoago[[#Headers],[9]],tabela_registros[REGISTRO],DADOS!$N$6,tabela_registros[TIPO],DADOS!$AJ$3,tabela_registros[CATEGORIA],reservafixaconsolidadoago[[#This Row],[ATUAL]])</f>
        <v>0</v>
      </c>
      <c r="N169" s="91">
        <f>SUMIFS(tabela_registros[VALOR],tabela_registros[MÊS],$AE$1,tabela_registros[DIA],reservafixaconsolidadoago[[#Headers],[10]],tabela_registros[REGISTRO],DADOS!$N$6,tabela_registros[TIPO],DADOS!$AJ$3,tabela_registros[CATEGORIA],reservafixaconsolidadoago[[#This Row],[ATUAL]])</f>
        <v>0</v>
      </c>
      <c r="O169" s="91">
        <f>SUMIFS(tabela_registros[VALOR],tabela_registros[MÊS],$AE$1,tabela_registros[DIA],reservafixaconsolidadoago[[#Headers],[11]],tabela_registros[REGISTRO],DADOS!$N$6,tabela_registros[TIPO],DADOS!$AJ$3,tabela_registros[CATEGORIA],reservafixaconsolidadoago[[#This Row],[ATUAL]])</f>
        <v>0</v>
      </c>
      <c r="P169" s="91">
        <f>SUMIFS(tabela_registros[VALOR],tabela_registros[MÊS],$AE$1,tabela_registros[DIA],reservafixaconsolidadoago[[#Headers],[12]],tabela_registros[REGISTRO],DADOS!$N$6,tabela_registros[TIPO],DADOS!$AJ$3,tabela_registros[CATEGORIA],reservafixaconsolidadoago[[#This Row],[ATUAL]])</f>
        <v>0</v>
      </c>
      <c r="Q169" s="91">
        <f>SUMIFS(tabela_registros[VALOR],tabela_registros[MÊS],$AE$1,tabela_registros[DIA],reservafixaconsolidadoago[[#Headers],[13]],tabela_registros[REGISTRO],DADOS!$N$6,tabela_registros[TIPO],DADOS!$AJ$3,tabela_registros[CATEGORIA],reservafixaconsolidadoago[[#This Row],[ATUAL]])</f>
        <v>0</v>
      </c>
      <c r="R169" s="91">
        <f>SUMIFS(tabela_registros[VALOR],tabela_registros[MÊS],$AE$1,tabela_registros[DIA],reservafixaconsolidadoago[[#Headers],[14]],tabela_registros[REGISTRO],DADOS!$N$6,tabela_registros[TIPO],DADOS!$AJ$3,tabela_registros[CATEGORIA],reservafixaconsolidadoago[[#This Row],[ATUAL]])</f>
        <v>0</v>
      </c>
      <c r="S169" s="91">
        <f>SUMIFS(tabela_registros[VALOR],tabela_registros[MÊS],$AE$1,tabela_registros[DIA],reservafixaconsolidadoago[[#Headers],[15]],tabela_registros[REGISTRO],DADOS!$N$6,tabela_registros[TIPO],DADOS!$AJ$3,tabela_registros[CATEGORIA],reservafixaconsolidadoago[[#This Row],[ATUAL]])</f>
        <v>0</v>
      </c>
      <c r="T169" s="91">
        <f>SUMIFS(tabela_registros[VALOR],tabela_registros[MÊS],$AE$1,tabela_registros[DIA],reservafixaconsolidadoago[[#Headers],[16]],tabela_registros[REGISTRO],DADOS!$N$6,tabela_registros[TIPO],DADOS!$AJ$3,tabela_registros[CATEGORIA],reservafixaconsolidadoago[[#This Row],[ATUAL]])</f>
        <v>0</v>
      </c>
      <c r="U169" s="91">
        <f>SUMIFS(tabela_registros[VALOR],tabela_registros[MÊS],$AE$1,tabela_registros[DIA],reservafixaconsolidadoago[[#Headers],[17]],tabela_registros[REGISTRO],DADOS!$N$6,tabela_registros[TIPO],DADOS!$AJ$3,tabela_registros[CATEGORIA],reservafixaconsolidadoago[[#This Row],[ATUAL]])</f>
        <v>0</v>
      </c>
      <c r="V169" s="91">
        <f>SUMIFS(tabela_registros[VALOR],tabela_registros[MÊS],$AE$1,tabela_registros[DIA],reservafixaconsolidadoago[[#Headers],[18]],tabela_registros[REGISTRO],DADOS!$N$6,tabela_registros[TIPO],DADOS!$AJ$3,tabela_registros[CATEGORIA],reservafixaconsolidadoago[[#This Row],[ATUAL]])</f>
        <v>0</v>
      </c>
      <c r="W169" s="91">
        <f>SUMIFS(tabela_registros[VALOR],tabela_registros[MÊS],$AE$1,tabela_registros[DIA],reservafixaconsolidadoago[[#Headers],[19]],tabela_registros[REGISTRO],DADOS!$N$6,tabela_registros[TIPO],DADOS!$AJ$3,tabela_registros[CATEGORIA],reservafixaconsolidadoago[[#This Row],[ATUAL]])</f>
        <v>0</v>
      </c>
      <c r="X169" s="91">
        <f>SUMIFS(tabela_registros[VALOR],tabela_registros[MÊS],$AE$1,tabela_registros[DIA],reservafixaconsolidadoago[[#Headers],[20]],tabela_registros[REGISTRO],DADOS!$N$6,tabela_registros[TIPO],DADOS!$AJ$3,tabela_registros[CATEGORIA],reservafixaconsolidadoago[[#This Row],[ATUAL]])</f>
        <v>0</v>
      </c>
      <c r="Y169" s="91">
        <f>SUMIFS(tabela_registros[VALOR],tabela_registros[MÊS],$AE$1,tabela_registros[DIA],reservafixaconsolidadoago[[#Headers],[21]],tabela_registros[REGISTRO],DADOS!$N$6,tabela_registros[TIPO],DADOS!$AJ$3,tabela_registros[CATEGORIA],reservafixaconsolidadoago[[#This Row],[ATUAL]])</f>
        <v>0</v>
      </c>
      <c r="Z169" s="91">
        <f>SUMIFS(tabela_registros[VALOR],tabela_registros[MÊS],$AE$1,tabela_registros[DIA],reservafixaconsolidadoago[[#Headers],[22]],tabela_registros[REGISTRO],DADOS!$N$6,tabela_registros[TIPO],DADOS!$AJ$3,tabela_registros[CATEGORIA],reservafixaconsolidadoago[[#This Row],[ATUAL]])</f>
        <v>0</v>
      </c>
      <c r="AA169" s="91">
        <f>SUMIFS(tabela_registros[VALOR],tabela_registros[MÊS],$AE$1,tabela_registros[DIA],reservafixaconsolidadoago[[#Headers],[23]],tabela_registros[REGISTRO],DADOS!$N$6,tabela_registros[TIPO],DADOS!$AJ$3,tabela_registros[CATEGORIA],reservafixaconsolidadoago[[#This Row],[ATUAL]])</f>
        <v>0</v>
      </c>
      <c r="AB169" s="91">
        <f>SUMIFS(tabela_registros[VALOR],tabela_registros[MÊS],$AE$1,tabela_registros[DIA],reservafixaconsolidadoago[[#Headers],[24]],tabela_registros[REGISTRO],DADOS!$N$6,tabela_registros[TIPO],DADOS!$AJ$3,tabela_registros[CATEGORIA],reservafixaconsolidadoago[[#This Row],[ATUAL]])</f>
        <v>0</v>
      </c>
      <c r="AC169" s="91">
        <f>SUMIFS(tabela_registros[VALOR],tabela_registros[MÊS],$AE$1,tabela_registros[DIA],reservafixaconsolidadoago[[#Headers],[25]],tabela_registros[REGISTRO],DADOS!$N$6,tabela_registros[TIPO],DADOS!$AJ$3,tabela_registros[CATEGORIA],reservafixaconsolidadoago[[#This Row],[ATUAL]])</f>
        <v>0</v>
      </c>
      <c r="AD169" s="91">
        <f>SUMIFS(tabela_registros[VALOR],tabela_registros[MÊS],$AE$1,tabela_registros[DIA],reservafixaconsolidadoago[[#Headers],[26]],tabela_registros[REGISTRO],DADOS!$N$6,tabela_registros[TIPO],DADOS!$AJ$3,tabela_registros[CATEGORIA],reservafixaconsolidadoago[[#This Row],[ATUAL]])</f>
        <v>0</v>
      </c>
      <c r="AE169" s="91">
        <f>SUMIFS(tabela_registros[VALOR],tabela_registros[MÊS],$AE$1,tabela_registros[DIA],reservafixaconsolidadoago[[#Headers],[27]],tabela_registros[REGISTRO],DADOS!$N$6,tabela_registros[TIPO],DADOS!$AJ$3,tabela_registros[CATEGORIA],reservafixaconsolidadoago[[#This Row],[ATUAL]])</f>
        <v>0</v>
      </c>
      <c r="AF169" s="91">
        <f>SUMIFS(tabela_registros[VALOR],tabela_registros[MÊS],$AE$1,tabela_registros[DIA],reservafixaconsolidadoago[[#Headers],[28]],tabela_registros[REGISTRO],DADOS!$N$6,tabela_registros[TIPO],DADOS!$AJ$3,tabela_registros[CATEGORIA],reservafixaconsolidadoago[[#This Row],[ATUAL]])</f>
        <v>0</v>
      </c>
      <c r="AG169" s="91">
        <f>SUMIFS(tabela_registros[VALOR],tabela_registros[MÊS],$AE$1,tabela_registros[DIA],reservafixaconsolidadoago[[#Headers],[29]],tabela_registros[REGISTRO],DADOS!$N$6,tabela_registros[TIPO],DADOS!$AJ$3,tabela_registros[CATEGORIA],reservafixaconsolidadoago[[#This Row],[ATUAL]])</f>
        <v>0</v>
      </c>
      <c r="AH169" s="91">
        <f>SUMIFS(tabela_registros[VALOR],tabela_registros[MÊS],$AE$1,tabela_registros[DIA],reservafixaconsolidadoago[[#Headers],[30]],tabela_registros[REGISTRO],DADOS!$N$6,tabela_registros[TIPO],DADOS!$AJ$3,tabela_registros[CATEGORIA],reservafixaconsolidadoago[[#This Row],[ATUAL]])</f>
        <v>0</v>
      </c>
      <c r="AI169" s="101">
        <f>SUMIFS(tabela_registros[VALOR],tabela_registros[MÊS],$AE$1,tabela_registros[DIA],reservafixaconsolidadoago[[#Headers],[31]],tabela_registros[REGISTRO],DADOS!$N$6,tabela_registros[TIPO],DADOS!$AJ$3,tabela_registros[CATEGORIA],reservafixaconsolidadoago[[#This Row],[ATUAL]])</f>
        <v>0</v>
      </c>
      <c r="AJ169" s="97">
        <f>SUM(reservafixaconsolidadoago[[#This Row],[1]:[31]])</f>
        <v>0</v>
      </c>
      <c r="AK169" s="25"/>
    </row>
    <row r="170" spans="2:37" ht="19.5" customHeight="1" thickTop="1" thickBot="1" x14ac:dyDescent="0.3">
      <c r="B170" s="28"/>
      <c r="C170" s="27" t="str">
        <f>DADOS!$AL$5</f>
        <v>📝 CRI</v>
      </c>
      <c r="D170" s="26" t="str">
        <f>IF(reservafixaconsolidadoago[[#This Row],[TOTAL (R$)]]=0,"",IF(OR(reservafixaconsolidadoago[[#This Row],[TOTAL (R$)]]=LARGE($AJ$168:$AJ$177,1),reservafixaconsolidadoago[[#This Row],[TOTAL (R$)]]=LARGE($AJ$168:$AJ$177,2)),DADOS!$I$11,""))</f>
        <v/>
      </c>
      <c r="E170" s="96">
        <f>SUMIFS(tabela_registros[VALOR],tabela_registros[MÊS],$AE$1,tabela_registros[DIA],reservafixaconsolidadoago[[#Headers],[1]],tabela_registros[REGISTRO],DADOS!$N$6,tabela_registros[TIPO],DADOS!$AJ$3,tabela_registros[CATEGORIA],reservafixaconsolidadoago[[#This Row],[ATUAL]])</f>
        <v>0</v>
      </c>
      <c r="F170" s="91">
        <f>SUMIFS(tabela_registros[VALOR],tabela_registros[MÊS],$AE$1,tabela_registros[DIA],reservafixaconsolidadoago[[#Headers],[2]],tabela_registros[REGISTRO],DADOS!$N$6,tabela_registros[TIPO],DADOS!$AJ$3,tabela_registros[CATEGORIA],reservafixaconsolidadoago[[#This Row],[ATUAL]])</f>
        <v>0</v>
      </c>
      <c r="G170" s="91">
        <f>SUMIFS(tabela_registros[VALOR],tabela_registros[MÊS],$AE$1,tabela_registros[DIA],reservafixaconsolidadoago[[#Headers],[3]],tabela_registros[REGISTRO],DADOS!$N$6,tabela_registros[TIPO],DADOS!$AJ$3,tabela_registros[CATEGORIA],reservafixaconsolidadoago[[#This Row],[ATUAL]])</f>
        <v>0</v>
      </c>
      <c r="H170" s="91">
        <f>SUMIFS(tabela_registros[VALOR],tabela_registros[MÊS],$AE$1,tabela_registros[DIA],reservafixaconsolidadoago[[#Headers],[4]],tabela_registros[REGISTRO],DADOS!$N$6,tabela_registros[TIPO],DADOS!$AJ$3,tabela_registros[CATEGORIA],reservafixaconsolidadoago[[#This Row],[ATUAL]])</f>
        <v>0</v>
      </c>
      <c r="I170" s="91">
        <f>SUMIFS(tabela_registros[VALOR],tabela_registros[MÊS],$AE$1,tabela_registros[DIA],reservafixaconsolidadoago[[#Headers],[5]],tabela_registros[REGISTRO],DADOS!$N$6,tabela_registros[TIPO],DADOS!$AJ$3,tabela_registros[CATEGORIA],reservafixaconsolidadoago[[#This Row],[ATUAL]])</f>
        <v>0</v>
      </c>
      <c r="J170" s="91">
        <f>SUMIFS(tabela_registros[VALOR],tabela_registros[MÊS],$AE$1,tabela_registros[DIA],reservafixaconsolidadoago[[#Headers],[6]],tabela_registros[REGISTRO],DADOS!$N$6,tabela_registros[TIPO],DADOS!$AJ$3,tabela_registros[CATEGORIA],reservafixaconsolidadoago[[#This Row],[ATUAL]])</f>
        <v>0</v>
      </c>
      <c r="K170" s="91">
        <f>SUMIFS(tabela_registros[VALOR],tabela_registros[MÊS],$AE$1,tabela_registros[DIA],reservafixaconsolidadoago[[#Headers],[7]],tabela_registros[REGISTRO],DADOS!$N$6,tabela_registros[TIPO],DADOS!$AJ$3,tabela_registros[CATEGORIA],reservafixaconsolidadoago[[#This Row],[ATUAL]])</f>
        <v>0</v>
      </c>
      <c r="L170" s="91">
        <f>SUMIFS(tabela_registros[VALOR],tabela_registros[MÊS],$AE$1,tabela_registros[DIA],reservafixaconsolidadoago[[#Headers],[8]],tabela_registros[REGISTRO],DADOS!$N$6,tabela_registros[TIPO],DADOS!$AJ$3,tabela_registros[CATEGORIA],reservafixaconsolidadoago[[#This Row],[ATUAL]])</f>
        <v>0</v>
      </c>
      <c r="M170" s="91">
        <f>SUMIFS(tabela_registros[VALOR],tabela_registros[MÊS],$AE$1,tabela_registros[DIA],reservafixaconsolidadoago[[#Headers],[9]],tabela_registros[REGISTRO],DADOS!$N$6,tabela_registros[TIPO],DADOS!$AJ$3,tabela_registros[CATEGORIA],reservafixaconsolidadoago[[#This Row],[ATUAL]])</f>
        <v>0</v>
      </c>
      <c r="N170" s="91">
        <f>SUMIFS(tabela_registros[VALOR],tabela_registros[MÊS],$AE$1,tabela_registros[DIA],reservafixaconsolidadoago[[#Headers],[10]],tabela_registros[REGISTRO],DADOS!$N$6,tabela_registros[TIPO],DADOS!$AJ$3,tabela_registros[CATEGORIA],reservafixaconsolidadoago[[#This Row],[ATUAL]])</f>
        <v>0</v>
      </c>
      <c r="O170" s="91">
        <f>SUMIFS(tabela_registros[VALOR],tabela_registros[MÊS],$AE$1,tabela_registros[DIA],reservafixaconsolidadoago[[#Headers],[11]],tabela_registros[REGISTRO],DADOS!$N$6,tabela_registros[TIPO],DADOS!$AJ$3,tabela_registros[CATEGORIA],reservafixaconsolidadoago[[#This Row],[ATUAL]])</f>
        <v>0</v>
      </c>
      <c r="P170" s="91">
        <f>SUMIFS(tabela_registros[VALOR],tabela_registros[MÊS],$AE$1,tabela_registros[DIA],reservafixaconsolidadoago[[#Headers],[12]],tabela_registros[REGISTRO],DADOS!$N$6,tabela_registros[TIPO],DADOS!$AJ$3,tabela_registros[CATEGORIA],reservafixaconsolidadoago[[#This Row],[ATUAL]])</f>
        <v>0</v>
      </c>
      <c r="Q170" s="91">
        <f>SUMIFS(tabela_registros[VALOR],tabela_registros[MÊS],$AE$1,tabela_registros[DIA],reservafixaconsolidadoago[[#Headers],[13]],tabela_registros[REGISTRO],DADOS!$N$6,tabela_registros[TIPO],DADOS!$AJ$3,tabela_registros[CATEGORIA],reservafixaconsolidadoago[[#This Row],[ATUAL]])</f>
        <v>0</v>
      </c>
      <c r="R170" s="91">
        <f>SUMIFS(tabela_registros[VALOR],tabela_registros[MÊS],$AE$1,tabela_registros[DIA],reservafixaconsolidadoago[[#Headers],[14]],tabela_registros[REGISTRO],DADOS!$N$6,tabela_registros[TIPO],DADOS!$AJ$3,tabela_registros[CATEGORIA],reservafixaconsolidadoago[[#This Row],[ATUAL]])</f>
        <v>0</v>
      </c>
      <c r="S170" s="91">
        <f>SUMIFS(tabela_registros[VALOR],tabela_registros[MÊS],$AE$1,tabela_registros[DIA],reservafixaconsolidadoago[[#Headers],[15]],tabela_registros[REGISTRO],DADOS!$N$6,tabela_registros[TIPO],DADOS!$AJ$3,tabela_registros[CATEGORIA],reservafixaconsolidadoago[[#This Row],[ATUAL]])</f>
        <v>0</v>
      </c>
      <c r="T170" s="91">
        <f>SUMIFS(tabela_registros[VALOR],tabela_registros[MÊS],$AE$1,tabela_registros[DIA],reservafixaconsolidadoago[[#Headers],[16]],tabela_registros[REGISTRO],DADOS!$N$6,tabela_registros[TIPO],DADOS!$AJ$3,tabela_registros[CATEGORIA],reservafixaconsolidadoago[[#This Row],[ATUAL]])</f>
        <v>0</v>
      </c>
      <c r="U170" s="91">
        <f>SUMIFS(tabela_registros[VALOR],tabela_registros[MÊS],$AE$1,tabela_registros[DIA],reservafixaconsolidadoago[[#Headers],[17]],tabela_registros[REGISTRO],DADOS!$N$6,tabela_registros[TIPO],DADOS!$AJ$3,tabela_registros[CATEGORIA],reservafixaconsolidadoago[[#This Row],[ATUAL]])</f>
        <v>0</v>
      </c>
      <c r="V170" s="91">
        <f>SUMIFS(tabela_registros[VALOR],tabela_registros[MÊS],$AE$1,tabela_registros[DIA],reservafixaconsolidadoago[[#Headers],[18]],tabela_registros[REGISTRO],DADOS!$N$6,tabela_registros[TIPO],DADOS!$AJ$3,tabela_registros[CATEGORIA],reservafixaconsolidadoago[[#This Row],[ATUAL]])</f>
        <v>0</v>
      </c>
      <c r="W170" s="91">
        <f>SUMIFS(tabela_registros[VALOR],tabela_registros[MÊS],$AE$1,tabela_registros[DIA],reservafixaconsolidadoago[[#Headers],[19]],tabela_registros[REGISTRO],DADOS!$N$6,tabela_registros[TIPO],DADOS!$AJ$3,tabela_registros[CATEGORIA],reservafixaconsolidadoago[[#This Row],[ATUAL]])</f>
        <v>0</v>
      </c>
      <c r="X170" s="91">
        <f>SUMIFS(tabela_registros[VALOR],tabela_registros[MÊS],$AE$1,tabela_registros[DIA],reservafixaconsolidadoago[[#Headers],[20]],tabela_registros[REGISTRO],DADOS!$N$6,tabela_registros[TIPO],DADOS!$AJ$3,tabela_registros[CATEGORIA],reservafixaconsolidadoago[[#This Row],[ATUAL]])</f>
        <v>0</v>
      </c>
      <c r="Y170" s="91">
        <f>SUMIFS(tabela_registros[VALOR],tabela_registros[MÊS],$AE$1,tabela_registros[DIA],reservafixaconsolidadoago[[#Headers],[21]],tabela_registros[REGISTRO],DADOS!$N$6,tabela_registros[TIPO],DADOS!$AJ$3,tabela_registros[CATEGORIA],reservafixaconsolidadoago[[#This Row],[ATUAL]])</f>
        <v>0</v>
      </c>
      <c r="Z170" s="91">
        <f>SUMIFS(tabela_registros[VALOR],tabela_registros[MÊS],$AE$1,tabela_registros[DIA],reservafixaconsolidadoago[[#Headers],[22]],tabela_registros[REGISTRO],DADOS!$N$6,tabela_registros[TIPO],DADOS!$AJ$3,tabela_registros[CATEGORIA],reservafixaconsolidadoago[[#This Row],[ATUAL]])</f>
        <v>0</v>
      </c>
      <c r="AA170" s="91">
        <f>SUMIFS(tabela_registros[VALOR],tabela_registros[MÊS],$AE$1,tabela_registros[DIA],reservafixaconsolidadoago[[#Headers],[23]],tabela_registros[REGISTRO],DADOS!$N$6,tabela_registros[TIPO],DADOS!$AJ$3,tabela_registros[CATEGORIA],reservafixaconsolidadoago[[#This Row],[ATUAL]])</f>
        <v>0</v>
      </c>
      <c r="AB170" s="91">
        <f>SUMIFS(tabela_registros[VALOR],tabela_registros[MÊS],$AE$1,tabela_registros[DIA],reservafixaconsolidadoago[[#Headers],[24]],tabela_registros[REGISTRO],DADOS!$N$6,tabela_registros[TIPO],DADOS!$AJ$3,tabela_registros[CATEGORIA],reservafixaconsolidadoago[[#This Row],[ATUAL]])</f>
        <v>0</v>
      </c>
      <c r="AC170" s="91">
        <f>SUMIFS(tabela_registros[VALOR],tabela_registros[MÊS],$AE$1,tabela_registros[DIA],reservafixaconsolidadoago[[#Headers],[25]],tabela_registros[REGISTRO],DADOS!$N$6,tabela_registros[TIPO],DADOS!$AJ$3,tabela_registros[CATEGORIA],reservafixaconsolidadoago[[#This Row],[ATUAL]])</f>
        <v>0</v>
      </c>
      <c r="AD170" s="91">
        <f>SUMIFS(tabela_registros[VALOR],tabela_registros[MÊS],$AE$1,tabela_registros[DIA],reservafixaconsolidadoago[[#Headers],[26]],tabela_registros[REGISTRO],DADOS!$N$6,tabela_registros[TIPO],DADOS!$AJ$3,tabela_registros[CATEGORIA],reservafixaconsolidadoago[[#This Row],[ATUAL]])</f>
        <v>0</v>
      </c>
      <c r="AE170" s="91">
        <f>SUMIFS(tabela_registros[VALOR],tabela_registros[MÊS],$AE$1,tabela_registros[DIA],reservafixaconsolidadoago[[#Headers],[27]],tabela_registros[REGISTRO],DADOS!$N$6,tabela_registros[TIPO],DADOS!$AJ$3,tabela_registros[CATEGORIA],reservafixaconsolidadoago[[#This Row],[ATUAL]])</f>
        <v>0</v>
      </c>
      <c r="AF170" s="91">
        <f>SUMIFS(tabela_registros[VALOR],tabela_registros[MÊS],$AE$1,tabela_registros[DIA],reservafixaconsolidadoago[[#Headers],[28]],tabela_registros[REGISTRO],DADOS!$N$6,tabela_registros[TIPO],DADOS!$AJ$3,tabela_registros[CATEGORIA],reservafixaconsolidadoago[[#This Row],[ATUAL]])</f>
        <v>0</v>
      </c>
      <c r="AG170" s="91">
        <f>SUMIFS(tabela_registros[VALOR],tabela_registros[MÊS],$AE$1,tabela_registros[DIA],reservafixaconsolidadoago[[#Headers],[29]],tabela_registros[REGISTRO],DADOS!$N$6,tabela_registros[TIPO],DADOS!$AJ$3,tabela_registros[CATEGORIA],reservafixaconsolidadoago[[#This Row],[ATUAL]])</f>
        <v>0</v>
      </c>
      <c r="AH170" s="91">
        <f>SUMIFS(tabela_registros[VALOR],tabela_registros[MÊS],$AE$1,tabela_registros[DIA],reservafixaconsolidadoago[[#Headers],[30]],tabela_registros[REGISTRO],DADOS!$N$6,tabela_registros[TIPO],DADOS!$AJ$3,tabela_registros[CATEGORIA],reservafixaconsolidadoago[[#This Row],[ATUAL]])</f>
        <v>0</v>
      </c>
      <c r="AI170" s="101">
        <f>SUMIFS(tabela_registros[VALOR],tabela_registros[MÊS],$AE$1,tabela_registros[DIA],reservafixaconsolidadoago[[#Headers],[31]],tabela_registros[REGISTRO],DADOS!$N$6,tabela_registros[TIPO],DADOS!$AJ$3,tabela_registros[CATEGORIA],reservafixaconsolidadoago[[#This Row],[ATUAL]])</f>
        <v>0</v>
      </c>
      <c r="AJ170" s="97">
        <f>SUM(reservafixaconsolidadoago[[#This Row],[1]:[31]])</f>
        <v>0</v>
      </c>
      <c r="AK170" s="25"/>
    </row>
    <row r="171" spans="2:37" ht="19.5" customHeight="1" thickTop="1" thickBot="1" x14ac:dyDescent="0.3">
      <c r="B171" s="28"/>
      <c r="C171" s="27" t="str">
        <f>DADOS!$AL$6</f>
        <v>📝 DEBÊNTURE</v>
      </c>
      <c r="D171" s="26" t="str">
        <f>IF(reservafixaconsolidadoago[[#This Row],[TOTAL (R$)]]=0,"",IF(OR(reservafixaconsolidadoago[[#This Row],[TOTAL (R$)]]=LARGE($AJ$168:$AJ$177,1),reservafixaconsolidadoago[[#This Row],[TOTAL (R$)]]=LARGE($AJ$168:$AJ$177,2)),DADOS!$I$11,""))</f>
        <v/>
      </c>
      <c r="E171" s="96">
        <f>SUMIFS(tabela_registros[VALOR],tabela_registros[MÊS],$AE$1,tabela_registros[DIA],reservafixaconsolidadoago[[#Headers],[1]],tabela_registros[REGISTRO],DADOS!$N$6,tabela_registros[TIPO],DADOS!$AJ$3,tabela_registros[CATEGORIA],reservafixaconsolidadoago[[#This Row],[ATUAL]])</f>
        <v>0</v>
      </c>
      <c r="F171" s="91">
        <f>SUMIFS(tabela_registros[VALOR],tabela_registros[MÊS],$AE$1,tabela_registros[DIA],reservafixaconsolidadoago[[#Headers],[2]],tabela_registros[REGISTRO],DADOS!$N$6,tabela_registros[TIPO],DADOS!$AJ$3,tabela_registros[CATEGORIA],reservafixaconsolidadoago[[#This Row],[ATUAL]])</f>
        <v>0</v>
      </c>
      <c r="G171" s="91">
        <f>SUMIFS(tabela_registros[VALOR],tabela_registros[MÊS],$AE$1,tabela_registros[DIA],reservafixaconsolidadoago[[#Headers],[3]],tabela_registros[REGISTRO],DADOS!$N$6,tabela_registros[TIPO],DADOS!$AJ$3,tabela_registros[CATEGORIA],reservafixaconsolidadoago[[#This Row],[ATUAL]])</f>
        <v>0</v>
      </c>
      <c r="H171" s="91">
        <f>SUMIFS(tabela_registros[VALOR],tabela_registros[MÊS],$AE$1,tabela_registros[DIA],reservafixaconsolidadoago[[#Headers],[4]],tabela_registros[REGISTRO],DADOS!$N$6,tabela_registros[TIPO],DADOS!$AJ$3,tabela_registros[CATEGORIA],reservafixaconsolidadoago[[#This Row],[ATUAL]])</f>
        <v>0</v>
      </c>
      <c r="I171" s="91">
        <f>SUMIFS(tabela_registros[VALOR],tabela_registros[MÊS],$AE$1,tabela_registros[DIA],reservafixaconsolidadoago[[#Headers],[5]],tabela_registros[REGISTRO],DADOS!$N$6,tabela_registros[TIPO],DADOS!$AJ$3,tabela_registros[CATEGORIA],reservafixaconsolidadoago[[#This Row],[ATUAL]])</f>
        <v>0</v>
      </c>
      <c r="J171" s="91">
        <f>SUMIFS(tabela_registros[VALOR],tabela_registros[MÊS],$AE$1,tabela_registros[DIA],reservafixaconsolidadoago[[#Headers],[6]],tabela_registros[REGISTRO],DADOS!$N$6,tabela_registros[TIPO],DADOS!$AJ$3,tabela_registros[CATEGORIA],reservafixaconsolidadoago[[#This Row],[ATUAL]])</f>
        <v>0</v>
      </c>
      <c r="K171" s="91">
        <f>SUMIFS(tabela_registros[VALOR],tabela_registros[MÊS],$AE$1,tabela_registros[DIA],reservafixaconsolidadoago[[#Headers],[7]],tabela_registros[REGISTRO],DADOS!$N$6,tabela_registros[TIPO],DADOS!$AJ$3,tabela_registros[CATEGORIA],reservafixaconsolidadoago[[#This Row],[ATUAL]])</f>
        <v>0</v>
      </c>
      <c r="L171" s="91">
        <f>SUMIFS(tabela_registros[VALOR],tabela_registros[MÊS],$AE$1,tabela_registros[DIA],reservafixaconsolidadoago[[#Headers],[8]],tabela_registros[REGISTRO],DADOS!$N$6,tabela_registros[TIPO],DADOS!$AJ$3,tabela_registros[CATEGORIA],reservafixaconsolidadoago[[#This Row],[ATUAL]])</f>
        <v>0</v>
      </c>
      <c r="M171" s="91">
        <f>SUMIFS(tabela_registros[VALOR],tabela_registros[MÊS],$AE$1,tabela_registros[DIA],reservafixaconsolidadoago[[#Headers],[9]],tabela_registros[REGISTRO],DADOS!$N$6,tabela_registros[TIPO],DADOS!$AJ$3,tabela_registros[CATEGORIA],reservafixaconsolidadoago[[#This Row],[ATUAL]])</f>
        <v>0</v>
      </c>
      <c r="N171" s="91">
        <f>SUMIFS(tabela_registros[VALOR],tabela_registros[MÊS],$AE$1,tabela_registros[DIA],reservafixaconsolidadoago[[#Headers],[10]],tabela_registros[REGISTRO],DADOS!$N$6,tabela_registros[TIPO],DADOS!$AJ$3,tabela_registros[CATEGORIA],reservafixaconsolidadoago[[#This Row],[ATUAL]])</f>
        <v>0</v>
      </c>
      <c r="O171" s="91">
        <f>SUMIFS(tabela_registros[VALOR],tabela_registros[MÊS],$AE$1,tabela_registros[DIA],reservafixaconsolidadoago[[#Headers],[11]],tabela_registros[REGISTRO],DADOS!$N$6,tabela_registros[TIPO],DADOS!$AJ$3,tabela_registros[CATEGORIA],reservafixaconsolidadoago[[#This Row],[ATUAL]])</f>
        <v>0</v>
      </c>
      <c r="P171" s="91">
        <f>SUMIFS(tabela_registros[VALOR],tabela_registros[MÊS],$AE$1,tabela_registros[DIA],reservafixaconsolidadoago[[#Headers],[12]],tabela_registros[REGISTRO],DADOS!$N$6,tabela_registros[TIPO],DADOS!$AJ$3,tabela_registros[CATEGORIA],reservafixaconsolidadoago[[#This Row],[ATUAL]])</f>
        <v>0</v>
      </c>
      <c r="Q171" s="91">
        <f>SUMIFS(tabela_registros[VALOR],tabela_registros[MÊS],$AE$1,tabela_registros[DIA],reservafixaconsolidadoago[[#Headers],[13]],tabela_registros[REGISTRO],DADOS!$N$6,tabela_registros[TIPO],DADOS!$AJ$3,tabela_registros[CATEGORIA],reservafixaconsolidadoago[[#This Row],[ATUAL]])</f>
        <v>0</v>
      </c>
      <c r="R171" s="91">
        <f>SUMIFS(tabela_registros[VALOR],tabela_registros[MÊS],$AE$1,tabela_registros[DIA],reservafixaconsolidadoago[[#Headers],[14]],tabela_registros[REGISTRO],DADOS!$N$6,tabela_registros[TIPO],DADOS!$AJ$3,tabela_registros[CATEGORIA],reservafixaconsolidadoago[[#This Row],[ATUAL]])</f>
        <v>0</v>
      </c>
      <c r="S171" s="91">
        <f>SUMIFS(tabela_registros[VALOR],tabela_registros[MÊS],$AE$1,tabela_registros[DIA],reservafixaconsolidadoago[[#Headers],[15]],tabela_registros[REGISTRO],DADOS!$N$6,tabela_registros[TIPO],DADOS!$AJ$3,tabela_registros[CATEGORIA],reservafixaconsolidadoago[[#This Row],[ATUAL]])</f>
        <v>0</v>
      </c>
      <c r="T171" s="91">
        <f>SUMIFS(tabela_registros[VALOR],tabela_registros[MÊS],$AE$1,tabela_registros[DIA],reservafixaconsolidadoago[[#Headers],[16]],tabela_registros[REGISTRO],DADOS!$N$6,tabela_registros[TIPO],DADOS!$AJ$3,tabela_registros[CATEGORIA],reservafixaconsolidadoago[[#This Row],[ATUAL]])</f>
        <v>0</v>
      </c>
      <c r="U171" s="91">
        <f>SUMIFS(tabela_registros[VALOR],tabela_registros[MÊS],$AE$1,tabela_registros[DIA],reservafixaconsolidadoago[[#Headers],[17]],tabela_registros[REGISTRO],DADOS!$N$6,tabela_registros[TIPO],DADOS!$AJ$3,tabela_registros[CATEGORIA],reservafixaconsolidadoago[[#This Row],[ATUAL]])</f>
        <v>0</v>
      </c>
      <c r="V171" s="91">
        <f>SUMIFS(tabela_registros[VALOR],tabela_registros[MÊS],$AE$1,tabela_registros[DIA],reservafixaconsolidadoago[[#Headers],[18]],tabela_registros[REGISTRO],DADOS!$N$6,tabela_registros[TIPO],DADOS!$AJ$3,tabela_registros[CATEGORIA],reservafixaconsolidadoago[[#This Row],[ATUAL]])</f>
        <v>0</v>
      </c>
      <c r="W171" s="91">
        <f>SUMIFS(tabela_registros[VALOR],tabela_registros[MÊS],$AE$1,tabela_registros[DIA],reservafixaconsolidadoago[[#Headers],[19]],tabela_registros[REGISTRO],DADOS!$N$6,tabela_registros[TIPO],DADOS!$AJ$3,tabela_registros[CATEGORIA],reservafixaconsolidadoago[[#This Row],[ATUAL]])</f>
        <v>0</v>
      </c>
      <c r="X171" s="91">
        <f>SUMIFS(tabela_registros[VALOR],tabela_registros[MÊS],$AE$1,tabela_registros[DIA],reservafixaconsolidadoago[[#Headers],[20]],tabela_registros[REGISTRO],DADOS!$N$6,tabela_registros[TIPO],DADOS!$AJ$3,tabela_registros[CATEGORIA],reservafixaconsolidadoago[[#This Row],[ATUAL]])</f>
        <v>0</v>
      </c>
      <c r="Y171" s="91">
        <f>SUMIFS(tabela_registros[VALOR],tabela_registros[MÊS],$AE$1,tabela_registros[DIA],reservafixaconsolidadoago[[#Headers],[21]],tabela_registros[REGISTRO],DADOS!$N$6,tabela_registros[TIPO],DADOS!$AJ$3,tabela_registros[CATEGORIA],reservafixaconsolidadoago[[#This Row],[ATUAL]])</f>
        <v>0</v>
      </c>
      <c r="Z171" s="91">
        <f>SUMIFS(tabela_registros[VALOR],tabela_registros[MÊS],$AE$1,tabela_registros[DIA],reservafixaconsolidadoago[[#Headers],[22]],tabela_registros[REGISTRO],DADOS!$N$6,tabela_registros[TIPO],DADOS!$AJ$3,tabela_registros[CATEGORIA],reservafixaconsolidadoago[[#This Row],[ATUAL]])</f>
        <v>0</v>
      </c>
      <c r="AA171" s="91">
        <f>SUMIFS(tabela_registros[VALOR],tabela_registros[MÊS],$AE$1,tabela_registros[DIA],reservafixaconsolidadoago[[#Headers],[23]],tabela_registros[REGISTRO],DADOS!$N$6,tabela_registros[TIPO],DADOS!$AJ$3,tabela_registros[CATEGORIA],reservafixaconsolidadoago[[#This Row],[ATUAL]])</f>
        <v>0</v>
      </c>
      <c r="AB171" s="91">
        <f>SUMIFS(tabela_registros[VALOR],tabela_registros[MÊS],$AE$1,tabela_registros[DIA],reservafixaconsolidadoago[[#Headers],[24]],tabela_registros[REGISTRO],DADOS!$N$6,tabela_registros[TIPO],DADOS!$AJ$3,tabela_registros[CATEGORIA],reservafixaconsolidadoago[[#This Row],[ATUAL]])</f>
        <v>0</v>
      </c>
      <c r="AC171" s="91">
        <f>SUMIFS(tabela_registros[VALOR],tabela_registros[MÊS],$AE$1,tabela_registros[DIA],reservafixaconsolidadoago[[#Headers],[25]],tabela_registros[REGISTRO],DADOS!$N$6,tabela_registros[TIPO],DADOS!$AJ$3,tabela_registros[CATEGORIA],reservafixaconsolidadoago[[#This Row],[ATUAL]])</f>
        <v>0</v>
      </c>
      <c r="AD171" s="91">
        <f>SUMIFS(tabela_registros[VALOR],tabela_registros[MÊS],$AE$1,tabela_registros[DIA],reservafixaconsolidadoago[[#Headers],[26]],tabela_registros[REGISTRO],DADOS!$N$6,tabela_registros[TIPO],DADOS!$AJ$3,tabela_registros[CATEGORIA],reservafixaconsolidadoago[[#This Row],[ATUAL]])</f>
        <v>0</v>
      </c>
      <c r="AE171" s="91">
        <f>SUMIFS(tabela_registros[VALOR],tabela_registros[MÊS],$AE$1,tabela_registros[DIA],reservafixaconsolidadoago[[#Headers],[27]],tabela_registros[REGISTRO],DADOS!$N$6,tabela_registros[TIPO],DADOS!$AJ$3,tabela_registros[CATEGORIA],reservafixaconsolidadoago[[#This Row],[ATUAL]])</f>
        <v>0</v>
      </c>
      <c r="AF171" s="91">
        <f>SUMIFS(tabela_registros[VALOR],tabela_registros[MÊS],$AE$1,tabela_registros[DIA],reservafixaconsolidadoago[[#Headers],[28]],tabela_registros[REGISTRO],DADOS!$N$6,tabela_registros[TIPO],DADOS!$AJ$3,tabela_registros[CATEGORIA],reservafixaconsolidadoago[[#This Row],[ATUAL]])</f>
        <v>0</v>
      </c>
      <c r="AG171" s="91">
        <f>SUMIFS(tabela_registros[VALOR],tabela_registros[MÊS],$AE$1,tabela_registros[DIA],reservafixaconsolidadoago[[#Headers],[29]],tabela_registros[REGISTRO],DADOS!$N$6,tabela_registros[TIPO],DADOS!$AJ$3,tabela_registros[CATEGORIA],reservafixaconsolidadoago[[#This Row],[ATUAL]])</f>
        <v>0</v>
      </c>
      <c r="AH171" s="91">
        <f>SUMIFS(tabela_registros[VALOR],tabela_registros[MÊS],$AE$1,tabela_registros[DIA],reservafixaconsolidadoago[[#Headers],[30]],tabela_registros[REGISTRO],DADOS!$N$6,tabela_registros[TIPO],DADOS!$AJ$3,tabela_registros[CATEGORIA],reservafixaconsolidadoago[[#This Row],[ATUAL]])</f>
        <v>0</v>
      </c>
      <c r="AI171" s="101">
        <f>SUMIFS(tabela_registros[VALOR],tabela_registros[MÊS],$AE$1,tabela_registros[DIA],reservafixaconsolidadoago[[#Headers],[31]],tabela_registros[REGISTRO],DADOS!$N$6,tabela_registros[TIPO],DADOS!$AJ$3,tabela_registros[CATEGORIA],reservafixaconsolidadoago[[#This Row],[ATUAL]])</f>
        <v>0</v>
      </c>
      <c r="AJ171" s="97">
        <f>SUM(reservafixaconsolidadoago[[#This Row],[1]:[31]])</f>
        <v>0</v>
      </c>
      <c r="AK171" s="25"/>
    </row>
    <row r="172" spans="2:37" ht="19.5" customHeight="1" thickTop="1" thickBot="1" x14ac:dyDescent="0.3">
      <c r="B172" s="28"/>
      <c r="C172" s="27" t="str">
        <f>DADOS!$AL$7</f>
        <v>📝 EXTERIOR</v>
      </c>
      <c r="D172" s="26" t="str">
        <f>IF(reservafixaconsolidadoago[[#This Row],[TOTAL (R$)]]=0,"",IF(OR(reservafixaconsolidadoago[[#This Row],[TOTAL (R$)]]=LARGE($AJ$168:$AJ$177,1),reservafixaconsolidadoago[[#This Row],[TOTAL (R$)]]=LARGE($AJ$168:$AJ$177,2)),DADOS!$I$11,""))</f>
        <v/>
      </c>
      <c r="E172" s="96">
        <f>SUMIFS(tabela_registros[VALOR],tabela_registros[MÊS],$AE$1,tabela_registros[DIA],reservafixaconsolidadoago[[#Headers],[1]],tabela_registros[REGISTRO],DADOS!$N$6,tabela_registros[TIPO],DADOS!$AJ$3,tabela_registros[CATEGORIA],reservafixaconsolidadoago[[#This Row],[ATUAL]])</f>
        <v>0</v>
      </c>
      <c r="F172" s="91">
        <f>SUMIFS(tabela_registros[VALOR],tabela_registros[MÊS],$AE$1,tabela_registros[DIA],reservafixaconsolidadoago[[#Headers],[2]],tabela_registros[REGISTRO],DADOS!$N$6,tabela_registros[TIPO],DADOS!$AJ$3,tabela_registros[CATEGORIA],reservafixaconsolidadoago[[#This Row],[ATUAL]])</f>
        <v>0</v>
      </c>
      <c r="G172" s="91">
        <f>SUMIFS(tabela_registros[VALOR],tabela_registros[MÊS],$AE$1,tabela_registros[DIA],reservafixaconsolidadoago[[#Headers],[3]],tabela_registros[REGISTRO],DADOS!$N$6,tabela_registros[TIPO],DADOS!$AJ$3,tabela_registros[CATEGORIA],reservafixaconsolidadoago[[#This Row],[ATUAL]])</f>
        <v>0</v>
      </c>
      <c r="H172" s="91">
        <f>SUMIFS(tabela_registros[VALOR],tabela_registros[MÊS],$AE$1,tabela_registros[DIA],reservafixaconsolidadoago[[#Headers],[4]],tabela_registros[REGISTRO],DADOS!$N$6,tabela_registros[TIPO],DADOS!$AJ$3,tabela_registros[CATEGORIA],reservafixaconsolidadoago[[#This Row],[ATUAL]])</f>
        <v>0</v>
      </c>
      <c r="I172" s="91">
        <f>SUMIFS(tabela_registros[VALOR],tabela_registros[MÊS],$AE$1,tabela_registros[DIA],reservafixaconsolidadoago[[#Headers],[5]],tabela_registros[REGISTRO],DADOS!$N$6,tabela_registros[TIPO],DADOS!$AJ$3,tabela_registros[CATEGORIA],reservafixaconsolidadoago[[#This Row],[ATUAL]])</f>
        <v>0</v>
      </c>
      <c r="J172" s="91">
        <f>SUMIFS(tabela_registros[VALOR],tabela_registros[MÊS],$AE$1,tabela_registros[DIA],reservafixaconsolidadoago[[#Headers],[6]],tabela_registros[REGISTRO],DADOS!$N$6,tabela_registros[TIPO],DADOS!$AJ$3,tabela_registros[CATEGORIA],reservafixaconsolidadoago[[#This Row],[ATUAL]])</f>
        <v>0</v>
      </c>
      <c r="K172" s="91">
        <f>SUMIFS(tabela_registros[VALOR],tabela_registros[MÊS],$AE$1,tabela_registros[DIA],reservafixaconsolidadoago[[#Headers],[7]],tabela_registros[REGISTRO],DADOS!$N$6,tabela_registros[TIPO],DADOS!$AJ$3,tabela_registros[CATEGORIA],reservafixaconsolidadoago[[#This Row],[ATUAL]])</f>
        <v>0</v>
      </c>
      <c r="L172" s="91">
        <f>SUMIFS(tabela_registros[VALOR],tabela_registros[MÊS],$AE$1,tabela_registros[DIA],reservafixaconsolidadoago[[#Headers],[8]],tabela_registros[REGISTRO],DADOS!$N$6,tabela_registros[TIPO],DADOS!$AJ$3,tabela_registros[CATEGORIA],reservafixaconsolidadoago[[#This Row],[ATUAL]])</f>
        <v>0</v>
      </c>
      <c r="M172" s="91">
        <f>SUMIFS(tabela_registros[VALOR],tabela_registros[MÊS],$AE$1,tabela_registros[DIA],reservafixaconsolidadoago[[#Headers],[9]],tabela_registros[REGISTRO],DADOS!$N$6,tabela_registros[TIPO],DADOS!$AJ$3,tabela_registros[CATEGORIA],reservafixaconsolidadoago[[#This Row],[ATUAL]])</f>
        <v>0</v>
      </c>
      <c r="N172" s="91">
        <f>SUMIFS(tabela_registros[VALOR],tabela_registros[MÊS],$AE$1,tabela_registros[DIA],reservafixaconsolidadoago[[#Headers],[10]],tabela_registros[REGISTRO],DADOS!$N$6,tabela_registros[TIPO],DADOS!$AJ$3,tabela_registros[CATEGORIA],reservafixaconsolidadoago[[#This Row],[ATUAL]])</f>
        <v>0</v>
      </c>
      <c r="O172" s="91">
        <f>SUMIFS(tabela_registros[VALOR],tabela_registros[MÊS],$AE$1,tabela_registros[DIA],reservafixaconsolidadoago[[#Headers],[11]],tabela_registros[REGISTRO],DADOS!$N$6,tabela_registros[TIPO],DADOS!$AJ$3,tabela_registros[CATEGORIA],reservafixaconsolidadoago[[#This Row],[ATUAL]])</f>
        <v>0</v>
      </c>
      <c r="P172" s="91">
        <f>SUMIFS(tabela_registros[VALOR],tabela_registros[MÊS],$AE$1,tabela_registros[DIA],reservafixaconsolidadoago[[#Headers],[12]],tabela_registros[REGISTRO],DADOS!$N$6,tabela_registros[TIPO],DADOS!$AJ$3,tabela_registros[CATEGORIA],reservafixaconsolidadoago[[#This Row],[ATUAL]])</f>
        <v>0</v>
      </c>
      <c r="Q172" s="91">
        <f>SUMIFS(tabela_registros[VALOR],tabela_registros[MÊS],$AE$1,tabela_registros[DIA],reservafixaconsolidadoago[[#Headers],[13]],tabela_registros[REGISTRO],DADOS!$N$6,tabela_registros[TIPO],DADOS!$AJ$3,tabela_registros[CATEGORIA],reservafixaconsolidadoago[[#This Row],[ATUAL]])</f>
        <v>0</v>
      </c>
      <c r="R172" s="91">
        <f>SUMIFS(tabela_registros[VALOR],tabela_registros[MÊS],$AE$1,tabela_registros[DIA],reservafixaconsolidadoago[[#Headers],[14]],tabela_registros[REGISTRO],DADOS!$N$6,tabela_registros[TIPO],DADOS!$AJ$3,tabela_registros[CATEGORIA],reservafixaconsolidadoago[[#This Row],[ATUAL]])</f>
        <v>0</v>
      </c>
      <c r="S172" s="91">
        <f>SUMIFS(tabela_registros[VALOR],tabela_registros[MÊS],$AE$1,tabela_registros[DIA],reservafixaconsolidadoago[[#Headers],[15]],tabela_registros[REGISTRO],DADOS!$N$6,tabela_registros[TIPO],DADOS!$AJ$3,tabela_registros[CATEGORIA],reservafixaconsolidadoago[[#This Row],[ATUAL]])</f>
        <v>0</v>
      </c>
      <c r="T172" s="91">
        <f>SUMIFS(tabela_registros[VALOR],tabela_registros[MÊS],$AE$1,tabela_registros[DIA],reservafixaconsolidadoago[[#Headers],[16]],tabela_registros[REGISTRO],DADOS!$N$6,tabela_registros[TIPO],DADOS!$AJ$3,tabela_registros[CATEGORIA],reservafixaconsolidadoago[[#This Row],[ATUAL]])</f>
        <v>0</v>
      </c>
      <c r="U172" s="91">
        <f>SUMIFS(tabela_registros[VALOR],tabela_registros[MÊS],$AE$1,tabela_registros[DIA],reservafixaconsolidadoago[[#Headers],[17]],tabela_registros[REGISTRO],DADOS!$N$6,tabela_registros[TIPO],DADOS!$AJ$3,tabela_registros[CATEGORIA],reservafixaconsolidadoago[[#This Row],[ATUAL]])</f>
        <v>0</v>
      </c>
      <c r="V172" s="91">
        <f>SUMIFS(tabela_registros[VALOR],tabela_registros[MÊS],$AE$1,tabela_registros[DIA],reservafixaconsolidadoago[[#Headers],[18]],tabela_registros[REGISTRO],DADOS!$N$6,tabela_registros[TIPO],DADOS!$AJ$3,tabela_registros[CATEGORIA],reservafixaconsolidadoago[[#This Row],[ATUAL]])</f>
        <v>0</v>
      </c>
      <c r="W172" s="91">
        <f>SUMIFS(tabela_registros[VALOR],tabela_registros[MÊS],$AE$1,tabela_registros[DIA],reservafixaconsolidadoago[[#Headers],[19]],tabela_registros[REGISTRO],DADOS!$N$6,tabela_registros[TIPO],DADOS!$AJ$3,tabela_registros[CATEGORIA],reservafixaconsolidadoago[[#This Row],[ATUAL]])</f>
        <v>0</v>
      </c>
      <c r="X172" s="91">
        <f>SUMIFS(tabela_registros[VALOR],tabela_registros[MÊS],$AE$1,tabela_registros[DIA],reservafixaconsolidadoago[[#Headers],[20]],tabela_registros[REGISTRO],DADOS!$N$6,tabela_registros[TIPO],DADOS!$AJ$3,tabela_registros[CATEGORIA],reservafixaconsolidadoago[[#This Row],[ATUAL]])</f>
        <v>0</v>
      </c>
      <c r="Y172" s="91">
        <f>SUMIFS(tabela_registros[VALOR],tabela_registros[MÊS],$AE$1,tabela_registros[DIA],reservafixaconsolidadoago[[#Headers],[21]],tabela_registros[REGISTRO],DADOS!$N$6,tabela_registros[TIPO],DADOS!$AJ$3,tabela_registros[CATEGORIA],reservafixaconsolidadoago[[#This Row],[ATUAL]])</f>
        <v>0</v>
      </c>
      <c r="Z172" s="91">
        <f>SUMIFS(tabela_registros[VALOR],tabela_registros[MÊS],$AE$1,tabela_registros[DIA],reservafixaconsolidadoago[[#Headers],[22]],tabela_registros[REGISTRO],DADOS!$N$6,tabela_registros[TIPO],DADOS!$AJ$3,tabela_registros[CATEGORIA],reservafixaconsolidadoago[[#This Row],[ATUAL]])</f>
        <v>0</v>
      </c>
      <c r="AA172" s="91">
        <f>SUMIFS(tabela_registros[VALOR],tabela_registros[MÊS],$AE$1,tabela_registros[DIA],reservafixaconsolidadoago[[#Headers],[23]],tabela_registros[REGISTRO],DADOS!$N$6,tabela_registros[TIPO],DADOS!$AJ$3,tabela_registros[CATEGORIA],reservafixaconsolidadoago[[#This Row],[ATUAL]])</f>
        <v>0</v>
      </c>
      <c r="AB172" s="91">
        <f>SUMIFS(tabela_registros[VALOR],tabela_registros[MÊS],$AE$1,tabela_registros[DIA],reservafixaconsolidadoago[[#Headers],[24]],tabela_registros[REGISTRO],DADOS!$N$6,tabela_registros[TIPO],DADOS!$AJ$3,tabela_registros[CATEGORIA],reservafixaconsolidadoago[[#This Row],[ATUAL]])</f>
        <v>0</v>
      </c>
      <c r="AC172" s="91">
        <f>SUMIFS(tabela_registros[VALOR],tabela_registros[MÊS],$AE$1,tabela_registros[DIA],reservafixaconsolidadoago[[#Headers],[25]],tabela_registros[REGISTRO],DADOS!$N$6,tabela_registros[TIPO],DADOS!$AJ$3,tabela_registros[CATEGORIA],reservafixaconsolidadoago[[#This Row],[ATUAL]])</f>
        <v>0</v>
      </c>
      <c r="AD172" s="91">
        <f>SUMIFS(tabela_registros[VALOR],tabela_registros[MÊS],$AE$1,tabela_registros[DIA],reservafixaconsolidadoago[[#Headers],[26]],tabela_registros[REGISTRO],DADOS!$N$6,tabela_registros[TIPO],DADOS!$AJ$3,tabela_registros[CATEGORIA],reservafixaconsolidadoago[[#This Row],[ATUAL]])</f>
        <v>0</v>
      </c>
      <c r="AE172" s="91">
        <f>SUMIFS(tabela_registros[VALOR],tabela_registros[MÊS],$AE$1,tabela_registros[DIA],reservafixaconsolidadoago[[#Headers],[27]],tabela_registros[REGISTRO],DADOS!$N$6,tabela_registros[TIPO],DADOS!$AJ$3,tabela_registros[CATEGORIA],reservafixaconsolidadoago[[#This Row],[ATUAL]])</f>
        <v>0</v>
      </c>
      <c r="AF172" s="91">
        <f>SUMIFS(tabela_registros[VALOR],tabela_registros[MÊS],$AE$1,tabela_registros[DIA],reservafixaconsolidadoago[[#Headers],[28]],tabela_registros[REGISTRO],DADOS!$N$6,tabela_registros[TIPO],DADOS!$AJ$3,tabela_registros[CATEGORIA],reservafixaconsolidadoago[[#This Row],[ATUAL]])</f>
        <v>0</v>
      </c>
      <c r="AG172" s="91">
        <f>SUMIFS(tabela_registros[VALOR],tabela_registros[MÊS],$AE$1,tabela_registros[DIA],reservafixaconsolidadoago[[#Headers],[29]],tabela_registros[REGISTRO],DADOS!$N$6,tabela_registros[TIPO],DADOS!$AJ$3,tabela_registros[CATEGORIA],reservafixaconsolidadoago[[#This Row],[ATUAL]])</f>
        <v>0</v>
      </c>
      <c r="AH172" s="91">
        <f>SUMIFS(tabela_registros[VALOR],tabela_registros[MÊS],$AE$1,tabela_registros[DIA],reservafixaconsolidadoago[[#Headers],[30]],tabela_registros[REGISTRO],DADOS!$N$6,tabela_registros[TIPO],DADOS!$AJ$3,tabela_registros[CATEGORIA],reservafixaconsolidadoago[[#This Row],[ATUAL]])</f>
        <v>0</v>
      </c>
      <c r="AI172" s="101">
        <f>SUMIFS(tabela_registros[VALOR],tabela_registros[MÊS],$AE$1,tabela_registros[DIA],reservafixaconsolidadoago[[#Headers],[31]],tabela_registros[REGISTRO],DADOS!$N$6,tabela_registros[TIPO],DADOS!$AJ$3,tabela_registros[CATEGORIA],reservafixaconsolidadoago[[#This Row],[ATUAL]])</f>
        <v>0</v>
      </c>
      <c r="AJ172" s="97">
        <f>SUM(reservafixaconsolidadoago[[#This Row],[1]:[31]])</f>
        <v>0</v>
      </c>
      <c r="AK172" s="25"/>
    </row>
    <row r="173" spans="2:37" ht="19.5" customHeight="1" thickTop="1" thickBot="1" x14ac:dyDescent="0.3">
      <c r="B173" s="28"/>
      <c r="C173" s="27" t="str">
        <f>DADOS!$AL$8</f>
        <v>📝 LC</v>
      </c>
      <c r="D173" s="26" t="str">
        <f>IF(reservafixaconsolidadoago[[#This Row],[TOTAL (R$)]]=0,"",IF(OR(reservafixaconsolidadoago[[#This Row],[TOTAL (R$)]]=LARGE($AJ$168:$AJ$177,1),reservafixaconsolidadoago[[#This Row],[TOTAL (R$)]]=LARGE($AJ$168:$AJ$177,2)),DADOS!$I$11,""))</f>
        <v/>
      </c>
      <c r="E173" s="96">
        <f>SUMIFS(tabela_registros[VALOR],tabela_registros[MÊS],$AE$1,tabela_registros[DIA],reservafixaconsolidadoago[[#Headers],[1]],tabela_registros[REGISTRO],DADOS!$N$6,tabela_registros[TIPO],DADOS!$AJ$3,tabela_registros[CATEGORIA],reservafixaconsolidadoago[[#This Row],[ATUAL]])</f>
        <v>0</v>
      </c>
      <c r="F173" s="91">
        <f>SUMIFS(tabela_registros[VALOR],tabela_registros[MÊS],$AE$1,tabela_registros[DIA],reservafixaconsolidadoago[[#Headers],[2]],tabela_registros[REGISTRO],DADOS!$N$6,tabela_registros[TIPO],DADOS!$AJ$3,tabela_registros[CATEGORIA],reservafixaconsolidadoago[[#This Row],[ATUAL]])</f>
        <v>0</v>
      </c>
      <c r="G173" s="91">
        <f>SUMIFS(tabela_registros[VALOR],tabela_registros[MÊS],$AE$1,tabela_registros[DIA],reservafixaconsolidadoago[[#Headers],[3]],tabela_registros[REGISTRO],DADOS!$N$6,tabela_registros[TIPO],DADOS!$AJ$3,tabela_registros[CATEGORIA],reservafixaconsolidadoago[[#This Row],[ATUAL]])</f>
        <v>0</v>
      </c>
      <c r="H173" s="91">
        <f>SUMIFS(tabela_registros[VALOR],tabela_registros[MÊS],$AE$1,tabela_registros[DIA],reservafixaconsolidadoago[[#Headers],[4]],tabela_registros[REGISTRO],DADOS!$N$6,tabela_registros[TIPO],DADOS!$AJ$3,tabela_registros[CATEGORIA],reservafixaconsolidadoago[[#This Row],[ATUAL]])</f>
        <v>0</v>
      </c>
      <c r="I173" s="91">
        <f>SUMIFS(tabela_registros[VALOR],tabela_registros[MÊS],$AE$1,tabela_registros[DIA],reservafixaconsolidadoago[[#Headers],[5]],tabela_registros[REGISTRO],DADOS!$N$6,tabela_registros[TIPO],DADOS!$AJ$3,tabela_registros[CATEGORIA],reservafixaconsolidadoago[[#This Row],[ATUAL]])</f>
        <v>0</v>
      </c>
      <c r="J173" s="91">
        <f>SUMIFS(tabela_registros[VALOR],tabela_registros[MÊS],$AE$1,tabela_registros[DIA],reservafixaconsolidadoago[[#Headers],[6]],tabela_registros[REGISTRO],DADOS!$N$6,tabela_registros[TIPO],DADOS!$AJ$3,tabela_registros[CATEGORIA],reservafixaconsolidadoago[[#This Row],[ATUAL]])</f>
        <v>0</v>
      </c>
      <c r="K173" s="91">
        <f>SUMIFS(tabela_registros[VALOR],tabela_registros[MÊS],$AE$1,tabela_registros[DIA],reservafixaconsolidadoago[[#Headers],[7]],tabela_registros[REGISTRO],DADOS!$N$6,tabela_registros[TIPO],DADOS!$AJ$3,tabela_registros[CATEGORIA],reservafixaconsolidadoago[[#This Row],[ATUAL]])</f>
        <v>0</v>
      </c>
      <c r="L173" s="91">
        <f>SUMIFS(tabela_registros[VALOR],tabela_registros[MÊS],$AE$1,tabela_registros[DIA],reservafixaconsolidadoago[[#Headers],[8]],tabela_registros[REGISTRO],DADOS!$N$6,tabela_registros[TIPO],DADOS!$AJ$3,tabela_registros[CATEGORIA],reservafixaconsolidadoago[[#This Row],[ATUAL]])</f>
        <v>0</v>
      </c>
      <c r="M173" s="91">
        <f>SUMIFS(tabela_registros[VALOR],tabela_registros[MÊS],$AE$1,tabela_registros[DIA],reservafixaconsolidadoago[[#Headers],[9]],tabela_registros[REGISTRO],DADOS!$N$6,tabela_registros[TIPO],DADOS!$AJ$3,tabela_registros[CATEGORIA],reservafixaconsolidadoago[[#This Row],[ATUAL]])</f>
        <v>0</v>
      </c>
      <c r="N173" s="91">
        <f>SUMIFS(tabela_registros[VALOR],tabela_registros[MÊS],$AE$1,tabela_registros[DIA],reservafixaconsolidadoago[[#Headers],[10]],tabela_registros[REGISTRO],DADOS!$N$6,tabela_registros[TIPO],DADOS!$AJ$3,tabela_registros[CATEGORIA],reservafixaconsolidadoago[[#This Row],[ATUAL]])</f>
        <v>0</v>
      </c>
      <c r="O173" s="91">
        <f>SUMIFS(tabela_registros[VALOR],tabela_registros[MÊS],$AE$1,tabela_registros[DIA],reservafixaconsolidadoago[[#Headers],[11]],tabela_registros[REGISTRO],DADOS!$N$6,tabela_registros[TIPO],DADOS!$AJ$3,tabela_registros[CATEGORIA],reservafixaconsolidadoago[[#This Row],[ATUAL]])</f>
        <v>0</v>
      </c>
      <c r="P173" s="91">
        <f>SUMIFS(tabela_registros[VALOR],tabela_registros[MÊS],$AE$1,tabela_registros[DIA],reservafixaconsolidadoago[[#Headers],[12]],tabela_registros[REGISTRO],DADOS!$N$6,tabela_registros[TIPO],DADOS!$AJ$3,tabela_registros[CATEGORIA],reservafixaconsolidadoago[[#This Row],[ATUAL]])</f>
        <v>0</v>
      </c>
      <c r="Q173" s="91">
        <f>SUMIFS(tabela_registros[VALOR],tabela_registros[MÊS],$AE$1,tabela_registros[DIA],reservafixaconsolidadoago[[#Headers],[13]],tabela_registros[REGISTRO],DADOS!$N$6,tabela_registros[TIPO],DADOS!$AJ$3,tabela_registros[CATEGORIA],reservafixaconsolidadoago[[#This Row],[ATUAL]])</f>
        <v>0</v>
      </c>
      <c r="R173" s="91">
        <f>SUMIFS(tabela_registros[VALOR],tabela_registros[MÊS],$AE$1,tabela_registros[DIA],reservafixaconsolidadoago[[#Headers],[14]],tabela_registros[REGISTRO],DADOS!$N$6,tabela_registros[TIPO],DADOS!$AJ$3,tabela_registros[CATEGORIA],reservafixaconsolidadoago[[#This Row],[ATUAL]])</f>
        <v>0</v>
      </c>
      <c r="S173" s="91">
        <f>SUMIFS(tabela_registros[VALOR],tabela_registros[MÊS],$AE$1,tabela_registros[DIA],reservafixaconsolidadoago[[#Headers],[15]],tabela_registros[REGISTRO],DADOS!$N$6,tabela_registros[TIPO],DADOS!$AJ$3,tabela_registros[CATEGORIA],reservafixaconsolidadoago[[#This Row],[ATUAL]])</f>
        <v>0</v>
      </c>
      <c r="T173" s="91">
        <f>SUMIFS(tabela_registros[VALOR],tabela_registros[MÊS],$AE$1,tabela_registros[DIA],reservafixaconsolidadoago[[#Headers],[16]],tabela_registros[REGISTRO],DADOS!$N$6,tabela_registros[TIPO],DADOS!$AJ$3,tabela_registros[CATEGORIA],reservafixaconsolidadoago[[#This Row],[ATUAL]])</f>
        <v>0</v>
      </c>
      <c r="U173" s="91">
        <f>SUMIFS(tabela_registros[VALOR],tabela_registros[MÊS],$AE$1,tabela_registros[DIA],reservafixaconsolidadoago[[#Headers],[17]],tabela_registros[REGISTRO],DADOS!$N$6,tabela_registros[TIPO],DADOS!$AJ$3,tabela_registros[CATEGORIA],reservafixaconsolidadoago[[#This Row],[ATUAL]])</f>
        <v>0</v>
      </c>
      <c r="V173" s="91">
        <f>SUMIFS(tabela_registros[VALOR],tabela_registros[MÊS],$AE$1,tabela_registros[DIA],reservafixaconsolidadoago[[#Headers],[18]],tabela_registros[REGISTRO],DADOS!$N$6,tabela_registros[TIPO],DADOS!$AJ$3,tabela_registros[CATEGORIA],reservafixaconsolidadoago[[#This Row],[ATUAL]])</f>
        <v>0</v>
      </c>
      <c r="W173" s="91">
        <f>SUMIFS(tabela_registros[VALOR],tabela_registros[MÊS],$AE$1,tabela_registros[DIA],reservafixaconsolidadoago[[#Headers],[19]],tabela_registros[REGISTRO],DADOS!$N$6,tabela_registros[TIPO],DADOS!$AJ$3,tabela_registros[CATEGORIA],reservafixaconsolidadoago[[#This Row],[ATUAL]])</f>
        <v>0</v>
      </c>
      <c r="X173" s="91">
        <f>SUMIFS(tabela_registros[VALOR],tabela_registros[MÊS],$AE$1,tabela_registros[DIA],reservafixaconsolidadoago[[#Headers],[20]],tabela_registros[REGISTRO],DADOS!$N$6,tabela_registros[TIPO],DADOS!$AJ$3,tabela_registros[CATEGORIA],reservafixaconsolidadoago[[#This Row],[ATUAL]])</f>
        <v>0</v>
      </c>
      <c r="Y173" s="91">
        <f>SUMIFS(tabela_registros[VALOR],tabela_registros[MÊS],$AE$1,tabela_registros[DIA],reservafixaconsolidadoago[[#Headers],[21]],tabela_registros[REGISTRO],DADOS!$N$6,tabela_registros[TIPO],DADOS!$AJ$3,tabela_registros[CATEGORIA],reservafixaconsolidadoago[[#This Row],[ATUAL]])</f>
        <v>0</v>
      </c>
      <c r="Z173" s="91">
        <f>SUMIFS(tabela_registros[VALOR],tabela_registros[MÊS],$AE$1,tabela_registros[DIA],reservafixaconsolidadoago[[#Headers],[22]],tabela_registros[REGISTRO],DADOS!$N$6,tabela_registros[TIPO],DADOS!$AJ$3,tabela_registros[CATEGORIA],reservafixaconsolidadoago[[#This Row],[ATUAL]])</f>
        <v>0</v>
      </c>
      <c r="AA173" s="91">
        <f>SUMIFS(tabela_registros[VALOR],tabela_registros[MÊS],$AE$1,tabela_registros[DIA],reservafixaconsolidadoago[[#Headers],[23]],tabela_registros[REGISTRO],DADOS!$N$6,tabela_registros[TIPO],DADOS!$AJ$3,tabela_registros[CATEGORIA],reservafixaconsolidadoago[[#This Row],[ATUAL]])</f>
        <v>0</v>
      </c>
      <c r="AB173" s="91">
        <f>SUMIFS(tabela_registros[VALOR],tabela_registros[MÊS],$AE$1,tabela_registros[DIA],reservafixaconsolidadoago[[#Headers],[24]],tabela_registros[REGISTRO],DADOS!$N$6,tabela_registros[TIPO],DADOS!$AJ$3,tabela_registros[CATEGORIA],reservafixaconsolidadoago[[#This Row],[ATUAL]])</f>
        <v>0</v>
      </c>
      <c r="AC173" s="91">
        <f>SUMIFS(tabela_registros[VALOR],tabela_registros[MÊS],$AE$1,tabela_registros[DIA],reservafixaconsolidadoago[[#Headers],[25]],tabela_registros[REGISTRO],DADOS!$N$6,tabela_registros[TIPO],DADOS!$AJ$3,tabela_registros[CATEGORIA],reservafixaconsolidadoago[[#This Row],[ATUAL]])</f>
        <v>0</v>
      </c>
      <c r="AD173" s="91">
        <f>SUMIFS(tabela_registros[VALOR],tabela_registros[MÊS],$AE$1,tabela_registros[DIA],reservafixaconsolidadoago[[#Headers],[26]],tabela_registros[REGISTRO],DADOS!$N$6,tabela_registros[TIPO],DADOS!$AJ$3,tabela_registros[CATEGORIA],reservafixaconsolidadoago[[#This Row],[ATUAL]])</f>
        <v>0</v>
      </c>
      <c r="AE173" s="91">
        <f>SUMIFS(tabela_registros[VALOR],tabela_registros[MÊS],$AE$1,tabela_registros[DIA],reservafixaconsolidadoago[[#Headers],[27]],tabela_registros[REGISTRO],DADOS!$N$6,tabela_registros[TIPO],DADOS!$AJ$3,tabela_registros[CATEGORIA],reservafixaconsolidadoago[[#This Row],[ATUAL]])</f>
        <v>0</v>
      </c>
      <c r="AF173" s="91">
        <f>SUMIFS(tabela_registros[VALOR],tabela_registros[MÊS],$AE$1,tabela_registros[DIA],reservafixaconsolidadoago[[#Headers],[28]],tabela_registros[REGISTRO],DADOS!$N$6,tabela_registros[TIPO],DADOS!$AJ$3,tabela_registros[CATEGORIA],reservafixaconsolidadoago[[#This Row],[ATUAL]])</f>
        <v>0</v>
      </c>
      <c r="AG173" s="91">
        <f>SUMIFS(tabela_registros[VALOR],tabela_registros[MÊS],$AE$1,tabela_registros[DIA],reservafixaconsolidadoago[[#Headers],[29]],tabela_registros[REGISTRO],DADOS!$N$6,tabela_registros[TIPO],DADOS!$AJ$3,tabela_registros[CATEGORIA],reservafixaconsolidadoago[[#This Row],[ATUAL]])</f>
        <v>0</v>
      </c>
      <c r="AH173" s="91">
        <f>SUMIFS(tabela_registros[VALOR],tabela_registros[MÊS],$AE$1,tabela_registros[DIA],reservafixaconsolidadoago[[#Headers],[30]],tabela_registros[REGISTRO],DADOS!$N$6,tabela_registros[TIPO],DADOS!$AJ$3,tabela_registros[CATEGORIA],reservafixaconsolidadoago[[#This Row],[ATUAL]])</f>
        <v>0</v>
      </c>
      <c r="AI173" s="101">
        <f>SUMIFS(tabela_registros[VALOR],tabela_registros[MÊS],$AE$1,tabela_registros[DIA],reservafixaconsolidadoago[[#Headers],[31]],tabela_registros[REGISTRO],DADOS!$N$6,tabela_registros[TIPO],DADOS!$AJ$3,tabela_registros[CATEGORIA],reservafixaconsolidadoago[[#This Row],[ATUAL]])</f>
        <v>0</v>
      </c>
      <c r="AJ173" s="97">
        <f>SUM(reservafixaconsolidadoago[[#This Row],[1]:[31]])</f>
        <v>0</v>
      </c>
      <c r="AK173" s="25"/>
    </row>
    <row r="174" spans="2:37" ht="19.5" customHeight="1" thickTop="1" thickBot="1" x14ac:dyDescent="0.3">
      <c r="B174" s="28"/>
      <c r="C174" s="27" t="str">
        <f>DADOS!$AL$9</f>
        <v>📝 LCA</v>
      </c>
      <c r="D174" s="26" t="str">
        <f>IF(reservafixaconsolidadoago[[#This Row],[TOTAL (R$)]]=0,"",IF(OR(reservafixaconsolidadoago[[#This Row],[TOTAL (R$)]]=LARGE($AJ$168:$AJ$177,1),reservafixaconsolidadoago[[#This Row],[TOTAL (R$)]]=LARGE($AJ$168:$AJ$177,2)),DADOS!$I$11,""))</f>
        <v/>
      </c>
      <c r="E174" s="96">
        <f>SUMIFS(tabela_registros[VALOR],tabela_registros[MÊS],$AE$1,tabela_registros[DIA],reservafixaconsolidadoago[[#Headers],[1]],tabela_registros[REGISTRO],DADOS!$N$6,tabela_registros[TIPO],DADOS!$AJ$3,tabela_registros[CATEGORIA],reservafixaconsolidadoago[[#This Row],[ATUAL]])</f>
        <v>0</v>
      </c>
      <c r="F174" s="91">
        <f>SUMIFS(tabela_registros[VALOR],tabela_registros[MÊS],$AE$1,tabela_registros[DIA],reservafixaconsolidadoago[[#Headers],[2]],tabela_registros[REGISTRO],DADOS!$N$6,tabela_registros[TIPO],DADOS!$AJ$3,tabela_registros[CATEGORIA],reservafixaconsolidadoago[[#This Row],[ATUAL]])</f>
        <v>0</v>
      </c>
      <c r="G174" s="91">
        <f>SUMIFS(tabela_registros[VALOR],tabela_registros[MÊS],$AE$1,tabela_registros[DIA],reservafixaconsolidadoago[[#Headers],[3]],tabela_registros[REGISTRO],DADOS!$N$6,tabela_registros[TIPO],DADOS!$AJ$3,tabela_registros[CATEGORIA],reservafixaconsolidadoago[[#This Row],[ATUAL]])</f>
        <v>0</v>
      </c>
      <c r="H174" s="91">
        <f>SUMIFS(tabela_registros[VALOR],tabela_registros[MÊS],$AE$1,tabela_registros[DIA],reservafixaconsolidadoago[[#Headers],[4]],tabela_registros[REGISTRO],DADOS!$N$6,tabela_registros[TIPO],DADOS!$AJ$3,tabela_registros[CATEGORIA],reservafixaconsolidadoago[[#This Row],[ATUAL]])</f>
        <v>0</v>
      </c>
      <c r="I174" s="91">
        <f>SUMIFS(tabela_registros[VALOR],tabela_registros[MÊS],$AE$1,tabela_registros[DIA],reservafixaconsolidadoago[[#Headers],[5]],tabela_registros[REGISTRO],DADOS!$N$6,tabela_registros[TIPO],DADOS!$AJ$3,tabela_registros[CATEGORIA],reservafixaconsolidadoago[[#This Row],[ATUAL]])</f>
        <v>0</v>
      </c>
      <c r="J174" s="91">
        <f>SUMIFS(tabela_registros[VALOR],tabela_registros[MÊS],$AE$1,tabela_registros[DIA],reservafixaconsolidadoago[[#Headers],[6]],tabela_registros[REGISTRO],DADOS!$N$6,tabela_registros[TIPO],DADOS!$AJ$3,tabela_registros[CATEGORIA],reservafixaconsolidadoago[[#This Row],[ATUAL]])</f>
        <v>0</v>
      </c>
      <c r="K174" s="91">
        <f>SUMIFS(tabela_registros[VALOR],tabela_registros[MÊS],$AE$1,tabela_registros[DIA],reservafixaconsolidadoago[[#Headers],[7]],tabela_registros[REGISTRO],DADOS!$N$6,tabela_registros[TIPO],DADOS!$AJ$3,tabela_registros[CATEGORIA],reservafixaconsolidadoago[[#This Row],[ATUAL]])</f>
        <v>0</v>
      </c>
      <c r="L174" s="91">
        <f>SUMIFS(tabela_registros[VALOR],tabela_registros[MÊS],$AE$1,tabela_registros[DIA],reservafixaconsolidadoago[[#Headers],[8]],tabela_registros[REGISTRO],DADOS!$N$6,tabela_registros[TIPO],DADOS!$AJ$3,tabela_registros[CATEGORIA],reservafixaconsolidadoago[[#This Row],[ATUAL]])</f>
        <v>0</v>
      </c>
      <c r="M174" s="91">
        <f>SUMIFS(tabela_registros[VALOR],tabela_registros[MÊS],$AE$1,tabela_registros[DIA],reservafixaconsolidadoago[[#Headers],[9]],tabela_registros[REGISTRO],DADOS!$N$6,tabela_registros[TIPO],DADOS!$AJ$3,tabela_registros[CATEGORIA],reservafixaconsolidadoago[[#This Row],[ATUAL]])</f>
        <v>0</v>
      </c>
      <c r="N174" s="91">
        <f>SUMIFS(tabela_registros[VALOR],tabela_registros[MÊS],$AE$1,tabela_registros[DIA],reservafixaconsolidadoago[[#Headers],[10]],tabela_registros[REGISTRO],DADOS!$N$6,tabela_registros[TIPO],DADOS!$AJ$3,tabela_registros[CATEGORIA],reservafixaconsolidadoago[[#This Row],[ATUAL]])</f>
        <v>0</v>
      </c>
      <c r="O174" s="91">
        <f>SUMIFS(tabela_registros[VALOR],tabela_registros[MÊS],$AE$1,tabela_registros[DIA],reservafixaconsolidadoago[[#Headers],[11]],tabela_registros[REGISTRO],DADOS!$N$6,tabela_registros[TIPO],DADOS!$AJ$3,tabela_registros[CATEGORIA],reservafixaconsolidadoago[[#This Row],[ATUAL]])</f>
        <v>0</v>
      </c>
      <c r="P174" s="91">
        <f>SUMIFS(tabela_registros[VALOR],tabela_registros[MÊS],$AE$1,tabela_registros[DIA],reservafixaconsolidadoago[[#Headers],[12]],tabela_registros[REGISTRO],DADOS!$N$6,tabela_registros[TIPO],DADOS!$AJ$3,tabela_registros[CATEGORIA],reservafixaconsolidadoago[[#This Row],[ATUAL]])</f>
        <v>0</v>
      </c>
      <c r="Q174" s="91">
        <f>SUMIFS(tabela_registros[VALOR],tabela_registros[MÊS],$AE$1,tabela_registros[DIA],reservafixaconsolidadoago[[#Headers],[13]],tabela_registros[REGISTRO],DADOS!$N$6,tabela_registros[TIPO],DADOS!$AJ$3,tabela_registros[CATEGORIA],reservafixaconsolidadoago[[#This Row],[ATUAL]])</f>
        <v>0</v>
      </c>
      <c r="R174" s="91">
        <f>SUMIFS(tabela_registros[VALOR],tabela_registros[MÊS],$AE$1,tabela_registros[DIA],reservafixaconsolidadoago[[#Headers],[14]],tabela_registros[REGISTRO],DADOS!$N$6,tabela_registros[TIPO],DADOS!$AJ$3,tabela_registros[CATEGORIA],reservafixaconsolidadoago[[#This Row],[ATUAL]])</f>
        <v>0</v>
      </c>
      <c r="S174" s="91">
        <f>SUMIFS(tabela_registros[VALOR],tabela_registros[MÊS],$AE$1,tabela_registros[DIA],reservafixaconsolidadoago[[#Headers],[15]],tabela_registros[REGISTRO],DADOS!$N$6,tabela_registros[TIPO],DADOS!$AJ$3,tabela_registros[CATEGORIA],reservafixaconsolidadoago[[#This Row],[ATUAL]])</f>
        <v>0</v>
      </c>
      <c r="T174" s="91">
        <f>SUMIFS(tabela_registros[VALOR],tabela_registros[MÊS],$AE$1,tabela_registros[DIA],reservafixaconsolidadoago[[#Headers],[16]],tabela_registros[REGISTRO],DADOS!$N$6,tabela_registros[TIPO],DADOS!$AJ$3,tabela_registros[CATEGORIA],reservafixaconsolidadoago[[#This Row],[ATUAL]])</f>
        <v>0</v>
      </c>
      <c r="U174" s="91">
        <f>SUMIFS(tabela_registros[VALOR],tabela_registros[MÊS],$AE$1,tabela_registros[DIA],reservafixaconsolidadoago[[#Headers],[17]],tabela_registros[REGISTRO],DADOS!$N$6,tabela_registros[TIPO],DADOS!$AJ$3,tabela_registros[CATEGORIA],reservafixaconsolidadoago[[#This Row],[ATUAL]])</f>
        <v>0</v>
      </c>
      <c r="V174" s="91">
        <f>SUMIFS(tabela_registros[VALOR],tabela_registros[MÊS],$AE$1,tabela_registros[DIA],reservafixaconsolidadoago[[#Headers],[18]],tabela_registros[REGISTRO],DADOS!$N$6,tabela_registros[TIPO],DADOS!$AJ$3,tabela_registros[CATEGORIA],reservafixaconsolidadoago[[#This Row],[ATUAL]])</f>
        <v>0</v>
      </c>
      <c r="W174" s="91">
        <f>SUMIFS(tabela_registros[VALOR],tabela_registros[MÊS],$AE$1,tabela_registros[DIA],reservafixaconsolidadoago[[#Headers],[19]],tabela_registros[REGISTRO],DADOS!$N$6,tabela_registros[TIPO],DADOS!$AJ$3,tabela_registros[CATEGORIA],reservafixaconsolidadoago[[#This Row],[ATUAL]])</f>
        <v>0</v>
      </c>
      <c r="X174" s="91">
        <f>SUMIFS(tabela_registros[VALOR],tabela_registros[MÊS],$AE$1,tabela_registros[DIA],reservafixaconsolidadoago[[#Headers],[20]],tabela_registros[REGISTRO],DADOS!$N$6,tabela_registros[TIPO],DADOS!$AJ$3,tabela_registros[CATEGORIA],reservafixaconsolidadoago[[#This Row],[ATUAL]])</f>
        <v>0</v>
      </c>
      <c r="Y174" s="91">
        <f>SUMIFS(tabela_registros[VALOR],tabela_registros[MÊS],$AE$1,tabela_registros[DIA],reservafixaconsolidadoago[[#Headers],[21]],tabela_registros[REGISTRO],DADOS!$N$6,tabela_registros[TIPO],DADOS!$AJ$3,tabela_registros[CATEGORIA],reservafixaconsolidadoago[[#This Row],[ATUAL]])</f>
        <v>0</v>
      </c>
      <c r="Z174" s="91">
        <f>SUMIFS(tabela_registros[VALOR],tabela_registros[MÊS],$AE$1,tabela_registros[DIA],reservafixaconsolidadoago[[#Headers],[22]],tabela_registros[REGISTRO],DADOS!$N$6,tabela_registros[TIPO],DADOS!$AJ$3,tabela_registros[CATEGORIA],reservafixaconsolidadoago[[#This Row],[ATUAL]])</f>
        <v>0</v>
      </c>
      <c r="AA174" s="91">
        <f>SUMIFS(tabela_registros[VALOR],tabela_registros[MÊS],$AE$1,tabela_registros[DIA],reservafixaconsolidadoago[[#Headers],[23]],tabela_registros[REGISTRO],DADOS!$N$6,tabela_registros[TIPO],DADOS!$AJ$3,tabela_registros[CATEGORIA],reservafixaconsolidadoago[[#This Row],[ATUAL]])</f>
        <v>0</v>
      </c>
      <c r="AB174" s="91">
        <f>SUMIFS(tabela_registros[VALOR],tabela_registros[MÊS],$AE$1,tabela_registros[DIA],reservafixaconsolidadoago[[#Headers],[24]],tabela_registros[REGISTRO],DADOS!$N$6,tabela_registros[TIPO],DADOS!$AJ$3,tabela_registros[CATEGORIA],reservafixaconsolidadoago[[#This Row],[ATUAL]])</f>
        <v>0</v>
      </c>
      <c r="AC174" s="91">
        <f>SUMIFS(tabela_registros[VALOR],tabela_registros[MÊS],$AE$1,tabela_registros[DIA],reservafixaconsolidadoago[[#Headers],[25]],tabela_registros[REGISTRO],DADOS!$N$6,tabela_registros[TIPO],DADOS!$AJ$3,tabela_registros[CATEGORIA],reservafixaconsolidadoago[[#This Row],[ATUAL]])</f>
        <v>0</v>
      </c>
      <c r="AD174" s="91">
        <f>SUMIFS(tabela_registros[VALOR],tabela_registros[MÊS],$AE$1,tabela_registros[DIA],reservafixaconsolidadoago[[#Headers],[26]],tabela_registros[REGISTRO],DADOS!$N$6,tabela_registros[TIPO],DADOS!$AJ$3,tabela_registros[CATEGORIA],reservafixaconsolidadoago[[#This Row],[ATUAL]])</f>
        <v>0</v>
      </c>
      <c r="AE174" s="91">
        <f>SUMIFS(tabela_registros[VALOR],tabela_registros[MÊS],$AE$1,tabela_registros[DIA],reservafixaconsolidadoago[[#Headers],[27]],tabela_registros[REGISTRO],DADOS!$N$6,tabela_registros[TIPO],DADOS!$AJ$3,tabela_registros[CATEGORIA],reservafixaconsolidadoago[[#This Row],[ATUAL]])</f>
        <v>0</v>
      </c>
      <c r="AF174" s="91">
        <f>SUMIFS(tabela_registros[VALOR],tabela_registros[MÊS],$AE$1,tabela_registros[DIA],reservafixaconsolidadoago[[#Headers],[28]],tabela_registros[REGISTRO],DADOS!$N$6,tabela_registros[TIPO],DADOS!$AJ$3,tabela_registros[CATEGORIA],reservafixaconsolidadoago[[#This Row],[ATUAL]])</f>
        <v>0</v>
      </c>
      <c r="AG174" s="91">
        <f>SUMIFS(tabela_registros[VALOR],tabela_registros[MÊS],$AE$1,tabela_registros[DIA],reservafixaconsolidadoago[[#Headers],[29]],tabela_registros[REGISTRO],DADOS!$N$6,tabela_registros[TIPO],DADOS!$AJ$3,tabela_registros[CATEGORIA],reservafixaconsolidadoago[[#This Row],[ATUAL]])</f>
        <v>0</v>
      </c>
      <c r="AH174" s="91">
        <f>SUMIFS(tabela_registros[VALOR],tabela_registros[MÊS],$AE$1,tabela_registros[DIA],reservafixaconsolidadoago[[#Headers],[30]],tabela_registros[REGISTRO],DADOS!$N$6,tabela_registros[TIPO],DADOS!$AJ$3,tabela_registros[CATEGORIA],reservafixaconsolidadoago[[#This Row],[ATUAL]])</f>
        <v>0</v>
      </c>
      <c r="AI174" s="101">
        <f>SUMIFS(tabela_registros[VALOR],tabela_registros[MÊS],$AE$1,tabela_registros[DIA],reservafixaconsolidadoago[[#Headers],[31]],tabela_registros[REGISTRO],DADOS!$N$6,tabela_registros[TIPO],DADOS!$AJ$3,tabela_registros[CATEGORIA],reservafixaconsolidadoago[[#This Row],[ATUAL]])</f>
        <v>0</v>
      </c>
      <c r="AJ174" s="97">
        <f>SUM(reservafixaconsolidadoago[[#This Row],[1]:[31]])</f>
        <v>0</v>
      </c>
      <c r="AK174" s="25"/>
    </row>
    <row r="175" spans="2:37" ht="19.5" customHeight="1" thickTop="1" thickBot="1" x14ac:dyDescent="0.3">
      <c r="B175" s="28"/>
      <c r="C175" s="27" t="str">
        <f>DADOS!$AL$10</f>
        <v>📝 LCI</v>
      </c>
      <c r="D175" s="26" t="str">
        <f>IF(reservafixaconsolidadoago[[#This Row],[TOTAL (R$)]]=0,"",IF(OR(reservafixaconsolidadoago[[#This Row],[TOTAL (R$)]]=LARGE($AJ$168:$AJ$177,1),reservafixaconsolidadoago[[#This Row],[TOTAL (R$)]]=LARGE($AJ$168:$AJ$177,2)),DADOS!$I$11,""))</f>
        <v/>
      </c>
      <c r="E175" s="96">
        <f>SUMIFS(tabela_registros[VALOR],tabela_registros[MÊS],$AE$1,tabela_registros[DIA],reservafixaconsolidadoago[[#Headers],[1]],tabela_registros[REGISTRO],DADOS!$N$6,tabela_registros[TIPO],DADOS!$AJ$3,tabela_registros[CATEGORIA],reservafixaconsolidadoago[[#This Row],[ATUAL]])</f>
        <v>0</v>
      </c>
      <c r="F175" s="91">
        <f>SUMIFS(tabela_registros[VALOR],tabela_registros[MÊS],$AE$1,tabela_registros[DIA],reservafixaconsolidadoago[[#Headers],[2]],tabela_registros[REGISTRO],DADOS!$N$6,tabela_registros[TIPO],DADOS!$AJ$3,tabela_registros[CATEGORIA],reservafixaconsolidadoago[[#This Row],[ATUAL]])</f>
        <v>0</v>
      </c>
      <c r="G175" s="91">
        <f>SUMIFS(tabela_registros[VALOR],tabela_registros[MÊS],$AE$1,tabela_registros[DIA],reservafixaconsolidadoago[[#Headers],[3]],tabela_registros[REGISTRO],DADOS!$N$6,tabela_registros[TIPO],DADOS!$AJ$3,tabela_registros[CATEGORIA],reservafixaconsolidadoago[[#This Row],[ATUAL]])</f>
        <v>0</v>
      </c>
      <c r="H175" s="91">
        <f>SUMIFS(tabela_registros[VALOR],tabela_registros[MÊS],$AE$1,tabela_registros[DIA],reservafixaconsolidadoago[[#Headers],[4]],tabela_registros[REGISTRO],DADOS!$N$6,tabela_registros[TIPO],DADOS!$AJ$3,tabela_registros[CATEGORIA],reservafixaconsolidadoago[[#This Row],[ATUAL]])</f>
        <v>0</v>
      </c>
      <c r="I175" s="91">
        <f>SUMIFS(tabela_registros[VALOR],tabela_registros[MÊS],$AE$1,tabela_registros[DIA],reservafixaconsolidadoago[[#Headers],[5]],tabela_registros[REGISTRO],DADOS!$N$6,tabela_registros[TIPO],DADOS!$AJ$3,tabela_registros[CATEGORIA],reservafixaconsolidadoago[[#This Row],[ATUAL]])</f>
        <v>0</v>
      </c>
      <c r="J175" s="91">
        <f>SUMIFS(tabela_registros[VALOR],tabela_registros[MÊS],$AE$1,tabela_registros[DIA],reservafixaconsolidadoago[[#Headers],[6]],tabela_registros[REGISTRO],DADOS!$N$6,tabela_registros[TIPO],DADOS!$AJ$3,tabela_registros[CATEGORIA],reservafixaconsolidadoago[[#This Row],[ATUAL]])</f>
        <v>0</v>
      </c>
      <c r="K175" s="91">
        <f>SUMIFS(tabela_registros[VALOR],tabela_registros[MÊS],$AE$1,tabela_registros[DIA],reservafixaconsolidadoago[[#Headers],[7]],tabela_registros[REGISTRO],DADOS!$N$6,tabela_registros[TIPO],DADOS!$AJ$3,tabela_registros[CATEGORIA],reservafixaconsolidadoago[[#This Row],[ATUAL]])</f>
        <v>0</v>
      </c>
      <c r="L175" s="91">
        <f>SUMIFS(tabela_registros[VALOR],tabela_registros[MÊS],$AE$1,tabela_registros[DIA],reservafixaconsolidadoago[[#Headers],[8]],tabela_registros[REGISTRO],DADOS!$N$6,tabela_registros[TIPO],DADOS!$AJ$3,tabela_registros[CATEGORIA],reservafixaconsolidadoago[[#This Row],[ATUAL]])</f>
        <v>0</v>
      </c>
      <c r="M175" s="91">
        <f>SUMIFS(tabela_registros[VALOR],tabela_registros[MÊS],$AE$1,tabela_registros[DIA],reservafixaconsolidadoago[[#Headers],[9]],tabela_registros[REGISTRO],DADOS!$N$6,tabela_registros[TIPO],DADOS!$AJ$3,tabela_registros[CATEGORIA],reservafixaconsolidadoago[[#This Row],[ATUAL]])</f>
        <v>0</v>
      </c>
      <c r="N175" s="91">
        <f>SUMIFS(tabela_registros[VALOR],tabela_registros[MÊS],$AE$1,tabela_registros[DIA],reservafixaconsolidadoago[[#Headers],[10]],tabela_registros[REGISTRO],DADOS!$N$6,tabela_registros[TIPO],DADOS!$AJ$3,tabela_registros[CATEGORIA],reservafixaconsolidadoago[[#This Row],[ATUAL]])</f>
        <v>0</v>
      </c>
      <c r="O175" s="91">
        <f>SUMIFS(tabela_registros[VALOR],tabela_registros[MÊS],$AE$1,tabela_registros[DIA],reservafixaconsolidadoago[[#Headers],[11]],tabela_registros[REGISTRO],DADOS!$N$6,tabela_registros[TIPO],DADOS!$AJ$3,tabela_registros[CATEGORIA],reservafixaconsolidadoago[[#This Row],[ATUAL]])</f>
        <v>0</v>
      </c>
      <c r="P175" s="91">
        <f>SUMIFS(tabela_registros[VALOR],tabela_registros[MÊS],$AE$1,tabela_registros[DIA],reservafixaconsolidadoago[[#Headers],[12]],tabela_registros[REGISTRO],DADOS!$N$6,tabela_registros[TIPO],DADOS!$AJ$3,tabela_registros[CATEGORIA],reservafixaconsolidadoago[[#This Row],[ATUAL]])</f>
        <v>0</v>
      </c>
      <c r="Q175" s="91">
        <f>SUMIFS(tabela_registros[VALOR],tabela_registros[MÊS],$AE$1,tabela_registros[DIA],reservafixaconsolidadoago[[#Headers],[13]],tabela_registros[REGISTRO],DADOS!$N$6,tabela_registros[TIPO],DADOS!$AJ$3,tabela_registros[CATEGORIA],reservafixaconsolidadoago[[#This Row],[ATUAL]])</f>
        <v>0</v>
      </c>
      <c r="R175" s="91">
        <f>SUMIFS(tabela_registros[VALOR],tabela_registros[MÊS],$AE$1,tabela_registros[DIA],reservafixaconsolidadoago[[#Headers],[14]],tabela_registros[REGISTRO],DADOS!$N$6,tabela_registros[TIPO],DADOS!$AJ$3,tabela_registros[CATEGORIA],reservafixaconsolidadoago[[#This Row],[ATUAL]])</f>
        <v>0</v>
      </c>
      <c r="S175" s="91">
        <f>SUMIFS(tabela_registros[VALOR],tabela_registros[MÊS],$AE$1,tabela_registros[DIA],reservafixaconsolidadoago[[#Headers],[15]],tabela_registros[REGISTRO],DADOS!$N$6,tabela_registros[TIPO],DADOS!$AJ$3,tabela_registros[CATEGORIA],reservafixaconsolidadoago[[#This Row],[ATUAL]])</f>
        <v>0</v>
      </c>
      <c r="T175" s="91">
        <f>SUMIFS(tabela_registros[VALOR],tabela_registros[MÊS],$AE$1,tabela_registros[DIA],reservafixaconsolidadoago[[#Headers],[16]],tabela_registros[REGISTRO],DADOS!$N$6,tabela_registros[TIPO],DADOS!$AJ$3,tabela_registros[CATEGORIA],reservafixaconsolidadoago[[#This Row],[ATUAL]])</f>
        <v>0</v>
      </c>
      <c r="U175" s="91">
        <f>SUMIFS(tabela_registros[VALOR],tabela_registros[MÊS],$AE$1,tabela_registros[DIA],reservafixaconsolidadoago[[#Headers],[17]],tabela_registros[REGISTRO],DADOS!$N$6,tabela_registros[TIPO],DADOS!$AJ$3,tabela_registros[CATEGORIA],reservafixaconsolidadoago[[#This Row],[ATUAL]])</f>
        <v>0</v>
      </c>
      <c r="V175" s="91">
        <f>SUMIFS(tabela_registros[VALOR],tabela_registros[MÊS],$AE$1,tabela_registros[DIA],reservafixaconsolidadoago[[#Headers],[18]],tabela_registros[REGISTRO],DADOS!$N$6,tabela_registros[TIPO],DADOS!$AJ$3,tabela_registros[CATEGORIA],reservafixaconsolidadoago[[#This Row],[ATUAL]])</f>
        <v>0</v>
      </c>
      <c r="W175" s="91">
        <f>SUMIFS(tabela_registros[VALOR],tabela_registros[MÊS],$AE$1,tabela_registros[DIA],reservafixaconsolidadoago[[#Headers],[19]],tabela_registros[REGISTRO],DADOS!$N$6,tabela_registros[TIPO],DADOS!$AJ$3,tabela_registros[CATEGORIA],reservafixaconsolidadoago[[#This Row],[ATUAL]])</f>
        <v>0</v>
      </c>
      <c r="X175" s="91">
        <f>SUMIFS(tabela_registros[VALOR],tabela_registros[MÊS],$AE$1,tabela_registros[DIA],reservafixaconsolidadoago[[#Headers],[20]],tabela_registros[REGISTRO],DADOS!$N$6,tabela_registros[TIPO],DADOS!$AJ$3,tabela_registros[CATEGORIA],reservafixaconsolidadoago[[#This Row],[ATUAL]])</f>
        <v>0</v>
      </c>
      <c r="Y175" s="91">
        <f>SUMIFS(tabela_registros[VALOR],tabela_registros[MÊS],$AE$1,tabela_registros[DIA],reservafixaconsolidadoago[[#Headers],[21]],tabela_registros[REGISTRO],DADOS!$N$6,tabela_registros[TIPO],DADOS!$AJ$3,tabela_registros[CATEGORIA],reservafixaconsolidadoago[[#This Row],[ATUAL]])</f>
        <v>0</v>
      </c>
      <c r="Z175" s="91">
        <f>SUMIFS(tabela_registros[VALOR],tabela_registros[MÊS],$AE$1,tabela_registros[DIA],reservafixaconsolidadoago[[#Headers],[22]],tabela_registros[REGISTRO],DADOS!$N$6,tabela_registros[TIPO],DADOS!$AJ$3,tabela_registros[CATEGORIA],reservafixaconsolidadoago[[#This Row],[ATUAL]])</f>
        <v>0</v>
      </c>
      <c r="AA175" s="91">
        <f>SUMIFS(tabela_registros[VALOR],tabela_registros[MÊS],$AE$1,tabela_registros[DIA],reservafixaconsolidadoago[[#Headers],[23]],tabela_registros[REGISTRO],DADOS!$N$6,tabela_registros[TIPO],DADOS!$AJ$3,tabela_registros[CATEGORIA],reservafixaconsolidadoago[[#This Row],[ATUAL]])</f>
        <v>0</v>
      </c>
      <c r="AB175" s="91">
        <f>SUMIFS(tabela_registros[VALOR],tabela_registros[MÊS],$AE$1,tabela_registros[DIA],reservafixaconsolidadoago[[#Headers],[24]],tabela_registros[REGISTRO],DADOS!$N$6,tabela_registros[TIPO],DADOS!$AJ$3,tabela_registros[CATEGORIA],reservafixaconsolidadoago[[#This Row],[ATUAL]])</f>
        <v>0</v>
      </c>
      <c r="AC175" s="91">
        <f>SUMIFS(tabela_registros[VALOR],tabela_registros[MÊS],$AE$1,tabela_registros[DIA],reservafixaconsolidadoago[[#Headers],[25]],tabela_registros[REGISTRO],DADOS!$N$6,tabela_registros[TIPO],DADOS!$AJ$3,tabela_registros[CATEGORIA],reservafixaconsolidadoago[[#This Row],[ATUAL]])</f>
        <v>0</v>
      </c>
      <c r="AD175" s="91">
        <f>SUMIFS(tabela_registros[VALOR],tabela_registros[MÊS],$AE$1,tabela_registros[DIA],reservafixaconsolidadoago[[#Headers],[26]],tabela_registros[REGISTRO],DADOS!$N$6,tabela_registros[TIPO],DADOS!$AJ$3,tabela_registros[CATEGORIA],reservafixaconsolidadoago[[#This Row],[ATUAL]])</f>
        <v>0</v>
      </c>
      <c r="AE175" s="91">
        <f>SUMIFS(tabela_registros[VALOR],tabela_registros[MÊS],$AE$1,tabela_registros[DIA],reservafixaconsolidadoago[[#Headers],[27]],tabela_registros[REGISTRO],DADOS!$N$6,tabela_registros[TIPO],DADOS!$AJ$3,tabela_registros[CATEGORIA],reservafixaconsolidadoago[[#This Row],[ATUAL]])</f>
        <v>0</v>
      </c>
      <c r="AF175" s="91">
        <f>SUMIFS(tabela_registros[VALOR],tabela_registros[MÊS],$AE$1,tabela_registros[DIA],reservafixaconsolidadoago[[#Headers],[28]],tabela_registros[REGISTRO],DADOS!$N$6,tabela_registros[TIPO],DADOS!$AJ$3,tabela_registros[CATEGORIA],reservafixaconsolidadoago[[#This Row],[ATUAL]])</f>
        <v>0</v>
      </c>
      <c r="AG175" s="91">
        <f>SUMIFS(tabela_registros[VALOR],tabela_registros[MÊS],$AE$1,tabela_registros[DIA],reservafixaconsolidadoago[[#Headers],[29]],tabela_registros[REGISTRO],DADOS!$N$6,tabela_registros[TIPO],DADOS!$AJ$3,tabela_registros[CATEGORIA],reservafixaconsolidadoago[[#This Row],[ATUAL]])</f>
        <v>0</v>
      </c>
      <c r="AH175" s="91">
        <f>SUMIFS(tabela_registros[VALOR],tabela_registros[MÊS],$AE$1,tabela_registros[DIA],reservafixaconsolidadoago[[#Headers],[30]],tabela_registros[REGISTRO],DADOS!$N$6,tabela_registros[TIPO],DADOS!$AJ$3,tabela_registros[CATEGORIA],reservafixaconsolidadoago[[#This Row],[ATUAL]])</f>
        <v>0</v>
      </c>
      <c r="AI175" s="101">
        <f>SUMIFS(tabela_registros[VALOR],tabela_registros[MÊS],$AE$1,tabela_registros[DIA],reservafixaconsolidadoago[[#Headers],[31]],tabela_registros[REGISTRO],DADOS!$N$6,tabela_registros[TIPO],DADOS!$AJ$3,tabela_registros[CATEGORIA],reservafixaconsolidadoago[[#This Row],[ATUAL]])</f>
        <v>0</v>
      </c>
      <c r="AJ175" s="97">
        <f>SUM(reservafixaconsolidadoago[[#This Row],[1]:[31]])</f>
        <v>0</v>
      </c>
      <c r="AK175" s="25"/>
    </row>
    <row r="176" spans="2:37" ht="19.5" customHeight="1" thickTop="1" thickBot="1" x14ac:dyDescent="0.3">
      <c r="B176" s="28"/>
      <c r="C176" s="27" t="str">
        <f>DADOS!$AL$11</f>
        <v>📝 TESOURO DIRETO</v>
      </c>
      <c r="D176" s="26" t="str">
        <f>IF(reservafixaconsolidadoago[[#This Row],[TOTAL (R$)]]=0,"",IF(OR(reservafixaconsolidadoago[[#This Row],[TOTAL (R$)]]=LARGE($AJ$168:$AJ$177,1),reservafixaconsolidadoago[[#This Row],[TOTAL (R$)]]=LARGE($AJ$168:$AJ$177,2)),DADOS!$I$11,""))</f>
        <v/>
      </c>
      <c r="E176" s="96">
        <f>SUMIFS(tabela_registros[VALOR],tabela_registros[MÊS],$AE$1,tabela_registros[DIA],reservafixaconsolidadoago[[#Headers],[1]],tabela_registros[REGISTRO],DADOS!$N$6,tabela_registros[TIPO],DADOS!$AJ$3,tabela_registros[CATEGORIA],reservafixaconsolidadoago[[#This Row],[ATUAL]])</f>
        <v>0</v>
      </c>
      <c r="F176" s="91">
        <f>SUMIFS(tabela_registros[VALOR],tabela_registros[MÊS],$AE$1,tabela_registros[DIA],reservafixaconsolidadoago[[#Headers],[2]],tabela_registros[REGISTRO],DADOS!$N$6,tabela_registros[TIPO],DADOS!$AJ$3,tabela_registros[CATEGORIA],reservafixaconsolidadoago[[#This Row],[ATUAL]])</f>
        <v>0</v>
      </c>
      <c r="G176" s="91">
        <f>SUMIFS(tabela_registros[VALOR],tabela_registros[MÊS],$AE$1,tabela_registros[DIA],reservafixaconsolidadoago[[#Headers],[3]],tabela_registros[REGISTRO],DADOS!$N$6,tabela_registros[TIPO],DADOS!$AJ$3,tabela_registros[CATEGORIA],reservafixaconsolidadoago[[#This Row],[ATUAL]])</f>
        <v>0</v>
      </c>
      <c r="H176" s="91">
        <f>SUMIFS(tabela_registros[VALOR],tabela_registros[MÊS],$AE$1,tabela_registros[DIA],reservafixaconsolidadoago[[#Headers],[4]],tabela_registros[REGISTRO],DADOS!$N$6,tabela_registros[TIPO],DADOS!$AJ$3,tabela_registros[CATEGORIA],reservafixaconsolidadoago[[#This Row],[ATUAL]])</f>
        <v>0</v>
      </c>
      <c r="I176" s="91">
        <f>SUMIFS(tabela_registros[VALOR],tabela_registros[MÊS],$AE$1,tabela_registros[DIA],reservafixaconsolidadoago[[#Headers],[5]],tabela_registros[REGISTRO],DADOS!$N$6,tabela_registros[TIPO],DADOS!$AJ$3,tabela_registros[CATEGORIA],reservafixaconsolidadoago[[#This Row],[ATUAL]])</f>
        <v>0</v>
      </c>
      <c r="J176" s="91">
        <f>SUMIFS(tabela_registros[VALOR],tabela_registros[MÊS],$AE$1,tabela_registros[DIA],reservafixaconsolidadoago[[#Headers],[6]],tabela_registros[REGISTRO],DADOS!$N$6,tabela_registros[TIPO],DADOS!$AJ$3,tabela_registros[CATEGORIA],reservafixaconsolidadoago[[#This Row],[ATUAL]])</f>
        <v>0</v>
      </c>
      <c r="K176" s="91">
        <f>SUMIFS(tabela_registros[VALOR],tabela_registros[MÊS],$AE$1,tabela_registros[DIA],reservafixaconsolidadoago[[#Headers],[7]],tabela_registros[REGISTRO],DADOS!$N$6,tabela_registros[TIPO],DADOS!$AJ$3,tabela_registros[CATEGORIA],reservafixaconsolidadoago[[#This Row],[ATUAL]])</f>
        <v>0</v>
      </c>
      <c r="L176" s="91">
        <f>SUMIFS(tabela_registros[VALOR],tabela_registros[MÊS],$AE$1,tabela_registros[DIA],reservafixaconsolidadoago[[#Headers],[8]],tabela_registros[REGISTRO],DADOS!$N$6,tabela_registros[TIPO],DADOS!$AJ$3,tabela_registros[CATEGORIA],reservafixaconsolidadoago[[#This Row],[ATUAL]])</f>
        <v>0</v>
      </c>
      <c r="M176" s="91">
        <f>SUMIFS(tabela_registros[VALOR],tabela_registros[MÊS],$AE$1,tabela_registros[DIA],reservafixaconsolidadoago[[#Headers],[9]],tabela_registros[REGISTRO],DADOS!$N$6,tabela_registros[TIPO],DADOS!$AJ$3,tabela_registros[CATEGORIA],reservafixaconsolidadoago[[#This Row],[ATUAL]])</f>
        <v>0</v>
      </c>
      <c r="N176" s="91">
        <f>SUMIFS(tabela_registros[VALOR],tabela_registros[MÊS],$AE$1,tabela_registros[DIA],reservafixaconsolidadoago[[#Headers],[10]],tabela_registros[REGISTRO],DADOS!$N$6,tabela_registros[TIPO],DADOS!$AJ$3,tabela_registros[CATEGORIA],reservafixaconsolidadoago[[#This Row],[ATUAL]])</f>
        <v>0</v>
      </c>
      <c r="O176" s="91">
        <f>SUMIFS(tabela_registros[VALOR],tabela_registros[MÊS],$AE$1,tabela_registros[DIA],reservafixaconsolidadoago[[#Headers],[11]],tabela_registros[REGISTRO],DADOS!$N$6,tabela_registros[TIPO],DADOS!$AJ$3,tabela_registros[CATEGORIA],reservafixaconsolidadoago[[#This Row],[ATUAL]])</f>
        <v>0</v>
      </c>
      <c r="P176" s="91">
        <f>SUMIFS(tabela_registros[VALOR],tabela_registros[MÊS],$AE$1,tabela_registros[DIA],reservafixaconsolidadoago[[#Headers],[12]],tabela_registros[REGISTRO],DADOS!$N$6,tabela_registros[TIPO],DADOS!$AJ$3,tabela_registros[CATEGORIA],reservafixaconsolidadoago[[#This Row],[ATUAL]])</f>
        <v>0</v>
      </c>
      <c r="Q176" s="91">
        <f>SUMIFS(tabela_registros[VALOR],tabela_registros[MÊS],$AE$1,tabela_registros[DIA],reservafixaconsolidadoago[[#Headers],[13]],tabela_registros[REGISTRO],DADOS!$N$6,tabela_registros[TIPO],DADOS!$AJ$3,tabela_registros[CATEGORIA],reservafixaconsolidadoago[[#This Row],[ATUAL]])</f>
        <v>0</v>
      </c>
      <c r="R176" s="91">
        <f>SUMIFS(tabela_registros[VALOR],tabela_registros[MÊS],$AE$1,tabela_registros[DIA],reservafixaconsolidadoago[[#Headers],[14]],tabela_registros[REGISTRO],DADOS!$N$6,tabela_registros[TIPO],DADOS!$AJ$3,tabela_registros[CATEGORIA],reservafixaconsolidadoago[[#This Row],[ATUAL]])</f>
        <v>0</v>
      </c>
      <c r="S176" s="91">
        <f>SUMIFS(tabela_registros[VALOR],tabela_registros[MÊS],$AE$1,tabela_registros[DIA],reservafixaconsolidadoago[[#Headers],[15]],tabela_registros[REGISTRO],DADOS!$N$6,tabela_registros[TIPO],DADOS!$AJ$3,tabela_registros[CATEGORIA],reservafixaconsolidadoago[[#This Row],[ATUAL]])</f>
        <v>0</v>
      </c>
      <c r="T176" s="91">
        <f>SUMIFS(tabela_registros[VALOR],tabela_registros[MÊS],$AE$1,tabela_registros[DIA],reservafixaconsolidadoago[[#Headers],[16]],tabela_registros[REGISTRO],DADOS!$N$6,tabela_registros[TIPO],DADOS!$AJ$3,tabela_registros[CATEGORIA],reservafixaconsolidadoago[[#This Row],[ATUAL]])</f>
        <v>0</v>
      </c>
      <c r="U176" s="91">
        <f>SUMIFS(tabela_registros[VALOR],tabela_registros[MÊS],$AE$1,tabela_registros[DIA],reservafixaconsolidadoago[[#Headers],[17]],tabela_registros[REGISTRO],DADOS!$N$6,tabela_registros[TIPO],DADOS!$AJ$3,tabela_registros[CATEGORIA],reservafixaconsolidadoago[[#This Row],[ATUAL]])</f>
        <v>0</v>
      </c>
      <c r="V176" s="91">
        <f>SUMIFS(tabela_registros[VALOR],tabela_registros[MÊS],$AE$1,tabela_registros[DIA],reservafixaconsolidadoago[[#Headers],[18]],tabela_registros[REGISTRO],DADOS!$N$6,tabela_registros[TIPO],DADOS!$AJ$3,tabela_registros[CATEGORIA],reservafixaconsolidadoago[[#This Row],[ATUAL]])</f>
        <v>0</v>
      </c>
      <c r="W176" s="91">
        <f>SUMIFS(tabela_registros[VALOR],tabela_registros[MÊS],$AE$1,tabela_registros[DIA],reservafixaconsolidadoago[[#Headers],[19]],tabela_registros[REGISTRO],DADOS!$N$6,tabela_registros[TIPO],DADOS!$AJ$3,tabela_registros[CATEGORIA],reservafixaconsolidadoago[[#This Row],[ATUAL]])</f>
        <v>0</v>
      </c>
      <c r="X176" s="91">
        <f>SUMIFS(tabela_registros[VALOR],tabela_registros[MÊS],$AE$1,tabela_registros[DIA],reservafixaconsolidadoago[[#Headers],[20]],tabela_registros[REGISTRO],DADOS!$N$6,tabela_registros[TIPO],DADOS!$AJ$3,tabela_registros[CATEGORIA],reservafixaconsolidadoago[[#This Row],[ATUAL]])</f>
        <v>0</v>
      </c>
      <c r="Y176" s="91">
        <f>SUMIFS(tabela_registros[VALOR],tabela_registros[MÊS],$AE$1,tabela_registros[DIA],reservafixaconsolidadoago[[#Headers],[21]],tabela_registros[REGISTRO],DADOS!$N$6,tabela_registros[TIPO],DADOS!$AJ$3,tabela_registros[CATEGORIA],reservafixaconsolidadoago[[#This Row],[ATUAL]])</f>
        <v>0</v>
      </c>
      <c r="Z176" s="91">
        <f>SUMIFS(tabela_registros[VALOR],tabela_registros[MÊS],$AE$1,tabela_registros[DIA],reservafixaconsolidadoago[[#Headers],[22]],tabela_registros[REGISTRO],DADOS!$N$6,tabela_registros[TIPO],DADOS!$AJ$3,tabela_registros[CATEGORIA],reservafixaconsolidadoago[[#This Row],[ATUAL]])</f>
        <v>0</v>
      </c>
      <c r="AA176" s="91">
        <f>SUMIFS(tabela_registros[VALOR],tabela_registros[MÊS],$AE$1,tabela_registros[DIA],reservafixaconsolidadoago[[#Headers],[23]],tabela_registros[REGISTRO],DADOS!$N$6,tabela_registros[TIPO],DADOS!$AJ$3,tabela_registros[CATEGORIA],reservafixaconsolidadoago[[#This Row],[ATUAL]])</f>
        <v>0</v>
      </c>
      <c r="AB176" s="91">
        <f>SUMIFS(tabela_registros[VALOR],tabela_registros[MÊS],$AE$1,tabela_registros[DIA],reservafixaconsolidadoago[[#Headers],[24]],tabela_registros[REGISTRO],DADOS!$N$6,tabela_registros[TIPO],DADOS!$AJ$3,tabela_registros[CATEGORIA],reservafixaconsolidadoago[[#This Row],[ATUAL]])</f>
        <v>0</v>
      </c>
      <c r="AC176" s="91">
        <f>SUMIFS(tabela_registros[VALOR],tabela_registros[MÊS],$AE$1,tabela_registros[DIA],reservafixaconsolidadoago[[#Headers],[25]],tabela_registros[REGISTRO],DADOS!$N$6,tabela_registros[TIPO],DADOS!$AJ$3,tabela_registros[CATEGORIA],reservafixaconsolidadoago[[#This Row],[ATUAL]])</f>
        <v>0</v>
      </c>
      <c r="AD176" s="91">
        <f>SUMIFS(tabela_registros[VALOR],tabela_registros[MÊS],$AE$1,tabela_registros[DIA],reservafixaconsolidadoago[[#Headers],[26]],tabela_registros[REGISTRO],DADOS!$N$6,tabela_registros[TIPO],DADOS!$AJ$3,tabela_registros[CATEGORIA],reservafixaconsolidadoago[[#This Row],[ATUAL]])</f>
        <v>0</v>
      </c>
      <c r="AE176" s="91">
        <f>SUMIFS(tabela_registros[VALOR],tabela_registros[MÊS],$AE$1,tabela_registros[DIA],reservafixaconsolidadoago[[#Headers],[27]],tabela_registros[REGISTRO],DADOS!$N$6,tabela_registros[TIPO],DADOS!$AJ$3,tabela_registros[CATEGORIA],reservafixaconsolidadoago[[#This Row],[ATUAL]])</f>
        <v>0</v>
      </c>
      <c r="AF176" s="91">
        <f>SUMIFS(tabela_registros[VALOR],tabela_registros[MÊS],$AE$1,tabela_registros[DIA],reservafixaconsolidadoago[[#Headers],[28]],tabela_registros[REGISTRO],DADOS!$N$6,tabela_registros[TIPO],DADOS!$AJ$3,tabela_registros[CATEGORIA],reservafixaconsolidadoago[[#This Row],[ATUAL]])</f>
        <v>0</v>
      </c>
      <c r="AG176" s="91">
        <f>SUMIFS(tabela_registros[VALOR],tabela_registros[MÊS],$AE$1,tabela_registros[DIA],reservafixaconsolidadoago[[#Headers],[29]],tabela_registros[REGISTRO],DADOS!$N$6,tabela_registros[TIPO],DADOS!$AJ$3,tabela_registros[CATEGORIA],reservafixaconsolidadoago[[#This Row],[ATUAL]])</f>
        <v>0</v>
      </c>
      <c r="AH176" s="91">
        <f>SUMIFS(tabela_registros[VALOR],tabela_registros[MÊS],$AE$1,tabela_registros[DIA],reservafixaconsolidadoago[[#Headers],[30]],tabela_registros[REGISTRO],DADOS!$N$6,tabela_registros[TIPO],DADOS!$AJ$3,tabela_registros[CATEGORIA],reservafixaconsolidadoago[[#This Row],[ATUAL]])</f>
        <v>0</v>
      </c>
      <c r="AI176" s="101">
        <f>SUMIFS(tabela_registros[VALOR],tabela_registros[MÊS],$AE$1,tabela_registros[DIA],reservafixaconsolidadoago[[#Headers],[31]],tabela_registros[REGISTRO],DADOS!$N$6,tabela_registros[TIPO],DADOS!$AJ$3,tabela_registros[CATEGORIA],reservafixaconsolidadoago[[#This Row],[ATUAL]])</f>
        <v>0</v>
      </c>
      <c r="AJ176" s="97">
        <f>SUM(reservafixaconsolidadoago[[#This Row],[1]:[31]])</f>
        <v>0</v>
      </c>
      <c r="AK176" s="25"/>
    </row>
    <row r="177" spans="2:37" ht="19.5" customHeight="1" thickTop="1" thickBot="1" x14ac:dyDescent="0.3">
      <c r="B177" s="28"/>
      <c r="C177" s="27" t="str">
        <f>DADOS!$AL$12</f>
        <v>📎 OUTROS</v>
      </c>
      <c r="D177" s="26" t="str">
        <f>IF(reservafixaconsolidadoago[[#This Row],[TOTAL (R$)]]=0,"",IF(OR(reservafixaconsolidadoago[[#This Row],[TOTAL (R$)]]=LARGE($AJ$168:$AJ$177,1),reservafixaconsolidadoago[[#This Row],[TOTAL (R$)]]=LARGE($AJ$168:$AJ$177,2)),DADOS!$I$11,""))</f>
        <v/>
      </c>
      <c r="E177" s="96">
        <f>SUMIFS(tabela_registros[VALOR],tabela_registros[MÊS],$AE$1,tabela_registros[DIA],reservafixaconsolidadoago[[#Headers],[1]],tabela_registros[REGISTRO],DADOS!$N$6,tabela_registros[TIPO],DADOS!$AJ$3,tabela_registros[CATEGORIA],reservafixaconsolidadoago[[#This Row],[ATUAL]])</f>
        <v>0</v>
      </c>
      <c r="F177" s="91">
        <f>SUMIFS(tabela_registros[VALOR],tabela_registros[MÊS],$AE$1,tabela_registros[DIA],reservafixaconsolidadoago[[#Headers],[2]],tabela_registros[REGISTRO],DADOS!$N$6,tabela_registros[TIPO],DADOS!$AJ$3,tabela_registros[CATEGORIA],reservafixaconsolidadoago[[#This Row],[ATUAL]])</f>
        <v>0</v>
      </c>
      <c r="G177" s="91">
        <f>SUMIFS(tabela_registros[VALOR],tabela_registros[MÊS],$AE$1,tabela_registros[DIA],reservafixaconsolidadoago[[#Headers],[3]],tabela_registros[REGISTRO],DADOS!$N$6,tabela_registros[TIPO],DADOS!$AJ$3,tabela_registros[CATEGORIA],reservafixaconsolidadoago[[#This Row],[ATUAL]])</f>
        <v>0</v>
      </c>
      <c r="H177" s="91">
        <f>SUMIFS(tabela_registros[VALOR],tabela_registros[MÊS],$AE$1,tabela_registros[DIA],reservafixaconsolidadoago[[#Headers],[4]],tabela_registros[REGISTRO],DADOS!$N$6,tabela_registros[TIPO],DADOS!$AJ$3,tabela_registros[CATEGORIA],reservafixaconsolidadoago[[#This Row],[ATUAL]])</f>
        <v>0</v>
      </c>
      <c r="I177" s="91">
        <f>SUMIFS(tabela_registros[VALOR],tabela_registros[MÊS],$AE$1,tabela_registros[DIA],reservafixaconsolidadoago[[#Headers],[5]],tabela_registros[REGISTRO],DADOS!$N$6,tabela_registros[TIPO],DADOS!$AJ$3,tabela_registros[CATEGORIA],reservafixaconsolidadoago[[#This Row],[ATUAL]])</f>
        <v>0</v>
      </c>
      <c r="J177" s="91">
        <f>SUMIFS(tabela_registros[VALOR],tabela_registros[MÊS],$AE$1,tabela_registros[DIA],reservafixaconsolidadoago[[#Headers],[6]],tabela_registros[REGISTRO],DADOS!$N$6,tabela_registros[TIPO],DADOS!$AJ$3,tabela_registros[CATEGORIA],reservafixaconsolidadoago[[#This Row],[ATUAL]])</f>
        <v>0</v>
      </c>
      <c r="K177" s="91">
        <f>SUMIFS(tabela_registros[VALOR],tabela_registros[MÊS],$AE$1,tabela_registros[DIA],reservafixaconsolidadoago[[#Headers],[7]],tabela_registros[REGISTRO],DADOS!$N$6,tabela_registros[TIPO],DADOS!$AJ$3,tabela_registros[CATEGORIA],reservafixaconsolidadoago[[#This Row],[ATUAL]])</f>
        <v>0</v>
      </c>
      <c r="L177" s="91">
        <f>SUMIFS(tabela_registros[VALOR],tabela_registros[MÊS],$AE$1,tabela_registros[DIA],reservafixaconsolidadoago[[#Headers],[8]],tabela_registros[REGISTRO],DADOS!$N$6,tabela_registros[TIPO],DADOS!$AJ$3,tabela_registros[CATEGORIA],reservafixaconsolidadoago[[#This Row],[ATUAL]])</f>
        <v>0</v>
      </c>
      <c r="M177" s="91">
        <f>SUMIFS(tabela_registros[VALOR],tabela_registros[MÊS],$AE$1,tabela_registros[DIA],reservafixaconsolidadoago[[#Headers],[9]],tabela_registros[REGISTRO],DADOS!$N$6,tabela_registros[TIPO],DADOS!$AJ$3,tabela_registros[CATEGORIA],reservafixaconsolidadoago[[#This Row],[ATUAL]])</f>
        <v>0</v>
      </c>
      <c r="N177" s="91">
        <f>SUMIFS(tabela_registros[VALOR],tabela_registros[MÊS],$AE$1,tabela_registros[DIA],reservafixaconsolidadoago[[#Headers],[10]],tabela_registros[REGISTRO],DADOS!$N$6,tabela_registros[TIPO],DADOS!$AJ$3,tabela_registros[CATEGORIA],reservafixaconsolidadoago[[#This Row],[ATUAL]])</f>
        <v>0</v>
      </c>
      <c r="O177" s="91">
        <f>SUMIFS(tabela_registros[VALOR],tabela_registros[MÊS],$AE$1,tabela_registros[DIA],reservafixaconsolidadoago[[#Headers],[11]],tabela_registros[REGISTRO],DADOS!$N$6,tabela_registros[TIPO],DADOS!$AJ$3,tabela_registros[CATEGORIA],reservafixaconsolidadoago[[#This Row],[ATUAL]])</f>
        <v>0</v>
      </c>
      <c r="P177" s="91">
        <f>SUMIFS(tabela_registros[VALOR],tabela_registros[MÊS],$AE$1,tabela_registros[DIA],reservafixaconsolidadoago[[#Headers],[12]],tabela_registros[REGISTRO],DADOS!$N$6,tabela_registros[TIPO],DADOS!$AJ$3,tabela_registros[CATEGORIA],reservafixaconsolidadoago[[#This Row],[ATUAL]])</f>
        <v>0</v>
      </c>
      <c r="Q177" s="91">
        <f>SUMIFS(tabela_registros[VALOR],tabela_registros[MÊS],$AE$1,tabela_registros[DIA],reservafixaconsolidadoago[[#Headers],[13]],tabela_registros[REGISTRO],DADOS!$N$6,tabela_registros[TIPO],DADOS!$AJ$3,tabela_registros[CATEGORIA],reservafixaconsolidadoago[[#This Row],[ATUAL]])</f>
        <v>0</v>
      </c>
      <c r="R177" s="91">
        <f>SUMIFS(tabela_registros[VALOR],tabela_registros[MÊS],$AE$1,tabela_registros[DIA],reservafixaconsolidadoago[[#Headers],[14]],tabela_registros[REGISTRO],DADOS!$N$6,tabela_registros[TIPO],DADOS!$AJ$3,tabela_registros[CATEGORIA],reservafixaconsolidadoago[[#This Row],[ATUAL]])</f>
        <v>0</v>
      </c>
      <c r="S177" s="91">
        <f>SUMIFS(tabela_registros[VALOR],tabela_registros[MÊS],$AE$1,tabela_registros[DIA],reservafixaconsolidadoago[[#Headers],[15]],tabela_registros[REGISTRO],DADOS!$N$6,tabela_registros[TIPO],DADOS!$AJ$3,tabela_registros[CATEGORIA],reservafixaconsolidadoago[[#This Row],[ATUAL]])</f>
        <v>0</v>
      </c>
      <c r="T177" s="91">
        <f>SUMIFS(tabela_registros[VALOR],tabela_registros[MÊS],$AE$1,tabela_registros[DIA],reservafixaconsolidadoago[[#Headers],[16]],tabela_registros[REGISTRO],DADOS!$N$6,tabela_registros[TIPO],DADOS!$AJ$3,tabela_registros[CATEGORIA],reservafixaconsolidadoago[[#This Row],[ATUAL]])</f>
        <v>0</v>
      </c>
      <c r="U177" s="91">
        <f>SUMIFS(tabela_registros[VALOR],tabela_registros[MÊS],$AE$1,tabela_registros[DIA],reservafixaconsolidadoago[[#Headers],[17]],tabela_registros[REGISTRO],DADOS!$N$6,tabela_registros[TIPO],DADOS!$AJ$3,tabela_registros[CATEGORIA],reservafixaconsolidadoago[[#This Row],[ATUAL]])</f>
        <v>0</v>
      </c>
      <c r="V177" s="91">
        <f>SUMIFS(tabela_registros[VALOR],tabela_registros[MÊS],$AE$1,tabela_registros[DIA],reservafixaconsolidadoago[[#Headers],[18]],tabela_registros[REGISTRO],DADOS!$N$6,tabela_registros[TIPO],DADOS!$AJ$3,tabela_registros[CATEGORIA],reservafixaconsolidadoago[[#This Row],[ATUAL]])</f>
        <v>0</v>
      </c>
      <c r="W177" s="91">
        <f>SUMIFS(tabela_registros[VALOR],tabela_registros[MÊS],$AE$1,tabela_registros[DIA],reservafixaconsolidadoago[[#Headers],[19]],tabela_registros[REGISTRO],DADOS!$N$6,tabela_registros[TIPO],DADOS!$AJ$3,tabela_registros[CATEGORIA],reservafixaconsolidadoago[[#This Row],[ATUAL]])</f>
        <v>0</v>
      </c>
      <c r="X177" s="91">
        <f>SUMIFS(tabela_registros[VALOR],tabela_registros[MÊS],$AE$1,tabela_registros[DIA],reservafixaconsolidadoago[[#Headers],[20]],tabela_registros[REGISTRO],DADOS!$N$6,tabela_registros[TIPO],DADOS!$AJ$3,tabela_registros[CATEGORIA],reservafixaconsolidadoago[[#This Row],[ATUAL]])</f>
        <v>0</v>
      </c>
      <c r="Y177" s="91">
        <f>SUMIFS(tabela_registros[VALOR],tabela_registros[MÊS],$AE$1,tabela_registros[DIA],reservafixaconsolidadoago[[#Headers],[21]],tabela_registros[REGISTRO],DADOS!$N$6,tabela_registros[TIPO],DADOS!$AJ$3,tabela_registros[CATEGORIA],reservafixaconsolidadoago[[#This Row],[ATUAL]])</f>
        <v>0</v>
      </c>
      <c r="Z177" s="91">
        <f>SUMIFS(tabela_registros[VALOR],tabela_registros[MÊS],$AE$1,tabela_registros[DIA],reservafixaconsolidadoago[[#Headers],[22]],tabela_registros[REGISTRO],DADOS!$N$6,tabela_registros[TIPO],DADOS!$AJ$3,tabela_registros[CATEGORIA],reservafixaconsolidadoago[[#This Row],[ATUAL]])</f>
        <v>0</v>
      </c>
      <c r="AA177" s="91">
        <f>SUMIFS(tabela_registros[VALOR],tabela_registros[MÊS],$AE$1,tabela_registros[DIA],reservafixaconsolidadoago[[#Headers],[23]],tabela_registros[REGISTRO],DADOS!$N$6,tabela_registros[TIPO],DADOS!$AJ$3,tabela_registros[CATEGORIA],reservafixaconsolidadoago[[#This Row],[ATUAL]])</f>
        <v>0</v>
      </c>
      <c r="AB177" s="91">
        <f>SUMIFS(tabela_registros[VALOR],tabela_registros[MÊS],$AE$1,tabela_registros[DIA],reservafixaconsolidadoago[[#Headers],[24]],tabela_registros[REGISTRO],DADOS!$N$6,tabela_registros[TIPO],DADOS!$AJ$3,tabela_registros[CATEGORIA],reservafixaconsolidadoago[[#This Row],[ATUAL]])</f>
        <v>0</v>
      </c>
      <c r="AC177" s="91">
        <f>SUMIFS(tabela_registros[VALOR],tabela_registros[MÊS],$AE$1,tabela_registros[DIA],reservafixaconsolidadoago[[#Headers],[25]],tabela_registros[REGISTRO],DADOS!$N$6,tabela_registros[TIPO],DADOS!$AJ$3,tabela_registros[CATEGORIA],reservafixaconsolidadoago[[#This Row],[ATUAL]])</f>
        <v>0</v>
      </c>
      <c r="AD177" s="91">
        <f>SUMIFS(tabela_registros[VALOR],tabela_registros[MÊS],$AE$1,tabela_registros[DIA],reservafixaconsolidadoago[[#Headers],[26]],tabela_registros[REGISTRO],DADOS!$N$6,tabela_registros[TIPO],DADOS!$AJ$3,tabela_registros[CATEGORIA],reservafixaconsolidadoago[[#This Row],[ATUAL]])</f>
        <v>0</v>
      </c>
      <c r="AE177" s="91">
        <f>SUMIFS(tabela_registros[VALOR],tabela_registros[MÊS],$AE$1,tabela_registros[DIA],reservafixaconsolidadoago[[#Headers],[27]],tabela_registros[REGISTRO],DADOS!$N$6,tabela_registros[TIPO],DADOS!$AJ$3,tabela_registros[CATEGORIA],reservafixaconsolidadoago[[#This Row],[ATUAL]])</f>
        <v>0</v>
      </c>
      <c r="AF177" s="91">
        <f>SUMIFS(tabela_registros[VALOR],tabela_registros[MÊS],$AE$1,tabela_registros[DIA],reservafixaconsolidadoago[[#Headers],[28]],tabela_registros[REGISTRO],DADOS!$N$6,tabela_registros[TIPO],DADOS!$AJ$3,tabela_registros[CATEGORIA],reservafixaconsolidadoago[[#This Row],[ATUAL]])</f>
        <v>0</v>
      </c>
      <c r="AG177" s="91">
        <f>SUMIFS(tabela_registros[VALOR],tabela_registros[MÊS],$AE$1,tabela_registros[DIA],reservafixaconsolidadoago[[#Headers],[29]],tabela_registros[REGISTRO],DADOS!$N$6,tabela_registros[TIPO],DADOS!$AJ$3,tabela_registros[CATEGORIA],reservafixaconsolidadoago[[#This Row],[ATUAL]])</f>
        <v>0</v>
      </c>
      <c r="AH177" s="91">
        <f>SUMIFS(tabela_registros[VALOR],tabela_registros[MÊS],$AE$1,tabela_registros[DIA],reservafixaconsolidadoago[[#Headers],[30]],tabela_registros[REGISTRO],DADOS!$N$6,tabela_registros[TIPO],DADOS!$AJ$3,tabela_registros[CATEGORIA],reservafixaconsolidadoago[[#This Row],[ATUAL]])</f>
        <v>0</v>
      </c>
      <c r="AI177" s="102">
        <f>SUMIFS(tabela_registros[VALOR],tabela_registros[MÊS],$AE$1,tabela_registros[DIA],reservafixaconsolidadoago[[#Headers],[31]],tabela_registros[REGISTRO],DADOS!$N$6,tabela_registros[TIPO],DADOS!$AJ$3,tabela_registros[CATEGORIA],reservafixaconsolidadoago[[#This Row],[ATUAL]])</f>
        <v>0</v>
      </c>
      <c r="AJ177" s="97">
        <f>SUM(reservafixaconsolidadoago[[#This Row],[1]:[31]])</f>
        <v>0</v>
      </c>
      <c r="AK177" s="25"/>
    </row>
    <row r="178" spans="2:37" s="16" customFormat="1" ht="21" customHeight="1" thickTop="1" thickBot="1" x14ac:dyDescent="0.35">
      <c r="B178" s="24"/>
      <c r="C178" s="23" t="s">
        <v>19</v>
      </c>
      <c r="D178" s="22"/>
      <c r="E178" s="21">
        <f>SUM(E168:E177)</f>
        <v>0</v>
      </c>
      <c r="F178" s="20">
        <f>SUM(F168:F177)+reservafixaconsolidadoago[[#This Row],[1]]</f>
        <v>0</v>
      </c>
      <c r="G178" s="20">
        <f>SUM(G168:G177)+reservafixaconsolidadoago[[#This Row],[2]]</f>
        <v>0</v>
      </c>
      <c r="H178" s="20">
        <f>SUM(H168:H177)+reservafixaconsolidadoago[[#This Row],[3]]</f>
        <v>0</v>
      </c>
      <c r="I178" s="20">
        <f>SUM(I168:I177)+reservafixaconsolidadoago[[#This Row],[4]]</f>
        <v>0</v>
      </c>
      <c r="J178" s="20">
        <f>SUM(J168:J177)+reservafixaconsolidadoago[[#This Row],[5]]</f>
        <v>0</v>
      </c>
      <c r="K178" s="20">
        <f>SUM(K168:K177)+reservafixaconsolidadoago[[#This Row],[6]]</f>
        <v>0</v>
      </c>
      <c r="L178" s="20">
        <f>SUM(L168:L177)+reservafixaconsolidadoago[[#This Row],[7]]</f>
        <v>0</v>
      </c>
      <c r="M178" s="20">
        <f>SUM(M168:M177)+reservafixaconsolidadoago[[#This Row],[8]]</f>
        <v>0</v>
      </c>
      <c r="N178" s="20">
        <f>SUM(N168:N177)+reservafixaconsolidadoago[[#This Row],[9]]</f>
        <v>0</v>
      </c>
      <c r="O178" s="20">
        <f>SUM(O168:O177)+reservafixaconsolidadoago[[#This Row],[10]]</f>
        <v>0</v>
      </c>
      <c r="P178" s="20">
        <f>SUM(P168:P177)+reservafixaconsolidadoago[[#This Row],[11]]</f>
        <v>0</v>
      </c>
      <c r="Q178" s="20">
        <f>SUM(Q168:Q177)+reservafixaconsolidadoago[[#This Row],[12]]</f>
        <v>0</v>
      </c>
      <c r="R178" s="20">
        <f>SUM(R168:R177)+reservafixaconsolidadoago[[#This Row],[13]]</f>
        <v>0</v>
      </c>
      <c r="S178" s="20">
        <f>SUM(S168:S177)+reservafixaconsolidadoago[[#This Row],[14]]</f>
        <v>0</v>
      </c>
      <c r="T178" s="20">
        <f>SUM(T168:T177)+reservafixaconsolidadoago[[#This Row],[15]]</f>
        <v>0</v>
      </c>
      <c r="U178" s="20">
        <f>SUM(U168:U177)+reservafixaconsolidadoago[[#This Row],[16]]</f>
        <v>0</v>
      </c>
      <c r="V178" s="20">
        <f>SUM(V168:V177)+reservafixaconsolidadoago[[#This Row],[17]]</f>
        <v>0</v>
      </c>
      <c r="W178" s="20">
        <f>SUM(W168:W177)+reservafixaconsolidadoago[[#This Row],[18]]</f>
        <v>0</v>
      </c>
      <c r="X178" s="20">
        <f>SUM(X168:X177)+reservafixaconsolidadoago[[#This Row],[19]]</f>
        <v>0</v>
      </c>
      <c r="Y178" s="20">
        <f>SUM(Y168:Y177)+reservafixaconsolidadoago[[#This Row],[20]]</f>
        <v>0</v>
      </c>
      <c r="Z178" s="20">
        <f>SUM(Z168:Z177)+reservafixaconsolidadoago[[#This Row],[21]]</f>
        <v>0</v>
      </c>
      <c r="AA178" s="20">
        <f>SUM(AA168:AA177)+reservafixaconsolidadoago[[#This Row],[22]]</f>
        <v>0</v>
      </c>
      <c r="AB178" s="20">
        <f>SUM(AB168:AB177)+reservafixaconsolidadoago[[#This Row],[23]]</f>
        <v>0</v>
      </c>
      <c r="AC178" s="20">
        <f>SUM(AC168:AC177)+reservafixaconsolidadoago[[#This Row],[24]]</f>
        <v>0</v>
      </c>
      <c r="AD178" s="20">
        <f>SUM(AD168:AD177)+reservafixaconsolidadoago[[#This Row],[25]]</f>
        <v>0</v>
      </c>
      <c r="AE178" s="20">
        <f>SUM(AE168:AE177)+reservafixaconsolidadoago[[#This Row],[26]]</f>
        <v>0</v>
      </c>
      <c r="AF178" s="20">
        <f>SUM(AF168:AF177)+reservafixaconsolidadoago[[#This Row],[27]]</f>
        <v>0</v>
      </c>
      <c r="AG178" s="20">
        <f>SUM(AG168:AG177)+reservafixaconsolidadoago[[#This Row],[28]]</f>
        <v>0</v>
      </c>
      <c r="AH178" s="20">
        <f>SUM(AH168:AH177)+reservafixaconsolidadoago[[#This Row],[29]]</f>
        <v>0</v>
      </c>
      <c r="AI178" s="19">
        <f>SUM(AI168:AI177)+reservafixaconsolidadoago[[#This Row],[30]]</f>
        <v>0</v>
      </c>
      <c r="AJ178" s="18">
        <f>reservafixaconsolidadoago[[#This Row],[31]]</f>
        <v>0</v>
      </c>
      <c r="AK178" s="17"/>
    </row>
    <row r="179" spans="2:37" ht="6.75" customHeight="1" thickTop="1" thickBot="1" x14ac:dyDescent="0.3">
      <c r="B179" s="15"/>
      <c r="C179" s="14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3"/>
      <c r="AF179" s="13"/>
      <c r="AG179" s="13"/>
      <c r="AH179" s="13"/>
      <c r="AI179" s="12"/>
      <c r="AJ179" s="11"/>
      <c r="AK179" s="10"/>
    </row>
    <row r="180" spans="2:37" ht="12.6" thickTop="1" x14ac:dyDescent="0.25">
      <c r="E180" s="37"/>
      <c r="AI180" s="4"/>
    </row>
    <row r="181" spans="2:37" x14ac:dyDescent="0.25">
      <c r="AI181" s="4"/>
    </row>
    <row r="182" spans="2:37" x14ac:dyDescent="0.25">
      <c r="AI182" s="4"/>
    </row>
    <row r="183" spans="2:37" ht="39.75" customHeight="1" x14ac:dyDescent="0.7">
      <c r="C183" s="36"/>
      <c r="E183" s="240"/>
      <c r="F183" s="240"/>
      <c r="G183" s="240"/>
      <c r="H183" s="240"/>
      <c r="I183" s="240"/>
      <c r="J183" s="240"/>
      <c r="K183" s="240"/>
      <c r="L183" s="240"/>
      <c r="M183" s="240"/>
      <c r="N183" s="240"/>
      <c r="O183" s="240"/>
      <c r="P183" s="240"/>
      <c r="Q183" s="240"/>
      <c r="R183" s="240"/>
      <c r="S183" s="240"/>
      <c r="T183" s="240"/>
      <c r="U183" s="240"/>
      <c r="V183" s="240"/>
      <c r="W183" s="240"/>
      <c r="X183" s="240"/>
      <c r="Y183" s="240"/>
      <c r="Z183" s="240"/>
      <c r="AA183" s="240"/>
      <c r="AB183" s="240"/>
      <c r="AC183" s="240"/>
      <c r="AD183" s="240"/>
      <c r="AE183" s="240"/>
      <c r="AF183" s="240"/>
      <c r="AG183" s="240"/>
      <c r="AH183" s="240"/>
      <c r="AI183" s="240"/>
      <c r="AJ183" s="32" t="s">
        <v>19</v>
      </c>
    </row>
    <row r="184" spans="2:37" ht="12.6" thickBot="1" x14ac:dyDescent="0.3">
      <c r="B184" s="35"/>
      <c r="AI184" s="4"/>
      <c r="AJ184" s="34" t="s">
        <v>202</v>
      </c>
    </row>
    <row r="185" spans="2:37" ht="6.75" customHeight="1" thickTop="1" thickBot="1" x14ac:dyDescent="0.3">
      <c r="B185" s="2"/>
      <c r="C185" s="14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  <c r="AF185" s="13"/>
      <c r="AG185" s="13"/>
      <c r="AH185" s="13"/>
      <c r="AI185" s="13"/>
      <c r="AJ185" s="12"/>
      <c r="AK185" s="33"/>
    </row>
    <row r="186" spans="2:37" ht="13.2" hidden="1" thickTop="1" thickBot="1" x14ac:dyDescent="0.3">
      <c r="B186" s="2"/>
      <c r="C186" s="31" t="s">
        <v>199</v>
      </c>
      <c r="D186" s="30" t="s">
        <v>198</v>
      </c>
      <c r="E186" s="30" t="s">
        <v>197</v>
      </c>
      <c r="F186" s="30" t="s">
        <v>196</v>
      </c>
      <c r="G186" s="30" t="s">
        <v>195</v>
      </c>
      <c r="H186" s="30" t="s">
        <v>194</v>
      </c>
      <c r="I186" s="30" t="s">
        <v>193</v>
      </c>
      <c r="J186" s="30" t="s">
        <v>192</v>
      </c>
      <c r="K186" s="30" t="s">
        <v>191</v>
      </c>
      <c r="L186" s="30" t="s">
        <v>190</v>
      </c>
      <c r="M186" s="30" t="s">
        <v>189</v>
      </c>
      <c r="N186" s="30" t="s">
        <v>188</v>
      </c>
      <c r="O186" s="30" t="s">
        <v>187</v>
      </c>
      <c r="P186" s="30" t="s">
        <v>186</v>
      </c>
      <c r="Q186" s="30" t="s">
        <v>185</v>
      </c>
      <c r="R186" s="30" t="s">
        <v>184</v>
      </c>
      <c r="S186" s="30" t="s">
        <v>183</v>
      </c>
      <c r="T186" s="30" t="s">
        <v>182</v>
      </c>
      <c r="U186" s="30" t="s">
        <v>181</v>
      </c>
      <c r="V186" s="30" t="s">
        <v>180</v>
      </c>
      <c r="W186" s="30" t="s">
        <v>179</v>
      </c>
      <c r="X186" s="30" t="s">
        <v>178</v>
      </c>
      <c r="Y186" s="30" t="s">
        <v>177</v>
      </c>
      <c r="Z186" s="30" t="s">
        <v>176</v>
      </c>
      <c r="AA186" s="30" t="s">
        <v>175</v>
      </c>
      <c r="AB186" s="30" t="s">
        <v>174</v>
      </c>
      <c r="AC186" s="30" t="s">
        <v>173</v>
      </c>
      <c r="AD186" s="30" t="s">
        <v>172</v>
      </c>
      <c r="AE186" s="30" t="s">
        <v>171</v>
      </c>
      <c r="AF186" s="30" t="s">
        <v>170</v>
      </c>
      <c r="AG186" s="30" t="s">
        <v>169</v>
      </c>
      <c r="AH186" s="30" t="s">
        <v>168</v>
      </c>
      <c r="AI186" s="30" t="s">
        <v>167</v>
      </c>
      <c r="AJ186" s="29" t="s">
        <v>166</v>
      </c>
      <c r="AK186" s="2"/>
    </row>
    <row r="187" spans="2:37" ht="19.5" customHeight="1" thickTop="1" thickBot="1" x14ac:dyDescent="0.3">
      <c r="B187" s="28"/>
      <c r="C187" s="27" t="str">
        <f>DADOS!$AN$3</f>
        <v>📝 AÇÃO</v>
      </c>
      <c r="D187" s="26" t="str">
        <f>IF(reservavariáveisconsolidadoago[[#This Row],[TOTAL (R$)]]=0,"",IF(OR(reservavariáveisconsolidadoago[[#This Row],[TOTAL (R$)]]=LARGE($AJ$187:$AJ$196,1),reservavariáveisconsolidadoago[[#This Row],[TOTAL (R$)]]=LARGE($AJ$187:$AJ$196,2)),DADOS!$I$11,""))</f>
        <v/>
      </c>
      <c r="E187" s="96">
        <f>SUMIFS(tabela_registros[VALOR],tabela_registros[MÊS],$AE$1,tabela_registros[DIA],reservavariáveisconsolidadoago[[#Headers],[1]],tabela_registros[REGISTRO],DADOS!$N$6,tabela_registros[TIPO],DADOS!$AJ$4,tabela_registros[CATEGORIA],reservavariáveisconsolidadoago[[#This Row],[ATUAL]])</f>
        <v>0</v>
      </c>
      <c r="F187" s="91">
        <f>SUMIFS(tabela_registros[VALOR],tabela_registros[MÊS],$AE$1,tabela_registros[DIA],reservavariáveisconsolidadoago[[#Headers],[2]],tabela_registros[REGISTRO],DADOS!$N$6,tabela_registros[TIPO],DADOS!$AJ$4,tabela_registros[CATEGORIA],reservavariáveisconsolidadoago[[#This Row],[ATUAL]])</f>
        <v>0</v>
      </c>
      <c r="G187" s="91">
        <f>SUMIFS(tabela_registros[VALOR],tabela_registros[MÊS],$AE$1,tabela_registros[DIA],reservavariáveisconsolidadoago[[#Headers],[3]],tabela_registros[REGISTRO],DADOS!$N$6,tabela_registros[TIPO],DADOS!$AJ$4,tabela_registros[CATEGORIA],reservavariáveisconsolidadoago[[#This Row],[ATUAL]])</f>
        <v>0</v>
      </c>
      <c r="H187" s="91">
        <f>SUMIFS(tabela_registros[VALOR],tabela_registros[MÊS],$AE$1,tabela_registros[DIA],reservavariáveisconsolidadoago[[#Headers],[4]],tabela_registros[REGISTRO],DADOS!$N$6,tabela_registros[TIPO],DADOS!$AJ$4,tabela_registros[CATEGORIA],reservavariáveisconsolidadoago[[#This Row],[ATUAL]])</f>
        <v>0</v>
      </c>
      <c r="I187" s="91">
        <f>SUMIFS(tabela_registros[VALOR],tabela_registros[MÊS],$AE$1,tabela_registros[DIA],reservavariáveisconsolidadoago[[#Headers],[5]],tabela_registros[REGISTRO],DADOS!$N$6,tabela_registros[TIPO],DADOS!$AJ$4,tabela_registros[CATEGORIA],reservavariáveisconsolidadoago[[#This Row],[ATUAL]])</f>
        <v>0</v>
      </c>
      <c r="J187" s="91">
        <f>SUMIFS(tabela_registros[VALOR],tabela_registros[MÊS],$AE$1,tabela_registros[DIA],reservavariáveisconsolidadoago[[#Headers],[6]],tabela_registros[REGISTRO],DADOS!$N$6,tabela_registros[TIPO],DADOS!$AJ$4,tabela_registros[CATEGORIA],reservavariáveisconsolidadoago[[#This Row],[ATUAL]])</f>
        <v>0</v>
      </c>
      <c r="K187" s="91">
        <f>SUMIFS(tabela_registros[VALOR],tabela_registros[MÊS],$AE$1,tabela_registros[DIA],reservavariáveisconsolidadoago[[#Headers],[7]],tabela_registros[REGISTRO],DADOS!$N$6,tabela_registros[TIPO],DADOS!$AJ$4,tabela_registros[CATEGORIA],reservavariáveisconsolidadoago[[#This Row],[ATUAL]])</f>
        <v>0</v>
      </c>
      <c r="L187" s="91">
        <f>SUMIFS(tabela_registros[VALOR],tabela_registros[MÊS],$AE$1,tabela_registros[DIA],reservavariáveisconsolidadoago[[#Headers],[8]],tabela_registros[REGISTRO],DADOS!$N$6,tabela_registros[TIPO],DADOS!$AJ$4,tabela_registros[CATEGORIA],reservavariáveisconsolidadoago[[#This Row],[ATUAL]])</f>
        <v>0</v>
      </c>
      <c r="M187" s="91">
        <f>SUMIFS(tabela_registros[VALOR],tabela_registros[MÊS],$AE$1,tabela_registros[DIA],reservavariáveisconsolidadoago[[#Headers],[9]],tabela_registros[REGISTRO],DADOS!$N$6,tabela_registros[TIPO],DADOS!$AJ$4,tabela_registros[CATEGORIA],reservavariáveisconsolidadoago[[#This Row],[ATUAL]])</f>
        <v>0</v>
      </c>
      <c r="N187" s="91">
        <f>SUMIFS(tabela_registros[VALOR],tabela_registros[MÊS],$AE$1,tabela_registros[DIA],reservavariáveisconsolidadoago[[#Headers],[10]],tabela_registros[REGISTRO],DADOS!$N$6,tabela_registros[TIPO],DADOS!$AJ$4,tabela_registros[CATEGORIA],reservavariáveisconsolidadoago[[#This Row],[ATUAL]])</f>
        <v>0</v>
      </c>
      <c r="O187" s="91">
        <f>SUMIFS(tabela_registros[VALOR],tabela_registros[MÊS],$AE$1,tabela_registros[DIA],reservavariáveisconsolidadoago[[#Headers],[11]],tabela_registros[REGISTRO],DADOS!$N$6,tabela_registros[TIPO],DADOS!$AJ$4,tabela_registros[CATEGORIA],reservavariáveisconsolidadoago[[#This Row],[ATUAL]])</f>
        <v>0</v>
      </c>
      <c r="P187" s="91">
        <f>SUMIFS(tabela_registros[VALOR],tabela_registros[MÊS],$AE$1,tabela_registros[DIA],reservavariáveisconsolidadoago[[#Headers],[12]],tabela_registros[REGISTRO],DADOS!$N$6,tabela_registros[TIPO],DADOS!$AJ$4,tabela_registros[CATEGORIA],reservavariáveisconsolidadoago[[#This Row],[ATUAL]])</f>
        <v>0</v>
      </c>
      <c r="Q187" s="91">
        <f>SUMIFS(tabela_registros[VALOR],tabela_registros[MÊS],$AE$1,tabela_registros[DIA],reservavariáveisconsolidadoago[[#Headers],[13]],tabela_registros[REGISTRO],DADOS!$N$6,tabela_registros[TIPO],DADOS!$AJ$4,tabela_registros[CATEGORIA],reservavariáveisconsolidadoago[[#This Row],[ATUAL]])</f>
        <v>0</v>
      </c>
      <c r="R187" s="91">
        <f>SUMIFS(tabela_registros[VALOR],tabela_registros[MÊS],$AE$1,tabela_registros[DIA],reservavariáveisconsolidadoago[[#Headers],[14]],tabela_registros[REGISTRO],DADOS!$N$6,tabela_registros[TIPO],DADOS!$AJ$4,tabela_registros[CATEGORIA],reservavariáveisconsolidadoago[[#This Row],[ATUAL]])</f>
        <v>0</v>
      </c>
      <c r="S187" s="91">
        <f>SUMIFS(tabela_registros[VALOR],tabela_registros[MÊS],$AE$1,tabela_registros[DIA],reservavariáveisconsolidadoago[[#Headers],[15]],tabela_registros[REGISTRO],DADOS!$N$6,tabela_registros[TIPO],DADOS!$AJ$4,tabela_registros[CATEGORIA],reservavariáveisconsolidadoago[[#This Row],[ATUAL]])</f>
        <v>0</v>
      </c>
      <c r="T187" s="91">
        <f>SUMIFS(tabela_registros[VALOR],tabela_registros[MÊS],$AE$1,tabela_registros[DIA],reservavariáveisconsolidadoago[[#Headers],[16]],tabela_registros[REGISTRO],DADOS!$N$6,tabela_registros[TIPO],DADOS!$AJ$4,tabela_registros[CATEGORIA],reservavariáveisconsolidadoago[[#This Row],[ATUAL]])</f>
        <v>0</v>
      </c>
      <c r="U187" s="91">
        <f>SUMIFS(tabela_registros[VALOR],tabela_registros[MÊS],$AE$1,tabela_registros[DIA],reservavariáveisconsolidadoago[[#Headers],[17]],tabela_registros[REGISTRO],DADOS!$N$6,tabela_registros[TIPO],DADOS!$AJ$4,tabela_registros[CATEGORIA],reservavariáveisconsolidadoago[[#This Row],[ATUAL]])</f>
        <v>0</v>
      </c>
      <c r="V187" s="91">
        <f>SUMIFS(tabela_registros[VALOR],tabela_registros[MÊS],$AE$1,tabela_registros[DIA],reservavariáveisconsolidadoago[[#Headers],[18]],tabela_registros[REGISTRO],DADOS!$N$6,tabela_registros[TIPO],DADOS!$AJ$4,tabela_registros[CATEGORIA],reservavariáveisconsolidadoago[[#This Row],[ATUAL]])</f>
        <v>0</v>
      </c>
      <c r="W187" s="91">
        <f>SUMIFS(tabela_registros[VALOR],tabela_registros[MÊS],$AE$1,tabela_registros[DIA],reservavariáveisconsolidadoago[[#Headers],[19]],tabela_registros[REGISTRO],DADOS!$N$6,tabela_registros[TIPO],DADOS!$AJ$4,tabela_registros[CATEGORIA],reservavariáveisconsolidadoago[[#This Row],[ATUAL]])</f>
        <v>0</v>
      </c>
      <c r="X187" s="91">
        <f>SUMIFS(tabela_registros[VALOR],tabela_registros[MÊS],$AE$1,tabela_registros[DIA],reservavariáveisconsolidadoago[[#Headers],[20]],tabela_registros[REGISTRO],DADOS!$N$6,tabela_registros[TIPO],DADOS!$AJ$4,tabela_registros[CATEGORIA],reservavariáveisconsolidadoago[[#This Row],[ATUAL]])</f>
        <v>0</v>
      </c>
      <c r="Y187" s="91">
        <f>SUMIFS(tabela_registros[VALOR],tabela_registros[MÊS],$AE$1,tabela_registros[DIA],reservavariáveisconsolidadoago[[#Headers],[21]],tabela_registros[REGISTRO],DADOS!$N$6,tabela_registros[TIPO],DADOS!$AJ$4,tabela_registros[CATEGORIA],reservavariáveisconsolidadoago[[#This Row],[ATUAL]])</f>
        <v>0</v>
      </c>
      <c r="Z187" s="91">
        <f>SUMIFS(tabela_registros[VALOR],tabela_registros[MÊS],$AE$1,tabela_registros[DIA],reservavariáveisconsolidadoago[[#Headers],[22]],tabela_registros[REGISTRO],DADOS!$N$6,tabela_registros[TIPO],DADOS!$AJ$4,tabela_registros[CATEGORIA],reservavariáveisconsolidadoago[[#This Row],[ATUAL]])</f>
        <v>0</v>
      </c>
      <c r="AA187" s="91">
        <f>SUMIFS(tabela_registros[VALOR],tabela_registros[MÊS],$AE$1,tabela_registros[DIA],reservavariáveisconsolidadoago[[#Headers],[23]],tabela_registros[REGISTRO],DADOS!$N$6,tabela_registros[TIPO],DADOS!$AJ$4,tabela_registros[CATEGORIA],reservavariáveisconsolidadoago[[#This Row],[ATUAL]])</f>
        <v>0</v>
      </c>
      <c r="AB187" s="91">
        <f>SUMIFS(tabela_registros[VALOR],tabela_registros[MÊS],$AE$1,tabela_registros[DIA],reservavariáveisconsolidadoago[[#Headers],[24]],tabela_registros[REGISTRO],DADOS!$N$6,tabela_registros[TIPO],DADOS!$AJ$4,tabela_registros[CATEGORIA],reservavariáveisconsolidadoago[[#This Row],[ATUAL]])</f>
        <v>0</v>
      </c>
      <c r="AC187" s="91">
        <f>SUMIFS(tabela_registros[VALOR],tabela_registros[MÊS],$AE$1,tabela_registros[DIA],reservavariáveisconsolidadoago[[#Headers],[25]],tabela_registros[REGISTRO],DADOS!$N$6,tabela_registros[TIPO],DADOS!$AJ$4,tabela_registros[CATEGORIA],reservavariáveisconsolidadoago[[#This Row],[ATUAL]])</f>
        <v>0</v>
      </c>
      <c r="AD187" s="91">
        <f>SUMIFS(tabela_registros[VALOR],tabela_registros[MÊS],$AE$1,tabela_registros[DIA],reservavariáveisconsolidadoago[[#Headers],[26]],tabela_registros[REGISTRO],DADOS!$N$6,tabela_registros[TIPO],DADOS!$AJ$4,tabela_registros[CATEGORIA],reservavariáveisconsolidadoago[[#This Row],[ATUAL]])</f>
        <v>0</v>
      </c>
      <c r="AE187" s="91">
        <f>SUMIFS(tabela_registros[VALOR],tabela_registros[MÊS],$AE$1,tabela_registros[DIA],reservavariáveisconsolidadoago[[#Headers],[27]],tabela_registros[REGISTRO],DADOS!$N$6,tabela_registros[TIPO],DADOS!$AJ$4,tabela_registros[CATEGORIA],reservavariáveisconsolidadoago[[#This Row],[ATUAL]])</f>
        <v>0</v>
      </c>
      <c r="AF187" s="91">
        <f>SUMIFS(tabela_registros[VALOR],tabela_registros[MÊS],$AE$1,tabela_registros[DIA],reservavariáveisconsolidadoago[[#Headers],[28]],tabela_registros[REGISTRO],DADOS!$N$6,tabela_registros[TIPO],DADOS!$AJ$4,tabela_registros[CATEGORIA],reservavariáveisconsolidadoago[[#This Row],[ATUAL]])</f>
        <v>0</v>
      </c>
      <c r="AG187" s="91">
        <f>SUMIFS(tabela_registros[VALOR],tabela_registros[MÊS],$AE$1,tabela_registros[DIA],reservavariáveisconsolidadoago[[#Headers],[29]],tabela_registros[REGISTRO],DADOS!$N$6,tabela_registros[TIPO],DADOS!$AJ$4,tabela_registros[CATEGORIA],reservavariáveisconsolidadoago[[#This Row],[ATUAL]])</f>
        <v>0</v>
      </c>
      <c r="AH187" s="91">
        <f>SUMIFS(tabela_registros[VALOR],tabela_registros[MÊS],$AE$1,tabela_registros[DIA],reservavariáveisconsolidadoago[[#Headers],[30]],tabela_registros[REGISTRO],DADOS!$N$6,tabela_registros[TIPO],DADOS!$AJ$4,tabela_registros[CATEGORIA],reservavariáveisconsolidadoago[[#This Row],[ATUAL]])</f>
        <v>0</v>
      </c>
      <c r="AI187" s="101">
        <f>SUMIFS(tabela_registros[VALOR],tabela_registros[MÊS],$AE$1,tabela_registros[DIA],reservavariáveisconsolidadoago[[#Headers],[31]],tabela_registros[REGISTRO],DADOS!$N$6,tabela_registros[TIPO],DADOS!$AJ$4,tabela_registros[CATEGORIA],reservavariáveisconsolidadoago[[#This Row],[ATUAL]])</f>
        <v>0</v>
      </c>
      <c r="AJ187" s="97">
        <f>SUM(reservavariáveisconsolidadoago[[#This Row],[1]:[31]])</f>
        <v>0</v>
      </c>
      <c r="AK187" s="25"/>
    </row>
    <row r="188" spans="2:37" ht="19.5" customHeight="1" thickTop="1" thickBot="1" x14ac:dyDescent="0.3">
      <c r="B188" s="28"/>
      <c r="C188" s="27" t="str">
        <f>DADOS!$AN$4</f>
        <v>📝 COMÓDITE</v>
      </c>
      <c r="D188" s="26" t="str">
        <f>IF(reservavariáveisconsolidadoago[[#This Row],[TOTAL (R$)]]=0,"",IF(OR(reservavariáveisconsolidadoago[[#This Row],[TOTAL (R$)]]=LARGE($AJ$187:$AJ$196,1),reservavariáveisconsolidadoago[[#This Row],[TOTAL (R$)]]=LARGE($AJ$187:$AJ$196,2)),DADOS!$I$11,""))</f>
        <v/>
      </c>
      <c r="E188" s="96">
        <f>SUMIFS(tabela_registros[VALOR],tabela_registros[MÊS],$AE$1,tabela_registros[DIA],reservavariáveisconsolidadoago[[#Headers],[1]],tabela_registros[REGISTRO],DADOS!$N$6,tabela_registros[TIPO],DADOS!$AJ$4,tabela_registros[CATEGORIA],reservavariáveisconsolidadoago[[#This Row],[ATUAL]])</f>
        <v>0</v>
      </c>
      <c r="F188" s="91">
        <f>SUMIFS(tabela_registros[VALOR],tabela_registros[MÊS],$AE$1,tabela_registros[DIA],reservavariáveisconsolidadoago[[#Headers],[2]],tabela_registros[REGISTRO],DADOS!$N$6,tabela_registros[TIPO],DADOS!$AJ$4,tabela_registros[CATEGORIA],reservavariáveisconsolidadoago[[#This Row],[ATUAL]])</f>
        <v>0</v>
      </c>
      <c r="G188" s="91">
        <f>SUMIFS(tabela_registros[VALOR],tabela_registros[MÊS],$AE$1,tabela_registros[DIA],reservavariáveisconsolidadoago[[#Headers],[3]],tabela_registros[REGISTRO],DADOS!$N$6,tabela_registros[TIPO],DADOS!$AJ$4,tabela_registros[CATEGORIA],reservavariáveisconsolidadoago[[#This Row],[ATUAL]])</f>
        <v>0</v>
      </c>
      <c r="H188" s="91">
        <f>SUMIFS(tabela_registros[VALOR],tabela_registros[MÊS],$AE$1,tabela_registros[DIA],reservavariáveisconsolidadoago[[#Headers],[4]],tabela_registros[REGISTRO],DADOS!$N$6,tabela_registros[TIPO],DADOS!$AJ$4,tabela_registros[CATEGORIA],reservavariáveisconsolidadoago[[#This Row],[ATUAL]])</f>
        <v>0</v>
      </c>
      <c r="I188" s="91">
        <f>SUMIFS(tabela_registros[VALOR],tabela_registros[MÊS],$AE$1,tabela_registros[DIA],reservavariáveisconsolidadoago[[#Headers],[5]],tabela_registros[REGISTRO],DADOS!$N$6,tabela_registros[TIPO],DADOS!$AJ$4,tabela_registros[CATEGORIA],reservavariáveisconsolidadoago[[#This Row],[ATUAL]])</f>
        <v>0</v>
      </c>
      <c r="J188" s="91">
        <f>SUMIFS(tabela_registros[VALOR],tabela_registros[MÊS],$AE$1,tabela_registros[DIA],reservavariáveisconsolidadoago[[#Headers],[6]],tabela_registros[REGISTRO],DADOS!$N$6,tabela_registros[TIPO],DADOS!$AJ$4,tabela_registros[CATEGORIA],reservavariáveisconsolidadoago[[#This Row],[ATUAL]])</f>
        <v>0</v>
      </c>
      <c r="K188" s="91">
        <f>SUMIFS(tabela_registros[VALOR],tabela_registros[MÊS],$AE$1,tabela_registros[DIA],reservavariáveisconsolidadoago[[#Headers],[7]],tabela_registros[REGISTRO],DADOS!$N$6,tabela_registros[TIPO],DADOS!$AJ$4,tabela_registros[CATEGORIA],reservavariáveisconsolidadoago[[#This Row],[ATUAL]])</f>
        <v>0</v>
      </c>
      <c r="L188" s="91">
        <f>SUMIFS(tabela_registros[VALOR],tabela_registros[MÊS],$AE$1,tabela_registros[DIA],reservavariáveisconsolidadoago[[#Headers],[8]],tabela_registros[REGISTRO],DADOS!$N$6,tabela_registros[TIPO],DADOS!$AJ$4,tabela_registros[CATEGORIA],reservavariáveisconsolidadoago[[#This Row],[ATUAL]])</f>
        <v>0</v>
      </c>
      <c r="M188" s="91">
        <f>SUMIFS(tabela_registros[VALOR],tabela_registros[MÊS],$AE$1,tabela_registros[DIA],reservavariáveisconsolidadoago[[#Headers],[9]],tabela_registros[REGISTRO],DADOS!$N$6,tabela_registros[TIPO],DADOS!$AJ$4,tabela_registros[CATEGORIA],reservavariáveisconsolidadoago[[#This Row],[ATUAL]])</f>
        <v>0</v>
      </c>
      <c r="N188" s="91">
        <f>SUMIFS(tabela_registros[VALOR],tabela_registros[MÊS],$AE$1,tabela_registros[DIA],reservavariáveisconsolidadoago[[#Headers],[10]],tabela_registros[REGISTRO],DADOS!$N$6,tabela_registros[TIPO],DADOS!$AJ$4,tabela_registros[CATEGORIA],reservavariáveisconsolidadoago[[#This Row],[ATUAL]])</f>
        <v>0</v>
      </c>
      <c r="O188" s="91">
        <f>SUMIFS(tabela_registros[VALOR],tabela_registros[MÊS],$AE$1,tabela_registros[DIA],reservavariáveisconsolidadoago[[#Headers],[11]],tabela_registros[REGISTRO],DADOS!$N$6,tabela_registros[TIPO],DADOS!$AJ$4,tabela_registros[CATEGORIA],reservavariáveisconsolidadoago[[#This Row],[ATUAL]])</f>
        <v>0</v>
      </c>
      <c r="P188" s="91">
        <f>SUMIFS(tabela_registros[VALOR],tabela_registros[MÊS],$AE$1,tabela_registros[DIA],reservavariáveisconsolidadoago[[#Headers],[12]],tabela_registros[REGISTRO],DADOS!$N$6,tabela_registros[TIPO],DADOS!$AJ$4,tabela_registros[CATEGORIA],reservavariáveisconsolidadoago[[#This Row],[ATUAL]])</f>
        <v>0</v>
      </c>
      <c r="Q188" s="91">
        <f>SUMIFS(tabela_registros[VALOR],tabela_registros[MÊS],$AE$1,tabela_registros[DIA],reservavariáveisconsolidadoago[[#Headers],[13]],tabela_registros[REGISTRO],DADOS!$N$6,tabela_registros[TIPO],DADOS!$AJ$4,tabela_registros[CATEGORIA],reservavariáveisconsolidadoago[[#This Row],[ATUAL]])</f>
        <v>0</v>
      </c>
      <c r="R188" s="91">
        <f>SUMIFS(tabela_registros[VALOR],tabela_registros[MÊS],$AE$1,tabela_registros[DIA],reservavariáveisconsolidadoago[[#Headers],[14]],tabela_registros[REGISTRO],DADOS!$N$6,tabela_registros[TIPO],DADOS!$AJ$4,tabela_registros[CATEGORIA],reservavariáveisconsolidadoago[[#This Row],[ATUAL]])</f>
        <v>0</v>
      </c>
      <c r="S188" s="91">
        <f>SUMIFS(tabela_registros[VALOR],tabela_registros[MÊS],$AE$1,tabela_registros[DIA],reservavariáveisconsolidadoago[[#Headers],[15]],tabela_registros[REGISTRO],DADOS!$N$6,tabela_registros[TIPO],DADOS!$AJ$4,tabela_registros[CATEGORIA],reservavariáveisconsolidadoago[[#This Row],[ATUAL]])</f>
        <v>0</v>
      </c>
      <c r="T188" s="91">
        <f>SUMIFS(tabela_registros[VALOR],tabela_registros[MÊS],$AE$1,tabela_registros[DIA],reservavariáveisconsolidadoago[[#Headers],[16]],tabela_registros[REGISTRO],DADOS!$N$6,tabela_registros[TIPO],DADOS!$AJ$4,tabela_registros[CATEGORIA],reservavariáveisconsolidadoago[[#This Row],[ATUAL]])</f>
        <v>0</v>
      </c>
      <c r="U188" s="91">
        <f>SUMIFS(tabela_registros[VALOR],tabela_registros[MÊS],$AE$1,tabela_registros[DIA],reservavariáveisconsolidadoago[[#Headers],[17]],tabela_registros[REGISTRO],DADOS!$N$6,tabela_registros[TIPO],DADOS!$AJ$4,tabela_registros[CATEGORIA],reservavariáveisconsolidadoago[[#This Row],[ATUAL]])</f>
        <v>0</v>
      </c>
      <c r="V188" s="91">
        <f>SUMIFS(tabela_registros[VALOR],tabela_registros[MÊS],$AE$1,tabela_registros[DIA],reservavariáveisconsolidadoago[[#Headers],[18]],tabela_registros[REGISTRO],DADOS!$N$6,tabela_registros[TIPO],DADOS!$AJ$4,tabela_registros[CATEGORIA],reservavariáveisconsolidadoago[[#This Row],[ATUAL]])</f>
        <v>0</v>
      </c>
      <c r="W188" s="91">
        <f>SUMIFS(tabela_registros[VALOR],tabela_registros[MÊS],$AE$1,tabela_registros[DIA],reservavariáveisconsolidadoago[[#Headers],[19]],tabela_registros[REGISTRO],DADOS!$N$6,tabela_registros[TIPO],DADOS!$AJ$4,tabela_registros[CATEGORIA],reservavariáveisconsolidadoago[[#This Row],[ATUAL]])</f>
        <v>0</v>
      </c>
      <c r="X188" s="91">
        <f>SUMIFS(tabela_registros[VALOR],tabela_registros[MÊS],$AE$1,tabela_registros[DIA],reservavariáveisconsolidadoago[[#Headers],[20]],tabela_registros[REGISTRO],DADOS!$N$6,tabela_registros[TIPO],DADOS!$AJ$4,tabela_registros[CATEGORIA],reservavariáveisconsolidadoago[[#This Row],[ATUAL]])</f>
        <v>0</v>
      </c>
      <c r="Y188" s="91">
        <f>SUMIFS(tabela_registros[VALOR],tabela_registros[MÊS],$AE$1,tabela_registros[DIA],reservavariáveisconsolidadoago[[#Headers],[21]],tabela_registros[REGISTRO],DADOS!$N$6,tabela_registros[TIPO],DADOS!$AJ$4,tabela_registros[CATEGORIA],reservavariáveisconsolidadoago[[#This Row],[ATUAL]])</f>
        <v>0</v>
      </c>
      <c r="Z188" s="91">
        <f>SUMIFS(tabela_registros[VALOR],tabela_registros[MÊS],$AE$1,tabela_registros[DIA],reservavariáveisconsolidadoago[[#Headers],[22]],tabela_registros[REGISTRO],DADOS!$N$6,tabela_registros[TIPO],DADOS!$AJ$4,tabela_registros[CATEGORIA],reservavariáveisconsolidadoago[[#This Row],[ATUAL]])</f>
        <v>0</v>
      </c>
      <c r="AA188" s="91">
        <f>SUMIFS(tabela_registros[VALOR],tabela_registros[MÊS],$AE$1,tabela_registros[DIA],reservavariáveisconsolidadoago[[#Headers],[23]],tabela_registros[REGISTRO],DADOS!$N$6,tabela_registros[TIPO],DADOS!$AJ$4,tabela_registros[CATEGORIA],reservavariáveisconsolidadoago[[#This Row],[ATUAL]])</f>
        <v>0</v>
      </c>
      <c r="AB188" s="91">
        <f>SUMIFS(tabela_registros[VALOR],tabela_registros[MÊS],$AE$1,tabela_registros[DIA],reservavariáveisconsolidadoago[[#Headers],[24]],tabela_registros[REGISTRO],DADOS!$N$6,tabela_registros[TIPO],DADOS!$AJ$4,tabela_registros[CATEGORIA],reservavariáveisconsolidadoago[[#This Row],[ATUAL]])</f>
        <v>0</v>
      </c>
      <c r="AC188" s="91">
        <f>SUMIFS(tabela_registros[VALOR],tabela_registros[MÊS],$AE$1,tabela_registros[DIA],reservavariáveisconsolidadoago[[#Headers],[25]],tabela_registros[REGISTRO],DADOS!$N$6,tabela_registros[TIPO],DADOS!$AJ$4,tabela_registros[CATEGORIA],reservavariáveisconsolidadoago[[#This Row],[ATUAL]])</f>
        <v>0</v>
      </c>
      <c r="AD188" s="91">
        <f>SUMIFS(tabela_registros[VALOR],tabela_registros[MÊS],$AE$1,tabela_registros[DIA],reservavariáveisconsolidadoago[[#Headers],[26]],tabela_registros[REGISTRO],DADOS!$N$6,tabela_registros[TIPO],DADOS!$AJ$4,tabela_registros[CATEGORIA],reservavariáveisconsolidadoago[[#This Row],[ATUAL]])</f>
        <v>0</v>
      </c>
      <c r="AE188" s="91">
        <f>SUMIFS(tabela_registros[VALOR],tabela_registros[MÊS],$AE$1,tabela_registros[DIA],reservavariáveisconsolidadoago[[#Headers],[27]],tabela_registros[REGISTRO],DADOS!$N$6,tabela_registros[TIPO],DADOS!$AJ$4,tabela_registros[CATEGORIA],reservavariáveisconsolidadoago[[#This Row],[ATUAL]])</f>
        <v>0</v>
      </c>
      <c r="AF188" s="91">
        <f>SUMIFS(tabela_registros[VALOR],tabela_registros[MÊS],$AE$1,tabela_registros[DIA],reservavariáveisconsolidadoago[[#Headers],[28]],tabela_registros[REGISTRO],DADOS!$N$6,tabela_registros[TIPO],DADOS!$AJ$4,tabela_registros[CATEGORIA],reservavariáveisconsolidadoago[[#This Row],[ATUAL]])</f>
        <v>0</v>
      </c>
      <c r="AG188" s="91">
        <f>SUMIFS(tabela_registros[VALOR],tabela_registros[MÊS],$AE$1,tabela_registros[DIA],reservavariáveisconsolidadoago[[#Headers],[29]],tabela_registros[REGISTRO],DADOS!$N$6,tabela_registros[TIPO],DADOS!$AJ$4,tabela_registros[CATEGORIA],reservavariáveisconsolidadoago[[#This Row],[ATUAL]])</f>
        <v>0</v>
      </c>
      <c r="AH188" s="91">
        <f>SUMIFS(tabela_registros[VALOR],tabela_registros[MÊS],$AE$1,tabela_registros[DIA],reservavariáveisconsolidadoago[[#Headers],[30]],tabela_registros[REGISTRO],DADOS!$N$6,tabela_registros[TIPO],DADOS!$AJ$4,tabela_registros[CATEGORIA],reservavariáveisconsolidadoago[[#This Row],[ATUAL]])</f>
        <v>0</v>
      </c>
      <c r="AI188" s="101">
        <f>SUMIFS(tabela_registros[VALOR],tabela_registros[MÊS],$AE$1,tabela_registros[DIA],reservavariáveisconsolidadoago[[#Headers],[31]],tabela_registros[REGISTRO],DADOS!$N$6,tabela_registros[TIPO],DADOS!$AJ$4,tabela_registros[CATEGORIA],reservavariáveisconsolidadoago[[#This Row],[ATUAL]])</f>
        <v>0</v>
      </c>
      <c r="AJ188" s="97">
        <f>SUM(reservavariáveisconsolidadoago[[#This Row],[1]:[31]])</f>
        <v>0</v>
      </c>
      <c r="AK188" s="25"/>
    </row>
    <row r="189" spans="2:37" ht="19.5" customHeight="1" thickTop="1" thickBot="1" x14ac:dyDescent="0.3">
      <c r="B189" s="28"/>
      <c r="C189" s="27" t="str">
        <f>DADOS!$AN$5</f>
        <v>📝 CONTRATO DE FUTUROS</v>
      </c>
      <c r="D189" s="26" t="str">
        <f>IF(reservavariáveisconsolidadoago[[#This Row],[TOTAL (R$)]]=0,"",IF(OR(reservavariáveisconsolidadoago[[#This Row],[TOTAL (R$)]]=LARGE($AJ$187:$AJ$196,1),reservavariáveisconsolidadoago[[#This Row],[TOTAL (R$)]]=LARGE($AJ$187:$AJ$196,2)),DADOS!$I$11,""))</f>
        <v/>
      </c>
      <c r="E189" s="96">
        <f>SUMIFS(tabela_registros[VALOR],tabela_registros[MÊS],$AE$1,tabela_registros[DIA],reservavariáveisconsolidadoago[[#Headers],[1]],tabela_registros[REGISTRO],DADOS!$N$6,tabela_registros[TIPO],DADOS!$AJ$4,tabela_registros[CATEGORIA],reservavariáveisconsolidadoago[[#This Row],[ATUAL]])</f>
        <v>0</v>
      </c>
      <c r="F189" s="91">
        <f>SUMIFS(tabela_registros[VALOR],tabela_registros[MÊS],$AE$1,tabela_registros[DIA],reservavariáveisconsolidadoago[[#Headers],[2]],tabela_registros[REGISTRO],DADOS!$N$6,tabela_registros[TIPO],DADOS!$AJ$4,tabela_registros[CATEGORIA],reservavariáveisconsolidadoago[[#This Row],[ATUAL]])</f>
        <v>0</v>
      </c>
      <c r="G189" s="91">
        <f>SUMIFS(tabela_registros[VALOR],tabela_registros[MÊS],$AE$1,tabela_registros[DIA],reservavariáveisconsolidadoago[[#Headers],[3]],tabela_registros[REGISTRO],DADOS!$N$6,tabela_registros[TIPO],DADOS!$AJ$4,tabela_registros[CATEGORIA],reservavariáveisconsolidadoago[[#This Row],[ATUAL]])</f>
        <v>0</v>
      </c>
      <c r="H189" s="91">
        <f>SUMIFS(tabela_registros[VALOR],tabela_registros[MÊS],$AE$1,tabela_registros[DIA],reservavariáveisconsolidadoago[[#Headers],[4]],tabela_registros[REGISTRO],DADOS!$N$6,tabela_registros[TIPO],DADOS!$AJ$4,tabela_registros[CATEGORIA],reservavariáveisconsolidadoago[[#This Row],[ATUAL]])</f>
        <v>0</v>
      </c>
      <c r="I189" s="91">
        <f>SUMIFS(tabela_registros[VALOR],tabela_registros[MÊS],$AE$1,tabela_registros[DIA],reservavariáveisconsolidadoago[[#Headers],[5]],tabela_registros[REGISTRO],DADOS!$N$6,tabela_registros[TIPO],DADOS!$AJ$4,tabela_registros[CATEGORIA],reservavariáveisconsolidadoago[[#This Row],[ATUAL]])</f>
        <v>0</v>
      </c>
      <c r="J189" s="91">
        <f>SUMIFS(tabela_registros[VALOR],tabela_registros[MÊS],$AE$1,tabela_registros[DIA],reservavariáveisconsolidadoago[[#Headers],[6]],tabela_registros[REGISTRO],DADOS!$N$6,tabela_registros[TIPO],DADOS!$AJ$4,tabela_registros[CATEGORIA],reservavariáveisconsolidadoago[[#This Row],[ATUAL]])</f>
        <v>0</v>
      </c>
      <c r="K189" s="91">
        <f>SUMIFS(tabela_registros[VALOR],tabela_registros[MÊS],$AE$1,tabela_registros[DIA],reservavariáveisconsolidadoago[[#Headers],[7]],tabela_registros[REGISTRO],DADOS!$N$6,tabela_registros[TIPO],DADOS!$AJ$4,tabela_registros[CATEGORIA],reservavariáveisconsolidadoago[[#This Row],[ATUAL]])</f>
        <v>0</v>
      </c>
      <c r="L189" s="91">
        <f>SUMIFS(tabela_registros[VALOR],tabela_registros[MÊS],$AE$1,tabela_registros[DIA],reservavariáveisconsolidadoago[[#Headers],[8]],tabela_registros[REGISTRO],DADOS!$N$6,tabela_registros[TIPO],DADOS!$AJ$4,tabela_registros[CATEGORIA],reservavariáveisconsolidadoago[[#This Row],[ATUAL]])</f>
        <v>0</v>
      </c>
      <c r="M189" s="91">
        <f>SUMIFS(tabela_registros[VALOR],tabela_registros[MÊS],$AE$1,tabela_registros[DIA],reservavariáveisconsolidadoago[[#Headers],[9]],tabela_registros[REGISTRO],DADOS!$N$6,tabela_registros[TIPO],DADOS!$AJ$4,tabela_registros[CATEGORIA],reservavariáveisconsolidadoago[[#This Row],[ATUAL]])</f>
        <v>0</v>
      </c>
      <c r="N189" s="91">
        <f>SUMIFS(tabela_registros[VALOR],tabela_registros[MÊS],$AE$1,tabela_registros[DIA],reservavariáveisconsolidadoago[[#Headers],[10]],tabela_registros[REGISTRO],DADOS!$N$6,tabela_registros[TIPO],DADOS!$AJ$4,tabela_registros[CATEGORIA],reservavariáveisconsolidadoago[[#This Row],[ATUAL]])</f>
        <v>0</v>
      </c>
      <c r="O189" s="91">
        <f>SUMIFS(tabela_registros[VALOR],tabela_registros[MÊS],$AE$1,tabela_registros[DIA],reservavariáveisconsolidadoago[[#Headers],[11]],tabela_registros[REGISTRO],DADOS!$N$6,tabela_registros[TIPO],DADOS!$AJ$4,tabela_registros[CATEGORIA],reservavariáveisconsolidadoago[[#This Row],[ATUAL]])</f>
        <v>0</v>
      </c>
      <c r="P189" s="91">
        <f>SUMIFS(tabela_registros[VALOR],tabela_registros[MÊS],$AE$1,tabela_registros[DIA],reservavariáveisconsolidadoago[[#Headers],[12]],tabela_registros[REGISTRO],DADOS!$N$6,tabela_registros[TIPO],DADOS!$AJ$4,tabela_registros[CATEGORIA],reservavariáveisconsolidadoago[[#This Row],[ATUAL]])</f>
        <v>0</v>
      </c>
      <c r="Q189" s="91">
        <f>SUMIFS(tabela_registros[VALOR],tabela_registros[MÊS],$AE$1,tabela_registros[DIA],reservavariáveisconsolidadoago[[#Headers],[13]],tabela_registros[REGISTRO],DADOS!$N$6,tabela_registros[TIPO],DADOS!$AJ$4,tabela_registros[CATEGORIA],reservavariáveisconsolidadoago[[#This Row],[ATUAL]])</f>
        <v>0</v>
      </c>
      <c r="R189" s="91">
        <f>SUMIFS(tabela_registros[VALOR],tabela_registros[MÊS],$AE$1,tabela_registros[DIA],reservavariáveisconsolidadoago[[#Headers],[14]],tabela_registros[REGISTRO],DADOS!$N$6,tabela_registros[TIPO],DADOS!$AJ$4,tabela_registros[CATEGORIA],reservavariáveisconsolidadoago[[#This Row],[ATUAL]])</f>
        <v>0</v>
      </c>
      <c r="S189" s="91">
        <f>SUMIFS(tabela_registros[VALOR],tabela_registros[MÊS],$AE$1,tabela_registros[DIA],reservavariáveisconsolidadoago[[#Headers],[15]],tabela_registros[REGISTRO],DADOS!$N$6,tabela_registros[TIPO],DADOS!$AJ$4,tabela_registros[CATEGORIA],reservavariáveisconsolidadoago[[#This Row],[ATUAL]])</f>
        <v>0</v>
      </c>
      <c r="T189" s="91">
        <f>SUMIFS(tabela_registros[VALOR],tabela_registros[MÊS],$AE$1,tabela_registros[DIA],reservavariáveisconsolidadoago[[#Headers],[16]],tabela_registros[REGISTRO],DADOS!$N$6,tabela_registros[TIPO],DADOS!$AJ$4,tabela_registros[CATEGORIA],reservavariáveisconsolidadoago[[#This Row],[ATUAL]])</f>
        <v>0</v>
      </c>
      <c r="U189" s="91">
        <f>SUMIFS(tabela_registros[VALOR],tabela_registros[MÊS],$AE$1,tabela_registros[DIA],reservavariáveisconsolidadoago[[#Headers],[17]],tabela_registros[REGISTRO],DADOS!$N$6,tabela_registros[TIPO],DADOS!$AJ$4,tabela_registros[CATEGORIA],reservavariáveisconsolidadoago[[#This Row],[ATUAL]])</f>
        <v>0</v>
      </c>
      <c r="V189" s="91">
        <f>SUMIFS(tabela_registros[VALOR],tabela_registros[MÊS],$AE$1,tabela_registros[DIA],reservavariáveisconsolidadoago[[#Headers],[18]],tabela_registros[REGISTRO],DADOS!$N$6,tabela_registros[TIPO],DADOS!$AJ$4,tabela_registros[CATEGORIA],reservavariáveisconsolidadoago[[#This Row],[ATUAL]])</f>
        <v>0</v>
      </c>
      <c r="W189" s="91">
        <f>SUMIFS(tabela_registros[VALOR],tabela_registros[MÊS],$AE$1,tabela_registros[DIA],reservavariáveisconsolidadoago[[#Headers],[19]],tabela_registros[REGISTRO],DADOS!$N$6,tabela_registros[TIPO],DADOS!$AJ$4,tabela_registros[CATEGORIA],reservavariáveisconsolidadoago[[#This Row],[ATUAL]])</f>
        <v>0</v>
      </c>
      <c r="X189" s="91">
        <f>SUMIFS(tabela_registros[VALOR],tabela_registros[MÊS],$AE$1,tabela_registros[DIA],reservavariáveisconsolidadoago[[#Headers],[20]],tabela_registros[REGISTRO],DADOS!$N$6,tabela_registros[TIPO],DADOS!$AJ$4,tabela_registros[CATEGORIA],reservavariáveisconsolidadoago[[#This Row],[ATUAL]])</f>
        <v>0</v>
      </c>
      <c r="Y189" s="91">
        <f>SUMIFS(tabela_registros[VALOR],tabela_registros[MÊS],$AE$1,tabela_registros[DIA],reservavariáveisconsolidadoago[[#Headers],[21]],tabela_registros[REGISTRO],DADOS!$N$6,tabela_registros[TIPO],DADOS!$AJ$4,tabela_registros[CATEGORIA],reservavariáveisconsolidadoago[[#This Row],[ATUAL]])</f>
        <v>0</v>
      </c>
      <c r="Z189" s="91">
        <f>SUMIFS(tabela_registros[VALOR],tabela_registros[MÊS],$AE$1,tabela_registros[DIA],reservavariáveisconsolidadoago[[#Headers],[22]],tabela_registros[REGISTRO],DADOS!$N$6,tabela_registros[TIPO],DADOS!$AJ$4,tabela_registros[CATEGORIA],reservavariáveisconsolidadoago[[#This Row],[ATUAL]])</f>
        <v>0</v>
      </c>
      <c r="AA189" s="91">
        <f>SUMIFS(tabela_registros[VALOR],tabela_registros[MÊS],$AE$1,tabela_registros[DIA],reservavariáveisconsolidadoago[[#Headers],[23]],tabela_registros[REGISTRO],DADOS!$N$6,tabela_registros[TIPO],DADOS!$AJ$4,tabela_registros[CATEGORIA],reservavariáveisconsolidadoago[[#This Row],[ATUAL]])</f>
        <v>0</v>
      </c>
      <c r="AB189" s="91">
        <f>SUMIFS(tabela_registros[VALOR],tabela_registros[MÊS],$AE$1,tabela_registros[DIA],reservavariáveisconsolidadoago[[#Headers],[24]],tabela_registros[REGISTRO],DADOS!$N$6,tabela_registros[TIPO],DADOS!$AJ$4,tabela_registros[CATEGORIA],reservavariáveisconsolidadoago[[#This Row],[ATUAL]])</f>
        <v>0</v>
      </c>
      <c r="AC189" s="91">
        <f>SUMIFS(tabela_registros[VALOR],tabela_registros[MÊS],$AE$1,tabela_registros[DIA],reservavariáveisconsolidadoago[[#Headers],[25]],tabela_registros[REGISTRO],DADOS!$N$6,tabela_registros[TIPO],DADOS!$AJ$4,tabela_registros[CATEGORIA],reservavariáveisconsolidadoago[[#This Row],[ATUAL]])</f>
        <v>0</v>
      </c>
      <c r="AD189" s="91">
        <f>SUMIFS(tabela_registros[VALOR],tabela_registros[MÊS],$AE$1,tabela_registros[DIA],reservavariáveisconsolidadoago[[#Headers],[26]],tabela_registros[REGISTRO],DADOS!$N$6,tabela_registros[TIPO],DADOS!$AJ$4,tabela_registros[CATEGORIA],reservavariáveisconsolidadoago[[#This Row],[ATUAL]])</f>
        <v>0</v>
      </c>
      <c r="AE189" s="91">
        <f>SUMIFS(tabela_registros[VALOR],tabela_registros[MÊS],$AE$1,tabela_registros[DIA],reservavariáveisconsolidadoago[[#Headers],[27]],tabela_registros[REGISTRO],DADOS!$N$6,tabela_registros[TIPO],DADOS!$AJ$4,tabela_registros[CATEGORIA],reservavariáveisconsolidadoago[[#This Row],[ATUAL]])</f>
        <v>0</v>
      </c>
      <c r="AF189" s="91">
        <f>SUMIFS(tabela_registros[VALOR],tabela_registros[MÊS],$AE$1,tabela_registros[DIA],reservavariáveisconsolidadoago[[#Headers],[28]],tabela_registros[REGISTRO],DADOS!$N$6,tabela_registros[TIPO],DADOS!$AJ$4,tabela_registros[CATEGORIA],reservavariáveisconsolidadoago[[#This Row],[ATUAL]])</f>
        <v>0</v>
      </c>
      <c r="AG189" s="91">
        <f>SUMIFS(tabela_registros[VALOR],tabela_registros[MÊS],$AE$1,tabela_registros[DIA],reservavariáveisconsolidadoago[[#Headers],[29]],tabela_registros[REGISTRO],DADOS!$N$6,tabela_registros[TIPO],DADOS!$AJ$4,tabela_registros[CATEGORIA],reservavariáveisconsolidadoago[[#This Row],[ATUAL]])</f>
        <v>0</v>
      </c>
      <c r="AH189" s="91">
        <f>SUMIFS(tabela_registros[VALOR],tabela_registros[MÊS],$AE$1,tabela_registros[DIA],reservavariáveisconsolidadoago[[#Headers],[30]],tabela_registros[REGISTRO],DADOS!$N$6,tabela_registros[TIPO],DADOS!$AJ$4,tabela_registros[CATEGORIA],reservavariáveisconsolidadoago[[#This Row],[ATUAL]])</f>
        <v>0</v>
      </c>
      <c r="AI189" s="101">
        <f>SUMIFS(tabela_registros[VALOR],tabela_registros[MÊS],$AE$1,tabela_registros[DIA],reservavariáveisconsolidadoago[[#Headers],[31]],tabela_registros[REGISTRO],DADOS!$N$6,tabela_registros[TIPO],DADOS!$AJ$4,tabela_registros[CATEGORIA],reservavariáveisconsolidadoago[[#This Row],[ATUAL]])</f>
        <v>0</v>
      </c>
      <c r="AJ189" s="97">
        <f>SUM(reservavariáveisconsolidadoago[[#This Row],[1]:[31]])</f>
        <v>0</v>
      </c>
      <c r="AK189" s="25"/>
    </row>
    <row r="190" spans="2:37" ht="19.5" customHeight="1" thickTop="1" thickBot="1" x14ac:dyDescent="0.3">
      <c r="B190" s="28"/>
      <c r="C190" s="27" t="str">
        <f>DADOS!$AN$6</f>
        <v>📝 CONTRATO DE OPÇÕES</v>
      </c>
      <c r="D190" s="26" t="str">
        <f>IF(reservavariáveisconsolidadoago[[#This Row],[TOTAL (R$)]]=0,"",IF(OR(reservavariáveisconsolidadoago[[#This Row],[TOTAL (R$)]]=LARGE($AJ$187:$AJ$196,1),reservavariáveisconsolidadoago[[#This Row],[TOTAL (R$)]]=LARGE($AJ$187:$AJ$196,2)),DADOS!$I$11,""))</f>
        <v/>
      </c>
      <c r="E190" s="96">
        <f>SUMIFS(tabela_registros[VALOR],tabela_registros[MÊS],$AE$1,tabela_registros[DIA],reservavariáveisconsolidadoago[[#Headers],[1]],tabela_registros[REGISTRO],DADOS!$N$6,tabela_registros[TIPO],DADOS!$AJ$4,tabela_registros[CATEGORIA],reservavariáveisconsolidadoago[[#This Row],[ATUAL]])</f>
        <v>0</v>
      </c>
      <c r="F190" s="91">
        <f>SUMIFS(tabela_registros[VALOR],tabela_registros[MÊS],$AE$1,tabela_registros[DIA],reservavariáveisconsolidadoago[[#Headers],[2]],tabela_registros[REGISTRO],DADOS!$N$6,tabela_registros[TIPO],DADOS!$AJ$4,tabela_registros[CATEGORIA],reservavariáveisconsolidadoago[[#This Row],[ATUAL]])</f>
        <v>0</v>
      </c>
      <c r="G190" s="91">
        <f>SUMIFS(tabela_registros[VALOR],tabela_registros[MÊS],$AE$1,tabela_registros[DIA],reservavariáveisconsolidadoago[[#Headers],[3]],tabela_registros[REGISTRO],DADOS!$N$6,tabela_registros[TIPO],DADOS!$AJ$4,tabela_registros[CATEGORIA],reservavariáveisconsolidadoago[[#This Row],[ATUAL]])</f>
        <v>0</v>
      </c>
      <c r="H190" s="91">
        <f>SUMIFS(tabela_registros[VALOR],tabela_registros[MÊS],$AE$1,tabela_registros[DIA],reservavariáveisconsolidadoago[[#Headers],[4]],tabela_registros[REGISTRO],DADOS!$N$6,tabela_registros[TIPO],DADOS!$AJ$4,tabela_registros[CATEGORIA],reservavariáveisconsolidadoago[[#This Row],[ATUAL]])</f>
        <v>0</v>
      </c>
      <c r="I190" s="91">
        <f>SUMIFS(tabela_registros[VALOR],tabela_registros[MÊS],$AE$1,tabela_registros[DIA],reservavariáveisconsolidadoago[[#Headers],[5]],tabela_registros[REGISTRO],DADOS!$N$6,tabela_registros[TIPO],DADOS!$AJ$4,tabela_registros[CATEGORIA],reservavariáveisconsolidadoago[[#This Row],[ATUAL]])</f>
        <v>0</v>
      </c>
      <c r="J190" s="91">
        <f>SUMIFS(tabela_registros[VALOR],tabela_registros[MÊS],$AE$1,tabela_registros[DIA],reservavariáveisconsolidadoago[[#Headers],[6]],tabela_registros[REGISTRO],DADOS!$N$6,tabela_registros[TIPO],DADOS!$AJ$4,tabela_registros[CATEGORIA],reservavariáveisconsolidadoago[[#This Row],[ATUAL]])</f>
        <v>0</v>
      </c>
      <c r="K190" s="91">
        <f>SUMIFS(tabela_registros[VALOR],tabela_registros[MÊS],$AE$1,tabela_registros[DIA],reservavariáveisconsolidadoago[[#Headers],[7]],tabela_registros[REGISTRO],DADOS!$N$6,tabela_registros[TIPO],DADOS!$AJ$4,tabela_registros[CATEGORIA],reservavariáveisconsolidadoago[[#This Row],[ATUAL]])</f>
        <v>0</v>
      </c>
      <c r="L190" s="91">
        <f>SUMIFS(tabela_registros[VALOR],tabela_registros[MÊS],$AE$1,tabela_registros[DIA],reservavariáveisconsolidadoago[[#Headers],[8]],tabela_registros[REGISTRO],DADOS!$N$6,tabela_registros[TIPO],DADOS!$AJ$4,tabela_registros[CATEGORIA],reservavariáveisconsolidadoago[[#This Row],[ATUAL]])</f>
        <v>0</v>
      </c>
      <c r="M190" s="91">
        <f>SUMIFS(tabela_registros[VALOR],tabela_registros[MÊS],$AE$1,tabela_registros[DIA],reservavariáveisconsolidadoago[[#Headers],[9]],tabela_registros[REGISTRO],DADOS!$N$6,tabela_registros[TIPO],DADOS!$AJ$4,tabela_registros[CATEGORIA],reservavariáveisconsolidadoago[[#This Row],[ATUAL]])</f>
        <v>0</v>
      </c>
      <c r="N190" s="91">
        <f>SUMIFS(tabela_registros[VALOR],tabela_registros[MÊS],$AE$1,tabela_registros[DIA],reservavariáveisconsolidadoago[[#Headers],[10]],tabela_registros[REGISTRO],DADOS!$N$6,tabela_registros[TIPO],DADOS!$AJ$4,tabela_registros[CATEGORIA],reservavariáveisconsolidadoago[[#This Row],[ATUAL]])</f>
        <v>0</v>
      </c>
      <c r="O190" s="91">
        <f>SUMIFS(tabela_registros[VALOR],tabela_registros[MÊS],$AE$1,tabela_registros[DIA],reservavariáveisconsolidadoago[[#Headers],[11]],tabela_registros[REGISTRO],DADOS!$N$6,tabela_registros[TIPO],DADOS!$AJ$4,tabela_registros[CATEGORIA],reservavariáveisconsolidadoago[[#This Row],[ATUAL]])</f>
        <v>0</v>
      </c>
      <c r="P190" s="91">
        <f>SUMIFS(tabela_registros[VALOR],tabela_registros[MÊS],$AE$1,tabela_registros[DIA],reservavariáveisconsolidadoago[[#Headers],[12]],tabela_registros[REGISTRO],DADOS!$N$6,tabela_registros[TIPO],DADOS!$AJ$4,tabela_registros[CATEGORIA],reservavariáveisconsolidadoago[[#This Row],[ATUAL]])</f>
        <v>0</v>
      </c>
      <c r="Q190" s="91">
        <f>SUMIFS(tabela_registros[VALOR],tabela_registros[MÊS],$AE$1,tabela_registros[DIA],reservavariáveisconsolidadoago[[#Headers],[13]],tabela_registros[REGISTRO],DADOS!$N$6,tabela_registros[TIPO],DADOS!$AJ$4,tabela_registros[CATEGORIA],reservavariáveisconsolidadoago[[#This Row],[ATUAL]])</f>
        <v>0</v>
      </c>
      <c r="R190" s="91">
        <f>SUMIFS(tabela_registros[VALOR],tabela_registros[MÊS],$AE$1,tabela_registros[DIA],reservavariáveisconsolidadoago[[#Headers],[14]],tabela_registros[REGISTRO],DADOS!$N$6,tabela_registros[TIPO],DADOS!$AJ$4,tabela_registros[CATEGORIA],reservavariáveisconsolidadoago[[#This Row],[ATUAL]])</f>
        <v>0</v>
      </c>
      <c r="S190" s="91">
        <f>SUMIFS(tabela_registros[VALOR],tabela_registros[MÊS],$AE$1,tabela_registros[DIA],reservavariáveisconsolidadoago[[#Headers],[15]],tabela_registros[REGISTRO],DADOS!$N$6,tabela_registros[TIPO],DADOS!$AJ$4,tabela_registros[CATEGORIA],reservavariáveisconsolidadoago[[#This Row],[ATUAL]])</f>
        <v>0</v>
      </c>
      <c r="T190" s="91">
        <f>SUMIFS(tabela_registros[VALOR],tabela_registros[MÊS],$AE$1,tabela_registros[DIA],reservavariáveisconsolidadoago[[#Headers],[16]],tabela_registros[REGISTRO],DADOS!$N$6,tabela_registros[TIPO],DADOS!$AJ$4,tabela_registros[CATEGORIA],reservavariáveisconsolidadoago[[#This Row],[ATUAL]])</f>
        <v>0</v>
      </c>
      <c r="U190" s="91">
        <f>SUMIFS(tabela_registros[VALOR],tabela_registros[MÊS],$AE$1,tabela_registros[DIA],reservavariáveisconsolidadoago[[#Headers],[17]],tabela_registros[REGISTRO],DADOS!$N$6,tabela_registros[TIPO],DADOS!$AJ$4,tabela_registros[CATEGORIA],reservavariáveisconsolidadoago[[#This Row],[ATUAL]])</f>
        <v>0</v>
      </c>
      <c r="V190" s="91">
        <f>SUMIFS(tabela_registros[VALOR],tabela_registros[MÊS],$AE$1,tabela_registros[DIA],reservavariáveisconsolidadoago[[#Headers],[18]],tabela_registros[REGISTRO],DADOS!$N$6,tabela_registros[TIPO],DADOS!$AJ$4,tabela_registros[CATEGORIA],reservavariáveisconsolidadoago[[#This Row],[ATUAL]])</f>
        <v>0</v>
      </c>
      <c r="W190" s="91">
        <f>SUMIFS(tabela_registros[VALOR],tabela_registros[MÊS],$AE$1,tabela_registros[DIA],reservavariáveisconsolidadoago[[#Headers],[19]],tabela_registros[REGISTRO],DADOS!$N$6,tabela_registros[TIPO],DADOS!$AJ$4,tabela_registros[CATEGORIA],reservavariáveisconsolidadoago[[#This Row],[ATUAL]])</f>
        <v>0</v>
      </c>
      <c r="X190" s="91">
        <f>SUMIFS(tabela_registros[VALOR],tabela_registros[MÊS],$AE$1,tabela_registros[DIA],reservavariáveisconsolidadoago[[#Headers],[20]],tabela_registros[REGISTRO],DADOS!$N$6,tabela_registros[TIPO],DADOS!$AJ$4,tabela_registros[CATEGORIA],reservavariáveisconsolidadoago[[#This Row],[ATUAL]])</f>
        <v>0</v>
      </c>
      <c r="Y190" s="91">
        <f>SUMIFS(tabela_registros[VALOR],tabela_registros[MÊS],$AE$1,tabela_registros[DIA],reservavariáveisconsolidadoago[[#Headers],[21]],tabela_registros[REGISTRO],DADOS!$N$6,tabela_registros[TIPO],DADOS!$AJ$4,tabela_registros[CATEGORIA],reservavariáveisconsolidadoago[[#This Row],[ATUAL]])</f>
        <v>0</v>
      </c>
      <c r="Z190" s="91">
        <f>SUMIFS(tabela_registros[VALOR],tabela_registros[MÊS],$AE$1,tabela_registros[DIA],reservavariáveisconsolidadoago[[#Headers],[22]],tabela_registros[REGISTRO],DADOS!$N$6,tabela_registros[TIPO],DADOS!$AJ$4,tabela_registros[CATEGORIA],reservavariáveisconsolidadoago[[#This Row],[ATUAL]])</f>
        <v>0</v>
      </c>
      <c r="AA190" s="91">
        <f>SUMIFS(tabela_registros[VALOR],tabela_registros[MÊS],$AE$1,tabela_registros[DIA],reservavariáveisconsolidadoago[[#Headers],[23]],tabela_registros[REGISTRO],DADOS!$N$6,tabela_registros[TIPO],DADOS!$AJ$4,tabela_registros[CATEGORIA],reservavariáveisconsolidadoago[[#This Row],[ATUAL]])</f>
        <v>0</v>
      </c>
      <c r="AB190" s="91">
        <f>SUMIFS(tabela_registros[VALOR],tabela_registros[MÊS],$AE$1,tabela_registros[DIA],reservavariáveisconsolidadoago[[#Headers],[24]],tabela_registros[REGISTRO],DADOS!$N$6,tabela_registros[TIPO],DADOS!$AJ$4,tabela_registros[CATEGORIA],reservavariáveisconsolidadoago[[#This Row],[ATUAL]])</f>
        <v>0</v>
      </c>
      <c r="AC190" s="91">
        <f>SUMIFS(tabela_registros[VALOR],tabela_registros[MÊS],$AE$1,tabela_registros[DIA],reservavariáveisconsolidadoago[[#Headers],[25]],tabela_registros[REGISTRO],DADOS!$N$6,tabela_registros[TIPO],DADOS!$AJ$4,tabela_registros[CATEGORIA],reservavariáveisconsolidadoago[[#This Row],[ATUAL]])</f>
        <v>0</v>
      </c>
      <c r="AD190" s="91">
        <f>SUMIFS(tabela_registros[VALOR],tabela_registros[MÊS],$AE$1,tabela_registros[DIA],reservavariáveisconsolidadoago[[#Headers],[26]],tabela_registros[REGISTRO],DADOS!$N$6,tabela_registros[TIPO],DADOS!$AJ$4,tabela_registros[CATEGORIA],reservavariáveisconsolidadoago[[#This Row],[ATUAL]])</f>
        <v>0</v>
      </c>
      <c r="AE190" s="91">
        <f>SUMIFS(tabela_registros[VALOR],tabela_registros[MÊS],$AE$1,tabela_registros[DIA],reservavariáveisconsolidadoago[[#Headers],[27]],tabela_registros[REGISTRO],DADOS!$N$6,tabela_registros[TIPO],DADOS!$AJ$4,tabela_registros[CATEGORIA],reservavariáveisconsolidadoago[[#This Row],[ATUAL]])</f>
        <v>0</v>
      </c>
      <c r="AF190" s="91">
        <f>SUMIFS(tabela_registros[VALOR],tabela_registros[MÊS],$AE$1,tabela_registros[DIA],reservavariáveisconsolidadoago[[#Headers],[28]],tabela_registros[REGISTRO],DADOS!$N$6,tabela_registros[TIPO],DADOS!$AJ$4,tabela_registros[CATEGORIA],reservavariáveisconsolidadoago[[#This Row],[ATUAL]])</f>
        <v>0</v>
      </c>
      <c r="AG190" s="91">
        <f>SUMIFS(tabela_registros[VALOR],tabela_registros[MÊS],$AE$1,tabela_registros[DIA],reservavariáveisconsolidadoago[[#Headers],[29]],tabela_registros[REGISTRO],DADOS!$N$6,tabela_registros[TIPO],DADOS!$AJ$4,tabela_registros[CATEGORIA],reservavariáveisconsolidadoago[[#This Row],[ATUAL]])</f>
        <v>0</v>
      </c>
      <c r="AH190" s="91">
        <f>SUMIFS(tabela_registros[VALOR],tabela_registros[MÊS],$AE$1,tabela_registros[DIA],reservavariáveisconsolidadoago[[#Headers],[30]],tabela_registros[REGISTRO],DADOS!$N$6,tabela_registros[TIPO],DADOS!$AJ$4,tabela_registros[CATEGORIA],reservavariáveisconsolidadoago[[#This Row],[ATUAL]])</f>
        <v>0</v>
      </c>
      <c r="AI190" s="101">
        <f>SUMIFS(tabela_registros[VALOR],tabela_registros[MÊS],$AE$1,tabela_registros[DIA],reservavariáveisconsolidadoago[[#Headers],[31]],tabela_registros[REGISTRO],DADOS!$N$6,tabela_registros[TIPO],DADOS!$AJ$4,tabela_registros[CATEGORIA],reservavariáveisconsolidadoago[[#This Row],[ATUAL]])</f>
        <v>0</v>
      </c>
      <c r="AJ190" s="97">
        <f>SUM(reservavariáveisconsolidadoago[[#This Row],[1]:[31]])</f>
        <v>0</v>
      </c>
      <c r="AK190" s="25"/>
    </row>
    <row r="191" spans="2:37" ht="19.5" customHeight="1" thickTop="1" thickBot="1" x14ac:dyDescent="0.3">
      <c r="B191" s="28"/>
      <c r="C191" s="27" t="str">
        <f>DADOS!$AN$7</f>
        <v>📝 CRIPTOMOEDA</v>
      </c>
      <c r="D191" s="26" t="str">
        <f>IF(reservavariáveisconsolidadoago[[#This Row],[TOTAL (R$)]]=0,"",IF(OR(reservavariáveisconsolidadoago[[#This Row],[TOTAL (R$)]]=LARGE($AJ$187:$AJ$196,1),reservavariáveisconsolidadoago[[#This Row],[TOTAL (R$)]]=LARGE($AJ$187:$AJ$196,2)),DADOS!$I$11,""))</f>
        <v/>
      </c>
      <c r="E191" s="96">
        <f>SUMIFS(tabela_registros[VALOR],tabela_registros[MÊS],$AE$1,tabela_registros[DIA],reservavariáveisconsolidadoago[[#Headers],[1]],tabela_registros[REGISTRO],DADOS!$N$6,tabela_registros[TIPO],DADOS!$AJ$4,tabela_registros[CATEGORIA],reservavariáveisconsolidadoago[[#This Row],[ATUAL]])</f>
        <v>0</v>
      </c>
      <c r="F191" s="91">
        <f>SUMIFS(tabela_registros[VALOR],tabela_registros[MÊS],$AE$1,tabela_registros[DIA],reservavariáveisconsolidadoago[[#Headers],[2]],tabela_registros[REGISTRO],DADOS!$N$6,tabela_registros[TIPO],DADOS!$AJ$4,tabela_registros[CATEGORIA],reservavariáveisconsolidadoago[[#This Row],[ATUAL]])</f>
        <v>0</v>
      </c>
      <c r="G191" s="91">
        <f>SUMIFS(tabela_registros[VALOR],tabela_registros[MÊS],$AE$1,tabela_registros[DIA],reservavariáveisconsolidadoago[[#Headers],[3]],tabela_registros[REGISTRO],DADOS!$N$6,tabela_registros[TIPO],DADOS!$AJ$4,tabela_registros[CATEGORIA],reservavariáveisconsolidadoago[[#This Row],[ATUAL]])</f>
        <v>0</v>
      </c>
      <c r="H191" s="91">
        <f>SUMIFS(tabela_registros[VALOR],tabela_registros[MÊS],$AE$1,tabela_registros[DIA],reservavariáveisconsolidadoago[[#Headers],[4]],tabela_registros[REGISTRO],DADOS!$N$6,tabela_registros[TIPO],DADOS!$AJ$4,tabela_registros[CATEGORIA],reservavariáveisconsolidadoago[[#This Row],[ATUAL]])</f>
        <v>0</v>
      </c>
      <c r="I191" s="91">
        <f>SUMIFS(tabela_registros[VALOR],tabela_registros[MÊS],$AE$1,tabela_registros[DIA],reservavariáveisconsolidadoago[[#Headers],[5]],tabela_registros[REGISTRO],DADOS!$N$6,tabela_registros[TIPO],DADOS!$AJ$4,tabela_registros[CATEGORIA],reservavariáveisconsolidadoago[[#This Row],[ATUAL]])</f>
        <v>0</v>
      </c>
      <c r="J191" s="91">
        <f>SUMIFS(tabela_registros[VALOR],tabela_registros[MÊS],$AE$1,tabela_registros[DIA],reservavariáveisconsolidadoago[[#Headers],[6]],tabela_registros[REGISTRO],DADOS!$N$6,tabela_registros[TIPO],DADOS!$AJ$4,tabela_registros[CATEGORIA],reservavariáveisconsolidadoago[[#This Row],[ATUAL]])</f>
        <v>0</v>
      </c>
      <c r="K191" s="91">
        <f>SUMIFS(tabela_registros[VALOR],tabela_registros[MÊS],$AE$1,tabela_registros[DIA],reservavariáveisconsolidadoago[[#Headers],[7]],tabela_registros[REGISTRO],DADOS!$N$6,tabela_registros[TIPO],DADOS!$AJ$4,tabela_registros[CATEGORIA],reservavariáveisconsolidadoago[[#This Row],[ATUAL]])</f>
        <v>0</v>
      </c>
      <c r="L191" s="91">
        <f>SUMIFS(tabela_registros[VALOR],tabela_registros[MÊS],$AE$1,tabela_registros[DIA],reservavariáveisconsolidadoago[[#Headers],[8]],tabela_registros[REGISTRO],DADOS!$N$6,tabela_registros[TIPO],DADOS!$AJ$4,tabela_registros[CATEGORIA],reservavariáveisconsolidadoago[[#This Row],[ATUAL]])</f>
        <v>0</v>
      </c>
      <c r="M191" s="91">
        <f>SUMIFS(tabela_registros[VALOR],tabela_registros[MÊS],$AE$1,tabela_registros[DIA],reservavariáveisconsolidadoago[[#Headers],[9]],tabela_registros[REGISTRO],DADOS!$N$6,tabela_registros[TIPO],DADOS!$AJ$4,tabela_registros[CATEGORIA],reservavariáveisconsolidadoago[[#This Row],[ATUAL]])</f>
        <v>0</v>
      </c>
      <c r="N191" s="91">
        <f>SUMIFS(tabela_registros[VALOR],tabela_registros[MÊS],$AE$1,tabela_registros[DIA],reservavariáveisconsolidadoago[[#Headers],[10]],tabela_registros[REGISTRO],DADOS!$N$6,tabela_registros[TIPO],DADOS!$AJ$4,tabela_registros[CATEGORIA],reservavariáveisconsolidadoago[[#This Row],[ATUAL]])</f>
        <v>0</v>
      </c>
      <c r="O191" s="91">
        <f>SUMIFS(tabela_registros[VALOR],tabela_registros[MÊS],$AE$1,tabela_registros[DIA],reservavariáveisconsolidadoago[[#Headers],[11]],tabela_registros[REGISTRO],DADOS!$N$6,tabela_registros[TIPO],DADOS!$AJ$4,tabela_registros[CATEGORIA],reservavariáveisconsolidadoago[[#This Row],[ATUAL]])</f>
        <v>0</v>
      </c>
      <c r="P191" s="91">
        <f>SUMIFS(tabela_registros[VALOR],tabela_registros[MÊS],$AE$1,tabela_registros[DIA],reservavariáveisconsolidadoago[[#Headers],[12]],tabela_registros[REGISTRO],DADOS!$N$6,tabela_registros[TIPO],DADOS!$AJ$4,tabela_registros[CATEGORIA],reservavariáveisconsolidadoago[[#This Row],[ATUAL]])</f>
        <v>0</v>
      </c>
      <c r="Q191" s="91">
        <f>SUMIFS(tabela_registros[VALOR],tabela_registros[MÊS],$AE$1,tabela_registros[DIA],reservavariáveisconsolidadoago[[#Headers],[13]],tabela_registros[REGISTRO],DADOS!$N$6,tabela_registros[TIPO],DADOS!$AJ$4,tabela_registros[CATEGORIA],reservavariáveisconsolidadoago[[#This Row],[ATUAL]])</f>
        <v>0</v>
      </c>
      <c r="R191" s="91">
        <f>SUMIFS(tabela_registros[VALOR],tabela_registros[MÊS],$AE$1,tabela_registros[DIA],reservavariáveisconsolidadoago[[#Headers],[14]],tabela_registros[REGISTRO],DADOS!$N$6,tabela_registros[TIPO],DADOS!$AJ$4,tabela_registros[CATEGORIA],reservavariáveisconsolidadoago[[#This Row],[ATUAL]])</f>
        <v>0</v>
      </c>
      <c r="S191" s="91">
        <f>SUMIFS(tabela_registros[VALOR],tabela_registros[MÊS],$AE$1,tabela_registros[DIA],reservavariáveisconsolidadoago[[#Headers],[15]],tabela_registros[REGISTRO],DADOS!$N$6,tabela_registros[TIPO],DADOS!$AJ$4,tabela_registros[CATEGORIA],reservavariáveisconsolidadoago[[#This Row],[ATUAL]])</f>
        <v>0</v>
      </c>
      <c r="T191" s="91">
        <f>SUMIFS(tabela_registros[VALOR],tabela_registros[MÊS],$AE$1,tabela_registros[DIA],reservavariáveisconsolidadoago[[#Headers],[16]],tabela_registros[REGISTRO],DADOS!$N$6,tabela_registros[TIPO],DADOS!$AJ$4,tabela_registros[CATEGORIA],reservavariáveisconsolidadoago[[#This Row],[ATUAL]])</f>
        <v>0</v>
      </c>
      <c r="U191" s="91">
        <f>SUMIFS(tabela_registros[VALOR],tabela_registros[MÊS],$AE$1,tabela_registros[DIA],reservavariáveisconsolidadoago[[#Headers],[17]],tabela_registros[REGISTRO],DADOS!$N$6,tabela_registros[TIPO],DADOS!$AJ$4,tabela_registros[CATEGORIA],reservavariáveisconsolidadoago[[#This Row],[ATUAL]])</f>
        <v>0</v>
      </c>
      <c r="V191" s="91">
        <f>SUMIFS(tabela_registros[VALOR],tabela_registros[MÊS],$AE$1,tabela_registros[DIA],reservavariáveisconsolidadoago[[#Headers],[18]],tabela_registros[REGISTRO],DADOS!$N$6,tabela_registros[TIPO],DADOS!$AJ$4,tabela_registros[CATEGORIA],reservavariáveisconsolidadoago[[#This Row],[ATUAL]])</f>
        <v>0</v>
      </c>
      <c r="W191" s="91">
        <f>SUMIFS(tabela_registros[VALOR],tabela_registros[MÊS],$AE$1,tabela_registros[DIA],reservavariáveisconsolidadoago[[#Headers],[19]],tabela_registros[REGISTRO],DADOS!$N$6,tabela_registros[TIPO],DADOS!$AJ$4,tabela_registros[CATEGORIA],reservavariáveisconsolidadoago[[#This Row],[ATUAL]])</f>
        <v>0</v>
      </c>
      <c r="X191" s="91">
        <f>SUMIFS(tabela_registros[VALOR],tabela_registros[MÊS],$AE$1,tabela_registros[DIA],reservavariáveisconsolidadoago[[#Headers],[20]],tabela_registros[REGISTRO],DADOS!$N$6,tabela_registros[TIPO],DADOS!$AJ$4,tabela_registros[CATEGORIA],reservavariáveisconsolidadoago[[#This Row],[ATUAL]])</f>
        <v>0</v>
      </c>
      <c r="Y191" s="91">
        <f>SUMIFS(tabela_registros[VALOR],tabela_registros[MÊS],$AE$1,tabela_registros[DIA],reservavariáveisconsolidadoago[[#Headers],[21]],tabela_registros[REGISTRO],DADOS!$N$6,tabela_registros[TIPO],DADOS!$AJ$4,tabela_registros[CATEGORIA],reservavariáveisconsolidadoago[[#This Row],[ATUAL]])</f>
        <v>0</v>
      </c>
      <c r="Z191" s="91">
        <f>SUMIFS(tabela_registros[VALOR],tabela_registros[MÊS],$AE$1,tabela_registros[DIA],reservavariáveisconsolidadoago[[#Headers],[22]],tabela_registros[REGISTRO],DADOS!$N$6,tabela_registros[TIPO],DADOS!$AJ$4,tabela_registros[CATEGORIA],reservavariáveisconsolidadoago[[#This Row],[ATUAL]])</f>
        <v>0</v>
      </c>
      <c r="AA191" s="91">
        <f>SUMIFS(tabela_registros[VALOR],tabela_registros[MÊS],$AE$1,tabela_registros[DIA],reservavariáveisconsolidadoago[[#Headers],[23]],tabela_registros[REGISTRO],DADOS!$N$6,tabela_registros[TIPO],DADOS!$AJ$4,tabela_registros[CATEGORIA],reservavariáveisconsolidadoago[[#This Row],[ATUAL]])</f>
        <v>0</v>
      </c>
      <c r="AB191" s="91">
        <f>SUMIFS(tabela_registros[VALOR],tabela_registros[MÊS],$AE$1,tabela_registros[DIA],reservavariáveisconsolidadoago[[#Headers],[24]],tabela_registros[REGISTRO],DADOS!$N$6,tabela_registros[TIPO],DADOS!$AJ$4,tabela_registros[CATEGORIA],reservavariáveisconsolidadoago[[#This Row],[ATUAL]])</f>
        <v>0</v>
      </c>
      <c r="AC191" s="91">
        <f>SUMIFS(tabela_registros[VALOR],tabela_registros[MÊS],$AE$1,tabela_registros[DIA],reservavariáveisconsolidadoago[[#Headers],[25]],tabela_registros[REGISTRO],DADOS!$N$6,tabela_registros[TIPO],DADOS!$AJ$4,tabela_registros[CATEGORIA],reservavariáveisconsolidadoago[[#This Row],[ATUAL]])</f>
        <v>0</v>
      </c>
      <c r="AD191" s="91">
        <f>SUMIFS(tabela_registros[VALOR],tabela_registros[MÊS],$AE$1,tabela_registros[DIA],reservavariáveisconsolidadoago[[#Headers],[26]],tabela_registros[REGISTRO],DADOS!$N$6,tabela_registros[TIPO],DADOS!$AJ$4,tabela_registros[CATEGORIA],reservavariáveisconsolidadoago[[#This Row],[ATUAL]])</f>
        <v>0</v>
      </c>
      <c r="AE191" s="91">
        <f>SUMIFS(tabela_registros[VALOR],tabela_registros[MÊS],$AE$1,tabela_registros[DIA],reservavariáveisconsolidadoago[[#Headers],[27]],tabela_registros[REGISTRO],DADOS!$N$6,tabela_registros[TIPO],DADOS!$AJ$4,tabela_registros[CATEGORIA],reservavariáveisconsolidadoago[[#This Row],[ATUAL]])</f>
        <v>0</v>
      </c>
      <c r="AF191" s="91">
        <f>SUMIFS(tabela_registros[VALOR],tabela_registros[MÊS],$AE$1,tabela_registros[DIA],reservavariáveisconsolidadoago[[#Headers],[28]],tabela_registros[REGISTRO],DADOS!$N$6,tabela_registros[TIPO],DADOS!$AJ$4,tabela_registros[CATEGORIA],reservavariáveisconsolidadoago[[#This Row],[ATUAL]])</f>
        <v>0</v>
      </c>
      <c r="AG191" s="91">
        <f>SUMIFS(tabela_registros[VALOR],tabela_registros[MÊS],$AE$1,tabela_registros[DIA],reservavariáveisconsolidadoago[[#Headers],[29]],tabela_registros[REGISTRO],DADOS!$N$6,tabela_registros[TIPO],DADOS!$AJ$4,tabela_registros[CATEGORIA],reservavariáveisconsolidadoago[[#This Row],[ATUAL]])</f>
        <v>0</v>
      </c>
      <c r="AH191" s="91">
        <f>SUMIFS(tabela_registros[VALOR],tabela_registros[MÊS],$AE$1,tabela_registros[DIA],reservavariáveisconsolidadoago[[#Headers],[30]],tabela_registros[REGISTRO],DADOS!$N$6,tabela_registros[TIPO],DADOS!$AJ$4,tabela_registros[CATEGORIA],reservavariáveisconsolidadoago[[#This Row],[ATUAL]])</f>
        <v>0</v>
      </c>
      <c r="AI191" s="101">
        <f>SUMIFS(tabela_registros[VALOR],tabela_registros[MÊS],$AE$1,tabela_registros[DIA],reservavariáveisconsolidadoago[[#Headers],[31]],tabela_registros[REGISTRO],DADOS!$N$6,tabela_registros[TIPO],DADOS!$AJ$4,tabela_registros[CATEGORIA],reservavariáveisconsolidadoago[[#This Row],[ATUAL]])</f>
        <v>0</v>
      </c>
      <c r="AJ191" s="97">
        <f>SUM(reservavariáveisconsolidadoago[[#This Row],[1]:[31]])</f>
        <v>0</v>
      </c>
      <c r="AK191" s="25"/>
    </row>
    <row r="192" spans="2:37" ht="19.5" customHeight="1" thickTop="1" thickBot="1" x14ac:dyDescent="0.3">
      <c r="B192" s="28"/>
      <c r="C192" s="27" t="str">
        <f>DADOS!$AN$8</f>
        <v>📝 ETF</v>
      </c>
      <c r="D192" s="26" t="str">
        <f>IF(reservavariáveisconsolidadoago[[#This Row],[TOTAL (R$)]]=0,"",IF(OR(reservavariáveisconsolidadoago[[#This Row],[TOTAL (R$)]]=LARGE($AJ$187:$AJ$196,1),reservavariáveisconsolidadoago[[#This Row],[TOTAL (R$)]]=LARGE($AJ$187:$AJ$196,2)),DADOS!$I$11,""))</f>
        <v/>
      </c>
      <c r="E192" s="96">
        <f>SUMIFS(tabela_registros[VALOR],tabela_registros[MÊS],$AE$1,tabela_registros[DIA],reservavariáveisconsolidadoago[[#Headers],[1]],tabela_registros[REGISTRO],DADOS!$N$6,tabela_registros[TIPO],DADOS!$AJ$4,tabela_registros[CATEGORIA],reservavariáveisconsolidadoago[[#This Row],[ATUAL]])</f>
        <v>0</v>
      </c>
      <c r="F192" s="91">
        <f>SUMIFS(tabela_registros[VALOR],tabela_registros[MÊS],$AE$1,tabela_registros[DIA],reservavariáveisconsolidadoago[[#Headers],[2]],tabela_registros[REGISTRO],DADOS!$N$6,tabela_registros[TIPO],DADOS!$AJ$4,tabela_registros[CATEGORIA],reservavariáveisconsolidadoago[[#This Row],[ATUAL]])</f>
        <v>0</v>
      </c>
      <c r="G192" s="91">
        <f>SUMIFS(tabela_registros[VALOR],tabela_registros[MÊS],$AE$1,tabela_registros[DIA],reservavariáveisconsolidadoago[[#Headers],[3]],tabela_registros[REGISTRO],DADOS!$N$6,tabela_registros[TIPO],DADOS!$AJ$4,tabela_registros[CATEGORIA],reservavariáveisconsolidadoago[[#This Row],[ATUAL]])</f>
        <v>0</v>
      </c>
      <c r="H192" s="91">
        <f>SUMIFS(tabela_registros[VALOR],tabela_registros[MÊS],$AE$1,tabela_registros[DIA],reservavariáveisconsolidadoago[[#Headers],[4]],tabela_registros[REGISTRO],DADOS!$N$6,tabela_registros[TIPO],DADOS!$AJ$4,tabela_registros[CATEGORIA],reservavariáveisconsolidadoago[[#This Row],[ATUAL]])</f>
        <v>0</v>
      </c>
      <c r="I192" s="91">
        <f>SUMIFS(tabela_registros[VALOR],tabela_registros[MÊS],$AE$1,tabela_registros[DIA],reservavariáveisconsolidadoago[[#Headers],[5]],tabela_registros[REGISTRO],DADOS!$N$6,tabela_registros[TIPO],DADOS!$AJ$4,tabela_registros[CATEGORIA],reservavariáveisconsolidadoago[[#This Row],[ATUAL]])</f>
        <v>0</v>
      </c>
      <c r="J192" s="91">
        <f>SUMIFS(tabela_registros[VALOR],tabela_registros[MÊS],$AE$1,tabela_registros[DIA],reservavariáveisconsolidadoago[[#Headers],[6]],tabela_registros[REGISTRO],DADOS!$N$6,tabela_registros[TIPO],DADOS!$AJ$4,tabela_registros[CATEGORIA],reservavariáveisconsolidadoago[[#This Row],[ATUAL]])</f>
        <v>0</v>
      </c>
      <c r="K192" s="91">
        <f>SUMIFS(tabela_registros[VALOR],tabela_registros[MÊS],$AE$1,tabela_registros[DIA],reservavariáveisconsolidadoago[[#Headers],[7]],tabela_registros[REGISTRO],DADOS!$N$6,tabela_registros[TIPO],DADOS!$AJ$4,tabela_registros[CATEGORIA],reservavariáveisconsolidadoago[[#This Row],[ATUAL]])</f>
        <v>0</v>
      </c>
      <c r="L192" s="91">
        <f>SUMIFS(tabela_registros[VALOR],tabela_registros[MÊS],$AE$1,tabela_registros[DIA],reservavariáveisconsolidadoago[[#Headers],[8]],tabela_registros[REGISTRO],DADOS!$N$6,tabela_registros[TIPO],DADOS!$AJ$4,tabela_registros[CATEGORIA],reservavariáveisconsolidadoago[[#This Row],[ATUAL]])</f>
        <v>0</v>
      </c>
      <c r="M192" s="91">
        <f>SUMIFS(tabela_registros[VALOR],tabela_registros[MÊS],$AE$1,tabela_registros[DIA],reservavariáveisconsolidadoago[[#Headers],[9]],tabela_registros[REGISTRO],DADOS!$N$6,tabela_registros[TIPO],DADOS!$AJ$4,tabela_registros[CATEGORIA],reservavariáveisconsolidadoago[[#This Row],[ATUAL]])</f>
        <v>0</v>
      </c>
      <c r="N192" s="91">
        <f>SUMIFS(tabela_registros[VALOR],tabela_registros[MÊS],$AE$1,tabela_registros[DIA],reservavariáveisconsolidadoago[[#Headers],[10]],tabela_registros[REGISTRO],DADOS!$N$6,tabela_registros[TIPO],DADOS!$AJ$4,tabela_registros[CATEGORIA],reservavariáveisconsolidadoago[[#This Row],[ATUAL]])</f>
        <v>0</v>
      </c>
      <c r="O192" s="91">
        <f>SUMIFS(tabela_registros[VALOR],tabela_registros[MÊS],$AE$1,tabela_registros[DIA],reservavariáveisconsolidadoago[[#Headers],[11]],tabela_registros[REGISTRO],DADOS!$N$6,tabela_registros[TIPO],DADOS!$AJ$4,tabela_registros[CATEGORIA],reservavariáveisconsolidadoago[[#This Row],[ATUAL]])</f>
        <v>0</v>
      </c>
      <c r="P192" s="91">
        <f>SUMIFS(tabela_registros[VALOR],tabela_registros[MÊS],$AE$1,tabela_registros[DIA],reservavariáveisconsolidadoago[[#Headers],[12]],tabela_registros[REGISTRO],DADOS!$N$6,tabela_registros[TIPO],DADOS!$AJ$4,tabela_registros[CATEGORIA],reservavariáveisconsolidadoago[[#This Row],[ATUAL]])</f>
        <v>0</v>
      </c>
      <c r="Q192" s="91">
        <f>SUMIFS(tabela_registros[VALOR],tabela_registros[MÊS],$AE$1,tabela_registros[DIA],reservavariáveisconsolidadoago[[#Headers],[13]],tabela_registros[REGISTRO],DADOS!$N$6,tabela_registros[TIPO],DADOS!$AJ$4,tabela_registros[CATEGORIA],reservavariáveisconsolidadoago[[#This Row],[ATUAL]])</f>
        <v>0</v>
      </c>
      <c r="R192" s="91">
        <f>SUMIFS(tabela_registros[VALOR],tabela_registros[MÊS],$AE$1,tabela_registros[DIA],reservavariáveisconsolidadoago[[#Headers],[14]],tabela_registros[REGISTRO],DADOS!$N$6,tabela_registros[TIPO],DADOS!$AJ$4,tabela_registros[CATEGORIA],reservavariáveisconsolidadoago[[#This Row],[ATUAL]])</f>
        <v>0</v>
      </c>
      <c r="S192" s="91">
        <f>SUMIFS(tabela_registros[VALOR],tabela_registros[MÊS],$AE$1,tabela_registros[DIA],reservavariáveisconsolidadoago[[#Headers],[15]],tabela_registros[REGISTRO],DADOS!$N$6,tabela_registros[TIPO],DADOS!$AJ$4,tabela_registros[CATEGORIA],reservavariáveisconsolidadoago[[#This Row],[ATUAL]])</f>
        <v>0</v>
      </c>
      <c r="T192" s="91">
        <f>SUMIFS(tabela_registros[VALOR],tabela_registros[MÊS],$AE$1,tabela_registros[DIA],reservavariáveisconsolidadoago[[#Headers],[16]],tabela_registros[REGISTRO],DADOS!$N$6,tabela_registros[TIPO],DADOS!$AJ$4,tabela_registros[CATEGORIA],reservavariáveisconsolidadoago[[#This Row],[ATUAL]])</f>
        <v>0</v>
      </c>
      <c r="U192" s="91">
        <f>SUMIFS(tabela_registros[VALOR],tabela_registros[MÊS],$AE$1,tabela_registros[DIA],reservavariáveisconsolidadoago[[#Headers],[17]],tabela_registros[REGISTRO],DADOS!$N$6,tabela_registros[TIPO],DADOS!$AJ$4,tabela_registros[CATEGORIA],reservavariáveisconsolidadoago[[#This Row],[ATUAL]])</f>
        <v>0</v>
      </c>
      <c r="V192" s="91">
        <f>SUMIFS(tabela_registros[VALOR],tabela_registros[MÊS],$AE$1,tabela_registros[DIA],reservavariáveisconsolidadoago[[#Headers],[18]],tabela_registros[REGISTRO],DADOS!$N$6,tabela_registros[TIPO],DADOS!$AJ$4,tabela_registros[CATEGORIA],reservavariáveisconsolidadoago[[#This Row],[ATUAL]])</f>
        <v>0</v>
      </c>
      <c r="W192" s="91">
        <f>SUMIFS(tabela_registros[VALOR],tabela_registros[MÊS],$AE$1,tabela_registros[DIA],reservavariáveisconsolidadoago[[#Headers],[19]],tabela_registros[REGISTRO],DADOS!$N$6,tabela_registros[TIPO],DADOS!$AJ$4,tabela_registros[CATEGORIA],reservavariáveisconsolidadoago[[#This Row],[ATUAL]])</f>
        <v>0</v>
      </c>
      <c r="X192" s="91">
        <f>SUMIFS(tabela_registros[VALOR],tabela_registros[MÊS],$AE$1,tabela_registros[DIA],reservavariáveisconsolidadoago[[#Headers],[20]],tabela_registros[REGISTRO],DADOS!$N$6,tabela_registros[TIPO],DADOS!$AJ$4,tabela_registros[CATEGORIA],reservavariáveisconsolidadoago[[#This Row],[ATUAL]])</f>
        <v>0</v>
      </c>
      <c r="Y192" s="91">
        <f>SUMIFS(tabela_registros[VALOR],tabela_registros[MÊS],$AE$1,tabela_registros[DIA],reservavariáveisconsolidadoago[[#Headers],[21]],tabela_registros[REGISTRO],DADOS!$N$6,tabela_registros[TIPO],DADOS!$AJ$4,tabela_registros[CATEGORIA],reservavariáveisconsolidadoago[[#This Row],[ATUAL]])</f>
        <v>0</v>
      </c>
      <c r="Z192" s="91">
        <f>SUMIFS(tabela_registros[VALOR],tabela_registros[MÊS],$AE$1,tabela_registros[DIA],reservavariáveisconsolidadoago[[#Headers],[22]],tabela_registros[REGISTRO],DADOS!$N$6,tabela_registros[TIPO],DADOS!$AJ$4,tabela_registros[CATEGORIA],reservavariáveisconsolidadoago[[#This Row],[ATUAL]])</f>
        <v>0</v>
      </c>
      <c r="AA192" s="91">
        <f>SUMIFS(tabela_registros[VALOR],tabela_registros[MÊS],$AE$1,tabela_registros[DIA],reservavariáveisconsolidadoago[[#Headers],[23]],tabela_registros[REGISTRO],DADOS!$N$6,tabela_registros[TIPO],DADOS!$AJ$4,tabela_registros[CATEGORIA],reservavariáveisconsolidadoago[[#This Row],[ATUAL]])</f>
        <v>0</v>
      </c>
      <c r="AB192" s="91">
        <f>SUMIFS(tabela_registros[VALOR],tabela_registros[MÊS],$AE$1,tabela_registros[DIA],reservavariáveisconsolidadoago[[#Headers],[24]],tabela_registros[REGISTRO],DADOS!$N$6,tabela_registros[TIPO],DADOS!$AJ$4,tabela_registros[CATEGORIA],reservavariáveisconsolidadoago[[#This Row],[ATUAL]])</f>
        <v>0</v>
      </c>
      <c r="AC192" s="91">
        <f>SUMIFS(tabela_registros[VALOR],tabela_registros[MÊS],$AE$1,tabela_registros[DIA],reservavariáveisconsolidadoago[[#Headers],[25]],tabela_registros[REGISTRO],DADOS!$N$6,tabela_registros[TIPO],DADOS!$AJ$4,tabela_registros[CATEGORIA],reservavariáveisconsolidadoago[[#This Row],[ATUAL]])</f>
        <v>0</v>
      </c>
      <c r="AD192" s="91">
        <f>SUMIFS(tabela_registros[VALOR],tabela_registros[MÊS],$AE$1,tabela_registros[DIA],reservavariáveisconsolidadoago[[#Headers],[26]],tabela_registros[REGISTRO],DADOS!$N$6,tabela_registros[TIPO],DADOS!$AJ$4,tabela_registros[CATEGORIA],reservavariáveisconsolidadoago[[#This Row],[ATUAL]])</f>
        <v>0</v>
      </c>
      <c r="AE192" s="91">
        <f>SUMIFS(tabela_registros[VALOR],tabela_registros[MÊS],$AE$1,tabela_registros[DIA],reservavariáveisconsolidadoago[[#Headers],[27]],tabela_registros[REGISTRO],DADOS!$N$6,tabela_registros[TIPO],DADOS!$AJ$4,tabela_registros[CATEGORIA],reservavariáveisconsolidadoago[[#This Row],[ATUAL]])</f>
        <v>0</v>
      </c>
      <c r="AF192" s="91">
        <f>SUMIFS(tabela_registros[VALOR],tabela_registros[MÊS],$AE$1,tabela_registros[DIA],reservavariáveisconsolidadoago[[#Headers],[28]],tabela_registros[REGISTRO],DADOS!$N$6,tabela_registros[TIPO],DADOS!$AJ$4,tabela_registros[CATEGORIA],reservavariáveisconsolidadoago[[#This Row],[ATUAL]])</f>
        <v>0</v>
      </c>
      <c r="AG192" s="91">
        <f>SUMIFS(tabela_registros[VALOR],tabela_registros[MÊS],$AE$1,tabela_registros[DIA],reservavariáveisconsolidadoago[[#Headers],[29]],tabela_registros[REGISTRO],DADOS!$N$6,tabela_registros[TIPO],DADOS!$AJ$4,tabela_registros[CATEGORIA],reservavariáveisconsolidadoago[[#This Row],[ATUAL]])</f>
        <v>0</v>
      </c>
      <c r="AH192" s="91">
        <f>SUMIFS(tabela_registros[VALOR],tabela_registros[MÊS],$AE$1,tabela_registros[DIA],reservavariáveisconsolidadoago[[#Headers],[30]],tabela_registros[REGISTRO],DADOS!$N$6,tabela_registros[TIPO],DADOS!$AJ$4,tabela_registros[CATEGORIA],reservavariáveisconsolidadoago[[#This Row],[ATUAL]])</f>
        <v>0</v>
      </c>
      <c r="AI192" s="101">
        <f>SUMIFS(tabela_registros[VALOR],tabela_registros[MÊS],$AE$1,tabela_registros[DIA],reservavariáveisconsolidadoago[[#Headers],[31]],tabela_registros[REGISTRO],DADOS!$N$6,tabela_registros[TIPO],DADOS!$AJ$4,tabela_registros[CATEGORIA],reservavariáveisconsolidadoago[[#This Row],[ATUAL]])</f>
        <v>0</v>
      </c>
      <c r="AJ192" s="97">
        <f>SUM(reservavariáveisconsolidadoago[[#This Row],[1]:[31]])</f>
        <v>0</v>
      </c>
      <c r="AK192" s="25"/>
    </row>
    <row r="193" spans="2:37" ht="19.5" customHeight="1" thickTop="1" thickBot="1" x14ac:dyDescent="0.3">
      <c r="B193" s="28"/>
      <c r="C193" s="27" t="str">
        <f>DADOS!$AN$9</f>
        <v>📝 EXTERIOR</v>
      </c>
      <c r="D193" s="26" t="str">
        <f>IF(reservavariáveisconsolidadoago[[#This Row],[TOTAL (R$)]]=0,"",IF(OR(reservavariáveisconsolidadoago[[#This Row],[TOTAL (R$)]]=LARGE($AJ$187:$AJ$196,1),reservavariáveisconsolidadoago[[#This Row],[TOTAL (R$)]]=LARGE($AJ$187:$AJ$196,2)),DADOS!$I$11,""))</f>
        <v/>
      </c>
      <c r="E193" s="96">
        <f>SUMIFS(tabela_registros[VALOR],tabela_registros[MÊS],$AE$1,tabela_registros[DIA],reservavariáveisconsolidadoago[[#Headers],[1]],tabela_registros[REGISTRO],DADOS!$N$6,tabela_registros[TIPO],DADOS!$AJ$4,tabela_registros[CATEGORIA],reservavariáveisconsolidadoago[[#This Row],[ATUAL]])</f>
        <v>0</v>
      </c>
      <c r="F193" s="91">
        <f>SUMIFS(tabela_registros[VALOR],tabela_registros[MÊS],$AE$1,tabela_registros[DIA],reservavariáveisconsolidadoago[[#Headers],[2]],tabela_registros[REGISTRO],DADOS!$N$6,tabela_registros[TIPO],DADOS!$AJ$4,tabela_registros[CATEGORIA],reservavariáveisconsolidadoago[[#This Row],[ATUAL]])</f>
        <v>0</v>
      </c>
      <c r="G193" s="91">
        <f>SUMIFS(tabela_registros[VALOR],tabela_registros[MÊS],$AE$1,tabela_registros[DIA],reservavariáveisconsolidadoago[[#Headers],[3]],tabela_registros[REGISTRO],DADOS!$N$6,tabela_registros[TIPO],DADOS!$AJ$4,tabela_registros[CATEGORIA],reservavariáveisconsolidadoago[[#This Row],[ATUAL]])</f>
        <v>0</v>
      </c>
      <c r="H193" s="91">
        <f>SUMIFS(tabela_registros[VALOR],tabela_registros[MÊS],$AE$1,tabela_registros[DIA],reservavariáveisconsolidadoago[[#Headers],[4]],tabela_registros[REGISTRO],DADOS!$N$6,tabela_registros[TIPO],DADOS!$AJ$4,tabela_registros[CATEGORIA],reservavariáveisconsolidadoago[[#This Row],[ATUAL]])</f>
        <v>0</v>
      </c>
      <c r="I193" s="91">
        <f>SUMIFS(tabela_registros[VALOR],tabela_registros[MÊS],$AE$1,tabela_registros[DIA],reservavariáveisconsolidadoago[[#Headers],[5]],tabela_registros[REGISTRO],DADOS!$N$6,tabela_registros[TIPO],DADOS!$AJ$4,tabela_registros[CATEGORIA],reservavariáveisconsolidadoago[[#This Row],[ATUAL]])</f>
        <v>0</v>
      </c>
      <c r="J193" s="91">
        <f>SUMIFS(tabela_registros[VALOR],tabela_registros[MÊS],$AE$1,tabela_registros[DIA],reservavariáveisconsolidadoago[[#Headers],[6]],tabela_registros[REGISTRO],DADOS!$N$6,tabela_registros[TIPO],DADOS!$AJ$4,tabela_registros[CATEGORIA],reservavariáveisconsolidadoago[[#This Row],[ATUAL]])</f>
        <v>0</v>
      </c>
      <c r="K193" s="91">
        <f>SUMIFS(tabela_registros[VALOR],tabela_registros[MÊS],$AE$1,tabela_registros[DIA],reservavariáveisconsolidadoago[[#Headers],[7]],tabela_registros[REGISTRO],DADOS!$N$6,tabela_registros[TIPO],DADOS!$AJ$4,tabela_registros[CATEGORIA],reservavariáveisconsolidadoago[[#This Row],[ATUAL]])</f>
        <v>0</v>
      </c>
      <c r="L193" s="91">
        <f>SUMIFS(tabela_registros[VALOR],tabela_registros[MÊS],$AE$1,tabela_registros[DIA],reservavariáveisconsolidadoago[[#Headers],[8]],tabela_registros[REGISTRO],DADOS!$N$6,tabela_registros[TIPO],DADOS!$AJ$4,tabela_registros[CATEGORIA],reservavariáveisconsolidadoago[[#This Row],[ATUAL]])</f>
        <v>0</v>
      </c>
      <c r="M193" s="91">
        <f>SUMIFS(tabela_registros[VALOR],tabela_registros[MÊS],$AE$1,tabela_registros[DIA],reservavariáveisconsolidadoago[[#Headers],[9]],tabela_registros[REGISTRO],DADOS!$N$6,tabela_registros[TIPO],DADOS!$AJ$4,tabela_registros[CATEGORIA],reservavariáveisconsolidadoago[[#This Row],[ATUAL]])</f>
        <v>0</v>
      </c>
      <c r="N193" s="91">
        <f>SUMIFS(tabela_registros[VALOR],tabela_registros[MÊS],$AE$1,tabela_registros[DIA],reservavariáveisconsolidadoago[[#Headers],[10]],tabela_registros[REGISTRO],DADOS!$N$6,tabela_registros[TIPO],DADOS!$AJ$4,tabela_registros[CATEGORIA],reservavariáveisconsolidadoago[[#This Row],[ATUAL]])</f>
        <v>0</v>
      </c>
      <c r="O193" s="91">
        <f>SUMIFS(tabela_registros[VALOR],tabela_registros[MÊS],$AE$1,tabela_registros[DIA],reservavariáveisconsolidadoago[[#Headers],[11]],tabela_registros[REGISTRO],DADOS!$N$6,tabela_registros[TIPO],DADOS!$AJ$4,tabela_registros[CATEGORIA],reservavariáveisconsolidadoago[[#This Row],[ATUAL]])</f>
        <v>0</v>
      </c>
      <c r="P193" s="91">
        <f>SUMIFS(tabela_registros[VALOR],tabela_registros[MÊS],$AE$1,tabela_registros[DIA],reservavariáveisconsolidadoago[[#Headers],[12]],tabela_registros[REGISTRO],DADOS!$N$6,tabela_registros[TIPO],DADOS!$AJ$4,tabela_registros[CATEGORIA],reservavariáveisconsolidadoago[[#This Row],[ATUAL]])</f>
        <v>0</v>
      </c>
      <c r="Q193" s="91">
        <f>SUMIFS(tabela_registros[VALOR],tabela_registros[MÊS],$AE$1,tabela_registros[DIA],reservavariáveisconsolidadoago[[#Headers],[13]],tabela_registros[REGISTRO],DADOS!$N$6,tabela_registros[TIPO],DADOS!$AJ$4,tabela_registros[CATEGORIA],reservavariáveisconsolidadoago[[#This Row],[ATUAL]])</f>
        <v>0</v>
      </c>
      <c r="R193" s="91">
        <f>SUMIFS(tabela_registros[VALOR],tabela_registros[MÊS],$AE$1,tabela_registros[DIA],reservavariáveisconsolidadoago[[#Headers],[14]],tabela_registros[REGISTRO],DADOS!$N$6,tabela_registros[TIPO],DADOS!$AJ$4,tabela_registros[CATEGORIA],reservavariáveisconsolidadoago[[#This Row],[ATUAL]])</f>
        <v>0</v>
      </c>
      <c r="S193" s="91">
        <f>SUMIFS(tabela_registros[VALOR],tabela_registros[MÊS],$AE$1,tabela_registros[DIA],reservavariáveisconsolidadoago[[#Headers],[15]],tabela_registros[REGISTRO],DADOS!$N$6,tabela_registros[TIPO],DADOS!$AJ$4,tabela_registros[CATEGORIA],reservavariáveisconsolidadoago[[#This Row],[ATUAL]])</f>
        <v>0</v>
      </c>
      <c r="T193" s="91">
        <f>SUMIFS(tabela_registros[VALOR],tabela_registros[MÊS],$AE$1,tabela_registros[DIA],reservavariáveisconsolidadoago[[#Headers],[16]],tabela_registros[REGISTRO],DADOS!$N$6,tabela_registros[TIPO],DADOS!$AJ$4,tabela_registros[CATEGORIA],reservavariáveisconsolidadoago[[#This Row],[ATUAL]])</f>
        <v>0</v>
      </c>
      <c r="U193" s="91">
        <f>SUMIFS(tabela_registros[VALOR],tabela_registros[MÊS],$AE$1,tabela_registros[DIA],reservavariáveisconsolidadoago[[#Headers],[17]],tabela_registros[REGISTRO],DADOS!$N$6,tabela_registros[TIPO],DADOS!$AJ$4,tabela_registros[CATEGORIA],reservavariáveisconsolidadoago[[#This Row],[ATUAL]])</f>
        <v>0</v>
      </c>
      <c r="V193" s="91">
        <f>SUMIFS(tabela_registros[VALOR],tabela_registros[MÊS],$AE$1,tabela_registros[DIA],reservavariáveisconsolidadoago[[#Headers],[18]],tabela_registros[REGISTRO],DADOS!$N$6,tabela_registros[TIPO],DADOS!$AJ$4,tabela_registros[CATEGORIA],reservavariáveisconsolidadoago[[#This Row],[ATUAL]])</f>
        <v>0</v>
      </c>
      <c r="W193" s="91">
        <f>SUMIFS(tabela_registros[VALOR],tabela_registros[MÊS],$AE$1,tabela_registros[DIA],reservavariáveisconsolidadoago[[#Headers],[19]],tabela_registros[REGISTRO],DADOS!$N$6,tabela_registros[TIPO],DADOS!$AJ$4,tabela_registros[CATEGORIA],reservavariáveisconsolidadoago[[#This Row],[ATUAL]])</f>
        <v>0</v>
      </c>
      <c r="X193" s="91">
        <f>SUMIFS(tabela_registros[VALOR],tabela_registros[MÊS],$AE$1,tabela_registros[DIA],reservavariáveisconsolidadoago[[#Headers],[20]],tabela_registros[REGISTRO],DADOS!$N$6,tabela_registros[TIPO],DADOS!$AJ$4,tabela_registros[CATEGORIA],reservavariáveisconsolidadoago[[#This Row],[ATUAL]])</f>
        <v>0</v>
      </c>
      <c r="Y193" s="91">
        <f>SUMIFS(tabela_registros[VALOR],tabela_registros[MÊS],$AE$1,tabela_registros[DIA],reservavariáveisconsolidadoago[[#Headers],[21]],tabela_registros[REGISTRO],DADOS!$N$6,tabela_registros[TIPO],DADOS!$AJ$4,tabela_registros[CATEGORIA],reservavariáveisconsolidadoago[[#This Row],[ATUAL]])</f>
        <v>0</v>
      </c>
      <c r="Z193" s="91">
        <f>SUMIFS(tabela_registros[VALOR],tabela_registros[MÊS],$AE$1,tabela_registros[DIA],reservavariáveisconsolidadoago[[#Headers],[22]],tabela_registros[REGISTRO],DADOS!$N$6,tabela_registros[TIPO],DADOS!$AJ$4,tabela_registros[CATEGORIA],reservavariáveisconsolidadoago[[#This Row],[ATUAL]])</f>
        <v>0</v>
      </c>
      <c r="AA193" s="91">
        <f>SUMIFS(tabela_registros[VALOR],tabela_registros[MÊS],$AE$1,tabela_registros[DIA],reservavariáveisconsolidadoago[[#Headers],[23]],tabela_registros[REGISTRO],DADOS!$N$6,tabela_registros[TIPO],DADOS!$AJ$4,tabela_registros[CATEGORIA],reservavariáveisconsolidadoago[[#This Row],[ATUAL]])</f>
        <v>0</v>
      </c>
      <c r="AB193" s="91">
        <f>SUMIFS(tabela_registros[VALOR],tabela_registros[MÊS],$AE$1,tabela_registros[DIA],reservavariáveisconsolidadoago[[#Headers],[24]],tabela_registros[REGISTRO],DADOS!$N$6,tabela_registros[TIPO],DADOS!$AJ$4,tabela_registros[CATEGORIA],reservavariáveisconsolidadoago[[#This Row],[ATUAL]])</f>
        <v>0</v>
      </c>
      <c r="AC193" s="91">
        <f>SUMIFS(tabela_registros[VALOR],tabela_registros[MÊS],$AE$1,tabela_registros[DIA],reservavariáveisconsolidadoago[[#Headers],[25]],tabela_registros[REGISTRO],DADOS!$N$6,tabela_registros[TIPO],DADOS!$AJ$4,tabela_registros[CATEGORIA],reservavariáveisconsolidadoago[[#This Row],[ATUAL]])</f>
        <v>0</v>
      </c>
      <c r="AD193" s="91">
        <f>SUMIFS(tabela_registros[VALOR],tabela_registros[MÊS],$AE$1,tabela_registros[DIA],reservavariáveisconsolidadoago[[#Headers],[26]],tabela_registros[REGISTRO],DADOS!$N$6,tabela_registros[TIPO],DADOS!$AJ$4,tabela_registros[CATEGORIA],reservavariáveisconsolidadoago[[#This Row],[ATUAL]])</f>
        <v>0</v>
      </c>
      <c r="AE193" s="91">
        <f>SUMIFS(tabela_registros[VALOR],tabela_registros[MÊS],$AE$1,tabela_registros[DIA],reservavariáveisconsolidadoago[[#Headers],[27]],tabela_registros[REGISTRO],DADOS!$N$6,tabela_registros[TIPO],DADOS!$AJ$4,tabela_registros[CATEGORIA],reservavariáveisconsolidadoago[[#This Row],[ATUAL]])</f>
        <v>0</v>
      </c>
      <c r="AF193" s="91">
        <f>SUMIFS(tabela_registros[VALOR],tabela_registros[MÊS],$AE$1,tabela_registros[DIA],reservavariáveisconsolidadoago[[#Headers],[28]],tabela_registros[REGISTRO],DADOS!$N$6,tabela_registros[TIPO],DADOS!$AJ$4,tabela_registros[CATEGORIA],reservavariáveisconsolidadoago[[#This Row],[ATUAL]])</f>
        <v>0</v>
      </c>
      <c r="AG193" s="91">
        <f>SUMIFS(tabela_registros[VALOR],tabela_registros[MÊS],$AE$1,tabela_registros[DIA],reservavariáveisconsolidadoago[[#Headers],[29]],tabela_registros[REGISTRO],DADOS!$N$6,tabela_registros[TIPO],DADOS!$AJ$4,tabela_registros[CATEGORIA],reservavariáveisconsolidadoago[[#This Row],[ATUAL]])</f>
        <v>0</v>
      </c>
      <c r="AH193" s="91">
        <f>SUMIFS(tabela_registros[VALOR],tabela_registros[MÊS],$AE$1,tabela_registros[DIA],reservavariáveisconsolidadoago[[#Headers],[30]],tabela_registros[REGISTRO],DADOS!$N$6,tabela_registros[TIPO],DADOS!$AJ$4,tabela_registros[CATEGORIA],reservavariáveisconsolidadoago[[#This Row],[ATUAL]])</f>
        <v>0</v>
      </c>
      <c r="AI193" s="101">
        <f>SUMIFS(tabela_registros[VALOR],tabela_registros[MÊS],$AE$1,tabela_registros[DIA],reservavariáveisconsolidadoago[[#Headers],[31]],tabela_registros[REGISTRO],DADOS!$N$6,tabela_registros[TIPO],DADOS!$AJ$4,tabela_registros[CATEGORIA],reservavariáveisconsolidadoago[[#This Row],[ATUAL]])</f>
        <v>0</v>
      </c>
      <c r="AJ193" s="97">
        <f>SUM(reservavariáveisconsolidadoago[[#This Row],[1]:[31]])</f>
        <v>0</v>
      </c>
      <c r="AK193" s="25"/>
    </row>
    <row r="194" spans="2:37" ht="19.5" customHeight="1" thickTop="1" thickBot="1" x14ac:dyDescent="0.3">
      <c r="B194" s="28"/>
      <c r="C194" s="27" t="str">
        <f>DADOS!$AN$10</f>
        <v>📝 FII</v>
      </c>
      <c r="D194" s="26" t="str">
        <f>IF(reservavariáveisconsolidadoago[[#This Row],[TOTAL (R$)]]=0,"",IF(OR(reservavariáveisconsolidadoago[[#This Row],[TOTAL (R$)]]=LARGE($AJ$187:$AJ$196,1),reservavariáveisconsolidadoago[[#This Row],[TOTAL (R$)]]=LARGE($AJ$187:$AJ$196,2)),DADOS!$I$11,""))</f>
        <v/>
      </c>
      <c r="E194" s="96">
        <f>SUMIFS(tabela_registros[VALOR],tabela_registros[MÊS],$AE$1,tabela_registros[DIA],reservavariáveisconsolidadoago[[#Headers],[1]],tabela_registros[REGISTRO],DADOS!$N$6,tabela_registros[TIPO],DADOS!$AJ$4,tabela_registros[CATEGORIA],reservavariáveisconsolidadoago[[#This Row],[ATUAL]])</f>
        <v>0</v>
      </c>
      <c r="F194" s="91">
        <f>SUMIFS(tabela_registros[VALOR],tabela_registros[MÊS],$AE$1,tabela_registros[DIA],reservavariáveisconsolidadoago[[#Headers],[2]],tabela_registros[REGISTRO],DADOS!$N$6,tabela_registros[TIPO],DADOS!$AJ$4,tabela_registros[CATEGORIA],reservavariáveisconsolidadoago[[#This Row],[ATUAL]])</f>
        <v>0</v>
      </c>
      <c r="G194" s="91">
        <f>SUMIFS(tabela_registros[VALOR],tabela_registros[MÊS],$AE$1,tabela_registros[DIA],reservavariáveisconsolidadoago[[#Headers],[3]],tabela_registros[REGISTRO],DADOS!$N$6,tabela_registros[TIPO],DADOS!$AJ$4,tabela_registros[CATEGORIA],reservavariáveisconsolidadoago[[#This Row],[ATUAL]])</f>
        <v>0</v>
      </c>
      <c r="H194" s="91">
        <f>SUMIFS(tabela_registros[VALOR],tabela_registros[MÊS],$AE$1,tabela_registros[DIA],reservavariáveisconsolidadoago[[#Headers],[4]],tabela_registros[REGISTRO],DADOS!$N$6,tabela_registros[TIPO],DADOS!$AJ$4,tabela_registros[CATEGORIA],reservavariáveisconsolidadoago[[#This Row],[ATUAL]])</f>
        <v>0</v>
      </c>
      <c r="I194" s="91">
        <f>SUMIFS(tabela_registros[VALOR],tabela_registros[MÊS],$AE$1,tabela_registros[DIA],reservavariáveisconsolidadoago[[#Headers],[5]],tabela_registros[REGISTRO],DADOS!$N$6,tabela_registros[TIPO],DADOS!$AJ$4,tabela_registros[CATEGORIA],reservavariáveisconsolidadoago[[#This Row],[ATUAL]])</f>
        <v>0</v>
      </c>
      <c r="J194" s="91">
        <f>SUMIFS(tabela_registros[VALOR],tabela_registros[MÊS],$AE$1,tabela_registros[DIA],reservavariáveisconsolidadoago[[#Headers],[6]],tabela_registros[REGISTRO],DADOS!$N$6,tabela_registros[TIPO],DADOS!$AJ$4,tabela_registros[CATEGORIA],reservavariáveisconsolidadoago[[#This Row],[ATUAL]])</f>
        <v>0</v>
      </c>
      <c r="K194" s="91">
        <f>SUMIFS(tabela_registros[VALOR],tabela_registros[MÊS],$AE$1,tabela_registros[DIA],reservavariáveisconsolidadoago[[#Headers],[7]],tabela_registros[REGISTRO],DADOS!$N$6,tabela_registros[TIPO],DADOS!$AJ$4,tabela_registros[CATEGORIA],reservavariáveisconsolidadoago[[#This Row],[ATUAL]])</f>
        <v>0</v>
      </c>
      <c r="L194" s="91">
        <f>SUMIFS(tabela_registros[VALOR],tabela_registros[MÊS],$AE$1,tabela_registros[DIA],reservavariáveisconsolidadoago[[#Headers],[8]],tabela_registros[REGISTRO],DADOS!$N$6,tabela_registros[TIPO],DADOS!$AJ$4,tabela_registros[CATEGORIA],reservavariáveisconsolidadoago[[#This Row],[ATUAL]])</f>
        <v>0</v>
      </c>
      <c r="M194" s="91">
        <f>SUMIFS(tabela_registros[VALOR],tabela_registros[MÊS],$AE$1,tabela_registros[DIA],reservavariáveisconsolidadoago[[#Headers],[9]],tabela_registros[REGISTRO],DADOS!$N$6,tabela_registros[TIPO],DADOS!$AJ$4,tabela_registros[CATEGORIA],reservavariáveisconsolidadoago[[#This Row],[ATUAL]])</f>
        <v>0</v>
      </c>
      <c r="N194" s="91">
        <f>SUMIFS(tabela_registros[VALOR],tabela_registros[MÊS],$AE$1,tabela_registros[DIA],reservavariáveisconsolidadoago[[#Headers],[10]],tabela_registros[REGISTRO],DADOS!$N$6,tabela_registros[TIPO],DADOS!$AJ$4,tabela_registros[CATEGORIA],reservavariáveisconsolidadoago[[#This Row],[ATUAL]])</f>
        <v>0</v>
      </c>
      <c r="O194" s="91">
        <f>SUMIFS(tabela_registros[VALOR],tabela_registros[MÊS],$AE$1,tabela_registros[DIA],reservavariáveisconsolidadoago[[#Headers],[11]],tabela_registros[REGISTRO],DADOS!$N$6,tabela_registros[TIPO],DADOS!$AJ$4,tabela_registros[CATEGORIA],reservavariáveisconsolidadoago[[#This Row],[ATUAL]])</f>
        <v>0</v>
      </c>
      <c r="P194" s="91">
        <f>SUMIFS(tabela_registros[VALOR],tabela_registros[MÊS],$AE$1,tabela_registros[DIA],reservavariáveisconsolidadoago[[#Headers],[12]],tabela_registros[REGISTRO],DADOS!$N$6,tabela_registros[TIPO],DADOS!$AJ$4,tabela_registros[CATEGORIA],reservavariáveisconsolidadoago[[#This Row],[ATUAL]])</f>
        <v>0</v>
      </c>
      <c r="Q194" s="91">
        <f>SUMIFS(tabela_registros[VALOR],tabela_registros[MÊS],$AE$1,tabela_registros[DIA],reservavariáveisconsolidadoago[[#Headers],[13]],tabela_registros[REGISTRO],DADOS!$N$6,tabela_registros[TIPO],DADOS!$AJ$4,tabela_registros[CATEGORIA],reservavariáveisconsolidadoago[[#This Row],[ATUAL]])</f>
        <v>0</v>
      </c>
      <c r="R194" s="91">
        <f>SUMIFS(tabela_registros[VALOR],tabela_registros[MÊS],$AE$1,tabela_registros[DIA],reservavariáveisconsolidadoago[[#Headers],[14]],tabela_registros[REGISTRO],DADOS!$N$6,tabela_registros[TIPO],DADOS!$AJ$4,tabela_registros[CATEGORIA],reservavariáveisconsolidadoago[[#This Row],[ATUAL]])</f>
        <v>0</v>
      </c>
      <c r="S194" s="91">
        <f>SUMIFS(tabela_registros[VALOR],tabela_registros[MÊS],$AE$1,tabela_registros[DIA],reservavariáveisconsolidadoago[[#Headers],[15]],tabela_registros[REGISTRO],DADOS!$N$6,tabela_registros[TIPO],DADOS!$AJ$4,tabela_registros[CATEGORIA],reservavariáveisconsolidadoago[[#This Row],[ATUAL]])</f>
        <v>0</v>
      </c>
      <c r="T194" s="91">
        <f>SUMIFS(tabela_registros[VALOR],tabela_registros[MÊS],$AE$1,tabela_registros[DIA],reservavariáveisconsolidadoago[[#Headers],[16]],tabela_registros[REGISTRO],DADOS!$N$6,tabela_registros[TIPO],DADOS!$AJ$4,tabela_registros[CATEGORIA],reservavariáveisconsolidadoago[[#This Row],[ATUAL]])</f>
        <v>0</v>
      </c>
      <c r="U194" s="91">
        <f>SUMIFS(tabela_registros[VALOR],tabela_registros[MÊS],$AE$1,tabela_registros[DIA],reservavariáveisconsolidadoago[[#Headers],[17]],tabela_registros[REGISTRO],DADOS!$N$6,tabela_registros[TIPO],DADOS!$AJ$4,tabela_registros[CATEGORIA],reservavariáveisconsolidadoago[[#This Row],[ATUAL]])</f>
        <v>0</v>
      </c>
      <c r="V194" s="91">
        <f>SUMIFS(tabela_registros[VALOR],tabela_registros[MÊS],$AE$1,tabela_registros[DIA],reservavariáveisconsolidadoago[[#Headers],[18]],tabela_registros[REGISTRO],DADOS!$N$6,tabela_registros[TIPO],DADOS!$AJ$4,tabela_registros[CATEGORIA],reservavariáveisconsolidadoago[[#This Row],[ATUAL]])</f>
        <v>0</v>
      </c>
      <c r="W194" s="91">
        <f>SUMIFS(tabela_registros[VALOR],tabela_registros[MÊS],$AE$1,tabela_registros[DIA],reservavariáveisconsolidadoago[[#Headers],[19]],tabela_registros[REGISTRO],DADOS!$N$6,tabela_registros[TIPO],DADOS!$AJ$4,tabela_registros[CATEGORIA],reservavariáveisconsolidadoago[[#This Row],[ATUAL]])</f>
        <v>0</v>
      </c>
      <c r="X194" s="91">
        <f>SUMIFS(tabela_registros[VALOR],tabela_registros[MÊS],$AE$1,tabela_registros[DIA],reservavariáveisconsolidadoago[[#Headers],[20]],tabela_registros[REGISTRO],DADOS!$N$6,tabela_registros[TIPO],DADOS!$AJ$4,tabela_registros[CATEGORIA],reservavariáveisconsolidadoago[[#This Row],[ATUAL]])</f>
        <v>0</v>
      </c>
      <c r="Y194" s="91">
        <f>SUMIFS(tabela_registros[VALOR],tabela_registros[MÊS],$AE$1,tabela_registros[DIA],reservavariáveisconsolidadoago[[#Headers],[21]],tabela_registros[REGISTRO],DADOS!$N$6,tabela_registros[TIPO],DADOS!$AJ$4,tabela_registros[CATEGORIA],reservavariáveisconsolidadoago[[#This Row],[ATUAL]])</f>
        <v>0</v>
      </c>
      <c r="Z194" s="91">
        <f>SUMIFS(tabela_registros[VALOR],tabela_registros[MÊS],$AE$1,tabela_registros[DIA],reservavariáveisconsolidadoago[[#Headers],[22]],tabela_registros[REGISTRO],DADOS!$N$6,tabela_registros[TIPO],DADOS!$AJ$4,tabela_registros[CATEGORIA],reservavariáveisconsolidadoago[[#This Row],[ATUAL]])</f>
        <v>0</v>
      </c>
      <c r="AA194" s="91">
        <f>SUMIFS(tabela_registros[VALOR],tabela_registros[MÊS],$AE$1,tabela_registros[DIA],reservavariáveisconsolidadoago[[#Headers],[23]],tabela_registros[REGISTRO],DADOS!$N$6,tabela_registros[TIPO],DADOS!$AJ$4,tabela_registros[CATEGORIA],reservavariáveisconsolidadoago[[#This Row],[ATUAL]])</f>
        <v>0</v>
      </c>
      <c r="AB194" s="91">
        <f>SUMIFS(tabela_registros[VALOR],tabela_registros[MÊS],$AE$1,tabela_registros[DIA],reservavariáveisconsolidadoago[[#Headers],[24]],tabela_registros[REGISTRO],DADOS!$N$6,tabela_registros[TIPO],DADOS!$AJ$4,tabela_registros[CATEGORIA],reservavariáveisconsolidadoago[[#This Row],[ATUAL]])</f>
        <v>0</v>
      </c>
      <c r="AC194" s="91">
        <f>SUMIFS(tabela_registros[VALOR],tabela_registros[MÊS],$AE$1,tabela_registros[DIA],reservavariáveisconsolidadoago[[#Headers],[25]],tabela_registros[REGISTRO],DADOS!$N$6,tabela_registros[TIPO],DADOS!$AJ$4,tabela_registros[CATEGORIA],reservavariáveisconsolidadoago[[#This Row],[ATUAL]])</f>
        <v>0</v>
      </c>
      <c r="AD194" s="91">
        <f>SUMIFS(tabela_registros[VALOR],tabela_registros[MÊS],$AE$1,tabela_registros[DIA],reservavariáveisconsolidadoago[[#Headers],[26]],tabela_registros[REGISTRO],DADOS!$N$6,tabela_registros[TIPO],DADOS!$AJ$4,tabela_registros[CATEGORIA],reservavariáveisconsolidadoago[[#This Row],[ATUAL]])</f>
        <v>0</v>
      </c>
      <c r="AE194" s="91">
        <f>SUMIFS(tabela_registros[VALOR],tabela_registros[MÊS],$AE$1,tabela_registros[DIA],reservavariáveisconsolidadoago[[#Headers],[27]],tabela_registros[REGISTRO],DADOS!$N$6,tabela_registros[TIPO],DADOS!$AJ$4,tabela_registros[CATEGORIA],reservavariáveisconsolidadoago[[#This Row],[ATUAL]])</f>
        <v>0</v>
      </c>
      <c r="AF194" s="91">
        <f>SUMIFS(tabela_registros[VALOR],tabela_registros[MÊS],$AE$1,tabela_registros[DIA],reservavariáveisconsolidadoago[[#Headers],[28]],tabela_registros[REGISTRO],DADOS!$N$6,tabela_registros[TIPO],DADOS!$AJ$4,tabela_registros[CATEGORIA],reservavariáveisconsolidadoago[[#This Row],[ATUAL]])</f>
        <v>0</v>
      </c>
      <c r="AG194" s="91">
        <f>SUMIFS(tabela_registros[VALOR],tabela_registros[MÊS],$AE$1,tabela_registros[DIA],reservavariáveisconsolidadoago[[#Headers],[29]],tabela_registros[REGISTRO],DADOS!$N$6,tabela_registros[TIPO],DADOS!$AJ$4,tabela_registros[CATEGORIA],reservavariáveisconsolidadoago[[#This Row],[ATUAL]])</f>
        <v>0</v>
      </c>
      <c r="AH194" s="91">
        <f>SUMIFS(tabela_registros[VALOR],tabela_registros[MÊS],$AE$1,tabela_registros[DIA],reservavariáveisconsolidadoago[[#Headers],[30]],tabela_registros[REGISTRO],DADOS!$N$6,tabela_registros[TIPO],DADOS!$AJ$4,tabela_registros[CATEGORIA],reservavariáveisconsolidadoago[[#This Row],[ATUAL]])</f>
        <v>0</v>
      </c>
      <c r="AI194" s="101">
        <f>SUMIFS(tabela_registros[VALOR],tabela_registros[MÊS],$AE$1,tabela_registros[DIA],reservavariáveisconsolidadoago[[#Headers],[31]],tabela_registros[REGISTRO],DADOS!$N$6,tabela_registros[TIPO],DADOS!$AJ$4,tabela_registros[CATEGORIA],reservavariáveisconsolidadoago[[#This Row],[ATUAL]])</f>
        <v>0</v>
      </c>
      <c r="AJ194" s="97">
        <f>SUM(reservavariáveisconsolidadoago[[#This Row],[1]:[31]])</f>
        <v>0</v>
      </c>
      <c r="AK194" s="25"/>
    </row>
    <row r="195" spans="2:37" ht="19.5" customHeight="1" thickTop="1" thickBot="1" x14ac:dyDescent="0.3">
      <c r="B195" s="28"/>
      <c r="C195" s="27" t="str">
        <f>DADOS!$AN$11</f>
        <v>📝 MOEDA</v>
      </c>
      <c r="D195" s="26" t="str">
        <f>IF(reservavariáveisconsolidadoago[[#This Row],[TOTAL (R$)]]=0,"",IF(OR(reservavariáveisconsolidadoago[[#This Row],[TOTAL (R$)]]=LARGE($AJ$187:$AJ$196,1),reservavariáveisconsolidadoago[[#This Row],[TOTAL (R$)]]=LARGE($AJ$187:$AJ$196,2)),DADOS!$I$11,""))</f>
        <v/>
      </c>
      <c r="E195" s="96">
        <f>SUMIFS(tabela_registros[VALOR],tabela_registros[MÊS],$AE$1,tabela_registros[DIA],reservavariáveisconsolidadoago[[#Headers],[1]],tabela_registros[REGISTRO],DADOS!$N$6,tabela_registros[TIPO],DADOS!$AJ$4,tabela_registros[CATEGORIA],reservavariáveisconsolidadoago[[#This Row],[ATUAL]])</f>
        <v>0</v>
      </c>
      <c r="F195" s="91">
        <f>SUMIFS(tabela_registros[VALOR],tabela_registros[MÊS],$AE$1,tabela_registros[DIA],reservavariáveisconsolidadoago[[#Headers],[2]],tabela_registros[REGISTRO],DADOS!$N$6,tabela_registros[TIPO],DADOS!$AJ$4,tabela_registros[CATEGORIA],reservavariáveisconsolidadoago[[#This Row],[ATUAL]])</f>
        <v>0</v>
      </c>
      <c r="G195" s="91">
        <f>SUMIFS(tabela_registros[VALOR],tabela_registros[MÊS],$AE$1,tabela_registros[DIA],reservavariáveisconsolidadoago[[#Headers],[3]],tabela_registros[REGISTRO],DADOS!$N$6,tabela_registros[TIPO],DADOS!$AJ$4,tabela_registros[CATEGORIA],reservavariáveisconsolidadoago[[#This Row],[ATUAL]])</f>
        <v>0</v>
      </c>
      <c r="H195" s="91">
        <f>SUMIFS(tabela_registros[VALOR],tabela_registros[MÊS],$AE$1,tabela_registros[DIA],reservavariáveisconsolidadoago[[#Headers],[4]],tabela_registros[REGISTRO],DADOS!$N$6,tabela_registros[TIPO],DADOS!$AJ$4,tabela_registros[CATEGORIA],reservavariáveisconsolidadoago[[#This Row],[ATUAL]])</f>
        <v>0</v>
      </c>
      <c r="I195" s="91">
        <f>SUMIFS(tabela_registros[VALOR],tabela_registros[MÊS],$AE$1,tabela_registros[DIA],reservavariáveisconsolidadoago[[#Headers],[5]],tabela_registros[REGISTRO],DADOS!$N$6,tabela_registros[TIPO],DADOS!$AJ$4,tabela_registros[CATEGORIA],reservavariáveisconsolidadoago[[#This Row],[ATUAL]])</f>
        <v>0</v>
      </c>
      <c r="J195" s="91">
        <f>SUMIFS(tabela_registros[VALOR],tabela_registros[MÊS],$AE$1,tabela_registros[DIA],reservavariáveisconsolidadoago[[#Headers],[6]],tabela_registros[REGISTRO],DADOS!$N$6,tabela_registros[TIPO],DADOS!$AJ$4,tabela_registros[CATEGORIA],reservavariáveisconsolidadoago[[#This Row],[ATUAL]])</f>
        <v>0</v>
      </c>
      <c r="K195" s="91">
        <f>SUMIFS(tabela_registros[VALOR],tabela_registros[MÊS],$AE$1,tabela_registros[DIA],reservavariáveisconsolidadoago[[#Headers],[7]],tabela_registros[REGISTRO],DADOS!$N$6,tabela_registros[TIPO],DADOS!$AJ$4,tabela_registros[CATEGORIA],reservavariáveisconsolidadoago[[#This Row],[ATUAL]])</f>
        <v>0</v>
      </c>
      <c r="L195" s="91">
        <f>SUMIFS(tabela_registros[VALOR],tabela_registros[MÊS],$AE$1,tabela_registros[DIA],reservavariáveisconsolidadoago[[#Headers],[8]],tabela_registros[REGISTRO],DADOS!$N$6,tabela_registros[TIPO],DADOS!$AJ$4,tabela_registros[CATEGORIA],reservavariáveisconsolidadoago[[#This Row],[ATUAL]])</f>
        <v>0</v>
      </c>
      <c r="M195" s="91">
        <f>SUMIFS(tabela_registros[VALOR],tabela_registros[MÊS],$AE$1,tabela_registros[DIA],reservavariáveisconsolidadoago[[#Headers],[9]],tabela_registros[REGISTRO],DADOS!$N$6,tabela_registros[TIPO],DADOS!$AJ$4,tabela_registros[CATEGORIA],reservavariáveisconsolidadoago[[#This Row],[ATUAL]])</f>
        <v>0</v>
      </c>
      <c r="N195" s="91">
        <f>SUMIFS(tabela_registros[VALOR],tabela_registros[MÊS],$AE$1,tabela_registros[DIA],reservavariáveisconsolidadoago[[#Headers],[10]],tabela_registros[REGISTRO],DADOS!$N$6,tabela_registros[TIPO],DADOS!$AJ$4,tabela_registros[CATEGORIA],reservavariáveisconsolidadoago[[#This Row],[ATUAL]])</f>
        <v>0</v>
      </c>
      <c r="O195" s="91">
        <f>SUMIFS(tabela_registros[VALOR],tabela_registros[MÊS],$AE$1,tabela_registros[DIA],reservavariáveisconsolidadoago[[#Headers],[11]],tabela_registros[REGISTRO],DADOS!$N$6,tabela_registros[TIPO],DADOS!$AJ$4,tabela_registros[CATEGORIA],reservavariáveisconsolidadoago[[#This Row],[ATUAL]])</f>
        <v>0</v>
      </c>
      <c r="P195" s="91">
        <f>SUMIFS(tabela_registros[VALOR],tabela_registros[MÊS],$AE$1,tabela_registros[DIA],reservavariáveisconsolidadoago[[#Headers],[12]],tabela_registros[REGISTRO],DADOS!$N$6,tabela_registros[TIPO],DADOS!$AJ$4,tabela_registros[CATEGORIA],reservavariáveisconsolidadoago[[#This Row],[ATUAL]])</f>
        <v>0</v>
      </c>
      <c r="Q195" s="91">
        <f>SUMIFS(tabela_registros[VALOR],tabela_registros[MÊS],$AE$1,tabela_registros[DIA],reservavariáveisconsolidadoago[[#Headers],[13]],tabela_registros[REGISTRO],DADOS!$N$6,tabela_registros[TIPO],DADOS!$AJ$4,tabela_registros[CATEGORIA],reservavariáveisconsolidadoago[[#This Row],[ATUAL]])</f>
        <v>0</v>
      </c>
      <c r="R195" s="91">
        <f>SUMIFS(tabela_registros[VALOR],tabela_registros[MÊS],$AE$1,tabela_registros[DIA],reservavariáveisconsolidadoago[[#Headers],[14]],tabela_registros[REGISTRO],DADOS!$N$6,tabela_registros[TIPO],DADOS!$AJ$4,tabela_registros[CATEGORIA],reservavariáveisconsolidadoago[[#This Row],[ATUAL]])</f>
        <v>0</v>
      </c>
      <c r="S195" s="91">
        <f>SUMIFS(tabela_registros[VALOR],tabela_registros[MÊS],$AE$1,tabela_registros[DIA],reservavariáveisconsolidadoago[[#Headers],[15]],tabela_registros[REGISTRO],DADOS!$N$6,tabela_registros[TIPO],DADOS!$AJ$4,tabela_registros[CATEGORIA],reservavariáveisconsolidadoago[[#This Row],[ATUAL]])</f>
        <v>0</v>
      </c>
      <c r="T195" s="91">
        <f>SUMIFS(tabela_registros[VALOR],tabela_registros[MÊS],$AE$1,tabela_registros[DIA],reservavariáveisconsolidadoago[[#Headers],[16]],tabela_registros[REGISTRO],DADOS!$N$6,tabela_registros[TIPO],DADOS!$AJ$4,tabela_registros[CATEGORIA],reservavariáveisconsolidadoago[[#This Row],[ATUAL]])</f>
        <v>0</v>
      </c>
      <c r="U195" s="91">
        <f>SUMIFS(tabela_registros[VALOR],tabela_registros[MÊS],$AE$1,tabela_registros[DIA],reservavariáveisconsolidadoago[[#Headers],[17]],tabela_registros[REGISTRO],DADOS!$N$6,tabela_registros[TIPO],DADOS!$AJ$4,tabela_registros[CATEGORIA],reservavariáveisconsolidadoago[[#This Row],[ATUAL]])</f>
        <v>0</v>
      </c>
      <c r="V195" s="91">
        <f>SUMIFS(tabela_registros[VALOR],tabela_registros[MÊS],$AE$1,tabela_registros[DIA],reservavariáveisconsolidadoago[[#Headers],[18]],tabela_registros[REGISTRO],DADOS!$N$6,tabela_registros[TIPO],DADOS!$AJ$4,tabela_registros[CATEGORIA],reservavariáveisconsolidadoago[[#This Row],[ATUAL]])</f>
        <v>0</v>
      </c>
      <c r="W195" s="91">
        <f>SUMIFS(tabela_registros[VALOR],tabela_registros[MÊS],$AE$1,tabela_registros[DIA],reservavariáveisconsolidadoago[[#Headers],[19]],tabela_registros[REGISTRO],DADOS!$N$6,tabela_registros[TIPO],DADOS!$AJ$4,tabela_registros[CATEGORIA],reservavariáveisconsolidadoago[[#This Row],[ATUAL]])</f>
        <v>0</v>
      </c>
      <c r="X195" s="91">
        <f>SUMIFS(tabela_registros[VALOR],tabela_registros[MÊS],$AE$1,tabela_registros[DIA],reservavariáveisconsolidadoago[[#Headers],[20]],tabela_registros[REGISTRO],DADOS!$N$6,tabela_registros[TIPO],DADOS!$AJ$4,tabela_registros[CATEGORIA],reservavariáveisconsolidadoago[[#This Row],[ATUAL]])</f>
        <v>0</v>
      </c>
      <c r="Y195" s="91">
        <f>SUMIFS(tabela_registros[VALOR],tabela_registros[MÊS],$AE$1,tabela_registros[DIA],reservavariáveisconsolidadoago[[#Headers],[21]],tabela_registros[REGISTRO],DADOS!$N$6,tabela_registros[TIPO],DADOS!$AJ$4,tabela_registros[CATEGORIA],reservavariáveisconsolidadoago[[#This Row],[ATUAL]])</f>
        <v>0</v>
      </c>
      <c r="Z195" s="91">
        <f>SUMIFS(tabela_registros[VALOR],tabela_registros[MÊS],$AE$1,tabela_registros[DIA],reservavariáveisconsolidadoago[[#Headers],[22]],tabela_registros[REGISTRO],DADOS!$N$6,tabela_registros[TIPO],DADOS!$AJ$4,tabela_registros[CATEGORIA],reservavariáveisconsolidadoago[[#This Row],[ATUAL]])</f>
        <v>0</v>
      </c>
      <c r="AA195" s="91">
        <f>SUMIFS(tabela_registros[VALOR],tabela_registros[MÊS],$AE$1,tabela_registros[DIA],reservavariáveisconsolidadoago[[#Headers],[23]],tabela_registros[REGISTRO],DADOS!$N$6,tabela_registros[TIPO],DADOS!$AJ$4,tabela_registros[CATEGORIA],reservavariáveisconsolidadoago[[#This Row],[ATUAL]])</f>
        <v>0</v>
      </c>
      <c r="AB195" s="91">
        <f>SUMIFS(tabela_registros[VALOR],tabela_registros[MÊS],$AE$1,tabela_registros[DIA],reservavariáveisconsolidadoago[[#Headers],[24]],tabela_registros[REGISTRO],DADOS!$N$6,tabela_registros[TIPO],DADOS!$AJ$4,tabela_registros[CATEGORIA],reservavariáveisconsolidadoago[[#This Row],[ATUAL]])</f>
        <v>0</v>
      </c>
      <c r="AC195" s="91">
        <f>SUMIFS(tabela_registros[VALOR],tabela_registros[MÊS],$AE$1,tabela_registros[DIA],reservavariáveisconsolidadoago[[#Headers],[25]],tabela_registros[REGISTRO],DADOS!$N$6,tabela_registros[TIPO],DADOS!$AJ$4,tabela_registros[CATEGORIA],reservavariáveisconsolidadoago[[#This Row],[ATUAL]])</f>
        <v>0</v>
      </c>
      <c r="AD195" s="91">
        <f>SUMIFS(tabela_registros[VALOR],tabela_registros[MÊS],$AE$1,tabela_registros[DIA],reservavariáveisconsolidadoago[[#Headers],[26]],tabela_registros[REGISTRO],DADOS!$N$6,tabela_registros[TIPO],DADOS!$AJ$4,tabela_registros[CATEGORIA],reservavariáveisconsolidadoago[[#This Row],[ATUAL]])</f>
        <v>0</v>
      </c>
      <c r="AE195" s="91">
        <f>SUMIFS(tabela_registros[VALOR],tabela_registros[MÊS],$AE$1,tabela_registros[DIA],reservavariáveisconsolidadoago[[#Headers],[27]],tabela_registros[REGISTRO],DADOS!$N$6,tabela_registros[TIPO],DADOS!$AJ$4,tabela_registros[CATEGORIA],reservavariáveisconsolidadoago[[#This Row],[ATUAL]])</f>
        <v>0</v>
      </c>
      <c r="AF195" s="91">
        <f>SUMIFS(tabela_registros[VALOR],tabela_registros[MÊS],$AE$1,tabela_registros[DIA],reservavariáveisconsolidadoago[[#Headers],[28]],tabela_registros[REGISTRO],DADOS!$N$6,tabela_registros[TIPO],DADOS!$AJ$4,tabela_registros[CATEGORIA],reservavariáveisconsolidadoago[[#This Row],[ATUAL]])</f>
        <v>0</v>
      </c>
      <c r="AG195" s="91">
        <f>SUMIFS(tabela_registros[VALOR],tabela_registros[MÊS],$AE$1,tabela_registros[DIA],reservavariáveisconsolidadoago[[#Headers],[29]],tabela_registros[REGISTRO],DADOS!$N$6,tabela_registros[TIPO],DADOS!$AJ$4,tabela_registros[CATEGORIA],reservavariáveisconsolidadoago[[#This Row],[ATUAL]])</f>
        <v>0</v>
      </c>
      <c r="AH195" s="91">
        <f>SUMIFS(tabela_registros[VALOR],tabela_registros[MÊS],$AE$1,tabela_registros[DIA],reservavariáveisconsolidadoago[[#Headers],[30]],tabela_registros[REGISTRO],DADOS!$N$6,tabela_registros[TIPO],DADOS!$AJ$4,tabela_registros[CATEGORIA],reservavariáveisconsolidadoago[[#This Row],[ATUAL]])</f>
        <v>0</v>
      </c>
      <c r="AI195" s="101">
        <f>SUMIFS(tabela_registros[VALOR],tabela_registros[MÊS],$AE$1,tabela_registros[DIA],reservavariáveisconsolidadoago[[#Headers],[31]],tabela_registros[REGISTRO],DADOS!$N$6,tabela_registros[TIPO],DADOS!$AJ$4,tabela_registros[CATEGORIA],reservavariáveisconsolidadoago[[#This Row],[ATUAL]])</f>
        <v>0</v>
      </c>
      <c r="AJ195" s="97">
        <f>SUM(reservavariáveisconsolidadoago[[#This Row],[1]:[31]])</f>
        <v>0</v>
      </c>
      <c r="AK195" s="25"/>
    </row>
    <row r="196" spans="2:37" ht="19.5" customHeight="1" thickTop="1" thickBot="1" x14ac:dyDescent="0.3">
      <c r="B196" s="28"/>
      <c r="C196" s="27" t="str">
        <f>DADOS!$AN$12</f>
        <v>📎 OUTROS</v>
      </c>
      <c r="D196" s="26" t="str">
        <f>IF(reservavariáveisconsolidadoago[[#This Row],[TOTAL (R$)]]=0,"",IF(OR(reservavariáveisconsolidadoago[[#This Row],[TOTAL (R$)]]=LARGE($AJ$187:$AJ$196,1),reservavariáveisconsolidadoago[[#This Row],[TOTAL (R$)]]=LARGE($AJ$187:$AJ$196,2)),DADOS!$I$11,""))</f>
        <v/>
      </c>
      <c r="E196" s="96">
        <f>SUMIFS(tabela_registros[VALOR],tabela_registros[MÊS],$AE$1,tabela_registros[DIA],reservavariáveisconsolidadoago[[#Headers],[1]],tabela_registros[REGISTRO],DADOS!$N$6,tabela_registros[TIPO],DADOS!$AJ$4,tabela_registros[CATEGORIA],reservavariáveisconsolidadoago[[#This Row],[ATUAL]])</f>
        <v>0</v>
      </c>
      <c r="F196" s="91">
        <f>SUMIFS(tabela_registros[VALOR],tabela_registros[MÊS],$AE$1,tabela_registros[DIA],reservavariáveisconsolidadoago[[#Headers],[2]],tabela_registros[REGISTRO],DADOS!$N$6,tabela_registros[TIPO],DADOS!$AJ$4,tabela_registros[CATEGORIA],reservavariáveisconsolidadoago[[#This Row],[ATUAL]])</f>
        <v>0</v>
      </c>
      <c r="G196" s="91">
        <f>SUMIFS(tabela_registros[VALOR],tabela_registros[MÊS],$AE$1,tabela_registros[DIA],reservavariáveisconsolidadoago[[#Headers],[3]],tabela_registros[REGISTRO],DADOS!$N$6,tabela_registros[TIPO],DADOS!$AJ$4,tabela_registros[CATEGORIA],reservavariáveisconsolidadoago[[#This Row],[ATUAL]])</f>
        <v>0</v>
      </c>
      <c r="H196" s="91">
        <f>SUMIFS(tabela_registros[VALOR],tabela_registros[MÊS],$AE$1,tabela_registros[DIA],reservavariáveisconsolidadoago[[#Headers],[4]],tabela_registros[REGISTRO],DADOS!$N$6,tabela_registros[TIPO],DADOS!$AJ$4,tabela_registros[CATEGORIA],reservavariáveisconsolidadoago[[#This Row],[ATUAL]])</f>
        <v>0</v>
      </c>
      <c r="I196" s="91">
        <f>SUMIFS(tabela_registros[VALOR],tabela_registros[MÊS],$AE$1,tabela_registros[DIA],reservavariáveisconsolidadoago[[#Headers],[5]],tabela_registros[REGISTRO],DADOS!$N$6,tabela_registros[TIPO],DADOS!$AJ$4,tabela_registros[CATEGORIA],reservavariáveisconsolidadoago[[#This Row],[ATUAL]])</f>
        <v>0</v>
      </c>
      <c r="J196" s="91">
        <f>SUMIFS(tabela_registros[VALOR],tabela_registros[MÊS],$AE$1,tabela_registros[DIA],reservavariáveisconsolidadoago[[#Headers],[6]],tabela_registros[REGISTRO],DADOS!$N$6,tabela_registros[TIPO],DADOS!$AJ$4,tabela_registros[CATEGORIA],reservavariáveisconsolidadoago[[#This Row],[ATUAL]])</f>
        <v>0</v>
      </c>
      <c r="K196" s="91">
        <f>SUMIFS(tabela_registros[VALOR],tabela_registros[MÊS],$AE$1,tabela_registros[DIA],reservavariáveisconsolidadoago[[#Headers],[7]],tabela_registros[REGISTRO],DADOS!$N$6,tabela_registros[TIPO],DADOS!$AJ$4,tabela_registros[CATEGORIA],reservavariáveisconsolidadoago[[#This Row],[ATUAL]])</f>
        <v>0</v>
      </c>
      <c r="L196" s="91">
        <f>SUMIFS(tabela_registros[VALOR],tabela_registros[MÊS],$AE$1,tabela_registros[DIA],reservavariáveisconsolidadoago[[#Headers],[8]],tabela_registros[REGISTRO],DADOS!$N$6,tabela_registros[TIPO],DADOS!$AJ$4,tabela_registros[CATEGORIA],reservavariáveisconsolidadoago[[#This Row],[ATUAL]])</f>
        <v>0</v>
      </c>
      <c r="M196" s="91">
        <f>SUMIFS(tabela_registros[VALOR],tabela_registros[MÊS],$AE$1,tabela_registros[DIA],reservavariáveisconsolidadoago[[#Headers],[9]],tabela_registros[REGISTRO],DADOS!$N$6,tabela_registros[TIPO],DADOS!$AJ$4,tabela_registros[CATEGORIA],reservavariáveisconsolidadoago[[#This Row],[ATUAL]])</f>
        <v>0</v>
      </c>
      <c r="N196" s="91">
        <f>SUMIFS(tabela_registros[VALOR],tabela_registros[MÊS],$AE$1,tabela_registros[DIA],reservavariáveisconsolidadoago[[#Headers],[10]],tabela_registros[REGISTRO],DADOS!$N$6,tabela_registros[TIPO],DADOS!$AJ$4,tabela_registros[CATEGORIA],reservavariáveisconsolidadoago[[#This Row],[ATUAL]])</f>
        <v>0</v>
      </c>
      <c r="O196" s="91">
        <f>SUMIFS(tabela_registros[VALOR],tabela_registros[MÊS],$AE$1,tabela_registros[DIA],reservavariáveisconsolidadoago[[#Headers],[11]],tabela_registros[REGISTRO],DADOS!$N$6,tabela_registros[TIPO],DADOS!$AJ$4,tabela_registros[CATEGORIA],reservavariáveisconsolidadoago[[#This Row],[ATUAL]])</f>
        <v>0</v>
      </c>
      <c r="P196" s="91">
        <f>SUMIFS(tabela_registros[VALOR],tabela_registros[MÊS],$AE$1,tabela_registros[DIA],reservavariáveisconsolidadoago[[#Headers],[12]],tabela_registros[REGISTRO],DADOS!$N$6,tabela_registros[TIPO],DADOS!$AJ$4,tabela_registros[CATEGORIA],reservavariáveisconsolidadoago[[#This Row],[ATUAL]])</f>
        <v>0</v>
      </c>
      <c r="Q196" s="91">
        <f>SUMIFS(tabela_registros[VALOR],tabela_registros[MÊS],$AE$1,tabela_registros[DIA],reservavariáveisconsolidadoago[[#Headers],[13]],tabela_registros[REGISTRO],DADOS!$N$6,tabela_registros[TIPO],DADOS!$AJ$4,tabela_registros[CATEGORIA],reservavariáveisconsolidadoago[[#This Row],[ATUAL]])</f>
        <v>0</v>
      </c>
      <c r="R196" s="91">
        <f>SUMIFS(tabela_registros[VALOR],tabela_registros[MÊS],$AE$1,tabela_registros[DIA],reservavariáveisconsolidadoago[[#Headers],[14]],tabela_registros[REGISTRO],DADOS!$N$6,tabela_registros[TIPO],DADOS!$AJ$4,tabela_registros[CATEGORIA],reservavariáveisconsolidadoago[[#This Row],[ATUAL]])</f>
        <v>0</v>
      </c>
      <c r="S196" s="91">
        <f>SUMIFS(tabela_registros[VALOR],tabela_registros[MÊS],$AE$1,tabela_registros[DIA],reservavariáveisconsolidadoago[[#Headers],[15]],tabela_registros[REGISTRO],DADOS!$N$6,tabela_registros[TIPO],DADOS!$AJ$4,tabela_registros[CATEGORIA],reservavariáveisconsolidadoago[[#This Row],[ATUAL]])</f>
        <v>0</v>
      </c>
      <c r="T196" s="91">
        <f>SUMIFS(tabela_registros[VALOR],tabela_registros[MÊS],$AE$1,tabela_registros[DIA],reservavariáveisconsolidadoago[[#Headers],[16]],tabela_registros[REGISTRO],DADOS!$N$6,tabela_registros[TIPO],DADOS!$AJ$4,tabela_registros[CATEGORIA],reservavariáveisconsolidadoago[[#This Row],[ATUAL]])</f>
        <v>0</v>
      </c>
      <c r="U196" s="91">
        <f>SUMIFS(tabela_registros[VALOR],tabela_registros[MÊS],$AE$1,tabela_registros[DIA],reservavariáveisconsolidadoago[[#Headers],[17]],tabela_registros[REGISTRO],DADOS!$N$6,tabela_registros[TIPO],DADOS!$AJ$4,tabela_registros[CATEGORIA],reservavariáveisconsolidadoago[[#This Row],[ATUAL]])</f>
        <v>0</v>
      </c>
      <c r="V196" s="91">
        <f>SUMIFS(tabela_registros[VALOR],tabela_registros[MÊS],$AE$1,tabela_registros[DIA],reservavariáveisconsolidadoago[[#Headers],[18]],tabela_registros[REGISTRO],DADOS!$N$6,tabela_registros[TIPO],DADOS!$AJ$4,tabela_registros[CATEGORIA],reservavariáveisconsolidadoago[[#This Row],[ATUAL]])</f>
        <v>0</v>
      </c>
      <c r="W196" s="91">
        <f>SUMIFS(tabela_registros[VALOR],tabela_registros[MÊS],$AE$1,tabela_registros[DIA],reservavariáveisconsolidadoago[[#Headers],[19]],tabela_registros[REGISTRO],DADOS!$N$6,tabela_registros[TIPO],DADOS!$AJ$4,tabela_registros[CATEGORIA],reservavariáveisconsolidadoago[[#This Row],[ATUAL]])</f>
        <v>0</v>
      </c>
      <c r="X196" s="91">
        <f>SUMIFS(tabela_registros[VALOR],tabela_registros[MÊS],$AE$1,tabela_registros[DIA],reservavariáveisconsolidadoago[[#Headers],[20]],tabela_registros[REGISTRO],DADOS!$N$6,tabela_registros[TIPO],DADOS!$AJ$4,tabela_registros[CATEGORIA],reservavariáveisconsolidadoago[[#This Row],[ATUAL]])</f>
        <v>0</v>
      </c>
      <c r="Y196" s="91">
        <f>SUMIFS(tabela_registros[VALOR],tabela_registros[MÊS],$AE$1,tabela_registros[DIA],reservavariáveisconsolidadoago[[#Headers],[21]],tabela_registros[REGISTRO],DADOS!$N$6,tabela_registros[TIPO],DADOS!$AJ$4,tabela_registros[CATEGORIA],reservavariáveisconsolidadoago[[#This Row],[ATUAL]])</f>
        <v>0</v>
      </c>
      <c r="Z196" s="91">
        <f>SUMIFS(tabela_registros[VALOR],tabela_registros[MÊS],$AE$1,tabela_registros[DIA],reservavariáveisconsolidadoago[[#Headers],[22]],tabela_registros[REGISTRO],DADOS!$N$6,tabela_registros[TIPO],DADOS!$AJ$4,tabela_registros[CATEGORIA],reservavariáveisconsolidadoago[[#This Row],[ATUAL]])</f>
        <v>0</v>
      </c>
      <c r="AA196" s="91">
        <f>SUMIFS(tabela_registros[VALOR],tabela_registros[MÊS],$AE$1,tabela_registros[DIA],reservavariáveisconsolidadoago[[#Headers],[23]],tabela_registros[REGISTRO],DADOS!$N$6,tabela_registros[TIPO],DADOS!$AJ$4,tabela_registros[CATEGORIA],reservavariáveisconsolidadoago[[#This Row],[ATUAL]])</f>
        <v>0</v>
      </c>
      <c r="AB196" s="91">
        <f>SUMIFS(tabela_registros[VALOR],tabela_registros[MÊS],$AE$1,tabela_registros[DIA],reservavariáveisconsolidadoago[[#Headers],[24]],tabela_registros[REGISTRO],DADOS!$N$6,tabela_registros[TIPO],DADOS!$AJ$4,tabela_registros[CATEGORIA],reservavariáveisconsolidadoago[[#This Row],[ATUAL]])</f>
        <v>0</v>
      </c>
      <c r="AC196" s="91">
        <f>SUMIFS(tabela_registros[VALOR],tabela_registros[MÊS],$AE$1,tabela_registros[DIA],reservavariáveisconsolidadoago[[#Headers],[25]],tabela_registros[REGISTRO],DADOS!$N$6,tabela_registros[TIPO],DADOS!$AJ$4,tabela_registros[CATEGORIA],reservavariáveisconsolidadoago[[#This Row],[ATUAL]])</f>
        <v>0</v>
      </c>
      <c r="AD196" s="91">
        <f>SUMIFS(tabela_registros[VALOR],tabela_registros[MÊS],$AE$1,tabela_registros[DIA],reservavariáveisconsolidadoago[[#Headers],[26]],tabela_registros[REGISTRO],DADOS!$N$6,tabela_registros[TIPO],DADOS!$AJ$4,tabela_registros[CATEGORIA],reservavariáveisconsolidadoago[[#This Row],[ATUAL]])</f>
        <v>0</v>
      </c>
      <c r="AE196" s="91">
        <f>SUMIFS(tabela_registros[VALOR],tabela_registros[MÊS],$AE$1,tabela_registros[DIA],reservavariáveisconsolidadoago[[#Headers],[27]],tabela_registros[REGISTRO],DADOS!$N$6,tabela_registros[TIPO],DADOS!$AJ$4,tabela_registros[CATEGORIA],reservavariáveisconsolidadoago[[#This Row],[ATUAL]])</f>
        <v>0</v>
      </c>
      <c r="AF196" s="91">
        <f>SUMIFS(tabela_registros[VALOR],tabela_registros[MÊS],$AE$1,tabela_registros[DIA],reservavariáveisconsolidadoago[[#Headers],[28]],tabela_registros[REGISTRO],DADOS!$N$6,tabela_registros[TIPO],DADOS!$AJ$4,tabela_registros[CATEGORIA],reservavariáveisconsolidadoago[[#This Row],[ATUAL]])</f>
        <v>0</v>
      </c>
      <c r="AG196" s="91">
        <f>SUMIFS(tabela_registros[VALOR],tabela_registros[MÊS],$AE$1,tabela_registros[DIA],reservavariáveisconsolidadoago[[#Headers],[29]],tabela_registros[REGISTRO],DADOS!$N$6,tabela_registros[TIPO],DADOS!$AJ$4,tabela_registros[CATEGORIA],reservavariáveisconsolidadoago[[#This Row],[ATUAL]])</f>
        <v>0</v>
      </c>
      <c r="AH196" s="91">
        <f>SUMIFS(tabela_registros[VALOR],tabela_registros[MÊS],$AE$1,tabela_registros[DIA],reservavariáveisconsolidadoago[[#Headers],[30]],tabela_registros[REGISTRO],DADOS!$N$6,tabela_registros[TIPO],DADOS!$AJ$4,tabela_registros[CATEGORIA],reservavariáveisconsolidadoago[[#This Row],[ATUAL]])</f>
        <v>0</v>
      </c>
      <c r="AI196" s="102">
        <f>SUMIFS(tabela_registros[VALOR],tabela_registros[MÊS],$AE$1,tabela_registros[DIA],reservavariáveisconsolidadoago[[#Headers],[31]],tabela_registros[REGISTRO],DADOS!$N$6,tabela_registros[TIPO],DADOS!$AJ$4,tabela_registros[CATEGORIA],reservavariáveisconsolidadoago[[#This Row],[ATUAL]])</f>
        <v>0</v>
      </c>
      <c r="AJ196" s="97">
        <f>SUM(reservavariáveisconsolidadoago[[#This Row],[1]:[31]])</f>
        <v>0</v>
      </c>
      <c r="AK196" s="25"/>
    </row>
    <row r="197" spans="2:37" s="16" customFormat="1" ht="21" customHeight="1" thickTop="1" thickBot="1" x14ac:dyDescent="0.35">
      <c r="B197" s="24"/>
      <c r="C197" s="23" t="s">
        <v>19</v>
      </c>
      <c r="D197" s="22"/>
      <c r="E197" s="21">
        <f>SUM(E187:E196)</f>
        <v>0</v>
      </c>
      <c r="F197" s="20">
        <f>SUM(F187:F196)+reservavariáveisconsolidadoago[[#This Row],[1]]</f>
        <v>0</v>
      </c>
      <c r="G197" s="20">
        <f>SUM(G187:G196)+reservavariáveisconsolidadoago[[#This Row],[2]]</f>
        <v>0</v>
      </c>
      <c r="H197" s="20">
        <f>SUM(H187:H196)+reservavariáveisconsolidadoago[[#This Row],[3]]</f>
        <v>0</v>
      </c>
      <c r="I197" s="20">
        <f>SUM(I187:I196)+reservavariáveisconsolidadoago[[#This Row],[4]]</f>
        <v>0</v>
      </c>
      <c r="J197" s="20">
        <f>SUM(J187:J196)+reservavariáveisconsolidadoago[[#This Row],[5]]</f>
        <v>0</v>
      </c>
      <c r="K197" s="20">
        <f>SUM(K187:K196)+reservavariáveisconsolidadoago[[#This Row],[6]]</f>
        <v>0</v>
      </c>
      <c r="L197" s="20">
        <f>SUM(L187:L196)+reservavariáveisconsolidadoago[[#This Row],[7]]</f>
        <v>0</v>
      </c>
      <c r="M197" s="20">
        <f>SUM(M187:M196)+reservavariáveisconsolidadoago[[#This Row],[8]]</f>
        <v>0</v>
      </c>
      <c r="N197" s="20">
        <f>SUM(N187:N196)+reservavariáveisconsolidadoago[[#This Row],[9]]</f>
        <v>0</v>
      </c>
      <c r="O197" s="20">
        <f>SUM(O187:O196)+reservavariáveisconsolidadoago[[#This Row],[10]]</f>
        <v>0</v>
      </c>
      <c r="P197" s="20">
        <f>SUM(P187:P196)+reservavariáveisconsolidadoago[[#This Row],[11]]</f>
        <v>0</v>
      </c>
      <c r="Q197" s="20">
        <f>SUM(Q187:Q196)+reservavariáveisconsolidadoago[[#This Row],[12]]</f>
        <v>0</v>
      </c>
      <c r="R197" s="20">
        <f>SUM(R187:R196)+reservavariáveisconsolidadoago[[#This Row],[13]]</f>
        <v>0</v>
      </c>
      <c r="S197" s="20">
        <f>SUM(S187:S196)+reservavariáveisconsolidadoago[[#This Row],[14]]</f>
        <v>0</v>
      </c>
      <c r="T197" s="20">
        <f>SUM(T187:T196)+reservavariáveisconsolidadoago[[#This Row],[15]]</f>
        <v>0</v>
      </c>
      <c r="U197" s="20">
        <f>SUM(U187:U196)+reservavariáveisconsolidadoago[[#This Row],[16]]</f>
        <v>0</v>
      </c>
      <c r="V197" s="20">
        <f>SUM(V187:V196)+reservavariáveisconsolidadoago[[#This Row],[17]]</f>
        <v>0</v>
      </c>
      <c r="W197" s="20">
        <f>SUM(W187:W196)+reservavariáveisconsolidadoago[[#This Row],[18]]</f>
        <v>0</v>
      </c>
      <c r="X197" s="20">
        <f>SUM(X187:X196)+reservavariáveisconsolidadoago[[#This Row],[19]]</f>
        <v>0</v>
      </c>
      <c r="Y197" s="20">
        <f>SUM(Y187:Y196)+reservavariáveisconsolidadoago[[#This Row],[20]]</f>
        <v>0</v>
      </c>
      <c r="Z197" s="20">
        <f>SUM(Z187:Z196)+reservavariáveisconsolidadoago[[#This Row],[21]]</f>
        <v>0</v>
      </c>
      <c r="AA197" s="20">
        <f>SUM(AA187:AA196)+reservavariáveisconsolidadoago[[#This Row],[22]]</f>
        <v>0</v>
      </c>
      <c r="AB197" s="20">
        <f>SUM(AB187:AB196)+reservavariáveisconsolidadoago[[#This Row],[23]]</f>
        <v>0</v>
      </c>
      <c r="AC197" s="20">
        <f>SUM(AC187:AC196)+reservavariáveisconsolidadoago[[#This Row],[24]]</f>
        <v>0</v>
      </c>
      <c r="AD197" s="20">
        <f>SUM(AD187:AD196)+reservavariáveisconsolidadoago[[#This Row],[25]]</f>
        <v>0</v>
      </c>
      <c r="AE197" s="20">
        <f>SUM(AE187:AE196)+reservavariáveisconsolidadoago[[#This Row],[26]]</f>
        <v>0</v>
      </c>
      <c r="AF197" s="20">
        <f>SUM(AF187:AF196)+reservavariáveisconsolidadoago[[#This Row],[27]]</f>
        <v>0</v>
      </c>
      <c r="AG197" s="20">
        <f>SUM(AG187:AG196)+reservavariáveisconsolidadoago[[#This Row],[28]]</f>
        <v>0</v>
      </c>
      <c r="AH197" s="20">
        <f>SUM(AH187:AH196)+reservavariáveisconsolidadoago[[#This Row],[29]]</f>
        <v>0</v>
      </c>
      <c r="AI197" s="19">
        <f>SUM(AI187:AI196)+reservavariáveisconsolidadoago[[#This Row],[30]]</f>
        <v>0</v>
      </c>
      <c r="AJ197" s="18">
        <f>reservavariáveisconsolidadoago[[#This Row],[31]]</f>
        <v>0</v>
      </c>
      <c r="AK197" s="17"/>
    </row>
    <row r="198" spans="2:37" ht="6.75" customHeight="1" thickTop="1" thickBot="1" x14ac:dyDescent="0.3">
      <c r="B198" s="15"/>
      <c r="C198" s="14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  <c r="AC198" s="13"/>
      <c r="AD198" s="13"/>
      <c r="AE198" s="13"/>
      <c r="AF198" s="13"/>
      <c r="AG198" s="13"/>
      <c r="AH198" s="13"/>
      <c r="AI198" s="12"/>
      <c r="AJ198" s="11"/>
      <c r="AK198" s="10"/>
    </row>
    <row r="199" spans="2:37" ht="12.6" thickTop="1" x14ac:dyDescent="0.25">
      <c r="E199" s="37"/>
      <c r="AI199" s="4"/>
    </row>
    <row r="200" spans="2:37" x14ac:dyDescent="0.25">
      <c r="AI200" s="4"/>
    </row>
    <row r="201" spans="2:37" x14ac:dyDescent="0.25">
      <c r="AI201" s="4"/>
    </row>
    <row r="202" spans="2:37" ht="39.75" customHeight="1" x14ac:dyDescent="0.7">
      <c r="C202" s="36"/>
      <c r="E202" s="240"/>
      <c r="F202" s="240"/>
      <c r="G202" s="240"/>
      <c r="H202" s="240"/>
      <c r="I202" s="240"/>
      <c r="J202" s="240"/>
      <c r="K202" s="240"/>
      <c r="L202" s="240"/>
      <c r="M202" s="240"/>
      <c r="N202" s="240"/>
      <c r="O202" s="240"/>
      <c r="P202" s="240"/>
      <c r="Q202" s="240"/>
      <c r="R202" s="240"/>
      <c r="S202" s="240"/>
      <c r="T202" s="240"/>
      <c r="U202" s="240"/>
      <c r="V202" s="240"/>
      <c r="W202" s="240"/>
      <c r="X202" s="240"/>
      <c r="Y202" s="240"/>
      <c r="Z202" s="240"/>
      <c r="AA202" s="240"/>
      <c r="AB202" s="240"/>
      <c r="AC202" s="240"/>
      <c r="AD202" s="240"/>
      <c r="AE202" s="240"/>
      <c r="AF202" s="240"/>
      <c r="AG202" s="240"/>
      <c r="AH202" s="240"/>
      <c r="AI202" s="240"/>
      <c r="AJ202" s="32" t="s">
        <v>19</v>
      </c>
    </row>
    <row r="203" spans="2:37" ht="12.6" thickBot="1" x14ac:dyDescent="0.3">
      <c r="B203" s="35"/>
      <c r="AI203" s="4"/>
      <c r="AJ203" s="34" t="s">
        <v>202</v>
      </c>
    </row>
    <row r="204" spans="2:37" ht="6.75" customHeight="1" thickTop="1" thickBot="1" x14ac:dyDescent="0.3">
      <c r="B204" s="2"/>
      <c r="C204" s="14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3"/>
      <c r="AD204" s="13"/>
      <c r="AE204" s="13"/>
      <c r="AF204" s="13"/>
      <c r="AG204" s="13"/>
      <c r="AH204" s="13"/>
      <c r="AI204" s="13"/>
      <c r="AJ204" s="12"/>
      <c r="AK204" s="33"/>
    </row>
    <row r="205" spans="2:37" ht="13.2" hidden="1" thickTop="1" thickBot="1" x14ac:dyDescent="0.3">
      <c r="B205" s="2"/>
      <c r="C205" s="31" t="s">
        <v>199</v>
      </c>
      <c r="D205" s="30" t="s">
        <v>198</v>
      </c>
      <c r="E205" s="30" t="s">
        <v>197</v>
      </c>
      <c r="F205" s="30" t="s">
        <v>196</v>
      </c>
      <c r="G205" s="30" t="s">
        <v>195</v>
      </c>
      <c r="H205" s="30" t="s">
        <v>194</v>
      </c>
      <c r="I205" s="30" t="s">
        <v>193</v>
      </c>
      <c r="J205" s="30" t="s">
        <v>192</v>
      </c>
      <c r="K205" s="30" t="s">
        <v>191</v>
      </c>
      <c r="L205" s="30" t="s">
        <v>190</v>
      </c>
      <c r="M205" s="30" t="s">
        <v>189</v>
      </c>
      <c r="N205" s="30" t="s">
        <v>188</v>
      </c>
      <c r="O205" s="30" t="s">
        <v>187</v>
      </c>
      <c r="P205" s="30" t="s">
        <v>186</v>
      </c>
      <c r="Q205" s="30" t="s">
        <v>185</v>
      </c>
      <c r="R205" s="30" t="s">
        <v>184</v>
      </c>
      <c r="S205" s="30" t="s">
        <v>183</v>
      </c>
      <c r="T205" s="30" t="s">
        <v>182</v>
      </c>
      <c r="U205" s="30" t="s">
        <v>181</v>
      </c>
      <c r="V205" s="30" t="s">
        <v>180</v>
      </c>
      <c r="W205" s="30" t="s">
        <v>179</v>
      </c>
      <c r="X205" s="30" t="s">
        <v>178</v>
      </c>
      <c r="Y205" s="30" t="s">
        <v>177</v>
      </c>
      <c r="Z205" s="30" t="s">
        <v>176</v>
      </c>
      <c r="AA205" s="30" t="s">
        <v>175</v>
      </c>
      <c r="AB205" s="30" t="s">
        <v>174</v>
      </c>
      <c r="AC205" s="30" t="s">
        <v>173</v>
      </c>
      <c r="AD205" s="30" t="s">
        <v>172</v>
      </c>
      <c r="AE205" s="30" t="s">
        <v>171</v>
      </c>
      <c r="AF205" s="30" t="s">
        <v>170</v>
      </c>
      <c r="AG205" s="30" t="s">
        <v>169</v>
      </c>
      <c r="AH205" s="30" t="s">
        <v>168</v>
      </c>
      <c r="AI205" s="30" t="s">
        <v>167</v>
      </c>
      <c r="AJ205" s="29" t="s">
        <v>166</v>
      </c>
      <c r="AK205" s="2"/>
    </row>
    <row r="206" spans="2:37" ht="19.5" customHeight="1" thickTop="1" thickBot="1" x14ac:dyDescent="0.3">
      <c r="B206" s="28"/>
      <c r="C206" s="27" t="str">
        <f>DADOS!$AP$3</f>
        <v>📝 COE</v>
      </c>
      <c r="D206" s="26" t="str">
        <f>IF(reservaoutrosconsolidadoago[[#This Row],[TOTAL (R$)]]=0,"",IF(OR(reservaoutrosconsolidadoago[[#This Row],[TOTAL (R$)]]=LARGE($AJ$206:$AJ$213,1),reservaoutrosconsolidadoago[[#This Row],[TOTAL (R$)]]=LARGE($AJ$206:$AJ$213,2)),DADOS!$I$11,""))</f>
        <v/>
      </c>
      <c r="E206" s="96">
        <f>SUMIFS(tabela_registros[VALOR],tabela_registros[MÊS],$AE$1,tabela_registros[DIA],reservaoutrosconsolidadoago[[#Headers],[1]],tabela_registros[REGISTRO],DADOS!$N$6,tabela_registros[TIPO],DADOS!$AJ$5,tabela_registros[CATEGORIA],reservaoutrosconsolidadoago[[#This Row],[ATUAL]])</f>
        <v>0</v>
      </c>
      <c r="F206" s="91">
        <f>SUMIFS(tabela_registros[VALOR],tabela_registros[MÊS],$AE$1,tabela_registros[DIA],reservaoutrosconsolidadoago[[#Headers],[2]],tabela_registros[REGISTRO],DADOS!$N$6,tabela_registros[TIPO],DADOS!$AJ$5,tabela_registros[CATEGORIA],reservaoutrosconsolidadoago[[#This Row],[ATUAL]])</f>
        <v>0</v>
      </c>
      <c r="G206" s="91">
        <f>SUMIFS(tabela_registros[VALOR],tabela_registros[MÊS],$AE$1,tabela_registros[DIA],reservaoutrosconsolidadoago[[#Headers],[3]],tabela_registros[REGISTRO],DADOS!$N$6,tabela_registros[TIPO],DADOS!$AJ$5,tabela_registros[CATEGORIA],reservaoutrosconsolidadoago[[#This Row],[ATUAL]])</f>
        <v>0</v>
      </c>
      <c r="H206" s="91">
        <f>SUMIFS(tabela_registros[VALOR],tabela_registros[MÊS],$AE$1,tabela_registros[DIA],reservaoutrosconsolidadoago[[#Headers],[4]],tabela_registros[REGISTRO],DADOS!$N$6,tabela_registros[TIPO],DADOS!$AJ$5,tabela_registros[CATEGORIA],reservaoutrosconsolidadoago[[#This Row],[ATUAL]])</f>
        <v>0</v>
      </c>
      <c r="I206" s="91">
        <f>SUMIFS(tabela_registros[VALOR],tabela_registros[MÊS],$AE$1,tabela_registros[DIA],reservaoutrosconsolidadoago[[#Headers],[5]],tabela_registros[REGISTRO],DADOS!$N$6,tabela_registros[TIPO],DADOS!$AJ$5,tabela_registros[CATEGORIA],reservaoutrosconsolidadoago[[#This Row],[ATUAL]])</f>
        <v>0</v>
      </c>
      <c r="J206" s="91">
        <f>SUMIFS(tabela_registros[VALOR],tabela_registros[MÊS],$AE$1,tabela_registros[DIA],reservaoutrosconsolidadoago[[#Headers],[6]],tabela_registros[REGISTRO],DADOS!$N$6,tabela_registros[TIPO],DADOS!$AJ$5,tabela_registros[CATEGORIA],reservaoutrosconsolidadoago[[#This Row],[ATUAL]])</f>
        <v>0</v>
      </c>
      <c r="K206" s="91">
        <f>SUMIFS(tabela_registros[VALOR],tabela_registros[MÊS],$AE$1,tabela_registros[DIA],reservaoutrosconsolidadoago[[#Headers],[7]],tabela_registros[REGISTRO],DADOS!$N$6,tabela_registros[TIPO],DADOS!$AJ$5,tabela_registros[CATEGORIA],reservaoutrosconsolidadoago[[#This Row],[ATUAL]])</f>
        <v>0</v>
      </c>
      <c r="L206" s="91">
        <f>SUMIFS(tabela_registros[VALOR],tabela_registros[MÊS],$AE$1,tabela_registros[DIA],reservaoutrosconsolidadoago[[#Headers],[8]],tabela_registros[REGISTRO],DADOS!$N$6,tabela_registros[TIPO],DADOS!$AJ$5,tabela_registros[CATEGORIA],reservaoutrosconsolidadoago[[#This Row],[ATUAL]])</f>
        <v>0</v>
      </c>
      <c r="M206" s="91">
        <f>SUMIFS(tabela_registros[VALOR],tabela_registros[MÊS],$AE$1,tabela_registros[DIA],reservaoutrosconsolidadoago[[#Headers],[9]],tabela_registros[REGISTRO],DADOS!$N$6,tabela_registros[TIPO],DADOS!$AJ$5,tabela_registros[CATEGORIA],reservaoutrosconsolidadoago[[#This Row],[ATUAL]])</f>
        <v>0</v>
      </c>
      <c r="N206" s="91">
        <f>SUMIFS(tabela_registros[VALOR],tabela_registros[MÊS],$AE$1,tabela_registros[DIA],reservaoutrosconsolidadoago[[#Headers],[10]],tabela_registros[REGISTRO],DADOS!$N$6,tabela_registros[TIPO],DADOS!$AJ$5,tabela_registros[CATEGORIA],reservaoutrosconsolidadoago[[#This Row],[ATUAL]])</f>
        <v>0</v>
      </c>
      <c r="O206" s="91">
        <f>SUMIFS(tabela_registros[VALOR],tabela_registros[MÊS],$AE$1,tabela_registros[DIA],reservaoutrosconsolidadoago[[#Headers],[11]],tabela_registros[REGISTRO],DADOS!$N$6,tabela_registros[TIPO],DADOS!$AJ$5,tabela_registros[CATEGORIA],reservaoutrosconsolidadoago[[#This Row],[ATUAL]])</f>
        <v>0</v>
      </c>
      <c r="P206" s="91">
        <f>SUMIFS(tabela_registros[VALOR],tabela_registros[MÊS],$AE$1,tabela_registros[DIA],reservaoutrosconsolidadoago[[#Headers],[12]],tabela_registros[REGISTRO],DADOS!$N$6,tabela_registros[TIPO],DADOS!$AJ$5,tabela_registros[CATEGORIA],reservaoutrosconsolidadoago[[#This Row],[ATUAL]])</f>
        <v>0</v>
      </c>
      <c r="Q206" s="91">
        <f>SUMIFS(tabela_registros[VALOR],tabela_registros[MÊS],$AE$1,tabela_registros[DIA],reservaoutrosconsolidadoago[[#Headers],[13]],tabela_registros[REGISTRO],DADOS!$N$6,tabela_registros[TIPO],DADOS!$AJ$5,tabela_registros[CATEGORIA],reservaoutrosconsolidadoago[[#This Row],[ATUAL]])</f>
        <v>0</v>
      </c>
      <c r="R206" s="91">
        <f>SUMIFS(tabela_registros[VALOR],tabela_registros[MÊS],$AE$1,tabela_registros[DIA],reservaoutrosconsolidadoago[[#Headers],[14]],tabela_registros[REGISTRO],DADOS!$N$6,tabela_registros[TIPO],DADOS!$AJ$5,tabela_registros[CATEGORIA],reservaoutrosconsolidadoago[[#This Row],[ATUAL]])</f>
        <v>0</v>
      </c>
      <c r="S206" s="91">
        <f>SUMIFS(tabela_registros[VALOR],tabela_registros[MÊS],$AE$1,tabela_registros[DIA],reservaoutrosconsolidadoago[[#Headers],[15]],tabela_registros[REGISTRO],DADOS!$N$6,tabela_registros[TIPO],DADOS!$AJ$5,tabela_registros[CATEGORIA],reservaoutrosconsolidadoago[[#This Row],[ATUAL]])</f>
        <v>0</v>
      </c>
      <c r="T206" s="91">
        <f>SUMIFS(tabela_registros[VALOR],tabela_registros[MÊS],$AE$1,tabela_registros[DIA],reservaoutrosconsolidadoago[[#Headers],[16]],tabela_registros[REGISTRO],DADOS!$N$6,tabela_registros[TIPO],DADOS!$AJ$5,tabela_registros[CATEGORIA],reservaoutrosconsolidadoago[[#This Row],[ATUAL]])</f>
        <v>0</v>
      </c>
      <c r="U206" s="91">
        <f>SUMIFS(tabela_registros[VALOR],tabela_registros[MÊS],$AE$1,tabela_registros[DIA],reservaoutrosconsolidadoago[[#Headers],[17]],tabela_registros[REGISTRO],DADOS!$N$6,tabela_registros[TIPO],DADOS!$AJ$5,tabela_registros[CATEGORIA],reservaoutrosconsolidadoago[[#This Row],[ATUAL]])</f>
        <v>0</v>
      </c>
      <c r="V206" s="91">
        <f>SUMIFS(tabela_registros[VALOR],tabela_registros[MÊS],$AE$1,tabela_registros[DIA],reservaoutrosconsolidadoago[[#Headers],[18]],tabela_registros[REGISTRO],DADOS!$N$6,tabela_registros[TIPO],DADOS!$AJ$5,tabela_registros[CATEGORIA],reservaoutrosconsolidadoago[[#This Row],[ATUAL]])</f>
        <v>0</v>
      </c>
      <c r="W206" s="91">
        <f>SUMIFS(tabela_registros[VALOR],tabela_registros[MÊS],$AE$1,tabela_registros[DIA],reservaoutrosconsolidadoago[[#Headers],[19]],tabela_registros[REGISTRO],DADOS!$N$6,tabela_registros[TIPO],DADOS!$AJ$5,tabela_registros[CATEGORIA],reservaoutrosconsolidadoago[[#This Row],[ATUAL]])</f>
        <v>0</v>
      </c>
      <c r="X206" s="91">
        <f>SUMIFS(tabela_registros[VALOR],tabela_registros[MÊS],$AE$1,tabela_registros[DIA],reservaoutrosconsolidadoago[[#Headers],[20]],tabela_registros[REGISTRO],DADOS!$N$6,tabela_registros[TIPO],DADOS!$AJ$5,tabela_registros[CATEGORIA],reservaoutrosconsolidadoago[[#This Row],[ATUAL]])</f>
        <v>0</v>
      </c>
      <c r="Y206" s="91">
        <f>SUMIFS(tabela_registros[VALOR],tabela_registros[MÊS],$AE$1,tabela_registros[DIA],reservaoutrosconsolidadoago[[#Headers],[21]],tabela_registros[REGISTRO],DADOS!$N$6,tabela_registros[TIPO],DADOS!$AJ$5,tabela_registros[CATEGORIA],reservaoutrosconsolidadoago[[#This Row],[ATUAL]])</f>
        <v>0</v>
      </c>
      <c r="Z206" s="91">
        <f>SUMIFS(tabela_registros[VALOR],tabela_registros[MÊS],$AE$1,tabela_registros[DIA],reservaoutrosconsolidadoago[[#Headers],[22]],tabela_registros[REGISTRO],DADOS!$N$6,tabela_registros[TIPO],DADOS!$AJ$5,tabela_registros[CATEGORIA],reservaoutrosconsolidadoago[[#This Row],[ATUAL]])</f>
        <v>0</v>
      </c>
      <c r="AA206" s="91">
        <f>SUMIFS(tabela_registros[VALOR],tabela_registros[MÊS],$AE$1,tabela_registros[DIA],reservaoutrosconsolidadoago[[#Headers],[23]],tabela_registros[REGISTRO],DADOS!$N$6,tabela_registros[TIPO],DADOS!$AJ$5,tabela_registros[CATEGORIA],reservaoutrosconsolidadoago[[#This Row],[ATUAL]])</f>
        <v>0</v>
      </c>
      <c r="AB206" s="91">
        <f>SUMIFS(tabela_registros[VALOR],tabela_registros[MÊS],$AE$1,tabela_registros[DIA],reservaoutrosconsolidadoago[[#Headers],[24]],tabela_registros[REGISTRO],DADOS!$N$6,tabela_registros[TIPO],DADOS!$AJ$5,tabela_registros[CATEGORIA],reservaoutrosconsolidadoago[[#This Row],[ATUAL]])</f>
        <v>0</v>
      </c>
      <c r="AC206" s="91">
        <f>SUMIFS(tabela_registros[VALOR],tabela_registros[MÊS],$AE$1,tabela_registros[DIA],reservaoutrosconsolidadoago[[#Headers],[25]],tabela_registros[REGISTRO],DADOS!$N$6,tabela_registros[TIPO],DADOS!$AJ$5,tabela_registros[CATEGORIA],reservaoutrosconsolidadoago[[#This Row],[ATUAL]])</f>
        <v>0</v>
      </c>
      <c r="AD206" s="91">
        <f>SUMIFS(tabela_registros[VALOR],tabela_registros[MÊS],$AE$1,tabela_registros[DIA],reservaoutrosconsolidadoago[[#Headers],[26]],tabela_registros[REGISTRO],DADOS!$N$6,tabela_registros[TIPO],DADOS!$AJ$5,tabela_registros[CATEGORIA],reservaoutrosconsolidadoago[[#This Row],[ATUAL]])</f>
        <v>0</v>
      </c>
      <c r="AE206" s="91">
        <f>SUMIFS(tabela_registros[VALOR],tabela_registros[MÊS],$AE$1,tabela_registros[DIA],reservaoutrosconsolidadoago[[#Headers],[27]],tabela_registros[REGISTRO],DADOS!$N$6,tabela_registros[TIPO],DADOS!$AJ$5,tabela_registros[CATEGORIA],reservaoutrosconsolidadoago[[#This Row],[ATUAL]])</f>
        <v>0</v>
      </c>
      <c r="AF206" s="91">
        <f>SUMIFS(tabela_registros[VALOR],tabela_registros[MÊS],$AE$1,tabela_registros[DIA],reservaoutrosconsolidadoago[[#Headers],[28]],tabela_registros[REGISTRO],DADOS!$N$6,tabela_registros[TIPO],DADOS!$AJ$5,tabela_registros[CATEGORIA],reservaoutrosconsolidadoago[[#This Row],[ATUAL]])</f>
        <v>0</v>
      </c>
      <c r="AG206" s="91">
        <f>SUMIFS(tabela_registros[VALOR],tabela_registros[MÊS],$AE$1,tabela_registros[DIA],reservaoutrosconsolidadoago[[#Headers],[29]],tabela_registros[REGISTRO],DADOS!$N$6,tabela_registros[TIPO],DADOS!$AJ$5,tabela_registros[CATEGORIA],reservaoutrosconsolidadoago[[#This Row],[ATUAL]])</f>
        <v>0</v>
      </c>
      <c r="AH206" s="91">
        <f>SUMIFS(tabela_registros[VALOR],tabela_registros[MÊS],$AE$1,tabela_registros[DIA],reservaoutrosconsolidadoago[[#Headers],[30]],tabela_registros[REGISTRO],DADOS!$N$6,tabela_registros[TIPO],DADOS!$AJ$5,tabela_registros[CATEGORIA],reservaoutrosconsolidadoago[[#This Row],[ATUAL]])</f>
        <v>0</v>
      </c>
      <c r="AI206" s="101">
        <f>SUMIFS(tabela_registros[VALOR],tabela_registros[MÊS],$AE$1,tabela_registros[DIA],reservaoutrosconsolidadoago[[#Headers],[31]],tabela_registros[REGISTRO],DADOS!$N$6,tabela_registros[TIPO],DADOS!$AJ$5,tabela_registros[CATEGORIA],reservaoutrosconsolidadoago[[#This Row],[ATUAL]])</f>
        <v>0</v>
      </c>
      <c r="AJ206" s="97">
        <f>SUM(reservaoutrosconsolidadoago[[#This Row],[1]:[31]])</f>
        <v>0</v>
      </c>
      <c r="AK206" s="25"/>
    </row>
    <row r="207" spans="2:37" ht="19.5" customHeight="1" thickTop="1" thickBot="1" x14ac:dyDescent="0.3">
      <c r="B207" s="28"/>
      <c r="C207" s="27" t="str">
        <f>DADOS!$AP$4</f>
        <v>📝 FOREX</v>
      </c>
      <c r="D207" s="26" t="str">
        <f>IF(reservaoutrosconsolidadoago[[#This Row],[TOTAL (R$)]]=0,"",IF(OR(reservaoutrosconsolidadoago[[#This Row],[TOTAL (R$)]]=LARGE($AJ$206:$AJ$213,1),reservaoutrosconsolidadoago[[#This Row],[TOTAL (R$)]]=LARGE($AJ$206:$AJ$213,2)),DADOS!$I$11,""))</f>
        <v/>
      </c>
      <c r="E207" s="96">
        <f>SUMIFS(tabela_registros[VALOR],tabela_registros[MÊS],$AE$1,tabela_registros[DIA],reservaoutrosconsolidadoago[[#Headers],[1]],tabela_registros[REGISTRO],DADOS!$N$6,tabela_registros[TIPO],DADOS!$AJ$5,tabela_registros[CATEGORIA],reservaoutrosconsolidadoago[[#This Row],[ATUAL]])</f>
        <v>0</v>
      </c>
      <c r="F207" s="91">
        <f>SUMIFS(tabela_registros[VALOR],tabela_registros[MÊS],$AE$1,tabela_registros[DIA],reservaoutrosconsolidadoago[[#Headers],[2]],tabela_registros[REGISTRO],DADOS!$N$6,tabela_registros[TIPO],DADOS!$AJ$5,tabela_registros[CATEGORIA],reservaoutrosconsolidadoago[[#This Row],[ATUAL]])</f>
        <v>0</v>
      </c>
      <c r="G207" s="91">
        <f>SUMIFS(tabela_registros[VALOR],tabela_registros[MÊS],$AE$1,tabela_registros[DIA],reservaoutrosconsolidadoago[[#Headers],[3]],tabela_registros[REGISTRO],DADOS!$N$6,tabela_registros[TIPO],DADOS!$AJ$5,tabela_registros[CATEGORIA],reservaoutrosconsolidadoago[[#This Row],[ATUAL]])</f>
        <v>0</v>
      </c>
      <c r="H207" s="91">
        <f>SUMIFS(tabela_registros[VALOR],tabela_registros[MÊS],$AE$1,tabela_registros[DIA],reservaoutrosconsolidadoago[[#Headers],[4]],tabela_registros[REGISTRO],DADOS!$N$6,tabela_registros[TIPO],DADOS!$AJ$5,tabela_registros[CATEGORIA],reservaoutrosconsolidadoago[[#This Row],[ATUAL]])</f>
        <v>0</v>
      </c>
      <c r="I207" s="91">
        <f>SUMIFS(tabela_registros[VALOR],tabela_registros[MÊS],$AE$1,tabela_registros[DIA],reservaoutrosconsolidadoago[[#Headers],[5]],tabela_registros[REGISTRO],DADOS!$N$6,tabela_registros[TIPO],DADOS!$AJ$5,tabela_registros[CATEGORIA],reservaoutrosconsolidadoago[[#This Row],[ATUAL]])</f>
        <v>0</v>
      </c>
      <c r="J207" s="91">
        <f>SUMIFS(tabela_registros[VALOR],tabela_registros[MÊS],$AE$1,tabela_registros[DIA],reservaoutrosconsolidadoago[[#Headers],[6]],tabela_registros[REGISTRO],DADOS!$N$6,tabela_registros[TIPO],DADOS!$AJ$5,tabela_registros[CATEGORIA],reservaoutrosconsolidadoago[[#This Row],[ATUAL]])</f>
        <v>0</v>
      </c>
      <c r="K207" s="91">
        <f>SUMIFS(tabela_registros[VALOR],tabela_registros[MÊS],$AE$1,tabela_registros[DIA],reservaoutrosconsolidadoago[[#Headers],[7]],tabela_registros[REGISTRO],DADOS!$N$6,tabela_registros[TIPO],DADOS!$AJ$5,tabela_registros[CATEGORIA],reservaoutrosconsolidadoago[[#This Row],[ATUAL]])</f>
        <v>0</v>
      </c>
      <c r="L207" s="91">
        <f>SUMIFS(tabela_registros[VALOR],tabela_registros[MÊS],$AE$1,tabela_registros[DIA],reservaoutrosconsolidadoago[[#Headers],[8]],tabela_registros[REGISTRO],DADOS!$N$6,tabela_registros[TIPO],DADOS!$AJ$5,tabela_registros[CATEGORIA],reservaoutrosconsolidadoago[[#This Row],[ATUAL]])</f>
        <v>0</v>
      </c>
      <c r="M207" s="91">
        <f>SUMIFS(tabela_registros[VALOR],tabela_registros[MÊS],$AE$1,tabela_registros[DIA],reservaoutrosconsolidadoago[[#Headers],[9]],tabela_registros[REGISTRO],DADOS!$N$6,tabela_registros[TIPO],DADOS!$AJ$5,tabela_registros[CATEGORIA],reservaoutrosconsolidadoago[[#This Row],[ATUAL]])</f>
        <v>0</v>
      </c>
      <c r="N207" s="91">
        <f>SUMIFS(tabela_registros[VALOR],tabela_registros[MÊS],$AE$1,tabela_registros[DIA],reservaoutrosconsolidadoago[[#Headers],[10]],tabela_registros[REGISTRO],DADOS!$N$6,tabela_registros[TIPO],DADOS!$AJ$5,tabela_registros[CATEGORIA],reservaoutrosconsolidadoago[[#This Row],[ATUAL]])</f>
        <v>0</v>
      </c>
      <c r="O207" s="91">
        <f>SUMIFS(tabela_registros[VALOR],tabela_registros[MÊS],$AE$1,tabela_registros[DIA],reservaoutrosconsolidadoago[[#Headers],[11]],tabela_registros[REGISTRO],DADOS!$N$6,tabela_registros[TIPO],DADOS!$AJ$5,tabela_registros[CATEGORIA],reservaoutrosconsolidadoago[[#This Row],[ATUAL]])</f>
        <v>0</v>
      </c>
      <c r="P207" s="91">
        <f>SUMIFS(tabela_registros[VALOR],tabela_registros[MÊS],$AE$1,tabela_registros[DIA],reservaoutrosconsolidadoago[[#Headers],[12]],tabela_registros[REGISTRO],DADOS!$N$6,tabela_registros[TIPO],DADOS!$AJ$5,tabela_registros[CATEGORIA],reservaoutrosconsolidadoago[[#This Row],[ATUAL]])</f>
        <v>0</v>
      </c>
      <c r="Q207" s="91">
        <f>SUMIFS(tabela_registros[VALOR],tabela_registros[MÊS],$AE$1,tabela_registros[DIA],reservaoutrosconsolidadoago[[#Headers],[13]],tabela_registros[REGISTRO],DADOS!$N$6,tabela_registros[TIPO],DADOS!$AJ$5,tabela_registros[CATEGORIA],reservaoutrosconsolidadoago[[#This Row],[ATUAL]])</f>
        <v>0</v>
      </c>
      <c r="R207" s="91">
        <f>SUMIFS(tabela_registros[VALOR],tabela_registros[MÊS],$AE$1,tabela_registros[DIA],reservaoutrosconsolidadoago[[#Headers],[14]],tabela_registros[REGISTRO],DADOS!$N$6,tabela_registros[TIPO],DADOS!$AJ$5,tabela_registros[CATEGORIA],reservaoutrosconsolidadoago[[#This Row],[ATUAL]])</f>
        <v>0</v>
      </c>
      <c r="S207" s="91">
        <f>SUMIFS(tabela_registros[VALOR],tabela_registros[MÊS],$AE$1,tabela_registros[DIA],reservaoutrosconsolidadoago[[#Headers],[15]],tabela_registros[REGISTRO],DADOS!$N$6,tabela_registros[TIPO],DADOS!$AJ$5,tabela_registros[CATEGORIA],reservaoutrosconsolidadoago[[#This Row],[ATUAL]])</f>
        <v>0</v>
      </c>
      <c r="T207" s="91">
        <f>SUMIFS(tabela_registros[VALOR],tabela_registros[MÊS],$AE$1,tabela_registros[DIA],reservaoutrosconsolidadoago[[#Headers],[16]],tabela_registros[REGISTRO],DADOS!$N$6,tabela_registros[TIPO],DADOS!$AJ$5,tabela_registros[CATEGORIA],reservaoutrosconsolidadoago[[#This Row],[ATUAL]])</f>
        <v>0</v>
      </c>
      <c r="U207" s="91">
        <f>SUMIFS(tabela_registros[VALOR],tabela_registros[MÊS],$AE$1,tabela_registros[DIA],reservaoutrosconsolidadoago[[#Headers],[17]],tabela_registros[REGISTRO],DADOS!$N$6,tabela_registros[TIPO],DADOS!$AJ$5,tabela_registros[CATEGORIA],reservaoutrosconsolidadoago[[#This Row],[ATUAL]])</f>
        <v>0</v>
      </c>
      <c r="V207" s="91">
        <f>SUMIFS(tabela_registros[VALOR],tabela_registros[MÊS],$AE$1,tabela_registros[DIA],reservaoutrosconsolidadoago[[#Headers],[18]],tabela_registros[REGISTRO],DADOS!$N$6,tabela_registros[TIPO],DADOS!$AJ$5,tabela_registros[CATEGORIA],reservaoutrosconsolidadoago[[#This Row],[ATUAL]])</f>
        <v>0</v>
      </c>
      <c r="W207" s="91">
        <f>SUMIFS(tabela_registros[VALOR],tabela_registros[MÊS],$AE$1,tabela_registros[DIA],reservaoutrosconsolidadoago[[#Headers],[19]],tabela_registros[REGISTRO],DADOS!$N$6,tabela_registros[TIPO],DADOS!$AJ$5,tabela_registros[CATEGORIA],reservaoutrosconsolidadoago[[#This Row],[ATUAL]])</f>
        <v>0</v>
      </c>
      <c r="X207" s="91">
        <f>SUMIFS(tabela_registros[VALOR],tabela_registros[MÊS],$AE$1,tabela_registros[DIA],reservaoutrosconsolidadoago[[#Headers],[20]],tabela_registros[REGISTRO],DADOS!$N$6,tabela_registros[TIPO],DADOS!$AJ$5,tabela_registros[CATEGORIA],reservaoutrosconsolidadoago[[#This Row],[ATUAL]])</f>
        <v>0</v>
      </c>
      <c r="Y207" s="91">
        <f>SUMIFS(tabela_registros[VALOR],tabela_registros[MÊS],$AE$1,tabela_registros[DIA],reservaoutrosconsolidadoago[[#Headers],[21]],tabela_registros[REGISTRO],DADOS!$N$6,tabela_registros[TIPO],DADOS!$AJ$5,tabela_registros[CATEGORIA],reservaoutrosconsolidadoago[[#This Row],[ATUAL]])</f>
        <v>0</v>
      </c>
      <c r="Z207" s="91">
        <f>SUMIFS(tabela_registros[VALOR],tabela_registros[MÊS],$AE$1,tabela_registros[DIA],reservaoutrosconsolidadoago[[#Headers],[22]],tabela_registros[REGISTRO],DADOS!$N$6,tabela_registros[TIPO],DADOS!$AJ$5,tabela_registros[CATEGORIA],reservaoutrosconsolidadoago[[#This Row],[ATUAL]])</f>
        <v>0</v>
      </c>
      <c r="AA207" s="91">
        <f>SUMIFS(tabela_registros[VALOR],tabela_registros[MÊS],$AE$1,tabela_registros[DIA],reservaoutrosconsolidadoago[[#Headers],[23]],tabela_registros[REGISTRO],DADOS!$N$6,tabela_registros[TIPO],DADOS!$AJ$5,tabela_registros[CATEGORIA],reservaoutrosconsolidadoago[[#This Row],[ATUAL]])</f>
        <v>0</v>
      </c>
      <c r="AB207" s="91">
        <f>SUMIFS(tabela_registros[VALOR],tabela_registros[MÊS],$AE$1,tabela_registros[DIA],reservaoutrosconsolidadoago[[#Headers],[24]],tabela_registros[REGISTRO],DADOS!$N$6,tabela_registros[TIPO],DADOS!$AJ$5,tabela_registros[CATEGORIA],reservaoutrosconsolidadoago[[#This Row],[ATUAL]])</f>
        <v>0</v>
      </c>
      <c r="AC207" s="91">
        <f>SUMIFS(tabela_registros[VALOR],tabela_registros[MÊS],$AE$1,tabela_registros[DIA],reservaoutrosconsolidadoago[[#Headers],[25]],tabela_registros[REGISTRO],DADOS!$N$6,tabela_registros[TIPO],DADOS!$AJ$5,tabela_registros[CATEGORIA],reservaoutrosconsolidadoago[[#This Row],[ATUAL]])</f>
        <v>0</v>
      </c>
      <c r="AD207" s="91">
        <f>SUMIFS(tabela_registros[VALOR],tabela_registros[MÊS],$AE$1,tabela_registros[DIA],reservaoutrosconsolidadoago[[#Headers],[26]],tabela_registros[REGISTRO],DADOS!$N$6,tabela_registros[TIPO],DADOS!$AJ$5,tabela_registros[CATEGORIA],reservaoutrosconsolidadoago[[#This Row],[ATUAL]])</f>
        <v>0</v>
      </c>
      <c r="AE207" s="91">
        <f>SUMIFS(tabela_registros[VALOR],tabela_registros[MÊS],$AE$1,tabela_registros[DIA],reservaoutrosconsolidadoago[[#Headers],[27]],tabela_registros[REGISTRO],DADOS!$N$6,tabela_registros[TIPO],DADOS!$AJ$5,tabela_registros[CATEGORIA],reservaoutrosconsolidadoago[[#This Row],[ATUAL]])</f>
        <v>0</v>
      </c>
      <c r="AF207" s="91">
        <f>SUMIFS(tabela_registros[VALOR],tabela_registros[MÊS],$AE$1,tabela_registros[DIA],reservaoutrosconsolidadoago[[#Headers],[28]],tabela_registros[REGISTRO],DADOS!$N$6,tabela_registros[TIPO],DADOS!$AJ$5,tabela_registros[CATEGORIA],reservaoutrosconsolidadoago[[#This Row],[ATUAL]])</f>
        <v>0</v>
      </c>
      <c r="AG207" s="91">
        <f>SUMIFS(tabela_registros[VALOR],tabela_registros[MÊS],$AE$1,tabela_registros[DIA],reservaoutrosconsolidadoago[[#Headers],[29]],tabela_registros[REGISTRO],DADOS!$N$6,tabela_registros[TIPO],DADOS!$AJ$5,tabela_registros[CATEGORIA],reservaoutrosconsolidadoago[[#This Row],[ATUAL]])</f>
        <v>0</v>
      </c>
      <c r="AH207" s="91">
        <f>SUMIFS(tabela_registros[VALOR],tabela_registros[MÊS],$AE$1,tabela_registros[DIA],reservaoutrosconsolidadoago[[#Headers],[30]],tabela_registros[REGISTRO],DADOS!$N$6,tabela_registros[TIPO],DADOS!$AJ$5,tabela_registros[CATEGORIA],reservaoutrosconsolidadoago[[#This Row],[ATUAL]])</f>
        <v>0</v>
      </c>
      <c r="AI207" s="101">
        <f>SUMIFS(tabela_registros[VALOR],tabela_registros[MÊS],$AE$1,tabela_registros[DIA],reservaoutrosconsolidadoago[[#Headers],[31]],tabela_registros[REGISTRO],DADOS!$N$6,tabela_registros[TIPO],DADOS!$AJ$5,tabela_registros[CATEGORIA],reservaoutrosconsolidadoago[[#This Row],[ATUAL]])</f>
        <v>0</v>
      </c>
      <c r="AJ207" s="97">
        <f>SUM(reservaoutrosconsolidadoago[[#This Row],[1]:[31]])</f>
        <v>0</v>
      </c>
      <c r="AK207" s="25"/>
    </row>
    <row r="208" spans="2:37" ht="19.5" customHeight="1" thickTop="1" thickBot="1" x14ac:dyDescent="0.3">
      <c r="B208" s="28"/>
      <c r="C208" s="27" t="str">
        <f>DADOS!$AP$5</f>
        <v>📝 FUNDO DE INVESTIMENTO</v>
      </c>
      <c r="D208" s="26" t="str">
        <f>IF(reservaoutrosconsolidadoago[[#This Row],[TOTAL (R$)]]=0,"",IF(OR(reservaoutrosconsolidadoago[[#This Row],[TOTAL (R$)]]=LARGE($AJ$206:$AJ$213,1),reservaoutrosconsolidadoago[[#This Row],[TOTAL (R$)]]=LARGE($AJ$206:$AJ$213,2)),DADOS!$I$11,""))</f>
        <v/>
      </c>
      <c r="E208" s="96">
        <f>SUMIFS(tabela_registros[VALOR],tabela_registros[MÊS],$AE$1,tabela_registros[DIA],reservaoutrosconsolidadoago[[#Headers],[1]],tabela_registros[REGISTRO],DADOS!$N$6,tabela_registros[TIPO],DADOS!$AJ$5,tabela_registros[CATEGORIA],reservaoutrosconsolidadoago[[#This Row],[ATUAL]])</f>
        <v>0</v>
      </c>
      <c r="F208" s="91">
        <f>SUMIFS(tabela_registros[VALOR],tabela_registros[MÊS],$AE$1,tabela_registros[DIA],reservaoutrosconsolidadoago[[#Headers],[2]],tabela_registros[REGISTRO],DADOS!$N$6,tabela_registros[TIPO],DADOS!$AJ$5,tabela_registros[CATEGORIA],reservaoutrosconsolidadoago[[#This Row],[ATUAL]])</f>
        <v>0</v>
      </c>
      <c r="G208" s="91">
        <f>SUMIFS(tabela_registros[VALOR],tabela_registros[MÊS],$AE$1,tabela_registros[DIA],reservaoutrosconsolidadoago[[#Headers],[3]],tabela_registros[REGISTRO],DADOS!$N$6,tabela_registros[TIPO],DADOS!$AJ$5,tabela_registros[CATEGORIA],reservaoutrosconsolidadoago[[#This Row],[ATUAL]])</f>
        <v>0</v>
      </c>
      <c r="H208" s="91">
        <f>SUMIFS(tabela_registros[VALOR],tabela_registros[MÊS],$AE$1,tabela_registros[DIA],reservaoutrosconsolidadoago[[#Headers],[4]],tabela_registros[REGISTRO],DADOS!$N$6,tabela_registros[TIPO],DADOS!$AJ$5,tabela_registros[CATEGORIA],reservaoutrosconsolidadoago[[#This Row],[ATUAL]])</f>
        <v>0</v>
      </c>
      <c r="I208" s="91">
        <f>SUMIFS(tabela_registros[VALOR],tabela_registros[MÊS],$AE$1,tabela_registros[DIA],reservaoutrosconsolidadoago[[#Headers],[5]],tabela_registros[REGISTRO],DADOS!$N$6,tabela_registros[TIPO],DADOS!$AJ$5,tabela_registros[CATEGORIA],reservaoutrosconsolidadoago[[#This Row],[ATUAL]])</f>
        <v>0</v>
      </c>
      <c r="J208" s="91">
        <f>SUMIFS(tabela_registros[VALOR],tabela_registros[MÊS],$AE$1,tabela_registros[DIA],reservaoutrosconsolidadoago[[#Headers],[6]],tabela_registros[REGISTRO],DADOS!$N$6,tabela_registros[TIPO],DADOS!$AJ$5,tabela_registros[CATEGORIA],reservaoutrosconsolidadoago[[#This Row],[ATUAL]])</f>
        <v>0</v>
      </c>
      <c r="K208" s="91">
        <f>SUMIFS(tabela_registros[VALOR],tabela_registros[MÊS],$AE$1,tabela_registros[DIA],reservaoutrosconsolidadoago[[#Headers],[7]],tabela_registros[REGISTRO],DADOS!$N$6,tabela_registros[TIPO],DADOS!$AJ$5,tabela_registros[CATEGORIA],reservaoutrosconsolidadoago[[#This Row],[ATUAL]])</f>
        <v>0</v>
      </c>
      <c r="L208" s="91">
        <f>SUMIFS(tabela_registros[VALOR],tabela_registros[MÊS],$AE$1,tabela_registros[DIA],reservaoutrosconsolidadoago[[#Headers],[8]],tabela_registros[REGISTRO],DADOS!$N$6,tabela_registros[TIPO],DADOS!$AJ$5,tabela_registros[CATEGORIA],reservaoutrosconsolidadoago[[#This Row],[ATUAL]])</f>
        <v>0</v>
      </c>
      <c r="M208" s="91">
        <f>SUMIFS(tabela_registros[VALOR],tabela_registros[MÊS],$AE$1,tabela_registros[DIA],reservaoutrosconsolidadoago[[#Headers],[9]],tabela_registros[REGISTRO],DADOS!$N$6,tabela_registros[TIPO],DADOS!$AJ$5,tabela_registros[CATEGORIA],reservaoutrosconsolidadoago[[#This Row],[ATUAL]])</f>
        <v>0</v>
      </c>
      <c r="N208" s="91">
        <f>SUMIFS(tabela_registros[VALOR],tabela_registros[MÊS],$AE$1,tabela_registros[DIA],reservaoutrosconsolidadoago[[#Headers],[10]],tabela_registros[REGISTRO],DADOS!$N$6,tabela_registros[TIPO],DADOS!$AJ$5,tabela_registros[CATEGORIA],reservaoutrosconsolidadoago[[#This Row],[ATUAL]])</f>
        <v>0</v>
      </c>
      <c r="O208" s="91">
        <f>SUMIFS(tabela_registros[VALOR],tabela_registros[MÊS],$AE$1,tabela_registros[DIA],reservaoutrosconsolidadoago[[#Headers],[11]],tabela_registros[REGISTRO],DADOS!$N$6,tabela_registros[TIPO],DADOS!$AJ$5,tabela_registros[CATEGORIA],reservaoutrosconsolidadoago[[#This Row],[ATUAL]])</f>
        <v>0</v>
      </c>
      <c r="P208" s="91">
        <f>SUMIFS(tabela_registros[VALOR],tabela_registros[MÊS],$AE$1,tabela_registros[DIA],reservaoutrosconsolidadoago[[#Headers],[12]],tabela_registros[REGISTRO],DADOS!$N$6,tabela_registros[TIPO],DADOS!$AJ$5,tabela_registros[CATEGORIA],reservaoutrosconsolidadoago[[#This Row],[ATUAL]])</f>
        <v>0</v>
      </c>
      <c r="Q208" s="91">
        <f>SUMIFS(tabela_registros[VALOR],tabela_registros[MÊS],$AE$1,tabela_registros[DIA],reservaoutrosconsolidadoago[[#Headers],[13]],tabela_registros[REGISTRO],DADOS!$N$6,tabela_registros[TIPO],DADOS!$AJ$5,tabela_registros[CATEGORIA],reservaoutrosconsolidadoago[[#This Row],[ATUAL]])</f>
        <v>0</v>
      </c>
      <c r="R208" s="91">
        <f>SUMIFS(tabela_registros[VALOR],tabela_registros[MÊS],$AE$1,tabela_registros[DIA],reservaoutrosconsolidadoago[[#Headers],[14]],tabela_registros[REGISTRO],DADOS!$N$6,tabela_registros[TIPO],DADOS!$AJ$5,tabela_registros[CATEGORIA],reservaoutrosconsolidadoago[[#This Row],[ATUAL]])</f>
        <v>0</v>
      </c>
      <c r="S208" s="91">
        <f>SUMIFS(tabela_registros[VALOR],tabela_registros[MÊS],$AE$1,tabela_registros[DIA],reservaoutrosconsolidadoago[[#Headers],[15]],tabela_registros[REGISTRO],DADOS!$N$6,tabela_registros[TIPO],DADOS!$AJ$5,tabela_registros[CATEGORIA],reservaoutrosconsolidadoago[[#This Row],[ATUAL]])</f>
        <v>0</v>
      </c>
      <c r="T208" s="91">
        <f>SUMIFS(tabela_registros[VALOR],tabela_registros[MÊS],$AE$1,tabela_registros[DIA],reservaoutrosconsolidadoago[[#Headers],[16]],tabela_registros[REGISTRO],DADOS!$N$6,tabela_registros[TIPO],DADOS!$AJ$5,tabela_registros[CATEGORIA],reservaoutrosconsolidadoago[[#This Row],[ATUAL]])</f>
        <v>0</v>
      </c>
      <c r="U208" s="91">
        <f>SUMIFS(tabela_registros[VALOR],tabela_registros[MÊS],$AE$1,tabela_registros[DIA],reservaoutrosconsolidadoago[[#Headers],[17]],tabela_registros[REGISTRO],DADOS!$N$6,tabela_registros[TIPO],DADOS!$AJ$5,tabela_registros[CATEGORIA],reservaoutrosconsolidadoago[[#This Row],[ATUAL]])</f>
        <v>0</v>
      </c>
      <c r="V208" s="91">
        <f>SUMIFS(tabela_registros[VALOR],tabela_registros[MÊS],$AE$1,tabela_registros[DIA],reservaoutrosconsolidadoago[[#Headers],[18]],tabela_registros[REGISTRO],DADOS!$N$6,tabela_registros[TIPO],DADOS!$AJ$5,tabela_registros[CATEGORIA],reservaoutrosconsolidadoago[[#This Row],[ATUAL]])</f>
        <v>0</v>
      </c>
      <c r="W208" s="91">
        <f>SUMIFS(tabela_registros[VALOR],tabela_registros[MÊS],$AE$1,tabela_registros[DIA],reservaoutrosconsolidadoago[[#Headers],[19]],tabela_registros[REGISTRO],DADOS!$N$6,tabela_registros[TIPO],DADOS!$AJ$5,tabela_registros[CATEGORIA],reservaoutrosconsolidadoago[[#This Row],[ATUAL]])</f>
        <v>0</v>
      </c>
      <c r="X208" s="91">
        <f>SUMIFS(tabela_registros[VALOR],tabela_registros[MÊS],$AE$1,tabela_registros[DIA],reservaoutrosconsolidadoago[[#Headers],[20]],tabela_registros[REGISTRO],DADOS!$N$6,tabela_registros[TIPO],DADOS!$AJ$5,tabela_registros[CATEGORIA],reservaoutrosconsolidadoago[[#This Row],[ATUAL]])</f>
        <v>0</v>
      </c>
      <c r="Y208" s="91">
        <f>SUMIFS(tabela_registros[VALOR],tabela_registros[MÊS],$AE$1,tabela_registros[DIA],reservaoutrosconsolidadoago[[#Headers],[21]],tabela_registros[REGISTRO],DADOS!$N$6,tabela_registros[TIPO],DADOS!$AJ$5,tabela_registros[CATEGORIA],reservaoutrosconsolidadoago[[#This Row],[ATUAL]])</f>
        <v>0</v>
      </c>
      <c r="Z208" s="91">
        <f>SUMIFS(tabela_registros[VALOR],tabela_registros[MÊS],$AE$1,tabela_registros[DIA],reservaoutrosconsolidadoago[[#Headers],[22]],tabela_registros[REGISTRO],DADOS!$N$6,tabela_registros[TIPO],DADOS!$AJ$5,tabela_registros[CATEGORIA],reservaoutrosconsolidadoago[[#This Row],[ATUAL]])</f>
        <v>0</v>
      </c>
      <c r="AA208" s="91">
        <f>SUMIFS(tabela_registros[VALOR],tabela_registros[MÊS],$AE$1,tabela_registros[DIA],reservaoutrosconsolidadoago[[#Headers],[23]],tabela_registros[REGISTRO],DADOS!$N$6,tabela_registros[TIPO],DADOS!$AJ$5,tabela_registros[CATEGORIA],reservaoutrosconsolidadoago[[#This Row],[ATUAL]])</f>
        <v>0</v>
      </c>
      <c r="AB208" s="91">
        <f>SUMIFS(tabela_registros[VALOR],tabela_registros[MÊS],$AE$1,tabela_registros[DIA],reservaoutrosconsolidadoago[[#Headers],[24]],tabela_registros[REGISTRO],DADOS!$N$6,tabela_registros[TIPO],DADOS!$AJ$5,tabela_registros[CATEGORIA],reservaoutrosconsolidadoago[[#This Row],[ATUAL]])</f>
        <v>0</v>
      </c>
      <c r="AC208" s="91">
        <f>SUMIFS(tabela_registros[VALOR],tabela_registros[MÊS],$AE$1,tabela_registros[DIA],reservaoutrosconsolidadoago[[#Headers],[25]],tabela_registros[REGISTRO],DADOS!$N$6,tabela_registros[TIPO],DADOS!$AJ$5,tabela_registros[CATEGORIA],reservaoutrosconsolidadoago[[#This Row],[ATUAL]])</f>
        <v>0</v>
      </c>
      <c r="AD208" s="91">
        <f>SUMIFS(tabela_registros[VALOR],tabela_registros[MÊS],$AE$1,tabela_registros[DIA],reservaoutrosconsolidadoago[[#Headers],[26]],tabela_registros[REGISTRO],DADOS!$N$6,tabela_registros[TIPO],DADOS!$AJ$5,tabela_registros[CATEGORIA],reservaoutrosconsolidadoago[[#This Row],[ATUAL]])</f>
        <v>0</v>
      </c>
      <c r="AE208" s="91">
        <f>SUMIFS(tabela_registros[VALOR],tabela_registros[MÊS],$AE$1,tabela_registros[DIA],reservaoutrosconsolidadoago[[#Headers],[27]],tabela_registros[REGISTRO],DADOS!$N$6,tabela_registros[TIPO],DADOS!$AJ$5,tabela_registros[CATEGORIA],reservaoutrosconsolidadoago[[#This Row],[ATUAL]])</f>
        <v>0</v>
      </c>
      <c r="AF208" s="91">
        <f>SUMIFS(tabela_registros[VALOR],tabela_registros[MÊS],$AE$1,tabela_registros[DIA],reservaoutrosconsolidadoago[[#Headers],[28]],tabela_registros[REGISTRO],DADOS!$N$6,tabela_registros[TIPO],DADOS!$AJ$5,tabela_registros[CATEGORIA],reservaoutrosconsolidadoago[[#This Row],[ATUAL]])</f>
        <v>0</v>
      </c>
      <c r="AG208" s="91">
        <f>SUMIFS(tabela_registros[VALOR],tabela_registros[MÊS],$AE$1,tabela_registros[DIA],reservaoutrosconsolidadoago[[#Headers],[29]],tabela_registros[REGISTRO],DADOS!$N$6,tabela_registros[TIPO],DADOS!$AJ$5,tabela_registros[CATEGORIA],reservaoutrosconsolidadoago[[#This Row],[ATUAL]])</f>
        <v>0</v>
      </c>
      <c r="AH208" s="91">
        <f>SUMIFS(tabela_registros[VALOR],tabela_registros[MÊS],$AE$1,tabela_registros[DIA],reservaoutrosconsolidadoago[[#Headers],[30]],tabela_registros[REGISTRO],DADOS!$N$6,tabela_registros[TIPO],DADOS!$AJ$5,tabela_registros[CATEGORIA],reservaoutrosconsolidadoago[[#This Row],[ATUAL]])</f>
        <v>0</v>
      </c>
      <c r="AI208" s="101">
        <f>SUMIFS(tabela_registros[VALOR],tabela_registros[MÊS],$AE$1,tabela_registros[DIA],reservaoutrosconsolidadoago[[#Headers],[31]],tabela_registros[REGISTRO],DADOS!$N$6,tabela_registros[TIPO],DADOS!$AJ$5,tabela_registros[CATEGORIA],reservaoutrosconsolidadoago[[#This Row],[ATUAL]])</f>
        <v>0</v>
      </c>
      <c r="AJ208" s="97">
        <f>SUM(reservaoutrosconsolidadoago[[#This Row],[1]:[31]])</f>
        <v>0</v>
      </c>
      <c r="AK208" s="25"/>
    </row>
    <row r="209" spans="2:37" ht="19.5" customHeight="1" thickTop="1" thickBot="1" x14ac:dyDescent="0.3">
      <c r="B209" s="28"/>
      <c r="C209" s="27" t="str">
        <f>DADOS!$AP$6</f>
        <v>📝 NOVA EMPRESA</v>
      </c>
      <c r="D209" s="26" t="str">
        <f>IF(reservaoutrosconsolidadoago[[#This Row],[TOTAL (R$)]]=0,"",IF(OR(reservaoutrosconsolidadoago[[#This Row],[TOTAL (R$)]]=LARGE($AJ$206:$AJ$213,1),reservaoutrosconsolidadoago[[#This Row],[TOTAL (R$)]]=LARGE($AJ$206:$AJ$213,2)),DADOS!$I$11,""))</f>
        <v/>
      </c>
      <c r="E209" s="96">
        <f>SUMIFS(tabela_registros[VALOR],tabela_registros[MÊS],$AE$1,tabela_registros[DIA],reservaoutrosconsolidadoago[[#Headers],[1]],tabela_registros[REGISTRO],DADOS!$N$6,tabela_registros[TIPO],DADOS!$AJ$5,tabela_registros[CATEGORIA],reservaoutrosconsolidadoago[[#This Row],[ATUAL]])</f>
        <v>0</v>
      </c>
      <c r="F209" s="91">
        <f>SUMIFS(tabela_registros[VALOR],tabela_registros[MÊS],$AE$1,tabela_registros[DIA],reservaoutrosconsolidadoago[[#Headers],[2]],tabela_registros[REGISTRO],DADOS!$N$6,tabela_registros[TIPO],DADOS!$AJ$5,tabela_registros[CATEGORIA],reservaoutrosconsolidadoago[[#This Row],[ATUAL]])</f>
        <v>0</v>
      </c>
      <c r="G209" s="91">
        <f>SUMIFS(tabela_registros[VALOR],tabela_registros[MÊS],$AE$1,tabela_registros[DIA],reservaoutrosconsolidadoago[[#Headers],[3]],tabela_registros[REGISTRO],DADOS!$N$6,tabela_registros[TIPO],DADOS!$AJ$5,tabela_registros[CATEGORIA],reservaoutrosconsolidadoago[[#This Row],[ATUAL]])</f>
        <v>0</v>
      </c>
      <c r="H209" s="91">
        <f>SUMIFS(tabela_registros[VALOR],tabela_registros[MÊS],$AE$1,tabela_registros[DIA],reservaoutrosconsolidadoago[[#Headers],[4]],tabela_registros[REGISTRO],DADOS!$N$6,tabela_registros[TIPO],DADOS!$AJ$5,tabela_registros[CATEGORIA],reservaoutrosconsolidadoago[[#This Row],[ATUAL]])</f>
        <v>0</v>
      </c>
      <c r="I209" s="91">
        <f>SUMIFS(tabela_registros[VALOR],tabela_registros[MÊS],$AE$1,tabela_registros[DIA],reservaoutrosconsolidadoago[[#Headers],[5]],tabela_registros[REGISTRO],DADOS!$N$6,tabela_registros[TIPO],DADOS!$AJ$5,tabela_registros[CATEGORIA],reservaoutrosconsolidadoago[[#This Row],[ATUAL]])</f>
        <v>0</v>
      </c>
      <c r="J209" s="91">
        <f>SUMIFS(tabela_registros[VALOR],tabela_registros[MÊS],$AE$1,tabela_registros[DIA],reservaoutrosconsolidadoago[[#Headers],[6]],tabela_registros[REGISTRO],DADOS!$N$6,tabela_registros[TIPO],DADOS!$AJ$5,tabela_registros[CATEGORIA],reservaoutrosconsolidadoago[[#This Row],[ATUAL]])</f>
        <v>0</v>
      </c>
      <c r="K209" s="91">
        <f>SUMIFS(tabela_registros[VALOR],tabela_registros[MÊS],$AE$1,tabela_registros[DIA],reservaoutrosconsolidadoago[[#Headers],[7]],tabela_registros[REGISTRO],DADOS!$N$6,tabela_registros[TIPO],DADOS!$AJ$5,tabela_registros[CATEGORIA],reservaoutrosconsolidadoago[[#This Row],[ATUAL]])</f>
        <v>0</v>
      </c>
      <c r="L209" s="91">
        <f>SUMIFS(tabela_registros[VALOR],tabela_registros[MÊS],$AE$1,tabela_registros[DIA],reservaoutrosconsolidadoago[[#Headers],[8]],tabela_registros[REGISTRO],DADOS!$N$6,tabela_registros[TIPO],DADOS!$AJ$5,tabela_registros[CATEGORIA],reservaoutrosconsolidadoago[[#This Row],[ATUAL]])</f>
        <v>0</v>
      </c>
      <c r="M209" s="91">
        <f>SUMIFS(tabela_registros[VALOR],tabela_registros[MÊS],$AE$1,tabela_registros[DIA],reservaoutrosconsolidadoago[[#Headers],[9]],tabela_registros[REGISTRO],DADOS!$N$6,tabela_registros[TIPO],DADOS!$AJ$5,tabela_registros[CATEGORIA],reservaoutrosconsolidadoago[[#This Row],[ATUAL]])</f>
        <v>0</v>
      </c>
      <c r="N209" s="91">
        <f>SUMIFS(tabela_registros[VALOR],tabela_registros[MÊS],$AE$1,tabela_registros[DIA],reservaoutrosconsolidadoago[[#Headers],[10]],tabela_registros[REGISTRO],DADOS!$N$6,tabela_registros[TIPO],DADOS!$AJ$5,tabela_registros[CATEGORIA],reservaoutrosconsolidadoago[[#This Row],[ATUAL]])</f>
        <v>0</v>
      </c>
      <c r="O209" s="91">
        <f>SUMIFS(tabela_registros[VALOR],tabela_registros[MÊS],$AE$1,tabela_registros[DIA],reservaoutrosconsolidadoago[[#Headers],[11]],tabela_registros[REGISTRO],DADOS!$N$6,tabela_registros[TIPO],DADOS!$AJ$5,tabela_registros[CATEGORIA],reservaoutrosconsolidadoago[[#This Row],[ATUAL]])</f>
        <v>0</v>
      </c>
      <c r="P209" s="91">
        <f>SUMIFS(tabela_registros[VALOR],tabela_registros[MÊS],$AE$1,tabela_registros[DIA],reservaoutrosconsolidadoago[[#Headers],[12]],tabela_registros[REGISTRO],DADOS!$N$6,tabela_registros[TIPO],DADOS!$AJ$5,tabela_registros[CATEGORIA],reservaoutrosconsolidadoago[[#This Row],[ATUAL]])</f>
        <v>0</v>
      </c>
      <c r="Q209" s="91">
        <f>SUMIFS(tabela_registros[VALOR],tabela_registros[MÊS],$AE$1,tabela_registros[DIA],reservaoutrosconsolidadoago[[#Headers],[13]],tabela_registros[REGISTRO],DADOS!$N$6,tabela_registros[TIPO],DADOS!$AJ$5,tabela_registros[CATEGORIA],reservaoutrosconsolidadoago[[#This Row],[ATUAL]])</f>
        <v>0</v>
      </c>
      <c r="R209" s="91">
        <f>SUMIFS(tabela_registros[VALOR],tabela_registros[MÊS],$AE$1,tabela_registros[DIA],reservaoutrosconsolidadoago[[#Headers],[14]],tabela_registros[REGISTRO],DADOS!$N$6,tabela_registros[TIPO],DADOS!$AJ$5,tabela_registros[CATEGORIA],reservaoutrosconsolidadoago[[#This Row],[ATUAL]])</f>
        <v>0</v>
      </c>
      <c r="S209" s="91">
        <f>SUMIFS(tabela_registros[VALOR],tabela_registros[MÊS],$AE$1,tabela_registros[DIA],reservaoutrosconsolidadoago[[#Headers],[15]],tabela_registros[REGISTRO],DADOS!$N$6,tabela_registros[TIPO],DADOS!$AJ$5,tabela_registros[CATEGORIA],reservaoutrosconsolidadoago[[#This Row],[ATUAL]])</f>
        <v>0</v>
      </c>
      <c r="T209" s="91">
        <f>SUMIFS(tabela_registros[VALOR],tabela_registros[MÊS],$AE$1,tabela_registros[DIA],reservaoutrosconsolidadoago[[#Headers],[16]],tabela_registros[REGISTRO],DADOS!$N$6,tabela_registros[TIPO],DADOS!$AJ$5,tabela_registros[CATEGORIA],reservaoutrosconsolidadoago[[#This Row],[ATUAL]])</f>
        <v>0</v>
      </c>
      <c r="U209" s="91">
        <f>SUMIFS(tabela_registros[VALOR],tabela_registros[MÊS],$AE$1,tabela_registros[DIA],reservaoutrosconsolidadoago[[#Headers],[17]],tabela_registros[REGISTRO],DADOS!$N$6,tabela_registros[TIPO],DADOS!$AJ$5,tabela_registros[CATEGORIA],reservaoutrosconsolidadoago[[#This Row],[ATUAL]])</f>
        <v>0</v>
      </c>
      <c r="V209" s="91">
        <f>SUMIFS(tabela_registros[VALOR],tabela_registros[MÊS],$AE$1,tabela_registros[DIA],reservaoutrosconsolidadoago[[#Headers],[18]],tabela_registros[REGISTRO],DADOS!$N$6,tabela_registros[TIPO],DADOS!$AJ$5,tabela_registros[CATEGORIA],reservaoutrosconsolidadoago[[#This Row],[ATUAL]])</f>
        <v>0</v>
      </c>
      <c r="W209" s="91">
        <f>SUMIFS(tabela_registros[VALOR],tabela_registros[MÊS],$AE$1,tabela_registros[DIA],reservaoutrosconsolidadoago[[#Headers],[19]],tabela_registros[REGISTRO],DADOS!$N$6,tabela_registros[TIPO],DADOS!$AJ$5,tabela_registros[CATEGORIA],reservaoutrosconsolidadoago[[#This Row],[ATUAL]])</f>
        <v>0</v>
      </c>
      <c r="X209" s="91">
        <f>SUMIFS(tabela_registros[VALOR],tabela_registros[MÊS],$AE$1,tabela_registros[DIA],reservaoutrosconsolidadoago[[#Headers],[20]],tabela_registros[REGISTRO],DADOS!$N$6,tabela_registros[TIPO],DADOS!$AJ$5,tabela_registros[CATEGORIA],reservaoutrosconsolidadoago[[#This Row],[ATUAL]])</f>
        <v>0</v>
      </c>
      <c r="Y209" s="91">
        <f>SUMIFS(tabela_registros[VALOR],tabela_registros[MÊS],$AE$1,tabela_registros[DIA],reservaoutrosconsolidadoago[[#Headers],[21]],tabela_registros[REGISTRO],DADOS!$N$6,tabela_registros[TIPO],DADOS!$AJ$5,tabela_registros[CATEGORIA],reservaoutrosconsolidadoago[[#This Row],[ATUAL]])</f>
        <v>0</v>
      </c>
      <c r="Z209" s="91">
        <f>SUMIFS(tabela_registros[VALOR],tabela_registros[MÊS],$AE$1,tabela_registros[DIA],reservaoutrosconsolidadoago[[#Headers],[22]],tabela_registros[REGISTRO],DADOS!$N$6,tabela_registros[TIPO],DADOS!$AJ$5,tabela_registros[CATEGORIA],reservaoutrosconsolidadoago[[#This Row],[ATUAL]])</f>
        <v>0</v>
      </c>
      <c r="AA209" s="91">
        <f>SUMIFS(tabela_registros[VALOR],tabela_registros[MÊS],$AE$1,tabela_registros[DIA],reservaoutrosconsolidadoago[[#Headers],[23]],tabela_registros[REGISTRO],DADOS!$N$6,tabela_registros[TIPO],DADOS!$AJ$5,tabela_registros[CATEGORIA],reservaoutrosconsolidadoago[[#This Row],[ATUAL]])</f>
        <v>0</v>
      </c>
      <c r="AB209" s="91">
        <f>SUMIFS(tabela_registros[VALOR],tabela_registros[MÊS],$AE$1,tabela_registros[DIA],reservaoutrosconsolidadoago[[#Headers],[24]],tabela_registros[REGISTRO],DADOS!$N$6,tabela_registros[TIPO],DADOS!$AJ$5,tabela_registros[CATEGORIA],reservaoutrosconsolidadoago[[#This Row],[ATUAL]])</f>
        <v>0</v>
      </c>
      <c r="AC209" s="91">
        <f>SUMIFS(tabela_registros[VALOR],tabela_registros[MÊS],$AE$1,tabela_registros[DIA],reservaoutrosconsolidadoago[[#Headers],[25]],tabela_registros[REGISTRO],DADOS!$N$6,tabela_registros[TIPO],DADOS!$AJ$5,tabela_registros[CATEGORIA],reservaoutrosconsolidadoago[[#This Row],[ATUAL]])</f>
        <v>0</v>
      </c>
      <c r="AD209" s="91">
        <f>SUMIFS(tabela_registros[VALOR],tabela_registros[MÊS],$AE$1,tabela_registros[DIA],reservaoutrosconsolidadoago[[#Headers],[26]],tabela_registros[REGISTRO],DADOS!$N$6,tabela_registros[TIPO],DADOS!$AJ$5,tabela_registros[CATEGORIA],reservaoutrosconsolidadoago[[#This Row],[ATUAL]])</f>
        <v>0</v>
      </c>
      <c r="AE209" s="91">
        <f>SUMIFS(tabela_registros[VALOR],tabela_registros[MÊS],$AE$1,tabela_registros[DIA],reservaoutrosconsolidadoago[[#Headers],[27]],tabela_registros[REGISTRO],DADOS!$N$6,tabela_registros[TIPO],DADOS!$AJ$5,tabela_registros[CATEGORIA],reservaoutrosconsolidadoago[[#This Row],[ATUAL]])</f>
        <v>0</v>
      </c>
      <c r="AF209" s="91">
        <f>SUMIFS(tabela_registros[VALOR],tabela_registros[MÊS],$AE$1,tabela_registros[DIA],reservaoutrosconsolidadoago[[#Headers],[28]],tabela_registros[REGISTRO],DADOS!$N$6,tabela_registros[TIPO],DADOS!$AJ$5,tabela_registros[CATEGORIA],reservaoutrosconsolidadoago[[#This Row],[ATUAL]])</f>
        <v>0</v>
      </c>
      <c r="AG209" s="91">
        <f>SUMIFS(tabela_registros[VALOR],tabela_registros[MÊS],$AE$1,tabela_registros[DIA],reservaoutrosconsolidadoago[[#Headers],[29]],tabela_registros[REGISTRO],DADOS!$N$6,tabela_registros[TIPO],DADOS!$AJ$5,tabela_registros[CATEGORIA],reservaoutrosconsolidadoago[[#This Row],[ATUAL]])</f>
        <v>0</v>
      </c>
      <c r="AH209" s="91">
        <f>SUMIFS(tabela_registros[VALOR],tabela_registros[MÊS],$AE$1,tabela_registros[DIA],reservaoutrosconsolidadoago[[#Headers],[30]],tabela_registros[REGISTRO],DADOS!$N$6,tabela_registros[TIPO],DADOS!$AJ$5,tabela_registros[CATEGORIA],reservaoutrosconsolidadoago[[#This Row],[ATUAL]])</f>
        <v>0</v>
      </c>
      <c r="AI209" s="101">
        <f>SUMIFS(tabela_registros[VALOR],tabela_registros[MÊS],$AE$1,tabela_registros[DIA],reservaoutrosconsolidadoago[[#Headers],[31]],tabela_registros[REGISTRO],DADOS!$N$6,tabela_registros[TIPO],DADOS!$AJ$5,tabela_registros[CATEGORIA],reservaoutrosconsolidadoago[[#This Row],[ATUAL]])</f>
        <v>0</v>
      </c>
      <c r="AJ209" s="97">
        <f>SUM(reservaoutrosconsolidadoago[[#This Row],[1]:[31]])</f>
        <v>0</v>
      </c>
      <c r="AK209" s="25"/>
    </row>
    <row r="210" spans="2:37" ht="19.5" customHeight="1" thickTop="1" thickBot="1" x14ac:dyDescent="0.3">
      <c r="B210" s="28"/>
      <c r="C210" s="27" t="str">
        <f>DADOS!$AP$7</f>
        <v>📝 PEER TO COMPANY</v>
      </c>
      <c r="D210" s="26" t="str">
        <f>IF(reservaoutrosconsolidadoago[[#This Row],[TOTAL (R$)]]=0,"",IF(OR(reservaoutrosconsolidadoago[[#This Row],[TOTAL (R$)]]=LARGE($AJ$206:$AJ$213,1),reservaoutrosconsolidadoago[[#This Row],[TOTAL (R$)]]=LARGE($AJ$206:$AJ$213,2)),DADOS!$I$11,""))</f>
        <v/>
      </c>
      <c r="E210" s="96">
        <f>SUMIFS(tabela_registros[VALOR],tabela_registros[MÊS],$AE$1,tabela_registros[DIA],reservaoutrosconsolidadoago[[#Headers],[1]],tabela_registros[REGISTRO],DADOS!$N$6,tabela_registros[TIPO],DADOS!$AJ$5,tabela_registros[CATEGORIA],reservaoutrosconsolidadoago[[#This Row],[ATUAL]])</f>
        <v>0</v>
      </c>
      <c r="F210" s="91">
        <f>SUMIFS(tabela_registros[VALOR],tabela_registros[MÊS],$AE$1,tabela_registros[DIA],reservaoutrosconsolidadoago[[#Headers],[2]],tabela_registros[REGISTRO],DADOS!$N$6,tabela_registros[TIPO],DADOS!$AJ$5,tabela_registros[CATEGORIA],reservaoutrosconsolidadoago[[#This Row],[ATUAL]])</f>
        <v>0</v>
      </c>
      <c r="G210" s="91">
        <f>SUMIFS(tabela_registros[VALOR],tabela_registros[MÊS],$AE$1,tabela_registros[DIA],reservaoutrosconsolidadoago[[#Headers],[3]],tabela_registros[REGISTRO],DADOS!$N$6,tabela_registros[TIPO],DADOS!$AJ$5,tabela_registros[CATEGORIA],reservaoutrosconsolidadoago[[#This Row],[ATUAL]])</f>
        <v>0</v>
      </c>
      <c r="H210" s="91">
        <f>SUMIFS(tabela_registros[VALOR],tabela_registros[MÊS],$AE$1,tabela_registros[DIA],reservaoutrosconsolidadoago[[#Headers],[4]],tabela_registros[REGISTRO],DADOS!$N$6,tabela_registros[TIPO],DADOS!$AJ$5,tabela_registros[CATEGORIA],reservaoutrosconsolidadoago[[#This Row],[ATUAL]])</f>
        <v>0</v>
      </c>
      <c r="I210" s="91">
        <f>SUMIFS(tabela_registros[VALOR],tabela_registros[MÊS],$AE$1,tabela_registros[DIA],reservaoutrosconsolidadoago[[#Headers],[5]],tabela_registros[REGISTRO],DADOS!$N$6,tabela_registros[TIPO],DADOS!$AJ$5,tabela_registros[CATEGORIA],reservaoutrosconsolidadoago[[#This Row],[ATUAL]])</f>
        <v>0</v>
      </c>
      <c r="J210" s="91">
        <f>SUMIFS(tabela_registros[VALOR],tabela_registros[MÊS],$AE$1,tabela_registros[DIA],reservaoutrosconsolidadoago[[#Headers],[6]],tabela_registros[REGISTRO],DADOS!$N$6,tabela_registros[TIPO],DADOS!$AJ$5,tabela_registros[CATEGORIA],reservaoutrosconsolidadoago[[#This Row],[ATUAL]])</f>
        <v>0</v>
      </c>
      <c r="K210" s="91">
        <f>SUMIFS(tabela_registros[VALOR],tabela_registros[MÊS],$AE$1,tabela_registros[DIA],reservaoutrosconsolidadoago[[#Headers],[7]],tabela_registros[REGISTRO],DADOS!$N$6,tabela_registros[TIPO],DADOS!$AJ$5,tabela_registros[CATEGORIA],reservaoutrosconsolidadoago[[#This Row],[ATUAL]])</f>
        <v>0</v>
      </c>
      <c r="L210" s="91">
        <f>SUMIFS(tabela_registros[VALOR],tabela_registros[MÊS],$AE$1,tabela_registros[DIA],reservaoutrosconsolidadoago[[#Headers],[8]],tabela_registros[REGISTRO],DADOS!$N$6,tabela_registros[TIPO],DADOS!$AJ$5,tabela_registros[CATEGORIA],reservaoutrosconsolidadoago[[#This Row],[ATUAL]])</f>
        <v>0</v>
      </c>
      <c r="M210" s="91">
        <f>SUMIFS(tabela_registros[VALOR],tabela_registros[MÊS],$AE$1,tabela_registros[DIA],reservaoutrosconsolidadoago[[#Headers],[9]],tabela_registros[REGISTRO],DADOS!$N$6,tabela_registros[TIPO],DADOS!$AJ$5,tabela_registros[CATEGORIA],reservaoutrosconsolidadoago[[#This Row],[ATUAL]])</f>
        <v>0</v>
      </c>
      <c r="N210" s="91">
        <f>SUMIFS(tabela_registros[VALOR],tabela_registros[MÊS],$AE$1,tabela_registros[DIA],reservaoutrosconsolidadoago[[#Headers],[10]],tabela_registros[REGISTRO],DADOS!$N$6,tabela_registros[TIPO],DADOS!$AJ$5,tabela_registros[CATEGORIA],reservaoutrosconsolidadoago[[#This Row],[ATUAL]])</f>
        <v>0</v>
      </c>
      <c r="O210" s="91">
        <f>SUMIFS(tabela_registros[VALOR],tabela_registros[MÊS],$AE$1,tabela_registros[DIA],reservaoutrosconsolidadoago[[#Headers],[11]],tabela_registros[REGISTRO],DADOS!$N$6,tabela_registros[TIPO],DADOS!$AJ$5,tabela_registros[CATEGORIA],reservaoutrosconsolidadoago[[#This Row],[ATUAL]])</f>
        <v>0</v>
      </c>
      <c r="P210" s="91">
        <f>SUMIFS(tabela_registros[VALOR],tabela_registros[MÊS],$AE$1,tabela_registros[DIA],reservaoutrosconsolidadoago[[#Headers],[12]],tabela_registros[REGISTRO],DADOS!$N$6,tabela_registros[TIPO],DADOS!$AJ$5,tabela_registros[CATEGORIA],reservaoutrosconsolidadoago[[#This Row],[ATUAL]])</f>
        <v>0</v>
      </c>
      <c r="Q210" s="91">
        <f>SUMIFS(tabela_registros[VALOR],tabela_registros[MÊS],$AE$1,tabela_registros[DIA],reservaoutrosconsolidadoago[[#Headers],[13]],tabela_registros[REGISTRO],DADOS!$N$6,tabela_registros[TIPO],DADOS!$AJ$5,tabela_registros[CATEGORIA],reservaoutrosconsolidadoago[[#This Row],[ATUAL]])</f>
        <v>0</v>
      </c>
      <c r="R210" s="91">
        <f>SUMIFS(tabela_registros[VALOR],tabela_registros[MÊS],$AE$1,tabela_registros[DIA],reservaoutrosconsolidadoago[[#Headers],[14]],tabela_registros[REGISTRO],DADOS!$N$6,tabela_registros[TIPO],DADOS!$AJ$5,tabela_registros[CATEGORIA],reservaoutrosconsolidadoago[[#This Row],[ATUAL]])</f>
        <v>0</v>
      </c>
      <c r="S210" s="91">
        <f>SUMIFS(tabela_registros[VALOR],tabela_registros[MÊS],$AE$1,tabela_registros[DIA],reservaoutrosconsolidadoago[[#Headers],[15]],tabela_registros[REGISTRO],DADOS!$N$6,tabela_registros[TIPO],DADOS!$AJ$5,tabela_registros[CATEGORIA],reservaoutrosconsolidadoago[[#This Row],[ATUAL]])</f>
        <v>0</v>
      </c>
      <c r="T210" s="91">
        <f>SUMIFS(tabela_registros[VALOR],tabela_registros[MÊS],$AE$1,tabela_registros[DIA],reservaoutrosconsolidadoago[[#Headers],[16]],tabela_registros[REGISTRO],DADOS!$N$6,tabela_registros[TIPO],DADOS!$AJ$5,tabela_registros[CATEGORIA],reservaoutrosconsolidadoago[[#This Row],[ATUAL]])</f>
        <v>0</v>
      </c>
      <c r="U210" s="91">
        <f>SUMIFS(tabela_registros[VALOR],tabela_registros[MÊS],$AE$1,tabela_registros[DIA],reservaoutrosconsolidadoago[[#Headers],[17]],tabela_registros[REGISTRO],DADOS!$N$6,tabela_registros[TIPO],DADOS!$AJ$5,tabela_registros[CATEGORIA],reservaoutrosconsolidadoago[[#This Row],[ATUAL]])</f>
        <v>0</v>
      </c>
      <c r="V210" s="91">
        <f>SUMIFS(tabela_registros[VALOR],tabela_registros[MÊS],$AE$1,tabela_registros[DIA],reservaoutrosconsolidadoago[[#Headers],[18]],tabela_registros[REGISTRO],DADOS!$N$6,tabela_registros[TIPO],DADOS!$AJ$5,tabela_registros[CATEGORIA],reservaoutrosconsolidadoago[[#This Row],[ATUAL]])</f>
        <v>0</v>
      </c>
      <c r="W210" s="91">
        <f>SUMIFS(tabela_registros[VALOR],tabela_registros[MÊS],$AE$1,tabela_registros[DIA],reservaoutrosconsolidadoago[[#Headers],[19]],tabela_registros[REGISTRO],DADOS!$N$6,tabela_registros[TIPO],DADOS!$AJ$5,tabela_registros[CATEGORIA],reservaoutrosconsolidadoago[[#This Row],[ATUAL]])</f>
        <v>0</v>
      </c>
      <c r="X210" s="91">
        <f>SUMIFS(tabela_registros[VALOR],tabela_registros[MÊS],$AE$1,tabela_registros[DIA],reservaoutrosconsolidadoago[[#Headers],[20]],tabela_registros[REGISTRO],DADOS!$N$6,tabela_registros[TIPO],DADOS!$AJ$5,tabela_registros[CATEGORIA],reservaoutrosconsolidadoago[[#This Row],[ATUAL]])</f>
        <v>0</v>
      </c>
      <c r="Y210" s="91">
        <f>SUMIFS(tabela_registros[VALOR],tabela_registros[MÊS],$AE$1,tabela_registros[DIA],reservaoutrosconsolidadoago[[#Headers],[21]],tabela_registros[REGISTRO],DADOS!$N$6,tabela_registros[TIPO],DADOS!$AJ$5,tabela_registros[CATEGORIA],reservaoutrosconsolidadoago[[#This Row],[ATUAL]])</f>
        <v>0</v>
      </c>
      <c r="Z210" s="91">
        <f>SUMIFS(tabela_registros[VALOR],tabela_registros[MÊS],$AE$1,tabela_registros[DIA],reservaoutrosconsolidadoago[[#Headers],[22]],tabela_registros[REGISTRO],DADOS!$N$6,tabela_registros[TIPO],DADOS!$AJ$5,tabela_registros[CATEGORIA],reservaoutrosconsolidadoago[[#This Row],[ATUAL]])</f>
        <v>0</v>
      </c>
      <c r="AA210" s="91">
        <f>SUMIFS(tabela_registros[VALOR],tabela_registros[MÊS],$AE$1,tabela_registros[DIA],reservaoutrosconsolidadoago[[#Headers],[23]],tabela_registros[REGISTRO],DADOS!$N$6,tabela_registros[TIPO],DADOS!$AJ$5,tabela_registros[CATEGORIA],reservaoutrosconsolidadoago[[#This Row],[ATUAL]])</f>
        <v>0</v>
      </c>
      <c r="AB210" s="91">
        <f>SUMIFS(tabela_registros[VALOR],tabela_registros[MÊS],$AE$1,tabela_registros[DIA],reservaoutrosconsolidadoago[[#Headers],[24]],tabela_registros[REGISTRO],DADOS!$N$6,tabela_registros[TIPO],DADOS!$AJ$5,tabela_registros[CATEGORIA],reservaoutrosconsolidadoago[[#This Row],[ATUAL]])</f>
        <v>0</v>
      </c>
      <c r="AC210" s="91">
        <f>SUMIFS(tabela_registros[VALOR],tabela_registros[MÊS],$AE$1,tabela_registros[DIA],reservaoutrosconsolidadoago[[#Headers],[25]],tabela_registros[REGISTRO],DADOS!$N$6,tabela_registros[TIPO],DADOS!$AJ$5,tabela_registros[CATEGORIA],reservaoutrosconsolidadoago[[#This Row],[ATUAL]])</f>
        <v>0</v>
      </c>
      <c r="AD210" s="91">
        <f>SUMIFS(tabela_registros[VALOR],tabela_registros[MÊS],$AE$1,tabela_registros[DIA],reservaoutrosconsolidadoago[[#Headers],[26]],tabela_registros[REGISTRO],DADOS!$N$6,tabela_registros[TIPO],DADOS!$AJ$5,tabela_registros[CATEGORIA],reservaoutrosconsolidadoago[[#This Row],[ATUAL]])</f>
        <v>0</v>
      </c>
      <c r="AE210" s="91">
        <f>SUMIFS(tabela_registros[VALOR],tabela_registros[MÊS],$AE$1,tabela_registros[DIA],reservaoutrosconsolidadoago[[#Headers],[27]],tabela_registros[REGISTRO],DADOS!$N$6,tabela_registros[TIPO],DADOS!$AJ$5,tabela_registros[CATEGORIA],reservaoutrosconsolidadoago[[#This Row],[ATUAL]])</f>
        <v>0</v>
      </c>
      <c r="AF210" s="91">
        <f>SUMIFS(tabela_registros[VALOR],tabela_registros[MÊS],$AE$1,tabela_registros[DIA],reservaoutrosconsolidadoago[[#Headers],[28]],tabela_registros[REGISTRO],DADOS!$N$6,tabela_registros[TIPO],DADOS!$AJ$5,tabela_registros[CATEGORIA],reservaoutrosconsolidadoago[[#This Row],[ATUAL]])</f>
        <v>0</v>
      </c>
      <c r="AG210" s="91">
        <f>SUMIFS(tabela_registros[VALOR],tabela_registros[MÊS],$AE$1,tabela_registros[DIA],reservaoutrosconsolidadoago[[#Headers],[29]],tabela_registros[REGISTRO],DADOS!$N$6,tabela_registros[TIPO],DADOS!$AJ$5,tabela_registros[CATEGORIA],reservaoutrosconsolidadoago[[#This Row],[ATUAL]])</f>
        <v>0</v>
      </c>
      <c r="AH210" s="91">
        <f>SUMIFS(tabela_registros[VALOR],tabela_registros[MÊS],$AE$1,tabela_registros[DIA],reservaoutrosconsolidadoago[[#Headers],[30]],tabela_registros[REGISTRO],DADOS!$N$6,tabela_registros[TIPO],DADOS!$AJ$5,tabela_registros[CATEGORIA],reservaoutrosconsolidadoago[[#This Row],[ATUAL]])</f>
        <v>0</v>
      </c>
      <c r="AI210" s="101">
        <f>SUMIFS(tabela_registros[VALOR],tabela_registros[MÊS],$AE$1,tabela_registros[DIA],reservaoutrosconsolidadoago[[#Headers],[31]],tabela_registros[REGISTRO],DADOS!$N$6,tabela_registros[TIPO],DADOS!$AJ$5,tabela_registros[CATEGORIA],reservaoutrosconsolidadoago[[#This Row],[ATUAL]])</f>
        <v>0</v>
      </c>
      <c r="AJ210" s="97">
        <f>SUM(reservaoutrosconsolidadoago[[#This Row],[1]:[31]])</f>
        <v>0</v>
      </c>
      <c r="AK210" s="25"/>
    </row>
    <row r="211" spans="2:37" ht="19.5" customHeight="1" thickTop="1" thickBot="1" x14ac:dyDescent="0.3">
      <c r="B211" s="28"/>
      <c r="C211" s="27" t="str">
        <f>DADOS!$AP$8</f>
        <v>📝 PEER TO PEER</v>
      </c>
      <c r="D211" s="26" t="str">
        <f>IF(reservaoutrosconsolidadoago[[#This Row],[TOTAL (R$)]]=0,"",IF(OR(reservaoutrosconsolidadoago[[#This Row],[TOTAL (R$)]]=LARGE($AJ$206:$AJ$213,1),reservaoutrosconsolidadoago[[#This Row],[TOTAL (R$)]]=LARGE($AJ$206:$AJ$213,2)),DADOS!$I$11,""))</f>
        <v/>
      </c>
      <c r="E211" s="96">
        <f>SUMIFS(tabela_registros[VALOR],tabela_registros[MÊS],$AE$1,tabela_registros[DIA],reservaoutrosconsolidadoago[[#Headers],[1]],tabela_registros[REGISTRO],DADOS!$N$6,tabela_registros[TIPO],DADOS!$AJ$5,tabela_registros[CATEGORIA],reservaoutrosconsolidadoago[[#This Row],[ATUAL]])</f>
        <v>0</v>
      </c>
      <c r="F211" s="91">
        <f>SUMIFS(tabela_registros[VALOR],tabela_registros[MÊS],$AE$1,tabela_registros[DIA],reservaoutrosconsolidadoago[[#Headers],[2]],tabela_registros[REGISTRO],DADOS!$N$6,tabela_registros[TIPO],DADOS!$AJ$5,tabela_registros[CATEGORIA],reservaoutrosconsolidadoago[[#This Row],[ATUAL]])</f>
        <v>0</v>
      </c>
      <c r="G211" s="91">
        <f>SUMIFS(tabela_registros[VALOR],tabela_registros[MÊS],$AE$1,tabela_registros[DIA],reservaoutrosconsolidadoago[[#Headers],[3]],tabela_registros[REGISTRO],DADOS!$N$6,tabela_registros[TIPO],DADOS!$AJ$5,tabela_registros[CATEGORIA],reservaoutrosconsolidadoago[[#This Row],[ATUAL]])</f>
        <v>0</v>
      </c>
      <c r="H211" s="91">
        <f>SUMIFS(tabela_registros[VALOR],tabela_registros[MÊS],$AE$1,tabela_registros[DIA],reservaoutrosconsolidadoago[[#Headers],[4]],tabela_registros[REGISTRO],DADOS!$N$6,tabela_registros[TIPO],DADOS!$AJ$5,tabela_registros[CATEGORIA],reservaoutrosconsolidadoago[[#This Row],[ATUAL]])</f>
        <v>0</v>
      </c>
      <c r="I211" s="91">
        <f>SUMIFS(tabela_registros[VALOR],tabela_registros[MÊS],$AE$1,tabela_registros[DIA],reservaoutrosconsolidadoago[[#Headers],[5]],tabela_registros[REGISTRO],DADOS!$N$6,tabela_registros[TIPO],DADOS!$AJ$5,tabela_registros[CATEGORIA],reservaoutrosconsolidadoago[[#This Row],[ATUAL]])</f>
        <v>0</v>
      </c>
      <c r="J211" s="91">
        <f>SUMIFS(tabela_registros[VALOR],tabela_registros[MÊS],$AE$1,tabela_registros[DIA],reservaoutrosconsolidadoago[[#Headers],[6]],tabela_registros[REGISTRO],DADOS!$N$6,tabela_registros[TIPO],DADOS!$AJ$5,tabela_registros[CATEGORIA],reservaoutrosconsolidadoago[[#This Row],[ATUAL]])</f>
        <v>0</v>
      </c>
      <c r="K211" s="91">
        <f>SUMIFS(tabela_registros[VALOR],tabela_registros[MÊS],$AE$1,tabela_registros[DIA],reservaoutrosconsolidadoago[[#Headers],[7]],tabela_registros[REGISTRO],DADOS!$N$6,tabela_registros[TIPO],DADOS!$AJ$5,tabela_registros[CATEGORIA],reservaoutrosconsolidadoago[[#This Row],[ATUAL]])</f>
        <v>0</v>
      </c>
      <c r="L211" s="91">
        <f>SUMIFS(tabela_registros[VALOR],tabela_registros[MÊS],$AE$1,tabela_registros[DIA],reservaoutrosconsolidadoago[[#Headers],[8]],tabela_registros[REGISTRO],DADOS!$N$6,tabela_registros[TIPO],DADOS!$AJ$5,tabela_registros[CATEGORIA],reservaoutrosconsolidadoago[[#This Row],[ATUAL]])</f>
        <v>0</v>
      </c>
      <c r="M211" s="91">
        <f>SUMIFS(tabela_registros[VALOR],tabela_registros[MÊS],$AE$1,tabela_registros[DIA],reservaoutrosconsolidadoago[[#Headers],[9]],tabela_registros[REGISTRO],DADOS!$N$6,tabela_registros[TIPO],DADOS!$AJ$5,tabela_registros[CATEGORIA],reservaoutrosconsolidadoago[[#This Row],[ATUAL]])</f>
        <v>0</v>
      </c>
      <c r="N211" s="91">
        <f>SUMIFS(tabela_registros[VALOR],tabela_registros[MÊS],$AE$1,tabela_registros[DIA],reservaoutrosconsolidadoago[[#Headers],[10]],tabela_registros[REGISTRO],DADOS!$N$6,tabela_registros[TIPO],DADOS!$AJ$5,tabela_registros[CATEGORIA],reservaoutrosconsolidadoago[[#This Row],[ATUAL]])</f>
        <v>0</v>
      </c>
      <c r="O211" s="91">
        <f>SUMIFS(tabela_registros[VALOR],tabela_registros[MÊS],$AE$1,tabela_registros[DIA],reservaoutrosconsolidadoago[[#Headers],[11]],tabela_registros[REGISTRO],DADOS!$N$6,tabela_registros[TIPO],DADOS!$AJ$5,tabela_registros[CATEGORIA],reservaoutrosconsolidadoago[[#This Row],[ATUAL]])</f>
        <v>0</v>
      </c>
      <c r="P211" s="91">
        <f>SUMIFS(tabela_registros[VALOR],tabela_registros[MÊS],$AE$1,tabela_registros[DIA],reservaoutrosconsolidadoago[[#Headers],[12]],tabela_registros[REGISTRO],DADOS!$N$6,tabela_registros[TIPO],DADOS!$AJ$5,tabela_registros[CATEGORIA],reservaoutrosconsolidadoago[[#This Row],[ATUAL]])</f>
        <v>0</v>
      </c>
      <c r="Q211" s="91">
        <f>SUMIFS(tabela_registros[VALOR],tabela_registros[MÊS],$AE$1,tabela_registros[DIA],reservaoutrosconsolidadoago[[#Headers],[13]],tabela_registros[REGISTRO],DADOS!$N$6,tabela_registros[TIPO],DADOS!$AJ$5,tabela_registros[CATEGORIA],reservaoutrosconsolidadoago[[#This Row],[ATUAL]])</f>
        <v>0</v>
      </c>
      <c r="R211" s="91">
        <f>SUMIFS(tabela_registros[VALOR],tabela_registros[MÊS],$AE$1,tabela_registros[DIA],reservaoutrosconsolidadoago[[#Headers],[14]],tabela_registros[REGISTRO],DADOS!$N$6,tabela_registros[TIPO],DADOS!$AJ$5,tabela_registros[CATEGORIA],reservaoutrosconsolidadoago[[#This Row],[ATUAL]])</f>
        <v>0</v>
      </c>
      <c r="S211" s="91">
        <f>SUMIFS(tabela_registros[VALOR],tabela_registros[MÊS],$AE$1,tabela_registros[DIA],reservaoutrosconsolidadoago[[#Headers],[15]],tabela_registros[REGISTRO],DADOS!$N$6,tabela_registros[TIPO],DADOS!$AJ$5,tabela_registros[CATEGORIA],reservaoutrosconsolidadoago[[#This Row],[ATUAL]])</f>
        <v>0</v>
      </c>
      <c r="T211" s="91">
        <f>SUMIFS(tabela_registros[VALOR],tabela_registros[MÊS],$AE$1,tabela_registros[DIA],reservaoutrosconsolidadoago[[#Headers],[16]],tabela_registros[REGISTRO],DADOS!$N$6,tabela_registros[TIPO],DADOS!$AJ$5,tabela_registros[CATEGORIA],reservaoutrosconsolidadoago[[#This Row],[ATUAL]])</f>
        <v>0</v>
      </c>
      <c r="U211" s="91">
        <f>SUMIFS(tabela_registros[VALOR],tabela_registros[MÊS],$AE$1,tabela_registros[DIA],reservaoutrosconsolidadoago[[#Headers],[17]],tabela_registros[REGISTRO],DADOS!$N$6,tabela_registros[TIPO],DADOS!$AJ$5,tabela_registros[CATEGORIA],reservaoutrosconsolidadoago[[#This Row],[ATUAL]])</f>
        <v>0</v>
      </c>
      <c r="V211" s="91">
        <f>SUMIFS(tabela_registros[VALOR],tabela_registros[MÊS],$AE$1,tabela_registros[DIA],reservaoutrosconsolidadoago[[#Headers],[18]],tabela_registros[REGISTRO],DADOS!$N$6,tabela_registros[TIPO],DADOS!$AJ$5,tabela_registros[CATEGORIA],reservaoutrosconsolidadoago[[#This Row],[ATUAL]])</f>
        <v>0</v>
      </c>
      <c r="W211" s="91">
        <f>SUMIFS(tabela_registros[VALOR],tabela_registros[MÊS],$AE$1,tabela_registros[DIA],reservaoutrosconsolidadoago[[#Headers],[19]],tabela_registros[REGISTRO],DADOS!$N$6,tabela_registros[TIPO],DADOS!$AJ$5,tabela_registros[CATEGORIA],reservaoutrosconsolidadoago[[#This Row],[ATUAL]])</f>
        <v>0</v>
      </c>
      <c r="X211" s="91">
        <f>SUMIFS(tabela_registros[VALOR],tabela_registros[MÊS],$AE$1,tabela_registros[DIA],reservaoutrosconsolidadoago[[#Headers],[20]],tabela_registros[REGISTRO],DADOS!$N$6,tabela_registros[TIPO],DADOS!$AJ$5,tabela_registros[CATEGORIA],reservaoutrosconsolidadoago[[#This Row],[ATUAL]])</f>
        <v>0</v>
      </c>
      <c r="Y211" s="91">
        <f>SUMIFS(tabela_registros[VALOR],tabela_registros[MÊS],$AE$1,tabela_registros[DIA],reservaoutrosconsolidadoago[[#Headers],[21]],tabela_registros[REGISTRO],DADOS!$N$6,tabela_registros[TIPO],DADOS!$AJ$5,tabela_registros[CATEGORIA],reservaoutrosconsolidadoago[[#This Row],[ATUAL]])</f>
        <v>0</v>
      </c>
      <c r="Z211" s="91">
        <f>SUMIFS(tabela_registros[VALOR],tabela_registros[MÊS],$AE$1,tabela_registros[DIA],reservaoutrosconsolidadoago[[#Headers],[22]],tabela_registros[REGISTRO],DADOS!$N$6,tabela_registros[TIPO],DADOS!$AJ$5,tabela_registros[CATEGORIA],reservaoutrosconsolidadoago[[#This Row],[ATUAL]])</f>
        <v>0</v>
      </c>
      <c r="AA211" s="91">
        <f>SUMIFS(tabela_registros[VALOR],tabela_registros[MÊS],$AE$1,tabela_registros[DIA],reservaoutrosconsolidadoago[[#Headers],[23]],tabela_registros[REGISTRO],DADOS!$N$6,tabela_registros[TIPO],DADOS!$AJ$5,tabela_registros[CATEGORIA],reservaoutrosconsolidadoago[[#This Row],[ATUAL]])</f>
        <v>0</v>
      </c>
      <c r="AB211" s="91">
        <f>SUMIFS(tabela_registros[VALOR],tabela_registros[MÊS],$AE$1,tabela_registros[DIA],reservaoutrosconsolidadoago[[#Headers],[24]],tabela_registros[REGISTRO],DADOS!$N$6,tabela_registros[TIPO],DADOS!$AJ$5,tabela_registros[CATEGORIA],reservaoutrosconsolidadoago[[#This Row],[ATUAL]])</f>
        <v>0</v>
      </c>
      <c r="AC211" s="91">
        <f>SUMIFS(tabela_registros[VALOR],tabela_registros[MÊS],$AE$1,tabela_registros[DIA],reservaoutrosconsolidadoago[[#Headers],[25]],tabela_registros[REGISTRO],DADOS!$N$6,tabela_registros[TIPO],DADOS!$AJ$5,tabela_registros[CATEGORIA],reservaoutrosconsolidadoago[[#This Row],[ATUAL]])</f>
        <v>0</v>
      </c>
      <c r="AD211" s="91">
        <f>SUMIFS(tabela_registros[VALOR],tabela_registros[MÊS],$AE$1,tabela_registros[DIA],reservaoutrosconsolidadoago[[#Headers],[26]],tabela_registros[REGISTRO],DADOS!$N$6,tabela_registros[TIPO],DADOS!$AJ$5,tabela_registros[CATEGORIA],reservaoutrosconsolidadoago[[#This Row],[ATUAL]])</f>
        <v>0</v>
      </c>
      <c r="AE211" s="91">
        <f>SUMIFS(tabela_registros[VALOR],tabela_registros[MÊS],$AE$1,tabela_registros[DIA],reservaoutrosconsolidadoago[[#Headers],[27]],tabela_registros[REGISTRO],DADOS!$N$6,tabela_registros[TIPO],DADOS!$AJ$5,tabela_registros[CATEGORIA],reservaoutrosconsolidadoago[[#This Row],[ATUAL]])</f>
        <v>0</v>
      </c>
      <c r="AF211" s="91">
        <f>SUMIFS(tabela_registros[VALOR],tabela_registros[MÊS],$AE$1,tabela_registros[DIA],reservaoutrosconsolidadoago[[#Headers],[28]],tabela_registros[REGISTRO],DADOS!$N$6,tabela_registros[TIPO],DADOS!$AJ$5,tabela_registros[CATEGORIA],reservaoutrosconsolidadoago[[#This Row],[ATUAL]])</f>
        <v>0</v>
      </c>
      <c r="AG211" s="91">
        <f>SUMIFS(tabela_registros[VALOR],tabela_registros[MÊS],$AE$1,tabela_registros[DIA],reservaoutrosconsolidadoago[[#Headers],[29]],tabela_registros[REGISTRO],DADOS!$N$6,tabela_registros[TIPO],DADOS!$AJ$5,tabela_registros[CATEGORIA],reservaoutrosconsolidadoago[[#This Row],[ATUAL]])</f>
        <v>0</v>
      </c>
      <c r="AH211" s="91">
        <f>SUMIFS(tabela_registros[VALOR],tabela_registros[MÊS],$AE$1,tabela_registros[DIA],reservaoutrosconsolidadoago[[#Headers],[30]],tabela_registros[REGISTRO],DADOS!$N$6,tabela_registros[TIPO],DADOS!$AJ$5,tabela_registros[CATEGORIA],reservaoutrosconsolidadoago[[#This Row],[ATUAL]])</f>
        <v>0</v>
      </c>
      <c r="AI211" s="101">
        <f>SUMIFS(tabela_registros[VALOR],tabela_registros[MÊS],$AE$1,tabela_registros[DIA],reservaoutrosconsolidadoago[[#Headers],[31]],tabela_registros[REGISTRO],DADOS!$N$6,tabela_registros[TIPO],DADOS!$AJ$5,tabela_registros[CATEGORIA],reservaoutrosconsolidadoago[[#This Row],[ATUAL]])</f>
        <v>0</v>
      </c>
      <c r="AJ211" s="97">
        <f>SUM(reservaoutrosconsolidadoago[[#This Row],[1]:[31]])</f>
        <v>0</v>
      </c>
      <c r="AK211" s="25"/>
    </row>
    <row r="212" spans="2:37" ht="19.5" customHeight="1" thickTop="1" thickBot="1" x14ac:dyDescent="0.3">
      <c r="B212" s="28"/>
      <c r="C212" s="27" t="str">
        <f>DADOS!$AP$9</f>
        <v>📝 PREVIDÊNCIA PRIVADA</v>
      </c>
      <c r="D212" s="26" t="str">
        <f>IF(reservaoutrosconsolidadoago[[#This Row],[TOTAL (R$)]]=0,"",IF(OR(reservaoutrosconsolidadoago[[#This Row],[TOTAL (R$)]]=LARGE($AJ$206:$AJ$213,1),reservaoutrosconsolidadoago[[#This Row],[TOTAL (R$)]]=LARGE($AJ$206:$AJ$213,2)),DADOS!$I$11,""))</f>
        <v/>
      </c>
      <c r="E212" s="96">
        <f>SUMIFS(tabela_registros[VALOR],tabela_registros[MÊS],$AE$1,tabela_registros[DIA],reservaoutrosconsolidadoago[[#Headers],[1]],tabela_registros[REGISTRO],DADOS!$N$6,tabela_registros[TIPO],DADOS!$AJ$5,tabela_registros[CATEGORIA],reservaoutrosconsolidadoago[[#This Row],[ATUAL]])</f>
        <v>0</v>
      </c>
      <c r="F212" s="91">
        <f>SUMIFS(tabela_registros[VALOR],tabela_registros[MÊS],$AE$1,tabela_registros[DIA],reservaoutrosconsolidadoago[[#Headers],[2]],tabela_registros[REGISTRO],DADOS!$N$6,tabela_registros[TIPO],DADOS!$AJ$5,tabela_registros[CATEGORIA],reservaoutrosconsolidadoago[[#This Row],[ATUAL]])</f>
        <v>0</v>
      </c>
      <c r="G212" s="91">
        <f>SUMIFS(tabela_registros[VALOR],tabela_registros[MÊS],$AE$1,tabela_registros[DIA],reservaoutrosconsolidadoago[[#Headers],[3]],tabela_registros[REGISTRO],DADOS!$N$6,tabela_registros[TIPO],DADOS!$AJ$5,tabela_registros[CATEGORIA],reservaoutrosconsolidadoago[[#This Row],[ATUAL]])</f>
        <v>0</v>
      </c>
      <c r="H212" s="91">
        <f>SUMIFS(tabela_registros[VALOR],tabela_registros[MÊS],$AE$1,tabela_registros[DIA],reservaoutrosconsolidadoago[[#Headers],[4]],tabela_registros[REGISTRO],DADOS!$N$6,tabela_registros[TIPO],DADOS!$AJ$5,tabela_registros[CATEGORIA],reservaoutrosconsolidadoago[[#This Row],[ATUAL]])</f>
        <v>0</v>
      </c>
      <c r="I212" s="91">
        <f>SUMIFS(tabela_registros[VALOR],tabela_registros[MÊS],$AE$1,tabela_registros[DIA],reservaoutrosconsolidadoago[[#Headers],[5]],tabela_registros[REGISTRO],DADOS!$N$6,tabela_registros[TIPO],DADOS!$AJ$5,tabela_registros[CATEGORIA],reservaoutrosconsolidadoago[[#This Row],[ATUAL]])</f>
        <v>0</v>
      </c>
      <c r="J212" s="91">
        <f>SUMIFS(tabela_registros[VALOR],tabela_registros[MÊS],$AE$1,tabela_registros[DIA],reservaoutrosconsolidadoago[[#Headers],[6]],tabela_registros[REGISTRO],DADOS!$N$6,tabela_registros[TIPO],DADOS!$AJ$5,tabela_registros[CATEGORIA],reservaoutrosconsolidadoago[[#This Row],[ATUAL]])</f>
        <v>0</v>
      </c>
      <c r="K212" s="91">
        <f>SUMIFS(tabela_registros[VALOR],tabela_registros[MÊS],$AE$1,tabela_registros[DIA],reservaoutrosconsolidadoago[[#Headers],[7]],tabela_registros[REGISTRO],DADOS!$N$6,tabela_registros[TIPO],DADOS!$AJ$5,tabela_registros[CATEGORIA],reservaoutrosconsolidadoago[[#This Row],[ATUAL]])</f>
        <v>0</v>
      </c>
      <c r="L212" s="91">
        <f>SUMIFS(tabela_registros[VALOR],tabela_registros[MÊS],$AE$1,tabela_registros[DIA],reservaoutrosconsolidadoago[[#Headers],[8]],tabela_registros[REGISTRO],DADOS!$N$6,tabela_registros[TIPO],DADOS!$AJ$5,tabela_registros[CATEGORIA],reservaoutrosconsolidadoago[[#This Row],[ATUAL]])</f>
        <v>0</v>
      </c>
      <c r="M212" s="91">
        <f>SUMIFS(tabela_registros[VALOR],tabela_registros[MÊS],$AE$1,tabela_registros[DIA],reservaoutrosconsolidadoago[[#Headers],[9]],tabela_registros[REGISTRO],DADOS!$N$6,tabela_registros[TIPO],DADOS!$AJ$5,tabela_registros[CATEGORIA],reservaoutrosconsolidadoago[[#This Row],[ATUAL]])</f>
        <v>0</v>
      </c>
      <c r="N212" s="91">
        <f>SUMIFS(tabela_registros[VALOR],tabela_registros[MÊS],$AE$1,tabela_registros[DIA],reservaoutrosconsolidadoago[[#Headers],[10]],tabela_registros[REGISTRO],DADOS!$N$6,tabela_registros[TIPO],DADOS!$AJ$5,tabela_registros[CATEGORIA],reservaoutrosconsolidadoago[[#This Row],[ATUAL]])</f>
        <v>0</v>
      </c>
      <c r="O212" s="91">
        <f>SUMIFS(tabela_registros[VALOR],tabela_registros[MÊS],$AE$1,tabela_registros[DIA],reservaoutrosconsolidadoago[[#Headers],[11]],tabela_registros[REGISTRO],DADOS!$N$6,tabela_registros[TIPO],DADOS!$AJ$5,tabela_registros[CATEGORIA],reservaoutrosconsolidadoago[[#This Row],[ATUAL]])</f>
        <v>0</v>
      </c>
      <c r="P212" s="91">
        <f>SUMIFS(tabela_registros[VALOR],tabela_registros[MÊS],$AE$1,tabela_registros[DIA],reservaoutrosconsolidadoago[[#Headers],[12]],tabela_registros[REGISTRO],DADOS!$N$6,tabela_registros[TIPO],DADOS!$AJ$5,tabela_registros[CATEGORIA],reservaoutrosconsolidadoago[[#This Row],[ATUAL]])</f>
        <v>0</v>
      </c>
      <c r="Q212" s="91">
        <f>SUMIFS(tabela_registros[VALOR],tabela_registros[MÊS],$AE$1,tabela_registros[DIA],reservaoutrosconsolidadoago[[#Headers],[13]],tabela_registros[REGISTRO],DADOS!$N$6,tabela_registros[TIPO],DADOS!$AJ$5,tabela_registros[CATEGORIA],reservaoutrosconsolidadoago[[#This Row],[ATUAL]])</f>
        <v>0</v>
      </c>
      <c r="R212" s="91">
        <f>SUMIFS(tabela_registros[VALOR],tabela_registros[MÊS],$AE$1,tabela_registros[DIA],reservaoutrosconsolidadoago[[#Headers],[14]],tabela_registros[REGISTRO],DADOS!$N$6,tabela_registros[TIPO],DADOS!$AJ$5,tabela_registros[CATEGORIA],reservaoutrosconsolidadoago[[#This Row],[ATUAL]])</f>
        <v>0</v>
      </c>
      <c r="S212" s="91">
        <f>SUMIFS(tabela_registros[VALOR],tabela_registros[MÊS],$AE$1,tabela_registros[DIA],reservaoutrosconsolidadoago[[#Headers],[15]],tabela_registros[REGISTRO],DADOS!$N$6,tabela_registros[TIPO],DADOS!$AJ$5,tabela_registros[CATEGORIA],reservaoutrosconsolidadoago[[#This Row],[ATUAL]])</f>
        <v>0</v>
      </c>
      <c r="T212" s="91">
        <f>SUMIFS(tabela_registros[VALOR],tabela_registros[MÊS],$AE$1,tabela_registros[DIA],reservaoutrosconsolidadoago[[#Headers],[16]],tabela_registros[REGISTRO],DADOS!$N$6,tabela_registros[TIPO],DADOS!$AJ$5,tabela_registros[CATEGORIA],reservaoutrosconsolidadoago[[#This Row],[ATUAL]])</f>
        <v>0</v>
      </c>
      <c r="U212" s="91">
        <f>SUMIFS(tabela_registros[VALOR],tabela_registros[MÊS],$AE$1,tabela_registros[DIA],reservaoutrosconsolidadoago[[#Headers],[17]],tabela_registros[REGISTRO],DADOS!$N$6,tabela_registros[TIPO],DADOS!$AJ$5,tabela_registros[CATEGORIA],reservaoutrosconsolidadoago[[#This Row],[ATUAL]])</f>
        <v>0</v>
      </c>
      <c r="V212" s="91">
        <f>SUMIFS(tabela_registros[VALOR],tabela_registros[MÊS],$AE$1,tabela_registros[DIA],reservaoutrosconsolidadoago[[#Headers],[18]],tabela_registros[REGISTRO],DADOS!$N$6,tabela_registros[TIPO],DADOS!$AJ$5,tabela_registros[CATEGORIA],reservaoutrosconsolidadoago[[#This Row],[ATUAL]])</f>
        <v>0</v>
      </c>
      <c r="W212" s="91">
        <f>SUMIFS(tabela_registros[VALOR],tabela_registros[MÊS],$AE$1,tabela_registros[DIA],reservaoutrosconsolidadoago[[#Headers],[19]],tabela_registros[REGISTRO],DADOS!$N$6,tabela_registros[TIPO],DADOS!$AJ$5,tabela_registros[CATEGORIA],reservaoutrosconsolidadoago[[#This Row],[ATUAL]])</f>
        <v>0</v>
      </c>
      <c r="X212" s="91">
        <f>SUMIFS(tabela_registros[VALOR],tabela_registros[MÊS],$AE$1,tabela_registros[DIA],reservaoutrosconsolidadoago[[#Headers],[20]],tabela_registros[REGISTRO],DADOS!$N$6,tabela_registros[TIPO],DADOS!$AJ$5,tabela_registros[CATEGORIA],reservaoutrosconsolidadoago[[#This Row],[ATUAL]])</f>
        <v>0</v>
      </c>
      <c r="Y212" s="91">
        <f>SUMIFS(tabela_registros[VALOR],tabela_registros[MÊS],$AE$1,tabela_registros[DIA],reservaoutrosconsolidadoago[[#Headers],[21]],tabela_registros[REGISTRO],DADOS!$N$6,tabela_registros[TIPO],DADOS!$AJ$5,tabela_registros[CATEGORIA],reservaoutrosconsolidadoago[[#This Row],[ATUAL]])</f>
        <v>0</v>
      </c>
      <c r="Z212" s="91">
        <f>SUMIFS(tabela_registros[VALOR],tabela_registros[MÊS],$AE$1,tabela_registros[DIA],reservaoutrosconsolidadoago[[#Headers],[22]],tabela_registros[REGISTRO],DADOS!$N$6,tabela_registros[TIPO],DADOS!$AJ$5,tabela_registros[CATEGORIA],reservaoutrosconsolidadoago[[#This Row],[ATUAL]])</f>
        <v>0</v>
      </c>
      <c r="AA212" s="91">
        <f>SUMIFS(tabela_registros[VALOR],tabela_registros[MÊS],$AE$1,tabela_registros[DIA],reservaoutrosconsolidadoago[[#Headers],[23]],tabela_registros[REGISTRO],DADOS!$N$6,tabela_registros[TIPO],DADOS!$AJ$5,tabela_registros[CATEGORIA],reservaoutrosconsolidadoago[[#This Row],[ATUAL]])</f>
        <v>0</v>
      </c>
      <c r="AB212" s="91">
        <f>SUMIFS(tabela_registros[VALOR],tabela_registros[MÊS],$AE$1,tabela_registros[DIA],reservaoutrosconsolidadoago[[#Headers],[24]],tabela_registros[REGISTRO],DADOS!$N$6,tabela_registros[TIPO],DADOS!$AJ$5,tabela_registros[CATEGORIA],reservaoutrosconsolidadoago[[#This Row],[ATUAL]])</f>
        <v>0</v>
      </c>
      <c r="AC212" s="91">
        <f>SUMIFS(tabela_registros[VALOR],tabela_registros[MÊS],$AE$1,tabela_registros[DIA],reservaoutrosconsolidadoago[[#Headers],[25]],tabela_registros[REGISTRO],DADOS!$N$6,tabela_registros[TIPO],DADOS!$AJ$5,tabela_registros[CATEGORIA],reservaoutrosconsolidadoago[[#This Row],[ATUAL]])</f>
        <v>0</v>
      </c>
      <c r="AD212" s="91">
        <f>SUMIFS(tabela_registros[VALOR],tabela_registros[MÊS],$AE$1,tabela_registros[DIA],reservaoutrosconsolidadoago[[#Headers],[26]],tabela_registros[REGISTRO],DADOS!$N$6,tabela_registros[TIPO],DADOS!$AJ$5,tabela_registros[CATEGORIA],reservaoutrosconsolidadoago[[#This Row],[ATUAL]])</f>
        <v>0</v>
      </c>
      <c r="AE212" s="91">
        <f>SUMIFS(tabela_registros[VALOR],tabela_registros[MÊS],$AE$1,tabela_registros[DIA],reservaoutrosconsolidadoago[[#Headers],[27]],tabela_registros[REGISTRO],DADOS!$N$6,tabela_registros[TIPO],DADOS!$AJ$5,tabela_registros[CATEGORIA],reservaoutrosconsolidadoago[[#This Row],[ATUAL]])</f>
        <v>0</v>
      </c>
      <c r="AF212" s="91">
        <f>SUMIFS(tabela_registros[VALOR],tabela_registros[MÊS],$AE$1,tabela_registros[DIA],reservaoutrosconsolidadoago[[#Headers],[28]],tabela_registros[REGISTRO],DADOS!$N$6,tabela_registros[TIPO],DADOS!$AJ$5,tabela_registros[CATEGORIA],reservaoutrosconsolidadoago[[#This Row],[ATUAL]])</f>
        <v>0</v>
      </c>
      <c r="AG212" s="91">
        <f>SUMIFS(tabela_registros[VALOR],tabela_registros[MÊS],$AE$1,tabela_registros[DIA],reservaoutrosconsolidadoago[[#Headers],[29]],tabela_registros[REGISTRO],DADOS!$N$6,tabela_registros[TIPO],DADOS!$AJ$5,tabela_registros[CATEGORIA],reservaoutrosconsolidadoago[[#This Row],[ATUAL]])</f>
        <v>0</v>
      </c>
      <c r="AH212" s="91">
        <f>SUMIFS(tabela_registros[VALOR],tabela_registros[MÊS],$AE$1,tabela_registros[DIA],reservaoutrosconsolidadoago[[#Headers],[30]],tabela_registros[REGISTRO],DADOS!$N$6,tabela_registros[TIPO],DADOS!$AJ$5,tabela_registros[CATEGORIA],reservaoutrosconsolidadoago[[#This Row],[ATUAL]])</f>
        <v>0</v>
      </c>
      <c r="AI212" s="101">
        <f>SUMIFS(tabela_registros[VALOR],tabela_registros[MÊS],$AE$1,tabela_registros[DIA],reservaoutrosconsolidadoago[[#Headers],[31]],tabela_registros[REGISTRO],DADOS!$N$6,tabela_registros[TIPO],DADOS!$AJ$5,tabela_registros[CATEGORIA],reservaoutrosconsolidadoago[[#This Row],[ATUAL]])</f>
        <v>0</v>
      </c>
      <c r="AJ212" s="97">
        <f>SUM(reservaoutrosconsolidadoago[[#This Row],[1]:[31]])</f>
        <v>0</v>
      </c>
      <c r="AK212" s="25"/>
    </row>
    <row r="213" spans="2:37" ht="19.5" customHeight="1" thickTop="1" thickBot="1" x14ac:dyDescent="0.3">
      <c r="B213" s="28"/>
      <c r="C213" s="27" t="str">
        <f>DADOS!$AP$10</f>
        <v>📎 OUTROS</v>
      </c>
      <c r="D213" s="26" t="str">
        <f>IF(reservaoutrosconsolidadoago[[#This Row],[TOTAL (R$)]]=0,"",IF(OR(reservaoutrosconsolidadoago[[#This Row],[TOTAL (R$)]]=LARGE($AJ$206:$AJ$213,1),reservaoutrosconsolidadoago[[#This Row],[TOTAL (R$)]]=LARGE($AJ$206:$AJ$213,2)),DADOS!$I$11,""))</f>
        <v/>
      </c>
      <c r="E213" s="96">
        <f>SUMIFS(tabela_registros[VALOR],tabela_registros[MÊS],$AE$1,tabela_registros[DIA],reservaoutrosconsolidadoago[[#Headers],[1]],tabela_registros[REGISTRO],DADOS!$N$6,tabela_registros[TIPO],DADOS!$AJ$5,tabela_registros[CATEGORIA],reservaoutrosconsolidadoago[[#This Row],[ATUAL]])</f>
        <v>0</v>
      </c>
      <c r="F213" s="91">
        <f>SUMIFS(tabela_registros[VALOR],tabela_registros[MÊS],$AE$1,tabela_registros[DIA],reservaoutrosconsolidadoago[[#Headers],[2]],tabela_registros[REGISTRO],DADOS!$N$6,tabela_registros[TIPO],DADOS!$AJ$5,tabela_registros[CATEGORIA],reservaoutrosconsolidadoago[[#This Row],[ATUAL]])</f>
        <v>0</v>
      </c>
      <c r="G213" s="91">
        <f>SUMIFS(tabela_registros[VALOR],tabela_registros[MÊS],$AE$1,tabela_registros[DIA],reservaoutrosconsolidadoago[[#Headers],[3]],tabela_registros[REGISTRO],DADOS!$N$6,tabela_registros[TIPO],DADOS!$AJ$5,tabela_registros[CATEGORIA],reservaoutrosconsolidadoago[[#This Row],[ATUAL]])</f>
        <v>0</v>
      </c>
      <c r="H213" s="91">
        <f>SUMIFS(tabela_registros[VALOR],tabela_registros[MÊS],$AE$1,tabela_registros[DIA],reservaoutrosconsolidadoago[[#Headers],[4]],tabela_registros[REGISTRO],DADOS!$N$6,tabela_registros[TIPO],DADOS!$AJ$5,tabela_registros[CATEGORIA],reservaoutrosconsolidadoago[[#This Row],[ATUAL]])</f>
        <v>0</v>
      </c>
      <c r="I213" s="91">
        <f>SUMIFS(tabela_registros[VALOR],tabela_registros[MÊS],$AE$1,tabela_registros[DIA],reservaoutrosconsolidadoago[[#Headers],[5]],tabela_registros[REGISTRO],DADOS!$N$6,tabela_registros[TIPO],DADOS!$AJ$5,tabela_registros[CATEGORIA],reservaoutrosconsolidadoago[[#This Row],[ATUAL]])</f>
        <v>0</v>
      </c>
      <c r="J213" s="91">
        <f>SUMIFS(tabela_registros[VALOR],tabela_registros[MÊS],$AE$1,tabela_registros[DIA],reservaoutrosconsolidadoago[[#Headers],[6]],tabela_registros[REGISTRO],DADOS!$N$6,tabela_registros[TIPO],DADOS!$AJ$5,tabela_registros[CATEGORIA],reservaoutrosconsolidadoago[[#This Row],[ATUAL]])</f>
        <v>0</v>
      </c>
      <c r="K213" s="91">
        <f>SUMIFS(tabela_registros[VALOR],tabela_registros[MÊS],$AE$1,tabela_registros[DIA],reservaoutrosconsolidadoago[[#Headers],[7]],tabela_registros[REGISTRO],DADOS!$N$6,tabela_registros[TIPO],DADOS!$AJ$5,tabela_registros[CATEGORIA],reservaoutrosconsolidadoago[[#This Row],[ATUAL]])</f>
        <v>0</v>
      </c>
      <c r="L213" s="91">
        <f>SUMIFS(tabela_registros[VALOR],tabela_registros[MÊS],$AE$1,tabela_registros[DIA],reservaoutrosconsolidadoago[[#Headers],[8]],tabela_registros[REGISTRO],DADOS!$N$6,tabela_registros[TIPO],DADOS!$AJ$5,tabela_registros[CATEGORIA],reservaoutrosconsolidadoago[[#This Row],[ATUAL]])</f>
        <v>0</v>
      </c>
      <c r="M213" s="91">
        <f>SUMIFS(tabela_registros[VALOR],tabela_registros[MÊS],$AE$1,tabela_registros[DIA],reservaoutrosconsolidadoago[[#Headers],[9]],tabela_registros[REGISTRO],DADOS!$N$6,tabela_registros[TIPO],DADOS!$AJ$5,tabela_registros[CATEGORIA],reservaoutrosconsolidadoago[[#This Row],[ATUAL]])</f>
        <v>0</v>
      </c>
      <c r="N213" s="91">
        <f>SUMIFS(tabela_registros[VALOR],tabela_registros[MÊS],$AE$1,tabela_registros[DIA],reservaoutrosconsolidadoago[[#Headers],[10]],tabela_registros[REGISTRO],DADOS!$N$6,tabela_registros[TIPO],DADOS!$AJ$5,tabela_registros[CATEGORIA],reservaoutrosconsolidadoago[[#This Row],[ATUAL]])</f>
        <v>0</v>
      </c>
      <c r="O213" s="91">
        <f>SUMIFS(tabela_registros[VALOR],tabela_registros[MÊS],$AE$1,tabela_registros[DIA],reservaoutrosconsolidadoago[[#Headers],[11]],tabela_registros[REGISTRO],DADOS!$N$6,tabela_registros[TIPO],DADOS!$AJ$5,tabela_registros[CATEGORIA],reservaoutrosconsolidadoago[[#This Row],[ATUAL]])</f>
        <v>0</v>
      </c>
      <c r="P213" s="91">
        <f>SUMIFS(tabela_registros[VALOR],tabela_registros[MÊS],$AE$1,tabela_registros[DIA],reservaoutrosconsolidadoago[[#Headers],[12]],tabela_registros[REGISTRO],DADOS!$N$6,tabela_registros[TIPO],DADOS!$AJ$5,tabela_registros[CATEGORIA],reservaoutrosconsolidadoago[[#This Row],[ATUAL]])</f>
        <v>0</v>
      </c>
      <c r="Q213" s="91">
        <f>SUMIFS(tabela_registros[VALOR],tabela_registros[MÊS],$AE$1,tabela_registros[DIA],reservaoutrosconsolidadoago[[#Headers],[13]],tabela_registros[REGISTRO],DADOS!$N$6,tabela_registros[TIPO],DADOS!$AJ$5,tabela_registros[CATEGORIA],reservaoutrosconsolidadoago[[#This Row],[ATUAL]])</f>
        <v>0</v>
      </c>
      <c r="R213" s="91">
        <f>SUMIFS(tabela_registros[VALOR],tabela_registros[MÊS],$AE$1,tabela_registros[DIA],reservaoutrosconsolidadoago[[#Headers],[14]],tabela_registros[REGISTRO],DADOS!$N$6,tabela_registros[TIPO],DADOS!$AJ$5,tabela_registros[CATEGORIA],reservaoutrosconsolidadoago[[#This Row],[ATUAL]])</f>
        <v>0</v>
      </c>
      <c r="S213" s="91">
        <f>SUMIFS(tabela_registros[VALOR],tabela_registros[MÊS],$AE$1,tabela_registros[DIA],reservaoutrosconsolidadoago[[#Headers],[15]],tabela_registros[REGISTRO],DADOS!$N$6,tabela_registros[TIPO],DADOS!$AJ$5,tabela_registros[CATEGORIA],reservaoutrosconsolidadoago[[#This Row],[ATUAL]])</f>
        <v>0</v>
      </c>
      <c r="T213" s="91">
        <f>SUMIFS(tabela_registros[VALOR],tabela_registros[MÊS],$AE$1,tabela_registros[DIA],reservaoutrosconsolidadoago[[#Headers],[16]],tabela_registros[REGISTRO],DADOS!$N$6,tabela_registros[TIPO],DADOS!$AJ$5,tabela_registros[CATEGORIA],reservaoutrosconsolidadoago[[#This Row],[ATUAL]])</f>
        <v>0</v>
      </c>
      <c r="U213" s="91">
        <f>SUMIFS(tabela_registros[VALOR],tabela_registros[MÊS],$AE$1,tabela_registros[DIA],reservaoutrosconsolidadoago[[#Headers],[17]],tabela_registros[REGISTRO],DADOS!$N$6,tabela_registros[TIPO],DADOS!$AJ$5,tabela_registros[CATEGORIA],reservaoutrosconsolidadoago[[#This Row],[ATUAL]])</f>
        <v>0</v>
      </c>
      <c r="V213" s="91">
        <f>SUMIFS(tabela_registros[VALOR],tabela_registros[MÊS],$AE$1,tabela_registros[DIA],reservaoutrosconsolidadoago[[#Headers],[18]],tabela_registros[REGISTRO],DADOS!$N$6,tabela_registros[TIPO],DADOS!$AJ$5,tabela_registros[CATEGORIA],reservaoutrosconsolidadoago[[#This Row],[ATUAL]])</f>
        <v>0</v>
      </c>
      <c r="W213" s="91">
        <f>SUMIFS(tabela_registros[VALOR],tabela_registros[MÊS],$AE$1,tabela_registros[DIA],reservaoutrosconsolidadoago[[#Headers],[19]],tabela_registros[REGISTRO],DADOS!$N$6,tabela_registros[TIPO],DADOS!$AJ$5,tabela_registros[CATEGORIA],reservaoutrosconsolidadoago[[#This Row],[ATUAL]])</f>
        <v>0</v>
      </c>
      <c r="X213" s="91">
        <f>SUMIFS(tabela_registros[VALOR],tabela_registros[MÊS],$AE$1,tabela_registros[DIA],reservaoutrosconsolidadoago[[#Headers],[20]],tabela_registros[REGISTRO],DADOS!$N$6,tabela_registros[TIPO],DADOS!$AJ$5,tabela_registros[CATEGORIA],reservaoutrosconsolidadoago[[#This Row],[ATUAL]])</f>
        <v>0</v>
      </c>
      <c r="Y213" s="91">
        <f>SUMIFS(tabela_registros[VALOR],tabela_registros[MÊS],$AE$1,tabela_registros[DIA],reservaoutrosconsolidadoago[[#Headers],[21]],tabela_registros[REGISTRO],DADOS!$N$6,tabela_registros[TIPO],DADOS!$AJ$5,tabela_registros[CATEGORIA],reservaoutrosconsolidadoago[[#This Row],[ATUAL]])</f>
        <v>0</v>
      </c>
      <c r="Z213" s="91">
        <f>SUMIFS(tabela_registros[VALOR],tabela_registros[MÊS],$AE$1,tabela_registros[DIA],reservaoutrosconsolidadoago[[#Headers],[22]],tabela_registros[REGISTRO],DADOS!$N$6,tabela_registros[TIPO],DADOS!$AJ$5,tabela_registros[CATEGORIA],reservaoutrosconsolidadoago[[#This Row],[ATUAL]])</f>
        <v>0</v>
      </c>
      <c r="AA213" s="91">
        <f>SUMIFS(tabela_registros[VALOR],tabela_registros[MÊS],$AE$1,tabela_registros[DIA],reservaoutrosconsolidadoago[[#Headers],[23]],tabela_registros[REGISTRO],DADOS!$N$6,tabela_registros[TIPO],DADOS!$AJ$5,tabela_registros[CATEGORIA],reservaoutrosconsolidadoago[[#This Row],[ATUAL]])</f>
        <v>0</v>
      </c>
      <c r="AB213" s="91">
        <f>SUMIFS(tabela_registros[VALOR],tabela_registros[MÊS],$AE$1,tabela_registros[DIA],reservaoutrosconsolidadoago[[#Headers],[24]],tabela_registros[REGISTRO],DADOS!$N$6,tabela_registros[TIPO],DADOS!$AJ$5,tabela_registros[CATEGORIA],reservaoutrosconsolidadoago[[#This Row],[ATUAL]])</f>
        <v>0</v>
      </c>
      <c r="AC213" s="91">
        <f>SUMIFS(tabela_registros[VALOR],tabela_registros[MÊS],$AE$1,tabela_registros[DIA],reservaoutrosconsolidadoago[[#Headers],[25]],tabela_registros[REGISTRO],DADOS!$N$6,tabela_registros[TIPO],DADOS!$AJ$5,tabela_registros[CATEGORIA],reservaoutrosconsolidadoago[[#This Row],[ATUAL]])</f>
        <v>0</v>
      </c>
      <c r="AD213" s="91">
        <f>SUMIFS(tabela_registros[VALOR],tabela_registros[MÊS],$AE$1,tabela_registros[DIA],reservaoutrosconsolidadoago[[#Headers],[26]],tabela_registros[REGISTRO],DADOS!$N$6,tabela_registros[TIPO],DADOS!$AJ$5,tabela_registros[CATEGORIA],reservaoutrosconsolidadoago[[#This Row],[ATUAL]])</f>
        <v>0</v>
      </c>
      <c r="AE213" s="91">
        <f>SUMIFS(tabela_registros[VALOR],tabela_registros[MÊS],$AE$1,tabela_registros[DIA],reservaoutrosconsolidadoago[[#Headers],[27]],tabela_registros[REGISTRO],DADOS!$N$6,tabela_registros[TIPO],DADOS!$AJ$5,tabela_registros[CATEGORIA],reservaoutrosconsolidadoago[[#This Row],[ATUAL]])</f>
        <v>0</v>
      </c>
      <c r="AF213" s="91">
        <f>SUMIFS(tabela_registros[VALOR],tabela_registros[MÊS],$AE$1,tabela_registros[DIA],reservaoutrosconsolidadoago[[#Headers],[28]],tabela_registros[REGISTRO],DADOS!$N$6,tabela_registros[TIPO],DADOS!$AJ$5,tabela_registros[CATEGORIA],reservaoutrosconsolidadoago[[#This Row],[ATUAL]])</f>
        <v>0</v>
      </c>
      <c r="AG213" s="91">
        <f>SUMIFS(tabela_registros[VALOR],tabela_registros[MÊS],$AE$1,tabela_registros[DIA],reservaoutrosconsolidadoago[[#Headers],[29]],tabela_registros[REGISTRO],DADOS!$N$6,tabela_registros[TIPO],DADOS!$AJ$5,tabela_registros[CATEGORIA],reservaoutrosconsolidadoago[[#This Row],[ATUAL]])</f>
        <v>0</v>
      </c>
      <c r="AH213" s="91">
        <f>SUMIFS(tabela_registros[VALOR],tabela_registros[MÊS],$AE$1,tabela_registros[DIA],reservaoutrosconsolidadoago[[#Headers],[30]],tabela_registros[REGISTRO],DADOS!$N$6,tabela_registros[TIPO],DADOS!$AJ$5,tabela_registros[CATEGORIA],reservaoutrosconsolidadoago[[#This Row],[ATUAL]])</f>
        <v>0</v>
      </c>
      <c r="AI213" s="102">
        <f>SUMIFS(tabela_registros[VALOR],tabela_registros[MÊS],$AE$1,tabela_registros[DIA],reservaoutrosconsolidadoago[[#Headers],[31]],tabela_registros[REGISTRO],DADOS!$N$6,tabela_registros[TIPO],DADOS!$AJ$5,tabela_registros[CATEGORIA],reservaoutrosconsolidadoago[[#This Row],[ATUAL]])</f>
        <v>0</v>
      </c>
      <c r="AJ213" s="97">
        <f>SUM(reservaoutrosconsolidadoago[[#This Row],[1]:[31]])</f>
        <v>0</v>
      </c>
      <c r="AK213" s="25"/>
    </row>
    <row r="214" spans="2:37" s="16" customFormat="1" ht="21" customHeight="1" thickTop="1" thickBot="1" x14ac:dyDescent="0.35">
      <c r="B214" s="24"/>
      <c r="C214" s="23" t="s">
        <v>19</v>
      </c>
      <c r="D214" s="22"/>
      <c r="E214" s="21">
        <f>SUM(E206:E213)</f>
        <v>0</v>
      </c>
      <c r="F214" s="20">
        <f>SUM(F206:F213)+reservaoutrosconsolidadoago[[#This Row],[1]]</f>
        <v>0</v>
      </c>
      <c r="G214" s="20">
        <f>SUM(G206:G213)+reservaoutrosconsolidadoago[[#This Row],[2]]</f>
        <v>0</v>
      </c>
      <c r="H214" s="20">
        <f>SUM(H206:H213)+reservaoutrosconsolidadoago[[#This Row],[3]]</f>
        <v>0</v>
      </c>
      <c r="I214" s="20">
        <f>SUM(I206:I213)+reservaoutrosconsolidadoago[[#This Row],[4]]</f>
        <v>0</v>
      </c>
      <c r="J214" s="20">
        <f>SUM(J206:J213)+reservaoutrosconsolidadoago[[#This Row],[5]]</f>
        <v>0</v>
      </c>
      <c r="K214" s="20">
        <f>SUM(K206:K213)+reservaoutrosconsolidadoago[[#This Row],[6]]</f>
        <v>0</v>
      </c>
      <c r="L214" s="20">
        <f>SUM(L206:L213)+reservaoutrosconsolidadoago[[#This Row],[7]]</f>
        <v>0</v>
      </c>
      <c r="M214" s="20">
        <f>SUM(M206:M213)+reservaoutrosconsolidadoago[[#This Row],[8]]</f>
        <v>0</v>
      </c>
      <c r="N214" s="20">
        <f>SUM(N206:N213)+reservaoutrosconsolidadoago[[#This Row],[9]]</f>
        <v>0</v>
      </c>
      <c r="O214" s="20">
        <f>SUM(O206:O213)+reservaoutrosconsolidadoago[[#This Row],[10]]</f>
        <v>0</v>
      </c>
      <c r="P214" s="20">
        <f>SUM(P206:P213)+reservaoutrosconsolidadoago[[#This Row],[11]]</f>
        <v>0</v>
      </c>
      <c r="Q214" s="20">
        <f>SUM(Q206:Q213)+reservaoutrosconsolidadoago[[#This Row],[12]]</f>
        <v>0</v>
      </c>
      <c r="R214" s="20">
        <f>SUM(R206:R213)+reservaoutrosconsolidadoago[[#This Row],[13]]</f>
        <v>0</v>
      </c>
      <c r="S214" s="20">
        <f>SUM(S206:S213)+reservaoutrosconsolidadoago[[#This Row],[14]]</f>
        <v>0</v>
      </c>
      <c r="T214" s="20">
        <f>SUM(T206:T213)+reservaoutrosconsolidadoago[[#This Row],[15]]</f>
        <v>0</v>
      </c>
      <c r="U214" s="20">
        <f>SUM(U206:U213)+reservaoutrosconsolidadoago[[#This Row],[16]]</f>
        <v>0</v>
      </c>
      <c r="V214" s="20">
        <f>SUM(V206:V213)+reservaoutrosconsolidadoago[[#This Row],[17]]</f>
        <v>0</v>
      </c>
      <c r="W214" s="20">
        <f>SUM(W206:W213)+reservaoutrosconsolidadoago[[#This Row],[18]]</f>
        <v>0</v>
      </c>
      <c r="X214" s="20">
        <f>SUM(X206:X213)+reservaoutrosconsolidadoago[[#This Row],[19]]</f>
        <v>0</v>
      </c>
      <c r="Y214" s="20">
        <f>SUM(Y206:Y213)+reservaoutrosconsolidadoago[[#This Row],[20]]</f>
        <v>0</v>
      </c>
      <c r="Z214" s="20">
        <f>SUM(Z206:Z213)+reservaoutrosconsolidadoago[[#This Row],[21]]</f>
        <v>0</v>
      </c>
      <c r="AA214" s="20">
        <f>SUM(AA206:AA213)+reservaoutrosconsolidadoago[[#This Row],[22]]</f>
        <v>0</v>
      </c>
      <c r="AB214" s="20">
        <f>SUM(AB206:AB213)+reservaoutrosconsolidadoago[[#This Row],[23]]</f>
        <v>0</v>
      </c>
      <c r="AC214" s="20">
        <f>SUM(AC206:AC213)+reservaoutrosconsolidadoago[[#This Row],[24]]</f>
        <v>0</v>
      </c>
      <c r="AD214" s="20">
        <f>SUM(AD206:AD213)+reservaoutrosconsolidadoago[[#This Row],[25]]</f>
        <v>0</v>
      </c>
      <c r="AE214" s="20">
        <f>SUM(AE206:AE213)+reservaoutrosconsolidadoago[[#This Row],[26]]</f>
        <v>0</v>
      </c>
      <c r="AF214" s="20">
        <f>SUM(AF206:AF213)+reservaoutrosconsolidadoago[[#This Row],[27]]</f>
        <v>0</v>
      </c>
      <c r="AG214" s="20">
        <f>SUM(AG206:AG213)+reservaoutrosconsolidadoago[[#This Row],[28]]</f>
        <v>0</v>
      </c>
      <c r="AH214" s="20">
        <f>SUM(AH206:AH213)+reservaoutrosconsolidadoago[[#This Row],[29]]</f>
        <v>0</v>
      </c>
      <c r="AI214" s="19">
        <f>SUM(AI206:AI213)+reservaoutrosconsolidadoago[[#This Row],[30]]</f>
        <v>0</v>
      </c>
      <c r="AJ214" s="18">
        <f>reservaoutrosconsolidadoago[[#This Row],[31]]</f>
        <v>0</v>
      </c>
      <c r="AK214" s="17"/>
    </row>
    <row r="215" spans="2:37" ht="6.75" customHeight="1" thickTop="1" thickBot="1" x14ac:dyDescent="0.3">
      <c r="B215" s="15"/>
      <c r="C215" s="14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3"/>
      <c r="AE215" s="13"/>
      <c r="AF215" s="13"/>
      <c r="AG215" s="13"/>
      <c r="AH215" s="13"/>
      <c r="AI215" s="12"/>
      <c r="AJ215" s="11"/>
      <c r="AK215" s="10"/>
    </row>
    <row r="216" spans="2:37" ht="12.6" thickTop="1" x14ac:dyDescent="0.25"/>
    <row r="217" spans="2:37" x14ac:dyDescent="0.25"/>
  </sheetData>
  <sheetProtection algorithmName="SHA-512" hashValue="0yYI+jg1BcWnjb5e6H4Cu4dSJNQA7i6Zb9+1wgZW1slO9rHCXrDs3rkeFueZV32wzftcCWZfC7i8+sY2oeGr2A==" saltValue="Zzfe1E3pypkQEoYgo9xGuw==" spinCount="100000" sheet="1" objects="1" scenarios="1" selectLockedCells="1" selectUnlockedCells="1"/>
  <mergeCells count="26">
    <mergeCell ref="E164:AI164"/>
    <mergeCell ref="E183:AI183"/>
    <mergeCell ref="E202:AI202"/>
    <mergeCell ref="E10:AI10"/>
    <mergeCell ref="E21:AI21"/>
    <mergeCell ref="E33:AI33"/>
    <mergeCell ref="E56:AI56"/>
    <mergeCell ref="E78:AI78"/>
    <mergeCell ref="E92:AI92"/>
    <mergeCell ref="E109:AI109"/>
    <mergeCell ref="E128:AI128"/>
    <mergeCell ref="E147:AI147"/>
    <mergeCell ref="AC3:AD4"/>
    <mergeCell ref="AF3:AG4"/>
    <mergeCell ref="E4:G4"/>
    <mergeCell ref="I4:K4"/>
    <mergeCell ref="M4:O4"/>
    <mergeCell ref="Q4:S4"/>
    <mergeCell ref="U4:W4"/>
    <mergeCell ref="U3:W3"/>
    <mergeCell ref="Z3:AA4"/>
    <mergeCell ref="C2:C6"/>
    <mergeCell ref="E3:G3"/>
    <mergeCell ref="I3:K3"/>
    <mergeCell ref="M3:O3"/>
    <mergeCell ref="Q3:S3"/>
  </mergeCells>
  <hyperlinks>
    <hyperlink ref="Z3:AA4" location="'🔒'!A1" display="REGISTROS" xr:uid="{EEA5E080-1D04-4E84-A27A-9221C9D037EA}"/>
    <hyperlink ref="AF3:AG4" location="ANUAL!A1" display="ANUAL" xr:uid="{E41A7E12-9A9C-4F09-A82D-BB6119E0AD41}"/>
    <hyperlink ref="AC3:AD4" location="'📈'!A1" display="RADAR" xr:uid="{4E884892-03EE-4795-B8A0-8CF1AF3FFA18}"/>
  </hyperlinks>
  <pageMargins left="0.511811024" right="0.511811024" top="0.78740157499999996" bottom="0.78740157499999996" header="0.31496062000000002" footer="0.31496062000000002"/>
  <ignoredErrors>
    <ignoredError sqref="E6:AI6" numberStoredAsText="1"/>
    <ignoredError sqref="AJ16:AJ27 D37:AJ214" calculatedColumn="1"/>
  </ignoredErrors>
  <drawing r:id="rId1"/>
  <tableParts count="12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</tableParts>
  <extLst>
    <ext xmlns:x14="http://schemas.microsoft.com/office/spreadsheetml/2009/9/main" uri="{05C60535-1F16-4fd2-B633-F4F36F0B64E0}">
      <x14:sparklineGroups xmlns:xm="http://schemas.microsoft.com/office/excel/2006/main">
        <x14:sparklineGroup manualMax="0" type="column" displayEmptyCellsAs="gap" high="1" negative="1" maxAxisType="group" xr2:uid="{5B30067C-F898-498A-BE54-2DABEEDA6036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'8'!E16:AI16</xm:f>
              <xm:sqref>E10</xm:sqref>
            </x14:sparkline>
          </x14:sparklines>
        </x14:sparklineGroup>
        <x14:sparklineGroup manualMax="0" manualMin="0" type="column" displayEmptyCellsAs="gap" high="1" low="1" negative="1" minAxisType="custom" maxAxisType="group" xr2:uid="{5EE7C384-1244-48B7-BF8C-AE21C4D8F1D7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'8'!E214:AI214</xm:f>
              <xm:sqref>E202</xm:sqref>
            </x14:sparkline>
          </x14:sparklines>
        </x14:sparklineGroup>
        <x14:sparklineGroup manualMax="0" manualMin="0" type="column" displayEmptyCellsAs="gap" high="1" low="1" negative="1" minAxisType="custom" maxAxisType="group" xr2:uid="{FD2A4CC8-5013-4BC8-B880-3F09E1A5EE60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'8'!E197:AI197</xm:f>
              <xm:sqref>E183</xm:sqref>
            </x14:sparkline>
          </x14:sparklines>
        </x14:sparklineGroup>
        <x14:sparklineGroup manualMax="0" manualMin="0" type="column" displayEmptyCellsAs="gap" high="1" low="1" negative="1" minAxisType="custom" maxAxisType="group" xr2:uid="{3C0705C2-AFD9-4765-BAF1-904FBD61DBA9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'8'!E178:AI178</xm:f>
              <xm:sqref>E164</xm:sqref>
            </x14:sparkline>
          </x14:sparklines>
        </x14:sparklineGroup>
        <x14:sparklineGroup manualMax="0" manualMin="0" type="column" displayEmptyCellsAs="gap" high="1" low="1" negative="1" minAxisType="custom" maxAxisType="group" xr2:uid="{3F527570-C2C2-40EF-B18B-AE87B549C1AD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'8'!E159:AI159</xm:f>
              <xm:sqref>E147</xm:sqref>
            </x14:sparkline>
          </x14:sparklines>
        </x14:sparklineGroup>
        <x14:sparklineGroup manualMax="0" manualMin="0" type="column" displayEmptyCellsAs="gap" high="1" low="1" negative="1" minAxisType="custom" maxAxisType="group" xr2:uid="{8161E7AB-7782-41FF-8A45-BAD546CF3CE6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'8'!E142:AI142</xm:f>
              <xm:sqref>E128</xm:sqref>
            </x14:sparkline>
          </x14:sparklines>
        </x14:sparklineGroup>
        <x14:sparklineGroup manualMax="0" manualMin="0" type="column" displayEmptyCellsAs="gap" high="1" low="1" negative="1" minAxisType="custom" maxAxisType="group" xr2:uid="{8142CB40-0581-4C5B-960F-09042084B773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'8'!E123:AI123</xm:f>
              <xm:sqref>E109</xm:sqref>
            </x14:sparkline>
          </x14:sparklines>
        </x14:sparklineGroup>
        <x14:sparklineGroup manualMax="0" manualMin="0" type="column" displayEmptyCellsAs="gap" high="1" low="1" negative="1" minAxisType="custom" maxAxisType="group" xr2:uid="{5C3E5096-AE39-4DB4-94AB-F1852D6E6E63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'8'!E104:AI104</xm:f>
              <xm:sqref>E92</xm:sqref>
            </x14:sparkline>
          </x14:sparklines>
        </x14:sparklineGroup>
        <x14:sparklineGroup manualMax="0" manualMin="0" type="column" displayEmptyCellsAs="gap" high="1" low="1" negative="1" minAxisType="custom" maxAxisType="group" xr2:uid="{8F343019-62A5-465E-BE3B-143D59981D5C}">
          <x14:colorSeries rgb="FFC00000"/>
          <x14:colorNegative rgb="FFC00000"/>
          <x14:colorAxis rgb="FF000000"/>
          <x14:colorMarkers rgb="FF0070C0"/>
          <x14:colorFirst rgb="FFFFC000"/>
          <x14:colorLast rgb="FFFFC000"/>
          <x14:colorHigh rgb="FFFF0000"/>
          <x14:colorLow rgb="FFFFC000"/>
          <x14:sparklines>
            <x14:sparkline>
              <xm:f>'8'!E51:AI51</xm:f>
              <xm:sqref>E33</xm:sqref>
            </x14:sparkline>
          </x14:sparklines>
        </x14:sparklineGroup>
        <x14:sparklineGroup manualMax="0" manualMin="0" type="column" displayEmptyCellsAs="gap" high="1" low="1" negative="1" minAxisType="custom" maxAxisType="group" xr2:uid="{3232CC64-0DC3-459C-A9B4-90300CDF0A6C}">
          <x14:colorSeries rgb="FFC00000"/>
          <x14:colorNegative rgb="FFC00000"/>
          <x14:colorAxis rgb="FF000000"/>
          <x14:colorMarkers rgb="FF0070C0"/>
          <x14:colorFirst rgb="FFFFC000"/>
          <x14:colorLast rgb="FFFFC000"/>
          <x14:colorHigh rgb="FFFF0000"/>
          <x14:colorLow rgb="FFFFC000"/>
          <x14:sparklines>
            <x14:sparkline>
              <xm:f>'8'!E73:AI73</xm:f>
              <xm:sqref>E56</xm:sqref>
            </x14:sparkline>
          </x14:sparklines>
        </x14:sparklineGroup>
        <x14:sparklineGroup manualMax="0" manualMin="0" type="column" displayEmptyCellsAs="gap" high="1" low="1" negative="1" minAxisType="custom" maxAxisType="group" xr2:uid="{A11D3A4D-02D1-43E5-A43B-7E9ED67733B5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'8'!E87:AI87</xm:f>
              <xm:sqref>E78</xm:sqref>
            </x14:sparkline>
          </x14:sparklines>
        </x14:sparklineGroup>
        <x14:sparklineGroup manualMax="0" manualMin="0" type="column" displayEmptyCellsAs="gap" high="1" low="1" negative="1" minAxisType="custom" maxAxisType="group" xr2:uid="{85BC2ECC-E621-43E2-B68A-375E59DFF5B1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'8'!E27:AI27</xm:f>
              <xm:sqref>E21</xm:sqref>
            </x14:sparkline>
          </x14:sparklines>
        </x14:sparklineGroup>
      </x14:sparklineGroup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BF11E5-369F-4487-8EB9-91D416DAEA99}">
  <sheetPr codeName="Planilha13">
    <tabColor rgb="FFFFEBAB"/>
  </sheetPr>
  <dimension ref="A1:AL217"/>
  <sheetViews>
    <sheetView showGridLines="0" showRowColHeaders="0" showZeros="0" zoomScale="85" zoomScaleNormal="85" workbookViewId="0">
      <pane xSplit="3" ySplit="6" topLeftCell="D7" activePane="bottomRight" state="frozen"/>
      <selection activeCell="D24" sqref="D24"/>
      <selection pane="topRight" activeCell="D24" sqref="D24"/>
      <selection pane="bottomLeft" activeCell="D24" sqref="D24"/>
      <selection pane="bottomRight" activeCell="D24" sqref="D24"/>
    </sheetView>
  </sheetViews>
  <sheetFormatPr defaultColWidth="0" defaultRowHeight="12" zeroHeight="1" x14ac:dyDescent="0.25"/>
  <cols>
    <col min="1" max="1" width="2.109375" style="4" customWidth="1"/>
    <col min="2" max="2" width="1.5546875" style="4" customWidth="1"/>
    <col min="3" max="3" width="29.33203125" style="4" bestFit="1" customWidth="1"/>
    <col min="4" max="4" width="4.6640625" style="4" customWidth="1"/>
    <col min="5" max="34" width="5.5546875" style="4" customWidth="1"/>
    <col min="35" max="35" width="5.5546875" style="9" hidden="1" customWidth="1"/>
    <col min="36" max="36" width="9.5546875" style="4" customWidth="1"/>
    <col min="37" max="37" width="1.5546875" style="4" customWidth="1"/>
    <col min="38" max="38" width="2" style="4" customWidth="1"/>
    <col min="39" max="16384" width="2.109375" style="4" hidden="1"/>
  </cols>
  <sheetData>
    <row r="1" spans="1:38" ht="29.25" hidden="1" customHeight="1" thickBot="1" x14ac:dyDescent="0.3">
      <c r="A1" s="80"/>
      <c r="B1" s="80"/>
      <c r="C1" s="80"/>
      <c r="D1" s="79"/>
      <c r="AD1" s="4" t="s">
        <v>215</v>
      </c>
      <c r="AE1" s="78">
        <v>9</v>
      </c>
      <c r="AH1" s="4" t="s">
        <v>214</v>
      </c>
      <c r="AI1" s="75">
        <f>IF('⚙️'!$Q$3=$AE$1,'⚙️'!$F$13,0)</f>
        <v>0</v>
      </c>
      <c r="AK1" s="75"/>
    </row>
    <row r="2" spans="1:38" ht="15.75" customHeight="1" thickTop="1" thickBot="1" x14ac:dyDescent="0.3">
      <c r="A2" s="77"/>
      <c r="B2" s="77"/>
      <c r="C2" s="245" t="s">
        <v>41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71"/>
      <c r="U2" s="71"/>
      <c r="V2" s="71"/>
      <c r="W2" s="71"/>
      <c r="X2" s="71"/>
      <c r="Y2" s="71"/>
      <c r="Z2" s="71"/>
      <c r="AA2" s="71"/>
      <c r="AB2" s="71"/>
      <c r="AC2" s="76"/>
      <c r="AD2" s="64"/>
      <c r="AE2" s="64"/>
      <c r="AF2" s="64"/>
      <c r="AG2" s="64"/>
      <c r="AH2" s="64"/>
      <c r="AI2" s="64"/>
      <c r="AJ2" s="64"/>
      <c r="AK2" s="64"/>
      <c r="AL2" s="64"/>
    </row>
    <row r="3" spans="1:38" s="73" customFormat="1" ht="18" customHeight="1" thickTop="1" thickBot="1" x14ac:dyDescent="0.3">
      <c r="A3" s="72"/>
      <c r="B3" s="72"/>
      <c r="C3" s="246"/>
      <c r="D3" s="2"/>
      <c r="E3" s="243" t="s">
        <v>211</v>
      </c>
      <c r="F3" s="243"/>
      <c r="G3" s="243"/>
      <c r="H3" s="71"/>
      <c r="I3" s="243" t="s">
        <v>210</v>
      </c>
      <c r="J3" s="243"/>
      <c r="K3" s="243"/>
      <c r="L3" s="71"/>
      <c r="M3" s="243" t="s">
        <v>209</v>
      </c>
      <c r="N3" s="243"/>
      <c r="O3" s="243"/>
      <c r="P3" s="71"/>
      <c r="Q3" s="243" t="s">
        <v>208</v>
      </c>
      <c r="R3" s="243"/>
      <c r="S3" s="243"/>
      <c r="T3" s="71"/>
      <c r="U3" s="243" t="s">
        <v>207</v>
      </c>
      <c r="V3" s="243"/>
      <c r="W3" s="243"/>
      <c r="X3" s="71"/>
      <c r="Y3" s="71"/>
      <c r="Z3" s="252" t="s">
        <v>23</v>
      </c>
      <c r="AA3" s="253"/>
      <c r="AB3" s="64"/>
      <c r="AC3" s="252" t="s">
        <v>24</v>
      </c>
      <c r="AD3" s="253"/>
      <c r="AE3" s="64"/>
      <c r="AF3" s="252" t="s">
        <v>22</v>
      </c>
      <c r="AG3" s="253"/>
      <c r="AH3" s="74"/>
      <c r="AI3" s="74"/>
      <c r="AJ3" s="74"/>
      <c r="AK3" s="64"/>
      <c r="AL3" s="64"/>
    </row>
    <row r="4" spans="1:38" s="73" customFormat="1" ht="18" customHeight="1" thickTop="1" thickBot="1" x14ac:dyDescent="0.3">
      <c r="A4" s="72"/>
      <c r="B4" s="72"/>
      <c r="C4" s="246"/>
      <c r="D4" s="2"/>
      <c r="E4" s="242">
        <f>$AJ$16</f>
        <v>0</v>
      </c>
      <c r="F4" s="242"/>
      <c r="G4" s="242"/>
      <c r="H4" s="71"/>
      <c r="I4" s="242">
        <f>$AJ$14</f>
        <v>0</v>
      </c>
      <c r="J4" s="242"/>
      <c r="K4" s="242"/>
      <c r="L4" s="71"/>
      <c r="M4" s="242">
        <f>$AJ$15</f>
        <v>0</v>
      </c>
      <c r="N4" s="242"/>
      <c r="O4" s="242"/>
      <c r="P4" s="71"/>
      <c r="Q4" s="242">
        <f>$AJ$25</f>
        <v>0</v>
      </c>
      <c r="R4" s="242"/>
      <c r="S4" s="242"/>
      <c r="T4" s="71"/>
      <c r="U4" s="242">
        <f>$AJ$26</f>
        <v>0</v>
      </c>
      <c r="V4" s="242"/>
      <c r="W4" s="242"/>
      <c r="X4" s="71"/>
      <c r="Y4" s="71"/>
      <c r="Z4" s="254"/>
      <c r="AA4" s="255"/>
      <c r="AB4" s="64"/>
      <c r="AC4" s="254"/>
      <c r="AD4" s="255"/>
      <c r="AE4" s="64"/>
      <c r="AF4" s="254"/>
      <c r="AG4" s="255"/>
      <c r="AH4" s="74"/>
      <c r="AI4" s="74"/>
      <c r="AJ4" s="74"/>
      <c r="AK4" s="64"/>
      <c r="AL4" s="64"/>
    </row>
    <row r="5" spans="1:38" ht="11.25" customHeight="1" thickTop="1" thickBot="1" x14ac:dyDescent="0.3">
      <c r="A5" s="72"/>
      <c r="B5" s="72"/>
      <c r="C5" s="246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71"/>
      <c r="Y5" s="2"/>
      <c r="Z5" s="2"/>
      <c r="AA5" s="71"/>
      <c r="AB5" s="71"/>
      <c r="AC5" s="70"/>
      <c r="AD5" s="69"/>
      <c r="AE5" s="69"/>
      <c r="AF5" s="69"/>
      <c r="AG5" s="69"/>
      <c r="AH5" s="69"/>
      <c r="AI5" s="69"/>
      <c r="AJ5" s="64"/>
      <c r="AK5" s="64"/>
      <c r="AL5" s="64"/>
    </row>
    <row r="6" spans="1:38" ht="13.5" customHeight="1" thickTop="1" thickBot="1" x14ac:dyDescent="0.3">
      <c r="A6" s="68"/>
      <c r="B6" s="68"/>
      <c r="C6" s="247"/>
      <c r="D6" s="15"/>
      <c r="E6" s="67" t="s">
        <v>197</v>
      </c>
      <c r="F6" s="67" t="s">
        <v>196</v>
      </c>
      <c r="G6" s="66" t="s">
        <v>195</v>
      </c>
      <c r="H6" s="66" t="s">
        <v>194</v>
      </c>
      <c r="I6" s="66" t="s">
        <v>193</v>
      </c>
      <c r="J6" s="66" t="s">
        <v>192</v>
      </c>
      <c r="K6" s="66" t="s">
        <v>191</v>
      </c>
      <c r="L6" s="66" t="s">
        <v>190</v>
      </c>
      <c r="M6" s="66" t="s">
        <v>189</v>
      </c>
      <c r="N6" s="66" t="s">
        <v>188</v>
      </c>
      <c r="O6" s="66" t="s">
        <v>187</v>
      </c>
      <c r="P6" s="66" t="s">
        <v>186</v>
      </c>
      <c r="Q6" s="66" t="s">
        <v>185</v>
      </c>
      <c r="R6" s="66" t="s">
        <v>184</v>
      </c>
      <c r="S6" s="66" t="s">
        <v>183</v>
      </c>
      <c r="T6" s="66" t="s">
        <v>182</v>
      </c>
      <c r="U6" s="66" t="s">
        <v>181</v>
      </c>
      <c r="V6" s="66" t="s">
        <v>180</v>
      </c>
      <c r="W6" s="66" t="s">
        <v>179</v>
      </c>
      <c r="X6" s="66" t="s">
        <v>178</v>
      </c>
      <c r="Y6" s="66" t="s">
        <v>177</v>
      </c>
      <c r="Z6" s="66" t="s">
        <v>176</v>
      </c>
      <c r="AA6" s="66" t="s">
        <v>175</v>
      </c>
      <c r="AB6" s="66" t="s">
        <v>174</v>
      </c>
      <c r="AC6" s="66" t="s">
        <v>173</v>
      </c>
      <c r="AD6" s="66" t="s">
        <v>172</v>
      </c>
      <c r="AE6" s="66" t="s">
        <v>171</v>
      </c>
      <c r="AF6" s="66" t="s">
        <v>170</v>
      </c>
      <c r="AG6" s="66" t="s">
        <v>169</v>
      </c>
      <c r="AH6" s="66" t="s">
        <v>168</v>
      </c>
      <c r="AI6" s="65" t="s">
        <v>167</v>
      </c>
      <c r="AJ6" s="64"/>
      <c r="AK6" s="64"/>
      <c r="AL6" s="64"/>
    </row>
    <row r="7" spans="1:38" ht="12.6" thickTop="1" x14ac:dyDescent="0.25">
      <c r="E7" s="37"/>
      <c r="AI7" s="4"/>
    </row>
    <row r="8" spans="1:38" x14ac:dyDescent="0.25">
      <c r="AI8" s="4"/>
    </row>
    <row r="9" spans="1:38" x14ac:dyDescent="0.25">
      <c r="AI9" s="4"/>
    </row>
    <row r="10" spans="1:38" ht="39.75" customHeight="1" x14ac:dyDescent="0.7">
      <c r="C10" s="36"/>
      <c r="E10" s="240"/>
      <c r="F10" s="240"/>
      <c r="G10" s="240"/>
      <c r="H10" s="240"/>
      <c r="I10" s="240"/>
      <c r="J10" s="240"/>
      <c r="K10" s="240"/>
      <c r="L10" s="240"/>
      <c r="M10" s="240"/>
      <c r="N10" s="240"/>
      <c r="O10" s="240"/>
      <c r="P10" s="240"/>
      <c r="Q10" s="240"/>
      <c r="R10" s="240"/>
      <c r="S10" s="240"/>
      <c r="T10" s="240"/>
      <c r="U10" s="240"/>
      <c r="V10" s="240"/>
      <c r="W10" s="240"/>
      <c r="X10" s="240"/>
      <c r="Y10" s="240"/>
      <c r="Z10" s="240"/>
      <c r="AA10" s="240"/>
      <c r="AB10" s="240"/>
      <c r="AC10" s="240"/>
      <c r="AD10" s="240"/>
      <c r="AE10" s="240"/>
      <c r="AF10" s="240"/>
      <c r="AG10" s="240"/>
      <c r="AH10" s="240"/>
      <c r="AI10" s="240"/>
      <c r="AJ10" s="32" t="s">
        <v>19</v>
      </c>
    </row>
    <row r="11" spans="1:38" ht="12.6" thickBot="1" x14ac:dyDescent="0.3">
      <c r="AI11" s="4"/>
      <c r="AJ11" s="34" t="s">
        <v>202</v>
      </c>
    </row>
    <row r="12" spans="1:38" ht="6.75" customHeight="1" thickTop="1" thickBot="1" x14ac:dyDescent="0.3">
      <c r="B12" s="49"/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49"/>
      <c r="X12" s="49"/>
      <c r="Y12" s="49"/>
      <c r="Z12" s="49"/>
      <c r="AA12" s="49"/>
      <c r="AB12" s="49"/>
      <c r="AC12" s="49"/>
      <c r="AD12" s="49"/>
      <c r="AE12" s="49"/>
      <c r="AF12" s="49"/>
      <c r="AG12" s="49"/>
      <c r="AH12" s="49"/>
      <c r="AI12" s="49"/>
      <c r="AJ12" s="50"/>
      <c r="AK12" s="49"/>
    </row>
    <row r="13" spans="1:38" ht="13.2" hidden="1" thickTop="1" thickBot="1" x14ac:dyDescent="0.3">
      <c r="B13" s="2"/>
      <c r="C13" s="31" t="s">
        <v>199</v>
      </c>
      <c r="D13" s="30" t="s">
        <v>198</v>
      </c>
      <c r="E13" s="30" t="s">
        <v>197</v>
      </c>
      <c r="F13" s="30" t="s">
        <v>196</v>
      </c>
      <c r="G13" s="30" t="s">
        <v>195</v>
      </c>
      <c r="H13" s="30" t="s">
        <v>194</v>
      </c>
      <c r="I13" s="30" t="s">
        <v>193</v>
      </c>
      <c r="J13" s="30" t="s">
        <v>192</v>
      </c>
      <c r="K13" s="30" t="s">
        <v>191</v>
      </c>
      <c r="L13" s="30" t="s">
        <v>190</v>
      </c>
      <c r="M13" s="30" t="s">
        <v>189</v>
      </c>
      <c r="N13" s="30" t="s">
        <v>188</v>
      </c>
      <c r="O13" s="30" t="s">
        <v>187</v>
      </c>
      <c r="P13" s="30" t="s">
        <v>186</v>
      </c>
      <c r="Q13" s="30" t="s">
        <v>185</v>
      </c>
      <c r="R13" s="30" t="s">
        <v>184</v>
      </c>
      <c r="S13" s="30" t="s">
        <v>183</v>
      </c>
      <c r="T13" s="30" t="s">
        <v>182</v>
      </c>
      <c r="U13" s="30" t="s">
        <v>181</v>
      </c>
      <c r="V13" s="30" t="s">
        <v>180</v>
      </c>
      <c r="W13" s="30" t="s">
        <v>179</v>
      </c>
      <c r="X13" s="30" t="s">
        <v>178</v>
      </c>
      <c r="Y13" s="30" t="s">
        <v>177</v>
      </c>
      <c r="Z13" s="30" t="s">
        <v>176</v>
      </c>
      <c r="AA13" s="30" t="s">
        <v>175</v>
      </c>
      <c r="AB13" s="30" t="s">
        <v>174</v>
      </c>
      <c r="AC13" s="30" t="s">
        <v>173</v>
      </c>
      <c r="AD13" s="30" t="s">
        <v>172</v>
      </c>
      <c r="AE13" s="30" t="s">
        <v>171</v>
      </c>
      <c r="AF13" s="30" t="s">
        <v>170</v>
      </c>
      <c r="AG13" s="30" t="s">
        <v>169</v>
      </c>
      <c r="AH13" s="30" t="s">
        <v>168</v>
      </c>
      <c r="AI13" s="30" t="s">
        <v>167</v>
      </c>
      <c r="AJ13" s="29" t="s">
        <v>166</v>
      </c>
      <c r="AK13" s="49"/>
    </row>
    <row r="14" spans="1:38" ht="19.5" customHeight="1" thickTop="1" thickBot="1" x14ac:dyDescent="0.3">
      <c r="B14" s="49"/>
      <c r="C14" s="61" t="s">
        <v>206</v>
      </c>
      <c r="D14" s="60"/>
      <c r="E14" s="88">
        <f>SUMIFS(tabela_registros[VALOR],tabela_registros[MÊS],$AE$1,tabela_registros[DIA],settotal3059718395107119131[[#Headers],[1]],tabela_registros[REGISTRO],DADOS!$N$3)</f>
        <v>0</v>
      </c>
      <c r="F14" s="88">
        <f>SUMIFS(tabela_registros[VALOR],tabela_registros[MÊS],$AE$1,tabela_registros[DIA],settotal3059718395107119131[[#Headers],[2]],tabela_registros[REGISTRO],DADOS!$N$3)</f>
        <v>0</v>
      </c>
      <c r="G14" s="88">
        <f>SUMIFS(tabela_registros[VALOR],tabela_registros[MÊS],$AE$1,tabela_registros[DIA],settotal3059718395107119131[[#Headers],[3]],tabela_registros[REGISTRO],DADOS!$N$3)</f>
        <v>0</v>
      </c>
      <c r="H14" s="88">
        <f>SUMIFS(tabela_registros[VALOR],tabela_registros[MÊS],$AE$1,tabela_registros[DIA],settotal3059718395107119131[[#Headers],[4]],tabela_registros[REGISTRO],DADOS!$N$3)</f>
        <v>0</v>
      </c>
      <c r="I14" s="88">
        <f>SUMIFS(tabela_registros[VALOR],tabela_registros[MÊS],$AE$1,tabela_registros[DIA],settotal3059718395107119131[[#Headers],[5]],tabela_registros[REGISTRO],DADOS!$N$3)</f>
        <v>0</v>
      </c>
      <c r="J14" s="88">
        <f>SUMIFS(tabela_registros[VALOR],tabela_registros[MÊS],$AE$1,tabela_registros[DIA],settotal3059718395107119131[[#Headers],[6]],tabela_registros[REGISTRO],DADOS!$N$3)</f>
        <v>0</v>
      </c>
      <c r="K14" s="88">
        <f>SUMIFS(tabela_registros[VALOR],tabela_registros[MÊS],$AE$1,tabela_registros[DIA],settotal3059718395107119131[[#Headers],[7]],tabela_registros[REGISTRO],DADOS!$N$3)</f>
        <v>0</v>
      </c>
      <c r="L14" s="88">
        <f>SUMIFS(tabela_registros[VALOR],tabela_registros[MÊS],$AE$1,tabela_registros[DIA],settotal3059718395107119131[[#Headers],[8]],tabela_registros[REGISTRO],DADOS!$N$3)</f>
        <v>0</v>
      </c>
      <c r="M14" s="88">
        <f>SUMIFS(tabela_registros[VALOR],tabela_registros[MÊS],$AE$1,tabela_registros[DIA],settotal3059718395107119131[[#Headers],[9]],tabela_registros[REGISTRO],DADOS!$N$3)</f>
        <v>0</v>
      </c>
      <c r="N14" s="88">
        <f>SUMIFS(tabela_registros[VALOR],tabela_registros[MÊS],$AE$1,tabela_registros[DIA],settotal3059718395107119131[[#Headers],[10]],tabela_registros[REGISTRO],DADOS!$N$3)</f>
        <v>0</v>
      </c>
      <c r="O14" s="88">
        <f>SUMIFS(tabela_registros[VALOR],tabela_registros[MÊS],$AE$1,tabela_registros[DIA],settotal3059718395107119131[[#Headers],[11]],tabela_registros[REGISTRO],DADOS!$N$3)</f>
        <v>0</v>
      </c>
      <c r="P14" s="88">
        <f>SUMIFS(tabela_registros[VALOR],tabela_registros[MÊS],$AE$1,tabela_registros[DIA],settotal3059718395107119131[[#Headers],[12]],tabela_registros[REGISTRO],DADOS!$N$3)</f>
        <v>0</v>
      </c>
      <c r="Q14" s="88">
        <f>SUMIFS(tabela_registros[VALOR],tabela_registros[MÊS],$AE$1,tabela_registros[DIA],settotal3059718395107119131[[#Headers],[13]],tabela_registros[REGISTRO],DADOS!$N$3)</f>
        <v>0</v>
      </c>
      <c r="R14" s="88">
        <f>SUMIFS(tabela_registros[VALOR],tabela_registros[MÊS],$AE$1,tabela_registros[DIA],settotal3059718395107119131[[#Headers],[14]],tabela_registros[REGISTRO],DADOS!$N$3)</f>
        <v>0</v>
      </c>
      <c r="S14" s="88">
        <f>SUMIFS(tabela_registros[VALOR],tabela_registros[MÊS],$AE$1,tabela_registros[DIA],settotal3059718395107119131[[#Headers],[15]],tabela_registros[REGISTRO],DADOS!$N$3)</f>
        <v>0</v>
      </c>
      <c r="T14" s="88">
        <f>SUMIFS(tabela_registros[VALOR],tabela_registros[MÊS],$AE$1,tabela_registros[DIA],settotal3059718395107119131[[#Headers],[16]],tabela_registros[REGISTRO],DADOS!$N$3)</f>
        <v>0</v>
      </c>
      <c r="U14" s="88">
        <f>SUMIFS(tabela_registros[VALOR],tabela_registros[MÊS],$AE$1,tabela_registros[DIA],settotal3059718395107119131[[#Headers],[17]],tabela_registros[REGISTRO],DADOS!$N$3)</f>
        <v>0</v>
      </c>
      <c r="V14" s="88">
        <f>SUMIFS(tabela_registros[VALOR],tabela_registros[MÊS],$AE$1,tabela_registros[DIA],settotal3059718395107119131[[#Headers],[18]],tabela_registros[REGISTRO],DADOS!$N$3)</f>
        <v>0</v>
      </c>
      <c r="W14" s="88">
        <f>SUMIFS(tabela_registros[VALOR],tabela_registros[MÊS],$AE$1,tabela_registros[DIA],settotal3059718395107119131[[#Headers],[19]],tabela_registros[REGISTRO],DADOS!$N$3)</f>
        <v>0</v>
      </c>
      <c r="X14" s="88">
        <f>SUMIFS(tabela_registros[VALOR],tabela_registros[MÊS],$AE$1,tabela_registros[DIA],settotal3059718395107119131[[#Headers],[20]],tabela_registros[REGISTRO],DADOS!$N$3)</f>
        <v>0</v>
      </c>
      <c r="Y14" s="88">
        <f>SUMIFS(tabela_registros[VALOR],tabela_registros[MÊS],$AE$1,tabela_registros[DIA],settotal3059718395107119131[[#Headers],[21]],tabela_registros[REGISTRO],DADOS!$N$3)</f>
        <v>0</v>
      </c>
      <c r="Z14" s="88">
        <f>SUMIFS(tabela_registros[VALOR],tabela_registros[MÊS],$AE$1,tabela_registros[DIA],settotal3059718395107119131[[#Headers],[22]],tabela_registros[REGISTRO],DADOS!$N$3)</f>
        <v>0</v>
      </c>
      <c r="AA14" s="88">
        <f>SUMIFS(tabela_registros[VALOR],tabela_registros[MÊS],$AE$1,tabela_registros[DIA],settotal3059718395107119131[[#Headers],[23]],tabela_registros[REGISTRO],DADOS!$N$3)</f>
        <v>0</v>
      </c>
      <c r="AB14" s="88">
        <f>SUMIFS(tabela_registros[VALOR],tabela_registros[MÊS],$AE$1,tabela_registros[DIA],settotal3059718395107119131[[#Headers],[24]],tabela_registros[REGISTRO],DADOS!$N$3)</f>
        <v>0</v>
      </c>
      <c r="AC14" s="88">
        <f>SUMIFS(tabela_registros[VALOR],tabela_registros[MÊS],$AE$1,tabela_registros[DIA],settotal3059718395107119131[[#Headers],[25]],tabela_registros[REGISTRO],DADOS!$N$3)</f>
        <v>0</v>
      </c>
      <c r="AD14" s="88">
        <f>SUMIFS(tabela_registros[VALOR],tabela_registros[MÊS],$AE$1,tabela_registros[DIA],settotal3059718395107119131[[#Headers],[26]],tabela_registros[REGISTRO],DADOS!$N$3)</f>
        <v>0</v>
      </c>
      <c r="AE14" s="88">
        <f>SUMIFS(tabela_registros[VALOR],tabela_registros[MÊS],$AE$1,tabela_registros[DIA],settotal3059718395107119131[[#Headers],[27]],tabela_registros[REGISTRO],DADOS!$N$3)</f>
        <v>0</v>
      </c>
      <c r="AF14" s="88">
        <f>SUMIFS(tabela_registros[VALOR],tabela_registros[MÊS],$AE$1,tabela_registros[DIA],settotal3059718395107119131[[#Headers],[28]],tabela_registros[REGISTRO],DADOS!$N$3)</f>
        <v>0</v>
      </c>
      <c r="AG14" s="88">
        <f>SUMIFS(tabela_registros[VALOR],tabela_registros[MÊS],$AE$1,tabela_registros[DIA],settotal3059718395107119131[[#Headers],[29]],tabela_registros[REGISTRO],DADOS!$N$3)</f>
        <v>0</v>
      </c>
      <c r="AH14" s="89">
        <f>SUMIFS(tabela_registros[VALOR],tabela_registros[MÊS],$AE$1,tabela_registros[DIA],settotal3059718395107119131[[#Headers],[30]],tabela_registros[REGISTRO],DADOS!$N$3)</f>
        <v>0</v>
      </c>
      <c r="AI14" s="90">
        <f>SUMIFS(tabela_registros[VALOR],tabela_registros[MÊS],$AE$1,tabela_registros[DIA],settotal3059718395107119131[[#Headers],[31]],tabela_registros[REGISTRO],DADOS!$N$3)</f>
        <v>0</v>
      </c>
      <c r="AJ14" s="90">
        <f>SUM(settotal3059718395107119131[[#This Row],[1]:[31]])</f>
        <v>0</v>
      </c>
      <c r="AK14" s="49"/>
    </row>
    <row r="15" spans="1:38" ht="18" customHeight="1" thickTop="1" thickBot="1" x14ac:dyDescent="0.3">
      <c r="B15" s="49"/>
      <c r="C15" s="61" t="s">
        <v>205</v>
      </c>
      <c r="D15" s="60"/>
      <c r="E15" s="91">
        <f>SUMIFS(tabela_registros[VALOR],tabela_registros[MÊS],$AE$1,tabela_registros[DIA],settotal3059718395107119131[[#Headers],[1]],tabela_registros[REGISTRO],DADOS!$N$4)</f>
        <v>0</v>
      </c>
      <c r="F15" s="91">
        <f>SUMIFS(tabela_registros[VALOR],tabela_registros[MÊS],$AE$1,tabela_registros[DIA],settotal3059718395107119131[[#Headers],[2]],tabela_registros[REGISTRO],DADOS!$N$4)</f>
        <v>0</v>
      </c>
      <c r="G15" s="91">
        <f>SUMIFS(tabela_registros[VALOR],tabela_registros[MÊS],$AE$1,tabela_registros[DIA],settotal3059718395107119131[[#Headers],[3]],tabela_registros[REGISTRO],DADOS!$N$4)</f>
        <v>0</v>
      </c>
      <c r="H15" s="91">
        <f>SUMIFS(tabela_registros[VALOR],tabela_registros[MÊS],$AE$1,tabela_registros[DIA],settotal3059718395107119131[[#Headers],[4]],tabela_registros[REGISTRO],DADOS!$N$4)</f>
        <v>0</v>
      </c>
      <c r="I15" s="91">
        <f>SUMIFS(tabela_registros[VALOR],tabela_registros[MÊS],$AE$1,tabela_registros[DIA],settotal3059718395107119131[[#Headers],[5]],tabela_registros[REGISTRO],DADOS!$N$4)</f>
        <v>0</v>
      </c>
      <c r="J15" s="91">
        <f>SUMIFS(tabela_registros[VALOR],tabela_registros[MÊS],$AE$1,tabela_registros[DIA],settotal3059718395107119131[[#Headers],[6]],tabela_registros[REGISTRO],DADOS!$N$4)</f>
        <v>0</v>
      </c>
      <c r="K15" s="91">
        <f>SUMIFS(tabela_registros[VALOR],tabela_registros[MÊS],$AE$1,tabela_registros[DIA],settotal3059718395107119131[[#Headers],[7]],tabela_registros[REGISTRO],DADOS!$N$4)</f>
        <v>0</v>
      </c>
      <c r="L15" s="91">
        <f>SUMIFS(tabela_registros[VALOR],tabela_registros[MÊS],$AE$1,tabela_registros[DIA],settotal3059718395107119131[[#Headers],[8]],tabela_registros[REGISTRO],DADOS!$N$4)</f>
        <v>0</v>
      </c>
      <c r="M15" s="91">
        <f>SUMIFS(tabela_registros[VALOR],tabela_registros[MÊS],$AE$1,tabela_registros[DIA],settotal3059718395107119131[[#Headers],[9]],tabela_registros[REGISTRO],DADOS!$N$4)</f>
        <v>0</v>
      </c>
      <c r="N15" s="91">
        <f>SUMIFS(tabela_registros[VALOR],tabela_registros[MÊS],$AE$1,tabela_registros[DIA],settotal3059718395107119131[[#Headers],[10]],tabela_registros[REGISTRO],DADOS!$N$4)</f>
        <v>0</v>
      </c>
      <c r="O15" s="91">
        <f>SUMIFS(tabela_registros[VALOR],tabela_registros[MÊS],$AE$1,tabela_registros[DIA],settotal3059718395107119131[[#Headers],[11]],tabela_registros[REGISTRO],DADOS!$N$4)</f>
        <v>0</v>
      </c>
      <c r="P15" s="91">
        <f>SUMIFS(tabela_registros[VALOR],tabela_registros[MÊS],$AE$1,tabela_registros[DIA],settotal3059718395107119131[[#Headers],[12]],tabela_registros[REGISTRO],DADOS!$N$4)</f>
        <v>0</v>
      </c>
      <c r="Q15" s="91">
        <f>SUMIFS(tabela_registros[VALOR],tabela_registros[MÊS],$AE$1,tabela_registros[DIA],settotal3059718395107119131[[#Headers],[13]],tabela_registros[REGISTRO],DADOS!$N$4)</f>
        <v>0</v>
      </c>
      <c r="R15" s="91">
        <f>SUMIFS(tabela_registros[VALOR],tabela_registros[MÊS],$AE$1,tabela_registros[DIA],settotal3059718395107119131[[#Headers],[14]],tabela_registros[REGISTRO],DADOS!$N$4)</f>
        <v>0</v>
      </c>
      <c r="S15" s="91">
        <f>SUMIFS(tabela_registros[VALOR],tabela_registros[MÊS],$AE$1,tabela_registros[DIA],settotal3059718395107119131[[#Headers],[15]],tabela_registros[REGISTRO],DADOS!$N$4)</f>
        <v>0</v>
      </c>
      <c r="T15" s="91">
        <f>SUMIFS(tabela_registros[VALOR],tabela_registros[MÊS],$AE$1,tabela_registros[DIA],settotal3059718395107119131[[#Headers],[16]],tabela_registros[REGISTRO],DADOS!$N$4)</f>
        <v>0</v>
      </c>
      <c r="U15" s="91">
        <f>SUMIFS(tabela_registros[VALOR],tabela_registros[MÊS],$AE$1,tabela_registros[DIA],settotal3059718395107119131[[#Headers],[17]],tabela_registros[REGISTRO],DADOS!$N$4)</f>
        <v>0</v>
      </c>
      <c r="V15" s="91">
        <f>SUMIFS(tabela_registros[VALOR],tabela_registros[MÊS],$AE$1,tabela_registros[DIA],settotal3059718395107119131[[#Headers],[18]],tabela_registros[REGISTRO],DADOS!$N$4)</f>
        <v>0</v>
      </c>
      <c r="W15" s="91">
        <f>SUMIFS(tabela_registros[VALOR],tabela_registros[MÊS],$AE$1,tabela_registros[DIA],settotal3059718395107119131[[#Headers],[19]],tabela_registros[REGISTRO],DADOS!$N$4)</f>
        <v>0</v>
      </c>
      <c r="X15" s="91">
        <f>SUMIFS(tabela_registros[VALOR],tabela_registros[MÊS],$AE$1,tabela_registros[DIA],settotal3059718395107119131[[#Headers],[20]],tabela_registros[REGISTRO],DADOS!$N$4)</f>
        <v>0</v>
      </c>
      <c r="Y15" s="91">
        <f>SUMIFS(tabela_registros[VALOR],tabela_registros[MÊS],$AE$1,tabela_registros[DIA],settotal3059718395107119131[[#Headers],[21]],tabela_registros[REGISTRO],DADOS!$N$4)</f>
        <v>0</v>
      </c>
      <c r="Z15" s="91">
        <f>SUMIFS(tabela_registros[VALOR],tabela_registros[MÊS],$AE$1,tabela_registros[DIA],settotal3059718395107119131[[#Headers],[22]],tabela_registros[REGISTRO],DADOS!$N$4)</f>
        <v>0</v>
      </c>
      <c r="AA15" s="91">
        <f>SUMIFS(tabela_registros[VALOR],tabela_registros[MÊS],$AE$1,tabela_registros[DIA],settotal3059718395107119131[[#Headers],[23]],tabela_registros[REGISTRO],DADOS!$N$4)</f>
        <v>0</v>
      </c>
      <c r="AB15" s="91">
        <f>SUMIFS(tabela_registros[VALOR],tabela_registros[MÊS],$AE$1,tabela_registros[DIA],settotal3059718395107119131[[#Headers],[24]],tabela_registros[REGISTRO],DADOS!$N$4)</f>
        <v>0</v>
      </c>
      <c r="AC15" s="91">
        <f>SUMIFS(tabela_registros[VALOR],tabela_registros[MÊS],$AE$1,tabela_registros[DIA],settotal3059718395107119131[[#Headers],[25]],tabela_registros[REGISTRO],DADOS!$N$4)</f>
        <v>0</v>
      </c>
      <c r="AD15" s="91">
        <f>SUMIFS(tabela_registros[VALOR],tabela_registros[MÊS],$AE$1,tabela_registros[DIA],settotal3059718395107119131[[#Headers],[26]],tabela_registros[REGISTRO],DADOS!$N$4)</f>
        <v>0</v>
      </c>
      <c r="AE15" s="91">
        <f>SUMIFS(tabela_registros[VALOR],tabela_registros[MÊS],$AE$1,tabela_registros[DIA],settotal3059718395107119131[[#Headers],[27]],tabela_registros[REGISTRO],DADOS!$N$4)</f>
        <v>0</v>
      </c>
      <c r="AF15" s="91">
        <f>SUMIFS(tabela_registros[VALOR],tabela_registros[MÊS],$AE$1,tabela_registros[DIA],settotal3059718395107119131[[#Headers],[28]],tabela_registros[REGISTRO],DADOS!$N$4)</f>
        <v>0</v>
      </c>
      <c r="AG15" s="91">
        <f>SUMIFS(tabela_registros[VALOR],tabela_registros[MÊS],$AE$1,tabela_registros[DIA],settotal3059718395107119131[[#Headers],[29]],tabela_registros[REGISTRO],DADOS!$N$4)</f>
        <v>0</v>
      </c>
      <c r="AH15" s="92">
        <f>SUMIFS(tabela_registros[VALOR],tabela_registros[MÊS],$AE$1,tabela_registros[DIA],settotal3059718395107119131[[#Headers],[30]],tabela_registros[REGISTRO],DADOS!$N$4)</f>
        <v>0</v>
      </c>
      <c r="AI15" s="93">
        <f>SUMIFS(tabela_registros[VALOR],tabela_registros[MÊS],$AE$1,tabela_registros[DIA],settotal3059718395107119131[[#Headers],[31]],tabela_registros[REGISTRO],DADOS!$N$4)</f>
        <v>0</v>
      </c>
      <c r="AJ15" s="93">
        <f>SUM(settotal3059718395107119131[[#This Row],[1]:[31]])</f>
        <v>0</v>
      </c>
      <c r="AK15" s="49"/>
    </row>
    <row r="16" spans="1:38" s="16" customFormat="1" ht="21" customHeight="1" thickTop="1" thickBot="1" x14ac:dyDescent="0.35">
      <c r="B16" s="52"/>
      <c r="C16" s="57" t="s">
        <v>204</v>
      </c>
      <c r="D16" s="63"/>
      <c r="E16" s="55">
        <f>(E14-E15)+AI1</f>
        <v>0</v>
      </c>
      <c r="F16" s="54">
        <f>settotal3059718395107119131[[#This Row],[1]]+(F14-F15)</f>
        <v>0</v>
      </c>
      <c r="G16" s="54">
        <f>settotal3059718395107119131[[#This Row],[2]]+(G14-G15)</f>
        <v>0</v>
      </c>
      <c r="H16" s="54">
        <f>settotal3059718395107119131[[#This Row],[3]]+(H14-H15)</f>
        <v>0</v>
      </c>
      <c r="I16" s="54">
        <f>settotal3059718395107119131[[#This Row],[4]]+(I14-I15)</f>
        <v>0</v>
      </c>
      <c r="J16" s="54">
        <f>settotal3059718395107119131[[#This Row],[5]]+(J14-J15)</f>
        <v>0</v>
      </c>
      <c r="K16" s="54">
        <f>settotal3059718395107119131[[#This Row],[6]]+(K14-K15)</f>
        <v>0</v>
      </c>
      <c r="L16" s="54">
        <f>settotal3059718395107119131[[#This Row],[7]]+(L14-L15)</f>
        <v>0</v>
      </c>
      <c r="M16" s="54">
        <f>settotal3059718395107119131[[#This Row],[8]]+(M14-M15)</f>
        <v>0</v>
      </c>
      <c r="N16" s="54">
        <f>settotal3059718395107119131[[#This Row],[9]]+(N14-N15)</f>
        <v>0</v>
      </c>
      <c r="O16" s="54">
        <f>settotal3059718395107119131[[#This Row],[10]]+(O14-O15)</f>
        <v>0</v>
      </c>
      <c r="P16" s="54">
        <f>settotal3059718395107119131[[#This Row],[11]]+(P14-P15)</f>
        <v>0</v>
      </c>
      <c r="Q16" s="54">
        <f>settotal3059718395107119131[[#This Row],[12]]+(Q14-Q15)</f>
        <v>0</v>
      </c>
      <c r="R16" s="54">
        <f>settotal3059718395107119131[[#This Row],[13]]+(R14-R15)</f>
        <v>0</v>
      </c>
      <c r="S16" s="54">
        <f>settotal3059718395107119131[[#This Row],[14]]+(S14-S15)</f>
        <v>0</v>
      </c>
      <c r="T16" s="54">
        <f>settotal3059718395107119131[[#This Row],[15]]+(T14-T15)</f>
        <v>0</v>
      </c>
      <c r="U16" s="54">
        <f>settotal3059718395107119131[[#This Row],[16]]+(U14-U15)</f>
        <v>0</v>
      </c>
      <c r="V16" s="54">
        <f>settotal3059718395107119131[[#This Row],[17]]+(V14-V15)</f>
        <v>0</v>
      </c>
      <c r="W16" s="54">
        <f>settotal3059718395107119131[[#This Row],[18]]+(W14-W15)</f>
        <v>0</v>
      </c>
      <c r="X16" s="54">
        <f>settotal3059718395107119131[[#This Row],[19]]+(X14-X15)</f>
        <v>0</v>
      </c>
      <c r="Y16" s="54">
        <f>settotal3059718395107119131[[#This Row],[20]]+(Y14-Y15)</f>
        <v>0</v>
      </c>
      <c r="Z16" s="54">
        <f>settotal3059718395107119131[[#This Row],[21]]+(Z14-Z15)</f>
        <v>0</v>
      </c>
      <c r="AA16" s="54">
        <f>settotal3059718395107119131[[#This Row],[22]]+(AA14-AA15)</f>
        <v>0</v>
      </c>
      <c r="AB16" s="54">
        <f>settotal3059718395107119131[[#This Row],[23]]+(AB14-AB15)</f>
        <v>0</v>
      </c>
      <c r="AC16" s="54">
        <f>settotal3059718395107119131[[#This Row],[24]]+(AC14-AC15)</f>
        <v>0</v>
      </c>
      <c r="AD16" s="54">
        <f>settotal3059718395107119131[[#This Row],[25]]+(AD14-AD15)</f>
        <v>0</v>
      </c>
      <c r="AE16" s="54">
        <f>settotal3059718395107119131[[#This Row],[26]]+(AE14-AE15)</f>
        <v>0</v>
      </c>
      <c r="AF16" s="54">
        <f>settotal3059718395107119131[[#This Row],[27]]+(AF14-AF15)</f>
        <v>0</v>
      </c>
      <c r="AG16" s="54">
        <f>settotal3059718395107119131[[#This Row],[28]]+(AG14-AG15)</f>
        <v>0</v>
      </c>
      <c r="AH16" s="62">
        <f>settotal3059718395107119131[[#This Row],[29]]+(AH14-AH15)</f>
        <v>0</v>
      </c>
      <c r="AI16" s="53">
        <f>settotal3059718395107119131[[#This Row],[30]]+(AI14-AI15)</f>
        <v>0</v>
      </c>
      <c r="AJ16" s="53">
        <f>settotal3059718395107119131[[#This Row],[31]]</f>
        <v>0</v>
      </c>
      <c r="AK16" s="52"/>
    </row>
    <row r="17" spans="1:37" ht="6.75" customHeight="1" thickTop="1" thickBot="1" x14ac:dyDescent="0.3">
      <c r="B17" s="49"/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49"/>
      <c r="X17" s="49"/>
      <c r="Y17" s="49"/>
      <c r="Z17" s="49"/>
      <c r="AA17" s="49"/>
      <c r="AB17" s="49"/>
      <c r="AC17" s="49"/>
      <c r="AD17" s="49"/>
      <c r="AE17" s="49"/>
      <c r="AF17" s="49"/>
      <c r="AG17" s="49"/>
      <c r="AH17" s="49"/>
      <c r="AI17" s="50"/>
      <c r="AJ17" s="49"/>
      <c r="AK17" s="49"/>
    </row>
    <row r="18" spans="1:37" ht="12.6" thickTop="1" x14ac:dyDescent="0.25">
      <c r="C18" s="46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  <c r="AH18" s="47"/>
      <c r="AI18" s="47"/>
    </row>
    <row r="19" spans="1:37" x14ac:dyDescent="0.25">
      <c r="C19" s="46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  <c r="AA19" s="47"/>
      <c r="AB19" s="47"/>
      <c r="AC19" s="47"/>
      <c r="AD19" s="47"/>
      <c r="AE19" s="47"/>
      <c r="AF19" s="47"/>
      <c r="AG19" s="47"/>
      <c r="AH19" s="47"/>
      <c r="AI19" s="47"/>
    </row>
    <row r="20" spans="1:37" x14ac:dyDescent="0.25">
      <c r="A20" s="46"/>
      <c r="B20" s="46"/>
      <c r="C20" s="46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  <c r="AA20" s="47"/>
      <c r="AB20" s="47"/>
      <c r="AC20" s="47"/>
      <c r="AD20" s="47"/>
      <c r="AE20" s="47"/>
      <c r="AF20" s="47"/>
      <c r="AG20" s="47"/>
      <c r="AH20" s="47"/>
      <c r="AI20" s="47"/>
    </row>
    <row r="21" spans="1:37" ht="39.75" customHeight="1" x14ac:dyDescent="0.25">
      <c r="A21" s="46"/>
      <c r="B21" s="46"/>
      <c r="C21" s="46"/>
      <c r="E21" s="240"/>
      <c r="F21" s="240"/>
      <c r="G21" s="240"/>
      <c r="H21" s="240"/>
      <c r="I21" s="240"/>
      <c r="J21" s="240"/>
      <c r="K21" s="240"/>
      <c r="L21" s="240"/>
      <c r="M21" s="240"/>
      <c r="N21" s="240"/>
      <c r="O21" s="240"/>
      <c r="P21" s="240"/>
      <c r="Q21" s="240"/>
      <c r="R21" s="240"/>
      <c r="S21" s="240"/>
      <c r="T21" s="240"/>
      <c r="U21" s="240"/>
      <c r="V21" s="240"/>
      <c r="W21" s="240"/>
      <c r="X21" s="240"/>
      <c r="Y21" s="240"/>
      <c r="Z21" s="240"/>
      <c r="AA21" s="240"/>
      <c r="AB21" s="240"/>
      <c r="AC21" s="240"/>
      <c r="AD21" s="240"/>
      <c r="AE21" s="240"/>
      <c r="AF21" s="240"/>
      <c r="AG21" s="240"/>
      <c r="AH21" s="240"/>
      <c r="AI21" s="240"/>
      <c r="AJ21" s="32" t="s">
        <v>19</v>
      </c>
    </row>
    <row r="22" spans="1:37" ht="11.25" customHeight="1" thickBot="1" x14ac:dyDescent="0.75">
      <c r="C22" s="36"/>
      <c r="AI22" s="4"/>
      <c r="AJ22" s="34" t="s">
        <v>202</v>
      </c>
    </row>
    <row r="23" spans="1:37" ht="6.75" customHeight="1" thickTop="1" thickBot="1" x14ac:dyDescent="0.3">
      <c r="B23" s="49"/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49"/>
      <c r="X23" s="49"/>
      <c r="Y23" s="49"/>
      <c r="Z23" s="49"/>
      <c r="AA23" s="49"/>
      <c r="AB23" s="49"/>
      <c r="AC23" s="49"/>
      <c r="AD23" s="49"/>
      <c r="AE23" s="49"/>
      <c r="AF23" s="49"/>
      <c r="AG23" s="49"/>
      <c r="AH23" s="49"/>
      <c r="AI23" s="49"/>
      <c r="AJ23" s="50"/>
      <c r="AK23" s="49"/>
    </row>
    <row r="24" spans="1:37" ht="13.2" hidden="1" thickTop="1" thickBot="1" x14ac:dyDescent="0.3">
      <c r="B24" s="2"/>
      <c r="C24" s="30" t="s">
        <v>199</v>
      </c>
      <c r="D24" s="49" t="s">
        <v>198</v>
      </c>
      <c r="E24" s="30" t="s">
        <v>197</v>
      </c>
      <c r="F24" s="30" t="s">
        <v>196</v>
      </c>
      <c r="G24" s="30" t="s">
        <v>195</v>
      </c>
      <c r="H24" s="30" t="s">
        <v>194</v>
      </c>
      <c r="I24" s="30" t="s">
        <v>193</v>
      </c>
      <c r="J24" s="30" t="s">
        <v>192</v>
      </c>
      <c r="K24" s="30" t="s">
        <v>191</v>
      </c>
      <c r="L24" s="30" t="s">
        <v>190</v>
      </c>
      <c r="M24" s="30" t="s">
        <v>189</v>
      </c>
      <c r="N24" s="30" t="s">
        <v>188</v>
      </c>
      <c r="O24" s="30" t="s">
        <v>187</v>
      </c>
      <c r="P24" s="30" t="s">
        <v>186</v>
      </c>
      <c r="Q24" s="30" t="s">
        <v>185</v>
      </c>
      <c r="R24" s="30" t="s">
        <v>184</v>
      </c>
      <c r="S24" s="30" t="s">
        <v>183</v>
      </c>
      <c r="T24" s="30" t="s">
        <v>182</v>
      </c>
      <c r="U24" s="30" t="s">
        <v>181</v>
      </c>
      <c r="V24" s="30" t="s">
        <v>180</v>
      </c>
      <c r="W24" s="30" t="s">
        <v>179</v>
      </c>
      <c r="X24" s="30" t="s">
        <v>178</v>
      </c>
      <c r="Y24" s="30" t="s">
        <v>177</v>
      </c>
      <c r="Z24" s="30" t="s">
        <v>176</v>
      </c>
      <c r="AA24" s="30" t="s">
        <v>175</v>
      </c>
      <c r="AB24" s="30" t="s">
        <v>174</v>
      </c>
      <c r="AC24" s="30" t="s">
        <v>173</v>
      </c>
      <c r="AD24" s="30" t="s">
        <v>172</v>
      </c>
      <c r="AE24" s="30" t="s">
        <v>171</v>
      </c>
      <c r="AF24" s="30" t="s">
        <v>170</v>
      </c>
      <c r="AG24" s="30" t="s">
        <v>169</v>
      </c>
      <c r="AH24" s="30" t="s">
        <v>168</v>
      </c>
      <c r="AI24" s="30" t="s">
        <v>167</v>
      </c>
      <c r="AJ24" s="29" t="s">
        <v>166</v>
      </c>
      <c r="AK24" s="49"/>
    </row>
    <row r="25" spans="1:37" ht="19.5" customHeight="1" thickTop="1" thickBot="1" x14ac:dyDescent="0.3">
      <c r="B25" s="49"/>
      <c r="C25" s="61" t="s">
        <v>7</v>
      </c>
      <c r="D25" s="60"/>
      <c r="E25" s="88">
        <f>SUMIFS(tabela_registros[VALOR],tabela_registros[MÊS],$AE$1,tabela_registros[DIA],settotal3059718395107119131[[#Headers],[1]],tabela_registros[REGISTRO],DADOS!$N$5)</f>
        <v>0</v>
      </c>
      <c r="F25" s="88">
        <f>SUMIFS(tabela_registros[VALOR],tabela_registros[MÊS],$AE$1,tabela_registros[DIA],settotal3059718395107119131[[#Headers],[2]],tabela_registros[REGISTRO],DADOS!$N$5)</f>
        <v>0</v>
      </c>
      <c r="G25" s="88">
        <f>SUMIFS(tabela_registros[VALOR],tabela_registros[MÊS],$AE$1,tabela_registros[DIA],settotal3059718395107119131[[#Headers],[3]],tabela_registros[REGISTRO],DADOS!$N$5)</f>
        <v>0</v>
      </c>
      <c r="H25" s="88">
        <f>SUMIFS(tabela_registros[VALOR],tabela_registros[MÊS],$AE$1,tabela_registros[DIA],settotal3059718395107119131[[#Headers],[4]],tabela_registros[REGISTRO],DADOS!$N$5)</f>
        <v>0</v>
      </c>
      <c r="I25" s="88">
        <f>SUMIFS(tabela_registros[VALOR],tabela_registros[MÊS],$AE$1,tabela_registros[DIA],settotal3059718395107119131[[#Headers],[5]],tabela_registros[REGISTRO],DADOS!$N$5)</f>
        <v>0</v>
      </c>
      <c r="J25" s="88">
        <f>SUMIFS(tabela_registros[VALOR],tabela_registros[MÊS],$AE$1,tabela_registros[DIA],settotal3059718395107119131[[#Headers],[6]],tabela_registros[REGISTRO],DADOS!$N$5)</f>
        <v>0</v>
      </c>
      <c r="K25" s="88">
        <f>SUMIFS(tabela_registros[VALOR],tabela_registros[MÊS],$AE$1,tabela_registros[DIA],settotal3059718395107119131[[#Headers],[7]],tabela_registros[REGISTRO],DADOS!$N$5)</f>
        <v>0</v>
      </c>
      <c r="L25" s="88">
        <f>SUMIFS(tabela_registros[VALOR],tabela_registros[MÊS],$AE$1,tabela_registros[DIA],settotal3059718395107119131[[#Headers],[8]],tabela_registros[REGISTRO],DADOS!$N$5)</f>
        <v>0</v>
      </c>
      <c r="M25" s="88">
        <f>SUMIFS(tabela_registros[VALOR],tabela_registros[MÊS],$AE$1,tabela_registros[DIA],settotal3059718395107119131[[#Headers],[9]],tabela_registros[REGISTRO],DADOS!$N$5)</f>
        <v>0</v>
      </c>
      <c r="N25" s="88">
        <f>SUMIFS(tabela_registros[VALOR],tabela_registros[MÊS],$AE$1,tabela_registros[DIA],settotal3059718395107119131[[#Headers],[10]],tabela_registros[REGISTRO],DADOS!$N$5)</f>
        <v>0</v>
      </c>
      <c r="O25" s="88">
        <f>SUMIFS(tabela_registros[VALOR],tabela_registros[MÊS],$AE$1,tabela_registros[DIA],settotal3059718395107119131[[#Headers],[11]],tabela_registros[REGISTRO],DADOS!$N$5)</f>
        <v>0</v>
      </c>
      <c r="P25" s="88">
        <f>SUMIFS(tabela_registros[VALOR],tabela_registros[MÊS],$AE$1,tabela_registros[DIA],settotal3059718395107119131[[#Headers],[12]],tabela_registros[REGISTRO],DADOS!$N$5)</f>
        <v>0</v>
      </c>
      <c r="Q25" s="88">
        <f>SUMIFS(tabela_registros[VALOR],tabela_registros[MÊS],$AE$1,tabela_registros[DIA],settotal3059718395107119131[[#Headers],[13]],tabela_registros[REGISTRO],DADOS!$N$5)</f>
        <v>0</v>
      </c>
      <c r="R25" s="88">
        <f>SUMIFS(tabela_registros[VALOR],tabela_registros[MÊS],$AE$1,tabela_registros[DIA],settotal3059718395107119131[[#Headers],[14]],tabela_registros[REGISTRO],DADOS!$N$5)</f>
        <v>0</v>
      </c>
      <c r="S25" s="88">
        <f>SUMIFS(tabela_registros[VALOR],tabela_registros[MÊS],$AE$1,tabela_registros[DIA],settotal3059718395107119131[[#Headers],[15]],tabela_registros[REGISTRO],DADOS!$N$5)</f>
        <v>0</v>
      </c>
      <c r="T25" s="88">
        <f>SUMIFS(tabela_registros[VALOR],tabela_registros[MÊS],$AE$1,tabela_registros[DIA],settotal3059718395107119131[[#Headers],[16]],tabela_registros[REGISTRO],DADOS!$N$5)</f>
        <v>0</v>
      </c>
      <c r="U25" s="88">
        <f>SUMIFS(tabela_registros[VALOR],tabela_registros[MÊS],$AE$1,tabela_registros[DIA],settotal3059718395107119131[[#Headers],[17]],tabela_registros[REGISTRO],DADOS!$N$5)</f>
        <v>0</v>
      </c>
      <c r="V25" s="88">
        <f>SUMIFS(tabela_registros[VALOR],tabela_registros[MÊS],$AE$1,tabela_registros[DIA],settotal3059718395107119131[[#Headers],[18]],tabela_registros[REGISTRO],DADOS!$N$5)</f>
        <v>0</v>
      </c>
      <c r="W25" s="88">
        <f>SUMIFS(tabela_registros[VALOR],tabela_registros[MÊS],$AE$1,tabela_registros[DIA],settotal3059718395107119131[[#Headers],[19]],tabela_registros[REGISTRO],DADOS!$N$5)</f>
        <v>0</v>
      </c>
      <c r="X25" s="88">
        <f>SUMIFS(tabela_registros[VALOR],tabela_registros[MÊS],$AE$1,tabela_registros[DIA],settotal3059718395107119131[[#Headers],[20]],tabela_registros[REGISTRO],DADOS!$N$5)</f>
        <v>0</v>
      </c>
      <c r="Y25" s="88">
        <f>SUMIFS(tabela_registros[VALOR],tabela_registros[MÊS],$AE$1,tabela_registros[DIA],settotal3059718395107119131[[#Headers],[21]],tabela_registros[REGISTRO],DADOS!$N$5)</f>
        <v>0</v>
      </c>
      <c r="Z25" s="88">
        <f>SUMIFS(tabela_registros[VALOR],tabela_registros[MÊS],$AE$1,tabela_registros[DIA],settotal3059718395107119131[[#Headers],[22]],tabela_registros[REGISTRO],DADOS!$N$5)</f>
        <v>0</v>
      </c>
      <c r="AA25" s="88">
        <f>SUMIFS(tabela_registros[VALOR],tabela_registros[MÊS],$AE$1,tabela_registros[DIA],settotal3059718395107119131[[#Headers],[23]],tabela_registros[REGISTRO],DADOS!$N$5)</f>
        <v>0</v>
      </c>
      <c r="AB25" s="88">
        <f>SUMIFS(tabela_registros[VALOR],tabela_registros[MÊS],$AE$1,tabela_registros[DIA],settotal3059718395107119131[[#Headers],[24]],tabela_registros[REGISTRO],DADOS!$N$5)</f>
        <v>0</v>
      </c>
      <c r="AC25" s="88">
        <f>SUMIFS(tabela_registros[VALOR],tabela_registros[MÊS],$AE$1,tabela_registros[DIA],settotal3059718395107119131[[#Headers],[25]],tabela_registros[REGISTRO],DADOS!$N$5)</f>
        <v>0</v>
      </c>
      <c r="AD25" s="88">
        <f>SUMIFS(tabela_registros[VALOR],tabela_registros[MÊS],$AE$1,tabela_registros[DIA],settotal3059718395107119131[[#Headers],[26]],tabela_registros[REGISTRO],DADOS!$N$5)</f>
        <v>0</v>
      </c>
      <c r="AE25" s="88">
        <f>SUMIFS(tabela_registros[VALOR],tabela_registros[MÊS],$AE$1,tabela_registros[DIA],settotal3059718395107119131[[#Headers],[27]],tabela_registros[REGISTRO],DADOS!$N$5)</f>
        <v>0</v>
      </c>
      <c r="AF25" s="88">
        <f>SUMIFS(tabela_registros[VALOR],tabela_registros[MÊS],$AE$1,tabela_registros[DIA],settotal3059718395107119131[[#Headers],[28]],tabela_registros[REGISTRO],DADOS!$N$5)</f>
        <v>0</v>
      </c>
      <c r="AG25" s="88">
        <f>SUMIFS(tabela_registros[VALOR],tabela_registros[MÊS],$AE$1,tabela_registros[DIA],settotal3059718395107119131[[#Headers],[29]],tabela_registros[REGISTRO],DADOS!$N$5)</f>
        <v>0</v>
      </c>
      <c r="AH25" s="89">
        <f>SUMIFS(tabela_registros[VALOR],tabela_registros[MÊS],$AE$1,tabela_registros[DIA],settotal3059718395107119131[[#Headers],[30]],tabela_registros[REGISTRO],DADOS!$N$5)</f>
        <v>0</v>
      </c>
      <c r="AI25" s="90">
        <f>SUMIFS(tabela_registros[VALOR],tabela_registros[MÊS],$AE$1,tabela_registros[DIA],settotal3059718395107119131[[#Headers],[31]],tabela_registros[REGISTRO],DADOS!$N$5)</f>
        <v>0</v>
      </c>
      <c r="AJ25" s="90">
        <f>SUM(E25:AI25)</f>
        <v>0</v>
      </c>
      <c r="AK25" s="49"/>
    </row>
    <row r="26" spans="1:37" ht="18" customHeight="1" thickTop="1" thickBot="1" x14ac:dyDescent="0.3">
      <c r="B26" s="49"/>
      <c r="C26" s="59" t="s">
        <v>8</v>
      </c>
      <c r="D26" s="58"/>
      <c r="E26" s="91">
        <f>SUMIFS(tabela_registros[VALOR],tabela_registros[MÊS],$AE$1,tabela_registros[DIA],settotal3059718395107119131[[#Headers],[1]],tabela_registros[REGISTRO],DADOS!$N$6)</f>
        <v>0</v>
      </c>
      <c r="F26" s="91">
        <f>SUMIFS(tabela_registros[VALOR],tabela_registros[MÊS],$AE$1,tabela_registros[DIA],settotal3059718395107119131[[#Headers],[2]],tabela_registros[REGISTRO],DADOS!$N$6)</f>
        <v>0</v>
      </c>
      <c r="G26" s="91">
        <f>SUMIFS(tabela_registros[VALOR],tabela_registros[MÊS],$AE$1,tabela_registros[DIA],settotal3059718395107119131[[#Headers],[3]],tabela_registros[REGISTRO],DADOS!$N$6)</f>
        <v>0</v>
      </c>
      <c r="H26" s="91">
        <f>SUMIFS(tabela_registros[VALOR],tabela_registros[MÊS],$AE$1,tabela_registros[DIA],settotal3059718395107119131[[#Headers],[4]],tabela_registros[REGISTRO],DADOS!$N$6)</f>
        <v>0</v>
      </c>
      <c r="I26" s="91">
        <f>SUMIFS(tabela_registros[VALOR],tabela_registros[MÊS],$AE$1,tabela_registros[DIA],settotal3059718395107119131[[#Headers],[5]],tabela_registros[REGISTRO],DADOS!$N$6)</f>
        <v>0</v>
      </c>
      <c r="J26" s="91">
        <f>SUMIFS(tabela_registros[VALOR],tabela_registros[MÊS],$AE$1,tabela_registros[DIA],settotal3059718395107119131[[#Headers],[6]],tabela_registros[REGISTRO],DADOS!$N$6)</f>
        <v>0</v>
      </c>
      <c r="K26" s="91">
        <f>SUMIFS(tabela_registros[VALOR],tabela_registros[MÊS],$AE$1,tabela_registros[DIA],settotal3059718395107119131[[#Headers],[7]],tabela_registros[REGISTRO],DADOS!$N$6)</f>
        <v>0</v>
      </c>
      <c r="L26" s="91">
        <f>SUMIFS(tabela_registros[VALOR],tabela_registros[MÊS],$AE$1,tabela_registros[DIA],settotal3059718395107119131[[#Headers],[8]],tabela_registros[REGISTRO],DADOS!$N$6)</f>
        <v>0</v>
      </c>
      <c r="M26" s="91">
        <f>SUMIFS(tabela_registros[VALOR],tabela_registros[MÊS],$AE$1,tabela_registros[DIA],settotal3059718395107119131[[#Headers],[9]],tabela_registros[REGISTRO],DADOS!$N$6)</f>
        <v>0</v>
      </c>
      <c r="N26" s="91">
        <f>SUMIFS(tabela_registros[VALOR],tabela_registros[MÊS],$AE$1,tabela_registros[DIA],settotal3059718395107119131[[#Headers],[10]],tabela_registros[REGISTRO],DADOS!$N$6)</f>
        <v>0</v>
      </c>
      <c r="O26" s="91">
        <f>SUMIFS(tabela_registros[VALOR],tabela_registros[MÊS],$AE$1,tabela_registros[DIA],settotal3059718395107119131[[#Headers],[11]],tabela_registros[REGISTRO],DADOS!$N$6)</f>
        <v>0</v>
      </c>
      <c r="P26" s="91">
        <f>SUMIFS(tabela_registros[VALOR],tabela_registros[MÊS],$AE$1,tabela_registros[DIA],settotal3059718395107119131[[#Headers],[12]],tabela_registros[REGISTRO],DADOS!$N$6)</f>
        <v>0</v>
      </c>
      <c r="Q26" s="91">
        <f>SUMIFS(tabela_registros[VALOR],tabela_registros[MÊS],$AE$1,tabela_registros[DIA],settotal3059718395107119131[[#Headers],[13]],tabela_registros[REGISTRO],DADOS!$N$6)</f>
        <v>0</v>
      </c>
      <c r="R26" s="91">
        <f>SUMIFS(tabela_registros[VALOR],tabela_registros[MÊS],$AE$1,tabela_registros[DIA],settotal3059718395107119131[[#Headers],[14]],tabela_registros[REGISTRO],DADOS!$N$6)</f>
        <v>0</v>
      </c>
      <c r="S26" s="91">
        <f>SUMIFS(tabela_registros[VALOR],tabela_registros[MÊS],$AE$1,tabela_registros[DIA],settotal3059718395107119131[[#Headers],[15]],tabela_registros[REGISTRO],DADOS!$N$6)</f>
        <v>0</v>
      </c>
      <c r="T26" s="91">
        <f>SUMIFS(tabela_registros[VALOR],tabela_registros[MÊS],$AE$1,tabela_registros[DIA],settotal3059718395107119131[[#Headers],[16]],tabela_registros[REGISTRO],DADOS!$N$6)</f>
        <v>0</v>
      </c>
      <c r="U26" s="91">
        <f>SUMIFS(tabela_registros[VALOR],tabela_registros[MÊS],$AE$1,tabela_registros[DIA],settotal3059718395107119131[[#Headers],[17]],tabela_registros[REGISTRO],DADOS!$N$6)</f>
        <v>0</v>
      </c>
      <c r="V26" s="91">
        <f>SUMIFS(tabela_registros[VALOR],tabela_registros[MÊS],$AE$1,tabela_registros[DIA],settotal3059718395107119131[[#Headers],[18]],tabela_registros[REGISTRO],DADOS!$N$6)</f>
        <v>0</v>
      </c>
      <c r="W26" s="91">
        <f>SUMIFS(tabela_registros[VALOR],tabela_registros[MÊS],$AE$1,tabela_registros[DIA],settotal3059718395107119131[[#Headers],[19]],tabela_registros[REGISTRO],DADOS!$N$6)</f>
        <v>0</v>
      </c>
      <c r="X26" s="91">
        <f>SUMIFS(tabela_registros[VALOR],tabela_registros[MÊS],$AE$1,tabela_registros[DIA],settotal3059718395107119131[[#Headers],[20]],tabela_registros[REGISTRO],DADOS!$N$6)</f>
        <v>0</v>
      </c>
      <c r="Y26" s="91">
        <f>SUMIFS(tabela_registros[VALOR],tabela_registros[MÊS],$AE$1,tabela_registros[DIA],settotal3059718395107119131[[#Headers],[21]],tabela_registros[REGISTRO],DADOS!$N$6)</f>
        <v>0</v>
      </c>
      <c r="Z26" s="91">
        <f>SUMIFS(tabela_registros[VALOR],tabela_registros[MÊS],$AE$1,tabela_registros[DIA],settotal3059718395107119131[[#Headers],[22]],tabela_registros[REGISTRO],DADOS!$N$6)</f>
        <v>0</v>
      </c>
      <c r="AA26" s="91">
        <f>SUMIFS(tabela_registros[VALOR],tabela_registros[MÊS],$AE$1,tabela_registros[DIA],settotal3059718395107119131[[#Headers],[23]],tabela_registros[REGISTRO],DADOS!$N$6)</f>
        <v>0</v>
      </c>
      <c r="AB26" s="91">
        <f>SUMIFS(tabela_registros[VALOR],tabela_registros[MÊS],$AE$1,tabela_registros[DIA],settotal3059718395107119131[[#Headers],[24]],tabela_registros[REGISTRO],DADOS!$N$6)</f>
        <v>0</v>
      </c>
      <c r="AC26" s="91">
        <f>SUMIFS(tabela_registros[VALOR],tabela_registros[MÊS],$AE$1,tabela_registros[DIA],settotal3059718395107119131[[#Headers],[25]],tabela_registros[REGISTRO],DADOS!$N$6)</f>
        <v>0</v>
      </c>
      <c r="AD26" s="91">
        <f>SUMIFS(tabela_registros[VALOR],tabela_registros[MÊS],$AE$1,tabela_registros[DIA],settotal3059718395107119131[[#Headers],[26]],tabela_registros[REGISTRO],DADOS!$N$6)</f>
        <v>0</v>
      </c>
      <c r="AE26" s="91">
        <f>SUMIFS(tabela_registros[VALOR],tabela_registros[MÊS],$AE$1,tabela_registros[DIA],settotal3059718395107119131[[#Headers],[27]],tabela_registros[REGISTRO],DADOS!$N$6)</f>
        <v>0</v>
      </c>
      <c r="AF26" s="91">
        <f>SUMIFS(tabela_registros[VALOR],tabela_registros[MÊS],$AE$1,tabela_registros[DIA],settotal3059718395107119131[[#Headers],[28]],tabela_registros[REGISTRO],DADOS!$N$6)</f>
        <v>0</v>
      </c>
      <c r="AG26" s="91">
        <f>SUMIFS(tabela_registros[VALOR],tabela_registros[MÊS],$AE$1,tabela_registros[DIA],settotal3059718395107119131[[#Headers],[29]],tabela_registros[REGISTRO],DADOS!$N$6)</f>
        <v>0</v>
      </c>
      <c r="AH26" s="92">
        <f>SUMIFS(tabela_registros[VALOR],tabela_registros[MÊS],$AE$1,tabela_registros[DIA],settotal3059718395107119131[[#Headers],[30]],tabela_registros[REGISTRO],DADOS!$N$6)</f>
        <v>0</v>
      </c>
      <c r="AI26" s="93">
        <f>SUMIFS(tabela_registros[VALOR],tabela_registros[MÊS],$AE$1,tabela_registros[DIA],settotal3059718395107119131[[#Headers],[31]],tabela_registros[REGISTRO],DADOS!$N$6)</f>
        <v>0</v>
      </c>
      <c r="AJ26" s="93">
        <f>SUM(E26:AI26)</f>
        <v>0</v>
      </c>
      <c r="AK26" s="49"/>
    </row>
    <row r="27" spans="1:37" s="16" customFormat="1" ht="21" customHeight="1" thickTop="1" thickBot="1" x14ac:dyDescent="0.35">
      <c r="B27" s="52"/>
      <c r="C27" s="57" t="s">
        <v>19</v>
      </c>
      <c r="D27" s="56"/>
      <c r="E27" s="55">
        <f>SUM(E25:E26)</f>
        <v>0</v>
      </c>
      <c r="F27" s="54">
        <f>SUM(F25:F26)+setinvestir2158708294106118130[[#This Row],[1]]</f>
        <v>0</v>
      </c>
      <c r="G27" s="54">
        <f>SUM(G25:G26)+setinvestir2158708294106118130[[#This Row],[2]]</f>
        <v>0</v>
      </c>
      <c r="H27" s="54">
        <f>SUM(H25:H26)+setinvestir2158708294106118130[[#This Row],[3]]</f>
        <v>0</v>
      </c>
      <c r="I27" s="54">
        <f>SUM(I25:I26)+setinvestir2158708294106118130[[#This Row],[4]]</f>
        <v>0</v>
      </c>
      <c r="J27" s="54">
        <f>SUM(J25:J26)+setinvestir2158708294106118130[[#This Row],[5]]</f>
        <v>0</v>
      </c>
      <c r="K27" s="54">
        <f>SUM(K25:K26)+setinvestir2158708294106118130[[#This Row],[6]]</f>
        <v>0</v>
      </c>
      <c r="L27" s="54">
        <f>SUM(L25:L26)+setinvestir2158708294106118130[[#This Row],[7]]</f>
        <v>0</v>
      </c>
      <c r="M27" s="54">
        <f>SUM(M25:M26)+setinvestir2158708294106118130[[#This Row],[8]]</f>
        <v>0</v>
      </c>
      <c r="N27" s="54">
        <f>SUM(N25:N26)+setinvestir2158708294106118130[[#This Row],[9]]</f>
        <v>0</v>
      </c>
      <c r="O27" s="54">
        <f>SUM(O25:O26)+setinvestir2158708294106118130[[#This Row],[10]]</f>
        <v>0</v>
      </c>
      <c r="P27" s="54">
        <f>SUM(P25:P26)+setinvestir2158708294106118130[[#This Row],[11]]</f>
        <v>0</v>
      </c>
      <c r="Q27" s="54">
        <f>SUM(Q25:Q26)+setinvestir2158708294106118130[[#This Row],[12]]</f>
        <v>0</v>
      </c>
      <c r="R27" s="54">
        <f>SUM(R25:R26)+setinvestir2158708294106118130[[#This Row],[13]]</f>
        <v>0</v>
      </c>
      <c r="S27" s="54">
        <f>SUM(S25:S26)+setinvestir2158708294106118130[[#This Row],[14]]</f>
        <v>0</v>
      </c>
      <c r="T27" s="54">
        <f>SUM(T25:T26)+setinvestir2158708294106118130[[#This Row],[15]]</f>
        <v>0</v>
      </c>
      <c r="U27" s="54">
        <f>SUM(U25:U26)+setinvestir2158708294106118130[[#This Row],[16]]</f>
        <v>0</v>
      </c>
      <c r="V27" s="54">
        <f>SUM(V25:V26)+setinvestir2158708294106118130[[#This Row],[17]]</f>
        <v>0</v>
      </c>
      <c r="W27" s="54">
        <f>SUM(W25:W26)+setinvestir2158708294106118130[[#This Row],[18]]</f>
        <v>0</v>
      </c>
      <c r="X27" s="54">
        <f>SUM(X25:X26)+setinvestir2158708294106118130[[#This Row],[19]]</f>
        <v>0</v>
      </c>
      <c r="Y27" s="54">
        <f>SUM(Y25:Y26)+setinvestir2158708294106118130[[#This Row],[20]]</f>
        <v>0</v>
      </c>
      <c r="Z27" s="54">
        <f>SUM(Z25:Z26)+setinvestir2158708294106118130[[#This Row],[21]]</f>
        <v>0</v>
      </c>
      <c r="AA27" s="54">
        <f>SUM(AA25:AA26)+setinvestir2158708294106118130[[#This Row],[22]]</f>
        <v>0</v>
      </c>
      <c r="AB27" s="54">
        <f>SUM(AB25:AB26)+setinvestir2158708294106118130[[#This Row],[23]]</f>
        <v>0</v>
      </c>
      <c r="AC27" s="54">
        <f>SUM(AC25:AC26)+setinvestir2158708294106118130[[#This Row],[24]]</f>
        <v>0</v>
      </c>
      <c r="AD27" s="54">
        <f>SUM(AD25:AD26)+setinvestir2158708294106118130[[#This Row],[25]]</f>
        <v>0</v>
      </c>
      <c r="AE27" s="54">
        <f>SUM(AE25:AE26)+setinvestir2158708294106118130[[#This Row],[26]]</f>
        <v>0</v>
      </c>
      <c r="AF27" s="54">
        <f>SUM(AF25:AF26)+setinvestir2158708294106118130[[#This Row],[27]]</f>
        <v>0</v>
      </c>
      <c r="AG27" s="54">
        <f>SUM(AG25:AG26)+setinvestir2158708294106118130[[#This Row],[28]]</f>
        <v>0</v>
      </c>
      <c r="AH27" s="62">
        <f>SUM(AH25:AH26)+setinvestir2158708294106118130[[#This Row],[29]]</f>
        <v>0</v>
      </c>
      <c r="AI27" s="53">
        <f>SUM(AI25:AI26)+setinvestir2158708294106118130[[#This Row],[30]]</f>
        <v>0</v>
      </c>
      <c r="AJ27" s="53">
        <f>setinvestir2158708294106118130[[#This Row],[31]]</f>
        <v>0</v>
      </c>
      <c r="AK27" s="52"/>
    </row>
    <row r="28" spans="1:37" ht="6.75" hidden="1" customHeight="1" thickTop="1" thickBot="1" x14ac:dyDescent="0.35">
      <c r="B28" s="49"/>
      <c r="C28" t="s">
        <v>204</v>
      </c>
      <c r="D28"/>
      <c r="E28" s="51">
        <f>SUBTOTAL(109,setinvestir2158708294106118130[1])</f>
        <v>0</v>
      </c>
      <c r="F28" s="51">
        <f>SUBTOTAL(109,setinvestir2158708294106118130[2])</f>
        <v>0</v>
      </c>
      <c r="G28" s="51">
        <f>SUBTOTAL(109,setinvestir2158708294106118130[3])</f>
        <v>0</v>
      </c>
      <c r="H28" s="51">
        <f>SUBTOTAL(109,setinvestir2158708294106118130[4])</f>
        <v>0</v>
      </c>
      <c r="I28" s="51">
        <f>SUBTOTAL(109,setinvestir2158708294106118130[5])</f>
        <v>0</v>
      </c>
      <c r="J28" s="51">
        <f>SUBTOTAL(109,setinvestir2158708294106118130[6])</f>
        <v>0</v>
      </c>
      <c r="K28" s="51">
        <f>SUBTOTAL(109,setinvestir2158708294106118130[7])</f>
        <v>0</v>
      </c>
      <c r="L28" s="51">
        <f>SUBTOTAL(109,setinvestir2158708294106118130[8])</f>
        <v>0</v>
      </c>
      <c r="M28" s="51">
        <f>SUBTOTAL(109,setinvestir2158708294106118130[9])</f>
        <v>0</v>
      </c>
      <c r="N28" s="51">
        <f>SUBTOTAL(109,setinvestir2158708294106118130[10])</f>
        <v>0</v>
      </c>
      <c r="O28" s="51">
        <f>SUBTOTAL(109,setinvestir2158708294106118130[11])</f>
        <v>0</v>
      </c>
      <c r="P28" s="51">
        <f>SUBTOTAL(109,setinvestir2158708294106118130[12])</f>
        <v>0</v>
      </c>
      <c r="Q28" s="51">
        <f>SUBTOTAL(109,setinvestir2158708294106118130[13])</f>
        <v>0</v>
      </c>
      <c r="R28" s="51">
        <f>SUBTOTAL(109,setinvestir2158708294106118130[14])</f>
        <v>0</v>
      </c>
      <c r="S28" s="51">
        <f>SUBTOTAL(109,setinvestir2158708294106118130[15])</f>
        <v>0</v>
      </c>
      <c r="T28" s="51">
        <f>SUBTOTAL(109,setinvestir2158708294106118130[16])</f>
        <v>0</v>
      </c>
      <c r="U28" s="51">
        <f>SUBTOTAL(109,setinvestir2158708294106118130[17])</f>
        <v>0</v>
      </c>
      <c r="V28" s="51">
        <f>SUBTOTAL(109,setinvestir2158708294106118130[18])</f>
        <v>0</v>
      </c>
      <c r="W28" s="51">
        <f>SUBTOTAL(109,setinvestir2158708294106118130[19])</f>
        <v>0</v>
      </c>
      <c r="X28" s="51">
        <f>SUBTOTAL(109,setinvestir2158708294106118130[20])</f>
        <v>0</v>
      </c>
      <c r="Y28" s="51">
        <f>SUBTOTAL(109,setinvestir2158708294106118130[21])</f>
        <v>0</v>
      </c>
      <c r="Z28" s="51">
        <f>SUBTOTAL(109,setinvestir2158708294106118130[22])</f>
        <v>0</v>
      </c>
      <c r="AA28" s="51">
        <f>SUBTOTAL(109,setinvestir2158708294106118130[23])</f>
        <v>0</v>
      </c>
      <c r="AB28" s="51">
        <f>SUBTOTAL(109,setinvestir2158708294106118130[24])</f>
        <v>0</v>
      </c>
      <c r="AC28" s="51">
        <f>SUBTOTAL(109,setinvestir2158708294106118130[25])</f>
        <v>0</v>
      </c>
      <c r="AD28" s="51">
        <f>SUBTOTAL(109,setinvestir2158708294106118130[26])</f>
        <v>0</v>
      </c>
      <c r="AE28" s="51">
        <f>SUBTOTAL(109,setinvestir2158708294106118130[27])</f>
        <v>0</v>
      </c>
      <c r="AF28" s="51">
        <f>SUBTOTAL(109,setinvestir2158708294106118130[28])</f>
        <v>0</v>
      </c>
      <c r="AG28" s="51">
        <f>SUBTOTAL(109,setinvestir2158708294106118130[29])</f>
        <v>0</v>
      </c>
      <c r="AH28" s="51">
        <f>SUBTOTAL(109,setinvestir2158708294106118130[30])</f>
        <v>0</v>
      </c>
      <c r="AI28" s="51">
        <f>SUBTOTAL(109,setinvestir2158708294106118130[31])</f>
        <v>0</v>
      </c>
      <c r="AJ28" s="51">
        <f>SUBTOTAL(109,setinvestir2158708294106118130[TOTAL (R$)])</f>
        <v>0</v>
      </c>
      <c r="AK28" s="49"/>
    </row>
    <row r="29" spans="1:37" ht="6.75" customHeight="1" thickTop="1" thickBot="1" x14ac:dyDescent="0.3">
      <c r="B29" s="49"/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49"/>
      <c r="X29" s="49"/>
      <c r="Y29" s="49"/>
      <c r="Z29" s="49"/>
      <c r="AA29" s="49"/>
      <c r="AB29" s="49"/>
      <c r="AC29" s="49"/>
      <c r="AD29" s="49"/>
      <c r="AE29" s="49"/>
      <c r="AF29" s="49"/>
      <c r="AG29" s="49"/>
      <c r="AH29" s="49"/>
      <c r="AI29" s="50"/>
      <c r="AJ29" s="49"/>
      <c r="AK29" s="49"/>
    </row>
    <row r="30" spans="1:37" ht="12.6" thickTop="1" x14ac:dyDescent="0.25">
      <c r="C30" s="46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 s="47"/>
      <c r="Z30" s="47"/>
      <c r="AA30" s="47"/>
      <c r="AB30" s="47"/>
      <c r="AC30" s="47"/>
      <c r="AD30" s="47"/>
      <c r="AE30" s="47"/>
      <c r="AF30" s="47"/>
      <c r="AG30" s="47"/>
      <c r="AH30" s="47"/>
      <c r="AI30" s="47"/>
    </row>
    <row r="31" spans="1:37" x14ac:dyDescent="0.25">
      <c r="C31" s="46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47"/>
      <c r="X31" s="47"/>
      <c r="Y31" s="47"/>
      <c r="Z31" s="47"/>
      <c r="AA31" s="47"/>
      <c r="AB31" s="47"/>
      <c r="AC31" s="47"/>
      <c r="AD31" s="47"/>
      <c r="AE31" s="47"/>
      <c r="AF31" s="47"/>
      <c r="AG31" s="47"/>
      <c r="AH31" s="47"/>
      <c r="AI31" s="47"/>
    </row>
    <row r="32" spans="1:37" x14ac:dyDescent="0.25">
      <c r="C32" s="46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47"/>
      <c r="AB32" s="47"/>
      <c r="AC32" s="47"/>
      <c r="AD32" s="47"/>
      <c r="AE32" s="47"/>
      <c r="AF32" s="47"/>
      <c r="AG32" s="47"/>
      <c r="AH32" s="47"/>
      <c r="AI32" s="47"/>
    </row>
    <row r="33" spans="2:37" ht="39.75" customHeight="1" x14ac:dyDescent="0.25">
      <c r="C33" s="46"/>
      <c r="E33" s="240"/>
      <c r="F33" s="240"/>
      <c r="G33" s="240"/>
      <c r="H33" s="240"/>
      <c r="I33" s="240"/>
      <c r="J33" s="240"/>
      <c r="K33" s="240"/>
      <c r="L33" s="240"/>
      <c r="M33" s="240"/>
      <c r="N33" s="240"/>
      <c r="O33" s="240"/>
      <c r="P33" s="240"/>
      <c r="Q33" s="240"/>
      <c r="R33" s="240"/>
      <c r="S33" s="240"/>
      <c r="T33" s="240"/>
      <c r="U33" s="240"/>
      <c r="V33" s="240"/>
      <c r="W33" s="240"/>
      <c r="X33" s="240"/>
      <c r="Y33" s="240"/>
      <c r="Z33" s="240"/>
      <c r="AA33" s="240"/>
      <c r="AB33" s="240"/>
      <c r="AC33" s="240"/>
      <c r="AD33" s="240"/>
      <c r="AE33" s="240"/>
      <c r="AF33" s="240"/>
      <c r="AG33" s="240"/>
      <c r="AH33" s="240"/>
      <c r="AI33" s="240"/>
      <c r="AJ33" s="32" t="s">
        <v>19</v>
      </c>
    </row>
    <row r="34" spans="2:37" ht="11.25" customHeight="1" thickBot="1" x14ac:dyDescent="0.75">
      <c r="C34" s="36"/>
      <c r="AI34" s="4"/>
      <c r="AJ34" s="34" t="s">
        <v>202</v>
      </c>
    </row>
    <row r="35" spans="2:37" ht="6.75" customHeight="1" thickTop="1" thickBot="1" x14ac:dyDescent="0.3">
      <c r="B35" s="33"/>
      <c r="C35" s="45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F35" s="44"/>
      <c r="AG35" s="44"/>
      <c r="AH35" s="44"/>
      <c r="AI35" s="44"/>
      <c r="AJ35" s="43"/>
      <c r="AK35" s="33"/>
    </row>
    <row r="36" spans="2:37" ht="12.6" hidden="1" thickBot="1" x14ac:dyDescent="0.3">
      <c r="B36" s="2"/>
      <c r="C36" s="31" t="s">
        <v>132</v>
      </c>
      <c r="D36" s="30" t="s">
        <v>198</v>
      </c>
      <c r="E36" s="30" t="s">
        <v>197</v>
      </c>
      <c r="F36" s="30" t="s">
        <v>196</v>
      </c>
      <c r="G36" s="30" t="s">
        <v>195</v>
      </c>
      <c r="H36" s="30" t="s">
        <v>194</v>
      </c>
      <c r="I36" s="30" t="s">
        <v>193</v>
      </c>
      <c r="J36" s="30" t="s">
        <v>192</v>
      </c>
      <c r="K36" s="30" t="s">
        <v>191</v>
      </c>
      <c r="L36" s="30" t="s">
        <v>190</v>
      </c>
      <c r="M36" s="30" t="s">
        <v>189</v>
      </c>
      <c r="N36" s="30" t="s">
        <v>188</v>
      </c>
      <c r="O36" s="30" t="s">
        <v>187</v>
      </c>
      <c r="P36" s="30" t="s">
        <v>186</v>
      </c>
      <c r="Q36" s="30" t="s">
        <v>185</v>
      </c>
      <c r="R36" s="30" t="s">
        <v>184</v>
      </c>
      <c r="S36" s="30" t="s">
        <v>183</v>
      </c>
      <c r="T36" s="30" t="s">
        <v>182</v>
      </c>
      <c r="U36" s="30" t="s">
        <v>181</v>
      </c>
      <c r="V36" s="30" t="s">
        <v>180</v>
      </c>
      <c r="W36" s="30" t="s">
        <v>179</v>
      </c>
      <c r="X36" s="30" t="s">
        <v>178</v>
      </c>
      <c r="Y36" s="30" t="s">
        <v>177</v>
      </c>
      <c r="Z36" s="30" t="s">
        <v>176</v>
      </c>
      <c r="AA36" s="30" t="s">
        <v>175</v>
      </c>
      <c r="AB36" s="30" t="s">
        <v>174</v>
      </c>
      <c r="AC36" s="30" t="s">
        <v>173</v>
      </c>
      <c r="AD36" s="30" t="s">
        <v>172</v>
      </c>
      <c r="AE36" s="30" t="s">
        <v>171</v>
      </c>
      <c r="AF36" s="30" t="s">
        <v>170</v>
      </c>
      <c r="AG36" s="30" t="s">
        <v>169</v>
      </c>
      <c r="AH36" s="30" t="s">
        <v>168</v>
      </c>
      <c r="AI36" s="30" t="s">
        <v>167</v>
      </c>
      <c r="AJ36" s="42" t="s">
        <v>19</v>
      </c>
      <c r="AK36" s="2" t="s">
        <v>203</v>
      </c>
    </row>
    <row r="37" spans="2:37" ht="19.5" customHeight="1" thickTop="1" thickBot="1" x14ac:dyDescent="0.3">
      <c r="B37" s="28"/>
      <c r="C37" s="27" t="str">
        <f>DADOS!$R$3</f>
        <v>💧 ÁGUA</v>
      </c>
      <c r="D37" s="26" t="str">
        <f>IF(despesafixaconsolidadoset[[#This Row],[TOTAL]]=0,"",IF(OR(despesafixaconsolidadoset[[#This Row],[TOTAL]]=LARGE($AJ$37:$AJ$50,1),despesafixaconsolidadoset[[#This Row],[TOTAL]]=LARGE($AJ$37:$AJ$50,2),despesafixaconsolidadoset[[#This Row],[TOTAL]]=LARGE($AJ$37:$AJ$50,3),despesafixaconsolidadoset[[#This Row],[TOTAL]]=LARGE($AJ$37:$AJ$50,4),despesafixaconsolidadoset[[#This Row],[TOTAL]]=LARGE($AJ$37:$AJ$50,5)),DADOS!$I$8,""))</f>
        <v/>
      </c>
      <c r="E37" s="94">
        <f>SUMIFS(tabela_registros[VALOR],tabela_registros[MÊS],$AE$1,tabela_registros[DIA],settotal3059718395107119131[[#Headers],[1]],tabela_registros[REGISTRO],DADOS!$N$4,tabela_registros[TIPO],DADOS!$P$3,tabela_registros[CATEGORIA],despesafixaconsolidadoset[[#This Row],[DESPESA FIXA]])</f>
        <v>0</v>
      </c>
      <c r="F37" s="88">
        <f>SUMIFS(tabela_registros[VALOR],tabela_registros[MÊS],$AE$1,tabela_registros[DIA],settotal3059718395107119131[[#Headers],[2]],tabela_registros[REGISTRO],DADOS!$N$4,tabela_registros[TIPO],DADOS!$P$3,tabela_registros[CATEGORIA],despesafixaconsolidadoset[[#This Row],[DESPESA FIXA]])</f>
        <v>0</v>
      </c>
      <c r="G37" s="88">
        <f>SUMIFS(tabela_registros[VALOR],tabela_registros[MÊS],$AE$1,tabela_registros[DIA],settotal3059718395107119131[[#Headers],[3]],tabela_registros[REGISTRO],DADOS!$N$4,tabela_registros[TIPO],DADOS!$P$3,tabela_registros[CATEGORIA],despesafixaconsolidadoset[[#This Row],[DESPESA FIXA]])</f>
        <v>0</v>
      </c>
      <c r="H37" s="88">
        <f>SUMIFS(tabela_registros[VALOR],tabela_registros[MÊS],$AE$1,tabela_registros[DIA],settotal3059718395107119131[[#Headers],[4]],tabela_registros[REGISTRO],DADOS!$N$4,tabela_registros[TIPO],DADOS!$P$3,tabela_registros[CATEGORIA],despesafixaconsolidadoset[[#This Row],[DESPESA FIXA]])</f>
        <v>0</v>
      </c>
      <c r="I37" s="88">
        <f>SUMIFS(tabela_registros[VALOR],tabela_registros[MÊS],$AE$1,tabela_registros[DIA],settotal3059718395107119131[[#Headers],[5]],tabela_registros[REGISTRO],DADOS!$N$4,tabela_registros[TIPO],DADOS!$P$3,tabela_registros[CATEGORIA],despesafixaconsolidadoset[[#This Row],[DESPESA FIXA]])</f>
        <v>0</v>
      </c>
      <c r="J37" s="88">
        <f>SUMIFS(tabela_registros[VALOR],tabela_registros[MÊS],$AE$1,tabela_registros[DIA],settotal3059718395107119131[[#Headers],[6]],tabela_registros[REGISTRO],DADOS!$N$4,tabela_registros[TIPO],DADOS!$P$3,tabela_registros[CATEGORIA],despesafixaconsolidadoset[[#This Row],[DESPESA FIXA]])</f>
        <v>0</v>
      </c>
      <c r="K37" s="88">
        <f>SUMIFS(tabela_registros[VALOR],tabela_registros[MÊS],$AE$1,tabela_registros[DIA],settotal3059718395107119131[[#Headers],[7]],tabela_registros[REGISTRO],DADOS!$N$4,tabela_registros[TIPO],DADOS!$P$3,tabela_registros[CATEGORIA],despesafixaconsolidadoset[[#This Row],[DESPESA FIXA]])</f>
        <v>0</v>
      </c>
      <c r="L37" s="88">
        <f>SUMIFS(tabela_registros[VALOR],tabela_registros[MÊS],$AE$1,tabela_registros[DIA],settotal3059718395107119131[[#Headers],[8]],tabela_registros[REGISTRO],DADOS!$N$4,tabela_registros[TIPO],DADOS!$P$3,tabela_registros[CATEGORIA],despesafixaconsolidadoset[[#This Row],[DESPESA FIXA]])</f>
        <v>0</v>
      </c>
      <c r="M37" s="88">
        <f>SUMIFS(tabela_registros[VALOR],tabela_registros[MÊS],$AE$1,tabela_registros[DIA],settotal3059718395107119131[[#Headers],[9]],tabela_registros[REGISTRO],DADOS!$N$4,tabela_registros[TIPO],DADOS!$P$3,tabela_registros[CATEGORIA],despesafixaconsolidadoset[[#This Row],[DESPESA FIXA]])</f>
        <v>0</v>
      </c>
      <c r="N37" s="88">
        <f>SUMIFS(tabela_registros[VALOR],tabela_registros[MÊS],$AE$1,tabela_registros[DIA],settotal3059718395107119131[[#Headers],[10]],tabela_registros[REGISTRO],DADOS!$N$4,tabela_registros[TIPO],DADOS!$P$3,tabela_registros[CATEGORIA],despesafixaconsolidadoset[[#This Row],[DESPESA FIXA]])</f>
        <v>0</v>
      </c>
      <c r="O37" s="88">
        <f>SUMIFS(tabela_registros[VALOR],tabela_registros[MÊS],$AE$1,tabela_registros[DIA],settotal3059718395107119131[[#Headers],[11]],tabela_registros[REGISTRO],DADOS!$N$4,tabela_registros[TIPO],DADOS!$P$3,tabela_registros[CATEGORIA],despesafixaconsolidadoset[[#This Row],[DESPESA FIXA]])</f>
        <v>0</v>
      </c>
      <c r="P37" s="88">
        <f>SUMIFS(tabela_registros[VALOR],tabela_registros[MÊS],$AE$1,tabela_registros[DIA],settotal3059718395107119131[[#Headers],[12]],tabela_registros[REGISTRO],DADOS!$N$4,tabela_registros[TIPO],DADOS!$P$3,tabela_registros[CATEGORIA],despesafixaconsolidadoset[[#This Row],[DESPESA FIXA]])</f>
        <v>0</v>
      </c>
      <c r="Q37" s="88">
        <f>SUMIFS(tabela_registros[VALOR],tabela_registros[MÊS],$AE$1,tabela_registros[DIA],settotal3059718395107119131[[#Headers],[13]],tabela_registros[REGISTRO],DADOS!$N$4,tabela_registros[TIPO],DADOS!$P$3,tabela_registros[CATEGORIA],despesafixaconsolidadoset[[#This Row],[DESPESA FIXA]])</f>
        <v>0</v>
      </c>
      <c r="R37" s="88">
        <f>SUMIFS(tabela_registros[VALOR],tabela_registros[MÊS],$AE$1,tabela_registros[DIA],settotal3059718395107119131[[#Headers],[14]],tabela_registros[REGISTRO],DADOS!$N$4,tabela_registros[TIPO],DADOS!$P$3,tabela_registros[CATEGORIA],despesafixaconsolidadoset[[#This Row],[DESPESA FIXA]])</f>
        <v>0</v>
      </c>
      <c r="S37" s="88">
        <f>SUMIFS(tabela_registros[VALOR],tabela_registros[MÊS],$AE$1,tabela_registros[DIA],settotal3059718395107119131[[#Headers],[15]],tabela_registros[REGISTRO],DADOS!$N$4,tabela_registros[TIPO],DADOS!$P$3,tabela_registros[CATEGORIA],despesafixaconsolidadoset[[#This Row],[DESPESA FIXA]])</f>
        <v>0</v>
      </c>
      <c r="T37" s="88">
        <f>SUMIFS(tabela_registros[VALOR],tabela_registros[MÊS],$AE$1,tabela_registros[DIA],settotal3059718395107119131[[#Headers],[16]],tabela_registros[REGISTRO],DADOS!$N$4,tabela_registros[TIPO],DADOS!$P$3,tabela_registros[CATEGORIA],despesafixaconsolidadoset[[#This Row],[DESPESA FIXA]])</f>
        <v>0</v>
      </c>
      <c r="U37" s="88">
        <f>SUMIFS(tabela_registros[VALOR],tabela_registros[MÊS],$AE$1,tabela_registros[DIA],settotal3059718395107119131[[#Headers],[17]],tabela_registros[REGISTRO],DADOS!$N$4,tabela_registros[TIPO],DADOS!$P$3,tabela_registros[CATEGORIA],despesafixaconsolidadoset[[#This Row],[DESPESA FIXA]])</f>
        <v>0</v>
      </c>
      <c r="V37" s="88">
        <f>SUMIFS(tabela_registros[VALOR],tabela_registros[MÊS],$AE$1,tabela_registros[DIA],settotal3059718395107119131[[#Headers],[18]],tabela_registros[REGISTRO],DADOS!$N$4,tabela_registros[TIPO],DADOS!$P$3,tabela_registros[CATEGORIA],despesafixaconsolidadoset[[#This Row],[DESPESA FIXA]])</f>
        <v>0</v>
      </c>
      <c r="W37" s="88">
        <f>SUMIFS(tabela_registros[VALOR],tabela_registros[MÊS],$AE$1,tabela_registros[DIA],settotal3059718395107119131[[#Headers],[19]],tabela_registros[REGISTRO],DADOS!$N$4,tabela_registros[TIPO],DADOS!$P$3,tabela_registros[CATEGORIA],despesafixaconsolidadoset[[#This Row],[DESPESA FIXA]])</f>
        <v>0</v>
      </c>
      <c r="X37" s="88">
        <f>SUMIFS(tabela_registros[VALOR],tabela_registros[MÊS],$AE$1,tabela_registros[DIA],settotal3059718395107119131[[#Headers],[20]],tabela_registros[REGISTRO],DADOS!$N$4,tabela_registros[TIPO],DADOS!$P$3,tabela_registros[CATEGORIA],despesafixaconsolidadoset[[#This Row],[DESPESA FIXA]])</f>
        <v>0</v>
      </c>
      <c r="Y37" s="88">
        <f>SUMIFS(tabela_registros[VALOR],tabela_registros[MÊS],$AE$1,tabela_registros[DIA],settotal3059718395107119131[[#Headers],[21]],tabela_registros[REGISTRO],DADOS!$N$4,tabela_registros[TIPO],DADOS!$P$3,tabela_registros[CATEGORIA],despesafixaconsolidadoset[[#This Row],[DESPESA FIXA]])</f>
        <v>0</v>
      </c>
      <c r="Z37" s="88">
        <f>SUMIFS(tabela_registros[VALOR],tabela_registros[MÊS],$AE$1,tabela_registros[DIA],settotal3059718395107119131[[#Headers],[22]],tabela_registros[REGISTRO],DADOS!$N$4,tabela_registros[TIPO],DADOS!$P$3,tabela_registros[CATEGORIA],despesafixaconsolidadoset[[#This Row],[DESPESA FIXA]])</f>
        <v>0</v>
      </c>
      <c r="AA37" s="88">
        <f>SUMIFS(tabela_registros[VALOR],tabela_registros[MÊS],$AE$1,tabela_registros[DIA],settotal3059718395107119131[[#Headers],[23]],tabela_registros[REGISTRO],DADOS!$N$4,tabela_registros[TIPO],DADOS!$P$3,tabela_registros[CATEGORIA],despesafixaconsolidadoset[[#This Row],[DESPESA FIXA]])</f>
        <v>0</v>
      </c>
      <c r="AB37" s="88">
        <f>SUMIFS(tabela_registros[VALOR],tabela_registros[MÊS],$AE$1,tabela_registros[DIA],settotal3059718395107119131[[#Headers],[24]],tabela_registros[REGISTRO],DADOS!$N$4,tabela_registros[TIPO],DADOS!$P$3,tabela_registros[CATEGORIA],despesafixaconsolidadoset[[#This Row],[DESPESA FIXA]])</f>
        <v>0</v>
      </c>
      <c r="AC37" s="88">
        <f>SUMIFS(tabela_registros[VALOR],tabela_registros[MÊS],$AE$1,tabela_registros[DIA],settotal3059718395107119131[[#Headers],[25]],tabela_registros[REGISTRO],DADOS!$N$4,tabela_registros[TIPO],DADOS!$P$3,tabela_registros[CATEGORIA],despesafixaconsolidadoset[[#This Row],[DESPESA FIXA]])</f>
        <v>0</v>
      </c>
      <c r="AD37" s="88">
        <f>SUMIFS(tabela_registros[VALOR],tabela_registros[MÊS],$AE$1,tabela_registros[DIA],settotal3059718395107119131[[#Headers],[26]],tabela_registros[REGISTRO],DADOS!$N$4,tabela_registros[TIPO],DADOS!$P$3,tabela_registros[CATEGORIA],despesafixaconsolidadoset[[#This Row],[DESPESA FIXA]])</f>
        <v>0</v>
      </c>
      <c r="AE37" s="88">
        <f>SUMIFS(tabela_registros[VALOR],tabela_registros[MÊS],$AE$1,tabela_registros[DIA],settotal3059718395107119131[[#Headers],[27]],tabela_registros[REGISTRO],DADOS!$N$4,tabela_registros[TIPO],DADOS!$P$3,tabela_registros[CATEGORIA],despesafixaconsolidadoset[[#This Row],[DESPESA FIXA]])</f>
        <v>0</v>
      </c>
      <c r="AF37" s="88">
        <f>SUMIFS(tabela_registros[VALOR],tabela_registros[MÊS],$AE$1,tabela_registros[DIA],settotal3059718395107119131[[#Headers],[28]],tabela_registros[REGISTRO],DADOS!$N$4,tabela_registros[TIPO],DADOS!$P$3,tabela_registros[CATEGORIA],despesafixaconsolidadoset[[#This Row],[DESPESA FIXA]])</f>
        <v>0</v>
      </c>
      <c r="AG37" s="88">
        <f>SUMIFS(tabela_registros[VALOR],tabela_registros[MÊS],$AE$1,tabela_registros[DIA],settotal3059718395107119131[[#Headers],[29]],tabela_registros[REGISTRO],DADOS!$N$4,tabela_registros[TIPO],DADOS!$P$3,tabela_registros[CATEGORIA],despesafixaconsolidadoset[[#This Row],[DESPESA FIXA]])</f>
        <v>0</v>
      </c>
      <c r="AH37" s="88">
        <f>SUMIFS(tabela_registros[VALOR],tabela_registros[MÊS],$AE$1,tabela_registros[DIA],settotal3059718395107119131[[#Headers],[30]],tabela_registros[REGISTRO],DADOS!$N$4,tabela_registros[TIPO],DADOS!$P$3,tabela_registros[CATEGORIA],despesafixaconsolidadoset[[#This Row],[DESPESA FIXA]])</f>
        <v>0</v>
      </c>
      <c r="AI37" s="100">
        <f>SUMIFS(tabela_registros[VALOR],tabela_registros[MÊS],$AE$1,tabela_registros[DIA],settotal3059718395107119131[[#Headers],[31]],tabela_registros[REGISTRO],DADOS!$N$4,tabela_registros[TIPO],DADOS!$P$3,tabela_registros[CATEGORIA],despesafixaconsolidadoset[[#This Row],[DESPESA FIXA]])</f>
        <v>0</v>
      </c>
      <c r="AJ37" s="95">
        <f>SUM(despesafixaconsolidadoset[[#This Row],[1]:[31]])</f>
        <v>0</v>
      </c>
      <c r="AK37" s="28"/>
    </row>
    <row r="38" spans="2:37" ht="18" customHeight="1" thickTop="1" thickBot="1" x14ac:dyDescent="0.3">
      <c r="B38" s="28"/>
      <c r="C38" s="27" t="str">
        <f>DADOS!$R$4</f>
        <v>🐶 ANIMAIS DE ESTIMAÇÃO</v>
      </c>
      <c r="D38" s="26" t="str">
        <f>IF(despesafixaconsolidadoset[[#This Row],[TOTAL]]=0,"",IF(OR(despesafixaconsolidadoset[[#This Row],[TOTAL]]=LARGE($AJ$37:$AJ$50,1),despesafixaconsolidadoset[[#This Row],[TOTAL]]=LARGE($AJ$37:$AJ$50,2),despesafixaconsolidadoset[[#This Row],[TOTAL]]=LARGE($AJ$37:$AJ$50,3),despesafixaconsolidadoset[[#This Row],[TOTAL]]=LARGE($AJ$37:$AJ$50,4),despesafixaconsolidadoset[[#This Row],[TOTAL]]=LARGE($AJ$37:$AJ$50,5)),DADOS!$I$8,""))</f>
        <v/>
      </c>
      <c r="E38" s="96">
        <f>SUMIFS(tabela_registros[VALOR],tabela_registros[MÊS],$AE$1,tabela_registros[DIA],settotal3059718395107119131[[#Headers],[1]],tabela_registros[REGISTRO],DADOS!$N$4,tabela_registros[TIPO],DADOS!$P$3,tabela_registros[CATEGORIA],despesafixaconsolidadoset[[#This Row],[DESPESA FIXA]])</f>
        <v>0</v>
      </c>
      <c r="F38" s="91">
        <f>SUMIFS(tabela_registros[VALOR],tabela_registros[MÊS],$AE$1,tabela_registros[DIA],settotal3059718395107119131[[#Headers],[2]],tabela_registros[REGISTRO],DADOS!$N$4,tabela_registros[TIPO],DADOS!$P$3,tabela_registros[CATEGORIA],despesafixaconsolidadoset[[#This Row],[DESPESA FIXA]])</f>
        <v>0</v>
      </c>
      <c r="G38" s="91">
        <f>SUMIFS(tabela_registros[VALOR],tabela_registros[MÊS],$AE$1,tabela_registros[DIA],settotal3059718395107119131[[#Headers],[3]],tabela_registros[REGISTRO],DADOS!$N$4,tabela_registros[TIPO],DADOS!$P$3,tabela_registros[CATEGORIA],despesafixaconsolidadoset[[#This Row],[DESPESA FIXA]])</f>
        <v>0</v>
      </c>
      <c r="H38" s="91">
        <f>SUMIFS(tabela_registros[VALOR],tabela_registros[MÊS],$AE$1,tabela_registros[DIA],settotal3059718395107119131[[#Headers],[4]],tabela_registros[REGISTRO],DADOS!$N$4,tabela_registros[TIPO],DADOS!$P$3,tabela_registros[CATEGORIA],despesafixaconsolidadoset[[#This Row],[DESPESA FIXA]])</f>
        <v>0</v>
      </c>
      <c r="I38" s="91">
        <f>SUMIFS(tabela_registros[VALOR],tabela_registros[MÊS],$AE$1,tabela_registros[DIA],settotal3059718395107119131[[#Headers],[5]],tabela_registros[REGISTRO],DADOS!$N$4,tabela_registros[TIPO],DADOS!$P$3,tabela_registros[CATEGORIA],despesafixaconsolidadoset[[#This Row],[DESPESA FIXA]])</f>
        <v>0</v>
      </c>
      <c r="J38" s="91">
        <f>SUMIFS(tabela_registros[VALOR],tabela_registros[MÊS],$AE$1,tabela_registros[DIA],settotal3059718395107119131[[#Headers],[6]],tabela_registros[REGISTRO],DADOS!$N$4,tabela_registros[TIPO],DADOS!$P$3,tabela_registros[CATEGORIA],despesafixaconsolidadoset[[#This Row],[DESPESA FIXA]])</f>
        <v>0</v>
      </c>
      <c r="K38" s="91">
        <f>SUMIFS(tabela_registros[VALOR],tabela_registros[MÊS],$AE$1,tabela_registros[DIA],settotal3059718395107119131[[#Headers],[7]],tabela_registros[REGISTRO],DADOS!$N$4,tabela_registros[TIPO],DADOS!$P$3,tabela_registros[CATEGORIA],despesafixaconsolidadoset[[#This Row],[DESPESA FIXA]])</f>
        <v>0</v>
      </c>
      <c r="L38" s="91">
        <f>SUMIFS(tabela_registros[VALOR],tabela_registros[MÊS],$AE$1,tabela_registros[DIA],settotal3059718395107119131[[#Headers],[8]],tabela_registros[REGISTRO],DADOS!$N$4,tabela_registros[TIPO],DADOS!$P$3,tabela_registros[CATEGORIA],despesafixaconsolidadoset[[#This Row],[DESPESA FIXA]])</f>
        <v>0</v>
      </c>
      <c r="M38" s="91">
        <f>SUMIFS(tabela_registros[VALOR],tabela_registros[MÊS],$AE$1,tabela_registros[DIA],settotal3059718395107119131[[#Headers],[9]],tabela_registros[REGISTRO],DADOS!$N$4,tabela_registros[TIPO],DADOS!$P$3,tabela_registros[CATEGORIA],despesafixaconsolidadoset[[#This Row],[DESPESA FIXA]])</f>
        <v>0</v>
      </c>
      <c r="N38" s="91">
        <f>SUMIFS(tabela_registros[VALOR],tabela_registros[MÊS],$AE$1,tabela_registros[DIA],settotal3059718395107119131[[#Headers],[10]],tabela_registros[REGISTRO],DADOS!$N$4,tabela_registros[TIPO],DADOS!$P$3,tabela_registros[CATEGORIA],despesafixaconsolidadoset[[#This Row],[DESPESA FIXA]])</f>
        <v>0</v>
      </c>
      <c r="O38" s="91">
        <f>SUMIFS(tabela_registros[VALOR],tabela_registros[MÊS],$AE$1,tabela_registros[DIA],settotal3059718395107119131[[#Headers],[11]],tabela_registros[REGISTRO],DADOS!$N$4,tabela_registros[TIPO],DADOS!$P$3,tabela_registros[CATEGORIA],despesafixaconsolidadoset[[#This Row],[DESPESA FIXA]])</f>
        <v>0</v>
      </c>
      <c r="P38" s="91">
        <f>SUMIFS(tabela_registros[VALOR],tabela_registros[MÊS],$AE$1,tabela_registros[DIA],settotal3059718395107119131[[#Headers],[12]],tabela_registros[REGISTRO],DADOS!$N$4,tabela_registros[TIPO],DADOS!$P$3,tabela_registros[CATEGORIA],despesafixaconsolidadoset[[#This Row],[DESPESA FIXA]])</f>
        <v>0</v>
      </c>
      <c r="Q38" s="91">
        <f>SUMIFS(tabela_registros[VALOR],tabela_registros[MÊS],$AE$1,tabela_registros[DIA],settotal3059718395107119131[[#Headers],[13]],tabela_registros[REGISTRO],DADOS!$N$4,tabela_registros[TIPO],DADOS!$P$3,tabela_registros[CATEGORIA],despesafixaconsolidadoset[[#This Row],[DESPESA FIXA]])</f>
        <v>0</v>
      </c>
      <c r="R38" s="91">
        <f>SUMIFS(tabela_registros[VALOR],tabela_registros[MÊS],$AE$1,tabela_registros[DIA],settotal3059718395107119131[[#Headers],[14]],tabela_registros[REGISTRO],DADOS!$N$4,tabela_registros[TIPO],DADOS!$P$3,tabela_registros[CATEGORIA],despesafixaconsolidadoset[[#This Row],[DESPESA FIXA]])</f>
        <v>0</v>
      </c>
      <c r="S38" s="91">
        <f>SUMIFS(tabela_registros[VALOR],tabela_registros[MÊS],$AE$1,tabela_registros[DIA],settotal3059718395107119131[[#Headers],[15]],tabela_registros[REGISTRO],DADOS!$N$4,tabela_registros[TIPO],DADOS!$P$3,tabela_registros[CATEGORIA],despesafixaconsolidadoset[[#This Row],[DESPESA FIXA]])</f>
        <v>0</v>
      </c>
      <c r="T38" s="91">
        <f>SUMIFS(tabela_registros[VALOR],tabela_registros[MÊS],$AE$1,tabela_registros[DIA],settotal3059718395107119131[[#Headers],[16]],tabela_registros[REGISTRO],DADOS!$N$4,tabela_registros[TIPO],DADOS!$P$3,tabela_registros[CATEGORIA],despesafixaconsolidadoset[[#This Row],[DESPESA FIXA]])</f>
        <v>0</v>
      </c>
      <c r="U38" s="91">
        <f>SUMIFS(tabela_registros[VALOR],tabela_registros[MÊS],$AE$1,tabela_registros[DIA],settotal3059718395107119131[[#Headers],[17]],tabela_registros[REGISTRO],DADOS!$N$4,tabela_registros[TIPO],DADOS!$P$3,tabela_registros[CATEGORIA],despesafixaconsolidadoset[[#This Row],[DESPESA FIXA]])</f>
        <v>0</v>
      </c>
      <c r="V38" s="91">
        <f>SUMIFS(tabela_registros[VALOR],tabela_registros[MÊS],$AE$1,tabela_registros[DIA],settotal3059718395107119131[[#Headers],[18]],tabela_registros[REGISTRO],DADOS!$N$4,tabela_registros[TIPO],DADOS!$P$3,tabela_registros[CATEGORIA],despesafixaconsolidadoset[[#This Row],[DESPESA FIXA]])</f>
        <v>0</v>
      </c>
      <c r="W38" s="91">
        <f>SUMIFS(tabela_registros[VALOR],tabela_registros[MÊS],$AE$1,tabela_registros[DIA],settotal3059718395107119131[[#Headers],[19]],tabela_registros[REGISTRO],DADOS!$N$4,tabela_registros[TIPO],DADOS!$P$3,tabela_registros[CATEGORIA],despesafixaconsolidadoset[[#This Row],[DESPESA FIXA]])</f>
        <v>0</v>
      </c>
      <c r="X38" s="91">
        <f>SUMIFS(tabela_registros[VALOR],tabela_registros[MÊS],$AE$1,tabela_registros[DIA],settotal3059718395107119131[[#Headers],[20]],tabela_registros[REGISTRO],DADOS!$N$4,tabela_registros[TIPO],DADOS!$P$3,tabela_registros[CATEGORIA],despesafixaconsolidadoset[[#This Row],[DESPESA FIXA]])</f>
        <v>0</v>
      </c>
      <c r="Y38" s="91">
        <f>SUMIFS(tabela_registros[VALOR],tabela_registros[MÊS],$AE$1,tabela_registros[DIA],settotal3059718395107119131[[#Headers],[21]],tabela_registros[REGISTRO],DADOS!$N$4,tabela_registros[TIPO],DADOS!$P$3,tabela_registros[CATEGORIA],despesafixaconsolidadoset[[#This Row],[DESPESA FIXA]])</f>
        <v>0</v>
      </c>
      <c r="Z38" s="91">
        <f>SUMIFS(tabela_registros[VALOR],tabela_registros[MÊS],$AE$1,tabela_registros[DIA],settotal3059718395107119131[[#Headers],[22]],tabela_registros[REGISTRO],DADOS!$N$4,tabela_registros[TIPO],DADOS!$P$3,tabela_registros[CATEGORIA],despesafixaconsolidadoset[[#This Row],[DESPESA FIXA]])</f>
        <v>0</v>
      </c>
      <c r="AA38" s="91">
        <f>SUMIFS(tabela_registros[VALOR],tabela_registros[MÊS],$AE$1,tabela_registros[DIA],settotal3059718395107119131[[#Headers],[23]],tabela_registros[REGISTRO],DADOS!$N$4,tabela_registros[TIPO],DADOS!$P$3,tabela_registros[CATEGORIA],despesafixaconsolidadoset[[#This Row],[DESPESA FIXA]])</f>
        <v>0</v>
      </c>
      <c r="AB38" s="91">
        <f>SUMIFS(tabela_registros[VALOR],tabela_registros[MÊS],$AE$1,tabela_registros[DIA],settotal3059718395107119131[[#Headers],[24]],tabela_registros[REGISTRO],DADOS!$N$4,tabela_registros[TIPO],DADOS!$P$3,tabela_registros[CATEGORIA],despesafixaconsolidadoset[[#This Row],[DESPESA FIXA]])</f>
        <v>0</v>
      </c>
      <c r="AC38" s="91">
        <f>SUMIFS(tabela_registros[VALOR],tabela_registros[MÊS],$AE$1,tabela_registros[DIA],settotal3059718395107119131[[#Headers],[25]],tabela_registros[REGISTRO],DADOS!$N$4,tabela_registros[TIPO],DADOS!$P$3,tabela_registros[CATEGORIA],despesafixaconsolidadoset[[#This Row],[DESPESA FIXA]])</f>
        <v>0</v>
      </c>
      <c r="AD38" s="91">
        <f>SUMIFS(tabela_registros[VALOR],tabela_registros[MÊS],$AE$1,tabela_registros[DIA],settotal3059718395107119131[[#Headers],[26]],tabela_registros[REGISTRO],DADOS!$N$4,tabela_registros[TIPO],DADOS!$P$3,tabela_registros[CATEGORIA],despesafixaconsolidadoset[[#This Row],[DESPESA FIXA]])</f>
        <v>0</v>
      </c>
      <c r="AE38" s="91">
        <f>SUMIFS(tabela_registros[VALOR],tabela_registros[MÊS],$AE$1,tabela_registros[DIA],settotal3059718395107119131[[#Headers],[27]],tabela_registros[REGISTRO],DADOS!$N$4,tabela_registros[TIPO],DADOS!$P$3,tabela_registros[CATEGORIA],despesafixaconsolidadoset[[#This Row],[DESPESA FIXA]])</f>
        <v>0</v>
      </c>
      <c r="AF38" s="91">
        <f>SUMIFS(tabela_registros[VALOR],tabela_registros[MÊS],$AE$1,tabela_registros[DIA],settotal3059718395107119131[[#Headers],[28]],tabela_registros[REGISTRO],DADOS!$N$4,tabela_registros[TIPO],DADOS!$P$3,tabela_registros[CATEGORIA],despesafixaconsolidadoset[[#This Row],[DESPESA FIXA]])</f>
        <v>0</v>
      </c>
      <c r="AG38" s="91">
        <f>SUMIFS(tabela_registros[VALOR],tabela_registros[MÊS],$AE$1,tabela_registros[DIA],settotal3059718395107119131[[#Headers],[29]],tabela_registros[REGISTRO],DADOS!$N$4,tabela_registros[TIPO],DADOS!$P$3,tabela_registros[CATEGORIA],despesafixaconsolidadoset[[#This Row],[DESPESA FIXA]])</f>
        <v>0</v>
      </c>
      <c r="AH38" s="91">
        <f>SUMIFS(tabela_registros[VALOR],tabela_registros[MÊS],$AE$1,tabela_registros[DIA],settotal3059718395107119131[[#Headers],[30]],tabela_registros[REGISTRO],DADOS!$N$4,tabela_registros[TIPO],DADOS!$P$3,tabela_registros[CATEGORIA],despesafixaconsolidadoset[[#This Row],[DESPESA FIXA]])</f>
        <v>0</v>
      </c>
      <c r="AI38" s="101">
        <f>SUMIFS(tabela_registros[VALOR],tabela_registros[MÊS],$AE$1,tabela_registros[DIA],settotal3059718395107119131[[#Headers],[31]],tabela_registros[REGISTRO],DADOS!$N$4,tabela_registros[TIPO],DADOS!$P$3,tabela_registros[CATEGORIA],despesafixaconsolidadoset[[#This Row],[DESPESA FIXA]])</f>
        <v>0</v>
      </c>
      <c r="AJ38" s="97">
        <f>SUM(despesafixaconsolidadoset[[#This Row],[1]:[31]])</f>
        <v>0</v>
      </c>
      <c r="AK38" s="28"/>
    </row>
    <row r="39" spans="2:37" ht="18" customHeight="1" thickTop="1" thickBot="1" x14ac:dyDescent="0.3">
      <c r="B39" s="28"/>
      <c r="C39" s="27" t="str">
        <f>DADOS!$R$5</f>
        <v>🔖 ASSINATURAS E SERVIÇOS</v>
      </c>
      <c r="D39" s="26" t="str">
        <f>IF(despesafixaconsolidadoset[[#This Row],[TOTAL]]=0,"",IF(OR(despesafixaconsolidadoset[[#This Row],[TOTAL]]=LARGE($AJ$37:$AJ$50,1),despesafixaconsolidadoset[[#This Row],[TOTAL]]=LARGE($AJ$37:$AJ$50,2),despesafixaconsolidadoset[[#This Row],[TOTAL]]=LARGE($AJ$37:$AJ$50,3),despesafixaconsolidadoset[[#This Row],[TOTAL]]=LARGE($AJ$37:$AJ$50,4),despesafixaconsolidadoset[[#This Row],[TOTAL]]=LARGE($AJ$37:$AJ$50,5)),DADOS!$I$8,""))</f>
        <v/>
      </c>
      <c r="E39" s="96">
        <f>SUMIFS(tabela_registros[VALOR],tabela_registros[MÊS],$AE$1,tabela_registros[DIA],settotal3059718395107119131[[#Headers],[1]],tabela_registros[REGISTRO],DADOS!$N$4,tabela_registros[TIPO],DADOS!$P$3,tabela_registros[CATEGORIA],despesafixaconsolidadoset[[#This Row],[DESPESA FIXA]])</f>
        <v>0</v>
      </c>
      <c r="F39" s="91">
        <f>SUMIFS(tabela_registros[VALOR],tabela_registros[MÊS],$AE$1,tabela_registros[DIA],settotal3059718395107119131[[#Headers],[2]],tabela_registros[REGISTRO],DADOS!$N$4,tabela_registros[TIPO],DADOS!$P$3,tabela_registros[CATEGORIA],despesafixaconsolidadoset[[#This Row],[DESPESA FIXA]])</f>
        <v>0</v>
      </c>
      <c r="G39" s="91">
        <f>SUMIFS(tabela_registros[VALOR],tabela_registros[MÊS],$AE$1,tabela_registros[DIA],settotal3059718395107119131[[#Headers],[3]],tabela_registros[REGISTRO],DADOS!$N$4,tabela_registros[TIPO],DADOS!$P$3,tabela_registros[CATEGORIA],despesafixaconsolidadoset[[#This Row],[DESPESA FIXA]])</f>
        <v>0</v>
      </c>
      <c r="H39" s="91">
        <f>SUMIFS(tabela_registros[VALOR],tabela_registros[MÊS],$AE$1,tabela_registros[DIA],settotal3059718395107119131[[#Headers],[4]],tabela_registros[REGISTRO],DADOS!$N$4,tabela_registros[TIPO],DADOS!$P$3,tabela_registros[CATEGORIA],despesafixaconsolidadoset[[#This Row],[DESPESA FIXA]])</f>
        <v>0</v>
      </c>
      <c r="I39" s="91">
        <f>SUMIFS(tabela_registros[VALOR],tabela_registros[MÊS],$AE$1,tabela_registros[DIA],settotal3059718395107119131[[#Headers],[5]],tabela_registros[REGISTRO],DADOS!$N$4,tabela_registros[TIPO],DADOS!$P$3,tabela_registros[CATEGORIA],despesafixaconsolidadoset[[#This Row],[DESPESA FIXA]])</f>
        <v>0</v>
      </c>
      <c r="J39" s="91">
        <f>SUMIFS(tabela_registros[VALOR],tabela_registros[MÊS],$AE$1,tabela_registros[DIA],settotal3059718395107119131[[#Headers],[6]],tabela_registros[REGISTRO],DADOS!$N$4,tabela_registros[TIPO],DADOS!$P$3,tabela_registros[CATEGORIA],despesafixaconsolidadoset[[#This Row],[DESPESA FIXA]])</f>
        <v>0</v>
      </c>
      <c r="K39" s="91">
        <f>SUMIFS(tabela_registros[VALOR],tabela_registros[MÊS],$AE$1,tabela_registros[DIA],settotal3059718395107119131[[#Headers],[7]],tabela_registros[REGISTRO],DADOS!$N$4,tabela_registros[TIPO],DADOS!$P$3,tabela_registros[CATEGORIA],despesafixaconsolidadoset[[#This Row],[DESPESA FIXA]])</f>
        <v>0</v>
      </c>
      <c r="L39" s="91">
        <f>SUMIFS(tabela_registros[VALOR],tabela_registros[MÊS],$AE$1,tabela_registros[DIA],settotal3059718395107119131[[#Headers],[8]],tabela_registros[REGISTRO],DADOS!$N$4,tabela_registros[TIPO],DADOS!$P$3,tabela_registros[CATEGORIA],despesafixaconsolidadoset[[#This Row],[DESPESA FIXA]])</f>
        <v>0</v>
      </c>
      <c r="M39" s="91">
        <f>SUMIFS(tabela_registros[VALOR],tabela_registros[MÊS],$AE$1,tabela_registros[DIA],settotal3059718395107119131[[#Headers],[9]],tabela_registros[REGISTRO],DADOS!$N$4,tabela_registros[TIPO],DADOS!$P$3,tabela_registros[CATEGORIA],despesafixaconsolidadoset[[#This Row],[DESPESA FIXA]])</f>
        <v>0</v>
      </c>
      <c r="N39" s="91">
        <f>SUMIFS(tabela_registros[VALOR],tabela_registros[MÊS],$AE$1,tabela_registros[DIA],settotal3059718395107119131[[#Headers],[10]],tabela_registros[REGISTRO],DADOS!$N$4,tabela_registros[TIPO],DADOS!$P$3,tabela_registros[CATEGORIA],despesafixaconsolidadoset[[#This Row],[DESPESA FIXA]])</f>
        <v>0</v>
      </c>
      <c r="O39" s="91">
        <f>SUMIFS(tabela_registros[VALOR],tabela_registros[MÊS],$AE$1,tabela_registros[DIA],settotal3059718395107119131[[#Headers],[11]],tabela_registros[REGISTRO],DADOS!$N$4,tabela_registros[TIPO],DADOS!$P$3,tabela_registros[CATEGORIA],despesafixaconsolidadoset[[#This Row],[DESPESA FIXA]])</f>
        <v>0</v>
      </c>
      <c r="P39" s="91">
        <f>SUMIFS(tabela_registros[VALOR],tabela_registros[MÊS],$AE$1,tabela_registros[DIA],settotal3059718395107119131[[#Headers],[12]],tabela_registros[REGISTRO],DADOS!$N$4,tabela_registros[TIPO],DADOS!$P$3,tabela_registros[CATEGORIA],despesafixaconsolidadoset[[#This Row],[DESPESA FIXA]])</f>
        <v>0</v>
      </c>
      <c r="Q39" s="91">
        <f>SUMIFS(tabela_registros[VALOR],tabela_registros[MÊS],$AE$1,tabela_registros[DIA],settotal3059718395107119131[[#Headers],[13]],tabela_registros[REGISTRO],DADOS!$N$4,tabela_registros[TIPO],DADOS!$P$3,tabela_registros[CATEGORIA],despesafixaconsolidadoset[[#This Row],[DESPESA FIXA]])</f>
        <v>0</v>
      </c>
      <c r="R39" s="91">
        <f>SUMIFS(tabela_registros[VALOR],tabela_registros[MÊS],$AE$1,tabela_registros[DIA],settotal3059718395107119131[[#Headers],[14]],tabela_registros[REGISTRO],DADOS!$N$4,tabela_registros[TIPO],DADOS!$P$3,tabela_registros[CATEGORIA],despesafixaconsolidadoset[[#This Row],[DESPESA FIXA]])</f>
        <v>0</v>
      </c>
      <c r="S39" s="91">
        <f>SUMIFS(tabela_registros[VALOR],tabela_registros[MÊS],$AE$1,tabela_registros[DIA],settotal3059718395107119131[[#Headers],[15]],tabela_registros[REGISTRO],DADOS!$N$4,tabela_registros[TIPO],DADOS!$P$3,tabela_registros[CATEGORIA],despesafixaconsolidadoset[[#This Row],[DESPESA FIXA]])</f>
        <v>0</v>
      </c>
      <c r="T39" s="91">
        <f>SUMIFS(tabela_registros[VALOR],tabela_registros[MÊS],$AE$1,tabela_registros[DIA],settotal3059718395107119131[[#Headers],[16]],tabela_registros[REGISTRO],DADOS!$N$4,tabela_registros[TIPO],DADOS!$P$3,tabela_registros[CATEGORIA],despesafixaconsolidadoset[[#This Row],[DESPESA FIXA]])</f>
        <v>0</v>
      </c>
      <c r="U39" s="91">
        <f>SUMIFS(tabela_registros[VALOR],tabela_registros[MÊS],$AE$1,tabela_registros[DIA],settotal3059718395107119131[[#Headers],[17]],tabela_registros[REGISTRO],DADOS!$N$4,tabela_registros[TIPO],DADOS!$P$3,tabela_registros[CATEGORIA],despesafixaconsolidadoset[[#This Row],[DESPESA FIXA]])</f>
        <v>0</v>
      </c>
      <c r="V39" s="91">
        <f>SUMIFS(tabela_registros[VALOR],tabela_registros[MÊS],$AE$1,tabela_registros[DIA],settotal3059718395107119131[[#Headers],[18]],tabela_registros[REGISTRO],DADOS!$N$4,tabela_registros[TIPO],DADOS!$P$3,tabela_registros[CATEGORIA],despesafixaconsolidadoset[[#This Row],[DESPESA FIXA]])</f>
        <v>0</v>
      </c>
      <c r="W39" s="91">
        <f>SUMIFS(tabela_registros[VALOR],tabela_registros[MÊS],$AE$1,tabela_registros[DIA],settotal3059718395107119131[[#Headers],[19]],tabela_registros[REGISTRO],DADOS!$N$4,tabela_registros[TIPO],DADOS!$P$3,tabela_registros[CATEGORIA],despesafixaconsolidadoset[[#This Row],[DESPESA FIXA]])</f>
        <v>0</v>
      </c>
      <c r="X39" s="91">
        <f>SUMIFS(tabela_registros[VALOR],tabela_registros[MÊS],$AE$1,tabela_registros[DIA],settotal3059718395107119131[[#Headers],[20]],tabela_registros[REGISTRO],DADOS!$N$4,tabela_registros[TIPO],DADOS!$P$3,tabela_registros[CATEGORIA],despesafixaconsolidadoset[[#This Row],[DESPESA FIXA]])</f>
        <v>0</v>
      </c>
      <c r="Y39" s="91">
        <f>SUMIFS(tabela_registros[VALOR],tabela_registros[MÊS],$AE$1,tabela_registros[DIA],settotal3059718395107119131[[#Headers],[21]],tabela_registros[REGISTRO],DADOS!$N$4,tabela_registros[TIPO],DADOS!$P$3,tabela_registros[CATEGORIA],despesafixaconsolidadoset[[#This Row],[DESPESA FIXA]])</f>
        <v>0</v>
      </c>
      <c r="Z39" s="91">
        <f>SUMIFS(tabela_registros[VALOR],tabela_registros[MÊS],$AE$1,tabela_registros[DIA],settotal3059718395107119131[[#Headers],[22]],tabela_registros[REGISTRO],DADOS!$N$4,tabela_registros[TIPO],DADOS!$P$3,tabela_registros[CATEGORIA],despesafixaconsolidadoset[[#This Row],[DESPESA FIXA]])</f>
        <v>0</v>
      </c>
      <c r="AA39" s="91">
        <f>SUMIFS(tabela_registros[VALOR],tabela_registros[MÊS],$AE$1,tabela_registros[DIA],settotal3059718395107119131[[#Headers],[23]],tabela_registros[REGISTRO],DADOS!$N$4,tabela_registros[TIPO],DADOS!$P$3,tabela_registros[CATEGORIA],despesafixaconsolidadoset[[#This Row],[DESPESA FIXA]])</f>
        <v>0</v>
      </c>
      <c r="AB39" s="91">
        <f>SUMIFS(tabela_registros[VALOR],tabela_registros[MÊS],$AE$1,tabela_registros[DIA],settotal3059718395107119131[[#Headers],[24]],tabela_registros[REGISTRO],DADOS!$N$4,tabela_registros[TIPO],DADOS!$P$3,tabela_registros[CATEGORIA],despesafixaconsolidadoset[[#This Row],[DESPESA FIXA]])</f>
        <v>0</v>
      </c>
      <c r="AC39" s="91">
        <f>SUMIFS(tabela_registros[VALOR],tabela_registros[MÊS],$AE$1,tabela_registros[DIA],settotal3059718395107119131[[#Headers],[25]],tabela_registros[REGISTRO],DADOS!$N$4,tabela_registros[TIPO],DADOS!$P$3,tabela_registros[CATEGORIA],despesafixaconsolidadoset[[#This Row],[DESPESA FIXA]])</f>
        <v>0</v>
      </c>
      <c r="AD39" s="91">
        <f>SUMIFS(tabela_registros[VALOR],tabela_registros[MÊS],$AE$1,tabela_registros[DIA],settotal3059718395107119131[[#Headers],[26]],tabela_registros[REGISTRO],DADOS!$N$4,tabela_registros[TIPO],DADOS!$P$3,tabela_registros[CATEGORIA],despesafixaconsolidadoset[[#This Row],[DESPESA FIXA]])</f>
        <v>0</v>
      </c>
      <c r="AE39" s="91">
        <f>SUMIFS(tabela_registros[VALOR],tabela_registros[MÊS],$AE$1,tabela_registros[DIA],settotal3059718395107119131[[#Headers],[27]],tabela_registros[REGISTRO],DADOS!$N$4,tabela_registros[TIPO],DADOS!$P$3,tabela_registros[CATEGORIA],despesafixaconsolidadoset[[#This Row],[DESPESA FIXA]])</f>
        <v>0</v>
      </c>
      <c r="AF39" s="91">
        <f>SUMIFS(tabela_registros[VALOR],tabela_registros[MÊS],$AE$1,tabela_registros[DIA],settotal3059718395107119131[[#Headers],[28]],tabela_registros[REGISTRO],DADOS!$N$4,tabela_registros[TIPO],DADOS!$P$3,tabela_registros[CATEGORIA],despesafixaconsolidadoset[[#This Row],[DESPESA FIXA]])</f>
        <v>0</v>
      </c>
      <c r="AG39" s="91">
        <f>SUMIFS(tabela_registros[VALOR],tabela_registros[MÊS],$AE$1,tabela_registros[DIA],settotal3059718395107119131[[#Headers],[29]],tabela_registros[REGISTRO],DADOS!$N$4,tabela_registros[TIPO],DADOS!$P$3,tabela_registros[CATEGORIA],despesafixaconsolidadoset[[#This Row],[DESPESA FIXA]])</f>
        <v>0</v>
      </c>
      <c r="AH39" s="91">
        <f>SUMIFS(tabela_registros[VALOR],tabela_registros[MÊS],$AE$1,tabela_registros[DIA],settotal3059718395107119131[[#Headers],[30]],tabela_registros[REGISTRO],DADOS!$N$4,tabela_registros[TIPO],DADOS!$P$3,tabela_registros[CATEGORIA],despesafixaconsolidadoset[[#This Row],[DESPESA FIXA]])</f>
        <v>0</v>
      </c>
      <c r="AI39" s="101">
        <f>SUMIFS(tabela_registros[VALOR],tabela_registros[MÊS],$AE$1,tabela_registros[DIA],settotal3059718395107119131[[#Headers],[31]],tabela_registros[REGISTRO],DADOS!$N$4,tabela_registros[TIPO],DADOS!$P$3,tabela_registros[CATEGORIA],despesafixaconsolidadoset[[#This Row],[DESPESA FIXA]])</f>
        <v>0</v>
      </c>
      <c r="AJ39" s="97">
        <f>SUM(despesafixaconsolidadoset[[#This Row],[1]:[31]])</f>
        <v>0</v>
      </c>
      <c r="AK39" s="28"/>
    </row>
    <row r="40" spans="2:37" ht="18" customHeight="1" thickTop="1" thickBot="1" x14ac:dyDescent="0.3">
      <c r="B40" s="28"/>
      <c r="C40" s="27" t="str">
        <f>DADOS!$R$6</f>
        <v>📱 CELULAR</v>
      </c>
      <c r="D40" s="26" t="str">
        <f>IF(despesafixaconsolidadoset[[#This Row],[TOTAL]]=0,"",IF(OR(despesafixaconsolidadoset[[#This Row],[TOTAL]]=LARGE($AJ$37:$AJ$50,1),despesafixaconsolidadoset[[#This Row],[TOTAL]]=LARGE($AJ$37:$AJ$50,2),despesafixaconsolidadoset[[#This Row],[TOTAL]]=LARGE($AJ$37:$AJ$50,3),despesafixaconsolidadoset[[#This Row],[TOTAL]]=LARGE($AJ$37:$AJ$50,4),despesafixaconsolidadoset[[#This Row],[TOTAL]]=LARGE($AJ$37:$AJ$50,5)),DADOS!$I$8,""))</f>
        <v/>
      </c>
      <c r="E40" s="96">
        <f>SUMIFS(tabela_registros[VALOR],tabela_registros[MÊS],$AE$1,tabela_registros[DIA],settotal3059718395107119131[[#Headers],[1]],tabela_registros[REGISTRO],DADOS!$N$4,tabela_registros[TIPO],DADOS!$P$3,tabela_registros[CATEGORIA],despesafixaconsolidadoset[[#This Row],[DESPESA FIXA]])</f>
        <v>0</v>
      </c>
      <c r="F40" s="91">
        <f>SUMIFS(tabela_registros[VALOR],tabela_registros[MÊS],$AE$1,tabela_registros[DIA],settotal3059718395107119131[[#Headers],[2]],tabela_registros[REGISTRO],DADOS!$N$4,tabela_registros[TIPO],DADOS!$P$3,tabela_registros[CATEGORIA],despesafixaconsolidadoset[[#This Row],[DESPESA FIXA]])</f>
        <v>0</v>
      </c>
      <c r="G40" s="91">
        <f>SUMIFS(tabela_registros[VALOR],tabela_registros[MÊS],$AE$1,tabela_registros[DIA],settotal3059718395107119131[[#Headers],[3]],tabela_registros[REGISTRO],DADOS!$N$4,tabela_registros[TIPO],DADOS!$P$3,tabela_registros[CATEGORIA],despesafixaconsolidadoset[[#This Row],[DESPESA FIXA]])</f>
        <v>0</v>
      </c>
      <c r="H40" s="91">
        <f>SUMIFS(tabela_registros[VALOR],tabela_registros[MÊS],$AE$1,tabela_registros[DIA],settotal3059718395107119131[[#Headers],[4]],tabela_registros[REGISTRO],DADOS!$N$4,tabela_registros[TIPO],DADOS!$P$3,tabela_registros[CATEGORIA],despesafixaconsolidadoset[[#This Row],[DESPESA FIXA]])</f>
        <v>0</v>
      </c>
      <c r="I40" s="91">
        <f>SUMIFS(tabela_registros[VALOR],tabela_registros[MÊS],$AE$1,tabela_registros[DIA],settotal3059718395107119131[[#Headers],[5]],tabela_registros[REGISTRO],DADOS!$N$4,tabela_registros[TIPO],DADOS!$P$3,tabela_registros[CATEGORIA],despesafixaconsolidadoset[[#This Row],[DESPESA FIXA]])</f>
        <v>0</v>
      </c>
      <c r="J40" s="91">
        <f>SUMIFS(tabela_registros[VALOR],tabela_registros[MÊS],$AE$1,tabela_registros[DIA],settotal3059718395107119131[[#Headers],[6]],tabela_registros[REGISTRO],DADOS!$N$4,tabela_registros[TIPO],DADOS!$P$3,tabela_registros[CATEGORIA],despesafixaconsolidadoset[[#This Row],[DESPESA FIXA]])</f>
        <v>0</v>
      </c>
      <c r="K40" s="91">
        <f>SUMIFS(tabela_registros[VALOR],tabela_registros[MÊS],$AE$1,tabela_registros[DIA],settotal3059718395107119131[[#Headers],[7]],tabela_registros[REGISTRO],DADOS!$N$4,tabela_registros[TIPO],DADOS!$P$3,tabela_registros[CATEGORIA],despesafixaconsolidadoset[[#This Row],[DESPESA FIXA]])</f>
        <v>0</v>
      </c>
      <c r="L40" s="91">
        <f>SUMIFS(tabela_registros[VALOR],tabela_registros[MÊS],$AE$1,tabela_registros[DIA],settotal3059718395107119131[[#Headers],[8]],tabela_registros[REGISTRO],DADOS!$N$4,tabela_registros[TIPO],DADOS!$P$3,tabela_registros[CATEGORIA],despesafixaconsolidadoset[[#This Row],[DESPESA FIXA]])</f>
        <v>0</v>
      </c>
      <c r="M40" s="91">
        <f>SUMIFS(tabela_registros[VALOR],tabela_registros[MÊS],$AE$1,tabela_registros[DIA],settotal3059718395107119131[[#Headers],[9]],tabela_registros[REGISTRO],DADOS!$N$4,tabela_registros[TIPO],DADOS!$P$3,tabela_registros[CATEGORIA],despesafixaconsolidadoset[[#This Row],[DESPESA FIXA]])</f>
        <v>0</v>
      </c>
      <c r="N40" s="91">
        <f>SUMIFS(tabela_registros[VALOR],tabela_registros[MÊS],$AE$1,tabela_registros[DIA],settotal3059718395107119131[[#Headers],[10]],tabela_registros[REGISTRO],DADOS!$N$4,tabela_registros[TIPO],DADOS!$P$3,tabela_registros[CATEGORIA],despesafixaconsolidadoset[[#This Row],[DESPESA FIXA]])</f>
        <v>0</v>
      </c>
      <c r="O40" s="91">
        <f>SUMIFS(tabela_registros[VALOR],tabela_registros[MÊS],$AE$1,tabela_registros[DIA],settotal3059718395107119131[[#Headers],[11]],tabela_registros[REGISTRO],DADOS!$N$4,tabela_registros[TIPO],DADOS!$P$3,tabela_registros[CATEGORIA],despesafixaconsolidadoset[[#This Row],[DESPESA FIXA]])</f>
        <v>0</v>
      </c>
      <c r="P40" s="91">
        <f>SUMIFS(tabela_registros[VALOR],tabela_registros[MÊS],$AE$1,tabela_registros[DIA],settotal3059718395107119131[[#Headers],[12]],tabela_registros[REGISTRO],DADOS!$N$4,tabela_registros[TIPO],DADOS!$P$3,tabela_registros[CATEGORIA],despesafixaconsolidadoset[[#This Row],[DESPESA FIXA]])</f>
        <v>0</v>
      </c>
      <c r="Q40" s="91">
        <f>SUMIFS(tabela_registros[VALOR],tabela_registros[MÊS],$AE$1,tabela_registros[DIA],settotal3059718395107119131[[#Headers],[13]],tabela_registros[REGISTRO],DADOS!$N$4,tabela_registros[TIPO],DADOS!$P$3,tabela_registros[CATEGORIA],despesafixaconsolidadoset[[#This Row],[DESPESA FIXA]])</f>
        <v>0</v>
      </c>
      <c r="R40" s="91">
        <f>SUMIFS(tabela_registros[VALOR],tabela_registros[MÊS],$AE$1,tabela_registros[DIA],settotal3059718395107119131[[#Headers],[14]],tabela_registros[REGISTRO],DADOS!$N$4,tabela_registros[TIPO],DADOS!$P$3,tabela_registros[CATEGORIA],despesafixaconsolidadoset[[#This Row],[DESPESA FIXA]])</f>
        <v>0</v>
      </c>
      <c r="S40" s="91">
        <f>SUMIFS(tabela_registros[VALOR],tabela_registros[MÊS],$AE$1,tabela_registros[DIA],settotal3059718395107119131[[#Headers],[15]],tabela_registros[REGISTRO],DADOS!$N$4,tabela_registros[TIPO],DADOS!$P$3,tabela_registros[CATEGORIA],despesafixaconsolidadoset[[#This Row],[DESPESA FIXA]])</f>
        <v>0</v>
      </c>
      <c r="T40" s="91">
        <f>SUMIFS(tabela_registros[VALOR],tabela_registros[MÊS],$AE$1,tabela_registros[DIA],settotal3059718395107119131[[#Headers],[16]],tabela_registros[REGISTRO],DADOS!$N$4,tabela_registros[TIPO],DADOS!$P$3,tabela_registros[CATEGORIA],despesafixaconsolidadoset[[#This Row],[DESPESA FIXA]])</f>
        <v>0</v>
      </c>
      <c r="U40" s="91">
        <f>SUMIFS(tabela_registros[VALOR],tabela_registros[MÊS],$AE$1,tabela_registros[DIA],settotal3059718395107119131[[#Headers],[17]],tabela_registros[REGISTRO],DADOS!$N$4,tabela_registros[TIPO],DADOS!$P$3,tabela_registros[CATEGORIA],despesafixaconsolidadoset[[#This Row],[DESPESA FIXA]])</f>
        <v>0</v>
      </c>
      <c r="V40" s="91">
        <f>SUMIFS(tabela_registros[VALOR],tabela_registros[MÊS],$AE$1,tabela_registros[DIA],settotal3059718395107119131[[#Headers],[18]],tabela_registros[REGISTRO],DADOS!$N$4,tabela_registros[TIPO],DADOS!$P$3,tabela_registros[CATEGORIA],despesafixaconsolidadoset[[#This Row],[DESPESA FIXA]])</f>
        <v>0</v>
      </c>
      <c r="W40" s="91">
        <f>SUMIFS(tabela_registros[VALOR],tabela_registros[MÊS],$AE$1,tabela_registros[DIA],settotal3059718395107119131[[#Headers],[19]],tabela_registros[REGISTRO],DADOS!$N$4,tabela_registros[TIPO],DADOS!$P$3,tabela_registros[CATEGORIA],despesafixaconsolidadoset[[#This Row],[DESPESA FIXA]])</f>
        <v>0</v>
      </c>
      <c r="X40" s="91">
        <f>SUMIFS(tabela_registros[VALOR],tabela_registros[MÊS],$AE$1,tabela_registros[DIA],settotal3059718395107119131[[#Headers],[20]],tabela_registros[REGISTRO],DADOS!$N$4,tabela_registros[TIPO],DADOS!$P$3,tabela_registros[CATEGORIA],despesafixaconsolidadoset[[#This Row],[DESPESA FIXA]])</f>
        <v>0</v>
      </c>
      <c r="Y40" s="91">
        <f>SUMIFS(tabela_registros[VALOR],tabela_registros[MÊS],$AE$1,tabela_registros[DIA],settotal3059718395107119131[[#Headers],[21]],tabela_registros[REGISTRO],DADOS!$N$4,tabela_registros[TIPO],DADOS!$P$3,tabela_registros[CATEGORIA],despesafixaconsolidadoset[[#This Row],[DESPESA FIXA]])</f>
        <v>0</v>
      </c>
      <c r="Z40" s="91">
        <f>SUMIFS(tabela_registros[VALOR],tabela_registros[MÊS],$AE$1,tabela_registros[DIA],settotal3059718395107119131[[#Headers],[22]],tabela_registros[REGISTRO],DADOS!$N$4,tabela_registros[TIPO],DADOS!$P$3,tabela_registros[CATEGORIA],despesafixaconsolidadoset[[#This Row],[DESPESA FIXA]])</f>
        <v>0</v>
      </c>
      <c r="AA40" s="91">
        <f>SUMIFS(tabela_registros[VALOR],tabela_registros[MÊS],$AE$1,tabela_registros[DIA],settotal3059718395107119131[[#Headers],[23]],tabela_registros[REGISTRO],DADOS!$N$4,tabela_registros[TIPO],DADOS!$P$3,tabela_registros[CATEGORIA],despesafixaconsolidadoset[[#This Row],[DESPESA FIXA]])</f>
        <v>0</v>
      </c>
      <c r="AB40" s="91">
        <f>SUMIFS(tabela_registros[VALOR],tabela_registros[MÊS],$AE$1,tabela_registros[DIA],settotal3059718395107119131[[#Headers],[24]],tabela_registros[REGISTRO],DADOS!$N$4,tabela_registros[TIPO],DADOS!$P$3,tabela_registros[CATEGORIA],despesafixaconsolidadoset[[#This Row],[DESPESA FIXA]])</f>
        <v>0</v>
      </c>
      <c r="AC40" s="91">
        <f>SUMIFS(tabela_registros[VALOR],tabela_registros[MÊS],$AE$1,tabela_registros[DIA],settotal3059718395107119131[[#Headers],[25]],tabela_registros[REGISTRO],DADOS!$N$4,tabela_registros[TIPO],DADOS!$P$3,tabela_registros[CATEGORIA],despesafixaconsolidadoset[[#This Row],[DESPESA FIXA]])</f>
        <v>0</v>
      </c>
      <c r="AD40" s="91">
        <f>SUMIFS(tabela_registros[VALOR],tabela_registros[MÊS],$AE$1,tabela_registros[DIA],settotal3059718395107119131[[#Headers],[26]],tabela_registros[REGISTRO],DADOS!$N$4,tabela_registros[TIPO],DADOS!$P$3,tabela_registros[CATEGORIA],despesafixaconsolidadoset[[#This Row],[DESPESA FIXA]])</f>
        <v>0</v>
      </c>
      <c r="AE40" s="91">
        <f>SUMIFS(tabela_registros[VALOR],tabela_registros[MÊS],$AE$1,tabela_registros[DIA],settotal3059718395107119131[[#Headers],[27]],tabela_registros[REGISTRO],DADOS!$N$4,tabela_registros[TIPO],DADOS!$P$3,tabela_registros[CATEGORIA],despesafixaconsolidadoset[[#This Row],[DESPESA FIXA]])</f>
        <v>0</v>
      </c>
      <c r="AF40" s="91">
        <f>SUMIFS(tabela_registros[VALOR],tabela_registros[MÊS],$AE$1,tabela_registros[DIA],settotal3059718395107119131[[#Headers],[28]],tabela_registros[REGISTRO],DADOS!$N$4,tabela_registros[TIPO],DADOS!$P$3,tabela_registros[CATEGORIA],despesafixaconsolidadoset[[#This Row],[DESPESA FIXA]])</f>
        <v>0</v>
      </c>
      <c r="AG40" s="91">
        <f>SUMIFS(tabela_registros[VALOR],tabela_registros[MÊS],$AE$1,tabela_registros[DIA],settotal3059718395107119131[[#Headers],[29]],tabela_registros[REGISTRO],DADOS!$N$4,tabela_registros[TIPO],DADOS!$P$3,tabela_registros[CATEGORIA],despesafixaconsolidadoset[[#This Row],[DESPESA FIXA]])</f>
        <v>0</v>
      </c>
      <c r="AH40" s="91">
        <f>SUMIFS(tabela_registros[VALOR],tabela_registros[MÊS],$AE$1,tabela_registros[DIA],settotal3059718395107119131[[#Headers],[30]],tabela_registros[REGISTRO],DADOS!$N$4,tabela_registros[TIPO],DADOS!$P$3,tabela_registros[CATEGORIA],despesafixaconsolidadoset[[#This Row],[DESPESA FIXA]])</f>
        <v>0</v>
      </c>
      <c r="AI40" s="101">
        <f>SUMIFS(tabela_registros[VALOR],tabela_registros[MÊS],$AE$1,tabela_registros[DIA],settotal3059718395107119131[[#Headers],[31]],tabela_registros[REGISTRO],DADOS!$N$4,tabela_registros[TIPO],DADOS!$P$3,tabela_registros[CATEGORIA],despesafixaconsolidadoset[[#This Row],[DESPESA FIXA]])</f>
        <v>0</v>
      </c>
      <c r="AJ40" s="97">
        <f>SUM(despesafixaconsolidadoset[[#This Row],[1]:[31]])</f>
        <v>0</v>
      </c>
      <c r="AK40" s="28"/>
    </row>
    <row r="41" spans="2:37" ht="18" customHeight="1" thickTop="1" thickBot="1" x14ac:dyDescent="0.3">
      <c r="B41" s="28"/>
      <c r="C41" s="27" t="str">
        <f>DADOS!$R$7</f>
        <v>📖 EDUCAÇÃO</v>
      </c>
      <c r="D41" s="26" t="str">
        <f>IF(despesafixaconsolidadoset[[#This Row],[TOTAL]]=0,"",IF(OR(despesafixaconsolidadoset[[#This Row],[TOTAL]]=LARGE($AJ$37:$AJ$50,1),despesafixaconsolidadoset[[#This Row],[TOTAL]]=LARGE($AJ$37:$AJ$50,2),despesafixaconsolidadoset[[#This Row],[TOTAL]]=LARGE($AJ$37:$AJ$50,3),despesafixaconsolidadoset[[#This Row],[TOTAL]]=LARGE($AJ$37:$AJ$50,4),despesafixaconsolidadoset[[#This Row],[TOTAL]]=LARGE($AJ$37:$AJ$50,5)),DADOS!$I$8,""))</f>
        <v/>
      </c>
      <c r="E41" s="96">
        <f>SUMIFS(tabela_registros[VALOR],tabela_registros[MÊS],$AE$1,tabela_registros[DIA],settotal3059718395107119131[[#Headers],[1]],tabela_registros[REGISTRO],DADOS!$N$4,tabela_registros[TIPO],DADOS!$P$3,tabela_registros[CATEGORIA],despesafixaconsolidadoset[[#This Row],[DESPESA FIXA]])</f>
        <v>0</v>
      </c>
      <c r="F41" s="91">
        <f>SUMIFS(tabela_registros[VALOR],tabela_registros[MÊS],$AE$1,tabela_registros[DIA],settotal3059718395107119131[[#Headers],[2]],tabela_registros[REGISTRO],DADOS!$N$4,tabela_registros[TIPO],DADOS!$P$3,tabela_registros[CATEGORIA],despesafixaconsolidadoset[[#This Row],[DESPESA FIXA]])</f>
        <v>0</v>
      </c>
      <c r="G41" s="91">
        <f>SUMIFS(tabela_registros[VALOR],tabela_registros[MÊS],$AE$1,tabela_registros[DIA],settotal3059718395107119131[[#Headers],[3]],tabela_registros[REGISTRO],DADOS!$N$4,tabela_registros[TIPO],DADOS!$P$3,tabela_registros[CATEGORIA],despesafixaconsolidadoset[[#This Row],[DESPESA FIXA]])</f>
        <v>0</v>
      </c>
      <c r="H41" s="91">
        <f>SUMIFS(tabela_registros[VALOR],tabela_registros[MÊS],$AE$1,tabela_registros[DIA],settotal3059718395107119131[[#Headers],[4]],tabela_registros[REGISTRO],DADOS!$N$4,tabela_registros[TIPO],DADOS!$P$3,tabela_registros[CATEGORIA],despesafixaconsolidadoset[[#This Row],[DESPESA FIXA]])</f>
        <v>0</v>
      </c>
      <c r="I41" s="91">
        <f>SUMIFS(tabela_registros[VALOR],tabela_registros[MÊS],$AE$1,tabela_registros[DIA],settotal3059718395107119131[[#Headers],[5]],tabela_registros[REGISTRO],DADOS!$N$4,tabela_registros[TIPO],DADOS!$P$3,tabela_registros[CATEGORIA],despesafixaconsolidadoset[[#This Row],[DESPESA FIXA]])</f>
        <v>0</v>
      </c>
      <c r="J41" s="91">
        <f>SUMIFS(tabela_registros[VALOR],tabela_registros[MÊS],$AE$1,tabela_registros[DIA],settotal3059718395107119131[[#Headers],[6]],tabela_registros[REGISTRO],DADOS!$N$4,tabela_registros[TIPO],DADOS!$P$3,tabela_registros[CATEGORIA],despesafixaconsolidadoset[[#This Row],[DESPESA FIXA]])</f>
        <v>0</v>
      </c>
      <c r="K41" s="91">
        <f>SUMIFS(tabela_registros[VALOR],tabela_registros[MÊS],$AE$1,tabela_registros[DIA],settotal3059718395107119131[[#Headers],[7]],tabela_registros[REGISTRO],DADOS!$N$4,tabela_registros[TIPO],DADOS!$P$3,tabela_registros[CATEGORIA],despesafixaconsolidadoset[[#This Row],[DESPESA FIXA]])</f>
        <v>0</v>
      </c>
      <c r="L41" s="91">
        <f>SUMIFS(tabela_registros[VALOR],tabela_registros[MÊS],$AE$1,tabela_registros[DIA],settotal3059718395107119131[[#Headers],[8]],tabela_registros[REGISTRO],DADOS!$N$4,tabela_registros[TIPO],DADOS!$P$3,tabela_registros[CATEGORIA],despesafixaconsolidadoset[[#This Row],[DESPESA FIXA]])</f>
        <v>0</v>
      </c>
      <c r="M41" s="91">
        <f>SUMIFS(tabela_registros[VALOR],tabela_registros[MÊS],$AE$1,tabela_registros[DIA],settotal3059718395107119131[[#Headers],[9]],tabela_registros[REGISTRO],DADOS!$N$4,tabela_registros[TIPO],DADOS!$P$3,tabela_registros[CATEGORIA],despesafixaconsolidadoset[[#This Row],[DESPESA FIXA]])</f>
        <v>0</v>
      </c>
      <c r="N41" s="91">
        <f>SUMIFS(tabela_registros[VALOR],tabela_registros[MÊS],$AE$1,tabela_registros[DIA],settotal3059718395107119131[[#Headers],[10]],tabela_registros[REGISTRO],DADOS!$N$4,tabela_registros[TIPO],DADOS!$P$3,tabela_registros[CATEGORIA],despesafixaconsolidadoset[[#This Row],[DESPESA FIXA]])</f>
        <v>0</v>
      </c>
      <c r="O41" s="91">
        <f>SUMIFS(tabela_registros[VALOR],tabela_registros[MÊS],$AE$1,tabela_registros[DIA],settotal3059718395107119131[[#Headers],[11]],tabela_registros[REGISTRO],DADOS!$N$4,tabela_registros[TIPO],DADOS!$P$3,tabela_registros[CATEGORIA],despesafixaconsolidadoset[[#This Row],[DESPESA FIXA]])</f>
        <v>0</v>
      </c>
      <c r="P41" s="91">
        <f>SUMIFS(tabela_registros[VALOR],tabela_registros[MÊS],$AE$1,tabela_registros[DIA],settotal3059718395107119131[[#Headers],[12]],tabela_registros[REGISTRO],DADOS!$N$4,tabela_registros[TIPO],DADOS!$P$3,tabela_registros[CATEGORIA],despesafixaconsolidadoset[[#This Row],[DESPESA FIXA]])</f>
        <v>0</v>
      </c>
      <c r="Q41" s="91">
        <f>SUMIFS(tabela_registros[VALOR],tabela_registros[MÊS],$AE$1,tabela_registros[DIA],settotal3059718395107119131[[#Headers],[13]],tabela_registros[REGISTRO],DADOS!$N$4,tabela_registros[TIPO],DADOS!$P$3,tabela_registros[CATEGORIA],despesafixaconsolidadoset[[#This Row],[DESPESA FIXA]])</f>
        <v>0</v>
      </c>
      <c r="R41" s="91">
        <f>SUMIFS(tabela_registros[VALOR],tabela_registros[MÊS],$AE$1,tabela_registros[DIA],settotal3059718395107119131[[#Headers],[14]],tabela_registros[REGISTRO],DADOS!$N$4,tabela_registros[TIPO],DADOS!$P$3,tabela_registros[CATEGORIA],despesafixaconsolidadoset[[#This Row],[DESPESA FIXA]])</f>
        <v>0</v>
      </c>
      <c r="S41" s="91">
        <f>SUMIFS(tabela_registros[VALOR],tabela_registros[MÊS],$AE$1,tabela_registros[DIA],settotal3059718395107119131[[#Headers],[15]],tabela_registros[REGISTRO],DADOS!$N$4,tabela_registros[TIPO],DADOS!$P$3,tabela_registros[CATEGORIA],despesafixaconsolidadoset[[#This Row],[DESPESA FIXA]])</f>
        <v>0</v>
      </c>
      <c r="T41" s="91">
        <f>SUMIFS(tabela_registros[VALOR],tabela_registros[MÊS],$AE$1,tabela_registros[DIA],settotal3059718395107119131[[#Headers],[16]],tabela_registros[REGISTRO],DADOS!$N$4,tabela_registros[TIPO],DADOS!$P$3,tabela_registros[CATEGORIA],despesafixaconsolidadoset[[#This Row],[DESPESA FIXA]])</f>
        <v>0</v>
      </c>
      <c r="U41" s="91">
        <f>SUMIFS(tabela_registros[VALOR],tabela_registros[MÊS],$AE$1,tabela_registros[DIA],settotal3059718395107119131[[#Headers],[17]],tabela_registros[REGISTRO],DADOS!$N$4,tabela_registros[TIPO],DADOS!$P$3,tabela_registros[CATEGORIA],despesafixaconsolidadoset[[#This Row],[DESPESA FIXA]])</f>
        <v>0</v>
      </c>
      <c r="V41" s="91">
        <f>SUMIFS(tabela_registros[VALOR],tabela_registros[MÊS],$AE$1,tabela_registros[DIA],settotal3059718395107119131[[#Headers],[18]],tabela_registros[REGISTRO],DADOS!$N$4,tabela_registros[TIPO],DADOS!$P$3,tabela_registros[CATEGORIA],despesafixaconsolidadoset[[#This Row],[DESPESA FIXA]])</f>
        <v>0</v>
      </c>
      <c r="W41" s="91">
        <f>SUMIFS(tabela_registros[VALOR],tabela_registros[MÊS],$AE$1,tabela_registros[DIA],settotal3059718395107119131[[#Headers],[19]],tabela_registros[REGISTRO],DADOS!$N$4,tabela_registros[TIPO],DADOS!$P$3,tabela_registros[CATEGORIA],despesafixaconsolidadoset[[#This Row],[DESPESA FIXA]])</f>
        <v>0</v>
      </c>
      <c r="X41" s="91">
        <f>SUMIFS(tabela_registros[VALOR],tabela_registros[MÊS],$AE$1,tabela_registros[DIA],settotal3059718395107119131[[#Headers],[20]],tabela_registros[REGISTRO],DADOS!$N$4,tabela_registros[TIPO],DADOS!$P$3,tabela_registros[CATEGORIA],despesafixaconsolidadoset[[#This Row],[DESPESA FIXA]])</f>
        <v>0</v>
      </c>
      <c r="Y41" s="91">
        <f>SUMIFS(tabela_registros[VALOR],tabela_registros[MÊS],$AE$1,tabela_registros[DIA],settotal3059718395107119131[[#Headers],[21]],tabela_registros[REGISTRO],DADOS!$N$4,tabela_registros[TIPO],DADOS!$P$3,tabela_registros[CATEGORIA],despesafixaconsolidadoset[[#This Row],[DESPESA FIXA]])</f>
        <v>0</v>
      </c>
      <c r="Z41" s="91">
        <f>SUMIFS(tabela_registros[VALOR],tabela_registros[MÊS],$AE$1,tabela_registros[DIA],settotal3059718395107119131[[#Headers],[22]],tabela_registros[REGISTRO],DADOS!$N$4,tabela_registros[TIPO],DADOS!$P$3,tabela_registros[CATEGORIA],despesafixaconsolidadoset[[#This Row],[DESPESA FIXA]])</f>
        <v>0</v>
      </c>
      <c r="AA41" s="91">
        <f>SUMIFS(tabela_registros[VALOR],tabela_registros[MÊS],$AE$1,tabela_registros[DIA],settotal3059718395107119131[[#Headers],[23]],tabela_registros[REGISTRO],DADOS!$N$4,tabela_registros[TIPO],DADOS!$P$3,tabela_registros[CATEGORIA],despesafixaconsolidadoset[[#This Row],[DESPESA FIXA]])</f>
        <v>0</v>
      </c>
      <c r="AB41" s="91">
        <f>SUMIFS(tabela_registros[VALOR],tabela_registros[MÊS],$AE$1,tabela_registros[DIA],settotal3059718395107119131[[#Headers],[24]],tabela_registros[REGISTRO],DADOS!$N$4,tabela_registros[TIPO],DADOS!$P$3,tabela_registros[CATEGORIA],despesafixaconsolidadoset[[#This Row],[DESPESA FIXA]])</f>
        <v>0</v>
      </c>
      <c r="AC41" s="91">
        <f>SUMIFS(tabela_registros[VALOR],tabela_registros[MÊS],$AE$1,tabela_registros[DIA],settotal3059718395107119131[[#Headers],[25]],tabela_registros[REGISTRO],DADOS!$N$4,tabela_registros[TIPO],DADOS!$P$3,tabela_registros[CATEGORIA],despesafixaconsolidadoset[[#This Row],[DESPESA FIXA]])</f>
        <v>0</v>
      </c>
      <c r="AD41" s="91">
        <f>SUMIFS(tabela_registros[VALOR],tabela_registros[MÊS],$AE$1,tabela_registros[DIA],settotal3059718395107119131[[#Headers],[26]],tabela_registros[REGISTRO],DADOS!$N$4,tabela_registros[TIPO],DADOS!$P$3,tabela_registros[CATEGORIA],despesafixaconsolidadoset[[#This Row],[DESPESA FIXA]])</f>
        <v>0</v>
      </c>
      <c r="AE41" s="91">
        <f>SUMIFS(tabela_registros[VALOR],tabela_registros[MÊS],$AE$1,tabela_registros[DIA],settotal3059718395107119131[[#Headers],[27]],tabela_registros[REGISTRO],DADOS!$N$4,tabela_registros[TIPO],DADOS!$P$3,tabela_registros[CATEGORIA],despesafixaconsolidadoset[[#This Row],[DESPESA FIXA]])</f>
        <v>0</v>
      </c>
      <c r="AF41" s="91">
        <f>SUMIFS(tabela_registros[VALOR],tabela_registros[MÊS],$AE$1,tabela_registros[DIA],settotal3059718395107119131[[#Headers],[28]],tabela_registros[REGISTRO],DADOS!$N$4,tabela_registros[TIPO],DADOS!$P$3,tabela_registros[CATEGORIA],despesafixaconsolidadoset[[#This Row],[DESPESA FIXA]])</f>
        <v>0</v>
      </c>
      <c r="AG41" s="91">
        <f>SUMIFS(tabela_registros[VALOR],tabela_registros[MÊS],$AE$1,tabela_registros[DIA],settotal3059718395107119131[[#Headers],[29]],tabela_registros[REGISTRO],DADOS!$N$4,tabela_registros[TIPO],DADOS!$P$3,tabela_registros[CATEGORIA],despesafixaconsolidadoset[[#This Row],[DESPESA FIXA]])</f>
        <v>0</v>
      </c>
      <c r="AH41" s="91">
        <f>SUMIFS(tabela_registros[VALOR],tabela_registros[MÊS],$AE$1,tabela_registros[DIA],settotal3059718395107119131[[#Headers],[30]],tabela_registros[REGISTRO],DADOS!$N$4,tabela_registros[TIPO],DADOS!$P$3,tabela_registros[CATEGORIA],despesafixaconsolidadoset[[#This Row],[DESPESA FIXA]])</f>
        <v>0</v>
      </c>
      <c r="AI41" s="101">
        <f>SUMIFS(tabela_registros[VALOR],tabela_registros[MÊS],$AE$1,tabela_registros[DIA],settotal3059718395107119131[[#Headers],[31]],tabela_registros[REGISTRO],DADOS!$N$4,tabela_registros[TIPO],DADOS!$P$3,tabela_registros[CATEGORIA],despesafixaconsolidadoset[[#This Row],[DESPESA FIXA]])</f>
        <v>0</v>
      </c>
      <c r="AJ41" s="97">
        <f>SUM(despesafixaconsolidadoset[[#This Row],[1]:[31]])</f>
        <v>0</v>
      </c>
      <c r="AK41" s="28"/>
    </row>
    <row r="42" spans="2:37" ht="18" customHeight="1" thickTop="1" thickBot="1" x14ac:dyDescent="0.3">
      <c r="B42" s="28"/>
      <c r="C42" s="27" t="str">
        <f>DADOS!$R$8</f>
        <v>🏦 EMPRÉSTIMO</v>
      </c>
      <c r="D42" s="26" t="str">
        <f>IF(despesafixaconsolidadoset[[#This Row],[TOTAL]]=0,"",IF(OR(despesafixaconsolidadoset[[#This Row],[TOTAL]]=LARGE($AJ$37:$AJ$50,1),despesafixaconsolidadoset[[#This Row],[TOTAL]]=LARGE($AJ$37:$AJ$50,2),despesafixaconsolidadoset[[#This Row],[TOTAL]]=LARGE($AJ$37:$AJ$50,3),despesafixaconsolidadoset[[#This Row],[TOTAL]]=LARGE($AJ$37:$AJ$50,4),despesafixaconsolidadoset[[#This Row],[TOTAL]]=LARGE($AJ$37:$AJ$50,5)),DADOS!$I$8,""))</f>
        <v/>
      </c>
      <c r="E42" s="96">
        <f>SUMIFS(tabela_registros[VALOR],tabela_registros[MÊS],$AE$1,tabela_registros[DIA],settotal3059718395107119131[[#Headers],[1]],tabela_registros[REGISTRO],DADOS!$N$4,tabela_registros[TIPO],DADOS!$P$3,tabela_registros[CATEGORIA],despesafixaconsolidadoset[[#This Row],[DESPESA FIXA]])</f>
        <v>0</v>
      </c>
      <c r="F42" s="91">
        <f>SUMIFS(tabela_registros[VALOR],tabela_registros[MÊS],$AE$1,tabela_registros[DIA],settotal3059718395107119131[[#Headers],[2]],tabela_registros[REGISTRO],DADOS!$N$4,tabela_registros[TIPO],DADOS!$P$3,tabela_registros[CATEGORIA],despesafixaconsolidadoset[[#This Row],[DESPESA FIXA]])</f>
        <v>0</v>
      </c>
      <c r="G42" s="91">
        <f>SUMIFS(tabela_registros[VALOR],tabela_registros[MÊS],$AE$1,tabela_registros[DIA],settotal3059718395107119131[[#Headers],[3]],tabela_registros[REGISTRO],DADOS!$N$4,tabela_registros[TIPO],DADOS!$P$3,tabela_registros[CATEGORIA],despesafixaconsolidadoset[[#This Row],[DESPESA FIXA]])</f>
        <v>0</v>
      </c>
      <c r="H42" s="91">
        <f>SUMIFS(tabela_registros[VALOR],tabela_registros[MÊS],$AE$1,tabela_registros[DIA],settotal3059718395107119131[[#Headers],[4]],tabela_registros[REGISTRO],DADOS!$N$4,tabela_registros[TIPO],DADOS!$P$3,tabela_registros[CATEGORIA],despesafixaconsolidadoset[[#This Row],[DESPESA FIXA]])</f>
        <v>0</v>
      </c>
      <c r="I42" s="91">
        <f>SUMIFS(tabela_registros[VALOR],tabela_registros[MÊS],$AE$1,tabela_registros[DIA],settotal3059718395107119131[[#Headers],[5]],tabela_registros[REGISTRO],DADOS!$N$4,tabela_registros[TIPO],DADOS!$P$3,tabela_registros[CATEGORIA],despesafixaconsolidadoset[[#This Row],[DESPESA FIXA]])</f>
        <v>0</v>
      </c>
      <c r="J42" s="91">
        <f>SUMIFS(tabela_registros[VALOR],tabela_registros[MÊS],$AE$1,tabela_registros[DIA],settotal3059718395107119131[[#Headers],[6]],tabela_registros[REGISTRO],DADOS!$N$4,tabela_registros[TIPO],DADOS!$P$3,tabela_registros[CATEGORIA],despesafixaconsolidadoset[[#This Row],[DESPESA FIXA]])</f>
        <v>0</v>
      </c>
      <c r="K42" s="91">
        <f>SUMIFS(tabela_registros[VALOR],tabela_registros[MÊS],$AE$1,tabela_registros[DIA],settotal3059718395107119131[[#Headers],[7]],tabela_registros[REGISTRO],DADOS!$N$4,tabela_registros[TIPO],DADOS!$P$3,tabela_registros[CATEGORIA],despesafixaconsolidadoset[[#This Row],[DESPESA FIXA]])</f>
        <v>0</v>
      </c>
      <c r="L42" s="91">
        <f>SUMIFS(tabela_registros[VALOR],tabela_registros[MÊS],$AE$1,tabela_registros[DIA],settotal3059718395107119131[[#Headers],[8]],tabela_registros[REGISTRO],DADOS!$N$4,tabela_registros[TIPO],DADOS!$P$3,tabela_registros[CATEGORIA],despesafixaconsolidadoset[[#This Row],[DESPESA FIXA]])</f>
        <v>0</v>
      </c>
      <c r="M42" s="91">
        <f>SUMIFS(tabela_registros[VALOR],tabela_registros[MÊS],$AE$1,tabela_registros[DIA],settotal3059718395107119131[[#Headers],[9]],tabela_registros[REGISTRO],DADOS!$N$4,tabela_registros[TIPO],DADOS!$P$3,tabela_registros[CATEGORIA],despesafixaconsolidadoset[[#This Row],[DESPESA FIXA]])</f>
        <v>0</v>
      </c>
      <c r="N42" s="91">
        <f>SUMIFS(tabela_registros[VALOR],tabela_registros[MÊS],$AE$1,tabela_registros[DIA],settotal3059718395107119131[[#Headers],[10]],tabela_registros[REGISTRO],DADOS!$N$4,tabela_registros[TIPO],DADOS!$P$3,tabela_registros[CATEGORIA],despesafixaconsolidadoset[[#This Row],[DESPESA FIXA]])</f>
        <v>0</v>
      </c>
      <c r="O42" s="91">
        <f>SUMIFS(tabela_registros[VALOR],tabela_registros[MÊS],$AE$1,tabela_registros[DIA],settotal3059718395107119131[[#Headers],[11]],tabela_registros[REGISTRO],DADOS!$N$4,tabela_registros[TIPO],DADOS!$P$3,tabela_registros[CATEGORIA],despesafixaconsolidadoset[[#This Row],[DESPESA FIXA]])</f>
        <v>0</v>
      </c>
      <c r="P42" s="91">
        <f>SUMIFS(tabela_registros[VALOR],tabela_registros[MÊS],$AE$1,tabela_registros[DIA],settotal3059718395107119131[[#Headers],[12]],tabela_registros[REGISTRO],DADOS!$N$4,tabela_registros[TIPO],DADOS!$P$3,tabela_registros[CATEGORIA],despesafixaconsolidadoset[[#This Row],[DESPESA FIXA]])</f>
        <v>0</v>
      </c>
      <c r="Q42" s="91">
        <f>SUMIFS(tabela_registros[VALOR],tabela_registros[MÊS],$AE$1,tabela_registros[DIA],settotal3059718395107119131[[#Headers],[13]],tabela_registros[REGISTRO],DADOS!$N$4,tabela_registros[TIPO],DADOS!$P$3,tabela_registros[CATEGORIA],despesafixaconsolidadoset[[#This Row],[DESPESA FIXA]])</f>
        <v>0</v>
      </c>
      <c r="R42" s="91">
        <f>SUMIFS(tabela_registros[VALOR],tabela_registros[MÊS],$AE$1,tabela_registros[DIA],settotal3059718395107119131[[#Headers],[14]],tabela_registros[REGISTRO],DADOS!$N$4,tabela_registros[TIPO],DADOS!$P$3,tabela_registros[CATEGORIA],despesafixaconsolidadoset[[#This Row],[DESPESA FIXA]])</f>
        <v>0</v>
      </c>
      <c r="S42" s="91">
        <f>SUMIFS(tabela_registros[VALOR],tabela_registros[MÊS],$AE$1,tabela_registros[DIA],settotal3059718395107119131[[#Headers],[15]],tabela_registros[REGISTRO],DADOS!$N$4,tabela_registros[TIPO],DADOS!$P$3,tabela_registros[CATEGORIA],despesafixaconsolidadoset[[#This Row],[DESPESA FIXA]])</f>
        <v>0</v>
      </c>
      <c r="T42" s="91">
        <f>SUMIFS(tabela_registros[VALOR],tabela_registros[MÊS],$AE$1,tabela_registros[DIA],settotal3059718395107119131[[#Headers],[16]],tabela_registros[REGISTRO],DADOS!$N$4,tabela_registros[TIPO],DADOS!$P$3,tabela_registros[CATEGORIA],despesafixaconsolidadoset[[#This Row],[DESPESA FIXA]])</f>
        <v>0</v>
      </c>
      <c r="U42" s="91">
        <f>SUMIFS(tabela_registros[VALOR],tabela_registros[MÊS],$AE$1,tabela_registros[DIA],settotal3059718395107119131[[#Headers],[17]],tabela_registros[REGISTRO],DADOS!$N$4,tabela_registros[TIPO],DADOS!$P$3,tabela_registros[CATEGORIA],despesafixaconsolidadoset[[#This Row],[DESPESA FIXA]])</f>
        <v>0</v>
      </c>
      <c r="V42" s="91">
        <f>SUMIFS(tabela_registros[VALOR],tabela_registros[MÊS],$AE$1,tabela_registros[DIA],settotal3059718395107119131[[#Headers],[18]],tabela_registros[REGISTRO],DADOS!$N$4,tabela_registros[TIPO],DADOS!$P$3,tabela_registros[CATEGORIA],despesafixaconsolidadoset[[#This Row],[DESPESA FIXA]])</f>
        <v>0</v>
      </c>
      <c r="W42" s="91">
        <f>SUMIFS(tabela_registros[VALOR],tabela_registros[MÊS],$AE$1,tabela_registros[DIA],settotal3059718395107119131[[#Headers],[19]],tabela_registros[REGISTRO],DADOS!$N$4,tabela_registros[TIPO],DADOS!$P$3,tabela_registros[CATEGORIA],despesafixaconsolidadoset[[#This Row],[DESPESA FIXA]])</f>
        <v>0</v>
      </c>
      <c r="X42" s="91">
        <f>SUMIFS(tabela_registros[VALOR],tabela_registros[MÊS],$AE$1,tabela_registros[DIA],settotal3059718395107119131[[#Headers],[20]],tabela_registros[REGISTRO],DADOS!$N$4,tabela_registros[TIPO],DADOS!$P$3,tabela_registros[CATEGORIA],despesafixaconsolidadoset[[#This Row],[DESPESA FIXA]])</f>
        <v>0</v>
      </c>
      <c r="Y42" s="91">
        <f>SUMIFS(tabela_registros[VALOR],tabela_registros[MÊS],$AE$1,tabela_registros[DIA],settotal3059718395107119131[[#Headers],[21]],tabela_registros[REGISTRO],DADOS!$N$4,tabela_registros[TIPO],DADOS!$P$3,tabela_registros[CATEGORIA],despesafixaconsolidadoset[[#This Row],[DESPESA FIXA]])</f>
        <v>0</v>
      </c>
      <c r="Z42" s="91">
        <f>SUMIFS(tabela_registros[VALOR],tabela_registros[MÊS],$AE$1,tabela_registros[DIA],settotal3059718395107119131[[#Headers],[22]],tabela_registros[REGISTRO],DADOS!$N$4,tabela_registros[TIPO],DADOS!$P$3,tabela_registros[CATEGORIA],despesafixaconsolidadoset[[#This Row],[DESPESA FIXA]])</f>
        <v>0</v>
      </c>
      <c r="AA42" s="91">
        <f>SUMIFS(tabela_registros[VALOR],tabela_registros[MÊS],$AE$1,tabela_registros[DIA],settotal3059718395107119131[[#Headers],[23]],tabela_registros[REGISTRO],DADOS!$N$4,tabela_registros[TIPO],DADOS!$P$3,tabela_registros[CATEGORIA],despesafixaconsolidadoset[[#This Row],[DESPESA FIXA]])</f>
        <v>0</v>
      </c>
      <c r="AB42" s="91">
        <f>SUMIFS(tabela_registros[VALOR],tabela_registros[MÊS],$AE$1,tabela_registros[DIA],settotal3059718395107119131[[#Headers],[24]],tabela_registros[REGISTRO],DADOS!$N$4,tabela_registros[TIPO],DADOS!$P$3,tabela_registros[CATEGORIA],despesafixaconsolidadoset[[#This Row],[DESPESA FIXA]])</f>
        <v>0</v>
      </c>
      <c r="AC42" s="91">
        <f>SUMIFS(tabela_registros[VALOR],tabela_registros[MÊS],$AE$1,tabela_registros[DIA],settotal3059718395107119131[[#Headers],[25]],tabela_registros[REGISTRO],DADOS!$N$4,tabela_registros[TIPO],DADOS!$P$3,tabela_registros[CATEGORIA],despesafixaconsolidadoset[[#This Row],[DESPESA FIXA]])</f>
        <v>0</v>
      </c>
      <c r="AD42" s="91">
        <f>SUMIFS(tabela_registros[VALOR],tabela_registros[MÊS],$AE$1,tabela_registros[DIA],settotal3059718395107119131[[#Headers],[26]],tabela_registros[REGISTRO],DADOS!$N$4,tabela_registros[TIPO],DADOS!$P$3,tabela_registros[CATEGORIA],despesafixaconsolidadoset[[#This Row],[DESPESA FIXA]])</f>
        <v>0</v>
      </c>
      <c r="AE42" s="91">
        <f>SUMIFS(tabela_registros[VALOR],tabela_registros[MÊS],$AE$1,tabela_registros[DIA],settotal3059718395107119131[[#Headers],[27]],tabela_registros[REGISTRO],DADOS!$N$4,tabela_registros[TIPO],DADOS!$P$3,tabela_registros[CATEGORIA],despesafixaconsolidadoset[[#This Row],[DESPESA FIXA]])</f>
        <v>0</v>
      </c>
      <c r="AF42" s="91">
        <f>SUMIFS(tabela_registros[VALOR],tabela_registros[MÊS],$AE$1,tabela_registros[DIA],settotal3059718395107119131[[#Headers],[28]],tabela_registros[REGISTRO],DADOS!$N$4,tabela_registros[TIPO],DADOS!$P$3,tabela_registros[CATEGORIA],despesafixaconsolidadoset[[#This Row],[DESPESA FIXA]])</f>
        <v>0</v>
      </c>
      <c r="AG42" s="91">
        <f>SUMIFS(tabela_registros[VALOR],tabela_registros[MÊS],$AE$1,tabela_registros[DIA],settotal3059718395107119131[[#Headers],[29]],tabela_registros[REGISTRO],DADOS!$N$4,tabela_registros[TIPO],DADOS!$P$3,tabela_registros[CATEGORIA],despesafixaconsolidadoset[[#This Row],[DESPESA FIXA]])</f>
        <v>0</v>
      </c>
      <c r="AH42" s="91">
        <f>SUMIFS(tabela_registros[VALOR],tabela_registros[MÊS],$AE$1,tabela_registros[DIA],settotal3059718395107119131[[#Headers],[30]],tabela_registros[REGISTRO],DADOS!$N$4,tabela_registros[TIPO],DADOS!$P$3,tabela_registros[CATEGORIA],despesafixaconsolidadoset[[#This Row],[DESPESA FIXA]])</f>
        <v>0</v>
      </c>
      <c r="AI42" s="101">
        <f>SUMIFS(tabela_registros[VALOR],tabela_registros[MÊS],$AE$1,tabela_registros[DIA],settotal3059718395107119131[[#Headers],[31]],tabela_registros[REGISTRO],DADOS!$N$4,tabela_registros[TIPO],DADOS!$P$3,tabela_registros[CATEGORIA],despesafixaconsolidadoset[[#This Row],[DESPESA FIXA]])</f>
        <v>0</v>
      </c>
      <c r="AJ42" s="97">
        <f>SUM(despesafixaconsolidadoset[[#This Row],[1]:[31]])</f>
        <v>0</v>
      </c>
      <c r="AK42" s="28"/>
    </row>
    <row r="43" spans="2:37" ht="18" customHeight="1" thickTop="1" thickBot="1" x14ac:dyDescent="0.3">
      <c r="B43" s="28"/>
      <c r="C43" s="27" t="str">
        <f>DADOS!$R$9</f>
        <v>💡 ENERGIA</v>
      </c>
      <c r="D43" s="26" t="str">
        <f>IF(despesafixaconsolidadoset[[#This Row],[TOTAL]]=0,"",IF(OR(despesafixaconsolidadoset[[#This Row],[TOTAL]]=LARGE($AJ$37:$AJ$50,1),despesafixaconsolidadoset[[#This Row],[TOTAL]]=LARGE($AJ$37:$AJ$50,2),despesafixaconsolidadoset[[#This Row],[TOTAL]]=LARGE($AJ$37:$AJ$50,3),despesafixaconsolidadoset[[#This Row],[TOTAL]]=LARGE($AJ$37:$AJ$50,4),despesafixaconsolidadoset[[#This Row],[TOTAL]]=LARGE($AJ$37:$AJ$50,5)),DADOS!$I$8,""))</f>
        <v/>
      </c>
      <c r="E43" s="96">
        <f>SUMIFS(tabela_registros[VALOR],tabela_registros[MÊS],$AE$1,tabela_registros[DIA],settotal3059718395107119131[[#Headers],[1]],tabela_registros[REGISTRO],DADOS!$N$4,tabela_registros[TIPO],DADOS!$P$3,tabela_registros[CATEGORIA],despesafixaconsolidadoset[[#This Row],[DESPESA FIXA]])</f>
        <v>0</v>
      </c>
      <c r="F43" s="91">
        <f>SUMIFS(tabela_registros[VALOR],tabela_registros[MÊS],$AE$1,tabela_registros[DIA],settotal3059718395107119131[[#Headers],[2]],tabela_registros[REGISTRO],DADOS!$N$4,tabela_registros[TIPO],DADOS!$P$3,tabela_registros[CATEGORIA],despesafixaconsolidadoset[[#This Row],[DESPESA FIXA]])</f>
        <v>0</v>
      </c>
      <c r="G43" s="91">
        <f>SUMIFS(tabela_registros[VALOR],tabela_registros[MÊS],$AE$1,tabela_registros[DIA],settotal3059718395107119131[[#Headers],[3]],tabela_registros[REGISTRO],DADOS!$N$4,tabela_registros[TIPO],DADOS!$P$3,tabela_registros[CATEGORIA],despesafixaconsolidadoset[[#This Row],[DESPESA FIXA]])</f>
        <v>0</v>
      </c>
      <c r="H43" s="91">
        <f>SUMIFS(tabela_registros[VALOR],tabela_registros[MÊS],$AE$1,tabela_registros[DIA],settotal3059718395107119131[[#Headers],[4]],tabela_registros[REGISTRO],DADOS!$N$4,tabela_registros[TIPO],DADOS!$P$3,tabela_registros[CATEGORIA],despesafixaconsolidadoset[[#This Row],[DESPESA FIXA]])</f>
        <v>0</v>
      </c>
      <c r="I43" s="91">
        <f>SUMIFS(tabela_registros[VALOR],tabela_registros[MÊS],$AE$1,tabela_registros[DIA],settotal3059718395107119131[[#Headers],[5]],tabela_registros[REGISTRO],DADOS!$N$4,tabela_registros[TIPO],DADOS!$P$3,tabela_registros[CATEGORIA],despesafixaconsolidadoset[[#This Row],[DESPESA FIXA]])</f>
        <v>0</v>
      </c>
      <c r="J43" s="91">
        <f>SUMIFS(tabela_registros[VALOR],tabela_registros[MÊS],$AE$1,tabela_registros[DIA],settotal3059718395107119131[[#Headers],[6]],tabela_registros[REGISTRO],DADOS!$N$4,tabela_registros[TIPO],DADOS!$P$3,tabela_registros[CATEGORIA],despesafixaconsolidadoset[[#This Row],[DESPESA FIXA]])</f>
        <v>0</v>
      </c>
      <c r="K43" s="91">
        <f>SUMIFS(tabela_registros[VALOR],tabela_registros[MÊS],$AE$1,tabela_registros[DIA],settotal3059718395107119131[[#Headers],[7]],tabela_registros[REGISTRO],DADOS!$N$4,tabela_registros[TIPO],DADOS!$P$3,tabela_registros[CATEGORIA],despesafixaconsolidadoset[[#This Row],[DESPESA FIXA]])</f>
        <v>0</v>
      </c>
      <c r="L43" s="91">
        <f>SUMIFS(tabela_registros[VALOR],tabela_registros[MÊS],$AE$1,tabela_registros[DIA],settotal3059718395107119131[[#Headers],[8]],tabela_registros[REGISTRO],DADOS!$N$4,tabela_registros[TIPO],DADOS!$P$3,tabela_registros[CATEGORIA],despesafixaconsolidadoset[[#This Row],[DESPESA FIXA]])</f>
        <v>0</v>
      </c>
      <c r="M43" s="91">
        <f>SUMIFS(tabela_registros[VALOR],tabela_registros[MÊS],$AE$1,tabela_registros[DIA],settotal3059718395107119131[[#Headers],[9]],tabela_registros[REGISTRO],DADOS!$N$4,tabela_registros[TIPO],DADOS!$P$3,tabela_registros[CATEGORIA],despesafixaconsolidadoset[[#This Row],[DESPESA FIXA]])</f>
        <v>0</v>
      </c>
      <c r="N43" s="91">
        <f>SUMIFS(tabela_registros[VALOR],tabela_registros[MÊS],$AE$1,tabela_registros[DIA],settotal3059718395107119131[[#Headers],[10]],tabela_registros[REGISTRO],DADOS!$N$4,tabela_registros[TIPO],DADOS!$P$3,tabela_registros[CATEGORIA],despesafixaconsolidadoset[[#This Row],[DESPESA FIXA]])</f>
        <v>0</v>
      </c>
      <c r="O43" s="91">
        <f>SUMIFS(tabela_registros[VALOR],tabela_registros[MÊS],$AE$1,tabela_registros[DIA],settotal3059718395107119131[[#Headers],[11]],tabela_registros[REGISTRO],DADOS!$N$4,tabela_registros[TIPO],DADOS!$P$3,tabela_registros[CATEGORIA],despesafixaconsolidadoset[[#This Row],[DESPESA FIXA]])</f>
        <v>0</v>
      </c>
      <c r="P43" s="91">
        <f>SUMIFS(tabela_registros[VALOR],tabela_registros[MÊS],$AE$1,tabela_registros[DIA],settotal3059718395107119131[[#Headers],[12]],tabela_registros[REGISTRO],DADOS!$N$4,tabela_registros[TIPO],DADOS!$P$3,tabela_registros[CATEGORIA],despesafixaconsolidadoset[[#This Row],[DESPESA FIXA]])</f>
        <v>0</v>
      </c>
      <c r="Q43" s="91">
        <f>SUMIFS(tabela_registros[VALOR],tabela_registros[MÊS],$AE$1,tabela_registros[DIA],settotal3059718395107119131[[#Headers],[13]],tabela_registros[REGISTRO],DADOS!$N$4,tabela_registros[TIPO],DADOS!$P$3,tabela_registros[CATEGORIA],despesafixaconsolidadoset[[#This Row],[DESPESA FIXA]])</f>
        <v>0</v>
      </c>
      <c r="R43" s="91">
        <f>SUMIFS(tabela_registros[VALOR],tabela_registros[MÊS],$AE$1,tabela_registros[DIA],settotal3059718395107119131[[#Headers],[14]],tabela_registros[REGISTRO],DADOS!$N$4,tabela_registros[TIPO],DADOS!$P$3,tabela_registros[CATEGORIA],despesafixaconsolidadoset[[#This Row],[DESPESA FIXA]])</f>
        <v>0</v>
      </c>
      <c r="S43" s="91">
        <f>SUMIFS(tabela_registros[VALOR],tabela_registros[MÊS],$AE$1,tabela_registros[DIA],settotal3059718395107119131[[#Headers],[15]],tabela_registros[REGISTRO],DADOS!$N$4,tabela_registros[TIPO],DADOS!$P$3,tabela_registros[CATEGORIA],despesafixaconsolidadoset[[#This Row],[DESPESA FIXA]])</f>
        <v>0</v>
      </c>
      <c r="T43" s="91">
        <f>SUMIFS(tabela_registros[VALOR],tabela_registros[MÊS],$AE$1,tabela_registros[DIA],settotal3059718395107119131[[#Headers],[16]],tabela_registros[REGISTRO],DADOS!$N$4,tabela_registros[TIPO],DADOS!$P$3,tabela_registros[CATEGORIA],despesafixaconsolidadoset[[#This Row],[DESPESA FIXA]])</f>
        <v>0</v>
      </c>
      <c r="U43" s="91">
        <f>SUMIFS(tabela_registros[VALOR],tabela_registros[MÊS],$AE$1,tabela_registros[DIA],settotal3059718395107119131[[#Headers],[17]],tabela_registros[REGISTRO],DADOS!$N$4,tabela_registros[TIPO],DADOS!$P$3,tabela_registros[CATEGORIA],despesafixaconsolidadoset[[#This Row],[DESPESA FIXA]])</f>
        <v>0</v>
      </c>
      <c r="V43" s="91">
        <f>SUMIFS(tabela_registros[VALOR],tabela_registros[MÊS],$AE$1,tabela_registros[DIA],settotal3059718395107119131[[#Headers],[18]],tabela_registros[REGISTRO],DADOS!$N$4,tabela_registros[TIPO],DADOS!$P$3,tabela_registros[CATEGORIA],despesafixaconsolidadoset[[#This Row],[DESPESA FIXA]])</f>
        <v>0</v>
      </c>
      <c r="W43" s="91">
        <f>SUMIFS(tabela_registros[VALOR],tabela_registros[MÊS],$AE$1,tabela_registros[DIA],settotal3059718395107119131[[#Headers],[19]],tabela_registros[REGISTRO],DADOS!$N$4,tabela_registros[TIPO],DADOS!$P$3,tabela_registros[CATEGORIA],despesafixaconsolidadoset[[#This Row],[DESPESA FIXA]])</f>
        <v>0</v>
      </c>
      <c r="X43" s="91">
        <f>SUMIFS(tabela_registros[VALOR],tabela_registros[MÊS],$AE$1,tabela_registros[DIA],settotal3059718395107119131[[#Headers],[20]],tabela_registros[REGISTRO],DADOS!$N$4,tabela_registros[TIPO],DADOS!$P$3,tabela_registros[CATEGORIA],despesafixaconsolidadoset[[#This Row],[DESPESA FIXA]])</f>
        <v>0</v>
      </c>
      <c r="Y43" s="91">
        <f>SUMIFS(tabela_registros[VALOR],tabela_registros[MÊS],$AE$1,tabela_registros[DIA],settotal3059718395107119131[[#Headers],[21]],tabela_registros[REGISTRO],DADOS!$N$4,tabela_registros[TIPO],DADOS!$P$3,tabela_registros[CATEGORIA],despesafixaconsolidadoset[[#This Row],[DESPESA FIXA]])</f>
        <v>0</v>
      </c>
      <c r="Z43" s="91">
        <f>SUMIFS(tabela_registros[VALOR],tabela_registros[MÊS],$AE$1,tabela_registros[DIA],settotal3059718395107119131[[#Headers],[22]],tabela_registros[REGISTRO],DADOS!$N$4,tabela_registros[TIPO],DADOS!$P$3,tabela_registros[CATEGORIA],despesafixaconsolidadoset[[#This Row],[DESPESA FIXA]])</f>
        <v>0</v>
      </c>
      <c r="AA43" s="91">
        <f>SUMIFS(tabela_registros[VALOR],tabela_registros[MÊS],$AE$1,tabela_registros[DIA],settotal3059718395107119131[[#Headers],[23]],tabela_registros[REGISTRO],DADOS!$N$4,tabela_registros[TIPO],DADOS!$P$3,tabela_registros[CATEGORIA],despesafixaconsolidadoset[[#This Row],[DESPESA FIXA]])</f>
        <v>0</v>
      </c>
      <c r="AB43" s="91">
        <f>SUMIFS(tabela_registros[VALOR],tabela_registros[MÊS],$AE$1,tabela_registros[DIA],settotal3059718395107119131[[#Headers],[24]],tabela_registros[REGISTRO],DADOS!$N$4,tabela_registros[TIPO],DADOS!$P$3,tabela_registros[CATEGORIA],despesafixaconsolidadoset[[#This Row],[DESPESA FIXA]])</f>
        <v>0</v>
      </c>
      <c r="AC43" s="91">
        <f>SUMIFS(tabela_registros[VALOR],tabela_registros[MÊS],$AE$1,tabela_registros[DIA],settotal3059718395107119131[[#Headers],[25]],tabela_registros[REGISTRO],DADOS!$N$4,tabela_registros[TIPO],DADOS!$P$3,tabela_registros[CATEGORIA],despesafixaconsolidadoset[[#This Row],[DESPESA FIXA]])</f>
        <v>0</v>
      </c>
      <c r="AD43" s="91">
        <f>SUMIFS(tabela_registros[VALOR],tabela_registros[MÊS],$AE$1,tabela_registros[DIA],settotal3059718395107119131[[#Headers],[26]],tabela_registros[REGISTRO],DADOS!$N$4,tabela_registros[TIPO],DADOS!$P$3,tabela_registros[CATEGORIA],despesafixaconsolidadoset[[#This Row],[DESPESA FIXA]])</f>
        <v>0</v>
      </c>
      <c r="AE43" s="91">
        <f>SUMIFS(tabela_registros[VALOR],tabela_registros[MÊS],$AE$1,tabela_registros[DIA],settotal3059718395107119131[[#Headers],[27]],tabela_registros[REGISTRO],DADOS!$N$4,tabela_registros[TIPO],DADOS!$P$3,tabela_registros[CATEGORIA],despesafixaconsolidadoset[[#This Row],[DESPESA FIXA]])</f>
        <v>0</v>
      </c>
      <c r="AF43" s="91">
        <f>SUMIFS(tabela_registros[VALOR],tabela_registros[MÊS],$AE$1,tabela_registros[DIA],settotal3059718395107119131[[#Headers],[28]],tabela_registros[REGISTRO],DADOS!$N$4,tabela_registros[TIPO],DADOS!$P$3,tabela_registros[CATEGORIA],despesafixaconsolidadoset[[#This Row],[DESPESA FIXA]])</f>
        <v>0</v>
      </c>
      <c r="AG43" s="91">
        <f>SUMIFS(tabela_registros[VALOR],tabela_registros[MÊS],$AE$1,tabela_registros[DIA],settotal3059718395107119131[[#Headers],[29]],tabela_registros[REGISTRO],DADOS!$N$4,tabela_registros[TIPO],DADOS!$P$3,tabela_registros[CATEGORIA],despesafixaconsolidadoset[[#This Row],[DESPESA FIXA]])</f>
        <v>0</v>
      </c>
      <c r="AH43" s="91">
        <f>SUMIFS(tabela_registros[VALOR],tabela_registros[MÊS],$AE$1,tabela_registros[DIA],settotal3059718395107119131[[#Headers],[30]],tabela_registros[REGISTRO],DADOS!$N$4,tabela_registros[TIPO],DADOS!$P$3,tabela_registros[CATEGORIA],despesafixaconsolidadoset[[#This Row],[DESPESA FIXA]])</f>
        <v>0</v>
      </c>
      <c r="AI43" s="101">
        <f>SUMIFS(tabela_registros[VALOR],tabela_registros[MÊS],$AE$1,tabela_registros[DIA],settotal3059718395107119131[[#Headers],[31]],tabela_registros[REGISTRO],DADOS!$N$4,tabela_registros[TIPO],DADOS!$P$3,tabela_registros[CATEGORIA],despesafixaconsolidadoset[[#This Row],[DESPESA FIXA]])</f>
        <v>0</v>
      </c>
      <c r="AJ43" s="97">
        <f>SUM(despesafixaconsolidadoset[[#This Row],[1]:[31]])</f>
        <v>0</v>
      </c>
      <c r="AK43" s="28"/>
    </row>
    <row r="44" spans="2:37" ht="18" customHeight="1" thickTop="1" thickBot="1" x14ac:dyDescent="0.3">
      <c r="B44" s="28"/>
      <c r="C44" s="27" t="str">
        <f>DADOS!$R$10</f>
        <v>👨‍👩‍👧 FAMÍLIA</v>
      </c>
      <c r="D44" s="26" t="str">
        <f>IF(despesafixaconsolidadoset[[#This Row],[TOTAL]]=0,"",IF(OR(despesafixaconsolidadoset[[#This Row],[TOTAL]]=LARGE($AJ$37:$AJ$50,1),despesafixaconsolidadoset[[#This Row],[TOTAL]]=LARGE($AJ$37:$AJ$50,2),despesafixaconsolidadoset[[#This Row],[TOTAL]]=LARGE($AJ$37:$AJ$50,3),despesafixaconsolidadoset[[#This Row],[TOTAL]]=LARGE($AJ$37:$AJ$50,4),despesafixaconsolidadoset[[#This Row],[TOTAL]]=LARGE($AJ$37:$AJ$50,5)),DADOS!$I$8,""))</f>
        <v/>
      </c>
      <c r="E44" s="96">
        <f>SUMIFS(tabela_registros[VALOR],tabela_registros[MÊS],$AE$1,tabela_registros[DIA],settotal3059718395107119131[[#Headers],[1]],tabela_registros[REGISTRO],DADOS!$N$4,tabela_registros[TIPO],DADOS!$P$3,tabela_registros[CATEGORIA],despesafixaconsolidadoset[[#This Row],[DESPESA FIXA]])</f>
        <v>0</v>
      </c>
      <c r="F44" s="91">
        <f>SUMIFS(tabela_registros[VALOR],tabela_registros[MÊS],$AE$1,tabela_registros[DIA],settotal3059718395107119131[[#Headers],[2]],tabela_registros[REGISTRO],DADOS!$N$4,tabela_registros[TIPO],DADOS!$P$3,tabela_registros[CATEGORIA],despesafixaconsolidadoset[[#This Row],[DESPESA FIXA]])</f>
        <v>0</v>
      </c>
      <c r="G44" s="91">
        <f>SUMIFS(tabela_registros[VALOR],tabela_registros[MÊS],$AE$1,tabela_registros[DIA],settotal3059718395107119131[[#Headers],[3]],tabela_registros[REGISTRO],DADOS!$N$4,tabela_registros[TIPO],DADOS!$P$3,tabela_registros[CATEGORIA],despesafixaconsolidadoset[[#This Row],[DESPESA FIXA]])</f>
        <v>0</v>
      </c>
      <c r="H44" s="91">
        <f>SUMIFS(tabela_registros[VALOR],tabela_registros[MÊS],$AE$1,tabela_registros[DIA],settotal3059718395107119131[[#Headers],[4]],tabela_registros[REGISTRO],DADOS!$N$4,tabela_registros[TIPO],DADOS!$P$3,tabela_registros[CATEGORIA],despesafixaconsolidadoset[[#This Row],[DESPESA FIXA]])</f>
        <v>0</v>
      </c>
      <c r="I44" s="91">
        <f>SUMIFS(tabela_registros[VALOR],tabela_registros[MÊS],$AE$1,tabela_registros[DIA],settotal3059718395107119131[[#Headers],[5]],tabela_registros[REGISTRO],DADOS!$N$4,tabela_registros[TIPO],DADOS!$P$3,tabela_registros[CATEGORIA],despesafixaconsolidadoset[[#This Row],[DESPESA FIXA]])</f>
        <v>0</v>
      </c>
      <c r="J44" s="91">
        <f>SUMIFS(tabela_registros[VALOR],tabela_registros[MÊS],$AE$1,tabela_registros[DIA],settotal3059718395107119131[[#Headers],[6]],tabela_registros[REGISTRO],DADOS!$N$4,tabela_registros[TIPO],DADOS!$P$3,tabela_registros[CATEGORIA],despesafixaconsolidadoset[[#This Row],[DESPESA FIXA]])</f>
        <v>0</v>
      </c>
      <c r="K44" s="91">
        <f>SUMIFS(tabela_registros[VALOR],tabela_registros[MÊS],$AE$1,tabela_registros[DIA],settotal3059718395107119131[[#Headers],[7]],tabela_registros[REGISTRO],DADOS!$N$4,tabela_registros[TIPO],DADOS!$P$3,tabela_registros[CATEGORIA],despesafixaconsolidadoset[[#This Row],[DESPESA FIXA]])</f>
        <v>0</v>
      </c>
      <c r="L44" s="91">
        <f>SUMIFS(tabela_registros[VALOR],tabela_registros[MÊS],$AE$1,tabela_registros[DIA],settotal3059718395107119131[[#Headers],[8]],tabela_registros[REGISTRO],DADOS!$N$4,tabela_registros[TIPO],DADOS!$P$3,tabela_registros[CATEGORIA],despesafixaconsolidadoset[[#This Row],[DESPESA FIXA]])</f>
        <v>0</v>
      </c>
      <c r="M44" s="91">
        <f>SUMIFS(tabela_registros[VALOR],tabela_registros[MÊS],$AE$1,tabela_registros[DIA],settotal3059718395107119131[[#Headers],[9]],tabela_registros[REGISTRO],DADOS!$N$4,tabela_registros[TIPO],DADOS!$P$3,tabela_registros[CATEGORIA],despesafixaconsolidadoset[[#This Row],[DESPESA FIXA]])</f>
        <v>0</v>
      </c>
      <c r="N44" s="91">
        <f>SUMIFS(tabela_registros[VALOR],tabela_registros[MÊS],$AE$1,tabela_registros[DIA],settotal3059718395107119131[[#Headers],[10]],tabela_registros[REGISTRO],DADOS!$N$4,tabela_registros[TIPO],DADOS!$P$3,tabela_registros[CATEGORIA],despesafixaconsolidadoset[[#This Row],[DESPESA FIXA]])</f>
        <v>0</v>
      </c>
      <c r="O44" s="91">
        <f>SUMIFS(tabela_registros[VALOR],tabela_registros[MÊS],$AE$1,tabela_registros[DIA],settotal3059718395107119131[[#Headers],[11]],tabela_registros[REGISTRO],DADOS!$N$4,tabela_registros[TIPO],DADOS!$P$3,tabela_registros[CATEGORIA],despesafixaconsolidadoset[[#This Row],[DESPESA FIXA]])</f>
        <v>0</v>
      </c>
      <c r="P44" s="91">
        <f>SUMIFS(tabela_registros[VALOR],tabela_registros[MÊS],$AE$1,tabela_registros[DIA],settotal3059718395107119131[[#Headers],[12]],tabela_registros[REGISTRO],DADOS!$N$4,tabela_registros[TIPO],DADOS!$P$3,tabela_registros[CATEGORIA],despesafixaconsolidadoset[[#This Row],[DESPESA FIXA]])</f>
        <v>0</v>
      </c>
      <c r="Q44" s="91">
        <f>SUMIFS(tabela_registros[VALOR],tabela_registros[MÊS],$AE$1,tabela_registros[DIA],settotal3059718395107119131[[#Headers],[13]],tabela_registros[REGISTRO],DADOS!$N$4,tabela_registros[TIPO],DADOS!$P$3,tabela_registros[CATEGORIA],despesafixaconsolidadoset[[#This Row],[DESPESA FIXA]])</f>
        <v>0</v>
      </c>
      <c r="R44" s="91">
        <f>SUMIFS(tabela_registros[VALOR],tabela_registros[MÊS],$AE$1,tabela_registros[DIA],settotal3059718395107119131[[#Headers],[14]],tabela_registros[REGISTRO],DADOS!$N$4,tabela_registros[TIPO],DADOS!$P$3,tabela_registros[CATEGORIA],despesafixaconsolidadoset[[#This Row],[DESPESA FIXA]])</f>
        <v>0</v>
      </c>
      <c r="S44" s="91">
        <f>SUMIFS(tabela_registros[VALOR],tabela_registros[MÊS],$AE$1,tabela_registros[DIA],settotal3059718395107119131[[#Headers],[15]],tabela_registros[REGISTRO],DADOS!$N$4,tabela_registros[TIPO],DADOS!$P$3,tabela_registros[CATEGORIA],despesafixaconsolidadoset[[#This Row],[DESPESA FIXA]])</f>
        <v>0</v>
      </c>
      <c r="T44" s="91">
        <f>SUMIFS(tabela_registros[VALOR],tabela_registros[MÊS],$AE$1,tabela_registros[DIA],settotal3059718395107119131[[#Headers],[16]],tabela_registros[REGISTRO],DADOS!$N$4,tabela_registros[TIPO],DADOS!$P$3,tabela_registros[CATEGORIA],despesafixaconsolidadoset[[#This Row],[DESPESA FIXA]])</f>
        <v>0</v>
      </c>
      <c r="U44" s="91">
        <f>SUMIFS(tabela_registros[VALOR],tabela_registros[MÊS],$AE$1,tabela_registros[DIA],settotal3059718395107119131[[#Headers],[17]],tabela_registros[REGISTRO],DADOS!$N$4,tabela_registros[TIPO],DADOS!$P$3,tabela_registros[CATEGORIA],despesafixaconsolidadoset[[#This Row],[DESPESA FIXA]])</f>
        <v>0</v>
      </c>
      <c r="V44" s="91">
        <f>SUMIFS(tabela_registros[VALOR],tabela_registros[MÊS],$AE$1,tabela_registros[DIA],settotal3059718395107119131[[#Headers],[18]],tabela_registros[REGISTRO],DADOS!$N$4,tabela_registros[TIPO],DADOS!$P$3,tabela_registros[CATEGORIA],despesafixaconsolidadoset[[#This Row],[DESPESA FIXA]])</f>
        <v>0</v>
      </c>
      <c r="W44" s="91">
        <f>SUMIFS(tabela_registros[VALOR],tabela_registros[MÊS],$AE$1,tabela_registros[DIA],settotal3059718395107119131[[#Headers],[19]],tabela_registros[REGISTRO],DADOS!$N$4,tabela_registros[TIPO],DADOS!$P$3,tabela_registros[CATEGORIA],despesafixaconsolidadoset[[#This Row],[DESPESA FIXA]])</f>
        <v>0</v>
      </c>
      <c r="X44" s="91">
        <f>SUMIFS(tabela_registros[VALOR],tabela_registros[MÊS],$AE$1,tabela_registros[DIA],settotal3059718395107119131[[#Headers],[20]],tabela_registros[REGISTRO],DADOS!$N$4,tabela_registros[TIPO],DADOS!$P$3,tabela_registros[CATEGORIA],despesafixaconsolidadoset[[#This Row],[DESPESA FIXA]])</f>
        <v>0</v>
      </c>
      <c r="Y44" s="91">
        <f>SUMIFS(tabela_registros[VALOR],tabela_registros[MÊS],$AE$1,tabela_registros[DIA],settotal3059718395107119131[[#Headers],[21]],tabela_registros[REGISTRO],DADOS!$N$4,tabela_registros[TIPO],DADOS!$P$3,tabela_registros[CATEGORIA],despesafixaconsolidadoset[[#This Row],[DESPESA FIXA]])</f>
        <v>0</v>
      </c>
      <c r="Z44" s="91">
        <f>SUMIFS(tabela_registros[VALOR],tabela_registros[MÊS],$AE$1,tabela_registros[DIA],settotal3059718395107119131[[#Headers],[22]],tabela_registros[REGISTRO],DADOS!$N$4,tabela_registros[TIPO],DADOS!$P$3,tabela_registros[CATEGORIA],despesafixaconsolidadoset[[#This Row],[DESPESA FIXA]])</f>
        <v>0</v>
      </c>
      <c r="AA44" s="91">
        <f>SUMIFS(tabela_registros[VALOR],tabela_registros[MÊS],$AE$1,tabela_registros[DIA],settotal3059718395107119131[[#Headers],[23]],tabela_registros[REGISTRO],DADOS!$N$4,tabela_registros[TIPO],DADOS!$P$3,tabela_registros[CATEGORIA],despesafixaconsolidadoset[[#This Row],[DESPESA FIXA]])</f>
        <v>0</v>
      </c>
      <c r="AB44" s="91">
        <f>SUMIFS(tabela_registros[VALOR],tabela_registros[MÊS],$AE$1,tabela_registros[DIA],settotal3059718395107119131[[#Headers],[24]],tabela_registros[REGISTRO],DADOS!$N$4,tabela_registros[TIPO],DADOS!$P$3,tabela_registros[CATEGORIA],despesafixaconsolidadoset[[#This Row],[DESPESA FIXA]])</f>
        <v>0</v>
      </c>
      <c r="AC44" s="91">
        <f>SUMIFS(tabela_registros[VALOR],tabela_registros[MÊS],$AE$1,tabela_registros[DIA],settotal3059718395107119131[[#Headers],[25]],tabela_registros[REGISTRO],DADOS!$N$4,tabela_registros[TIPO],DADOS!$P$3,tabela_registros[CATEGORIA],despesafixaconsolidadoset[[#This Row],[DESPESA FIXA]])</f>
        <v>0</v>
      </c>
      <c r="AD44" s="91">
        <f>SUMIFS(tabela_registros[VALOR],tabela_registros[MÊS],$AE$1,tabela_registros[DIA],settotal3059718395107119131[[#Headers],[26]],tabela_registros[REGISTRO],DADOS!$N$4,tabela_registros[TIPO],DADOS!$P$3,tabela_registros[CATEGORIA],despesafixaconsolidadoset[[#This Row],[DESPESA FIXA]])</f>
        <v>0</v>
      </c>
      <c r="AE44" s="91">
        <f>SUMIFS(tabela_registros[VALOR],tabela_registros[MÊS],$AE$1,tabela_registros[DIA],settotal3059718395107119131[[#Headers],[27]],tabela_registros[REGISTRO],DADOS!$N$4,tabela_registros[TIPO],DADOS!$P$3,tabela_registros[CATEGORIA],despesafixaconsolidadoset[[#This Row],[DESPESA FIXA]])</f>
        <v>0</v>
      </c>
      <c r="AF44" s="91">
        <f>SUMIFS(tabela_registros[VALOR],tabela_registros[MÊS],$AE$1,tabela_registros[DIA],settotal3059718395107119131[[#Headers],[28]],tabela_registros[REGISTRO],DADOS!$N$4,tabela_registros[TIPO],DADOS!$P$3,tabela_registros[CATEGORIA],despesafixaconsolidadoset[[#This Row],[DESPESA FIXA]])</f>
        <v>0</v>
      </c>
      <c r="AG44" s="91">
        <f>SUMIFS(tabela_registros[VALOR],tabela_registros[MÊS],$AE$1,tabela_registros[DIA],settotal3059718395107119131[[#Headers],[29]],tabela_registros[REGISTRO],DADOS!$N$4,tabela_registros[TIPO],DADOS!$P$3,tabela_registros[CATEGORIA],despesafixaconsolidadoset[[#This Row],[DESPESA FIXA]])</f>
        <v>0</v>
      </c>
      <c r="AH44" s="91">
        <f>SUMIFS(tabela_registros[VALOR],tabela_registros[MÊS],$AE$1,tabela_registros[DIA],settotal3059718395107119131[[#Headers],[30]],tabela_registros[REGISTRO],DADOS!$N$4,tabela_registros[TIPO],DADOS!$P$3,tabela_registros[CATEGORIA],despesafixaconsolidadoset[[#This Row],[DESPESA FIXA]])</f>
        <v>0</v>
      </c>
      <c r="AI44" s="101">
        <f>SUMIFS(tabela_registros[VALOR],tabela_registros[MÊS],$AE$1,tabela_registros[DIA],settotal3059718395107119131[[#Headers],[31]],tabela_registros[REGISTRO],DADOS!$N$4,tabela_registros[TIPO],DADOS!$P$3,tabela_registros[CATEGORIA],despesafixaconsolidadoset[[#This Row],[DESPESA FIXA]])</f>
        <v>0</v>
      </c>
      <c r="AJ44" s="97">
        <f>SUM(despesafixaconsolidadoset[[#This Row],[1]:[31]])</f>
        <v>0</v>
      </c>
      <c r="AK44" s="28"/>
    </row>
    <row r="45" spans="2:37" ht="18" customHeight="1" thickTop="1" thickBot="1" x14ac:dyDescent="0.3">
      <c r="B45" s="28"/>
      <c r="C45" s="27" t="str">
        <f>DADOS!$R$11</f>
        <v>🔢 IMPOSTOS</v>
      </c>
      <c r="D45" s="26" t="str">
        <f>IF(despesafixaconsolidadoset[[#This Row],[TOTAL]]=0,"",IF(OR(despesafixaconsolidadoset[[#This Row],[TOTAL]]=LARGE($AJ$37:$AJ$50,1),despesafixaconsolidadoset[[#This Row],[TOTAL]]=LARGE($AJ$37:$AJ$50,2),despesafixaconsolidadoset[[#This Row],[TOTAL]]=LARGE($AJ$37:$AJ$50,3),despesafixaconsolidadoset[[#This Row],[TOTAL]]=LARGE($AJ$37:$AJ$50,4),despesafixaconsolidadoset[[#This Row],[TOTAL]]=LARGE($AJ$37:$AJ$50,5)),DADOS!$I$8,""))</f>
        <v/>
      </c>
      <c r="E45" s="96">
        <f>SUMIFS(tabela_registros[VALOR],tabela_registros[MÊS],$AE$1,tabela_registros[DIA],settotal3059718395107119131[[#Headers],[1]],tabela_registros[REGISTRO],DADOS!$N$4,tabela_registros[TIPO],DADOS!$P$3,tabela_registros[CATEGORIA],despesafixaconsolidadoset[[#This Row],[DESPESA FIXA]])</f>
        <v>0</v>
      </c>
      <c r="F45" s="91">
        <f>SUMIFS(tabela_registros[VALOR],tabela_registros[MÊS],$AE$1,tabela_registros[DIA],settotal3059718395107119131[[#Headers],[2]],tabela_registros[REGISTRO],DADOS!$N$4,tabela_registros[TIPO],DADOS!$P$3,tabela_registros[CATEGORIA],despesafixaconsolidadoset[[#This Row],[DESPESA FIXA]])</f>
        <v>0</v>
      </c>
      <c r="G45" s="91">
        <f>SUMIFS(tabela_registros[VALOR],tabela_registros[MÊS],$AE$1,tabela_registros[DIA],settotal3059718395107119131[[#Headers],[3]],tabela_registros[REGISTRO],DADOS!$N$4,tabela_registros[TIPO],DADOS!$P$3,tabela_registros[CATEGORIA],despesafixaconsolidadoset[[#This Row],[DESPESA FIXA]])</f>
        <v>0</v>
      </c>
      <c r="H45" s="91">
        <f>SUMIFS(tabela_registros[VALOR],tabela_registros[MÊS],$AE$1,tabela_registros[DIA],settotal3059718395107119131[[#Headers],[4]],tabela_registros[REGISTRO],DADOS!$N$4,tabela_registros[TIPO],DADOS!$P$3,tabela_registros[CATEGORIA],despesafixaconsolidadoset[[#This Row],[DESPESA FIXA]])</f>
        <v>0</v>
      </c>
      <c r="I45" s="91">
        <f>SUMIFS(tabela_registros[VALOR],tabela_registros[MÊS],$AE$1,tabela_registros[DIA],settotal3059718395107119131[[#Headers],[5]],tabela_registros[REGISTRO],DADOS!$N$4,tabela_registros[TIPO],DADOS!$P$3,tabela_registros[CATEGORIA],despesafixaconsolidadoset[[#This Row],[DESPESA FIXA]])</f>
        <v>0</v>
      </c>
      <c r="J45" s="91">
        <f>SUMIFS(tabela_registros[VALOR],tabela_registros[MÊS],$AE$1,tabela_registros[DIA],settotal3059718395107119131[[#Headers],[6]],tabela_registros[REGISTRO],DADOS!$N$4,tabela_registros[TIPO],DADOS!$P$3,tabela_registros[CATEGORIA],despesafixaconsolidadoset[[#This Row],[DESPESA FIXA]])</f>
        <v>0</v>
      </c>
      <c r="K45" s="91">
        <f>SUMIFS(tabela_registros[VALOR],tabela_registros[MÊS],$AE$1,tabela_registros[DIA],settotal3059718395107119131[[#Headers],[7]],tabela_registros[REGISTRO],DADOS!$N$4,tabela_registros[TIPO],DADOS!$P$3,tabela_registros[CATEGORIA],despesafixaconsolidadoset[[#This Row],[DESPESA FIXA]])</f>
        <v>0</v>
      </c>
      <c r="L45" s="91">
        <f>SUMIFS(tabela_registros[VALOR],tabela_registros[MÊS],$AE$1,tabela_registros[DIA],settotal3059718395107119131[[#Headers],[8]],tabela_registros[REGISTRO],DADOS!$N$4,tabela_registros[TIPO],DADOS!$P$3,tabela_registros[CATEGORIA],despesafixaconsolidadoset[[#This Row],[DESPESA FIXA]])</f>
        <v>0</v>
      </c>
      <c r="M45" s="91">
        <f>SUMIFS(tabela_registros[VALOR],tabela_registros[MÊS],$AE$1,tabela_registros[DIA],settotal3059718395107119131[[#Headers],[9]],tabela_registros[REGISTRO],DADOS!$N$4,tabela_registros[TIPO],DADOS!$P$3,tabela_registros[CATEGORIA],despesafixaconsolidadoset[[#This Row],[DESPESA FIXA]])</f>
        <v>0</v>
      </c>
      <c r="N45" s="91">
        <f>SUMIFS(tabela_registros[VALOR],tabela_registros[MÊS],$AE$1,tabela_registros[DIA],settotal3059718395107119131[[#Headers],[10]],tabela_registros[REGISTRO],DADOS!$N$4,tabela_registros[TIPO],DADOS!$P$3,tabela_registros[CATEGORIA],despesafixaconsolidadoset[[#This Row],[DESPESA FIXA]])</f>
        <v>0</v>
      </c>
      <c r="O45" s="91">
        <f>SUMIFS(tabela_registros[VALOR],tabela_registros[MÊS],$AE$1,tabela_registros[DIA],settotal3059718395107119131[[#Headers],[11]],tabela_registros[REGISTRO],DADOS!$N$4,tabela_registros[TIPO],DADOS!$P$3,tabela_registros[CATEGORIA],despesafixaconsolidadoset[[#This Row],[DESPESA FIXA]])</f>
        <v>0</v>
      </c>
      <c r="P45" s="91">
        <f>SUMIFS(tabela_registros[VALOR],tabela_registros[MÊS],$AE$1,tabela_registros[DIA],settotal3059718395107119131[[#Headers],[12]],tabela_registros[REGISTRO],DADOS!$N$4,tabela_registros[TIPO],DADOS!$P$3,tabela_registros[CATEGORIA],despesafixaconsolidadoset[[#This Row],[DESPESA FIXA]])</f>
        <v>0</v>
      </c>
      <c r="Q45" s="91">
        <f>SUMIFS(tabela_registros[VALOR],tabela_registros[MÊS],$AE$1,tabela_registros[DIA],settotal3059718395107119131[[#Headers],[13]],tabela_registros[REGISTRO],DADOS!$N$4,tabela_registros[TIPO],DADOS!$P$3,tabela_registros[CATEGORIA],despesafixaconsolidadoset[[#This Row],[DESPESA FIXA]])</f>
        <v>0</v>
      </c>
      <c r="R45" s="91">
        <f>SUMIFS(tabela_registros[VALOR],tabela_registros[MÊS],$AE$1,tabela_registros[DIA],settotal3059718395107119131[[#Headers],[14]],tabela_registros[REGISTRO],DADOS!$N$4,tabela_registros[TIPO],DADOS!$P$3,tabela_registros[CATEGORIA],despesafixaconsolidadoset[[#This Row],[DESPESA FIXA]])</f>
        <v>0</v>
      </c>
      <c r="S45" s="91">
        <f>SUMIFS(tabela_registros[VALOR],tabela_registros[MÊS],$AE$1,tabela_registros[DIA],settotal3059718395107119131[[#Headers],[15]],tabela_registros[REGISTRO],DADOS!$N$4,tabela_registros[TIPO],DADOS!$P$3,tabela_registros[CATEGORIA],despesafixaconsolidadoset[[#This Row],[DESPESA FIXA]])</f>
        <v>0</v>
      </c>
      <c r="T45" s="91">
        <f>SUMIFS(tabela_registros[VALOR],tabela_registros[MÊS],$AE$1,tabela_registros[DIA],settotal3059718395107119131[[#Headers],[16]],tabela_registros[REGISTRO],DADOS!$N$4,tabela_registros[TIPO],DADOS!$P$3,tabela_registros[CATEGORIA],despesafixaconsolidadoset[[#This Row],[DESPESA FIXA]])</f>
        <v>0</v>
      </c>
      <c r="U45" s="91">
        <f>SUMIFS(tabela_registros[VALOR],tabela_registros[MÊS],$AE$1,tabela_registros[DIA],settotal3059718395107119131[[#Headers],[17]],tabela_registros[REGISTRO],DADOS!$N$4,tabela_registros[TIPO],DADOS!$P$3,tabela_registros[CATEGORIA],despesafixaconsolidadoset[[#This Row],[DESPESA FIXA]])</f>
        <v>0</v>
      </c>
      <c r="V45" s="91">
        <f>SUMIFS(tabela_registros[VALOR],tabela_registros[MÊS],$AE$1,tabela_registros[DIA],settotal3059718395107119131[[#Headers],[18]],tabela_registros[REGISTRO],DADOS!$N$4,tabela_registros[TIPO],DADOS!$P$3,tabela_registros[CATEGORIA],despesafixaconsolidadoset[[#This Row],[DESPESA FIXA]])</f>
        <v>0</v>
      </c>
      <c r="W45" s="91">
        <f>SUMIFS(tabela_registros[VALOR],tabela_registros[MÊS],$AE$1,tabela_registros[DIA],settotal3059718395107119131[[#Headers],[19]],tabela_registros[REGISTRO],DADOS!$N$4,tabela_registros[TIPO],DADOS!$P$3,tabela_registros[CATEGORIA],despesafixaconsolidadoset[[#This Row],[DESPESA FIXA]])</f>
        <v>0</v>
      </c>
      <c r="X45" s="91">
        <f>SUMIFS(tabela_registros[VALOR],tabela_registros[MÊS],$AE$1,tabela_registros[DIA],settotal3059718395107119131[[#Headers],[20]],tabela_registros[REGISTRO],DADOS!$N$4,tabela_registros[TIPO],DADOS!$P$3,tabela_registros[CATEGORIA],despesafixaconsolidadoset[[#This Row],[DESPESA FIXA]])</f>
        <v>0</v>
      </c>
      <c r="Y45" s="91">
        <f>SUMIFS(tabela_registros[VALOR],tabela_registros[MÊS],$AE$1,tabela_registros[DIA],settotal3059718395107119131[[#Headers],[21]],tabela_registros[REGISTRO],DADOS!$N$4,tabela_registros[TIPO],DADOS!$P$3,tabela_registros[CATEGORIA],despesafixaconsolidadoset[[#This Row],[DESPESA FIXA]])</f>
        <v>0</v>
      </c>
      <c r="Z45" s="91">
        <f>SUMIFS(tabela_registros[VALOR],tabela_registros[MÊS],$AE$1,tabela_registros[DIA],settotal3059718395107119131[[#Headers],[22]],tabela_registros[REGISTRO],DADOS!$N$4,tabela_registros[TIPO],DADOS!$P$3,tabela_registros[CATEGORIA],despesafixaconsolidadoset[[#This Row],[DESPESA FIXA]])</f>
        <v>0</v>
      </c>
      <c r="AA45" s="91">
        <f>SUMIFS(tabela_registros[VALOR],tabela_registros[MÊS],$AE$1,tabela_registros[DIA],settotal3059718395107119131[[#Headers],[23]],tabela_registros[REGISTRO],DADOS!$N$4,tabela_registros[TIPO],DADOS!$P$3,tabela_registros[CATEGORIA],despesafixaconsolidadoset[[#This Row],[DESPESA FIXA]])</f>
        <v>0</v>
      </c>
      <c r="AB45" s="91">
        <f>SUMIFS(tabela_registros[VALOR],tabela_registros[MÊS],$AE$1,tabela_registros[DIA],settotal3059718395107119131[[#Headers],[24]],tabela_registros[REGISTRO],DADOS!$N$4,tabela_registros[TIPO],DADOS!$P$3,tabela_registros[CATEGORIA],despesafixaconsolidadoset[[#This Row],[DESPESA FIXA]])</f>
        <v>0</v>
      </c>
      <c r="AC45" s="91">
        <f>SUMIFS(tabela_registros[VALOR],tabela_registros[MÊS],$AE$1,tabela_registros[DIA],settotal3059718395107119131[[#Headers],[25]],tabela_registros[REGISTRO],DADOS!$N$4,tabela_registros[TIPO],DADOS!$P$3,tabela_registros[CATEGORIA],despesafixaconsolidadoset[[#This Row],[DESPESA FIXA]])</f>
        <v>0</v>
      </c>
      <c r="AD45" s="91">
        <f>SUMIFS(tabela_registros[VALOR],tabela_registros[MÊS],$AE$1,tabela_registros[DIA],settotal3059718395107119131[[#Headers],[26]],tabela_registros[REGISTRO],DADOS!$N$4,tabela_registros[TIPO],DADOS!$P$3,tabela_registros[CATEGORIA],despesafixaconsolidadoset[[#This Row],[DESPESA FIXA]])</f>
        <v>0</v>
      </c>
      <c r="AE45" s="91">
        <f>SUMIFS(tabela_registros[VALOR],tabela_registros[MÊS],$AE$1,tabela_registros[DIA],settotal3059718395107119131[[#Headers],[27]],tabela_registros[REGISTRO],DADOS!$N$4,tabela_registros[TIPO],DADOS!$P$3,tabela_registros[CATEGORIA],despesafixaconsolidadoset[[#This Row],[DESPESA FIXA]])</f>
        <v>0</v>
      </c>
      <c r="AF45" s="91">
        <f>SUMIFS(tabela_registros[VALOR],tabela_registros[MÊS],$AE$1,tabela_registros[DIA],settotal3059718395107119131[[#Headers],[28]],tabela_registros[REGISTRO],DADOS!$N$4,tabela_registros[TIPO],DADOS!$P$3,tabela_registros[CATEGORIA],despesafixaconsolidadoset[[#This Row],[DESPESA FIXA]])</f>
        <v>0</v>
      </c>
      <c r="AG45" s="91">
        <f>SUMIFS(tabela_registros[VALOR],tabela_registros[MÊS],$AE$1,tabela_registros[DIA],settotal3059718395107119131[[#Headers],[29]],tabela_registros[REGISTRO],DADOS!$N$4,tabela_registros[TIPO],DADOS!$P$3,tabela_registros[CATEGORIA],despesafixaconsolidadoset[[#This Row],[DESPESA FIXA]])</f>
        <v>0</v>
      </c>
      <c r="AH45" s="91">
        <f>SUMIFS(tabela_registros[VALOR],tabela_registros[MÊS],$AE$1,tabela_registros[DIA],settotal3059718395107119131[[#Headers],[30]],tabela_registros[REGISTRO],DADOS!$N$4,tabela_registros[TIPO],DADOS!$P$3,tabela_registros[CATEGORIA],despesafixaconsolidadoset[[#This Row],[DESPESA FIXA]])</f>
        <v>0</v>
      </c>
      <c r="AI45" s="101">
        <f>SUMIFS(tabela_registros[VALOR],tabela_registros[MÊS],$AE$1,tabela_registros[DIA],settotal3059718395107119131[[#Headers],[31]],tabela_registros[REGISTRO],DADOS!$N$4,tabela_registros[TIPO],DADOS!$P$3,tabela_registros[CATEGORIA],despesafixaconsolidadoset[[#This Row],[DESPESA FIXA]])</f>
        <v>0</v>
      </c>
      <c r="AJ45" s="97">
        <f>SUM(despesafixaconsolidadoset[[#This Row],[1]:[31]])</f>
        <v>0</v>
      </c>
      <c r="AK45" s="28"/>
    </row>
    <row r="46" spans="2:37" ht="18" customHeight="1" thickTop="1" thickBot="1" x14ac:dyDescent="0.3">
      <c r="B46" s="28"/>
      <c r="C46" s="27" t="str">
        <f>DADOS!$R$12</f>
        <v>🖱️ INTERNET</v>
      </c>
      <c r="D46" s="26" t="str">
        <f>IF(despesafixaconsolidadoset[[#This Row],[TOTAL]]=0,"",IF(OR(despesafixaconsolidadoset[[#This Row],[TOTAL]]=LARGE($AJ$37:$AJ$50,1),despesafixaconsolidadoset[[#This Row],[TOTAL]]=LARGE($AJ$37:$AJ$50,2),despesafixaconsolidadoset[[#This Row],[TOTAL]]=LARGE($AJ$37:$AJ$50,3),despesafixaconsolidadoset[[#This Row],[TOTAL]]=LARGE($AJ$37:$AJ$50,4),despesafixaconsolidadoset[[#This Row],[TOTAL]]=LARGE($AJ$37:$AJ$50,5)),DADOS!$I$8,""))</f>
        <v/>
      </c>
      <c r="E46" s="96">
        <f>SUMIFS(tabela_registros[VALOR],tabela_registros[MÊS],$AE$1,tabela_registros[DIA],settotal3059718395107119131[[#Headers],[1]],tabela_registros[REGISTRO],DADOS!$N$4,tabela_registros[TIPO],DADOS!$P$3,tabela_registros[CATEGORIA],despesafixaconsolidadoset[[#This Row],[DESPESA FIXA]])</f>
        <v>0</v>
      </c>
      <c r="F46" s="91">
        <f>SUMIFS(tabela_registros[VALOR],tabela_registros[MÊS],$AE$1,tabela_registros[DIA],settotal3059718395107119131[[#Headers],[2]],tabela_registros[REGISTRO],DADOS!$N$4,tabela_registros[TIPO],DADOS!$P$3,tabela_registros[CATEGORIA],despesafixaconsolidadoset[[#This Row],[DESPESA FIXA]])</f>
        <v>0</v>
      </c>
      <c r="G46" s="91">
        <f>SUMIFS(tabela_registros[VALOR],tabela_registros[MÊS],$AE$1,tabela_registros[DIA],settotal3059718395107119131[[#Headers],[3]],tabela_registros[REGISTRO],DADOS!$N$4,tabela_registros[TIPO],DADOS!$P$3,tabela_registros[CATEGORIA],despesafixaconsolidadoset[[#This Row],[DESPESA FIXA]])</f>
        <v>0</v>
      </c>
      <c r="H46" s="91">
        <f>SUMIFS(tabela_registros[VALOR],tabela_registros[MÊS],$AE$1,tabela_registros[DIA],settotal3059718395107119131[[#Headers],[4]],tabela_registros[REGISTRO],DADOS!$N$4,tabela_registros[TIPO],DADOS!$P$3,tabela_registros[CATEGORIA],despesafixaconsolidadoset[[#This Row],[DESPESA FIXA]])</f>
        <v>0</v>
      </c>
      <c r="I46" s="91">
        <f>SUMIFS(tabela_registros[VALOR],tabela_registros[MÊS],$AE$1,tabela_registros[DIA],settotal3059718395107119131[[#Headers],[5]],tabela_registros[REGISTRO],DADOS!$N$4,tabela_registros[TIPO],DADOS!$P$3,tabela_registros[CATEGORIA],despesafixaconsolidadoset[[#This Row],[DESPESA FIXA]])</f>
        <v>0</v>
      </c>
      <c r="J46" s="91">
        <f>SUMIFS(tabela_registros[VALOR],tabela_registros[MÊS],$AE$1,tabela_registros[DIA],settotal3059718395107119131[[#Headers],[6]],tabela_registros[REGISTRO],DADOS!$N$4,tabela_registros[TIPO],DADOS!$P$3,tabela_registros[CATEGORIA],despesafixaconsolidadoset[[#This Row],[DESPESA FIXA]])</f>
        <v>0</v>
      </c>
      <c r="K46" s="91">
        <f>SUMIFS(tabela_registros[VALOR],tabela_registros[MÊS],$AE$1,tabela_registros[DIA],settotal3059718395107119131[[#Headers],[7]],tabela_registros[REGISTRO],DADOS!$N$4,tabela_registros[TIPO],DADOS!$P$3,tabela_registros[CATEGORIA],despesafixaconsolidadoset[[#This Row],[DESPESA FIXA]])</f>
        <v>0</v>
      </c>
      <c r="L46" s="91">
        <f>SUMIFS(tabela_registros[VALOR],tabela_registros[MÊS],$AE$1,tabela_registros[DIA],settotal3059718395107119131[[#Headers],[8]],tabela_registros[REGISTRO],DADOS!$N$4,tabela_registros[TIPO],DADOS!$P$3,tabela_registros[CATEGORIA],despesafixaconsolidadoset[[#This Row],[DESPESA FIXA]])</f>
        <v>0</v>
      </c>
      <c r="M46" s="91">
        <f>SUMIFS(tabela_registros[VALOR],tabela_registros[MÊS],$AE$1,tabela_registros[DIA],settotal3059718395107119131[[#Headers],[9]],tabela_registros[REGISTRO],DADOS!$N$4,tabela_registros[TIPO],DADOS!$P$3,tabela_registros[CATEGORIA],despesafixaconsolidadoset[[#This Row],[DESPESA FIXA]])</f>
        <v>0</v>
      </c>
      <c r="N46" s="91">
        <f>SUMIFS(tabela_registros[VALOR],tabela_registros[MÊS],$AE$1,tabela_registros[DIA],settotal3059718395107119131[[#Headers],[10]],tabela_registros[REGISTRO],DADOS!$N$4,tabela_registros[TIPO],DADOS!$P$3,tabela_registros[CATEGORIA],despesafixaconsolidadoset[[#This Row],[DESPESA FIXA]])</f>
        <v>0</v>
      </c>
      <c r="O46" s="91">
        <f>SUMIFS(tabela_registros[VALOR],tabela_registros[MÊS],$AE$1,tabela_registros[DIA],settotal3059718395107119131[[#Headers],[11]],tabela_registros[REGISTRO],DADOS!$N$4,tabela_registros[TIPO],DADOS!$P$3,tabela_registros[CATEGORIA],despesafixaconsolidadoset[[#This Row],[DESPESA FIXA]])</f>
        <v>0</v>
      </c>
      <c r="P46" s="91">
        <f>SUMIFS(tabela_registros[VALOR],tabela_registros[MÊS],$AE$1,tabela_registros[DIA],settotal3059718395107119131[[#Headers],[12]],tabela_registros[REGISTRO],DADOS!$N$4,tabela_registros[TIPO],DADOS!$P$3,tabela_registros[CATEGORIA],despesafixaconsolidadoset[[#This Row],[DESPESA FIXA]])</f>
        <v>0</v>
      </c>
      <c r="Q46" s="91">
        <f>SUMIFS(tabela_registros[VALOR],tabela_registros[MÊS],$AE$1,tabela_registros[DIA],settotal3059718395107119131[[#Headers],[13]],tabela_registros[REGISTRO],DADOS!$N$4,tabela_registros[TIPO],DADOS!$P$3,tabela_registros[CATEGORIA],despesafixaconsolidadoset[[#This Row],[DESPESA FIXA]])</f>
        <v>0</v>
      </c>
      <c r="R46" s="91">
        <f>SUMIFS(tabela_registros[VALOR],tabela_registros[MÊS],$AE$1,tabela_registros[DIA],settotal3059718395107119131[[#Headers],[14]],tabela_registros[REGISTRO],DADOS!$N$4,tabela_registros[TIPO],DADOS!$P$3,tabela_registros[CATEGORIA],despesafixaconsolidadoset[[#This Row],[DESPESA FIXA]])</f>
        <v>0</v>
      </c>
      <c r="S46" s="91">
        <f>SUMIFS(tabela_registros[VALOR],tabela_registros[MÊS],$AE$1,tabela_registros[DIA],settotal3059718395107119131[[#Headers],[15]],tabela_registros[REGISTRO],DADOS!$N$4,tabela_registros[TIPO],DADOS!$P$3,tabela_registros[CATEGORIA],despesafixaconsolidadoset[[#This Row],[DESPESA FIXA]])</f>
        <v>0</v>
      </c>
      <c r="T46" s="91">
        <f>SUMIFS(tabela_registros[VALOR],tabela_registros[MÊS],$AE$1,tabela_registros[DIA],settotal3059718395107119131[[#Headers],[16]],tabela_registros[REGISTRO],DADOS!$N$4,tabela_registros[TIPO],DADOS!$P$3,tabela_registros[CATEGORIA],despesafixaconsolidadoset[[#This Row],[DESPESA FIXA]])</f>
        <v>0</v>
      </c>
      <c r="U46" s="91">
        <f>SUMIFS(tabela_registros[VALOR],tabela_registros[MÊS],$AE$1,tabela_registros[DIA],settotal3059718395107119131[[#Headers],[17]],tabela_registros[REGISTRO],DADOS!$N$4,tabela_registros[TIPO],DADOS!$P$3,tabela_registros[CATEGORIA],despesafixaconsolidadoset[[#This Row],[DESPESA FIXA]])</f>
        <v>0</v>
      </c>
      <c r="V46" s="91">
        <f>SUMIFS(tabela_registros[VALOR],tabela_registros[MÊS],$AE$1,tabela_registros[DIA],settotal3059718395107119131[[#Headers],[18]],tabela_registros[REGISTRO],DADOS!$N$4,tabela_registros[TIPO],DADOS!$P$3,tabela_registros[CATEGORIA],despesafixaconsolidadoset[[#This Row],[DESPESA FIXA]])</f>
        <v>0</v>
      </c>
      <c r="W46" s="91">
        <f>SUMIFS(tabela_registros[VALOR],tabela_registros[MÊS],$AE$1,tabela_registros[DIA],settotal3059718395107119131[[#Headers],[19]],tabela_registros[REGISTRO],DADOS!$N$4,tabela_registros[TIPO],DADOS!$P$3,tabela_registros[CATEGORIA],despesafixaconsolidadoset[[#This Row],[DESPESA FIXA]])</f>
        <v>0</v>
      </c>
      <c r="X46" s="91">
        <f>SUMIFS(tabela_registros[VALOR],tabela_registros[MÊS],$AE$1,tabela_registros[DIA],settotal3059718395107119131[[#Headers],[20]],tabela_registros[REGISTRO],DADOS!$N$4,tabela_registros[TIPO],DADOS!$P$3,tabela_registros[CATEGORIA],despesafixaconsolidadoset[[#This Row],[DESPESA FIXA]])</f>
        <v>0</v>
      </c>
      <c r="Y46" s="91">
        <f>SUMIFS(tabela_registros[VALOR],tabela_registros[MÊS],$AE$1,tabela_registros[DIA],settotal3059718395107119131[[#Headers],[21]],tabela_registros[REGISTRO],DADOS!$N$4,tabela_registros[TIPO],DADOS!$P$3,tabela_registros[CATEGORIA],despesafixaconsolidadoset[[#This Row],[DESPESA FIXA]])</f>
        <v>0</v>
      </c>
      <c r="Z46" s="91">
        <f>SUMIFS(tabela_registros[VALOR],tabela_registros[MÊS],$AE$1,tabela_registros[DIA],settotal3059718395107119131[[#Headers],[22]],tabela_registros[REGISTRO],DADOS!$N$4,tabela_registros[TIPO],DADOS!$P$3,tabela_registros[CATEGORIA],despesafixaconsolidadoset[[#This Row],[DESPESA FIXA]])</f>
        <v>0</v>
      </c>
      <c r="AA46" s="91">
        <f>SUMIFS(tabela_registros[VALOR],tabela_registros[MÊS],$AE$1,tabela_registros[DIA],settotal3059718395107119131[[#Headers],[23]],tabela_registros[REGISTRO],DADOS!$N$4,tabela_registros[TIPO],DADOS!$P$3,tabela_registros[CATEGORIA],despesafixaconsolidadoset[[#This Row],[DESPESA FIXA]])</f>
        <v>0</v>
      </c>
      <c r="AB46" s="91">
        <f>SUMIFS(tabela_registros[VALOR],tabela_registros[MÊS],$AE$1,tabela_registros[DIA],settotal3059718395107119131[[#Headers],[24]],tabela_registros[REGISTRO],DADOS!$N$4,tabela_registros[TIPO],DADOS!$P$3,tabela_registros[CATEGORIA],despesafixaconsolidadoset[[#This Row],[DESPESA FIXA]])</f>
        <v>0</v>
      </c>
      <c r="AC46" s="91">
        <f>SUMIFS(tabela_registros[VALOR],tabela_registros[MÊS],$AE$1,tabela_registros[DIA],settotal3059718395107119131[[#Headers],[25]],tabela_registros[REGISTRO],DADOS!$N$4,tabela_registros[TIPO],DADOS!$P$3,tabela_registros[CATEGORIA],despesafixaconsolidadoset[[#This Row],[DESPESA FIXA]])</f>
        <v>0</v>
      </c>
      <c r="AD46" s="91">
        <f>SUMIFS(tabela_registros[VALOR],tabela_registros[MÊS],$AE$1,tabela_registros[DIA],settotal3059718395107119131[[#Headers],[26]],tabela_registros[REGISTRO],DADOS!$N$4,tabela_registros[TIPO],DADOS!$P$3,tabela_registros[CATEGORIA],despesafixaconsolidadoset[[#This Row],[DESPESA FIXA]])</f>
        <v>0</v>
      </c>
      <c r="AE46" s="91">
        <f>SUMIFS(tabela_registros[VALOR],tabela_registros[MÊS],$AE$1,tabela_registros[DIA],settotal3059718395107119131[[#Headers],[27]],tabela_registros[REGISTRO],DADOS!$N$4,tabela_registros[TIPO],DADOS!$P$3,tabela_registros[CATEGORIA],despesafixaconsolidadoset[[#This Row],[DESPESA FIXA]])</f>
        <v>0</v>
      </c>
      <c r="AF46" s="91">
        <f>SUMIFS(tabela_registros[VALOR],tabela_registros[MÊS],$AE$1,tabela_registros[DIA],settotal3059718395107119131[[#Headers],[28]],tabela_registros[REGISTRO],DADOS!$N$4,tabela_registros[TIPO],DADOS!$P$3,tabela_registros[CATEGORIA],despesafixaconsolidadoset[[#This Row],[DESPESA FIXA]])</f>
        <v>0</v>
      </c>
      <c r="AG46" s="91">
        <f>SUMIFS(tabela_registros[VALOR],tabela_registros[MÊS],$AE$1,tabela_registros[DIA],settotal3059718395107119131[[#Headers],[29]],tabela_registros[REGISTRO],DADOS!$N$4,tabela_registros[TIPO],DADOS!$P$3,tabela_registros[CATEGORIA],despesafixaconsolidadoset[[#This Row],[DESPESA FIXA]])</f>
        <v>0</v>
      </c>
      <c r="AH46" s="91">
        <f>SUMIFS(tabela_registros[VALOR],tabela_registros[MÊS],$AE$1,tabela_registros[DIA],settotal3059718395107119131[[#Headers],[30]],tabela_registros[REGISTRO],DADOS!$N$4,tabela_registros[TIPO],DADOS!$P$3,tabela_registros[CATEGORIA],despesafixaconsolidadoset[[#This Row],[DESPESA FIXA]])</f>
        <v>0</v>
      </c>
      <c r="AI46" s="101">
        <f>SUMIFS(tabela_registros[VALOR],tabela_registros[MÊS],$AE$1,tabela_registros[DIA],settotal3059718395107119131[[#Headers],[31]],tabela_registros[REGISTRO],DADOS!$N$4,tabela_registros[TIPO],DADOS!$P$3,tabela_registros[CATEGORIA],despesafixaconsolidadoset[[#This Row],[DESPESA FIXA]])</f>
        <v>0</v>
      </c>
      <c r="AJ46" s="97">
        <f>SUM(despesafixaconsolidadoset[[#This Row],[1]:[31]])</f>
        <v>0</v>
      </c>
      <c r="AK46" s="28"/>
    </row>
    <row r="47" spans="2:37" ht="18" customHeight="1" thickTop="1" thickBot="1" x14ac:dyDescent="0.3">
      <c r="B47" s="28"/>
      <c r="C47" s="27" t="str">
        <f>DADOS!$R$13</f>
        <v>🏠 MORADIA</v>
      </c>
      <c r="D47" s="26" t="str">
        <f>IF(despesafixaconsolidadoset[[#This Row],[TOTAL]]=0,"",IF(OR(despesafixaconsolidadoset[[#This Row],[TOTAL]]=LARGE($AJ$37:$AJ$50,1),despesafixaconsolidadoset[[#This Row],[TOTAL]]=LARGE($AJ$37:$AJ$50,2),despesafixaconsolidadoset[[#This Row],[TOTAL]]=LARGE($AJ$37:$AJ$50,3),despesafixaconsolidadoset[[#This Row],[TOTAL]]=LARGE($AJ$37:$AJ$50,4),despesafixaconsolidadoset[[#This Row],[TOTAL]]=LARGE($AJ$37:$AJ$50,5)),DADOS!$I$8,""))</f>
        <v/>
      </c>
      <c r="E47" s="96">
        <f>SUMIFS(tabela_registros[VALOR],tabela_registros[MÊS],$AE$1,tabela_registros[DIA],settotal3059718395107119131[[#Headers],[1]],tabela_registros[REGISTRO],DADOS!$N$4,tabela_registros[TIPO],DADOS!$P$3,tabela_registros[CATEGORIA],despesafixaconsolidadoset[[#This Row],[DESPESA FIXA]])</f>
        <v>0</v>
      </c>
      <c r="F47" s="91">
        <f>SUMIFS(tabela_registros[VALOR],tabela_registros[MÊS],$AE$1,tabela_registros[DIA],settotal3059718395107119131[[#Headers],[2]],tabela_registros[REGISTRO],DADOS!$N$4,tabela_registros[TIPO],DADOS!$P$3,tabela_registros[CATEGORIA],despesafixaconsolidadoset[[#This Row],[DESPESA FIXA]])</f>
        <v>0</v>
      </c>
      <c r="G47" s="91">
        <f>SUMIFS(tabela_registros[VALOR],tabela_registros[MÊS],$AE$1,tabela_registros[DIA],settotal3059718395107119131[[#Headers],[3]],tabela_registros[REGISTRO],DADOS!$N$4,tabela_registros[TIPO],DADOS!$P$3,tabela_registros[CATEGORIA],despesafixaconsolidadoset[[#This Row],[DESPESA FIXA]])</f>
        <v>0</v>
      </c>
      <c r="H47" s="91">
        <f>SUMIFS(tabela_registros[VALOR],tabela_registros[MÊS],$AE$1,tabela_registros[DIA],settotal3059718395107119131[[#Headers],[4]],tabela_registros[REGISTRO],DADOS!$N$4,tabela_registros[TIPO],DADOS!$P$3,tabela_registros[CATEGORIA],despesafixaconsolidadoset[[#This Row],[DESPESA FIXA]])</f>
        <v>0</v>
      </c>
      <c r="I47" s="91">
        <f>SUMIFS(tabela_registros[VALOR],tabela_registros[MÊS],$AE$1,tabela_registros[DIA],settotal3059718395107119131[[#Headers],[5]],tabela_registros[REGISTRO],DADOS!$N$4,tabela_registros[TIPO],DADOS!$P$3,tabela_registros[CATEGORIA],despesafixaconsolidadoset[[#This Row],[DESPESA FIXA]])</f>
        <v>0</v>
      </c>
      <c r="J47" s="91">
        <f>SUMIFS(tabela_registros[VALOR],tabela_registros[MÊS],$AE$1,tabela_registros[DIA],settotal3059718395107119131[[#Headers],[6]],tabela_registros[REGISTRO],DADOS!$N$4,tabela_registros[TIPO],DADOS!$P$3,tabela_registros[CATEGORIA],despesafixaconsolidadoset[[#This Row],[DESPESA FIXA]])</f>
        <v>0</v>
      </c>
      <c r="K47" s="91">
        <f>SUMIFS(tabela_registros[VALOR],tabela_registros[MÊS],$AE$1,tabela_registros[DIA],settotal3059718395107119131[[#Headers],[7]],tabela_registros[REGISTRO],DADOS!$N$4,tabela_registros[TIPO],DADOS!$P$3,tabela_registros[CATEGORIA],despesafixaconsolidadoset[[#This Row],[DESPESA FIXA]])</f>
        <v>0</v>
      </c>
      <c r="L47" s="91">
        <f>SUMIFS(tabela_registros[VALOR],tabela_registros[MÊS],$AE$1,tabela_registros[DIA],settotal3059718395107119131[[#Headers],[8]],tabela_registros[REGISTRO],DADOS!$N$4,tabela_registros[TIPO],DADOS!$P$3,tabela_registros[CATEGORIA],despesafixaconsolidadoset[[#This Row],[DESPESA FIXA]])</f>
        <v>0</v>
      </c>
      <c r="M47" s="91">
        <f>SUMIFS(tabela_registros[VALOR],tabela_registros[MÊS],$AE$1,tabela_registros[DIA],settotal3059718395107119131[[#Headers],[9]],tabela_registros[REGISTRO],DADOS!$N$4,tabela_registros[TIPO],DADOS!$P$3,tabela_registros[CATEGORIA],despesafixaconsolidadoset[[#This Row],[DESPESA FIXA]])</f>
        <v>0</v>
      </c>
      <c r="N47" s="91">
        <f>SUMIFS(tabela_registros[VALOR],tabela_registros[MÊS],$AE$1,tabela_registros[DIA],settotal3059718395107119131[[#Headers],[10]],tabela_registros[REGISTRO],DADOS!$N$4,tabela_registros[TIPO],DADOS!$P$3,tabela_registros[CATEGORIA],despesafixaconsolidadoset[[#This Row],[DESPESA FIXA]])</f>
        <v>0</v>
      </c>
      <c r="O47" s="91">
        <f>SUMIFS(tabela_registros[VALOR],tabela_registros[MÊS],$AE$1,tabela_registros[DIA],settotal3059718395107119131[[#Headers],[11]],tabela_registros[REGISTRO],DADOS!$N$4,tabela_registros[TIPO],DADOS!$P$3,tabela_registros[CATEGORIA],despesafixaconsolidadoset[[#This Row],[DESPESA FIXA]])</f>
        <v>0</v>
      </c>
      <c r="P47" s="91">
        <f>SUMIFS(tabela_registros[VALOR],tabela_registros[MÊS],$AE$1,tabela_registros[DIA],settotal3059718395107119131[[#Headers],[12]],tabela_registros[REGISTRO],DADOS!$N$4,tabela_registros[TIPO],DADOS!$P$3,tabela_registros[CATEGORIA],despesafixaconsolidadoset[[#This Row],[DESPESA FIXA]])</f>
        <v>0</v>
      </c>
      <c r="Q47" s="91">
        <f>SUMIFS(tabela_registros[VALOR],tabela_registros[MÊS],$AE$1,tabela_registros[DIA],settotal3059718395107119131[[#Headers],[13]],tabela_registros[REGISTRO],DADOS!$N$4,tabela_registros[TIPO],DADOS!$P$3,tabela_registros[CATEGORIA],despesafixaconsolidadoset[[#This Row],[DESPESA FIXA]])</f>
        <v>0</v>
      </c>
      <c r="R47" s="91">
        <f>SUMIFS(tabela_registros[VALOR],tabela_registros[MÊS],$AE$1,tabela_registros[DIA],settotal3059718395107119131[[#Headers],[14]],tabela_registros[REGISTRO],DADOS!$N$4,tabela_registros[TIPO],DADOS!$P$3,tabela_registros[CATEGORIA],despesafixaconsolidadoset[[#This Row],[DESPESA FIXA]])</f>
        <v>0</v>
      </c>
      <c r="S47" s="91">
        <f>SUMIFS(tabela_registros[VALOR],tabela_registros[MÊS],$AE$1,tabela_registros[DIA],settotal3059718395107119131[[#Headers],[15]],tabela_registros[REGISTRO],DADOS!$N$4,tabela_registros[TIPO],DADOS!$P$3,tabela_registros[CATEGORIA],despesafixaconsolidadoset[[#This Row],[DESPESA FIXA]])</f>
        <v>0</v>
      </c>
      <c r="T47" s="91">
        <f>SUMIFS(tabela_registros[VALOR],tabela_registros[MÊS],$AE$1,tabela_registros[DIA],settotal3059718395107119131[[#Headers],[16]],tabela_registros[REGISTRO],DADOS!$N$4,tabela_registros[TIPO],DADOS!$P$3,tabela_registros[CATEGORIA],despesafixaconsolidadoset[[#This Row],[DESPESA FIXA]])</f>
        <v>0</v>
      </c>
      <c r="U47" s="91">
        <f>SUMIFS(tabela_registros[VALOR],tabela_registros[MÊS],$AE$1,tabela_registros[DIA],settotal3059718395107119131[[#Headers],[17]],tabela_registros[REGISTRO],DADOS!$N$4,tabela_registros[TIPO],DADOS!$P$3,tabela_registros[CATEGORIA],despesafixaconsolidadoset[[#This Row],[DESPESA FIXA]])</f>
        <v>0</v>
      </c>
      <c r="V47" s="91">
        <f>SUMIFS(tabela_registros[VALOR],tabela_registros[MÊS],$AE$1,tabela_registros[DIA],settotal3059718395107119131[[#Headers],[18]],tabela_registros[REGISTRO],DADOS!$N$4,tabela_registros[TIPO],DADOS!$P$3,tabela_registros[CATEGORIA],despesafixaconsolidadoset[[#This Row],[DESPESA FIXA]])</f>
        <v>0</v>
      </c>
      <c r="W47" s="91">
        <f>SUMIFS(tabela_registros[VALOR],tabela_registros[MÊS],$AE$1,tabela_registros[DIA],settotal3059718395107119131[[#Headers],[19]],tabela_registros[REGISTRO],DADOS!$N$4,tabela_registros[TIPO],DADOS!$P$3,tabela_registros[CATEGORIA],despesafixaconsolidadoset[[#This Row],[DESPESA FIXA]])</f>
        <v>0</v>
      </c>
      <c r="X47" s="91">
        <f>SUMIFS(tabela_registros[VALOR],tabela_registros[MÊS],$AE$1,tabela_registros[DIA],settotal3059718395107119131[[#Headers],[20]],tabela_registros[REGISTRO],DADOS!$N$4,tabela_registros[TIPO],DADOS!$P$3,tabela_registros[CATEGORIA],despesafixaconsolidadoset[[#This Row],[DESPESA FIXA]])</f>
        <v>0</v>
      </c>
      <c r="Y47" s="91">
        <f>SUMIFS(tabela_registros[VALOR],tabela_registros[MÊS],$AE$1,tabela_registros[DIA],settotal3059718395107119131[[#Headers],[21]],tabela_registros[REGISTRO],DADOS!$N$4,tabela_registros[TIPO],DADOS!$P$3,tabela_registros[CATEGORIA],despesafixaconsolidadoset[[#This Row],[DESPESA FIXA]])</f>
        <v>0</v>
      </c>
      <c r="Z47" s="91">
        <f>SUMIFS(tabela_registros[VALOR],tabela_registros[MÊS],$AE$1,tabela_registros[DIA],settotal3059718395107119131[[#Headers],[22]],tabela_registros[REGISTRO],DADOS!$N$4,tabela_registros[TIPO],DADOS!$P$3,tabela_registros[CATEGORIA],despesafixaconsolidadoset[[#This Row],[DESPESA FIXA]])</f>
        <v>0</v>
      </c>
      <c r="AA47" s="91">
        <f>SUMIFS(tabela_registros[VALOR],tabela_registros[MÊS],$AE$1,tabela_registros[DIA],settotal3059718395107119131[[#Headers],[23]],tabela_registros[REGISTRO],DADOS!$N$4,tabela_registros[TIPO],DADOS!$P$3,tabela_registros[CATEGORIA],despesafixaconsolidadoset[[#This Row],[DESPESA FIXA]])</f>
        <v>0</v>
      </c>
      <c r="AB47" s="91">
        <f>SUMIFS(tabela_registros[VALOR],tabela_registros[MÊS],$AE$1,tabela_registros[DIA],settotal3059718395107119131[[#Headers],[24]],tabela_registros[REGISTRO],DADOS!$N$4,tabela_registros[TIPO],DADOS!$P$3,tabela_registros[CATEGORIA],despesafixaconsolidadoset[[#This Row],[DESPESA FIXA]])</f>
        <v>0</v>
      </c>
      <c r="AC47" s="91">
        <f>SUMIFS(tabela_registros[VALOR],tabela_registros[MÊS],$AE$1,tabela_registros[DIA],settotal3059718395107119131[[#Headers],[25]],tabela_registros[REGISTRO],DADOS!$N$4,tabela_registros[TIPO],DADOS!$P$3,tabela_registros[CATEGORIA],despesafixaconsolidadoset[[#This Row],[DESPESA FIXA]])</f>
        <v>0</v>
      </c>
      <c r="AD47" s="91">
        <f>SUMIFS(tabela_registros[VALOR],tabela_registros[MÊS],$AE$1,tabela_registros[DIA],settotal3059718395107119131[[#Headers],[26]],tabela_registros[REGISTRO],DADOS!$N$4,tabela_registros[TIPO],DADOS!$P$3,tabela_registros[CATEGORIA],despesafixaconsolidadoset[[#This Row],[DESPESA FIXA]])</f>
        <v>0</v>
      </c>
      <c r="AE47" s="91">
        <f>SUMIFS(tabela_registros[VALOR],tabela_registros[MÊS],$AE$1,tabela_registros[DIA],settotal3059718395107119131[[#Headers],[27]],tabela_registros[REGISTRO],DADOS!$N$4,tabela_registros[TIPO],DADOS!$P$3,tabela_registros[CATEGORIA],despesafixaconsolidadoset[[#This Row],[DESPESA FIXA]])</f>
        <v>0</v>
      </c>
      <c r="AF47" s="91">
        <f>SUMIFS(tabela_registros[VALOR],tabela_registros[MÊS],$AE$1,tabela_registros[DIA],settotal3059718395107119131[[#Headers],[28]],tabela_registros[REGISTRO],DADOS!$N$4,tabela_registros[TIPO],DADOS!$P$3,tabela_registros[CATEGORIA],despesafixaconsolidadoset[[#This Row],[DESPESA FIXA]])</f>
        <v>0</v>
      </c>
      <c r="AG47" s="91">
        <f>SUMIFS(tabela_registros[VALOR],tabela_registros[MÊS],$AE$1,tabela_registros[DIA],settotal3059718395107119131[[#Headers],[29]],tabela_registros[REGISTRO],DADOS!$N$4,tabela_registros[TIPO],DADOS!$P$3,tabela_registros[CATEGORIA],despesafixaconsolidadoset[[#This Row],[DESPESA FIXA]])</f>
        <v>0</v>
      </c>
      <c r="AH47" s="91">
        <f>SUMIFS(tabela_registros[VALOR],tabela_registros[MÊS],$AE$1,tabela_registros[DIA],settotal3059718395107119131[[#Headers],[30]],tabela_registros[REGISTRO],DADOS!$N$4,tabela_registros[TIPO],DADOS!$P$3,tabela_registros[CATEGORIA],despesafixaconsolidadoset[[#This Row],[DESPESA FIXA]])</f>
        <v>0</v>
      </c>
      <c r="AI47" s="101">
        <f>SUMIFS(tabela_registros[VALOR],tabela_registros[MÊS],$AE$1,tabela_registros[DIA],settotal3059718395107119131[[#Headers],[31]],tabela_registros[REGISTRO],DADOS!$N$4,tabela_registros[TIPO],DADOS!$P$3,tabela_registros[CATEGORIA],despesafixaconsolidadoset[[#This Row],[DESPESA FIXA]])</f>
        <v>0</v>
      </c>
      <c r="AJ47" s="97">
        <f>SUM(despesafixaconsolidadoset[[#This Row],[1]:[31]])</f>
        <v>0</v>
      </c>
      <c r="AK47" s="28"/>
    </row>
    <row r="48" spans="2:37" ht="18" customHeight="1" thickTop="1" thickBot="1" x14ac:dyDescent="0.3">
      <c r="B48" s="28"/>
      <c r="C48" s="27" t="str">
        <f>DADOS!$R$14</f>
        <v>💊 SAÚDE</v>
      </c>
      <c r="D48" s="26" t="str">
        <f>IF(despesafixaconsolidadoset[[#This Row],[TOTAL]]=0,"",IF(OR(despesafixaconsolidadoset[[#This Row],[TOTAL]]=LARGE($AJ$37:$AJ$50,1),despesafixaconsolidadoset[[#This Row],[TOTAL]]=LARGE($AJ$37:$AJ$50,2),despesafixaconsolidadoset[[#This Row],[TOTAL]]=LARGE($AJ$37:$AJ$50,3),despesafixaconsolidadoset[[#This Row],[TOTAL]]=LARGE($AJ$37:$AJ$50,4),despesafixaconsolidadoset[[#This Row],[TOTAL]]=LARGE($AJ$37:$AJ$50,5)),DADOS!$I$8,""))</f>
        <v/>
      </c>
      <c r="E48" s="96">
        <f>SUMIFS(tabela_registros[VALOR],tabela_registros[MÊS],$AE$1,tabela_registros[DIA],settotal3059718395107119131[[#Headers],[1]],tabela_registros[REGISTRO],DADOS!$N$4,tabela_registros[TIPO],DADOS!$P$3,tabela_registros[CATEGORIA],despesafixaconsolidadoset[[#This Row],[DESPESA FIXA]])</f>
        <v>0</v>
      </c>
      <c r="F48" s="91">
        <f>SUMIFS(tabela_registros[VALOR],tabela_registros[MÊS],$AE$1,tabela_registros[DIA],settotal3059718395107119131[[#Headers],[2]],tabela_registros[REGISTRO],DADOS!$N$4,tabela_registros[TIPO],DADOS!$P$3,tabela_registros[CATEGORIA],despesafixaconsolidadoset[[#This Row],[DESPESA FIXA]])</f>
        <v>0</v>
      </c>
      <c r="G48" s="91">
        <f>SUMIFS(tabela_registros[VALOR],tabela_registros[MÊS],$AE$1,tabela_registros[DIA],settotal3059718395107119131[[#Headers],[3]],tabela_registros[REGISTRO],DADOS!$N$4,tabela_registros[TIPO],DADOS!$P$3,tabela_registros[CATEGORIA],despesafixaconsolidadoset[[#This Row],[DESPESA FIXA]])</f>
        <v>0</v>
      </c>
      <c r="H48" s="91">
        <f>SUMIFS(tabela_registros[VALOR],tabela_registros[MÊS],$AE$1,tabela_registros[DIA],settotal3059718395107119131[[#Headers],[4]],tabela_registros[REGISTRO],DADOS!$N$4,tabela_registros[TIPO],DADOS!$P$3,tabela_registros[CATEGORIA],despesafixaconsolidadoset[[#This Row],[DESPESA FIXA]])</f>
        <v>0</v>
      </c>
      <c r="I48" s="91">
        <f>SUMIFS(tabela_registros[VALOR],tabela_registros[MÊS],$AE$1,tabela_registros[DIA],settotal3059718395107119131[[#Headers],[5]],tabela_registros[REGISTRO],DADOS!$N$4,tabela_registros[TIPO],DADOS!$P$3,tabela_registros[CATEGORIA],despesafixaconsolidadoset[[#This Row],[DESPESA FIXA]])</f>
        <v>0</v>
      </c>
      <c r="J48" s="91">
        <f>SUMIFS(tabela_registros[VALOR],tabela_registros[MÊS],$AE$1,tabela_registros[DIA],settotal3059718395107119131[[#Headers],[6]],tabela_registros[REGISTRO],DADOS!$N$4,tabela_registros[TIPO],DADOS!$P$3,tabela_registros[CATEGORIA],despesafixaconsolidadoset[[#This Row],[DESPESA FIXA]])</f>
        <v>0</v>
      </c>
      <c r="K48" s="91">
        <f>SUMIFS(tabela_registros[VALOR],tabela_registros[MÊS],$AE$1,tabela_registros[DIA],settotal3059718395107119131[[#Headers],[7]],tabela_registros[REGISTRO],DADOS!$N$4,tabela_registros[TIPO],DADOS!$P$3,tabela_registros[CATEGORIA],despesafixaconsolidadoset[[#This Row],[DESPESA FIXA]])</f>
        <v>0</v>
      </c>
      <c r="L48" s="91">
        <f>SUMIFS(tabela_registros[VALOR],tabela_registros[MÊS],$AE$1,tabela_registros[DIA],settotal3059718395107119131[[#Headers],[8]],tabela_registros[REGISTRO],DADOS!$N$4,tabela_registros[TIPO],DADOS!$P$3,tabela_registros[CATEGORIA],despesafixaconsolidadoset[[#This Row],[DESPESA FIXA]])</f>
        <v>0</v>
      </c>
      <c r="M48" s="91">
        <f>SUMIFS(tabela_registros[VALOR],tabela_registros[MÊS],$AE$1,tabela_registros[DIA],settotal3059718395107119131[[#Headers],[9]],tabela_registros[REGISTRO],DADOS!$N$4,tabela_registros[TIPO],DADOS!$P$3,tabela_registros[CATEGORIA],despesafixaconsolidadoset[[#This Row],[DESPESA FIXA]])</f>
        <v>0</v>
      </c>
      <c r="N48" s="91">
        <f>SUMIFS(tabela_registros[VALOR],tabela_registros[MÊS],$AE$1,tabela_registros[DIA],settotal3059718395107119131[[#Headers],[10]],tabela_registros[REGISTRO],DADOS!$N$4,tabela_registros[TIPO],DADOS!$P$3,tabela_registros[CATEGORIA],despesafixaconsolidadoset[[#This Row],[DESPESA FIXA]])</f>
        <v>0</v>
      </c>
      <c r="O48" s="91">
        <f>SUMIFS(tabela_registros[VALOR],tabela_registros[MÊS],$AE$1,tabela_registros[DIA],settotal3059718395107119131[[#Headers],[11]],tabela_registros[REGISTRO],DADOS!$N$4,tabela_registros[TIPO],DADOS!$P$3,tabela_registros[CATEGORIA],despesafixaconsolidadoset[[#This Row],[DESPESA FIXA]])</f>
        <v>0</v>
      </c>
      <c r="P48" s="91">
        <f>SUMIFS(tabela_registros[VALOR],tabela_registros[MÊS],$AE$1,tabela_registros[DIA],settotal3059718395107119131[[#Headers],[12]],tabela_registros[REGISTRO],DADOS!$N$4,tabela_registros[TIPO],DADOS!$P$3,tabela_registros[CATEGORIA],despesafixaconsolidadoset[[#This Row],[DESPESA FIXA]])</f>
        <v>0</v>
      </c>
      <c r="Q48" s="91">
        <f>SUMIFS(tabela_registros[VALOR],tabela_registros[MÊS],$AE$1,tabela_registros[DIA],settotal3059718395107119131[[#Headers],[13]],tabela_registros[REGISTRO],DADOS!$N$4,tabela_registros[TIPO],DADOS!$P$3,tabela_registros[CATEGORIA],despesafixaconsolidadoset[[#This Row],[DESPESA FIXA]])</f>
        <v>0</v>
      </c>
      <c r="R48" s="91">
        <f>SUMIFS(tabela_registros[VALOR],tabela_registros[MÊS],$AE$1,tabela_registros[DIA],settotal3059718395107119131[[#Headers],[14]],tabela_registros[REGISTRO],DADOS!$N$4,tabela_registros[TIPO],DADOS!$P$3,tabela_registros[CATEGORIA],despesafixaconsolidadoset[[#This Row],[DESPESA FIXA]])</f>
        <v>0</v>
      </c>
      <c r="S48" s="91">
        <f>SUMIFS(tabela_registros[VALOR],tabela_registros[MÊS],$AE$1,tabela_registros[DIA],settotal3059718395107119131[[#Headers],[15]],tabela_registros[REGISTRO],DADOS!$N$4,tabela_registros[TIPO],DADOS!$P$3,tabela_registros[CATEGORIA],despesafixaconsolidadoset[[#This Row],[DESPESA FIXA]])</f>
        <v>0</v>
      </c>
      <c r="T48" s="91">
        <f>SUMIFS(tabela_registros[VALOR],tabela_registros[MÊS],$AE$1,tabela_registros[DIA],settotal3059718395107119131[[#Headers],[16]],tabela_registros[REGISTRO],DADOS!$N$4,tabela_registros[TIPO],DADOS!$P$3,tabela_registros[CATEGORIA],despesafixaconsolidadoset[[#This Row],[DESPESA FIXA]])</f>
        <v>0</v>
      </c>
      <c r="U48" s="91">
        <f>SUMIFS(tabela_registros[VALOR],tabela_registros[MÊS],$AE$1,tabela_registros[DIA],settotal3059718395107119131[[#Headers],[17]],tabela_registros[REGISTRO],DADOS!$N$4,tabela_registros[TIPO],DADOS!$P$3,tabela_registros[CATEGORIA],despesafixaconsolidadoset[[#This Row],[DESPESA FIXA]])</f>
        <v>0</v>
      </c>
      <c r="V48" s="91">
        <f>SUMIFS(tabela_registros[VALOR],tabela_registros[MÊS],$AE$1,tabela_registros[DIA],settotal3059718395107119131[[#Headers],[18]],tabela_registros[REGISTRO],DADOS!$N$4,tabela_registros[TIPO],DADOS!$P$3,tabela_registros[CATEGORIA],despesafixaconsolidadoset[[#This Row],[DESPESA FIXA]])</f>
        <v>0</v>
      </c>
      <c r="W48" s="91">
        <f>SUMIFS(tabela_registros[VALOR],tabela_registros[MÊS],$AE$1,tabela_registros[DIA],settotal3059718395107119131[[#Headers],[19]],tabela_registros[REGISTRO],DADOS!$N$4,tabela_registros[TIPO],DADOS!$P$3,tabela_registros[CATEGORIA],despesafixaconsolidadoset[[#This Row],[DESPESA FIXA]])</f>
        <v>0</v>
      </c>
      <c r="X48" s="91">
        <f>SUMIFS(tabela_registros[VALOR],tabela_registros[MÊS],$AE$1,tabela_registros[DIA],settotal3059718395107119131[[#Headers],[20]],tabela_registros[REGISTRO],DADOS!$N$4,tabela_registros[TIPO],DADOS!$P$3,tabela_registros[CATEGORIA],despesafixaconsolidadoset[[#This Row],[DESPESA FIXA]])</f>
        <v>0</v>
      </c>
      <c r="Y48" s="91">
        <f>SUMIFS(tabela_registros[VALOR],tabela_registros[MÊS],$AE$1,tabela_registros[DIA],settotal3059718395107119131[[#Headers],[21]],tabela_registros[REGISTRO],DADOS!$N$4,tabela_registros[TIPO],DADOS!$P$3,tabela_registros[CATEGORIA],despesafixaconsolidadoset[[#This Row],[DESPESA FIXA]])</f>
        <v>0</v>
      </c>
      <c r="Z48" s="91">
        <f>SUMIFS(tabela_registros[VALOR],tabela_registros[MÊS],$AE$1,tabela_registros[DIA],settotal3059718395107119131[[#Headers],[22]],tabela_registros[REGISTRO],DADOS!$N$4,tabela_registros[TIPO],DADOS!$P$3,tabela_registros[CATEGORIA],despesafixaconsolidadoset[[#This Row],[DESPESA FIXA]])</f>
        <v>0</v>
      </c>
      <c r="AA48" s="91">
        <f>SUMIFS(tabela_registros[VALOR],tabela_registros[MÊS],$AE$1,tabela_registros[DIA],settotal3059718395107119131[[#Headers],[23]],tabela_registros[REGISTRO],DADOS!$N$4,tabela_registros[TIPO],DADOS!$P$3,tabela_registros[CATEGORIA],despesafixaconsolidadoset[[#This Row],[DESPESA FIXA]])</f>
        <v>0</v>
      </c>
      <c r="AB48" s="91">
        <f>SUMIFS(tabela_registros[VALOR],tabela_registros[MÊS],$AE$1,tabela_registros[DIA],settotal3059718395107119131[[#Headers],[24]],tabela_registros[REGISTRO],DADOS!$N$4,tabela_registros[TIPO],DADOS!$P$3,tabela_registros[CATEGORIA],despesafixaconsolidadoset[[#This Row],[DESPESA FIXA]])</f>
        <v>0</v>
      </c>
      <c r="AC48" s="91">
        <f>SUMIFS(tabela_registros[VALOR],tabela_registros[MÊS],$AE$1,tabela_registros[DIA],settotal3059718395107119131[[#Headers],[25]],tabela_registros[REGISTRO],DADOS!$N$4,tabela_registros[TIPO],DADOS!$P$3,tabela_registros[CATEGORIA],despesafixaconsolidadoset[[#This Row],[DESPESA FIXA]])</f>
        <v>0</v>
      </c>
      <c r="AD48" s="91">
        <f>SUMIFS(tabela_registros[VALOR],tabela_registros[MÊS],$AE$1,tabela_registros[DIA],settotal3059718395107119131[[#Headers],[26]],tabela_registros[REGISTRO],DADOS!$N$4,tabela_registros[TIPO],DADOS!$P$3,tabela_registros[CATEGORIA],despesafixaconsolidadoset[[#This Row],[DESPESA FIXA]])</f>
        <v>0</v>
      </c>
      <c r="AE48" s="91">
        <f>SUMIFS(tabela_registros[VALOR],tabela_registros[MÊS],$AE$1,tabela_registros[DIA],settotal3059718395107119131[[#Headers],[27]],tabela_registros[REGISTRO],DADOS!$N$4,tabela_registros[TIPO],DADOS!$P$3,tabela_registros[CATEGORIA],despesafixaconsolidadoset[[#This Row],[DESPESA FIXA]])</f>
        <v>0</v>
      </c>
      <c r="AF48" s="91">
        <f>SUMIFS(tabela_registros[VALOR],tabela_registros[MÊS],$AE$1,tabela_registros[DIA],settotal3059718395107119131[[#Headers],[28]],tabela_registros[REGISTRO],DADOS!$N$4,tabela_registros[TIPO],DADOS!$P$3,tabela_registros[CATEGORIA],despesafixaconsolidadoset[[#This Row],[DESPESA FIXA]])</f>
        <v>0</v>
      </c>
      <c r="AG48" s="91">
        <f>SUMIFS(tabela_registros[VALOR],tabela_registros[MÊS],$AE$1,tabela_registros[DIA],settotal3059718395107119131[[#Headers],[29]],tabela_registros[REGISTRO],DADOS!$N$4,tabela_registros[TIPO],DADOS!$P$3,tabela_registros[CATEGORIA],despesafixaconsolidadoset[[#This Row],[DESPESA FIXA]])</f>
        <v>0</v>
      </c>
      <c r="AH48" s="91">
        <f>SUMIFS(tabela_registros[VALOR],tabela_registros[MÊS],$AE$1,tabela_registros[DIA],settotal3059718395107119131[[#Headers],[30]],tabela_registros[REGISTRO],DADOS!$N$4,tabela_registros[TIPO],DADOS!$P$3,tabela_registros[CATEGORIA],despesafixaconsolidadoset[[#This Row],[DESPESA FIXA]])</f>
        <v>0</v>
      </c>
      <c r="AI48" s="101">
        <f>SUMIFS(tabela_registros[VALOR],tabela_registros[MÊS],$AE$1,tabela_registros[DIA],settotal3059718395107119131[[#Headers],[31]],tabela_registros[REGISTRO],DADOS!$N$4,tabela_registros[TIPO],DADOS!$P$3,tabela_registros[CATEGORIA],despesafixaconsolidadoset[[#This Row],[DESPESA FIXA]])</f>
        <v>0</v>
      </c>
      <c r="AJ48" s="97">
        <f>SUM(despesafixaconsolidadoset[[#This Row],[1]:[31]])</f>
        <v>0</v>
      </c>
      <c r="AK48" s="28"/>
    </row>
    <row r="49" spans="2:37" ht="18" customHeight="1" thickTop="1" thickBot="1" x14ac:dyDescent="0.3">
      <c r="B49" s="28"/>
      <c r="C49" s="27" t="str">
        <f>DADOS!$R$15</f>
        <v>📞 TELEFONE</v>
      </c>
      <c r="D49" s="26" t="str">
        <f>IF(despesafixaconsolidadoset[[#This Row],[TOTAL]]=0,"",IF(OR(despesafixaconsolidadoset[[#This Row],[TOTAL]]=LARGE($AJ$37:$AJ$50,1),despesafixaconsolidadoset[[#This Row],[TOTAL]]=LARGE($AJ$37:$AJ$50,2),despesafixaconsolidadoset[[#This Row],[TOTAL]]=LARGE($AJ$37:$AJ$50,3),despesafixaconsolidadoset[[#This Row],[TOTAL]]=LARGE($AJ$37:$AJ$50,4),despesafixaconsolidadoset[[#This Row],[TOTAL]]=LARGE($AJ$37:$AJ$50,5)),DADOS!$I$8,""))</f>
        <v/>
      </c>
      <c r="E49" s="96">
        <f>SUMIFS(tabela_registros[VALOR],tabela_registros[MÊS],$AE$1,tabela_registros[DIA],settotal3059718395107119131[[#Headers],[1]],tabela_registros[REGISTRO],DADOS!$N$4,tabela_registros[TIPO],DADOS!$P$3,tabela_registros[CATEGORIA],despesafixaconsolidadoset[[#This Row],[DESPESA FIXA]])</f>
        <v>0</v>
      </c>
      <c r="F49" s="91">
        <f>SUMIFS(tabela_registros[VALOR],tabela_registros[MÊS],$AE$1,tabela_registros[DIA],settotal3059718395107119131[[#Headers],[2]],tabela_registros[REGISTRO],DADOS!$N$4,tabela_registros[TIPO],DADOS!$P$3,tabela_registros[CATEGORIA],despesafixaconsolidadoset[[#This Row],[DESPESA FIXA]])</f>
        <v>0</v>
      </c>
      <c r="G49" s="91">
        <f>SUMIFS(tabela_registros[VALOR],tabela_registros[MÊS],$AE$1,tabela_registros[DIA],settotal3059718395107119131[[#Headers],[3]],tabela_registros[REGISTRO],DADOS!$N$4,tabela_registros[TIPO],DADOS!$P$3,tabela_registros[CATEGORIA],despesafixaconsolidadoset[[#This Row],[DESPESA FIXA]])</f>
        <v>0</v>
      </c>
      <c r="H49" s="91">
        <f>SUMIFS(tabela_registros[VALOR],tabela_registros[MÊS],$AE$1,tabela_registros[DIA],settotal3059718395107119131[[#Headers],[4]],tabela_registros[REGISTRO],DADOS!$N$4,tabela_registros[TIPO],DADOS!$P$3,tabela_registros[CATEGORIA],despesafixaconsolidadoset[[#This Row],[DESPESA FIXA]])</f>
        <v>0</v>
      </c>
      <c r="I49" s="91">
        <f>SUMIFS(tabela_registros[VALOR],tabela_registros[MÊS],$AE$1,tabela_registros[DIA],settotal3059718395107119131[[#Headers],[5]],tabela_registros[REGISTRO],DADOS!$N$4,tabela_registros[TIPO],DADOS!$P$3,tabela_registros[CATEGORIA],despesafixaconsolidadoset[[#This Row],[DESPESA FIXA]])</f>
        <v>0</v>
      </c>
      <c r="J49" s="91">
        <f>SUMIFS(tabela_registros[VALOR],tabela_registros[MÊS],$AE$1,tabela_registros[DIA],settotal3059718395107119131[[#Headers],[6]],tabela_registros[REGISTRO],DADOS!$N$4,tabela_registros[TIPO],DADOS!$P$3,tabela_registros[CATEGORIA],despesafixaconsolidadoset[[#This Row],[DESPESA FIXA]])</f>
        <v>0</v>
      </c>
      <c r="K49" s="91">
        <f>SUMIFS(tabela_registros[VALOR],tabela_registros[MÊS],$AE$1,tabela_registros[DIA],settotal3059718395107119131[[#Headers],[7]],tabela_registros[REGISTRO],DADOS!$N$4,tabela_registros[TIPO],DADOS!$P$3,tabela_registros[CATEGORIA],despesafixaconsolidadoset[[#This Row],[DESPESA FIXA]])</f>
        <v>0</v>
      </c>
      <c r="L49" s="91">
        <f>SUMIFS(tabela_registros[VALOR],tabela_registros[MÊS],$AE$1,tabela_registros[DIA],settotal3059718395107119131[[#Headers],[8]],tabela_registros[REGISTRO],DADOS!$N$4,tabela_registros[TIPO],DADOS!$P$3,tabela_registros[CATEGORIA],despesafixaconsolidadoset[[#This Row],[DESPESA FIXA]])</f>
        <v>0</v>
      </c>
      <c r="M49" s="91">
        <f>SUMIFS(tabela_registros[VALOR],tabela_registros[MÊS],$AE$1,tabela_registros[DIA],settotal3059718395107119131[[#Headers],[9]],tabela_registros[REGISTRO],DADOS!$N$4,tabela_registros[TIPO],DADOS!$P$3,tabela_registros[CATEGORIA],despesafixaconsolidadoset[[#This Row],[DESPESA FIXA]])</f>
        <v>0</v>
      </c>
      <c r="N49" s="91">
        <f>SUMIFS(tabela_registros[VALOR],tabela_registros[MÊS],$AE$1,tabela_registros[DIA],settotal3059718395107119131[[#Headers],[10]],tabela_registros[REGISTRO],DADOS!$N$4,tabela_registros[TIPO],DADOS!$P$3,tabela_registros[CATEGORIA],despesafixaconsolidadoset[[#This Row],[DESPESA FIXA]])</f>
        <v>0</v>
      </c>
      <c r="O49" s="91">
        <f>SUMIFS(tabela_registros[VALOR],tabela_registros[MÊS],$AE$1,tabela_registros[DIA],settotal3059718395107119131[[#Headers],[11]],tabela_registros[REGISTRO],DADOS!$N$4,tabela_registros[TIPO],DADOS!$P$3,tabela_registros[CATEGORIA],despesafixaconsolidadoset[[#This Row],[DESPESA FIXA]])</f>
        <v>0</v>
      </c>
      <c r="P49" s="91">
        <f>SUMIFS(tabela_registros[VALOR],tabela_registros[MÊS],$AE$1,tabela_registros[DIA],settotal3059718395107119131[[#Headers],[12]],tabela_registros[REGISTRO],DADOS!$N$4,tabela_registros[TIPO],DADOS!$P$3,tabela_registros[CATEGORIA],despesafixaconsolidadoset[[#This Row],[DESPESA FIXA]])</f>
        <v>0</v>
      </c>
      <c r="Q49" s="91">
        <f>SUMIFS(tabela_registros[VALOR],tabela_registros[MÊS],$AE$1,tabela_registros[DIA],settotal3059718395107119131[[#Headers],[13]],tabela_registros[REGISTRO],DADOS!$N$4,tabela_registros[TIPO],DADOS!$P$3,tabela_registros[CATEGORIA],despesafixaconsolidadoset[[#This Row],[DESPESA FIXA]])</f>
        <v>0</v>
      </c>
      <c r="R49" s="91">
        <f>SUMIFS(tabela_registros[VALOR],tabela_registros[MÊS],$AE$1,tabela_registros[DIA],settotal3059718395107119131[[#Headers],[14]],tabela_registros[REGISTRO],DADOS!$N$4,tabela_registros[TIPO],DADOS!$P$3,tabela_registros[CATEGORIA],despesafixaconsolidadoset[[#This Row],[DESPESA FIXA]])</f>
        <v>0</v>
      </c>
      <c r="S49" s="91">
        <f>SUMIFS(tabela_registros[VALOR],tabela_registros[MÊS],$AE$1,tabela_registros[DIA],settotal3059718395107119131[[#Headers],[15]],tabela_registros[REGISTRO],DADOS!$N$4,tabela_registros[TIPO],DADOS!$P$3,tabela_registros[CATEGORIA],despesafixaconsolidadoset[[#This Row],[DESPESA FIXA]])</f>
        <v>0</v>
      </c>
      <c r="T49" s="91">
        <f>SUMIFS(tabela_registros[VALOR],tabela_registros[MÊS],$AE$1,tabela_registros[DIA],settotal3059718395107119131[[#Headers],[16]],tabela_registros[REGISTRO],DADOS!$N$4,tabela_registros[TIPO],DADOS!$P$3,tabela_registros[CATEGORIA],despesafixaconsolidadoset[[#This Row],[DESPESA FIXA]])</f>
        <v>0</v>
      </c>
      <c r="U49" s="91">
        <f>SUMIFS(tabela_registros[VALOR],tabela_registros[MÊS],$AE$1,tabela_registros[DIA],settotal3059718395107119131[[#Headers],[17]],tabela_registros[REGISTRO],DADOS!$N$4,tabela_registros[TIPO],DADOS!$P$3,tabela_registros[CATEGORIA],despesafixaconsolidadoset[[#This Row],[DESPESA FIXA]])</f>
        <v>0</v>
      </c>
      <c r="V49" s="91">
        <f>SUMIFS(tabela_registros[VALOR],tabela_registros[MÊS],$AE$1,tabela_registros[DIA],settotal3059718395107119131[[#Headers],[18]],tabela_registros[REGISTRO],DADOS!$N$4,tabela_registros[TIPO],DADOS!$P$3,tabela_registros[CATEGORIA],despesafixaconsolidadoset[[#This Row],[DESPESA FIXA]])</f>
        <v>0</v>
      </c>
      <c r="W49" s="91">
        <f>SUMIFS(tabela_registros[VALOR],tabela_registros[MÊS],$AE$1,tabela_registros[DIA],settotal3059718395107119131[[#Headers],[19]],tabela_registros[REGISTRO],DADOS!$N$4,tabela_registros[TIPO],DADOS!$P$3,tabela_registros[CATEGORIA],despesafixaconsolidadoset[[#This Row],[DESPESA FIXA]])</f>
        <v>0</v>
      </c>
      <c r="X49" s="91">
        <f>SUMIFS(tabela_registros[VALOR],tabela_registros[MÊS],$AE$1,tabela_registros[DIA],settotal3059718395107119131[[#Headers],[20]],tabela_registros[REGISTRO],DADOS!$N$4,tabela_registros[TIPO],DADOS!$P$3,tabela_registros[CATEGORIA],despesafixaconsolidadoset[[#This Row],[DESPESA FIXA]])</f>
        <v>0</v>
      </c>
      <c r="Y49" s="91">
        <f>SUMIFS(tabela_registros[VALOR],tabela_registros[MÊS],$AE$1,tabela_registros[DIA],settotal3059718395107119131[[#Headers],[21]],tabela_registros[REGISTRO],DADOS!$N$4,tabela_registros[TIPO],DADOS!$P$3,tabela_registros[CATEGORIA],despesafixaconsolidadoset[[#This Row],[DESPESA FIXA]])</f>
        <v>0</v>
      </c>
      <c r="Z49" s="91">
        <f>SUMIFS(tabela_registros[VALOR],tabela_registros[MÊS],$AE$1,tabela_registros[DIA],settotal3059718395107119131[[#Headers],[22]],tabela_registros[REGISTRO],DADOS!$N$4,tabela_registros[TIPO],DADOS!$P$3,tabela_registros[CATEGORIA],despesafixaconsolidadoset[[#This Row],[DESPESA FIXA]])</f>
        <v>0</v>
      </c>
      <c r="AA49" s="91">
        <f>SUMIFS(tabela_registros[VALOR],tabela_registros[MÊS],$AE$1,tabela_registros[DIA],settotal3059718395107119131[[#Headers],[23]],tabela_registros[REGISTRO],DADOS!$N$4,tabela_registros[TIPO],DADOS!$P$3,tabela_registros[CATEGORIA],despesafixaconsolidadoset[[#This Row],[DESPESA FIXA]])</f>
        <v>0</v>
      </c>
      <c r="AB49" s="91">
        <f>SUMIFS(tabela_registros[VALOR],tabela_registros[MÊS],$AE$1,tabela_registros[DIA],settotal3059718395107119131[[#Headers],[24]],tabela_registros[REGISTRO],DADOS!$N$4,tabela_registros[TIPO],DADOS!$P$3,tabela_registros[CATEGORIA],despesafixaconsolidadoset[[#This Row],[DESPESA FIXA]])</f>
        <v>0</v>
      </c>
      <c r="AC49" s="91">
        <f>SUMIFS(tabela_registros[VALOR],tabela_registros[MÊS],$AE$1,tabela_registros[DIA],settotal3059718395107119131[[#Headers],[25]],tabela_registros[REGISTRO],DADOS!$N$4,tabela_registros[TIPO],DADOS!$P$3,tabela_registros[CATEGORIA],despesafixaconsolidadoset[[#This Row],[DESPESA FIXA]])</f>
        <v>0</v>
      </c>
      <c r="AD49" s="91">
        <f>SUMIFS(tabela_registros[VALOR],tabela_registros[MÊS],$AE$1,tabela_registros[DIA],settotal3059718395107119131[[#Headers],[26]],tabela_registros[REGISTRO],DADOS!$N$4,tabela_registros[TIPO],DADOS!$P$3,tabela_registros[CATEGORIA],despesafixaconsolidadoset[[#This Row],[DESPESA FIXA]])</f>
        <v>0</v>
      </c>
      <c r="AE49" s="91">
        <f>SUMIFS(tabela_registros[VALOR],tabela_registros[MÊS],$AE$1,tabela_registros[DIA],settotal3059718395107119131[[#Headers],[27]],tabela_registros[REGISTRO],DADOS!$N$4,tabela_registros[TIPO],DADOS!$P$3,tabela_registros[CATEGORIA],despesafixaconsolidadoset[[#This Row],[DESPESA FIXA]])</f>
        <v>0</v>
      </c>
      <c r="AF49" s="91">
        <f>SUMIFS(tabela_registros[VALOR],tabela_registros[MÊS],$AE$1,tabela_registros[DIA],settotal3059718395107119131[[#Headers],[28]],tabela_registros[REGISTRO],DADOS!$N$4,tabela_registros[TIPO],DADOS!$P$3,tabela_registros[CATEGORIA],despesafixaconsolidadoset[[#This Row],[DESPESA FIXA]])</f>
        <v>0</v>
      </c>
      <c r="AG49" s="91">
        <f>SUMIFS(tabela_registros[VALOR],tabela_registros[MÊS],$AE$1,tabela_registros[DIA],settotal3059718395107119131[[#Headers],[29]],tabela_registros[REGISTRO],DADOS!$N$4,tabela_registros[TIPO],DADOS!$P$3,tabela_registros[CATEGORIA],despesafixaconsolidadoset[[#This Row],[DESPESA FIXA]])</f>
        <v>0</v>
      </c>
      <c r="AH49" s="91">
        <f>SUMIFS(tabela_registros[VALOR],tabela_registros[MÊS],$AE$1,tabela_registros[DIA],settotal3059718395107119131[[#Headers],[30]],tabela_registros[REGISTRO],DADOS!$N$4,tabela_registros[TIPO],DADOS!$P$3,tabela_registros[CATEGORIA],despesafixaconsolidadoset[[#This Row],[DESPESA FIXA]])</f>
        <v>0</v>
      </c>
      <c r="AI49" s="101">
        <f>SUMIFS(tabela_registros[VALOR],tabela_registros[MÊS],$AE$1,tabela_registros[DIA],settotal3059718395107119131[[#Headers],[31]],tabela_registros[REGISTRO],DADOS!$N$4,tabela_registros[TIPO],DADOS!$P$3,tabela_registros[CATEGORIA],despesafixaconsolidadoset[[#This Row],[DESPESA FIXA]])</f>
        <v>0</v>
      </c>
      <c r="AJ49" s="97">
        <f>SUM(despesafixaconsolidadoset[[#This Row],[1]:[31]])</f>
        <v>0</v>
      </c>
      <c r="AK49" s="28"/>
    </row>
    <row r="50" spans="2:37" ht="18" customHeight="1" thickTop="1" thickBot="1" x14ac:dyDescent="0.3">
      <c r="B50" s="28"/>
      <c r="C50" s="27" t="str">
        <f>DADOS!$R$16</f>
        <v>📎 OUTROS</v>
      </c>
      <c r="D50" s="26" t="str">
        <f>IF(despesafixaconsolidadoset[[#This Row],[TOTAL]]=0,"",IF(OR(despesafixaconsolidadoset[[#This Row],[TOTAL]]=LARGE($AJ$37:$AJ$50,1),despesafixaconsolidadoset[[#This Row],[TOTAL]]=LARGE($AJ$37:$AJ$50,2),despesafixaconsolidadoset[[#This Row],[TOTAL]]=LARGE($AJ$37:$AJ$50,3),despesafixaconsolidadoset[[#This Row],[TOTAL]]=LARGE($AJ$37:$AJ$50,4),despesafixaconsolidadoset[[#This Row],[TOTAL]]=LARGE($AJ$37:$AJ$50,5)),DADOS!$I$8,""))</f>
        <v/>
      </c>
      <c r="E50" s="98">
        <f>SUMIFS(tabela_registros[VALOR],tabela_registros[MÊS],$AE$1,tabela_registros[DIA],settotal3059718395107119131[[#Headers],[1]],tabela_registros[REGISTRO],DADOS!$N$4,tabela_registros[TIPO],DADOS!$P$3,tabela_registros[CATEGORIA],despesafixaconsolidadoset[[#This Row],[DESPESA FIXA]])</f>
        <v>0</v>
      </c>
      <c r="F50" s="99">
        <f>SUMIFS(tabela_registros[VALOR],tabela_registros[MÊS],$AE$1,tabela_registros[DIA],settotal3059718395107119131[[#Headers],[2]],tabela_registros[REGISTRO],DADOS!$N$4,tabela_registros[TIPO],DADOS!$P$3,tabela_registros[CATEGORIA],despesafixaconsolidadoset[[#This Row],[DESPESA FIXA]])</f>
        <v>0</v>
      </c>
      <c r="G50" s="99">
        <f>SUMIFS(tabela_registros[VALOR],tabela_registros[MÊS],$AE$1,tabela_registros[DIA],settotal3059718395107119131[[#Headers],[3]],tabela_registros[REGISTRO],DADOS!$N$4,tabela_registros[TIPO],DADOS!$P$3,tabela_registros[CATEGORIA],despesafixaconsolidadoset[[#This Row],[DESPESA FIXA]])</f>
        <v>0</v>
      </c>
      <c r="H50" s="99">
        <f>SUMIFS(tabela_registros[VALOR],tabela_registros[MÊS],$AE$1,tabela_registros[DIA],settotal3059718395107119131[[#Headers],[4]],tabela_registros[REGISTRO],DADOS!$N$4,tabela_registros[TIPO],DADOS!$P$3,tabela_registros[CATEGORIA],despesafixaconsolidadoset[[#This Row],[DESPESA FIXA]])</f>
        <v>0</v>
      </c>
      <c r="I50" s="99">
        <f>SUMIFS(tabela_registros[VALOR],tabela_registros[MÊS],$AE$1,tabela_registros[DIA],settotal3059718395107119131[[#Headers],[5]],tabela_registros[REGISTRO],DADOS!$N$4,tabela_registros[TIPO],DADOS!$P$3,tabela_registros[CATEGORIA],despesafixaconsolidadoset[[#This Row],[DESPESA FIXA]])</f>
        <v>0</v>
      </c>
      <c r="J50" s="99">
        <f>SUMIFS(tabela_registros[VALOR],tabela_registros[MÊS],$AE$1,tabela_registros[DIA],settotal3059718395107119131[[#Headers],[6]],tabela_registros[REGISTRO],DADOS!$N$4,tabela_registros[TIPO],DADOS!$P$3,tabela_registros[CATEGORIA],despesafixaconsolidadoset[[#This Row],[DESPESA FIXA]])</f>
        <v>0</v>
      </c>
      <c r="K50" s="99">
        <f>SUMIFS(tabela_registros[VALOR],tabela_registros[MÊS],$AE$1,tabela_registros[DIA],settotal3059718395107119131[[#Headers],[7]],tabela_registros[REGISTRO],DADOS!$N$4,tabela_registros[TIPO],DADOS!$P$3,tabela_registros[CATEGORIA],despesafixaconsolidadoset[[#This Row],[DESPESA FIXA]])</f>
        <v>0</v>
      </c>
      <c r="L50" s="99">
        <f>SUMIFS(tabela_registros[VALOR],tabela_registros[MÊS],$AE$1,tabela_registros[DIA],settotal3059718395107119131[[#Headers],[8]],tabela_registros[REGISTRO],DADOS!$N$4,tabela_registros[TIPO],DADOS!$P$3,tabela_registros[CATEGORIA],despesafixaconsolidadoset[[#This Row],[DESPESA FIXA]])</f>
        <v>0</v>
      </c>
      <c r="M50" s="99">
        <f>SUMIFS(tabela_registros[VALOR],tabela_registros[MÊS],$AE$1,tabela_registros[DIA],settotal3059718395107119131[[#Headers],[9]],tabela_registros[REGISTRO],DADOS!$N$4,tabela_registros[TIPO],DADOS!$P$3,tabela_registros[CATEGORIA],despesafixaconsolidadoset[[#This Row],[DESPESA FIXA]])</f>
        <v>0</v>
      </c>
      <c r="N50" s="99">
        <f>SUMIFS(tabela_registros[VALOR],tabela_registros[MÊS],$AE$1,tabela_registros[DIA],settotal3059718395107119131[[#Headers],[10]],tabela_registros[REGISTRO],DADOS!$N$4,tabela_registros[TIPO],DADOS!$P$3,tabela_registros[CATEGORIA],despesafixaconsolidadoset[[#This Row],[DESPESA FIXA]])</f>
        <v>0</v>
      </c>
      <c r="O50" s="99">
        <f>SUMIFS(tabela_registros[VALOR],tabela_registros[MÊS],$AE$1,tabela_registros[DIA],settotal3059718395107119131[[#Headers],[11]],tabela_registros[REGISTRO],DADOS!$N$4,tabela_registros[TIPO],DADOS!$P$3,tabela_registros[CATEGORIA],despesafixaconsolidadoset[[#This Row],[DESPESA FIXA]])</f>
        <v>0</v>
      </c>
      <c r="P50" s="99">
        <f>SUMIFS(tabela_registros[VALOR],tabela_registros[MÊS],$AE$1,tabela_registros[DIA],settotal3059718395107119131[[#Headers],[12]],tabela_registros[REGISTRO],DADOS!$N$4,tabela_registros[TIPO],DADOS!$P$3,tabela_registros[CATEGORIA],despesafixaconsolidadoset[[#This Row],[DESPESA FIXA]])</f>
        <v>0</v>
      </c>
      <c r="Q50" s="99">
        <f>SUMIFS(tabela_registros[VALOR],tabela_registros[MÊS],$AE$1,tabela_registros[DIA],settotal3059718395107119131[[#Headers],[13]],tabela_registros[REGISTRO],DADOS!$N$4,tabela_registros[TIPO],DADOS!$P$3,tabela_registros[CATEGORIA],despesafixaconsolidadoset[[#This Row],[DESPESA FIXA]])</f>
        <v>0</v>
      </c>
      <c r="R50" s="99">
        <f>SUMIFS(tabela_registros[VALOR],tabela_registros[MÊS],$AE$1,tabela_registros[DIA],settotal3059718395107119131[[#Headers],[14]],tabela_registros[REGISTRO],DADOS!$N$4,tabela_registros[TIPO],DADOS!$P$3,tabela_registros[CATEGORIA],despesafixaconsolidadoset[[#This Row],[DESPESA FIXA]])</f>
        <v>0</v>
      </c>
      <c r="S50" s="99">
        <f>SUMIFS(tabela_registros[VALOR],tabela_registros[MÊS],$AE$1,tabela_registros[DIA],settotal3059718395107119131[[#Headers],[15]],tabela_registros[REGISTRO],DADOS!$N$4,tabela_registros[TIPO],DADOS!$P$3,tabela_registros[CATEGORIA],despesafixaconsolidadoset[[#This Row],[DESPESA FIXA]])</f>
        <v>0</v>
      </c>
      <c r="T50" s="99">
        <f>SUMIFS(tabela_registros[VALOR],tabela_registros[MÊS],$AE$1,tabela_registros[DIA],settotal3059718395107119131[[#Headers],[16]],tabela_registros[REGISTRO],DADOS!$N$4,tabela_registros[TIPO],DADOS!$P$3,tabela_registros[CATEGORIA],despesafixaconsolidadoset[[#This Row],[DESPESA FIXA]])</f>
        <v>0</v>
      </c>
      <c r="U50" s="99">
        <f>SUMIFS(tabela_registros[VALOR],tabela_registros[MÊS],$AE$1,tabela_registros[DIA],settotal3059718395107119131[[#Headers],[17]],tabela_registros[REGISTRO],DADOS!$N$4,tabela_registros[TIPO],DADOS!$P$3,tabela_registros[CATEGORIA],despesafixaconsolidadoset[[#This Row],[DESPESA FIXA]])</f>
        <v>0</v>
      </c>
      <c r="V50" s="99">
        <f>SUMIFS(tabela_registros[VALOR],tabela_registros[MÊS],$AE$1,tabela_registros[DIA],settotal3059718395107119131[[#Headers],[18]],tabela_registros[REGISTRO],DADOS!$N$4,tabela_registros[TIPO],DADOS!$P$3,tabela_registros[CATEGORIA],despesafixaconsolidadoset[[#This Row],[DESPESA FIXA]])</f>
        <v>0</v>
      </c>
      <c r="W50" s="99">
        <f>SUMIFS(tabela_registros[VALOR],tabela_registros[MÊS],$AE$1,tabela_registros[DIA],settotal3059718395107119131[[#Headers],[19]],tabela_registros[REGISTRO],DADOS!$N$4,tabela_registros[TIPO],DADOS!$P$3,tabela_registros[CATEGORIA],despesafixaconsolidadoset[[#This Row],[DESPESA FIXA]])</f>
        <v>0</v>
      </c>
      <c r="X50" s="99">
        <f>SUMIFS(tabela_registros[VALOR],tabela_registros[MÊS],$AE$1,tabela_registros[DIA],settotal3059718395107119131[[#Headers],[20]],tabela_registros[REGISTRO],DADOS!$N$4,tabela_registros[TIPO],DADOS!$P$3,tabela_registros[CATEGORIA],despesafixaconsolidadoset[[#This Row],[DESPESA FIXA]])</f>
        <v>0</v>
      </c>
      <c r="Y50" s="99">
        <f>SUMIFS(tabela_registros[VALOR],tabela_registros[MÊS],$AE$1,tabela_registros[DIA],settotal3059718395107119131[[#Headers],[21]],tabela_registros[REGISTRO],DADOS!$N$4,tabela_registros[TIPO],DADOS!$P$3,tabela_registros[CATEGORIA],despesafixaconsolidadoset[[#This Row],[DESPESA FIXA]])</f>
        <v>0</v>
      </c>
      <c r="Z50" s="99">
        <f>SUMIFS(tabela_registros[VALOR],tabela_registros[MÊS],$AE$1,tabela_registros[DIA],settotal3059718395107119131[[#Headers],[22]],tabela_registros[REGISTRO],DADOS!$N$4,tabela_registros[TIPO],DADOS!$P$3,tabela_registros[CATEGORIA],despesafixaconsolidadoset[[#This Row],[DESPESA FIXA]])</f>
        <v>0</v>
      </c>
      <c r="AA50" s="99">
        <f>SUMIFS(tabela_registros[VALOR],tabela_registros[MÊS],$AE$1,tabela_registros[DIA],settotal3059718395107119131[[#Headers],[23]],tabela_registros[REGISTRO],DADOS!$N$4,tabela_registros[TIPO],DADOS!$P$3,tabela_registros[CATEGORIA],despesafixaconsolidadoset[[#This Row],[DESPESA FIXA]])</f>
        <v>0</v>
      </c>
      <c r="AB50" s="99">
        <f>SUMIFS(tabela_registros[VALOR],tabela_registros[MÊS],$AE$1,tabela_registros[DIA],settotal3059718395107119131[[#Headers],[24]],tabela_registros[REGISTRO],DADOS!$N$4,tabela_registros[TIPO],DADOS!$P$3,tabela_registros[CATEGORIA],despesafixaconsolidadoset[[#This Row],[DESPESA FIXA]])</f>
        <v>0</v>
      </c>
      <c r="AC50" s="99">
        <f>SUMIFS(tabela_registros[VALOR],tabela_registros[MÊS],$AE$1,tabela_registros[DIA],settotal3059718395107119131[[#Headers],[25]],tabela_registros[REGISTRO],DADOS!$N$4,tabela_registros[TIPO],DADOS!$P$3,tabela_registros[CATEGORIA],despesafixaconsolidadoset[[#This Row],[DESPESA FIXA]])</f>
        <v>0</v>
      </c>
      <c r="AD50" s="99">
        <f>SUMIFS(tabela_registros[VALOR],tabela_registros[MÊS],$AE$1,tabela_registros[DIA],settotal3059718395107119131[[#Headers],[26]],tabela_registros[REGISTRO],DADOS!$N$4,tabela_registros[TIPO],DADOS!$P$3,tabela_registros[CATEGORIA],despesafixaconsolidadoset[[#This Row],[DESPESA FIXA]])</f>
        <v>0</v>
      </c>
      <c r="AE50" s="99">
        <f>SUMIFS(tabela_registros[VALOR],tabela_registros[MÊS],$AE$1,tabela_registros[DIA],settotal3059718395107119131[[#Headers],[27]],tabela_registros[REGISTRO],DADOS!$N$4,tabela_registros[TIPO],DADOS!$P$3,tabela_registros[CATEGORIA],despesafixaconsolidadoset[[#This Row],[DESPESA FIXA]])</f>
        <v>0</v>
      </c>
      <c r="AF50" s="99">
        <f>SUMIFS(tabela_registros[VALOR],tabela_registros[MÊS],$AE$1,tabela_registros[DIA],settotal3059718395107119131[[#Headers],[28]],tabela_registros[REGISTRO],DADOS!$N$4,tabela_registros[TIPO],DADOS!$P$3,tabela_registros[CATEGORIA],despesafixaconsolidadoset[[#This Row],[DESPESA FIXA]])</f>
        <v>0</v>
      </c>
      <c r="AG50" s="99">
        <f>SUMIFS(tabela_registros[VALOR],tabela_registros[MÊS],$AE$1,tabela_registros[DIA],settotal3059718395107119131[[#Headers],[29]],tabela_registros[REGISTRO],DADOS!$N$4,tabela_registros[TIPO],DADOS!$P$3,tabela_registros[CATEGORIA],despesafixaconsolidadoset[[#This Row],[DESPESA FIXA]])</f>
        <v>0</v>
      </c>
      <c r="AH50" s="99">
        <f>SUMIFS(tabela_registros[VALOR],tabela_registros[MÊS],$AE$1,tabela_registros[DIA],settotal3059718395107119131[[#Headers],[30]],tabela_registros[REGISTRO],DADOS!$N$4,tabela_registros[TIPO],DADOS!$P$3,tabela_registros[CATEGORIA],despesafixaconsolidadoset[[#This Row],[DESPESA FIXA]])</f>
        <v>0</v>
      </c>
      <c r="AI50" s="102">
        <f>SUMIFS(tabela_registros[VALOR],tabela_registros[MÊS],$AE$1,tabela_registros[DIA],settotal3059718395107119131[[#Headers],[31]],tabela_registros[REGISTRO],DADOS!$N$4,tabela_registros[TIPO],DADOS!$P$3,tabela_registros[CATEGORIA],despesafixaconsolidadoset[[#This Row],[DESPESA FIXA]])</f>
        <v>0</v>
      </c>
      <c r="AJ50" s="103">
        <f>SUM(despesafixaconsolidadoset[[#This Row],[1]:[31]])</f>
        <v>0</v>
      </c>
      <c r="AK50" s="28"/>
    </row>
    <row r="51" spans="2:37" s="16" customFormat="1" ht="21" customHeight="1" thickTop="1" thickBot="1" x14ac:dyDescent="0.35">
      <c r="B51" s="24"/>
      <c r="C51" s="23" t="s">
        <v>19</v>
      </c>
      <c r="D51" s="41" t="str">
        <f>IF(despesafixaconsolidadoset[[#This Row],[TOTAL]]=0,"",IF(OR(despesafixaconsolidadoset[[#This Row],[TOTAL]]=SMALL($AJ$37:$AJ$50,1),despesafixaconsolidadoset[[#This Row],[TOTAL]]=SMALL($AJ$37:$AJ$50,2),despesafixaconsolidadoset[[#This Row],[TOTAL]]=SMALL($AJ$37:$AJ$50,3),despesafixaconsolidadoset[[#This Row],[TOTAL]]=SMALL($AJ$37:$AJ$50,4),despesafixaconsolidadoset[[#This Row],[TOTAL]]=SMALL($AJ$37:$AJ$50,5)),DADOS!$I$8,""))</f>
        <v/>
      </c>
      <c r="E51" s="21">
        <f>SUM(E37:E50)</f>
        <v>0</v>
      </c>
      <c r="F51" s="20">
        <f>SUM(F37:F50)+despesafixaconsolidadoset[[#This Row],[1]]</f>
        <v>0</v>
      </c>
      <c r="G51" s="20">
        <f>SUM(G37:G50)+despesafixaconsolidadoset[[#This Row],[2]]</f>
        <v>0</v>
      </c>
      <c r="H51" s="20">
        <f>SUM(H37:H50)+despesafixaconsolidadoset[[#This Row],[3]]</f>
        <v>0</v>
      </c>
      <c r="I51" s="20">
        <f>SUM(I37:I50)+despesafixaconsolidadoset[[#This Row],[4]]</f>
        <v>0</v>
      </c>
      <c r="J51" s="20">
        <f>SUM(J37:J50)+despesafixaconsolidadoset[[#This Row],[5]]</f>
        <v>0</v>
      </c>
      <c r="K51" s="20">
        <f>SUM(K37:K50)+despesafixaconsolidadoset[[#This Row],[6]]</f>
        <v>0</v>
      </c>
      <c r="L51" s="20">
        <f>SUM(L37:L50)+despesafixaconsolidadoset[[#This Row],[7]]</f>
        <v>0</v>
      </c>
      <c r="M51" s="20">
        <f>SUM(M37:M50)+despesafixaconsolidadoset[[#This Row],[8]]</f>
        <v>0</v>
      </c>
      <c r="N51" s="20">
        <f>SUM(N37:N50)+despesafixaconsolidadoset[[#This Row],[9]]</f>
        <v>0</v>
      </c>
      <c r="O51" s="20">
        <f>SUM(O37:O50)+despesafixaconsolidadoset[[#This Row],[10]]</f>
        <v>0</v>
      </c>
      <c r="P51" s="20">
        <f>SUM(P37:P50)+despesafixaconsolidadoset[[#This Row],[11]]</f>
        <v>0</v>
      </c>
      <c r="Q51" s="20">
        <f>SUM(Q37:Q50)+despesafixaconsolidadoset[[#This Row],[12]]</f>
        <v>0</v>
      </c>
      <c r="R51" s="20">
        <f>SUM(R37:R50)+despesafixaconsolidadoset[[#This Row],[13]]</f>
        <v>0</v>
      </c>
      <c r="S51" s="20">
        <f>SUM(S37:S50)+despesafixaconsolidadoset[[#This Row],[14]]</f>
        <v>0</v>
      </c>
      <c r="T51" s="20">
        <f>SUM(T37:T50)+despesafixaconsolidadoset[[#This Row],[15]]</f>
        <v>0</v>
      </c>
      <c r="U51" s="20">
        <f>SUM(U37:U50)+despesafixaconsolidadoset[[#This Row],[16]]</f>
        <v>0</v>
      </c>
      <c r="V51" s="20">
        <f>SUM(V37:V50)+despesafixaconsolidadoset[[#This Row],[17]]</f>
        <v>0</v>
      </c>
      <c r="W51" s="20">
        <f>SUM(W37:W50)+despesafixaconsolidadoset[[#This Row],[18]]</f>
        <v>0</v>
      </c>
      <c r="X51" s="20">
        <f>SUM(X37:X50)+despesafixaconsolidadoset[[#This Row],[19]]</f>
        <v>0</v>
      </c>
      <c r="Y51" s="20">
        <f>SUM(Y37:Y50)+despesafixaconsolidadoset[[#This Row],[20]]</f>
        <v>0</v>
      </c>
      <c r="Z51" s="20">
        <f>SUM(Z37:Z50)+despesafixaconsolidadoset[[#This Row],[21]]</f>
        <v>0</v>
      </c>
      <c r="AA51" s="20">
        <f>SUM(AA37:AA50)+despesafixaconsolidadoset[[#This Row],[22]]</f>
        <v>0</v>
      </c>
      <c r="AB51" s="20">
        <f>SUM(AB37:AB50)+despesafixaconsolidadoset[[#This Row],[23]]</f>
        <v>0</v>
      </c>
      <c r="AC51" s="20">
        <f>SUM(AC37:AC50)+despesafixaconsolidadoset[[#This Row],[24]]</f>
        <v>0</v>
      </c>
      <c r="AD51" s="20">
        <f>SUM(AD37:AD50)+despesafixaconsolidadoset[[#This Row],[25]]</f>
        <v>0</v>
      </c>
      <c r="AE51" s="20">
        <f>SUM(AE37:AE50)+despesafixaconsolidadoset[[#This Row],[26]]</f>
        <v>0</v>
      </c>
      <c r="AF51" s="20">
        <f>SUM(AF37:AF50)+despesafixaconsolidadoset[[#This Row],[27]]</f>
        <v>0</v>
      </c>
      <c r="AG51" s="20">
        <f>SUM(AG37:AG50)+despesafixaconsolidadoset[[#This Row],[28]]</f>
        <v>0</v>
      </c>
      <c r="AH51" s="20">
        <f>SUM(AH37:AH50)+despesafixaconsolidadoset[[#This Row],[29]]</f>
        <v>0</v>
      </c>
      <c r="AI51" s="19">
        <f>SUM(AI37:AI50)+despesafixaconsolidadoset[[#This Row],[30]]</f>
        <v>0</v>
      </c>
      <c r="AJ51" s="18">
        <f>despesafixaconsolidadoset[[#This Row],[31]]</f>
        <v>0</v>
      </c>
      <c r="AK51" s="17"/>
    </row>
    <row r="52" spans="2:37" ht="6.75" customHeight="1" thickTop="1" thickBot="1" x14ac:dyDescent="0.3">
      <c r="B52" s="15"/>
      <c r="C52" s="40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39"/>
      <c r="AG52" s="39"/>
      <c r="AH52" s="39"/>
      <c r="AI52" s="48"/>
      <c r="AJ52" s="15"/>
      <c r="AK52" s="10"/>
    </row>
    <row r="53" spans="2:37" ht="12.6" thickTop="1" x14ac:dyDescent="0.25">
      <c r="C53" s="46"/>
      <c r="D53" s="47"/>
      <c r="E53" s="47"/>
      <c r="F53" s="47"/>
      <c r="G53" s="47"/>
      <c r="H53" s="47"/>
      <c r="I53" s="47"/>
      <c r="J53" s="47"/>
      <c r="K53" s="47"/>
      <c r="L53" s="47"/>
      <c r="M53" s="47"/>
      <c r="N53" s="47"/>
      <c r="O53" s="47"/>
      <c r="P53" s="47"/>
      <c r="Q53" s="47"/>
      <c r="R53" s="47"/>
      <c r="S53" s="47"/>
      <c r="T53" s="47"/>
      <c r="U53" s="47"/>
      <c r="V53" s="47"/>
      <c r="W53" s="47"/>
      <c r="X53" s="47"/>
      <c r="Y53" s="47"/>
      <c r="Z53" s="47"/>
      <c r="AA53" s="47"/>
      <c r="AB53" s="47"/>
      <c r="AC53" s="47"/>
      <c r="AD53" s="47"/>
      <c r="AE53" s="47"/>
      <c r="AF53" s="47"/>
      <c r="AG53" s="47"/>
      <c r="AH53" s="47"/>
      <c r="AI53" s="47"/>
      <c r="AK53" s="37"/>
    </row>
    <row r="54" spans="2:37" x14ac:dyDescent="0.25">
      <c r="C54" s="46"/>
      <c r="D54" s="47"/>
      <c r="E54" s="47"/>
      <c r="F54" s="47"/>
      <c r="G54" s="47"/>
      <c r="H54" s="47"/>
      <c r="I54" s="47"/>
      <c r="J54" s="47"/>
      <c r="K54" s="47"/>
      <c r="L54" s="47"/>
      <c r="M54" s="47"/>
      <c r="N54" s="47"/>
      <c r="O54" s="47"/>
      <c r="P54" s="47"/>
      <c r="Q54" s="47"/>
      <c r="R54" s="47"/>
      <c r="S54" s="47"/>
      <c r="T54" s="47"/>
      <c r="U54" s="47"/>
      <c r="V54" s="47"/>
      <c r="W54" s="47"/>
      <c r="X54" s="47"/>
      <c r="Y54" s="47"/>
      <c r="Z54" s="47"/>
      <c r="AA54" s="47"/>
      <c r="AB54" s="47"/>
      <c r="AC54" s="47"/>
      <c r="AD54" s="47"/>
      <c r="AE54" s="47"/>
      <c r="AF54" s="47"/>
      <c r="AG54" s="47"/>
      <c r="AH54" s="47"/>
      <c r="AI54" s="47"/>
    </row>
    <row r="55" spans="2:37" x14ac:dyDescent="0.25">
      <c r="C55" s="46"/>
      <c r="D55" s="47"/>
      <c r="E55" s="47"/>
      <c r="F55" s="47"/>
      <c r="G55" s="47"/>
      <c r="H55" s="47"/>
      <c r="I55" s="47"/>
      <c r="J55" s="47"/>
      <c r="K55" s="47"/>
      <c r="L55" s="47"/>
      <c r="M55" s="47"/>
      <c r="N55" s="47"/>
      <c r="O55" s="47"/>
      <c r="P55" s="47"/>
      <c r="Q55" s="47"/>
      <c r="R55" s="47"/>
      <c r="S55" s="47"/>
      <c r="T55" s="47"/>
      <c r="U55" s="47"/>
      <c r="V55" s="47"/>
      <c r="W55" s="47"/>
      <c r="X55" s="47"/>
      <c r="Y55" s="47"/>
      <c r="Z55" s="47"/>
      <c r="AA55" s="47"/>
      <c r="AB55" s="47"/>
      <c r="AC55" s="47"/>
      <c r="AD55" s="47"/>
      <c r="AE55" s="47"/>
      <c r="AF55" s="47"/>
      <c r="AG55" s="47"/>
      <c r="AH55" s="47"/>
      <c r="AI55" s="47"/>
    </row>
    <row r="56" spans="2:37" ht="39.75" customHeight="1" x14ac:dyDescent="0.25">
      <c r="C56" s="46"/>
      <c r="E56" s="240"/>
      <c r="F56" s="240"/>
      <c r="G56" s="240"/>
      <c r="H56" s="240"/>
      <c r="I56" s="240"/>
      <c r="J56" s="240"/>
      <c r="K56" s="240"/>
      <c r="L56" s="240"/>
      <c r="M56" s="240"/>
      <c r="N56" s="240"/>
      <c r="O56" s="240"/>
      <c r="P56" s="240"/>
      <c r="Q56" s="240"/>
      <c r="R56" s="240"/>
      <c r="S56" s="240"/>
      <c r="T56" s="240"/>
      <c r="U56" s="240"/>
      <c r="V56" s="240"/>
      <c r="W56" s="240"/>
      <c r="X56" s="240"/>
      <c r="Y56" s="240"/>
      <c r="Z56" s="240"/>
      <c r="AA56" s="240"/>
      <c r="AB56" s="240"/>
      <c r="AC56" s="240"/>
      <c r="AD56" s="240"/>
      <c r="AE56" s="240"/>
      <c r="AF56" s="240"/>
      <c r="AG56" s="240"/>
      <c r="AH56" s="240"/>
      <c r="AI56" s="240"/>
      <c r="AJ56" s="32" t="s">
        <v>19</v>
      </c>
    </row>
    <row r="57" spans="2:37" ht="11.25" customHeight="1" thickBot="1" x14ac:dyDescent="0.75">
      <c r="C57" s="36"/>
      <c r="AI57" s="4"/>
      <c r="AJ57" s="34" t="s">
        <v>202</v>
      </c>
    </row>
    <row r="58" spans="2:37" ht="6.75" customHeight="1" thickTop="1" thickBot="1" x14ac:dyDescent="0.3">
      <c r="B58" s="33"/>
      <c r="C58" s="45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44"/>
      <c r="AH58" s="44"/>
      <c r="AI58" s="44"/>
      <c r="AJ58" s="43"/>
      <c r="AK58" s="33"/>
    </row>
    <row r="59" spans="2:37" ht="12.6" hidden="1" thickBot="1" x14ac:dyDescent="0.3">
      <c r="B59" s="2"/>
      <c r="C59" s="31" t="s">
        <v>116</v>
      </c>
      <c r="D59" s="30" t="s">
        <v>198</v>
      </c>
      <c r="E59" s="30" t="s">
        <v>197</v>
      </c>
      <c r="F59" s="30" t="s">
        <v>196</v>
      </c>
      <c r="G59" s="30" t="s">
        <v>195</v>
      </c>
      <c r="H59" s="30" t="s">
        <v>194</v>
      </c>
      <c r="I59" s="30" t="s">
        <v>193</v>
      </c>
      <c r="J59" s="30" t="s">
        <v>192</v>
      </c>
      <c r="K59" s="30" t="s">
        <v>191</v>
      </c>
      <c r="L59" s="30" t="s">
        <v>190</v>
      </c>
      <c r="M59" s="30" t="s">
        <v>189</v>
      </c>
      <c r="N59" s="30" t="s">
        <v>188</v>
      </c>
      <c r="O59" s="30" t="s">
        <v>187</v>
      </c>
      <c r="P59" s="30" t="s">
        <v>186</v>
      </c>
      <c r="Q59" s="30" t="s">
        <v>185</v>
      </c>
      <c r="R59" s="30" t="s">
        <v>184</v>
      </c>
      <c r="S59" s="30" t="s">
        <v>183</v>
      </c>
      <c r="T59" s="30" t="s">
        <v>182</v>
      </c>
      <c r="U59" s="30" t="s">
        <v>181</v>
      </c>
      <c r="V59" s="30" t="s">
        <v>180</v>
      </c>
      <c r="W59" s="30" t="s">
        <v>179</v>
      </c>
      <c r="X59" s="30" t="s">
        <v>178</v>
      </c>
      <c r="Y59" s="30" t="s">
        <v>177</v>
      </c>
      <c r="Z59" s="30" t="s">
        <v>176</v>
      </c>
      <c r="AA59" s="30" t="s">
        <v>175</v>
      </c>
      <c r="AB59" s="30" t="s">
        <v>174</v>
      </c>
      <c r="AC59" s="30" t="s">
        <v>173</v>
      </c>
      <c r="AD59" s="30" t="s">
        <v>172</v>
      </c>
      <c r="AE59" s="30" t="s">
        <v>171</v>
      </c>
      <c r="AF59" s="30" t="s">
        <v>170</v>
      </c>
      <c r="AG59" s="30" t="s">
        <v>169</v>
      </c>
      <c r="AH59" s="30" t="s">
        <v>168</v>
      </c>
      <c r="AI59" s="30" t="s">
        <v>167</v>
      </c>
      <c r="AJ59" s="42" t="s">
        <v>19</v>
      </c>
      <c r="AK59" s="2" t="s">
        <v>203</v>
      </c>
    </row>
    <row r="60" spans="2:37" ht="19.5" customHeight="1" thickTop="1" thickBot="1" x14ac:dyDescent="0.3">
      <c r="B60" s="28"/>
      <c r="C60" s="27" t="str">
        <f>DADOS!$T$3</f>
        <v>🍕 ALIMENTAÇÃO</v>
      </c>
      <c r="D60" s="26" t="str">
        <f>IF(despesavariávelconsolidadoset[[#This Row],[TOTAL]]=0,"",IF(OR(despesavariávelconsolidadoset[[#This Row],[TOTAL]]=LARGE($AJ$60:$AJ$72,1),despesavariávelconsolidadoset[[#This Row],[TOTAL]]=LARGE($AJ$60:$AJ$72,2),despesavariávelconsolidadoset[[#This Row],[TOTAL]]=LARGE($AJ$60:$AJ$72,3),despesavariávelconsolidadoset[[#This Row],[TOTAL]]=LARGE($AJ$60:$AJ$72,4),despesavariávelconsolidadoset[[#This Row],[TOTAL]]=LARGE($AJ$60:$AJ$72,5)),DADOS!$I$8,""))</f>
        <v/>
      </c>
      <c r="E60" s="94">
        <f>SUMIFS(tabela_registros[VALOR],tabela_registros[MÊS],$AE$1,tabela_registros[DIA],settotal3059718395107119131[[#Headers],[1]],tabela_registros[REGISTRO],DADOS!$N$4,tabela_registros[TIPO],DADOS!$P$4,tabela_registros[CATEGORIA],despesavariávelconsolidadoset[[#This Row],[DESPESA VARIÁVEL]])</f>
        <v>0</v>
      </c>
      <c r="F60" s="88">
        <f>SUMIFS(tabela_registros[VALOR],tabela_registros[MÊS],$AE$1,tabela_registros[DIA],settotal3059718395107119131[[#Headers],[2]],tabela_registros[REGISTRO],DADOS!$N$4,tabela_registros[TIPO],DADOS!$P$4,tabela_registros[CATEGORIA],despesavariávelconsolidadoset[[#This Row],[DESPESA VARIÁVEL]])</f>
        <v>0</v>
      </c>
      <c r="G60" s="88">
        <f>SUMIFS(tabela_registros[VALOR],tabela_registros[MÊS],$AE$1,tabela_registros[DIA],settotal3059718395107119131[[#Headers],[3]],tabela_registros[REGISTRO],DADOS!$N$4,tabela_registros[TIPO],DADOS!$P$4,tabela_registros[CATEGORIA],despesavariávelconsolidadoset[[#This Row],[DESPESA VARIÁVEL]])</f>
        <v>0</v>
      </c>
      <c r="H60" s="88">
        <f>SUMIFS(tabela_registros[VALOR],tabela_registros[MÊS],$AE$1,tabela_registros[DIA],settotal3059718395107119131[[#Headers],[4]],tabela_registros[REGISTRO],DADOS!$N$4,tabela_registros[TIPO],DADOS!$P$4,tabela_registros[CATEGORIA],despesavariávelconsolidadoset[[#This Row],[DESPESA VARIÁVEL]])</f>
        <v>0</v>
      </c>
      <c r="I60" s="88">
        <f>SUMIFS(tabela_registros[VALOR],tabela_registros[MÊS],$AE$1,tabela_registros[DIA],settotal3059718395107119131[[#Headers],[5]],tabela_registros[REGISTRO],DADOS!$N$4,tabela_registros[TIPO],DADOS!$P$4,tabela_registros[CATEGORIA],despesavariávelconsolidadoset[[#This Row],[DESPESA VARIÁVEL]])</f>
        <v>0</v>
      </c>
      <c r="J60" s="88">
        <f>SUMIFS(tabela_registros[VALOR],tabela_registros[MÊS],$AE$1,tabela_registros[DIA],settotal3059718395107119131[[#Headers],[6]],tabela_registros[REGISTRO],DADOS!$N$4,tabela_registros[TIPO],DADOS!$P$4,tabela_registros[CATEGORIA],despesavariávelconsolidadoset[[#This Row],[DESPESA VARIÁVEL]])</f>
        <v>0</v>
      </c>
      <c r="K60" s="88">
        <f>SUMIFS(tabela_registros[VALOR],tabela_registros[MÊS],$AE$1,tabela_registros[DIA],settotal3059718395107119131[[#Headers],[7]],tabela_registros[REGISTRO],DADOS!$N$4,tabela_registros[TIPO],DADOS!$P$4,tabela_registros[CATEGORIA],despesavariávelconsolidadoset[[#This Row],[DESPESA VARIÁVEL]])</f>
        <v>0</v>
      </c>
      <c r="L60" s="88">
        <f>SUMIFS(tabela_registros[VALOR],tabela_registros[MÊS],$AE$1,tabela_registros[DIA],settotal3059718395107119131[[#Headers],[8]],tabela_registros[REGISTRO],DADOS!$N$4,tabela_registros[TIPO],DADOS!$P$4,tabela_registros[CATEGORIA],despesavariávelconsolidadoset[[#This Row],[DESPESA VARIÁVEL]])</f>
        <v>0</v>
      </c>
      <c r="M60" s="88">
        <f>SUMIFS(tabela_registros[VALOR],tabela_registros[MÊS],$AE$1,tabela_registros[DIA],settotal3059718395107119131[[#Headers],[9]],tabela_registros[REGISTRO],DADOS!$N$4,tabela_registros[TIPO],DADOS!$P$4,tabela_registros[CATEGORIA],despesavariávelconsolidadoset[[#This Row],[DESPESA VARIÁVEL]])</f>
        <v>0</v>
      </c>
      <c r="N60" s="88">
        <f>SUMIFS(tabela_registros[VALOR],tabela_registros[MÊS],$AE$1,tabela_registros[DIA],settotal3059718395107119131[[#Headers],[10]],tabela_registros[REGISTRO],DADOS!$N$4,tabela_registros[TIPO],DADOS!$P$4,tabela_registros[CATEGORIA],despesavariávelconsolidadoset[[#This Row],[DESPESA VARIÁVEL]])</f>
        <v>0</v>
      </c>
      <c r="O60" s="88">
        <f>SUMIFS(tabela_registros[VALOR],tabela_registros[MÊS],$AE$1,tabela_registros[DIA],settotal3059718395107119131[[#Headers],[11]],tabela_registros[REGISTRO],DADOS!$N$4,tabela_registros[TIPO],DADOS!$P$4,tabela_registros[CATEGORIA],despesavariávelconsolidadoset[[#This Row],[DESPESA VARIÁVEL]])</f>
        <v>0</v>
      </c>
      <c r="P60" s="88">
        <f>SUMIFS(tabela_registros[VALOR],tabela_registros[MÊS],$AE$1,tabela_registros[DIA],settotal3059718395107119131[[#Headers],[12]],tabela_registros[REGISTRO],DADOS!$N$4,tabela_registros[TIPO],DADOS!$P$4,tabela_registros[CATEGORIA],despesavariávelconsolidadoset[[#This Row],[DESPESA VARIÁVEL]])</f>
        <v>0</v>
      </c>
      <c r="Q60" s="88">
        <f>SUMIFS(tabela_registros[VALOR],tabela_registros[MÊS],$AE$1,tabela_registros[DIA],settotal3059718395107119131[[#Headers],[13]],tabela_registros[REGISTRO],DADOS!$N$4,tabela_registros[TIPO],DADOS!$P$4,tabela_registros[CATEGORIA],despesavariávelconsolidadoset[[#This Row],[DESPESA VARIÁVEL]])</f>
        <v>0</v>
      </c>
      <c r="R60" s="88">
        <f>SUMIFS(tabela_registros[VALOR],tabela_registros[MÊS],$AE$1,tabela_registros[DIA],settotal3059718395107119131[[#Headers],[14]],tabela_registros[REGISTRO],DADOS!$N$4,tabela_registros[TIPO],DADOS!$P$4,tabela_registros[CATEGORIA],despesavariávelconsolidadoset[[#This Row],[DESPESA VARIÁVEL]])</f>
        <v>0</v>
      </c>
      <c r="S60" s="88">
        <f>SUMIFS(tabela_registros[VALOR],tabela_registros[MÊS],$AE$1,tabela_registros[DIA],settotal3059718395107119131[[#Headers],[15]],tabela_registros[REGISTRO],DADOS!$N$4,tabela_registros[TIPO],DADOS!$P$4,tabela_registros[CATEGORIA],despesavariávelconsolidadoset[[#This Row],[DESPESA VARIÁVEL]])</f>
        <v>0</v>
      </c>
      <c r="T60" s="88">
        <f>SUMIFS(tabela_registros[VALOR],tabela_registros[MÊS],$AE$1,tabela_registros[DIA],settotal3059718395107119131[[#Headers],[16]],tabela_registros[REGISTRO],DADOS!$N$4,tabela_registros[TIPO],DADOS!$P$4,tabela_registros[CATEGORIA],despesavariávelconsolidadoset[[#This Row],[DESPESA VARIÁVEL]])</f>
        <v>0</v>
      </c>
      <c r="U60" s="88">
        <f>SUMIFS(tabela_registros[VALOR],tabela_registros[MÊS],$AE$1,tabela_registros[DIA],settotal3059718395107119131[[#Headers],[17]],tabela_registros[REGISTRO],DADOS!$N$4,tabela_registros[TIPO],DADOS!$P$4,tabela_registros[CATEGORIA],despesavariávelconsolidadoset[[#This Row],[DESPESA VARIÁVEL]])</f>
        <v>0</v>
      </c>
      <c r="V60" s="88">
        <f>SUMIFS(tabela_registros[VALOR],tabela_registros[MÊS],$AE$1,tabela_registros[DIA],settotal3059718395107119131[[#Headers],[18]],tabela_registros[REGISTRO],DADOS!$N$4,tabela_registros[TIPO],DADOS!$P$4,tabela_registros[CATEGORIA],despesavariávelconsolidadoset[[#This Row],[DESPESA VARIÁVEL]])</f>
        <v>0</v>
      </c>
      <c r="W60" s="88">
        <f>SUMIFS(tabela_registros[VALOR],tabela_registros[MÊS],$AE$1,tabela_registros[DIA],settotal3059718395107119131[[#Headers],[19]],tabela_registros[REGISTRO],DADOS!$N$4,tabela_registros[TIPO],DADOS!$P$4,tabela_registros[CATEGORIA],despesavariávelconsolidadoset[[#This Row],[DESPESA VARIÁVEL]])</f>
        <v>0</v>
      </c>
      <c r="X60" s="88">
        <f>SUMIFS(tabela_registros[VALOR],tabela_registros[MÊS],$AE$1,tabela_registros[DIA],settotal3059718395107119131[[#Headers],[20]],tabela_registros[REGISTRO],DADOS!$N$4,tabela_registros[TIPO],DADOS!$P$4,tabela_registros[CATEGORIA],despesavariávelconsolidadoset[[#This Row],[DESPESA VARIÁVEL]])</f>
        <v>0</v>
      </c>
      <c r="Y60" s="88">
        <f>SUMIFS(tabela_registros[VALOR],tabela_registros[MÊS],$AE$1,tabela_registros[DIA],settotal3059718395107119131[[#Headers],[21]],tabela_registros[REGISTRO],DADOS!$N$4,tabela_registros[TIPO],DADOS!$P$4,tabela_registros[CATEGORIA],despesavariávelconsolidadoset[[#This Row],[DESPESA VARIÁVEL]])</f>
        <v>0</v>
      </c>
      <c r="Z60" s="88">
        <f>SUMIFS(tabela_registros[VALOR],tabela_registros[MÊS],$AE$1,tabela_registros[DIA],settotal3059718395107119131[[#Headers],[22]],tabela_registros[REGISTRO],DADOS!$N$4,tabela_registros[TIPO],DADOS!$P$4,tabela_registros[CATEGORIA],despesavariávelconsolidadoset[[#This Row],[DESPESA VARIÁVEL]])</f>
        <v>0</v>
      </c>
      <c r="AA60" s="88">
        <f>SUMIFS(tabela_registros[VALOR],tabela_registros[MÊS],$AE$1,tabela_registros[DIA],settotal3059718395107119131[[#Headers],[23]],tabela_registros[REGISTRO],DADOS!$N$4,tabela_registros[TIPO],DADOS!$P$4,tabela_registros[CATEGORIA],despesavariávelconsolidadoset[[#This Row],[DESPESA VARIÁVEL]])</f>
        <v>0</v>
      </c>
      <c r="AB60" s="88">
        <f>SUMIFS(tabela_registros[VALOR],tabela_registros[MÊS],$AE$1,tabela_registros[DIA],settotal3059718395107119131[[#Headers],[24]],tabela_registros[REGISTRO],DADOS!$N$4,tabela_registros[TIPO],DADOS!$P$4,tabela_registros[CATEGORIA],despesavariávelconsolidadoset[[#This Row],[DESPESA VARIÁVEL]])</f>
        <v>0</v>
      </c>
      <c r="AC60" s="88">
        <f>SUMIFS(tabela_registros[VALOR],tabela_registros[MÊS],$AE$1,tabela_registros[DIA],settotal3059718395107119131[[#Headers],[25]],tabela_registros[REGISTRO],DADOS!$N$4,tabela_registros[TIPO],DADOS!$P$4,tabela_registros[CATEGORIA],despesavariávelconsolidadoset[[#This Row],[DESPESA VARIÁVEL]])</f>
        <v>0</v>
      </c>
      <c r="AD60" s="88">
        <f>SUMIFS(tabela_registros[VALOR],tabela_registros[MÊS],$AE$1,tabela_registros[DIA],settotal3059718395107119131[[#Headers],[26]],tabela_registros[REGISTRO],DADOS!$N$4,tabela_registros[TIPO],DADOS!$P$4,tabela_registros[CATEGORIA],despesavariávelconsolidadoset[[#This Row],[DESPESA VARIÁVEL]])</f>
        <v>0</v>
      </c>
      <c r="AE60" s="88">
        <f>SUMIFS(tabela_registros[VALOR],tabela_registros[MÊS],$AE$1,tabela_registros[DIA],settotal3059718395107119131[[#Headers],[27]],tabela_registros[REGISTRO],DADOS!$N$4,tabela_registros[TIPO],DADOS!$P$4,tabela_registros[CATEGORIA],despesavariávelconsolidadoset[[#This Row],[DESPESA VARIÁVEL]])</f>
        <v>0</v>
      </c>
      <c r="AF60" s="88">
        <f>SUMIFS(tabela_registros[VALOR],tabela_registros[MÊS],$AE$1,tabela_registros[DIA],settotal3059718395107119131[[#Headers],[28]],tabela_registros[REGISTRO],DADOS!$N$4,tabela_registros[TIPO],DADOS!$P$4,tabela_registros[CATEGORIA],despesavariávelconsolidadoset[[#This Row],[DESPESA VARIÁVEL]])</f>
        <v>0</v>
      </c>
      <c r="AG60" s="88">
        <f>SUMIFS(tabela_registros[VALOR],tabela_registros[MÊS],$AE$1,tabela_registros[DIA],settotal3059718395107119131[[#Headers],[29]],tabela_registros[REGISTRO],DADOS!$N$4,tabela_registros[TIPO],DADOS!$P$4,tabela_registros[CATEGORIA],despesavariávelconsolidadoset[[#This Row],[DESPESA VARIÁVEL]])</f>
        <v>0</v>
      </c>
      <c r="AH60" s="88">
        <f>SUMIFS(tabela_registros[VALOR],tabela_registros[MÊS],$AE$1,tabela_registros[DIA],settotal3059718395107119131[[#Headers],[30]],tabela_registros[REGISTRO],DADOS!$N$4,tabela_registros[TIPO],DADOS!$P$4,tabela_registros[CATEGORIA],despesavariávelconsolidadoset[[#This Row],[DESPESA VARIÁVEL]])</f>
        <v>0</v>
      </c>
      <c r="AI60" s="100">
        <f>SUMIFS(tabela_registros[VALOR],tabela_registros[MÊS],$AE$1,tabela_registros[DIA],settotal3059718395107119131[[#Headers],[31]],tabela_registros[REGISTRO],DADOS!$N$4,tabela_registros[TIPO],DADOS!$P$4,tabela_registros[CATEGORIA],despesavariávelconsolidadoset[[#This Row],[DESPESA VARIÁVEL]])</f>
        <v>0</v>
      </c>
      <c r="AJ60" s="95">
        <f>SUM(despesavariávelconsolidadoset[[#This Row],[1]:[31]])</f>
        <v>0</v>
      </c>
      <c r="AK60" s="28"/>
    </row>
    <row r="61" spans="2:37" ht="18" customHeight="1" thickTop="1" thickBot="1" x14ac:dyDescent="0.3">
      <c r="B61" s="28"/>
      <c r="C61" s="27" t="str">
        <f>DADOS!$T$4</f>
        <v>💳 CARTÃO DE CRÉDITO</v>
      </c>
      <c r="D61" s="26" t="str">
        <f>IF(despesavariávelconsolidadoset[[#This Row],[TOTAL]]=0,"",IF(OR(despesavariávelconsolidadoset[[#This Row],[TOTAL]]=LARGE($AJ$60:$AJ$72,1),despesavariávelconsolidadoset[[#This Row],[TOTAL]]=LARGE($AJ$60:$AJ$72,2),despesavariávelconsolidadoset[[#This Row],[TOTAL]]=LARGE($AJ$60:$AJ$72,3),despesavariávelconsolidadoset[[#This Row],[TOTAL]]=LARGE($AJ$60:$AJ$72,4),despesavariávelconsolidadoset[[#This Row],[TOTAL]]=LARGE($AJ$60:$AJ$72,5)),DADOS!$I$8,""))</f>
        <v/>
      </c>
      <c r="E61" s="96">
        <f>SUMIFS(tabela_registros[VALOR],tabela_registros[MÊS],$AE$1,tabela_registros[DIA],settotal3059718395107119131[[#Headers],[1]],tabela_registros[REGISTRO],DADOS!$N$4,tabela_registros[TIPO],DADOS!$P$4,tabela_registros[CATEGORIA],despesavariávelconsolidadoset[[#This Row],[DESPESA VARIÁVEL]])</f>
        <v>0</v>
      </c>
      <c r="F61" s="91">
        <f>SUMIFS(tabela_registros[VALOR],tabela_registros[MÊS],$AE$1,tabela_registros[DIA],settotal3059718395107119131[[#Headers],[2]],tabela_registros[REGISTRO],DADOS!$N$4,tabela_registros[TIPO],DADOS!$P$4,tabela_registros[CATEGORIA],despesavariávelconsolidadoset[[#This Row],[DESPESA VARIÁVEL]])</f>
        <v>0</v>
      </c>
      <c r="G61" s="91">
        <f>SUMIFS(tabela_registros[VALOR],tabela_registros[MÊS],$AE$1,tabela_registros[DIA],settotal3059718395107119131[[#Headers],[3]],tabela_registros[REGISTRO],DADOS!$N$4,tabela_registros[TIPO],DADOS!$P$4,tabela_registros[CATEGORIA],despesavariávelconsolidadoset[[#This Row],[DESPESA VARIÁVEL]])</f>
        <v>0</v>
      </c>
      <c r="H61" s="91">
        <f>SUMIFS(tabela_registros[VALOR],tabela_registros[MÊS],$AE$1,tabela_registros[DIA],settotal3059718395107119131[[#Headers],[4]],tabela_registros[REGISTRO],DADOS!$N$4,tabela_registros[TIPO],DADOS!$P$4,tabela_registros[CATEGORIA],despesavariávelconsolidadoset[[#This Row],[DESPESA VARIÁVEL]])</f>
        <v>0</v>
      </c>
      <c r="I61" s="91">
        <f>SUMIFS(tabela_registros[VALOR],tabela_registros[MÊS],$AE$1,tabela_registros[DIA],settotal3059718395107119131[[#Headers],[5]],tabela_registros[REGISTRO],DADOS!$N$4,tabela_registros[TIPO],DADOS!$P$4,tabela_registros[CATEGORIA],despesavariávelconsolidadoset[[#This Row],[DESPESA VARIÁVEL]])</f>
        <v>0</v>
      </c>
      <c r="J61" s="91">
        <f>SUMIFS(tabela_registros[VALOR],tabela_registros[MÊS],$AE$1,tabela_registros[DIA],settotal3059718395107119131[[#Headers],[6]],tabela_registros[REGISTRO],DADOS!$N$4,tabela_registros[TIPO],DADOS!$P$4,tabela_registros[CATEGORIA],despesavariávelconsolidadoset[[#This Row],[DESPESA VARIÁVEL]])</f>
        <v>0</v>
      </c>
      <c r="K61" s="91">
        <f>SUMIFS(tabela_registros[VALOR],tabela_registros[MÊS],$AE$1,tabela_registros[DIA],settotal3059718395107119131[[#Headers],[7]],tabela_registros[REGISTRO],DADOS!$N$4,tabela_registros[TIPO],DADOS!$P$4,tabela_registros[CATEGORIA],despesavariávelconsolidadoset[[#This Row],[DESPESA VARIÁVEL]])</f>
        <v>0</v>
      </c>
      <c r="L61" s="91">
        <f>SUMIFS(tabela_registros[VALOR],tabela_registros[MÊS],$AE$1,tabela_registros[DIA],settotal3059718395107119131[[#Headers],[8]],tabela_registros[REGISTRO],DADOS!$N$4,tabela_registros[TIPO],DADOS!$P$4,tabela_registros[CATEGORIA],despesavariávelconsolidadoset[[#This Row],[DESPESA VARIÁVEL]])</f>
        <v>0</v>
      </c>
      <c r="M61" s="91">
        <f>SUMIFS(tabela_registros[VALOR],tabela_registros[MÊS],$AE$1,tabela_registros[DIA],settotal3059718395107119131[[#Headers],[9]],tabela_registros[REGISTRO],DADOS!$N$4,tabela_registros[TIPO],DADOS!$P$4,tabela_registros[CATEGORIA],despesavariávelconsolidadoset[[#This Row],[DESPESA VARIÁVEL]])</f>
        <v>0</v>
      </c>
      <c r="N61" s="91">
        <f>SUMIFS(tabela_registros[VALOR],tabela_registros[MÊS],$AE$1,tabela_registros[DIA],settotal3059718395107119131[[#Headers],[10]],tabela_registros[REGISTRO],DADOS!$N$4,tabela_registros[TIPO],DADOS!$P$4,tabela_registros[CATEGORIA],despesavariávelconsolidadoset[[#This Row],[DESPESA VARIÁVEL]])</f>
        <v>0</v>
      </c>
      <c r="O61" s="91">
        <f>SUMIFS(tabela_registros[VALOR],tabela_registros[MÊS],$AE$1,tabela_registros[DIA],settotal3059718395107119131[[#Headers],[11]],tabela_registros[REGISTRO],DADOS!$N$4,tabela_registros[TIPO],DADOS!$P$4,tabela_registros[CATEGORIA],despesavariávelconsolidadoset[[#This Row],[DESPESA VARIÁVEL]])</f>
        <v>0</v>
      </c>
      <c r="P61" s="91">
        <f>SUMIFS(tabela_registros[VALOR],tabela_registros[MÊS],$AE$1,tabela_registros[DIA],settotal3059718395107119131[[#Headers],[12]],tabela_registros[REGISTRO],DADOS!$N$4,tabela_registros[TIPO],DADOS!$P$4,tabela_registros[CATEGORIA],despesavariávelconsolidadoset[[#This Row],[DESPESA VARIÁVEL]])</f>
        <v>0</v>
      </c>
      <c r="Q61" s="91">
        <f>SUMIFS(tabela_registros[VALOR],tabela_registros[MÊS],$AE$1,tabela_registros[DIA],settotal3059718395107119131[[#Headers],[13]],tabela_registros[REGISTRO],DADOS!$N$4,tabela_registros[TIPO],DADOS!$P$4,tabela_registros[CATEGORIA],despesavariávelconsolidadoset[[#This Row],[DESPESA VARIÁVEL]])</f>
        <v>0</v>
      </c>
      <c r="R61" s="91">
        <f>SUMIFS(tabela_registros[VALOR],tabela_registros[MÊS],$AE$1,tabela_registros[DIA],settotal3059718395107119131[[#Headers],[14]],tabela_registros[REGISTRO],DADOS!$N$4,tabela_registros[TIPO],DADOS!$P$4,tabela_registros[CATEGORIA],despesavariávelconsolidadoset[[#This Row],[DESPESA VARIÁVEL]])</f>
        <v>0</v>
      </c>
      <c r="S61" s="91">
        <f>SUMIFS(tabela_registros[VALOR],tabela_registros[MÊS],$AE$1,tabela_registros[DIA],settotal3059718395107119131[[#Headers],[15]],tabela_registros[REGISTRO],DADOS!$N$4,tabela_registros[TIPO],DADOS!$P$4,tabela_registros[CATEGORIA],despesavariávelconsolidadoset[[#This Row],[DESPESA VARIÁVEL]])</f>
        <v>0</v>
      </c>
      <c r="T61" s="91">
        <f>SUMIFS(tabela_registros[VALOR],tabela_registros[MÊS],$AE$1,tabela_registros[DIA],settotal3059718395107119131[[#Headers],[16]],tabela_registros[REGISTRO],DADOS!$N$4,tabela_registros[TIPO],DADOS!$P$4,tabela_registros[CATEGORIA],despesavariávelconsolidadoset[[#This Row],[DESPESA VARIÁVEL]])</f>
        <v>0</v>
      </c>
      <c r="U61" s="91">
        <f>SUMIFS(tabela_registros[VALOR],tabela_registros[MÊS],$AE$1,tabela_registros[DIA],settotal3059718395107119131[[#Headers],[17]],tabela_registros[REGISTRO],DADOS!$N$4,tabela_registros[TIPO],DADOS!$P$4,tabela_registros[CATEGORIA],despesavariávelconsolidadoset[[#This Row],[DESPESA VARIÁVEL]])</f>
        <v>0</v>
      </c>
      <c r="V61" s="91">
        <f>SUMIFS(tabela_registros[VALOR],tabela_registros[MÊS],$AE$1,tabela_registros[DIA],settotal3059718395107119131[[#Headers],[18]],tabela_registros[REGISTRO],DADOS!$N$4,tabela_registros[TIPO],DADOS!$P$4,tabela_registros[CATEGORIA],despesavariávelconsolidadoset[[#This Row],[DESPESA VARIÁVEL]])</f>
        <v>0</v>
      </c>
      <c r="W61" s="91">
        <f>SUMIFS(tabela_registros[VALOR],tabela_registros[MÊS],$AE$1,tabela_registros[DIA],settotal3059718395107119131[[#Headers],[19]],tabela_registros[REGISTRO],DADOS!$N$4,tabela_registros[TIPO],DADOS!$P$4,tabela_registros[CATEGORIA],despesavariávelconsolidadoset[[#This Row],[DESPESA VARIÁVEL]])</f>
        <v>0</v>
      </c>
      <c r="X61" s="91">
        <f>SUMIFS(tabela_registros[VALOR],tabela_registros[MÊS],$AE$1,tabela_registros[DIA],settotal3059718395107119131[[#Headers],[20]],tabela_registros[REGISTRO],DADOS!$N$4,tabela_registros[TIPO],DADOS!$P$4,tabela_registros[CATEGORIA],despesavariávelconsolidadoset[[#This Row],[DESPESA VARIÁVEL]])</f>
        <v>0</v>
      </c>
      <c r="Y61" s="91">
        <f>SUMIFS(tabela_registros[VALOR],tabela_registros[MÊS],$AE$1,tabela_registros[DIA],settotal3059718395107119131[[#Headers],[21]],tabela_registros[REGISTRO],DADOS!$N$4,tabela_registros[TIPO],DADOS!$P$4,tabela_registros[CATEGORIA],despesavariávelconsolidadoset[[#This Row],[DESPESA VARIÁVEL]])</f>
        <v>0</v>
      </c>
      <c r="Z61" s="91">
        <f>SUMIFS(tabela_registros[VALOR],tabela_registros[MÊS],$AE$1,tabela_registros[DIA],settotal3059718395107119131[[#Headers],[22]],tabela_registros[REGISTRO],DADOS!$N$4,tabela_registros[TIPO],DADOS!$P$4,tabela_registros[CATEGORIA],despesavariávelconsolidadoset[[#This Row],[DESPESA VARIÁVEL]])</f>
        <v>0</v>
      </c>
      <c r="AA61" s="91">
        <f>SUMIFS(tabela_registros[VALOR],tabela_registros[MÊS],$AE$1,tabela_registros[DIA],settotal3059718395107119131[[#Headers],[23]],tabela_registros[REGISTRO],DADOS!$N$4,tabela_registros[TIPO],DADOS!$P$4,tabela_registros[CATEGORIA],despesavariávelconsolidadoset[[#This Row],[DESPESA VARIÁVEL]])</f>
        <v>0</v>
      </c>
      <c r="AB61" s="91">
        <f>SUMIFS(tabela_registros[VALOR],tabela_registros[MÊS],$AE$1,tabela_registros[DIA],settotal3059718395107119131[[#Headers],[24]],tabela_registros[REGISTRO],DADOS!$N$4,tabela_registros[TIPO],DADOS!$P$4,tabela_registros[CATEGORIA],despesavariávelconsolidadoset[[#This Row],[DESPESA VARIÁVEL]])</f>
        <v>0</v>
      </c>
      <c r="AC61" s="91">
        <f>SUMIFS(tabela_registros[VALOR],tabela_registros[MÊS],$AE$1,tabela_registros[DIA],settotal3059718395107119131[[#Headers],[25]],tabela_registros[REGISTRO],DADOS!$N$4,tabela_registros[TIPO],DADOS!$P$4,tabela_registros[CATEGORIA],despesavariávelconsolidadoset[[#This Row],[DESPESA VARIÁVEL]])</f>
        <v>0</v>
      </c>
      <c r="AD61" s="91">
        <f>SUMIFS(tabela_registros[VALOR],tabela_registros[MÊS],$AE$1,tabela_registros[DIA],settotal3059718395107119131[[#Headers],[26]],tabela_registros[REGISTRO],DADOS!$N$4,tabela_registros[TIPO],DADOS!$P$4,tabela_registros[CATEGORIA],despesavariávelconsolidadoset[[#This Row],[DESPESA VARIÁVEL]])</f>
        <v>0</v>
      </c>
      <c r="AE61" s="91">
        <f>SUMIFS(tabela_registros[VALOR],tabela_registros[MÊS],$AE$1,tabela_registros[DIA],settotal3059718395107119131[[#Headers],[27]],tabela_registros[REGISTRO],DADOS!$N$4,tabela_registros[TIPO],DADOS!$P$4,tabela_registros[CATEGORIA],despesavariávelconsolidadoset[[#This Row],[DESPESA VARIÁVEL]])</f>
        <v>0</v>
      </c>
      <c r="AF61" s="91">
        <f>SUMIFS(tabela_registros[VALOR],tabela_registros[MÊS],$AE$1,tabela_registros[DIA],settotal3059718395107119131[[#Headers],[28]],tabela_registros[REGISTRO],DADOS!$N$4,tabela_registros[TIPO],DADOS!$P$4,tabela_registros[CATEGORIA],despesavariávelconsolidadoset[[#This Row],[DESPESA VARIÁVEL]])</f>
        <v>0</v>
      </c>
      <c r="AG61" s="91">
        <f>SUMIFS(tabela_registros[VALOR],tabela_registros[MÊS],$AE$1,tabela_registros[DIA],settotal3059718395107119131[[#Headers],[29]],tabela_registros[REGISTRO],DADOS!$N$4,tabela_registros[TIPO],DADOS!$P$4,tabela_registros[CATEGORIA],despesavariávelconsolidadoset[[#This Row],[DESPESA VARIÁVEL]])</f>
        <v>0</v>
      </c>
      <c r="AH61" s="91">
        <f>SUMIFS(tabela_registros[VALOR],tabela_registros[MÊS],$AE$1,tabela_registros[DIA],settotal3059718395107119131[[#Headers],[30]],tabela_registros[REGISTRO],DADOS!$N$4,tabela_registros[TIPO],DADOS!$P$4,tabela_registros[CATEGORIA],despesavariávelconsolidadoset[[#This Row],[DESPESA VARIÁVEL]])</f>
        <v>0</v>
      </c>
      <c r="AI61" s="101">
        <f>SUMIFS(tabela_registros[VALOR],tabela_registros[MÊS],$AE$1,tabela_registros[DIA],settotal3059718395107119131[[#Headers],[31]],tabela_registros[REGISTRO],DADOS!$N$4,tabela_registros[TIPO],DADOS!$P$4,tabela_registros[CATEGORIA],despesavariávelconsolidadoset[[#This Row],[DESPESA VARIÁVEL]])</f>
        <v>0</v>
      </c>
      <c r="AJ61" s="97">
        <f>SUM(despesavariávelconsolidadoset[[#This Row],[1]:[31]])</f>
        <v>0</v>
      </c>
      <c r="AK61" s="28"/>
    </row>
    <row r="62" spans="2:37" ht="18" customHeight="1" thickTop="1" thickBot="1" x14ac:dyDescent="0.3">
      <c r="B62" s="28"/>
      <c r="C62" s="27" t="str">
        <f>DADOS!$T$5</f>
        <v>✍️ CHEQUE ESPECIAL</v>
      </c>
      <c r="D62" s="26" t="str">
        <f>IF(despesavariávelconsolidadoset[[#This Row],[TOTAL]]=0,"",IF(OR(despesavariávelconsolidadoset[[#This Row],[TOTAL]]=LARGE($AJ$60:$AJ$72,1),despesavariávelconsolidadoset[[#This Row],[TOTAL]]=LARGE($AJ$60:$AJ$72,2),despesavariávelconsolidadoset[[#This Row],[TOTAL]]=LARGE($AJ$60:$AJ$72,3),despesavariávelconsolidadoset[[#This Row],[TOTAL]]=LARGE($AJ$60:$AJ$72,4),despesavariávelconsolidadoset[[#This Row],[TOTAL]]=LARGE($AJ$60:$AJ$72,5)),DADOS!$I$8,""))</f>
        <v/>
      </c>
      <c r="E62" s="96">
        <f>SUMIFS(tabela_registros[VALOR],tabela_registros[MÊS],$AE$1,tabela_registros[DIA],settotal3059718395107119131[[#Headers],[1]],tabela_registros[REGISTRO],DADOS!$N$4,tabela_registros[TIPO],DADOS!$P$4,tabela_registros[CATEGORIA],despesavariávelconsolidadoset[[#This Row],[DESPESA VARIÁVEL]])</f>
        <v>0</v>
      </c>
      <c r="F62" s="91">
        <f>SUMIFS(tabela_registros[VALOR],tabela_registros[MÊS],$AE$1,tabela_registros[DIA],settotal3059718395107119131[[#Headers],[2]],tabela_registros[REGISTRO],DADOS!$N$4,tabela_registros[TIPO],DADOS!$P$4,tabela_registros[CATEGORIA],despesavariávelconsolidadoset[[#This Row],[DESPESA VARIÁVEL]])</f>
        <v>0</v>
      </c>
      <c r="G62" s="91">
        <f>SUMIFS(tabela_registros[VALOR],tabela_registros[MÊS],$AE$1,tabela_registros[DIA],settotal3059718395107119131[[#Headers],[3]],tabela_registros[REGISTRO],DADOS!$N$4,tabela_registros[TIPO],DADOS!$P$4,tabela_registros[CATEGORIA],despesavariávelconsolidadoset[[#This Row],[DESPESA VARIÁVEL]])</f>
        <v>0</v>
      </c>
      <c r="H62" s="91">
        <f>SUMIFS(tabela_registros[VALOR],tabela_registros[MÊS],$AE$1,tabela_registros[DIA],settotal3059718395107119131[[#Headers],[4]],tabela_registros[REGISTRO],DADOS!$N$4,tabela_registros[TIPO],DADOS!$P$4,tabela_registros[CATEGORIA],despesavariávelconsolidadoset[[#This Row],[DESPESA VARIÁVEL]])</f>
        <v>0</v>
      </c>
      <c r="I62" s="91">
        <f>SUMIFS(tabela_registros[VALOR],tabela_registros[MÊS],$AE$1,tabela_registros[DIA],settotal3059718395107119131[[#Headers],[5]],tabela_registros[REGISTRO],DADOS!$N$4,tabela_registros[TIPO],DADOS!$P$4,tabela_registros[CATEGORIA],despesavariávelconsolidadoset[[#This Row],[DESPESA VARIÁVEL]])</f>
        <v>0</v>
      </c>
      <c r="J62" s="91">
        <f>SUMIFS(tabela_registros[VALOR],tabela_registros[MÊS],$AE$1,tabela_registros[DIA],settotal3059718395107119131[[#Headers],[6]],tabela_registros[REGISTRO],DADOS!$N$4,tabela_registros[TIPO],DADOS!$P$4,tabela_registros[CATEGORIA],despesavariávelconsolidadoset[[#This Row],[DESPESA VARIÁVEL]])</f>
        <v>0</v>
      </c>
      <c r="K62" s="91">
        <f>SUMIFS(tabela_registros[VALOR],tabela_registros[MÊS],$AE$1,tabela_registros[DIA],settotal3059718395107119131[[#Headers],[7]],tabela_registros[REGISTRO],DADOS!$N$4,tabela_registros[TIPO],DADOS!$P$4,tabela_registros[CATEGORIA],despesavariávelconsolidadoset[[#This Row],[DESPESA VARIÁVEL]])</f>
        <v>0</v>
      </c>
      <c r="L62" s="91">
        <f>SUMIFS(tabela_registros[VALOR],tabela_registros[MÊS],$AE$1,tabela_registros[DIA],settotal3059718395107119131[[#Headers],[8]],tabela_registros[REGISTRO],DADOS!$N$4,tabela_registros[TIPO],DADOS!$P$4,tabela_registros[CATEGORIA],despesavariávelconsolidadoset[[#This Row],[DESPESA VARIÁVEL]])</f>
        <v>0</v>
      </c>
      <c r="M62" s="91">
        <f>SUMIFS(tabela_registros[VALOR],tabela_registros[MÊS],$AE$1,tabela_registros[DIA],settotal3059718395107119131[[#Headers],[9]],tabela_registros[REGISTRO],DADOS!$N$4,tabela_registros[TIPO],DADOS!$P$4,tabela_registros[CATEGORIA],despesavariávelconsolidadoset[[#This Row],[DESPESA VARIÁVEL]])</f>
        <v>0</v>
      </c>
      <c r="N62" s="91">
        <f>SUMIFS(tabela_registros[VALOR],tabela_registros[MÊS],$AE$1,tabela_registros[DIA],settotal3059718395107119131[[#Headers],[10]],tabela_registros[REGISTRO],DADOS!$N$4,tabela_registros[TIPO],DADOS!$P$4,tabela_registros[CATEGORIA],despesavariávelconsolidadoset[[#This Row],[DESPESA VARIÁVEL]])</f>
        <v>0</v>
      </c>
      <c r="O62" s="91">
        <f>SUMIFS(tabela_registros[VALOR],tabela_registros[MÊS],$AE$1,tabela_registros[DIA],settotal3059718395107119131[[#Headers],[11]],tabela_registros[REGISTRO],DADOS!$N$4,tabela_registros[TIPO],DADOS!$P$4,tabela_registros[CATEGORIA],despesavariávelconsolidadoset[[#This Row],[DESPESA VARIÁVEL]])</f>
        <v>0</v>
      </c>
      <c r="P62" s="91">
        <f>SUMIFS(tabela_registros[VALOR],tabela_registros[MÊS],$AE$1,tabela_registros[DIA],settotal3059718395107119131[[#Headers],[12]],tabela_registros[REGISTRO],DADOS!$N$4,tabela_registros[TIPO],DADOS!$P$4,tabela_registros[CATEGORIA],despesavariávelconsolidadoset[[#This Row],[DESPESA VARIÁVEL]])</f>
        <v>0</v>
      </c>
      <c r="Q62" s="91">
        <f>SUMIFS(tabela_registros[VALOR],tabela_registros[MÊS],$AE$1,tabela_registros[DIA],settotal3059718395107119131[[#Headers],[13]],tabela_registros[REGISTRO],DADOS!$N$4,tabela_registros[TIPO],DADOS!$P$4,tabela_registros[CATEGORIA],despesavariávelconsolidadoset[[#This Row],[DESPESA VARIÁVEL]])</f>
        <v>0</v>
      </c>
      <c r="R62" s="91">
        <f>SUMIFS(tabela_registros[VALOR],tabela_registros[MÊS],$AE$1,tabela_registros[DIA],settotal3059718395107119131[[#Headers],[14]],tabela_registros[REGISTRO],DADOS!$N$4,tabela_registros[TIPO],DADOS!$P$4,tabela_registros[CATEGORIA],despesavariávelconsolidadoset[[#This Row],[DESPESA VARIÁVEL]])</f>
        <v>0</v>
      </c>
      <c r="S62" s="91">
        <f>SUMIFS(tabela_registros[VALOR],tabela_registros[MÊS],$AE$1,tabela_registros[DIA],settotal3059718395107119131[[#Headers],[15]],tabela_registros[REGISTRO],DADOS!$N$4,tabela_registros[TIPO],DADOS!$P$4,tabela_registros[CATEGORIA],despesavariávelconsolidadoset[[#This Row],[DESPESA VARIÁVEL]])</f>
        <v>0</v>
      </c>
      <c r="T62" s="91">
        <f>SUMIFS(tabela_registros[VALOR],tabela_registros[MÊS],$AE$1,tabela_registros[DIA],settotal3059718395107119131[[#Headers],[16]],tabela_registros[REGISTRO],DADOS!$N$4,tabela_registros[TIPO],DADOS!$P$4,tabela_registros[CATEGORIA],despesavariávelconsolidadoset[[#This Row],[DESPESA VARIÁVEL]])</f>
        <v>0</v>
      </c>
      <c r="U62" s="91">
        <f>SUMIFS(tabela_registros[VALOR],tabela_registros[MÊS],$AE$1,tabela_registros[DIA],settotal3059718395107119131[[#Headers],[17]],tabela_registros[REGISTRO],DADOS!$N$4,tabela_registros[TIPO],DADOS!$P$4,tabela_registros[CATEGORIA],despesavariávelconsolidadoset[[#This Row],[DESPESA VARIÁVEL]])</f>
        <v>0</v>
      </c>
      <c r="V62" s="91">
        <f>SUMIFS(tabela_registros[VALOR],tabela_registros[MÊS],$AE$1,tabela_registros[DIA],settotal3059718395107119131[[#Headers],[18]],tabela_registros[REGISTRO],DADOS!$N$4,tabela_registros[TIPO],DADOS!$P$4,tabela_registros[CATEGORIA],despesavariávelconsolidadoset[[#This Row],[DESPESA VARIÁVEL]])</f>
        <v>0</v>
      </c>
      <c r="W62" s="91">
        <f>SUMIFS(tabela_registros[VALOR],tabela_registros[MÊS],$AE$1,tabela_registros[DIA],settotal3059718395107119131[[#Headers],[19]],tabela_registros[REGISTRO],DADOS!$N$4,tabela_registros[TIPO],DADOS!$P$4,tabela_registros[CATEGORIA],despesavariávelconsolidadoset[[#This Row],[DESPESA VARIÁVEL]])</f>
        <v>0</v>
      </c>
      <c r="X62" s="91">
        <f>SUMIFS(tabela_registros[VALOR],tabela_registros[MÊS],$AE$1,tabela_registros[DIA],settotal3059718395107119131[[#Headers],[20]],tabela_registros[REGISTRO],DADOS!$N$4,tabela_registros[TIPO],DADOS!$P$4,tabela_registros[CATEGORIA],despesavariávelconsolidadoset[[#This Row],[DESPESA VARIÁVEL]])</f>
        <v>0</v>
      </c>
      <c r="Y62" s="91">
        <f>SUMIFS(tabela_registros[VALOR],tabela_registros[MÊS],$AE$1,tabela_registros[DIA],settotal3059718395107119131[[#Headers],[21]],tabela_registros[REGISTRO],DADOS!$N$4,tabela_registros[TIPO],DADOS!$P$4,tabela_registros[CATEGORIA],despesavariávelconsolidadoset[[#This Row],[DESPESA VARIÁVEL]])</f>
        <v>0</v>
      </c>
      <c r="Z62" s="91">
        <f>SUMIFS(tabela_registros[VALOR],tabela_registros[MÊS],$AE$1,tabela_registros[DIA],settotal3059718395107119131[[#Headers],[22]],tabela_registros[REGISTRO],DADOS!$N$4,tabela_registros[TIPO],DADOS!$P$4,tabela_registros[CATEGORIA],despesavariávelconsolidadoset[[#This Row],[DESPESA VARIÁVEL]])</f>
        <v>0</v>
      </c>
      <c r="AA62" s="91">
        <f>SUMIFS(tabela_registros[VALOR],tabela_registros[MÊS],$AE$1,tabela_registros[DIA],settotal3059718395107119131[[#Headers],[23]],tabela_registros[REGISTRO],DADOS!$N$4,tabela_registros[TIPO],DADOS!$P$4,tabela_registros[CATEGORIA],despesavariávelconsolidadoset[[#This Row],[DESPESA VARIÁVEL]])</f>
        <v>0</v>
      </c>
      <c r="AB62" s="91">
        <f>SUMIFS(tabela_registros[VALOR],tabela_registros[MÊS],$AE$1,tabela_registros[DIA],settotal3059718395107119131[[#Headers],[24]],tabela_registros[REGISTRO],DADOS!$N$4,tabela_registros[TIPO],DADOS!$P$4,tabela_registros[CATEGORIA],despesavariávelconsolidadoset[[#This Row],[DESPESA VARIÁVEL]])</f>
        <v>0</v>
      </c>
      <c r="AC62" s="91">
        <f>SUMIFS(tabela_registros[VALOR],tabela_registros[MÊS],$AE$1,tabela_registros[DIA],settotal3059718395107119131[[#Headers],[25]],tabela_registros[REGISTRO],DADOS!$N$4,tabela_registros[TIPO],DADOS!$P$4,tabela_registros[CATEGORIA],despesavariávelconsolidadoset[[#This Row],[DESPESA VARIÁVEL]])</f>
        <v>0</v>
      </c>
      <c r="AD62" s="91">
        <f>SUMIFS(tabela_registros[VALOR],tabela_registros[MÊS],$AE$1,tabela_registros[DIA],settotal3059718395107119131[[#Headers],[26]],tabela_registros[REGISTRO],DADOS!$N$4,tabela_registros[TIPO],DADOS!$P$4,tabela_registros[CATEGORIA],despesavariávelconsolidadoset[[#This Row],[DESPESA VARIÁVEL]])</f>
        <v>0</v>
      </c>
      <c r="AE62" s="91">
        <f>SUMIFS(tabela_registros[VALOR],tabela_registros[MÊS],$AE$1,tabela_registros[DIA],settotal3059718395107119131[[#Headers],[27]],tabela_registros[REGISTRO],DADOS!$N$4,tabela_registros[TIPO],DADOS!$P$4,tabela_registros[CATEGORIA],despesavariávelconsolidadoset[[#This Row],[DESPESA VARIÁVEL]])</f>
        <v>0</v>
      </c>
      <c r="AF62" s="91">
        <f>SUMIFS(tabela_registros[VALOR],tabela_registros[MÊS],$AE$1,tabela_registros[DIA],settotal3059718395107119131[[#Headers],[28]],tabela_registros[REGISTRO],DADOS!$N$4,tabela_registros[TIPO],DADOS!$P$4,tabela_registros[CATEGORIA],despesavariávelconsolidadoset[[#This Row],[DESPESA VARIÁVEL]])</f>
        <v>0</v>
      </c>
      <c r="AG62" s="91">
        <f>SUMIFS(tabela_registros[VALOR],tabela_registros[MÊS],$AE$1,tabela_registros[DIA],settotal3059718395107119131[[#Headers],[29]],tabela_registros[REGISTRO],DADOS!$N$4,tabela_registros[TIPO],DADOS!$P$4,tabela_registros[CATEGORIA],despesavariávelconsolidadoset[[#This Row],[DESPESA VARIÁVEL]])</f>
        <v>0</v>
      </c>
      <c r="AH62" s="91">
        <f>SUMIFS(tabela_registros[VALOR],tabela_registros[MÊS],$AE$1,tabela_registros[DIA],settotal3059718395107119131[[#Headers],[30]],tabela_registros[REGISTRO],DADOS!$N$4,tabela_registros[TIPO],DADOS!$P$4,tabela_registros[CATEGORIA],despesavariávelconsolidadoset[[#This Row],[DESPESA VARIÁVEL]])</f>
        <v>0</v>
      </c>
      <c r="AI62" s="101">
        <f>SUMIFS(tabela_registros[VALOR],tabela_registros[MÊS],$AE$1,tabela_registros[DIA],settotal3059718395107119131[[#Headers],[31]],tabela_registros[REGISTRO],DADOS!$N$4,tabela_registros[TIPO],DADOS!$P$4,tabela_registros[CATEGORIA],despesavariávelconsolidadoset[[#This Row],[DESPESA VARIÁVEL]])</f>
        <v>0</v>
      </c>
      <c r="AJ62" s="97">
        <f>SUM(despesavariávelconsolidadoset[[#This Row],[1]:[31]])</f>
        <v>0</v>
      </c>
      <c r="AK62" s="28"/>
    </row>
    <row r="63" spans="2:37" ht="18" customHeight="1" thickTop="1" thickBot="1" x14ac:dyDescent="0.3">
      <c r="B63" s="28"/>
      <c r="C63" s="27" t="str">
        <f>DADOS!$T$6</f>
        <v>💄 CUIDADOS PESSOAIS</v>
      </c>
      <c r="D63" s="26" t="str">
        <f>IF(despesavariávelconsolidadoset[[#This Row],[TOTAL]]=0,"",IF(OR(despesavariávelconsolidadoset[[#This Row],[TOTAL]]=LARGE($AJ$60:$AJ$72,1),despesavariávelconsolidadoset[[#This Row],[TOTAL]]=LARGE($AJ$60:$AJ$72,2),despesavariávelconsolidadoset[[#This Row],[TOTAL]]=LARGE($AJ$60:$AJ$72,3),despesavariávelconsolidadoset[[#This Row],[TOTAL]]=LARGE($AJ$60:$AJ$72,4),despesavariávelconsolidadoset[[#This Row],[TOTAL]]=LARGE($AJ$60:$AJ$72,5)),DADOS!$I$8,""))</f>
        <v/>
      </c>
      <c r="E63" s="96">
        <f>SUMIFS(tabela_registros[VALOR],tabela_registros[MÊS],$AE$1,tabela_registros[DIA],settotal3059718395107119131[[#Headers],[1]],tabela_registros[REGISTRO],DADOS!$N$4,tabela_registros[TIPO],DADOS!$P$4,tabela_registros[CATEGORIA],despesavariávelconsolidadoset[[#This Row],[DESPESA VARIÁVEL]])</f>
        <v>0</v>
      </c>
      <c r="F63" s="91">
        <f>SUMIFS(tabela_registros[VALOR],tabela_registros[MÊS],$AE$1,tabela_registros[DIA],settotal3059718395107119131[[#Headers],[2]],tabela_registros[REGISTRO],DADOS!$N$4,tabela_registros[TIPO],DADOS!$P$4,tabela_registros[CATEGORIA],despesavariávelconsolidadoset[[#This Row],[DESPESA VARIÁVEL]])</f>
        <v>0</v>
      </c>
      <c r="G63" s="91">
        <f>SUMIFS(tabela_registros[VALOR],tabela_registros[MÊS],$AE$1,tabela_registros[DIA],settotal3059718395107119131[[#Headers],[3]],tabela_registros[REGISTRO],DADOS!$N$4,tabela_registros[TIPO],DADOS!$P$4,tabela_registros[CATEGORIA],despesavariávelconsolidadoset[[#This Row],[DESPESA VARIÁVEL]])</f>
        <v>0</v>
      </c>
      <c r="H63" s="91">
        <f>SUMIFS(tabela_registros[VALOR],tabela_registros[MÊS],$AE$1,tabela_registros[DIA],settotal3059718395107119131[[#Headers],[4]],tabela_registros[REGISTRO],DADOS!$N$4,tabela_registros[TIPO],DADOS!$P$4,tabela_registros[CATEGORIA],despesavariávelconsolidadoset[[#This Row],[DESPESA VARIÁVEL]])</f>
        <v>0</v>
      </c>
      <c r="I63" s="91">
        <f>SUMIFS(tabela_registros[VALOR],tabela_registros[MÊS],$AE$1,tabela_registros[DIA],settotal3059718395107119131[[#Headers],[5]],tabela_registros[REGISTRO],DADOS!$N$4,tabela_registros[TIPO],DADOS!$P$4,tabela_registros[CATEGORIA],despesavariávelconsolidadoset[[#This Row],[DESPESA VARIÁVEL]])</f>
        <v>0</v>
      </c>
      <c r="J63" s="91">
        <f>SUMIFS(tabela_registros[VALOR],tabela_registros[MÊS],$AE$1,tabela_registros[DIA],settotal3059718395107119131[[#Headers],[6]],tabela_registros[REGISTRO],DADOS!$N$4,tabela_registros[TIPO],DADOS!$P$4,tabela_registros[CATEGORIA],despesavariávelconsolidadoset[[#This Row],[DESPESA VARIÁVEL]])</f>
        <v>0</v>
      </c>
      <c r="K63" s="91">
        <f>SUMIFS(tabela_registros[VALOR],tabela_registros[MÊS],$AE$1,tabela_registros[DIA],settotal3059718395107119131[[#Headers],[7]],tabela_registros[REGISTRO],DADOS!$N$4,tabela_registros[TIPO],DADOS!$P$4,tabela_registros[CATEGORIA],despesavariávelconsolidadoset[[#This Row],[DESPESA VARIÁVEL]])</f>
        <v>0</v>
      </c>
      <c r="L63" s="91">
        <f>SUMIFS(tabela_registros[VALOR],tabela_registros[MÊS],$AE$1,tabela_registros[DIA],settotal3059718395107119131[[#Headers],[8]],tabela_registros[REGISTRO],DADOS!$N$4,tabela_registros[TIPO],DADOS!$P$4,tabela_registros[CATEGORIA],despesavariávelconsolidadoset[[#This Row],[DESPESA VARIÁVEL]])</f>
        <v>0</v>
      </c>
      <c r="M63" s="91">
        <f>SUMIFS(tabela_registros[VALOR],tabela_registros[MÊS],$AE$1,tabela_registros[DIA],settotal3059718395107119131[[#Headers],[9]],tabela_registros[REGISTRO],DADOS!$N$4,tabela_registros[TIPO],DADOS!$P$4,tabela_registros[CATEGORIA],despesavariávelconsolidadoset[[#This Row],[DESPESA VARIÁVEL]])</f>
        <v>0</v>
      </c>
      <c r="N63" s="91">
        <f>SUMIFS(tabela_registros[VALOR],tabela_registros[MÊS],$AE$1,tabela_registros[DIA],settotal3059718395107119131[[#Headers],[10]],tabela_registros[REGISTRO],DADOS!$N$4,tabela_registros[TIPO],DADOS!$P$4,tabela_registros[CATEGORIA],despesavariávelconsolidadoset[[#This Row],[DESPESA VARIÁVEL]])</f>
        <v>0</v>
      </c>
      <c r="O63" s="91">
        <f>SUMIFS(tabela_registros[VALOR],tabela_registros[MÊS],$AE$1,tabela_registros[DIA],settotal3059718395107119131[[#Headers],[11]],tabela_registros[REGISTRO],DADOS!$N$4,tabela_registros[TIPO],DADOS!$P$4,tabela_registros[CATEGORIA],despesavariávelconsolidadoset[[#This Row],[DESPESA VARIÁVEL]])</f>
        <v>0</v>
      </c>
      <c r="P63" s="91">
        <f>SUMIFS(tabela_registros[VALOR],tabela_registros[MÊS],$AE$1,tabela_registros[DIA],settotal3059718395107119131[[#Headers],[12]],tabela_registros[REGISTRO],DADOS!$N$4,tabela_registros[TIPO],DADOS!$P$4,tabela_registros[CATEGORIA],despesavariávelconsolidadoset[[#This Row],[DESPESA VARIÁVEL]])</f>
        <v>0</v>
      </c>
      <c r="Q63" s="91">
        <f>SUMIFS(tabela_registros[VALOR],tabela_registros[MÊS],$AE$1,tabela_registros[DIA],settotal3059718395107119131[[#Headers],[13]],tabela_registros[REGISTRO],DADOS!$N$4,tabela_registros[TIPO],DADOS!$P$4,tabela_registros[CATEGORIA],despesavariávelconsolidadoset[[#This Row],[DESPESA VARIÁVEL]])</f>
        <v>0</v>
      </c>
      <c r="R63" s="91">
        <f>SUMIFS(tabela_registros[VALOR],tabela_registros[MÊS],$AE$1,tabela_registros[DIA],settotal3059718395107119131[[#Headers],[14]],tabela_registros[REGISTRO],DADOS!$N$4,tabela_registros[TIPO],DADOS!$P$4,tabela_registros[CATEGORIA],despesavariávelconsolidadoset[[#This Row],[DESPESA VARIÁVEL]])</f>
        <v>0</v>
      </c>
      <c r="S63" s="91">
        <f>SUMIFS(tabela_registros[VALOR],tabela_registros[MÊS],$AE$1,tabela_registros[DIA],settotal3059718395107119131[[#Headers],[15]],tabela_registros[REGISTRO],DADOS!$N$4,tabela_registros[TIPO],DADOS!$P$4,tabela_registros[CATEGORIA],despesavariávelconsolidadoset[[#This Row],[DESPESA VARIÁVEL]])</f>
        <v>0</v>
      </c>
      <c r="T63" s="91">
        <f>SUMIFS(tabela_registros[VALOR],tabela_registros[MÊS],$AE$1,tabela_registros[DIA],settotal3059718395107119131[[#Headers],[16]],tabela_registros[REGISTRO],DADOS!$N$4,tabela_registros[TIPO],DADOS!$P$4,tabela_registros[CATEGORIA],despesavariávelconsolidadoset[[#This Row],[DESPESA VARIÁVEL]])</f>
        <v>0</v>
      </c>
      <c r="U63" s="91">
        <f>SUMIFS(tabela_registros[VALOR],tabela_registros[MÊS],$AE$1,tabela_registros[DIA],settotal3059718395107119131[[#Headers],[17]],tabela_registros[REGISTRO],DADOS!$N$4,tabela_registros[TIPO],DADOS!$P$4,tabela_registros[CATEGORIA],despesavariávelconsolidadoset[[#This Row],[DESPESA VARIÁVEL]])</f>
        <v>0</v>
      </c>
      <c r="V63" s="91">
        <f>SUMIFS(tabela_registros[VALOR],tabela_registros[MÊS],$AE$1,tabela_registros[DIA],settotal3059718395107119131[[#Headers],[18]],tabela_registros[REGISTRO],DADOS!$N$4,tabela_registros[TIPO],DADOS!$P$4,tabela_registros[CATEGORIA],despesavariávelconsolidadoset[[#This Row],[DESPESA VARIÁVEL]])</f>
        <v>0</v>
      </c>
      <c r="W63" s="91">
        <f>SUMIFS(tabela_registros[VALOR],tabela_registros[MÊS],$AE$1,tabela_registros[DIA],settotal3059718395107119131[[#Headers],[19]],tabela_registros[REGISTRO],DADOS!$N$4,tabela_registros[TIPO],DADOS!$P$4,tabela_registros[CATEGORIA],despesavariávelconsolidadoset[[#This Row],[DESPESA VARIÁVEL]])</f>
        <v>0</v>
      </c>
      <c r="X63" s="91">
        <f>SUMIFS(tabela_registros[VALOR],tabela_registros[MÊS],$AE$1,tabela_registros[DIA],settotal3059718395107119131[[#Headers],[20]],tabela_registros[REGISTRO],DADOS!$N$4,tabela_registros[TIPO],DADOS!$P$4,tabela_registros[CATEGORIA],despesavariávelconsolidadoset[[#This Row],[DESPESA VARIÁVEL]])</f>
        <v>0</v>
      </c>
      <c r="Y63" s="91">
        <f>SUMIFS(tabela_registros[VALOR],tabela_registros[MÊS],$AE$1,tabela_registros[DIA],settotal3059718395107119131[[#Headers],[21]],tabela_registros[REGISTRO],DADOS!$N$4,tabela_registros[TIPO],DADOS!$P$4,tabela_registros[CATEGORIA],despesavariávelconsolidadoset[[#This Row],[DESPESA VARIÁVEL]])</f>
        <v>0</v>
      </c>
      <c r="Z63" s="91">
        <f>SUMIFS(tabela_registros[VALOR],tabela_registros[MÊS],$AE$1,tabela_registros[DIA],settotal3059718395107119131[[#Headers],[22]],tabela_registros[REGISTRO],DADOS!$N$4,tabela_registros[TIPO],DADOS!$P$4,tabela_registros[CATEGORIA],despesavariávelconsolidadoset[[#This Row],[DESPESA VARIÁVEL]])</f>
        <v>0</v>
      </c>
      <c r="AA63" s="91">
        <f>SUMIFS(tabela_registros[VALOR],tabela_registros[MÊS],$AE$1,tabela_registros[DIA],settotal3059718395107119131[[#Headers],[23]],tabela_registros[REGISTRO],DADOS!$N$4,tabela_registros[TIPO],DADOS!$P$4,tabela_registros[CATEGORIA],despesavariávelconsolidadoset[[#This Row],[DESPESA VARIÁVEL]])</f>
        <v>0</v>
      </c>
      <c r="AB63" s="91">
        <f>SUMIFS(tabela_registros[VALOR],tabela_registros[MÊS],$AE$1,tabela_registros[DIA],settotal3059718395107119131[[#Headers],[24]],tabela_registros[REGISTRO],DADOS!$N$4,tabela_registros[TIPO],DADOS!$P$4,tabela_registros[CATEGORIA],despesavariávelconsolidadoset[[#This Row],[DESPESA VARIÁVEL]])</f>
        <v>0</v>
      </c>
      <c r="AC63" s="91">
        <f>SUMIFS(tabela_registros[VALOR],tabela_registros[MÊS],$AE$1,tabela_registros[DIA],settotal3059718395107119131[[#Headers],[25]],tabela_registros[REGISTRO],DADOS!$N$4,tabela_registros[TIPO],DADOS!$P$4,tabela_registros[CATEGORIA],despesavariávelconsolidadoset[[#This Row],[DESPESA VARIÁVEL]])</f>
        <v>0</v>
      </c>
      <c r="AD63" s="91">
        <f>SUMIFS(tabela_registros[VALOR],tabela_registros[MÊS],$AE$1,tabela_registros[DIA],settotal3059718395107119131[[#Headers],[26]],tabela_registros[REGISTRO],DADOS!$N$4,tabela_registros[TIPO],DADOS!$P$4,tabela_registros[CATEGORIA],despesavariávelconsolidadoset[[#This Row],[DESPESA VARIÁVEL]])</f>
        <v>0</v>
      </c>
      <c r="AE63" s="91">
        <f>SUMIFS(tabela_registros[VALOR],tabela_registros[MÊS],$AE$1,tabela_registros[DIA],settotal3059718395107119131[[#Headers],[27]],tabela_registros[REGISTRO],DADOS!$N$4,tabela_registros[TIPO],DADOS!$P$4,tabela_registros[CATEGORIA],despesavariávelconsolidadoset[[#This Row],[DESPESA VARIÁVEL]])</f>
        <v>0</v>
      </c>
      <c r="AF63" s="91">
        <f>SUMIFS(tabela_registros[VALOR],tabela_registros[MÊS],$AE$1,tabela_registros[DIA],settotal3059718395107119131[[#Headers],[28]],tabela_registros[REGISTRO],DADOS!$N$4,tabela_registros[TIPO],DADOS!$P$4,tabela_registros[CATEGORIA],despesavariávelconsolidadoset[[#This Row],[DESPESA VARIÁVEL]])</f>
        <v>0</v>
      </c>
      <c r="AG63" s="91">
        <f>SUMIFS(tabela_registros[VALOR],tabela_registros[MÊS],$AE$1,tabela_registros[DIA],settotal3059718395107119131[[#Headers],[29]],tabela_registros[REGISTRO],DADOS!$N$4,tabela_registros[TIPO],DADOS!$P$4,tabela_registros[CATEGORIA],despesavariávelconsolidadoset[[#This Row],[DESPESA VARIÁVEL]])</f>
        <v>0</v>
      </c>
      <c r="AH63" s="91">
        <f>SUMIFS(tabela_registros[VALOR],tabela_registros[MÊS],$AE$1,tabela_registros[DIA],settotal3059718395107119131[[#Headers],[30]],tabela_registros[REGISTRO],DADOS!$N$4,tabela_registros[TIPO],DADOS!$P$4,tabela_registros[CATEGORIA],despesavariávelconsolidadoset[[#This Row],[DESPESA VARIÁVEL]])</f>
        <v>0</v>
      </c>
      <c r="AI63" s="101">
        <f>SUMIFS(tabela_registros[VALOR],tabela_registros[MÊS],$AE$1,tabela_registros[DIA],settotal3059718395107119131[[#Headers],[31]],tabela_registros[REGISTRO],DADOS!$N$4,tabela_registros[TIPO],DADOS!$P$4,tabela_registros[CATEGORIA],despesavariávelconsolidadoset[[#This Row],[DESPESA VARIÁVEL]])</f>
        <v>0</v>
      </c>
      <c r="AJ63" s="97">
        <f>SUM(despesavariávelconsolidadoset[[#This Row],[1]:[31]])</f>
        <v>0</v>
      </c>
      <c r="AK63" s="28"/>
    </row>
    <row r="64" spans="2:37" ht="18" customHeight="1" thickTop="1" thickBot="1" x14ac:dyDescent="0.3">
      <c r="B64" s="28"/>
      <c r="C64" s="27" t="str">
        <f>DADOS!$T$7</f>
        <v>🤝 DOAÇÃO</v>
      </c>
      <c r="D64" s="26" t="str">
        <f>IF(despesavariávelconsolidadoset[[#This Row],[TOTAL]]=0,"",IF(OR(despesavariávelconsolidadoset[[#This Row],[TOTAL]]=LARGE($AJ$60:$AJ$72,1),despesavariávelconsolidadoset[[#This Row],[TOTAL]]=LARGE($AJ$60:$AJ$72,2),despesavariávelconsolidadoset[[#This Row],[TOTAL]]=LARGE($AJ$60:$AJ$72,3),despesavariávelconsolidadoset[[#This Row],[TOTAL]]=LARGE($AJ$60:$AJ$72,4),despesavariávelconsolidadoset[[#This Row],[TOTAL]]=LARGE($AJ$60:$AJ$72,5)),DADOS!$I$8,""))</f>
        <v/>
      </c>
      <c r="E64" s="96">
        <f>SUMIFS(tabela_registros[VALOR],tabela_registros[MÊS],$AE$1,tabela_registros[DIA],settotal3059718395107119131[[#Headers],[1]],tabela_registros[REGISTRO],DADOS!$N$4,tabela_registros[TIPO],DADOS!$P$4,tabela_registros[CATEGORIA],despesavariávelconsolidadoset[[#This Row],[DESPESA VARIÁVEL]])</f>
        <v>0</v>
      </c>
      <c r="F64" s="91">
        <f>SUMIFS(tabela_registros[VALOR],tabela_registros[MÊS],$AE$1,tabela_registros[DIA],settotal3059718395107119131[[#Headers],[2]],tabela_registros[REGISTRO],DADOS!$N$4,tabela_registros[TIPO],DADOS!$P$4,tabela_registros[CATEGORIA],despesavariávelconsolidadoset[[#This Row],[DESPESA VARIÁVEL]])</f>
        <v>0</v>
      </c>
      <c r="G64" s="91">
        <f>SUMIFS(tabela_registros[VALOR],tabela_registros[MÊS],$AE$1,tabela_registros[DIA],settotal3059718395107119131[[#Headers],[3]],tabela_registros[REGISTRO],DADOS!$N$4,tabela_registros[TIPO],DADOS!$P$4,tabela_registros[CATEGORIA],despesavariávelconsolidadoset[[#This Row],[DESPESA VARIÁVEL]])</f>
        <v>0</v>
      </c>
      <c r="H64" s="91">
        <f>SUMIFS(tabela_registros[VALOR],tabela_registros[MÊS],$AE$1,tabela_registros[DIA],settotal3059718395107119131[[#Headers],[4]],tabela_registros[REGISTRO],DADOS!$N$4,tabela_registros[TIPO],DADOS!$P$4,tabela_registros[CATEGORIA],despesavariávelconsolidadoset[[#This Row],[DESPESA VARIÁVEL]])</f>
        <v>0</v>
      </c>
      <c r="I64" s="91">
        <f>SUMIFS(tabela_registros[VALOR],tabela_registros[MÊS],$AE$1,tabela_registros[DIA],settotal3059718395107119131[[#Headers],[5]],tabela_registros[REGISTRO],DADOS!$N$4,tabela_registros[TIPO],DADOS!$P$4,tabela_registros[CATEGORIA],despesavariávelconsolidadoset[[#This Row],[DESPESA VARIÁVEL]])</f>
        <v>0</v>
      </c>
      <c r="J64" s="91">
        <f>SUMIFS(tabela_registros[VALOR],tabela_registros[MÊS],$AE$1,tabela_registros[DIA],settotal3059718395107119131[[#Headers],[6]],tabela_registros[REGISTRO],DADOS!$N$4,tabela_registros[TIPO],DADOS!$P$4,tabela_registros[CATEGORIA],despesavariávelconsolidadoset[[#This Row],[DESPESA VARIÁVEL]])</f>
        <v>0</v>
      </c>
      <c r="K64" s="91">
        <f>SUMIFS(tabela_registros[VALOR],tabela_registros[MÊS],$AE$1,tabela_registros[DIA],settotal3059718395107119131[[#Headers],[7]],tabela_registros[REGISTRO],DADOS!$N$4,tabela_registros[TIPO],DADOS!$P$4,tabela_registros[CATEGORIA],despesavariávelconsolidadoset[[#This Row],[DESPESA VARIÁVEL]])</f>
        <v>0</v>
      </c>
      <c r="L64" s="91">
        <f>SUMIFS(tabela_registros[VALOR],tabela_registros[MÊS],$AE$1,tabela_registros[DIA],settotal3059718395107119131[[#Headers],[8]],tabela_registros[REGISTRO],DADOS!$N$4,tabela_registros[TIPO],DADOS!$P$4,tabela_registros[CATEGORIA],despesavariávelconsolidadoset[[#This Row],[DESPESA VARIÁVEL]])</f>
        <v>0</v>
      </c>
      <c r="M64" s="91">
        <f>SUMIFS(tabela_registros[VALOR],tabela_registros[MÊS],$AE$1,tabela_registros[DIA],settotal3059718395107119131[[#Headers],[9]],tabela_registros[REGISTRO],DADOS!$N$4,tabela_registros[TIPO],DADOS!$P$4,tabela_registros[CATEGORIA],despesavariávelconsolidadoset[[#This Row],[DESPESA VARIÁVEL]])</f>
        <v>0</v>
      </c>
      <c r="N64" s="91">
        <f>SUMIFS(tabela_registros[VALOR],tabela_registros[MÊS],$AE$1,tabela_registros[DIA],settotal3059718395107119131[[#Headers],[10]],tabela_registros[REGISTRO],DADOS!$N$4,tabela_registros[TIPO],DADOS!$P$4,tabela_registros[CATEGORIA],despesavariávelconsolidadoset[[#This Row],[DESPESA VARIÁVEL]])</f>
        <v>0</v>
      </c>
      <c r="O64" s="91">
        <f>SUMIFS(tabela_registros[VALOR],tabela_registros[MÊS],$AE$1,tabela_registros[DIA],settotal3059718395107119131[[#Headers],[11]],tabela_registros[REGISTRO],DADOS!$N$4,tabela_registros[TIPO],DADOS!$P$4,tabela_registros[CATEGORIA],despesavariávelconsolidadoset[[#This Row],[DESPESA VARIÁVEL]])</f>
        <v>0</v>
      </c>
      <c r="P64" s="91">
        <f>SUMIFS(tabela_registros[VALOR],tabela_registros[MÊS],$AE$1,tabela_registros[DIA],settotal3059718395107119131[[#Headers],[12]],tabela_registros[REGISTRO],DADOS!$N$4,tabela_registros[TIPO],DADOS!$P$4,tabela_registros[CATEGORIA],despesavariávelconsolidadoset[[#This Row],[DESPESA VARIÁVEL]])</f>
        <v>0</v>
      </c>
      <c r="Q64" s="91">
        <f>SUMIFS(tabela_registros[VALOR],tabela_registros[MÊS],$AE$1,tabela_registros[DIA],settotal3059718395107119131[[#Headers],[13]],tabela_registros[REGISTRO],DADOS!$N$4,tabela_registros[TIPO],DADOS!$P$4,tabela_registros[CATEGORIA],despesavariávelconsolidadoset[[#This Row],[DESPESA VARIÁVEL]])</f>
        <v>0</v>
      </c>
      <c r="R64" s="91">
        <f>SUMIFS(tabela_registros[VALOR],tabela_registros[MÊS],$AE$1,tabela_registros[DIA],settotal3059718395107119131[[#Headers],[14]],tabela_registros[REGISTRO],DADOS!$N$4,tabela_registros[TIPO],DADOS!$P$4,tabela_registros[CATEGORIA],despesavariávelconsolidadoset[[#This Row],[DESPESA VARIÁVEL]])</f>
        <v>0</v>
      </c>
      <c r="S64" s="91">
        <f>SUMIFS(tabela_registros[VALOR],tabela_registros[MÊS],$AE$1,tabela_registros[DIA],settotal3059718395107119131[[#Headers],[15]],tabela_registros[REGISTRO],DADOS!$N$4,tabela_registros[TIPO],DADOS!$P$4,tabela_registros[CATEGORIA],despesavariávelconsolidadoset[[#This Row],[DESPESA VARIÁVEL]])</f>
        <v>0</v>
      </c>
      <c r="T64" s="91">
        <f>SUMIFS(tabela_registros[VALOR],tabela_registros[MÊS],$AE$1,tabela_registros[DIA],settotal3059718395107119131[[#Headers],[16]],tabela_registros[REGISTRO],DADOS!$N$4,tabela_registros[TIPO],DADOS!$P$4,tabela_registros[CATEGORIA],despesavariávelconsolidadoset[[#This Row],[DESPESA VARIÁVEL]])</f>
        <v>0</v>
      </c>
      <c r="U64" s="91">
        <f>SUMIFS(tabela_registros[VALOR],tabela_registros[MÊS],$AE$1,tabela_registros[DIA],settotal3059718395107119131[[#Headers],[17]],tabela_registros[REGISTRO],DADOS!$N$4,tabela_registros[TIPO],DADOS!$P$4,tabela_registros[CATEGORIA],despesavariávelconsolidadoset[[#This Row],[DESPESA VARIÁVEL]])</f>
        <v>0</v>
      </c>
      <c r="V64" s="91">
        <f>SUMIFS(tabela_registros[VALOR],tabela_registros[MÊS],$AE$1,tabela_registros[DIA],settotal3059718395107119131[[#Headers],[18]],tabela_registros[REGISTRO],DADOS!$N$4,tabela_registros[TIPO],DADOS!$P$4,tabela_registros[CATEGORIA],despesavariávelconsolidadoset[[#This Row],[DESPESA VARIÁVEL]])</f>
        <v>0</v>
      </c>
      <c r="W64" s="91">
        <f>SUMIFS(tabela_registros[VALOR],tabela_registros[MÊS],$AE$1,tabela_registros[DIA],settotal3059718395107119131[[#Headers],[19]],tabela_registros[REGISTRO],DADOS!$N$4,tabela_registros[TIPO],DADOS!$P$4,tabela_registros[CATEGORIA],despesavariávelconsolidadoset[[#This Row],[DESPESA VARIÁVEL]])</f>
        <v>0</v>
      </c>
      <c r="X64" s="91">
        <f>SUMIFS(tabela_registros[VALOR],tabela_registros[MÊS],$AE$1,tabela_registros[DIA],settotal3059718395107119131[[#Headers],[20]],tabela_registros[REGISTRO],DADOS!$N$4,tabela_registros[TIPO],DADOS!$P$4,tabela_registros[CATEGORIA],despesavariávelconsolidadoset[[#This Row],[DESPESA VARIÁVEL]])</f>
        <v>0</v>
      </c>
      <c r="Y64" s="91">
        <f>SUMIFS(tabela_registros[VALOR],tabela_registros[MÊS],$AE$1,tabela_registros[DIA],settotal3059718395107119131[[#Headers],[21]],tabela_registros[REGISTRO],DADOS!$N$4,tabela_registros[TIPO],DADOS!$P$4,tabela_registros[CATEGORIA],despesavariávelconsolidadoset[[#This Row],[DESPESA VARIÁVEL]])</f>
        <v>0</v>
      </c>
      <c r="Z64" s="91">
        <f>SUMIFS(tabela_registros[VALOR],tabela_registros[MÊS],$AE$1,tabela_registros[DIA],settotal3059718395107119131[[#Headers],[22]],tabela_registros[REGISTRO],DADOS!$N$4,tabela_registros[TIPO],DADOS!$P$4,tabela_registros[CATEGORIA],despesavariávelconsolidadoset[[#This Row],[DESPESA VARIÁVEL]])</f>
        <v>0</v>
      </c>
      <c r="AA64" s="91">
        <f>SUMIFS(tabela_registros[VALOR],tabela_registros[MÊS],$AE$1,tabela_registros[DIA],settotal3059718395107119131[[#Headers],[23]],tabela_registros[REGISTRO],DADOS!$N$4,tabela_registros[TIPO],DADOS!$P$4,tabela_registros[CATEGORIA],despesavariávelconsolidadoset[[#This Row],[DESPESA VARIÁVEL]])</f>
        <v>0</v>
      </c>
      <c r="AB64" s="91">
        <f>SUMIFS(tabela_registros[VALOR],tabela_registros[MÊS],$AE$1,tabela_registros[DIA],settotal3059718395107119131[[#Headers],[24]],tabela_registros[REGISTRO],DADOS!$N$4,tabela_registros[TIPO],DADOS!$P$4,tabela_registros[CATEGORIA],despesavariávelconsolidadoset[[#This Row],[DESPESA VARIÁVEL]])</f>
        <v>0</v>
      </c>
      <c r="AC64" s="91">
        <f>SUMIFS(tabela_registros[VALOR],tabela_registros[MÊS],$AE$1,tabela_registros[DIA],settotal3059718395107119131[[#Headers],[25]],tabela_registros[REGISTRO],DADOS!$N$4,tabela_registros[TIPO],DADOS!$P$4,tabela_registros[CATEGORIA],despesavariávelconsolidadoset[[#This Row],[DESPESA VARIÁVEL]])</f>
        <v>0</v>
      </c>
      <c r="AD64" s="91">
        <f>SUMIFS(tabela_registros[VALOR],tabela_registros[MÊS],$AE$1,tabela_registros[DIA],settotal3059718395107119131[[#Headers],[26]],tabela_registros[REGISTRO],DADOS!$N$4,tabela_registros[TIPO],DADOS!$P$4,tabela_registros[CATEGORIA],despesavariávelconsolidadoset[[#This Row],[DESPESA VARIÁVEL]])</f>
        <v>0</v>
      </c>
      <c r="AE64" s="91">
        <f>SUMIFS(tabela_registros[VALOR],tabela_registros[MÊS],$AE$1,tabela_registros[DIA],settotal3059718395107119131[[#Headers],[27]],tabela_registros[REGISTRO],DADOS!$N$4,tabela_registros[TIPO],DADOS!$P$4,tabela_registros[CATEGORIA],despesavariávelconsolidadoset[[#This Row],[DESPESA VARIÁVEL]])</f>
        <v>0</v>
      </c>
      <c r="AF64" s="91">
        <f>SUMIFS(tabela_registros[VALOR],tabela_registros[MÊS],$AE$1,tabela_registros[DIA],settotal3059718395107119131[[#Headers],[28]],tabela_registros[REGISTRO],DADOS!$N$4,tabela_registros[TIPO],DADOS!$P$4,tabela_registros[CATEGORIA],despesavariávelconsolidadoset[[#This Row],[DESPESA VARIÁVEL]])</f>
        <v>0</v>
      </c>
      <c r="AG64" s="91">
        <f>SUMIFS(tabela_registros[VALOR],tabela_registros[MÊS],$AE$1,tabela_registros[DIA],settotal3059718395107119131[[#Headers],[29]],tabela_registros[REGISTRO],DADOS!$N$4,tabela_registros[TIPO],DADOS!$P$4,tabela_registros[CATEGORIA],despesavariávelconsolidadoset[[#This Row],[DESPESA VARIÁVEL]])</f>
        <v>0</v>
      </c>
      <c r="AH64" s="91">
        <f>SUMIFS(tabela_registros[VALOR],tabela_registros[MÊS],$AE$1,tabela_registros[DIA],settotal3059718395107119131[[#Headers],[30]],tabela_registros[REGISTRO],DADOS!$N$4,tabela_registros[TIPO],DADOS!$P$4,tabela_registros[CATEGORIA],despesavariávelconsolidadoset[[#This Row],[DESPESA VARIÁVEL]])</f>
        <v>0</v>
      </c>
      <c r="AI64" s="101">
        <f>SUMIFS(tabela_registros[VALOR],tabela_registros[MÊS],$AE$1,tabela_registros[DIA],settotal3059718395107119131[[#Headers],[31]],tabela_registros[REGISTRO],DADOS!$N$4,tabela_registros[TIPO],DADOS!$P$4,tabela_registros[CATEGORIA],despesavariávelconsolidadoset[[#This Row],[DESPESA VARIÁVEL]])</f>
        <v>0</v>
      </c>
      <c r="AJ64" s="97">
        <f>SUM(despesavariávelconsolidadoset[[#This Row],[1]:[31]])</f>
        <v>0</v>
      </c>
      <c r="AK64" s="28"/>
    </row>
    <row r="65" spans="2:37" ht="18" customHeight="1" thickTop="1" thickBot="1" x14ac:dyDescent="0.3">
      <c r="B65" s="28"/>
      <c r="C65" s="27" t="str">
        <f>DADOS!$T$8</f>
        <v>📖 EDUCAÇÃO</v>
      </c>
      <c r="D65" s="26" t="str">
        <f>IF(despesavariávelconsolidadoset[[#This Row],[TOTAL]]=0,"",IF(OR(despesavariávelconsolidadoset[[#This Row],[TOTAL]]=LARGE($AJ$60:$AJ$72,1),despesavariávelconsolidadoset[[#This Row],[TOTAL]]=LARGE($AJ$60:$AJ$72,2),despesavariávelconsolidadoset[[#This Row],[TOTAL]]=LARGE($AJ$60:$AJ$72,3),despesavariávelconsolidadoset[[#This Row],[TOTAL]]=LARGE($AJ$60:$AJ$72,4),despesavariávelconsolidadoset[[#This Row],[TOTAL]]=LARGE($AJ$60:$AJ$72,5)),DADOS!$I$8,""))</f>
        <v/>
      </c>
      <c r="E65" s="96">
        <f>SUMIFS(tabela_registros[VALOR],tabela_registros[MÊS],$AE$1,tabela_registros[DIA],settotal3059718395107119131[[#Headers],[1]],tabela_registros[REGISTRO],DADOS!$N$4,tabela_registros[TIPO],DADOS!$P$4,tabela_registros[CATEGORIA],despesavariávelconsolidadoset[[#This Row],[DESPESA VARIÁVEL]])</f>
        <v>0</v>
      </c>
      <c r="F65" s="91">
        <f>SUMIFS(tabela_registros[VALOR],tabela_registros[MÊS],$AE$1,tabela_registros[DIA],settotal3059718395107119131[[#Headers],[2]],tabela_registros[REGISTRO],DADOS!$N$4,tabela_registros[TIPO],DADOS!$P$4,tabela_registros[CATEGORIA],despesavariávelconsolidadoset[[#This Row],[DESPESA VARIÁVEL]])</f>
        <v>0</v>
      </c>
      <c r="G65" s="91">
        <f>SUMIFS(tabela_registros[VALOR],tabela_registros[MÊS],$AE$1,tabela_registros[DIA],settotal3059718395107119131[[#Headers],[3]],tabela_registros[REGISTRO],DADOS!$N$4,tabela_registros[TIPO],DADOS!$P$4,tabela_registros[CATEGORIA],despesavariávelconsolidadoset[[#This Row],[DESPESA VARIÁVEL]])</f>
        <v>0</v>
      </c>
      <c r="H65" s="91">
        <f>SUMIFS(tabela_registros[VALOR],tabela_registros[MÊS],$AE$1,tabela_registros[DIA],settotal3059718395107119131[[#Headers],[4]],tabela_registros[REGISTRO],DADOS!$N$4,tabela_registros[TIPO],DADOS!$P$4,tabela_registros[CATEGORIA],despesavariávelconsolidadoset[[#This Row],[DESPESA VARIÁVEL]])</f>
        <v>0</v>
      </c>
      <c r="I65" s="91">
        <f>SUMIFS(tabela_registros[VALOR],tabela_registros[MÊS],$AE$1,tabela_registros[DIA],settotal3059718395107119131[[#Headers],[5]],tabela_registros[REGISTRO],DADOS!$N$4,tabela_registros[TIPO],DADOS!$P$4,tabela_registros[CATEGORIA],despesavariávelconsolidadoset[[#This Row],[DESPESA VARIÁVEL]])</f>
        <v>0</v>
      </c>
      <c r="J65" s="91">
        <f>SUMIFS(tabela_registros[VALOR],tabela_registros[MÊS],$AE$1,tabela_registros[DIA],settotal3059718395107119131[[#Headers],[6]],tabela_registros[REGISTRO],DADOS!$N$4,tabela_registros[TIPO],DADOS!$P$4,tabela_registros[CATEGORIA],despesavariávelconsolidadoset[[#This Row],[DESPESA VARIÁVEL]])</f>
        <v>0</v>
      </c>
      <c r="K65" s="91">
        <f>SUMIFS(tabela_registros[VALOR],tabela_registros[MÊS],$AE$1,tabela_registros[DIA],settotal3059718395107119131[[#Headers],[7]],tabela_registros[REGISTRO],DADOS!$N$4,tabela_registros[TIPO],DADOS!$P$4,tabela_registros[CATEGORIA],despesavariávelconsolidadoset[[#This Row],[DESPESA VARIÁVEL]])</f>
        <v>0</v>
      </c>
      <c r="L65" s="91">
        <f>SUMIFS(tabela_registros[VALOR],tabela_registros[MÊS],$AE$1,tabela_registros[DIA],settotal3059718395107119131[[#Headers],[8]],tabela_registros[REGISTRO],DADOS!$N$4,tabela_registros[TIPO],DADOS!$P$4,tabela_registros[CATEGORIA],despesavariávelconsolidadoset[[#This Row],[DESPESA VARIÁVEL]])</f>
        <v>0</v>
      </c>
      <c r="M65" s="91">
        <f>SUMIFS(tabela_registros[VALOR],tabela_registros[MÊS],$AE$1,tabela_registros[DIA],settotal3059718395107119131[[#Headers],[9]],tabela_registros[REGISTRO],DADOS!$N$4,tabela_registros[TIPO],DADOS!$P$4,tabela_registros[CATEGORIA],despesavariávelconsolidadoset[[#This Row],[DESPESA VARIÁVEL]])</f>
        <v>0</v>
      </c>
      <c r="N65" s="91">
        <f>SUMIFS(tabela_registros[VALOR],tabela_registros[MÊS],$AE$1,tabela_registros[DIA],settotal3059718395107119131[[#Headers],[10]],tabela_registros[REGISTRO],DADOS!$N$4,tabela_registros[TIPO],DADOS!$P$4,tabela_registros[CATEGORIA],despesavariávelconsolidadoset[[#This Row],[DESPESA VARIÁVEL]])</f>
        <v>0</v>
      </c>
      <c r="O65" s="91">
        <f>SUMIFS(tabela_registros[VALOR],tabela_registros[MÊS],$AE$1,tabela_registros[DIA],settotal3059718395107119131[[#Headers],[11]],tabela_registros[REGISTRO],DADOS!$N$4,tabela_registros[TIPO],DADOS!$P$4,tabela_registros[CATEGORIA],despesavariávelconsolidadoset[[#This Row],[DESPESA VARIÁVEL]])</f>
        <v>0</v>
      </c>
      <c r="P65" s="91">
        <f>SUMIFS(tabela_registros[VALOR],tabela_registros[MÊS],$AE$1,tabela_registros[DIA],settotal3059718395107119131[[#Headers],[12]],tabela_registros[REGISTRO],DADOS!$N$4,tabela_registros[TIPO],DADOS!$P$4,tabela_registros[CATEGORIA],despesavariávelconsolidadoset[[#This Row],[DESPESA VARIÁVEL]])</f>
        <v>0</v>
      </c>
      <c r="Q65" s="91">
        <f>SUMIFS(tabela_registros[VALOR],tabela_registros[MÊS],$AE$1,tabela_registros[DIA],settotal3059718395107119131[[#Headers],[13]],tabela_registros[REGISTRO],DADOS!$N$4,tabela_registros[TIPO],DADOS!$P$4,tabela_registros[CATEGORIA],despesavariávelconsolidadoset[[#This Row],[DESPESA VARIÁVEL]])</f>
        <v>0</v>
      </c>
      <c r="R65" s="91">
        <f>SUMIFS(tabela_registros[VALOR],tabela_registros[MÊS],$AE$1,tabela_registros[DIA],settotal3059718395107119131[[#Headers],[14]],tabela_registros[REGISTRO],DADOS!$N$4,tabela_registros[TIPO],DADOS!$P$4,tabela_registros[CATEGORIA],despesavariávelconsolidadoset[[#This Row],[DESPESA VARIÁVEL]])</f>
        <v>0</v>
      </c>
      <c r="S65" s="91">
        <f>SUMIFS(tabela_registros[VALOR],tabela_registros[MÊS],$AE$1,tabela_registros[DIA],settotal3059718395107119131[[#Headers],[15]],tabela_registros[REGISTRO],DADOS!$N$4,tabela_registros[TIPO],DADOS!$P$4,tabela_registros[CATEGORIA],despesavariávelconsolidadoset[[#This Row],[DESPESA VARIÁVEL]])</f>
        <v>0</v>
      </c>
      <c r="T65" s="91">
        <f>SUMIFS(tabela_registros[VALOR],tabela_registros[MÊS],$AE$1,tabela_registros[DIA],settotal3059718395107119131[[#Headers],[16]],tabela_registros[REGISTRO],DADOS!$N$4,tabela_registros[TIPO],DADOS!$P$4,tabela_registros[CATEGORIA],despesavariávelconsolidadoset[[#This Row],[DESPESA VARIÁVEL]])</f>
        <v>0</v>
      </c>
      <c r="U65" s="91">
        <f>SUMIFS(tabela_registros[VALOR],tabela_registros[MÊS],$AE$1,tabela_registros[DIA],settotal3059718395107119131[[#Headers],[17]],tabela_registros[REGISTRO],DADOS!$N$4,tabela_registros[TIPO],DADOS!$P$4,tabela_registros[CATEGORIA],despesavariávelconsolidadoset[[#This Row],[DESPESA VARIÁVEL]])</f>
        <v>0</v>
      </c>
      <c r="V65" s="91">
        <f>SUMIFS(tabela_registros[VALOR],tabela_registros[MÊS],$AE$1,tabela_registros[DIA],settotal3059718395107119131[[#Headers],[18]],tabela_registros[REGISTRO],DADOS!$N$4,tabela_registros[TIPO],DADOS!$P$4,tabela_registros[CATEGORIA],despesavariávelconsolidadoset[[#This Row],[DESPESA VARIÁVEL]])</f>
        <v>0</v>
      </c>
      <c r="W65" s="91">
        <f>SUMIFS(tabela_registros[VALOR],tabela_registros[MÊS],$AE$1,tabela_registros[DIA],settotal3059718395107119131[[#Headers],[19]],tabela_registros[REGISTRO],DADOS!$N$4,tabela_registros[TIPO],DADOS!$P$4,tabela_registros[CATEGORIA],despesavariávelconsolidadoset[[#This Row],[DESPESA VARIÁVEL]])</f>
        <v>0</v>
      </c>
      <c r="X65" s="91">
        <f>SUMIFS(tabela_registros[VALOR],tabela_registros[MÊS],$AE$1,tabela_registros[DIA],settotal3059718395107119131[[#Headers],[20]],tabela_registros[REGISTRO],DADOS!$N$4,tabela_registros[TIPO],DADOS!$P$4,tabela_registros[CATEGORIA],despesavariávelconsolidadoset[[#This Row],[DESPESA VARIÁVEL]])</f>
        <v>0</v>
      </c>
      <c r="Y65" s="91">
        <f>SUMIFS(tabela_registros[VALOR],tabela_registros[MÊS],$AE$1,tabela_registros[DIA],settotal3059718395107119131[[#Headers],[21]],tabela_registros[REGISTRO],DADOS!$N$4,tabela_registros[TIPO],DADOS!$P$4,tabela_registros[CATEGORIA],despesavariávelconsolidadoset[[#This Row],[DESPESA VARIÁVEL]])</f>
        <v>0</v>
      </c>
      <c r="Z65" s="91">
        <f>SUMIFS(tabela_registros[VALOR],tabela_registros[MÊS],$AE$1,tabela_registros[DIA],settotal3059718395107119131[[#Headers],[22]],tabela_registros[REGISTRO],DADOS!$N$4,tabela_registros[TIPO],DADOS!$P$4,tabela_registros[CATEGORIA],despesavariávelconsolidadoset[[#This Row],[DESPESA VARIÁVEL]])</f>
        <v>0</v>
      </c>
      <c r="AA65" s="91">
        <f>SUMIFS(tabela_registros[VALOR],tabela_registros[MÊS],$AE$1,tabela_registros[DIA],settotal3059718395107119131[[#Headers],[23]],tabela_registros[REGISTRO],DADOS!$N$4,tabela_registros[TIPO],DADOS!$P$4,tabela_registros[CATEGORIA],despesavariávelconsolidadoset[[#This Row],[DESPESA VARIÁVEL]])</f>
        <v>0</v>
      </c>
      <c r="AB65" s="91">
        <f>SUMIFS(tabela_registros[VALOR],tabela_registros[MÊS],$AE$1,tabela_registros[DIA],settotal3059718395107119131[[#Headers],[24]],tabela_registros[REGISTRO],DADOS!$N$4,tabela_registros[TIPO],DADOS!$P$4,tabela_registros[CATEGORIA],despesavariávelconsolidadoset[[#This Row],[DESPESA VARIÁVEL]])</f>
        <v>0</v>
      </c>
      <c r="AC65" s="91">
        <f>SUMIFS(tabela_registros[VALOR],tabela_registros[MÊS],$AE$1,tabela_registros[DIA],settotal3059718395107119131[[#Headers],[25]],tabela_registros[REGISTRO],DADOS!$N$4,tabela_registros[TIPO],DADOS!$P$4,tabela_registros[CATEGORIA],despesavariávelconsolidadoset[[#This Row],[DESPESA VARIÁVEL]])</f>
        <v>0</v>
      </c>
      <c r="AD65" s="91">
        <f>SUMIFS(tabela_registros[VALOR],tabela_registros[MÊS],$AE$1,tabela_registros[DIA],settotal3059718395107119131[[#Headers],[26]],tabela_registros[REGISTRO],DADOS!$N$4,tabela_registros[TIPO],DADOS!$P$4,tabela_registros[CATEGORIA],despesavariávelconsolidadoset[[#This Row],[DESPESA VARIÁVEL]])</f>
        <v>0</v>
      </c>
      <c r="AE65" s="91">
        <f>SUMIFS(tabela_registros[VALOR],tabela_registros[MÊS],$AE$1,tabela_registros[DIA],settotal3059718395107119131[[#Headers],[27]],tabela_registros[REGISTRO],DADOS!$N$4,tabela_registros[TIPO],DADOS!$P$4,tabela_registros[CATEGORIA],despesavariávelconsolidadoset[[#This Row],[DESPESA VARIÁVEL]])</f>
        <v>0</v>
      </c>
      <c r="AF65" s="91">
        <f>SUMIFS(tabela_registros[VALOR],tabela_registros[MÊS],$AE$1,tabela_registros[DIA],settotal3059718395107119131[[#Headers],[28]],tabela_registros[REGISTRO],DADOS!$N$4,tabela_registros[TIPO],DADOS!$P$4,tabela_registros[CATEGORIA],despesavariávelconsolidadoset[[#This Row],[DESPESA VARIÁVEL]])</f>
        <v>0</v>
      </c>
      <c r="AG65" s="91">
        <f>SUMIFS(tabela_registros[VALOR],tabela_registros[MÊS],$AE$1,tabela_registros[DIA],settotal3059718395107119131[[#Headers],[29]],tabela_registros[REGISTRO],DADOS!$N$4,tabela_registros[TIPO],DADOS!$P$4,tabela_registros[CATEGORIA],despesavariávelconsolidadoset[[#This Row],[DESPESA VARIÁVEL]])</f>
        <v>0</v>
      </c>
      <c r="AH65" s="91">
        <f>SUMIFS(tabela_registros[VALOR],tabela_registros[MÊS],$AE$1,tabela_registros[DIA],settotal3059718395107119131[[#Headers],[30]],tabela_registros[REGISTRO],DADOS!$N$4,tabela_registros[TIPO],DADOS!$P$4,tabela_registros[CATEGORIA],despesavariávelconsolidadoset[[#This Row],[DESPESA VARIÁVEL]])</f>
        <v>0</v>
      </c>
      <c r="AI65" s="101">
        <f>SUMIFS(tabela_registros[VALOR],tabela_registros[MÊS],$AE$1,tabela_registros[DIA],settotal3059718395107119131[[#Headers],[31]],tabela_registros[REGISTRO],DADOS!$N$4,tabela_registros[TIPO],DADOS!$P$4,tabela_registros[CATEGORIA],despesavariávelconsolidadoset[[#This Row],[DESPESA VARIÁVEL]])</f>
        <v>0</v>
      </c>
      <c r="AJ65" s="97">
        <f>SUM(despesavariávelconsolidadoset[[#This Row],[1]:[31]])</f>
        <v>0</v>
      </c>
      <c r="AK65" s="28"/>
    </row>
    <row r="66" spans="2:37" ht="18" customHeight="1" thickTop="1" thickBot="1" x14ac:dyDescent="0.3">
      <c r="B66" s="28"/>
      <c r="C66" s="27" t="str">
        <f>DADOS!$T$9</f>
        <v>🎭 LAZER</v>
      </c>
      <c r="D66" s="26" t="str">
        <f>IF(despesavariávelconsolidadoset[[#This Row],[TOTAL]]=0,"",IF(OR(despesavariávelconsolidadoset[[#This Row],[TOTAL]]=LARGE($AJ$60:$AJ$72,1),despesavariávelconsolidadoset[[#This Row],[TOTAL]]=LARGE($AJ$60:$AJ$72,2),despesavariávelconsolidadoset[[#This Row],[TOTAL]]=LARGE($AJ$60:$AJ$72,3),despesavariávelconsolidadoset[[#This Row],[TOTAL]]=LARGE($AJ$60:$AJ$72,4),despesavariávelconsolidadoset[[#This Row],[TOTAL]]=LARGE($AJ$60:$AJ$72,5)),DADOS!$I$8,""))</f>
        <v/>
      </c>
      <c r="E66" s="96">
        <f>SUMIFS(tabela_registros[VALOR],tabela_registros[MÊS],$AE$1,tabela_registros[DIA],settotal3059718395107119131[[#Headers],[1]],tabela_registros[REGISTRO],DADOS!$N$4,tabela_registros[TIPO],DADOS!$P$4,tabela_registros[CATEGORIA],despesavariávelconsolidadoset[[#This Row],[DESPESA VARIÁVEL]])</f>
        <v>0</v>
      </c>
      <c r="F66" s="91">
        <f>SUMIFS(tabela_registros[VALOR],tabela_registros[MÊS],$AE$1,tabela_registros[DIA],settotal3059718395107119131[[#Headers],[2]],tabela_registros[REGISTRO],DADOS!$N$4,tabela_registros[TIPO],DADOS!$P$4,tabela_registros[CATEGORIA],despesavariávelconsolidadoset[[#This Row],[DESPESA VARIÁVEL]])</f>
        <v>0</v>
      </c>
      <c r="G66" s="91">
        <f>SUMIFS(tabela_registros[VALOR],tabela_registros[MÊS],$AE$1,tabela_registros[DIA],settotal3059718395107119131[[#Headers],[3]],tabela_registros[REGISTRO],DADOS!$N$4,tabela_registros[TIPO],DADOS!$P$4,tabela_registros[CATEGORIA],despesavariávelconsolidadoset[[#This Row],[DESPESA VARIÁVEL]])</f>
        <v>0</v>
      </c>
      <c r="H66" s="91">
        <f>SUMIFS(tabela_registros[VALOR],tabela_registros[MÊS],$AE$1,tabela_registros[DIA],settotal3059718395107119131[[#Headers],[4]],tabela_registros[REGISTRO],DADOS!$N$4,tabela_registros[TIPO],DADOS!$P$4,tabela_registros[CATEGORIA],despesavariávelconsolidadoset[[#This Row],[DESPESA VARIÁVEL]])</f>
        <v>0</v>
      </c>
      <c r="I66" s="91">
        <f>SUMIFS(tabela_registros[VALOR],tabela_registros[MÊS],$AE$1,tabela_registros[DIA],settotal3059718395107119131[[#Headers],[5]],tabela_registros[REGISTRO],DADOS!$N$4,tabela_registros[TIPO],DADOS!$P$4,tabela_registros[CATEGORIA],despesavariávelconsolidadoset[[#This Row],[DESPESA VARIÁVEL]])</f>
        <v>0</v>
      </c>
      <c r="J66" s="91">
        <f>SUMIFS(tabela_registros[VALOR],tabela_registros[MÊS],$AE$1,tabela_registros[DIA],settotal3059718395107119131[[#Headers],[6]],tabela_registros[REGISTRO],DADOS!$N$4,tabela_registros[TIPO],DADOS!$P$4,tabela_registros[CATEGORIA],despesavariávelconsolidadoset[[#This Row],[DESPESA VARIÁVEL]])</f>
        <v>0</v>
      </c>
      <c r="K66" s="91">
        <f>SUMIFS(tabela_registros[VALOR],tabela_registros[MÊS],$AE$1,tabela_registros[DIA],settotal3059718395107119131[[#Headers],[7]],tabela_registros[REGISTRO],DADOS!$N$4,tabela_registros[TIPO],DADOS!$P$4,tabela_registros[CATEGORIA],despesavariávelconsolidadoset[[#This Row],[DESPESA VARIÁVEL]])</f>
        <v>0</v>
      </c>
      <c r="L66" s="91">
        <f>SUMIFS(tabela_registros[VALOR],tabela_registros[MÊS],$AE$1,tabela_registros[DIA],settotal3059718395107119131[[#Headers],[8]],tabela_registros[REGISTRO],DADOS!$N$4,tabela_registros[TIPO],DADOS!$P$4,tabela_registros[CATEGORIA],despesavariávelconsolidadoset[[#This Row],[DESPESA VARIÁVEL]])</f>
        <v>0</v>
      </c>
      <c r="M66" s="91">
        <f>SUMIFS(tabela_registros[VALOR],tabela_registros[MÊS],$AE$1,tabela_registros[DIA],settotal3059718395107119131[[#Headers],[9]],tabela_registros[REGISTRO],DADOS!$N$4,tabela_registros[TIPO],DADOS!$P$4,tabela_registros[CATEGORIA],despesavariávelconsolidadoset[[#This Row],[DESPESA VARIÁVEL]])</f>
        <v>0</v>
      </c>
      <c r="N66" s="91">
        <f>SUMIFS(tabela_registros[VALOR],tabela_registros[MÊS],$AE$1,tabela_registros[DIA],settotal3059718395107119131[[#Headers],[10]],tabela_registros[REGISTRO],DADOS!$N$4,tabela_registros[TIPO],DADOS!$P$4,tabela_registros[CATEGORIA],despesavariávelconsolidadoset[[#This Row],[DESPESA VARIÁVEL]])</f>
        <v>0</v>
      </c>
      <c r="O66" s="91">
        <f>SUMIFS(tabela_registros[VALOR],tabela_registros[MÊS],$AE$1,tabela_registros[DIA],settotal3059718395107119131[[#Headers],[11]],tabela_registros[REGISTRO],DADOS!$N$4,tabela_registros[TIPO],DADOS!$P$4,tabela_registros[CATEGORIA],despesavariávelconsolidadoset[[#This Row],[DESPESA VARIÁVEL]])</f>
        <v>0</v>
      </c>
      <c r="P66" s="91">
        <f>SUMIFS(tabela_registros[VALOR],tabela_registros[MÊS],$AE$1,tabela_registros[DIA],settotal3059718395107119131[[#Headers],[12]],tabela_registros[REGISTRO],DADOS!$N$4,tabela_registros[TIPO],DADOS!$P$4,tabela_registros[CATEGORIA],despesavariávelconsolidadoset[[#This Row],[DESPESA VARIÁVEL]])</f>
        <v>0</v>
      </c>
      <c r="Q66" s="91">
        <f>SUMIFS(tabela_registros[VALOR],tabela_registros[MÊS],$AE$1,tabela_registros[DIA],settotal3059718395107119131[[#Headers],[13]],tabela_registros[REGISTRO],DADOS!$N$4,tabela_registros[TIPO],DADOS!$P$4,tabela_registros[CATEGORIA],despesavariávelconsolidadoset[[#This Row],[DESPESA VARIÁVEL]])</f>
        <v>0</v>
      </c>
      <c r="R66" s="91">
        <f>SUMIFS(tabela_registros[VALOR],tabela_registros[MÊS],$AE$1,tabela_registros[DIA],settotal3059718395107119131[[#Headers],[14]],tabela_registros[REGISTRO],DADOS!$N$4,tabela_registros[TIPO],DADOS!$P$4,tabela_registros[CATEGORIA],despesavariávelconsolidadoset[[#This Row],[DESPESA VARIÁVEL]])</f>
        <v>0</v>
      </c>
      <c r="S66" s="91">
        <f>SUMIFS(tabela_registros[VALOR],tabela_registros[MÊS],$AE$1,tabela_registros[DIA],settotal3059718395107119131[[#Headers],[15]],tabela_registros[REGISTRO],DADOS!$N$4,tabela_registros[TIPO],DADOS!$P$4,tabela_registros[CATEGORIA],despesavariávelconsolidadoset[[#This Row],[DESPESA VARIÁVEL]])</f>
        <v>0</v>
      </c>
      <c r="T66" s="91">
        <f>SUMIFS(tabela_registros[VALOR],tabela_registros[MÊS],$AE$1,tabela_registros[DIA],settotal3059718395107119131[[#Headers],[16]],tabela_registros[REGISTRO],DADOS!$N$4,tabela_registros[TIPO],DADOS!$P$4,tabela_registros[CATEGORIA],despesavariávelconsolidadoset[[#This Row],[DESPESA VARIÁVEL]])</f>
        <v>0</v>
      </c>
      <c r="U66" s="91">
        <f>SUMIFS(tabela_registros[VALOR],tabela_registros[MÊS],$AE$1,tabela_registros[DIA],settotal3059718395107119131[[#Headers],[17]],tabela_registros[REGISTRO],DADOS!$N$4,tabela_registros[TIPO],DADOS!$P$4,tabela_registros[CATEGORIA],despesavariávelconsolidadoset[[#This Row],[DESPESA VARIÁVEL]])</f>
        <v>0</v>
      </c>
      <c r="V66" s="91">
        <f>SUMIFS(tabela_registros[VALOR],tabela_registros[MÊS],$AE$1,tabela_registros[DIA],settotal3059718395107119131[[#Headers],[18]],tabela_registros[REGISTRO],DADOS!$N$4,tabela_registros[TIPO],DADOS!$P$4,tabela_registros[CATEGORIA],despesavariávelconsolidadoset[[#This Row],[DESPESA VARIÁVEL]])</f>
        <v>0</v>
      </c>
      <c r="W66" s="91">
        <f>SUMIFS(tabela_registros[VALOR],tabela_registros[MÊS],$AE$1,tabela_registros[DIA],settotal3059718395107119131[[#Headers],[19]],tabela_registros[REGISTRO],DADOS!$N$4,tabela_registros[TIPO],DADOS!$P$4,tabela_registros[CATEGORIA],despesavariávelconsolidadoset[[#This Row],[DESPESA VARIÁVEL]])</f>
        <v>0</v>
      </c>
      <c r="X66" s="91">
        <f>SUMIFS(tabela_registros[VALOR],tabela_registros[MÊS],$AE$1,tabela_registros[DIA],settotal3059718395107119131[[#Headers],[20]],tabela_registros[REGISTRO],DADOS!$N$4,tabela_registros[TIPO],DADOS!$P$4,tabela_registros[CATEGORIA],despesavariávelconsolidadoset[[#This Row],[DESPESA VARIÁVEL]])</f>
        <v>0</v>
      </c>
      <c r="Y66" s="91">
        <f>SUMIFS(tabela_registros[VALOR],tabela_registros[MÊS],$AE$1,tabela_registros[DIA],settotal3059718395107119131[[#Headers],[21]],tabela_registros[REGISTRO],DADOS!$N$4,tabela_registros[TIPO],DADOS!$P$4,tabela_registros[CATEGORIA],despesavariávelconsolidadoset[[#This Row],[DESPESA VARIÁVEL]])</f>
        <v>0</v>
      </c>
      <c r="Z66" s="91">
        <f>SUMIFS(tabela_registros[VALOR],tabela_registros[MÊS],$AE$1,tabela_registros[DIA],settotal3059718395107119131[[#Headers],[22]],tabela_registros[REGISTRO],DADOS!$N$4,tabela_registros[TIPO],DADOS!$P$4,tabela_registros[CATEGORIA],despesavariávelconsolidadoset[[#This Row],[DESPESA VARIÁVEL]])</f>
        <v>0</v>
      </c>
      <c r="AA66" s="91">
        <f>SUMIFS(tabela_registros[VALOR],tabela_registros[MÊS],$AE$1,tabela_registros[DIA],settotal3059718395107119131[[#Headers],[23]],tabela_registros[REGISTRO],DADOS!$N$4,tabela_registros[TIPO],DADOS!$P$4,tabela_registros[CATEGORIA],despesavariávelconsolidadoset[[#This Row],[DESPESA VARIÁVEL]])</f>
        <v>0</v>
      </c>
      <c r="AB66" s="91">
        <f>SUMIFS(tabela_registros[VALOR],tabela_registros[MÊS],$AE$1,tabela_registros[DIA],settotal3059718395107119131[[#Headers],[24]],tabela_registros[REGISTRO],DADOS!$N$4,tabela_registros[TIPO],DADOS!$P$4,tabela_registros[CATEGORIA],despesavariávelconsolidadoset[[#This Row],[DESPESA VARIÁVEL]])</f>
        <v>0</v>
      </c>
      <c r="AC66" s="91">
        <f>SUMIFS(tabela_registros[VALOR],tabela_registros[MÊS],$AE$1,tabela_registros[DIA],settotal3059718395107119131[[#Headers],[25]],tabela_registros[REGISTRO],DADOS!$N$4,tabela_registros[TIPO],DADOS!$P$4,tabela_registros[CATEGORIA],despesavariávelconsolidadoset[[#This Row],[DESPESA VARIÁVEL]])</f>
        <v>0</v>
      </c>
      <c r="AD66" s="91">
        <f>SUMIFS(tabela_registros[VALOR],tabela_registros[MÊS],$AE$1,tabela_registros[DIA],settotal3059718395107119131[[#Headers],[26]],tabela_registros[REGISTRO],DADOS!$N$4,tabela_registros[TIPO],DADOS!$P$4,tabela_registros[CATEGORIA],despesavariávelconsolidadoset[[#This Row],[DESPESA VARIÁVEL]])</f>
        <v>0</v>
      </c>
      <c r="AE66" s="91">
        <f>SUMIFS(tabela_registros[VALOR],tabela_registros[MÊS],$AE$1,tabela_registros[DIA],settotal3059718395107119131[[#Headers],[27]],tabela_registros[REGISTRO],DADOS!$N$4,tabela_registros[TIPO],DADOS!$P$4,tabela_registros[CATEGORIA],despesavariávelconsolidadoset[[#This Row],[DESPESA VARIÁVEL]])</f>
        <v>0</v>
      </c>
      <c r="AF66" s="91">
        <f>SUMIFS(tabela_registros[VALOR],tabela_registros[MÊS],$AE$1,tabela_registros[DIA],settotal3059718395107119131[[#Headers],[28]],tabela_registros[REGISTRO],DADOS!$N$4,tabela_registros[TIPO],DADOS!$P$4,tabela_registros[CATEGORIA],despesavariávelconsolidadoset[[#This Row],[DESPESA VARIÁVEL]])</f>
        <v>0</v>
      </c>
      <c r="AG66" s="91">
        <f>SUMIFS(tabela_registros[VALOR],tabela_registros[MÊS],$AE$1,tabela_registros[DIA],settotal3059718395107119131[[#Headers],[29]],tabela_registros[REGISTRO],DADOS!$N$4,tabela_registros[TIPO],DADOS!$P$4,tabela_registros[CATEGORIA],despesavariávelconsolidadoset[[#This Row],[DESPESA VARIÁVEL]])</f>
        <v>0</v>
      </c>
      <c r="AH66" s="91">
        <f>SUMIFS(tabela_registros[VALOR],tabela_registros[MÊS],$AE$1,tabela_registros[DIA],settotal3059718395107119131[[#Headers],[30]],tabela_registros[REGISTRO],DADOS!$N$4,tabela_registros[TIPO],DADOS!$P$4,tabela_registros[CATEGORIA],despesavariávelconsolidadoset[[#This Row],[DESPESA VARIÁVEL]])</f>
        <v>0</v>
      </c>
      <c r="AI66" s="101">
        <f>SUMIFS(tabela_registros[VALOR],tabela_registros[MÊS],$AE$1,tabela_registros[DIA],settotal3059718395107119131[[#Headers],[31]],tabela_registros[REGISTRO],DADOS!$N$4,tabela_registros[TIPO],DADOS!$P$4,tabela_registros[CATEGORIA],despesavariávelconsolidadoset[[#This Row],[DESPESA VARIÁVEL]])</f>
        <v>0</v>
      </c>
      <c r="AJ66" s="97">
        <f>SUM(despesavariávelconsolidadoset[[#This Row],[1]:[31]])</f>
        <v>0</v>
      </c>
      <c r="AK66" s="28"/>
    </row>
    <row r="67" spans="2:37" ht="18" customHeight="1" thickTop="1" thickBot="1" x14ac:dyDescent="0.3">
      <c r="B67" s="28"/>
      <c r="C67" s="27" t="str">
        <f>DADOS!$T$10</f>
        <v>🛒 MERCADO</v>
      </c>
      <c r="D67" s="26" t="str">
        <f>IF(despesavariávelconsolidadoset[[#This Row],[TOTAL]]=0,"",IF(OR(despesavariávelconsolidadoset[[#This Row],[TOTAL]]=LARGE($AJ$60:$AJ$72,1),despesavariávelconsolidadoset[[#This Row],[TOTAL]]=LARGE($AJ$60:$AJ$72,2),despesavariávelconsolidadoset[[#This Row],[TOTAL]]=LARGE($AJ$60:$AJ$72,3),despesavariávelconsolidadoset[[#This Row],[TOTAL]]=LARGE($AJ$60:$AJ$72,4),despesavariávelconsolidadoset[[#This Row],[TOTAL]]=LARGE($AJ$60:$AJ$72,5)),DADOS!$I$8,""))</f>
        <v/>
      </c>
      <c r="E67" s="96">
        <f>SUMIFS(tabela_registros[VALOR],tabela_registros[MÊS],$AE$1,tabela_registros[DIA],settotal3059718395107119131[[#Headers],[1]],tabela_registros[REGISTRO],DADOS!$N$4,tabela_registros[TIPO],DADOS!$P$4,tabela_registros[CATEGORIA],despesavariávelconsolidadoset[[#This Row],[DESPESA VARIÁVEL]])</f>
        <v>0</v>
      </c>
      <c r="F67" s="91">
        <f>SUMIFS(tabela_registros[VALOR],tabela_registros[MÊS],$AE$1,tabela_registros[DIA],settotal3059718395107119131[[#Headers],[2]],tabela_registros[REGISTRO],DADOS!$N$4,tabela_registros[TIPO],DADOS!$P$4,tabela_registros[CATEGORIA],despesavariávelconsolidadoset[[#This Row],[DESPESA VARIÁVEL]])</f>
        <v>0</v>
      </c>
      <c r="G67" s="91">
        <f>SUMIFS(tabela_registros[VALOR],tabela_registros[MÊS],$AE$1,tabela_registros[DIA],settotal3059718395107119131[[#Headers],[3]],tabela_registros[REGISTRO],DADOS!$N$4,tabela_registros[TIPO],DADOS!$P$4,tabela_registros[CATEGORIA],despesavariávelconsolidadoset[[#This Row],[DESPESA VARIÁVEL]])</f>
        <v>0</v>
      </c>
      <c r="H67" s="91">
        <f>SUMIFS(tabela_registros[VALOR],tabela_registros[MÊS],$AE$1,tabela_registros[DIA],settotal3059718395107119131[[#Headers],[4]],tabela_registros[REGISTRO],DADOS!$N$4,tabela_registros[TIPO],DADOS!$P$4,tabela_registros[CATEGORIA],despesavariávelconsolidadoset[[#This Row],[DESPESA VARIÁVEL]])</f>
        <v>0</v>
      </c>
      <c r="I67" s="91">
        <f>SUMIFS(tabela_registros[VALOR],tabela_registros[MÊS],$AE$1,tabela_registros[DIA],settotal3059718395107119131[[#Headers],[5]],tabela_registros[REGISTRO],DADOS!$N$4,tabela_registros[TIPO],DADOS!$P$4,tabela_registros[CATEGORIA],despesavariávelconsolidadoset[[#This Row],[DESPESA VARIÁVEL]])</f>
        <v>0</v>
      </c>
      <c r="J67" s="91">
        <f>SUMIFS(tabela_registros[VALOR],tabela_registros[MÊS],$AE$1,tabela_registros[DIA],settotal3059718395107119131[[#Headers],[6]],tabela_registros[REGISTRO],DADOS!$N$4,tabela_registros[TIPO],DADOS!$P$4,tabela_registros[CATEGORIA],despesavariávelconsolidadoset[[#This Row],[DESPESA VARIÁVEL]])</f>
        <v>0</v>
      </c>
      <c r="K67" s="91">
        <f>SUMIFS(tabela_registros[VALOR],tabela_registros[MÊS],$AE$1,tabela_registros[DIA],settotal3059718395107119131[[#Headers],[7]],tabela_registros[REGISTRO],DADOS!$N$4,tabela_registros[TIPO],DADOS!$P$4,tabela_registros[CATEGORIA],despesavariávelconsolidadoset[[#This Row],[DESPESA VARIÁVEL]])</f>
        <v>0</v>
      </c>
      <c r="L67" s="91">
        <f>SUMIFS(tabela_registros[VALOR],tabela_registros[MÊS],$AE$1,tabela_registros[DIA],settotal3059718395107119131[[#Headers],[8]],tabela_registros[REGISTRO],DADOS!$N$4,tabela_registros[TIPO],DADOS!$P$4,tabela_registros[CATEGORIA],despesavariávelconsolidadoset[[#This Row],[DESPESA VARIÁVEL]])</f>
        <v>0</v>
      </c>
      <c r="M67" s="91">
        <f>SUMIFS(tabela_registros[VALOR],tabela_registros[MÊS],$AE$1,tabela_registros[DIA],settotal3059718395107119131[[#Headers],[9]],tabela_registros[REGISTRO],DADOS!$N$4,tabela_registros[TIPO],DADOS!$P$4,tabela_registros[CATEGORIA],despesavariávelconsolidadoset[[#This Row],[DESPESA VARIÁVEL]])</f>
        <v>0</v>
      </c>
      <c r="N67" s="91">
        <f>SUMIFS(tabela_registros[VALOR],tabela_registros[MÊS],$AE$1,tabela_registros[DIA],settotal3059718395107119131[[#Headers],[10]],tabela_registros[REGISTRO],DADOS!$N$4,tabela_registros[TIPO],DADOS!$P$4,tabela_registros[CATEGORIA],despesavariávelconsolidadoset[[#This Row],[DESPESA VARIÁVEL]])</f>
        <v>0</v>
      </c>
      <c r="O67" s="91">
        <f>SUMIFS(tabela_registros[VALOR],tabela_registros[MÊS],$AE$1,tabela_registros[DIA],settotal3059718395107119131[[#Headers],[11]],tabela_registros[REGISTRO],DADOS!$N$4,tabela_registros[TIPO],DADOS!$P$4,tabela_registros[CATEGORIA],despesavariávelconsolidadoset[[#This Row],[DESPESA VARIÁVEL]])</f>
        <v>0</v>
      </c>
      <c r="P67" s="91">
        <f>SUMIFS(tabela_registros[VALOR],tabela_registros[MÊS],$AE$1,tabela_registros[DIA],settotal3059718395107119131[[#Headers],[12]],tabela_registros[REGISTRO],DADOS!$N$4,tabela_registros[TIPO],DADOS!$P$4,tabela_registros[CATEGORIA],despesavariávelconsolidadoset[[#This Row],[DESPESA VARIÁVEL]])</f>
        <v>0</v>
      </c>
      <c r="Q67" s="91">
        <f>SUMIFS(tabela_registros[VALOR],tabela_registros[MÊS],$AE$1,tabela_registros[DIA],settotal3059718395107119131[[#Headers],[13]],tabela_registros[REGISTRO],DADOS!$N$4,tabela_registros[TIPO],DADOS!$P$4,tabela_registros[CATEGORIA],despesavariávelconsolidadoset[[#This Row],[DESPESA VARIÁVEL]])</f>
        <v>0</v>
      </c>
      <c r="R67" s="91">
        <f>SUMIFS(tabela_registros[VALOR],tabela_registros[MÊS],$AE$1,tabela_registros[DIA],settotal3059718395107119131[[#Headers],[14]],tabela_registros[REGISTRO],DADOS!$N$4,tabela_registros[TIPO],DADOS!$P$4,tabela_registros[CATEGORIA],despesavariávelconsolidadoset[[#This Row],[DESPESA VARIÁVEL]])</f>
        <v>0</v>
      </c>
      <c r="S67" s="91">
        <f>SUMIFS(tabela_registros[VALOR],tabela_registros[MÊS],$AE$1,tabela_registros[DIA],settotal3059718395107119131[[#Headers],[15]],tabela_registros[REGISTRO],DADOS!$N$4,tabela_registros[TIPO],DADOS!$P$4,tabela_registros[CATEGORIA],despesavariávelconsolidadoset[[#This Row],[DESPESA VARIÁVEL]])</f>
        <v>0</v>
      </c>
      <c r="T67" s="91">
        <f>SUMIFS(tabela_registros[VALOR],tabela_registros[MÊS],$AE$1,tabela_registros[DIA],settotal3059718395107119131[[#Headers],[16]],tabela_registros[REGISTRO],DADOS!$N$4,tabela_registros[TIPO],DADOS!$P$4,tabela_registros[CATEGORIA],despesavariávelconsolidadoset[[#This Row],[DESPESA VARIÁVEL]])</f>
        <v>0</v>
      </c>
      <c r="U67" s="91">
        <f>SUMIFS(tabela_registros[VALOR],tabela_registros[MÊS],$AE$1,tabela_registros[DIA],settotal3059718395107119131[[#Headers],[17]],tabela_registros[REGISTRO],DADOS!$N$4,tabela_registros[TIPO],DADOS!$P$4,tabela_registros[CATEGORIA],despesavariávelconsolidadoset[[#This Row],[DESPESA VARIÁVEL]])</f>
        <v>0</v>
      </c>
      <c r="V67" s="91">
        <f>SUMIFS(tabela_registros[VALOR],tabela_registros[MÊS],$AE$1,tabela_registros[DIA],settotal3059718395107119131[[#Headers],[18]],tabela_registros[REGISTRO],DADOS!$N$4,tabela_registros[TIPO],DADOS!$P$4,tabela_registros[CATEGORIA],despesavariávelconsolidadoset[[#This Row],[DESPESA VARIÁVEL]])</f>
        <v>0</v>
      </c>
      <c r="W67" s="91">
        <f>SUMIFS(tabela_registros[VALOR],tabela_registros[MÊS],$AE$1,tabela_registros[DIA],settotal3059718395107119131[[#Headers],[19]],tabela_registros[REGISTRO],DADOS!$N$4,tabela_registros[TIPO],DADOS!$P$4,tabela_registros[CATEGORIA],despesavariávelconsolidadoset[[#This Row],[DESPESA VARIÁVEL]])</f>
        <v>0</v>
      </c>
      <c r="X67" s="91">
        <f>SUMIFS(tabela_registros[VALOR],tabela_registros[MÊS],$AE$1,tabela_registros[DIA],settotal3059718395107119131[[#Headers],[20]],tabela_registros[REGISTRO],DADOS!$N$4,tabela_registros[TIPO],DADOS!$P$4,tabela_registros[CATEGORIA],despesavariávelconsolidadoset[[#This Row],[DESPESA VARIÁVEL]])</f>
        <v>0</v>
      </c>
      <c r="Y67" s="91">
        <f>SUMIFS(tabela_registros[VALOR],tabela_registros[MÊS],$AE$1,tabela_registros[DIA],settotal3059718395107119131[[#Headers],[21]],tabela_registros[REGISTRO],DADOS!$N$4,tabela_registros[TIPO],DADOS!$P$4,tabela_registros[CATEGORIA],despesavariávelconsolidadoset[[#This Row],[DESPESA VARIÁVEL]])</f>
        <v>0</v>
      </c>
      <c r="Z67" s="91">
        <f>SUMIFS(tabela_registros[VALOR],tabela_registros[MÊS],$AE$1,tabela_registros[DIA],settotal3059718395107119131[[#Headers],[22]],tabela_registros[REGISTRO],DADOS!$N$4,tabela_registros[TIPO],DADOS!$P$4,tabela_registros[CATEGORIA],despesavariávelconsolidadoset[[#This Row],[DESPESA VARIÁVEL]])</f>
        <v>0</v>
      </c>
      <c r="AA67" s="91">
        <f>SUMIFS(tabela_registros[VALOR],tabela_registros[MÊS],$AE$1,tabela_registros[DIA],settotal3059718395107119131[[#Headers],[23]],tabela_registros[REGISTRO],DADOS!$N$4,tabela_registros[TIPO],DADOS!$P$4,tabela_registros[CATEGORIA],despesavariávelconsolidadoset[[#This Row],[DESPESA VARIÁVEL]])</f>
        <v>0</v>
      </c>
      <c r="AB67" s="91">
        <f>SUMIFS(tabela_registros[VALOR],tabela_registros[MÊS],$AE$1,tabela_registros[DIA],settotal3059718395107119131[[#Headers],[24]],tabela_registros[REGISTRO],DADOS!$N$4,tabela_registros[TIPO],DADOS!$P$4,tabela_registros[CATEGORIA],despesavariávelconsolidadoset[[#This Row],[DESPESA VARIÁVEL]])</f>
        <v>0</v>
      </c>
      <c r="AC67" s="91">
        <f>SUMIFS(tabela_registros[VALOR],tabela_registros[MÊS],$AE$1,tabela_registros[DIA],settotal3059718395107119131[[#Headers],[25]],tabela_registros[REGISTRO],DADOS!$N$4,tabela_registros[TIPO],DADOS!$P$4,tabela_registros[CATEGORIA],despesavariávelconsolidadoset[[#This Row],[DESPESA VARIÁVEL]])</f>
        <v>0</v>
      </c>
      <c r="AD67" s="91">
        <f>SUMIFS(tabela_registros[VALOR],tabela_registros[MÊS],$AE$1,tabela_registros[DIA],settotal3059718395107119131[[#Headers],[26]],tabela_registros[REGISTRO],DADOS!$N$4,tabela_registros[TIPO],DADOS!$P$4,tabela_registros[CATEGORIA],despesavariávelconsolidadoset[[#This Row],[DESPESA VARIÁVEL]])</f>
        <v>0</v>
      </c>
      <c r="AE67" s="91">
        <f>SUMIFS(tabela_registros[VALOR],tabela_registros[MÊS],$AE$1,tabela_registros[DIA],settotal3059718395107119131[[#Headers],[27]],tabela_registros[REGISTRO],DADOS!$N$4,tabela_registros[TIPO],DADOS!$P$4,tabela_registros[CATEGORIA],despesavariávelconsolidadoset[[#This Row],[DESPESA VARIÁVEL]])</f>
        <v>0</v>
      </c>
      <c r="AF67" s="91">
        <f>SUMIFS(tabela_registros[VALOR],tabela_registros[MÊS],$AE$1,tabela_registros[DIA],settotal3059718395107119131[[#Headers],[28]],tabela_registros[REGISTRO],DADOS!$N$4,tabela_registros[TIPO],DADOS!$P$4,tabela_registros[CATEGORIA],despesavariávelconsolidadoset[[#This Row],[DESPESA VARIÁVEL]])</f>
        <v>0</v>
      </c>
      <c r="AG67" s="91">
        <f>SUMIFS(tabela_registros[VALOR],tabela_registros[MÊS],$AE$1,tabela_registros[DIA],settotal3059718395107119131[[#Headers],[29]],tabela_registros[REGISTRO],DADOS!$N$4,tabela_registros[TIPO],DADOS!$P$4,tabela_registros[CATEGORIA],despesavariávelconsolidadoset[[#This Row],[DESPESA VARIÁVEL]])</f>
        <v>0</v>
      </c>
      <c r="AH67" s="91">
        <f>SUMIFS(tabela_registros[VALOR],tabela_registros[MÊS],$AE$1,tabela_registros[DIA],settotal3059718395107119131[[#Headers],[30]],tabela_registros[REGISTRO],DADOS!$N$4,tabela_registros[TIPO],DADOS!$P$4,tabela_registros[CATEGORIA],despesavariávelconsolidadoset[[#This Row],[DESPESA VARIÁVEL]])</f>
        <v>0</v>
      </c>
      <c r="AI67" s="101">
        <f>SUMIFS(tabela_registros[VALOR],tabela_registros[MÊS],$AE$1,tabela_registros[DIA],settotal3059718395107119131[[#Headers],[31]],tabela_registros[REGISTRO],DADOS!$N$4,tabela_registros[TIPO],DADOS!$P$4,tabela_registros[CATEGORIA],despesavariávelconsolidadoset[[#This Row],[DESPESA VARIÁVEL]])</f>
        <v>0</v>
      </c>
      <c r="AJ67" s="97">
        <f>SUM(despesavariávelconsolidadoset[[#This Row],[1]:[31]])</f>
        <v>0</v>
      </c>
      <c r="AK67" s="28"/>
    </row>
    <row r="68" spans="2:37" ht="18" customHeight="1" thickTop="1" thickBot="1" x14ac:dyDescent="0.3">
      <c r="B68" s="28"/>
      <c r="C68" s="27" t="str">
        <f>DADOS!$T$11</f>
        <v>🎁 PRESENTES</v>
      </c>
      <c r="D68" s="26" t="str">
        <f>IF(despesavariávelconsolidadoset[[#This Row],[TOTAL]]=0,"",IF(OR(despesavariávelconsolidadoset[[#This Row],[TOTAL]]=LARGE($AJ$60:$AJ$72,1),despesavariávelconsolidadoset[[#This Row],[TOTAL]]=LARGE($AJ$60:$AJ$72,2),despesavariávelconsolidadoset[[#This Row],[TOTAL]]=LARGE($AJ$60:$AJ$72,3),despesavariávelconsolidadoset[[#This Row],[TOTAL]]=LARGE($AJ$60:$AJ$72,4),despesavariávelconsolidadoset[[#This Row],[TOTAL]]=LARGE($AJ$60:$AJ$72,5)),DADOS!$I$8,""))</f>
        <v/>
      </c>
      <c r="E68" s="96">
        <f>SUMIFS(tabela_registros[VALOR],tabela_registros[MÊS],$AE$1,tabela_registros[DIA],settotal3059718395107119131[[#Headers],[1]],tabela_registros[REGISTRO],DADOS!$N$4,tabela_registros[TIPO],DADOS!$P$4,tabela_registros[CATEGORIA],despesavariávelconsolidadoset[[#This Row],[DESPESA VARIÁVEL]])</f>
        <v>0</v>
      </c>
      <c r="F68" s="91">
        <f>SUMIFS(tabela_registros[VALOR],tabela_registros[MÊS],$AE$1,tabela_registros[DIA],settotal3059718395107119131[[#Headers],[2]],tabela_registros[REGISTRO],DADOS!$N$4,tabela_registros[TIPO],DADOS!$P$4,tabela_registros[CATEGORIA],despesavariávelconsolidadoset[[#This Row],[DESPESA VARIÁVEL]])</f>
        <v>0</v>
      </c>
      <c r="G68" s="91">
        <f>SUMIFS(tabela_registros[VALOR],tabela_registros[MÊS],$AE$1,tabela_registros[DIA],settotal3059718395107119131[[#Headers],[3]],tabela_registros[REGISTRO],DADOS!$N$4,tabela_registros[TIPO],DADOS!$P$4,tabela_registros[CATEGORIA],despesavariávelconsolidadoset[[#This Row],[DESPESA VARIÁVEL]])</f>
        <v>0</v>
      </c>
      <c r="H68" s="91">
        <f>SUMIFS(tabela_registros[VALOR],tabela_registros[MÊS],$AE$1,tabela_registros[DIA],settotal3059718395107119131[[#Headers],[4]],tabela_registros[REGISTRO],DADOS!$N$4,tabela_registros[TIPO],DADOS!$P$4,tabela_registros[CATEGORIA],despesavariávelconsolidadoset[[#This Row],[DESPESA VARIÁVEL]])</f>
        <v>0</v>
      </c>
      <c r="I68" s="91">
        <f>SUMIFS(tabela_registros[VALOR],tabela_registros[MÊS],$AE$1,tabela_registros[DIA],settotal3059718395107119131[[#Headers],[5]],tabela_registros[REGISTRO],DADOS!$N$4,tabela_registros[TIPO],DADOS!$P$4,tabela_registros[CATEGORIA],despesavariávelconsolidadoset[[#This Row],[DESPESA VARIÁVEL]])</f>
        <v>0</v>
      </c>
      <c r="J68" s="91">
        <f>SUMIFS(tabela_registros[VALOR],tabela_registros[MÊS],$AE$1,tabela_registros[DIA],settotal3059718395107119131[[#Headers],[6]],tabela_registros[REGISTRO],DADOS!$N$4,tabela_registros[TIPO],DADOS!$P$4,tabela_registros[CATEGORIA],despesavariávelconsolidadoset[[#This Row],[DESPESA VARIÁVEL]])</f>
        <v>0</v>
      </c>
      <c r="K68" s="91">
        <f>SUMIFS(tabela_registros[VALOR],tabela_registros[MÊS],$AE$1,tabela_registros[DIA],settotal3059718395107119131[[#Headers],[7]],tabela_registros[REGISTRO],DADOS!$N$4,tabela_registros[TIPO],DADOS!$P$4,tabela_registros[CATEGORIA],despesavariávelconsolidadoset[[#This Row],[DESPESA VARIÁVEL]])</f>
        <v>0</v>
      </c>
      <c r="L68" s="91">
        <f>SUMIFS(tabela_registros[VALOR],tabela_registros[MÊS],$AE$1,tabela_registros[DIA],settotal3059718395107119131[[#Headers],[8]],tabela_registros[REGISTRO],DADOS!$N$4,tabela_registros[TIPO],DADOS!$P$4,tabela_registros[CATEGORIA],despesavariávelconsolidadoset[[#This Row],[DESPESA VARIÁVEL]])</f>
        <v>0</v>
      </c>
      <c r="M68" s="91">
        <f>SUMIFS(tabela_registros[VALOR],tabela_registros[MÊS],$AE$1,tabela_registros[DIA],settotal3059718395107119131[[#Headers],[9]],tabela_registros[REGISTRO],DADOS!$N$4,tabela_registros[TIPO],DADOS!$P$4,tabela_registros[CATEGORIA],despesavariávelconsolidadoset[[#This Row],[DESPESA VARIÁVEL]])</f>
        <v>0</v>
      </c>
      <c r="N68" s="91">
        <f>SUMIFS(tabela_registros[VALOR],tabela_registros[MÊS],$AE$1,tabela_registros[DIA],settotal3059718395107119131[[#Headers],[10]],tabela_registros[REGISTRO],DADOS!$N$4,tabela_registros[TIPO],DADOS!$P$4,tabela_registros[CATEGORIA],despesavariávelconsolidadoset[[#This Row],[DESPESA VARIÁVEL]])</f>
        <v>0</v>
      </c>
      <c r="O68" s="91">
        <f>SUMIFS(tabela_registros[VALOR],tabela_registros[MÊS],$AE$1,tabela_registros[DIA],settotal3059718395107119131[[#Headers],[11]],tabela_registros[REGISTRO],DADOS!$N$4,tabela_registros[TIPO],DADOS!$P$4,tabela_registros[CATEGORIA],despesavariávelconsolidadoset[[#This Row],[DESPESA VARIÁVEL]])</f>
        <v>0</v>
      </c>
      <c r="P68" s="91">
        <f>SUMIFS(tabela_registros[VALOR],tabela_registros[MÊS],$AE$1,tabela_registros[DIA],settotal3059718395107119131[[#Headers],[12]],tabela_registros[REGISTRO],DADOS!$N$4,tabela_registros[TIPO],DADOS!$P$4,tabela_registros[CATEGORIA],despesavariávelconsolidadoset[[#This Row],[DESPESA VARIÁVEL]])</f>
        <v>0</v>
      </c>
      <c r="Q68" s="91">
        <f>SUMIFS(tabela_registros[VALOR],tabela_registros[MÊS],$AE$1,tabela_registros[DIA],settotal3059718395107119131[[#Headers],[13]],tabela_registros[REGISTRO],DADOS!$N$4,tabela_registros[TIPO],DADOS!$P$4,tabela_registros[CATEGORIA],despesavariávelconsolidadoset[[#This Row],[DESPESA VARIÁVEL]])</f>
        <v>0</v>
      </c>
      <c r="R68" s="91">
        <f>SUMIFS(tabela_registros[VALOR],tabela_registros[MÊS],$AE$1,tabela_registros[DIA],settotal3059718395107119131[[#Headers],[14]],tabela_registros[REGISTRO],DADOS!$N$4,tabela_registros[TIPO],DADOS!$P$4,tabela_registros[CATEGORIA],despesavariávelconsolidadoset[[#This Row],[DESPESA VARIÁVEL]])</f>
        <v>0</v>
      </c>
      <c r="S68" s="91">
        <f>SUMIFS(tabela_registros[VALOR],tabela_registros[MÊS],$AE$1,tabela_registros[DIA],settotal3059718395107119131[[#Headers],[15]],tabela_registros[REGISTRO],DADOS!$N$4,tabela_registros[TIPO],DADOS!$P$4,tabela_registros[CATEGORIA],despesavariávelconsolidadoset[[#This Row],[DESPESA VARIÁVEL]])</f>
        <v>0</v>
      </c>
      <c r="T68" s="91">
        <f>SUMIFS(tabela_registros[VALOR],tabela_registros[MÊS],$AE$1,tabela_registros[DIA],settotal3059718395107119131[[#Headers],[16]],tabela_registros[REGISTRO],DADOS!$N$4,tabela_registros[TIPO],DADOS!$P$4,tabela_registros[CATEGORIA],despesavariávelconsolidadoset[[#This Row],[DESPESA VARIÁVEL]])</f>
        <v>0</v>
      </c>
      <c r="U68" s="91">
        <f>SUMIFS(tabela_registros[VALOR],tabela_registros[MÊS],$AE$1,tabela_registros[DIA],settotal3059718395107119131[[#Headers],[17]],tabela_registros[REGISTRO],DADOS!$N$4,tabela_registros[TIPO],DADOS!$P$4,tabela_registros[CATEGORIA],despesavariávelconsolidadoset[[#This Row],[DESPESA VARIÁVEL]])</f>
        <v>0</v>
      </c>
      <c r="V68" s="91">
        <f>SUMIFS(tabela_registros[VALOR],tabela_registros[MÊS],$AE$1,tabela_registros[DIA],settotal3059718395107119131[[#Headers],[18]],tabela_registros[REGISTRO],DADOS!$N$4,tabela_registros[TIPO],DADOS!$P$4,tabela_registros[CATEGORIA],despesavariávelconsolidadoset[[#This Row],[DESPESA VARIÁVEL]])</f>
        <v>0</v>
      </c>
      <c r="W68" s="91">
        <f>SUMIFS(tabela_registros[VALOR],tabela_registros[MÊS],$AE$1,tabela_registros[DIA],settotal3059718395107119131[[#Headers],[19]],tabela_registros[REGISTRO],DADOS!$N$4,tabela_registros[TIPO],DADOS!$P$4,tabela_registros[CATEGORIA],despesavariávelconsolidadoset[[#This Row],[DESPESA VARIÁVEL]])</f>
        <v>0</v>
      </c>
      <c r="X68" s="91">
        <f>SUMIFS(tabela_registros[VALOR],tabela_registros[MÊS],$AE$1,tabela_registros[DIA],settotal3059718395107119131[[#Headers],[20]],tabela_registros[REGISTRO],DADOS!$N$4,tabela_registros[TIPO],DADOS!$P$4,tabela_registros[CATEGORIA],despesavariávelconsolidadoset[[#This Row],[DESPESA VARIÁVEL]])</f>
        <v>0</v>
      </c>
      <c r="Y68" s="91">
        <f>SUMIFS(tabela_registros[VALOR],tabela_registros[MÊS],$AE$1,tabela_registros[DIA],settotal3059718395107119131[[#Headers],[21]],tabela_registros[REGISTRO],DADOS!$N$4,tabela_registros[TIPO],DADOS!$P$4,tabela_registros[CATEGORIA],despesavariávelconsolidadoset[[#This Row],[DESPESA VARIÁVEL]])</f>
        <v>0</v>
      </c>
      <c r="Z68" s="91">
        <f>SUMIFS(tabela_registros[VALOR],tabela_registros[MÊS],$AE$1,tabela_registros[DIA],settotal3059718395107119131[[#Headers],[22]],tabela_registros[REGISTRO],DADOS!$N$4,tabela_registros[TIPO],DADOS!$P$4,tabela_registros[CATEGORIA],despesavariávelconsolidadoset[[#This Row],[DESPESA VARIÁVEL]])</f>
        <v>0</v>
      </c>
      <c r="AA68" s="91">
        <f>SUMIFS(tabela_registros[VALOR],tabela_registros[MÊS],$AE$1,tabela_registros[DIA],settotal3059718395107119131[[#Headers],[23]],tabela_registros[REGISTRO],DADOS!$N$4,tabela_registros[TIPO],DADOS!$P$4,tabela_registros[CATEGORIA],despesavariávelconsolidadoset[[#This Row],[DESPESA VARIÁVEL]])</f>
        <v>0</v>
      </c>
      <c r="AB68" s="91">
        <f>SUMIFS(tabela_registros[VALOR],tabela_registros[MÊS],$AE$1,tabela_registros[DIA],settotal3059718395107119131[[#Headers],[24]],tabela_registros[REGISTRO],DADOS!$N$4,tabela_registros[TIPO],DADOS!$P$4,tabela_registros[CATEGORIA],despesavariávelconsolidadoset[[#This Row],[DESPESA VARIÁVEL]])</f>
        <v>0</v>
      </c>
      <c r="AC68" s="91">
        <f>SUMIFS(tabela_registros[VALOR],tabela_registros[MÊS],$AE$1,tabela_registros[DIA],settotal3059718395107119131[[#Headers],[25]],tabela_registros[REGISTRO],DADOS!$N$4,tabela_registros[TIPO],DADOS!$P$4,tabela_registros[CATEGORIA],despesavariávelconsolidadoset[[#This Row],[DESPESA VARIÁVEL]])</f>
        <v>0</v>
      </c>
      <c r="AD68" s="91">
        <f>SUMIFS(tabela_registros[VALOR],tabela_registros[MÊS],$AE$1,tabela_registros[DIA],settotal3059718395107119131[[#Headers],[26]],tabela_registros[REGISTRO],DADOS!$N$4,tabela_registros[TIPO],DADOS!$P$4,tabela_registros[CATEGORIA],despesavariávelconsolidadoset[[#This Row],[DESPESA VARIÁVEL]])</f>
        <v>0</v>
      </c>
      <c r="AE68" s="91">
        <f>SUMIFS(tabela_registros[VALOR],tabela_registros[MÊS],$AE$1,tabela_registros[DIA],settotal3059718395107119131[[#Headers],[27]],tabela_registros[REGISTRO],DADOS!$N$4,tabela_registros[TIPO],DADOS!$P$4,tabela_registros[CATEGORIA],despesavariávelconsolidadoset[[#This Row],[DESPESA VARIÁVEL]])</f>
        <v>0</v>
      </c>
      <c r="AF68" s="91">
        <f>SUMIFS(tabela_registros[VALOR],tabela_registros[MÊS],$AE$1,tabela_registros[DIA],settotal3059718395107119131[[#Headers],[28]],tabela_registros[REGISTRO],DADOS!$N$4,tabela_registros[TIPO],DADOS!$P$4,tabela_registros[CATEGORIA],despesavariávelconsolidadoset[[#This Row],[DESPESA VARIÁVEL]])</f>
        <v>0</v>
      </c>
      <c r="AG68" s="91">
        <f>SUMIFS(tabela_registros[VALOR],tabela_registros[MÊS],$AE$1,tabela_registros[DIA],settotal3059718395107119131[[#Headers],[29]],tabela_registros[REGISTRO],DADOS!$N$4,tabela_registros[TIPO],DADOS!$P$4,tabela_registros[CATEGORIA],despesavariávelconsolidadoset[[#This Row],[DESPESA VARIÁVEL]])</f>
        <v>0</v>
      </c>
      <c r="AH68" s="91">
        <f>SUMIFS(tabela_registros[VALOR],tabela_registros[MÊS],$AE$1,tabela_registros[DIA],settotal3059718395107119131[[#Headers],[30]],tabela_registros[REGISTRO],DADOS!$N$4,tabela_registros[TIPO],DADOS!$P$4,tabela_registros[CATEGORIA],despesavariávelconsolidadoset[[#This Row],[DESPESA VARIÁVEL]])</f>
        <v>0</v>
      </c>
      <c r="AI68" s="101">
        <f>SUMIFS(tabela_registros[VALOR],tabela_registros[MÊS],$AE$1,tabela_registros[DIA],settotal3059718395107119131[[#Headers],[31]],tabela_registros[REGISTRO],DADOS!$N$4,tabela_registros[TIPO],DADOS!$P$4,tabela_registros[CATEGORIA],despesavariávelconsolidadoset[[#This Row],[DESPESA VARIÁVEL]])</f>
        <v>0</v>
      </c>
      <c r="AJ68" s="97">
        <f>SUM(despesavariávelconsolidadoset[[#This Row],[1]:[31]])</f>
        <v>0</v>
      </c>
      <c r="AK68" s="28"/>
    </row>
    <row r="69" spans="2:37" ht="18" customHeight="1" thickTop="1" thickBot="1" x14ac:dyDescent="0.3">
      <c r="B69" s="28"/>
      <c r="C69" s="27" t="str">
        <f>DADOS!$T$12</f>
        <v>💊 SAÚDE</v>
      </c>
      <c r="D69" s="26" t="str">
        <f>IF(despesavariávelconsolidadoset[[#This Row],[TOTAL]]=0,"",IF(OR(despesavariávelconsolidadoset[[#This Row],[TOTAL]]=LARGE($AJ$60:$AJ$72,1),despesavariávelconsolidadoset[[#This Row],[TOTAL]]=LARGE($AJ$60:$AJ$72,2),despesavariávelconsolidadoset[[#This Row],[TOTAL]]=LARGE($AJ$60:$AJ$72,3),despesavariávelconsolidadoset[[#This Row],[TOTAL]]=LARGE($AJ$60:$AJ$72,4),despesavariávelconsolidadoset[[#This Row],[TOTAL]]=LARGE($AJ$60:$AJ$72,5)),DADOS!$I$8,""))</f>
        <v/>
      </c>
      <c r="E69" s="96">
        <f>SUMIFS(tabela_registros[VALOR],tabela_registros[MÊS],$AE$1,tabela_registros[DIA],settotal3059718395107119131[[#Headers],[1]],tabela_registros[REGISTRO],DADOS!$N$4,tabela_registros[TIPO],DADOS!$P$4,tabela_registros[CATEGORIA],despesavariávelconsolidadoset[[#This Row],[DESPESA VARIÁVEL]])</f>
        <v>0</v>
      </c>
      <c r="F69" s="91">
        <f>SUMIFS(tabela_registros[VALOR],tabela_registros[MÊS],$AE$1,tabela_registros[DIA],settotal3059718395107119131[[#Headers],[2]],tabela_registros[REGISTRO],DADOS!$N$4,tabela_registros[TIPO],DADOS!$P$4,tabela_registros[CATEGORIA],despesavariávelconsolidadoset[[#This Row],[DESPESA VARIÁVEL]])</f>
        <v>0</v>
      </c>
      <c r="G69" s="91">
        <f>SUMIFS(tabela_registros[VALOR],tabela_registros[MÊS],$AE$1,tabela_registros[DIA],settotal3059718395107119131[[#Headers],[3]],tabela_registros[REGISTRO],DADOS!$N$4,tabela_registros[TIPO],DADOS!$P$4,tabela_registros[CATEGORIA],despesavariávelconsolidadoset[[#This Row],[DESPESA VARIÁVEL]])</f>
        <v>0</v>
      </c>
      <c r="H69" s="91">
        <f>SUMIFS(tabela_registros[VALOR],tabela_registros[MÊS],$AE$1,tabela_registros[DIA],settotal3059718395107119131[[#Headers],[4]],tabela_registros[REGISTRO],DADOS!$N$4,tabela_registros[TIPO],DADOS!$P$4,tabela_registros[CATEGORIA],despesavariávelconsolidadoset[[#This Row],[DESPESA VARIÁVEL]])</f>
        <v>0</v>
      </c>
      <c r="I69" s="91">
        <f>SUMIFS(tabela_registros[VALOR],tabela_registros[MÊS],$AE$1,tabela_registros[DIA],settotal3059718395107119131[[#Headers],[5]],tabela_registros[REGISTRO],DADOS!$N$4,tabela_registros[TIPO],DADOS!$P$4,tabela_registros[CATEGORIA],despesavariávelconsolidadoset[[#This Row],[DESPESA VARIÁVEL]])</f>
        <v>0</v>
      </c>
      <c r="J69" s="91">
        <f>SUMIFS(tabela_registros[VALOR],tabela_registros[MÊS],$AE$1,tabela_registros[DIA],settotal3059718395107119131[[#Headers],[6]],tabela_registros[REGISTRO],DADOS!$N$4,tabela_registros[TIPO],DADOS!$P$4,tabela_registros[CATEGORIA],despesavariávelconsolidadoset[[#This Row],[DESPESA VARIÁVEL]])</f>
        <v>0</v>
      </c>
      <c r="K69" s="91">
        <f>SUMIFS(tabela_registros[VALOR],tabela_registros[MÊS],$AE$1,tabela_registros[DIA],settotal3059718395107119131[[#Headers],[7]],tabela_registros[REGISTRO],DADOS!$N$4,tabela_registros[TIPO],DADOS!$P$4,tabela_registros[CATEGORIA],despesavariávelconsolidadoset[[#This Row],[DESPESA VARIÁVEL]])</f>
        <v>0</v>
      </c>
      <c r="L69" s="91">
        <f>SUMIFS(tabela_registros[VALOR],tabela_registros[MÊS],$AE$1,tabela_registros[DIA],settotal3059718395107119131[[#Headers],[8]],tabela_registros[REGISTRO],DADOS!$N$4,tabela_registros[TIPO],DADOS!$P$4,tabela_registros[CATEGORIA],despesavariávelconsolidadoset[[#This Row],[DESPESA VARIÁVEL]])</f>
        <v>0</v>
      </c>
      <c r="M69" s="91">
        <f>SUMIFS(tabela_registros[VALOR],tabela_registros[MÊS],$AE$1,tabela_registros[DIA],settotal3059718395107119131[[#Headers],[9]],tabela_registros[REGISTRO],DADOS!$N$4,tabela_registros[TIPO],DADOS!$P$4,tabela_registros[CATEGORIA],despesavariávelconsolidadoset[[#This Row],[DESPESA VARIÁVEL]])</f>
        <v>0</v>
      </c>
      <c r="N69" s="91">
        <f>SUMIFS(tabela_registros[VALOR],tabela_registros[MÊS],$AE$1,tabela_registros[DIA],settotal3059718395107119131[[#Headers],[10]],tabela_registros[REGISTRO],DADOS!$N$4,tabela_registros[TIPO],DADOS!$P$4,tabela_registros[CATEGORIA],despesavariávelconsolidadoset[[#This Row],[DESPESA VARIÁVEL]])</f>
        <v>0</v>
      </c>
      <c r="O69" s="91">
        <f>SUMIFS(tabela_registros[VALOR],tabela_registros[MÊS],$AE$1,tabela_registros[DIA],settotal3059718395107119131[[#Headers],[11]],tabela_registros[REGISTRO],DADOS!$N$4,tabela_registros[TIPO],DADOS!$P$4,tabela_registros[CATEGORIA],despesavariávelconsolidadoset[[#This Row],[DESPESA VARIÁVEL]])</f>
        <v>0</v>
      </c>
      <c r="P69" s="91">
        <f>SUMIFS(tabela_registros[VALOR],tabela_registros[MÊS],$AE$1,tabela_registros[DIA],settotal3059718395107119131[[#Headers],[12]],tabela_registros[REGISTRO],DADOS!$N$4,tabela_registros[TIPO],DADOS!$P$4,tabela_registros[CATEGORIA],despesavariávelconsolidadoset[[#This Row],[DESPESA VARIÁVEL]])</f>
        <v>0</v>
      </c>
      <c r="Q69" s="91">
        <f>SUMIFS(tabela_registros[VALOR],tabela_registros[MÊS],$AE$1,tabela_registros[DIA],settotal3059718395107119131[[#Headers],[13]],tabela_registros[REGISTRO],DADOS!$N$4,tabela_registros[TIPO],DADOS!$P$4,tabela_registros[CATEGORIA],despesavariávelconsolidadoset[[#This Row],[DESPESA VARIÁVEL]])</f>
        <v>0</v>
      </c>
      <c r="R69" s="91">
        <f>SUMIFS(tabela_registros[VALOR],tabela_registros[MÊS],$AE$1,tabela_registros[DIA],settotal3059718395107119131[[#Headers],[14]],tabela_registros[REGISTRO],DADOS!$N$4,tabela_registros[TIPO],DADOS!$P$4,tabela_registros[CATEGORIA],despesavariávelconsolidadoset[[#This Row],[DESPESA VARIÁVEL]])</f>
        <v>0</v>
      </c>
      <c r="S69" s="91">
        <f>SUMIFS(tabela_registros[VALOR],tabela_registros[MÊS],$AE$1,tabela_registros[DIA],settotal3059718395107119131[[#Headers],[15]],tabela_registros[REGISTRO],DADOS!$N$4,tabela_registros[TIPO],DADOS!$P$4,tabela_registros[CATEGORIA],despesavariávelconsolidadoset[[#This Row],[DESPESA VARIÁVEL]])</f>
        <v>0</v>
      </c>
      <c r="T69" s="91">
        <f>SUMIFS(tabela_registros[VALOR],tabela_registros[MÊS],$AE$1,tabela_registros[DIA],settotal3059718395107119131[[#Headers],[16]],tabela_registros[REGISTRO],DADOS!$N$4,tabela_registros[TIPO],DADOS!$P$4,tabela_registros[CATEGORIA],despesavariávelconsolidadoset[[#This Row],[DESPESA VARIÁVEL]])</f>
        <v>0</v>
      </c>
      <c r="U69" s="91">
        <f>SUMIFS(tabela_registros[VALOR],tabela_registros[MÊS],$AE$1,tabela_registros[DIA],settotal3059718395107119131[[#Headers],[17]],tabela_registros[REGISTRO],DADOS!$N$4,tabela_registros[TIPO],DADOS!$P$4,tabela_registros[CATEGORIA],despesavariávelconsolidadoset[[#This Row],[DESPESA VARIÁVEL]])</f>
        <v>0</v>
      </c>
      <c r="V69" s="91">
        <f>SUMIFS(tabela_registros[VALOR],tabela_registros[MÊS],$AE$1,tabela_registros[DIA],settotal3059718395107119131[[#Headers],[18]],tabela_registros[REGISTRO],DADOS!$N$4,tabela_registros[TIPO],DADOS!$P$4,tabela_registros[CATEGORIA],despesavariávelconsolidadoset[[#This Row],[DESPESA VARIÁVEL]])</f>
        <v>0</v>
      </c>
      <c r="W69" s="91">
        <f>SUMIFS(tabela_registros[VALOR],tabela_registros[MÊS],$AE$1,tabela_registros[DIA],settotal3059718395107119131[[#Headers],[19]],tabela_registros[REGISTRO],DADOS!$N$4,tabela_registros[TIPO],DADOS!$P$4,tabela_registros[CATEGORIA],despesavariávelconsolidadoset[[#This Row],[DESPESA VARIÁVEL]])</f>
        <v>0</v>
      </c>
      <c r="X69" s="91">
        <f>SUMIFS(tabela_registros[VALOR],tabela_registros[MÊS],$AE$1,tabela_registros[DIA],settotal3059718395107119131[[#Headers],[20]],tabela_registros[REGISTRO],DADOS!$N$4,tabela_registros[TIPO],DADOS!$P$4,tabela_registros[CATEGORIA],despesavariávelconsolidadoset[[#This Row],[DESPESA VARIÁVEL]])</f>
        <v>0</v>
      </c>
      <c r="Y69" s="91">
        <f>SUMIFS(tabela_registros[VALOR],tabela_registros[MÊS],$AE$1,tabela_registros[DIA],settotal3059718395107119131[[#Headers],[21]],tabela_registros[REGISTRO],DADOS!$N$4,tabela_registros[TIPO],DADOS!$P$4,tabela_registros[CATEGORIA],despesavariávelconsolidadoset[[#This Row],[DESPESA VARIÁVEL]])</f>
        <v>0</v>
      </c>
      <c r="Z69" s="91">
        <f>SUMIFS(tabela_registros[VALOR],tabela_registros[MÊS],$AE$1,tabela_registros[DIA],settotal3059718395107119131[[#Headers],[22]],tabela_registros[REGISTRO],DADOS!$N$4,tabela_registros[TIPO],DADOS!$P$4,tabela_registros[CATEGORIA],despesavariávelconsolidadoset[[#This Row],[DESPESA VARIÁVEL]])</f>
        <v>0</v>
      </c>
      <c r="AA69" s="91">
        <f>SUMIFS(tabela_registros[VALOR],tabela_registros[MÊS],$AE$1,tabela_registros[DIA],settotal3059718395107119131[[#Headers],[23]],tabela_registros[REGISTRO],DADOS!$N$4,tabela_registros[TIPO],DADOS!$P$4,tabela_registros[CATEGORIA],despesavariávelconsolidadoset[[#This Row],[DESPESA VARIÁVEL]])</f>
        <v>0</v>
      </c>
      <c r="AB69" s="91">
        <f>SUMIFS(tabela_registros[VALOR],tabela_registros[MÊS],$AE$1,tabela_registros[DIA],settotal3059718395107119131[[#Headers],[24]],tabela_registros[REGISTRO],DADOS!$N$4,tabela_registros[TIPO],DADOS!$P$4,tabela_registros[CATEGORIA],despesavariávelconsolidadoset[[#This Row],[DESPESA VARIÁVEL]])</f>
        <v>0</v>
      </c>
      <c r="AC69" s="91">
        <f>SUMIFS(tabela_registros[VALOR],tabela_registros[MÊS],$AE$1,tabela_registros[DIA],settotal3059718395107119131[[#Headers],[25]],tabela_registros[REGISTRO],DADOS!$N$4,tabela_registros[TIPO],DADOS!$P$4,tabela_registros[CATEGORIA],despesavariávelconsolidadoset[[#This Row],[DESPESA VARIÁVEL]])</f>
        <v>0</v>
      </c>
      <c r="AD69" s="91">
        <f>SUMIFS(tabela_registros[VALOR],tabela_registros[MÊS],$AE$1,tabela_registros[DIA],settotal3059718395107119131[[#Headers],[26]],tabela_registros[REGISTRO],DADOS!$N$4,tabela_registros[TIPO],DADOS!$P$4,tabela_registros[CATEGORIA],despesavariávelconsolidadoset[[#This Row],[DESPESA VARIÁVEL]])</f>
        <v>0</v>
      </c>
      <c r="AE69" s="91">
        <f>SUMIFS(tabela_registros[VALOR],tabela_registros[MÊS],$AE$1,tabela_registros[DIA],settotal3059718395107119131[[#Headers],[27]],tabela_registros[REGISTRO],DADOS!$N$4,tabela_registros[TIPO],DADOS!$P$4,tabela_registros[CATEGORIA],despesavariávelconsolidadoset[[#This Row],[DESPESA VARIÁVEL]])</f>
        <v>0</v>
      </c>
      <c r="AF69" s="91">
        <f>SUMIFS(tabela_registros[VALOR],tabela_registros[MÊS],$AE$1,tabela_registros[DIA],settotal3059718395107119131[[#Headers],[28]],tabela_registros[REGISTRO],DADOS!$N$4,tabela_registros[TIPO],DADOS!$P$4,tabela_registros[CATEGORIA],despesavariávelconsolidadoset[[#This Row],[DESPESA VARIÁVEL]])</f>
        <v>0</v>
      </c>
      <c r="AG69" s="91">
        <f>SUMIFS(tabela_registros[VALOR],tabela_registros[MÊS],$AE$1,tabela_registros[DIA],settotal3059718395107119131[[#Headers],[29]],tabela_registros[REGISTRO],DADOS!$N$4,tabela_registros[TIPO],DADOS!$P$4,tabela_registros[CATEGORIA],despesavariávelconsolidadoset[[#This Row],[DESPESA VARIÁVEL]])</f>
        <v>0</v>
      </c>
      <c r="AH69" s="91">
        <f>SUMIFS(tabela_registros[VALOR],tabela_registros[MÊS],$AE$1,tabela_registros[DIA],settotal3059718395107119131[[#Headers],[30]],tabela_registros[REGISTRO],DADOS!$N$4,tabela_registros[TIPO],DADOS!$P$4,tabela_registros[CATEGORIA],despesavariávelconsolidadoset[[#This Row],[DESPESA VARIÁVEL]])</f>
        <v>0</v>
      </c>
      <c r="AI69" s="101">
        <f>SUMIFS(tabela_registros[VALOR],tabela_registros[MÊS],$AE$1,tabela_registros[DIA],settotal3059718395107119131[[#Headers],[31]],tabela_registros[REGISTRO],DADOS!$N$4,tabela_registros[TIPO],DADOS!$P$4,tabela_registros[CATEGORIA],despesavariávelconsolidadoset[[#This Row],[DESPESA VARIÁVEL]])</f>
        <v>0</v>
      </c>
      <c r="AJ69" s="97">
        <f>SUM(despesavariávelconsolidadoset[[#This Row],[1]:[31]])</f>
        <v>0</v>
      </c>
      <c r="AK69" s="28"/>
    </row>
    <row r="70" spans="2:37" ht="18" customHeight="1" thickTop="1" thickBot="1" x14ac:dyDescent="0.3">
      <c r="B70" s="28"/>
      <c r="C70" s="27" t="str">
        <f>DADOS!$T$13</f>
        <v>🚍 TRANSPORTE</v>
      </c>
      <c r="D70" s="26" t="str">
        <f>IF(despesavariávelconsolidadoset[[#This Row],[TOTAL]]=0,"",IF(OR(despesavariávelconsolidadoset[[#This Row],[TOTAL]]=LARGE($AJ$60:$AJ$72,1),despesavariávelconsolidadoset[[#This Row],[TOTAL]]=LARGE($AJ$60:$AJ$72,2),despesavariávelconsolidadoset[[#This Row],[TOTAL]]=LARGE($AJ$60:$AJ$72,3),despesavariávelconsolidadoset[[#This Row],[TOTAL]]=LARGE($AJ$60:$AJ$72,4),despesavariávelconsolidadoset[[#This Row],[TOTAL]]=LARGE($AJ$60:$AJ$72,5)),DADOS!$I$8,""))</f>
        <v/>
      </c>
      <c r="E70" s="96">
        <f>SUMIFS(tabela_registros[VALOR],tabela_registros[MÊS],$AE$1,tabela_registros[DIA],settotal3059718395107119131[[#Headers],[1]],tabela_registros[REGISTRO],DADOS!$N$4,tabela_registros[TIPO],DADOS!$P$4,tabela_registros[CATEGORIA],despesavariávelconsolidadoset[[#This Row],[DESPESA VARIÁVEL]])</f>
        <v>0</v>
      </c>
      <c r="F70" s="91">
        <f>SUMIFS(tabela_registros[VALOR],tabela_registros[MÊS],$AE$1,tabela_registros[DIA],settotal3059718395107119131[[#Headers],[2]],tabela_registros[REGISTRO],DADOS!$N$4,tabela_registros[TIPO],DADOS!$P$4,tabela_registros[CATEGORIA],despesavariávelconsolidadoset[[#This Row],[DESPESA VARIÁVEL]])</f>
        <v>0</v>
      </c>
      <c r="G70" s="91">
        <f>SUMIFS(tabela_registros[VALOR],tabela_registros[MÊS],$AE$1,tabela_registros[DIA],settotal3059718395107119131[[#Headers],[3]],tabela_registros[REGISTRO],DADOS!$N$4,tabela_registros[TIPO],DADOS!$P$4,tabela_registros[CATEGORIA],despesavariávelconsolidadoset[[#This Row],[DESPESA VARIÁVEL]])</f>
        <v>0</v>
      </c>
      <c r="H70" s="91">
        <f>SUMIFS(tabela_registros[VALOR],tabela_registros[MÊS],$AE$1,tabela_registros[DIA],settotal3059718395107119131[[#Headers],[4]],tabela_registros[REGISTRO],DADOS!$N$4,tabela_registros[TIPO],DADOS!$P$4,tabela_registros[CATEGORIA],despesavariávelconsolidadoset[[#This Row],[DESPESA VARIÁVEL]])</f>
        <v>0</v>
      </c>
      <c r="I70" s="91">
        <f>SUMIFS(tabela_registros[VALOR],tabela_registros[MÊS],$AE$1,tabela_registros[DIA],settotal3059718395107119131[[#Headers],[5]],tabela_registros[REGISTRO],DADOS!$N$4,tabela_registros[TIPO],DADOS!$P$4,tabela_registros[CATEGORIA],despesavariávelconsolidadoset[[#This Row],[DESPESA VARIÁVEL]])</f>
        <v>0</v>
      </c>
      <c r="J70" s="91">
        <f>SUMIFS(tabela_registros[VALOR],tabela_registros[MÊS],$AE$1,tabela_registros[DIA],settotal3059718395107119131[[#Headers],[6]],tabela_registros[REGISTRO],DADOS!$N$4,tabela_registros[TIPO],DADOS!$P$4,tabela_registros[CATEGORIA],despesavariávelconsolidadoset[[#This Row],[DESPESA VARIÁVEL]])</f>
        <v>0</v>
      </c>
      <c r="K70" s="91">
        <f>SUMIFS(tabela_registros[VALOR],tabela_registros[MÊS],$AE$1,tabela_registros[DIA],settotal3059718395107119131[[#Headers],[7]],tabela_registros[REGISTRO],DADOS!$N$4,tabela_registros[TIPO],DADOS!$P$4,tabela_registros[CATEGORIA],despesavariávelconsolidadoset[[#This Row],[DESPESA VARIÁVEL]])</f>
        <v>0</v>
      </c>
      <c r="L70" s="91">
        <f>SUMIFS(tabela_registros[VALOR],tabela_registros[MÊS],$AE$1,tabela_registros[DIA],settotal3059718395107119131[[#Headers],[8]],tabela_registros[REGISTRO],DADOS!$N$4,tabela_registros[TIPO],DADOS!$P$4,tabela_registros[CATEGORIA],despesavariávelconsolidadoset[[#This Row],[DESPESA VARIÁVEL]])</f>
        <v>0</v>
      </c>
      <c r="M70" s="91">
        <f>SUMIFS(tabela_registros[VALOR],tabela_registros[MÊS],$AE$1,tabela_registros[DIA],settotal3059718395107119131[[#Headers],[9]],tabela_registros[REGISTRO],DADOS!$N$4,tabela_registros[TIPO],DADOS!$P$4,tabela_registros[CATEGORIA],despesavariávelconsolidadoset[[#This Row],[DESPESA VARIÁVEL]])</f>
        <v>0</v>
      </c>
      <c r="N70" s="91">
        <f>SUMIFS(tabela_registros[VALOR],tabela_registros[MÊS],$AE$1,tabela_registros[DIA],settotal3059718395107119131[[#Headers],[10]],tabela_registros[REGISTRO],DADOS!$N$4,tabela_registros[TIPO],DADOS!$P$4,tabela_registros[CATEGORIA],despesavariávelconsolidadoset[[#This Row],[DESPESA VARIÁVEL]])</f>
        <v>0</v>
      </c>
      <c r="O70" s="91">
        <f>SUMIFS(tabela_registros[VALOR],tabela_registros[MÊS],$AE$1,tabela_registros[DIA],settotal3059718395107119131[[#Headers],[11]],tabela_registros[REGISTRO],DADOS!$N$4,tabela_registros[TIPO],DADOS!$P$4,tabela_registros[CATEGORIA],despesavariávelconsolidadoset[[#This Row],[DESPESA VARIÁVEL]])</f>
        <v>0</v>
      </c>
      <c r="P70" s="91">
        <f>SUMIFS(tabela_registros[VALOR],tabela_registros[MÊS],$AE$1,tabela_registros[DIA],settotal3059718395107119131[[#Headers],[12]],tabela_registros[REGISTRO],DADOS!$N$4,tabela_registros[TIPO],DADOS!$P$4,tabela_registros[CATEGORIA],despesavariávelconsolidadoset[[#This Row],[DESPESA VARIÁVEL]])</f>
        <v>0</v>
      </c>
      <c r="Q70" s="91">
        <f>SUMIFS(tabela_registros[VALOR],tabela_registros[MÊS],$AE$1,tabela_registros[DIA],settotal3059718395107119131[[#Headers],[13]],tabela_registros[REGISTRO],DADOS!$N$4,tabela_registros[TIPO],DADOS!$P$4,tabela_registros[CATEGORIA],despesavariávelconsolidadoset[[#This Row],[DESPESA VARIÁVEL]])</f>
        <v>0</v>
      </c>
      <c r="R70" s="91">
        <f>SUMIFS(tabela_registros[VALOR],tabela_registros[MÊS],$AE$1,tabela_registros[DIA],settotal3059718395107119131[[#Headers],[14]],tabela_registros[REGISTRO],DADOS!$N$4,tabela_registros[TIPO],DADOS!$P$4,tabela_registros[CATEGORIA],despesavariávelconsolidadoset[[#This Row],[DESPESA VARIÁVEL]])</f>
        <v>0</v>
      </c>
      <c r="S70" s="91">
        <f>SUMIFS(tabela_registros[VALOR],tabela_registros[MÊS],$AE$1,tabela_registros[DIA],settotal3059718395107119131[[#Headers],[15]],tabela_registros[REGISTRO],DADOS!$N$4,tabela_registros[TIPO],DADOS!$P$4,tabela_registros[CATEGORIA],despesavariávelconsolidadoset[[#This Row],[DESPESA VARIÁVEL]])</f>
        <v>0</v>
      </c>
      <c r="T70" s="91">
        <f>SUMIFS(tabela_registros[VALOR],tabela_registros[MÊS],$AE$1,tabela_registros[DIA],settotal3059718395107119131[[#Headers],[16]],tabela_registros[REGISTRO],DADOS!$N$4,tabela_registros[TIPO],DADOS!$P$4,tabela_registros[CATEGORIA],despesavariávelconsolidadoset[[#This Row],[DESPESA VARIÁVEL]])</f>
        <v>0</v>
      </c>
      <c r="U70" s="91">
        <f>SUMIFS(tabela_registros[VALOR],tabela_registros[MÊS],$AE$1,tabela_registros[DIA],settotal3059718395107119131[[#Headers],[17]],tabela_registros[REGISTRO],DADOS!$N$4,tabela_registros[TIPO],DADOS!$P$4,tabela_registros[CATEGORIA],despesavariávelconsolidadoset[[#This Row],[DESPESA VARIÁVEL]])</f>
        <v>0</v>
      </c>
      <c r="V70" s="91">
        <f>SUMIFS(tabela_registros[VALOR],tabela_registros[MÊS],$AE$1,tabela_registros[DIA],settotal3059718395107119131[[#Headers],[18]],tabela_registros[REGISTRO],DADOS!$N$4,tabela_registros[TIPO],DADOS!$P$4,tabela_registros[CATEGORIA],despesavariávelconsolidadoset[[#This Row],[DESPESA VARIÁVEL]])</f>
        <v>0</v>
      </c>
      <c r="W70" s="91">
        <f>SUMIFS(tabela_registros[VALOR],tabela_registros[MÊS],$AE$1,tabela_registros[DIA],settotal3059718395107119131[[#Headers],[19]],tabela_registros[REGISTRO],DADOS!$N$4,tabela_registros[TIPO],DADOS!$P$4,tabela_registros[CATEGORIA],despesavariávelconsolidadoset[[#This Row],[DESPESA VARIÁVEL]])</f>
        <v>0</v>
      </c>
      <c r="X70" s="91">
        <f>SUMIFS(tabela_registros[VALOR],tabela_registros[MÊS],$AE$1,tabela_registros[DIA],settotal3059718395107119131[[#Headers],[20]],tabela_registros[REGISTRO],DADOS!$N$4,tabela_registros[TIPO],DADOS!$P$4,tabela_registros[CATEGORIA],despesavariávelconsolidadoset[[#This Row],[DESPESA VARIÁVEL]])</f>
        <v>0</v>
      </c>
      <c r="Y70" s="91">
        <f>SUMIFS(tabela_registros[VALOR],tabela_registros[MÊS],$AE$1,tabela_registros[DIA],settotal3059718395107119131[[#Headers],[21]],tabela_registros[REGISTRO],DADOS!$N$4,tabela_registros[TIPO],DADOS!$P$4,tabela_registros[CATEGORIA],despesavariávelconsolidadoset[[#This Row],[DESPESA VARIÁVEL]])</f>
        <v>0</v>
      </c>
      <c r="Z70" s="91">
        <f>SUMIFS(tabela_registros[VALOR],tabela_registros[MÊS],$AE$1,tabela_registros[DIA],settotal3059718395107119131[[#Headers],[22]],tabela_registros[REGISTRO],DADOS!$N$4,tabela_registros[TIPO],DADOS!$P$4,tabela_registros[CATEGORIA],despesavariávelconsolidadoset[[#This Row],[DESPESA VARIÁVEL]])</f>
        <v>0</v>
      </c>
      <c r="AA70" s="91">
        <f>SUMIFS(tabela_registros[VALOR],tabela_registros[MÊS],$AE$1,tabela_registros[DIA],settotal3059718395107119131[[#Headers],[23]],tabela_registros[REGISTRO],DADOS!$N$4,tabela_registros[TIPO],DADOS!$P$4,tabela_registros[CATEGORIA],despesavariávelconsolidadoset[[#This Row],[DESPESA VARIÁVEL]])</f>
        <v>0</v>
      </c>
      <c r="AB70" s="91">
        <f>SUMIFS(tabela_registros[VALOR],tabela_registros[MÊS],$AE$1,tabela_registros[DIA],settotal3059718395107119131[[#Headers],[24]],tabela_registros[REGISTRO],DADOS!$N$4,tabela_registros[TIPO],DADOS!$P$4,tabela_registros[CATEGORIA],despesavariávelconsolidadoset[[#This Row],[DESPESA VARIÁVEL]])</f>
        <v>0</v>
      </c>
      <c r="AC70" s="91">
        <f>SUMIFS(tabela_registros[VALOR],tabela_registros[MÊS],$AE$1,tabela_registros[DIA],settotal3059718395107119131[[#Headers],[25]],tabela_registros[REGISTRO],DADOS!$N$4,tabela_registros[TIPO],DADOS!$P$4,tabela_registros[CATEGORIA],despesavariávelconsolidadoset[[#This Row],[DESPESA VARIÁVEL]])</f>
        <v>0</v>
      </c>
      <c r="AD70" s="91">
        <f>SUMIFS(tabela_registros[VALOR],tabela_registros[MÊS],$AE$1,tabela_registros[DIA],settotal3059718395107119131[[#Headers],[26]],tabela_registros[REGISTRO],DADOS!$N$4,tabela_registros[TIPO],DADOS!$P$4,tabela_registros[CATEGORIA],despesavariávelconsolidadoset[[#This Row],[DESPESA VARIÁVEL]])</f>
        <v>0</v>
      </c>
      <c r="AE70" s="91">
        <f>SUMIFS(tabela_registros[VALOR],tabela_registros[MÊS],$AE$1,tabela_registros[DIA],settotal3059718395107119131[[#Headers],[27]],tabela_registros[REGISTRO],DADOS!$N$4,tabela_registros[TIPO],DADOS!$P$4,tabela_registros[CATEGORIA],despesavariávelconsolidadoset[[#This Row],[DESPESA VARIÁVEL]])</f>
        <v>0</v>
      </c>
      <c r="AF70" s="91">
        <f>SUMIFS(tabela_registros[VALOR],tabela_registros[MÊS],$AE$1,tabela_registros[DIA],settotal3059718395107119131[[#Headers],[28]],tabela_registros[REGISTRO],DADOS!$N$4,tabela_registros[TIPO],DADOS!$P$4,tabela_registros[CATEGORIA],despesavariávelconsolidadoset[[#This Row],[DESPESA VARIÁVEL]])</f>
        <v>0</v>
      </c>
      <c r="AG70" s="91">
        <f>SUMIFS(tabela_registros[VALOR],tabela_registros[MÊS],$AE$1,tabela_registros[DIA],settotal3059718395107119131[[#Headers],[29]],tabela_registros[REGISTRO],DADOS!$N$4,tabela_registros[TIPO],DADOS!$P$4,tabela_registros[CATEGORIA],despesavariávelconsolidadoset[[#This Row],[DESPESA VARIÁVEL]])</f>
        <v>0</v>
      </c>
      <c r="AH70" s="91">
        <f>SUMIFS(tabela_registros[VALOR],tabela_registros[MÊS],$AE$1,tabela_registros[DIA],settotal3059718395107119131[[#Headers],[30]],tabela_registros[REGISTRO],DADOS!$N$4,tabela_registros[TIPO],DADOS!$P$4,tabela_registros[CATEGORIA],despesavariávelconsolidadoset[[#This Row],[DESPESA VARIÁVEL]])</f>
        <v>0</v>
      </c>
      <c r="AI70" s="101">
        <f>SUMIFS(tabela_registros[VALOR],tabela_registros[MÊS],$AE$1,tabela_registros[DIA],settotal3059718395107119131[[#Headers],[31]],tabela_registros[REGISTRO],DADOS!$N$4,tabela_registros[TIPO],DADOS!$P$4,tabela_registros[CATEGORIA],despesavariávelconsolidadoset[[#This Row],[DESPESA VARIÁVEL]])</f>
        <v>0</v>
      </c>
      <c r="AJ70" s="97">
        <f>SUM(despesavariávelconsolidadoset[[#This Row],[1]:[31]])</f>
        <v>0</v>
      </c>
      <c r="AK70" s="28"/>
    </row>
    <row r="71" spans="2:37" ht="18" customHeight="1" thickTop="1" thickBot="1" x14ac:dyDescent="0.3">
      <c r="B71" s="28"/>
      <c r="C71" s="27" t="str">
        <f>DADOS!$T$14</f>
        <v>🛍️ VESTUÁRIO</v>
      </c>
      <c r="D71" s="26" t="str">
        <f>IF(despesavariávelconsolidadoset[[#This Row],[TOTAL]]=0,"",IF(OR(despesavariávelconsolidadoset[[#This Row],[TOTAL]]=LARGE($AJ$60:$AJ$72,1),despesavariávelconsolidadoset[[#This Row],[TOTAL]]=LARGE($AJ$60:$AJ$72,2),despesavariávelconsolidadoset[[#This Row],[TOTAL]]=LARGE($AJ$60:$AJ$72,3),despesavariávelconsolidadoset[[#This Row],[TOTAL]]=LARGE($AJ$60:$AJ$72,4),despesavariávelconsolidadoset[[#This Row],[TOTAL]]=LARGE($AJ$60:$AJ$72,5)),DADOS!$I$8,""))</f>
        <v/>
      </c>
      <c r="E71" s="96">
        <f>SUMIFS(tabela_registros[VALOR],tabela_registros[MÊS],$AE$1,tabela_registros[DIA],settotal3059718395107119131[[#Headers],[1]],tabela_registros[REGISTRO],DADOS!$N$4,tabela_registros[TIPO],DADOS!$P$4,tabela_registros[CATEGORIA],despesavariávelconsolidadoset[[#This Row],[DESPESA VARIÁVEL]])</f>
        <v>0</v>
      </c>
      <c r="F71" s="91">
        <f>SUMIFS(tabela_registros[VALOR],tabela_registros[MÊS],$AE$1,tabela_registros[DIA],settotal3059718395107119131[[#Headers],[2]],tabela_registros[REGISTRO],DADOS!$N$4,tabela_registros[TIPO],DADOS!$P$4,tabela_registros[CATEGORIA],despesavariávelconsolidadoset[[#This Row],[DESPESA VARIÁVEL]])</f>
        <v>0</v>
      </c>
      <c r="G71" s="91">
        <f>SUMIFS(tabela_registros[VALOR],tabela_registros[MÊS],$AE$1,tabela_registros[DIA],settotal3059718395107119131[[#Headers],[3]],tabela_registros[REGISTRO],DADOS!$N$4,tabela_registros[TIPO],DADOS!$P$4,tabela_registros[CATEGORIA],despesavariávelconsolidadoset[[#This Row],[DESPESA VARIÁVEL]])</f>
        <v>0</v>
      </c>
      <c r="H71" s="91">
        <f>SUMIFS(tabela_registros[VALOR],tabela_registros[MÊS],$AE$1,tabela_registros[DIA],settotal3059718395107119131[[#Headers],[4]],tabela_registros[REGISTRO],DADOS!$N$4,tabela_registros[TIPO],DADOS!$P$4,tabela_registros[CATEGORIA],despesavariávelconsolidadoset[[#This Row],[DESPESA VARIÁVEL]])</f>
        <v>0</v>
      </c>
      <c r="I71" s="91">
        <f>SUMIFS(tabela_registros[VALOR],tabela_registros[MÊS],$AE$1,tabela_registros[DIA],settotal3059718395107119131[[#Headers],[5]],tabela_registros[REGISTRO],DADOS!$N$4,tabela_registros[TIPO],DADOS!$P$4,tabela_registros[CATEGORIA],despesavariávelconsolidadoset[[#This Row],[DESPESA VARIÁVEL]])</f>
        <v>0</v>
      </c>
      <c r="J71" s="91">
        <f>SUMIFS(tabela_registros[VALOR],tabela_registros[MÊS],$AE$1,tabela_registros[DIA],settotal3059718395107119131[[#Headers],[6]],tabela_registros[REGISTRO],DADOS!$N$4,tabela_registros[TIPO],DADOS!$P$4,tabela_registros[CATEGORIA],despesavariávelconsolidadoset[[#This Row],[DESPESA VARIÁVEL]])</f>
        <v>0</v>
      </c>
      <c r="K71" s="91">
        <f>SUMIFS(tabela_registros[VALOR],tabela_registros[MÊS],$AE$1,tabela_registros[DIA],settotal3059718395107119131[[#Headers],[7]],tabela_registros[REGISTRO],DADOS!$N$4,tabela_registros[TIPO],DADOS!$P$4,tabela_registros[CATEGORIA],despesavariávelconsolidadoset[[#This Row],[DESPESA VARIÁVEL]])</f>
        <v>0</v>
      </c>
      <c r="L71" s="91">
        <f>SUMIFS(tabela_registros[VALOR],tabela_registros[MÊS],$AE$1,tabela_registros[DIA],settotal3059718395107119131[[#Headers],[8]],tabela_registros[REGISTRO],DADOS!$N$4,tabela_registros[TIPO],DADOS!$P$4,tabela_registros[CATEGORIA],despesavariávelconsolidadoset[[#This Row],[DESPESA VARIÁVEL]])</f>
        <v>0</v>
      </c>
      <c r="M71" s="91">
        <f>SUMIFS(tabela_registros[VALOR],tabela_registros[MÊS],$AE$1,tabela_registros[DIA],settotal3059718395107119131[[#Headers],[9]],tabela_registros[REGISTRO],DADOS!$N$4,tabela_registros[TIPO],DADOS!$P$4,tabela_registros[CATEGORIA],despesavariávelconsolidadoset[[#This Row],[DESPESA VARIÁVEL]])</f>
        <v>0</v>
      </c>
      <c r="N71" s="91">
        <f>SUMIFS(tabela_registros[VALOR],tabela_registros[MÊS],$AE$1,tabela_registros[DIA],settotal3059718395107119131[[#Headers],[10]],tabela_registros[REGISTRO],DADOS!$N$4,tabela_registros[TIPO],DADOS!$P$4,tabela_registros[CATEGORIA],despesavariávelconsolidadoset[[#This Row],[DESPESA VARIÁVEL]])</f>
        <v>0</v>
      </c>
      <c r="O71" s="91">
        <f>SUMIFS(tabela_registros[VALOR],tabela_registros[MÊS],$AE$1,tabela_registros[DIA],settotal3059718395107119131[[#Headers],[11]],tabela_registros[REGISTRO],DADOS!$N$4,tabela_registros[TIPO],DADOS!$P$4,tabela_registros[CATEGORIA],despesavariávelconsolidadoset[[#This Row],[DESPESA VARIÁVEL]])</f>
        <v>0</v>
      </c>
      <c r="P71" s="91">
        <f>SUMIFS(tabela_registros[VALOR],tabela_registros[MÊS],$AE$1,tabela_registros[DIA],settotal3059718395107119131[[#Headers],[12]],tabela_registros[REGISTRO],DADOS!$N$4,tabela_registros[TIPO],DADOS!$P$4,tabela_registros[CATEGORIA],despesavariávelconsolidadoset[[#This Row],[DESPESA VARIÁVEL]])</f>
        <v>0</v>
      </c>
      <c r="Q71" s="91">
        <f>SUMIFS(tabela_registros[VALOR],tabela_registros[MÊS],$AE$1,tabela_registros[DIA],settotal3059718395107119131[[#Headers],[13]],tabela_registros[REGISTRO],DADOS!$N$4,tabela_registros[TIPO],DADOS!$P$4,tabela_registros[CATEGORIA],despesavariávelconsolidadoset[[#This Row],[DESPESA VARIÁVEL]])</f>
        <v>0</v>
      </c>
      <c r="R71" s="91">
        <f>SUMIFS(tabela_registros[VALOR],tabela_registros[MÊS],$AE$1,tabela_registros[DIA],settotal3059718395107119131[[#Headers],[14]],tabela_registros[REGISTRO],DADOS!$N$4,tabela_registros[TIPO],DADOS!$P$4,tabela_registros[CATEGORIA],despesavariávelconsolidadoset[[#This Row],[DESPESA VARIÁVEL]])</f>
        <v>0</v>
      </c>
      <c r="S71" s="91">
        <f>SUMIFS(tabela_registros[VALOR],tabela_registros[MÊS],$AE$1,tabela_registros[DIA],settotal3059718395107119131[[#Headers],[15]],tabela_registros[REGISTRO],DADOS!$N$4,tabela_registros[TIPO],DADOS!$P$4,tabela_registros[CATEGORIA],despesavariávelconsolidadoset[[#This Row],[DESPESA VARIÁVEL]])</f>
        <v>0</v>
      </c>
      <c r="T71" s="91">
        <f>SUMIFS(tabela_registros[VALOR],tabela_registros[MÊS],$AE$1,tabela_registros[DIA],settotal3059718395107119131[[#Headers],[16]],tabela_registros[REGISTRO],DADOS!$N$4,tabela_registros[TIPO],DADOS!$P$4,tabela_registros[CATEGORIA],despesavariávelconsolidadoset[[#This Row],[DESPESA VARIÁVEL]])</f>
        <v>0</v>
      </c>
      <c r="U71" s="91">
        <f>SUMIFS(tabela_registros[VALOR],tabela_registros[MÊS],$AE$1,tabela_registros[DIA],settotal3059718395107119131[[#Headers],[17]],tabela_registros[REGISTRO],DADOS!$N$4,tabela_registros[TIPO],DADOS!$P$4,tabela_registros[CATEGORIA],despesavariávelconsolidadoset[[#This Row],[DESPESA VARIÁVEL]])</f>
        <v>0</v>
      </c>
      <c r="V71" s="91">
        <f>SUMIFS(tabela_registros[VALOR],tabela_registros[MÊS],$AE$1,tabela_registros[DIA],settotal3059718395107119131[[#Headers],[18]],tabela_registros[REGISTRO],DADOS!$N$4,tabela_registros[TIPO],DADOS!$P$4,tabela_registros[CATEGORIA],despesavariávelconsolidadoset[[#This Row],[DESPESA VARIÁVEL]])</f>
        <v>0</v>
      </c>
      <c r="W71" s="91">
        <f>SUMIFS(tabela_registros[VALOR],tabela_registros[MÊS],$AE$1,tabela_registros[DIA],settotal3059718395107119131[[#Headers],[19]],tabela_registros[REGISTRO],DADOS!$N$4,tabela_registros[TIPO],DADOS!$P$4,tabela_registros[CATEGORIA],despesavariávelconsolidadoset[[#This Row],[DESPESA VARIÁVEL]])</f>
        <v>0</v>
      </c>
      <c r="X71" s="91">
        <f>SUMIFS(tabela_registros[VALOR],tabela_registros[MÊS],$AE$1,tabela_registros[DIA],settotal3059718395107119131[[#Headers],[20]],tabela_registros[REGISTRO],DADOS!$N$4,tabela_registros[TIPO],DADOS!$P$4,tabela_registros[CATEGORIA],despesavariávelconsolidadoset[[#This Row],[DESPESA VARIÁVEL]])</f>
        <v>0</v>
      </c>
      <c r="Y71" s="91">
        <f>SUMIFS(tabela_registros[VALOR],tabela_registros[MÊS],$AE$1,tabela_registros[DIA],settotal3059718395107119131[[#Headers],[21]],tabela_registros[REGISTRO],DADOS!$N$4,tabela_registros[TIPO],DADOS!$P$4,tabela_registros[CATEGORIA],despesavariávelconsolidadoset[[#This Row],[DESPESA VARIÁVEL]])</f>
        <v>0</v>
      </c>
      <c r="Z71" s="91">
        <f>SUMIFS(tabela_registros[VALOR],tabela_registros[MÊS],$AE$1,tabela_registros[DIA],settotal3059718395107119131[[#Headers],[22]],tabela_registros[REGISTRO],DADOS!$N$4,tabela_registros[TIPO],DADOS!$P$4,tabela_registros[CATEGORIA],despesavariávelconsolidadoset[[#This Row],[DESPESA VARIÁVEL]])</f>
        <v>0</v>
      </c>
      <c r="AA71" s="91">
        <f>SUMIFS(tabela_registros[VALOR],tabela_registros[MÊS],$AE$1,tabela_registros[DIA],settotal3059718395107119131[[#Headers],[23]],tabela_registros[REGISTRO],DADOS!$N$4,tabela_registros[TIPO],DADOS!$P$4,tabela_registros[CATEGORIA],despesavariávelconsolidadoset[[#This Row],[DESPESA VARIÁVEL]])</f>
        <v>0</v>
      </c>
      <c r="AB71" s="91">
        <f>SUMIFS(tabela_registros[VALOR],tabela_registros[MÊS],$AE$1,tabela_registros[DIA],settotal3059718395107119131[[#Headers],[24]],tabela_registros[REGISTRO],DADOS!$N$4,tabela_registros[TIPO],DADOS!$P$4,tabela_registros[CATEGORIA],despesavariávelconsolidadoset[[#This Row],[DESPESA VARIÁVEL]])</f>
        <v>0</v>
      </c>
      <c r="AC71" s="91">
        <f>SUMIFS(tabela_registros[VALOR],tabela_registros[MÊS],$AE$1,tabela_registros[DIA],settotal3059718395107119131[[#Headers],[25]],tabela_registros[REGISTRO],DADOS!$N$4,tabela_registros[TIPO],DADOS!$P$4,tabela_registros[CATEGORIA],despesavariávelconsolidadoset[[#This Row],[DESPESA VARIÁVEL]])</f>
        <v>0</v>
      </c>
      <c r="AD71" s="91">
        <f>SUMIFS(tabela_registros[VALOR],tabela_registros[MÊS],$AE$1,tabela_registros[DIA],settotal3059718395107119131[[#Headers],[26]],tabela_registros[REGISTRO],DADOS!$N$4,tabela_registros[TIPO],DADOS!$P$4,tabela_registros[CATEGORIA],despesavariávelconsolidadoset[[#This Row],[DESPESA VARIÁVEL]])</f>
        <v>0</v>
      </c>
      <c r="AE71" s="91">
        <f>SUMIFS(tabela_registros[VALOR],tabela_registros[MÊS],$AE$1,tabela_registros[DIA],settotal3059718395107119131[[#Headers],[27]],tabela_registros[REGISTRO],DADOS!$N$4,tabela_registros[TIPO],DADOS!$P$4,tabela_registros[CATEGORIA],despesavariávelconsolidadoset[[#This Row],[DESPESA VARIÁVEL]])</f>
        <v>0</v>
      </c>
      <c r="AF71" s="91">
        <f>SUMIFS(tabela_registros[VALOR],tabela_registros[MÊS],$AE$1,tabela_registros[DIA],settotal3059718395107119131[[#Headers],[28]],tabela_registros[REGISTRO],DADOS!$N$4,tabela_registros[TIPO],DADOS!$P$4,tabela_registros[CATEGORIA],despesavariávelconsolidadoset[[#This Row],[DESPESA VARIÁVEL]])</f>
        <v>0</v>
      </c>
      <c r="AG71" s="91">
        <f>SUMIFS(tabela_registros[VALOR],tabela_registros[MÊS],$AE$1,tabela_registros[DIA],settotal3059718395107119131[[#Headers],[29]],tabela_registros[REGISTRO],DADOS!$N$4,tabela_registros[TIPO],DADOS!$P$4,tabela_registros[CATEGORIA],despesavariávelconsolidadoset[[#This Row],[DESPESA VARIÁVEL]])</f>
        <v>0</v>
      </c>
      <c r="AH71" s="91">
        <f>SUMIFS(tabela_registros[VALOR],tabela_registros[MÊS],$AE$1,tabela_registros[DIA],settotal3059718395107119131[[#Headers],[30]],tabela_registros[REGISTRO],DADOS!$N$4,tabela_registros[TIPO],DADOS!$P$4,tabela_registros[CATEGORIA],despesavariávelconsolidadoset[[#This Row],[DESPESA VARIÁVEL]])</f>
        <v>0</v>
      </c>
      <c r="AI71" s="101">
        <f>SUMIFS(tabela_registros[VALOR],tabela_registros[MÊS],$AE$1,tabela_registros[DIA],settotal3059718395107119131[[#Headers],[31]],tabela_registros[REGISTRO],DADOS!$N$4,tabela_registros[TIPO],DADOS!$P$4,tabela_registros[CATEGORIA],despesavariávelconsolidadoset[[#This Row],[DESPESA VARIÁVEL]])</f>
        <v>0</v>
      </c>
      <c r="AJ71" s="97">
        <f>SUM(despesavariávelconsolidadoset[[#This Row],[1]:[31]])</f>
        <v>0</v>
      </c>
      <c r="AK71" s="28"/>
    </row>
    <row r="72" spans="2:37" ht="18" customHeight="1" thickTop="1" thickBot="1" x14ac:dyDescent="0.3">
      <c r="B72" s="28"/>
      <c r="C72" s="27" t="str">
        <f>DADOS!$T$15</f>
        <v>📎 OUTROS</v>
      </c>
      <c r="D72" s="26" t="str">
        <f>IF(despesavariávelconsolidadoset[[#This Row],[TOTAL]]=0,"",IF(OR(despesavariávelconsolidadoset[[#This Row],[TOTAL]]=LARGE($AJ$60:$AJ$72,1),despesavariávelconsolidadoset[[#This Row],[TOTAL]]=LARGE($AJ$60:$AJ$72,2),despesavariávelconsolidadoset[[#This Row],[TOTAL]]=LARGE($AJ$60:$AJ$72,3),despesavariávelconsolidadoset[[#This Row],[TOTAL]]=LARGE($AJ$60:$AJ$72,4),despesavariávelconsolidadoset[[#This Row],[TOTAL]]=LARGE($AJ$60:$AJ$72,5)),DADOS!$I$8,""))</f>
        <v/>
      </c>
      <c r="E72" s="96">
        <f>SUMIFS(tabela_registros[VALOR],tabela_registros[MÊS],$AE$1,tabela_registros[DIA],settotal3059718395107119131[[#Headers],[1]],tabela_registros[REGISTRO],DADOS!$N$4,tabela_registros[TIPO],DADOS!$P$4,tabela_registros[CATEGORIA],despesavariávelconsolidadoset[[#This Row],[DESPESA VARIÁVEL]])</f>
        <v>0</v>
      </c>
      <c r="F72" s="91">
        <f>SUMIFS(tabela_registros[VALOR],tabela_registros[MÊS],$AE$1,tabela_registros[DIA],settotal3059718395107119131[[#Headers],[2]],tabela_registros[REGISTRO],DADOS!$N$4,tabela_registros[TIPO],DADOS!$P$4,tabela_registros[CATEGORIA],despesavariávelconsolidadoset[[#This Row],[DESPESA VARIÁVEL]])</f>
        <v>0</v>
      </c>
      <c r="G72" s="91">
        <f>SUMIFS(tabela_registros[VALOR],tabela_registros[MÊS],$AE$1,tabela_registros[DIA],settotal3059718395107119131[[#Headers],[3]],tabela_registros[REGISTRO],DADOS!$N$4,tabela_registros[TIPO],DADOS!$P$4,tabela_registros[CATEGORIA],despesavariávelconsolidadoset[[#This Row],[DESPESA VARIÁVEL]])</f>
        <v>0</v>
      </c>
      <c r="H72" s="91">
        <f>SUMIFS(tabela_registros[VALOR],tabela_registros[MÊS],$AE$1,tabela_registros[DIA],settotal3059718395107119131[[#Headers],[4]],tabela_registros[REGISTRO],DADOS!$N$4,tabela_registros[TIPO],DADOS!$P$4,tabela_registros[CATEGORIA],despesavariávelconsolidadoset[[#This Row],[DESPESA VARIÁVEL]])</f>
        <v>0</v>
      </c>
      <c r="I72" s="91">
        <f>SUMIFS(tabela_registros[VALOR],tabela_registros[MÊS],$AE$1,tabela_registros[DIA],settotal3059718395107119131[[#Headers],[5]],tabela_registros[REGISTRO],DADOS!$N$4,tabela_registros[TIPO],DADOS!$P$4,tabela_registros[CATEGORIA],despesavariávelconsolidadoset[[#This Row],[DESPESA VARIÁVEL]])</f>
        <v>0</v>
      </c>
      <c r="J72" s="91">
        <f>SUMIFS(tabela_registros[VALOR],tabela_registros[MÊS],$AE$1,tabela_registros[DIA],settotal3059718395107119131[[#Headers],[6]],tabela_registros[REGISTRO],DADOS!$N$4,tabela_registros[TIPO],DADOS!$P$4,tabela_registros[CATEGORIA],despesavariávelconsolidadoset[[#This Row],[DESPESA VARIÁVEL]])</f>
        <v>0</v>
      </c>
      <c r="K72" s="91">
        <f>SUMIFS(tabela_registros[VALOR],tabela_registros[MÊS],$AE$1,tabela_registros[DIA],settotal3059718395107119131[[#Headers],[7]],tabela_registros[REGISTRO],DADOS!$N$4,tabela_registros[TIPO],DADOS!$P$4,tabela_registros[CATEGORIA],despesavariávelconsolidadoset[[#This Row],[DESPESA VARIÁVEL]])</f>
        <v>0</v>
      </c>
      <c r="L72" s="91">
        <f>SUMIFS(tabela_registros[VALOR],tabela_registros[MÊS],$AE$1,tabela_registros[DIA],settotal3059718395107119131[[#Headers],[8]],tabela_registros[REGISTRO],DADOS!$N$4,tabela_registros[TIPO],DADOS!$P$4,tabela_registros[CATEGORIA],despesavariávelconsolidadoset[[#This Row],[DESPESA VARIÁVEL]])</f>
        <v>0</v>
      </c>
      <c r="M72" s="91">
        <f>SUMIFS(tabela_registros[VALOR],tabela_registros[MÊS],$AE$1,tabela_registros[DIA],settotal3059718395107119131[[#Headers],[9]],tabela_registros[REGISTRO],DADOS!$N$4,tabela_registros[TIPO],DADOS!$P$4,tabela_registros[CATEGORIA],despesavariávelconsolidadoset[[#This Row],[DESPESA VARIÁVEL]])</f>
        <v>0</v>
      </c>
      <c r="N72" s="91">
        <f>SUMIFS(tabela_registros[VALOR],tabela_registros[MÊS],$AE$1,tabela_registros[DIA],settotal3059718395107119131[[#Headers],[10]],tabela_registros[REGISTRO],DADOS!$N$4,tabela_registros[TIPO],DADOS!$P$4,tabela_registros[CATEGORIA],despesavariávelconsolidadoset[[#This Row],[DESPESA VARIÁVEL]])</f>
        <v>0</v>
      </c>
      <c r="O72" s="91">
        <f>SUMIFS(tabela_registros[VALOR],tabela_registros[MÊS],$AE$1,tabela_registros[DIA],settotal3059718395107119131[[#Headers],[11]],tabela_registros[REGISTRO],DADOS!$N$4,tabela_registros[TIPO],DADOS!$P$4,tabela_registros[CATEGORIA],despesavariávelconsolidadoset[[#This Row],[DESPESA VARIÁVEL]])</f>
        <v>0</v>
      </c>
      <c r="P72" s="91">
        <f>SUMIFS(tabela_registros[VALOR],tabela_registros[MÊS],$AE$1,tabela_registros[DIA],settotal3059718395107119131[[#Headers],[12]],tabela_registros[REGISTRO],DADOS!$N$4,tabela_registros[TIPO],DADOS!$P$4,tabela_registros[CATEGORIA],despesavariávelconsolidadoset[[#This Row],[DESPESA VARIÁVEL]])</f>
        <v>0</v>
      </c>
      <c r="Q72" s="91">
        <f>SUMIFS(tabela_registros[VALOR],tabela_registros[MÊS],$AE$1,tabela_registros[DIA],settotal3059718395107119131[[#Headers],[13]],tabela_registros[REGISTRO],DADOS!$N$4,tabela_registros[TIPO],DADOS!$P$4,tabela_registros[CATEGORIA],despesavariávelconsolidadoset[[#This Row],[DESPESA VARIÁVEL]])</f>
        <v>0</v>
      </c>
      <c r="R72" s="91">
        <f>SUMIFS(tabela_registros[VALOR],tabela_registros[MÊS],$AE$1,tabela_registros[DIA],settotal3059718395107119131[[#Headers],[14]],tabela_registros[REGISTRO],DADOS!$N$4,tabela_registros[TIPO],DADOS!$P$4,tabela_registros[CATEGORIA],despesavariávelconsolidadoset[[#This Row],[DESPESA VARIÁVEL]])</f>
        <v>0</v>
      </c>
      <c r="S72" s="91">
        <f>SUMIFS(tabela_registros[VALOR],tabela_registros[MÊS],$AE$1,tabela_registros[DIA],settotal3059718395107119131[[#Headers],[15]],tabela_registros[REGISTRO],DADOS!$N$4,tabela_registros[TIPO],DADOS!$P$4,tabela_registros[CATEGORIA],despesavariávelconsolidadoset[[#This Row],[DESPESA VARIÁVEL]])</f>
        <v>0</v>
      </c>
      <c r="T72" s="91">
        <f>SUMIFS(tabela_registros[VALOR],tabela_registros[MÊS],$AE$1,tabela_registros[DIA],settotal3059718395107119131[[#Headers],[16]],tabela_registros[REGISTRO],DADOS!$N$4,tabela_registros[TIPO],DADOS!$P$4,tabela_registros[CATEGORIA],despesavariávelconsolidadoset[[#This Row],[DESPESA VARIÁVEL]])</f>
        <v>0</v>
      </c>
      <c r="U72" s="91">
        <f>SUMIFS(tabela_registros[VALOR],tabela_registros[MÊS],$AE$1,tabela_registros[DIA],settotal3059718395107119131[[#Headers],[17]],tabela_registros[REGISTRO],DADOS!$N$4,tabela_registros[TIPO],DADOS!$P$4,tabela_registros[CATEGORIA],despesavariávelconsolidadoset[[#This Row],[DESPESA VARIÁVEL]])</f>
        <v>0</v>
      </c>
      <c r="V72" s="91">
        <f>SUMIFS(tabela_registros[VALOR],tabela_registros[MÊS],$AE$1,tabela_registros[DIA],settotal3059718395107119131[[#Headers],[18]],tabela_registros[REGISTRO],DADOS!$N$4,tabela_registros[TIPO],DADOS!$P$4,tabela_registros[CATEGORIA],despesavariávelconsolidadoset[[#This Row],[DESPESA VARIÁVEL]])</f>
        <v>0</v>
      </c>
      <c r="W72" s="91">
        <f>SUMIFS(tabela_registros[VALOR],tabela_registros[MÊS],$AE$1,tabela_registros[DIA],settotal3059718395107119131[[#Headers],[19]],tabela_registros[REGISTRO],DADOS!$N$4,tabela_registros[TIPO],DADOS!$P$4,tabela_registros[CATEGORIA],despesavariávelconsolidadoset[[#This Row],[DESPESA VARIÁVEL]])</f>
        <v>0</v>
      </c>
      <c r="X72" s="91">
        <f>SUMIFS(tabela_registros[VALOR],tabela_registros[MÊS],$AE$1,tabela_registros[DIA],settotal3059718395107119131[[#Headers],[20]],tabela_registros[REGISTRO],DADOS!$N$4,tabela_registros[TIPO],DADOS!$P$4,tabela_registros[CATEGORIA],despesavariávelconsolidadoset[[#This Row],[DESPESA VARIÁVEL]])</f>
        <v>0</v>
      </c>
      <c r="Y72" s="91">
        <f>SUMIFS(tabela_registros[VALOR],tabela_registros[MÊS],$AE$1,tabela_registros[DIA],settotal3059718395107119131[[#Headers],[21]],tabela_registros[REGISTRO],DADOS!$N$4,tabela_registros[TIPO],DADOS!$P$4,tabela_registros[CATEGORIA],despesavariávelconsolidadoset[[#This Row],[DESPESA VARIÁVEL]])</f>
        <v>0</v>
      </c>
      <c r="Z72" s="91">
        <f>SUMIFS(tabela_registros[VALOR],tabela_registros[MÊS],$AE$1,tabela_registros[DIA],settotal3059718395107119131[[#Headers],[22]],tabela_registros[REGISTRO],DADOS!$N$4,tabela_registros[TIPO],DADOS!$P$4,tabela_registros[CATEGORIA],despesavariávelconsolidadoset[[#This Row],[DESPESA VARIÁVEL]])</f>
        <v>0</v>
      </c>
      <c r="AA72" s="91">
        <f>SUMIFS(tabela_registros[VALOR],tabela_registros[MÊS],$AE$1,tabela_registros[DIA],settotal3059718395107119131[[#Headers],[23]],tabela_registros[REGISTRO],DADOS!$N$4,tabela_registros[TIPO],DADOS!$P$4,tabela_registros[CATEGORIA],despesavariávelconsolidadoset[[#This Row],[DESPESA VARIÁVEL]])</f>
        <v>0</v>
      </c>
      <c r="AB72" s="91">
        <f>SUMIFS(tabela_registros[VALOR],tabela_registros[MÊS],$AE$1,tabela_registros[DIA],settotal3059718395107119131[[#Headers],[24]],tabela_registros[REGISTRO],DADOS!$N$4,tabela_registros[TIPO],DADOS!$P$4,tabela_registros[CATEGORIA],despesavariávelconsolidadoset[[#This Row],[DESPESA VARIÁVEL]])</f>
        <v>0</v>
      </c>
      <c r="AC72" s="91">
        <f>SUMIFS(tabela_registros[VALOR],tabela_registros[MÊS],$AE$1,tabela_registros[DIA],settotal3059718395107119131[[#Headers],[25]],tabela_registros[REGISTRO],DADOS!$N$4,tabela_registros[TIPO],DADOS!$P$4,tabela_registros[CATEGORIA],despesavariávelconsolidadoset[[#This Row],[DESPESA VARIÁVEL]])</f>
        <v>0</v>
      </c>
      <c r="AD72" s="91">
        <f>SUMIFS(tabela_registros[VALOR],tabela_registros[MÊS],$AE$1,tabela_registros[DIA],settotal3059718395107119131[[#Headers],[26]],tabela_registros[REGISTRO],DADOS!$N$4,tabela_registros[TIPO],DADOS!$P$4,tabela_registros[CATEGORIA],despesavariávelconsolidadoset[[#This Row],[DESPESA VARIÁVEL]])</f>
        <v>0</v>
      </c>
      <c r="AE72" s="91">
        <f>SUMIFS(tabela_registros[VALOR],tabela_registros[MÊS],$AE$1,tabela_registros[DIA],settotal3059718395107119131[[#Headers],[27]],tabela_registros[REGISTRO],DADOS!$N$4,tabela_registros[TIPO],DADOS!$P$4,tabela_registros[CATEGORIA],despesavariávelconsolidadoset[[#This Row],[DESPESA VARIÁVEL]])</f>
        <v>0</v>
      </c>
      <c r="AF72" s="91">
        <f>SUMIFS(tabela_registros[VALOR],tabela_registros[MÊS],$AE$1,tabela_registros[DIA],settotal3059718395107119131[[#Headers],[28]],tabela_registros[REGISTRO],DADOS!$N$4,tabela_registros[TIPO],DADOS!$P$4,tabela_registros[CATEGORIA],despesavariávelconsolidadoset[[#This Row],[DESPESA VARIÁVEL]])</f>
        <v>0</v>
      </c>
      <c r="AG72" s="91">
        <f>SUMIFS(tabela_registros[VALOR],tabela_registros[MÊS],$AE$1,tabela_registros[DIA],settotal3059718395107119131[[#Headers],[29]],tabela_registros[REGISTRO],DADOS!$N$4,tabela_registros[TIPO],DADOS!$P$4,tabela_registros[CATEGORIA],despesavariávelconsolidadoset[[#This Row],[DESPESA VARIÁVEL]])</f>
        <v>0</v>
      </c>
      <c r="AH72" s="91">
        <f>SUMIFS(tabela_registros[VALOR],tabela_registros[MÊS],$AE$1,tabela_registros[DIA],settotal3059718395107119131[[#Headers],[30]],tabela_registros[REGISTRO],DADOS!$N$4,tabela_registros[TIPO],DADOS!$P$4,tabela_registros[CATEGORIA],despesavariávelconsolidadoset[[#This Row],[DESPESA VARIÁVEL]])</f>
        <v>0</v>
      </c>
      <c r="AI72" s="102">
        <f>SUMIFS(tabela_registros[VALOR],tabela_registros[MÊS],$AE$1,tabela_registros[DIA],settotal3059718395107119131[[#Headers],[31]],tabela_registros[REGISTRO],DADOS!$N$4,tabela_registros[TIPO],DADOS!$P$4,tabela_registros[CATEGORIA],despesavariávelconsolidadoset[[#This Row],[DESPESA VARIÁVEL]])</f>
        <v>0</v>
      </c>
      <c r="AJ72" s="97">
        <f>SUM(despesavariávelconsolidadoset[[#This Row],[1]:[31]])</f>
        <v>0</v>
      </c>
      <c r="AK72" s="28"/>
    </row>
    <row r="73" spans="2:37" s="16" customFormat="1" ht="21" customHeight="1" thickTop="1" thickBot="1" x14ac:dyDescent="0.35">
      <c r="B73" s="24"/>
      <c r="C73" s="23" t="s">
        <v>19</v>
      </c>
      <c r="D73" s="41" t="str">
        <f>IF(despesavariávelconsolidadoset[[#This Row],[TOTAL]]=0,"",IF(OR(despesavariávelconsolidadoset[[#This Row],[TOTAL]]=SMALL(despesavariávelconsolidadoset[TOTAL],1),despesavariávelconsolidadoset[[#This Row],[TOTAL]]=SMALL(despesavariávelconsolidadoset[TOTAL],2),despesavariávelconsolidadoset[[#This Row],[TOTAL]]=SMALL(despesavariávelconsolidadoset[TOTAL],3),despesavariávelconsolidadoset[[#This Row],[TOTAL]]=SMALL(despesavariávelconsolidadoset[TOTAL],4),despesavariávelconsolidadoset[[#This Row],[TOTAL]]=SMALL(despesavariávelconsolidadoset[TOTAL],5)),DADOS!$I$8,""))</f>
        <v/>
      </c>
      <c r="E73" s="21">
        <f>SUM(E60:E72)</f>
        <v>0</v>
      </c>
      <c r="F73" s="20">
        <f>SUM(F60:F72)+despesavariávelconsolidadoset[[#This Row],[1]]</f>
        <v>0</v>
      </c>
      <c r="G73" s="20">
        <f>SUM(G60:G72)+despesavariávelconsolidadoset[[#This Row],[2]]</f>
        <v>0</v>
      </c>
      <c r="H73" s="20">
        <f>SUM(H60:H72)+despesavariávelconsolidadoset[[#This Row],[3]]</f>
        <v>0</v>
      </c>
      <c r="I73" s="20">
        <f>SUM(I60:I72)+despesavariávelconsolidadoset[[#This Row],[4]]</f>
        <v>0</v>
      </c>
      <c r="J73" s="20">
        <f>SUM(J60:J72)+despesavariávelconsolidadoset[[#This Row],[5]]</f>
        <v>0</v>
      </c>
      <c r="K73" s="20">
        <f>SUM(K60:K72)+despesavariávelconsolidadoset[[#This Row],[6]]</f>
        <v>0</v>
      </c>
      <c r="L73" s="20">
        <f>SUM(L60:L72)+despesavariávelconsolidadoset[[#This Row],[7]]</f>
        <v>0</v>
      </c>
      <c r="M73" s="20">
        <f>SUM(M60:M72)+despesavariávelconsolidadoset[[#This Row],[8]]</f>
        <v>0</v>
      </c>
      <c r="N73" s="20">
        <f>SUM(N60:N72)+despesavariávelconsolidadoset[[#This Row],[9]]</f>
        <v>0</v>
      </c>
      <c r="O73" s="20">
        <f>SUM(O60:O72)+despesavariávelconsolidadoset[[#This Row],[10]]</f>
        <v>0</v>
      </c>
      <c r="P73" s="20">
        <f>SUM(P60:P72)+despesavariávelconsolidadoset[[#This Row],[11]]</f>
        <v>0</v>
      </c>
      <c r="Q73" s="20">
        <f>SUM(Q60:Q72)+despesavariávelconsolidadoset[[#This Row],[12]]</f>
        <v>0</v>
      </c>
      <c r="R73" s="20">
        <f>SUM(R60:R72)+despesavariávelconsolidadoset[[#This Row],[13]]</f>
        <v>0</v>
      </c>
      <c r="S73" s="20">
        <f>SUM(S60:S72)+despesavariávelconsolidadoset[[#This Row],[14]]</f>
        <v>0</v>
      </c>
      <c r="T73" s="20">
        <f>SUM(T60:T72)+despesavariávelconsolidadoset[[#This Row],[15]]</f>
        <v>0</v>
      </c>
      <c r="U73" s="20">
        <f>SUM(U60:U72)+despesavariávelconsolidadoset[[#This Row],[16]]</f>
        <v>0</v>
      </c>
      <c r="V73" s="20">
        <f>SUM(V60:V72)+despesavariávelconsolidadoset[[#This Row],[17]]</f>
        <v>0</v>
      </c>
      <c r="W73" s="20">
        <f>SUM(W60:W72)+despesavariávelconsolidadoset[[#This Row],[18]]</f>
        <v>0</v>
      </c>
      <c r="X73" s="20">
        <f>SUM(X60:X72)+despesavariávelconsolidadoset[[#This Row],[19]]</f>
        <v>0</v>
      </c>
      <c r="Y73" s="20">
        <f>SUM(Y60:Y72)+despesavariávelconsolidadoset[[#This Row],[20]]</f>
        <v>0</v>
      </c>
      <c r="Z73" s="20">
        <f>SUM(Z60:Z72)+despesavariávelconsolidadoset[[#This Row],[21]]</f>
        <v>0</v>
      </c>
      <c r="AA73" s="20">
        <f>SUM(AA60:AA72)+despesavariávelconsolidadoset[[#This Row],[22]]</f>
        <v>0</v>
      </c>
      <c r="AB73" s="20">
        <f>SUM(AB60:AB72)+despesavariávelconsolidadoset[[#This Row],[23]]</f>
        <v>0</v>
      </c>
      <c r="AC73" s="20">
        <f>SUM(AC60:AC72)+despesavariávelconsolidadoset[[#This Row],[24]]</f>
        <v>0</v>
      </c>
      <c r="AD73" s="20">
        <f>SUM(AD60:AD72)+despesavariávelconsolidadoset[[#This Row],[25]]</f>
        <v>0</v>
      </c>
      <c r="AE73" s="20">
        <f>SUM(AE60:AE72)+despesavariávelconsolidadoset[[#This Row],[26]]</f>
        <v>0</v>
      </c>
      <c r="AF73" s="20">
        <f>SUM(AF60:AF72)+despesavariávelconsolidadoset[[#This Row],[27]]</f>
        <v>0</v>
      </c>
      <c r="AG73" s="20">
        <f>SUM(AG60:AG72)+despesavariávelconsolidadoset[[#This Row],[28]]</f>
        <v>0</v>
      </c>
      <c r="AH73" s="20">
        <f>SUM(AH60:AH72)+despesavariávelconsolidadoset[[#This Row],[29]]</f>
        <v>0</v>
      </c>
      <c r="AI73" s="19">
        <f>SUM(AI60:AI72)+despesavariávelconsolidadoset[[#This Row],[30]]</f>
        <v>0</v>
      </c>
      <c r="AJ73" s="18">
        <f>despesavariávelconsolidadoset[[#This Row],[31]]</f>
        <v>0</v>
      </c>
      <c r="AK73" s="17"/>
    </row>
    <row r="74" spans="2:37" ht="6.75" customHeight="1" thickTop="1" thickBot="1" x14ac:dyDescent="0.3">
      <c r="B74" s="15"/>
      <c r="C74" s="40"/>
      <c r="D74" s="39"/>
      <c r="E74" s="39"/>
      <c r="F74" s="39"/>
      <c r="G74" s="39"/>
      <c r="H74" s="39"/>
      <c r="I74" s="39"/>
      <c r="J74" s="39"/>
      <c r="K74" s="39"/>
      <c r="L74" s="39"/>
      <c r="M74" s="39"/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  <c r="AG74" s="39"/>
      <c r="AH74" s="39"/>
      <c r="AI74" s="38"/>
      <c r="AJ74" s="15"/>
      <c r="AK74" s="10"/>
    </row>
    <row r="75" spans="2:37" ht="12.6" thickTop="1" x14ac:dyDescent="0.25">
      <c r="E75" s="37"/>
      <c r="AI75" s="4"/>
    </row>
    <row r="76" spans="2:37" x14ac:dyDescent="0.25">
      <c r="AI76" s="4"/>
    </row>
    <row r="77" spans="2:37" x14ac:dyDescent="0.25">
      <c r="AI77" s="4"/>
    </row>
    <row r="78" spans="2:37" ht="39.75" customHeight="1" x14ac:dyDescent="0.7">
      <c r="C78" s="36"/>
      <c r="E78" s="240"/>
      <c r="F78" s="240"/>
      <c r="G78" s="240"/>
      <c r="H78" s="240"/>
      <c r="I78" s="240"/>
      <c r="J78" s="240"/>
      <c r="K78" s="240"/>
      <c r="L78" s="240"/>
      <c r="M78" s="240"/>
      <c r="N78" s="240"/>
      <c r="O78" s="240"/>
      <c r="P78" s="240"/>
      <c r="Q78" s="240"/>
      <c r="R78" s="240"/>
      <c r="S78" s="240"/>
      <c r="T78" s="240"/>
      <c r="U78" s="240"/>
      <c r="V78" s="240"/>
      <c r="W78" s="240"/>
      <c r="X78" s="240"/>
      <c r="Y78" s="240"/>
      <c r="Z78" s="240"/>
      <c r="AA78" s="240"/>
      <c r="AB78" s="240"/>
      <c r="AC78" s="240"/>
      <c r="AD78" s="240"/>
      <c r="AE78" s="240"/>
      <c r="AF78" s="240"/>
      <c r="AG78" s="240"/>
      <c r="AH78" s="240"/>
      <c r="AI78" s="240"/>
      <c r="AJ78" s="32" t="s">
        <v>19</v>
      </c>
    </row>
    <row r="79" spans="2:37" ht="12.6" thickBot="1" x14ac:dyDescent="0.3">
      <c r="B79" s="35"/>
      <c r="AI79" s="4"/>
      <c r="AJ79" s="34" t="s">
        <v>202</v>
      </c>
    </row>
    <row r="80" spans="2:37" ht="6.75" customHeight="1" thickTop="1" thickBot="1" x14ac:dyDescent="0.3">
      <c r="B80" s="2"/>
      <c r="C80" s="14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I80" s="13"/>
      <c r="AJ80" s="12"/>
      <c r="AK80" s="33"/>
    </row>
    <row r="81" spans="2:37" ht="13.2" hidden="1" thickTop="1" thickBot="1" x14ac:dyDescent="0.3">
      <c r="B81" s="2"/>
      <c r="C81" s="31" t="s">
        <v>199</v>
      </c>
      <c r="D81" s="30" t="s">
        <v>198</v>
      </c>
      <c r="E81" s="30" t="s">
        <v>197</v>
      </c>
      <c r="F81" s="30" t="s">
        <v>196</v>
      </c>
      <c r="G81" s="30" t="s">
        <v>195</v>
      </c>
      <c r="H81" s="30" t="s">
        <v>194</v>
      </c>
      <c r="I81" s="30" t="s">
        <v>193</v>
      </c>
      <c r="J81" s="30" t="s">
        <v>192</v>
      </c>
      <c r="K81" s="30" t="s">
        <v>191</v>
      </c>
      <c r="L81" s="30" t="s">
        <v>190</v>
      </c>
      <c r="M81" s="30" t="s">
        <v>189</v>
      </c>
      <c r="N81" s="30" t="s">
        <v>188</v>
      </c>
      <c r="O81" s="30" t="s">
        <v>187</v>
      </c>
      <c r="P81" s="30" t="s">
        <v>186</v>
      </c>
      <c r="Q81" s="30" t="s">
        <v>185</v>
      </c>
      <c r="R81" s="30" t="s">
        <v>184</v>
      </c>
      <c r="S81" s="30" t="s">
        <v>183</v>
      </c>
      <c r="T81" s="30" t="s">
        <v>182</v>
      </c>
      <c r="U81" s="30" t="s">
        <v>181</v>
      </c>
      <c r="V81" s="30" t="s">
        <v>180</v>
      </c>
      <c r="W81" s="30" t="s">
        <v>179</v>
      </c>
      <c r="X81" s="30" t="s">
        <v>178</v>
      </c>
      <c r="Y81" s="30" t="s">
        <v>177</v>
      </c>
      <c r="Z81" s="30" t="s">
        <v>176</v>
      </c>
      <c r="AA81" s="30" t="s">
        <v>175</v>
      </c>
      <c r="AB81" s="30" t="s">
        <v>174</v>
      </c>
      <c r="AC81" s="30" t="s">
        <v>173</v>
      </c>
      <c r="AD81" s="30" t="s">
        <v>172</v>
      </c>
      <c r="AE81" s="30" t="s">
        <v>171</v>
      </c>
      <c r="AF81" s="30" t="s">
        <v>170</v>
      </c>
      <c r="AG81" s="30" t="s">
        <v>169</v>
      </c>
      <c r="AH81" s="30" t="s">
        <v>168</v>
      </c>
      <c r="AI81" s="30" t="s">
        <v>167</v>
      </c>
      <c r="AJ81" s="29" t="s">
        <v>166</v>
      </c>
      <c r="AK81" s="2"/>
    </row>
    <row r="82" spans="2:37" ht="19.5" customHeight="1" thickTop="1" thickBot="1" x14ac:dyDescent="0.3">
      <c r="B82" s="28"/>
      <c r="C82" s="27" t="str">
        <f>DADOS!$X$3</f>
        <v>💵 ALUGUEL</v>
      </c>
      <c r="D82" s="26" t="str">
        <f>IF(receitasfixasconsolidadoset[[#This Row],[TOTAL (R$)]]=0,"",IF(OR(receitasfixasconsolidadoset[[#This Row],[TOTAL (R$)]]=LARGE($AJ$82:$AJ$86,1),receitasfixasconsolidadoset[[#This Row],[TOTAL (R$)]]=LARGE($AJ$82:$AJ$86,2)),DADOS!$I$9,""))</f>
        <v/>
      </c>
      <c r="E82" s="94">
        <f>SUMIFS(tabela_registros[VALOR],tabela_registros[MÊS],$AE$1,tabela_registros[DIA],receitasfixasconsolidadoset[[#Headers],[1]],tabela_registros[REGISTRO],DADOS!$N$3,tabela_registros[TIPO],DADOS!$V$3,tabela_registros[CATEGORIA],receitasfixasconsolidadoset[[#This Row],[ATUAL]])</f>
        <v>0</v>
      </c>
      <c r="F82" s="88">
        <f>SUMIFS(tabela_registros[VALOR],tabela_registros[MÊS],$AE$1,tabela_registros[DIA],receitasfixasconsolidadoset[[#Headers],[2]],tabela_registros[REGISTRO],DADOS!$N$3,tabela_registros[TIPO],DADOS!$V$3,tabela_registros[CATEGORIA],receitasfixasconsolidadoset[[#This Row],[ATUAL]])</f>
        <v>0</v>
      </c>
      <c r="G82" s="88">
        <f>SUMIFS(tabela_registros[VALOR],tabela_registros[MÊS],$AE$1,tabela_registros[DIA],receitasfixasconsolidadoset[[#Headers],[3]],tabela_registros[REGISTRO],DADOS!$N$3,tabela_registros[TIPO],DADOS!$V$3,tabela_registros[CATEGORIA],receitasfixasconsolidadoset[[#This Row],[ATUAL]])</f>
        <v>0</v>
      </c>
      <c r="H82" s="88">
        <f>SUMIFS(tabela_registros[VALOR],tabela_registros[MÊS],$AE$1,tabela_registros[DIA],receitasfixasconsolidadoset[[#Headers],[4]],tabela_registros[REGISTRO],DADOS!$N$3,tabela_registros[TIPO],DADOS!$V$3,tabela_registros[CATEGORIA],receitasfixasconsolidadoset[[#This Row],[ATUAL]])</f>
        <v>0</v>
      </c>
      <c r="I82" s="88">
        <f>SUMIFS(tabela_registros[VALOR],tabela_registros[MÊS],$AE$1,tabela_registros[DIA],receitasfixasconsolidadoset[[#Headers],[5]],tabela_registros[REGISTRO],DADOS!$N$3,tabela_registros[TIPO],DADOS!$V$3,tabela_registros[CATEGORIA],receitasfixasconsolidadoset[[#This Row],[ATUAL]])</f>
        <v>0</v>
      </c>
      <c r="J82" s="88">
        <f>SUMIFS(tabela_registros[VALOR],tabela_registros[MÊS],$AE$1,tabela_registros[DIA],receitasfixasconsolidadoset[[#Headers],[6]],tabela_registros[REGISTRO],DADOS!$N$3,tabela_registros[TIPO],DADOS!$V$3,tabela_registros[CATEGORIA],receitasfixasconsolidadoset[[#This Row],[ATUAL]])</f>
        <v>0</v>
      </c>
      <c r="K82" s="88">
        <f>SUMIFS(tabela_registros[VALOR],tabela_registros[MÊS],$AE$1,tabela_registros[DIA],receitasfixasconsolidadoset[[#Headers],[7]],tabela_registros[REGISTRO],DADOS!$N$3,tabela_registros[TIPO],DADOS!$V$3,tabela_registros[CATEGORIA],receitasfixasconsolidadoset[[#This Row],[ATUAL]])</f>
        <v>0</v>
      </c>
      <c r="L82" s="88">
        <f>SUMIFS(tabela_registros[VALOR],tabela_registros[MÊS],$AE$1,tabela_registros[DIA],receitasfixasconsolidadoset[[#Headers],[8]],tabela_registros[REGISTRO],DADOS!$N$3,tabela_registros[TIPO],DADOS!$V$3,tabela_registros[CATEGORIA],receitasfixasconsolidadoset[[#This Row],[ATUAL]])</f>
        <v>0</v>
      </c>
      <c r="M82" s="88">
        <f>SUMIFS(tabela_registros[VALOR],tabela_registros[MÊS],$AE$1,tabela_registros[DIA],receitasfixasconsolidadoset[[#Headers],[9]],tabela_registros[REGISTRO],DADOS!$N$3,tabela_registros[TIPO],DADOS!$V$3,tabela_registros[CATEGORIA],receitasfixasconsolidadoset[[#This Row],[ATUAL]])</f>
        <v>0</v>
      </c>
      <c r="N82" s="88">
        <f>SUMIFS(tabela_registros[VALOR],tabela_registros[MÊS],$AE$1,tabela_registros[DIA],receitasfixasconsolidadoset[[#Headers],[10]],tabela_registros[REGISTRO],DADOS!$N$3,tabela_registros[TIPO],DADOS!$V$3,tabela_registros[CATEGORIA],receitasfixasconsolidadoset[[#This Row],[ATUAL]])</f>
        <v>0</v>
      </c>
      <c r="O82" s="88">
        <f>SUMIFS(tabela_registros[VALOR],tabela_registros[MÊS],$AE$1,tabela_registros[DIA],receitasfixasconsolidadoset[[#Headers],[11]],tabela_registros[REGISTRO],DADOS!$N$3,tabela_registros[TIPO],DADOS!$V$3,tabela_registros[CATEGORIA],receitasfixasconsolidadoset[[#This Row],[ATUAL]])</f>
        <v>0</v>
      </c>
      <c r="P82" s="88">
        <f>SUMIFS(tabela_registros[VALOR],tabela_registros[MÊS],$AE$1,tabela_registros[DIA],receitasfixasconsolidadoset[[#Headers],[12]],tabela_registros[REGISTRO],DADOS!$N$3,tabela_registros[TIPO],DADOS!$V$3,tabela_registros[CATEGORIA],receitasfixasconsolidadoset[[#This Row],[ATUAL]])</f>
        <v>0</v>
      </c>
      <c r="Q82" s="88">
        <f>SUMIFS(tabela_registros[VALOR],tabela_registros[MÊS],$AE$1,tabela_registros[DIA],receitasfixasconsolidadoset[[#Headers],[13]],tabela_registros[REGISTRO],DADOS!$N$3,tabela_registros[TIPO],DADOS!$V$3,tabela_registros[CATEGORIA],receitasfixasconsolidadoset[[#This Row],[ATUAL]])</f>
        <v>0</v>
      </c>
      <c r="R82" s="88">
        <f>SUMIFS(tabela_registros[VALOR],tabela_registros[MÊS],$AE$1,tabela_registros[DIA],receitasfixasconsolidadoset[[#Headers],[14]],tabela_registros[REGISTRO],DADOS!$N$3,tabela_registros[TIPO],DADOS!$V$3,tabela_registros[CATEGORIA],receitasfixasconsolidadoset[[#This Row],[ATUAL]])</f>
        <v>0</v>
      </c>
      <c r="S82" s="88">
        <f>SUMIFS(tabela_registros[VALOR],tabela_registros[MÊS],$AE$1,tabela_registros[DIA],receitasfixasconsolidadoset[[#Headers],[15]],tabela_registros[REGISTRO],DADOS!$N$3,tabela_registros[TIPO],DADOS!$V$3,tabela_registros[CATEGORIA],receitasfixasconsolidadoset[[#This Row],[ATUAL]])</f>
        <v>0</v>
      </c>
      <c r="T82" s="88">
        <f>SUMIFS(tabela_registros[VALOR],tabela_registros[MÊS],$AE$1,tabela_registros[DIA],receitasfixasconsolidadoset[[#Headers],[16]],tabela_registros[REGISTRO],DADOS!$N$3,tabela_registros[TIPO],DADOS!$V$3,tabela_registros[CATEGORIA],receitasfixasconsolidadoset[[#This Row],[ATUAL]])</f>
        <v>0</v>
      </c>
      <c r="U82" s="88">
        <f>SUMIFS(tabela_registros[VALOR],tabela_registros[MÊS],$AE$1,tabela_registros[DIA],receitasfixasconsolidadoset[[#Headers],[17]],tabela_registros[REGISTRO],DADOS!$N$3,tabela_registros[TIPO],DADOS!$V$3,tabela_registros[CATEGORIA],receitasfixasconsolidadoset[[#This Row],[ATUAL]])</f>
        <v>0</v>
      </c>
      <c r="V82" s="88">
        <f>SUMIFS(tabela_registros[VALOR],tabela_registros[MÊS],$AE$1,tabela_registros[DIA],receitasfixasconsolidadoset[[#Headers],[18]],tabela_registros[REGISTRO],DADOS!$N$3,tabela_registros[TIPO],DADOS!$V$3,tabela_registros[CATEGORIA],receitasfixasconsolidadoset[[#This Row],[ATUAL]])</f>
        <v>0</v>
      </c>
      <c r="W82" s="88">
        <f>SUMIFS(tabela_registros[VALOR],tabela_registros[MÊS],$AE$1,tabela_registros[DIA],receitasfixasconsolidadoset[[#Headers],[19]],tabela_registros[REGISTRO],DADOS!$N$3,tabela_registros[TIPO],DADOS!$V$3,tabela_registros[CATEGORIA],receitasfixasconsolidadoset[[#This Row],[ATUAL]])</f>
        <v>0</v>
      </c>
      <c r="X82" s="88">
        <f>SUMIFS(tabela_registros[VALOR],tabela_registros[MÊS],$AE$1,tabela_registros[DIA],receitasfixasconsolidadoset[[#Headers],[20]],tabela_registros[REGISTRO],DADOS!$N$3,tabela_registros[TIPO],DADOS!$V$3,tabela_registros[CATEGORIA],receitasfixasconsolidadoset[[#This Row],[ATUAL]])</f>
        <v>0</v>
      </c>
      <c r="Y82" s="88">
        <f>SUMIFS(tabela_registros[VALOR],tabela_registros[MÊS],$AE$1,tabela_registros[DIA],receitasfixasconsolidadoset[[#Headers],[21]],tabela_registros[REGISTRO],DADOS!$N$3,tabela_registros[TIPO],DADOS!$V$3,tabela_registros[CATEGORIA],receitasfixasconsolidadoset[[#This Row],[ATUAL]])</f>
        <v>0</v>
      </c>
      <c r="Z82" s="88">
        <f>SUMIFS(tabela_registros[VALOR],tabela_registros[MÊS],$AE$1,tabela_registros[DIA],receitasfixasconsolidadoset[[#Headers],[22]],tabela_registros[REGISTRO],DADOS!$N$3,tabela_registros[TIPO],DADOS!$V$3,tabela_registros[CATEGORIA],receitasfixasconsolidadoset[[#This Row],[ATUAL]])</f>
        <v>0</v>
      </c>
      <c r="AA82" s="88">
        <f>SUMIFS(tabela_registros[VALOR],tabela_registros[MÊS],$AE$1,tabela_registros[DIA],receitasfixasconsolidadoset[[#Headers],[23]],tabela_registros[REGISTRO],DADOS!$N$3,tabela_registros[TIPO],DADOS!$V$3,tabela_registros[CATEGORIA],receitasfixasconsolidadoset[[#This Row],[ATUAL]])</f>
        <v>0</v>
      </c>
      <c r="AB82" s="88">
        <f>SUMIFS(tabela_registros[VALOR],tabela_registros[MÊS],$AE$1,tabela_registros[DIA],receitasfixasconsolidadoset[[#Headers],[24]],tabela_registros[REGISTRO],DADOS!$N$3,tabela_registros[TIPO],DADOS!$V$3,tabela_registros[CATEGORIA],receitasfixasconsolidadoset[[#This Row],[ATUAL]])</f>
        <v>0</v>
      </c>
      <c r="AC82" s="88">
        <f>SUMIFS(tabela_registros[VALOR],tabela_registros[MÊS],$AE$1,tabela_registros[DIA],receitasfixasconsolidadoset[[#Headers],[25]],tabela_registros[REGISTRO],DADOS!$N$3,tabela_registros[TIPO],DADOS!$V$3,tabela_registros[CATEGORIA],receitasfixasconsolidadoset[[#This Row],[ATUAL]])</f>
        <v>0</v>
      </c>
      <c r="AD82" s="88">
        <f>SUMIFS(tabela_registros[VALOR],tabela_registros[MÊS],$AE$1,tabela_registros[DIA],receitasfixasconsolidadoset[[#Headers],[26]],tabela_registros[REGISTRO],DADOS!$N$3,tabela_registros[TIPO],DADOS!$V$3,tabela_registros[CATEGORIA],receitasfixasconsolidadoset[[#This Row],[ATUAL]])</f>
        <v>0</v>
      </c>
      <c r="AE82" s="88">
        <f>SUMIFS(tabela_registros[VALOR],tabela_registros[MÊS],$AE$1,tabela_registros[DIA],receitasfixasconsolidadoset[[#Headers],[27]],tabela_registros[REGISTRO],DADOS!$N$3,tabela_registros[TIPO],DADOS!$V$3,tabela_registros[CATEGORIA],receitasfixasconsolidadoset[[#This Row],[ATUAL]])</f>
        <v>0</v>
      </c>
      <c r="AF82" s="88">
        <f>SUMIFS(tabela_registros[VALOR],tabela_registros[MÊS],$AE$1,tabela_registros[DIA],receitasfixasconsolidadoset[[#Headers],[28]],tabela_registros[REGISTRO],DADOS!$N$3,tabela_registros[TIPO],DADOS!$V$3,tabela_registros[CATEGORIA],receitasfixasconsolidadoset[[#This Row],[ATUAL]])</f>
        <v>0</v>
      </c>
      <c r="AG82" s="88">
        <f>SUMIFS(tabela_registros[VALOR],tabela_registros[MÊS],$AE$1,tabela_registros[DIA],receitasfixasconsolidadoset[[#Headers],[29]],tabela_registros[REGISTRO],DADOS!$N$3,tabela_registros[TIPO],DADOS!$V$3,tabela_registros[CATEGORIA],receitasfixasconsolidadoset[[#This Row],[ATUAL]])</f>
        <v>0</v>
      </c>
      <c r="AH82" s="88">
        <f>SUMIFS(tabela_registros[VALOR],tabela_registros[MÊS],$AE$1,tabela_registros[DIA],receitasfixasconsolidadoset[[#Headers],[30]],tabela_registros[REGISTRO],DADOS!$N$3,tabela_registros[TIPO],DADOS!$V$3,tabela_registros[CATEGORIA],receitasfixasconsolidadoset[[#This Row],[ATUAL]])</f>
        <v>0</v>
      </c>
      <c r="AI82" s="100">
        <f>SUMIFS(tabela_registros[VALOR],tabela_registros[MÊS],$AE$1,tabela_registros[DIA],receitasfixasconsolidadoset[[#Headers],[31]],tabela_registros[REGISTRO],DADOS!$N$3,tabela_registros[TIPO],DADOS!$V$3,tabela_registros[CATEGORIA],receitasfixasconsolidadoset[[#This Row],[ATUAL]])</f>
        <v>0</v>
      </c>
      <c r="AJ82" s="97">
        <f>SUM(receitasfixasconsolidadoset[[#This Row],[1]:[31]])</f>
        <v>0</v>
      </c>
      <c r="AK82" s="25"/>
    </row>
    <row r="83" spans="2:37" ht="19.5" customHeight="1" thickTop="1" thickBot="1" x14ac:dyDescent="0.3">
      <c r="B83" s="28"/>
      <c r="C83" s="27" t="str">
        <f>DADOS!$X$4</f>
        <v>💸APOSENTADORIA</v>
      </c>
      <c r="D83" s="26" t="str">
        <f>IF(receitasfixasconsolidadoset[[#This Row],[TOTAL (R$)]]=0,"",IF(OR(receitasfixasconsolidadoset[[#This Row],[TOTAL (R$)]]=LARGE($AJ$82:$AJ$86,1),receitasfixasconsolidadoset[[#This Row],[TOTAL (R$)]]=LARGE($AJ$82:$AJ$86,2)),DADOS!$I$9,""))</f>
        <v/>
      </c>
      <c r="E83" s="96">
        <f>SUMIFS(tabela_registros[VALOR],tabela_registros[MÊS],$AE$1,tabela_registros[DIA],receitasfixasconsolidadoset[[#Headers],[1]],tabela_registros[REGISTRO],DADOS!$N$3,tabela_registros[TIPO],DADOS!$V$3,tabela_registros[CATEGORIA],receitasfixasconsolidadoset[[#This Row],[ATUAL]])</f>
        <v>0</v>
      </c>
      <c r="F83" s="91">
        <f>SUMIFS(tabela_registros[VALOR],tabela_registros[MÊS],$AE$1,tabela_registros[DIA],receitasfixasconsolidadoset[[#Headers],[2]],tabela_registros[REGISTRO],DADOS!$N$3,tabela_registros[TIPO],DADOS!$V$3,tabela_registros[CATEGORIA],receitasfixasconsolidadoset[[#This Row],[ATUAL]])</f>
        <v>0</v>
      </c>
      <c r="G83" s="91">
        <f>SUMIFS(tabela_registros[VALOR],tabela_registros[MÊS],$AE$1,tabela_registros[DIA],receitasfixasconsolidadoset[[#Headers],[3]],tabela_registros[REGISTRO],DADOS!$N$3,tabela_registros[TIPO],DADOS!$V$3,tabela_registros[CATEGORIA],receitasfixasconsolidadoset[[#This Row],[ATUAL]])</f>
        <v>0</v>
      </c>
      <c r="H83" s="91">
        <f>SUMIFS(tabela_registros[VALOR],tabela_registros[MÊS],$AE$1,tabela_registros[DIA],receitasfixasconsolidadoset[[#Headers],[4]],tabela_registros[REGISTRO],DADOS!$N$3,tabela_registros[TIPO],DADOS!$V$3,tabela_registros[CATEGORIA],receitasfixasconsolidadoset[[#This Row],[ATUAL]])</f>
        <v>0</v>
      </c>
      <c r="I83" s="91">
        <f>SUMIFS(tabela_registros[VALOR],tabela_registros[MÊS],$AE$1,tabela_registros[DIA],receitasfixasconsolidadoset[[#Headers],[5]],tabela_registros[REGISTRO],DADOS!$N$3,tabela_registros[TIPO],DADOS!$V$3,tabela_registros[CATEGORIA],receitasfixasconsolidadoset[[#This Row],[ATUAL]])</f>
        <v>0</v>
      </c>
      <c r="J83" s="91">
        <f>SUMIFS(tabela_registros[VALOR],tabela_registros[MÊS],$AE$1,tabela_registros[DIA],receitasfixasconsolidadoset[[#Headers],[6]],tabela_registros[REGISTRO],DADOS!$N$3,tabela_registros[TIPO],DADOS!$V$3,tabela_registros[CATEGORIA],receitasfixasconsolidadoset[[#This Row],[ATUAL]])</f>
        <v>0</v>
      </c>
      <c r="K83" s="91">
        <f>SUMIFS(tabela_registros[VALOR],tabela_registros[MÊS],$AE$1,tabela_registros[DIA],receitasfixasconsolidadoset[[#Headers],[7]],tabela_registros[REGISTRO],DADOS!$N$3,tabela_registros[TIPO],DADOS!$V$3,tabela_registros[CATEGORIA],receitasfixasconsolidadoset[[#This Row],[ATUAL]])</f>
        <v>0</v>
      </c>
      <c r="L83" s="91">
        <f>SUMIFS(tabela_registros[VALOR],tabela_registros[MÊS],$AE$1,tabela_registros[DIA],receitasfixasconsolidadoset[[#Headers],[8]],tabela_registros[REGISTRO],DADOS!$N$3,tabela_registros[TIPO],DADOS!$V$3,tabela_registros[CATEGORIA],receitasfixasconsolidadoset[[#This Row],[ATUAL]])</f>
        <v>0</v>
      </c>
      <c r="M83" s="91">
        <f>SUMIFS(tabela_registros[VALOR],tabela_registros[MÊS],$AE$1,tabela_registros[DIA],receitasfixasconsolidadoset[[#Headers],[9]],tabela_registros[REGISTRO],DADOS!$N$3,tabela_registros[TIPO],DADOS!$V$3,tabela_registros[CATEGORIA],receitasfixasconsolidadoset[[#This Row],[ATUAL]])</f>
        <v>0</v>
      </c>
      <c r="N83" s="91">
        <f>SUMIFS(tabela_registros[VALOR],tabela_registros[MÊS],$AE$1,tabela_registros[DIA],receitasfixasconsolidadoset[[#Headers],[10]],tabela_registros[REGISTRO],DADOS!$N$3,tabela_registros[TIPO],DADOS!$V$3,tabela_registros[CATEGORIA],receitasfixasconsolidadoset[[#This Row],[ATUAL]])</f>
        <v>0</v>
      </c>
      <c r="O83" s="91">
        <f>SUMIFS(tabela_registros[VALOR],tabela_registros[MÊS],$AE$1,tabela_registros[DIA],receitasfixasconsolidadoset[[#Headers],[11]],tabela_registros[REGISTRO],DADOS!$N$3,tabela_registros[TIPO],DADOS!$V$3,tabela_registros[CATEGORIA],receitasfixasconsolidadoset[[#This Row],[ATUAL]])</f>
        <v>0</v>
      </c>
      <c r="P83" s="91">
        <f>SUMIFS(tabela_registros[VALOR],tabela_registros[MÊS],$AE$1,tabela_registros[DIA],receitasfixasconsolidadoset[[#Headers],[12]],tabela_registros[REGISTRO],DADOS!$N$3,tabela_registros[TIPO],DADOS!$V$3,tabela_registros[CATEGORIA],receitasfixasconsolidadoset[[#This Row],[ATUAL]])</f>
        <v>0</v>
      </c>
      <c r="Q83" s="91">
        <f>SUMIFS(tabela_registros[VALOR],tabela_registros[MÊS],$AE$1,tabela_registros[DIA],receitasfixasconsolidadoset[[#Headers],[13]],tabela_registros[REGISTRO],DADOS!$N$3,tabela_registros[TIPO],DADOS!$V$3,tabela_registros[CATEGORIA],receitasfixasconsolidadoset[[#This Row],[ATUAL]])</f>
        <v>0</v>
      </c>
      <c r="R83" s="91">
        <f>SUMIFS(tabela_registros[VALOR],tabela_registros[MÊS],$AE$1,tabela_registros[DIA],receitasfixasconsolidadoset[[#Headers],[14]],tabela_registros[REGISTRO],DADOS!$N$3,tabela_registros[TIPO],DADOS!$V$3,tabela_registros[CATEGORIA],receitasfixasconsolidadoset[[#This Row],[ATUAL]])</f>
        <v>0</v>
      </c>
      <c r="S83" s="91">
        <f>SUMIFS(tabela_registros[VALOR],tabela_registros[MÊS],$AE$1,tabela_registros[DIA],receitasfixasconsolidadoset[[#Headers],[15]],tabela_registros[REGISTRO],DADOS!$N$3,tabela_registros[TIPO],DADOS!$V$3,tabela_registros[CATEGORIA],receitasfixasconsolidadoset[[#This Row],[ATUAL]])</f>
        <v>0</v>
      </c>
      <c r="T83" s="91">
        <f>SUMIFS(tabela_registros[VALOR],tabela_registros[MÊS],$AE$1,tabela_registros[DIA],receitasfixasconsolidadoset[[#Headers],[16]],tabela_registros[REGISTRO],DADOS!$N$3,tabela_registros[TIPO],DADOS!$V$3,tabela_registros[CATEGORIA],receitasfixasconsolidadoset[[#This Row],[ATUAL]])</f>
        <v>0</v>
      </c>
      <c r="U83" s="91">
        <f>SUMIFS(tabela_registros[VALOR],tabela_registros[MÊS],$AE$1,tabela_registros[DIA],receitasfixasconsolidadoset[[#Headers],[17]],tabela_registros[REGISTRO],DADOS!$N$3,tabela_registros[TIPO],DADOS!$V$3,tabela_registros[CATEGORIA],receitasfixasconsolidadoset[[#This Row],[ATUAL]])</f>
        <v>0</v>
      </c>
      <c r="V83" s="91">
        <f>SUMIFS(tabela_registros[VALOR],tabela_registros[MÊS],$AE$1,tabela_registros[DIA],receitasfixasconsolidadoset[[#Headers],[18]],tabela_registros[REGISTRO],DADOS!$N$3,tabela_registros[TIPO],DADOS!$V$3,tabela_registros[CATEGORIA],receitasfixasconsolidadoset[[#This Row],[ATUAL]])</f>
        <v>0</v>
      </c>
      <c r="W83" s="91">
        <f>SUMIFS(tabela_registros[VALOR],tabela_registros[MÊS],$AE$1,tabela_registros[DIA],receitasfixasconsolidadoset[[#Headers],[19]],tabela_registros[REGISTRO],DADOS!$N$3,tabela_registros[TIPO],DADOS!$V$3,tabela_registros[CATEGORIA],receitasfixasconsolidadoset[[#This Row],[ATUAL]])</f>
        <v>0</v>
      </c>
      <c r="X83" s="91">
        <f>SUMIFS(tabela_registros[VALOR],tabela_registros[MÊS],$AE$1,tabela_registros[DIA],receitasfixasconsolidadoset[[#Headers],[20]],tabela_registros[REGISTRO],DADOS!$N$3,tabela_registros[TIPO],DADOS!$V$3,tabela_registros[CATEGORIA],receitasfixasconsolidadoset[[#This Row],[ATUAL]])</f>
        <v>0</v>
      </c>
      <c r="Y83" s="91">
        <f>SUMIFS(tabela_registros[VALOR],tabela_registros[MÊS],$AE$1,tabela_registros[DIA],receitasfixasconsolidadoset[[#Headers],[21]],tabela_registros[REGISTRO],DADOS!$N$3,tabela_registros[TIPO],DADOS!$V$3,tabela_registros[CATEGORIA],receitasfixasconsolidadoset[[#This Row],[ATUAL]])</f>
        <v>0</v>
      </c>
      <c r="Z83" s="91">
        <f>SUMIFS(tabela_registros[VALOR],tabela_registros[MÊS],$AE$1,tabela_registros[DIA],receitasfixasconsolidadoset[[#Headers],[22]],tabela_registros[REGISTRO],DADOS!$N$3,tabela_registros[TIPO],DADOS!$V$3,tabela_registros[CATEGORIA],receitasfixasconsolidadoset[[#This Row],[ATUAL]])</f>
        <v>0</v>
      </c>
      <c r="AA83" s="91">
        <f>SUMIFS(tabela_registros[VALOR],tabela_registros[MÊS],$AE$1,tabela_registros[DIA],receitasfixasconsolidadoset[[#Headers],[23]],tabela_registros[REGISTRO],DADOS!$N$3,tabela_registros[TIPO],DADOS!$V$3,tabela_registros[CATEGORIA],receitasfixasconsolidadoset[[#This Row],[ATUAL]])</f>
        <v>0</v>
      </c>
      <c r="AB83" s="91">
        <f>SUMIFS(tabela_registros[VALOR],tabela_registros[MÊS],$AE$1,tabela_registros[DIA],receitasfixasconsolidadoset[[#Headers],[24]],tabela_registros[REGISTRO],DADOS!$N$3,tabela_registros[TIPO],DADOS!$V$3,tabela_registros[CATEGORIA],receitasfixasconsolidadoset[[#This Row],[ATUAL]])</f>
        <v>0</v>
      </c>
      <c r="AC83" s="91">
        <f>SUMIFS(tabela_registros[VALOR],tabela_registros[MÊS],$AE$1,tabela_registros[DIA],receitasfixasconsolidadoset[[#Headers],[25]],tabela_registros[REGISTRO],DADOS!$N$3,tabela_registros[TIPO],DADOS!$V$3,tabela_registros[CATEGORIA],receitasfixasconsolidadoset[[#This Row],[ATUAL]])</f>
        <v>0</v>
      </c>
      <c r="AD83" s="91">
        <f>SUMIFS(tabela_registros[VALOR],tabela_registros[MÊS],$AE$1,tabela_registros[DIA],receitasfixasconsolidadoset[[#Headers],[26]],tabela_registros[REGISTRO],DADOS!$N$3,tabela_registros[TIPO],DADOS!$V$3,tabela_registros[CATEGORIA],receitasfixasconsolidadoset[[#This Row],[ATUAL]])</f>
        <v>0</v>
      </c>
      <c r="AE83" s="91">
        <f>SUMIFS(tabela_registros[VALOR],tabela_registros[MÊS],$AE$1,tabela_registros[DIA],receitasfixasconsolidadoset[[#Headers],[27]],tabela_registros[REGISTRO],DADOS!$N$3,tabela_registros[TIPO],DADOS!$V$3,tabela_registros[CATEGORIA],receitasfixasconsolidadoset[[#This Row],[ATUAL]])</f>
        <v>0</v>
      </c>
      <c r="AF83" s="91">
        <f>SUMIFS(tabela_registros[VALOR],tabela_registros[MÊS],$AE$1,tabela_registros[DIA],receitasfixasconsolidadoset[[#Headers],[28]],tabela_registros[REGISTRO],DADOS!$N$3,tabela_registros[TIPO],DADOS!$V$3,tabela_registros[CATEGORIA],receitasfixasconsolidadoset[[#This Row],[ATUAL]])</f>
        <v>0</v>
      </c>
      <c r="AG83" s="91">
        <f>SUMIFS(tabela_registros[VALOR],tabela_registros[MÊS],$AE$1,tabela_registros[DIA],receitasfixasconsolidadoset[[#Headers],[29]],tabela_registros[REGISTRO],DADOS!$N$3,tabela_registros[TIPO],DADOS!$V$3,tabela_registros[CATEGORIA],receitasfixasconsolidadoset[[#This Row],[ATUAL]])</f>
        <v>0</v>
      </c>
      <c r="AH83" s="91">
        <f>SUMIFS(tabela_registros[VALOR],tabela_registros[MÊS],$AE$1,tabela_registros[DIA],receitasfixasconsolidadoset[[#Headers],[30]],tabela_registros[REGISTRO],DADOS!$N$3,tabela_registros[TIPO],DADOS!$V$3,tabela_registros[CATEGORIA],receitasfixasconsolidadoset[[#This Row],[ATUAL]])</f>
        <v>0</v>
      </c>
      <c r="AI83" s="101">
        <f>SUMIFS(tabela_registros[VALOR],tabela_registros[MÊS],$AE$1,tabela_registros[DIA],receitasfixasconsolidadoset[[#Headers],[31]],tabela_registros[REGISTRO],DADOS!$N$3,tabela_registros[TIPO],DADOS!$V$3,tabela_registros[CATEGORIA],receitasfixasconsolidadoset[[#This Row],[ATUAL]])</f>
        <v>0</v>
      </c>
      <c r="AJ83" s="97">
        <f>SUM(receitasfixasconsolidadoset[[#This Row],[1]:[31]])</f>
        <v>0</v>
      </c>
      <c r="AK83" s="25"/>
    </row>
    <row r="84" spans="2:37" ht="19.5" customHeight="1" thickTop="1" thickBot="1" x14ac:dyDescent="0.3">
      <c r="B84" s="28"/>
      <c r="C84" s="27" t="str">
        <f>DADOS!$X$5</f>
        <v>🎀 MESADA</v>
      </c>
      <c r="D84" s="26" t="str">
        <f>IF(receitasfixasconsolidadoset[[#This Row],[TOTAL (R$)]]=0,"",IF(OR(receitasfixasconsolidadoset[[#This Row],[TOTAL (R$)]]=LARGE($AJ$82:$AJ$86,1),receitasfixasconsolidadoset[[#This Row],[TOTAL (R$)]]=LARGE($AJ$82:$AJ$86,2)),DADOS!$I$9,""))</f>
        <v/>
      </c>
      <c r="E84" s="96">
        <f>SUMIFS(tabela_registros[VALOR],tabela_registros[MÊS],$AE$1,tabela_registros[DIA],receitasfixasconsolidadoset[[#Headers],[1]],tabela_registros[REGISTRO],DADOS!$N$3,tabela_registros[TIPO],DADOS!$V$3,tabela_registros[CATEGORIA],receitasfixasconsolidadoset[[#This Row],[ATUAL]])</f>
        <v>0</v>
      </c>
      <c r="F84" s="91">
        <f>SUMIFS(tabela_registros[VALOR],tabela_registros[MÊS],$AE$1,tabela_registros[DIA],receitasfixasconsolidadoset[[#Headers],[2]],tabela_registros[REGISTRO],DADOS!$N$3,tabela_registros[TIPO],DADOS!$V$3,tabela_registros[CATEGORIA],receitasfixasconsolidadoset[[#This Row],[ATUAL]])</f>
        <v>0</v>
      </c>
      <c r="G84" s="91">
        <f>SUMIFS(tabela_registros[VALOR],tabela_registros[MÊS],$AE$1,tabela_registros[DIA],receitasfixasconsolidadoset[[#Headers],[3]],tabela_registros[REGISTRO],DADOS!$N$3,tabela_registros[TIPO],DADOS!$V$3,tabela_registros[CATEGORIA],receitasfixasconsolidadoset[[#This Row],[ATUAL]])</f>
        <v>0</v>
      </c>
      <c r="H84" s="91">
        <f>SUMIFS(tabela_registros[VALOR],tabela_registros[MÊS],$AE$1,tabela_registros[DIA],receitasfixasconsolidadoset[[#Headers],[4]],tabela_registros[REGISTRO],DADOS!$N$3,tabela_registros[TIPO],DADOS!$V$3,tabela_registros[CATEGORIA],receitasfixasconsolidadoset[[#This Row],[ATUAL]])</f>
        <v>0</v>
      </c>
      <c r="I84" s="91">
        <f>SUMIFS(tabela_registros[VALOR],tabela_registros[MÊS],$AE$1,tabela_registros[DIA],receitasfixasconsolidadoset[[#Headers],[5]],tabela_registros[REGISTRO],DADOS!$N$3,tabela_registros[TIPO],DADOS!$V$3,tabela_registros[CATEGORIA],receitasfixasconsolidadoset[[#This Row],[ATUAL]])</f>
        <v>0</v>
      </c>
      <c r="J84" s="91">
        <f>SUMIFS(tabela_registros[VALOR],tabela_registros[MÊS],$AE$1,tabela_registros[DIA],receitasfixasconsolidadoset[[#Headers],[6]],tabela_registros[REGISTRO],DADOS!$N$3,tabela_registros[TIPO],DADOS!$V$3,tabela_registros[CATEGORIA],receitasfixasconsolidadoset[[#This Row],[ATUAL]])</f>
        <v>0</v>
      </c>
      <c r="K84" s="91">
        <f>SUMIFS(tabela_registros[VALOR],tabela_registros[MÊS],$AE$1,tabela_registros[DIA],receitasfixasconsolidadoset[[#Headers],[7]],tabela_registros[REGISTRO],DADOS!$N$3,tabela_registros[TIPO],DADOS!$V$3,tabela_registros[CATEGORIA],receitasfixasconsolidadoset[[#This Row],[ATUAL]])</f>
        <v>0</v>
      </c>
      <c r="L84" s="91">
        <f>SUMIFS(tabela_registros[VALOR],tabela_registros[MÊS],$AE$1,tabela_registros[DIA],receitasfixasconsolidadoset[[#Headers],[8]],tabela_registros[REGISTRO],DADOS!$N$3,tabela_registros[TIPO],DADOS!$V$3,tabela_registros[CATEGORIA],receitasfixasconsolidadoset[[#This Row],[ATUAL]])</f>
        <v>0</v>
      </c>
      <c r="M84" s="91">
        <f>SUMIFS(tabela_registros[VALOR],tabela_registros[MÊS],$AE$1,tabela_registros[DIA],receitasfixasconsolidadoset[[#Headers],[9]],tabela_registros[REGISTRO],DADOS!$N$3,tabela_registros[TIPO],DADOS!$V$3,tabela_registros[CATEGORIA],receitasfixasconsolidadoset[[#This Row],[ATUAL]])</f>
        <v>0</v>
      </c>
      <c r="N84" s="91">
        <f>SUMIFS(tabela_registros[VALOR],tabela_registros[MÊS],$AE$1,tabela_registros[DIA],receitasfixasconsolidadoset[[#Headers],[10]],tabela_registros[REGISTRO],DADOS!$N$3,tabela_registros[TIPO],DADOS!$V$3,tabela_registros[CATEGORIA],receitasfixasconsolidadoset[[#This Row],[ATUAL]])</f>
        <v>0</v>
      </c>
      <c r="O84" s="91">
        <f>SUMIFS(tabela_registros[VALOR],tabela_registros[MÊS],$AE$1,tabela_registros[DIA],receitasfixasconsolidadoset[[#Headers],[11]],tabela_registros[REGISTRO],DADOS!$N$3,tabela_registros[TIPO],DADOS!$V$3,tabela_registros[CATEGORIA],receitasfixasconsolidadoset[[#This Row],[ATUAL]])</f>
        <v>0</v>
      </c>
      <c r="P84" s="91">
        <f>SUMIFS(tabela_registros[VALOR],tabela_registros[MÊS],$AE$1,tabela_registros[DIA],receitasfixasconsolidadoset[[#Headers],[12]],tabela_registros[REGISTRO],DADOS!$N$3,tabela_registros[TIPO],DADOS!$V$3,tabela_registros[CATEGORIA],receitasfixasconsolidadoset[[#This Row],[ATUAL]])</f>
        <v>0</v>
      </c>
      <c r="Q84" s="91">
        <f>SUMIFS(tabela_registros[VALOR],tabela_registros[MÊS],$AE$1,tabela_registros[DIA],receitasfixasconsolidadoset[[#Headers],[13]],tabela_registros[REGISTRO],DADOS!$N$3,tabela_registros[TIPO],DADOS!$V$3,tabela_registros[CATEGORIA],receitasfixasconsolidadoset[[#This Row],[ATUAL]])</f>
        <v>0</v>
      </c>
      <c r="R84" s="91">
        <f>SUMIFS(tabela_registros[VALOR],tabela_registros[MÊS],$AE$1,tabela_registros[DIA],receitasfixasconsolidadoset[[#Headers],[14]],tabela_registros[REGISTRO],DADOS!$N$3,tabela_registros[TIPO],DADOS!$V$3,tabela_registros[CATEGORIA],receitasfixasconsolidadoset[[#This Row],[ATUAL]])</f>
        <v>0</v>
      </c>
      <c r="S84" s="91">
        <f>SUMIFS(tabela_registros[VALOR],tabela_registros[MÊS],$AE$1,tabela_registros[DIA],receitasfixasconsolidadoset[[#Headers],[15]],tabela_registros[REGISTRO],DADOS!$N$3,tabela_registros[TIPO],DADOS!$V$3,tabela_registros[CATEGORIA],receitasfixasconsolidadoset[[#This Row],[ATUAL]])</f>
        <v>0</v>
      </c>
      <c r="T84" s="91">
        <f>SUMIFS(tabela_registros[VALOR],tabela_registros[MÊS],$AE$1,tabela_registros[DIA],receitasfixasconsolidadoset[[#Headers],[16]],tabela_registros[REGISTRO],DADOS!$N$3,tabela_registros[TIPO],DADOS!$V$3,tabela_registros[CATEGORIA],receitasfixasconsolidadoset[[#This Row],[ATUAL]])</f>
        <v>0</v>
      </c>
      <c r="U84" s="91">
        <f>SUMIFS(tabela_registros[VALOR],tabela_registros[MÊS],$AE$1,tabela_registros[DIA],receitasfixasconsolidadoset[[#Headers],[17]],tabela_registros[REGISTRO],DADOS!$N$3,tabela_registros[TIPO],DADOS!$V$3,tabela_registros[CATEGORIA],receitasfixasconsolidadoset[[#This Row],[ATUAL]])</f>
        <v>0</v>
      </c>
      <c r="V84" s="91">
        <f>SUMIFS(tabela_registros[VALOR],tabela_registros[MÊS],$AE$1,tabela_registros[DIA],receitasfixasconsolidadoset[[#Headers],[18]],tabela_registros[REGISTRO],DADOS!$N$3,tabela_registros[TIPO],DADOS!$V$3,tabela_registros[CATEGORIA],receitasfixasconsolidadoset[[#This Row],[ATUAL]])</f>
        <v>0</v>
      </c>
      <c r="W84" s="91">
        <f>SUMIFS(tabela_registros[VALOR],tabela_registros[MÊS],$AE$1,tabela_registros[DIA],receitasfixasconsolidadoset[[#Headers],[19]],tabela_registros[REGISTRO],DADOS!$N$3,tabela_registros[TIPO],DADOS!$V$3,tabela_registros[CATEGORIA],receitasfixasconsolidadoset[[#This Row],[ATUAL]])</f>
        <v>0</v>
      </c>
      <c r="X84" s="91">
        <f>SUMIFS(tabela_registros[VALOR],tabela_registros[MÊS],$AE$1,tabela_registros[DIA],receitasfixasconsolidadoset[[#Headers],[20]],tabela_registros[REGISTRO],DADOS!$N$3,tabela_registros[TIPO],DADOS!$V$3,tabela_registros[CATEGORIA],receitasfixasconsolidadoset[[#This Row],[ATUAL]])</f>
        <v>0</v>
      </c>
      <c r="Y84" s="91">
        <f>SUMIFS(tabela_registros[VALOR],tabela_registros[MÊS],$AE$1,tabela_registros[DIA],receitasfixasconsolidadoset[[#Headers],[21]],tabela_registros[REGISTRO],DADOS!$N$3,tabela_registros[TIPO],DADOS!$V$3,tabela_registros[CATEGORIA],receitasfixasconsolidadoset[[#This Row],[ATUAL]])</f>
        <v>0</v>
      </c>
      <c r="Z84" s="91">
        <f>SUMIFS(tabela_registros[VALOR],tabela_registros[MÊS],$AE$1,tabela_registros[DIA],receitasfixasconsolidadoset[[#Headers],[22]],tabela_registros[REGISTRO],DADOS!$N$3,tabela_registros[TIPO],DADOS!$V$3,tabela_registros[CATEGORIA],receitasfixasconsolidadoset[[#This Row],[ATUAL]])</f>
        <v>0</v>
      </c>
      <c r="AA84" s="91">
        <f>SUMIFS(tabela_registros[VALOR],tabela_registros[MÊS],$AE$1,tabela_registros[DIA],receitasfixasconsolidadoset[[#Headers],[23]],tabela_registros[REGISTRO],DADOS!$N$3,tabela_registros[TIPO],DADOS!$V$3,tabela_registros[CATEGORIA],receitasfixasconsolidadoset[[#This Row],[ATUAL]])</f>
        <v>0</v>
      </c>
      <c r="AB84" s="91">
        <f>SUMIFS(tabela_registros[VALOR],tabela_registros[MÊS],$AE$1,tabela_registros[DIA],receitasfixasconsolidadoset[[#Headers],[24]],tabela_registros[REGISTRO],DADOS!$N$3,tabela_registros[TIPO],DADOS!$V$3,tabela_registros[CATEGORIA],receitasfixasconsolidadoset[[#This Row],[ATUAL]])</f>
        <v>0</v>
      </c>
      <c r="AC84" s="91">
        <f>SUMIFS(tabela_registros[VALOR],tabela_registros[MÊS],$AE$1,tabela_registros[DIA],receitasfixasconsolidadoset[[#Headers],[25]],tabela_registros[REGISTRO],DADOS!$N$3,tabela_registros[TIPO],DADOS!$V$3,tabela_registros[CATEGORIA],receitasfixasconsolidadoset[[#This Row],[ATUAL]])</f>
        <v>0</v>
      </c>
      <c r="AD84" s="91">
        <f>SUMIFS(tabela_registros[VALOR],tabela_registros[MÊS],$AE$1,tabela_registros[DIA],receitasfixasconsolidadoset[[#Headers],[26]],tabela_registros[REGISTRO],DADOS!$N$3,tabela_registros[TIPO],DADOS!$V$3,tabela_registros[CATEGORIA],receitasfixasconsolidadoset[[#This Row],[ATUAL]])</f>
        <v>0</v>
      </c>
      <c r="AE84" s="91">
        <f>SUMIFS(tabela_registros[VALOR],tabela_registros[MÊS],$AE$1,tabela_registros[DIA],receitasfixasconsolidadoset[[#Headers],[27]],tabela_registros[REGISTRO],DADOS!$N$3,tabela_registros[TIPO],DADOS!$V$3,tabela_registros[CATEGORIA],receitasfixasconsolidadoset[[#This Row],[ATUAL]])</f>
        <v>0</v>
      </c>
      <c r="AF84" s="91">
        <f>SUMIFS(tabela_registros[VALOR],tabela_registros[MÊS],$AE$1,tabela_registros[DIA],receitasfixasconsolidadoset[[#Headers],[28]],tabela_registros[REGISTRO],DADOS!$N$3,tabela_registros[TIPO],DADOS!$V$3,tabela_registros[CATEGORIA],receitasfixasconsolidadoset[[#This Row],[ATUAL]])</f>
        <v>0</v>
      </c>
      <c r="AG84" s="91">
        <f>SUMIFS(tabela_registros[VALOR],tabela_registros[MÊS],$AE$1,tabela_registros[DIA],receitasfixasconsolidadoset[[#Headers],[29]],tabela_registros[REGISTRO],DADOS!$N$3,tabela_registros[TIPO],DADOS!$V$3,tabela_registros[CATEGORIA],receitasfixasconsolidadoset[[#This Row],[ATUAL]])</f>
        <v>0</v>
      </c>
      <c r="AH84" s="91">
        <f>SUMIFS(tabela_registros[VALOR],tabela_registros[MÊS],$AE$1,tabela_registros[DIA],receitasfixasconsolidadoset[[#Headers],[30]],tabela_registros[REGISTRO],DADOS!$N$3,tabela_registros[TIPO],DADOS!$V$3,tabela_registros[CATEGORIA],receitasfixasconsolidadoset[[#This Row],[ATUAL]])</f>
        <v>0</v>
      </c>
      <c r="AI84" s="101">
        <f>SUMIFS(tabela_registros[VALOR],tabela_registros[MÊS],$AE$1,tabela_registros[DIA],receitasfixasconsolidadoset[[#Headers],[31]],tabela_registros[REGISTRO],DADOS!$N$3,tabela_registros[TIPO],DADOS!$V$3,tabela_registros[CATEGORIA],receitasfixasconsolidadoset[[#This Row],[ATUAL]])</f>
        <v>0</v>
      </c>
      <c r="AJ84" s="97">
        <f>SUM(receitasfixasconsolidadoset[[#This Row],[1]:[31]])</f>
        <v>0</v>
      </c>
      <c r="AK84" s="25"/>
    </row>
    <row r="85" spans="2:37" ht="19.5" customHeight="1" thickTop="1" thickBot="1" x14ac:dyDescent="0.3">
      <c r="B85" s="28"/>
      <c r="C85" s="27" t="str">
        <f>DADOS!$X$6</f>
        <v>💰 SALÁRIO</v>
      </c>
      <c r="D85" s="26" t="str">
        <f>IF(receitasfixasconsolidadoset[[#This Row],[TOTAL (R$)]]=0,"",IF(OR(receitasfixasconsolidadoset[[#This Row],[TOTAL (R$)]]=LARGE($AJ$82:$AJ$86,1),receitasfixasconsolidadoset[[#This Row],[TOTAL (R$)]]=LARGE($AJ$82:$AJ$86,2)),DADOS!$I$9,""))</f>
        <v/>
      </c>
      <c r="E85" s="96">
        <f>SUMIFS(tabela_registros[VALOR],tabela_registros[MÊS],$AE$1,tabela_registros[DIA],receitasfixasconsolidadoset[[#Headers],[1]],tabela_registros[REGISTRO],DADOS!$N$3,tabela_registros[TIPO],DADOS!$V$3,tabela_registros[CATEGORIA],receitasfixasconsolidadoset[[#This Row],[ATUAL]])</f>
        <v>0</v>
      </c>
      <c r="F85" s="91">
        <f>SUMIFS(tabela_registros[VALOR],tabela_registros[MÊS],$AE$1,tabela_registros[DIA],receitasfixasconsolidadoset[[#Headers],[2]],tabela_registros[REGISTRO],DADOS!$N$3,tabela_registros[TIPO],DADOS!$V$3,tabela_registros[CATEGORIA],receitasfixasconsolidadoset[[#This Row],[ATUAL]])</f>
        <v>0</v>
      </c>
      <c r="G85" s="91">
        <f>SUMIFS(tabela_registros[VALOR],tabela_registros[MÊS],$AE$1,tabela_registros[DIA],receitasfixasconsolidadoset[[#Headers],[3]],tabela_registros[REGISTRO],DADOS!$N$3,tabela_registros[TIPO],DADOS!$V$3,tabela_registros[CATEGORIA],receitasfixasconsolidadoset[[#This Row],[ATUAL]])</f>
        <v>0</v>
      </c>
      <c r="H85" s="91">
        <f>SUMIFS(tabela_registros[VALOR],tabela_registros[MÊS],$AE$1,tabela_registros[DIA],receitasfixasconsolidadoset[[#Headers],[4]],tabela_registros[REGISTRO],DADOS!$N$3,tabela_registros[TIPO],DADOS!$V$3,tabela_registros[CATEGORIA],receitasfixasconsolidadoset[[#This Row],[ATUAL]])</f>
        <v>0</v>
      </c>
      <c r="I85" s="91">
        <f>SUMIFS(tabela_registros[VALOR],tabela_registros[MÊS],$AE$1,tabela_registros[DIA],receitasfixasconsolidadoset[[#Headers],[5]],tabela_registros[REGISTRO],DADOS!$N$3,tabela_registros[TIPO],DADOS!$V$3,tabela_registros[CATEGORIA],receitasfixasconsolidadoset[[#This Row],[ATUAL]])</f>
        <v>0</v>
      </c>
      <c r="J85" s="91">
        <f>SUMIFS(tabela_registros[VALOR],tabela_registros[MÊS],$AE$1,tabela_registros[DIA],receitasfixasconsolidadoset[[#Headers],[6]],tabela_registros[REGISTRO],DADOS!$N$3,tabela_registros[TIPO],DADOS!$V$3,tabela_registros[CATEGORIA],receitasfixasconsolidadoset[[#This Row],[ATUAL]])</f>
        <v>0</v>
      </c>
      <c r="K85" s="91">
        <f>SUMIFS(tabela_registros[VALOR],tabela_registros[MÊS],$AE$1,tabela_registros[DIA],receitasfixasconsolidadoset[[#Headers],[7]],tabela_registros[REGISTRO],DADOS!$N$3,tabela_registros[TIPO],DADOS!$V$3,tabela_registros[CATEGORIA],receitasfixasconsolidadoset[[#This Row],[ATUAL]])</f>
        <v>0</v>
      </c>
      <c r="L85" s="91">
        <f>SUMIFS(tabela_registros[VALOR],tabela_registros[MÊS],$AE$1,tabela_registros[DIA],receitasfixasconsolidadoset[[#Headers],[8]],tabela_registros[REGISTRO],DADOS!$N$3,tabela_registros[TIPO],DADOS!$V$3,tabela_registros[CATEGORIA],receitasfixasconsolidadoset[[#This Row],[ATUAL]])</f>
        <v>0</v>
      </c>
      <c r="M85" s="91">
        <f>SUMIFS(tabela_registros[VALOR],tabela_registros[MÊS],$AE$1,tabela_registros[DIA],receitasfixasconsolidadoset[[#Headers],[9]],tabela_registros[REGISTRO],DADOS!$N$3,tabela_registros[TIPO],DADOS!$V$3,tabela_registros[CATEGORIA],receitasfixasconsolidadoset[[#This Row],[ATUAL]])</f>
        <v>0</v>
      </c>
      <c r="N85" s="91">
        <f>SUMIFS(tabela_registros[VALOR],tabela_registros[MÊS],$AE$1,tabela_registros[DIA],receitasfixasconsolidadoset[[#Headers],[10]],tabela_registros[REGISTRO],DADOS!$N$3,tabela_registros[TIPO],DADOS!$V$3,tabela_registros[CATEGORIA],receitasfixasconsolidadoset[[#This Row],[ATUAL]])</f>
        <v>0</v>
      </c>
      <c r="O85" s="91">
        <f>SUMIFS(tabela_registros[VALOR],tabela_registros[MÊS],$AE$1,tabela_registros[DIA],receitasfixasconsolidadoset[[#Headers],[11]],tabela_registros[REGISTRO],DADOS!$N$3,tabela_registros[TIPO],DADOS!$V$3,tabela_registros[CATEGORIA],receitasfixasconsolidadoset[[#This Row],[ATUAL]])</f>
        <v>0</v>
      </c>
      <c r="P85" s="91">
        <f>SUMIFS(tabela_registros[VALOR],tabela_registros[MÊS],$AE$1,tabela_registros[DIA],receitasfixasconsolidadoset[[#Headers],[12]],tabela_registros[REGISTRO],DADOS!$N$3,tabela_registros[TIPO],DADOS!$V$3,tabela_registros[CATEGORIA],receitasfixasconsolidadoset[[#This Row],[ATUAL]])</f>
        <v>0</v>
      </c>
      <c r="Q85" s="91">
        <f>SUMIFS(tabela_registros[VALOR],tabela_registros[MÊS],$AE$1,tabela_registros[DIA],receitasfixasconsolidadoset[[#Headers],[13]],tabela_registros[REGISTRO],DADOS!$N$3,tabela_registros[TIPO],DADOS!$V$3,tabela_registros[CATEGORIA],receitasfixasconsolidadoset[[#This Row],[ATUAL]])</f>
        <v>0</v>
      </c>
      <c r="R85" s="91">
        <f>SUMIFS(tabela_registros[VALOR],tabela_registros[MÊS],$AE$1,tabela_registros[DIA],receitasfixasconsolidadoset[[#Headers],[14]],tabela_registros[REGISTRO],DADOS!$N$3,tabela_registros[TIPO],DADOS!$V$3,tabela_registros[CATEGORIA],receitasfixasconsolidadoset[[#This Row],[ATUAL]])</f>
        <v>0</v>
      </c>
      <c r="S85" s="91">
        <f>SUMIFS(tabela_registros[VALOR],tabela_registros[MÊS],$AE$1,tabela_registros[DIA],receitasfixasconsolidadoset[[#Headers],[15]],tabela_registros[REGISTRO],DADOS!$N$3,tabela_registros[TIPO],DADOS!$V$3,tabela_registros[CATEGORIA],receitasfixasconsolidadoset[[#This Row],[ATUAL]])</f>
        <v>0</v>
      </c>
      <c r="T85" s="91">
        <f>SUMIFS(tabela_registros[VALOR],tabela_registros[MÊS],$AE$1,tabela_registros[DIA],receitasfixasconsolidadoset[[#Headers],[16]],tabela_registros[REGISTRO],DADOS!$N$3,tabela_registros[TIPO],DADOS!$V$3,tabela_registros[CATEGORIA],receitasfixasconsolidadoset[[#This Row],[ATUAL]])</f>
        <v>0</v>
      </c>
      <c r="U85" s="91">
        <f>SUMIFS(tabela_registros[VALOR],tabela_registros[MÊS],$AE$1,tabela_registros[DIA],receitasfixasconsolidadoset[[#Headers],[17]],tabela_registros[REGISTRO],DADOS!$N$3,tabela_registros[TIPO],DADOS!$V$3,tabela_registros[CATEGORIA],receitasfixasconsolidadoset[[#This Row],[ATUAL]])</f>
        <v>0</v>
      </c>
      <c r="V85" s="91">
        <f>SUMIFS(tabela_registros[VALOR],tabela_registros[MÊS],$AE$1,tabela_registros[DIA],receitasfixasconsolidadoset[[#Headers],[18]],tabela_registros[REGISTRO],DADOS!$N$3,tabela_registros[TIPO],DADOS!$V$3,tabela_registros[CATEGORIA],receitasfixasconsolidadoset[[#This Row],[ATUAL]])</f>
        <v>0</v>
      </c>
      <c r="W85" s="91">
        <f>SUMIFS(tabela_registros[VALOR],tabela_registros[MÊS],$AE$1,tabela_registros[DIA],receitasfixasconsolidadoset[[#Headers],[19]],tabela_registros[REGISTRO],DADOS!$N$3,tabela_registros[TIPO],DADOS!$V$3,tabela_registros[CATEGORIA],receitasfixasconsolidadoset[[#This Row],[ATUAL]])</f>
        <v>0</v>
      </c>
      <c r="X85" s="91">
        <f>SUMIFS(tabela_registros[VALOR],tabela_registros[MÊS],$AE$1,tabela_registros[DIA],receitasfixasconsolidadoset[[#Headers],[20]],tabela_registros[REGISTRO],DADOS!$N$3,tabela_registros[TIPO],DADOS!$V$3,tabela_registros[CATEGORIA],receitasfixasconsolidadoset[[#This Row],[ATUAL]])</f>
        <v>0</v>
      </c>
      <c r="Y85" s="91">
        <f>SUMIFS(tabela_registros[VALOR],tabela_registros[MÊS],$AE$1,tabela_registros[DIA],receitasfixasconsolidadoset[[#Headers],[21]],tabela_registros[REGISTRO],DADOS!$N$3,tabela_registros[TIPO],DADOS!$V$3,tabela_registros[CATEGORIA],receitasfixasconsolidadoset[[#This Row],[ATUAL]])</f>
        <v>0</v>
      </c>
      <c r="Z85" s="91">
        <f>SUMIFS(tabela_registros[VALOR],tabela_registros[MÊS],$AE$1,tabela_registros[DIA],receitasfixasconsolidadoset[[#Headers],[22]],tabela_registros[REGISTRO],DADOS!$N$3,tabela_registros[TIPO],DADOS!$V$3,tabela_registros[CATEGORIA],receitasfixasconsolidadoset[[#This Row],[ATUAL]])</f>
        <v>0</v>
      </c>
      <c r="AA85" s="91">
        <f>SUMIFS(tabela_registros[VALOR],tabela_registros[MÊS],$AE$1,tabela_registros[DIA],receitasfixasconsolidadoset[[#Headers],[23]],tabela_registros[REGISTRO],DADOS!$N$3,tabela_registros[TIPO],DADOS!$V$3,tabela_registros[CATEGORIA],receitasfixasconsolidadoset[[#This Row],[ATUAL]])</f>
        <v>0</v>
      </c>
      <c r="AB85" s="91">
        <f>SUMIFS(tabela_registros[VALOR],tabela_registros[MÊS],$AE$1,tabela_registros[DIA],receitasfixasconsolidadoset[[#Headers],[24]],tabela_registros[REGISTRO],DADOS!$N$3,tabela_registros[TIPO],DADOS!$V$3,tabela_registros[CATEGORIA],receitasfixasconsolidadoset[[#This Row],[ATUAL]])</f>
        <v>0</v>
      </c>
      <c r="AC85" s="91">
        <f>SUMIFS(tabela_registros[VALOR],tabela_registros[MÊS],$AE$1,tabela_registros[DIA],receitasfixasconsolidadoset[[#Headers],[25]],tabela_registros[REGISTRO],DADOS!$N$3,tabela_registros[TIPO],DADOS!$V$3,tabela_registros[CATEGORIA],receitasfixasconsolidadoset[[#This Row],[ATUAL]])</f>
        <v>0</v>
      </c>
      <c r="AD85" s="91">
        <f>SUMIFS(tabela_registros[VALOR],tabela_registros[MÊS],$AE$1,tabela_registros[DIA],receitasfixasconsolidadoset[[#Headers],[26]],tabela_registros[REGISTRO],DADOS!$N$3,tabela_registros[TIPO],DADOS!$V$3,tabela_registros[CATEGORIA],receitasfixasconsolidadoset[[#This Row],[ATUAL]])</f>
        <v>0</v>
      </c>
      <c r="AE85" s="91">
        <f>SUMIFS(tabela_registros[VALOR],tabela_registros[MÊS],$AE$1,tabela_registros[DIA],receitasfixasconsolidadoset[[#Headers],[27]],tabela_registros[REGISTRO],DADOS!$N$3,tabela_registros[TIPO],DADOS!$V$3,tabela_registros[CATEGORIA],receitasfixasconsolidadoset[[#This Row],[ATUAL]])</f>
        <v>0</v>
      </c>
      <c r="AF85" s="91">
        <f>SUMIFS(tabela_registros[VALOR],tabela_registros[MÊS],$AE$1,tabela_registros[DIA],receitasfixasconsolidadoset[[#Headers],[28]],tabela_registros[REGISTRO],DADOS!$N$3,tabela_registros[TIPO],DADOS!$V$3,tabela_registros[CATEGORIA],receitasfixasconsolidadoset[[#This Row],[ATUAL]])</f>
        <v>0</v>
      </c>
      <c r="AG85" s="91">
        <f>SUMIFS(tabela_registros[VALOR],tabela_registros[MÊS],$AE$1,tabela_registros[DIA],receitasfixasconsolidadoset[[#Headers],[29]],tabela_registros[REGISTRO],DADOS!$N$3,tabela_registros[TIPO],DADOS!$V$3,tabela_registros[CATEGORIA],receitasfixasconsolidadoset[[#This Row],[ATUAL]])</f>
        <v>0</v>
      </c>
      <c r="AH85" s="91">
        <f>SUMIFS(tabela_registros[VALOR],tabela_registros[MÊS],$AE$1,tabela_registros[DIA],receitasfixasconsolidadoset[[#Headers],[30]],tabela_registros[REGISTRO],DADOS!$N$3,tabela_registros[TIPO],DADOS!$V$3,tabela_registros[CATEGORIA],receitasfixasconsolidadoset[[#This Row],[ATUAL]])</f>
        <v>0</v>
      </c>
      <c r="AI85" s="101">
        <f>SUMIFS(tabela_registros[VALOR],tabela_registros[MÊS],$AE$1,tabela_registros[DIA],receitasfixasconsolidadoset[[#Headers],[31]],tabela_registros[REGISTRO],DADOS!$N$3,tabela_registros[TIPO],DADOS!$V$3,tabela_registros[CATEGORIA],receitasfixasconsolidadoset[[#This Row],[ATUAL]])</f>
        <v>0</v>
      </c>
      <c r="AJ85" s="97">
        <f>SUM(receitasfixasconsolidadoset[[#This Row],[1]:[31]])</f>
        <v>0</v>
      </c>
      <c r="AK85" s="25"/>
    </row>
    <row r="86" spans="2:37" ht="18" customHeight="1" thickTop="1" thickBot="1" x14ac:dyDescent="0.3">
      <c r="B86" s="28"/>
      <c r="C86" s="27" t="str">
        <f>DADOS!$X$7</f>
        <v>📎 OUTROS</v>
      </c>
      <c r="D86" s="26" t="str">
        <f>IF(receitasfixasconsolidadoset[[#This Row],[TOTAL (R$)]]=0,"",IF(OR(receitasfixasconsolidadoset[[#This Row],[TOTAL (R$)]]=LARGE($AJ$82:$AJ$86,1),receitasfixasconsolidadoset[[#This Row],[TOTAL (R$)]]=LARGE($AJ$82:$AJ$86,2)),DADOS!$I$9,""))</f>
        <v/>
      </c>
      <c r="E86" s="96">
        <f>SUMIFS(tabela_registros[VALOR],tabela_registros[MÊS],$AE$1,tabela_registros[DIA],receitasfixasconsolidadoset[[#Headers],[1]],tabela_registros[REGISTRO],DADOS!$N$3,tabela_registros[TIPO],DADOS!$V$3,tabela_registros[CATEGORIA],receitasfixasconsolidadoset[[#This Row],[ATUAL]])</f>
        <v>0</v>
      </c>
      <c r="F86" s="91">
        <f>SUMIFS(tabela_registros[VALOR],tabela_registros[MÊS],$AE$1,tabela_registros[DIA],receitasfixasconsolidadoset[[#Headers],[2]],tabela_registros[REGISTRO],DADOS!$N$3,tabela_registros[TIPO],DADOS!$V$3,tabela_registros[CATEGORIA],receitasfixasconsolidadoset[[#This Row],[ATUAL]])</f>
        <v>0</v>
      </c>
      <c r="G86" s="91">
        <f>SUMIFS(tabela_registros[VALOR],tabela_registros[MÊS],$AE$1,tabela_registros[DIA],receitasfixasconsolidadoset[[#Headers],[3]],tabela_registros[REGISTRO],DADOS!$N$3,tabela_registros[TIPO],DADOS!$V$3,tabela_registros[CATEGORIA],receitasfixasconsolidadoset[[#This Row],[ATUAL]])</f>
        <v>0</v>
      </c>
      <c r="H86" s="91">
        <f>SUMIFS(tabela_registros[VALOR],tabela_registros[MÊS],$AE$1,tabela_registros[DIA],receitasfixasconsolidadoset[[#Headers],[4]],tabela_registros[REGISTRO],DADOS!$N$3,tabela_registros[TIPO],DADOS!$V$3,tabela_registros[CATEGORIA],receitasfixasconsolidadoset[[#This Row],[ATUAL]])</f>
        <v>0</v>
      </c>
      <c r="I86" s="91">
        <f>SUMIFS(tabela_registros[VALOR],tabela_registros[MÊS],$AE$1,tabela_registros[DIA],receitasfixasconsolidadoset[[#Headers],[5]],tabela_registros[REGISTRO],DADOS!$N$3,tabela_registros[TIPO],DADOS!$V$3,tabela_registros[CATEGORIA],receitasfixasconsolidadoset[[#This Row],[ATUAL]])</f>
        <v>0</v>
      </c>
      <c r="J86" s="91">
        <f>SUMIFS(tabela_registros[VALOR],tabela_registros[MÊS],$AE$1,tabela_registros[DIA],receitasfixasconsolidadoset[[#Headers],[6]],tabela_registros[REGISTRO],DADOS!$N$3,tabela_registros[TIPO],DADOS!$V$3,tabela_registros[CATEGORIA],receitasfixasconsolidadoset[[#This Row],[ATUAL]])</f>
        <v>0</v>
      </c>
      <c r="K86" s="91">
        <f>SUMIFS(tabela_registros[VALOR],tabela_registros[MÊS],$AE$1,tabela_registros[DIA],receitasfixasconsolidadoset[[#Headers],[7]],tabela_registros[REGISTRO],DADOS!$N$3,tabela_registros[TIPO],DADOS!$V$3,tabela_registros[CATEGORIA],receitasfixasconsolidadoset[[#This Row],[ATUAL]])</f>
        <v>0</v>
      </c>
      <c r="L86" s="91">
        <f>SUMIFS(tabela_registros[VALOR],tabela_registros[MÊS],$AE$1,tabela_registros[DIA],receitasfixasconsolidadoset[[#Headers],[8]],tabela_registros[REGISTRO],DADOS!$N$3,tabela_registros[TIPO],DADOS!$V$3,tabela_registros[CATEGORIA],receitasfixasconsolidadoset[[#This Row],[ATUAL]])</f>
        <v>0</v>
      </c>
      <c r="M86" s="91">
        <f>SUMIFS(tabela_registros[VALOR],tabela_registros[MÊS],$AE$1,tabela_registros[DIA],receitasfixasconsolidadoset[[#Headers],[9]],tabela_registros[REGISTRO],DADOS!$N$3,tabela_registros[TIPO],DADOS!$V$3,tabela_registros[CATEGORIA],receitasfixasconsolidadoset[[#This Row],[ATUAL]])</f>
        <v>0</v>
      </c>
      <c r="N86" s="91">
        <f>SUMIFS(tabela_registros[VALOR],tabela_registros[MÊS],$AE$1,tabela_registros[DIA],receitasfixasconsolidadoset[[#Headers],[10]],tabela_registros[REGISTRO],DADOS!$N$3,tabela_registros[TIPO],DADOS!$V$3,tabela_registros[CATEGORIA],receitasfixasconsolidadoset[[#This Row],[ATUAL]])</f>
        <v>0</v>
      </c>
      <c r="O86" s="91">
        <f>SUMIFS(tabela_registros[VALOR],tabela_registros[MÊS],$AE$1,tabela_registros[DIA],receitasfixasconsolidadoset[[#Headers],[11]],tabela_registros[REGISTRO],DADOS!$N$3,tabela_registros[TIPO],DADOS!$V$3,tabela_registros[CATEGORIA],receitasfixasconsolidadoset[[#This Row],[ATUAL]])</f>
        <v>0</v>
      </c>
      <c r="P86" s="91">
        <f>SUMIFS(tabela_registros[VALOR],tabela_registros[MÊS],$AE$1,tabela_registros[DIA],receitasfixasconsolidadoset[[#Headers],[12]],tabela_registros[REGISTRO],DADOS!$N$3,tabela_registros[TIPO],DADOS!$V$3,tabela_registros[CATEGORIA],receitasfixasconsolidadoset[[#This Row],[ATUAL]])</f>
        <v>0</v>
      </c>
      <c r="Q86" s="91">
        <f>SUMIFS(tabela_registros[VALOR],tabela_registros[MÊS],$AE$1,tabela_registros[DIA],receitasfixasconsolidadoset[[#Headers],[13]],tabela_registros[REGISTRO],DADOS!$N$3,tabela_registros[TIPO],DADOS!$V$3,tabela_registros[CATEGORIA],receitasfixasconsolidadoset[[#This Row],[ATUAL]])</f>
        <v>0</v>
      </c>
      <c r="R86" s="91">
        <f>SUMIFS(tabela_registros[VALOR],tabela_registros[MÊS],$AE$1,tabela_registros[DIA],receitasfixasconsolidadoset[[#Headers],[14]],tabela_registros[REGISTRO],DADOS!$N$3,tabela_registros[TIPO],DADOS!$V$3,tabela_registros[CATEGORIA],receitasfixasconsolidadoset[[#This Row],[ATUAL]])</f>
        <v>0</v>
      </c>
      <c r="S86" s="91">
        <f>SUMIFS(tabela_registros[VALOR],tabela_registros[MÊS],$AE$1,tabela_registros[DIA],receitasfixasconsolidadoset[[#Headers],[15]],tabela_registros[REGISTRO],DADOS!$N$3,tabela_registros[TIPO],DADOS!$V$3,tabela_registros[CATEGORIA],receitasfixasconsolidadoset[[#This Row],[ATUAL]])</f>
        <v>0</v>
      </c>
      <c r="T86" s="91">
        <f>SUMIFS(tabela_registros[VALOR],tabela_registros[MÊS],$AE$1,tabela_registros[DIA],receitasfixasconsolidadoset[[#Headers],[16]],tabela_registros[REGISTRO],DADOS!$N$3,tabela_registros[TIPO],DADOS!$V$3,tabela_registros[CATEGORIA],receitasfixasconsolidadoset[[#This Row],[ATUAL]])</f>
        <v>0</v>
      </c>
      <c r="U86" s="91">
        <f>SUMIFS(tabela_registros[VALOR],tabela_registros[MÊS],$AE$1,tabela_registros[DIA],receitasfixasconsolidadoset[[#Headers],[17]],tabela_registros[REGISTRO],DADOS!$N$3,tabela_registros[TIPO],DADOS!$V$3,tabela_registros[CATEGORIA],receitasfixasconsolidadoset[[#This Row],[ATUAL]])</f>
        <v>0</v>
      </c>
      <c r="V86" s="91">
        <f>SUMIFS(tabela_registros[VALOR],tabela_registros[MÊS],$AE$1,tabela_registros[DIA],receitasfixasconsolidadoset[[#Headers],[18]],tabela_registros[REGISTRO],DADOS!$N$3,tabela_registros[TIPO],DADOS!$V$3,tabela_registros[CATEGORIA],receitasfixasconsolidadoset[[#This Row],[ATUAL]])</f>
        <v>0</v>
      </c>
      <c r="W86" s="91">
        <f>SUMIFS(tabela_registros[VALOR],tabela_registros[MÊS],$AE$1,tabela_registros[DIA],receitasfixasconsolidadoset[[#Headers],[19]],tabela_registros[REGISTRO],DADOS!$N$3,tabela_registros[TIPO],DADOS!$V$3,tabela_registros[CATEGORIA],receitasfixasconsolidadoset[[#This Row],[ATUAL]])</f>
        <v>0</v>
      </c>
      <c r="X86" s="91">
        <f>SUMIFS(tabela_registros[VALOR],tabela_registros[MÊS],$AE$1,tabela_registros[DIA],receitasfixasconsolidadoset[[#Headers],[20]],tabela_registros[REGISTRO],DADOS!$N$3,tabela_registros[TIPO],DADOS!$V$3,tabela_registros[CATEGORIA],receitasfixasconsolidadoset[[#This Row],[ATUAL]])</f>
        <v>0</v>
      </c>
      <c r="Y86" s="91">
        <f>SUMIFS(tabela_registros[VALOR],tabela_registros[MÊS],$AE$1,tabela_registros[DIA],receitasfixasconsolidadoset[[#Headers],[21]],tabela_registros[REGISTRO],DADOS!$N$3,tabela_registros[TIPO],DADOS!$V$3,tabela_registros[CATEGORIA],receitasfixasconsolidadoset[[#This Row],[ATUAL]])</f>
        <v>0</v>
      </c>
      <c r="Z86" s="91">
        <f>SUMIFS(tabela_registros[VALOR],tabela_registros[MÊS],$AE$1,tabela_registros[DIA],receitasfixasconsolidadoset[[#Headers],[22]],tabela_registros[REGISTRO],DADOS!$N$3,tabela_registros[TIPO],DADOS!$V$3,tabela_registros[CATEGORIA],receitasfixasconsolidadoset[[#This Row],[ATUAL]])</f>
        <v>0</v>
      </c>
      <c r="AA86" s="91">
        <f>SUMIFS(tabela_registros[VALOR],tabela_registros[MÊS],$AE$1,tabela_registros[DIA],receitasfixasconsolidadoset[[#Headers],[23]],tabela_registros[REGISTRO],DADOS!$N$3,tabela_registros[TIPO],DADOS!$V$3,tabela_registros[CATEGORIA],receitasfixasconsolidadoset[[#This Row],[ATUAL]])</f>
        <v>0</v>
      </c>
      <c r="AB86" s="91">
        <f>SUMIFS(tabela_registros[VALOR],tabela_registros[MÊS],$AE$1,tabela_registros[DIA],receitasfixasconsolidadoset[[#Headers],[24]],tabela_registros[REGISTRO],DADOS!$N$3,tabela_registros[TIPO],DADOS!$V$3,tabela_registros[CATEGORIA],receitasfixasconsolidadoset[[#This Row],[ATUAL]])</f>
        <v>0</v>
      </c>
      <c r="AC86" s="91">
        <f>SUMIFS(tabela_registros[VALOR],tabela_registros[MÊS],$AE$1,tabela_registros[DIA],receitasfixasconsolidadoset[[#Headers],[25]],tabela_registros[REGISTRO],DADOS!$N$3,tabela_registros[TIPO],DADOS!$V$3,tabela_registros[CATEGORIA],receitasfixasconsolidadoset[[#This Row],[ATUAL]])</f>
        <v>0</v>
      </c>
      <c r="AD86" s="91">
        <f>SUMIFS(tabela_registros[VALOR],tabela_registros[MÊS],$AE$1,tabela_registros[DIA],receitasfixasconsolidadoset[[#Headers],[26]],tabela_registros[REGISTRO],DADOS!$N$3,tabela_registros[TIPO],DADOS!$V$3,tabela_registros[CATEGORIA],receitasfixasconsolidadoset[[#This Row],[ATUAL]])</f>
        <v>0</v>
      </c>
      <c r="AE86" s="91">
        <f>SUMIFS(tabela_registros[VALOR],tabela_registros[MÊS],$AE$1,tabela_registros[DIA],receitasfixasconsolidadoset[[#Headers],[27]],tabela_registros[REGISTRO],DADOS!$N$3,tabela_registros[TIPO],DADOS!$V$3,tabela_registros[CATEGORIA],receitasfixasconsolidadoset[[#This Row],[ATUAL]])</f>
        <v>0</v>
      </c>
      <c r="AF86" s="91">
        <f>SUMIFS(tabela_registros[VALOR],tabela_registros[MÊS],$AE$1,tabela_registros[DIA],receitasfixasconsolidadoset[[#Headers],[28]],tabela_registros[REGISTRO],DADOS!$N$3,tabela_registros[TIPO],DADOS!$V$3,tabela_registros[CATEGORIA],receitasfixasconsolidadoset[[#This Row],[ATUAL]])</f>
        <v>0</v>
      </c>
      <c r="AG86" s="91">
        <f>SUMIFS(tabela_registros[VALOR],tabela_registros[MÊS],$AE$1,tabela_registros[DIA],receitasfixasconsolidadoset[[#Headers],[29]],tabela_registros[REGISTRO],DADOS!$N$3,tabela_registros[TIPO],DADOS!$V$3,tabela_registros[CATEGORIA],receitasfixasconsolidadoset[[#This Row],[ATUAL]])</f>
        <v>0</v>
      </c>
      <c r="AH86" s="91">
        <f>SUMIFS(tabela_registros[VALOR],tabela_registros[MÊS],$AE$1,tabela_registros[DIA],receitasfixasconsolidadoset[[#Headers],[30]],tabela_registros[REGISTRO],DADOS!$N$3,tabela_registros[TIPO],DADOS!$V$3,tabela_registros[CATEGORIA],receitasfixasconsolidadoset[[#This Row],[ATUAL]])</f>
        <v>0</v>
      </c>
      <c r="AI86" s="102">
        <f>SUMIFS(tabela_registros[VALOR],tabela_registros[MÊS],$AE$1,tabela_registros[DIA],receitasfixasconsolidadoset[[#Headers],[31]],tabela_registros[REGISTRO],DADOS!$N$3,tabela_registros[TIPO],DADOS!$V$3,tabela_registros[CATEGORIA],receitasfixasconsolidadoset[[#This Row],[ATUAL]])</f>
        <v>0</v>
      </c>
      <c r="AJ86" s="97">
        <f>SUM(receitasfixasconsolidadoset[[#This Row],[1]:[31]])</f>
        <v>0</v>
      </c>
      <c r="AK86" s="25"/>
    </row>
    <row r="87" spans="2:37" s="16" customFormat="1" ht="21" customHeight="1" thickTop="1" thickBot="1" x14ac:dyDescent="0.35">
      <c r="B87" s="24"/>
      <c r="C87" s="23" t="s">
        <v>19</v>
      </c>
      <c r="D87" s="22"/>
      <c r="E87" s="21">
        <f>SUM(E82:E86)</f>
        <v>0</v>
      </c>
      <c r="F87" s="20">
        <f>SUM(F82:F86)+receitasfixasconsolidadoset[[#This Row],[1]]</f>
        <v>0</v>
      </c>
      <c r="G87" s="20">
        <f>SUM(G82:G86)+receitasfixasconsolidadoset[[#This Row],[2]]</f>
        <v>0</v>
      </c>
      <c r="H87" s="20">
        <f>SUM(H82:H86)+receitasfixasconsolidadoset[[#This Row],[3]]</f>
        <v>0</v>
      </c>
      <c r="I87" s="20">
        <f>SUM(I82:I86)+receitasfixasconsolidadoset[[#This Row],[4]]</f>
        <v>0</v>
      </c>
      <c r="J87" s="20">
        <f>SUM(J82:J86)+receitasfixasconsolidadoset[[#This Row],[5]]</f>
        <v>0</v>
      </c>
      <c r="K87" s="20">
        <f>SUM(K82:K86)+receitasfixasconsolidadoset[[#This Row],[6]]</f>
        <v>0</v>
      </c>
      <c r="L87" s="20">
        <f>SUM(L82:L86)+receitasfixasconsolidadoset[[#This Row],[7]]</f>
        <v>0</v>
      </c>
      <c r="M87" s="20">
        <f>SUM(M82:M86)+receitasfixasconsolidadoset[[#This Row],[8]]</f>
        <v>0</v>
      </c>
      <c r="N87" s="20">
        <f>SUM(N82:N86)+receitasfixasconsolidadoset[[#This Row],[9]]</f>
        <v>0</v>
      </c>
      <c r="O87" s="20">
        <f>SUM(O82:O86)+receitasfixasconsolidadoset[[#This Row],[10]]</f>
        <v>0</v>
      </c>
      <c r="P87" s="20">
        <f>SUM(P82:P86)+receitasfixasconsolidadoset[[#This Row],[11]]</f>
        <v>0</v>
      </c>
      <c r="Q87" s="20">
        <f>SUM(Q82:Q86)+receitasfixasconsolidadoset[[#This Row],[12]]</f>
        <v>0</v>
      </c>
      <c r="R87" s="20">
        <f>SUM(R82:R86)+receitasfixasconsolidadoset[[#This Row],[13]]</f>
        <v>0</v>
      </c>
      <c r="S87" s="20">
        <f>SUM(S82:S86)+receitasfixasconsolidadoset[[#This Row],[14]]</f>
        <v>0</v>
      </c>
      <c r="T87" s="20">
        <f>SUM(T82:T86)+receitasfixasconsolidadoset[[#This Row],[15]]</f>
        <v>0</v>
      </c>
      <c r="U87" s="20">
        <f>SUM(U82:U86)+receitasfixasconsolidadoset[[#This Row],[16]]</f>
        <v>0</v>
      </c>
      <c r="V87" s="20">
        <f>SUM(V82:V86)+receitasfixasconsolidadoset[[#This Row],[17]]</f>
        <v>0</v>
      </c>
      <c r="W87" s="20">
        <f>SUM(W82:W86)+receitasfixasconsolidadoset[[#This Row],[18]]</f>
        <v>0</v>
      </c>
      <c r="X87" s="20">
        <f>SUM(X82:X86)+receitasfixasconsolidadoset[[#This Row],[19]]</f>
        <v>0</v>
      </c>
      <c r="Y87" s="20">
        <f>SUM(Y82:Y86)+receitasfixasconsolidadoset[[#This Row],[20]]</f>
        <v>0</v>
      </c>
      <c r="Z87" s="20">
        <f>SUM(Z82:Z86)+receitasfixasconsolidadoset[[#This Row],[21]]</f>
        <v>0</v>
      </c>
      <c r="AA87" s="20">
        <f>SUM(AA82:AA86)+receitasfixasconsolidadoset[[#This Row],[22]]</f>
        <v>0</v>
      </c>
      <c r="AB87" s="20">
        <f>SUM(AB82:AB86)+receitasfixasconsolidadoset[[#This Row],[23]]</f>
        <v>0</v>
      </c>
      <c r="AC87" s="20">
        <f>SUM(AC82:AC86)+receitasfixasconsolidadoset[[#This Row],[24]]</f>
        <v>0</v>
      </c>
      <c r="AD87" s="20">
        <f>SUM(AD82:AD86)+receitasfixasconsolidadoset[[#This Row],[25]]</f>
        <v>0</v>
      </c>
      <c r="AE87" s="20">
        <f>SUM(AE82:AE86)+receitasfixasconsolidadoset[[#This Row],[26]]</f>
        <v>0</v>
      </c>
      <c r="AF87" s="20">
        <f>SUM(AF82:AF86)+receitasfixasconsolidadoset[[#This Row],[27]]</f>
        <v>0</v>
      </c>
      <c r="AG87" s="20">
        <f>SUM(AG82:AG86)+receitasfixasconsolidadoset[[#This Row],[28]]</f>
        <v>0</v>
      </c>
      <c r="AH87" s="20">
        <f>SUM(AH82:AH86)+receitasfixasconsolidadoset[[#This Row],[29]]</f>
        <v>0</v>
      </c>
      <c r="AI87" s="19">
        <f>SUM(AI82:AI86)+receitasfixasconsolidadoset[[#This Row],[30]]</f>
        <v>0</v>
      </c>
      <c r="AJ87" s="18">
        <f>receitasfixasconsolidadoset[[#This Row],[31]]</f>
        <v>0</v>
      </c>
      <c r="AK87" s="17"/>
    </row>
    <row r="88" spans="2:37" ht="6.75" customHeight="1" thickTop="1" thickBot="1" x14ac:dyDescent="0.3">
      <c r="B88" s="15"/>
      <c r="C88" s="14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2"/>
      <c r="AJ88" s="11"/>
      <c r="AK88" s="10"/>
    </row>
    <row r="89" spans="2:37" ht="12.6" thickTop="1" x14ac:dyDescent="0.25">
      <c r="E89" s="37"/>
      <c r="AI89" s="4"/>
    </row>
    <row r="90" spans="2:37" x14ac:dyDescent="0.25">
      <c r="AI90" s="4"/>
    </row>
    <row r="91" spans="2:37" x14ac:dyDescent="0.25">
      <c r="AI91" s="4"/>
    </row>
    <row r="92" spans="2:37" ht="39.75" customHeight="1" x14ac:dyDescent="0.7">
      <c r="C92" s="36"/>
      <c r="E92" s="240"/>
      <c r="F92" s="240"/>
      <c r="G92" s="240"/>
      <c r="H92" s="240"/>
      <c r="I92" s="240"/>
      <c r="J92" s="240"/>
      <c r="K92" s="240"/>
      <c r="L92" s="240"/>
      <c r="M92" s="240"/>
      <c r="N92" s="240"/>
      <c r="O92" s="240"/>
      <c r="P92" s="240"/>
      <c r="Q92" s="240"/>
      <c r="R92" s="240"/>
      <c r="S92" s="240"/>
      <c r="T92" s="240"/>
      <c r="U92" s="240"/>
      <c r="V92" s="240"/>
      <c r="W92" s="240"/>
      <c r="X92" s="240"/>
      <c r="Y92" s="240"/>
      <c r="Z92" s="240"/>
      <c r="AA92" s="240"/>
      <c r="AB92" s="240"/>
      <c r="AC92" s="240"/>
      <c r="AD92" s="240"/>
      <c r="AE92" s="240"/>
      <c r="AF92" s="240"/>
      <c r="AG92" s="240"/>
      <c r="AH92" s="240"/>
      <c r="AI92" s="240"/>
      <c r="AJ92" s="32" t="s">
        <v>19</v>
      </c>
    </row>
    <row r="93" spans="2:37" ht="12.6" thickBot="1" x14ac:dyDescent="0.3">
      <c r="B93" s="35"/>
      <c r="AI93" s="4"/>
      <c r="AJ93" s="34" t="s">
        <v>202</v>
      </c>
    </row>
    <row r="94" spans="2:37" ht="6.75" customHeight="1" thickTop="1" thickBot="1" x14ac:dyDescent="0.3">
      <c r="B94" s="2"/>
      <c r="C94" s="14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2"/>
      <c r="AK94" s="33"/>
    </row>
    <row r="95" spans="2:37" ht="13.2" hidden="1" thickTop="1" thickBot="1" x14ac:dyDescent="0.3">
      <c r="B95" s="2"/>
      <c r="C95" s="31" t="s">
        <v>199</v>
      </c>
      <c r="D95" s="30" t="s">
        <v>198</v>
      </c>
      <c r="E95" s="30" t="s">
        <v>197</v>
      </c>
      <c r="F95" s="30" t="s">
        <v>196</v>
      </c>
      <c r="G95" s="30" t="s">
        <v>195</v>
      </c>
      <c r="H95" s="30" t="s">
        <v>194</v>
      </c>
      <c r="I95" s="30" t="s">
        <v>193</v>
      </c>
      <c r="J95" s="30" t="s">
        <v>192</v>
      </c>
      <c r="K95" s="30" t="s">
        <v>191</v>
      </c>
      <c r="L95" s="30" t="s">
        <v>190</v>
      </c>
      <c r="M95" s="30" t="s">
        <v>189</v>
      </c>
      <c r="N95" s="30" t="s">
        <v>188</v>
      </c>
      <c r="O95" s="30" t="s">
        <v>187</v>
      </c>
      <c r="P95" s="30" t="s">
        <v>186</v>
      </c>
      <c r="Q95" s="30" t="s">
        <v>185</v>
      </c>
      <c r="R95" s="30" t="s">
        <v>184</v>
      </c>
      <c r="S95" s="30" t="s">
        <v>183</v>
      </c>
      <c r="T95" s="30" t="s">
        <v>182</v>
      </c>
      <c r="U95" s="30" t="s">
        <v>181</v>
      </c>
      <c r="V95" s="30" t="s">
        <v>180</v>
      </c>
      <c r="W95" s="30" t="s">
        <v>179</v>
      </c>
      <c r="X95" s="30" t="s">
        <v>178</v>
      </c>
      <c r="Y95" s="30" t="s">
        <v>177</v>
      </c>
      <c r="Z95" s="30" t="s">
        <v>176</v>
      </c>
      <c r="AA95" s="30" t="s">
        <v>175</v>
      </c>
      <c r="AB95" s="30" t="s">
        <v>174</v>
      </c>
      <c r="AC95" s="30" t="s">
        <v>173</v>
      </c>
      <c r="AD95" s="30" t="s">
        <v>172</v>
      </c>
      <c r="AE95" s="30" t="s">
        <v>171</v>
      </c>
      <c r="AF95" s="30" t="s">
        <v>170</v>
      </c>
      <c r="AG95" s="30" t="s">
        <v>169</v>
      </c>
      <c r="AH95" s="30" t="s">
        <v>168</v>
      </c>
      <c r="AI95" s="30" t="s">
        <v>167</v>
      </c>
      <c r="AJ95" s="29" t="s">
        <v>166</v>
      </c>
      <c r="AK95" s="2"/>
    </row>
    <row r="96" spans="2:37" ht="19.5" customHeight="1" thickTop="1" thickBot="1" x14ac:dyDescent="0.3">
      <c r="B96" s="28"/>
      <c r="C96" s="27" t="str">
        <f>DADOS!$Z$3</f>
        <v>🏅 BÔNUS</v>
      </c>
      <c r="D96" s="26" t="str">
        <f>IF(receitasvariáveisconsolidadoset[[#This Row],[TOTAL (R$)]]=0,"",IF(OR(receitasvariáveisconsolidadoset[[#This Row],[TOTAL (R$)]]=LARGE($AJ$96:$AJ$103,1),receitasvariáveisconsolidadoset[[#This Row],[TOTAL (R$)]]=LARGE($AJ$96:$AJ$103,2)),DADOS!$I$9,""))</f>
        <v/>
      </c>
      <c r="E96" s="96">
        <f>SUMIFS(tabela_registros[VALOR],tabela_registros[MÊS],$AE$1,tabela_registros[DIA],receitasvariáveisconsolidadoset[[#Headers],[1]],tabela_registros[REGISTRO],DADOS!$N$3,tabela_registros[TIPO],DADOS!$V$4,tabela_registros[CATEGORIA],receitasvariáveisconsolidadoset[[#This Row],[ATUAL]])</f>
        <v>0</v>
      </c>
      <c r="F96" s="91">
        <f>SUMIFS(tabela_registros[VALOR],tabela_registros[MÊS],$AE$1,tabela_registros[DIA],receitasvariáveisconsolidadoset[[#Headers],[2]],tabela_registros[REGISTRO],DADOS!$N$3,tabela_registros[TIPO],DADOS!$V$4,tabela_registros[CATEGORIA],receitasvariáveisconsolidadoset[[#This Row],[ATUAL]])</f>
        <v>0</v>
      </c>
      <c r="G96" s="91">
        <f>SUMIFS(tabela_registros[VALOR],tabela_registros[MÊS],$AE$1,tabela_registros[DIA],receitasvariáveisconsolidadoset[[#Headers],[3]],tabela_registros[REGISTRO],DADOS!$N$3,tabela_registros[TIPO],DADOS!$V$4,tabela_registros[CATEGORIA],receitasvariáveisconsolidadoset[[#This Row],[ATUAL]])</f>
        <v>0</v>
      </c>
      <c r="H96" s="91">
        <f>SUMIFS(tabela_registros[VALOR],tabela_registros[MÊS],$AE$1,tabela_registros[DIA],receitasvariáveisconsolidadoset[[#Headers],[4]],tabela_registros[REGISTRO],DADOS!$N$3,tabela_registros[TIPO],DADOS!$V$4,tabela_registros[CATEGORIA],receitasvariáveisconsolidadoset[[#This Row],[ATUAL]])</f>
        <v>0</v>
      </c>
      <c r="I96" s="91">
        <f>SUMIFS(tabela_registros[VALOR],tabela_registros[MÊS],$AE$1,tabela_registros[DIA],receitasvariáveisconsolidadoset[[#Headers],[5]],tabela_registros[REGISTRO],DADOS!$N$3,tabela_registros[TIPO],DADOS!$V$4,tabela_registros[CATEGORIA],receitasvariáveisconsolidadoset[[#This Row],[ATUAL]])</f>
        <v>0</v>
      </c>
      <c r="J96" s="91">
        <f>SUMIFS(tabela_registros[VALOR],tabela_registros[MÊS],$AE$1,tabela_registros[DIA],receitasvariáveisconsolidadoset[[#Headers],[6]],tabela_registros[REGISTRO],DADOS!$N$3,tabela_registros[TIPO],DADOS!$V$4,tabela_registros[CATEGORIA],receitasvariáveisconsolidadoset[[#This Row],[ATUAL]])</f>
        <v>0</v>
      </c>
      <c r="K96" s="91">
        <f>SUMIFS(tabela_registros[VALOR],tabela_registros[MÊS],$AE$1,tabela_registros[DIA],receitasvariáveisconsolidadoset[[#Headers],[7]],tabela_registros[REGISTRO],DADOS!$N$3,tabela_registros[TIPO],DADOS!$V$4,tabela_registros[CATEGORIA],receitasvariáveisconsolidadoset[[#This Row],[ATUAL]])</f>
        <v>0</v>
      </c>
      <c r="L96" s="91">
        <f>SUMIFS(tabela_registros[VALOR],tabela_registros[MÊS],$AE$1,tabela_registros[DIA],receitasvariáveisconsolidadoset[[#Headers],[8]],tabela_registros[REGISTRO],DADOS!$N$3,tabela_registros[TIPO],DADOS!$V$4,tabela_registros[CATEGORIA],receitasvariáveisconsolidadoset[[#This Row],[ATUAL]])</f>
        <v>0</v>
      </c>
      <c r="M96" s="91">
        <f>SUMIFS(tabela_registros[VALOR],tabela_registros[MÊS],$AE$1,tabela_registros[DIA],receitasvariáveisconsolidadoset[[#Headers],[9]],tabela_registros[REGISTRO],DADOS!$N$3,tabela_registros[TIPO],DADOS!$V$4,tabela_registros[CATEGORIA],receitasvariáveisconsolidadoset[[#This Row],[ATUAL]])</f>
        <v>0</v>
      </c>
      <c r="N96" s="91">
        <f>SUMIFS(tabela_registros[VALOR],tabela_registros[MÊS],$AE$1,tabela_registros[DIA],receitasvariáveisconsolidadoset[[#Headers],[10]],tabela_registros[REGISTRO],DADOS!$N$3,tabela_registros[TIPO],DADOS!$V$4,tabela_registros[CATEGORIA],receitasvariáveisconsolidadoset[[#This Row],[ATUAL]])</f>
        <v>0</v>
      </c>
      <c r="O96" s="91">
        <f>SUMIFS(tabela_registros[VALOR],tabela_registros[MÊS],$AE$1,tabela_registros[DIA],receitasvariáveisconsolidadoset[[#Headers],[11]],tabela_registros[REGISTRO],DADOS!$N$3,tabela_registros[TIPO],DADOS!$V$4,tabela_registros[CATEGORIA],receitasvariáveisconsolidadoset[[#This Row],[ATUAL]])</f>
        <v>0</v>
      </c>
      <c r="P96" s="91">
        <f>SUMIFS(tabela_registros[VALOR],tabela_registros[MÊS],$AE$1,tabela_registros[DIA],receitasvariáveisconsolidadoset[[#Headers],[12]],tabela_registros[REGISTRO],DADOS!$N$3,tabela_registros[TIPO],DADOS!$V$4,tabela_registros[CATEGORIA],receitasvariáveisconsolidadoset[[#This Row],[ATUAL]])</f>
        <v>0</v>
      </c>
      <c r="Q96" s="91">
        <f>SUMIFS(tabela_registros[VALOR],tabela_registros[MÊS],$AE$1,tabela_registros[DIA],receitasvariáveisconsolidadoset[[#Headers],[13]],tabela_registros[REGISTRO],DADOS!$N$3,tabela_registros[TIPO],DADOS!$V$4,tabela_registros[CATEGORIA],receitasvariáveisconsolidadoset[[#This Row],[ATUAL]])</f>
        <v>0</v>
      </c>
      <c r="R96" s="91">
        <f>SUMIFS(tabela_registros[VALOR],tabela_registros[MÊS],$AE$1,tabela_registros[DIA],receitasvariáveisconsolidadoset[[#Headers],[14]],tabela_registros[REGISTRO],DADOS!$N$3,tabela_registros[TIPO],DADOS!$V$4,tabela_registros[CATEGORIA],receitasvariáveisconsolidadoset[[#This Row],[ATUAL]])</f>
        <v>0</v>
      </c>
      <c r="S96" s="91">
        <f>SUMIFS(tabela_registros[VALOR],tabela_registros[MÊS],$AE$1,tabela_registros[DIA],receitasvariáveisconsolidadoset[[#Headers],[15]],tabela_registros[REGISTRO],DADOS!$N$3,tabela_registros[TIPO],DADOS!$V$4,tabela_registros[CATEGORIA],receitasvariáveisconsolidadoset[[#This Row],[ATUAL]])</f>
        <v>0</v>
      </c>
      <c r="T96" s="91">
        <f>SUMIFS(tabela_registros[VALOR],tabela_registros[MÊS],$AE$1,tabela_registros[DIA],receitasvariáveisconsolidadoset[[#Headers],[16]],tabela_registros[REGISTRO],DADOS!$N$3,tabela_registros[TIPO],DADOS!$V$4,tabela_registros[CATEGORIA],receitasvariáveisconsolidadoset[[#This Row],[ATUAL]])</f>
        <v>0</v>
      </c>
      <c r="U96" s="91">
        <f>SUMIFS(tabela_registros[VALOR],tabela_registros[MÊS],$AE$1,tabela_registros[DIA],receitasvariáveisconsolidadoset[[#Headers],[17]],tabela_registros[REGISTRO],DADOS!$N$3,tabela_registros[TIPO],DADOS!$V$4,tabela_registros[CATEGORIA],receitasvariáveisconsolidadoset[[#This Row],[ATUAL]])</f>
        <v>0</v>
      </c>
      <c r="V96" s="91">
        <f>SUMIFS(tabela_registros[VALOR],tabela_registros[MÊS],$AE$1,tabela_registros[DIA],receitasvariáveisconsolidadoset[[#Headers],[18]],tabela_registros[REGISTRO],DADOS!$N$3,tabela_registros[TIPO],DADOS!$V$4,tabela_registros[CATEGORIA],receitasvariáveisconsolidadoset[[#This Row],[ATUAL]])</f>
        <v>0</v>
      </c>
      <c r="W96" s="91">
        <f>SUMIFS(tabela_registros[VALOR],tabela_registros[MÊS],$AE$1,tabela_registros[DIA],receitasvariáveisconsolidadoset[[#Headers],[19]],tabela_registros[REGISTRO],DADOS!$N$3,tabela_registros[TIPO],DADOS!$V$4,tabela_registros[CATEGORIA],receitasvariáveisconsolidadoset[[#This Row],[ATUAL]])</f>
        <v>0</v>
      </c>
      <c r="X96" s="91">
        <f>SUMIFS(tabela_registros[VALOR],tabela_registros[MÊS],$AE$1,tabela_registros[DIA],receitasvariáveisconsolidadoset[[#Headers],[20]],tabela_registros[REGISTRO],DADOS!$N$3,tabela_registros[TIPO],DADOS!$V$4,tabela_registros[CATEGORIA],receitasvariáveisconsolidadoset[[#This Row],[ATUAL]])</f>
        <v>0</v>
      </c>
      <c r="Y96" s="91">
        <f>SUMIFS(tabela_registros[VALOR],tabela_registros[MÊS],$AE$1,tabela_registros[DIA],receitasvariáveisconsolidadoset[[#Headers],[21]],tabela_registros[REGISTRO],DADOS!$N$3,tabela_registros[TIPO],DADOS!$V$4,tabela_registros[CATEGORIA],receitasvariáveisconsolidadoset[[#This Row],[ATUAL]])</f>
        <v>0</v>
      </c>
      <c r="Z96" s="91">
        <f>SUMIFS(tabela_registros[VALOR],tabela_registros[MÊS],$AE$1,tabela_registros[DIA],receitasvariáveisconsolidadoset[[#Headers],[22]],tabela_registros[REGISTRO],DADOS!$N$3,tabela_registros[TIPO],DADOS!$V$4,tabela_registros[CATEGORIA],receitasvariáveisconsolidadoset[[#This Row],[ATUAL]])</f>
        <v>0</v>
      </c>
      <c r="AA96" s="91">
        <f>SUMIFS(tabela_registros[VALOR],tabela_registros[MÊS],$AE$1,tabela_registros[DIA],receitasvariáveisconsolidadoset[[#Headers],[23]],tabela_registros[REGISTRO],DADOS!$N$3,tabela_registros[TIPO],DADOS!$V$4,tabela_registros[CATEGORIA],receitasvariáveisconsolidadoset[[#This Row],[ATUAL]])</f>
        <v>0</v>
      </c>
      <c r="AB96" s="91">
        <f>SUMIFS(tabela_registros[VALOR],tabela_registros[MÊS],$AE$1,tabela_registros[DIA],receitasvariáveisconsolidadoset[[#Headers],[24]],tabela_registros[REGISTRO],DADOS!$N$3,tabela_registros[TIPO],DADOS!$V$4,tabela_registros[CATEGORIA],receitasvariáveisconsolidadoset[[#This Row],[ATUAL]])</f>
        <v>0</v>
      </c>
      <c r="AC96" s="91">
        <f>SUMIFS(tabela_registros[VALOR],tabela_registros[MÊS],$AE$1,tabela_registros[DIA],receitasvariáveisconsolidadoset[[#Headers],[25]],tabela_registros[REGISTRO],DADOS!$N$3,tabela_registros[TIPO],DADOS!$V$4,tabela_registros[CATEGORIA],receitasvariáveisconsolidadoset[[#This Row],[ATUAL]])</f>
        <v>0</v>
      </c>
      <c r="AD96" s="91">
        <f>SUMIFS(tabela_registros[VALOR],tabela_registros[MÊS],$AE$1,tabela_registros[DIA],receitasvariáveisconsolidadoset[[#Headers],[26]],tabela_registros[REGISTRO],DADOS!$N$3,tabela_registros[TIPO],DADOS!$V$4,tabela_registros[CATEGORIA],receitasvariáveisconsolidadoset[[#This Row],[ATUAL]])</f>
        <v>0</v>
      </c>
      <c r="AE96" s="91">
        <f>SUMIFS(tabela_registros[VALOR],tabela_registros[MÊS],$AE$1,tabela_registros[DIA],receitasvariáveisconsolidadoset[[#Headers],[27]],tabela_registros[REGISTRO],DADOS!$N$3,tabela_registros[TIPO],DADOS!$V$4,tabela_registros[CATEGORIA],receitasvariáveisconsolidadoset[[#This Row],[ATUAL]])</f>
        <v>0</v>
      </c>
      <c r="AF96" s="91">
        <f>SUMIFS(tabela_registros[VALOR],tabela_registros[MÊS],$AE$1,tabela_registros[DIA],receitasvariáveisconsolidadoset[[#Headers],[28]],tabela_registros[REGISTRO],DADOS!$N$3,tabela_registros[TIPO],DADOS!$V$4,tabela_registros[CATEGORIA],receitasvariáveisconsolidadoset[[#This Row],[ATUAL]])</f>
        <v>0</v>
      </c>
      <c r="AG96" s="91">
        <f>SUMIFS(tabela_registros[VALOR],tabela_registros[MÊS],$AE$1,tabela_registros[DIA],receitasvariáveisconsolidadoset[[#Headers],[29]],tabela_registros[REGISTRO],DADOS!$N$3,tabela_registros[TIPO],DADOS!$V$4,tabela_registros[CATEGORIA],receitasvariáveisconsolidadoset[[#This Row],[ATUAL]])</f>
        <v>0</v>
      </c>
      <c r="AH96" s="91">
        <f>SUMIFS(tabela_registros[VALOR],tabela_registros[MÊS],$AE$1,tabela_registros[DIA],receitasvariáveisconsolidadoset[[#Headers],[30]],tabela_registros[REGISTRO],DADOS!$N$3,tabela_registros[TIPO],DADOS!$V$4,tabela_registros[CATEGORIA],receitasvariáveisconsolidadoset[[#This Row],[ATUAL]])</f>
        <v>0</v>
      </c>
      <c r="AI96" s="101">
        <f>SUMIFS(tabela_registros[VALOR],tabela_registros[MÊS],$AE$1,tabela_registros[DIA],receitasvariáveisconsolidadoset[[#Headers],[31]],tabela_registros[REGISTRO],DADOS!$N$3,tabela_registros[TIPO],DADOS!$V$4,tabela_registros[CATEGORIA],receitasvariáveisconsolidadoset[[#This Row],[ATUAL]])</f>
        <v>0</v>
      </c>
      <c r="AJ96" s="97">
        <f>SUM(receitasvariáveisconsolidadoset[[#This Row],[1]:[31]])</f>
        <v>0</v>
      </c>
      <c r="AK96" s="25"/>
    </row>
    <row r="97" spans="2:37" ht="19.5" customHeight="1" thickTop="1" thickBot="1" x14ac:dyDescent="0.3">
      <c r="B97" s="28"/>
      <c r="C97" s="27" t="str">
        <f>DADOS!$Z$4</f>
        <v>🤑 COMISSÃO</v>
      </c>
      <c r="D97" s="26" t="str">
        <f>IF(receitasvariáveisconsolidadoset[[#This Row],[TOTAL (R$)]]=0,"",IF(OR(receitasvariáveisconsolidadoset[[#This Row],[TOTAL (R$)]]=LARGE($AJ$96:$AJ$103,1),receitasvariáveisconsolidadoset[[#This Row],[TOTAL (R$)]]=LARGE($AJ$96:$AJ$103,2)),DADOS!$I$9,""))</f>
        <v/>
      </c>
      <c r="E97" s="96">
        <f>SUMIFS(tabela_registros[VALOR],tabela_registros[MÊS],$AE$1,tabela_registros[DIA],receitasvariáveisconsolidadoset[[#Headers],[1]],tabela_registros[REGISTRO],DADOS!$N$3,tabela_registros[TIPO],DADOS!$V$4,tabela_registros[CATEGORIA],receitasvariáveisconsolidadoset[[#This Row],[ATUAL]])</f>
        <v>0</v>
      </c>
      <c r="F97" s="91">
        <f>SUMIFS(tabela_registros[VALOR],tabela_registros[MÊS],$AE$1,tabela_registros[DIA],receitasvariáveisconsolidadoset[[#Headers],[2]],tabela_registros[REGISTRO],DADOS!$N$3,tabela_registros[TIPO],DADOS!$V$4,tabela_registros[CATEGORIA],receitasvariáveisconsolidadoset[[#This Row],[ATUAL]])</f>
        <v>0</v>
      </c>
      <c r="G97" s="91">
        <f>SUMIFS(tabela_registros[VALOR],tabela_registros[MÊS],$AE$1,tabela_registros[DIA],receitasvariáveisconsolidadoset[[#Headers],[3]],tabela_registros[REGISTRO],DADOS!$N$3,tabela_registros[TIPO],DADOS!$V$4,tabela_registros[CATEGORIA],receitasvariáveisconsolidadoset[[#This Row],[ATUAL]])</f>
        <v>0</v>
      </c>
      <c r="H97" s="91">
        <f>SUMIFS(tabela_registros[VALOR],tabela_registros[MÊS],$AE$1,tabela_registros[DIA],receitasvariáveisconsolidadoset[[#Headers],[4]],tabela_registros[REGISTRO],DADOS!$N$3,tabela_registros[TIPO],DADOS!$V$4,tabela_registros[CATEGORIA],receitasvariáveisconsolidadoset[[#This Row],[ATUAL]])</f>
        <v>0</v>
      </c>
      <c r="I97" s="91">
        <f>SUMIFS(tabela_registros[VALOR],tabela_registros[MÊS],$AE$1,tabela_registros[DIA],receitasvariáveisconsolidadoset[[#Headers],[5]],tabela_registros[REGISTRO],DADOS!$N$3,tabela_registros[TIPO],DADOS!$V$4,tabela_registros[CATEGORIA],receitasvariáveisconsolidadoset[[#This Row],[ATUAL]])</f>
        <v>0</v>
      </c>
      <c r="J97" s="91">
        <f>SUMIFS(tabela_registros[VALOR],tabela_registros[MÊS],$AE$1,tabela_registros[DIA],receitasvariáveisconsolidadoset[[#Headers],[6]],tabela_registros[REGISTRO],DADOS!$N$3,tabela_registros[TIPO],DADOS!$V$4,tabela_registros[CATEGORIA],receitasvariáveisconsolidadoset[[#This Row],[ATUAL]])</f>
        <v>0</v>
      </c>
      <c r="K97" s="91">
        <f>SUMIFS(tabela_registros[VALOR],tabela_registros[MÊS],$AE$1,tabela_registros[DIA],receitasvariáveisconsolidadoset[[#Headers],[7]],tabela_registros[REGISTRO],DADOS!$N$3,tabela_registros[TIPO],DADOS!$V$4,tabela_registros[CATEGORIA],receitasvariáveisconsolidadoset[[#This Row],[ATUAL]])</f>
        <v>0</v>
      </c>
      <c r="L97" s="91">
        <f>SUMIFS(tabela_registros[VALOR],tabela_registros[MÊS],$AE$1,tabela_registros[DIA],receitasvariáveisconsolidadoset[[#Headers],[8]],tabela_registros[REGISTRO],DADOS!$N$3,tabela_registros[TIPO],DADOS!$V$4,tabela_registros[CATEGORIA],receitasvariáveisconsolidadoset[[#This Row],[ATUAL]])</f>
        <v>0</v>
      </c>
      <c r="M97" s="91">
        <f>SUMIFS(tabela_registros[VALOR],tabela_registros[MÊS],$AE$1,tabela_registros[DIA],receitasvariáveisconsolidadoset[[#Headers],[9]],tabela_registros[REGISTRO],DADOS!$N$3,tabela_registros[TIPO],DADOS!$V$4,tabela_registros[CATEGORIA],receitasvariáveisconsolidadoset[[#This Row],[ATUAL]])</f>
        <v>0</v>
      </c>
      <c r="N97" s="91">
        <f>SUMIFS(tabela_registros[VALOR],tabela_registros[MÊS],$AE$1,tabela_registros[DIA],receitasvariáveisconsolidadoset[[#Headers],[10]],tabela_registros[REGISTRO],DADOS!$N$3,tabela_registros[TIPO],DADOS!$V$4,tabela_registros[CATEGORIA],receitasvariáveisconsolidadoset[[#This Row],[ATUAL]])</f>
        <v>0</v>
      </c>
      <c r="O97" s="91">
        <f>SUMIFS(tabela_registros[VALOR],tabela_registros[MÊS],$AE$1,tabela_registros[DIA],receitasvariáveisconsolidadoset[[#Headers],[11]],tabela_registros[REGISTRO],DADOS!$N$3,tabela_registros[TIPO],DADOS!$V$4,tabela_registros[CATEGORIA],receitasvariáveisconsolidadoset[[#This Row],[ATUAL]])</f>
        <v>0</v>
      </c>
      <c r="P97" s="91">
        <f>SUMIFS(tabela_registros[VALOR],tabela_registros[MÊS],$AE$1,tabela_registros[DIA],receitasvariáveisconsolidadoset[[#Headers],[12]],tabela_registros[REGISTRO],DADOS!$N$3,tabela_registros[TIPO],DADOS!$V$4,tabela_registros[CATEGORIA],receitasvariáveisconsolidadoset[[#This Row],[ATUAL]])</f>
        <v>0</v>
      </c>
      <c r="Q97" s="91">
        <f>SUMIFS(tabela_registros[VALOR],tabela_registros[MÊS],$AE$1,tabela_registros[DIA],receitasvariáveisconsolidadoset[[#Headers],[13]],tabela_registros[REGISTRO],DADOS!$N$3,tabela_registros[TIPO],DADOS!$V$4,tabela_registros[CATEGORIA],receitasvariáveisconsolidadoset[[#This Row],[ATUAL]])</f>
        <v>0</v>
      </c>
      <c r="R97" s="91">
        <f>SUMIFS(tabela_registros[VALOR],tabela_registros[MÊS],$AE$1,tabela_registros[DIA],receitasvariáveisconsolidadoset[[#Headers],[14]],tabela_registros[REGISTRO],DADOS!$N$3,tabela_registros[TIPO],DADOS!$V$4,tabela_registros[CATEGORIA],receitasvariáveisconsolidadoset[[#This Row],[ATUAL]])</f>
        <v>0</v>
      </c>
      <c r="S97" s="91">
        <f>SUMIFS(tabela_registros[VALOR],tabela_registros[MÊS],$AE$1,tabela_registros[DIA],receitasvariáveisconsolidadoset[[#Headers],[15]],tabela_registros[REGISTRO],DADOS!$N$3,tabela_registros[TIPO],DADOS!$V$4,tabela_registros[CATEGORIA],receitasvariáveisconsolidadoset[[#This Row],[ATUAL]])</f>
        <v>0</v>
      </c>
      <c r="T97" s="91">
        <f>SUMIFS(tabela_registros[VALOR],tabela_registros[MÊS],$AE$1,tabela_registros[DIA],receitasvariáveisconsolidadoset[[#Headers],[16]],tabela_registros[REGISTRO],DADOS!$N$3,tabela_registros[TIPO],DADOS!$V$4,tabela_registros[CATEGORIA],receitasvariáveisconsolidadoset[[#This Row],[ATUAL]])</f>
        <v>0</v>
      </c>
      <c r="U97" s="91">
        <f>SUMIFS(tabela_registros[VALOR],tabela_registros[MÊS],$AE$1,tabela_registros[DIA],receitasvariáveisconsolidadoset[[#Headers],[17]],tabela_registros[REGISTRO],DADOS!$N$3,tabela_registros[TIPO],DADOS!$V$4,tabela_registros[CATEGORIA],receitasvariáveisconsolidadoset[[#This Row],[ATUAL]])</f>
        <v>0</v>
      </c>
      <c r="V97" s="91">
        <f>SUMIFS(tabela_registros[VALOR],tabela_registros[MÊS],$AE$1,tabela_registros[DIA],receitasvariáveisconsolidadoset[[#Headers],[18]],tabela_registros[REGISTRO],DADOS!$N$3,tabela_registros[TIPO],DADOS!$V$4,tabela_registros[CATEGORIA],receitasvariáveisconsolidadoset[[#This Row],[ATUAL]])</f>
        <v>0</v>
      </c>
      <c r="W97" s="91">
        <f>SUMIFS(tabela_registros[VALOR],tabela_registros[MÊS],$AE$1,tabela_registros[DIA],receitasvariáveisconsolidadoset[[#Headers],[19]],tabela_registros[REGISTRO],DADOS!$N$3,tabela_registros[TIPO],DADOS!$V$4,tabela_registros[CATEGORIA],receitasvariáveisconsolidadoset[[#This Row],[ATUAL]])</f>
        <v>0</v>
      </c>
      <c r="X97" s="91">
        <f>SUMIFS(tabela_registros[VALOR],tabela_registros[MÊS],$AE$1,tabela_registros[DIA],receitasvariáveisconsolidadoset[[#Headers],[20]],tabela_registros[REGISTRO],DADOS!$N$3,tabela_registros[TIPO],DADOS!$V$4,tabela_registros[CATEGORIA],receitasvariáveisconsolidadoset[[#This Row],[ATUAL]])</f>
        <v>0</v>
      </c>
      <c r="Y97" s="91">
        <f>SUMIFS(tabela_registros[VALOR],tabela_registros[MÊS],$AE$1,tabela_registros[DIA],receitasvariáveisconsolidadoset[[#Headers],[21]],tabela_registros[REGISTRO],DADOS!$N$3,tabela_registros[TIPO],DADOS!$V$4,tabela_registros[CATEGORIA],receitasvariáveisconsolidadoset[[#This Row],[ATUAL]])</f>
        <v>0</v>
      </c>
      <c r="Z97" s="91">
        <f>SUMIFS(tabela_registros[VALOR],tabela_registros[MÊS],$AE$1,tabela_registros[DIA],receitasvariáveisconsolidadoset[[#Headers],[22]],tabela_registros[REGISTRO],DADOS!$N$3,tabela_registros[TIPO],DADOS!$V$4,tabela_registros[CATEGORIA],receitasvariáveisconsolidadoset[[#This Row],[ATUAL]])</f>
        <v>0</v>
      </c>
      <c r="AA97" s="91">
        <f>SUMIFS(tabela_registros[VALOR],tabela_registros[MÊS],$AE$1,tabela_registros[DIA],receitasvariáveisconsolidadoset[[#Headers],[23]],tabela_registros[REGISTRO],DADOS!$N$3,tabela_registros[TIPO],DADOS!$V$4,tabela_registros[CATEGORIA],receitasvariáveisconsolidadoset[[#This Row],[ATUAL]])</f>
        <v>0</v>
      </c>
      <c r="AB97" s="91">
        <f>SUMIFS(tabela_registros[VALOR],tabela_registros[MÊS],$AE$1,tabela_registros[DIA],receitasvariáveisconsolidadoset[[#Headers],[24]],tabela_registros[REGISTRO],DADOS!$N$3,tabela_registros[TIPO],DADOS!$V$4,tabela_registros[CATEGORIA],receitasvariáveisconsolidadoset[[#This Row],[ATUAL]])</f>
        <v>0</v>
      </c>
      <c r="AC97" s="91">
        <f>SUMIFS(tabela_registros[VALOR],tabela_registros[MÊS],$AE$1,tabela_registros[DIA],receitasvariáveisconsolidadoset[[#Headers],[25]],tabela_registros[REGISTRO],DADOS!$N$3,tabela_registros[TIPO],DADOS!$V$4,tabela_registros[CATEGORIA],receitasvariáveisconsolidadoset[[#This Row],[ATUAL]])</f>
        <v>0</v>
      </c>
      <c r="AD97" s="91">
        <f>SUMIFS(tabela_registros[VALOR],tabela_registros[MÊS],$AE$1,tabela_registros[DIA],receitasvariáveisconsolidadoset[[#Headers],[26]],tabela_registros[REGISTRO],DADOS!$N$3,tabela_registros[TIPO],DADOS!$V$4,tabela_registros[CATEGORIA],receitasvariáveisconsolidadoset[[#This Row],[ATUAL]])</f>
        <v>0</v>
      </c>
      <c r="AE97" s="91">
        <f>SUMIFS(tabela_registros[VALOR],tabela_registros[MÊS],$AE$1,tabela_registros[DIA],receitasvariáveisconsolidadoset[[#Headers],[27]],tabela_registros[REGISTRO],DADOS!$N$3,tabela_registros[TIPO],DADOS!$V$4,tabela_registros[CATEGORIA],receitasvariáveisconsolidadoset[[#This Row],[ATUAL]])</f>
        <v>0</v>
      </c>
      <c r="AF97" s="91">
        <f>SUMIFS(tabela_registros[VALOR],tabela_registros[MÊS],$AE$1,tabela_registros[DIA],receitasvariáveisconsolidadoset[[#Headers],[28]],tabela_registros[REGISTRO],DADOS!$N$3,tabela_registros[TIPO],DADOS!$V$4,tabela_registros[CATEGORIA],receitasvariáveisconsolidadoset[[#This Row],[ATUAL]])</f>
        <v>0</v>
      </c>
      <c r="AG97" s="91">
        <f>SUMIFS(tabela_registros[VALOR],tabela_registros[MÊS],$AE$1,tabela_registros[DIA],receitasvariáveisconsolidadoset[[#Headers],[29]],tabela_registros[REGISTRO],DADOS!$N$3,tabela_registros[TIPO],DADOS!$V$4,tabela_registros[CATEGORIA],receitasvariáveisconsolidadoset[[#This Row],[ATUAL]])</f>
        <v>0</v>
      </c>
      <c r="AH97" s="91">
        <f>SUMIFS(tabela_registros[VALOR],tabela_registros[MÊS],$AE$1,tabela_registros[DIA],receitasvariáveisconsolidadoset[[#Headers],[30]],tabela_registros[REGISTRO],DADOS!$N$3,tabela_registros[TIPO],DADOS!$V$4,tabela_registros[CATEGORIA],receitasvariáveisconsolidadoset[[#This Row],[ATUAL]])</f>
        <v>0</v>
      </c>
      <c r="AI97" s="101">
        <f>SUMIFS(tabela_registros[VALOR],tabela_registros[MÊS],$AE$1,tabela_registros[DIA],receitasvariáveisconsolidadoset[[#Headers],[31]],tabela_registros[REGISTRO],DADOS!$N$3,tabela_registros[TIPO],DADOS!$V$4,tabela_registros[CATEGORIA],receitasvariáveisconsolidadoset[[#This Row],[ATUAL]])</f>
        <v>0</v>
      </c>
      <c r="AJ97" s="97">
        <f>SUM(receitasvariáveisconsolidadoset[[#This Row],[1]:[31]])</f>
        <v>0</v>
      </c>
      <c r="AK97" s="25"/>
    </row>
    <row r="98" spans="2:37" ht="19.5" customHeight="1" thickTop="1" thickBot="1" x14ac:dyDescent="0.3">
      <c r="B98" s="28"/>
      <c r="C98" s="27" t="str">
        <f>DADOS!$Z$5</f>
        <v>🎗️ HERANÇA</v>
      </c>
      <c r="D98" s="26" t="str">
        <f>IF(receitasvariáveisconsolidadoset[[#This Row],[TOTAL (R$)]]=0,"",IF(OR(receitasvariáveisconsolidadoset[[#This Row],[TOTAL (R$)]]=LARGE($AJ$96:$AJ$103,1),receitasvariáveisconsolidadoset[[#This Row],[TOTAL (R$)]]=LARGE($AJ$96:$AJ$103,2)),DADOS!$I$9,""))</f>
        <v/>
      </c>
      <c r="E98" s="96">
        <f>SUMIFS(tabela_registros[VALOR],tabela_registros[MÊS],$AE$1,tabela_registros[DIA],receitasvariáveisconsolidadoset[[#Headers],[1]],tabela_registros[REGISTRO],DADOS!$N$3,tabela_registros[TIPO],DADOS!$V$4,tabela_registros[CATEGORIA],receitasvariáveisconsolidadoset[[#This Row],[ATUAL]])</f>
        <v>0</v>
      </c>
      <c r="F98" s="91">
        <f>SUMIFS(tabela_registros[VALOR],tabela_registros[MÊS],$AE$1,tabela_registros[DIA],receitasvariáveisconsolidadoset[[#Headers],[2]],tabela_registros[REGISTRO],DADOS!$N$3,tabela_registros[TIPO],DADOS!$V$4,tabela_registros[CATEGORIA],receitasvariáveisconsolidadoset[[#This Row],[ATUAL]])</f>
        <v>0</v>
      </c>
      <c r="G98" s="91">
        <f>SUMIFS(tabela_registros[VALOR],tabela_registros[MÊS],$AE$1,tabela_registros[DIA],receitasvariáveisconsolidadoset[[#Headers],[3]],tabela_registros[REGISTRO],DADOS!$N$3,tabela_registros[TIPO],DADOS!$V$4,tabela_registros[CATEGORIA],receitasvariáveisconsolidadoset[[#This Row],[ATUAL]])</f>
        <v>0</v>
      </c>
      <c r="H98" s="91">
        <f>SUMIFS(tabela_registros[VALOR],tabela_registros[MÊS],$AE$1,tabela_registros[DIA],receitasvariáveisconsolidadoset[[#Headers],[4]],tabela_registros[REGISTRO],DADOS!$N$3,tabela_registros[TIPO],DADOS!$V$4,tabela_registros[CATEGORIA],receitasvariáveisconsolidadoset[[#This Row],[ATUAL]])</f>
        <v>0</v>
      </c>
      <c r="I98" s="91">
        <f>SUMIFS(tabela_registros[VALOR],tabela_registros[MÊS],$AE$1,tabela_registros[DIA],receitasvariáveisconsolidadoset[[#Headers],[5]],tabela_registros[REGISTRO],DADOS!$N$3,tabela_registros[TIPO],DADOS!$V$4,tabela_registros[CATEGORIA],receitasvariáveisconsolidadoset[[#This Row],[ATUAL]])</f>
        <v>0</v>
      </c>
      <c r="J98" s="91">
        <f>SUMIFS(tabela_registros[VALOR],tabela_registros[MÊS],$AE$1,tabela_registros[DIA],receitasvariáveisconsolidadoset[[#Headers],[6]],tabela_registros[REGISTRO],DADOS!$N$3,tabela_registros[TIPO],DADOS!$V$4,tabela_registros[CATEGORIA],receitasvariáveisconsolidadoset[[#This Row],[ATUAL]])</f>
        <v>0</v>
      </c>
      <c r="K98" s="91">
        <f>SUMIFS(tabela_registros[VALOR],tabela_registros[MÊS],$AE$1,tabela_registros[DIA],receitasvariáveisconsolidadoset[[#Headers],[7]],tabela_registros[REGISTRO],DADOS!$N$3,tabela_registros[TIPO],DADOS!$V$4,tabela_registros[CATEGORIA],receitasvariáveisconsolidadoset[[#This Row],[ATUAL]])</f>
        <v>0</v>
      </c>
      <c r="L98" s="91">
        <f>SUMIFS(tabela_registros[VALOR],tabela_registros[MÊS],$AE$1,tabela_registros[DIA],receitasvariáveisconsolidadoset[[#Headers],[8]],tabela_registros[REGISTRO],DADOS!$N$3,tabela_registros[TIPO],DADOS!$V$4,tabela_registros[CATEGORIA],receitasvariáveisconsolidadoset[[#This Row],[ATUAL]])</f>
        <v>0</v>
      </c>
      <c r="M98" s="91">
        <f>SUMIFS(tabela_registros[VALOR],tabela_registros[MÊS],$AE$1,tabela_registros[DIA],receitasvariáveisconsolidadoset[[#Headers],[9]],tabela_registros[REGISTRO],DADOS!$N$3,tabela_registros[TIPO],DADOS!$V$4,tabela_registros[CATEGORIA],receitasvariáveisconsolidadoset[[#This Row],[ATUAL]])</f>
        <v>0</v>
      </c>
      <c r="N98" s="91">
        <f>SUMIFS(tabela_registros[VALOR],tabela_registros[MÊS],$AE$1,tabela_registros[DIA],receitasvariáveisconsolidadoset[[#Headers],[10]],tabela_registros[REGISTRO],DADOS!$N$3,tabela_registros[TIPO],DADOS!$V$4,tabela_registros[CATEGORIA],receitasvariáveisconsolidadoset[[#This Row],[ATUAL]])</f>
        <v>0</v>
      </c>
      <c r="O98" s="91">
        <f>SUMIFS(tabela_registros[VALOR],tabela_registros[MÊS],$AE$1,tabela_registros[DIA],receitasvariáveisconsolidadoset[[#Headers],[11]],tabela_registros[REGISTRO],DADOS!$N$3,tabela_registros[TIPO],DADOS!$V$4,tabela_registros[CATEGORIA],receitasvariáveisconsolidadoset[[#This Row],[ATUAL]])</f>
        <v>0</v>
      </c>
      <c r="P98" s="91">
        <f>SUMIFS(tabela_registros[VALOR],tabela_registros[MÊS],$AE$1,tabela_registros[DIA],receitasvariáveisconsolidadoset[[#Headers],[12]],tabela_registros[REGISTRO],DADOS!$N$3,tabela_registros[TIPO],DADOS!$V$4,tabela_registros[CATEGORIA],receitasvariáveisconsolidadoset[[#This Row],[ATUAL]])</f>
        <v>0</v>
      </c>
      <c r="Q98" s="91">
        <f>SUMIFS(tabela_registros[VALOR],tabela_registros[MÊS],$AE$1,tabela_registros[DIA],receitasvariáveisconsolidadoset[[#Headers],[13]],tabela_registros[REGISTRO],DADOS!$N$3,tabela_registros[TIPO],DADOS!$V$4,tabela_registros[CATEGORIA],receitasvariáveisconsolidadoset[[#This Row],[ATUAL]])</f>
        <v>0</v>
      </c>
      <c r="R98" s="91">
        <f>SUMIFS(tabela_registros[VALOR],tabela_registros[MÊS],$AE$1,tabela_registros[DIA],receitasvariáveisconsolidadoset[[#Headers],[14]],tabela_registros[REGISTRO],DADOS!$N$3,tabela_registros[TIPO],DADOS!$V$4,tabela_registros[CATEGORIA],receitasvariáveisconsolidadoset[[#This Row],[ATUAL]])</f>
        <v>0</v>
      </c>
      <c r="S98" s="91">
        <f>SUMIFS(tabela_registros[VALOR],tabela_registros[MÊS],$AE$1,tabela_registros[DIA],receitasvariáveisconsolidadoset[[#Headers],[15]],tabela_registros[REGISTRO],DADOS!$N$3,tabela_registros[TIPO],DADOS!$V$4,tabela_registros[CATEGORIA],receitasvariáveisconsolidadoset[[#This Row],[ATUAL]])</f>
        <v>0</v>
      </c>
      <c r="T98" s="91">
        <f>SUMIFS(tabela_registros[VALOR],tabela_registros[MÊS],$AE$1,tabela_registros[DIA],receitasvariáveisconsolidadoset[[#Headers],[16]],tabela_registros[REGISTRO],DADOS!$N$3,tabela_registros[TIPO],DADOS!$V$4,tabela_registros[CATEGORIA],receitasvariáveisconsolidadoset[[#This Row],[ATUAL]])</f>
        <v>0</v>
      </c>
      <c r="U98" s="91">
        <f>SUMIFS(tabela_registros[VALOR],tabela_registros[MÊS],$AE$1,tabela_registros[DIA],receitasvariáveisconsolidadoset[[#Headers],[17]],tabela_registros[REGISTRO],DADOS!$N$3,tabela_registros[TIPO],DADOS!$V$4,tabela_registros[CATEGORIA],receitasvariáveisconsolidadoset[[#This Row],[ATUAL]])</f>
        <v>0</v>
      </c>
      <c r="V98" s="91">
        <f>SUMIFS(tabela_registros[VALOR],tabela_registros[MÊS],$AE$1,tabela_registros[DIA],receitasvariáveisconsolidadoset[[#Headers],[18]],tabela_registros[REGISTRO],DADOS!$N$3,tabela_registros[TIPO],DADOS!$V$4,tabela_registros[CATEGORIA],receitasvariáveisconsolidadoset[[#This Row],[ATUAL]])</f>
        <v>0</v>
      </c>
      <c r="W98" s="91">
        <f>SUMIFS(tabela_registros[VALOR],tabela_registros[MÊS],$AE$1,tabela_registros[DIA],receitasvariáveisconsolidadoset[[#Headers],[19]],tabela_registros[REGISTRO],DADOS!$N$3,tabela_registros[TIPO],DADOS!$V$4,tabela_registros[CATEGORIA],receitasvariáveisconsolidadoset[[#This Row],[ATUAL]])</f>
        <v>0</v>
      </c>
      <c r="X98" s="91">
        <f>SUMIFS(tabela_registros[VALOR],tabela_registros[MÊS],$AE$1,tabela_registros[DIA],receitasvariáveisconsolidadoset[[#Headers],[20]],tabela_registros[REGISTRO],DADOS!$N$3,tabela_registros[TIPO],DADOS!$V$4,tabela_registros[CATEGORIA],receitasvariáveisconsolidadoset[[#This Row],[ATUAL]])</f>
        <v>0</v>
      </c>
      <c r="Y98" s="91">
        <f>SUMIFS(tabela_registros[VALOR],tabela_registros[MÊS],$AE$1,tabela_registros[DIA],receitasvariáveisconsolidadoset[[#Headers],[21]],tabela_registros[REGISTRO],DADOS!$N$3,tabela_registros[TIPO],DADOS!$V$4,tabela_registros[CATEGORIA],receitasvariáveisconsolidadoset[[#This Row],[ATUAL]])</f>
        <v>0</v>
      </c>
      <c r="Z98" s="91">
        <f>SUMIFS(tabela_registros[VALOR],tabela_registros[MÊS],$AE$1,tabela_registros[DIA],receitasvariáveisconsolidadoset[[#Headers],[22]],tabela_registros[REGISTRO],DADOS!$N$3,tabela_registros[TIPO],DADOS!$V$4,tabela_registros[CATEGORIA],receitasvariáveisconsolidadoset[[#This Row],[ATUAL]])</f>
        <v>0</v>
      </c>
      <c r="AA98" s="91">
        <f>SUMIFS(tabela_registros[VALOR],tabela_registros[MÊS],$AE$1,tabela_registros[DIA],receitasvariáveisconsolidadoset[[#Headers],[23]],tabela_registros[REGISTRO],DADOS!$N$3,tabela_registros[TIPO],DADOS!$V$4,tabela_registros[CATEGORIA],receitasvariáveisconsolidadoset[[#This Row],[ATUAL]])</f>
        <v>0</v>
      </c>
      <c r="AB98" s="91">
        <f>SUMIFS(tabela_registros[VALOR],tabela_registros[MÊS],$AE$1,tabela_registros[DIA],receitasvariáveisconsolidadoset[[#Headers],[24]],tabela_registros[REGISTRO],DADOS!$N$3,tabela_registros[TIPO],DADOS!$V$4,tabela_registros[CATEGORIA],receitasvariáveisconsolidadoset[[#This Row],[ATUAL]])</f>
        <v>0</v>
      </c>
      <c r="AC98" s="91">
        <f>SUMIFS(tabela_registros[VALOR],tabela_registros[MÊS],$AE$1,tabela_registros[DIA],receitasvariáveisconsolidadoset[[#Headers],[25]],tabela_registros[REGISTRO],DADOS!$N$3,tabela_registros[TIPO],DADOS!$V$4,tabela_registros[CATEGORIA],receitasvariáveisconsolidadoset[[#This Row],[ATUAL]])</f>
        <v>0</v>
      </c>
      <c r="AD98" s="91">
        <f>SUMIFS(tabela_registros[VALOR],tabela_registros[MÊS],$AE$1,tabela_registros[DIA],receitasvariáveisconsolidadoset[[#Headers],[26]],tabela_registros[REGISTRO],DADOS!$N$3,tabela_registros[TIPO],DADOS!$V$4,tabela_registros[CATEGORIA],receitasvariáveisconsolidadoset[[#This Row],[ATUAL]])</f>
        <v>0</v>
      </c>
      <c r="AE98" s="91">
        <f>SUMIFS(tabela_registros[VALOR],tabela_registros[MÊS],$AE$1,tabela_registros[DIA],receitasvariáveisconsolidadoset[[#Headers],[27]],tabela_registros[REGISTRO],DADOS!$N$3,tabela_registros[TIPO],DADOS!$V$4,tabela_registros[CATEGORIA],receitasvariáveisconsolidadoset[[#This Row],[ATUAL]])</f>
        <v>0</v>
      </c>
      <c r="AF98" s="91">
        <f>SUMIFS(tabela_registros[VALOR],tabela_registros[MÊS],$AE$1,tabela_registros[DIA],receitasvariáveisconsolidadoset[[#Headers],[28]],tabela_registros[REGISTRO],DADOS!$N$3,tabela_registros[TIPO],DADOS!$V$4,tabela_registros[CATEGORIA],receitasvariáveisconsolidadoset[[#This Row],[ATUAL]])</f>
        <v>0</v>
      </c>
      <c r="AG98" s="91">
        <f>SUMIFS(tabela_registros[VALOR],tabela_registros[MÊS],$AE$1,tabela_registros[DIA],receitasvariáveisconsolidadoset[[#Headers],[29]],tabela_registros[REGISTRO],DADOS!$N$3,tabela_registros[TIPO],DADOS!$V$4,tabela_registros[CATEGORIA],receitasvariáveisconsolidadoset[[#This Row],[ATUAL]])</f>
        <v>0</v>
      </c>
      <c r="AH98" s="91">
        <f>SUMIFS(tabela_registros[VALOR],tabela_registros[MÊS],$AE$1,tabela_registros[DIA],receitasvariáveisconsolidadoset[[#Headers],[30]],tabela_registros[REGISTRO],DADOS!$N$3,tabela_registros[TIPO],DADOS!$V$4,tabela_registros[CATEGORIA],receitasvariáveisconsolidadoset[[#This Row],[ATUAL]])</f>
        <v>0</v>
      </c>
      <c r="AI98" s="101">
        <f>SUMIFS(tabela_registros[VALOR],tabela_registros[MÊS],$AE$1,tabela_registros[DIA],receitasvariáveisconsolidadoset[[#Headers],[31]],tabela_registros[REGISTRO],DADOS!$N$3,tabela_registros[TIPO],DADOS!$V$4,tabela_registros[CATEGORIA],receitasvariáveisconsolidadoset[[#This Row],[ATUAL]])</f>
        <v>0</v>
      </c>
      <c r="AJ98" s="97">
        <f>SUM(receitasvariáveisconsolidadoset[[#This Row],[1]:[31]])</f>
        <v>0</v>
      </c>
      <c r="AK98" s="25"/>
    </row>
    <row r="99" spans="2:37" ht="19.5" customHeight="1" thickTop="1" thickBot="1" x14ac:dyDescent="0.3">
      <c r="B99" s="28"/>
      <c r="C99" s="27" t="str">
        <f>DADOS!$Z$6</f>
        <v>💲 INVESTIMENTOS</v>
      </c>
      <c r="D99" s="26" t="str">
        <f>IF(receitasvariáveisconsolidadoset[[#This Row],[TOTAL (R$)]]=0,"",IF(OR(receitasvariáveisconsolidadoset[[#This Row],[TOTAL (R$)]]=LARGE($AJ$96:$AJ$103,1),receitasvariáveisconsolidadoset[[#This Row],[TOTAL (R$)]]=LARGE($AJ$96:$AJ$103,2)),DADOS!$I$9,""))</f>
        <v/>
      </c>
      <c r="E99" s="96">
        <f>SUMIFS(tabela_registros[VALOR],tabela_registros[MÊS],$AE$1,tabela_registros[DIA],receitasvariáveisconsolidadoset[[#Headers],[1]],tabela_registros[REGISTRO],DADOS!$N$3,tabela_registros[TIPO],DADOS!$V$4,tabela_registros[CATEGORIA],receitasvariáveisconsolidadoset[[#This Row],[ATUAL]])</f>
        <v>0</v>
      </c>
      <c r="F99" s="91">
        <f>SUMIFS(tabela_registros[VALOR],tabela_registros[MÊS],$AE$1,tabela_registros[DIA],receitasvariáveisconsolidadoset[[#Headers],[2]],tabela_registros[REGISTRO],DADOS!$N$3,tabela_registros[TIPO],DADOS!$V$4,tabela_registros[CATEGORIA],receitasvariáveisconsolidadoset[[#This Row],[ATUAL]])</f>
        <v>0</v>
      </c>
      <c r="G99" s="91">
        <f>SUMIFS(tabela_registros[VALOR],tabela_registros[MÊS],$AE$1,tabela_registros[DIA],receitasvariáveisconsolidadoset[[#Headers],[3]],tabela_registros[REGISTRO],DADOS!$N$3,tabela_registros[TIPO],DADOS!$V$4,tabela_registros[CATEGORIA],receitasvariáveisconsolidadoset[[#This Row],[ATUAL]])</f>
        <v>0</v>
      </c>
      <c r="H99" s="91">
        <f>SUMIFS(tabela_registros[VALOR],tabela_registros[MÊS],$AE$1,tabela_registros[DIA],receitasvariáveisconsolidadoset[[#Headers],[4]],tabela_registros[REGISTRO],DADOS!$N$3,tabela_registros[TIPO],DADOS!$V$4,tabela_registros[CATEGORIA],receitasvariáveisconsolidadoset[[#This Row],[ATUAL]])</f>
        <v>0</v>
      </c>
      <c r="I99" s="91">
        <f>SUMIFS(tabela_registros[VALOR],tabela_registros[MÊS],$AE$1,tabela_registros[DIA],receitasvariáveisconsolidadoset[[#Headers],[5]],tabela_registros[REGISTRO],DADOS!$N$3,tabela_registros[TIPO],DADOS!$V$4,tabela_registros[CATEGORIA],receitasvariáveisconsolidadoset[[#This Row],[ATUAL]])</f>
        <v>0</v>
      </c>
      <c r="J99" s="91">
        <f>SUMIFS(tabela_registros[VALOR],tabela_registros[MÊS],$AE$1,tabela_registros[DIA],receitasvariáveisconsolidadoset[[#Headers],[6]],tabela_registros[REGISTRO],DADOS!$N$3,tabela_registros[TIPO],DADOS!$V$4,tabela_registros[CATEGORIA],receitasvariáveisconsolidadoset[[#This Row],[ATUAL]])</f>
        <v>0</v>
      </c>
      <c r="K99" s="91">
        <f>SUMIFS(tabela_registros[VALOR],tabela_registros[MÊS],$AE$1,tabela_registros[DIA],receitasvariáveisconsolidadoset[[#Headers],[7]],tabela_registros[REGISTRO],DADOS!$N$3,tabela_registros[TIPO],DADOS!$V$4,tabela_registros[CATEGORIA],receitasvariáveisconsolidadoset[[#This Row],[ATUAL]])</f>
        <v>0</v>
      </c>
      <c r="L99" s="91">
        <f>SUMIFS(tabela_registros[VALOR],tabela_registros[MÊS],$AE$1,tabela_registros[DIA],receitasvariáveisconsolidadoset[[#Headers],[8]],tabela_registros[REGISTRO],DADOS!$N$3,tabela_registros[TIPO],DADOS!$V$4,tabela_registros[CATEGORIA],receitasvariáveisconsolidadoset[[#This Row],[ATUAL]])</f>
        <v>0</v>
      </c>
      <c r="M99" s="91">
        <f>SUMIFS(tabela_registros[VALOR],tabela_registros[MÊS],$AE$1,tabela_registros[DIA],receitasvariáveisconsolidadoset[[#Headers],[9]],tabela_registros[REGISTRO],DADOS!$N$3,tabela_registros[TIPO],DADOS!$V$4,tabela_registros[CATEGORIA],receitasvariáveisconsolidadoset[[#This Row],[ATUAL]])</f>
        <v>0</v>
      </c>
      <c r="N99" s="91">
        <f>SUMIFS(tabela_registros[VALOR],tabela_registros[MÊS],$AE$1,tabela_registros[DIA],receitasvariáveisconsolidadoset[[#Headers],[10]],tabela_registros[REGISTRO],DADOS!$N$3,tabela_registros[TIPO],DADOS!$V$4,tabela_registros[CATEGORIA],receitasvariáveisconsolidadoset[[#This Row],[ATUAL]])</f>
        <v>0</v>
      </c>
      <c r="O99" s="91">
        <f>SUMIFS(tabela_registros[VALOR],tabela_registros[MÊS],$AE$1,tabela_registros[DIA],receitasvariáveisconsolidadoset[[#Headers],[11]],tabela_registros[REGISTRO],DADOS!$N$3,tabela_registros[TIPO],DADOS!$V$4,tabela_registros[CATEGORIA],receitasvariáveisconsolidadoset[[#This Row],[ATUAL]])</f>
        <v>0</v>
      </c>
      <c r="P99" s="91">
        <f>SUMIFS(tabela_registros[VALOR],tabela_registros[MÊS],$AE$1,tabela_registros[DIA],receitasvariáveisconsolidadoset[[#Headers],[12]],tabela_registros[REGISTRO],DADOS!$N$3,tabela_registros[TIPO],DADOS!$V$4,tabela_registros[CATEGORIA],receitasvariáveisconsolidadoset[[#This Row],[ATUAL]])</f>
        <v>0</v>
      </c>
      <c r="Q99" s="91">
        <f>SUMIFS(tabela_registros[VALOR],tabela_registros[MÊS],$AE$1,tabela_registros[DIA],receitasvariáveisconsolidadoset[[#Headers],[13]],tabela_registros[REGISTRO],DADOS!$N$3,tabela_registros[TIPO],DADOS!$V$4,tabela_registros[CATEGORIA],receitasvariáveisconsolidadoset[[#This Row],[ATUAL]])</f>
        <v>0</v>
      </c>
      <c r="R99" s="91">
        <f>SUMIFS(tabela_registros[VALOR],tabela_registros[MÊS],$AE$1,tabela_registros[DIA],receitasvariáveisconsolidadoset[[#Headers],[14]],tabela_registros[REGISTRO],DADOS!$N$3,tabela_registros[TIPO],DADOS!$V$4,tabela_registros[CATEGORIA],receitasvariáveisconsolidadoset[[#This Row],[ATUAL]])</f>
        <v>0</v>
      </c>
      <c r="S99" s="91">
        <f>SUMIFS(tabela_registros[VALOR],tabela_registros[MÊS],$AE$1,tabela_registros[DIA],receitasvariáveisconsolidadoset[[#Headers],[15]],tabela_registros[REGISTRO],DADOS!$N$3,tabela_registros[TIPO],DADOS!$V$4,tabela_registros[CATEGORIA],receitasvariáveisconsolidadoset[[#This Row],[ATUAL]])</f>
        <v>0</v>
      </c>
      <c r="T99" s="91">
        <f>SUMIFS(tabela_registros[VALOR],tabela_registros[MÊS],$AE$1,tabela_registros[DIA],receitasvariáveisconsolidadoset[[#Headers],[16]],tabela_registros[REGISTRO],DADOS!$N$3,tabela_registros[TIPO],DADOS!$V$4,tabela_registros[CATEGORIA],receitasvariáveisconsolidadoset[[#This Row],[ATUAL]])</f>
        <v>0</v>
      </c>
      <c r="U99" s="91">
        <f>SUMIFS(tabela_registros[VALOR],tabela_registros[MÊS],$AE$1,tabela_registros[DIA],receitasvariáveisconsolidadoset[[#Headers],[17]],tabela_registros[REGISTRO],DADOS!$N$3,tabela_registros[TIPO],DADOS!$V$4,tabela_registros[CATEGORIA],receitasvariáveisconsolidadoset[[#This Row],[ATUAL]])</f>
        <v>0</v>
      </c>
      <c r="V99" s="91">
        <f>SUMIFS(tabela_registros[VALOR],tabela_registros[MÊS],$AE$1,tabela_registros[DIA],receitasvariáveisconsolidadoset[[#Headers],[18]],tabela_registros[REGISTRO],DADOS!$N$3,tabela_registros[TIPO],DADOS!$V$4,tabela_registros[CATEGORIA],receitasvariáveisconsolidadoset[[#This Row],[ATUAL]])</f>
        <v>0</v>
      </c>
      <c r="W99" s="91">
        <f>SUMIFS(tabela_registros[VALOR],tabela_registros[MÊS],$AE$1,tabela_registros[DIA],receitasvariáveisconsolidadoset[[#Headers],[19]],tabela_registros[REGISTRO],DADOS!$N$3,tabela_registros[TIPO],DADOS!$V$4,tabela_registros[CATEGORIA],receitasvariáveisconsolidadoset[[#This Row],[ATUAL]])</f>
        <v>0</v>
      </c>
      <c r="X99" s="91">
        <f>SUMIFS(tabela_registros[VALOR],tabela_registros[MÊS],$AE$1,tabela_registros[DIA],receitasvariáveisconsolidadoset[[#Headers],[20]],tabela_registros[REGISTRO],DADOS!$N$3,tabela_registros[TIPO],DADOS!$V$4,tabela_registros[CATEGORIA],receitasvariáveisconsolidadoset[[#This Row],[ATUAL]])</f>
        <v>0</v>
      </c>
      <c r="Y99" s="91">
        <f>SUMIFS(tabela_registros[VALOR],tabela_registros[MÊS],$AE$1,tabela_registros[DIA],receitasvariáveisconsolidadoset[[#Headers],[21]],tabela_registros[REGISTRO],DADOS!$N$3,tabela_registros[TIPO],DADOS!$V$4,tabela_registros[CATEGORIA],receitasvariáveisconsolidadoset[[#This Row],[ATUAL]])</f>
        <v>0</v>
      </c>
      <c r="Z99" s="91">
        <f>SUMIFS(tabela_registros[VALOR],tabela_registros[MÊS],$AE$1,tabela_registros[DIA],receitasvariáveisconsolidadoset[[#Headers],[22]],tabela_registros[REGISTRO],DADOS!$N$3,tabela_registros[TIPO],DADOS!$V$4,tabela_registros[CATEGORIA],receitasvariáveisconsolidadoset[[#This Row],[ATUAL]])</f>
        <v>0</v>
      </c>
      <c r="AA99" s="91">
        <f>SUMIFS(tabela_registros[VALOR],tabela_registros[MÊS],$AE$1,tabela_registros[DIA],receitasvariáveisconsolidadoset[[#Headers],[23]],tabela_registros[REGISTRO],DADOS!$N$3,tabela_registros[TIPO],DADOS!$V$4,tabela_registros[CATEGORIA],receitasvariáveisconsolidadoset[[#This Row],[ATUAL]])</f>
        <v>0</v>
      </c>
      <c r="AB99" s="91">
        <f>SUMIFS(tabela_registros[VALOR],tabela_registros[MÊS],$AE$1,tabela_registros[DIA],receitasvariáveisconsolidadoset[[#Headers],[24]],tabela_registros[REGISTRO],DADOS!$N$3,tabela_registros[TIPO],DADOS!$V$4,tabela_registros[CATEGORIA],receitasvariáveisconsolidadoset[[#This Row],[ATUAL]])</f>
        <v>0</v>
      </c>
      <c r="AC99" s="91">
        <f>SUMIFS(tabela_registros[VALOR],tabela_registros[MÊS],$AE$1,tabela_registros[DIA],receitasvariáveisconsolidadoset[[#Headers],[25]],tabela_registros[REGISTRO],DADOS!$N$3,tabela_registros[TIPO],DADOS!$V$4,tabela_registros[CATEGORIA],receitasvariáveisconsolidadoset[[#This Row],[ATUAL]])</f>
        <v>0</v>
      </c>
      <c r="AD99" s="91">
        <f>SUMIFS(tabela_registros[VALOR],tabela_registros[MÊS],$AE$1,tabela_registros[DIA],receitasvariáveisconsolidadoset[[#Headers],[26]],tabela_registros[REGISTRO],DADOS!$N$3,tabela_registros[TIPO],DADOS!$V$4,tabela_registros[CATEGORIA],receitasvariáveisconsolidadoset[[#This Row],[ATUAL]])</f>
        <v>0</v>
      </c>
      <c r="AE99" s="91">
        <f>SUMIFS(tabela_registros[VALOR],tabela_registros[MÊS],$AE$1,tabela_registros[DIA],receitasvariáveisconsolidadoset[[#Headers],[27]],tabela_registros[REGISTRO],DADOS!$N$3,tabela_registros[TIPO],DADOS!$V$4,tabela_registros[CATEGORIA],receitasvariáveisconsolidadoset[[#This Row],[ATUAL]])</f>
        <v>0</v>
      </c>
      <c r="AF99" s="91">
        <f>SUMIFS(tabela_registros[VALOR],tabela_registros[MÊS],$AE$1,tabela_registros[DIA],receitasvariáveisconsolidadoset[[#Headers],[28]],tabela_registros[REGISTRO],DADOS!$N$3,tabela_registros[TIPO],DADOS!$V$4,tabela_registros[CATEGORIA],receitasvariáveisconsolidadoset[[#This Row],[ATUAL]])</f>
        <v>0</v>
      </c>
      <c r="AG99" s="91">
        <f>SUMIFS(tabela_registros[VALOR],tabela_registros[MÊS],$AE$1,tabela_registros[DIA],receitasvariáveisconsolidadoset[[#Headers],[29]],tabela_registros[REGISTRO],DADOS!$N$3,tabela_registros[TIPO],DADOS!$V$4,tabela_registros[CATEGORIA],receitasvariáveisconsolidadoset[[#This Row],[ATUAL]])</f>
        <v>0</v>
      </c>
      <c r="AH99" s="91">
        <f>SUMIFS(tabela_registros[VALOR],tabela_registros[MÊS],$AE$1,tabela_registros[DIA],receitasvariáveisconsolidadoset[[#Headers],[30]],tabela_registros[REGISTRO],DADOS!$N$3,tabela_registros[TIPO],DADOS!$V$4,tabela_registros[CATEGORIA],receitasvariáveisconsolidadoset[[#This Row],[ATUAL]])</f>
        <v>0</v>
      </c>
      <c r="AI99" s="101">
        <f>SUMIFS(tabela_registros[VALOR],tabela_registros[MÊS],$AE$1,tabela_registros[DIA],receitasvariáveisconsolidadoset[[#Headers],[31]],tabela_registros[REGISTRO],DADOS!$N$3,tabela_registros[TIPO],DADOS!$V$4,tabela_registros[CATEGORIA],receitasvariáveisconsolidadoset[[#This Row],[ATUAL]])</f>
        <v>0</v>
      </c>
      <c r="AJ99" s="97">
        <f>SUM(receitasvariáveisconsolidadoset[[#This Row],[1]:[31]])</f>
        <v>0</v>
      </c>
      <c r="AK99" s="25"/>
    </row>
    <row r="100" spans="2:37" ht="19.5" customHeight="1" thickTop="1" thickBot="1" x14ac:dyDescent="0.3">
      <c r="B100" s="28"/>
      <c r="C100" s="27" t="str">
        <f>DADOS!$Z$7</f>
        <v>🧾 NOTA DE SERVIÇO</v>
      </c>
      <c r="D100" s="26" t="str">
        <f>IF(receitasvariáveisconsolidadoset[[#This Row],[TOTAL (R$)]]=0,"",IF(OR(receitasvariáveisconsolidadoset[[#This Row],[TOTAL (R$)]]=LARGE($AJ$96:$AJ$103,1),receitasvariáveisconsolidadoset[[#This Row],[TOTAL (R$)]]=LARGE($AJ$96:$AJ$103,2)),DADOS!$I$9,""))</f>
        <v/>
      </c>
      <c r="E100" s="96">
        <f>SUMIFS(tabela_registros[VALOR],tabela_registros[MÊS],$AE$1,tabela_registros[DIA],receitasvariáveisconsolidadoset[[#Headers],[1]],tabela_registros[REGISTRO],DADOS!$N$3,tabela_registros[TIPO],DADOS!$V$4,tabela_registros[CATEGORIA],receitasvariáveisconsolidadoset[[#This Row],[ATUAL]])</f>
        <v>0</v>
      </c>
      <c r="F100" s="91">
        <f>SUMIFS(tabela_registros[VALOR],tabela_registros[MÊS],$AE$1,tabela_registros[DIA],receitasvariáveisconsolidadoset[[#Headers],[2]],tabela_registros[REGISTRO],DADOS!$N$3,tabela_registros[TIPO],DADOS!$V$4,tabela_registros[CATEGORIA],receitasvariáveisconsolidadoset[[#This Row],[ATUAL]])</f>
        <v>0</v>
      </c>
      <c r="G100" s="91">
        <f>SUMIFS(tabela_registros[VALOR],tabela_registros[MÊS],$AE$1,tabela_registros[DIA],receitasvariáveisconsolidadoset[[#Headers],[3]],tabela_registros[REGISTRO],DADOS!$N$3,tabela_registros[TIPO],DADOS!$V$4,tabela_registros[CATEGORIA],receitasvariáveisconsolidadoset[[#This Row],[ATUAL]])</f>
        <v>0</v>
      </c>
      <c r="H100" s="91">
        <f>SUMIFS(tabela_registros[VALOR],tabela_registros[MÊS],$AE$1,tabela_registros[DIA],receitasvariáveisconsolidadoset[[#Headers],[4]],tabela_registros[REGISTRO],DADOS!$N$3,tabela_registros[TIPO],DADOS!$V$4,tabela_registros[CATEGORIA],receitasvariáveisconsolidadoset[[#This Row],[ATUAL]])</f>
        <v>0</v>
      </c>
      <c r="I100" s="91">
        <f>SUMIFS(tabela_registros[VALOR],tabela_registros[MÊS],$AE$1,tabela_registros[DIA],receitasvariáveisconsolidadoset[[#Headers],[5]],tabela_registros[REGISTRO],DADOS!$N$3,tabela_registros[TIPO],DADOS!$V$4,tabela_registros[CATEGORIA],receitasvariáveisconsolidadoset[[#This Row],[ATUAL]])</f>
        <v>0</v>
      </c>
      <c r="J100" s="91">
        <f>SUMIFS(tabela_registros[VALOR],tabela_registros[MÊS],$AE$1,tabela_registros[DIA],receitasvariáveisconsolidadoset[[#Headers],[6]],tabela_registros[REGISTRO],DADOS!$N$3,tabela_registros[TIPO],DADOS!$V$4,tabela_registros[CATEGORIA],receitasvariáveisconsolidadoset[[#This Row],[ATUAL]])</f>
        <v>0</v>
      </c>
      <c r="K100" s="91">
        <f>SUMIFS(tabela_registros[VALOR],tabela_registros[MÊS],$AE$1,tabela_registros[DIA],receitasvariáveisconsolidadoset[[#Headers],[7]],tabela_registros[REGISTRO],DADOS!$N$3,tabela_registros[TIPO],DADOS!$V$4,tabela_registros[CATEGORIA],receitasvariáveisconsolidadoset[[#This Row],[ATUAL]])</f>
        <v>0</v>
      </c>
      <c r="L100" s="91">
        <f>SUMIFS(tabela_registros[VALOR],tabela_registros[MÊS],$AE$1,tabela_registros[DIA],receitasvariáveisconsolidadoset[[#Headers],[8]],tabela_registros[REGISTRO],DADOS!$N$3,tabela_registros[TIPO],DADOS!$V$4,tabela_registros[CATEGORIA],receitasvariáveisconsolidadoset[[#This Row],[ATUAL]])</f>
        <v>0</v>
      </c>
      <c r="M100" s="91">
        <f>SUMIFS(tabela_registros[VALOR],tabela_registros[MÊS],$AE$1,tabela_registros[DIA],receitasvariáveisconsolidadoset[[#Headers],[9]],tabela_registros[REGISTRO],DADOS!$N$3,tabela_registros[TIPO],DADOS!$V$4,tabela_registros[CATEGORIA],receitasvariáveisconsolidadoset[[#This Row],[ATUAL]])</f>
        <v>0</v>
      </c>
      <c r="N100" s="91">
        <f>SUMIFS(tabela_registros[VALOR],tabela_registros[MÊS],$AE$1,tabela_registros[DIA],receitasvariáveisconsolidadoset[[#Headers],[10]],tabela_registros[REGISTRO],DADOS!$N$3,tabela_registros[TIPO],DADOS!$V$4,tabela_registros[CATEGORIA],receitasvariáveisconsolidadoset[[#This Row],[ATUAL]])</f>
        <v>0</v>
      </c>
      <c r="O100" s="91">
        <f>SUMIFS(tabela_registros[VALOR],tabela_registros[MÊS],$AE$1,tabela_registros[DIA],receitasvariáveisconsolidadoset[[#Headers],[11]],tabela_registros[REGISTRO],DADOS!$N$3,tabela_registros[TIPO],DADOS!$V$4,tabela_registros[CATEGORIA],receitasvariáveisconsolidadoset[[#This Row],[ATUAL]])</f>
        <v>0</v>
      </c>
      <c r="P100" s="91">
        <f>SUMIFS(tabela_registros[VALOR],tabela_registros[MÊS],$AE$1,tabela_registros[DIA],receitasvariáveisconsolidadoset[[#Headers],[12]],tabela_registros[REGISTRO],DADOS!$N$3,tabela_registros[TIPO],DADOS!$V$4,tabela_registros[CATEGORIA],receitasvariáveisconsolidadoset[[#This Row],[ATUAL]])</f>
        <v>0</v>
      </c>
      <c r="Q100" s="91">
        <f>SUMIFS(tabela_registros[VALOR],tabela_registros[MÊS],$AE$1,tabela_registros[DIA],receitasvariáveisconsolidadoset[[#Headers],[13]],tabela_registros[REGISTRO],DADOS!$N$3,tabela_registros[TIPO],DADOS!$V$4,tabela_registros[CATEGORIA],receitasvariáveisconsolidadoset[[#This Row],[ATUAL]])</f>
        <v>0</v>
      </c>
      <c r="R100" s="91">
        <f>SUMIFS(tabela_registros[VALOR],tabela_registros[MÊS],$AE$1,tabela_registros[DIA],receitasvariáveisconsolidadoset[[#Headers],[14]],tabela_registros[REGISTRO],DADOS!$N$3,tabela_registros[TIPO],DADOS!$V$4,tabela_registros[CATEGORIA],receitasvariáveisconsolidadoset[[#This Row],[ATUAL]])</f>
        <v>0</v>
      </c>
      <c r="S100" s="91">
        <f>SUMIFS(tabela_registros[VALOR],tabela_registros[MÊS],$AE$1,tabela_registros[DIA],receitasvariáveisconsolidadoset[[#Headers],[15]],tabela_registros[REGISTRO],DADOS!$N$3,tabela_registros[TIPO],DADOS!$V$4,tabela_registros[CATEGORIA],receitasvariáveisconsolidadoset[[#This Row],[ATUAL]])</f>
        <v>0</v>
      </c>
      <c r="T100" s="91">
        <f>SUMIFS(tabela_registros[VALOR],tabela_registros[MÊS],$AE$1,tabela_registros[DIA],receitasvariáveisconsolidadoset[[#Headers],[16]],tabela_registros[REGISTRO],DADOS!$N$3,tabela_registros[TIPO],DADOS!$V$4,tabela_registros[CATEGORIA],receitasvariáveisconsolidadoset[[#This Row],[ATUAL]])</f>
        <v>0</v>
      </c>
      <c r="U100" s="91">
        <f>SUMIFS(tabela_registros[VALOR],tabela_registros[MÊS],$AE$1,tabela_registros[DIA],receitasvariáveisconsolidadoset[[#Headers],[17]],tabela_registros[REGISTRO],DADOS!$N$3,tabela_registros[TIPO],DADOS!$V$4,tabela_registros[CATEGORIA],receitasvariáveisconsolidadoset[[#This Row],[ATUAL]])</f>
        <v>0</v>
      </c>
      <c r="V100" s="91">
        <f>SUMIFS(tabela_registros[VALOR],tabela_registros[MÊS],$AE$1,tabela_registros[DIA],receitasvariáveisconsolidadoset[[#Headers],[18]],tabela_registros[REGISTRO],DADOS!$N$3,tabela_registros[TIPO],DADOS!$V$4,tabela_registros[CATEGORIA],receitasvariáveisconsolidadoset[[#This Row],[ATUAL]])</f>
        <v>0</v>
      </c>
      <c r="W100" s="91">
        <f>SUMIFS(tabela_registros[VALOR],tabela_registros[MÊS],$AE$1,tabela_registros[DIA],receitasvariáveisconsolidadoset[[#Headers],[19]],tabela_registros[REGISTRO],DADOS!$N$3,tabela_registros[TIPO],DADOS!$V$4,tabela_registros[CATEGORIA],receitasvariáveisconsolidadoset[[#This Row],[ATUAL]])</f>
        <v>0</v>
      </c>
      <c r="X100" s="91">
        <f>SUMIFS(tabela_registros[VALOR],tabela_registros[MÊS],$AE$1,tabela_registros[DIA],receitasvariáveisconsolidadoset[[#Headers],[20]],tabela_registros[REGISTRO],DADOS!$N$3,tabela_registros[TIPO],DADOS!$V$4,tabela_registros[CATEGORIA],receitasvariáveisconsolidadoset[[#This Row],[ATUAL]])</f>
        <v>0</v>
      </c>
      <c r="Y100" s="91">
        <f>SUMIFS(tabela_registros[VALOR],tabela_registros[MÊS],$AE$1,tabela_registros[DIA],receitasvariáveisconsolidadoset[[#Headers],[21]],tabela_registros[REGISTRO],DADOS!$N$3,tabela_registros[TIPO],DADOS!$V$4,tabela_registros[CATEGORIA],receitasvariáveisconsolidadoset[[#This Row],[ATUAL]])</f>
        <v>0</v>
      </c>
      <c r="Z100" s="91">
        <f>SUMIFS(tabela_registros[VALOR],tabela_registros[MÊS],$AE$1,tabela_registros[DIA],receitasvariáveisconsolidadoset[[#Headers],[22]],tabela_registros[REGISTRO],DADOS!$N$3,tabela_registros[TIPO],DADOS!$V$4,tabela_registros[CATEGORIA],receitasvariáveisconsolidadoset[[#This Row],[ATUAL]])</f>
        <v>0</v>
      </c>
      <c r="AA100" s="91">
        <f>SUMIFS(tabela_registros[VALOR],tabela_registros[MÊS],$AE$1,tabela_registros[DIA],receitasvariáveisconsolidadoset[[#Headers],[23]],tabela_registros[REGISTRO],DADOS!$N$3,tabela_registros[TIPO],DADOS!$V$4,tabela_registros[CATEGORIA],receitasvariáveisconsolidadoset[[#This Row],[ATUAL]])</f>
        <v>0</v>
      </c>
      <c r="AB100" s="91">
        <f>SUMIFS(tabela_registros[VALOR],tabela_registros[MÊS],$AE$1,tabela_registros[DIA],receitasvariáveisconsolidadoset[[#Headers],[24]],tabela_registros[REGISTRO],DADOS!$N$3,tabela_registros[TIPO],DADOS!$V$4,tabela_registros[CATEGORIA],receitasvariáveisconsolidadoset[[#This Row],[ATUAL]])</f>
        <v>0</v>
      </c>
      <c r="AC100" s="91">
        <f>SUMIFS(tabela_registros[VALOR],tabela_registros[MÊS],$AE$1,tabela_registros[DIA],receitasvariáveisconsolidadoset[[#Headers],[25]],tabela_registros[REGISTRO],DADOS!$N$3,tabela_registros[TIPO],DADOS!$V$4,tabela_registros[CATEGORIA],receitasvariáveisconsolidadoset[[#This Row],[ATUAL]])</f>
        <v>0</v>
      </c>
      <c r="AD100" s="91">
        <f>SUMIFS(tabela_registros[VALOR],tabela_registros[MÊS],$AE$1,tabela_registros[DIA],receitasvariáveisconsolidadoset[[#Headers],[26]],tabela_registros[REGISTRO],DADOS!$N$3,tabela_registros[TIPO],DADOS!$V$4,tabela_registros[CATEGORIA],receitasvariáveisconsolidadoset[[#This Row],[ATUAL]])</f>
        <v>0</v>
      </c>
      <c r="AE100" s="91">
        <f>SUMIFS(tabela_registros[VALOR],tabela_registros[MÊS],$AE$1,tabela_registros[DIA],receitasvariáveisconsolidadoset[[#Headers],[27]],tabela_registros[REGISTRO],DADOS!$N$3,tabela_registros[TIPO],DADOS!$V$4,tabela_registros[CATEGORIA],receitasvariáveisconsolidadoset[[#This Row],[ATUAL]])</f>
        <v>0</v>
      </c>
      <c r="AF100" s="91">
        <f>SUMIFS(tabela_registros[VALOR],tabela_registros[MÊS],$AE$1,tabela_registros[DIA],receitasvariáveisconsolidadoset[[#Headers],[28]],tabela_registros[REGISTRO],DADOS!$N$3,tabela_registros[TIPO],DADOS!$V$4,tabela_registros[CATEGORIA],receitasvariáveisconsolidadoset[[#This Row],[ATUAL]])</f>
        <v>0</v>
      </c>
      <c r="AG100" s="91">
        <f>SUMIFS(tabela_registros[VALOR],tabela_registros[MÊS],$AE$1,tabela_registros[DIA],receitasvariáveisconsolidadoset[[#Headers],[29]],tabela_registros[REGISTRO],DADOS!$N$3,tabela_registros[TIPO],DADOS!$V$4,tabela_registros[CATEGORIA],receitasvariáveisconsolidadoset[[#This Row],[ATUAL]])</f>
        <v>0</v>
      </c>
      <c r="AH100" s="91">
        <f>SUMIFS(tabela_registros[VALOR],tabela_registros[MÊS],$AE$1,tabela_registros[DIA],receitasvariáveisconsolidadoset[[#Headers],[30]],tabela_registros[REGISTRO],DADOS!$N$3,tabela_registros[TIPO],DADOS!$V$4,tabela_registros[CATEGORIA],receitasvariáveisconsolidadoset[[#This Row],[ATUAL]])</f>
        <v>0</v>
      </c>
      <c r="AI100" s="101">
        <f>SUMIFS(tabela_registros[VALOR],tabela_registros[MÊS],$AE$1,tabela_registros[DIA],receitasvariáveisconsolidadoset[[#Headers],[31]],tabela_registros[REGISTRO],DADOS!$N$3,tabela_registros[TIPO],DADOS!$V$4,tabela_registros[CATEGORIA],receitasvariáveisconsolidadoset[[#This Row],[ATUAL]])</f>
        <v>0</v>
      </c>
      <c r="AJ100" s="97">
        <f>SUM(receitasvariáveisconsolidadoset[[#This Row],[1]:[31]])</f>
        <v>0</v>
      </c>
      <c r="AK100" s="25"/>
    </row>
    <row r="101" spans="2:37" ht="19.5" customHeight="1" thickTop="1" thickBot="1" x14ac:dyDescent="0.3">
      <c r="B101" s="28"/>
      <c r="C101" s="27" t="str">
        <f>DADOS!$Z$8</f>
        <v>🎁 PRESENTE</v>
      </c>
      <c r="D101" s="26" t="str">
        <f>IF(receitasvariáveisconsolidadoset[[#This Row],[TOTAL (R$)]]=0,"",IF(OR(receitasvariáveisconsolidadoset[[#This Row],[TOTAL (R$)]]=LARGE($AJ$96:$AJ$103,1),receitasvariáveisconsolidadoset[[#This Row],[TOTAL (R$)]]=LARGE($AJ$96:$AJ$103,2)),DADOS!$I$9,""))</f>
        <v/>
      </c>
      <c r="E101" s="96">
        <f>SUMIFS(tabela_registros[VALOR],tabela_registros[MÊS],$AE$1,tabela_registros[DIA],receitasvariáveisconsolidadoset[[#Headers],[1]],tabela_registros[REGISTRO],DADOS!$N$3,tabela_registros[TIPO],DADOS!$V$4,tabela_registros[CATEGORIA],receitasvariáveisconsolidadoset[[#This Row],[ATUAL]])</f>
        <v>0</v>
      </c>
      <c r="F101" s="91">
        <f>SUMIFS(tabela_registros[VALOR],tabela_registros[MÊS],$AE$1,tabela_registros[DIA],receitasvariáveisconsolidadoset[[#Headers],[2]],tabela_registros[REGISTRO],DADOS!$N$3,tabela_registros[TIPO],DADOS!$V$4,tabela_registros[CATEGORIA],receitasvariáveisconsolidadoset[[#This Row],[ATUAL]])</f>
        <v>0</v>
      </c>
      <c r="G101" s="91">
        <f>SUMIFS(tabela_registros[VALOR],tabela_registros[MÊS],$AE$1,tabela_registros[DIA],receitasvariáveisconsolidadoset[[#Headers],[3]],tabela_registros[REGISTRO],DADOS!$N$3,tabela_registros[TIPO],DADOS!$V$4,tabela_registros[CATEGORIA],receitasvariáveisconsolidadoset[[#This Row],[ATUAL]])</f>
        <v>0</v>
      </c>
      <c r="H101" s="91">
        <f>SUMIFS(tabela_registros[VALOR],tabela_registros[MÊS],$AE$1,tabela_registros[DIA],receitasvariáveisconsolidadoset[[#Headers],[4]],tabela_registros[REGISTRO],DADOS!$N$3,tabela_registros[TIPO],DADOS!$V$4,tabela_registros[CATEGORIA],receitasvariáveisconsolidadoset[[#This Row],[ATUAL]])</f>
        <v>0</v>
      </c>
      <c r="I101" s="91">
        <f>SUMIFS(tabela_registros[VALOR],tabela_registros[MÊS],$AE$1,tabela_registros[DIA],receitasvariáveisconsolidadoset[[#Headers],[5]],tabela_registros[REGISTRO],DADOS!$N$3,tabela_registros[TIPO],DADOS!$V$4,tabela_registros[CATEGORIA],receitasvariáveisconsolidadoset[[#This Row],[ATUAL]])</f>
        <v>0</v>
      </c>
      <c r="J101" s="91">
        <f>SUMIFS(tabela_registros[VALOR],tabela_registros[MÊS],$AE$1,tabela_registros[DIA],receitasvariáveisconsolidadoset[[#Headers],[6]],tabela_registros[REGISTRO],DADOS!$N$3,tabela_registros[TIPO],DADOS!$V$4,tabela_registros[CATEGORIA],receitasvariáveisconsolidadoset[[#This Row],[ATUAL]])</f>
        <v>0</v>
      </c>
      <c r="K101" s="91">
        <f>SUMIFS(tabela_registros[VALOR],tabela_registros[MÊS],$AE$1,tabela_registros[DIA],receitasvariáveisconsolidadoset[[#Headers],[7]],tabela_registros[REGISTRO],DADOS!$N$3,tabela_registros[TIPO],DADOS!$V$4,tabela_registros[CATEGORIA],receitasvariáveisconsolidadoset[[#This Row],[ATUAL]])</f>
        <v>0</v>
      </c>
      <c r="L101" s="91">
        <f>SUMIFS(tabela_registros[VALOR],tabela_registros[MÊS],$AE$1,tabela_registros[DIA],receitasvariáveisconsolidadoset[[#Headers],[8]],tabela_registros[REGISTRO],DADOS!$N$3,tabela_registros[TIPO],DADOS!$V$4,tabela_registros[CATEGORIA],receitasvariáveisconsolidadoset[[#This Row],[ATUAL]])</f>
        <v>0</v>
      </c>
      <c r="M101" s="91">
        <f>SUMIFS(tabela_registros[VALOR],tabela_registros[MÊS],$AE$1,tabela_registros[DIA],receitasvariáveisconsolidadoset[[#Headers],[9]],tabela_registros[REGISTRO],DADOS!$N$3,tabela_registros[TIPO],DADOS!$V$4,tabela_registros[CATEGORIA],receitasvariáveisconsolidadoset[[#This Row],[ATUAL]])</f>
        <v>0</v>
      </c>
      <c r="N101" s="91">
        <f>SUMIFS(tabela_registros[VALOR],tabela_registros[MÊS],$AE$1,tabela_registros[DIA],receitasvariáveisconsolidadoset[[#Headers],[10]],tabela_registros[REGISTRO],DADOS!$N$3,tabela_registros[TIPO],DADOS!$V$4,tabela_registros[CATEGORIA],receitasvariáveisconsolidadoset[[#This Row],[ATUAL]])</f>
        <v>0</v>
      </c>
      <c r="O101" s="91">
        <f>SUMIFS(tabela_registros[VALOR],tabela_registros[MÊS],$AE$1,tabela_registros[DIA],receitasvariáveisconsolidadoset[[#Headers],[11]],tabela_registros[REGISTRO],DADOS!$N$3,tabela_registros[TIPO],DADOS!$V$4,tabela_registros[CATEGORIA],receitasvariáveisconsolidadoset[[#This Row],[ATUAL]])</f>
        <v>0</v>
      </c>
      <c r="P101" s="91">
        <f>SUMIFS(tabela_registros[VALOR],tabela_registros[MÊS],$AE$1,tabela_registros[DIA],receitasvariáveisconsolidadoset[[#Headers],[12]],tabela_registros[REGISTRO],DADOS!$N$3,tabela_registros[TIPO],DADOS!$V$4,tabela_registros[CATEGORIA],receitasvariáveisconsolidadoset[[#This Row],[ATUAL]])</f>
        <v>0</v>
      </c>
      <c r="Q101" s="91">
        <f>SUMIFS(tabela_registros[VALOR],tabela_registros[MÊS],$AE$1,tabela_registros[DIA],receitasvariáveisconsolidadoset[[#Headers],[13]],tabela_registros[REGISTRO],DADOS!$N$3,tabela_registros[TIPO],DADOS!$V$4,tabela_registros[CATEGORIA],receitasvariáveisconsolidadoset[[#This Row],[ATUAL]])</f>
        <v>0</v>
      </c>
      <c r="R101" s="91">
        <f>SUMIFS(tabela_registros[VALOR],tabela_registros[MÊS],$AE$1,tabela_registros[DIA],receitasvariáveisconsolidadoset[[#Headers],[14]],tabela_registros[REGISTRO],DADOS!$N$3,tabela_registros[TIPO],DADOS!$V$4,tabela_registros[CATEGORIA],receitasvariáveisconsolidadoset[[#This Row],[ATUAL]])</f>
        <v>0</v>
      </c>
      <c r="S101" s="91">
        <f>SUMIFS(tabela_registros[VALOR],tabela_registros[MÊS],$AE$1,tabela_registros[DIA],receitasvariáveisconsolidadoset[[#Headers],[15]],tabela_registros[REGISTRO],DADOS!$N$3,tabela_registros[TIPO],DADOS!$V$4,tabela_registros[CATEGORIA],receitasvariáveisconsolidadoset[[#This Row],[ATUAL]])</f>
        <v>0</v>
      </c>
      <c r="T101" s="91">
        <f>SUMIFS(tabela_registros[VALOR],tabela_registros[MÊS],$AE$1,tabela_registros[DIA],receitasvariáveisconsolidadoset[[#Headers],[16]],tabela_registros[REGISTRO],DADOS!$N$3,tabela_registros[TIPO],DADOS!$V$4,tabela_registros[CATEGORIA],receitasvariáveisconsolidadoset[[#This Row],[ATUAL]])</f>
        <v>0</v>
      </c>
      <c r="U101" s="91">
        <f>SUMIFS(tabela_registros[VALOR],tabela_registros[MÊS],$AE$1,tabela_registros[DIA],receitasvariáveisconsolidadoset[[#Headers],[17]],tabela_registros[REGISTRO],DADOS!$N$3,tabela_registros[TIPO],DADOS!$V$4,tabela_registros[CATEGORIA],receitasvariáveisconsolidadoset[[#This Row],[ATUAL]])</f>
        <v>0</v>
      </c>
      <c r="V101" s="91">
        <f>SUMIFS(tabela_registros[VALOR],tabela_registros[MÊS],$AE$1,tabela_registros[DIA],receitasvariáveisconsolidadoset[[#Headers],[18]],tabela_registros[REGISTRO],DADOS!$N$3,tabela_registros[TIPO],DADOS!$V$4,tabela_registros[CATEGORIA],receitasvariáveisconsolidadoset[[#This Row],[ATUAL]])</f>
        <v>0</v>
      </c>
      <c r="W101" s="91">
        <f>SUMIFS(tabela_registros[VALOR],tabela_registros[MÊS],$AE$1,tabela_registros[DIA],receitasvariáveisconsolidadoset[[#Headers],[19]],tabela_registros[REGISTRO],DADOS!$N$3,tabela_registros[TIPO],DADOS!$V$4,tabela_registros[CATEGORIA],receitasvariáveisconsolidadoset[[#This Row],[ATUAL]])</f>
        <v>0</v>
      </c>
      <c r="X101" s="91">
        <f>SUMIFS(tabela_registros[VALOR],tabela_registros[MÊS],$AE$1,tabela_registros[DIA],receitasvariáveisconsolidadoset[[#Headers],[20]],tabela_registros[REGISTRO],DADOS!$N$3,tabela_registros[TIPO],DADOS!$V$4,tabela_registros[CATEGORIA],receitasvariáveisconsolidadoset[[#This Row],[ATUAL]])</f>
        <v>0</v>
      </c>
      <c r="Y101" s="91">
        <f>SUMIFS(tabela_registros[VALOR],tabela_registros[MÊS],$AE$1,tabela_registros[DIA],receitasvariáveisconsolidadoset[[#Headers],[21]],tabela_registros[REGISTRO],DADOS!$N$3,tabela_registros[TIPO],DADOS!$V$4,tabela_registros[CATEGORIA],receitasvariáveisconsolidadoset[[#This Row],[ATUAL]])</f>
        <v>0</v>
      </c>
      <c r="Z101" s="91">
        <f>SUMIFS(tabela_registros[VALOR],tabela_registros[MÊS],$AE$1,tabela_registros[DIA],receitasvariáveisconsolidadoset[[#Headers],[22]],tabela_registros[REGISTRO],DADOS!$N$3,tabela_registros[TIPO],DADOS!$V$4,tabela_registros[CATEGORIA],receitasvariáveisconsolidadoset[[#This Row],[ATUAL]])</f>
        <v>0</v>
      </c>
      <c r="AA101" s="91">
        <f>SUMIFS(tabela_registros[VALOR],tabela_registros[MÊS],$AE$1,tabela_registros[DIA],receitasvariáveisconsolidadoset[[#Headers],[23]],tabela_registros[REGISTRO],DADOS!$N$3,tabela_registros[TIPO],DADOS!$V$4,tabela_registros[CATEGORIA],receitasvariáveisconsolidadoset[[#This Row],[ATUAL]])</f>
        <v>0</v>
      </c>
      <c r="AB101" s="91">
        <f>SUMIFS(tabela_registros[VALOR],tabela_registros[MÊS],$AE$1,tabela_registros[DIA],receitasvariáveisconsolidadoset[[#Headers],[24]],tabela_registros[REGISTRO],DADOS!$N$3,tabela_registros[TIPO],DADOS!$V$4,tabela_registros[CATEGORIA],receitasvariáveisconsolidadoset[[#This Row],[ATUAL]])</f>
        <v>0</v>
      </c>
      <c r="AC101" s="91">
        <f>SUMIFS(tabela_registros[VALOR],tabela_registros[MÊS],$AE$1,tabela_registros[DIA],receitasvariáveisconsolidadoset[[#Headers],[25]],tabela_registros[REGISTRO],DADOS!$N$3,tabela_registros[TIPO],DADOS!$V$4,tabela_registros[CATEGORIA],receitasvariáveisconsolidadoset[[#This Row],[ATUAL]])</f>
        <v>0</v>
      </c>
      <c r="AD101" s="91">
        <f>SUMIFS(tabela_registros[VALOR],tabela_registros[MÊS],$AE$1,tabela_registros[DIA],receitasvariáveisconsolidadoset[[#Headers],[26]],tabela_registros[REGISTRO],DADOS!$N$3,tabela_registros[TIPO],DADOS!$V$4,tabela_registros[CATEGORIA],receitasvariáveisconsolidadoset[[#This Row],[ATUAL]])</f>
        <v>0</v>
      </c>
      <c r="AE101" s="91">
        <f>SUMIFS(tabela_registros[VALOR],tabela_registros[MÊS],$AE$1,tabela_registros[DIA],receitasvariáveisconsolidadoset[[#Headers],[27]],tabela_registros[REGISTRO],DADOS!$N$3,tabela_registros[TIPO],DADOS!$V$4,tabela_registros[CATEGORIA],receitasvariáveisconsolidadoset[[#This Row],[ATUAL]])</f>
        <v>0</v>
      </c>
      <c r="AF101" s="91">
        <f>SUMIFS(tabela_registros[VALOR],tabela_registros[MÊS],$AE$1,tabela_registros[DIA],receitasvariáveisconsolidadoset[[#Headers],[28]],tabela_registros[REGISTRO],DADOS!$N$3,tabela_registros[TIPO],DADOS!$V$4,tabela_registros[CATEGORIA],receitasvariáveisconsolidadoset[[#This Row],[ATUAL]])</f>
        <v>0</v>
      </c>
      <c r="AG101" s="91">
        <f>SUMIFS(tabela_registros[VALOR],tabela_registros[MÊS],$AE$1,tabela_registros[DIA],receitasvariáveisconsolidadoset[[#Headers],[29]],tabela_registros[REGISTRO],DADOS!$N$3,tabela_registros[TIPO],DADOS!$V$4,tabela_registros[CATEGORIA],receitasvariáveisconsolidadoset[[#This Row],[ATUAL]])</f>
        <v>0</v>
      </c>
      <c r="AH101" s="91">
        <f>SUMIFS(tabela_registros[VALOR],tabela_registros[MÊS],$AE$1,tabela_registros[DIA],receitasvariáveisconsolidadoset[[#Headers],[30]],tabela_registros[REGISTRO],DADOS!$N$3,tabela_registros[TIPO],DADOS!$V$4,tabela_registros[CATEGORIA],receitasvariáveisconsolidadoset[[#This Row],[ATUAL]])</f>
        <v>0</v>
      </c>
      <c r="AI101" s="101">
        <f>SUMIFS(tabela_registros[VALOR],tabela_registros[MÊS],$AE$1,tabela_registros[DIA],receitasvariáveisconsolidadoset[[#Headers],[31]],tabela_registros[REGISTRO],DADOS!$N$3,tabela_registros[TIPO],DADOS!$V$4,tabela_registros[CATEGORIA],receitasvariáveisconsolidadoset[[#This Row],[ATUAL]])</f>
        <v>0</v>
      </c>
      <c r="AJ101" s="97">
        <f>SUM(receitasvariáveisconsolidadoset[[#This Row],[1]:[31]])</f>
        <v>0</v>
      </c>
      <c r="AK101" s="25"/>
    </row>
    <row r="102" spans="2:37" ht="19.5" customHeight="1" thickTop="1" thickBot="1" x14ac:dyDescent="0.3">
      <c r="B102" s="28"/>
      <c r="C102" s="27" t="str">
        <f>DADOS!$Z$9</f>
        <v>👷‍♀️ TRABALHO TEMPORÁRIO</v>
      </c>
      <c r="D102" s="26" t="str">
        <f>IF(receitasvariáveisconsolidadoset[[#This Row],[TOTAL (R$)]]=0,"",IF(OR(receitasvariáveisconsolidadoset[[#This Row],[TOTAL (R$)]]=LARGE($AJ$96:$AJ$103,1),receitasvariáveisconsolidadoset[[#This Row],[TOTAL (R$)]]=LARGE($AJ$96:$AJ$103,2)),DADOS!$I$9,""))</f>
        <v/>
      </c>
      <c r="E102" s="96">
        <f>SUMIFS(tabela_registros[VALOR],tabela_registros[MÊS],$AE$1,tabela_registros[DIA],receitasvariáveisconsolidadoset[[#Headers],[1]],tabela_registros[REGISTRO],DADOS!$N$3,tabela_registros[TIPO],DADOS!$V$4,tabela_registros[CATEGORIA],receitasvariáveisconsolidadoset[[#This Row],[ATUAL]])</f>
        <v>0</v>
      </c>
      <c r="F102" s="91">
        <f>SUMIFS(tabela_registros[VALOR],tabela_registros[MÊS],$AE$1,tabela_registros[DIA],receitasvariáveisconsolidadoset[[#Headers],[2]],tabela_registros[REGISTRO],DADOS!$N$3,tabela_registros[TIPO],DADOS!$V$4,tabela_registros[CATEGORIA],receitasvariáveisconsolidadoset[[#This Row],[ATUAL]])</f>
        <v>0</v>
      </c>
      <c r="G102" s="91">
        <f>SUMIFS(tabela_registros[VALOR],tabela_registros[MÊS],$AE$1,tabela_registros[DIA],receitasvariáveisconsolidadoset[[#Headers],[3]],tabela_registros[REGISTRO],DADOS!$N$3,tabela_registros[TIPO],DADOS!$V$4,tabela_registros[CATEGORIA],receitasvariáveisconsolidadoset[[#This Row],[ATUAL]])</f>
        <v>0</v>
      </c>
      <c r="H102" s="91">
        <f>SUMIFS(tabela_registros[VALOR],tabela_registros[MÊS],$AE$1,tabela_registros[DIA],receitasvariáveisconsolidadoset[[#Headers],[4]],tabela_registros[REGISTRO],DADOS!$N$3,tabela_registros[TIPO],DADOS!$V$4,tabela_registros[CATEGORIA],receitasvariáveisconsolidadoset[[#This Row],[ATUAL]])</f>
        <v>0</v>
      </c>
      <c r="I102" s="91">
        <f>SUMIFS(tabela_registros[VALOR],tabela_registros[MÊS],$AE$1,tabela_registros[DIA],receitasvariáveisconsolidadoset[[#Headers],[5]],tabela_registros[REGISTRO],DADOS!$N$3,tabela_registros[TIPO],DADOS!$V$4,tabela_registros[CATEGORIA],receitasvariáveisconsolidadoset[[#This Row],[ATUAL]])</f>
        <v>0</v>
      </c>
      <c r="J102" s="91">
        <f>SUMIFS(tabela_registros[VALOR],tabela_registros[MÊS],$AE$1,tabela_registros[DIA],receitasvariáveisconsolidadoset[[#Headers],[6]],tabela_registros[REGISTRO],DADOS!$N$3,tabela_registros[TIPO],DADOS!$V$4,tabela_registros[CATEGORIA],receitasvariáveisconsolidadoset[[#This Row],[ATUAL]])</f>
        <v>0</v>
      </c>
      <c r="K102" s="91">
        <f>SUMIFS(tabela_registros[VALOR],tabela_registros[MÊS],$AE$1,tabela_registros[DIA],receitasvariáveisconsolidadoset[[#Headers],[7]],tabela_registros[REGISTRO],DADOS!$N$3,tabela_registros[TIPO],DADOS!$V$4,tabela_registros[CATEGORIA],receitasvariáveisconsolidadoset[[#This Row],[ATUAL]])</f>
        <v>0</v>
      </c>
      <c r="L102" s="91">
        <f>SUMIFS(tabela_registros[VALOR],tabela_registros[MÊS],$AE$1,tabela_registros[DIA],receitasvariáveisconsolidadoset[[#Headers],[8]],tabela_registros[REGISTRO],DADOS!$N$3,tabela_registros[TIPO],DADOS!$V$4,tabela_registros[CATEGORIA],receitasvariáveisconsolidadoset[[#This Row],[ATUAL]])</f>
        <v>0</v>
      </c>
      <c r="M102" s="91">
        <f>SUMIFS(tabela_registros[VALOR],tabela_registros[MÊS],$AE$1,tabela_registros[DIA],receitasvariáveisconsolidadoset[[#Headers],[9]],tabela_registros[REGISTRO],DADOS!$N$3,tabela_registros[TIPO],DADOS!$V$4,tabela_registros[CATEGORIA],receitasvariáveisconsolidadoset[[#This Row],[ATUAL]])</f>
        <v>0</v>
      </c>
      <c r="N102" s="91">
        <f>SUMIFS(tabela_registros[VALOR],tabela_registros[MÊS],$AE$1,tabela_registros[DIA],receitasvariáveisconsolidadoset[[#Headers],[10]],tabela_registros[REGISTRO],DADOS!$N$3,tabela_registros[TIPO],DADOS!$V$4,tabela_registros[CATEGORIA],receitasvariáveisconsolidadoset[[#This Row],[ATUAL]])</f>
        <v>0</v>
      </c>
      <c r="O102" s="91">
        <f>SUMIFS(tabela_registros[VALOR],tabela_registros[MÊS],$AE$1,tabela_registros[DIA],receitasvariáveisconsolidadoset[[#Headers],[11]],tabela_registros[REGISTRO],DADOS!$N$3,tabela_registros[TIPO],DADOS!$V$4,tabela_registros[CATEGORIA],receitasvariáveisconsolidadoset[[#This Row],[ATUAL]])</f>
        <v>0</v>
      </c>
      <c r="P102" s="91">
        <f>SUMIFS(tabela_registros[VALOR],tabela_registros[MÊS],$AE$1,tabela_registros[DIA],receitasvariáveisconsolidadoset[[#Headers],[12]],tabela_registros[REGISTRO],DADOS!$N$3,tabela_registros[TIPO],DADOS!$V$4,tabela_registros[CATEGORIA],receitasvariáveisconsolidadoset[[#This Row],[ATUAL]])</f>
        <v>0</v>
      </c>
      <c r="Q102" s="91">
        <f>SUMIFS(tabela_registros[VALOR],tabela_registros[MÊS],$AE$1,tabela_registros[DIA],receitasvariáveisconsolidadoset[[#Headers],[13]],tabela_registros[REGISTRO],DADOS!$N$3,tabela_registros[TIPO],DADOS!$V$4,tabela_registros[CATEGORIA],receitasvariáveisconsolidadoset[[#This Row],[ATUAL]])</f>
        <v>0</v>
      </c>
      <c r="R102" s="91">
        <f>SUMIFS(tabela_registros[VALOR],tabela_registros[MÊS],$AE$1,tabela_registros[DIA],receitasvariáveisconsolidadoset[[#Headers],[14]],tabela_registros[REGISTRO],DADOS!$N$3,tabela_registros[TIPO],DADOS!$V$4,tabela_registros[CATEGORIA],receitasvariáveisconsolidadoset[[#This Row],[ATUAL]])</f>
        <v>0</v>
      </c>
      <c r="S102" s="91">
        <f>SUMIFS(tabela_registros[VALOR],tabela_registros[MÊS],$AE$1,tabela_registros[DIA],receitasvariáveisconsolidadoset[[#Headers],[15]],tabela_registros[REGISTRO],DADOS!$N$3,tabela_registros[TIPO],DADOS!$V$4,tabela_registros[CATEGORIA],receitasvariáveisconsolidadoset[[#This Row],[ATUAL]])</f>
        <v>0</v>
      </c>
      <c r="T102" s="91">
        <f>SUMIFS(tabela_registros[VALOR],tabela_registros[MÊS],$AE$1,tabela_registros[DIA],receitasvariáveisconsolidadoset[[#Headers],[16]],tabela_registros[REGISTRO],DADOS!$N$3,tabela_registros[TIPO],DADOS!$V$4,tabela_registros[CATEGORIA],receitasvariáveisconsolidadoset[[#This Row],[ATUAL]])</f>
        <v>0</v>
      </c>
      <c r="U102" s="91">
        <f>SUMIFS(tabela_registros[VALOR],tabela_registros[MÊS],$AE$1,tabela_registros[DIA],receitasvariáveisconsolidadoset[[#Headers],[17]],tabela_registros[REGISTRO],DADOS!$N$3,tabela_registros[TIPO],DADOS!$V$4,tabela_registros[CATEGORIA],receitasvariáveisconsolidadoset[[#This Row],[ATUAL]])</f>
        <v>0</v>
      </c>
      <c r="V102" s="91">
        <f>SUMIFS(tabela_registros[VALOR],tabela_registros[MÊS],$AE$1,tabela_registros[DIA],receitasvariáveisconsolidadoset[[#Headers],[18]],tabela_registros[REGISTRO],DADOS!$N$3,tabela_registros[TIPO],DADOS!$V$4,tabela_registros[CATEGORIA],receitasvariáveisconsolidadoset[[#This Row],[ATUAL]])</f>
        <v>0</v>
      </c>
      <c r="W102" s="91">
        <f>SUMIFS(tabela_registros[VALOR],tabela_registros[MÊS],$AE$1,tabela_registros[DIA],receitasvariáveisconsolidadoset[[#Headers],[19]],tabela_registros[REGISTRO],DADOS!$N$3,tabela_registros[TIPO],DADOS!$V$4,tabela_registros[CATEGORIA],receitasvariáveisconsolidadoset[[#This Row],[ATUAL]])</f>
        <v>0</v>
      </c>
      <c r="X102" s="91">
        <f>SUMIFS(tabela_registros[VALOR],tabela_registros[MÊS],$AE$1,tabela_registros[DIA],receitasvariáveisconsolidadoset[[#Headers],[20]],tabela_registros[REGISTRO],DADOS!$N$3,tabela_registros[TIPO],DADOS!$V$4,tabela_registros[CATEGORIA],receitasvariáveisconsolidadoset[[#This Row],[ATUAL]])</f>
        <v>0</v>
      </c>
      <c r="Y102" s="91">
        <f>SUMIFS(tabela_registros[VALOR],tabela_registros[MÊS],$AE$1,tabela_registros[DIA],receitasvariáveisconsolidadoset[[#Headers],[21]],tabela_registros[REGISTRO],DADOS!$N$3,tabela_registros[TIPO],DADOS!$V$4,tabela_registros[CATEGORIA],receitasvariáveisconsolidadoset[[#This Row],[ATUAL]])</f>
        <v>0</v>
      </c>
      <c r="Z102" s="91">
        <f>SUMIFS(tabela_registros[VALOR],tabela_registros[MÊS],$AE$1,tabela_registros[DIA],receitasvariáveisconsolidadoset[[#Headers],[22]],tabela_registros[REGISTRO],DADOS!$N$3,tabela_registros[TIPO],DADOS!$V$4,tabela_registros[CATEGORIA],receitasvariáveisconsolidadoset[[#This Row],[ATUAL]])</f>
        <v>0</v>
      </c>
      <c r="AA102" s="91">
        <f>SUMIFS(tabela_registros[VALOR],tabela_registros[MÊS],$AE$1,tabela_registros[DIA],receitasvariáveisconsolidadoset[[#Headers],[23]],tabela_registros[REGISTRO],DADOS!$N$3,tabela_registros[TIPO],DADOS!$V$4,tabela_registros[CATEGORIA],receitasvariáveisconsolidadoset[[#This Row],[ATUAL]])</f>
        <v>0</v>
      </c>
      <c r="AB102" s="91">
        <f>SUMIFS(tabela_registros[VALOR],tabela_registros[MÊS],$AE$1,tabela_registros[DIA],receitasvariáveisconsolidadoset[[#Headers],[24]],tabela_registros[REGISTRO],DADOS!$N$3,tabela_registros[TIPO],DADOS!$V$4,tabela_registros[CATEGORIA],receitasvariáveisconsolidadoset[[#This Row],[ATUAL]])</f>
        <v>0</v>
      </c>
      <c r="AC102" s="91">
        <f>SUMIFS(tabela_registros[VALOR],tabela_registros[MÊS],$AE$1,tabela_registros[DIA],receitasvariáveisconsolidadoset[[#Headers],[25]],tabela_registros[REGISTRO],DADOS!$N$3,tabela_registros[TIPO],DADOS!$V$4,tabela_registros[CATEGORIA],receitasvariáveisconsolidadoset[[#This Row],[ATUAL]])</f>
        <v>0</v>
      </c>
      <c r="AD102" s="91">
        <f>SUMIFS(tabela_registros[VALOR],tabela_registros[MÊS],$AE$1,tabela_registros[DIA],receitasvariáveisconsolidadoset[[#Headers],[26]],tabela_registros[REGISTRO],DADOS!$N$3,tabela_registros[TIPO],DADOS!$V$4,tabela_registros[CATEGORIA],receitasvariáveisconsolidadoset[[#This Row],[ATUAL]])</f>
        <v>0</v>
      </c>
      <c r="AE102" s="91">
        <f>SUMIFS(tabela_registros[VALOR],tabela_registros[MÊS],$AE$1,tabela_registros[DIA],receitasvariáveisconsolidadoset[[#Headers],[27]],tabela_registros[REGISTRO],DADOS!$N$3,tabela_registros[TIPO],DADOS!$V$4,tabela_registros[CATEGORIA],receitasvariáveisconsolidadoset[[#This Row],[ATUAL]])</f>
        <v>0</v>
      </c>
      <c r="AF102" s="91">
        <f>SUMIFS(tabela_registros[VALOR],tabela_registros[MÊS],$AE$1,tabela_registros[DIA],receitasvariáveisconsolidadoset[[#Headers],[28]],tabela_registros[REGISTRO],DADOS!$N$3,tabela_registros[TIPO],DADOS!$V$4,tabela_registros[CATEGORIA],receitasvariáveisconsolidadoset[[#This Row],[ATUAL]])</f>
        <v>0</v>
      </c>
      <c r="AG102" s="91">
        <f>SUMIFS(tabela_registros[VALOR],tabela_registros[MÊS],$AE$1,tabela_registros[DIA],receitasvariáveisconsolidadoset[[#Headers],[29]],tabela_registros[REGISTRO],DADOS!$N$3,tabela_registros[TIPO],DADOS!$V$4,tabela_registros[CATEGORIA],receitasvariáveisconsolidadoset[[#This Row],[ATUAL]])</f>
        <v>0</v>
      </c>
      <c r="AH102" s="91">
        <f>SUMIFS(tabela_registros[VALOR],tabela_registros[MÊS],$AE$1,tabela_registros[DIA],receitasvariáveisconsolidadoset[[#Headers],[30]],tabela_registros[REGISTRO],DADOS!$N$3,tabela_registros[TIPO],DADOS!$V$4,tabela_registros[CATEGORIA],receitasvariáveisconsolidadoset[[#This Row],[ATUAL]])</f>
        <v>0</v>
      </c>
      <c r="AI102" s="101">
        <f>SUMIFS(tabela_registros[VALOR],tabela_registros[MÊS],$AE$1,tabela_registros[DIA],receitasvariáveisconsolidadoset[[#Headers],[31]],tabela_registros[REGISTRO],DADOS!$N$3,tabela_registros[TIPO],DADOS!$V$4,tabela_registros[CATEGORIA],receitasvariáveisconsolidadoset[[#This Row],[ATUAL]])</f>
        <v>0</v>
      </c>
      <c r="AJ102" s="97">
        <f>SUM(receitasvariáveisconsolidadoset[[#This Row],[1]:[31]])</f>
        <v>0</v>
      </c>
      <c r="AK102" s="25"/>
    </row>
    <row r="103" spans="2:37" ht="18" customHeight="1" thickTop="1" thickBot="1" x14ac:dyDescent="0.3">
      <c r="B103" s="28"/>
      <c r="C103" s="27" t="str">
        <f>DADOS!$Z$10</f>
        <v>📎 OUTROS</v>
      </c>
      <c r="D103" s="26" t="str">
        <f>IF(receitasvariáveisconsolidadoset[[#This Row],[TOTAL (R$)]]=0,"",IF(OR(receitasvariáveisconsolidadoset[[#This Row],[TOTAL (R$)]]=LARGE($AJ$96:$AJ$103,1),receitasvariáveisconsolidadoset[[#This Row],[TOTAL (R$)]]=LARGE($AJ$96:$AJ$103,2)),DADOS!$I$9,""))</f>
        <v/>
      </c>
      <c r="E103" s="96">
        <f>SUMIFS(tabela_registros[VALOR],tabela_registros[MÊS],$AE$1,tabela_registros[DIA],receitasvariáveisconsolidadoset[[#Headers],[1]],tabela_registros[REGISTRO],DADOS!$N$3,tabela_registros[TIPO],DADOS!$V$4,tabela_registros[CATEGORIA],receitasvariáveisconsolidadoset[[#This Row],[ATUAL]])</f>
        <v>0</v>
      </c>
      <c r="F103" s="91">
        <f>SUMIFS(tabela_registros[VALOR],tabela_registros[MÊS],$AE$1,tabela_registros[DIA],receitasvariáveisconsolidadoset[[#Headers],[2]],tabela_registros[REGISTRO],DADOS!$N$3,tabela_registros[TIPO],DADOS!$V$4,tabela_registros[CATEGORIA],receitasvariáveisconsolidadoset[[#This Row],[ATUAL]])</f>
        <v>0</v>
      </c>
      <c r="G103" s="91">
        <f>SUMIFS(tabela_registros[VALOR],tabela_registros[MÊS],$AE$1,tabela_registros[DIA],receitasvariáveisconsolidadoset[[#Headers],[3]],tabela_registros[REGISTRO],DADOS!$N$3,tabela_registros[TIPO],DADOS!$V$4,tabela_registros[CATEGORIA],receitasvariáveisconsolidadoset[[#This Row],[ATUAL]])</f>
        <v>0</v>
      </c>
      <c r="H103" s="91">
        <f>SUMIFS(tabela_registros[VALOR],tabela_registros[MÊS],$AE$1,tabela_registros[DIA],receitasvariáveisconsolidadoset[[#Headers],[4]],tabela_registros[REGISTRO],DADOS!$N$3,tabela_registros[TIPO],DADOS!$V$4,tabela_registros[CATEGORIA],receitasvariáveisconsolidadoset[[#This Row],[ATUAL]])</f>
        <v>0</v>
      </c>
      <c r="I103" s="91">
        <f>SUMIFS(tabela_registros[VALOR],tabela_registros[MÊS],$AE$1,tabela_registros[DIA],receitasvariáveisconsolidadoset[[#Headers],[5]],tabela_registros[REGISTRO],DADOS!$N$3,tabela_registros[TIPO],DADOS!$V$4,tabela_registros[CATEGORIA],receitasvariáveisconsolidadoset[[#This Row],[ATUAL]])</f>
        <v>0</v>
      </c>
      <c r="J103" s="91">
        <f>SUMIFS(tabela_registros[VALOR],tabela_registros[MÊS],$AE$1,tabela_registros[DIA],receitasvariáveisconsolidadoset[[#Headers],[6]],tabela_registros[REGISTRO],DADOS!$N$3,tabela_registros[TIPO],DADOS!$V$4,tabela_registros[CATEGORIA],receitasvariáveisconsolidadoset[[#This Row],[ATUAL]])</f>
        <v>0</v>
      </c>
      <c r="K103" s="91">
        <f>SUMIFS(tabela_registros[VALOR],tabela_registros[MÊS],$AE$1,tabela_registros[DIA],receitasvariáveisconsolidadoset[[#Headers],[7]],tabela_registros[REGISTRO],DADOS!$N$3,tabela_registros[TIPO],DADOS!$V$4,tabela_registros[CATEGORIA],receitasvariáveisconsolidadoset[[#This Row],[ATUAL]])</f>
        <v>0</v>
      </c>
      <c r="L103" s="91">
        <f>SUMIFS(tabela_registros[VALOR],tabela_registros[MÊS],$AE$1,tabela_registros[DIA],receitasvariáveisconsolidadoset[[#Headers],[8]],tabela_registros[REGISTRO],DADOS!$N$3,tabela_registros[TIPO],DADOS!$V$4,tabela_registros[CATEGORIA],receitasvariáveisconsolidadoset[[#This Row],[ATUAL]])</f>
        <v>0</v>
      </c>
      <c r="M103" s="91">
        <f>SUMIFS(tabela_registros[VALOR],tabela_registros[MÊS],$AE$1,tabela_registros[DIA],receitasvariáveisconsolidadoset[[#Headers],[9]],tabela_registros[REGISTRO],DADOS!$N$3,tabela_registros[TIPO],DADOS!$V$4,tabela_registros[CATEGORIA],receitasvariáveisconsolidadoset[[#This Row],[ATUAL]])</f>
        <v>0</v>
      </c>
      <c r="N103" s="91">
        <f>SUMIFS(tabela_registros[VALOR],tabela_registros[MÊS],$AE$1,tabela_registros[DIA],receitasvariáveisconsolidadoset[[#Headers],[10]],tabela_registros[REGISTRO],DADOS!$N$3,tabela_registros[TIPO],DADOS!$V$4,tabela_registros[CATEGORIA],receitasvariáveisconsolidadoset[[#This Row],[ATUAL]])</f>
        <v>0</v>
      </c>
      <c r="O103" s="91">
        <f>SUMIFS(tabela_registros[VALOR],tabela_registros[MÊS],$AE$1,tabela_registros[DIA],receitasvariáveisconsolidadoset[[#Headers],[11]],tabela_registros[REGISTRO],DADOS!$N$3,tabela_registros[TIPO],DADOS!$V$4,tabela_registros[CATEGORIA],receitasvariáveisconsolidadoset[[#This Row],[ATUAL]])</f>
        <v>0</v>
      </c>
      <c r="P103" s="91">
        <f>SUMIFS(tabela_registros[VALOR],tabela_registros[MÊS],$AE$1,tabela_registros[DIA],receitasvariáveisconsolidadoset[[#Headers],[12]],tabela_registros[REGISTRO],DADOS!$N$3,tabela_registros[TIPO],DADOS!$V$4,tabela_registros[CATEGORIA],receitasvariáveisconsolidadoset[[#This Row],[ATUAL]])</f>
        <v>0</v>
      </c>
      <c r="Q103" s="91">
        <f>SUMIFS(tabela_registros[VALOR],tabela_registros[MÊS],$AE$1,tabela_registros[DIA],receitasvariáveisconsolidadoset[[#Headers],[13]],tabela_registros[REGISTRO],DADOS!$N$3,tabela_registros[TIPO],DADOS!$V$4,tabela_registros[CATEGORIA],receitasvariáveisconsolidadoset[[#This Row],[ATUAL]])</f>
        <v>0</v>
      </c>
      <c r="R103" s="91">
        <f>SUMIFS(tabela_registros[VALOR],tabela_registros[MÊS],$AE$1,tabela_registros[DIA],receitasvariáveisconsolidadoset[[#Headers],[14]],tabela_registros[REGISTRO],DADOS!$N$3,tabela_registros[TIPO],DADOS!$V$4,tabela_registros[CATEGORIA],receitasvariáveisconsolidadoset[[#This Row],[ATUAL]])</f>
        <v>0</v>
      </c>
      <c r="S103" s="91">
        <f>SUMIFS(tabela_registros[VALOR],tabela_registros[MÊS],$AE$1,tabela_registros[DIA],receitasvariáveisconsolidadoset[[#Headers],[15]],tabela_registros[REGISTRO],DADOS!$N$3,tabela_registros[TIPO],DADOS!$V$4,tabela_registros[CATEGORIA],receitasvariáveisconsolidadoset[[#This Row],[ATUAL]])</f>
        <v>0</v>
      </c>
      <c r="T103" s="91">
        <f>SUMIFS(tabela_registros[VALOR],tabela_registros[MÊS],$AE$1,tabela_registros[DIA],receitasvariáveisconsolidadoset[[#Headers],[16]],tabela_registros[REGISTRO],DADOS!$N$3,tabela_registros[TIPO],DADOS!$V$4,tabela_registros[CATEGORIA],receitasvariáveisconsolidadoset[[#This Row],[ATUAL]])</f>
        <v>0</v>
      </c>
      <c r="U103" s="91">
        <f>SUMIFS(tabela_registros[VALOR],tabela_registros[MÊS],$AE$1,tabela_registros[DIA],receitasvariáveisconsolidadoset[[#Headers],[17]],tabela_registros[REGISTRO],DADOS!$N$3,tabela_registros[TIPO],DADOS!$V$4,tabela_registros[CATEGORIA],receitasvariáveisconsolidadoset[[#This Row],[ATUAL]])</f>
        <v>0</v>
      </c>
      <c r="V103" s="91">
        <f>SUMIFS(tabela_registros[VALOR],tabela_registros[MÊS],$AE$1,tabela_registros[DIA],receitasvariáveisconsolidadoset[[#Headers],[18]],tabela_registros[REGISTRO],DADOS!$N$3,tabela_registros[TIPO],DADOS!$V$4,tabela_registros[CATEGORIA],receitasvariáveisconsolidadoset[[#This Row],[ATUAL]])</f>
        <v>0</v>
      </c>
      <c r="W103" s="91">
        <f>SUMIFS(tabela_registros[VALOR],tabela_registros[MÊS],$AE$1,tabela_registros[DIA],receitasvariáveisconsolidadoset[[#Headers],[19]],tabela_registros[REGISTRO],DADOS!$N$3,tabela_registros[TIPO],DADOS!$V$4,tabela_registros[CATEGORIA],receitasvariáveisconsolidadoset[[#This Row],[ATUAL]])</f>
        <v>0</v>
      </c>
      <c r="X103" s="91">
        <f>SUMIFS(tabela_registros[VALOR],tabela_registros[MÊS],$AE$1,tabela_registros[DIA],receitasvariáveisconsolidadoset[[#Headers],[20]],tabela_registros[REGISTRO],DADOS!$N$3,tabela_registros[TIPO],DADOS!$V$4,tabela_registros[CATEGORIA],receitasvariáveisconsolidadoset[[#This Row],[ATUAL]])</f>
        <v>0</v>
      </c>
      <c r="Y103" s="91">
        <f>SUMIFS(tabela_registros[VALOR],tabela_registros[MÊS],$AE$1,tabela_registros[DIA],receitasvariáveisconsolidadoset[[#Headers],[21]],tabela_registros[REGISTRO],DADOS!$N$3,tabela_registros[TIPO],DADOS!$V$4,tabela_registros[CATEGORIA],receitasvariáveisconsolidadoset[[#This Row],[ATUAL]])</f>
        <v>0</v>
      </c>
      <c r="Z103" s="91">
        <f>SUMIFS(tabela_registros[VALOR],tabela_registros[MÊS],$AE$1,tabela_registros[DIA],receitasvariáveisconsolidadoset[[#Headers],[22]],tabela_registros[REGISTRO],DADOS!$N$3,tabela_registros[TIPO],DADOS!$V$4,tabela_registros[CATEGORIA],receitasvariáveisconsolidadoset[[#This Row],[ATUAL]])</f>
        <v>0</v>
      </c>
      <c r="AA103" s="91">
        <f>SUMIFS(tabela_registros[VALOR],tabela_registros[MÊS],$AE$1,tabela_registros[DIA],receitasvariáveisconsolidadoset[[#Headers],[23]],tabela_registros[REGISTRO],DADOS!$N$3,tabela_registros[TIPO],DADOS!$V$4,tabela_registros[CATEGORIA],receitasvariáveisconsolidadoset[[#This Row],[ATUAL]])</f>
        <v>0</v>
      </c>
      <c r="AB103" s="91">
        <f>SUMIFS(tabela_registros[VALOR],tabela_registros[MÊS],$AE$1,tabela_registros[DIA],receitasvariáveisconsolidadoset[[#Headers],[24]],tabela_registros[REGISTRO],DADOS!$N$3,tabela_registros[TIPO],DADOS!$V$4,tabela_registros[CATEGORIA],receitasvariáveisconsolidadoset[[#This Row],[ATUAL]])</f>
        <v>0</v>
      </c>
      <c r="AC103" s="91">
        <f>SUMIFS(tabela_registros[VALOR],tabela_registros[MÊS],$AE$1,tabela_registros[DIA],receitasvariáveisconsolidadoset[[#Headers],[25]],tabela_registros[REGISTRO],DADOS!$N$3,tabela_registros[TIPO],DADOS!$V$4,tabela_registros[CATEGORIA],receitasvariáveisconsolidadoset[[#This Row],[ATUAL]])</f>
        <v>0</v>
      </c>
      <c r="AD103" s="91">
        <f>SUMIFS(tabela_registros[VALOR],tabela_registros[MÊS],$AE$1,tabela_registros[DIA],receitasvariáveisconsolidadoset[[#Headers],[26]],tabela_registros[REGISTRO],DADOS!$N$3,tabela_registros[TIPO],DADOS!$V$4,tabela_registros[CATEGORIA],receitasvariáveisconsolidadoset[[#This Row],[ATUAL]])</f>
        <v>0</v>
      </c>
      <c r="AE103" s="91">
        <f>SUMIFS(tabela_registros[VALOR],tabela_registros[MÊS],$AE$1,tabela_registros[DIA],receitasvariáveisconsolidadoset[[#Headers],[27]],tabela_registros[REGISTRO],DADOS!$N$3,tabela_registros[TIPO],DADOS!$V$4,tabela_registros[CATEGORIA],receitasvariáveisconsolidadoset[[#This Row],[ATUAL]])</f>
        <v>0</v>
      </c>
      <c r="AF103" s="91">
        <f>SUMIFS(tabela_registros[VALOR],tabela_registros[MÊS],$AE$1,tabela_registros[DIA],receitasvariáveisconsolidadoset[[#Headers],[28]],tabela_registros[REGISTRO],DADOS!$N$3,tabela_registros[TIPO],DADOS!$V$4,tabela_registros[CATEGORIA],receitasvariáveisconsolidadoset[[#This Row],[ATUAL]])</f>
        <v>0</v>
      </c>
      <c r="AG103" s="91">
        <f>SUMIFS(tabela_registros[VALOR],tabela_registros[MÊS],$AE$1,tabela_registros[DIA],receitasvariáveisconsolidadoset[[#Headers],[29]],tabela_registros[REGISTRO],DADOS!$N$3,tabela_registros[TIPO],DADOS!$V$4,tabela_registros[CATEGORIA],receitasvariáveisconsolidadoset[[#This Row],[ATUAL]])</f>
        <v>0</v>
      </c>
      <c r="AH103" s="91">
        <f>SUMIFS(tabela_registros[VALOR],tabela_registros[MÊS],$AE$1,tabela_registros[DIA],receitasvariáveisconsolidadoset[[#Headers],[30]],tabela_registros[REGISTRO],DADOS!$N$3,tabela_registros[TIPO],DADOS!$V$4,tabela_registros[CATEGORIA],receitasvariáveisconsolidadoset[[#This Row],[ATUAL]])</f>
        <v>0</v>
      </c>
      <c r="AI103" s="102">
        <f>SUMIFS(tabela_registros[VALOR],tabela_registros[MÊS],$AE$1,tabela_registros[DIA],receitasvariáveisconsolidadoset[[#Headers],[31]],tabela_registros[REGISTRO],DADOS!$N$3,tabela_registros[TIPO],DADOS!$V$4,tabela_registros[CATEGORIA],receitasvariáveisconsolidadoset[[#This Row],[ATUAL]])</f>
        <v>0</v>
      </c>
      <c r="AJ103" s="97">
        <f>SUM(receitasvariáveisconsolidadoset[[#This Row],[1]:[31]])</f>
        <v>0</v>
      </c>
      <c r="AK103" s="25"/>
    </row>
    <row r="104" spans="2:37" s="16" customFormat="1" ht="21" customHeight="1" thickTop="1" thickBot="1" x14ac:dyDescent="0.35">
      <c r="B104" s="24"/>
      <c r="C104" s="23" t="s">
        <v>19</v>
      </c>
      <c r="D104" s="22"/>
      <c r="E104" s="21">
        <f>SUM(E96:E103)</f>
        <v>0</v>
      </c>
      <c r="F104" s="20">
        <f>SUM(F96:F103)+receitasvariáveisconsolidadoset[[#This Row],[1]]</f>
        <v>0</v>
      </c>
      <c r="G104" s="20">
        <f>SUM(G96:G103)+receitasvariáveisconsolidadoset[[#This Row],[2]]</f>
        <v>0</v>
      </c>
      <c r="H104" s="20">
        <f>SUM(H96:H103)+receitasvariáveisconsolidadoset[[#This Row],[3]]</f>
        <v>0</v>
      </c>
      <c r="I104" s="20">
        <f>SUM(I96:I103)+receitasvariáveisconsolidadoset[[#This Row],[4]]</f>
        <v>0</v>
      </c>
      <c r="J104" s="20">
        <f>SUM(J96:J103)+receitasvariáveisconsolidadoset[[#This Row],[5]]</f>
        <v>0</v>
      </c>
      <c r="K104" s="20">
        <f>SUM(K96:K103)+receitasvariáveisconsolidadoset[[#This Row],[6]]</f>
        <v>0</v>
      </c>
      <c r="L104" s="20">
        <f>SUM(L96:L103)+receitasvariáveisconsolidadoset[[#This Row],[7]]</f>
        <v>0</v>
      </c>
      <c r="M104" s="20">
        <f>SUM(M96:M103)+receitasvariáveisconsolidadoset[[#This Row],[8]]</f>
        <v>0</v>
      </c>
      <c r="N104" s="20">
        <f>SUM(N96:N103)+receitasvariáveisconsolidadoset[[#This Row],[9]]</f>
        <v>0</v>
      </c>
      <c r="O104" s="20">
        <f>SUM(O96:O103)+receitasvariáveisconsolidadoset[[#This Row],[10]]</f>
        <v>0</v>
      </c>
      <c r="P104" s="20">
        <f>SUM(P96:P103)+receitasvariáveisconsolidadoset[[#This Row],[11]]</f>
        <v>0</v>
      </c>
      <c r="Q104" s="20">
        <f>SUM(Q96:Q103)+receitasvariáveisconsolidadoset[[#This Row],[12]]</f>
        <v>0</v>
      </c>
      <c r="R104" s="20">
        <f>SUM(R96:R103)+receitasvariáveisconsolidadoset[[#This Row],[13]]</f>
        <v>0</v>
      </c>
      <c r="S104" s="20">
        <f>SUM(S96:S103)+receitasvariáveisconsolidadoset[[#This Row],[14]]</f>
        <v>0</v>
      </c>
      <c r="T104" s="20">
        <f>SUM(T96:T103)+receitasvariáveisconsolidadoset[[#This Row],[15]]</f>
        <v>0</v>
      </c>
      <c r="U104" s="20">
        <f>SUM(U96:U103)+receitasvariáveisconsolidadoset[[#This Row],[16]]</f>
        <v>0</v>
      </c>
      <c r="V104" s="20">
        <f>SUM(V96:V103)+receitasvariáveisconsolidadoset[[#This Row],[17]]</f>
        <v>0</v>
      </c>
      <c r="W104" s="20">
        <f>SUM(W96:W103)+receitasvariáveisconsolidadoset[[#This Row],[18]]</f>
        <v>0</v>
      </c>
      <c r="X104" s="20">
        <f>SUM(X96:X103)+receitasvariáveisconsolidadoset[[#This Row],[19]]</f>
        <v>0</v>
      </c>
      <c r="Y104" s="20">
        <f>SUM(Y96:Y103)+receitasvariáveisconsolidadoset[[#This Row],[20]]</f>
        <v>0</v>
      </c>
      <c r="Z104" s="20">
        <f>SUM(Z96:Z103)+receitasvariáveisconsolidadoset[[#This Row],[21]]</f>
        <v>0</v>
      </c>
      <c r="AA104" s="20">
        <f>SUM(AA96:AA103)+receitasvariáveisconsolidadoset[[#This Row],[22]]</f>
        <v>0</v>
      </c>
      <c r="AB104" s="20">
        <f>SUM(AB96:AB103)+receitasvariáveisconsolidadoset[[#This Row],[23]]</f>
        <v>0</v>
      </c>
      <c r="AC104" s="20">
        <f>SUM(AC96:AC103)+receitasvariáveisconsolidadoset[[#This Row],[24]]</f>
        <v>0</v>
      </c>
      <c r="AD104" s="20">
        <f>SUM(AD96:AD103)+receitasvariáveisconsolidadoset[[#This Row],[25]]</f>
        <v>0</v>
      </c>
      <c r="AE104" s="20">
        <f>SUM(AE96:AE103)+receitasvariáveisconsolidadoset[[#This Row],[26]]</f>
        <v>0</v>
      </c>
      <c r="AF104" s="20">
        <f>SUM(AF96:AF103)+receitasvariáveisconsolidadoset[[#This Row],[27]]</f>
        <v>0</v>
      </c>
      <c r="AG104" s="20">
        <f>SUM(AG96:AG103)+receitasvariáveisconsolidadoset[[#This Row],[28]]</f>
        <v>0</v>
      </c>
      <c r="AH104" s="20">
        <f>SUM(AH96:AH103)+receitasvariáveisconsolidadoset[[#This Row],[29]]</f>
        <v>0</v>
      </c>
      <c r="AI104" s="19">
        <f>SUM(AI96:AI103)+receitasvariáveisconsolidadoset[[#This Row],[30]]</f>
        <v>0</v>
      </c>
      <c r="AJ104" s="18">
        <f>receitasvariáveisconsolidadoset[[#This Row],[31]]</f>
        <v>0</v>
      </c>
      <c r="AK104" s="17"/>
    </row>
    <row r="105" spans="2:37" ht="6.75" customHeight="1" thickTop="1" thickBot="1" x14ac:dyDescent="0.3">
      <c r="B105" s="15"/>
      <c r="C105" s="14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2"/>
      <c r="AJ105" s="11"/>
      <c r="AK105" s="10"/>
    </row>
    <row r="106" spans="2:37" ht="12.6" thickTop="1" x14ac:dyDescent="0.25">
      <c r="E106" s="37"/>
      <c r="AI106" s="4"/>
    </row>
    <row r="107" spans="2:37" x14ac:dyDescent="0.25">
      <c r="AI107" s="4"/>
    </row>
    <row r="108" spans="2:37" x14ac:dyDescent="0.25">
      <c r="AI108" s="4"/>
    </row>
    <row r="109" spans="2:37" ht="39.75" customHeight="1" x14ac:dyDescent="0.7">
      <c r="C109" s="36"/>
      <c r="E109" s="240"/>
      <c r="F109" s="240"/>
      <c r="G109" s="240"/>
      <c r="H109" s="240"/>
      <c r="I109" s="240"/>
      <c r="J109" s="240"/>
      <c r="K109" s="240"/>
      <c r="L109" s="240"/>
      <c r="M109" s="240"/>
      <c r="N109" s="240"/>
      <c r="O109" s="240"/>
      <c r="P109" s="240"/>
      <c r="Q109" s="240"/>
      <c r="R109" s="240"/>
      <c r="S109" s="240"/>
      <c r="T109" s="240"/>
      <c r="U109" s="240"/>
      <c r="V109" s="240"/>
      <c r="W109" s="240"/>
      <c r="X109" s="240"/>
      <c r="Y109" s="240"/>
      <c r="Z109" s="240"/>
      <c r="AA109" s="240"/>
      <c r="AB109" s="240"/>
      <c r="AC109" s="240"/>
      <c r="AD109" s="240"/>
      <c r="AE109" s="240"/>
      <c r="AF109" s="240"/>
      <c r="AG109" s="240"/>
      <c r="AH109" s="240"/>
      <c r="AI109" s="240"/>
      <c r="AJ109" s="32" t="s">
        <v>19</v>
      </c>
    </row>
    <row r="110" spans="2:37" ht="12.6" thickBot="1" x14ac:dyDescent="0.3">
      <c r="B110" s="35"/>
      <c r="AI110" s="4"/>
      <c r="AJ110" s="34" t="s">
        <v>202</v>
      </c>
    </row>
    <row r="111" spans="2:37" ht="6.75" customHeight="1" thickTop="1" thickBot="1" x14ac:dyDescent="0.3">
      <c r="B111" s="2"/>
      <c r="C111" s="14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2"/>
      <c r="AK111" s="33"/>
    </row>
    <row r="112" spans="2:37" ht="13.2" hidden="1" thickTop="1" thickBot="1" x14ac:dyDescent="0.3">
      <c r="B112" s="2"/>
      <c r="C112" s="31" t="s">
        <v>199</v>
      </c>
      <c r="D112" s="30" t="s">
        <v>198</v>
      </c>
      <c r="E112" s="30" t="s">
        <v>197</v>
      </c>
      <c r="F112" s="30" t="s">
        <v>196</v>
      </c>
      <c r="G112" s="30" t="s">
        <v>195</v>
      </c>
      <c r="H112" s="30" t="s">
        <v>194</v>
      </c>
      <c r="I112" s="30" t="s">
        <v>193</v>
      </c>
      <c r="J112" s="30" t="s">
        <v>192</v>
      </c>
      <c r="K112" s="30" t="s">
        <v>191</v>
      </c>
      <c r="L112" s="30" t="s">
        <v>190</v>
      </c>
      <c r="M112" s="30" t="s">
        <v>189</v>
      </c>
      <c r="N112" s="30" t="s">
        <v>188</v>
      </c>
      <c r="O112" s="30" t="s">
        <v>187</v>
      </c>
      <c r="P112" s="30" t="s">
        <v>186</v>
      </c>
      <c r="Q112" s="30" t="s">
        <v>185</v>
      </c>
      <c r="R112" s="30" t="s">
        <v>184</v>
      </c>
      <c r="S112" s="30" t="s">
        <v>183</v>
      </c>
      <c r="T112" s="30" t="s">
        <v>182</v>
      </c>
      <c r="U112" s="30" t="s">
        <v>181</v>
      </c>
      <c r="V112" s="30" t="s">
        <v>180</v>
      </c>
      <c r="W112" s="30" t="s">
        <v>179</v>
      </c>
      <c r="X112" s="30" t="s">
        <v>178</v>
      </c>
      <c r="Y112" s="30" t="s">
        <v>177</v>
      </c>
      <c r="Z112" s="30" t="s">
        <v>176</v>
      </c>
      <c r="AA112" s="30" t="s">
        <v>175</v>
      </c>
      <c r="AB112" s="30" t="s">
        <v>174</v>
      </c>
      <c r="AC112" s="30" t="s">
        <v>173</v>
      </c>
      <c r="AD112" s="30" t="s">
        <v>172</v>
      </c>
      <c r="AE112" s="30" t="s">
        <v>171</v>
      </c>
      <c r="AF112" s="30" t="s">
        <v>170</v>
      </c>
      <c r="AG112" s="30" t="s">
        <v>169</v>
      </c>
      <c r="AH112" s="30" t="s">
        <v>168</v>
      </c>
      <c r="AI112" s="30" t="s">
        <v>167</v>
      </c>
      <c r="AJ112" s="29" t="s">
        <v>166</v>
      </c>
      <c r="AK112" s="2"/>
    </row>
    <row r="113" spans="2:37" ht="19.5" customHeight="1" thickTop="1" thickBot="1" x14ac:dyDescent="0.3">
      <c r="B113" s="28"/>
      <c r="C113" s="27" t="str">
        <f>DADOS!$AD$3</f>
        <v>📝 CDB</v>
      </c>
      <c r="D113" s="26" t="str">
        <f>IF(investirrendafixaconsolidadoset[[#This Row],[TOTAL (R$)]]=0,"",IF(OR(investirrendafixaconsolidadoset[[#This Row],[TOTAL (R$)]]=LARGE($AJ$113:$AJ$122,1),investirrendafixaconsolidadoset[[#This Row],[TOTAL (R$)]]=LARGE($AJ$113:$AJ$122,2)),DADOS!$I$10,""))</f>
        <v/>
      </c>
      <c r="E113" s="96">
        <f>SUMIFS(tabela_registros[VALOR],tabela_registros[MÊS],$AE$1,tabela_registros[DIA],investirrendafixaconsolidadoset[[#Headers],[1]],tabela_registros[REGISTRO],DADOS!$N$5,tabela_registros[TIPO],DADOS!$AB$3,tabela_registros[CATEGORIA],investirrendafixaconsolidadoset[[#This Row],[ATUAL]])</f>
        <v>0</v>
      </c>
      <c r="F113" s="91">
        <f>SUMIFS(tabela_registros[VALOR],tabela_registros[MÊS],$AE$1,tabela_registros[DIA],investirrendafixaconsolidadoset[[#Headers],[2]],tabela_registros[REGISTRO],DADOS!$N$5,tabela_registros[TIPO],DADOS!$AB$3,tabela_registros[CATEGORIA],investirrendafixaconsolidadoset[[#This Row],[ATUAL]])</f>
        <v>0</v>
      </c>
      <c r="G113" s="91">
        <f>SUMIFS(tabela_registros[VALOR],tabela_registros[MÊS],$AE$1,tabela_registros[DIA],investirrendafixaconsolidadoset[[#Headers],[3]],tabela_registros[REGISTRO],DADOS!$N$5,tabela_registros[TIPO],DADOS!$AB$3,tabela_registros[CATEGORIA],investirrendafixaconsolidadoset[[#This Row],[ATUAL]])</f>
        <v>0</v>
      </c>
      <c r="H113" s="91">
        <f>SUMIFS(tabela_registros[VALOR],tabela_registros[MÊS],$AE$1,tabela_registros[DIA],investirrendafixaconsolidadoset[[#Headers],[4]],tabela_registros[REGISTRO],DADOS!$N$5,tabela_registros[TIPO],DADOS!$AB$3,tabela_registros[CATEGORIA],investirrendafixaconsolidadoset[[#This Row],[ATUAL]])</f>
        <v>0</v>
      </c>
      <c r="I113" s="91">
        <f>SUMIFS(tabela_registros[VALOR],tabela_registros[MÊS],$AE$1,tabela_registros[DIA],investirrendafixaconsolidadoset[[#Headers],[5]],tabela_registros[REGISTRO],DADOS!$N$5,tabela_registros[TIPO],DADOS!$AB$3,tabela_registros[CATEGORIA],investirrendafixaconsolidadoset[[#This Row],[ATUAL]])</f>
        <v>0</v>
      </c>
      <c r="J113" s="91">
        <f>SUMIFS(tabela_registros[VALOR],tabela_registros[MÊS],$AE$1,tabela_registros[DIA],investirrendafixaconsolidadoset[[#Headers],[6]],tabela_registros[REGISTRO],DADOS!$N$5,tabela_registros[TIPO],DADOS!$AB$3,tabela_registros[CATEGORIA],investirrendafixaconsolidadoset[[#This Row],[ATUAL]])</f>
        <v>0</v>
      </c>
      <c r="K113" s="91">
        <f>SUMIFS(tabela_registros[VALOR],tabela_registros[MÊS],$AE$1,tabela_registros[DIA],investirrendafixaconsolidadoset[[#Headers],[7]],tabela_registros[REGISTRO],DADOS!$N$5,tabela_registros[TIPO],DADOS!$AB$3,tabela_registros[CATEGORIA],investirrendafixaconsolidadoset[[#This Row],[ATUAL]])</f>
        <v>0</v>
      </c>
      <c r="L113" s="91">
        <f>SUMIFS(tabela_registros[VALOR],tabela_registros[MÊS],$AE$1,tabela_registros[DIA],investirrendafixaconsolidadoset[[#Headers],[8]],tabela_registros[REGISTRO],DADOS!$N$5,tabela_registros[TIPO],DADOS!$AB$3,tabela_registros[CATEGORIA],investirrendafixaconsolidadoset[[#This Row],[ATUAL]])</f>
        <v>0</v>
      </c>
      <c r="M113" s="91">
        <f>SUMIFS(tabela_registros[VALOR],tabela_registros[MÊS],$AE$1,tabela_registros[DIA],investirrendafixaconsolidadoset[[#Headers],[9]],tabela_registros[REGISTRO],DADOS!$N$5,tabela_registros[TIPO],DADOS!$AB$3,tabela_registros[CATEGORIA],investirrendafixaconsolidadoset[[#This Row],[ATUAL]])</f>
        <v>0</v>
      </c>
      <c r="N113" s="91">
        <f>SUMIFS(tabela_registros[VALOR],tabela_registros[MÊS],$AE$1,tabela_registros[DIA],investirrendafixaconsolidadoset[[#Headers],[10]],tabela_registros[REGISTRO],DADOS!$N$5,tabela_registros[TIPO],DADOS!$AB$3,tabela_registros[CATEGORIA],investirrendafixaconsolidadoset[[#This Row],[ATUAL]])</f>
        <v>0</v>
      </c>
      <c r="O113" s="91">
        <f>SUMIFS(tabela_registros[VALOR],tabela_registros[MÊS],$AE$1,tabela_registros[DIA],investirrendafixaconsolidadoset[[#Headers],[11]],tabela_registros[REGISTRO],DADOS!$N$5,tabela_registros[TIPO],DADOS!$AB$3,tabela_registros[CATEGORIA],investirrendafixaconsolidadoset[[#This Row],[ATUAL]])</f>
        <v>0</v>
      </c>
      <c r="P113" s="91">
        <f>SUMIFS(tabela_registros[VALOR],tabela_registros[MÊS],$AE$1,tabela_registros[DIA],investirrendafixaconsolidadoset[[#Headers],[12]],tabela_registros[REGISTRO],DADOS!$N$5,tabela_registros[TIPO],DADOS!$AB$3,tabela_registros[CATEGORIA],investirrendafixaconsolidadoset[[#This Row],[ATUAL]])</f>
        <v>0</v>
      </c>
      <c r="Q113" s="91">
        <f>SUMIFS(tabela_registros[VALOR],tabela_registros[MÊS],$AE$1,tabela_registros[DIA],investirrendafixaconsolidadoset[[#Headers],[13]],tabela_registros[REGISTRO],DADOS!$N$5,tabela_registros[TIPO],DADOS!$AB$3,tabela_registros[CATEGORIA],investirrendafixaconsolidadoset[[#This Row],[ATUAL]])</f>
        <v>0</v>
      </c>
      <c r="R113" s="91">
        <f>SUMIFS(tabela_registros[VALOR],tabela_registros[MÊS],$AE$1,tabela_registros[DIA],investirrendafixaconsolidadoset[[#Headers],[14]],tabela_registros[REGISTRO],DADOS!$N$5,tabela_registros[TIPO],DADOS!$AB$3,tabela_registros[CATEGORIA],investirrendafixaconsolidadoset[[#This Row],[ATUAL]])</f>
        <v>0</v>
      </c>
      <c r="S113" s="91">
        <f>SUMIFS(tabela_registros[VALOR],tabela_registros[MÊS],$AE$1,tabela_registros[DIA],investirrendafixaconsolidadoset[[#Headers],[15]],tabela_registros[REGISTRO],DADOS!$N$5,tabela_registros[TIPO],DADOS!$AB$3,tabela_registros[CATEGORIA],investirrendafixaconsolidadoset[[#This Row],[ATUAL]])</f>
        <v>0</v>
      </c>
      <c r="T113" s="91">
        <f>SUMIFS(tabela_registros[VALOR],tabela_registros[MÊS],$AE$1,tabela_registros[DIA],investirrendafixaconsolidadoset[[#Headers],[16]],tabela_registros[REGISTRO],DADOS!$N$5,tabela_registros[TIPO],DADOS!$AB$3,tabela_registros[CATEGORIA],investirrendafixaconsolidadoset[[#This Row],[ATUAL]])</f>
        <v>0</v>
      </c>
      <c r="U113" s="91">
        <f>SUMIFS(tabela_registros[VALOR],tabela_registros[MÊS],$AE$1,tabela_registros[DIA],investirrendafixaconsolidadoset[[#Headers],[17]],tabela_registros[REGISTRO],DADOS!$N$5,tabela_registros[TIPO],DADOS!$AB$3,tabela_registros[CATEGORIA],investirrendafixaconsolidadoset[[#This Row],[ATUAL]])</f>
        <v>0</v>
      </c>
      <c r="V113" s="91">
        <f>SUMIFS(tabela_registros[VALOR],tabela_registros[MÊS],$AE$1,tabela_registros[DIA],investirrendafixaconsolidadoset[[#Headers],[18]],tabela_registros[REGISTRO],DADOS!$N$5,tabela_registros[TIPO],DADOS!$AB$3,tabela_registros[CATEGORIA],investirrendafixaconsolidadoset[[#This Row],[ATUAL]])</f>
        <v>0</v>
      </c>
      <c r="W113" s="91">
        <f>SUMIFS(tabela_registros[VALOR],tabela_registros[MÊS],$AE$1,tabela_registros[DIA],investirrendafixaconsolidadoset[[#Headers],[19]],tabela_registros[REGISTRO],DADOS!$N$5,tabela_registros[TIPO],DADOS!$AB$3,tabela_registros[CATEGORIA],investirrendafixaconsolidadoset[[#This Row],[ATUAL]])</f>
        <v>0</v>
      </c>
      <c r="X113" s="91">
        <f>SUMIFS(tabela_registros[VALOR],tabela_registros[MÊS],$AE$1,tabela_registros[DIA],investirrendafixaconsolidadoset[[#Headers],[20]],tabela_registros[REGISTRO],DADOS!$N$5,tabela_registros[TIPO],DADOS!$AB$3,tabela_registros[CATEGORIA],investirrendafixaconsolidadoset[[#This Row],[ATUAL]])</f>
        <v>0</v>
      </c>
      <c r="Y113" s="91">
        <f>SUMIFS(tabela_registros[VALOR],tabela_registros[MÊS],$AE$1,tabela_registros[DIA],investirrendafixaconsolidadoset[[#Headers],[21]],tabela_registros[REGISTRO],DADOS!$N$5,tabela_registros[TIPO],DADOS!$AB$3,tabela_registros[CATEGORIA],investirrendafixaconsolidadoset[[#This Row],[ATUAL]])</f>
        <v>0</v>
      </c>
      <c r="Z113" s="91">
        <f>SUMIFS(tabela_registros[VALOR],tabela_registros[MÊS],$AE$1,tabela_registros[DIA],investirrendafixaconsolidadoset[[#Headers],[22]],tabela_registros[REGISTRO],DADOS!$N$5,tabela_registros[TIPO],DADOS!$AB$3,tabela_registros[CATEGORIA],investirrendafixaconsolidadoset[[#This Row],[ATUAL]])</f>
        <v>0</v>
      </c>
      <c r="AA113" s="91">
        <f>SUMIFS(tabela_registros[VALOR],tabela_registros[MÊS],$AE$1,tabela_registros[DIA],investirrendafixaconsolidadoset[[#Headers],[23]],tabela_registros[REGISTRO],DADOS!$N$5,tabela_registros[TIPO],DADOS!$AB$3,tabela_registros[CATEGORIA],investirrendafixaconsolidadoset[[#This Row],[ATUAL]])</f>
        <v>0</v>
      </c>
      <c r="AB113" s="91">
        <f>SUMIFS(tabela_registros[VALOR],tabela_registros[MÊS],$AE$1,tabela_registros[DIA],investirrendafixaconsolidadoset[[#Headers],[24]],tabela_registros[REGISTRO],DADOS!$N$5,tabela_registros[TIPO],DADOS!$AB$3,tabela_registros[CATEGORIA],investirrendafixaconsolidadoset[[#This Row],[ATUAL]])</f>
        <v>0</v>
      </c>
      <c r="AC113" s="91">
        <f>SUMIFS(tabela_registros[VALOR],tabela_registros[MÊS],$AE$1,tabela_registros[DIA],investirrendafixaconsolidadoset[[#Headers],[25]],tabela_registros[REGISTRO],DADOS!$N$5,tabela_registros[TIPO],DADOS!$AB$3,tabela_registros[CATEGORIA],investirrendafixaconsolidadoset[[#This Row],[ATUAL]])</f>
        <v>0</v>
      </c>
      <c r="AD113" s="91">
        <f>SUMIFS(tabela_registros[VALOR],tabela_registros[MÊS],$AE$1,tabela_registros[DIA],investirrendafixaconsolidadoset[[#Headers],[26]],tabela_registros[REGISTRO],DADOS!$N$5,tabela_registros[TIPO],DADOS!$AB$3,tabela_registros[CATEGORIA],investirrendafixaconsolidadoset[[#This Row],[ATUAL]])</f>
        <v>0</v>
      </c>
      <c r="AE113" s="91">
        <f>SUMIFS(tabela_registros[VALOR],tabela_registros[MÊS],$AE$1,tabela_registros[DIA],investirrendafixaconsolidadoset[[#Headers],[27]],tabela_registros[REGISTRO],DADOS!$N$5,tabela_registros[TIPO],DADOS!$AB$3,tabela_registros[CATEGORIA],investirrendafixaconsolidadoset[[#This Row],[ATUAL]])</f>
        <v>0</v>
      </c>
      <c r="AF113" s="91">
        <f>SUMIFS(tabela_registros[VALOR],tabela_registros[MÊS],$AE$1,tabela_registros[DIA],investirrendafixaconsolidadoset[[#Headers],[28]],tabela_registros[REGISTRO],DADOS!$N$5,tabela_registros[TIPO],DADOS!$AB$3,tabela_registros[CATEGORIA],investirrendafixaconsolidadoset[[#This Row],[ATUAL]])</f>
        <v>0</v>
      </c>
      <c r="AG113" s="91">
        <f>SUMIFS(tabela_registros[VALOR],tabela_registros[MÊS],$AE$1,tabela_registros[DIA],investirrendafixaconsolidadoset[[#Headers],[29]],tabela_registros[REGISTRO],DADOS!$N$5,tabela_registros[TIPO],DADOS!$AB$3,tabela_registros[CATEGORIA],investirrendafixaconsolidadoset[[#This Row],[ATUAL]])</f>
        <v>0</v>
      </c>
      <c r="AH113" s="91">
        <f>SUMIFS(tabela_registros[VALOR],tabela_registros[MÊS],$AE$1,tabela_registros[DIA],investirrendafixaconsolidadoset[[#Headers],[30]],tabela_registros[REGISTRO],DADOS!$N$5,tabela_registros[TIPO],DADOS!$AB$3,tabela_registros[CATEGORIA],investirrendafixaconsolidadoset[[#This Row],[ATUAL]])</f>
        <v>0</v>
      </c>
      <c r="AI113" s="101">
        <f>SUMIFS(tabela_registros[VALOR],tabela_registros[MÊS],$AE$1,tabela_registros[DIA],investirrendafixaconsolidadoset[[#Headers],[31]],tabela_registros[REGISTRO],DADOS!$N$5,tabela_registros[TIPO],DADOS!$AB$3,tabela_registros[CATEGORIA],investirrendafixaconsolidadoset[[#This Row],[ATUAL]])</f>
        <v>0</v>
      </c>
      <c r="AJ113" s="97">
        <f>SUM(investirrendafixaconsolidadoset[[#This Row],[1]:[31]])</f>
        <v>0</v>
      </c>
      <c r="AK113" s="25"/>
    </row>
    <row r="114" spans="2:37" ht="19.5" customHeight="1" thickTop="1" thickBot="1" x14ac:dyDescent="0.3">
      <c r="B114" s="28"/>
      <c r="C114" s="27" t="str">
        <f>DADOS!$AD$4</f>
        <v>📝 CRA</v>
      </c>
      <c r="D114" s="26" t="str">
        <f>IF(investirrendafixaconsolidadoset[[#This Row],[TOTAL (R$)]]=0,"",IF(OR(investirrendafixaconsolidadoset[[#This Row],[TOTAL (R$)]]=LARGE($AJ$113:$AJ$122,1),investirrendafixaconsolidadoset[[#This Row],[TOTAL (R$)]]=LARGE($AJ$113:$AJ$122,2)),DADOS!$I$10,""))</f>
        <v/>
      </c>
      <c r="E114" s="96">
        <f>SUMIFS(tabela_registros[VALOR],tabela_registros[MÊS],$AE$1,tabela_registros[DIA],investirrendafixaconsolidadoset[[#Headers],[1]],tabela_registros[REGISTRO],DADOS!$N$5,tabela_registros[TIPO],DADOS!$AB$3,tabela_registros[CATEGORIA],investirrendafixaconsolidadoset[[#This Row],[ATUAL]])</f>
        <v>0</v>
      </c>
      <c r="F114" s="91">
        <f>SUMIFS(tabela_registros[VALOR],tabela_registros[MÊS],$AE$1,tabela_registros[DIA],investirrendafixaconsolidadoset[[#Headers],[2]],tabela_registros[REGISTRO],DADOS!$N$5,tabela_registros[TIPO],DADOS!$AB$3,tabela_registros[CATEGORIA],investirrendafixaconsolidadoset[[#This Row],[ATUAL]])</f>
        <v>0</v>
      </c>
      <c r="G114" s="91">
        <f>SUMIFS(tabela_registros[VALOR],tabela_registros[MÊS],$AE$1,tabela_registros[DIA],investirrendafixaconsolidadoset[[#Headers],[3]],tabela_registros[REGISTRO],DADOS!$N$5,tabela_registros[TIPO],DADOS!$AB$3,tabela_registros[CATEGORIA],investirrendafixaconsolidadoset[[#This Row],[ATUAL]])</f>
        <v>0</v>
      </c>
      <c r="H114" s="91">
        <f>SUMIFS(tabela_registros[VALOR],tabela_registros[MÊS],$AE$1,tabela_registros[DIA],investirrendafixaconsolidadoset[[#Headers],[4]],tabela_registros[REGISTRO],DADOS!$N$5,tabela_registros[TIPO],DADOS!$AB$3,tabela_registros[CATEGORIA],investirrendafixaconsolidadoset[[#This Row],[ATUAL]])</f>
        <v>0</v>
      </c>
      <c r="I114" s="91">
        <f>SUMIFS(tabela_registros[VALOR],tabela_registros[MÊS],$AE$1,tabela_registros[DIA],investirrendafixaconsolidadoset[[#Headers],[5]],tabela_registros[REGISTRO],DADOS!$N$5,tabela_registros[TIPO],DADOS!$AB$3,tabela_registros[CATEGORIA],investirrendafixaconsolidadoset[[#This Row],[ATUAL]])</f>
        <v>0</v>
      </c>
      <c r="J114" s="91">
        <f>SUMIFS(tabela_registros[VALOR],tabela_registros[MÊS],$AE$1,tabela_registros[DIA],investirrendafixaconsolidadoset[[#Headers],[6]],tabela_registros[REGISTRO],DADOS!$N$5,tabela_registros[TIPO],DADOS!$AB$3,tabela_registros[CATEGORIA],investirrendafixaconsolidadoset[[#This Row],[ATUAL]])</f>
        <v>0</v>
      </c>
      <c r="K114" s="91">
        <f>SUMIFS(tabela_registros[VALOR],tabela_registros[MÊS],$AE$1,tabela_registros[DIA],investirrendafixaconsolidadoset[[#Headers],[7]],tabela_registros[REGISTRO],DADOS!$N$5,tabela_registros[TIPO],DADOS!$AB$3,tabela_registros[CATEGORIA],investirrendafixaconsolidadoset[[#This Row],[ATUAL]])</f>
        <v>0</v>
      </c>
      <c r="L114" s="91">
        <f>SUMIFS(tabela_registros[VALOR],tabela_registros[MÊS],$AE$1,tabela_registros[DIA],investirrendafixaconsolidadoset[[#Headers],[8]],tabela_registros[REGISTRO],DADOS!$N$5,tabela_registros[TIPO],DADOS!$AB$3,tabela_registros[CATEGORIA],investirrendafixaconsolidadoset[[#This Row],[ATUAL]])</f>
        <v>0</v>
      </c>
      <c r="M114" s="91">
        <f>SUMIFS(tabela_registros[VALOR],tabela_registros[MÊS],$AE$1,tabela_registros[DIA],investirrendafixaconsolidadoset[[#Headers],[9]],tabela_registros[REGISTRO],DADOS!$N$5,tabela_registros[TIPO],DADOS!$AB$3,tabela_registros[CATEGORIA],investirrendafixaconsolidadoset[[#This Row],[ATUAL]])</f>
        <v>0</v>
      </c>
      <c r="N114" s="91">
        <f>SUMIFS(tabela_registros[VALOR],tabela_registros[MÊS],$AE$1,tabela_registros[DIA],investirrendafixaconsolidadoset[[#Headers],[10]],tabela_registros[REGISTRO],DADOS!$N$5,tabela_registros[TIPO],DADOS!$AB$3,tabela_registros[CATEGORIA],investirrendafixaconsolidadoset[[#This Row],[ATUAL]])</f>
        <v>0</v>
      </c>
      <c r="O114" s="91">
        <f>SUMIFS(tabela_registros[VALOR],tabela_registros[MÊS],$AE$1,tabela_registros[DIA],investirrendafixaconsolidadoset[[#Headers],[11]],tabela_registros[REGISTRO],DADOS!$N$5,tabela_registros[TIPO],DADOS!$AB$3,tabela_registros[CATEGORIA],investirrendafixaconsolidadoset[[#This Row],[ATUAL]])</f>
        <v>0</v>
      </c>
      <c r="P114" s="91">
        <f>SUMIFS(tabela_registros[VALOR],tabela_registros[MÊS],$AE$1,tabela_registros[DIA],investirrendafixaconsolidadoset[[#Headers],[12]],tabela_registros[REGISTRO],DADOS!$N$5,tabela_registros[TIPO],DADOS!$AB$3,tabela_registros[CATEGORIA],investirrendafixaconsolidadoset[[#This Row],[ATUAL]])</f>
        <v>0</v>
      </c>
      <c r="Q114" s="91">
        <f>SUMIFS(tabela_registros[VALOR],tabela_registros[MÊS],$AE$1,tabela_registros[DIA],investirrendafixaconsolidadoset[[#Headers],[13]],tabela_registros[REGISTRO],DADOS!$N$5,tabela_registros[TIPO],DADOS!$AB$3,tabela_registros[CATEGORIA],investirrendafixaconsolidadoset[[#This Row],[ATUAL]])</f>
        <v>0</v>
      </c>
      <c r="R114" s="91">
        <f>SUMIFS(tabela_registros[VALOR],tabela_registros[MÊS],$AE$1,tabela_registros[DIA],investirrendafixaconsolidadoset[[#Headers],[14]],tabela_registros[REGISTRO],DADOS!$N$5,tabela_registros[TIPO],DADOS!$AB$3,tabela_registros[CATEGORIA],investirrendafixaconsolidadoset[[#This Row],[ATUAL]])</f>
        <v>0</v>
      </c>
      <c r="S114" s="91">
        <f>SUMIFS(tabela_registros[VALOR],tabela_registros[MÊS],$AE$1,tabela_registros[DIA],investirrendafixaconsolidadoset[[#Headers],[15]],tabela_registros[REGISTRO],DADOS!$N$5,tabela_registros[TIPO],DADOS!$AB$3,tabela_registros[CATEGORIA],investirrendafixaconsolidadoset[[#This Row],[ATUAL]])</f>
        <v>0</v>
      </c>
      <c r="T114" s="91">
        <f>SUMIFS(tabela_registros[VALOR],tabela_registros[MÊS],$AE$1,tabela_registros[DIA],investirrendafixaconsolidadoset[[#Headers],[16]],tabela_registros[REGISTRO],DADOS!$N$5,tabela_registros[TIPO],DADOS!$AB$3,tabela_registros[CATEGORIA],investirrendafixaconsolidadoset[[#This Row],[ATUAL]])</f>
        <v>0</v>
      </c>
      <c r="U114" s="91">
        <f>SUMIFS(tabela_registros[VALOR],tabela_registros[MÊS],$AE$1,tabela_registros[DIA],investirrendafixaconsolidadoset[[#Headers],[17]],tabela_registros[REGISTRO],DADOS!$N$5,tabela_registros[TIPO],DADOS!$AB$3,tabela_registros[CATEGORIA],investirrendafixaconsolidadoset[[#This Row],[ATUAL]])</f>
        <v>0</v>
      </c>
      <c r="V114" s="91">
        <f>SUMIFS(tabela_registros[VALOR],tabela_registros[MÊS],$AE$1,tabela_registros[DIA],investirrendafixaconsolidadoset[[#Headers],[18]],tabela_registros[REGISTRO],DADOS!$N$5,tabela_registros[TIPO],DADOS!$AB$3,tabela_registros[CATEGORIA],investirrendafixaconsolidadoset[[#This Row],[ATUAL]])</f>
        <v>0</v>
      </c>
      <c r="W114" s="91">
        <f>SUMIFS(tabela_registros[VALOR],tabela_registros[MÊS],$AE$1,tabela_registros[DIA],investirrendafixaconsolidadoset[[#Headers],[19]],tabela_registros[REGISTRO],DADOS!$N$5,tabela_registros[TIPO],DADOS!$AB$3,tabela_registros[CATEGORIA],investirrendafixaconsolidadoset[[#This Row],[ATUAL]])</f>
        <v>0</v>
      </c>
      <c r="X114" s="91">
        <f>SUMIFS(tabela_registros[VALOR],tabela_registros[MÊS],$AE$1,tabela_registros[DIA],investirrendafixaconsolidadoset[[#Headers],[20]],tabela_registros[REGISTRO],DADOS!$N$5,tabela_registros[TIPO],DADOS!$AB$3,tabela_registros[CATEGORIA],investirrendafixaconsolidadoset[[#This Row],[ATUAL]])</f>
        <v>0</v>
      </c>
      <c r="Y114" s="91">
        <f>SUMIFS(tabela_registros[VALOR],tabela_registros[MÊS],$AE$1,tabela_registros[DIA],investirrendafixaconsolidadoset[[#Headers],[21]],tabela_registros[REGISTRO],DADOS!$N$5,tabela_registros[TIPO],DADOS!$AB$3,tabela_registros[CATEGORIA],investirrendafixaconsolidadoset[[#This Row],[ATUAL]])</f>
        <v>0</v>
      </c>
      <c r="Z114" s="91">
        <f>SUMIFS(tabela_registros[VALOR],tabela_registros[MÊS],$AE$1,tabela_registros[DIA],investirrendafixaconsolidadoset[[#Headers],[22]],tabela_registros[REGISTRO],DADOS!$N$5,tabela_registros[TIPO],DADOS!$AB$3,tabela_registros[CATEGORIA],investirrendafixaconsolidadoset[[#This Row],[ATUAL]])</f>
        <v>0</v>
      </c>
      <c r="AA114" s="91">
        <f>SUMIFS(tabela_registros[VALOR],tabela_registros[MÊS],$AE$1,tabela_registros[DIA],investirrendafixaconsolidadoset[[#Headers],[23]],tabela_registros[REGISTRO],DADOS!$N$5,tabela_registros[TIPO],DADOS!$AB$3,tabela_registros[CATEGORIA],investirrendafixaconsolidadoset[[#This Row],[ATUAL]])</f>
        <v>0</v>
      </c>
      <c r="AB114" s="91">
        <f>SUMIFS(tabela_registros[VALOR],tabela_registros[MÊS],$AE$1,tabela_registros[DIA],investirrendafixaconsolidadoset[[#Headers],[24]],tabela_registros[REGISTRO],DADOS!$N$5,tabela_registros[TIPO],DADOS!$AB$3,tabela_registros[CATEGORIA],investirrendafixaconsolidadoset[[#This Row],[ATUAL]])</f>
        <v>0</v>
      </c>
      <c r="AC114" s="91">
        <f>SUMIFS(tabela_registros[VALOR],tabela_registros[MÊS],$AE$1,tabela_registros[DIA],investirrendafixaconsolidadoset[[#Headers],[25]],tabela_registros[REGISTRO],DADOS!$N$5,tabela_registros[TIPO],DADOS!$AB$3,tabela_registros[CATEGORIA],investirrendafixaconsolidadoset[[#This Row],[ATUAL]])</f>
        <v>0</v>
      </c>
      <c r="AD114" s="91">
        <f>SUMIFS(tabela_registros[VALOR],tabela_registros[MÊS],$AE$1,tabela_registros[DIA],investirrendafixaconsolidadoset[[#Headers],[26]],tabela_registros[REGISTRO],DADOS!$N$5,tabela_registros[TIPO],DADOS!$AB$3,tabela_registros[CATEGORIA],investirrendafixaconsolidadoset[[#This Row],[ATUAL]])</f>
        <v>0</v>
      </c>
      <c r="AE114" s="91">
        <f>SUMIFS(tabela_registros[VALOR],tabela_registros[MÊS],$AE$1,tabela_registros[DIA],investirrendafixaconsolidadoset[[#Headers],[27]],tabela_registros[REGISTRO],DADOS!$N$5,tabela_registros[TIPO],DADOS!$AB$3,tabela_registros[CATEGORIA],investirrendafixaconsolidadoset[[#This Row],[ATUAL]])</f>
        <v>0</v>
      </c>
      <c r="AF114" s="91">
        <f>SUMIFS(tabela_registros[VALOR],tabela_registros[MÊS],$AE$1,tabela_registros[DIA],investirrendafixaconsolidadoset[[#Headers],[28]],tabela_registros[REGISTRO],DADOS!$N$5,tabela_registros[TIPO],DADOS!$AB$3,tabela_registros[CATEGORIA],investirrendafixaconsolidadoset[[#This Row],[ATUAL]])</f>
        <v>0</v>
      </c>
      <c r="AG114" s="91">
        <f>SUMIFS(tabela_registros[VALOR],tabela_registros[MÊS],$AE$1,tabela_registros[DIA],investirrendafixaconsolidadoset[[#Headers],[29]],tabela_registros[REGISTRO],DADOS!$N$5,tabela_registros[TIPO],DADOS!$AB$3,tabela_registros[CATEGORIA],investirrendafixaconsolidadoset[[#This Row],[ATUAL]])</f>
        <v>0</v>
      </c>
      <c r="AH114" s="91">
        <f>SUMIFS(tabela_registros[VALOR],tabela_registros[MÊS],$AE$1,tabela_registros[DIA],investirrendafixaconsolidadoset[[#Headers],[30]],tabela_registros[REGISTRO],DADOS!$N$5,tabela_registros[TIPO],DADOS!$AB$3,tabela_registros[CATEGORIA],investirrendafixaconsolidadoset[[#This Row],[ATUAL]])</f>
        <v>0</v>
      </c>
      <c r="AI114" s="101">
        <f>SUMIFS(tabela_registros[VALOR],tabela_registros[MÊS],$AE$1,tabela_registros[DIA],investirrendafixaconsolidadoset[[#Headers],[31]],tabela_registros[REGISTRO],DADOS!$N$5,tabela_registros[TIPO],DADOS!$AB$3,tabela_registros[CATEGORIA],investirrendafixaconsolidadoset[[#This Row],[ATUAL]])</f>
        <v>0</v>
      </c>
      <c r="AJ114" s="97">
        <f>SUM(investirrendafixaconsolidadoset[[#This Row],[1]:[31]])</f>
        <v>0</v>
      </c>
      <c r="AK114" s="25"/>
    </row>
    <row r="115" spans="2:37" ht="19.5" customHeight="1" thickTop="1" thickBot="1" x14ac:dyDescent="0.3">
      <c r="B115" s="28"/>
      <c r="C115" s="27" t="str">
        <f>DADOS!$AD$5</f>
        <v>📝 CRI</v>
      </c>
      <c r="D115" s="26" t="str">
        <f>IF(investirrendafixaconsolidadoset[[#This Row],[TOTAL (R$)]]=0,"",IF(OR(investirrendafixaconsolidadoset[[#This Row],[TOTAL (R$)]]=LARGE($AJ$113:$AJ$122,1),investirrendafixaconsolidadoset[[#This Row],[TOTAL (R$)]]=LARGE($AJ$113:$AJ$122,2)),DADOS!$I$10,""))</f>
        <v/>
      </c>
      <c r="E115" s="96">
        <f>SUMIFS(tabela_registros[VALOR],tabela_registros[MÊS],$AE$1,tabela_registros[DIA],investirrendafixaconsolidadoset[[#Headers],[1]],tabela_registros[REGISTRO],DADOS!$N$5,tabela_registros[TIPO],DADOS!$AB$3,tabela_registros[CATEGORIA],investirrendafixaconsolidadoset[[#This Row],[ATUAL]])</f>
        <v>0</v>
      </c>
      <c r="F115" s="91">
        <f>SUMIFS(tabela_registros[VALOR],tabela_registros[MÊS],$AE$1,tabela_registros[DIA],investirrendafixaconsolidadoset[[#Headers],[2]],tabela_registros[REGISTRO],DADOS!$N$5,tabela_registros[TIPO],DADOS!$AB$3,tabela_registros[CATEGORIA],investirrendafixaconsolidadoset[[#This Row],[ATUAL]])</f>
        <v>0</v>
      </c>
      <c r="G115" s="91">
        <f>SUMIFS(tabela_registros[VALOR],tabela_registros[MÊS],$AE$1,tabela_registros[DIA],investirrendafixaconsolidadoset[[#Headers],[3]],tabela_registros[REGISTRO],DADOS!$N$5,tabela_registros[TIPO],DADOS!$AB$3,tabela_registros[CATEGORIA],investirrendafixaconsolidadoset[[#This Row],[ATUAL]])</f>
        <v>0</v>
      </c>
      <c r="H115" s="91">
        <f>SUMIFS(tabela_registros[VALOR],tabela_registros[MÊS],$AE$1,tabela_registros[DIA],investirrendafixaconsolidadoset[[#Headers],[4]],tabela_registros[REGISTRO],DADOS!$N$5,tabela_registros[TIPO],DADOS!$AB$3,tabela_registros[CATEGORIA],investirrendafixaconsolidadoset[[#This Row],[ATUAL]])</f>
        <v>0</v>
      </c>
      <c r="I115" s="91">
        <f>SUMIFS(tabela_registros[VALOR],tabela_registros[MÊS],$AE$1,tabela_registros[DIA],investirrendafixaconsolidadoset[[#Headers],[5]],tabela_registros[REGISTRO],DADOS!$N$5,tabela_registros[TIPO],DADOS!$AB$3,tabela_registros[CATEGORIA],investirrendafixaconsolidadoset[[#This Row],[ATUAL]])</f>
        <v>0</v>
      </c>
      <c r="J115" s="91">
        <f>SUMIFS(tabela_registros[VALOR],tabela_registros[MÊS],$AE$1,tabela_registros[DIA],investirrendafixaconsolidadoset[[#Headers],[6]],tabela_registros[REGISTRO],DADOS!$N$5,tabela_registros[TIPO],DADOS!$AB$3,tabela_registros[CATEGORIA],investirrendafixaconsolidadoset[[#This Row],[ATUAL]])</f>
        <v>0</v>
      </c>
      <c r="K115" s="91">
        <f>SUMIFS(tabela_registros[VALOR],tabela_registros[MÊS],$AE$1,tabela_registros[DIA],investirrendafixaconsolidadoset[[#Headers],[7]],tabela_registros[REGISTRO],DADOS!$N$5,tabela_registros[TIPO],DADOS!$AB$3,tabela_registros[CATEGORIA],investirrendafixaconsolidadoset[[#This Row],[ATUAL]])</f>
        <v>0</v>
      </c>
      <c r="L115" s="91">
        <f>SUMIFS(tabela_registros[VALOR],tabela_registros[MÊS],$AE$1,tabela_registros[DIA],investirrendafixaconsolidadoset[[#Headers],[8]],tabela_registros[REGISTRO],DADOS!$N$5,tabela_registros[TIPO],DADOS!$AB$3,tabela_registros[CATEGORIA],investirrendafixaconsolidadoset[[#This Row],[ATUAL]])</f>
        <v>0</v>
      </c>
      <c r="M115" s="91">
        <f>SUMIFS(tabela_registros[VALOR],tabela_registros[MÊS],$AE$1,tabela_registros[DIA],investirrendafixaconsolidadoset[[#Headers],[9]],tabela_registros[REGISTRO],DADOS!$N$5,tabela_registros[TIPO],DADOS!$AB$3,tabela_registros[CATEGORIA],investirrendafixaconsolidadoset[[#This Row],[ATUAL]])</f>
        <v>0</v>
      </c>
      <c r="N115" s="91">
        <f>SUMIFS(tabela_registros[VALOR],tabela_registros[MÊS],$AE$1,tabela_registros[DIA],investirrendafixaconsolidadoset[[#Headers],[10]],tabela_registros[REGISTRO],DADOS!$N$5,tabela_registros[TIPO],DADOS!$AB$3,tabela_registros[CATEGORIA],investirrendafixaconsolidadoset[[#This Row],[ATUAL]])</f>
        <v>0</v>
      </c>
      <c r="O115" s="91">
        <f>SUMIFS(tabela_registros[VALOR],tabela_registros[MÊS],$AE$1,tabela_registros[DIA],investirrendafixaconsolidadoset[[#Headers],[11]],tabela_registros[REGISTRO],DADOS!$N$5,tabela_registros[TIPO],DADOS!$AB$3,tabela_registros[CATEGORIA],investirrendafixaconsolidadoset[[#This Row],[ATUAL]])</f>
        <v>0</v>
      </c>
      <c r="P115" s="91">
        <f>SUMIFS(tabela_registros[VALOR],tabela_registros[MÊS],$AE$1,tabela_registros[DIA],investirrendafixaconsolidadoset[[#Headers],[12]],tabela_registros[REGISTRO],DADOS!$N$5,tabela_registros[TIPO],DADOS!$AB$3,tabela_registros[CATEGORIA],investirrendafixaconsolidadoset[[#This Row],[ATUAL]])</f>
        <v>0</v>
      </c>
      <c r="Q115" s="91">
        <f>SUMIFS(tabela_registros[VALOR],tabela_registros[MÊS],$AE$1,tabela_registros[DIA],investirrendafixaconsolidadoset[[#Headers],[13]],tabela_registros[REGISTRO],DADOS!$N$5,tabela_registros[TIPO],DADOS!$AB$3,tabela_registros[CATEGORIA],investirrendafixaconsolidadoset[[#This Row],[ATUAL]])</f>
        <v>0</v>
      </c>
      <c r="R115" s="91">
        <f>SUMIFS(tabela_registros[VALOR],tabela_registros[MÊS],$AE$1,tabela_registros[DIA],investirrendafixaconsolidadoset[[#Headers],[14]],tabela_registros[REGISTRO],DADOS!$N$5,tabela_registros[TIPO],DADOS!$AB$3,tabela_registros[CATEGORIA],investirrendafixaconsolidadoset[[#This Row],[ATUAL]])</f>
        <v>0</v>
      </c>
      <c r="S115" s="91">
        <f>SUMIFS(tabela_registros[VALOR],tabela_registros[MÊS],$AE$1,tabela_registros[DIA],investirrendafixaconsolidadoset[[#Headers],[15]],tabela_registros[REGISTRO],DADOS!$N$5,tabela_registros[TIPO],DADOS!$AB$3,tabela_registros[CATEGORIA],investirrendafixaconsolidadoset[[#This Row],[ATUAL]])</f>
        <v>0</v>
      </c>
      <c r="T115" s="91">
        <f>SUMIFS(tabela_registros[VALOR],tabela_registros[MÊS],$AE$1,tabela_registros[DIA],investirrendafixaconsolidadoset[[#Headers],[16]],tabela_registros[REGISTRO],DADOS!$N$5,tabela_registros[TIPO],DADOS!$AB$3,tabela_registros[CATEGORIA],investirrendafixaconsolidadoset[[#This Row],[ATUAL]])</f>
        <v>0</v>
      </c>
      <c r="U115" s="91">
        <f>SUMIFS(tabela_registros[VALOR],tabela_registros[MÊS],$AE$1,tabela_registros[DIA],investirrendafixaconsolidadoset[[#Headers],[17]],tabela_registros[REGISTRO],DADOS!$N$5,tabela_registros[TIPO],DADOS!$AB$3,tabela_registros[CATEGORIA],investirrendafixaconsolidadoset[[#This Row],[ATUAL]])</f>
        <v>0</v>
      </c>
      <c r="V115" s="91">
        <f>SUMIFS(tabela_registros[VALOR],tabela_registros[MÊS],$AE$1,tabela_registros[DIA],investirrendafixaconsolidadoset[[#Headers],[18]],tabela_registros[REGISTRO],DADOS!$N$5,tabela_registros[TIPO],DADOS!$AB$3,tabela_registros[CATEGORIA],investirrendafixaconsolidadoset[[#This Row],[ATUAL]])</f>
        <v>0</v>
      </c>
      <c r="W115" s="91">
        <f>SUMIFS(tabela_registros[VALOR],tabela_registros[MÊS],$AE$1,tabela_registros[DIA],investirrendafixaconsolidadoset[[#Headers],[19]],tabela_registros[REGISTRO],DADOS!$N$5,tabela_registros[TIPO],DADOS!$AB$3,tabela_registros[CATEGORIA],investirrendafixaconsolidadoset[[#This Row],[ATUAL]])</f>
        <v>0</v>
      </c>
      <c r="X115" s="91">
        <f>SUMIFS(tabela_registros[VALOR],tabela_registros[MÊS],$AE$1,tabela_registros[DIA],investirrendafixaconsolidadoset[[#Headers],[20]],tabela_registros[REGISTRO],DADOS!$N$5,tabela_registros[TIPO],DADOS!$AB$3,tabela_registros[CATEGORIA],investirrendafixaconsolidadoset[[#This Row],[ATUAL]])</f>
        <v>0</v>
      </c>
      <c r="Y115" s="91">
        <f>SUMIFS(tabela_registros[VALOR],tabela_registros[MÊS],$AE$1,tabela_registros[DIA],investirrendafixaconsolidadoset[[#Headers],[21]],tabela_registros[REGISTRO],DADOS!$N$5,tabela_registros[TIPO],DADOS!$AB$3,tabela_registros[CATEGORIA],investirrendafixaconsolidadoset[[#This Row],[ATUAL]])</f>
        <v>0</v>
      </c>
      <c r="Z115" s="91">
        <f>SUMIFS(tabela_registros[VALOR],tabela_registros[MÊS],$AE$1,tabela_registros[DIA],investirrendafixaconsolidadoset[[#Headers],[22]],tabela_registros[REGISTRO],DADOS!$N$5,tabela_registros[TIPO],DADOS!$AB$3,tabela_registros[CATEGORIA],investirrendafixaconsolidadoset[[#This Row],[ATUAL]])</f>
        <v>0</v>
      </c>
      <c r="AA115" s="91">
        <f>SUMIFS(tabela_registros[VALOR],tabela_registros[MÊS],$AE$1,tabela_registros[DIA],investirrendafixaconsolidadoset[[#Headers],[23]],tabela_registros[REGISTRO],DADOS!$N$5,tabela_registros[TIPO],DADOS!$AB$3,tabela_registros[CATEGORIA],investirrendafixaconsolidadoset[[#This Row],[ATUAL]])</f>
        <v>0</v>
      </c>
      <c r="AB115" s="91">
        <f>SUMIFS(tabela_registros[VALOR],tabela_registros[MÊS],$AE$1,tabela_registros[DIA],investirrendafixaconsolidadoset[[#Headers],[24]],tabela_registros[REGISTRO],DADOS!$N$5,tabela_registros[TIPO],DADOS!$AB$3,tabela_registros[CATEGORIA],investirrendafixaconsolidadoset[[#This Row],[ATUAL]])</f>
        <v>0</v>
      </c>
      <c r="AC115" s="91">
        <f>SUMIFS(tabela_registros[VALOR],tabela_registros[MÊS],$AE$1,tabela_registros[DIA],investirrendafixaconsolidadoset[[#Headers],[25]],tabela_registros[REGISTRO],DADOS!$N$5,tabela_registros[TIPO],DADOS!$AB$3,tabela_registros[CATEGORIA],investirrendafixaconsolidadoset[[#This Row],[ATUAL]])</f>
        <v>0</v>
      </c>
      <c r="AD115" s="91">
        <f>SUMIFS(tabela_registros[VALOR],tabela_registros[MÊS],$AE$1,tabela_registros[DIA],investirrendafixaconsolidadoset[[#Headers],[26]],tabela_registros[REGISTRO],DADOS!$N$5,tabela_registros[TIPO],DADOS!$AB$3,tabela_registros[CATEGORIA],investirrendafixaconsolidadoset[[#This Row],[ATUAL]])</f>
        <v>0</v>
      </c>
      <c r="AE115" s="91">
        <f>SUMIFS(tabela_registros[VALOR],tabela_registros[MÊS],$AE$1,tabela_registros[DIA],investirrendafixaconsolidadoset[[#Headers],[27]],tabela_registros[REGISTRO],DADOS!$N$5,tabela_registros[TIPO],DADOS!$AB$3,tabela_registros[CATEGORIA],investirrendafixaconsolidadoset[[#This Row],[ATUAL]])</f>
        <v>0</v>
      </c>
      <c r="AF115" s="91">
        <f>SUMIFS(tabela_registros[VALOR],tabela_registros[MÊS],$AE$1,tabela_registros[DIA],investirrendafixaconsolidadoset[[#Headers],[28]],tabela_registros[REGISTRO],DADOS!$N$5,tabela_registros[TIPO],DADOS!$AB$3,tabela_registros[CATEGORIA],investirrendafixaconsolidadoset[[#This Row],[ATUAL]])</f>
        <v>0</v>
      </c>
      <c r="AG115" s="91">
        <f>SUMIFS(tabela_registros[VALOR],tabela_registros[MÊS],$AE$1,tabela_registros[DIA],investirrendafixaconsolidadoset[[#Headers],[29]],tabela_registros[REGISTRO],DADOS!$N$5,tabela_registros[TIPO],DADOS!$AB$3,tabela_registros[CATEGORIA],investirrendafixaconsolidadoset[[#This Row],[ATUAL]])</f>
        <v>0</v>
      </c>
      <c r="AH115" s="91">
        <f>SUMIFS(tabela_registros[VALOR],tabela_registros[MÊS],$AE$1,tabela_registros[DIA],investirrendafixaconsolidadoset[[#Headers],[30]],tabela_registros[REGISTRO],DADOS!$N$5,tabela_registros[TIPO],DADOS!$AB$3,tabela_registros[CATEGORIA],investirrendafixaconsolidadoset[[#This Row],[ATUAL]])</f>
        <v>0</v>
      </c>
      <c r="AI115" s="101">
        <f>SUMIFS(tabela_registros[VALOR],tabela_registros[MÊS],$AE$1,tabela_registros[DIA],investirrendafixaconsolidadoset[[#Headers],[31]],tabela_registros[REGISTRO],DADOS!$N$5,tabela_registros[TIPO],DADOS!$AB$3,tabela_registros[CATEGORIA],investirrendafixaconsolidadoset[[#This Row],[ATUAL]])</f>
        <v>0</v>
      </c>
      <c r="AJ115" s="97">
        <f>SUM(investirrendafixaconsolidadoset[[#This Row],[1]:[31]])</f>
        <v>0</v>
      </c>
      <c r="AK115" s="25"/>
    </row>
    <row r="116" spans="2:37" ht="19.5" customHeight="1" thickTop="1" thickBot="1" x14ac:dyDescent="0.3">
      <c r="B116" s="28"/>
      <c r="C116" s="27" t="str">
        <f>DADOS!$AD$6</f>
        <v>📝 DEBÊNTURE</v>
      </c>
      <c r="D116" s="26" t="str">
        <f>IF(investirrendafixaconsolidadoset[[#This Row],[TOTAL (R$)]]=0,"",IF(OR(investirrendafixaconsolidadoset[[#This Row],[TOTAL (R$)]]=LARGE($AJ$113:$AJ$122,1),investirrendafixaconsolidadoset[[#This Row],[TOTAL (R$)]]=LARGE($AJ$113:$AJ$122,2)),DADOS!$I$10,""))</f>
        <v/>
      </c>
      <c r="E116" s="96">
        <f>SUMIFS(tabela_registros[VALOR],tabela_registros[MÊS],$AE$1,tabela_registros[DIA],investirrendafixaconsolidadoset[[#Headers],[1]],tabela_registros[REGISTRO],DADOS!$N$5,tabela_registros[TIPO],DADOS!$AB$3,tabela_registros[CATEGORIA],investirrendafixaconsolidadoset[[#This Row],[ATUAL]])</f>
        <v>0</v>
      </c>
      <c r="F116" s="91">
        <f>SUMIFS(tabela_registros[VALOR],tabela_registros[MÊS],$AE$1,tabela_registros[DIA],investirrendafixaconsolidadoset[[#Headers],[2]],tabela_registros[REGISTRO],DADOS!$N$5,tabela_registros[TIPO],DADOS!$AB$3,tabela_registros[CATEGORIA],investirrendafixaconsolidadoset[[#This Row],[ATUAL]])</f>
        <v>0</v>
      </c>
      <c r="G116" s="91">
        <f>SUMIFS(tabela_registros[VALOR],tabela_registros[MÊS],$AE$1,tabela_registros[DIA],investirrendafixaconsolidadoset[[#Headers],[3]],tabela_registros[REGISTRO],DADOS!$N$5,tabela_registros[TIPO],DADOS!$AB$3,tabela_registros[CATEGORIA],investirrendafixaconsolidadoset[[#This Row],[ATUAL]])</f>
        <v>0</v>
      </c>
      <c r="H116" s="91">
        <f>SUMIFS(tabela_registros[VALOR],tabela_registros[MÊS],$AE$1,tabela_registros[DIA],investirrendafixaconsolidadoset[[#Headers],[4]],tabela_registros[REGISTRO],DADOS!$N$5,tabela_registros[TIPO],DADOS!$AB$3,tabela_registros[CATEGORIA],investirrendafixaconsolidadoset[[#This Row],[ATUAL]])</f>
        <v>0</v>
      </c>
      <c r="I116" s="91">
        <f>SUMIFS(tabela_registros[VALOR],tabela_registros[MÊS],$AE$1,tabela_registros[DIA],investirrendafixaconsolidadoset[[#Headers],[5]],tabela_registros[REGISTRO],DADOS!$N$5,tabela_registros[TIPO],DADOS!$AB$3,tabela_registros[CATEGORIA],investirrendafixaconsolidadoset[[#This Row],[ATUAL]])</f>
        <v>0</v>
      </c>
      <c r="J116" s="91">
        <f>SUMIFS(tabela_registros[VALOR],tabela_registros[MÊS],$AE$1,tabela_registros[DIA],investirrendafixaconsolidadoset[[#Headers],[6]],tabela_registros[REGISTRO],DADOS!$N$5,tabela_registros[TIPO],DADOS!$AB$3,tabela_registros[CATEGORIA],investirrendafixaconsolidadoset[[#This Row],[ATUAL]])</f>
        <v>0</v>
      </c>
      <c r="K116" s="91">
        <f>SUMIFS(tabela_registros[VALOR],tabela_registros[MÊS],$AE$1,tabela_registros[DIA],investirrendafixaconsolidadoset[[#Headers],[7]],tabela_registros[REGISTRO],DADOS!$N$5,tabela_registros[TIPO],DADOS!$AB$3,tabela_registros[CATEGORIA],investirrendafixaconsolidadoset[[#This Row],[ATUAL]])</f>
        <v>0</v>
      </c>
      <c r="L116" s="91">
        <f>SUMIFS(tabela_registros[VALOR],tabela_registros[MÊS],$AE$1,tabela_registros[DIA],investirrendafixaconsolidadoset[[#Headers],[8]],tabela_registros[REGISTRO],DADOS!$N$5,tabela_registros[TIPO],DADOS!$AB$3,tabela_registros[CATEGORIA],investirrendafixaconsolidadoset[[#This Row],[ATUAL]])</f>
        <v>0</v>
      </c>
      <c r="M116" s="91">
        <f>SUMIFS(tabela_registros[VALOR],tabela_registros[MÊS],$AE$1,tabela_registros[DIA],investirrendafixaconsolidadoset[[#Headers],[9]],tabela_registros[REGISTRO],DADOS!$N$5,tabela_registros[TIPO],DADOS!$AB$3,tabela_registros[CATEGORIA],investirrendafixaconsolidadoset[[#This Row],[ATUAL]])</f>
        <v>0</v>
      </c>
      <c r="N116" s="91">
        <f>SUMIFS(tabela_registros[VALOR],tabela_registros[MÊS],$AE$1,tabela_registros[DIA],investirrendafixaconsolidadoset[[#Headers],[10]],tabela_registros[REGISTRO],DADOS!$N$5,tabela_registros[TIPO],DADOS!$AB$3,tabela_registros[CATEGORIA],investirrendafixaconsolidadoset[[#This Row],[ATUAL]])</f>
        <v>0</v>
      </c>
      <c r="O116" s="91">
        <f>SUMIFS(tabela_registros[VALOR],tabela_registros[MÊS],$AE$1,tabela_registros[DIA],investirrendafixaconsolidadoset[[#Headers],[11]],tabela_registros[REGISTRO],DADOS!$N$5,tabela_registros[TIPO],DADOS!$AB$3,tabela_registros[CATEGORIA],investirrendafixaconsolidadoset[[#This Row],[ATUAL]])</f>
        <v>0</v>
      </c>
      <c r="P116" s="91">
        <f>SUMIFS(tabela_registros[VALOR],tabela_registros[MÊS],$AE$1,tabela_registros[DIA],investirrendafixaconsolidadoset[[#Headers],[12]],tabela_registros[REGISTRO],DADOS!$N$5,tabela_registros[TIPO],DADOS!$AB$3,tabela_registros[CATEGORIA],investirrendafixaconsolidadoset[[#This Row],[ATUAL]])</f>
        <v>0</v>
      </c>
      <c r="Q116" s="91">
        <f>SUMIFS(tabela_registros[VALOR],tabela_registros[MÊS],$AE$1,tabela_registros[DIA],investirrendafixaconsolidadoset[[#Headers],[13]],tabela_registros[REGISTRO],DADOS!$N$5,tabela_registros[TIPO],DADOS!$AB$3,tabela_registros[CATEGORIA],investirrendafixaconsolidadoset[[#This Row],[ATUAL]])</f>
        <v>0</v>
      </c>
      <c r="R116" s="91">
        <f>SUMIFS(tabela_registros[VALOR],tabela_registros[MÊS],$AE$1,tabela_registros[DIA],investirrendafixaconsolidadoset[[#Headers],[14]],tabela_registros[REGISTRO],DADOS!$N$5,tabela_registros[TIPO],DADOS!$AB$3,tabela_registros[CATEGORIA],investirrendafixaconsolidadoset[[#This Row],[ATUAL]])</f>
        <v>0</v>
      </c>
      <c r="S116" s="91">
        <f>SUMIFS(tabela_registros[VALOR],tabela_registros[MÊS],$AE$1,tabela_registros[DIA],investirrendafixaconsolidadoset[[#Headers],[15]],tabela_registros[REGISTRO],DADOS!$N$5,tabela_registros[TIPO],DADOS!$AB$3,tabela_registros[CATEGORIA],investirrendafixaconsolidadoset[[#This Row],[ATUAL]])</f>
        <v>0</v>
      </c>
      <c r="T116" s="91">
        <f>SUMIFS(tabela_registros[VALOR],tabela_registros[MÊS],$AE$1,tabela_registros[DIA],investirrendafixaconsolidadoset[[#Headers],[16]],tabela_registros[REGISTRO],DADOS!$N$5,tabela_registros[TIPO],DADOS!$AB$3,tabela_registros[CATEGORIA],investirrendafixaconsolidadoset[[#This Row],[ATUAL]])</f>
        <v>0</v>
      </c>
      <c r="U116" s="91">
        <f>SUMIFS(tabela_registros[VALOR],tabela_registros[MÊS],$AE$1,tabela_registros[DIA],investirrendafixaconsolidadoset[[#Headers],[17]],tabela_registros[REGISTRO],DADOS!$N$5,tabela_registros[TIPO],DADOS!$AB$3,tabela_registros[CATEGORIA],investirrendafixaconsolidadoset[[#This Row],[ATUAL]])</f>
        <v>0</v>
      </c>
      <c r="V116" s="91">
        <f>SUMIFS(tabela_registros[VALOR],tabela_registros[MÊS],$AE$1,tabela_registros[DIA],investirrendafixaconsolidadoset[[#Headers],[18]],tabela_registros[REGISTRO],DADOS!$N$5,tabela_registros[TIPO],DADOS!$AB$3,tabela_registros[CATEGORIA],investirrendafixaconsolidadoset[[#This Row],[ATUAL]])</f>
        <v>0</v>
      </c>
      <c r="W116" s="91">
        <f>SUMIFS(tabela_registros[VALOR],tabela_registros[MÊS],$AE$1,tabela_registros[DIA],investirrendafixaconsolidadoset[[#Headers],[19]],tabela_registros[REGISTRO],DADOS!$N$5,tabela_registros[TIPO],DADOS!$AB$3,tabela_registros[CATEGORIA],investirrendafixaconsolidadoset[[#This Row],[ATUAL]])</f>
        <v>0</v>
      </c>
      <c r="X116" s="91">
        <f>SUMIFS(tabela_registros[VALOR],tabela_registros[MÊS],$AE$1,tabela_registros[DIA],investirrendafixaconsolidadoset[[#Headers],[20]],tabela_registros[REGISTRO],DADOS!$N$5,tabela_registros[TIPO],DADOS!$AB$3,tabela_registros[CATEGORIA],investirrendafixaconsolidadoset[[#This Row],[ATUAL]])</f>
        <v>0</v>
      </c>
      <c r="Y116" s="91">
        <f>SUMIFS(tabela_registros[VALOR],tabela_registros[MÊS],$AE$1,tabela_registros[DIA],investirrendafixaconsolidadoset[[#Headers],[21]],tabela_registros[REGISTRO],DADOS!$N$5,tabela_registros[TIPO],DADOS!$AB$3,tabela_registros[CATEGORIA],investirrendafixaconsolidadoset[[#This Row],[ATUAL]])</f>
        <v>0</v>
      </c>
      <c r="Z116" s="91">
        <f>SUMIFS(tabela_registros[VALOR],tabela_registros[MÊS],$AE$1,tabela_registros[DIA],investirrendafixaconsolidadoset[[#Headers],[22]],tabela_registros[REGISTRO],DADOS!$N$5,tabela_registros[TIPO],DADOS!$AB$3,tabela_registros[CATEGORIA],investirrendafixaconsolidadoset[[#This Row],[ATUAL]])</f>
        <v>0</v>
      </c>
      <c r="AA116" s="91">
        <f>SUMIFS(tabela_registros[VALOR],tabela_registros[MÊS],$AE$1,tabela_registros[DIA],investirrendafixaconsolidadoset[[#Headers],[23]],tabela_registros[REGISTRO],DADOS!$N$5,tabela_registros[TIPO],DADOS!$AB$3,tabela_registros[CATEGORIA],investirrendafixaconsolidadoset[[#This Row],[ATUAL]])</f>
        <v>0</v>
      </c>
      <c r="AB116" s="91">
        <f>SUMIFS(tabela_registros[VALOR],tabela_registros[MÊS],$AE$1,tabela_registros[DIA],investirrendafixaconsolidadoset[[#Headers],[24]],tabela_registros[REGISTRO],DADOS!$N$5,tabela_registros[TIPO],DADOS!$AB$3,tabela_registros[CATEGORIA],investirrendafixaconsolidadoset[[#This Row],[ATUAL]])</f>
        <v>0</v>
      </c>
      <c r="AC116" s="91">
        <f>SUMIFS(tabela_registros[VALOR],tabela_registros[MÊS],$AE$1,tabela_registros[DIA],investirrendafixaconsolidadoset[[#Headers],[25]],tabela_registros[REGISTRO],DADOS!$N$5,tabela_registros[TIPO],DADOS!$AB$3,tabela_registros[CATEGORIA],investirrendafixaconsolidadoset[[#This Row],[ATUAL]])</f>
        <v>0</v>
      </c>
      <c r="AD116" s="91">
        <f>SUMIFS(tabela_registros[VALOR],tabela_registros[MÊS],$AE$1,tabela_registros[DIA],investirrendafixaconsolidadoset[[#Headers],[26]],tabela_registros[REGISTRO],DADOS!$N$5,tabela_registros[TIPO],DADOS!$AB$3,tabela_registros[CATEGORIA],investirrendafixaconsolidadoset[[#This Row],[ATUAL]])</f>
        <v>0</v>
      </c>
      <c r="AE116" s="91">
        <f>SUMIFS(tabela_registros[VALOR],tabela_registros[MÊS],$AE$1,tabela_registros[DIA],investirrendafixaconsolidadoset[[#Headers],[27]],tabela_registros[REGISTRO],DADOS!$N$5,tabela_registros[TIPO],DADOS!$AB$3,tabela_registros[CATEGORIA],investirrendafixaconsolidadoset[[#This Row],[ATUAL]])</f>
        <v>0</v>
      </c>
      <c r="AF116" s="91">
        <f>SUMIFS(tabela_registros[VALOR],tabela_registros[MÊS],$AE$1,tabela_registros[DIA],investirrendafixaconsolidadoset[[#Headers],[28]],tabela_registros[REGISTRO],DADOS!$N$5,tabela_registros[TIPO],DADOS!$AB$3,tabela_registros[CATEGORIA],investirrendafixaconsolidadoset[[#This Row],[ATUAL]])</f>
        <v>0</v>
      </c>
      <c r="AG116" s="91">
        <f>SUMIFS(tabela_registros[VALOR],tabela_registros[MÊS],$AE$1,tabela_registros[DIA],investirrendafixaconsolidadoset[[#Headers],[29]],tabela_registros[REGISTRO],DADOS!$N$5,tabela_registros[TIPO],DADOS!$AB$3,tabela_registros[CATEGORIA],investirrendafixaconsolidadoset[[#This Row],[ATUAL]])</f>
        <v>0</v>
      </c>
      <c r="AH116" s="91">
        <f>SUMIFS(tabela_registros[VALOR],tabela_registros[MÊS],$AE$1,tabela_registros[DIA],investirrendafixaconsolidadoset[[#Headers],[30]],tabela_registros[REGISTRO],DADOS!$N$5,tabela_registros[TIPO],DADOS!$AB$3,tabela_registros[CATEGORIA],investirrendafixaconsolidadoset[[#This Row],[ATUAL]])</f>
        <v>0</v>
      </c>
      <c r="AI116" s="101">
        <f>SUMIFS(tabela_registros[VALOR],tabela_registros[MÊS],$AE$1,tabela_registros[DIA],investirrendafixaconsolidadoset[[#Headers],[31]],tabela_registros[REGISTRO],DADOS!$N$5,tabela_registros[TIPO],DADOS!$AB$3,tabela_registros[CATEGORIA],investirrendafixaconsolidadoset[[#This Row],[ATUAL]])</f>
        <v>0</v>
      </c>
      <c r="AJ116" s="97">
        <f>SUM(investirrendafixaconsolidadoset[[#This Row],[1]:[31]])</f>
        <v>0</v>
      </c>
      <c r="AK116" s="25"/>
    </row>
    <row r="117" spans="2:37" ht="19.5" customHeight="1" thickTop="1" thickBot="1" x14ac:dyDescent="0.3">
      <c r="B117" s="28"/>
      <c r="C117" s="27" t="str">
        <f>DADOS!$AD$7</f>
        <v>📝 EXTERIOR</v>
      </c>
      <c r="D117" s="26" t="str">
        <f>IF(investirrendafixaconsolidadoset[[#This Row],[TOTAL (R$)]]=0,"",IF(OR(investirrendafixaconsolidadoset[[#This Row],[TOTAL (R$)]]=LARGE($AJ$113:$AJ$122,1),investirrendafixaconsolidadoset[[#This Row],[TOTAL (R$)]]=LARGE($AJ$113:$AJ$122,2)),DADOS!$I$10,""))</f>
        <v/>
      </c>
      <c r="E117" s="96">
        <f>SUMIFS(tabela_registros[VALOR],tabela_registros[MÊS],$AE$1,tabela_registros[DIA],investirrendafixaconsolidadoset[[#Headers],[1]],tabela_registros[REGISTRO],DADOS!$N$5,tabela_registros[TIPO],DADOS!$AB$3,tabela_registros[CATEGORIA],investirrendafixaconsolidadoset[[#This Row],[ATUAL]])</f>
        <v>0</v>
      </c>
      <c r="F117" s="91">
        <f>SUMIFS(tabela_registros[VALOR],tabela_registros[MÊS],$AE$1,tabela_registros[DIA],investirrendafixaconsolidadoset[[#Headers],[2]],tabela_registros[REGISTRO],DADOS!$N$5,tabela_registros[TIPO],DADOS!$AB$3,tabela_registros[CATEGORIA],investirrendafixaconsolidadoset[[#This Row],[ATUAL]])</f>
        <v>0</v>
      </c>
      <c r="G117" s="91">
        <f>SUMIFS(tabela_registros[VALOR],tabela_registros[MÊS],$AE$1,tabela_registros[DIA],investirrendafixaconsolidadoset[[#Headers],[3]],tabela_registros[REGISTRO],DADOS!$N$5,tabela_registros[TIPO],DADOS!$AB$3,tabela_registros[CATEGORIA],investirrendafixaconsolidadoset[[#This Row],[ATUAL]])</f>
        <v>0</v>
      </c>
      <c r="H117" s="91">
        <f>SUMIFS(tabela_registros[VALOR],tabela_registros[MÊS],$AE$1,tabela_registros[DIA],investirrendafixaconsolidadoset[[#Headers],[4]],tabela_registros[REGISTRO],DADOS!$N$5,tabela_registros[TIPO],DADOS!$AB$3,tabela_registros[CATEGORIA],investirrendafixaconsolidadoset[[#This Row],[ATUAL]])</f>
        <v>0</v>
      </c>
      <c r="I117" s="91">
        <f>SUMIFS(tabela_registros[VALOR],tabela_registros[MÊS],$AE$1,tabela_registros[DIA],investirrendafixaconsolidadoset[[#Headers],[5]],tabela_registros[REGISTRO],DADOS!$N$5,tabela_registros[TIPO],DADOS!$AB$3,tabela_registros[CATEGORIA],investirrendafixaconsolidadoset[[#This Row],[ATUAL]])</f>
        <v>0</v>
      </c>
      <c r="J117" s="91">
        <f>SUMIFS(tabela_registros[VALOR],tabela_registros[MÊS],$AE$1,tabela_registros[DIA],investirrendafixaconsolidadoset[[#Headers],[6]],tabela_registros[REGISTRO],DADOS!$N$5,tabela_registros[TIPO],DADOS!$AB$3,tabela_registros[CATEGORIA],investirrendafixaconsolidadoset[[#This Row],[ATUAL]])</f>
        <v>0</v>
      </c>
      <c r="K117" s="91">
        <f>SUMIFS(tabela_registros[VALOR],tabela_registros[MÊS],$AE$1,tabela_registros[DIA],investirrendafixaconsolidadoset[[#Headers],[7]],tabela_registros[REGISTRO],DADOS!$N$5,tabela_registros[TIPO],DADOS!$AB$3,tabela_registros[CATEGORIA],investirrendafixaconsolidadoset[[#This Row],[ATUAL]])</f>
        <v>0</v>
      </c>
      <c r="L117" s="91">
        <f>SUMIFS(tabela_registros[VALOR],tabela_registros[MÊS],$AE$1,tabela_registros[DIA],investirrendafixaconsolidadoset[[#Headers],[8]],tabela_registros[REGISTRO],DADOS!$N$5,tabela_registros[TIPO],DADOS!$AB$3,tabela_registros[CATEGORIA],investirrendafixaconsolidadoset[[#This Row],[ATUAL]])</f>
        <v>0</v>
      </c>
      <c r="M117" s="91">
        <f>SUMIFS(tabela_registros[VALOR],tabela_registros[MÊS],$AE$1,tabela_registros[DIA],investirrendafixaconsolidadoset[[#Headers],[9]],tabela_registros[REGISTRO],DADOS!$N$5,tabela_registros[TIPO],DADOS!$AB$3,tabela_registros[CATEGORIA],investirrendafixaconsolidadoset[[#This Row],[ATUAL]])</f>
        <v>0</v>
      </c>
      <c r="N117" s="91">
        <f>SUMIFS(tabela_registros[VALOR],tabela_registros[MÊS],$AE$1,tabela_registros[DIA],investirrendafixaconsolidadoset[[#Headers],[10]],tabela_registros[REGISTRO],DADOS!$N$5,tabela_registros[TIPO],DADOS!$AB$3,tabela_registros[CATEGORIA],investirrendafixaconsolidadoset[[#This Row],[ATUAL]])</f>
        <v>0</v>
      </c>
      <c r="O117" s="91">
        <f>SUMIFS(tabela_registros[VALOR],tabela_registros[MÊS],$AE$1,tabela_registros[DIA],investirrendafixaconsolidadoset[[#Headers],[11]],tabela_registros[REGISTRO],DADOS!$N$5,tabela_registros[TIPO],DADOS!$AB$3,tabela_registros[CATEGORIA],investirrendafixaconsolidadoset[[#This Row],[ATUAL]])</f>
        <v>0</v>
      </c>
      <c r="P117" s="91">
        <f>SUMIFS(tabela_registros[VALOR],tabela_registros[MÊS],$AE$1,tabela_registros[DIA],investirrendafixaconsolidadoset[[#Headers],[12]],tabela_registros[REGISTRO],DADOS!$N$5,tabela_registros[TIPO],DADOS!$AB$3,tabela_registros[CATEGORIA],investirrendafixaconsolidadoset[[#This Row],[ATUAL]])</f>
        <v>0</v>
      </c>
      <c r="Q117" s="91">
        <f>SUMIFS(tabela_registros[VALOR],tabela_registros[MÊS],$AE$1,tabela_registros[DIA],investirrendafixaconsolidadoset[[#Headers],[13]],tabela_registros[REGISTRO],DADOS!$N$5,tabela_registros[TIPO],DADOS!$AB$3,tabela_registros[CATEGORIA],investirrendafixaconsolidadoset[[#This Row],[ATUAL]])</f>
        <v>0</v>
      </c>
      <c r="R117" s="91">
        <f>SUMIFS(tabela_registros[VALOR],tabela_registros[MÊS],$AE$1,tabela_registros[DIA],investirrendafixaconsolidadoset[[#Headers],[14]],tabela_registros[REGISTRO],DADOS!$N$5,tabela_registros[TIPO],DADOS!$AB$3,tabela_registros[CATEGORIA],investirrendafixaconsolidadoset[[#This Row],[ATUAL]])</f>
        <v>0</v>
      </c>
      <c r="S117" s="91">
        <f>SUMIFS(tabela_registros[VALOR],tabela_registros[MÊS],$AE$1,tabela_registros[DIA],investirrendafixaconsolidadoset[[#Headers],[15]],tabela_registros[REGISTRO],DADOS!$N$5,tabela_registros[TIPO],DADOS!$AB$3,tabela_registros[CATEGORIA],investirrendafixaconsolidadoset[[#This Row],[ATUAL]])</f>
        <v>0</v>
      </c>
      <c r="T117" s="91">
        <f>SUMIFS(tabela_registros[VALOR],tabela_registros[MÊS],$AE$1,tabela_registros[DIA],investirrendafixaconsolidadoset[[#Headers],[16]],tabela_registros[REGISTRO],DADOS!$N$5,tabela_registros[TIPO],DADOS!$AB$3,tabela_registros[CATEGORIA],investirrendafixaconsolidadoset[[#This Row],[ATUAL]])</f>
        <v>0</v>
      </c>
      <c r="U117" s="91">
        <f>SUMIFS(tabela_registros[VALOR],tabela_registros[MÊS],$AE$1,tabela_registros[DIA],investirrendafixaconsolidadoset[[#Headers],[17]],tabela_registros[REGISTRO],DADOS!$N$5,tabela_registros[TIPO],DADOS!$AB$3,tabela_registros[CATEGORIA],investirrendafixaconsolidadoset[[#This Row],[ATUAL]])</f>
        <v>0</v>
      </c>
      <c r="V117" s="91">
        <f>SUMIFS(tabela_registros[VALOR],tabela_registros[MÊS],$AE$1,tabela_registros[DIA],investirrendafixaconsolidadoset[[#Headers],[18]],tabela_registros[REGISTRO],DADOS!$N$5,tabela_registros[TIPO],DADOS!$AB$3,tabela_registros[CATEGORIA],investirrendafixaconsolidadoset[[#This Row],[ATUAL]])</f>
        <v>0</v>
      </c>
      <c r="W117" s="91">
        <f>SUMIFS(tabela_registros[VALOR],tabela_registros[MÊS],$AE$1,tabela_registros[DIA],investirrendafixaconsolidadoset[[#Headers],[19]],tabela_registros[REGISTRO],DADOS!$N$5,tabela_registros[TIPO],DADOS!$AB$3,tabela_registros[CATEGORIA],investirrendafixaconsolidadoset[[#This Row],[ATUAL]])</f>
        <v>0</v>
      </c>
      <c r="X117" s="91">
        <f>SUMIFS(tabela_registros[VALOR],tabela_registros[MÊS],$AE$1,tabela_registros[DIA],investirrendafixaconsolidadoset[[#Headers],[20]],tabela_registros[REGISTRO],DADOS!$N$5,tabela_registros[TIPO],DADOS!$AB$3,tabela_registros[CATEGORIA],investirrendafixaconsolidadoset[[#This Row],[ATUAL]])</f>
        <v>0</v>
      </c>
      <c r="Y117" s="91">
        <f>SUMIFS(tabela_registros[VALOR],tabela_registros[MÊS],$AE$1,tabela_registros[DIA],investirrendafixaconsolidadoset[[#Headers],[21]],tabela_registros[REGISTRO],DADOS!$N$5,tabela_registros[TIPO],DADOS!$AB$3,tabela_registros[CATEGORIA],investirrendafixaconsolidadoset[[#This Row],[ATUAL]])</f>
        <v>0</v>
      </c>
      <c r="Z117" s="91">
        <f>SUMIFS(tabela_registros[VALOR],tabela_registros[MÊS],$AE$1,tabela_registros[DIA],investirrendafixaconsolidadoset[[#Headers],[22]],tabela_registros[REGISTRO],DADOS!$N$5,tabela_registros[TIPO],DADOS!$AB$3,tabela_registros[CATEGORIA],investirrendafixaconsolidadoset[[#This Row],[ATUAL]])</f>
        <v>0</v>
      </c>
      <c r="AA117" s="91">
        <f>SUMIFS(tabela_registros[VALOR],tabela_registros[MÊS],$AE$1,tabela_registros[DIA],investirrendafixaconsolidadoset[[#Headers],[23]],tabela_registros[REGISTRO],DADOS!$N$5,tabela_registros[TIPO],DADOS!$AB$3,tabela_registros[CATEGORIA],investirrendafixaconsolidadoset[[#This Row],[ATUAL]])</f>
        <v>0</v>
      </c>
      <c r="AB117" s="91">
        <f>SUMIFS(tabela_registros[VALOR],tabela_registros[MÊS],$AE$1,tabela_registros[DIA],investirrendafixaconsolidadoset[[#Headers],[24]],tabela_registros[REGISTRO],DADOS!$N$5,tabela_registros[TIPO],DADOS!$AB$3,tabela_registros[CATEGORIA],investirrendafixaconsolidadoset[[#This Row],[ATUAL]])</f>
        <v>0</v>
      </c>
      <c r="AC117" s="91">
        <f>SUMIFS(tabela_registros[VALOR],tabela_registros[MÊS],$AE$1,tabela_registros[DIA],investirrendafixaconsolidadoset[[#Headers],[25]],tabela_registros[REGISTRO],DADOS!$N$5,tabela_registros[TIPO],DADOS!$AB$3,tabela_registros[CATEGORIA],investirrendafixaconsolidadoset[[#This Row],[ATUAL]])</f>
        <v>0</v>
      </c>
      <c r="AD117" s="91">
        <f>SUMIFS(tabela_registros[VALOR],tabela_registros[MÊS],$AE$1,tabela_registros[DIA],investirrendafixaconsolidadoset[[#Headers],[26]],tabela_registros[REGISTRO],DADOS!$N$5,tabela_registros[TIPO],DADOS!$AB$3,tabela_registros[CATEGORIA],investirrendafixaconsolidadoset[[#This Row],[ATUAL]])</f>
        <v>0</v>
      </c>
      <c r="AE117" s="91">
        <f>SUMIFS(tabela_registros[VALOR],tabela_registros[MÊS],$AE$1,tabela_registros[DIA],investirrendafixaconsolidadoset[[#Headers],[27]],tabela_registros[REGISTRO],DADOS!$N$5,tabela_registros[TIPO],DADOS!$AB$3,tabela_registros[CATEGORIA],investirrendafixaconsolidadoset[[#This Row],[ATUAL]])</f>
        <v>0</v>
      </c>
      <c r="AF117" s="91">
        <f>SUMIFS(tabela_registros[VALOR],tabela_registros[MÊS],$AE$1,tabela_registros[DIA],investirrendafixaconsolidadoset[[#Headers],[28]],tabela_registros[REGISTRO],DADOS!$N$5,tabela_registros[TIPO],DADOS!$AB$3,tabela_registros[CATEGORIA],investirrendafixaconsolidadoset[[#This Row],[ATUAL]])</f>
        <v>0</v>
      </c>
      <c r="AG117" s="91">
        <f>SUMIFS(tabela_registros[VALOR],tabela_registros[MÊS],$AE$1,tabela_registros[DIA],investirrendafixaconsolidadoset[[#Headers],[29]],tabela_registros[REGISTRO],DADOS!$N$5,tabela_registros[TIPO],DADOS!$AB$3,tabela_registros[CATEGORIA],investirrendafixaconsolidadoset[[#This Row],[ATUAL]])</f>
        <v>0</v>
      </c>
      <c r="AH117" s="91">
        <f>SUMIFS(tabela_registros[VALOR],tabela_registros[MÊS],$AE$1,tabela_registros[DIA],investirrendafixaconsolidadoset[[#Headers],[30]],tabela_registros[REGISTRO],DADOS!$N$5,tabela_registros[TIPO],DADOS!$AB$3,tabela_registros[CATEGORIA],investirrendafixaconsolidadoset[[#This Row],[ATUAL]])</f>
        <v>0</v>
      </c>
      <c r="AI117" s="101">
        <f>SUMIFS(tabela_registros[VALOR],tabela_registros[MÊS],$AE$1,tabela_registros[DIA],investirrendafixaconsolidadoset[[#Headers],[31]],tabela_registros[REGISTRO],DADOS!$N$5,tabela_registros[TIPO],DADOS!$AB$3,tabela_registros[CATEGORIA],investirrendafixaconsolidadoset[[#This Row],[ATUAL]])</f>
        <v>0</v>
      </c>
      <c r="AJ117" s="97">
        <f>SUM(investirrendafixaconsolidadoset[[#This Row],[1]:[31]])</f>
        <v>0</v>
      </c>
      <c r="AK117" s="25"/>
    </row>
    <row r="118" spans="2:37" ht="19.5" customHeight="1" thickTop="1" thickBot="1" x14ac:dyDescent="0.3">
      <c r="B118" s="28"/>
      <c r="C118" s="27" t="str">
        <f>DADOS!$AD$8</f>
        <v>📝 LC</v>
      </c>
      <c r="D118" s="26" t="str">
        <f>IF(investirrendafixaconsolidadoset[[#This Row],[TOTAL (R$)]]=0,"",IF(OR(investirrendafixaconsolidadoset[[#This Row],[TOTAL (R$)]]=LARGE($AJ$113:$AJ$122,1),investirrendafixaconsolidadoset[[#This Row],[TOTAL (R$)]]=LARGE($AJ$113:$AJ$122,2)),DADOS!$I$10,""))</f>
        <v/>
      </c>
      <c r="E118" s="96">
        <f>SUMIFS(tabela_registros[VALOR],tabela_registros[MÊS],$AE$1,tabela_registros[DIA],investirrendafixaconsolidadoset[[#Headers],[1]],tabela_registros[REGISTRO],DADOS!$N$5,tabela_registros[TIPO],DADOS!$AB$3,tabela_registros[CATEGORIA],investirrendafixaconsolidadoset[[#This Row],[ATUAL]])</f>
        <v>0</v>
      </c>
      <c r="F118" s="91">
        <f>SUMIFS(tabela_registros[VALOR],tabela_registros[MÊS],$AE$1,tabela_registros[DIA],investirrendafixaconsolidadoset[[#Headers],[2]],tabela_registros[REGISTRO],DADOS!$N$5,tabela_registros[TIPO],DADOS!$AB$3,tabela_registros[CATEGORIA],investirrendafixaconsolidadoset[[#This Row],[ATUAL]])</f>
        <v>0</v>
      </c>
      <c r="G118" s="91">
        <f>SUMIFS(tabela_registros[VALOR],tabela_registros[MÊS],$AE$1,tabela_registros[DIA],investirrendafixaconsolidadoset[[#Headers],[3]],tabela_registros[REGISTRO],DADOS!$N$5,tabela_registros[TIPO],DADOS!$AB$3,tabela_registros[CATEGORIA],investirrendafixaconsolidadoset[[#This Row],[ATUAL]])</f>
        <v>0</v>
      </c>
      <c r="H118" s="91">
        <f>SUMIFS(tabela_registros[VALOR],tabela_registros[MÊS],$AE$1,tabela_registros[DIA],investirrendafixaconsolidadoset[[#Headers],[4]],tabela_registros[REGISTRO],DADOS!$N$5,tabela_registros[TIPO],DADOS!$AB$3,tabela_registros[CATEGORIA],investirrendafixaconsolidadoset[[#This Row],[ATUAL]])</f>
        <v>0</v>
      </c>
      <c r="I118" s="91">
        <f>SUMIFS(tabela_registros[VALOR],tabela_registros[MÊS],$AE$1,tabela_registros[DIA],investirrendafixaconsolidadoset[[#Headers],[5]],tabela_registros[REGISTRO],DADOS!$N$5,tabela_registros[TIPO],DADOS!$AB$3,tabela_registros[CATEGORIA],investirrendafixaconsolidadoset[[#This Row],[ATUAL]])</f>
        <v>0</v>
      </c>
      <c r="J118" s="91">
        <f>SUMIFS(tabela_registros[VALOR],tabela_registros[MÊS],$AE$1,tabela_registros[DIA],investirrendafixaconsolidadoset[[#Headers],[6]],tabela_registros[REGISTRO],DADOS!$N$5,tabela_registros[TIPO],DADOS!$AB$3,tabela_registros[CATEGORIA],investirrendafixaconsolidadoset[[#This Row],[ATUAL]])</f>
        <v>0</v>
      </c>
      <c r="K118" s="91">
        <f>SUMIFS(tabela_registros[VALOR],tabela_registros[MÊS],$AE$1,tabela_registros[DIA],investirrendafixaconsolidadoset[[#Headers],[7]],tabela_registros[REGISTRO],DADOS!$N$5,tabela_registros[TIPO],DADOS!$AB$3,tabela_registros[CATEGORIA],investirrendafixaconsolidadoset[[#This Row],[ATUAL]])</f>
        <v>0</v>
      </c>
      <c r="L118" s="91">
        <f>SUMIFS(tabela_registros[VALOR],tabela_registros[MÊS],$AE$1,tabela_registros[DIA],investirrendafixaconsolidadoset[[#Headers],[8]],tabela_registros[REGISTRO],DADOS!$N$5,tabela_registros[TIPO],DADOS!$AB$3,tabela_registros[CATEGORIA],investirrendafixaconsolidadoset[[#This Row],[ATUAL]])</f>
        <v>0</v>
      </c>
      <c r="M118" s="91">
        <f>SUMIFS(tabela_registros[VALOR],tabela_registros[MÊS],$AE$1,tabela_registros[DIA],investirrendafixaconsolidadoset[[#Headers],[9]],tabela_registros[REGISTRO],DADOS!$N$5,tabela_registros[TIPO],DADOS!$AB$3,tabela_registros[CATEGORIA],investirrendafixaconsolidadoset[[#This Row],[ATUAL]])</f>
        <v>0</v>
      </c>
      <c r="N118" s="91">
        <f>SUMIFS(tabela_registros[VALOR],tabela_registros[MÊS],$AE$1,tabela_registros[DIA],investirrendafixaconsolidadoset[[#Headers],[10]],tabela_registros[REGISTRO],DADOS!$N$5,tabela_registros[TIPO],DADOS!$AB$3,tabela_registros[CATEGORIA],investirrendafixaconsolidadoset[[#This Row],[ATUAL]])</f>
        <v>0</v>
      </c>
      <c r="O118" s="91">
        <f>SUMIFS(tabela_registros[VALOR],tabela_registros[MÊS],$AE$1,tabela_registros[DIA],investirrendafixaconsolidadoset[[#Headers],[11]],tabela_registros[REGISTRO],DADOS!$N$5,tabela_registros[TIPO],DADOS!$AB$3,tabela_registros[CATEGORIA],investirrendafixaconsolidadoset[[#This Row],[ATUAL]])</f>
        <v>0</v>
      </c>
      <c r="P118" s="91">
        <f>SUMIFS(tabela_registros[VALOR],tabela_registros[MÊS],$AE$1,tabela_registros[DIA],investirrendafixaconsolidadoset[[#Headers],[12]],tabela_registros[REGISTRO],DADOS!$N$5,tabela_registros[TIPO],DADOS!$AB$3,tabela_registros[CATEGORIA],investirrendafixaconsolidadoset[[#This Row],[ATUAL]])</f>
        <v>0</v>
      </c>
      <c r="Q118" s="91">
        <f>SUMIFS(tabela_registros[VALOR],tabela_registros[MÊS],$AE$1,tabela_registros[DIA],investirrendafixaconsolidadoset[[#Headers],[13]],tabela_registros[REGISTRO],DADOS!$N$5,tabela_registros[TIPO],DADOS!$AB$3,tabela_registros[CATEGORIA],investirrendafixaconsolidadoset[[#This Row],[ATUAL]])</f>
        <v>0</v>
      </c>
      <c r="R118" s="91">
        <f>SUMIFS(tabela_registros[VALOR],tabela_registros[MÊS],$AE$1,tabela_registros[DIA],investirrendafixaconsolidadoset[[#Headers],[14]],tabela_registros[REGISTRO],DADOS!$N$5,tabela_registros[TIPO],DADOS!$AB$3,tabela_registros[CATEGORIA],investirrendafixaconsolidadoset[[#This Row],[ATUAL]])</f>
        <v>0</v>
      </c>
      <c r="S118" s="91">
        <f>SUMIFS(tabela_registros[VALOR],tabela_registros[MÊS],$AE$1,tabela_registros[DIA],investirrendafixaconsolidadoset[[#Headers],[15]],tabela_registros[REGISTRO],DADOS!$N$5,tabela_registros[TIPO],DADOS!$AB$3,tabela_registros[CATEGORIA],investirrendafixaconsolidadoset[[#This Row],[ATUAL]])</f>
        <v>0</v>
      </c>
      <c r="T118" s="91">
        <f>SUMIFS(tabela_registros[VALOR],tabela_registros[MÊS],$AE$1,tabela_registros[DIA],investirrendafixaconsolidadoset[[#Headers],[16]],tabela_registros[REGISTRO],DADOS!$N$5,tabela_registros[TIPO],DADOS!$AB$3,tabela_registros[CATEGORIA],investirrendafixaconsolidadoset[[#This Row],[ATUAL]])</f>
        <v>0</v>
      </c>
      <c r="U118" s="91">
        <f>SUMIFS(tabela_registros[VALOR],tabela_registros[MÊS],$AE$1,tabela_registros[DIA],investirrendafixaconsolidadoset[[#Headers],[17]],tabela_registros[REGISTRO],DADOS!$N$5,tabela_registros[TIPO],DADOS!$AB$3,tabela_registros[CATEGORIA],investirrendafixaconsolidadoset[[#This Row],[ATUAL]])</f>
        <v>0</v>
      </c>
      <c r="V118" s="91">
        <f>SUMIFS(tabela_registros[VALOR],tabela_registros[MÊS],$AE$1,tabela_registros[DIA],investirrendafixaconsolidadoset[[#Headers],[18]],tabela_registros[REGISTRO],DADOS!$N$5,tabela_registros[TIPO],DADOS!$AB$3,tabela_registros[CATEGORIA],investirrendafixaconsolidadoset[[#This Row],[ATUAL]])</f>
        <v>0</v>
      </c>
      <c r="W118" s="91">
        <f>SUMIFS(tabela_registros[VALOR],tabela_registros[MÊS],$AE$1,tabela_registros[DIA],investirrendafixaconsolidadoset[[#Headers],[19]],tabela_registros[REGISTRO],DADOS!$N$5,tabela_registros[TIPO],DADOS!$AB$3,tabela_registros[CATEGORIA],investirrendafixaconsolidadoset[[#This Row],[ATUAL]])</f>
        <v>0</v>
      </c>
      <c r="X118" s="91">
        <f>SUMIFS(tabela_registros[VALOR],tabela_registros[MÊS],$AE$1,tabela_registros[DIA],investirrendafixaconsolidadoset[[#Headers],[20]],tabela_registros[REGISTRO],DADOS!$N$5,tabela_registros[TIPO],DADOS!$AB$3,tabela_registros[CATEGORIA],investirrendafixaconsolidadoset[[#This Row],[ATUAL]])</f>
        <v>0</v>
      </c>
      <c r="Y118" s="91">
        <f>SUMIFS(tabela_registros[VALOR],tabela_registros[MÊS],$AE$1,tabela_registros[DIA],investirrendafixaconsolidadoset[[#Headers],[21]],tabela_registros[REGISTRO],DADOS!$N$5,tabela_registros[TIPO],DADOS!$AB$3,tabela_registros[CATEGORIA],investirrendafixaconsolidadoset[[#This Row],[ATUAL]])</f>
        <v>0</v>
      </c>
      <c r="Z118" s="91">
        <f>SUMIFS(tabela_registros[VALOR],tabela_registros[MÊS],$AE$1,tabela_registros[DIA],investirrendafixaconsolidadoset[[#Headers],[22]],tabela_registros[REGISTRO],DADOS!$N$5,tabela_registros[TIPO],DADOS!$AB$3,tabela_registros[CATEGORIA],investirrendafixaconsolidadoset[[#This Row],[ATUAL]])</f>
        <v>0</v>
      </c>
      <c r="AA118" s="91">
        <f>SUMIFS(tabela_registros[VALOR],tabela_registros[MÊS],$AE$1,tabela_registros[DIA],investirrendafixaconsolidadoset[[#Headers],[23]],tabela_registros[REGISTRO],DADOS!$N$5,tabela_registros[TIPO],DADOS!$AB$3,tabela_registros[CATEGORIA],investirrendafixaconsolidadoset[[#This Row],[ATUAL]])</f>
        <v>0</v>
      </c>
      <c r="AB118" s="91">
        <f>SUMIFS(tabela_registros[VALOR],tabela_registros[MÊS],$AE$1,tabela_registros[DIA],investirrendafixaconsolidadoset[[#Headers],[24]],tabela_registros[REGISTRO],DADOS!$N$5,tabela_registros[TIPO],DADOS!$AB$3,tabela_registros[CATEGORIA],investirrendafixaconsolidadoset[[#This Row],[ATUAL]])</f>
        <v>0</v>
      </c>
      <c r="AC118" s="91">
        <f>SUMIFS(tabela_registros[VALOR],tabela_registros[MÊS],$AE$1,tabela_registros[DIA],investirrendafixaconsolidadoset[[#Headers],[25]],tabela_registros[REGISTRO],DADOS!$N$5,tabela_registros[TIPO],DADOS!$AB$3,tabela_registros[CATEGORIA],investirrendafixaconsolidadoset[[#This Row],[ATUAL]])</f>
        <v>0</v>
      </c>
      <c r="AD118" s="91">
        <f>SUMIFS(tabela_registros[VALOR],tabela_registros[MÊS],$AE$1,tabela_registros[DIA],investirrendafixaconsolidadoset[[#Headers],[26]],tabela_registros[REGISTRO],DADOS!$N$5,tabela_registros[TIPO],DADOS!$AB$3,tabela_registros[CATEGORIA],investirrendafixaconsolidadoset[[#This Row],[ATUAL]])</f>
        <v>0</v>
      </c>
      <c r="AE118" s="91">
        <f>SUMIFS(tabela_registros[VALOR],tabela_registros[MÊS],$AE$1,tabela_registros[DIA],investirrendafixaconsolidadoset[[#Headers],[27]],tabela_registros[REGISTRO],DADOS!$N$5,tabela_registros[TIPO],DADOS!$AB$3,tabela_registros[CATEGORIA],investirrendafixaconsolidadoset[[#This Row],[ATUAL]])</f>
        <v>0</v>
      </c>
      <c r="AF118" s="91">
        <f>SUMIFS(tabela_registros[VALOR],tabela_registros[MÊS],$AE$1,tabela_registros[DIA],investirrendafixaconsolidadoset[[#Headers],[28]],tabela_registros[REGISTRO],DADOS!$N$5,tabela_registros[TIPO],DADOS!$AB$3,tabela_registros[CATEGORIA],investirrendafixaconsolidadoset[[#This Row],[ATUAL]])</f>
        <v>0</v>
      </c>
      <c r="AG118" s="91">
        <f>SUMIFS(tabela_registros[VALOR],tabela_registros[MÊS],$AE$1,tabela_registros[DIA],investirrendafixaconsolidadoset[[#Headers],[29]],tabela_registros[REGISTRO],DADOS!$N$5,tabela_registros[TIPO],DADOS!$AB$3,tabela_registros[CATEGORIA],investirrendafixaconsolidadoset[[#This Row],[ATUAL]])</f>
        <v>0</v>
      </c>
      <c r="AH118" s="91">
        <f>SUMIFS(tabela_registros[VALOR],tabela_registros[MÊS],$AE$1,tabela_registros[DIA],investirrendafixaconsolidadoset[[#Headers],[30]],tabela_registros[REGISTRO],DADOS!$N$5,tabela_registros[TIPO],DADOS!$AB$3,tabela_registros[CATEGORIA],investirrendafixaconsolidadoset[[#This Row],[ATUAL]])</f>
        <v>0</v>
      </c>
      <c r="AI118" s="101">
        <f>SUMIFS(tabela_registros[VALOR],tabela_registros[MÊS],$AE$1,tabela_registros[DIA],investirrendafixaconsolidadoset[[#Headers],[31]],tabela_registros[REGISTRO],DADOS!$N$5,tabela_registros[TIPO],DADOS!$AB$3,tabela_registros[CATEGORIA],investirrendafixaconsolidadoset[[#This Row],[ATUAL]])</f>
        <v>0</v>
      </c>
      <c r="AJ118" s="97">
        <f>SUM(investirrendafixaconsolidadoset[[#This Row],[1]:[31]])</f>
        <v>0</v>
      </c>
      <c r="AK118" s="25"/>
    </row>
    <row r="119" spans="2:37" ht="19.5" customHeight="1" thickTop="1" thickBot="1" x14ac:dyDescent="0.3">
      <c r="B119" s="28"/>
      <c r="C119" s="27" t="str">
        <f>DADOS!$AD$9</f>
        <v>📝 LCA</v>
      </c>
      <c r="D119" s="26" t="str">
        <f>IF(investirrendafixaconsolidadoset[[#This Row],[TOTAL (R$)]]=0,"",IF(OR(investirrendafixaconsolidadoset[[#This Row],[TOTAL (R$)]]=LARGE($AJ$113:$AJ$122,1),investirrendafixaconsolidadoset[[#This Row],[TOTAL (R$)]]=LARGE($AJ$113:$AJ$122,2)),DADOS!$I$10,""))</f>
        <v/>
      </c>
      <c r="E119" s="96">
        <f>SUMIFS(tabela_registros[VALOR],tabela_registros[MÊS],$AE$1,tabela_registros[DIA],investirrendafixaconsolidadoset[[#Headers],[1]],tabela_registros[REGISTRO],DADOS!$N$5,tabela_registros[TIPO],DADOS!$AB$3,tabela_registros[CATEGORIA],investirrendafixaconsolidadoset[[#This Row],[ATUAL]])</f>
        <v>0</v>
      </c>
      <c r="F119" s="91">
        <f>SUMIFS(tabela_registros[VALOR],tabela_registros[MÊS],$AE$1,tabela_registros[DIA],investirrendafixaconsolidadoset[[#Headers],[2]],tabela_registros[REGISTRO],DADOS!$N$5,tabela_registros[TIPO],DADOS!$AB$3,tabela_registros[CATEGORIA],investirrendafixaconsolidadoset[[#This Row],[ATUAL]])</f>
        <v>0</v>
      </c>
      <c r="G119" s="91">
        <f>SUMIFS(tabela_registros[VALOR],tabela_registros[MÊS],$AE$1,tabela_registros[DIA],investirrendafixaconsolidadoset[[#Headers],[3]],tabela_registros[REGISTRO],DADOS!$N$5,tabela_registros[TIPO],DADOS!$AB$3,tabela_registros[CATEGORIA],investirrendafixaconsolidadoset[[#This Row],[ATUAL]])</f>
        <v>0</v>
      </c>
      <c r="H119" s="91">
        <f>SUMIFS(tabela_registros[VALOR],tabela_registros[MÊS],$AE$1,tabela_registros[DIA],investirrendafixaconsolidadoset[[#Headers],[4]],tabela_registros[REGISTRO],DADOS!$N$5,tabela_registros[TIPO],DADOS!$AB$3,tabela_registros[CATEGORIA],investirrendafixaconsolidadoset[[#This Row],[ATUAL]])</f>
        <v>0</v>
      </c>
      <c r="I119" s="91">
        <f>SUMIFS(tabela_registros[VALOR],tabela_registros[MÊS],$AE$1,tabela_registros[DIA],investirrendafixaconsolidadoset[[#Headers],[5]],tabela_registros[REGISTRO],DADOS!$N$5,tabela_registros[TIPO],DADOS!$AB$3,tabela_registros[CATEGORIA],investirrendafixaconsolidadoset[[#This Row],[ATUAL]])</f>
        <v>0</v>
      </c>
      <c r="J119" s="91">
        <f>SUMIFS(tabela_registros[VALOR],tabela_registros[MÊS],$AE$1,tabela_registros[DIA],investirrendafixaconsolidadoset[[#Headers],[6]],tabela_registros[REGISTRO],DADOS!$N$5,tabela_registros[TIPO],DADOS!$AB$3,tabela_registros[CATEGORIA],investirrendafixaconsolidadoset[[#This Row],[ATUAL]])</f>
        <v>0</v>
      </c>
      <c r="K119" s="91">
        <f>SUMIFS(tabela_registros[VALOR],tabela_registros[MÊS],$AE$1,tabela_registros[DIA],investirrendafixaconsolidadoset[[#Headers],[7]],tabela_registros[REGISTRO],DADOS!$N$5,tabela_registros[TIPO],DADOS!$AB$3,tabela_registros[CATEGORIA],investirrendafixaconsolidadoset[[#This Row],[ATUAL]])</f>
        <v>0</v>
      </c>
      <c r="L119" s="91">
        <f>SUMIFS(tabela_registros[VALOR],tabela_registros[MÊS],$AE$1,tabela_registros[DIA],investirrendafixaconsolidadoset[[#Headers],[8]],tabela_registros[REGISTRO],DADOS!$N$5,tabela_registros[TIPO],DADOS!$AB$3,tabela_registros[CATEGORIA],investirrendafixaconsolidadoset[[#This Row],[ATUAL]])</f>
        <v>0</v>
      </c>
      <c r="M119" s="91">
        <f>SUMIFS(tabela_registros[VALOR],tabela_registros[MÊS],$AE$1,tabela_registros[DIA],investirrendafixaconsolidadoset[[#Headers],[9]],tabela_registros[REGISTRO],DADOS!$N$5,tabela_registros[TIPO],DADOS!$AB$3,tabela_registros[CATEGORIA],investirrendafixaconsolidadoset[[#This Row],[ATUAL]])</f>
        <v>0</v>
      </c>
      <c r="N119" s="91">
        <f>SUMIFS(tabela_registros[VALOR],tabela_registros[MÊS],$AE$1,tabela_registros[DIA],investirrendafixaconsolidadoset[[#Headers],[10]],tabela_registros[REGISTRO],DADOS!$N$5,tabela_registros[TIPO],DADOS!$AB$3,tabela_registros[CATEGORIA],investirrendafixaconsolidadoset[[#This Row],[ATUAL]])</f>
        <v>0</v>
      </c>
      <c r="O119" s="91">
        <f>SUMIFS(tabela_registros[VALOR],tabela_registros[MÊS],$AE$1,tabela_registros[DIA],investirrendafixaconsolidadoset[[#Headers],[11]],tabela_registros[REGISTRO],DADOS!$N$5,tabela_registros[TIPO],DADOS!$AB$3,tabela_registros[CATEGORIA],investirrendafixaconsolidadoset[[#This Row],[ATUAL]])</f>
        <v>0</v>
      </c>
      <c r="P119" s="91">
        <f>SUMIFS(tabela_registros[VALOR],tabela_registros[MÊS],$AE$1,tabela_registros[DIA],investirrendafixaconsolidadoset[[#Headers],[12]],tabela_registros[REGISTRO],DADOS!$N$5,tabela_registros[TIPO],DADOS!$AB$3,tabela_registros[CATEGORIA],investirrendafixaconsolidadoset[[#This Row],[ATUAL]])</f>
        <v>0</v>
      </c>
      <c r="Q119" s="91">
        <f>SUMIFS(tabela_registros[VALOR],tabela_registros[MÊS],$AE$1,tabela_registros[DIA],investirrendafixaconsolidadoset[[#Headers],[13]],tabela_registros[REGISTRO],DADOS!$N$5,tabela_registros[TIPO],DADOS!$AB$3,tabela_registros[CATEGORIA],investirrendafixaconsolidadoset[[#This Row],[ATUAL]])</f>
        <v>0</v>
      </c>
      <c r="R119" s="91">
        <f>SUMIFS(tabela_registros[VALOR],tabela_registros[MÊS],$AE$1,tabela_registros[DIA],investirrendafixaconsolidadoset[[#Headers],[14]],tabela_registros[REGISTRO],DADOS!$N$5,tabela_registros[TIPO],DADOS!$AB$3,tabela_registros[CATEGORIA],investirrendafixaconsolidadoset[[#This Row],[ATUAL]])</f>
        <v>0</v>
      </c>
      <c r="S119" s="91">
        <f>SUMIFS(tabela_registros[VALOR],tabela_registros[MÊS],$AE$1,tabela_registros[DIA],investirrendafixaconsolidadoset[[#Headers],[15]],tabela_registros[REGISTRO],DADOS!$N$5,tabela_registros[TIPO],DADOS!$AB$3,tabela_registros[CATEGORIA],investirrendafixaconsolidadoset[[#This Row],[ATUAL]])</f>
        <v>0</v>
      </c>
      <c r="T119" s="91">
        <f>SUMIFS(tabela_registros[VALOR],tabela_registros[MÊS],$AE$1,tabela_registros[DIA],investirrendafixaconsolidadoset[[#Headers],[16]],tabela_registros[REGISTRO],DADOS!$N$5,tabela_registros[TIPO],DADOS!$AB$3,tabela_registros[CATEGORIA],investirrendafixaconsolidadoset[[#This Row],[ATUAL]])</f>
        <v>0</v>
      </c>
      <c r="U119" s="91">
        <f>SUMIFS(tabela_registros[VALOR],tabela_registros[MÊS],$AE$1,tabela_registros[DIA],investirrendafixaconsolidadoset[[#Headers],[17]],tabela_registros[REGISTRO],DADOS!$N$5,tabela_registros[TIPO],DADOS!$AB$3,tabela_registros[CATEGORIA],investirrendafixaconsolidadoset[[#This Row],[ATUAL]])</f>
        <v>0</v>
      </c>
      <c r="V119" s="91">
        <f>SUMIFS(tabela_registros[VALOR],tabela_registros[MÊS],$AE$1,tabela_registros[DIA],investirrendafixaconsolidadoset[[#Headers],[18]],tabela_registros[REGISTRO],DADOS!$N$5,tabela_registros[TIPO],DADOS!$AB$3,tabela_registros[CATEGORIA],investirrendafixaconsolidadoset[[#This Row],[ATUAL]])</f>
        <v>0</v>
      </c>
      <c r="W119" s="91">
        <f>SUMIFS(tabela_registros[VALOR],tabela_registros[MÊS],$AE$1,tabela_registros[DIA],investirrendafixaconsolidadoset[[#Headers],[19]],tabela_registros[REGISTRO],DADOS!$N$5,tabela_registros[TIPO],DADOS!$AB$3,tabela_registros[CATEGORIA],investirrendafixaconsolidadoset[[#This Row],[ATUAL]])</f>
        <v>0</v>
      </c>
      <c r="X119" s="91">
        <f>SUMIFS(tabela_registros[VALOR],tabela_registros[MÊS],$AE$1,tabela_registros[DIA],investirrendafixaconsolidadoset[[#Headers],[20]],tabela_registros[REGISTRO],DADOS!$N$5,tabela_registros[TIPO],DADOS!$AB$3,tabela_registros[CATEGORIA],investirrendafixaconsolidadoset[[#This Row],[ATUAL]])</f>
        <v>0</v>
      </c>
      <c r="Y119" s="91">
        <f>SUMIFS(tabela_registros[VALOR],tabela_registros[MÊS],$AE$1,tabela_registros[DIA],investirrendafixaconsolidadoset[[#Headers],[21]],tabela_registros[REGISTRO],DADOS!$N$5,tabela_registros[TIPO],DADOS!$AB$3,tabela_registros[CATEGORIA],investirrendafixaconsolidadoset[[#This Row],[ATUAL]])</f>
        <v>0</v>
      </c>
      <c r="Z119" s="91">
        <f>SUMIFS(tabela_registros[VALOR],tabela_registros[MÊS],$AE$1,tabela_registros[DIA],investirrendafixaconsolidadoset[[#Headers],[22]],tabela_registros[REGISTRO],DADOS!$N$5,tabela_registros[TIPO],DADOS!$AB$3,tabela_registros[CATEGORIA],investirrendafixaconsolidadoset[[#This Row],[ATUAL]])</f>
        <v>0</v>
      </c>
      <c r="AA119" s="91">
        <f>SUMIFS(tabela_registros[VALOR],tabela_registros[MÊS],$AE$1,tabela_registros[DIA],investirrendafixaconsolidadoset[[#Headers],[23]],tabela_registros[REGISTRO],DADOS!$N$5,tabela_registros[TIPO],DADOS!$AB$3,tabela_registros[CATEGORIA],investirrendafixaconsolidadoset[[#This Row],[ATUAL]])</f>
        <v>0</v>
      </c>
      <c r="AB119" s="91">
        <f>SUMIFS(tabela_registros[VALOR],tabela_registros[MÊS],$AE$1,tabela_registros[DIA],investirrendafixaconsolidadoset[[#Headers],[24]],tabela_registros[REGISTRO],DADOS!$N$5,tabela_registros[TIPO],DADOS!$AB$3,tabela_registros[CATEGORIA],investirrendafixaconsolidadoset[[#This Row],[ATUAL]])</f>
        <v>0</v>
      </c>
      <c r="AC119" s="91">
        <f>SUMIFS(tabela_registros[VALOR],tabela_registros[MÊS],$AE$1,tabela_registros[DIA],investirrendafixaconsolidadoset[[#Headers],[25]],tabela_registros[REGISTRO],DADOS!$N$5,tabela_registros[TIPO],DADOS!$AB$3,tabela_registros[CATEGORIA],investirrendafixaconsolidadoset[[#This Row],[ATUAL]])</f>
        <v>0</v>
      </c>
      <c r="AD119" s="91">
        <f>SUMIFS(tabela_registros[VALOR],tabela_registros[MÊS],$AE$1,tabela_registros[DIA],investirrendafixaconsolidadoset[[#Headers],[26]],tabela_registros[REGISTRO],DADOS!$N$5,tabela_registros[TIPO],DADOS!$AB$3,tabela_registros[CATEGORIA],investirrendafixaconsolidadoset[[#This Row],[ATUAL]])</f>
        <v>0</v>
      </c>
      <c r="AE119" s="91">
        <f>SUMIFS(tabela_registros[VALOR],tabela_registros[MÊS],$AE$1,tabela_registros[DIA],investirrendafixaconsolidadoset[[#Headers],[27]],tabela_registros[REGISTRO],DADOS!$N$5,tabela_registros[TIPO],DADOS!$AB$3,tabela_registros[CATEGORIA],investirrendafixaconsolidadoset[[#This Row],[ATUAL]])</f>
        <v>0</v>
      </c>
      <c r="AF119" s="91">
        <f>SUMIFS(tabela_registros[VALOR],tabela_registros[MÊS],$AE$1,tabela_registros[DIA],investirrendafixaconsolidadoset[[#Headers],[28]],tabela_registros[REGISTRO],DADOS!$N$5,tabela_registros[TIPO],DADOS!$AB$3,tabela_registros[CATEGORIA],investirrendafixaconsolidadoset[[#This Row],[ATUAL]])</f>
        <v>0</v>
      </c>
      <c r="AG119" s="91">
        <f>SUMIFS(tabela_registros[VALOR],tabela_registros[MÊS],$AE$1,tabela_registros[DIA],investirrendafixaconsolidadoset[[#Headers],[29]],tabela_registros[REGISTRO],DADOS!$N$5,tabela_registros[TIPO],DADOS!$AB$3,tabela_registros[CATEGORIA],investirrendafixaconsolidadoset[[#This Row],[ATUAL]])</f>
        <v>0</v>
      </c>
      <c r="AH119" s="91">
        <f>SUMIFS(tabela_registros[VALOR],tabela_registros[MÊS],$AE$1,tabela_registros[DIA],investirrendafixaconsolidadoset[[#Headers],[30]],tabela_registros[REGISTRO],DADOS!$N$5,tabela_registros[TIPO],DADOS!$AB$3,tabela_registros[CATEGORIA],investirrendafixaconsolidadoset[[#This Row],[ATUAL]])</f>
        <v>0</v>
      </c>
      <c r="AI119" s="101">
        <f>SUMIFS(tabela_registros[VALOR],tabela_registros[MÊS],$AE$1,tabela_registros[DIA],investirrendafixaconsolidadoset[[#Headers],[31]],tabela_registros[REGISTRO],DADOS!$N$5,tabela_registros[TIPO],DADOS!$AB$3,tabela_registros[CATEGORIA],investirrendafixaconsolidadoset[[#This Row],[ATUAL]])</f>
        <v>0</v>
      </c>
      <c r="AJ119" s="97">
        <f>SUM(investirrendafixaconsolidadoset[[#This Row],[1]:[31]])</f>
        <v>0</v>
      </c>
      <c r="AK119" s="25"/>
    </row>
    <row r="120" spans="2:37" ht="19.5" customHeight="1" thickTop="1" thickBot="1" x14ac:dyDescent="0.3">
      <c r="B120" s="28"/>
      <c r="C120" s="27" t="str">
        <f>DADOS!$AD$10</f>
        <v>📝 LCI</v>
      </c>
      <c r="D120" s="26" t="str">
        <f>IF(investirrendafixaconsolidadoset[[#This Row],[TOTAL (R$)]]=0,"",IF(OR(investirrendafixaconsolidadoset[[#This Row],[TOTAL (R$)]]=LARGE($AJ$113:$AJ$122,1),investirrendafixaconsolidadoset[[#This Row],[TOTAL (R$)]]=LARGE($AJ$113:$AJ$122,2)),DADOS!$I$10,""))</f>
        <v/>
      </c>
      <c r="E120" s="96">
        <f>SUMIFS(tabela_registros[VALOR],tabela_registros[MÊS],$AE$1,tabela_registros[DIA],investirrendafixaconsolidadoset[[#Headers],[1]],tabela_registros[REGISTRO],DADOS!$N$5,tabela_registros[TIPO],DADOS!$AB$3,tabela_registros[CATEGORIA],investirrendafixaconsolidadoset[[#This Row],[ATUAL]])</f>
        <v>0</v>
      </c>
      <c r="F120" s="91">
        <f>SUMIFS(tabela_registros[VALOR],tabela_registros[MÊS],$AE$1,tabela_registros[DIA],investirrendafixaconsolidadoset[[#Headers],[2]],tabela_registros[REGISTRO],DADOS!$N$5,tabela_registros[TIPO],DADOS!$AB$3,tabela_registros[CATEGORIA],investirrendafixaconsolidadoset[[#This Row],[ATUAL]])</f>
        <v>0</v>
      </c>
      <c r="G120" s="91">
        <f>SUMIFS(tabela_registros[VALOR],tabela_registros[MÊS],$AE$1,tabela_registros[DIA],investirrendafixaconsolidadoset[[#Headers],[3]],tabela_registros[REGISTRO],DADOS!$N$5,tabela_registros[TIPO],DADOS!$AB$3,tabela_registros[CATEGORIA],investirrendafixaconsolidadoset[[#This Row],[ATUAL]])</f>
        <v>0</v>
      </c>
      <c r="H120" s="91">
        <f>SUMIFS(tabela_registros[VALOR],tabela_registros[MÊS],$AE$1,tabela_registros[DIA],investirrendafixaconsolidadoset[[#Headers],[4]],tabela_registros[REGISTRO],DADOS!$N$5,tabela_registros[TIPO],DADOS!$AB$3,tabela_registros[CATEGORIA],investirrendafixaconsolidadoset[[#This Row],[ATUAL]])</f>
        <v>0</v>
      </c>
      <c r="I120" s="91">
        <f>SUMIFS(tabela_registros[VALOR],tabela_registros[MÊS],$AE$1,tabela_registros[DIA],investirrendafixaconsolidadoset[[#Headers],[5]],tabela_registros[REGISTRO],DADOS!$N$5,tabela_registros[TIPO],DADOS!$AB$3,tabela_registros[CATEGORIA],investirrendafixaconsolidadoset[[#This Row],[ATUAL]])</f>
        <v>0</v>
      </c>
      <c r="J120" s="91">
        <f>SUMIFS(tabela_registros[VALOR],tabela_registros[MÊS],$AE$1,tabela_registros[DIA],investirrendafixaconsolidadoset[[#Headers],[6]],tabela_registros[REGISTRO],DADOS!$N$5,tabela_registros[TIPO],DADOS!$AB$3,tabela_registros[CATEGORIA],investirrendafixaconsolidadoset[[#This Row],[ATUAL]])</f>
        <v>0</v>
      </c>
      <c r="K120" s="91">
        <f>SUMIFS(tabela_registros[VALOR],tabela_registros[MÊS],$AE$1,tabela_registros[DIA],investirrendafixaconsolidadoset[[#Headers],[7]],tabela_registros[REGISTRO],DADOS!$N$5,tabela_registros[TIPO],DADOS!$AB$3,tabela_registros[CATEGORIA],investirrendafixaconsolidadoset[[#This Row],[ATUAL]])</f>
        <v>0</v>
      </c>
      <c r="L120" s="91">
        <f>SUMIFS(tabela_registros[VALOR],tabela_registros[MÊS],$AE$1,tabela_registros[DIA],investirrendafixaconsolidadoset[[#Headers],[8]],tabela_registros[REGISTRO],DADOS!$N$5,tabela_registros[TIPO],DADOS!$AB$3,tabela_registros[CATEGORIA],investirrendafixaconsolidadoset[[#This Row],[ATUAL]])</f>
        <v>0</v>
      </c>
      <c r="M120" s="91">
        <f>SUMIFS(tabela_registros[VALOR],tabela_registros[MÊS],$AE$1,tabela_registros[DIA],investirrendafixaconsolidadoset[[#Headers],[9]],tabela_registros[REGISTRO],DADOS!$N$5,tabela_registros[TIPO],DADOS!$AB$3,tabela_registros[CATEGORIA],investirrendafixaconsolidadoset[[#This Row],[ATUAL]])</f>
        <v>0</v>
      </c>
      <c r="N120" s="91">
        <f>SUMIFS(tabela_registros[VALOR],tabela_registros[MÊS],$AE$1,tabela_registros[DIA],investirrendafixaconsolidadoset[[#Headers],[10]],tabela_registros[REGISTRO],DADOS!$N$5,tabela_registros[TIPO],DADOS!$AB$3,tabela_registros[CATEGORIA],investirrendafixaconsolidadoset[[#This Row],[ATUAL]])</f>
        <v>0</v>
      </c>
      <c r="O120" s="91">
        <f>SUMIFS(tabela_registros[VALOR],tabela_registros[MÊS],$AE$1,tabela_registros[DIA],investirrendafixaconsolidadoset[[#Headers],[11]],tabela_registros[REGISTRO],DADOS!$N$5,tabela_registros[TIPO],DADOS!$AB$3,tabela_registros[CATEGORIA],investirrendafixaconsolidadoset[[#This Row],[ATUAL]])</f>
        <v>0</v>
      </c>
      <c r="P120" s="91">
        <f>SUMIFS(tabela_registros[VALOR],tabela_registros[MÊS],$AE$1,tabela_registros[DIA],investirrendafixaconsolidadoset[[#Headers],[12]],tabela_registros[REGISTRO],DADOS!$N$5,tabela_registros[TIPO],DADOS!$AB$3,tabela_registros[CATEGORIA],investirrendafixaconsolidadoset[[#This Row],[ATUAL]])</f>
        <v>0</v>
      </c>
      <c r="Q120" s="91">
        <f>SUMIFS(tabela_registros[VALOR],tabela_registros[MÊS],$AE$1,tabela_registros[DIA],investirrendafixaconsolidadoset[[#Headers],[13]],tabela_registros[REGISTRO],DADOS!$N$5,tabela_registros[TIPO],DADOS!$AB$3,tabela_registros[CATEGORIA],investirrendafixaconsolidadoset[[#This Row],[ATUAL]])</f>
        <v>0</v>
      </c>
      <c r="R120" s="91">
        <f>SUMIFS(tabela_registros[VALOR],tabela_registros[MÊS],$AE$1,tabela_registros[DIA],investirrendafixaconsolidadoset[[#Headers],[14]],tabela_registros[REGISTRO],DADOS!$N$5,tabela_registros[TIPO],DADOS!$AB$3,tabela_registros[CATEGORIA],investirrendafixaconsolidadoset[[#This Row],[ATUAL]])</f>
        <v>0</v>
      </c>
      <c r="S120" s="91">
        <f>SUMIFS(tabela_registros[VALOR],tabela_registros[MÊS],$AE$1,tabela_registros[DIA],investirrendafixaconsolidadoset[[#Headers],[15]],tabela_registros[REGISTRO],DADOS!$N$5,tabela_registros[TIPO],DADOS!$AB$3,tabela_registros[CATEGORIA],investirrendafixaconsolidadoset[[#This Row],[ATUAL]])</f>
        <v>0</v>
      </c>
      <c r="T120" s="91">
        <f>SUMIFS(tabela_registros[VALOR],tabela_registros[MÊS],$AE$1,tabela_registros[DIA],investirrendafixaconsolidadoset[[#Headers],[16]],tabela_registros[REGISTRO],DADOS!$N$5,tabela_registros[TIPO],DADOS!$AB$3,tabela_registros[CATEGORIA],investirrendafixaconsolidadoset[[#This Row],[ATUAL]])</f>
        <v>0</v>
      </c>
      <c r="U120" s="91">
        <f>SUMIFS(tabela_registros[VALOR],tabela_registros[MÊS],$AE$1,tabela_registros[DIA],investirrendafixaconsolidadoset[[#Headers],[17]],tabela_registros[REGISTRO],DADOS!$N$5,tabela_registros[TIPO],DADOS!$AB$3,tabela_registros[CATEGORIA],investirrendafixaconsolidadoset[[#This Row],[ATUAL]])</f>
        <v>0</v>
      </c>
      <c r="V120" s="91">
        <f>SUMIFS(tabela_registros[VALOR],tabela_registros[MÊS],$AE$1,tabela_registros[DIA],investirrendafixaconsolidadoset[[#Headers],[18]],tabela_registros[REGISTRO],DADOS!$N$5,tabela_registros[TIPO],DADOS!$AB$3,tabela_registros[CATEGORIA],investirrendafixaconsolidadoset[[#This Row],[ATUAL]])</f>
        <v>0</v>
      </c>
      <c r="W120" s="91">
        <f>SUMIFS(tabela_registros[VALOR],tabela_registros[MÊS],$AE$1,tabela_registros[DIA],investirrendafixaconsolidadoset[[#Headers],[19]],tabela_registros[REGISTRO],DADOS!$N$5,tabela_registros[TIPO],DADOS!$AB$3,tabela_registros[CATEGORIA],investirrendafixaconsolidadoset[[#This Row],[ATUAL]])</f>
        <v>0</v>
      </c>
      <c r="X120" s="91">
        <f>SUMIFS(tabela_registros[VALOR],tabela_registros[MÊS],$AE$1,tabela_registros[DIA],investirrendafixaconsolidadoset[[#Headers],[20]],tabela_registros[REGISTRO],DADOS!$N$5,tabela_registros[TIPO],DADOS!$AB$3,tabela_registros[CATEGORIA],investirrendafixaconsolidadoset[[#This Row],[ATUAL]])</f>
        <v>0</v>
      </c>
      <c r="Y120" s="91">
        <f>SUMIFS(tabela_registros[VALOR],tabela_registros[MÊS],$AE$1,tabela_registros[DIA],investirrendafixaconsolidadoset[[#Headers],[21]],tabela_registros[REGISTRO],DADOS!$N$5,tabela_registros[TIPO],DADOS!$AB$3,tabela_registros[CATEGORIA],investirrendafixaconsolidadoset[[#This Row],[ATUAL]])</f>
        <v>0</v>
      </c>
      <c r="Z120" s="91">
        <f>SUMIFS(tabela_registros[VALOR],tabela_registros[MÊS],$AE$1,tabela_registros[DIA],investirrendafixaconsolidadoset[[#Headers],[22]],tabela_registros[REGISTRO],DADOS!$N$5,tabela_registros[TIPO],DADOS!$AB$3,tabela_registros[CATEGORIA],investirrendafixaconsolidadoset[[#This Row],[ATUAL]])</f>
        <v>0</v>
      </c>
      <c r="AA120" s="91">
        <f>SUMIFS(tabela_registros[VALOR],tabela_registros[MÊS],$AE$1,tabela_registros[DIA],investirrendafixaconsolidadoset[[#Headers],[23]],tabela_registros[REGISTRO],DADOS!$N$5,tabela_registros[TIPO],DADOS!$AB$3,tabela_registros[CATEGORIA],investirrendafixaconsolidadoset[[#This Row],[ATUAL]])</f>
        <v>0</v>
      </c>
      <c r="AB120" s="91">
        <f>SUMIFS(tabela_registros[VALOR],tabela_registros[MÊS],$AE$1,tabela_registros[DIA],investirrendafixaconsolidadoset[[#Headers],[24]],tabela_registros[REGISTRO],DADOS!$N$5,tabela_registros[TIPO],DADOS!$AB$3,tabela_registros[CATEGORIA],investirrendafixaconsolidadoset[[#This Row],[ATUAL]])</f>
        <v>0</v>
      </c>
      <c r="AC120" s="91">
        <f>SUMIFS(tabela_registros[VALOR],tabela_registros[MÊS],$AE$1,tabela_registros[DIA],investirrendafixaconsolidadoset[[#Headers],[25]],tabela_registros[REGISTRO],DADOS!$N$5,tabela_registros[TIPO],DADOS!$AB$3,tabela_registros[CATEGORIA],investirrendafixaconsolidadoset[[#This Row],[ATUAL]])</f>
        <v>0</v>
      </c>
      <c r="AD120" s="91">
        <f>SUMIFS(tabela_registros[VALOR],tabela_registros[MÊS],$AE$1,tabela_registros[DIA],investirrendafixaconsolidadoset[[#Headers],[26]],tabela_registros[REGISTRO],DADOS!$N$5,tabela_registros[TIPO],DADOS!$AB$3,tabela_registros[CATEGORIA],investirrendafixaconsolidadoset[[#This Row],[ATUAL]])</f>
        <v>0</v>
      </c>
      <c r="AE120" s="91">
        <f>SUMIFS(tabela_registros[VALOR],tabela_registros[MÊS],$AE$1,tabela_registros[DIA],investirrendafixaconsolidadoset[[#Headers],[27]],tabela_registros[REGISTRO],DADOS!$N$5,tabela_registros[TIPO],DADOS!$AB$3,tabela_registros[CATEGORIA],investirrendafixaconsolidadoset[[#This Row],[ATUAL]])</f>
        <v>0</v>
      </c>
      <c r="AF120" s="91">
        <f>SUMIFS(tabela_registros[VALOR],tabela_registros[MÊS],$AE$1,tabela_registros[DIA],investirrendafixaconsolidadoset[[#Headers],[28]],tabela_registros[REGISTRO],DADOS!$N$5,tabela_registros[TIPO],DADOS!$AB$3,tabela_registros[CATEGORIA],investirrendafixaconsolidadoset[[#This Row],[ATUAL]])</f>
        <v>0</v>
      </c>
      <c r="AG120" s="91">
        <f>SUMIFS(tabela_registros[VALOR],tabela_registros[MÊS],$AE$1,tabela_registros[DIA],investirrendafixaconsolidadoset[[#Headers],[29]],tabela_registros[REGISTRO],DADOS!$N$5,tabela_registros[TIPO],DADOS!$AB$3,tabela_registros[CATEGORIA],investirrendafixaconsolidadoset[[#This Row],[ATUAL]])</f>
        <v>0</v>
      </c>
      <c r="AH120" s="91">
        <f>SUMIFS(tabela_registros[VALOR],tabela_registros[MÊS],$AE$1,tabela_registros[DIA],investirrendafixaconsolidadoset[[#Headers],[30]],tabela_registros[REGISTRO],DADOS!$N$5,tabela_registros[TIPO],DADOS!$AB$3,tabela_registros[CATEGORIA],investirrendafixaconsolidadoset[[#This Row],[ATUAL]])</f>
        <v>0</v>
      </c>
      <c r="AI120" s="101">
        <f>SUMIFS(tabela_registros[VALOR],tabela_registros[MÊS],$AE$1,tabela_registros[DIA],investirrendafixaconsolidadoset[[#Headers],[31]],tabela_registros[REGISTRO],DADOS!$N$5,tabela_registros[TIPO],DADOS!$AB$3,tabela_registros[CATEGORIA],investirrendafixaconsolidadoset[[#This Row],[ATUAL]])</f>
        <v>0</v>
      </c>
      <c r="AJ120" s="97">
        <f>SUM(investirrendafixaconsolidadoset[[#This Row],[1]:[31]])</f>
        <v>0</v>
      </c>
      <c r="AK120" s="25"/>
    </row>
    <row r="121" spans="2:37" ht="19.5" customHeight="1" thickTop="1" thickBot="1" x14ac:dyDescent="0.3">
      <c r="B121" s="28"/>
      <c r="C121" s="27" t="str">
        <f>DADOS!$AD$11</f>
        <v>📝 TESOURO DIRETO</v>
      </c>
      <c r="D121" s="26" t="str">
        <f>IF(investirrendafixaconsolidadoset[[#This Row],[TOTAL (R$)]]=0,"",IF(OR(investirrendafixaconsolidadoset[[#This Row],[TOTAL (R$)]]=LARGE($AJ$113:$AJ$122,1),investirrendafixaconsolidadoset[[#This Row],[TOTAL (R$)]]=LARGE($AJ$113:$AJ$122,2)),DADOS!$I$10,""))</f>
        <v/>
      </c>
      <c r="E121" s="96">
        <f>SUMIFS(tabela_registros[VALOR],tabela_registros[MÊS],$AE$1,tabela_registros[DIA],investirrendafixaconsolidadoset[[#Headers],[1]],tabela_registros[REGISTRO],DADOS!$N$5,tabela_registros[TIPO],DADOS!$AB$3,tabela_registros[CATEGORIA],investirrendafixaconsolidadoset[[#This Row],[ATUAL]])</f>
        <v>0</v>
      </c>
      <c r="F121" s="91">
        <f>SUMIFS(tabela_registros[VALOR],tabela_registros[MÊS],$AE$1,tabela_registros[DIA],investirrendafixaconsolidadoset[[#Headers],[2]],tabela_registros[REGISTRO],DADOS!$N$5,tabela_registros[TIPO],DADOS!$AB$3,tabela_registros[CATEGORIA],investirrendafixaconsolidadoset[[#This Row],[ATUAL]])</f>
        <v>0</v>
      </c>
      <c r="G121" s="91">
        <f>SUMIFS(tabela_registros[VALOR],tabela_registros[MÊS],$AE$1,tabela_registros[DIA],investirrendafixaconsolidadoset[[#Headers],[3]],tabela_registros[REGISTRO],DADOS!$N$5,tabela_registros[TIPO],DADOS!$AB$3,tabela_registros[CATEGORIA],investirrendafixaconsolidadoset[[#This Row],[ATUAL]])</f>
        <v>0</v>
      </c>
      <c r="H121" s="91">
        <f>SUMIFS(tabela_registros[VALOR],tabela_registros[MÊS],$AE$1,tabela_registros[DIA],investirrendafixaconsolidadoset[[#Headers],[4]],tabela_registros[REGISTRO],DADOS!$N$5,tabela_registros[TIPO],DADOS!$AB$3,tabela_registros[CATEGORIA],investirrendafixaconsolidadoset[[#This Row],[ATUAL]])</f>
        <v>0</v>
      </c>
      <c r="I121" s="91">
        <f>SUMIFS(tabela_registros[VALOR],tabela_registros[MÊS],$AE$1,tabela_registros[DIA],investirrendafixaconsolidadoset[[#Headers],[5]],tabela_registros[REGISTRO],DADOS!$N$5,tabela_registros[TIPO],DADOS!$AB$3,tabela_registros[CATEGORIA],investirrendafixaconsolidadoset[[#This Row],[ATUAL]])</f>
        <v>0</v>
      </c>
      <c r="J121" s="91">
        <f>SUMIFS(tabela_registros[VALOR],tabela_registros[MÊS],$AE$1,tabela_registros[DIA],investirrendafixaconsolidadoset[[#Headers],[6]],tabela_registros[REGISTRO],DADOS!$N$5,tabela_registros[TIPO],DADOS!$AB$3,tabela_registros[CATEGORIA],investirrendafixaconsolidadoset[[#This Row],[ATUAL]])</f>
        <v>0</v>
      </c>
      <c r="K121" s="91">
        <f>SUMIFS(tabela_registros[VALOR],tabela_registros[MÊS],$AE$1,tabela_registros[DIA],investirrendafixaconsolidadoset[[#Headers],[7]],tabela_registros[REGISTRO],DADOS!$N$5,tabela_registros[TIPO],DADOS!$AB$3,tabela_registros[CATEGORIA],investirrendafixaconsolidadoset[[#This Row],[ATUAL]])</f>
        <v>0</v>
      </c>
      <c r="L121" s="91">
        <f>SUMIFS(tabela_registros[VALOR],tabela_registros[MÊS],$AE$1,tabela_registros[DIA],investirrendafixaconsolidadoset[[#Headers],[8]],tabela_registros[REGISTRO],DADOS!$N$5,tabela_registros[TIPO],DADOS!$AB$3,tabela_registros[CATEGORIA],investirrendafixaconsolidadoset[[#This Row],[ATUAL]])</f>
        <v>0</v>
      </c>
      <c r="M121" s="91">
        <f>SUMIFS(tabela_registros[VALOR],tabela_registros[MÊS],$AE$1,tabela_registros[DIA],investirrendafixaconsolidadoset[[#Headers],[9]],tabela_registros[REGISTRO],DADOS!$N$5,tabela_registros[TIPO],DADOS!$AB$3,tabela_registros[CATEGORIA],investirrendafixaconsolidadoset[[#This Row],[ATUAL]])</f>
        <v>0</v>
      </c>
      <c r="N121" s="91">
        <f>SUMIFS(tabela_registros[VALOR],tabela_registros[MÊS],$AE$1,tabela_registros[DIA],investirrendafixaconsolidadoset[[#Headers],[10]],tabela_registros[REGISTRO],DADOS!$N$5,tabela_registros[TIPO],DADOS!$AB$3,tabela_registros[CATEGORIA],investirrendafixaconsolidadoset[[#This Row],[ATUAL]])</f>
        <v>0</v>
      </c>
      <c r="O121" s="91">
        <f>SUMIFS(tabela_registros[VALOR],tabela_registros[MÊS],$AE$1,tabela_registros[DIA],investirrendafixaconsolidadoset[[#Headers],[11]],tabela_registros[REGISTRO],DADOS!$N$5,tabela_registros[TIPO],DADOS!$AB$3,tabela_registros[CATEGORIA],investirrendafixaconsolidadoset[[#This Row],[ATUAL]])</f>
        <v>0</v>
      </c>
      <c r="P121" s="91">
        <f>SUMIFS(tabela_registros[VALOR],tabela_registros[MÊS],$AE$1,tabela_registros[DIA],investirrendafixaconsolidadoset[[#Headers],[12]],tabela_registros[REGISTRO],DADOS!$N$5,tabela_registros[TIPO],DADOS!$AB$3,tabela_registros[CATEGORIA],investirrendafixaconsolidadoset[[#This Row],[ATUAL]])</f>
        <v>0</v>
      </c>
      <c r="Q121" s="91">
        <f>SUMIFS(tabela_registros[VALOR],tabela_registros[MÊS],$AE$1,tabela_registros[DIA],investirrendafixaconsolidadoset[[#Headers],[13]],tabela_registros[REGISTRO],DADOS!$N$5,tabela_registros[TIPO],DADOS!$AB$3,tabela_registros[CATEGORIA],investirrendafixaconsolidadoset[[#This Row],[ATUAL]])</f>
        <v>0</v>
      </c>
      <c r="R121" s="91">
        <f>SUMIFS(tabela_registros[VALOR],tabela_registros[MÊS],$AE$1,tabela_registros[DIA],investirrendafixaconsolidadoset[[#Headers],[14]],tabela_registros[REGISTRO],DADOS!$N$5,tabela_registros[TIPO],DADOS!$AB$3,tabela_registros[CATEGORIA],investirrendafixaconsolidadoset[[#This Row],[ATUAL]])</f>
        <v>0</v>
      </c>
      <c r="S121" s="91">
        <f>SUMIFS(tabela_registros[VALOR],tabela_registros[MÊS],$AE$1,tabela_registros[DIA],investirrendafixaconsolidadoset[[#Headers],[15]],tabela_registros[REGISTRO],DADOS!$N$5,tabela_registros[TIPO],DADOS!$AB$3,tabela_registros[CATEGORIA],investirrendafixaconsolidadoset[[#This Row],[ATUAL]])</f>
        <v>0</v>
      </c>
      <c r="T121" s="91">
        <f>SUMIFS(tabela_registros[VALOR],tabela_registros[MÊS],$AE$1,tabela_registros[DIA],investirrendafixaconsolidadoset[[#Headers],[16]],tabela_registros[REGISTRO],DADOS!$N$5,tabela_registros[TIPO],DADOS!$AB$3,tabela_registros[CATEGORIA],investirrendafixaconsolidadoset[[#This Row],[ATUAL]])</f>
        <v>0</v>
      </c>
      <c r="U121" s="91">
        <f>SUMIFS(tabela_registros[VALOR],tabela_registros[MÊS],$AE$1,tabela_registros[DIA],investirrendafixaconsolidadoset[[#Headers],[17]],tabela_registros[REGISTRO],DADOS!$N$5,tabela_registros[TIPO],DADOS!$AB$3,tabela_registros[CATEGORIA],investirrendafixaconsolidadoset[[#This Row],[ATUAL]])</f>
        <v>0</v>
      </c>
      <c r="V121" s="91">
        <f>SUMIFS(tabela_registros[VALOR],tabela_registros[MÊS],$AE$1,tabela_registros[DIA],investirrendafixaconsolidadoset[[#Headers],[18]],tabela_registros[REGISTRO],DADOS!$N$5,tabela_registros[TIPO],DADOS!$AB$3,tabela_registros[CATEGORIA],investirrendafixaconsolidadoset[[#This Row],[ATUAL]])</f>
        <v>0</v>
      </c>
      <c r="W121" s="91">
        <f>SUMIFS(tabela_registros[VALOR],tabela_registros[MÊS],$AE$1,tabela_registros[DIA],investirrendafixaconsolidadoset[[#Headers],[19]],tabela_registros[REGISTRO],DADOS!$N$5,tabela_registros[TIPO],DADOS!$AB$3,tabela_registros[CATEGORIA],investirrendafixaconsolidadoset[[#This Row],[ATUAL]])</f>
        <v>0</v>
      </c>
      <c r="X121" s="91">
        <f>SUMIFS(tabela_registros[VALOR],tabela_registros[MÊS],$AE$1,tabela_registros[DIA],investirrendafixaconsolidadoset[[#Headers],[20]],tabela_registros[REGISTRO],DADOS!$N$5,tabela_registros[TIPO],DADOS!$AB$3,tabela_registros[CATEGORIA],investirrendafixaconsolidadoset[[#This Row],[ATUAL]])</f>
        <v>0</v>
      </c>
      <c r="Y121" s="91">
        <f>SUMIFS(tabela_registros[VALOR],tabela_registros[MÊS],$AE$1,tabela_registros[DIA],investirrendafixaconsolidadoset[[#Headers],[21]],tabela_registros[REGISTRO],DADOS!$N$5,tabela_registros[TIPO],DADOS!$AB$3,tabela_registros[CATEGORIA],investirrendafixaconsolidadoset[[#This Row],[ATUAL]])</f>
        <v>0</v>
      </c>
      <c r="Z121" s="91">
        <f>SUMIFS(tabela_registros[VALOR],tabela_registros[MÊS],$AE$1,tabela_registros[DIA],investirrendafixaconsolidadoset[[#Headers],[22]],tabela_registros[REGISTRO],DADOS!$N$5,tabela_registros[TIPO],DADOS!$AB$3,tabela_registros[CATEGORIA],investirrendafixaconsolidadoset[[#This Row],[ATUAL]])</f>
        <v>0</v>
      </c>
      <c r="AA121" s="91">
        <f>SUMIFS(tabela_registros[VALOR],tabela_registros[MÊS],$AE$1,tabela_registros[DIA],investirrendafixaconsolidadoset[[#Headers],[23]],tabela_registros[REGISTRO],DADOS!$N$5,tabela_registros[TIPO],DADOS!$AB$3,tabela_registros[CATEGORIA],investirrendafixaconsolidadoset[[#This Row],[ATUAL]])</f>
        <v>0</v>
      </c>
      <c r="AB121" s="91">
        <f>SUMIFS(tabela_registros[VALOR],tabela_registros[MÊS],$AE$1,tabela_registros[DIA],investirrendafixaconsolidadoset[[#Headers],[24]],tabela_registros[REGISTRO],DADOS!$N$5,tabela_registros[TIPO],DADOS!$AB$3,tabela_registros[CATEGORIA],investirrendafixaconsolidadoset[[#This Row],[ATUAL]])</f>
        <v>0</v>
      </c>
      <c r="AC121" s="91">
        <f>SUMIFS(tabela_registros[VALOR],tabela_registros[MÊS],$AE$1,tabela_registros[DIA],investirrendafixaconsolidadoset[[#Headers],[25]],tabela_registros[REGISTRO],DADOS!$N$5,tabela_registros[TIPO],DADOS!$AB$3,tabela_registros[CATEGORIA],investirrendafixaconsolidadoset[[#This Row],[ATUAL]])</f>
        <v>0</v>
      </c>
      <c r="AD121" s="91">
        <f>SUMIFS(tabela_registros[VALOR],tabela_registros[MÊS],$AE$1,tabela_registros[DIA],investirrendafixaconsolidadoset[[#Headers],[26]],tabela_registros[REGISTRO],DADOS!$N$5,tabela_registros[TIPO],DADOS!$AB$3,tabela_registros[CATEGORIA],investirrendafixaconsolidadoset[[#This Row],[ATUAL]])</f>
        <v>0</v>
      </c>
      <c r="AE121" s="91">
        <f>SUMIFS(tabela_registros[VALOR],tabela_registros[MÊS],$AE$1,tabela_registros[DIA],investirrendafixaconsolidadoset[[#Headers],[27]],tabela_registros[REGISTRO],DADOS!$N$5,tabela_registros[TIPO],DADOS!$AB$3,tabela_registros[CATEGORIA],investirrendafixaconsolidadoset[[#This Row],[ATUAL]])</f>
        <v>0</v>
      </c>
      <c r="AF121" s="91">
        <f>SUMIFS(tabela_registros[VALOR],tabela_registros[MÊS],$AE$1,tabela_registros[DIA],investirrendafixaconsolidadoset[[#Headers],[28]],tabela_registros[REGISTRO],DADOS!$N$5,tabela_registros[TIPO],DADOS!$AB$3,tabela_registros[CATEGORIA],investirrendafixaconsolidadoset[[#This Row],[ATUAL]])</f>
        <v>0</v>
      </c>
      <c r="AG121" s="91">
        <f>SUMIFS(tabela_registros[VALOR],tabela_registros[MÊS],$AE$1,tabela_registros[DIA],investirrendafixaconsolidadoset[[#Headers],[29]],tabela_registros[REGISTRO],DADOS!$N$5,tabela_registros[TIPO],DADOS!$AB$3,tabela_registros[CATEGORIA],investirrendafixaconsolidadoset[[#This Row],[ATUAL]])</f>
        <v>0</v>
      </c>
      <c r="AH121" s="91">
        <f>SUMIFS(tabela_registros[VALOR],tabela_registros[MÊS],$AE$1,tabela_registros[DIA],investirrendafixaconsolidadoset[[#Headers],[30]],tabela_registros[REGISTRO],DADOS!$N$5,tabela_registros[TIPO],DADOS!$AB$3,tabela_registros[CATEGORIA],investirrendafixaconsolidadoset[[#This Row],[ATUAL]])</f>
        <v>0</v>
      </c>
      <c r="AI121" s="101">
        <f>SUMIFS(tabela_registros[VALOR],tabela_registros[MÊS],$AE$1,tabela_registros[DIA],investirrendafixaconsolidadoset[[#Headers],[31]],tabela_registros[REGISTRO],DADOS!$N$5,tabela_registros[TIPO],DADOS!$AB$3,tabela_registros[CATEGORIA],investirrendafixaconsolidadoset[[#This Row],[ATUAL]])</f>
        <v>0</v>
      </c>
      <c r="AJ121" s="97">
        <f>SUM(investirrendafixaconsolidadoset[[#This Row],[1]:[31]])</f>
        <v>0</v>
      </c>
      <c r="AK121" s="25"/>
    </row>
    <row r="122" spans="2:37" ht="19.5" customHeight="1" thickTop="1" thickBot="1" x14ac:dyDescent="0.3">
      <c r="B122" s="28"/>
      <c r="C122" s="27" t="str">
        <f>DADOS!$AD$12</f>
        <v>📎 OUTROS</v>
      </c>
      <c r="D122" s="26" t="str">
        <f>IF(investirrendafixaconsolidadoset[[#This Row],[TOTAL (R$)]]=0,"",IF(OR(investirrendafixaconsolidadoset[[#This Row],[TOTAL (R$)]]=LARGE($AJ$113:$AJ$122,1),investirrendafixaconsolidadoset[[#This Row],[TOTAL (R$)]]=LARGE($AJ$113:$AJ$122,2)),DADOS!$I$10,""))</f>
        <v/>
      </c>
      <c r="E122" s="96">
        <f>SUMIFS(tabela_registros[VALOR],tabela_registros[MÊS],$AE$1,tabela_registros[DIA],investirrendafixaconsolidadoset[[#Headers],[1]],tabela_registros[REGISTRO],DADOS!$N$5,tabela_registros[TIPO],DADOS!$AB$3,tabela_registros[CATEGORIA],investirrendafixaconsolidadoset[[#This Row],[ATUAL]])</f>
        <v>0</v>
      </c>
      <c r="F122" s="91">
        <f>SUMIFS(tabela_registros[VALOR],tabela_registros[MÊS],$AE$1,tabela_registros[DIA],investirrendafixaconsolidadoset[[#Headers],[2]],tabela_registros[REGISTRO],DADOS!$N$5,tabela_registros[TIPO],DADOS!$AB$3,tabela_registros[CATEGORIA],investirrendafixaconsolidadoset[[#This Row],[ATUAL]])</f>
        <v>0</v>
      </c>
      <c r="G122" s="91">
        <f>SUMIFS(tabela_registros[VALOR],tabela_registros[MÊS],$AE$1,tabela_registros[DIA],investirrendafixaconsolidadoset[[#Headers],[3]],tabela_registros[REGISTRO],DADOS!$N$5,tabela_registros[TIPO],DADOS!$AB$3,tabela_registros[CATEGORIA],investirrendafixaconsolidadoset[[#This Row],[ATUAL]])</f>
        <v>0</v>
      </c>
      <c r="H122" s="91">
        <f>SUMIFS(tabela_registros[VALOR],tabela_registros[MÊS],$AE$1,tabela_registros[DIA],investirrendafixaconsolidadoset[[#Headers],[4]],tabela_registros[REGISTRO],DADOS!$N$5,tabela_registros[TIPO],DADOS!$AB$3,tabela_registros[CATEGORIA],investirrendafixaconsolidadoset[[#This Row],[ATUAL]])</f>
        <v>0</v>
      </c>
      <c r="I122" s="91">
        <f>SUMIFS(tabela_registros[VALOR],tabela_registros[MÊS],$AE$1,tabela_registros[DIA],investirrendafixaconsolidadoset[[#Headers],[5]],tabela_registros[REGISTRO],DADOS!$N$5,tabela_registros[TIPO],DADOS!$AB$3,tabela_registros[CATEGORIA],investirrendafixaconsolidadoset[[#This Row],[ATUAL]])</f>
        <v>0</v>
      </c>
      <c r="J122" s="91">
        <f>SUMIFS(tabela_registros[VALOR],tabela_registros[MÊS],$AE$1,tabela_registros[DIA],investirrendafixaconsolidadoset[[#Headers],[6]],tabela_registros[REGISTRO],DADOS!$N$5,tabela_registros[TIPO],DADOS!$AB$3,tabela_registros[CATEGORIA],investirrendafixaconsolidadoset[[#This Row],[ATUAL]])</f>
        <v>0</v>
      </c>
      <c r="K122" s="91">
        <f>SUMIFS(tabela_registros[VALOR],tabela_registros[MÊS],$AE$1,tabela_registros[DIA],investirrendafixaconsolidadoset[[#Headers],[7]],tabela_registros[REGISTRO],DADOS!$N$5,tabela_registros[TIPO],DADOS!$AB$3,tabela_registros[CATEGORIA],investirrendafixaconsolidadoset[[#This Row],[ATUAL]])</f>
        <v>0</v>
      </c>
      <c r="L122" s="91">
        <f>SUMIFS(tabela_registros[VALOR],tabela_registros[MÊS],$AE$1,tabela_registros[DIA],investirrendafixaconsolidadoset[[#Headers],[8]],tabela_registros[REGISTRO],DADOS!$N$5,tabela_registros[TIPO],DADOS!$AB$3,tabela_registros[CATEGORIA],investirrendafixaconsolidadoset[[#This Row],[ATUAL]])</f>
        <v>0</v>
      </c>
      <c r="M122" s="91">
        <f>SUMIFS(tabela_registros[VALOR],tabela_registros[MÊS],$AE$1,tabela_registros[DIA],investirrendafixaconsolidadoset[[#Headers],[9]],tabela_registros[REGISTRO],DADOS!$N$5,tabela_registros[TIPO],DADOS!$AB$3,tabela_registros[CATEGORIA],investirrendafixaconsolidadoset[[#This Row],[ATUAL]])</f>
        <v>0</v>
      </c>
      <c r="N122" s="91">
        <f>SUMIFS(tabela_registros[VALOR],tabela_registros[MÊS],$AE$1,tabela_registros[DIA],investirrendafixaconsolidadoset[[#Headers],[10]],tabela_registros[REGISTRO],DADOS!$N$5,tabela_registros[TIPO],DADOS!$AB$3,tabela_registros[CATEGORIA],investirrendafixaconsolidadoset[[#This Row],[ATUAL]])</f>
        <v>0</v>
      </c>
      <c r="O122" s="91">
        <f>SUMIFS(tabela_registros[VALOR],tabela_registros[MÊS],$AE$1,tabela_registros[DIA],investirrendafixaconsolidadoset[[#Headers],[11]],tabela_registros[REGISTRO],DADOS!$N$5,tabela_registros[TIPO],DADOS!$AB$3,tabela_registros[CATEGORIA],investirrendafixaconsolidadoset[[#This Row],[ATUAL]])</f>
        <v>0</v>
      </c>
      <c r="P122" s="91">
        <f>SUMIFS(tabela_registros[VALOR],tabela_registros[MÊS],$AE$1,tabela_registros[DIA],investirrendafixaconsolidadoset[[#Headers],[12]],tabela_registros[REGISTRO],DADOS!$N$5,tabela_registros[TIPO],DADOS!$AB$3,tabela_registros[CATEGORIA],investirrendafixaconsolidadoset[[#This Row],[ATUAL]])</f>
        <v>0</v>
      </c>
      <c r="Q122" s="91">
        <f>SUMIFS(tabela_registros[VALOR],tabela_registros[MÊS],$AE$1,tabela_registros[DIA],investirrendafixaconsolidadoset[[#Headers],[13]],tabela_registros[REGISTRO],DADOS!$N$5,tabela_registros[TIPO],DADOS!$AB$3,tabela_registros[CATEGORIA],investirrendafixaconsolidadoset[[#This Row],[ATUAL]])</f>
        <v>0</v>
      </c>
      <c r="R122" s="91">
        <f>SUMIFS(tabela_registros[VALOR],tabela_registros[MÊS],$AE$1,tabela_registros[DIA],investirrendafixaconsolidadoset[[#Headers],[14]],tabela_registros[REGISTRO],DADOS!$N$5,tabela_registros[TIPO],DADOS!$AB$3,tabela_registros[CATEGORIA],investirrendafixaconsolidadoset[[#This Row],[ATUAL]])</f>
        <v>0</v>
      </c>
      <c r="S122" s="91">
        <f>SUMIFS(tabela_registros[VALOR],tabela_registros[MÊS],$AE$1,tabela_registros[DIA],investirrendafixaconsolidadoset[[#Headers],[15]],tabela_registros[REGISTRO],DADOS!$N$5,tabela_registros[TIPO],DADOS!$AB$3,tabela_registros[CATEGORIA],investirrendafixaconsolidadoset[[#This Row],[ATUAL]])</f>
        <v>0</v>
      </c>
      <c r="T122" s="91">
        <f>SUMIFS(tabela_registros[VALOR],tabela_registros[MÊS],$AE$1,tabela_registros[DIA],investirrendafixaconsolidadoset[[#Headers],[16]],tabela_registros[REGISTRO],DADOS!$N$5,tabela_registros[TIPO],DADOS!$AB$3,tabela_registros[CATEGORIA],investirrendafixaconsolidadoset[[#This Row],[ATUAL]])</f>
        <v>0</v>
      </c>
      <c r="U122" s="91">
        <f>SUMIFS(tabela_registros[VALOR],tabela_registros[MÊS],$AE$1,tabela_registros[DIA],investirrendafixaconsolidadoset[[#Headers],[17]],tabela_registros[REGISTRO],DADOS!$N$5,tabela_registros[TIPO],DADOS!$AB$3,tabela_registros[CATEGORIA],investirrendafixaconsolidadoset[[#This Row],[ATUAL]])</f>
        <v>0</v>
      </c>
      <c r="V122" s="91">
        <f>SUMIFS(tabela_registros[VALOR],tabela_registros[MÊS],$AE$1,tabela_registros[DIA],investirrendafixaconsolidadoset[[#Headers],[18]],tabela_registros[REGISTRO],DADOS!$N$5,tabela_registros[TIPO],DADOS!$AB$3,tabela_registros[CATEGORIA],investirrendafixaconsolidadoset[[#This Row],[ATUAL]])</f>
        <v>0</v>
      </c>
      <c r="W122" s="91">
        <f>SUMIFS(tabela_registros[VALOR],tabela_registros[MÊS],$AE$1,tabela_registros[DIA],investirrendafixaconsolidadoset[[#Headers],[19]],tabela_registros[REGISTRO],DADOS!$N$5,tabela_registros[TIPO],DADOS!$AB$3,tabela_registros[CATEGORIA],investirrendafixaconsolidadoset[[#This Row],[ATUAL]])</f>
        <v>0</v>
      </c>
      <c r="X122" s="91">
        <f>SUMIFS(tabela_registros[VALOR],tabela_registros[MÊS],$AE$1,tabela_registros[DIA],investirrendafixaconsolidadoset[[#Headers],[20]],tabela_registros[REGISTRO],DADOS!$N$5,tabela_registros[TIPO],DADOS!$AB$3,tabela_registros[CATEGORIA],investirrendafixaconsolidadoset[[#This Row],[ATUAL]])</f>
        <v>0</v>
      </c>
      <c r="Y122" s="91">
        <f>SUMIFS(tabela_registros[VALOR],tabela_registros[MÊS],$AE$1,tabela_registros[DIA],investirrendafixaconsolidadoset[[#Headers],[21]],tabela_registros[REGISTRO],DADOS!$N$5,tabela_registros[TIPO],DADOS!$AB$3,tabela_registros[CATEGORIA],investirrendafixaconsolidadoset[[#This Row],[ATUAL]])</f>
        <v>0</v>
      </c>
      <c r="Z122" s="91">
        <f>SUMIFS(tabela_registros[VALOR],tabela_registros[MÊS],$AE$1,tabela_registros[DIA],investirrendafixaconsolidadoset[[#Headers],[22]],tabela_registros[REGISTRO],DADOS!$N$5,tabela_registros[TIPO],DADOS!$AB$3,tabela_registros[CATEGORIA],investirrendafixaconsolidadoset[[#This Row],[ATUAL]])</f>
        <v>0</v>
      </c>
      <c r="AA122" s="91">
        <f>SUMIFS(tabela_registros[VALOR],tabela_registros[MÊS],$AE$1,tabela_registros[DIA],investirrendafixaconsolidadoset[[#Headers],[23]],tabela_registros[REGISTRO],DADOS!$N$5,tabela_registros[TIPO],DADOS!$AB$3,tabela_registros[CATEGORIA],investirrendafixaconsolidadoset[[#This Row],[ATUAL]])</f>
        <v>0</v>
      </c>
      <c r="AB122" s="91">
        <f>SUMIFS(tabela_registros[VALOR],tabela_registros[MÊS],$AE$1,tabela_registros[DIA],investirrendafixaconsolidadoset[[#Headers],[24]],tabela_registros[REGISTRO],DADOS!$N$5,tabela_registros[TIPO],DADOS!$AB$3,tabela_registros[CATEGORIA],investirrendafixaconsolidadoset[[#This Row],[ATUAL]])</f>
        <v>0</v>
      </c>
      <c r="AC122" s="91">
        <f>SUMIFS(tabela_registros[VALOR],tabela_registros[MÊS],$AE$1,tabela_registros[DIA],investirrendafixaconsolidadoset[[#Headers],[25]],tabela_registros[REGISTRO],DADOS!$N$5,tabela_registros[TIPO],DADOS!$AB$3,tabela_registros[CATEGORIA],investirrendafixaconsolidadoset[[#This Row],[ATUAL]])</f>
        <v>0</v>
      </c>
      <c r="AD122" s="91">
        <f>SUMIFS(tabela_registros[VALOR],tabela_registros[MÊS],$AE$1,tabela_registros[DIA],investirrendafixaconsolidadoset[[#Headers],[26]],tabela_registros[REGISTRO],DADOS!$N$5,tabela_registros[TIPO],DADOS!$AB$3,tabela_registros[CATEGORIA],investirrendafixaconsolidadoset[[#This Row],[ATUAL]])</f>
        <v>0</v>
      </c>
      <c r="AE122" s="91">
        <f>SUMIFS(tabela_registros[VALOR],tabela_registros[MÊS],$AE$1,tabela_registros[DIA],investirrendafixaconsolidadoset[[#Headers],[27]],tabela_registros[REGISTRO],DADOS!$N$5,tabela_registros[TIPO],DADOS!$AB$3,tabela_registros[CATEGORIA],investirrendafixaconsolidadoset[[#This Row],[ATUAL]])</f>
        <v>0</v>
      </c>
      <c r="AF122" s="91">
        <f>SUMIFS(tabela_registros[VALOR],tabela_registros[MÊS],$AE$1,tabela_registros[DIA],investirrendafixaconsolidadoset[[#Headers],[28]],tabela_registros[REGISTRO],DADOS!$N$5,tabela_registros[TIPO],DADOS!$AB$3,tabela_registros[CATEGORIA],investirrendafixaconsolidadoset[[#This Row],[ATUAL]])</f>
        <v>0</v>
      </c>
      <c r="AG122" s="91">
        <f>SUMIFS(tabela_registros[VALOR],tabela_registros[MÊS],$AE$1,tabela_registros[DIA],investirrendafixaconsolidadoset[[#Headers],[29]],tabela_registros[REGISTRO],DADOS!$N$5,tabela_registros[TIPO],DADOS!$AB$3,tabela_registros[CATEGORIA],investirrendafixaconsolidadoset[[#This Row],[ATUAL]])</f>
        <v>0</v>
      </c>
      <c r="AH122" s="91">
        <f>SUMIFS(tabela_registros[VALOR],tabela_registros[MÊS],$AE$1,tabela_registros[DIA],investirrendafixaconsolidadoset[[#Headers],[30]],tabela_registros[REGISTRO],DADOS!$N$5,tabela_registros[TIPO],DADOS!$AB$3,tabela_registros[CATEGORIA],investirrendafixaconsolidadoset[[#This Row],[ATUAL]])</f>
        <v>0</v>
      </c>
      <c r="AI122" s="102">
        <f>SUMIFS(tabela_registros[VALOR],tabela_registros[MÊS],$AE$1,tabela_registros[DIA],investirrendafixaconsolidadoset[[#Headers],[31]],tabela_registros[REGISTRO],DADOS!$N$5,tabela_registros[TIPO],DADOS!$AB$3,tabela_registros[CATEGORIA],investirrendafixaconsolidadoset[[#This Row],[ATUAL]])</f>
        <v>0</v>
      </c>
      <c r="AJ122" s="97">
        <f>SUM(investirrendafixaconsolidadoset[[#This Row],[1]:[31]])</f>
        <v>0</v>
      </c>
      <c r="AK122" s="25"/>
    </row>
    <row r="123" spans="2:37" s="16" customFormat="1" ht="21" customHeight="1" thickTop="1" thickBot="1" x14ac:dyDescent="0.35">
      <c r="B123" s="24"/>
      <c r="C123" s="23" t="s">
        <v>19</v>
      </c>
      <c r="D123" s="22"/>
      <c r="E123" s="21">
        <f>SUM(E113:E122)</f>
        <v>0</v>
      </c>
      <c r="F123" s="20">
        <f>SUM(F113:F122)+investirrendafixaconsolidadoset[[#This Row],[1]]</f>
        <v>0</v>
      </c>
      <c r="G123" s="20">
        <f>SUM(G113:G122)+investirrendafixaconsolidadoset[[#This Row],[2]]</f>
        <v>0</v>
      </c>
      <c r="H123" s="20">
        <f>SUM(H113:H122)+investirrendafixaconsolidadoset[[#This Row],[3]]</f>
        <v>0</v>
      </c>
      <c r="I123" s="20">
        <f>SUM(I113:I122)+investirrendafixaconsolidadoset[[#This Row],[4]]</f>
        <v>0</v>
      </c>
      <c r="J123" s="20">
        <f>SUM(J113:J122)+investirrendafixaconsolidadoset[[#This Row],[5]]</f>
        <v>0</v>
      </c>
      <c r="K123" s="20">
        <f>SUM(K113:K122)+investirrendafixaconsolidadoset[[#This Row],[6]]</f>
        <v>0</v>
      </c>
      <c r="L123" s="20">
        <f>SUM(L113:L122)+investirrendafixaconsolidadoset[[#This Row],[7]]</f>
        <v>0</v>
      </c>
      <c r="M123" s="20">
        <f>SUM(M113:M122)+investirrendafixaconsolidadoset[[#This Row],[8]]</f>
        <v>0</v>
      </c>
      <c r="N123" s="20">
        <f>SUM(N113:N122)+investirrendafixaconsolidadoset[[#This Row],[9]]</f>
        <v>0</v>
      </c>
      <c r="O123" s="20">
        <f>SUM(O113:O122)+investirrendafixaconsolidadoset[[#This Row],[10]]</f>
        <v>0</v>
      </c>
      <c r="P123" s="20">
        <f>SUM(P113:P122)+investirrendafixaconsolidadoset[[#This Row],[11]]</f>
        <v>0</v>
      </c>
      <c r="Q123" s="20">
        <f>SUM(Q113:Q122)+investirrendafixaconsolidadoset[[#This Row],[12]]</f>
        <v>0</v>
      </c>
      <c r="R123" s="20">
        <f>SUM(R113:R122)+investirrendafixaconsolidadoset[[#This Row],[13]]</f>
        <v>0</v>
      </c>
      <c r="S123" s="20">
        <f>SUM(S113:S122)+investirrendafixaconsolidadoset[[#This Row],[14]]</f>
        <v>0</v>
      </c>
      <c r="T123" s="20">
        <f>SUM(T113:T122)+investirrendafixaconsolidadoset[[#This Row],[15]]</f>
        <v>0</v>
      </c>
      <c r="U123" s="20">
        <f>SUM(U113:U122)+investirrendafixaconsolidadoset[[#This Row],[16]]</f>
        <v>0</v>
      </c>
      <c r="V123" s="20">
        <f>SUM(V113:V122)+investirrendafixaconsolidadoset[[#This Row],[17]]</f>
        <v>0</v>
      </c>
      <c r="W123" s="20">
        <f>SUM(W113:W122)+investirrendafixaconsolidadoset[[#This Row],[18]]</f>
        <v>0</v>
      </c>
      <c r="X123" s="20">
        <f>SUM(X113:X122)+investirrendafixaconsolidadoset[[#This Row],[19]]</f>
        <v>0</v>
      </c>
      <c r="Y123" s="20">
        <f>SUM(Y113:Y122)+investirrendafixaconsolidadoset[[#This Row],[20]]</f>
        <v>0</v>
      </c>
      <c r="Z123" s="20">
        <f>SUM(Z113:Z122)+investirrendafixaconsolidadoset[[#This Row],[21]]</f>
        <v>0</v>
      </c>
      <c r="AA123" s="20">
        <f>SUM(AA113:AA122)+investirrendafixaconsolidadoset[[#This Row],[22]]</f>
        <v>0</v>
      </c>
      <c r="AB123" s="20">
        <f>SUM(AB113:AB122)+investirrendafixaconsolidadoset[[#This Row],[23]]</f>
        <v>0</v>
      </c>
      <c r="AC123" s="20">
        <f>SUM(AC113:AC122)+investirrendafixaconsolidadoset[[#This Row],[24]]</f>
        <v>0</v>
      </c>
      <c r="AD123" s="20">
        <f>SUM(AD113:AD122)+investirrendafixaconsolidadoset[[#This Row],[25]]</f>
        <v>0</v>
      </c>
      <c r="AE123" s="20">
        <f>SUM(AE113:AE122)+investirrendafixaconsolidadoset[[#This Row],[26]]</f>
        <v>0</v>
      </c>
      <c r="AF123" s="20">
        <f>SUM(AF113:AF122)+investirrendafixaconsolidadoset[[#This Row],[27]]</f>
        <v>0</v>
      </c>
      <c r="AG123" s="20">
        <f>SUM(AG113:AG122)+investirrendafixaconsolidadoset[[#This Row],[28]]</f>
        <v>0</v>
      </c>
      <c r="AH123" s="20">
        <f>SUM(AH113:AH122)+investirrendafixaconsolidadoset[[#This Row],[29]]</f>
        <v>0</v>
      </c>
      <c r="AI123" s="19">
        <f>SUM(AI113:AI122)+investirrendafixaconsolidadoset[[#This Row],[30]]</f>
        <v>0</v>
      </c>
      <c r="AJ123" s="18">
        <f>investirrendafixaconsolidadoset[[#This Row],[31]]</f>
        <v>0</v>
      </c>
      <c r="AK123" s="17"/>
    </row>
    <row r="124" spans="2:37" ht="6.75" customHeight="1" thickTop="1" thickBot="1" x14ac:dyDescent="0.3">
      <c r="B124" s="15"/>
      <c r="C124" s="14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  <c r="AI124" s="12"/>
      <c r="AJ124" s="11"/>
      <c r="AK124" s="10"/>
    </row>
    <row r="125" spans="2:37" ht="12.6" thickTop="1" x14ac:dyDescent="0.25">
      <c r="E125" s="37"/>
      <c r="AI125" s="4"/>
    </row>
    <row r="126" spans="2:37" x14ac:dyDescent="0.25">
      <c r="AI126" s="4"/>
    </row>
    <row r="127" spans="2:37" x14ac:dyDescent="0.25">
      <c r="AI127" s="4"/>
    </row>
    <row r="128" spans="2:37" ht="39.75" customHeight="1" x14ac:dyDescent="0.7">
      <c r="C128" s="36"/>
      <c r="E128" s="240"/>
      <c r="F128" s="240"/>
      <c r="G128" s="240"/>
      <c r="H128" s="240"/>
      <c r="I128" s="240"/>
      <c r="J128" s="240"/>
      <c r="K128" s="240"/>
      <c r="L128" s="240"/>
      <c r="M128" s="240"/>
      <c r="N128" s="240"/>
      <c r="O128" s="240"/>
      <c r="P128" s="240"/>
      <c r="Q128" s="240"/>
      <c r="R128" s="240"/>
      <c r="S128" s="240"/>
      <c r="T128" s="240"/>
      <c r="U128" s="240"/>
      <c r="V128" s="240"/>
      <c r="W128" s="240"/>
      <c r="X128" s="240"/>
      <c r="Y128" s="240"/>
      <c r="Z128" s="240"/>
      <c r="AA128" s="240"/>
      <c r="AB128" s="240"/>
      <c r="AC128" s="240"/>
      <c r="AD128" s="240"/>
      <c r="AE128" s="240"/>
      <c r="AF128" s="240"/>
      <c r="AG128" s="240"/>
      <c r="AH128" s="240"/>
      <c r="AI128" s="240"/>
      <c r="AJ128" s="32" t="s">
        <v>19</v>
      </c>
    </row>
    <row r="129" spans="2:37" ht="12.6" thickBot="1" x14ac:dyDescent="0.3">
      <c r="B129" s="35"/>
      <c r="AI129" s="4"/>
      <c r="AJ129" s="34" t="s">
        <v>202</v>
      </c>
    </row>
    <row r="130" spans="2:37" ht="6.75" customHeight="1" thickTop="1" thickBot="1" x14ac:dyDescent="0.3">
      <c r="B130" s="2"/>
      <c r="C130" s="14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  <c r="AA130" s="13"/>
      <c r="AB130" s="13"/>
      <c r="AC130" s="13"/>
      <c r="AD130" s="13"/>
      <c r="AE130" s="13"/>
      <c r="AF130" s="13"/>
      <c r="AG130" s="13"/>
      <c r="AH130" s="13"/>
      <c r="AI130" s="13"/>
      <c r="AJ130" s="12"/>
      <c r="AK130" s="33"/>
    </row>
    <row r="131" spans="2:37" ht="13.2" hidden="1" thickTop="1" thickBot="1" x14ac:dyDescent="0.3">
      <c r="B131" s="2"/>
      <c r="C131" s="31" t="s">
        <v>199</v>
      </c>
      <c r="D131" s="30" t="s">
        <v>198</v>
      </c>
      <c r="E131" s="30" t="s">
        <v>197</v>
      </c>
      <c r="F131" s="30" t="s">
        <v>196</v>
      </c>
      <c r="G131" s="30" t="s">
        <v>195</v>
      </c>
      <c r="H131" s="30" t="s">
        <v>194</v>
      </c>
      <c r="I131" s="30" t="s">
        <v>193</v>
      </c>
      <c r="J131" s="30" t="s">
        <v>192</v>
      </c>
      <c r="K131" s="30" t="s">
        <v>191</v>
      </c>
      <c r="L131" s="30" t="s">
        <v>190</v>
      </c>
      <c r="M131" s="30" t="s">
        <v>189</v>
      </c>
      <c r="N131" s="30" t="s">
        <v>188</v>
      </c>
      <c r="O131" s="30" t="s">
        <v>187</v>
      </c>
      <c r="P131" s="30" t="s">
        <v>186</v>
      </c>
      <c r="Q131" s="30" t="s">
        <v>185</v>
      </c>
      <c r="R131" s="30" t="s">
        <v>184</v>
      </c>
      <c r="S131" s="30" t="s">
        <v>183</v>
      </c>
      <c r="T131" s="30" t="s">
        <v>182</v>
      </c>
      <c r="U131" s="30" t="s">
        <v>181</v>
      </c>
      <c r="V131" s="30" t="s">
        <v>180</v>
      </c>
      <c r="W131" s="30" t="s">
        <v>179</v>
      </c>
      <c r="X131" s="30" t="s">
        <v>178</v>
      </c>
      <c r="Y131" s="30" t="s">
        <v>177</v>
      </c>
      <c r="Z131" s="30" t="s">
        <v>176</v>
      </c>
      <c r="AA131" s="30" t="s">
        <v>175</v>
      </c>
      <c r="AB131" s="30" t="s">
        <v>174</v>
      </c>
      <c r="AC131" s="30" t="s">
        <v>173</v>
      </c>
      <c r="AD131" s="30" t="s">
        <v>172</v>
      </c>
      <c r="AE131" s="30" t="s">
        <v>171</v>
      </c>
      <c r="AF131" s="30" t="s">
        <v>170</v>
      </c>
      <c r="AG131" s="30" t="s">
        <v>169</v>
      </c>
      <c r="AH131" s="30" t="s">
        <v>168</v>
      </c>
      <c r="AI131" s="30" t="s">
        <v>167</v>
      </c>
      <c r="AJ131" s="29" t="s">
        <v>166</v>
      </c>
      <c r="AK131" s="2"/>
    </row>
    <row r="132" spans="2:37" ht="19.5" customHeight="1" thickTop="1" thickBot="1" x14ac:dyDescent="0.3">
      <c r="B132" s="28"/>
      <c r="C132" s="27" t="str">
        <f>DADOS!$AF$3</f>
        <v>📝 AÇÃO</v>
      </c>
      <c r="D132" s="26" t="str">
        <f>IF(investirrendavariávelconsolidadoset[[#This Row],[TOTAL (R$)]]=0,"",IF(OR(investirrendavariávelconsolidadoset[[#This Row],[TOTAL (R$)]]=LARGE($AJ$132:$AJ$141,1),investirrendavariávelconsolidadoset[[#This Row],[TOTAL (R$)]]=LARGE($AJ$132:$AJ$141,2)),DADOS!$I$10,""))</f>
        <v/>
      </c>
      <c r="E132" s="96">
        <f>SUMIFS(tabela_registros[VALOR],tabela_registros[MÊS],$AE$1,tabela_registros[DIA],investirrendavariávelconsolidadoset[[#Headers],[1]],tabela_registros[REGISTRO],DADOS!$N$5,tabela_registros[TIPO],DADOS!$AB$4,tabela_registros[CATEGORIA],investirrendavariávelconsolidadoset[[#This Row],[ATUAL]])</f>
        <v>0</v>
      </c>
      <c r="F132" s="91">
        <f>SUMIFS(tabela_registros[VALOR],tabela_registros[MÊS],$AE$1,tabela_registros[DIA],investirrendavariávelconsolidadoset[[#Headers],[2]],tabela_registros[REGISTRO],DADOS!$N$5,tabela_registros[TIPO],DADOS!$AB$4,tabela_registros[CATEGORIA],investirrendavariávelconsolidadoset[[#This Row],[ATUAL]])</f>
        <v>0</v>
      </c>
      <c r="G132" s="91">
        <f>SUMIFS(tabela_registros[VALOR],tabela_registros[MÊS],$AE$1,tabela_registros[DIA],investirrendavariávelconsolidadoset[[#Headers],[3]],tabela_registros[REGISTRO],DADOS!$N$5,tabela_registros[TIPO],DADOS!$AB$4,tabela_registros[CATEGORIA],investirrendavariávelconsolidadoset[[#This Row],[ATUAL]])</f>
        <v>0</v>
      </c>
      <c r="H132" s="91">
        <f>SUMIFS(tabela_registros[VALOR],tabela_registros[MÊS],$AE$1,tabela_registros[DIA],investirrendavariávelconsolidadoset[[#Headers],[4]],tabela_registros[REGISTRO],DADOS!$N$5,tabela_registros[TIPO],DADOS!$AB$4,tabela_registros[CATEGORIA],investirrendavariávelconsolidadoset[[#This Row],[ATUAL]])</f>
        <v>0</v>
      </c>
      <c r="I132" s="91">
        <f>SUMIFS(tabela_registros[VALOR],tabela_registros[MÊS],$AE$1,tabela_registros[DIA],investirrendavariávelconsolidadoset[[#Headers],[5]],tabela_registros[REGISTRO],DADOS!$N$5,tabela_registros[TIPO],DADOS!$AB$4,tabela_registros[CATEGORIA],investirrendavariávelconsolidadoset[[#This Row],[ATUAL]])</f>
        <v>0</v>
      </c>
      <c r="J132" s="91">
        <f>SUMIFS(tabela_registros[VALOR],tabela_registros[MÊS],$AE$1,tabela_registros[DIA],investirrendavariávelconsolidadoset[[#Headers],[6]],tabela_registros[REGISTRO],DADOS!$N$5,tabela_registros[TIPO],DADOS!$AB$4,tabela_registros[CATEGORIA],investirrendavariávelconsolidadoset[[#This Row],[ATUAL]])</f>
        <v>0</v>
      </c>
      <c r="K132" s="91">
        <f>SUMIFS(tabela_registros[VALOR],tabela_registros[MÊS],$AE$1,tabela_registros[DIA],investirrendavariávelconsolidadoset[[#Headers],[7]],tabela_registros[REGISTRO],DADOS!$N$5,tabela_registros[TIPO],DADOS!$AB$4,tabela_registros[CATEGORIA],investirrendavariávelconsolidadoset[[#This Row],[ATUAL]])</f>
        <v>0</v>
      </c>
      <c r="L132" s="91">
        <f>SUMIFS(tabela_registros[VALOR],tabela_registros[MÊS],$AE$1,tabela_registros[DIA],investirrendavariávelconsolidadoset[[#Headers],[8]],tabela_registros[REGISTRO],DADOS!$N$5,tabela_registros[TIPO],DADOS!$AB$4,tabela_registros[CATEGORIA],investirrendavariávelconsolidadoset[[#This Row],[ATUAL]])</f>
        <v>0</v>
      </c>
      <c r="M132" s="91">
        <f>SUMIFS(tabela_registros[VALOR],tabela_registros[MÊS],$AE$1,tabela_registros[DIA],investirrendavariávelconsolidadoset[[#Headers],[9]],tabela_registros[REGISTRO],DADOS!$N$5,tabela_registros[TIPO],DADOS!$AB$4,tabela_registros[CATEGORIA],investirrendavariávelconsolidadoset[[#This Row],[ATUAL]])</f>
        <v>0</v>
      </c>
      <c r="N132" s="91">
        <f>SUMIFS(tabela_registros[VALOR],tabela_registros[MÊS],$AE$1,tabela_registros[DIA],investirrendavariávelconsolidadoset[[#Headers],[10]],tabela_registros[REGISTRO],DADOS!$N$5,tabela_registros[TIPO],DADOS!$AB$4,tabela_registros[CATEGORIA],investirrendavariávelconsolidadoset[[#This Row],[ATUAL]])</f>
        <v>0</v>
      </c>
      <c r="O132" s="91">
        <f>SUMIFS(tabela_registros[VALOR],tabela_registros[MÊS],$AE$1,tabela_registros[DIA],investirrendavariávelconsolidadoset[[#Headers],[11]],tabela_registros[REGISTRO],DADOS!$N$5,tabela_registros[TIPO],DADOS!$AB$4,tabela_registros[CATEGORIA],investirrendavariávelconsolidadoset[[#This Row],[ATUAL]])</f>
        <v>0</v>
      </c>
      <c r="P132" s="91">
        <f>SUMIFS(tabela_registros[VALOR],tabela_registros[MÊS],$AE$1,tabela_registros[DIA],investirrendavariávelconsolidadoset[[#Headers],[12]],tabela_registros[REGISTRO],DADOS!$N$5,tabela_registros[TIPO],DADOS!$AB$4,tabela_registros[CATEGORIA],investirrendavariávelconsolidadoset[[#This Row],[ATUAL]])</f>
        <v>0</v>
      </c>
      <c r="Q132" s="91">
        <f>SUMIFS(tabela_registros[VALOR],tabela_registros[MÊS],$AE$1,tabela_registros[DIA],investirrendavariávelconsolidadoset[[#Headers],[13]],tabela_registros[REGISTRO],DADOS!$N$5,tabela_registros[TIPO],DADOS!$AB$4,tabela_registros[CATEGORIA],investirrendavariávelconsolidadoset[[#This Row],[ATUAL]])</f>
        <v>0</v>
      </c>
      <c r="R132" s="91">
        <f>SUMIFS(tabela_registros[VALOR],tabela_registros[MÊS],$AE$1,tabela_registros[DIA],investirrendavariávelconsolidadoset[[#Headers],[14]],tabela_registros[REGISTRO],DADOS!$N$5,tabela_registros[TIPO],DADOS!$AB$4,tabela_registros[CATEGORIA],investirrendavariávelconsolidadoset[[#This Row],[ATUAL]])</f>
        <v>0</v>
      </c>
      <c r="S132" s="91">
        <f>SUMIFS(tabela_registros[VALOR],tabela_registros[MÊS],$AE$1,tabela_registros[DIA],investirrendavariávelconsolidadoset[[#Headers],[15]],tabela_registros[REGISTRO],DADOS!$N$5,tabela_registros[TIPO],DADOS!$AB$4,tabela_registros[CATEGORIA],investirrendavariávelconsolidadoset[[#This Row],[ATUAL]])</f>
        <v>0</v>
      </c>
      <c r="T132" s="91">
        <f>SUMIFS(tabela_registros[VALOR],tabela_registros[MÊS],$AE$1,tabela_registros[DIA],investirrendavariávelconsolidadoset[[#Headers],[16]],tabela_registros[REGISTRO],DADOS!$N$5,tabela_registros[TIPO],DADOS!$AB$4,tabela_registros[CATEGORIA],investirrendavariávelconsolidadoset[[#This Row],[ATUAL]])</f>
        <v>0</v>
      </c>
      <c r="U132" s="91">
        <f>SUMIFS(tabela_registros[VALOR],tabela_registros[MÊS],$AE$1,tabela_registros[DIA],investirrendavariávelconsolidadoset[[#Headers],[17]],tabela_registros[REGISTRO],DADOS!$N$5,tabela_registros[TIPO],DADOS!$AB$4,tabela_registros[CATEGORIA],investirrendavariávelconsolidadoset[[#This Row],[ATUAL]])</f>
        <v>0</v>
      </c>
      <c r="V132" s="91">
        <f>SUMIFS(tabela_registros[VALOR],tabela_registros[MÊS],$AE$1,tabela_registros[DIA],investirrendavariávelconsolidadoset[[#Headers],[18]],tabela_registros[REGISTRO],DADOS!$N$5,tabela_registros[TIPO],DADOS!$AB$4,tabela_registros[CATEGORIA],investirrendavariávelconsolidadoset[[#This Row],[ATUAL]])</f>
        <v>0</v>
      </c>
      <c r="W132" s="91">
        <f>SUMIFS(tabela_registros[VALOR],tabela_registros[MÊS],$AE$1,tabela_registros[DIA],investirrendavariávelconsolidadoset[[#Headers],[19]],tabela_registros[REGISTRO],DADOS!$N$5,tabela_registros[TIPO],DADOS!$AB$4,tabela_registros[CATEGORIA],investirrendavariávelconsolidadoset[[#This Row],[ATUAL]])</f>
        <v>0</v>
      </c>
      <c r="X132" s="91">
        <f>SUMIFS(tabela_registros[VALOR],tabela_registros[MÊS],$AE$1,tabela_registros[DIA],investirrendavariávelconsolidadoset[[#Headers],[20]],tabela_registros[REGISTRO],DADOS!$N$5,tabela_registros[TIPO],DADOS!$AB$4,tabela_registros[CATEGORIA],investirrendavariávelconsolidadoset[[#This Row],[ATUAL]])</f>
        <v>0</v>
      </c>
      <c r="Y132" s="91">
        <f>SUMIFS(tabela_registros[VALOR],tabela_registros[MÊS],$AE$1,tabela_registros[DIA],investirrendavariávelconsolidadoset[[#Headers],[21]],tabela_registros[REGISTRO],DADOS!$N$5,tabela_registros[TIPO],DADOS!$AB$4,tabela_registros[CATEGORIA],investirrendavariávelconsolidadoset[[#This Row],[ATUAL]])</f>
        <v>0</v>
      </c>
      <c r="Z132" s="91">
        <f>SUMIFS(tabela_registros[VALOR],tabela_registros[MÊS],$AE$1,tabela_registros[DIA],investirrendavariávelconsolidadoset[[#Headers],[22]],tabela_registros[REGISTRO],DADOS!$N$5,tabela_registros[TIPO],DADOS!$AB$4,tabela_registros[CATEGORIA],investirrendavariávelconsolidadoset[[#This Row],[ATUAL]])</f>
        <v>0</v>
      </c>
      <c r="AA132" s="91">
        <f>SUMIFS(tabela_registros[VALOR],tabela_registros[MÊS],$AE$1,tabela_registros[DIA],investirrendavariávelconsolidadoset[[#Headers],[23]],tabela_registros[REGISTRO],DADOS!$N$5,tabela_registros[TIPO],DADOS!$AB$4,tabela_registros[CATEGORIA],investirrendavariávelconsolidadoset[[#This Row],[ATUAL]])</f>
        <v>0</v>
      </c>
      <c r="AB132" s="91">
        <f>SUMIFS(tabela_registros[VALOR],tabela_registros[MÊS],$AE$1,tabela_registros[DIA],investirrendavariávelconsolidadoset[[#Headers],[24]],tabela_registros[REGISTRO],DADOS!$N$5,tabela_registros[TIPO],DADOS!$AB$4,tabela_registros[CATEGORIA],investirrendavariávelconsolidadoset[[#This Row],[ATUAL]])</f>
        <v>0</v>
      </c>
      <c r="AC132" s="91">
        <f>SUMIFS(tabela_registros[VALOR],tabela_registros[MÊS],$AE$1,tabela_registros[DIA],investirrendavariávelconsolidadoset[[#Headers],[25]],tabela_registros[REGISTRO],DADOS!$N$5,tabela_registros[TIPO],DADOS!$AB$4,tabela_registros[CATEGORIA],investirrendavariávelconsolidadoset[[#This Row],[ATUAL]])</f>
        <v>0</v>
      </c>
      <c r="AD132" s="91">
        <f>SUMIFS(tabela_registros[VALOR],tabela_registros[MÊS],$AE$1,tabela_registros[DIA],investirrendavariávelconsolidadoset[[#Headers],[26]],tabela_registros[REGISTRO],DADOS!$N$5,tabela_registros[TIPO],DADOS!$AB$4,tabela_registros[CATEGORIA],investirrendavariávelconsolidadoset[[#This Row],[ATUAL]])</f>
        <v>0</v>
      </c>
      <c r="AE132" s="91">
        <f>SUMIFS(tabela_registros[VALOR],tabela_registros[MÊS],$AE$1,tabela_registros[DIA],investirrendavariávelconsolidadoset[[#Headers],[27]],tabela_registros[REGISTRO],DADOS!$N$5,tabela_registros[TIPO],DADOS!$AB$4,tabela_registros[CATEGORIA],investirrendavariávelconsolidadoset[[#This Row],[ATUAL]])</f>
        <v>0</v>
      </c>
      <c r="AF132" s="91">
        <f>SUMIFS(tabela_registros[VALOR],tabela_registros[MÊS],$AE$1,tabela_registros[DIA],investirrendavariávelconsolidadoset[[#Headers],[28]],tabela_registros[REGISTRO],DADOS!$N$5,tabela_registros[TIPO],DADOS!$AB$4,tabela_registros[CATEGORIA],investirrendavariávelconsolidadoset[[#This Row],[ATUAL]])</f>
        <v>0</v>
      </c>
      <c r="AG132" s="91">
        <f>SUMIFS(tabela_registros[VALOR],tabela_registros[MÊS],$AE$1,tabela_registros[DIA],investirrendavariávelconsolidadoset[[#Headers],[29]],tabela_registros[REGISTRO],DADOS!$N$5,tabela_registros[TIPO],DADOS!$AB$4,tabela_registros[CATEGORIA],investirrendavariávelconsolidadoset[[#This Row],[ATUAL]])</f>
        <v>0</v>
      </c>
      <c r="AH132" s="91">
        <f>SUMIFS(tabela_registros[VALOR],tabela_registros[MÊS],$AE$1,tabela_registros[DIA],investirrendavariávelconsolidadoset[[#Headers],[30]],tabela_registros[REGISTRO],DADOS!$N$5,tabela_registros[TIPO],DADOS!$AB$4,tabela_registros[CATEGORIA],investirrendavariávelconsolidadoset[[#This Row],[ATUAL]])</f>
        <v>0</v>
      </c>
      <c r="AI132" s="101">
        <f>SUMIFS(tabela_registros[VALOR],tabela_registros[MÊS],$AE$1,tabela_registros[DIA],investirrendavariávelconsolidadoset[[#Headers],[31]],tabela_registros[REGISTRO],DADOS!$N$5,tabela_registros[TIPO],DADOS!$AB$4,tabela_registros[CATEGORIA],investirrendavariávelconsolidadoset[[#This Row],[ATUAL]])</f>
        <v>0</v>
      </c>
      <c r="AJ132" s="97">
        <f>SUM(investirrendavariávelconsolidadoset[[#This Row],[1]:[31]])</f>
        <v>0</v>
      </c>
      <c r="AK132" s="25"/>
    </row>
    <row r="133" spans="2:37" ht="19.5" customHeight="1" thickTop="1" thickBot="1" x14ac:dyDescent="0.3">
      <c r="B133" s="28"/>
      <c r="C133" s="27" t="str">
        <f>DADOS!$AF$4</f>
        <v>📝 COMÓDITE</v>
      </c>
      <c r="D133" s="26" t="str">
        <f>IF(investirrendavariávelconsolidadoset[[#This Row],[TOTAL (R$)]]=0,"",IF(OR(investirrendavariávelconsolidadoset[[#This Row],[TOTAL (R$)]]=LARGE($AJ$132:$AJ$141,1),investirrendavariávelconsolidadoset[[#This Row],[TOTAL (R$)]]=LARGE($AJ$132:$AJ$141,2)),DADOS!$I$10,""))</f>
        <v/>
      </c>
      <c r="E133" s="96">
        <f>SUMIFS(tabela_registros[VALOR],tabela_registros[MÊS],$AE$1,tabela_registros[DIA],investirrendavariávelconsolidadoset[[#Headers],[1]],tabela_registros[REGISTRO],DADOS!$N$5,tabela_registros[TIPO],DADOS!$AB$4,tabela_registros[CATEGORIA],investirrendavariávelconsolidadoset[[#This Row],[ATUAL]])</f>
        <v>0</v>
      </c>
      <c r="F133" s="91">
        <f>SUMIFS(tabela_registros[VALOR],tabela_registros[MÊS],$AE$1,tabela_registros[DIA],investirrendavariávelconsolidadoset[[#Headers],[2]],tabela_registros[REGISTRO],DADOS!$N$5,tabela_registros[TIPO],DADOS!$AB$4,tabela_registros[CATEGORIA],investirrendavariávelconsolidadoset[[#This Row],[ATUAL]])</f>
        <v>0</v>
      </c>
      <c r="G133" s="91">
        <f>SUMIFS(tabela_registros[VALOR],tabela_registros[MÊS],$AE$1,tabela_registros[DIA],investirrendavariávelconsolidadoset[[#Headers],[3]],tabela_registros[REGISTRO],DADOS!$N$5,tabela_registros[TIPO],DADOS!$AB$4,tabela_registros[CATEGORIA],investirrendavariávelconsolidadoset[[#This Row],[ATUAL]])</f>
        <v>0</v>
      </c>
      <c r="H133" s="91">
        <f>SUMIFS(tabela_registros[VALOR],tabela_registros[MÊS],$AE$1,tabela_registros[DIA],investirrendavariávelconsolidadoset[[#Headers],[4]],tabela_registros[REGISTRO],DADOS!$N$5,tabela_registros[TIPO],DADOS!$AB$4,tabela_registros[CATEGORIA],investirrendavariávelconsolidadoset[[#This Row],[ATUAL]])</f>
        <v>0</v>
      </c>
      <c r="I133" s="91">
        <f>SUMIFS(tabela_registros[VALOR],tabela_registros[MÊS],$AE$1,tabela_registros[DIA],investirrendavariávelconsolidadoset[[#Headers],[5]],tabela_registros[REGISTRO],DADOS!$N$5,tabela_registros[TIPO],DADOS!$AB$4,tabela_registros[CATEGORIA],investirrendavariávelconsolidadoset[[#This Row],[ATUAL]])</f>
        <v>0</v>
      </c>
      <c r="J133" s="91">
        <f>SUMIFS(tabela_registros[VALOR],tabela_registros[MÊS],$AE$1,tabela_registros[DIA],investirrendavariávelconsolidadoset[[#Headers],[6]],tabela_registros[REGISTRO],DADOS!$N$5,tabela_registros[TIPO],DADOS!$AB$4,tabela_registros[CATEGORIA],investirrendavariávelconsolidadoset[[#This Row],[ATUAL]])</f>
        <v>0</v>
      </c>
      <c r="K133" s="91">
        <f>SUMIFS(tabela_registros[VALOR],tabela_registros[MÊS],$AE$1,tabela_registros[DIA],investirrendavariávelconsolidadoset[[#Headers],[7]],tabela_registros[REGISTRO],DADOS!$N$5,tabela_registros[TIPO],DADOS!$AB$4,tabela_registros[CATEGORIA],investirrendavariávelconsolidadoset[[#This Row],[ATUAL]])</f>
        <v>0</v>
      </c>
      <c r="L133" s="91">
        <f>SUMIFS(tabela_registros[VALOR],tabela_registros[MÊS],$AE$1,tabela_registros[DIA],investirrendavariávelconsolidadoset[[#Headers],[8]],tabela_registros[REGISTRO],DADOS!$N$5,tabela_registros[TIPO],DADOS!$AB$4,tabela_registros[CATEGORIA],investirrendavariávelconsolidadoset[[#This Row],[ATUAL]])</f>
        <v>0</v>
      </c>
      <c r="M133" s="91">
        <f>SUMIFS(tabela_registros[VALOR],tabela_registros[MÊS],$AE$1,tabela_registros[DIA],investirrendavariávelconsolidadoset[[#Headers],[9]],tabela_registros[REGISTRO],DADOS!$N$5,tabela_registros[TIPO],DADOS!$AB$4,tabela_registros[CATEGORIA],investirrendavariávelconsolidadoset[[#This Row],[ATUAL]])</f>
        <v>0</v>
      </c>
      <c r="N133" s="91">
        <f>SUMIFS(tabela_registros[VALOR],tabela_registros[MÊS],$AE$1,tabela_registros[DIA],investirrendavariávelconsolidadoset[[#Headers],[10]],tabela_registros[REGISTRO],DADOS!$N$5,tabela_registros[TIPO],DADOS!$AB$4,tabela_registros[CATEGORIA],investirrendavariávelconsolidadoset[[#This Row],[ATUAL]])</f>
        <v>0</v>
      </c>
      <c r="O133" s="91">
        <f>SUMIFS(tabela_registros[VALOR],tabela_registros[MÊS],$AE$1,tabela_registros[DIA],investirrendavariávelconsolidadoset[[#Headers],[11]],tabela_registros[REGISTRO],DADOS!$N$5,tabela_registros[TIPO],DADOS!$AB$4,tabela_registros[CATEGORIA],investirrendavariávelconsolidadoset[[#This Row],[ATUAL]])</f>
        <v>0</v>
      </c>
      <c r="P133" s="91">
        <f>SUMIFS(tabela_registros[VALOR],tabela_registros[MÊS],$AE$1,tabela_registros[DIA],investirrendavariávelconsolidadoset[[#Headers],[12]],tabela_registros[REGISTRO],DADOS!$N$5,tabela_registros[TIPO],DADOS!$AB$4,tabela_registros[CATEGORIA],investirrendavariávelconsolidadoset[[#This Row],[ATUAL]])</f>
        <v>0</v>
      </c>
      <c r="Q133" s="91">
        <f>SUMIFS(tabela_registros[VALOR],tabela_registros[MÊS],$AE$1,tabela_registros[DIA],investirrendavariávelconsolidadoset[[#Headers],[13]],tabela_registros[REGISTRO],DADOS!$N$5,tabela_registros[TIPO],DADOS!$AB$4,tabela_registros[CATEGORIA],investirrendavariávelconsolidadoset[[#This Row],[ATUAL]])</f>
        <v>0</v>
      </c>
      <c r="R133" s="91">
        <f>SUMIFS(tabela_registros[VALOR],tabela_registros[MÊS],$AE$1,tabela_registros[DIA],investirrendavariávelconsolidadoset[[#Headers],[14]],tabela_registros[REGISTRO],DADOS!$N$5,tabela_registros[TIPO],DADOS!$AB$4,tabela_registros[CATEGORIA],investirrendavariávelconsolidadoset[[#This Row],[ATUAL]])</f>
        <v>0</v>
      </c>
      <c r="S133" s="91">
        <f>SUMIFS(tabela_registros[VALOR],tabela_registros[MÊS],$AE$1,tabela_registros[DIA],investirrendavariávelconsolidadoset[[#Headers],[15]],tabela_registros[REGISTRO],DADOS!$N$5,tabela_registros[TIPO],DADOS!$AB$4,tabela_registros[CATEGORIA],investirrendavariávelconsolidadoset[[#This Row],[ATUAL]])</f>
        <v>0</v>
      </c>
      <c r="T133" s="91">
        <f>SUMIFS(tabela_registros[VALOR],tabela_registros[MÊS],$AE$1,tabela_registros[DIA],investirrendavariávelconsolidadoset[[#Headers],[16]],tabela_registros[REGISTRO],DADOS!$N$5,tabela_registros[TIPO],DADOS!$AB$4,tabela_registros[CATEGORIA],investirrendavariávelconsolidadoset[[#This Row],[ATUAL]])</f>
        <v>0</v>
      </c>
      <c r="U133" s="91">
        <f>SUMIFS(tabela_registros[VALOR],tabela_registros[MÊS],$AE$1,tabela_registros[DIA],investirrendavariávelconsolidadoset[[#Headers],[17]],tabela_registros[REGISTRO],DADOS!$N$5,tabela_registros[TIPO],DADOS!$AB$4,tabela_registros[CATEGORIA],investirrendavariávelconsolidadoset[[#This Row],[ATUAL]])</f>
        <v>0</v>
      </c>
      <c r="V133" s="91">
        <f>SUMIFS(tabela_registros[VALOR],tabela_registros[MÊS],$AE$1,tabela_registros[DIA],investirrendavariávelconsolidadoset[[#Headers],[18]],tabela_registros[REGISTRO],DADOS!$N$5,tabela_registros[TIPO],DADOS!$AB$4,tabela_registros[CATEGORIA],investirrendavariávelconsolidadoset[[#This Row],[ATUAL]])</f>
        <v>0</v>
      </c>
      <c r="W133" s="91">
        <f>SUMIFS(tabela_registros[VALOR],tabela_registros[MÊS],$AE$1,tabela_registros[DIA],investirrendavariávelconsolidadoset[[#Headers],[19]],tabela_registros[REGISTRO],DADOS!$N$5,tabela_registros[TIPO],DADOS!$AB$4,tabela_registros[CATEGORIA],investirrendavariávelconsolidadoset[[#This Row],[ATUAL]])</f>
        <v>0</v>
      </c>
      <c r="X133" s="91">
        <f>SUMIFS(tabela_registros[VALOR],tabela_registros[MÊS],$AE$1,tabela_registros[DIA],investirrendavariávelconsolidadoset[[#Headers],[20]],tabela_registros[REGISTRO],DADOS!$N$5,tabela_registros[TIPO],DADOS!$AB$4,tabela_registros[CATEGORIA],investirrendavariávelconsolidadoset[[#This Row],[ATUAL]])</f>
        <v>0</v>
      </c>
      <c r="Y133" s="91">
        <f>SUMIFS(tabela_registros[VALOR],tabela_registros[MÊS],$AE$1,tabela_registros[DIA],investirrendavariávelconsolidadoset[[#Headers],[21]],tabela_registros[REGISTRO],DADOS!$N$5,tabela_registros[TIPO],DADOS!$AB$4,tabela_registros[CATEGORIA],investirrendavariávelconsolidadoset[[#This Row],[ATUAL]])</f>
        <v>0</v>
      </c>
      <c r="Z133" s="91">
        <f>SUMIFS(tabela_registros[VALOR],tabela_registros[MÊS],$AE$1,tabela_registros[DIA],investirrendavariávelconsolidadoset[[#Headers],[22]],tabela_registros[REGISTRO],DADOS!$N$5,tabela_registros[TIPO],DADOS!$AB$4,tabela_registros[CATEGORIA],investirrendavariávelconsolidadoset[[#This Row],[ATUAL]])</f>
        <v>0</v>
      </c>
      <c r="AA133" s="91">
        <f>SUMIFS(tabela_registros[VALOR],tabela_registros[MÊS],$AE$1,tabela_registros[DIA],investirrendavariávelconsolidadoset[[#Headers],[23]],tabela_registros[REGISTRO],DADOS!$N$5,tabela_registros[TIPO],DADOS!$AB$4,tabela_registros[CATEGORIA],investirrendavariávelconsolidadoset[[#This Row],[ATUAL]])</f>
        <v>0</v>
      </c>
      <c r="AB133" s="91">
        <f>SUMIFS(tabela_registros[VALOR],tabela_registros[MÊS],$AE$1,tabela_registros[DIA],investirrendavariávelconsolidadoset[[#Headers],[24]],tabela_registros[REGISTRO],DADOS!$N$5,tabela_registros[TIPO],DADOS!$AB$4,tabela_registros[CATEGORIA],investirrendavariávelconsolidadoset[[#This Row],[ATUAL]])</f>
        <v>0</v>
      </c>
      <c r="AC133" s="91">
        <f>SUMIFS(tabela_registros[VALOR],tabela_registros[MÊS],$AE$1,tabela_registros[DIA],investirrendavariávelconsolidadoset[[#Headers],[25]],tabela_registros[REGISTRO],DADOS!$N$5,tabela_registros[TIPO],DADOS!$AB$4,tabela_registros[CATEGORIA],investirrendavariávelconsolidadoset[[#This Row],[ATUAL]])</f>
        <v>0</v>
      </c>
      <c r="AD133" s="91">
        <f>SUMIFS(tabela_registros[VALOR],tabela_registros[MÊS],$AE$1,tabela_registros[DIA],investirrendavariávelconsolidadoset[[#Headers],[26]],tabela_registros[REGISTRO],DADOS!$N$5,tabela_registros[TIPO],DADOS!$AB$4,tabela_registros[CATEGORIA],investirrendavariávelconsolidadoset[[#This Row],[ATUAL]])</f>
        <v>0</v>
      </c>
      <c r="AE133" s="91">
        <f>SUMIFS(tabela_registros[VALOR],tabela_registros[MÊS],$AE$1,tabela_registros[DIA],investirrendavariávelconsolidadoset[[#Headers],[27]],tabela_registros[REGISTRO],DADOS!$N$5,tabela_registros[TIPO],DADOS!$AB$4,tabela_registros[CATEGORIA],investirrendavariávelconsolidadoset[[#This Row],[ATUAL]])</f>
        <v>0</v>
      </c>
      <c r="AF133" s="91">
        <f>SUMIFS(tabela_registros[VALOR],tabela_registros[MÊS],$AE$1,tabela_registros[DIA],investirrendavariávelconsolidadoset[[#Headers],[28]],tabela_registros[REGISTRO],DADOS!$N$5,tabela_registros[TIPO],DADOS!$AB$4,tabela_registros[CATEGORIA],investirrendavariávelconsolidadoset[[#This Row],[ATUAL]])</f>
        <v>0</v>
      </c>
      <c r="AG133" s="91">
        <f>SUMIFS(tabela_registros[VALOR],tabela_registros[MÊS],$AE$1,tabela_registros[DIA],investirrendavariávelconsolidadoset[[#Headers],[29]],tabela_registros[REGISTRO],DADOS!$N$5,tabela_registros[TIPO],DADOS!$AB$4,tabela_registros[CATEGORIA],investirrendavariávelconsolidadoset[[#This Row],[ATUAL]])</f>
        <v>0</v>
      </c>
      <c r="AH133" s="91">
        <f>SUMIFS(tabela_registros[VALOR],tabela_registros[MÊS],$AE$1,tabela_registros[DIA],investirrendavariávelconsolidadoset[[#Headers],[30]],tabela_registros[REGISTRO],DADOS!$N$5,tabela_registros[TIPO],DADOS!$AB$4,tabela_registros[CATEGORIA],investirrendavariávelconsolidadoset[[#This Row],[ATUAL]])</f>
        <v>0</v>
      </c>
      <c r="AI133" s="101">
        <f>SUMIFS(tabela_registros[VALOR],tabela_registros[MÊS],$AE$1,tabela_registros[DIA],investirrendavariávelconsolidadoset[[#Headers],[31]],tabela_registros[REGISTRO],DADOS!$N$5,tabela_registros[TIPO],DADOS!$AB$4,tabela_registros[CATEGORIA],investirrendavariávelconsolidadoset[[#This Row],[ATUAL]])</f>
        <v>0</v>
      </c>
      <c r="AJ133" s="97">
        <f>SUM(investirrendavariávelconsolidadoset[[#This Row],[1]:[31]])</f>
        <v>0</v>
      </c>
      <c r="AK133" s="25"/>
    </row>
    <row r="134" spans="2:37" ht="19.5" customHeight="1" thickTop="1" thickBot="1" x14ac:dyDescent="0.3">
      <c r="B134" s="28"/>
      <c r="C134" s="27" t="str">
        <f>DADOS!$AF$5</f>
        <v>📝 CONTRATO DE FUTUROS</v>
      </c>
      <c r="D134" s="26" t="str">
        <f>IF(investirrendavariávelconsolidadoset[[#This Row],[TOTAL (R$)]]=0,"",IF(OR(investirrendavariávelconsolidadoset[[#This Row],[TOTAL (R$)]]=LARGE($AJ$132:$AJ$141,1),investirrendavariávelconsolidadoset[[#This Row],[TOTAL (R$)]]=LARGE($AJ$132:$AJ$141,2)),DADOS!$I$10,""))</f>
        <v/>
      </c>
      <c r="E134" s="96">
        <f>SUMIFS(tabela_registros[VALOR],tabela_registros[MÊS],$AE$1,tabela_registros[DIA],investirrendavariávelconsolidadoset[[#Headers],[1]],tabela_registros[REGISTRO],DADOS!$N$5,tabela_registros[TIPO],DADOS!$AB$4,tabela_registros[CATEGORIA],investirrendavariávelconsolidadoset[[#This Row],[ATUAL]])</f>
        <v>0</v>
      </c>
      <c r="F134" s="91">
        <f>SUMIFS(tabela_registros[VALOR],tabela_registros[MÊS],$AE$1,tabela_registros[DIA],investirrendavariávelconsolidadoset[[#Headers],[2]],tabela_registros[REGISTRO],DADOS!$N$5,tabela_registros[TIPO],DADOS!$AB$4,tabela_registros[CATEGORIA],investirrendavariávelconsolidadoset[[#This Row],[ATUAL]])</f>
        <v>0</v>
      </c>
      <c r="G134" s="91">
        <f>SUMIFS(tabela_registros[VALOR],tabela_registros[MÊS],$AE$1,tabela_registros[DIA],investirrendavariávelconsolidadoset[[#Headers],[3]],tabela_registros[REGISTRO],DADOS!$N$5,tabela_registros[TIPO],DADOS!$AB$4,tabela_registros[CATEGORIA],investirrendavariávelconsolidadoset[[#This Row],[ATUAL]])</f>
        <v>0</v>
      </c>
      <c r="H134" s="91">
        <f>SUMIFS(tabela_registros[VALOR],tabela_registros[MÊS],$AE$1,tabela_registros[DIA],investirrendavariávelconsolidadoset[[#Headers],[4]],tabela_registros[REGISTRO],DADOS!$N$5,tabela_registros[TIPO],DADOS!$AB$4,tabela_registros[CATEGORIA],investirrendavariávelconsolidadoset[[#This Row],[ATUAL]])</f>
        <v>0</v>
      </c>
      <c r="I134" s="91">
        <f>SUMIFS(tabela_registros[VALOR],tabela_registros[MÊS],$AE$1,tabela_registros[DIA],investirrendavariávelconsolidadoset[[#Headers],[5]],tabela_registros[REGISTRO],DADOS!$N$5,tabela_registros[TIPO],DADOS!$AB$4,tabela_registros[CATEGORIA],investirrendavariávelconsolidadoset[[#This Row],[ATUAL]])</f>
        <v>0</v>
      </c>
      <c r="J134" s="91">
        <f>SUMIFS(tabela_registros[VALOR],tabela_registros[MÊS],$AE$1,tabela_registros[DIA],investirrendavariávelconsolidadoset[[#Headers],[6]],tabela_registros[REGISTRO],DADOS!$N$5,tabela_registros[TIPO],DADOS!$AB$4,tabela_registros[CATEGORIA],investirrendavariávelconsolidadoset[[#This Row],[ATUAL]])</f>
        <v>0</v>
      </c>
      <c r="K134" s="91">
        <f>SUMIFS(tabela_registros[VALOR],tabela_registros[MÊS],$AE$1,tabela_registros[DIA],investirrendavariávelconsolidadoset[[#Headers],[7]],tabela_registros[REGISTRO],DADOS!$N$5,tabela_registros[TIPO],DADOS!$AB$4,tabela_registros[CATEGORIA],investirrendavariávelconsolidadoset[[#This Row],[ATUAL]])</f>
        <v>0</v>
      </c>
      <c r="L134" s="91">
        <f>SUMIFS(tabela_registros[VALOR],tabela_registros[MÊS],$AE$1,tabela_registros[DIA],investirrendavariávelconsolidadoset[[#Headers],[8]],tabela_registros[REGISTRO],DADOS!$N$5,tabela_registros[TIPO],DADOS!$AB$4,tabela_registros[CATEGORIA],investirrendavariávelconsolidadoset[[#This Row],[ATUAL]])</f>
        <v>0</v>
      </c>
      <c r="M134" s="91">
        <f>SUMIFS(tabela_registros[VALOR],tabela_registros[MÊS],$AE$1,tabela_registros[DIA],investirrendavariávelconsolidadoset[[#Headers],[9]],tabela_registros[REGISTRO],DADOS!$N$5,tabela_registros[TIPO],DADOS!$AB$4,tabela_registros[CATEGORIA],investirrendavariávelconsolidadoset[[#This Row],[ATUAL]])</f>
        <v>0</v>
      </c>
      <c r="N134" s="91">
        <f>SUMIFS(tabela_registros[VALOR],tabela_registros[MÊS],$AE$1,tabela_registros[DIA],investirrendavariávelconsolidadoset[[#Headers],[10]],tabela_registros[REGISTRO],DADOS!$N$5,tabela_registros[TIPO],DADOS!$AB$4,tabela_registros[CATEGORIA],investirrendavariávelconsolidadoset[[#This Row],[ATUAL]])</f>
        <v>0</v>
      </c>
      <c r="O134" s="91">
        <f>SUMIFS(tabela_registros[VALOR],tabela_registros[MÊS],$AE$1,tabela_registros[DIA],investirrendavariávelconsolidadoset[[#Headers],[11]],tabela_registros[REGISTRO],DADOS!$N$5,tabela_registros[TIPO],DADOS!$AB$4,tabela_registros[CATEGORIA],investirrendavariávelconsolidadoset[[#This Row],[ATUAL]])</f>
        <v>0</v>
      </c>
      <c r="P134" s="91">
        <f>SUMIFS(tabela_registros[VALOR],tabela_registros[MÊS],$AE$1,tabela_registros[DIA],investirrendavariávelconsolidadoset[[#Headers],[12]],tabela_registros[REGISTRO],DADOS!$N$5,tabela_registros[TIPO],DADOS!$AB$4,tabela_registros[CATEGORIA],investirrendavariávelconsolidadoset[[#This Row],[ATUAL]])</f>
        <v>0</v>
      </c>
      <c r="Q134" s="91">
        <f>SUMIFS(tabela_registros[VALOR],tabela_registros[MÊS],$AE$1,tabela_registros[DIA],investirrendavariávelconsolidadoset[[#Headers],[13]],tabela_registros[REGISTRO],DADOS!$N$5,tabela_registros[TIPO],DADOS!$AB$4,tabela_registros[CATEGORIA],investirrendavariávelconsolidadoset[[#This Row],[ATUAL]])</f>
        <v>0</v>
      </c>
      <c r="R134" s="91">
        <f>SUMIFS(tabela_registros[VALOR],tabela_registros[MÊS],$AE$1,tabela_registros[DIA],investirrendavariávelconsolidadoset[[#Headers],[14]],tabela_registros[REGISTRO],DADOS!$N$5,tabela_registros[TIPO],DADOS!$AB$4,tabela_registros[CATEGORIA],investirrendavariávelconsolidadoset[[#This Row],[ATUAL]])</f>
        <v>0</v>
      </c>
      <c r="S134" s="91">
        <f>SUMIFS(tabela_registros[VALOR],tabela_registros[MÊS],$AE$1,tabela_registros[DIA],investirrendavariávelconsolidadoset[[#Headers],[15]],tabela_registros[REGISTRO],DADOS!$N$5,tabela_registros[TIPO],DADOS!$AB$4,tabela_registros[CATEGORIA],investirrendavariávelconsolidadoset[[#This Row],[ATUAL]])</f>
        <v>0</v>
      </c>
      <c r="T134" s="91">
        <f>SUMIFS(tabela_registros[VALOR],tabela_registros[MÊS],$AE$1,tabela_registros[DIA],investirrendavariávelconsolidadoset[[#Headers],[16]],tabela_registros[REGISTRO],DADOS!$N$5,tabela_registros[TIPO],DADOS!$AB$4,tabela_registros[CATEGORIA],investirrendavariávelconsolidadoset[[#This Row],[ATUAL]])</f>
        <v>0</v>
      </c>
      <c r="U134" s="91">
        <f>SUMIFS(tabela_registros[VALOR],tabela_registros[MÊS],$AE$1,tabela_registros[DIA],investirrendavariávelconsolidadoset[[#Headers],[17]],tabela_registros[REGISTRO],DADOS!$N$5,tabela_registros[TIPO],DADOS!$AB$4,tabela_registros[CATEGORIA],investirrendavariávelconsolidadoset[[#This Row],[ATUAL]])</f>
        <v>0</v>
      </c>
      <c r="V134" s="91">
        <f>SUMIFS(tabela_registros[VALOR],tabela_registros[MÊS],$AE$1,tabela_registros[DIA],investirrendavariávelconsolidadoset[[#Headers],[18]],tabela_registros[REGISTRO],DADOS!$N$5,tabela_registros[TIPO],DADOS!$AB$4,tabela_registros[CATEGORIA],investirrendavariávelconsolidadoset[[#This Row],[ATUAL]])</f>
        <v>0</v>
      </c>
      <c r="W134" s="91">
        <f>SUMIFS(tabela_registros[VALOR],tabela_registros[MÊS],$AE$1,tabela_registros[DIA],investirrendavariávelconsolidadoset[[#Headers],[19]],tabela_registros[REGISTRO],DADOS!$N$5,tabela_registros[TIPO],DADOS!$AB$4,tabela_registros[CATEGORIA],investirrendavariávelconsolidadoset[[#This Row],[ATUAL]])</f>
        <v>0</v>
      </c>
      <c r="X134" s="91">
        <f>SUMIFS(tabela_registros[VALOR],tabela_registros[MÊS],$AE$1,tabela_registros[DIA],investirrendavariávelconsolidadoset[[#Headers],[20]],tabela_registros[REGISTRO],DADOS!$N$5,tabela_registros[TIPO],DADOS!$AB$4,tabela_registros[CATEGORIA],investirrendavariávelconsolidadoset[[#This Row],[ATUAL]])</f>
        <v>0</v>
      </c>
      <c r="Y134" s="91">
        <f>SUMIFS(tabela_registros[VALOR],tabela_registros[MÊS],$AE$1,tabela_registros[DIA],investirrendavariávelconsolidadoset[[#Headers],[21]],tabela_registros[REGISTRO],DADOS!$N$5,tabela_registros[TIPO],DADOS!$AB$4,tabela_registros[CATEGORIA],investirrendavariávelconsolidadoset[[#This Row],[ATUAL]])</f>
        <v>0</v>
      </c>
      <c r="Z134" s="91">
        <f>SUMIFS(tabela_registros[VALOR],tabela_registros[MÊS],$AE$1,tabela_registros[DIA],investirrendavariávelconsolidadoset[[#Headers],[22]],tabela_registros[REGISTRO],DADOS!$N$5,tabela_registros[TIPO],DADOS!$AB$4,tabela_registros[CATEGORIA],investirrendavariávelconsolidadoset[[#This Row],[ATUAL]])</f>
        <v>0</v>
      </c>
      <c r="AA134" s="91">
        <f>SUMIFS(tabela_registros[VALOR],tabela_registros[MÊS],$AE$1,tabela_registros[DIA],investirrendavariávelconsolidadoset[[#Headers],[23]],tabela_registros[REGISTRO],DADOS!$N$5,tabela_registros[TIPO],DADOS!$AB$4,tabela_registros[CATEGORIA],investirrendavariávelconsolidadoset[[#This Row],[ATUAL]])</f>
        <v>0</v>
      </c>
      <c r="AB134" s="91">
        <f>SUMIFS(tabela_registros[VALOR],tabela_registros[MÊS],$AE$1,tabela_registros[DIA],investirrendavariávelconsolidadoset[[#Headers],[24]],tabela_registros[REGISTRO],DADOS!$N$5,tabela_registros[TIPO],DADOS!$AB$4,tabela_registros[CATEGORIA],investirrendavariávelconsolidadoset[[#This Row],[ATUAL]])</f>
        <v>0</v>
      </c>
      <c r="AC134" s="91">
        <f>SUMIFS(tabela_registros[VALOR],tabela_registros[MÊS],$AE$1,tabela_registros[DIA],investirrendavariávelconsolidadoset[[#Headers],[25]],tabela_registros[REGISTRO],DADOS!$N$5,tabela_registros[TIPO],DADOS!$AB$4,tabela_registros[CATEGORIA],investirrendavariávelconsolidadoset[[#This Row],[ATUAL]])</f>
        <v>0</v>
      </c>
      <c r="AD134" s="91">
        <f>SUMIFS(tabela_registros[VALOR],tabela_registros[MÊS],$AE$1,tabela_registros[DIA],investirrendavariávelconsolidadoset[[#Headers],[26]],tabela_registros[REGISTRO],DADOS!$N$5,tabela_registros[TIPO],DADOS!$AB$4,tabela_registros[CATEGORIA],investirrendavariávelconsolidadoset[[#This Row],[ATUAL]])</f>
        <v>0</v>
      </c>
      <c r="AE134" s="91">
        <f>SUMIFS(tabela_registros[VALOR],tabela_registros[MÊS],$AE$1,tabela_registros[DIA],investirrendavariávelconsolidadoset[[#Headers],[27]],tabela_registros[REGISTRO],DADOS!$N$5,tabela_registros[TIPO],DADOS!$AB$4,tabela_registros[CATEGORIA],investirrendavariávelconsolidadoset[[#This Row],[ATUAL]])</f>
        <v>0</v>
      </c>
      <c r="AF134" s="91">
        <f>SUMIFS(tabela_registros[VALOR],tabela_registros[MÊS],$AE$1,tabela_registros[DIA],investirrendavariávelconsolidadoset[[#Headers],[28]],tabela_registros[REGISTRO],DADOS!$N$5,tabela_registros[TIPO],DADOS!$AB$4,tabela_registros[CATEGORIA],investirrendavariávelconsolidadoset[[#This Row],[ATUAL]])</f>
        <v>0</v>
      </c>
      <c r="AG134" s="91">
        <f>SUMIFS(tabela_registros[VALOR],tabela_registros[MÊS],$AE$1,tabela_registros[DIA],investirrendavariávelconsolidadoset[[#Headers],[29]],tabela_registros[REGISTRO],DADOS!$N$5,tabela_registros[TIPO],DADOS!$AB$4,tabela_registros[CATEGORIA],investirrendavariávelconsolidadoset[[#This Row],[ATUAL]])</f>
        <v>0</v>
      </c>
      <c r="AH134" s="91">
        <f>SUMIFS(tabela_registros[VALOR],tabela_registros[MÊS],$AE$1,tabela_registros[DIA],investirrendavariávelconsolidadoset[[#Headers],[30]],tabela_registros[REGISTRO],DADOS!$N$5,tabela_registros[TIPO],DADOS!$AB$4,tabela_registros[CATEGORIA],investirrendavariávelconsolidadoset[[#This Row],[ATUAL]])</f>
        <v>0</v>
      </c>
      <c r="AI134" s="101">
        <f>SUMIFS(tabela_registros[VALOR],tabela_registros[MÊS],$AE$1,tabela_registros[DIA],investirrendavariávelconsolidadoset[[#Headers],[31]],tabela_registros[REGISTRO],DADOS!$N$5,tabela_registros[TIPO],DADOS!$AB$4,tabela_registros[CATEGORIA],investirrendavariávelconsolidadoset[[#This Row],[ATUAL]])</f>
        <v>0</v>
      </c>
      <c r="AJ134" s="97">
        <f>SUM(investirrendavariávelconsolidadoset[[#This Row],[1]:[31]])</f>
        <v>0</v>
      </c>
      <c r="AK134" s="25"/>
    </row>
    <row r="135" spans="2:37" ht="19.5" customHeight="1" thickTop="1" thickBot="1" x14ac:dyDescent="0.3">
      <c r="B135" s="28"/>
      <c r="C135" s="27" t="str">
        <f>DADOS!$AF$6</f>
        <v>📝 CONTRATO DE OPÇÕES</v>
      </c>
      <c r="D135" s="26" t="str">
        <f>IF(investirrendavariávelconsolidadoset[[#This Row],[TOTAL (R$)]]=0,"",IF(OR(investirrendavariávelconsolidadoset[[#This Row],[TOTAL (R$)]]=LARGE($AJ$132:$AJ$141,1),investirrendavariávelconsolidadoset[[#This Row],[TOTAL (R$)]]=LARGE($AJ$132:$AJ$141,2)),DADOS!$I$10,""))</f>
        <v/>
      </c>
      <c r="E135" s="96">
        <f>SUMIFS(tabela_registros[VALOR],tabela_registros[MÊS],$AE$1,tabela_registros[DIA],investirrendavariávelconsolidadoset[[#Headers],[1]],tabela_registros[REGISTRO],DADOS!$N$5,tabela_registros[TIPO],DADOS!$AB$4,tabela_registros[CATEGORIA],investirrendavariávelconsolidadoset[[#This Row],[ATUAL]])</f>
        <v>0</v>
      </c>
      <c r="F135" s="91">
        <f>SUMIFS(tabela_registros[VALOR],tabela_registros[MÊS],$AE$1,tabela_registros[DIA],investirrendavariávelconsolidadoset[[#Headers],[2]],tabela_registros[REGISTRO],DADOS!$N$5,tabela_registros[TIPO],DADOS!$AB$4,tabela_registros[CATEGORIA],investirrendavariávelconsolidadoset[[#This Row],[ATUAL]])</f>
        <v>0</v>
      </c>
      <c r="G135" s="91">
        <f>SUMIFS(tabela_registros[VALOR],tabela_registros[MÊS],$AE$1,tabela_registros[DIA],investirrendavariávelconsolidadoset[[#Headers],[3]],tabela_registros[REGISTRO],DADOS!$N$5,tabela_registros[TIPO],DADOS!$AB$4,tabela_registros[CATEGORIA],investirrendavariávelconsolidadoset[[#This Row],[ATUAL]])</f>
        <v>0</v>
      </c>
      <c r="H135" s="91">
        <f>SUMIFS(tabela_registros[VALOR],tabela_registros[MÊS],$AE$1,tabela_registros[DIA],investirrendavariávelconsolidadoset[[#Headers],[4]],tabela_registros[REGISTRO],DADOS!$N$5,tabela_registros[TIPO],DADOS!$AB$4,tabela_registros[CATEGORIA],investirrendavariávelconsolidadoset[[#This Row],[ATUAL]])</f>
        <v>0</v>
      </c>
      <c r="I135" s="91">
        <f>SUMIFS(tabela_registros[VALOR],tabela_registros[MÊS],$AE$1,tabela_registros[DIA],investirrendavariávelconsolidadoset[[#Headers],[5]],tabela_registros[REGISTRO],DADOS!$N$5,tabela_registros[TIPO],DADOS!$AB$4,tabela_registros[CATEGORIA],investirrendavariávelconsolidadoset[[#This Row],[ATUAL]])</f>
        <v>0</v>
      </c>
      <c r="J135" s="91">
        <f>SUMIFS(tabela_registros[VALOR],tabela_registros[MÊS],$AE$1,tabela_registros[DIA],investirrendavariávelconsolidadoset[[#Headers],[6]],tabela_registros[REGISTRO],DADOS!$N$5,tabela_registros[TIPO],DADOS!$AB$4,tabela_registros[CATEGORIA],investirrendavariávelconsolidadoset[[#This Row],[ATUAL]])</f>
        <v>0</v>
      </c>
      <c r="K135" s="91">
        <f>SUMIFS(tabela_registros[VALOR],tabela_registros[MÊS],$AE$1,tabela_registros[DIA],investirrendavariávelconsolidadoset[[#Headers],[7]],tabela_registros[REGISTRO],DADOS!$N$5,tabela_registros[TIPO],DADOS!$AB$4,tabela_registros[CATEGORIA],investirrendavariávelconsolidadoset[[#This Row],[ATUAL]])</f>
        <v>0</v>
      </c>
      <c r="L135" s="91">
        <f>SUMIFS(tabela_registros[VALOR],tabela_registros[MÊS],$AE$1,tabela_registros[DIA],investirrendavariávelconsolidadoset[[#Headers],[8]],tabela_registros[REGISTRO],DADOS!$N$5,tabela_registros[TIPO],DADOS!$AB$4,tabela_registros[CATEGORIA],investirrendavariávelconsolidadoset[[#This Row],[ATUAL]])</f>
        <v>0</v>
      </c>
      <c r="M135" s="91">
        <f>SUMIFS(tabela_registros[VALOR],tabela_registros[MÊS],$AE$1,tabela_registros[DIA],investirrendavariávelconsolidadoset[[#Headers],[9]],tabela_registros[REGISTRO],DADOS!$N$5,tabela_registros[TIPO],DADOS!$AB$4,tabela_registros[CATEGORIA],investirrendavariávelconsolidadoset[[#This Row],[ATUAL]])</f>
        <v>0</v>
      </c>
      <c r="N135" s="91">
        <f>SUMIFS(tabela_registros[VALOR],tabela_registros[MÊS],$AE$1,tabela_registros[DIA],investirrendavariávelconsolidadoset[[#Headers],[10]],tabela_registros[REGISTRO],DADOS!$N$5,tabela_registros[TIPO],DADOS!$AB$4,tabela_registros[CATEGORIA],investirrendavariávelconsolidadoset[[#This Row],[ATUAL]])</f>
        <v>0</v>
      </c>
      <c r="O135" s="91">
        <f>SUMIFS(tabela_registros[VALOR],tabela_registros[MÊS],$AE$1,tabela_registros[DIA],investirrendavariávelconsolidadoset[[#Headers],[11]],tabela_registros[REGISTRO],DADOS!$N$5,tabela_registros[TIPO],DADOS!$AB$4,tabela_registros[CATEGORIA],investirrendavariávelconsolidadoset[[#This Row],[ATUAL]])</f>
        <v>0</v>
      </c>
      <c r="P135" s="91">
        <f>SUMIFS(tabela_registros[VALOR],tabela_registros[MÊS],$AE$1,tabela_registros[DIA],investirrendavariávelconsolidadoset[[#Headers],[12]],tabela_registros[REGISTRO],DADOS!$N$5,tabela_registros[TIPO],DADOS!$AB$4,tabela_registros[CATEGORIA],investirrendavariávelconsolidadoset[[#This Row],[ATUAL]])</f>
        <v>0</v>
      </c>
      <c r="Q135" s="91">
        <f>SUMIFS(tabela_registros[VALOR],tabela_registros[MÊS],$AE$1,tabela_registros[DIA],investirrendavariávelconsolidadoset[[#Headers],[13]],tabela_registros[REGISTRO],DADOS!$N$5,tabela_registros[TIPO],DADOS!$AB$4,tabela_registros[CATEGORIA],investirrendavariávelconsolidadoset[[#This Row],[ATUAL]])</f>
        <v>0</v>
      </c>
      <c r="R135" s="91">
        <f>SUMIFS(tabela_registros[VALOR],tabela_registros[MÊS],$AE$1,tabela_registros[DIA],investirrendavariávelconsolidadoset[[#Headers],[14]],tabela_registros[REGISTRO],DADOS!$N$5,tabela_registros[TIPO],DADOS!$AB$4,tabela_registros[CATEGORIA],investirrendavariávelconsolidadoset[[#This Row],[ATUAL]])</f>
        <v>0</v>
      </c>
      <c r="S135" s="91">
        <f>SUMIFS(tabela_registros[VALOR],tabela_registros[MÊS],$AE$1,tabela_registros[DIA],investirrendavariávelconsolidadoset[[#Headers],[15]],tabela_registros[REGISTRO],DADOS!$N$5,tabela_registros[TIPO],DADOS!$AB$4,tabela_registros[CATEGORIA],investirrendavariávelconsolidadoset[[#This Row],[ATUAL]])</f>
        <v>0</v>
      </c>
      <c r="T135" s="91">
        <f>SUMIFS(tabela_registros[VALOR],tabela_registros[MÊS],$AE$1,tabela_registros[DIA],investirrendavariávelconsolidadoset[[#Headers],[16]],tabela_registros[REGISTRO],DADOS!$N$5,tabela_registros[TIPO],DADOS!$AB$4,tabela_registros[CATEGORIA],investirrendavariávelconsolidadoset[[#This Row],[ATUAL]])</f>
        <v>0</v>
      </c>
      <c r="U135" s="91">
        <f>SUMIFS(tabela_registros[VALOR],tabela_registros[MÊS],$AE$1,tabela_registros[DIA],investirrendavariávelconsolidadoset[[#Headers],[17]],tabela_registros[REGISTRO],DADOS!$N$5,tabela_registros[TIPO],DADOS!$AB$4,tabela_registros[CATEGORIA],investirrendavariávelconsolidadoset[[#This Row],[ATUAL]])</f>
        <v>0</v>
      </c>
      <c r="V135" s="91">
        <f>SUMIFS(tabela_registros[VALOR],tabela_registros[MÊS],$AE$1,tabela_registros[DIA],investirrendavariávelconsolidadoset[[#Headers],[18]],tabela_registros[REGISTRO],DADOS!$N$5,tabela_registros[TIPO],DADOS!$AB$4,tabela_registros[CATEGORIA],investirrendavariávelconsolidadoset[[#This Row],[ATUAL]])</f>
        <v>0</v>
      </c>
      <c r="W135" s="91">
        <f>SUMIFS(tabela_registros[VALOR],tabela_registros[MÊS],$AE$1,tabela_registros[DIA],investirrendavariávelconsolidadoset[[#Headers],[19]],tabela_registros[REGISTRO],DADOS!$N$5,tabela_registros[TIPO],DADOS!$AB$4,tabela_registros[CATEGORIA],investirrendavariávelconsolidadoset[[#This Row],[ATUAL]])</f>
        <v>0</v>
      </c>
      <c r="X135" s="91">
        <f>SUMIFS(tabela_registros[VALOR],tabela_registros[MÊS],$AE$1,tabela_registros[DIA],investirrendavariávelconsolidadoset[[#Headers],[20]],tabela_registros[REGISTRO],DADOS!$N$5,tabela_registros[TIPO],DADOS!$AB$4,tabela_registros[CATEGORIA],investirrendavariávelconsolidadoset[[#This Row],[ATUAL]])</f>
        <v>0</v>
      </c>
      <c r="Y135" s="91">
        <f>SUMIFS(tabela_registros[VALOR],tabela_registros[MÊS],$AE$1,tabela_registros[DIA],investirrendavariávelconsolidadoset[[#Headers],[21]],tabela_registros[REGISTRO],DADOS!$N$5,tabela_registros[TIPO],DADOS!$AB$4,tabela_registros[CATEGORIA],investirrendavariávelconsolidadoset[[#This Row],[ATUAL]])</f>
        <v>0</v>
      </c>
      <c r="Z135" s="91">
        <f>SUMIFS(tabela_registros[VALOR],tabela_registros[MÊS],$AE$1,tabela_registros[DIA],investirrendavariávelconsolidadoset[[#Headers],[22]],tabela_registros[REGISTRO],DADOS!$N$5,tabela_registros[TIPO],DADOS!$AB$4,tabela_registros[CATEGORIA],investirrendavariávelconsolidadoset[[#This Row],[ATUAL]])</f>
        <v>0</v>
      </c>
      <c r="AA135" s="91">
        <f>SUMIFS(tabela_registros[VALOR],tabela_registros[MÊS],$AE$1,tabela_registros[DIA],investirrendavariávelconsolidadoset[[#Headers],[23]],tabela_registros[REGISTRO],DADOS!$N$5,tabela_registros[TIPO],DADOS!$AB$4,tabela_registros[CATEGORIA],investirrendavariávelconsolidadoset[[#This Row],[ATUAL]])</f>
        <v>0</v>
      </c>
      <c r="AB135" s="91">
        <f>SUMIFS(tabela_registros[VALOR],tabela_registros[MÊS],$AE$1,tabela_registros[DIA],investirrendavariávelconsolidadoset[[#Headers],[24]],tabela_registros[REGISTRO],DADOS!$N$5,tabela_registros[TIPO],DADOS!$AB$4,tabela_registros[CATEGORIA],investirrendavariávelconsolidadoset[[#This Row],[ATUAL]])</f>
        <v>0</v>
      </c>
      <c r="AC135" s="91">
        <f>SUMIFS(tabela_registros[VALOR],tabela_registros[MÊS],$AE$1,tabela_registros[DIA],investirrendavariávelconsolidadoset[[#Headers],[25]],tabela_registros[REGISTRO],DADOS!$N$5,tabela_registros[TIPO],DADOS!$AB$4,tabela_registros[CATEGORIA],investirrendavariávelconsolidadoset[[#This Row],[ATUAL]])</f>
        <v>0</v>
      </c>
      <c r="AD135" s="91">
        <f>SUMIFS(tabela_registros[VALOR],tabela_registros[MÊS],$AE$1,tabela_registros[DIA],investirrendavariávelconsolidadoset[[#Headers],[26]],tabela_registros[REGISTRO],DADOS!$N$5,tabela_registros[TIPO],DADOS!$AB$4,tabela_registros[CATEGORIA],investirrendavariávelconsolidadoset[[#This Row],[ATUAL]])</f>
        <v>0</v>
      </c>
      <c r="AE135" s="91">
        <f>SUMIFS(tabela_registros[VALOR],tabela_registros[MÊS],$AE$1,tabela_registros[DIA],investirrendavariávelconsolidadoset[[#Headers],[27]],tabela_registros[REGISTRO],DADOS!$N$5,tabela_registros[TIPO],DADOS!$AB$4,tabela_registros[CATEGORIA],investirrendavariávelconsolidadoset[[#This Row],[ATUAL]])</f>
        <v>0</v>
      </c>
      <c r="AF135" s="91">
        <f>SUMIFS(tabela_registros[VALOR],tabela_registros[MÊS],$AE$1,tabela_registros[DIA],investirrendavariávelconsolidadoset[[#Headers],[28]],tabela_registros[REGISTRO],DADOS!$N$5,tabela_registros[TIPO],DADOS!$AB$4,tabela_registros[CATEGORIA],investirrendavariávelconsolidadoset[[#This Row],[ATUAL]])</f>
        <v>0</v>
      </c>
      <c r="AG135" s="91">
        <f>SUMIFS(tabela_registros[VALOR],tabela_registros[MÊS],$AE$1,tabela_registros[DIA],investirrendavariávelconsolidadoset[[#Headers],[29]],tabela_registros[REGISTRO],DADOS!$N$5,tabela_registros[TIPO],DADOS!$AB$4,tabela_registros[CATEGORIA],investirrendavariávelconsolidadoset[[#This Row],[ATUAL]])</f>
        <v>0</v>
      </c>
      <c r="AH135" s="91">
        <f>SUMIFS(tabela_registros[VALOR],tabela_registros[MÊS],$AE$1,tabela_registros[DIA],investirrendavariávelconsolidadoset[[#Headers],[30]],tabela_registros[REGISTRO],DADOS!$N$5,tabela_registros[TIPO],DADOS!$AB$4,tabela_registros[CATEGORIA],investirrendavariávelconsolidadoset[[#This Row],[ATUAL]])</f>
        <v>0</v>
      </c>
      <c r="AI135" s="101">
        <f>SUMIFS(tabela_registros[VALOR],tabela_registros[MÊS],$AE$1,tabela_registros[DIA],investirrendavariávelconsolidadoset[[#Headers],[31]],tabela_registros[REGISTRO],DADOS!$N$5,tabela_registros[TIPO],DADOS!$AB$4,tabela_registros[CATEGORIA],investirrendavariávelconsolidadoset[[#This Row],[ATUAL]])</f>
        <v>0</v>
      </c>
      <c r="AJ135" s="97">
        <f>SUM(investirrendavariávelconsolidadoset[[#This Row],[1]:[31]])</f>
        <v>0</v>
      </c>
      <c r="AK135" s="25"/>
    </row>
    <row r="136" spans="2:37" ht="19.5" customHeight="1" thickTop="1" thickBot="1" x14ac:dyDescent="0.3">
      <c r="B136" s="28"/>
      <c r="C136" s="27" t="str">
        <f>DADOS!$AF$7</f>
        <v>📝 CRIPTOMOEDA</v>
      </c>
      <c r="D136" s="26" t="str">
        <f>IF(investirrendavariávelconsolidadoset[[#This Row],[TOTAL (R$)]]=0,"",IF(OR(investirrendavariávelconsolidadoset[[#This Row],[TOTAL (R$)]]=LARGE($AJ$132:$AJ$141,1),investirrendavariávelconsolidadoset[[#This Row],[TOTAL (R$)]]=LARGE($AJ$132:$AJ$141,2)),DADOS!$I$10,""))</f>
        <v/>
      </c>
      <c r="E136" s="96">
        <f>SUMIFS(tabela_registros[VALOR],tabela_registros[MÊS],$AE$1,tabela_registros[DIA],investirrendavariávelconsolidadoset[[#Headers],[1]],tabela_registros[REGISTRO],DADOS!$N$5,tabela_registros[TIPO],DADOS!$AB$4,tabela_registros[CATEGORIA],investirrendavariávelconsolidadoset[[#This Row],[ATUAL]])</f>
        <v>0</v>
      </c>
      <c r="F136" s="91">
        <f>SUMIFS(tabela_registros[VALOR],tabela_registros[MÊS],$AE$1,tabela_registros[DIA],investirrendavariávelconsolidadoset[[#Headers],[2]],tabela_registros[REGISTRO],DADOS!$N$5,tabela_registros[TIPO],DADOS!$AB$4,tabela_registros[CATEGORIA],investirrendavariávelconsolidadoset[[#This Row],[ATUAL]])</f>
        <v>0</v>
      </c>
      <c r="G136" s="91">
        <f>SUMIFS(tabela_registros[VALOR],tabela_registros[MÊS],$AE$1,tabela_registros[DIA],investirrendavariávelconsolidadoset[[#Headers],[3]],tabela_registros[REGISTRO],DADOS!$N$5,tabela_registros[TIPO],DADOS!$AB$4,tabela_registros[CATEGORIA],investirrendavariávelconsolidadoset[[#This Row],[ATUAL]])</f>
        <v>0</v>
      </c>
      <c r="H136" s="91">
        <f>SUMIFS(tabela_registros[VALOR],tabela_registros[MÊS],$AE$1,tabela_registros[DIA],investirrendavariávelconsolidadoset[[#Headers],[4]],tabela_registros[REGISTRO],DADOS!$N$5,tabela_registros[TIPO],DADOS!$AB$4,tabela_registros[CATEGORIA],investirrendavariávelconsolidadoset[[#This Row],[ATUAL]])</f>
        <v>0</v>
      </c>
      <c r="I136" s="91">
        <f>SUMIFS(tabela_registros[VALOR],tabela_registros[MÊS],$AE$1,tabela_registros[DIA],investirrendavariávelconsolidadoset[[#Headers],[5]],tabela_registros[REGISTRO],DADOS!$N$5,tabela_registros[TIPO],DADOS!$AB$4,tabela_registros[CATEGORIA],investirrendavariávelconsolidadoset[[#This Row],[ATUAL]])</f>
        <v>0</v>
      </c>
      <c r="J136" s="91">
        <f>SUMIFS(tabela_registros[VALOR],tabela_registros[MÊS],$AE$1,tabela_registros[DIA],investirrendavariávelconsolidadoset[[#Headers],[6]],tabela_registros[REGISTRO],DADOS!$N$5,tabela_registros[TIPO],DADOS!$AB$4,tabela_registros[CATEGORIA],investirrendavariávelconsolidadoset[[#This Row],[ATUAL]])</f>
        <v>0</v>
      </c>
      <c r="K136" s="91">
        <f>SUMIFS(tabela_registros[VALOR],tabela_registros[MÊS],$AE$1,tabela_registros[DIA],investirrendavariávelconsolidadoset[[#Headers],[7]],tabela_registros[REGISTRO],DADOS!$N$5,tabela_registros[TIPO],DADOS!$AB$4,tabela_registros[CATEGORIA],investirrendavariávelconsolidadoset[[#This Row],[ATUAL]])</f>
        <v>0</v>
      </c>
      <c r="L136" s="91">
        <f>SUMIFS(tabela_registros[VALOR],tabela_registros[MÊS],$AE$1,tabela_registros[DIA],investirrendavariávelconsolidadoset[[#Headers],[8]],tabela_registros[REGISTRO],DADOS!$N$5,tabela_registros[TIPO],DADOS!$AB$4,tabela_registros[CATEGORIA],investirrendavariávelconsolidadoset[[#This Row],[ATUAL]])</f>
        <v>0</v>
      </c>
      <c r="M136" s="91">
        <f>SUMIFS(tabela_registros[VALOR],tabela_registros[MÊS],$AE$1,tabela_registros[DIA],investirrendavariávelconsolidadoset[[#Headers],[9]],tabela_registros[REGISTRO],DADOS!$N$5,tabela_registros[TIPO],DADOS!$AB$4,tabela_registros[CATEGORIA],investirrendavariávelconsolidadoset[[#This Row],[ATUAL]])</f>
        <v>0</v>
      </c>
      <c r="N136" s="91">
        <f>SUMIFS(tabela_registros[VALOR],tabela_registros[MÊS],$AE$1,tabela_registros[DIA],investirrendavariávelconsolidadoset[[#Headers],[10]],tabela_registros[REGISTRO],DADOS!$N$5,tabela_registros[TIPO],DADOS!$AB$4,tabela_registros[CATEGORIA],investirrendavariávelconsolidadoset[[#This Row],[ATUAL]])</f>
        <v>0</v>
      </c>
      <c r="O136" s="91">
        <f>SUMIFS(tabela_registros[VALOR],tabela_registros[MÊS],$AE$1,tabela_registros[DIA],investirrendavariávelconsolidadoset[[#Headers],[11]],tabela_registros[REGISTRO],DADOS!$N$5,tabela_registros[TIPO],DADOS!$AB$4,tabela_registros[CATEGORIA],investirrendavariávelconsolidadoset[[#This Row],[ATUAL]])</f>
        <v>0</v>
      </c>
      <c r="P136" s="91">
        <f>SUMIFS(tabela_registros[VALOR],tabela_registros[MÊS],$AE$1,tabela_registros[DIA],investirrendavariávelconsolidadoset[[#Headers],[12]],tabela_registros[REGISTRO],DADOS!$N$5,tabela_registros[TIPO],DADOS!$AB$4,tabela_registros[CATEGORIA],investirrendavariávelconsolidadoset[[#This Row],[ATUAL]])</f>
        <v>0</v>
      </c>
      <c r="Q136" s="91">
        <f>SUMIFS(tabela_registros[VALOR],tabela_registros[MÊS],$AE$1,tabela_registros[DIA],investirrendavariávelconsolidadoset[[#Headers],[13]],tabela_registros[REGISTRO],DADOS!$N$5,tabela_registros[TIPO],DADOS!$AB$4,tabela_registros[CATEGORIA],investirrendavariávelconsolidadoset[[#This Row],[ATUAL]])</f>
        <v>0</v>
      </c>
      <c r="R136" s="91">
        <f>SUMIFS(tabela_registros[VALOR],tabela_registros[MÊS],$AE$1,tabela_registros[DIA],investirrendavariávelconsolidadoset[[#Headers],[14]],tabela_registros[REGISTRO],DADOS!$N$5,tabela_registros[TIPO],DADOS!$AB$4,tabela_registros[CATEGORIA],investirrendavariávelconsolidadoset[[#This Row],[ATUAL]])</f>
        <v>0</v>
      </c>
      <c r="S136" s="91">
        <f>SUMIFS(tabela_registros[VALOR],tabela_registros[MÊS],$AE$1,tabela_registros[DIA],investirrendavariávelconsolidadoset[[#Headers],[15]],tabela_registros[REGISTRO],DADOS!$N$5,tabela_registros[TIPO],DADOS!$AB$4,tabela_registros[CATEGORIA],investirrendavariávelconsolidadoset[[#This Row],[ATUAL]])</f>
        <v>0</v>
      </c>
      <c r="T136" s="91">
        <f>SUMIFS(tabela_registros[VALOR],tabela_registros[MÊS],$AE$1,tabela_registros[DIA],investirrendavariávelconsolidadoset[[#Headers],[16]],tabela_registros[REGISTRO],DADOS!$N$5,tabela_registros[TIPO],DADOS!$AB$4,tabela_registros[CATEGORIA],investirrendavariávelconsolidadoset[[#This Row],[ATUAL]])</f>
        <v>0</v>
      </c>
      <c r="U136" s="91">
        <f>SUMIFS(tabela_registros[VALOR],tabela_registros[MÊS],$AE$1,tabela_registros[DIA],investirrendavariávelconsolidadoset[[#Headers],[17]],tabela_registros[REGISTRO],DADOS!$N$5,tabela_registros[TIPO],DADOS!$AB$4,tabela_registros[CATEGORIA],investirrendavariávelconsolidadoset[[#This Row],[ATUAL]])</f>
        <v>0</v>
      </c>
      <c r="V136" s="91">
        <f>SUMIFS(tabela_registros[VALOR],tabela_registros[MÊS],$AE$1,tabela_registros[DIA],investirrendavariávelconsolidadoset[[#Headers],[18]],tabela_registros[REGISTRO],DADOS!$N$5,tabela_registros[TIPO],DADOS!$AB$4,tabela_registros[CATEGORIA],investirrendavariávelconsolidadoset[[#This Row],[ATUAL]])</f>
        <v>0</v>
      </c>
      <c r="W136" s="91">
        <f>SUMIFS(tabela_registros[VALOR],tabela_registros[MÊS],$AE$1,tabela_registros[DIA],investirrendavariávelconsolidadoset[[#Headers],[19]],tabela_registros[REGISTRO],DADOS!$N$5,tabela_registros[TIPO],DADOS!$AB$4,tabela_registros[CATEGORIA],investirrendavariávelconsolidadoset[[#This Row],[ATUAL]])</f>
        <v>0</v>
      </c>
      <c r="X136" s="91">
        <f>SUMIFS(tabela_registros[VALOR],tabela_registros[MÊS],$AE$1,tabela_registros[DIA],investirrendavariávelconsolidadoset[[#Headers],[20]],tabela_registros[REGISTRO],DADOS!$N$5,tabela_registros[TIPO],DADOS!$AB$4,tabela_registros[CATEGORIA],investirrendavariávelconsolidadoset[[#This Row],[ATUAL]])</f>
        <v>0</v>
      </c>
      <c r="Y136" s="91">
        <f>SUMIFS(tabela_registros[VALOR],tabela_registros[MÊS],$AE$1,tabela_registros[DIA],investirrendavariávelconsolidadoset[[#Headers],[21]],tabela_registros[REGISTRO],DADOS!$N$5,tabela_registros[TIPO],DADOS!$AB$4,tabela_registros[CATEGORIA],investirrendavariávelconsolidadoset[[#This Row],[ATUAL]])</f>
        <v>0</v>
      </c>
      <c r="Z136" s="91">
        <f>SUMIFS(tabela_registros[VALOR],tabela_registros[MÊS],$AE$1,tabela_registros[DIA],investirrendavariávelconsolidadoset[[#Headers],[22]],tabela_registros[REGISTRO],DADOS!$N$5,tabela_registros[TIPO],DADOS!$AB$4,tabela_registros[CATEGORIA],investirrendavariávelconsolidadoset[[#This Row],[ATUAL]])</f>
        <v>0</v>
      </c>
      <c r="AA136" s="91">
        <f>SUMIFS(tabela_registros[VALOR],tabela_registros[MÊS],$AE$1,tabela_registros[DIA],investirrendavariávelconsolidadoset[[#Headers],[23]],tabela_registros[REGISTRO],DADOS!$N$5,tabela_registros[TIPO],DADOS!$AB$4,tabela_registros[CATEGORIA],investirrendavariávelconsolidadoset[[#This Row],[ATUAL]])</f>
        <v>0</v>
      </c>
      <c r="AB136" s="91">
        <f>SUMIFS(tabela_registros[VALOR],tabela_registros[MÊS],$AE$1,tabela_registros[DIA],investirrendavariávelconsolidadoset[[#Headers],[24]],tabela_registros[REGISTRO],DADOS!$N$5,tabela_registros[TIPO],DADOS!$AB$4,tabela_registros[CATEGORIA],investirrendavariávelconsolidadoset[[#This Row],[ATUAL]])</f>
        <v>0</v>
      </c>
      <c r="AC136" s="91">
        <f>SUMIFS(tabela_registros[VALOR],tabela_registros[MÊS],$AE$1,tabela_registros[DIA],investirrendavariávelconsolidadoset[[#Headers],[25]],tabela_registros[REGISTRO],DADOS!$N$5,tabela_registros[TIPO],DADOS!$AB$4,tabela_registros[CATEGORIA],investirrendavariávelconsolidadoset[[#This Row],[ATUAL]])</f>
        <v>0</v>
      </c>
      <c r="AD136" s="91">
        <f>SUMIFS(tabela_registros[VALOR],tabela_registros[MÊS],$AE$1,tabela_registros[DIA],investirrendavariávelconsolidadoset[[#Headers],[26]],tabela_registros[REGISTRO],DADOS!$N$5,tabela_registros[TIPO],DADOS!$AB$4,tabela_registros[CATEGORIA],investirrendavariávelconsolidadoset[[#This Row],[ATUAL]])</f>
        <v>0</v>
      </c>
      <c r="AE136" s="91">
        <f>SUMIFS(tabela_registros[VALOR],tabela_registros[MÊS],$AE$1,tabela_registros[DIA],investirrendavariávelconsolidadoset[[#Headers],[27]],tabela_registros[REGISTRO],DADOS!$N$5,tabela_registros[TIPO],DADOS!$AB$4,tabela_registros[CATEGORIA],investirrendavariávelconsolidadoset[[#This Row],[ATUAL]])</f>
        <v>0</v>
      </c>
      <c r="AF136" s="91">
        <f>SUMIFS(tabela_registros[VALOR],tabela_registros[MÊS],$AE$1,tabela_registros[DIA],investirrendavariávelconsolidadoset[[#Headers],[28]],tabela_registros[REGISTRO],DADOS!$N$5,tabela_registros[TIPO],DADOS!$AB$4,tabela_registros[CATEGORIA],investirrendavariávelconsolidadoset[[#This Row],[ATUAL]])</f>
        <v>0</v>
      </c>
      <c r="AG136" s="91">
        <f>SUMIFS(tabela_registros[VALOR],tabela_registros[MÊS],$AE$1,tabela_registros[DIA],investirrendavariávelconsolidadoset[[#Headers],[29]],tabela_registros[REGISTRO],DADOS!$N$5,tabela_registros[TIPO],DADOS!$AB$4,tabela_registros[CATEGORIA],investirrendavariávelconsolidadoset[[#This Row],[ATUAL]])</f>
        <v>0</v>
      </c>
      <c r="AH136" s="91">
        <f>SUMIFS(tabela_registros[VALOR],tabela_registros[MÊS],$AE$1,tabela_registros[DIA],investirrendavariávelconsolidadoset[[#Headers],[30]],tabela_registros[REGISTRO],DADOS!$N$5,tabela_registros[TIPO],DADOS!$AB$4,tabela_registros[CATEGORIA],investirrendavariávelconsolidadoset[[#This Row],[ATUAL]])</f>
        <v>0</v>
      </c>
      <c r="AI136" s="101">
        <f>SUMIFS(tabela_registros[VALOR],tabela_registros[MÊS],$AE$1,tabela_registros[DIA],investirrendavariávelconsolidadoset[[#Headers],[31]],tabela_registros[REGISTRO],DADOS!$N$5,tabela_registros[TIPO],DADOS!$AB$4,tabela_registros[CATEGORIA],investirrendavariávelconsolidadoset[[#This Row],[ATUAL]])</f>
        <v>0</v>
      </c>
      <c r="AJ136" s="97">
        <f>SUM(investirrendavariávelconsolidadoset[[#This Row],[1]:[31]])</f>
        <v>0</v>
      </c>
      <c r="AK136" s="25"/>
    </row>
    <row r="137" spans="2:37" ht="19.5" customHeight="1" thickTop="1" thickBot="1" x14ac:dyDescent="0.3">
      <c r="B137" s="28"/>
      <c r="C137" s="27" t="str">
        <f>DADOS!$AF$8</f>
        <v>📝 ETF</v>
      </c>
      <c r="D137" s="26" t="str">
        <f>IF(investirrendavariávelconsolidadoset[[#This Row],[TOTAL (R$)]]=0,"",IF(OR(investirrendavariávelconsolidadoset[[#This Row],[TOTAL (R$)]]=LARGE($AJ$132:$AJ$141,1),investirrendavariávelconsolidadoset[[#This Row],[TOTAL (R$)]]=LARGE($AJ$132:$AJ$141,2)),DADOS!$I$10,""))</f>
        <v/>
      </c>
      <c r="E137" s="96">
        <f>SUMIFS(tabela_registros[VALOR],tabela_registros[MÊS],$AE$1,tabela_registros[DIA],investirrendavariávelconsolidadoset[[#Headers],[1]],tabela_registros[REGISTRO],DADOS!$N$5,tabela_registros[TIPO],DADOS!$AB$4,tabela_registros[CATEGORIA],investirrendavariávelconsolidadoset[[#This Row],[ATUAL]])</f>
        <v>0</v>
      </c>
      <c r="F137" s="91">
        <f>SUMIFS(tabela_registros[VALOR],tabela_registros[MÊS],$AE$1,tabela_registros[DIA],investirrendavariávelconsolidadoset[[#Headers],[2]],tabela_registros[REGISTRO],DADOS!$N$5,tabela_registros[TIPO],DADOS!$AB$4,tabela_registros[CATEGORIA],investirrendavariávelconsolidadoset[[#This Row],[ATUAL]])</f>
        <v>0</v>
      </c>
      <c r="G137" s="91">
        <f>SUMIFS(tabela_registros[VALOR],tabela_registros[MÊS],$AE$1,tabela_registros[DIA],investirrendavariávelconsolidadoset[[#Headers],[3]],tabela_registros[REGISTRO],DADOS!$N$5,tabela_registros[TIPO],DADOS!$AB$4,tabela_registros[CATEGORIA],investirrendavariávelconsolidadoset[[#This Row],[ATUAL]])</f>
        <v>0</v>
      </c>
      <c r="H137" s="91">
        <f>SUMIFS(tabela_registros[VALOR],tabela_registros[MÊS],$AE$1,tabela_registros[DIA],investirrendavariávelconsolidadoset[[#Headers],[4]],tabela_registros[REGISTRO],DADOS!$N$5,tabela_registros[TIPO],DADOS!$AB$4,tabela_registros[CATEGORIA],investirrendavariávelconsolidadoset[[#This Row],[ATUAL]])</f>
        <v>0</v>
      </c>
      <c r="I137" s="91">
        <f>SUMIFS(tabela_registros[VALOR],tabela_registros[MÊS],$AE$1,tabela_registros[DIA],investirrendavariávelconsolidadoset[[#Headers],[5]],tabela_registros[REGISTRO],DADOS!$N$5,tabela_registros[TIPO],DADOS!$AB$4,tabela_registros[CATEGORIA],investirrendavariávelconsolidadoset[[#This Row],[ATUAL]])</f>
        <v>0</v>
      </c>
      <c r="J137" s="91">
        <f>SUMIFS(tabela_registros[VALOR],tabela_registros[MÊS],$AE$1,tabela_registros[DIA],investirrendavariávelconsolidadoset[[#Headers],[6]],tabela_registros[REGISTRO],DADOS!$N$5,tabela_registros[TIPO],DADOS!$AB$4,tabela_registros[CATEGORIA],investirrendavariávelconsolidadoset[[#This Row],[ATUAL]])</f>
        <v>0</v>
      </c>
      <c r="K137" s="91">
        <f>SUMIFS(tabela_registros[VALOR],tabela_registros[MÊS],$AE$1,tabela_registros[DIA],investirrendavariávelconsolidadoset[[#Headers],[7]],tabela_registros[REGISTRO],DADOS!$N$5,tabela_registros[TIPO],DADOS!$AB$4,tabela_registros[CATEGORIA],investirrendavariávelconsolidadoset[[#This Row],[ATUAL]])</f>
        <v>0</v>
      </c>
      <c r="L137" s="91">
        <f>SUMIFS(tabela_registros[VALOR],tabela_registros[MÊS],$AE$1,tabela_registros[DIA],investirrendavariávelconsolidadoset[[#Headers],[8]],tabela_registros[REGISTRO],DADOS!$N$5,tabela_registros[TIPO],DADOS!$AB$4,tabela_registros[CATEGORIA],investirrendavariávelconsolidadoset[[#This Row],[ATUAL]])</f>
        <v>0</v>
      </c>
      <c r="M137" s="91">
        <f>SUMIFS(tabela_registros[VALOR],tabela_registros[MÊS],$AE$1,tabela_registros[DIA],investirrendavariávelconsolidadoset[[#Headers],[9]],tabela_registros[REGISTRO],DADOS!$N$5,tabela_registros[TIPO],DADOS!$AB$4,tabela_registros[CATEGORIA],investirrendavariávelconsolidadoset[[#This Row],[ATUAL]])</f>
        <v>0</v>
      </c>
      <c r="N137" s="91">
        <f>SUMIFS(tabela_registros[VALOR],tabela_registros[MÊS],$AE$1,tabela_registros[DIA],investirrendavariávelconsolidadoset[[#Headers],[10]],tabela_registros[REGISTRO],DADOS!$N$5,tabela_registros[TIPO],DADOS!$AB$4,tabela_registros[CATEGORIA],investirrendavariávelconsolidadoset[[#This Row],[ATUAL]])</f>
        <v>0</v>
      </c>
      <c r="O137" s="91">
        <f>SUMIFS(tabela_registros[VALOR],tabela_registros[MÊS],$AE$1,tabela_registros[DIA],investirrendavariávelconsolidadoset[[#Headers],[11]],tabela_registros[REGISTRO],DADOS!$N$5,tabela_registros[TIPO],DADOS!$AB$4,tabela_registros[CATEGORIA],investirrendavariávelconsolidadoset[[#This Row],[ATUAL]])</f>
        <v>0</v>
      </c>
      <c r="P137" s="91">
        <f>SUMIFS(tabela_registros[VALOR],tabela_registros[MÊS],$AE$1,tabela_registros[DIA],investirrendavariávelconsolidadoset[[#Headers],[12]],tabela_registros[REGISTRO],DADOS!$N$5,tabela_registros[TIPO],DADOS!$AB$4,tabela_registros[CATEGORIA],investirrendavariávelconsolidadoset[[#This Row],[ATUAL]])</f>
        <v>0</v>
      </c>
      <c r="Q137" s="91">
        <f>SUMIFS(tabela_registros[VALOR],tabela_registros[MÊS],$AE$1,tabela_registros[DIA],investirrendavariávelconsolidadoset[[#Headers],[13]],tabela_registros[REGISTRO],DADOS!$N$5,tabela_registros[TIPO],DADOS!$AB$4,tabela_registros[CATEGORIA],investirrendavariávelconsolidadoset[[#This Row],[ATUAL]])</f>
        <v>0</v>
      </c>
      <c r="R137" s="91">
        <f>SUMIFS(tabela_registros[VALOR],tabela_registros[MÊS],$AE$1,tabela_registros[DIA],investirrendavariávelconsolidadoset[[#Headers],[14]],tabela_registros[REGISTRO],DADOS!$N$5,tabela_registros[TIPO],DADOS!$AB$4,tabela_registros[CATEGORIA],investirrendavariávelconsolidadoset[[#This Row],[ATUAL]])</f>
        <v>0</v>
      </c>
      <c r="S137" s="91">
        <f>SUMIFS(tabela_registros[VALOR],tabela_registros[MÊS],$AE$1,tabela_registros[DIA],investirrendavariávelconsolidadoset[[#Headers],[15]],tabela_registros[REGISTRO],DADOS!$N$5,tabela_registros[TIPO],DADOS!$AB$4,tabela_registros[CATEGORIA],investirrendavariávelconsolidadoset[[#This Row],[ATUAL]])</f>
        <v>0</v>
      </c>
      <c r="T137" s="91">
        <f>SUMIFS(tabela_registros[VALOR],tabela_registros[MÊS],$AE$1,tabela_registros[DIA],investirrendavariávelconsolidadoset[[#Headers],[16]],tabela_registros[REGISTRO],DADOS!$N$5,tabela_registros[TIPO],DADOS!$AB$4,tabela_registros[CATEGORIA],investirrendavariávelconsolidadoset[[#This Row],[ATUAL]])</f>
        <v>0</v>
      </c>
      <c r="U137" s="91">
        <f>SUMIFS(tabela_registros[VALOR],tabela_registros[MÊS],$AE$1,tabela_registros[DIA],investirrendavariávelconsolidadoset[[#Headers],[17]],tabela_registros[REGISTRO],DADOS!$N$5,tabela_registros[TIPO],DADOS!$AB$4,tabela_registros[CATEGORIA],investirrendavariávelconsolidadoset[[#This Row],[ATUAL]])</f>
        <v>0</v>
      </c>
      <c r="V137" s="91">
        <f>SUMIFS(tabela_registros[VALOR],tabela_registros[MÊS],$AE$1,tabela_registros[DIA],investirrendavariávelconsolidadoset[[#Headers],[18]],tabela_registros[REGISTRO],DADOS!$N$5,tabela_registros[TIPO],DADOS!$AB$4,tabela_registros[CATEGORIA],investirrendavariávelconsolidadoset[[#This Row],[ATUAL]])</f>
        <v>0</v>
      </c>
      <c r="W137" s="91">
        <f>SUMIFS(tabela_registros[VALOR],tabela_registros[MÊS],$AE$1,tabela_registros[DIA],investirrendavariávelconsolidadoset[[#Headers],[19]],tabela_registros[REGISTRO],DADOS!$N$5,tabela_registros[TIPO],DADOS!$AB$4,tabela_registros[CATEGORIA],investirrendavariávelconsolidadoset[[#This Row],[ATUAL]])</f>
        <v>0</v>
      </c>
      <c r="X137" s="91">
        <f>SUMIFS(tabela_registros[VALOR],tabela_registros[MÊS],$AE$1,tabela_registros[DIA],investirrendavariávelconsolidadoset[[#Headers],[20]],tabela_registros[REGISTRO],DADOS!$N$5,tabela_registros[TIPO],DADOS!$AB$4,tabela_registros[CATEGORIA],investirrendavariávelconsolidadoset[[#This Row],[ATUAL]])</f>
        <v>0</v>
      </c>
      <c r="Y137" s="91">
        <f>SUMIFS(tabela_registros[VALOR],tabela_registros[MÊS],$AE$1,tabela_registros[DIA],investirrendavariávelconsolidadoset[[#Headers],[21]],tabela_registros[REGISTRO],DADOS!$N$5,tabela_registros[TIPO],DADOS!$AB$4,tabela_registros[CATEGORIA],investirrendavariávelconsolidadoset[[#This Row],[ATUAL]])</f>
        <v>0</v>
      </c>
      <c r="Z137" s="91">
        <f>SUMIFS(tabela_registros[VALOR],tabela_registros[MÊS],$AE$1,tabela_registros[DIA],investirrendavariávelconsolidadoset[[#Headers],[22]],tabela_registros[REGISTRO],DADOS!$N$5,tabela_registros[TIPO],DADOS!$AB$4,tabela_registros[CATEGORIA],investirrendavariávelconsolidadoset[[#This Row],[ATUAL]])</f>
        <v>0</v>
      </c>
      <c r="AA137" s="91">
        <f>SUMIFS(tabela_registros[VALOR],tabela_registros[MÊS],$AE$1,tabela_registros[DIA],investirrendavariávelconsolidadoset[[#Headers],[23]],tabela_registros[REGISTRO],DADOS!$N$5,tabela_registros[TIPO],DADOS!$AB$4,tabela_registros[CATEGORIA],investirrendavariávelconsolidadoset[[#This Row],[ATUAL]])</f>
        <v>0</v>
      </c>
      <c r="AB137" s="91">
        <f>SUMIFS(tabela_registros[VALOR],tabela_registros[MÊS],$AE$1,tabela_registros[DIA],investirrendavariávelconsolidadoset[[#Headers],[24]],tabela_registros[REGISTRO],DADOS!$N$5,tabela_registros[TIPO],DADOS!$AB$4,tabela_registros[CATEGORIA],investirrendavariávelconsolidadoset[[#This Row],[ATUAL]])</f>
        <v>0</v>
      </c>
      <c r="AC137" s="91">
        <f>SUMIFS(tabela_registros[VALOR],tabela_registros[MÊS],$AE$1,tabela_registros[DIA],investirrendavariávelconsolidadoset[[#Headers],[25]],tabela_registros[REGISTRO],DADOS!$N$5,tabela_registros[TIPO],DADOS!$AB$4,tabela_registros[CATEGORIA],investirrendavariávelconsolidadoset[[#This Row],[ATUAL]])</f>
        <v>0</v>
      </c>
      <c r="AD137" s="91">
        <f>SUMIFS(tabela_registros[VALOR],tabela_registros[MÊS],$AE$1,tabela_registros[DIA],investirrendavariávelconsolidadoset[[#Headers],[26]],tabela_registros[REGISTRO],DADOS!$N$5,tabela_registros[TIPO],DADOS!$AB$4,tabela_registros[CATEGORIA],investirrendavariávelconsolidadoset[[#This Row],[ATUAL]])</f>
        <v>0</v>
      </c>
      <c r="AE137" s="91">
        <f>SUMIFS(tabela_registros[VALOR],tabela_registros[MÊS],$AE$1,tabela_registros[DIA],investirrendavariávelconsolidadoset[[#Headers],[27]],tabela_registros[REGISTRO],DADOS!$N$5,tabela_registros[TIPO],DADOS!$AB$4,tabela_registros[CATEGORIA],investirrendavariávelconsolidadoset[[#This Row],[ATUAL]])</f>
        <v>0</v>
      </c>
      <c r="AF137" s="91">
        <f>SUMIFS(tabela_registros[VALOR],tabela_registros[MÊS],$AE$1,tabela_registros[DIA],investirrendavariávelconsolidadoset[[#Headers],[28]],tabela_registros[REGISTRO],DADOS!$N$5,tabela_registros[TIPO],DADOS!$AB$4,tabela_registros[CATEGORIA],investirrendavariávelconsolidadoset[[#This Row],[ATUAL]])</f>
        <v>0</v>
      </c>
      <c r="AG137" s="91">
        <f>SUMIFS(tabela_registros[VALOR],tabela_registros[MÊS],$AE$1,tabela_registros[DIA],investirrendavariávelconsolidadoset[[#Headers],[29]],tabela_registros[REGISTRO],DADOS!$N$5,tabela_registros[TIPO],DADOS!$AB$4,tabela_registros[CATEGORIA],investirrendavariávelconsolidadoset[[#This Row],[ATUAL]])</f>
        <v>0</v>
      </c>
      <c r="AH137" s="91">
        <f>SUMIFS(tabela_registros[VALOR],tabela_registros[MÊS],$AE$1,tabela_registros[DIA],investirrendavariávelconsolidadoset[[#Headers],[30]],tabela_registros[REGISTRO],DADOS!$N$5,tabela_registros[TIPO],DADOS!$AB$4,tabela_registros[CATEGORIA],investirrendavariávelconsolidadoset[[#This Row],[ATUAL]])</f>
        <v>0</v>
      </c>
      <c r="AI137" s="101">
        <f>SUMIFS(tabela_registros[VALOR],tabela_registros[MÊS],$AE$1,tabela_registros[DIA],investirrendavariávelconsolidadoset[[#Headers],[31]],tabela_registros[REGISTRO],DADOS!$N$5,tabela_registros[TIPO],DADOS!$AB$4,tabela_registros[CATEGORIA],investirrendavariávelconsolidadoset[[#This Row],[ATUAL]])</f>
        <v>0</v>
      </c>
      <c r="AJ137" s="97">
        <f>SUM(investirrendavariávelconsolidadoset[[#This Row],[1]:[31]])</f>
        <v>0</v>
      </c>
      <c r="AK137" s="25"/>
    </row>
    <row r="138" spans="2:37" ht="19.5" customHeight="1" thickTop="1" thickBot="1" x14ac:dyDescent="0.3">
      <c r="B138" s="28"/>
      <c r="C138" s="27" t="str">
        <f>DADOS!$AF$9</f>
        <v>📝 EXTERIOR</v>
      </c>
      <c r="D138" s="26" t="str">
        <f>IF(investirrendavariávelconsolidadoset[[#This Row],[TOTAL (R$)]]=0,"",IF(OR(investirrendavariávelconsolidadoset[[#This Row],[TOTAL (R$)]]=LARGE($AJ$132:$AJ$141,1),investirrendavariávelconsolidadoset[[#This Row],[TOTAL (R$)]]=LARGE($AJ$132:$AJ$141,2)),DADOS!$I$10,""))</f>
        <v/>
      </c>
      <c r="E138" s="96">
        <f>SUMIFS(tabela_registros[VALOR],tabela_registros[MÊS],$AE$1,tabela_registros[DIA],investirrendavariávelconsolidadoset[[#Headers],[1]],tabela_registros[REGISTRO],DADOS!$N$5,tabela_registros[TIPO],DADOS!$AB$4,tabela_registros[CATEGORIA],investirrendavariávelconsolidadoset[[#This Row],[ATUAL]])</f>
        <v>0</v>
      </c>
      <c r="F138" s="91">
        <f>SUMIFS(tabela_registros[VALOR],tabela_registros[MÊS],$AE$1,tabela_registros[DIA],investirrendavariávelconsolidadoset[[#Headers],[2]],tabela_registros[REGISTRO],DADOS!$N$5,tabela_registros[TIPO],DADOS!$AB$4,tabela_registros[CATEGORIA],investirrendavariávelconsolidadoset[[#This Row],[ATUAL]])</f>
        <v>0</v>
      </c>
      <c r="G138" s="91">
        <f>SUMIFS(tabela_registros[VALOR],tabela_registros[MÊS],$AE$1,tabela_registros[DIA],investirrendavariávelconsolidadoset[[#Headers],[3]],tabela_registros[REGISTRO],DADOS!$N$5,tabela_registros[TIPO],DADOS!$AB$4,tabela_registros[CATEGORIA],investirrendavariávelconsolidadoset[[#This Row],[ATUAL]])</f>
        <v>0</v>
      </c>
      <c r="H138" s="91">
        <f>SUMIFS(tabela_registros[VALOR],tabela_registros[MÊS],$AE$1,tabela_registros[DIA],investirrendavariávelconsolidadoset[[#Headers],[4]],tabela_registros[REGISTRO],DADOS!$N$5,tabela_registros[TIPO],DADOS!$AB$4,tabela_registros[CATEGORIA],investirrendavariávelconsolidadoset[[#This Row],[ATUAL]])</f>
        <v>0</v>
      </c>
      <c r="I138" s="91">
        <f>SUMIFS(tabela_registros[VALOR],tabela_registros[MÊS],$AE$1,tabela_registros[DIA],investirrendavariávelconsolidadoset[[#Headers],[5]],tabela_registros[REGISTRO],DADOS!$N$5,tabela_registros[TIPO],DADOS!$AB$4,tabela_registros[CATEGORIA],investirrendavariávelconsolidadoset[[#This Row],[ATUAL]])</f>
        <v>0</v>
      </c>
      <c r="J138" s="91">
        <f>SUMIFS(tabela_registros[VALOR],tabela_registros[MÊS],$AE$1,tabela_registros[DIA],investirrendavariávelconsolidadoset[[#Headers],[6]],tabela_registros[REGISTRO],DADOS!$N$5,tabela_registros[TIPO],DADOS!$AB$4,tabela_registros[CATEGORIA],investirrendavariávelconsolidadoset[[#This Row],[ATUAL]])</f>
        <v>0</v>
      </c>
      <c r="K138" s="91">
        <f>SUMIFS(tabela_registros[VALOR],tabela_registros[MÊS],$AE$1,tabela_registros[DIA],investirrendavariávelconsolidadoset[[#Headers],[7]],tabela_registros[REGISTRO],DADOS!$N$5,tabela_registros[TIPO],DADOS!$AB$4,tabela_registros[CATEGORIA],investirrendavariávelconsolidadoset[[#This Row],[ATUAL]])</f>
        <v>0</v>
      </c>
      <c r="L138" s="91">
        <f>SUMIFS(tabela_registros[VALOR],tabela_registros[MÊS],$AE$1,tabela_registros[DIA],investirrendavariávelconsolidadoset[[#Headers],[8]],tabela_registros[REGISTRO],DADOS!$N$5,tabela_registros[TIPO],DADOS!$AB$4,tabela_registros[CATEGORIA],investirrendavariávelconsolidadoset[[#This Row],[ATUAL]])</f>
        <v>0</v>
      </c>
      <c r="M138" s="91">
        <f>SUMIFS(tabela_registros[VALOR],tabela_registros[MÊS],$AE$1,tabela_registros[DIA],investirrendavariávelconsolidadoset[[#Headers],[9]],tabela_registros[REGISTRO],DADOS!$N$5,tabela_registros[TIPO],DADOS!$AB$4,tabela_registros[CATEGORIA],investirrendavariávelconsolidadoset[[#This Row],[ATUAL]])</f>
        <v>0</v>
      </c>
      <c r="N138" s="91">
        <f>SUMIFS(tabela_registros[VALOR],tabela_registros[MÊS],$AE$1,tabela_registros[DIA],investirrendavariávelconsolidadoset[[#Headers],[10]],tabela_registros[REGISTRO],DADOS!$N$5,tabela_registros[TIPO],DADOS!$AB$4,tabela_registros[CATEGORIA],investirrendavariávelconsolidadoset[[#This Row],[ATUAL]])</f>
        <v>0</v>
      </c>
      <c r="O138" s="91">
        <f>SUMIFS(tabela_registros[VALOR],tabela_registros[MÊS],$AE$1,tabela_registros[DIA],investirrendavariávelconsolidadoset[[#Headers],[11]],tabela_registros[REGISTRO],DADOS!$N$5,tabela_registros[TIPO],DADOS!$AB$4,tabela_registros[CATEGORIA],investirrendavariávelconsolidadoset[[#This Row],[ATUAL]])</f>
        <v>0</v>
      </c>
      <c r="P138" s="91">
        <f>SUMIFS(tabela_registros[VALOR],tabela_registros[MÊS],$AE$1,tabela_registros[DIA],investirrendavariávelconsolidadoset[[#Headers],[12]],tabela_registros[REGISTRO],DADOS!$N$5,tabela_registros[TIPO],DADOS!$AB$4,tabela_registros[CATEGORIA],investirrendavariávelconsolidadoset[[#This Row],[ATUAL]])</f>
        <v>0</v>
      </c>
      <c r="Q138" s="91">
        <f>SUMIFS(tabela_registros[VALOR],tabela_registros[MÊS],$AE$1,tabela_registros[DIA],investirrendavariávelconsolidadoset[[#Headers],[13]],tabela_registros[REGISTRO],DADOS!$N$5,tabela_registros[TIPO],DADOS!$AB$4,tabela_registros[CATEGORIA],investirrendavariávelconsolidadoset[[#This Row],[ATUAL]])</f>
        <v>0</v>
      </c>
      <c r="R138" s="91">
        <f>SUMIFS(tabela_registros[VALOR],tabela_registros[MÊS],$AE$1,tabela_registros[DIA],investirrendavariávelconsolidadoset[[#Headers],[14]],tabela_registros[REGISTRO],DADOS!$N$5,tabela_registros[TIPO],DADOS!$AB$4,tabela_registros[CATEGORIA],investirrendavariávelconsolidadoset[[#This Row],[ATUAL]])</f>
        <v>0</v>
      </c>
      <c r="S138" s="91">
        <f>SUMIFS(tabela_registros[VALOR],tabela_registros[MÊS],$AE$1,tabela_registros[DIA],investirrendavariávelconsolidadoset[[#Headers],[15]],tabela_registros[REGISTRO],DADOS!$N$5,tabela_registros[TIPO],DADOS!$AB$4,tabela_registros[CATEGORIA],investirrendavariávelconsolidadoset[[#This Row],[ATUAL]])</f>
        <v>0</v>
      </c>
      <c r="T138" s="91">
        <f>SUMIFS(tabela_registros[VALOR],tabela_registros[MÊS],$AE$1,tabela_registros[DIA],investirrendavariávelconsolidadoset[[#Headers],[16]],tabela_registros[REGISTRO],DADOS!$N$5,tabela_registros[TIPO],DADOS!$AB$4,tabela_registros[CATEGORIA],investirrendavariávelconsolidadoset[[#This Row],[ATUAL]])</f>
        <v>0</v>
      </c>
      <c r="U138" s="91">
        <f>SUMIFS(tabela_registros[VALOR],tabela_registros[MÊS],$AE$1,tabela_registros[DIA],investirrendavariávelconsolidadoset[[#Headers],[17]],tabela_registros[REGISTRO],DADOS!$N$5,tabela_registros[TIPO],DADOS!$AB$4,tabela_registros[CATEGORIA],investirrendavariávelconsolidadoset[[#This Row],[ATUAL]])</f>
        <v>0</v>
      </c>
      <c r="V138" s="91">
        <f>SUMIFS(tabela_registros[VALOR],tabela_registros[MÊS],$AE$1,tabela_registros[DIA],investirrendavariávelconsolidadoset[[#Headers],[18]],tabela_registros[REGISTRO],DADOS!$N$5,tabela_registros[TIPO],DADOS!$AB$4,tabela_registros[CATEGORIA],investirrendavariávelconsolidadoset[[#This Row],[ATUAL]])</f>
        <v>0</v>
      </c>
      <c r="W138" s="91">
        <f>SUMIFS(tabela_registros[VALOR],tabela_registros[MÊS],$AE$1,tabela_registros[DIA],investirrendavariávelconsolidadoset[[#Headers],[19]],tabela_registros[REGISTRO],DADOS!$N$5,tabela_registros[TIPO],DADOS!$AB$4,tabela_registros[CATEGORIA],investirrendavariávelconsolidadoset[[#This Row],[ATUAL]])</f>
        <v>0</v>
      </c>
      <c r="X138" s="91">
        <f>SUMIFS(tabela_registros[VALOR],tabela_registros[MÊS],$AE$1,tabela_registros[DIA],investirrendavariávelconsolidadoset[[#Headers],[20]],tabela_registros[REGISTRO],DADOS!$N$5,tabela_registros[TIPO],DADOS!$AB$4,tabela_registros[CATEGORIA],investirrendavariávelconsolidadoset[[#This Row],[ATUAL]])</f>
        <v>0</v>
      </c>
      <c r="Y138" s="91">
        <f>SUMIFS(tabela_registros[VALOR],tabela_registros[MÊS],$AE$1,tabela_registros[DIA],investirrendavariávelconsolidadoset[[#Headers],[21]],tabela_registros[REGISTRO],DADOS!$N$5,tabela_registros[TIPO],DADOS!$AB$4,tabela_registros[CATEGORIA],investirrendavariávelconsolidadoset[[#This Row],[ATUAL]])</f>
        <v>0</v>
      </c>
      <c r="Z138" s="91">
        <f>SUMIFS(tabela_registros[VALOR],tabela_registros[MÊS],$AE$1,tabela_registros[DIA],investirrendavariávelconsolidadoset[[#Headers],[22]],tabela_registros[REGISTRO],DADOS!$N$5,tabela_registros[TIPO],DADOS!$AB$4,tabela_registros[CATEGORIA],investirrendavariávelconsolidadoset[[#This Row],[ATUAL]])</f>
        <v>0</v>
      </c>
      <c r="AA138" s="91">
        <f>SUMIFS(tabela_registros[VALOR],tabela_registros[MÊS],$AE$1,tabela_registros[DIA],investirrendavariávelconsolidadoset[[#Headers],[23]],tabela_registros[REGISTRO],DADOS!$N$5,tabela_registros[TIPO],DADOS!$AB$4,tabela_registros[CATEGORIA],investirrendavariávelconsolidadoset[[#This Row],[ATUAL]])</f>
        <v>0</v>
      </c>
      <c r="AB138" s="91">
        <f>SUMIFS(tabela_registros[VALOR],tabela_registros[MÊS],$AE$1,tabela_registros[DIA],investirrendavariávelconsolidadoset[[#Headers],[24]],tabela_registros[REGISTRO],DADOS!$N$5,tabela_registros[TIPO],DADOS!$AB$4,tabela_registros[CATEGORIA],investirrendavariávelconsolidadoset[[#This Row],[ATUAL]])</f>
        <v>0</v>
      </c>
      <c r="AC138" s="91">
        <f>SUMIFS(tabela_registros[VALOR],tabela_registros[MÊS],$AE$1,tabela_registros[DIA],investirrendavariávelconsolidadoset[[#Headers],[25]],tabela_registros[REGISTRO],DADOS!$N$5,tabela_registros[TIPO],DADOS!$AB$4,tabela_registros[CATEGORIA],investirrendavariávelconsolidadoset[[#This Row],[ATUAL]])</f>
        <v>0</v>
      </c>
      <c r="AD138" s="91">
        <f>SUMIFS(tabela_registros[VALOR],tabela_registros[MÊS],$AE$1,tabela_registros[DIA],investirrendavariávelconsolidadoset[[#Headers],[26]],tabela_registros[REGISTRO],DADOS!$N$5,tabela_registros[TIPO],DADOS!$AB$4,tabela_registros[CATEGORIA],investirrendavariávelconsolidadoset[[#This Row],[ATUAL]])</f>
        <v>0</v>
      </c>
      <c r="AE138" s="91">
        <f>SUMIFS(tabela_registros[VALOR],tabela_registros[MÊS],$AE$1,tabela_registros[DIA],investirrendavariávelconsolidadoset[[#Headers],[27]],tabela_registros[REGISTRO],DADOS!$N$5,tabela_registros[TIPO],DADOS!$AB$4,tabela_registros[CATEGORIA],investirrendavariávelconsolidadoset[[#This Row],[ATUAL]])</f>
        <v>0</v>
      </c>
      <c r="AF138" s="91">
        <f>SUMIFS(tabela_registros[VALOR],tabela_registros[MÊS],$AE$1,tabela_registros[DIA],investirrendavariávelconsolidadoset[[#Headers],[28]],tabela_registros[REGISTRO],DADOS!$N$5,tabela_registros[TIPO],DADOS!$AB$4,tabela_registros[CATEGORIA],investirrendavariávelconsolidadoset[[#This Row],[ATUAL]])</f>
        <v>0</v>
      </c>
      <c r="AG138" s="91">
        <f>SUMIFS(tabela_registros[VALOR],tabela_registros[MÊS],$AE$1,tabela_registros[DIA],investirrendavariávelconsolidadoset[[#Headers],[29]],tabela_registros[REGISTRO],DADOS!$N$5,tabela_registros[TIPO],DADOS!$AB$4,tabela_registros[CATEGORIA],investirrendavariávelconsolidadoset[[#This Row],[ATUAL]])</f>
        <v>0</v>
      </c>
      <c r="AH138" s="91">
        <f>SUMIFS(tabela_registros[VALOR],tabela_registros[MÊS],$AE$1,tabela_registros[DIA],investirrendavariávelconsolidadoset[[#Headers],[30]],tabela_registros[REGISTRO],DADOS!$N$5,tabela_registros[TIPO],DADOS!$AB$4,tabela_registros[CATEGORIA],investirrendavariávelconsolidadoset[[#This Row],[ATUAL]])</f>
        <v>0</v>
      </c>
      <c r="AI138" s="101">
        <f>SUMIFS(tabela_registros[VALOR],tabela_registros[MÊS],$AE$1,tabela_registros[DIA],investirrendavariávelconsolidadoset[[#Headers],[31]],tabela_registros[REGISTRO],DADOS!$N$5,tabela_registros[TIPO],DADOS!$AB$4,tabela_registros[CATEGORIA],investirrendavariávelconsolidadoset[[#This Row],[ATUAL]])</f>
        <v>0</v>
      </c>
      <c r="AJ138" s="97">
        <f>SUM(investirrendavariávelconsolidadoset[[#This Row],[1]:[31]])</f>
        <v>0</v>
      </c>
      <c r="AK138" s="25"/>
    </row>
    <row r="139" spans="2:37" ht="19.5" customHeight="1" thickTop="1" thickBot="1" x14ac:dyDescent="0.3">
      <c r="B139" s="28"/>
      <c r="C139" s="27" t="str">
        <f>DADOS!$AF$10</f>
        <v>📝 FII</v>
      </c>
      <c r="D139" s="26" t="str">
        <f>IF(investirrendavariávelconsolidadoset[[#This Row],[TOTAL (R$)]]=0,"",IF(OR(investirrendavariávelconsolidadoset[[#This Row],[TOTAL (R$)]]=LARGE($AJ$132:$AJ$141,1),investirrendavariávelconsolidadoset[[#This Row],[TOTAL (R$)]]=LARGE($AJ$132:$AJ$141,2)),DADOS!$I$10,""))</f>
        <v/>
      </c>
      <c r="E139" s="96">
        <f>SUMIFS(tabela_registros[VALOR],tabela_registros[MÊS],$AE$1,tabela_registros[DIA],investirrendavariávelconsolidadoset[[#Headers],[1]],tabela_registros[REGISTRO],DADOS!$N$5,tabela_registros[TIPO],DADOS!$AB$4,tabela_registros[CATEGORIA],investirrendavariávelconsolidadoset[[#This Row],[ATUAL]])</f>
        <v>0</v>
      </c>
      <c r="F139" s="91">
        <f>SUMIFS(tabela_registros[VALOR],tabela_registros[MÊS],$AE$1,tabela_registros[DIA],investirrendavariávelconsolidadoset[[#Headers],[2]],tabela_registros[REGISTRO],DADOS!$N$5,tabela_registros[TIPO],DADOS!$AB$4,tabela_registros[CATEGORIA],investirrendavariávelconsolidadoset[[#This Row],[ATUAL]])</f>
        <v>0</v>
      </c>
      <c r="G139" s="91">
        <f>SUMIFS(tabela_registros[VALOR],tabela_registros[MÊS],$AE$1,tabela_registros[DIA],investirrendavariávelconsolidadoset[[#Headers],[3]],tabela_registros[REGISTRO],DADOS!$N$5,tabela_registros[TIPO],DADOS!$AB$4,tabela_registros[CATEGORIA],investirrendavariávelconsolidadoset[[#This Row],[ATUAL]])</f>
        <v>0</v>
      </c>
      <c r="H139" s="91">
        <f>SUMIFS(tabela_registros[VALOR],tabela_registros[MÊS],$AE$1,tabela_registros[DIA],investirrendavariávelconsolidadoset[[#Headers],[4]],tabela_registros[REGISTRO],DADOS!$N$5,tabela_registros[TIPO],DADOS!$AB$4,tabela_registros[CATEGORIA],investirrendavariávelconsolidadoset[[#This Row],[ATUAL]])</f>
        <v>0</v>
      </c>
      <c r="I139" s="91">
        <f>SUMIFS(tabela_registros[VALOR],tabela_registros[MÊS],$AE$1,tabela_registros[DIA],investirrendavariávelconsolidadoset[[#Headers],[5]],tabela_registros[REGISTRO],DADOS!$N$5,tabela_registros[TIPO],DADOS!$AB$4,tabela_registros[CATEGORIA],investirrendavariávelconsolidadoset[[#This Row],[ATUAL]])</f>
        <v>0</v>
      </c>
      <c r="J139" s="91">
        <f>SUMIFS(tabela_registros[VALOR],tabela_registros[MÊS],$AE$1,tabela_registros[DIA],investirrendavariávelconsolidadoset[[#Headers],[6]],tabela_registros[REGISTRO],DADOS!$N$5,tabela_registros[TIPO],DADOS!$AB$4,tabela_registros[CATEGORIA],investirrendavariávelconsolidadoset[[#This Row],[ATUAL]])</f>
        <v>0</v>
      </c>
      <c r="K139" s="91">
        <f>SUMIFS(tabela_registros[VALOR],tabela_registros[MÊS],$AE$1,tabela_registros[DIA],investirrendavariávelconsolidadoset[[#Headers],[7]],tabela_registros[REGISTRO],DADOS!$N$5,tabela_registros[TIPO],DADOS!$AB$4,tabela_registros[CATEGORIA],investirrendavariávelconsolidadoset[[#This Row],[ATUAL]])</f>
        <v>0</v>
      </c>
      <c r="L139" s="91">
        <f>SUMIFS(tabela_registros[VALOR],tabela_registros[MÊS],$AE$1,tabela_registros[DIA],investirrendavariávelconsolidadoset[[#Headers],[8]],tabela_registros[REGISTRO],DADOS!$N$5,tabela_registros[TIPO],DADOS!$AB$4,tabela_registros[CATEGORIA],investirrendavariávelconsolidadoset[[#This Row],[ATUAL]])</f>
        <v>0</v>
      </c>
      <c r="M139" s="91">
        <f>SUMIFS(tabela_registros[VALOR],tabela_registros[MÊS],$AE$1,tabela_registros[DIA],investirrendavariávelconsolidadoset[[#Headers],[9]],tabela_registros[REGISTRO],DADOS!$N$5,tabela_registros[TIPO],DADOS!$AB$4,tabela_registros[CATEGORIA],investirrendavariávelconsolidadoset[[#This Row],[ATUAL]])</f>
        <v>0</v>
      </c>
      <c r="N139" s="91">
        <f>SUMIFS(tabela_registros[VALOR],tabela_registros[MÊS],$AE$1,tabela_registros[DIA],investirrendavariávelconsolidadoset[[#Headers],[10]],tabela_registros[REGISTRO],DADOS!$N$5,tabela_registros[TIPO],DADOS!$AB$4,tabela_registros[CATEGORIA],investirrendavariávelconsolidadoset[[#This Row],[ATUAL]])</f>
        <v>0</v>
      </c>
      <c r="O139" s="91">
        <f>SUMIFS(tabela_registros[VALOR],tabela_registros[MÊS],$AE$1,tabela_registros[DIA],investirrendavariávelconsolidadoset[[#Headers],[11]],tabela_registros[REGISTRO],DADOS!$N$5,tabela_registros[TIPO],DADOS!$AB$4,tabela_registros[CATEGORIA],investirrendavariávelconsolidadoset[[#This Row],[ATUAL]])</f>
        <v>0</v>
      </c>
      <c r="P139" s="91">
        <f>SUMIFS(tabela_registros[VALOR],tabela_registros[MÊS],$AE$1,tabela_registros[DIA],investirrendavariávelconsolidadoset[[#Headers],[12]],tabela_registros[REGISTRO],DADOS!$N$5,tabela_registros[TIPO],DADOS!$AB$4,tabela_registros[CATEGORIA],investirrendavariávelconsolidadoset[[#This Row],[ATUAL]])</f>
        <v>0</v>
      </c>
      <c r="Q139" s="91">
        <f>SUMIFS(tabela_registros[VALOR],tabela_registros[MÊS],$AE$1,tabela_registros[DIA],investirrendavariávelconsolidadoset[[#Headers],[13]],tabela_registros[REGISTRO],DADOS!$N$5,tabela_registros[TIPO],DADOS!$AB$4,tabela_registros[CATEGORIA],investirrendavariávelconsolidadoset[[#This Row],[ATUAL]])</f>
        <v>0</v>
      </c>
      <c r="R139" s="91">
        <f>SUMIFS(tabela_registros[VALOR],tabela_registros[MÊS],$AE$1,tabela_registros[DIA],investirrendavariávelconsolidadoset[[#Headers],[14]],tabela_registros[REGISTRO],DADOS!$N$5,tabela_registros[TIPO],DADOS!$AB$4,tabela_registros[CATEGORIA],investirrendavariávelconsolidadoset[[#This Row],[ATUAL]])</f>
        <v>0</v>
      </c>
      <c r="S139" s="91">
        <f>SUMIFS(tabela_registros[VALOR],tabela_registros[MÊS],$AE$1,tabela_registros[DIA],investirrendavariávelconsolidadoset[[#Headers],[15]],tabela_registros[REGISTRO],DADOS!$N$5,tabela_registros[TIPO],DADOS!$AB$4,tabela_registros[CATEGORIA],investirrendavariávelconsolidadoset[[#This Row],[ATUAL]])</f>
        <v>0</v>
      </c>
      <c r="T139" s="91">
        <f>SUMIFS(tabela_registros[VALOR],tabela_registros[MÊS],$AE$1,tabela_registros[DIA],investirrendavariávelconsolidadoset[[#Headers],[16]],tabela_registros[REGISTRO],DADOS!$N$5,tabela_registros[TIPO],DADOS!$AB$4,tabela_registros[CATEGORIA],investirrendavariávelconsolidadoset[[#This Row],[ATUAL]])</f>
        <v>0</v>
      </c>
      <c r="U139" s="91">
        <f>SUMIFS(tabela_registros[VALOR],tabela_registros[MÊS],$AE$1,tabela_registros[DIA],investirrendavariávelconsolidadoset[[#Headers],[17]],tabela_registros[REGISTRO],DADOS!$N$5,tabela_registros[TIPO],DADOS!$AB$4,tabela_registros[CATEGORIA],investirrendavariávelconsolidadoset[[#This Row],[ATUAL]])</f>
        <v>0</v>
      </c>
      <c r="V139" s="91">
        <f>SUMIFS(tabela_registros[VALOR],tabela_registros[MÊS],$AE$1,tabela_registros[DIA],investirrendavariávelconsolidadoset[[#Headers],[18]],tabela_registros[REGISTRO],DADOS!$N$5,tabela_registros[TIPO],DADOS!$AB$4,tabela_registros[CATEGORIA],investirrendavariávelconsolidadoset[[#This Row],[ATUAL]])</f>
        <v>0</v>
      </c>
      <c r="W139" s="91">
        <f>SUMIFS(tabela_registros[VALOR],tabela_registros[MÊS],$AE$1,tabela_registros[DIA],investirrendavariávelconsolidadoset[[#Headers],[19]],tabela_registros[REGISTRO],DADOS!$N$5,tabela_registros[TIPO],DADOS!$AB$4,tabela_registros[CATEGORIA],investirrendavariávelconsolidadoset[[#This Row],[ATUAL]])</f>
        <v>0</v>
      </c>
      <c r="X139" s="91">
        <f>SUMIFS(tabela_registros[VALOR],tabela_registros[MÊS],$AE$1,tabela_registros[DIA],investirrendavariávelconsolidadoset[[#Headers],[20]],tabela_registros[REGISTRO],DADOS!$N$5,tabela_registros[TIPO],DADOS!$AB$4,tabela_registros[CATEGORIA],investirrendavariávelconsolidadoset[[#This Row],[ATUAL]])</f>
        <v>0</v>
      </c>
      <c r="Y139" s="91">
        <f>SUMIFS(tabela_registros[VALOR],tabela_registros[MÊS],$AE$1,tabela_registros[DIA],investirrendavariávelconsolidadoset[[#Headers],[21]],tabela_registros[REGISTRO],DADOS!$N$5,tabela_registros[TIPO],DADOS!$AB$4,tabela_registros[CATEGORIA],investirrendavariávelconsolidadoset[[#This Row],[ATUAL]])</f>
        <v>0</v>
      </c>
      <c r="Z139" s="91">
        <f>SUMIFS(tabela_registros[VALOR],tabela_registros[MÊS],$AE$1,tabela_registros[DIA],investirrendavariávelconsolidadoset[[#Headers],[22]],tabela_registros[REGISTRO],DADOS!$N$5,tabela_registros[TIPO],DADOS!$AB$4,tabela_registros[CATEGORIA],investirrendavariávelconsolidadoset[[#This Row],[ATUAL]])</f>
        <v>0</v>
      </c>
      <c r="AA139" s="91">
        <f>SUMIFS(tabela_registros[VALOR],tabela_registros[MÊS],$AE$1,tabela_registros[DIA],investirrendavariávelconsolidadoset[[#Headers],[23]],tabela_registros[REGISTRO],DADOS!$N$5,tabela_registros[TIPO],DADOS!$AB$4,tabela_registros[CATEGORIA],investirrendavariávelconsolidadoset[[#This Row],[ATUAL]])</f>
        <v>0</v>
      </c>
      <c r="AB139" s="91">
        <f>SUMIFS(tabela_registros[VALOR],tabela_registros[MÊS],$AE$1,tabela_registros[DIA],investirrendavariávelconsolidadoset[[#Headers],[24]],tabela_registros[REGISTRO],DADOS!$N$5,tabela_registros[TIPO],DADOS!$AB$4,tabela_registros[CATEGORIA],investirrendavariávelconsolidadoset[[#This Row],[ATUAL]])</f>
        <v>0</v>
      </c>
      <c r="AC139" s="91">
        <f>SUMIFS(tabela_registros[VALOR],tabela_registros[MÊS],$AE$1,tabela_registros[DIA],investirrendavariávelconsolidadoset[[#Headers],[25]],tabela_registros[REGISTRO],DADOS!$N$5,tabela_registros[TIPO],DADOS!$AB$4,tabela_registros[CATEGORIA],investirrendavariávelconsolidadoset[[#This Row],[ATUAL]])</f>
        <v>0</v>
      </c>
      <c r="AD139" s="91">
        <f>SUMIFS(tabela_registros[VALOR],tabela_registros[MÊS],$AE$1,tabela_registros[DIA],investirrendavariávelconsolidadoset[[#Headers],[26]],tabela_registros[REGISTRO],DADOS!$N$5,tabela_registros[TIPO],DADOS!$AB$4,tabela_registros[CATEGORIA],investirrendavariávelconsolidadoset[[#This Row],[ATUAL]])</f>
        <v>0</v>
      </c>
      <c r="AE139" s="91">
        <f>SUMIFS(tabela_registros[VALOR],tabela_registros[MÊS],$AE$1,tabela_registros[DIA],investirrendavariávelconsolidadoset[[#Headers],[27]],tabela_registros[REGISTRO],DADOS!$N$5,tabela_registros[TIPO],DADOS!$AB$4,tabela_registros[CATEGORIA],investirrendavariávelconsolidadoset[[#This Row],[ATUAL]])</f>
        <v>0</v>
      </c>
      <c r="AF139" s="91">
        <f>SUMIFS(tabela_registros[VALOR],tabela_registros[MÊS],$AE$1,tabela_registros[DIA],investirrendavariávelconsolidadoset[[#Headers],[28]],tabela_registros[REGISTRO],DADOS!$N$5,tabela_registros[TIPO],DADOS!$AB$4,tabela_registros[CATEGORIA],investirrendavariávelconsolidadoset[[#This Row],[ATUAL]])</f>
        <v>0</v>
      </c>
      <c r="AG139" s="91">
        <f>SUMIFS(tabela_registros[VALOR],tabela_registros[MÊS],$AE$1,tabela_registros[DIA],investirrendavariávelconsolidadoset[[#Headers],[29]],tabela_registros[REGISTRO],DADOS!$N$5,tabela_registros[TIPO],DADOS!$AB$4,tabela_registros[CATEGORIA],investirrendavariávelconsolidadoset[[#This Row],[ATUAL]])</f>
        <v>0</v>
      </c>
      <c r="AH139" s="91">
        <f>SUMIFS(tabela_registros[VALOR],tabela_registros[MÊS],$AE$1,tabela_registros[DIA],investirrendavariávelconsolidadoset[[#Headers],[30]],tabela_registros[REGISTRO],DADOS!$N$5,tabela_registros[TIPO],DADOS!$AB$4,tabela_registros[CATEGORIA],investirrendavariávelconsolidadoset[[#This Row],[ATUAL]])</f>
        <v>0</v>
      </c>
      <c r="AI139" s="101">
        <f>SUMIFS(tabela_registros[VALOR],tabela_registros[MÊS],$AE$1,tabela_registros[DIA],investirrendavariávelconsolidadoset[[#Headers],[31]],tabela_registros[REGISTRO],DADOS!$N$5,tabela_registros[TIPO],DADOS!$AB$4,tabela_registros[CATEGORIA],investirrendavariávelconsolidadoset[[#This Row],[ATUAL]])</f>
        <v>0</v>
      </c>
      <c r="AJ139" s="97">
        <f>SUM(investirrendavariávelconsolidadoset[[#This Row],[1]:[31]])</f>
        <v>0</v>
      </c>
      <c r="AK139" s="25"/>
    </row>
    <row r="140" spans="2:37" ht="19.5" customHeight="1" thickTop="1" thickBot="1" x14ac:dyDescent="0.3">
      <c r="B140" s="28"/>
      <c r="C140" s="27" t="str">
        <f>DADOS!$AF$11</f>
        <v>📝 MOEDA</v>
      </c>
      <c r="D140" s="26" t="str">
        <f>IF(investirrendavariávelconsolidadoset[[#This Row],[TOTAL (R$)]]=0,"",IF(OR(investirrendavariávelconsolidadoset[[#This Row],[TOTAL (R$)]]=LARGE($AJ$132:$AJ$141,1),investirrendavariávelconsolidadoset[[#This Row],[TOTAL (R$)]]=LARGE($AJ$132:$AJ$141,2)),DADOS!$I$10,""))</f>
        <v/>
      </c>
      <c r="E140" s="96">
        <f>SUMIFS(tabela_registros[VALOR],tabela_registros[MÊS],$AE$1,tabela_registros[DIA],investirrendavariávelconsolidadoset[[#Headers],[1]],tabela_registros[REGISTRO],DADOS!$N$5,tabela_registros[TIPO],DADOS!$AB$4,tabela_registros[CATEGORIA],investirrendavariávelconsolidadoset[[#This Row],[ATUAL]])</f>
        <v>0</v>
      </c>
      <c r="F140" s="91">
        <f>SUMIFS(tabela_registros[VALOR],tabela_registros[MÊS],$AE$1,tabela_registros[DIA],investirrendavariávelconsolidadoset[[#Headers],[2]],tabela_registros[REGISTRO],DADOS!$N$5,tabela_registros[TIPO],DADOS!$AB$4,tabela_registros[CATEGORIA],investirrendavariávelconsolidadoset[[#This Row],[ATUAL]])</f>
        <v>0</v>
      </c>
      <c r="G140" s="91">
        <f>SUMIFS(tabela_registros[VALOR],tabela_registros[MÊS],$AE$1,tabela_registros[DIA],investirrendavariávelconsolidadoset[[#Headers],[3]],tabela_registros[REGISTRO],DADOS!$N$5,tabela_registros[TIPO],DADOS!$AB$4,tabela_registros[CATEGORIA],investirrendavariávelconsolidadoset[[#This Row],[ATUAL]])</f>
        <v>0</v>
      </c>
      <c r="H140" s="91">
        <f>SUMIFS(tabela_registros[VALOR],tabela_registros[MÊS],$AE$1,tabela_registros[DIA],investirrendavariávelconsolidadoset[[#Headers],[4]],tabela_registros[REGISTRO],DADOS!$N$5,tabela_registros[TIPO],DADOS!$AB$4,tabela_registros[CATEGORIA],investirrendavariávelconsolidadoset[[#This Row],[ATUAL]])</f>
        <v>0</v>
      </c>
      <c r="I140" s="91">
        <f>SUMIFS(tabela_registros[VALOR],tabela_registros[MÊS],$AE$1,tabela_registros[DIA],investirrendavariávelconsolidadoset[[#Headers],[5]],tabela_registros[REGISTRO],DADOS!$N$5,tabela_registros[TIPO],DADOS!$AB$4,tabela_registros[CATEGORIA],investirrendavariávelconsolidadoset[[#This Row],[ATUAL]])</f>
        <v>0</v>
      </c>
      <c r="J140" s="91">
        <f>SUMIFS(tabela_registros[VALOR],tabela_registros[MÊS],$AE$1,tabela_registros[DIA],investirrendavariávelconsolidadoset[[#Headers],[6]],tabela_registros[REGISTRO],DADOS!$N$5,tabela_registros[TIPO],DADOS!$AB$4,tabela_registros[CATEGORIA],investirrendavariávelconsolidadoset[[#This Row],[ATUAL]])</f>
        <v>0</v>
      </c>
      <c r="K140" s="91">
        <f>SUMIFS(tabela_registros[VALOR],tabela_registros[MÊS],$AE$1,tabela_registros[DIA],investirrendavariávelconsolidadoset[[#Headers],[7]],tabela_registros[REGISTRO],DADOS!$N$5,tabela_registros[TIPO],DADOS!$AB$4,tabela_registros[CATEGORIA],investirrendavariávelconsolidadoset[[#This Row],[ATUAL]])</f>
        <v>0</v>
      </c>
      <c r="L140" s="91">
        <f>SUMIFS(tabela_registros[VALOR],tabela_registros[MÊS],$AE$1,tabela_registros[DIA],investirrendavariávelconsolidadoset[[#Headers],[8]],tabela_registros[REGISTRO],DADOS!$N$5,tabela_registros[TIPO],DADOS!$AB$4,tabela_registros[CATEGORIA],investirrendavariávelconsolidadoset[[#This Row],[ATUAL]])</f>
        <v>0</v>
      </c>
      <c r="M140" s="91">
        <f>SUMIFS(tabela_registros[VALOR],tabela_registros[MÊS],$AE$1,tabela_registros[DIA],investirrendavariávelconsolidadoset[[#Headers],[9]],tabela_registros[REGISTRO],DADOS!$N$5,tabela_registros[TIPO],DADOS!$AB$4,tabela_registros[CATEGORIA],investirrendavariávelconsolidadoset[[#This Row],[ATUAL]])</f>
        <v>0</v>
      </c>
      <c r="N140" s="91">
        <f>SUMIFS(tabela_registros[VALOR],tabela_registros[MÊS],$AE$1,tabela_registros[DIA],investirrendavariávelconsolidadoset[[#Headers],[10]],tabela_registros[REGISTRO],DADOS!$N$5,tabela_registros[TIPO],DADOS!$AB$4,tabela_registros[CATEGORIA],investirrendavariávelconsolidadoset[[#This Row],[ATUAL]])</f>
        <v>0</v>
      </c>
      <c r="O140" s="91">
        <f>SUMIFS(tabela_registros[VALOR],tabela_registros[MÊS],$AE$1,tabela_registros[DIA],investirrendavariávelconsolidadoset[[#Headers],[11]],tabela_registros[REGISTRO],DADOS!$N$5,tabela_registros[TIPO],DADOS!$AB$4,tabela_registros[CATEGORIA],investirrendavariávelconsolidadoset[[#This Row],[ATUAL]])</f>
        <v>0</v>
      </c>
      <c r="P140" s="91">
        <f>SUMIFS(tabela_registros[VALOR],tabela_registros[MÊS],$AE$1,tabela_registros[DIA],investirrendavariávelconsolidadoset[[#Headers],[12]],tabela_registros[REGISTRO],DADOS!$N$5,tabela_registros[TIPO],DADOS!$AB$4,tabela_registros[CATEGORIA],investirrendavariávelconsolidadoset[[#This Row],[ATUAL]])</f>
        <v>0</v>
      </c>
      <c r="Q140" s="91">
        <f>SUMIFS(tabela_registros[VALOR],tabela_registros[MÊS],$AE$1,tabela_registros[DIA],investirrendavariávelconsolidadoset[[#Headers],[13]],tabela_registros[REGISTRO],DADOS!$N$5,tabela_registros[TIPO],DADOS!$AB$4,tabela_registros[CATEGORIA],investirrendavariávelconsolidadoset[[#This Row],[ATUAL]])</f>
        <v>0</v>
      </c>
      <c r="R140" s="91">
        <f>SUMIFS(tabela_registros[VALOR],tabela_registros[MÊS],$AE$1,tabela_registros[DIA],investirrendavariávelconsolidadoset[[#Headers],[14]],tabela_registros[REGISTRO],DADOS!$N$5,tabela_registros[TIPO],DADOS!$AB$4,tabela_registros[CATEGORIA],investirrendavariávelconsolidadoset[[#This Row],[ATUAL]])</f>
        <v>0</v>
      </c>
      <c r="S140" s="91">
        <f>SUMIFS(tabela_registros[VALOR],tabela_registros[MÊS],$AE$1,tabela_registros[DIA],investirrendavariávelconsolidadoset[[#Headers],[15]],tabela_registros[REGISTRO],DADOS!$N$5,tabela_registros[TIPO],DADOS!$AB$4,tabela_registros[CATEGORIA],investirrendavariávelconsolidadoset[[#This Row],[ATUAL]])</f>
        <v>0</v>
      </c>
      <c r="T140" s="91">
        <f>SUMIFS(tabela_registros[VALOR],tabela_registros[MÊS],$AE$1,tabela_registros[DIA],investirrendavariávelconsolidadoset[[#Headers],[16]],tabela_registros[REGISTRO],DADOS!$N$5,tabela_registros[TIPO],DADOS!$AB$4,tabela_registros[CATEGORIA],investirrendavariávelconsolidadoset[[#This Row],[ATUAL]])</f>
        <v>0</v>
      </c>
      <c r="U140" s="91">
        <f>SUMIFS(tabela_registros[VALOR],tabela_registros[MÊS],$AE$1,tabela_registros[DIA],investirrendavariávelconsolidadoset[[#Headers],[17]],tabela_registros[REGISTRO],DADOS!$N$5,tabela_registros[TIPO],DADOS!$AB$4,tabela_registros[CATEGORIA],investirrendavariávelconsolidadoset[[#This Row],[ATUAL]])</f>
        <v>0</v>
      </c>
      <c r="V140" s="91">
        <f>SUMIFS(tabela_registros[VALOR],tabela_registros[MÊS],$AE$1,tabela_registros[DIA],investirrendavariávelconsolidadoset[[#Headers],[18]],tabela_registros[REGISTRO],DADOS!$N$5,tabela_registros[TIPO],DADOS!$AB$4,tabela_registros[CATEGORIA],investirrendavariávelconsolidadoset[[#This Row],[ATUAL]])</f>
        <v>0</v>
      </c>
      <c r="W140" s="91">
        <f>SUMIFS(tabela_registros[VALOR],tabela_registros[MÊS],$AE$1,tabela_registros[DIA],investirrendavariávelconsolidadoset[[#Headers],[19]],tabela_registros[REGISTRO],DADOS!$N$5,tabela_registros[TIPO],DADOS!$AB$4,tabela_registros[CATEGORIA],investirrendavariávelconsolidadoset[[#This Row],[ATUAL]])</f>
        <v>0</v>
      </c>
      <c r="X140" s="91">
        <f>SUMIFS(tabela_registros[VALOR],tabela_registros[MÊS],$AE$1,tabela_registros[DIA],investirrendavariávelconsolidadoset[[#Headers],[20]],tabela_registros[REGISTRO],DADOS!$N$5,tabela_registros[TIPO],DADOS!$AB$4,tabela_registros[CATEGORIA],investirrendavariávelconsolidadoset[[#This Row],[ATUAL]])</f>
        <v>0</v>
      </c>
      <c r="Y140" s="91">
        <f>SUMIFS(tabela_registros[VALOR],tabela_registros[MÊS],$AE$1,tabela_registros[DIA],investirrendavariávelconsolidadoset[[#Headers],[21]],tabela_registros[REGISTRO],DADOS!$N$5,tabela_registros[TIPO],DADOS!$AB$4,tabela_registros[CATEGORIA],investirrendavariávelconsolidadoset[[#This Row],[ATUAL]])</f>
        <v>0</v>
      </c>
      <c r="Z140" s="91">
        <f>SUMIFS(tabela_registros[VALOR],tabela_registros[MÊS],$AE$1,tabela_registros[DIA],investirrendavariávelconsolidadoset[[#Headers],[22]],tabela_registros[REGISTRO],DADOS!$N$5,tabela_registros[TIPO],DADOS!$AB$4,tabela_registros[CATEGORIA],investirrendavariávelconsolidadoset[[#This Row],[ATUAL]])</f>
        <v>0</v>
      </c>
      <c r="AA140" s="91">
        <f>SUMIFS(tabela_registros[VALOR],tabela_registros[MÊS],$AE$1,tabela_registros[DIA],investirrendavariávelconsolidadoset[[#Headers],[23]],tabela_registros[REGISTRO],DADOS!$N$5,tabela_registros[TIPO],DADOS!$AB$4,tabela_registros[CATEGORIA],investirrendavariávelconsolidadoset[[#This Row],[ATUAL]])</f>
        <v>0</v>
      </c>
      <c r="AB140" s="91">
        <f>SUMIFS(tabela_registros[VALOR],tabela_registros[MÊS],$AE$1,tabela_registros[DIA],investirrendavariávelconsolidadoset[[#Headers],[24]],tabela_registros[REGISTRO],DADOS!$N$5,tabela_registros[TIPO],DADOS!$AB$4,tabela_registros[CATEGORIA],investirrendavariávelconsolidadoset[[#This Row],[ATUAL]])</f>
        <v>0</v>
      </c>
      <c r="AC140" s="91">
        <f>SUMIFS(tabela_registros[VALOR],tabela_registros[MÊS],$AE$1,tabela_registros[DIA],investirrendavariávelconsolidadoset[[#Headers],[25]],tabela_registros[REGISTRO],DADOS!$N$5,tabela_registros[TIPO],DADOS!$AB$4,tabela_registros[CATEGORIA],investirrendavariávelconsolidadoset[[#This Row],[ATUAL]])</f>
        <v>0</v>
      </c>
      <c r="AD140" s="91">
        <f>SUMIFS(tabela_registros[VALOR],tabela_registros[MÊS],$AE$1,tabela_registros[DIA],investirrendavariávelconsolidadoset[[#Headers],[26]],tabela_registros[REGISTRO],DADOS!$N$5,tabela_registros[TIPO],DADOS!$AB$4,tabela_registros[CATEGORIA],investirrendavariávelconsolidadoset[[#This Row],[ATUAL]])</f>
        <v>0</v>
      </c>
      <c r="AE140" s="91">
        <f>SUMIFS(tabela_registros[VALOR],tabela_registros[MÊS],$AE$1,tabela_registros[DIA],investirrendavariávelconsolidadoset[[#Headers],[27]],tabela_registros[REGISTRO],DADOS!$N$5,tabela_registros[TIPO],DADOS!$AB$4,tabela_registros[CATEGORIA],investirrendavariávelconsolidadoset[[#This Row],[ATUAL]])</f>
        <v>0</v>
      </c>
      <c r="AF140" s="91">
        <f>SUMIFS(tabela_registros[VALOR],tabela_registros[MÊS],$AE$1,tabela_registros[DIA],investirrendavariávelconsolidadoset[[#Headers],[28]],tabela_registros[REGISTRO],DADOS!$N$5,tabela_registros[TIPO],DADOS!$AB$4,tabela_registros[CATEGORIA],investirrendavariávelconsolidadoset[[#This Row],[ATUAL]])</f>
        <v>0</v>
      </c>
      <c r="AG140" s="91">
        <f>SUMIFS(tabela_registros[VALOR],tabela_registros[MÊS],$AE$1,tabela_registros[DIA],investirrendavariávelconsolidadoset[[#Headers],[29]],tabela_registros[REGISTRO],DADOS!$N$5,tabela_registros[TIPO],DADOS!$AB$4,tabela_registros[CATEGORIA],investirrendavariávelconsolidadoset[[#This Row],[ATUAL]])</f>
        <v>0</v>
      </c>
      <c r="AH140" s="91">
        <f>SUMIFS(tabela_registros[VALOR],tabela_registros[MÊS],$AE$1,tabela_registros[DIA],investirrendavariávelconsolidadoset[[#Headers],[30]],tabela_registros[REGISTRO],DADOS!$N$5,tabela_registros[TIPO],DADOS!$AB$4,tabela_registros[CATEGORIA],investirrendavariávelconsolidadoset[[#This Row],[ATUAL]])</f>
        <v>0</v>
      </c>
      <c r="AI140" s="101">
        <f>SUMIFS(tabela_registros[VALOR],tabela_registros[MÊS],$AE$1,tabela_registros[DIA],investirrendavariávelconsolidadoset[[#Headers],[31]],tabela_registros[REGISTRO],DADOS!$N$5,tabela_registros[TIPO],DADOS!$AB$4,tabela_registros[CATEGORIA],investirrendavariávelconsolidadoset[[#This Row],[ATUAL]])</f>
        <v>0</v>
      </c>
      <c r="AJ140" s="97">
        <f>SUM(investirrendavariávelconsolidadoset[[#This Row],[1]:[31]])</f>
        <v>0</v>
      </c>
      <c r="AK140" s="25"/>
    </row>
    <row r="141" spans="2:37" ht="19.5" customHeight="1" thickTop="1" thickBot="1" x14ac:dyDescent="0.3">
      <c r="B141" s="28"/>
      <c r="C141" s="27" t="str">
        <f>DADOS!$AF$12</f>
        <v>📎 OUTROS</v>
      </c>
      <c r="D141" s="26" t="str">
        <f>IF(investirrendavariávelconsolidadoset[[#This Row],[TOTAL (R$)]]=0,"",IF(OR(investirrendavariávelconsolidadoset[[#This Row],[TOTAL (R$)]]=LARGE($AJ$132:$AJ$141,1),investirrendavariávelconsolidadoset[[#This Row],[TOTAL (R$)]]=LARGE($AJ$132:$AJ$141,2)),DADOS!$I$10,""))</f>
        <v/>
      </c>
      <c r="E141" s="96">
        <f>SUMIFS(tabela_registros[VALOR],tabela_registros[MÊS],$AE$1,tabela_registros[DIA],investirrendavariávelconsolidadoset[[#Headers],[1]],tabela_registros[REGISTRO],DADOS!$N$5,tabela_registros[TIPO],DADOS!$AB$4,tabela_registros[CATEGORIA],investirrendavariávelconsolidadoset[[#This Row],[ATUAL]])</f>
        <v>0</v>
      </c>
      <c r="F141" s="91">
        <f>SUMIFS(tabela_registros[VALOR],tabela_registros[MÊS],$AE$1,tabela_registros[DIA],investirrendavariávelconsolidadoset[[#Headers],[2]],tabela_registros[REGISTRO],DADOS!$N$5,tabela_registros[TIPO],DADOS!$AB$4,tabela_registros[CATEGORIA],investirrendavariávelconsolidadoset[[#This Row],[ATUAL]])</f>
        <v>0</v>
      </c>
      <c r="G141" s="91">
        <f>SUMIFS(tabela_registros[VALOR],tabela_registros[MÊS],$AE$1,tabela_registros[DIA],investirrendavariávelconsolidadoset[[#Headers],[3]],tabela_registros[REGISTRO],DADOS!$N$5,tabela_registros[TIPO],DADOS!$AB$4,tabela_registros[CATEGORIA],investirrendavariávelconsolidadoset[[#This Row],[ATUAL]])</f>
        <v>0</v>
      </c>
      <c r="H141" s="91">
        <f>SUMIFS(tabela_registros[VALOR],tabela_registros[MÊS],$AE$1,tabela_registros[DIA],investirrendavariávelconsolidadoset[[#Headers],[4]],tabela_registros[REGISTRO],DADOS!$N$5,tabela_registros[TIPO],DADOS!$AB$4,tabela_registros[CATEGORIA],investirrendavariávelconsolidadoset[[#This Row],[ATUAL]])</f>
        <v>0</v>
      </c>
      <c r="I141" s="91">
        <f>SUMIFS(tabela_registros[VALOR],tabela_registros[MÊS],$AE$1,tabela_registros[DIA],investirrendavariávelconsolidadoset[[#Headers],[5]],tabela_registros[REGISTRO],DADOS!$N$5,tabela_registros[TIPO],DADOS!$AB$4,tabela_registros[CATEGORIA],investirrendavariávelconsolidadoset[[#This Row],[ATUAL]])</f>
        <v>0</v>
      </c>
      <c r="J141" s="91">
        <f>SUMIFS(tabela_registros[VALOR],tabela_registros[MÊS],$AE$1,tabela_registros[DIA],investirrendavariávelconsolidadoset[[#Headers],[6]],tabela_registros[REGISTRO],DADOS!$N$5,tabela_registros[TIPO],DADOS!$AB$4,tabela_registros[CATEGORIA],investirrendavariávelconsolidadoset[[#This Row],[ATUAL]])</f>
        <v>0</v>
      </c>
      <c r="K141" s="91">
        <f>SUMIFS(tabela_registros[VALOR],tabela_registros[MÊS],$AE$1,tabela_registros[DIA],investirrendavariávelconsolidadoset[[#Headers],[7]],tabela_registros[REGISTRO],DADOS!$N$5,tabela_registros[TIPO],DADOS!$AB$4,tabela_registros[CATEGORIA],investirrendavariávelconsolidadoset[[#This Row],[ATUAL]])</f>
        <v>0</v>
      </c>
      <c r="L141" s="91">
        <f>SUMIFS(tabela_registros[VALOR],tabela_registros[MÊS],$AE$1,tabela_registros[DIA],investirrendavariávelconsolidadoset[[#Headers],[8]],tabela_registros[REGISTRO],DADOS!$N$5,tabela_registros[TIPO],DADOS!$AB$4,tabela_registros[CATEGORIA],investirrendavariávelconsolidadoset[[#This Row],[ATUAL]])</f>
        <v>0</v>
      </c>
      <c r="M141" s="91">
        <f>SUMIFS(tabela_registros[VALOR],tabela_registros[MÊS],$AE$1,tabela_registros[DIA],investirrendavariávelconsolidadoset[[#Headers],[9]],tabela_registros[REGISTRO],DADOS!$N$5,tabela_registros[TIPO],DADOS!$AB$4,tabela_registros[CATEGORIA],investirrendavariávelconsolidadoset[[#This Row],[ATUAL]])</f>
        <v>0</v>
      </c>
      <c r="N141" s="91">
        <f>SUMIFS(tabela_registros[VALOR],tabela_registros[MÊS],$AE$1,tabela_registros[DIA],investirrendavariávelconsolidadoset[[#Headers],[10]],tabela_registros[REGISTRO],DADOS!$N$5,tabela_registros[TIPO],DADOS!$AB$4,tabela_registros[CATEGORIA],investirrendavariávelconsolidadoset[[#This Row],[ATUAL]])</f>
        <v>0</v>
      </c>
      <c r="O141" s="91">
        <f>SUMIFS(tabela_registros[VALOR],tabela_registros[MÊS],$AE$1,tabela_registros[DIA],investirrendavariávelconsolidadoset[[#Headers],[11]],tabela_registros[REGISTRO],DADOS!$N$5,tabela_registros[TIPO],DADOS!$AB$4,tabela_registros[CATEGORIA],investirrendavariávelconsolidadoset[[#This Row],[ATUAL]])</f>
        <v>0</v>
      </c>
      <c r="P141" s="91">
        <f>SUMIFS(tabela_registros[VALOR],tabela_registros[MÊS],$AE$1,tabela_registros[DIA],investirrendavariávelconsolidadoset[[#Headers],[12]],tabela_registros[REGISTRO],DADOS!$N$5,tabela_registros[TIPO],DADOS!$AB$4,tabela_registros[CATEGORIA],investirrendavariávelconsolidadoset[[#This Row],[ATUAL]])</f>
        <v>0</v>
      </c>
      <c r="Q141" s="91">
        <f>SUMIFS(tabela_registros[VALOR],tabela_registros[MÊS],$AE$1,tabela_registros[DIA],investirrendavariávelconsolidadoset[[#Headers],[13]],tabela_registros[REGISTRO],DADOS!$N$5,tabela_registros[TIPO],DADOS!$AB$4,tabela_registros[CATEGORIA],investirrendavariávelconsolidadoset[[#This Row],[ATUAL]])</f>
        <v>0</v>
      </c>
      <c r="R141" s="91">
        <f>SUMIFS(tabela_registros[VALOR],tabela_registros[MÊS],$AE$1,tabela_registros[DIA],investirrendavariávelconsolidadoset[[#Headers],[14]],tabela_registros[REGISTRO],DADOS!$N$5,tabela_registros[TIPO],DADOS!$AB$4,tabela_registros[CATEGORIA],investirrendavariávelconsolidadoset[[#This Row],[ATUAL]])</f>
        <v>0</v>
      </c>
      <c r="S141" s="91">
        <f>SUMIFS(tabela_registros[VALOR],tabela_registros[MÊS],$AE$1,tabela_registros[DIA],investirrendavariávelconsolidadoset[[#Headers],[15]],tabela_registros[REGISTRO],DADOS!$N$5,tabela_registros[TIPO],DADOS!$AB$4,tabela_registros[CATEGORIA],investirrendavariávelconsolidadoset[[#This Row],[ATUAL]])</f>
        <v>0</v>
      </c>
      <c r="T141" s="91">
        <f>SUMIFS(tabela_registros[VALOR],tabela_registros[MÊS],$AE$1,tabela_registros[DIA],investirrendavariávelconsolidadoset[[#Headers],[16]],tabela_registros[REGISTRO],DADOS!$N$5,tabela_registros[TIPO],DADOS!$AB$4,tabela_registros[CATEGORIA],investirrendavariávelconsolidadoset[[#This Row],[ATUAL]])</f>
        <v>0</v>
      </c>
      <c r="U141" s="91">
        <f>SUMIFS(tabela_registros[VALOR],tabela_registros[MÊS],$AE$1,tabela_registros[DIA],investirrendavariávelconsolidadoset[[#Headers],[17]],tabela_registros[REGISTRO],DADOS!$N$5,tabela_registros[TIPO],DADOS!$AB$4,tabela_registros[CATEGORIA],investirrendavariávelconsolidadoset[[#This Row],[ATUAL]])</f>
        <v>0</v>
      </c>
      <c r="V141" s="91">
        <f>SUMIFS(tabela_registros[VALOR],tabela_registros[MÊS],$AE$1,tabela_registros[DIA],investirrendavariávelconsolidadoset[[#Headers],[18]],tabela_registros[REGISTRO],DADOS!$N$5,tabela_registros[TIPO],DADOS!$AB$4,tabela_registros[CATEGORIA],investirrendavariávelconsolidadoset[[#This Row],[ATUAL]])</f>
        <v>0</v>
      </c>
      <c r="W141" s="91">
        <f>SUMIFS(tabela_registros[VALOR],tabela_registros[MÊS],$AE$1,tabela_registros[DIA],investirrendavariávelconsolidadoset[[#Headers],[19]],tabela_registros[REGISTRO],DADOS!$N$5,tabela_registros[TIPO],DADOS!$AB$4,tabela_registros[CATEGORIA],investirrendavariávelconsolidadoset[[#This Row],[ATUAL]])</f>
        <v>0</v>
      </c>
      <c r="X141" s="91">
        <f>SUMIFS(tabela_registros[VALOR],tabela_registros[MÊS],$AE$1,tabela_registros[DIA],investirrendavariávelconsolidadoset[[#Headers],[20]],tabela_registros[REGISTRO],DADOS!$N$5,tabela_registros[TIPO],DADOS!$AB$4,tabela_registros[CATEGORIA],investirrendavariávelconsolidadoset[[#This Row],[ATUAL]])</f>
        <v>0</v>
      </c>
      <c r="Y141" s="91">
        <f>SUMIFS(tabela_registros[VALOR],tabela_registros[MÊS],$AE$1,tabela_registros[DIA],investirrendavariávelconsolidadoset[[#Headers],[21]],tabela_registros[REGISTRO],DADOS!$N$5,tabela_registros[TIPO],DADOS!$AB$4,tabela_registros[CATEGORIA],investirrendavariávelconsolidadoset[[#This Row],[ATUAL]])</f>
        <v>0</v>
      </c>
      <c r="Z141" s="91">
        <f>SUMIFS(tabela_registros[VALOR],tabela_registros[MÊS],$AE$1,tabela_registros[DIA],investirrendavariávelconsolidadoset[[#Headers],[22]],tabela_registros[REGISTRO],DADOS!$N$5,tabela_registros[TIPO],DADOS!$AB$4,tabela_registros[CATEGORIA],investirrendavariávelconsolidadoset[[#This Row],[ATUAL]])</f>
        <v>0</v>
      </c>
      <c r="AA141" s="91">
        <f>SUMIFS(tabela_registros[VALOR],tabela_registros[MÊS],$AE$1,tabela_registros[DIA],investirrendavariávelconsolidadoset[[#Headers],[23]],tabela_registros[REGISTRO],DADOS!$N$5,tabela_registros[TIPO],DADOS!$AB$4,tabela_registros[CATEGORIA],investirrendavariávelconsolidadoset[[#This Row],[ATUAL]])</f>
        <v>0</v>
      </c>
      <c r="AB141" s="91">
        <f>SUMIFS(tabela_registros[VALOR],tabela_registros[MÊS],$AE$1,tabela_registros[DIA],investirrendavariávelconsolidadoset[[#Headers],[24]],tabela_registros[REGISTRO],DADOS!$N$5,tabela_registros[TIPO],DADOS!$AB$4,tabela_registros[CATEGORIA],investirrendavariávelconsolidadoset[[#This Row],[ATUAL]])</f>
        <v>0</v>
      </c>
      <c r="AC141" s="91">
        <f>SUMIFS(tabela_registros[VALOR],tabela_registros[MÊS],$AE$1,tabela_registros[DIA],investirrendavariávelconsolidadoset[[#Headers],[25]],tabela_registros[REGISTRO],DADOS!$N$5,tabela_registros[TIPO],DADOS!$AB$4,tabela_registros[CATEGORIA],investirrendavariávelconsolidadoset[[#This Row],[ATUAL]])</f>
        <v>0</v>
      </c>
      <c r="AD141" s="91">
        <f>SUMIFS(tabela_registros[VALOR],tabela_registros[MÊS],$AE$1,tabela_registros[DIA],investirrendavariávelconsolidadoset[[#Headers],[26]],tabela_registros[REGISTRO],DADOS!$N$5,tabela_registros[TIPO],DADOS!$AB$4,tabela_registros[CATEGORIA],investirrendavariávelconsolidadoset[[#This Row],[ATUAL]])</f>
        <v>0</v>
      </c>
      <c r="AE141" s="91">
        <f>SUMIFS(tabela_registros[VALOR],tabela_registros[MÊS],$AE$1,tabela_registros[DIA],investirrendavariávelconsolidadoset[[#Headers],[27]],tabela_registros[REGISTRO],DADOS!$N$5,tabela_registros[TIPO],DADOS!$AB$4,tabela_registros[CATEGORIA],investirrendavariávelconsolidadoset[[#This Row],[ATUAL]])</f>
        <v>0</v>
      </c>
      <c r="AF141" s="91">
        <f>SUMIFS(tabela_registros[VALOR],tabela_registros[MÊS],$AE$1,tabela_registros[DIA],investirrendavariávelconsolidadoset[[#Headers],[28]],tabela_registros[REGISTRO],DADOS!$N$5,tabela_registros[TIPO],DADOS!$AB$4,tabela_registros[CATEGORIA],investirrendavariávelconsolidadoset[[#This Row],[ATUAL]])</f>
        <v>0</v>
      </c>
      <c r="AG141" s="91">
        <f>SUMIFS(tabela_registros[VALOR],tabela_registros[MÊS],$AE$1,tabela_registros[DIA],investirrendavariávelconsolidadoset[[#Headers],[29]],tabela_registros[REGISTRO],DADOS!$N$5,tabela_registros[TIPO],DADOS!$AB$4,tabela_registros[CATEGORIA],investirrendavariávelconsolidadoset[[#This Row],[ATUAL]])</f>
        <v>0</v>
      </c>
      <c r="AH141" s="91">
        <f>SUMIFS(tabela_registros[VALOR],tabela_registros[MÊS],$AE$1,tabela_registros[DIA],investirrendavariávelconsolidadoset[[#Headers],[30]],tabela_registros[REGISTRO],DADOS!$N$5,tabela_registros[TIPO],DADOS!$AB$4,tabela_registros[CATEGORIA],investirrendavariávelconsolidadoset[[#This Row],[ATUAL]])</f>
        <v>0</v>
      </c>
      <c r="AI141" s="102">
        <f>SUMIFS(tabela_registros[VALOR],tabela_registros[MÊS],$AE$1,tabela_registros[DIA],investirrendavariávelconsolidadoset[[#Headers],[31]],tabela_registros[REGISTRO],DADOS!$N$5,tabela_registros[TIPO],DADOS!$AB$4,tabela_registros[CATEGORIA],investirrendavariávelconsolidadoset[[#This Row],[ATUAL]])</f>
        <v>0</v>
      </c>
      <c r="AJ141" s="97">
        <f>SUM(investirrendavariávelconsolidadoset[[#This Row],[1]:[31]])</f>
        <v>0</v>
      </c>
      <c r="AK141" s="25"/>
    </row>
    <row r="142" spans="2:37" s="16" customFormat="1" ht="21" customHeight="1" thickTop="1" thickBot="1" x14ac:dyDescent="0.35">
      <c r="B142" s="24"/>
      <c r="C142" s="23" t="s">
        <v>19</v>
      </c>
      <c r="D142" s="22"/>
      <c r="E142" s="21">
        <f>SUM(E132:E141)</f>
        <v>0</v>
      </c>
      <c r="F142" s="20">
        <f>SUM(F132:F141)+investirrendavariávelconsolidadoset[[#This Row],[1]]</f>
        <v>0</v>
      </c>
      <c r="G142" s="20">
        <f>SUM(G132:G141)+investirrendavariávelconsolidadoset[[#This Row],[2]]</f>
        <v>0</v>
      </c>
      <c r="H142" s="20">
        <f>SUM(H132:H141)+investirrendavariávelconsolidadoset[[#This Row],[3]]</f>
        <v>0</v>
      </c>
      <c r="I142" s="20">
        <f>SUM(I132:I141)+investirrendavariávelconsolidadoset[[#This Row],[4]]</f>
        <v>0</v>
      </c>
      <c r="J142" s="20">
        <f>SUM(J132:J141)+investirrendavariávelconsolidadoset[[#This Row],[5]]</f>
        <v>0</v>
      </c>
      <c r="K142" s="20">
        <f>SUM(K132:K141)+investirrendavariávelconsolidadoset[[#This Row],[6]]</f>
        <v>0</v>
      </c>
      <c r="L142" s="20">
        <f>SUM(L132:L141)+investirrendavariávelconsolidadoset[[#This Row],[7]]</f>
        <v>0</v>
      </c>
      <c r="M142" s="20">
        <f>SUM(M132:M141)+investirrendavariávelconsolidadoset[[#This Row],[8]]</f>
        <v>0</v>
      </c>
      <c r="N142" s="20">
        <f>SUM(N132:N141)+investirrendavariávelconsolidadoset[[#This Row],[9]]</f>
        <v>0</v>
      </c>
      <c r="O142" s="20">
        <f>SUM(O132:O141)+investirrendavariávelconsolidadoset[[#This Row],[10]]</f>
        <v>0</v>
      </c>
      <c r="P142" s="20">
        <f>SUM(P132:P141)+investirrendavariávelconsolidadoset[[#This Row],[11]]</f>
        <v>0</v>
      </c>
      <c r="Q142" s="20">
        <f>SUM(Q132:Q141)+investirrendavariávelconsolidadoset[[#This Row],[12]]</f>
        <v>0</v>
      </c>
      <c r="R142" s="20">
        <f>SUM(R132:R141)+investirrendavariávelconsolidadoset[[#This Row],[13]]</f>
        <v>0</v>
      </c>
      <c r="S142" s="20">
        <f>SUM(S132:S141)+investirrendavariávelconsolidadoset[[#This Row],[14]]</f>
        <v>0</v>
      </c>
      <c r="T142" s="20">
        <f>SUM(T132:T141)+investirrendavariávelconsolidadoset[[#This Row],[15]]</f>
        <v>0</v>
      </c>
      <c r="U142" s="20">
        <f>SUM(U132:U141)+investirrendavariávelconsolidadoset[[#This Row],[16]]</f>
        <v>0</v>
      </c>
      <c r="V142" s="20">
        <f>SUM(V132:V141)+investirrendavariávelconsolidadoset[[#This Row],[17]]</f>
        <v>0</v>
      </c>
      <c r="W142" s="20">
        <f>SUM(W132:W141)+investirrendavariávelconsolidadoset[[#This Row],[18]]</f>
        <v>0</v>
      </c>
      <c r="X142" s="20">
        <f>SUM(X132:X141)+investirrendavariávelconsolidadoset[[#This Row],[19]]</f>
        <v>0</v>
      </c>
      <c r="Y142" s="20">
        <f>SUM(Y132:Y141)+investirrendavariávelconsolidadoset[[#This Row],[20]]</f>
        <v>0</v>
      </c>
      <c r="Z142" s="20">
        <f>SUM(Z132:Z141)+investirrendavariávelconsolidadoset[[#This Row],[21]]</f>
        <v>0</v>
      </c>
      <c r="AA142" s="20">
        <f>SUM(AA132:AA141)+investirrendavariávelconsolidadoset[[#This Row],[22]]</f>
        <v>0</v>
      </c>
      <c r="AB142" s="20">
        <f>SUM(AB132:AB141)+investirrendavariávelconsolidadoset[[#This Row],[23]]</f>
        <v>0</v>
      </c>
      <c r="AC142" s="20">
        <f>SUM(AC132:AC141)+investirrendavariávelconsolidadoset[[#This Row],[24]]</f>
        <v>0</v>
      </c>
      <c r="AD142" s="20">
        <f>SUM(AD132:AD141)+investirrendavariávelconsolidadoset[[#This Row],[25]]</f>
        <v>0</v>
      </c>
      <c r="AE142" s="20">
        <f>SUM(AE132:AE141)+investirrendavariávelconsolidadoset[[#This Row],[26]]</f>
        <v>0</v>
      </c>
      <c r="AF142" s="20">
        <f>SUM(AF132:AF141)+investirrendavariávelconsolidadoset[[#This Row],[27]]</f>
        <v>0</v>
      </c>
      <c r="AG142" s="20">
        <f>SUM(AG132:AG141)+investirrendavariávelconsolidadoset[[#This Row],[28]]</f>
        <v>0</v>
      </c>
      <c r="AH142" s="20">
        <f>SUM(AH132:AH141)+investirrendavariávelconsolidadoset[[#This Row],[29]]</f>
        <v>0</v>
      </c>
      <c r="AI142" s="19">
        <f>SUM(AI132:AI141)+investirrendavariávelconsolidadoset[[#This Row],[30]]</f>
        <v>0</v>
      </c>
      <c r="AJ142" s="18">
        <f>investirrendavariávelconsolidadoset[[#This Row],[31]]</f>
        <v>0</v>
      </c>
      <c r="AK142" s="17"/>
    </row>
    <row r="143" spans="2:37" ht="6.75" customHeight="1" thickTop="1" thickBot="1" x14ac:dyDescent="0.3">
      <c r="B143" s="15"/>
      <c r="C143" s="14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  <c r="AE143" s="13"/>
      <c r="AF143" s="13"/>
      <c r="AG143" s="13"/>
      <c r="AH143" s="13"/>
      <c r="AI143" s="12"/>
      <c r="AJ143" s="11"/>
      <c r="AK143" s="10"/>
    </row>
    <row r="144" spans="2:37" ht="12.6" thickTop="1" x14ac:dyDescent="0.25">
      <c r="E144" s="37"/>
      <c r="AI144" s="4"/>
    </row>
    <row r="145" spans="2:37" x14ac:dyDescent="0.25">
      <c r="AI145" s="4"/>
    </row>
    <row r="146" spans="2:37" x14ac:dyDescent="0.25">
      <c r="AI146" s="4"/>
    </row>
    <row r="147" spans="2:37" ht="39.75" customHeight="1" x14ac:dyDescent="0.7">
      <c r="C147" s="36"/>
      <c r="E147" s="240"/>
      <c r="F147" s="240"/>
      <c r="G147" s="240"/>
      <c r="H147" s="240"/>
      <c r="I147" s="240"/>
      <c r="J147" s="240"/>
      <c r="K147" s="240"/>
      <c r="L147" s="240"/>
      <c r="M147" s="240"/>
      <c r="N147" s="240"/>
      <c r="O147" s="240"/>
      <c r="P147" s="240"/>
      <c r="Q147" s="240"/>
      <c r="R147" s="240"/>
      <c r="S147" s="240"/>
      <c r="T147" s="240"/>
      <c r="U147" s="240"/>
      <c r="V147" s="240"/>
      <c r="W147" s="240"/>
      <c r="X147" s="240"/>
      <c r="Y147" s="240"/>
      <c r="Z147" s="240"/>
      <c r="AA147" s="240"/>
      <c r="AB147" s="240"/>
      <c r="AC147" s="240"/>
      <c r="AD147" s="240"/>
      <c r="AE147" s="240"/>
      <c r="AF147" s="240"/>
      <c r="AG147" s="240"/>
      <c r="AH147" s="240"/>
      <c r="AI147" s="240"/>
      <c r="AJ147" s="32" t="s">
        <v>19</v>
      </c>
    </row>
    <row r="148" spans="2:37" ht="12.6" thickBot="1" x14ac:dyDescent="0.3">
      <c r="B148" s="35"/>
      <c r="AI148" s="4"/>
      <c r="AJ148" s="34" t="s">
        <v>202</v>
      </c>
    </row>
    <row r="149" spans="2:37" ht="6.75" customHeight="1" thickTop="1" thickBot="1" x14ac:dyDescent="0.3">
      <c r="B149" s="2"/>
      <c r="C149" s="14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F149" s="13"/>
      <c r="AG149" s="13"/>
      <c r="AH149" s="13"/>
      <c r="AI149" s="13"/>
      <c r="AJ149" s="12"/>
      <c r="AK149" s="33"/>
    </row>
    <row r="150" spans="2:37" ht="13.2" hidden="1" thickTop="1" thickBot="1" x14ac:dyDescent="0.3">
      <c r="B150" s="2"/>
      <c r="C150" s="31" t="s">
        <v>199</v>
      </c>
      <c r="D150" s="30" t="s">
        <v>198</v>
      </c>
      <c r="E150" s="30" t="s">
        <v>197</v>
      </c>
      <c r="F150" s="30" t="s">
        <v>196</v>
      </c>
      <c r="G150" s="30" t="s">
        <v>195</v>
      </c>
      <c r="H150" s="30" t="s">
        <v>194</v>
      </c>
      <c r="I150" s="30" t="s">
        <v>193</v>
      </c>
      <c r="J150" s="30" t="s">
        <v>192</v>
      </c>
      <c r="K150" s="30" t="s">
        <v>191</v>
      </c>
      <c r="L150" s="30" t="s">
        <v>190</v>
      </c>
      <c r="M150" s="30" t="s">
        <v>189</v>
      </c>
      <c r="N150" s="30" t="s">
        <v>188</v>
      </c>
      <c r="O150" s="30" t="s">
        <v>187</v>
      </c>
      <c r="P150" s="30" t="s">
        <v>186</v>
      </c>
      <c r="Q150" s="30" t="s">
        <v>185</v>
      </c>
      <c r="R150" s="30" t="s">
        <v>184</v>
      </c>
      <c r="S150" s="30" t="s">
        <v>183</v>
      </c>
      <c r="T150" s="30" t="s">
        <v>182</v>
      </c>
      <c r="U150" s="30" t="s">
        <v>181</v>
      </c>
      <c r="V150" s="30" t="s">
        <v>180</v>
      </c>
      <c r="W150" s="30" t="s">
        <v>179</v>
      </c>
      <c r="X150" s="30" t="s">
        <v>178</v>
      </c>
      <c r="Y150" s="30" t="s">
        <v>177</v>
      </c>
      <c r="Z150" s="30" t="s">
        <v>176</v>
      </c>
      <c r="AA150" s="30" t="s">
        <v>175</v>
      </c>
      <c r="AB150" s="30" t="s">
        <v>174</v>
      </c>
      <c r="AC150" s="30" t="s">
        <v>173</v>
      </c>
      <c r="AD150" s="30" t="s">
        <v>172</v>
      </c>
      <c r="AE150" s="30" t="s">
        <v>171</v>
      </c>
      <c r="AF150" s="30" t="s">
        <v>170</v>
      </c>
      <c r="AG150" s="30" t="s">
        <v>169</v>
      </c>
      <c r="AH150" s="30" t="s">
        <v>168</v>
      </c>
      <c r="AI150" s="30" t="s">
        <v>167</v>
      </c>
      <c r="AJ150" s="29" t="s">
        <v>166</v>
      </c>
      <c r="AK150" s="2"/>
    </row>
    <row r="151" spans="2:37" ht="19.5" customHeight="1" thickTop="1" thickBot="1" x14ac:dyDescent="0.3">
      <c r="B151" s="28"/>
      <c r="C151" s="27" t="str">
        <f>DADOS!$AH$3</f>
        <v>📝 COE</v>
      </c>
      <c r="D151" s="26" t="str">
        <f>IF(investiroutrosconsolidadoset[[#This Row],[TOTAL (R$)]]=0,"",IF(OR(investiroutrosconsolidadoset[[#This Row],[TOTAL (R$)]]=LARGE($AJ$151:$AJ$158,1),investiroutrosconsolidadoset[[#This Row],[TOTAL (R$)]]=LARGE($AJ$151:$AJ$158,2)),DADOS!$I$10,""))</f>
        <v/>
      </c>
      <c r="E151" s="96">
        <f>SUMIFS(tabela_registros[VALOR],tabela_registros[MÊS],$AE$1,tabela_registros[DIA],investiroutrosconsolidadoset[[#Headers],[1]],tabela_registros[REGISTRO],DADOS!$N$5,tabela_registros[TIPO],DADOS!$AB$5,tabela_registros[CATEGORIA],investiroutrosconsolidadoset[[#This Row],[ATUAL]])</f>
        <v>0</v>
      </c>
      <c r="F151" s="91">
        <f>SUMIFS(tabela_registros[VALOR],tabela_registros[MÊS],$AE$1,tabela_registros[DIA],investiroutrosconsolidadoset[[#Headers],[2]],tabela_registros[REGISTRO],DADOS!$N$5,tabela_registros[TIPO],DADOS!$AB$5,tabela_registros[CATEGORIA],investiroutrosconsolidadoset[[#This Row],[ATUAL]])</f>
        <v>0</v>
      </c>
      <c r="G151" s="91">
        <f>SUMIFS(tabela_registros[VALOR],tabela_registros[MÊS],$AE$1,tabela_registros[DIA],investiroutrosconsolidadoset[[#Headers],[3]],tabela_registros[REGISTRO],DADOS!$N$5,tabela_registros[TIPO],DADOS!$AB$5,tabela_registros[CATEGORIA],investiroutrosconsolidadoset[[#This Row],[ATUAL]])</f>
        <v>0</v>
      </c>
      <c r="H151" s="91">
        <f>SUMIFS(tabela_registros[VALOR],tabela_registros[MÊS],$AE$1,tabela_registros[DIA],investiroutrosconsolidadoset[[#Headers],[4]],tabela_registros[REGISTRO],DADOS!$N$5,tabela_registros[TIPO],DADOS!$AB$5,tabela_registros[CATEGORIA],investiroutrosconsolidadoset[[#This Row],[ATUAL]])</f>
        <v>0</v>
      </c>
      <c r="I151" s="91">
        <f>SUMIFS(tabela_registros[VALOR],tabela_registros[MÊS],$AE$1,tabela_registros[DIA],investiroutrosconsolidadoset[[#Headers],[5]],tabela_registros[REGISTRO],DADOS!$N$5,tabela_registros[TIPO],DADOS!$AB$5,tabela_registros[CATEGORIA],investiroutrosconsolidadoset[[#This Row],[ATUAL]])</f>
        <v>0</v>
      </c>
      <c r="J151" s="91">
        <f>SUMIFS(tabela_registros[VALOR],tabela_registros[MÊS],$AE$1,tabela_registros[DIA],investiroutrosconsolidadoset[[#Headers],[6]],tabela_registros[REGISTRO],DADOS!$N$5,tabela_registros[TIPO],DADOS!$AB$5,tabela_registros[CATEGORIA],investiroutrosconsolidadoset[[#This Row],[ATUAL]])</f>
        <v>0</v>
      </c>
      <c r="K151" s="91">
        <f>SUMIFS(tabela_registros[VALOR],tabela_registros[MÊS],$AE$1,tabela_registros[DIA],investiroutrosconsolidadoset[[#Headers],[7]],tabela_registros[REGISTRO],DADOS!$N$5,tabela_registros[TIPO],DADOS!$AB$5,tabela_registros[CATEGORIA],investiroutrosconsolidadoset[[#This Row],[ATUAL]])</f>
        <v>0</v>
      </c>
      <c r="L151" s="91">
        <f>SUMIFS(tabela_registros[VALOR],tabela_registros[MÊS],$AE$1,tabela_registros[DIA],investiroutrosconsolidadoset[[#Headers],[8]],tabela_registros[REGISTRO],DADOS!$N$5,tabela_registros[TIPO],DADOS!$AB$5,tabela_registros[CATEGORIA],investiroutrosconsolidadoset[[#This Row],[ATUAL]])</f>
        <v>0</v>
      </c>
      <c r="M151" s="91">
        <f>SUMIFS(tabela_registros[VALOR],tabela_registros[MÊS],$AE$1,tabela_registros[DIA],investiroutrosconsolidadoset[[#Headers],[9]],tabela_registros[REGISTRO],DADOS!$N$5,tabela_registros[TIPO],DADOS!$AB$5,tabela_registros[CATEGORIA],investiroutrosconsolidadoset[[#This Row],[ATUAL]])</f>
        <v>0</v>
      </c>
      <c r="N151" s="91">
        <f>SUMIFS(tabela_registros[VALOR],tabela_registros[MÊS],$AE$1,tabela_registros[DIA],investiroutrosconsolidadoset[[#Headers],[10]],tabela_registros[REGISTRO],DADOS!$N$5,tabela_registros[TIPO],DADOS!$AB$5,tabela_registros[CATEGORIA],investiroutrosconsolidadoset[[#This Row],[ATUAL]])</f>
        <v>0</v>
      </c>
      <c r="O151" s="91">
        <f>SUMIFS(tabela_registros[VALOR],tabela_registros[MÊS],$AE$1,tabela_registros[DIA],investiroutrosconsolidadoset[[#Headers],[11]],tabela_registros[REGISTRO],DADOS!$N$5,tabela_registros[TIPO],DADOS!$AB$5,tabela_registros[CATEGORIA],investiroutrosconsolidadoset[[#This Row],[ATUAL]])</f>
        <v>0</v>
      </c>
      <c r="P151" s="91">
        <f>SUMIFS(tabela_registros[VALOR],tabela_registros[MÊS],$AE$1,tabela_registros[DIA],investiroutrosconsolidadoset[[#Headers],[12]],tabela_registros[REGISTRO],DADOS!$N$5,tabela_registros[TIPO],DADOS!$AB$5,tabela_registros[CATEGORIA],investiroutrosconsolidadoset[[#This Row],[ATUAL]])</f>
        <v>0</v>
      </c>
      <c r="Q151" s="91">
        <f>SUMIFS(tabela_registros[VALOR],tabela_registros[MÊS],$AE$1,tabela_registros[DIA],investiroutrosconsolidadoset[[#Headers],[13]],tabela_registros[REGISTRO],DADOS!$N$5,tabela_registros[TIPO],DADOS!$AB$5,tabela_registros[CATEGORIA],investiroutrosconsolidadoset[[#This Row],[ATUAL]])</f>
        <v>0</v>
      </c>
      <c r="R151" s="91">
        <f>SUMIFS(tabela_registros[VALOR],tabela_registros[MÊS],$AE$1,tabela_registros[DIA],investiroutrosconsolidadoset[[#Headers],[14]],tabela_registros[REGISTRO],DADOS!$N$5,tabela_registros[TIPO],DADOS!$AB$5,tabela_registros[CATEGORIA],investiroutrosconsolidadoset[[#This Row],[ATUAL]])</f>
        <v>0</v>
      </c>
      <c r="S151" s="91">
        <f>SUMIFS(tabela_registros[VALOR],tabela_registros[MÊS],$AE$1,tabela_registros[DIA],investiroutrosconsolidadoset[[#Headers],[15]],tabela_registros[REGISTRO],DADOS!$N$5,tabela_registros[TIPO],DADOS!$AB$5,tabela_registros[CATEGORIA],investiroutrosconsolidadoset[[#This Row],[ATUAL]])</f>
        <v>0</v>
      </c>
      <c r="T151" s="91">
        <f>SUMIFS(tabela_registros[VALOR],tabela_registros[MÊS],$AE$1,tabela_registros[DIA],investiroutrosconsolidadoset[[#Headers],[16]],tabela_registros[REGISTRO],DADOS!$N$5,tabela_registros[TIPO],DADOS!$AB$5,tabela_registros[CATEGORIA],investiroutrosconsolidadoset[[#This Row],[ATUAL]])</f>
        <v>0</v>
      </c>
      <c r="U151" s="91">
        <f>SUMIFS(tabela_registros[VALOR],tabela_registros[MÊS],$AE$1,tabela_registros[DIA],investiroutrosconsolidadoset[[#Headers],[17]],tabela_registros[REGISTRO],DADOS!$N$5,tabela_registros[TIPO],DADOS!$AB$5,tabela_registros[CATEGORIA],investiroutrosconsolidadoset[[#This Row],[ATUAL]])</f>
        <v>0</v>
      </c>
      <c r="V151" s="91">
        <f>SUMIFS(tabela_registros[VALOR],tabela_registros[MÊS],$AE$1,tabela_registros[DIA],investiroutrosconsolidadoset[[#Headers],[18]],tabela_registros[REGISTRO],DADOS!$N$5,tabela_registros[TIPO],DADOS!$AB$5,tabela_registros[CATEGORIA],investiroutrosconsolidadoset[[#This Row],[ATUAL]])</f>
        <v>0</v>
      </c>
      <c r="W151" s="91">
        <f>SUMIFS(tabela_registros[VALOR],tabela_registros[MÊS],$AE$1,tabela_registros[DIA],investiroutrosconsolidadoset[[#Headers],[19]],tabela_registros[REGISTRO],DADOS!$N$5,tabela_registros[TIPO],DADOS!$AB$5,tabela_registros[CATEGORIA],investiroutrosconsolidadoset[[#This Row],[ATUAL]])</f>
        <v>0</v>
      </c>
      <c r="X151" s="91">
        <f>SUMIFS(tabela_registros[VALOR],tabela_registros[MÊS],$AE$1,tabela_registros[DIA],investiroutrosconsolidadoset[[#Headers],[20]],tabela_registros[REGISTRO],DADOS!$N$5,tabela_registros[TIPO],DADOS!$AB$5,tabela_registros[CATEGORIA],investiroutrosconsolidadoset[[#This Row],[ATUAL]])</f>
        <v>0</v>
      </c>
      <c r="Y151" s="91">
        <f>SUMIFS(tabela_registros[VALOR],tabela_registros[MÊS],$AE$1,tabela_registros[DIA],investiroutrosconsolidadoset[[#Headers],[21]],tabela_registros[REGISTRO],DADOS!$N$5,tabela_registros[TIPO],DADOS!$AB$5,tabela_registros[CATEGORIA],investiroutrosconsolidadoset[[#This Row],[ATUAL]])</f>
        <v>0</v>
      </c>
      <c r="Z151" s="91">
        <f>SUMIFS(tabela_registros[VALOR],tabela_registros[MÊS],$AE$1,tabela_registros[DIA],investiroutrosconsolidadoset[[#Headers],[22]],tabela_registros[REGISTRO],DADOS!$N$5,tabela_registros[TIPO],DADOS!$AB$5,tabela_registros[CATEGORIA],investiroutrosconsolidadoset[[#This Row],[ATUAL]])</f>
        <v>0</v>
      </c>
      <c r="AA151" s="91">
        <f>SUMIFS(tabela_registros[VALOR],tabela_registros[MÊS],$AE$1,tabela_registros[DIA],investiroutrosconsolidadoset[[#Headers],[23]],tabela_registros[REGISTRO],DADOS!$N$5,tabela_registros[TIPO],DADOS!$AB$5,tabela_registros[CATEGORIA],investiroutrosconsolidadoset[[#This Row],[ATUAL]])</f>
        <v>0</v>
      </c>
      <c r="AB151" s="91">
        <f>SUMIFS(tabela_registros[VALOR],tabela_registros[MÊS],$AE$1,tabela_registros[DIA],investiroutrosconsolidadoset[[#Headers],[24]],tabela_registros[REGISTRO],DADOS!$N$5,tabela_registros[TIPO],DADOS!$AB$5,tabela_registros[CATEGORIA],investiroutrosconsolidadoset[[#This Row],[ATUAL]])</f>
        <v>0</v>
      </c>
      <c r="AC151" s="91">
        <f>SUMIFS(tabela_registros[VALOR],tabela_registros[MÊS],$AE$1,tabela_registros[DIA],investiroutrosconsolidadoset[[#Headers],[25]],tabela_registros[REGISTRO],DADOS!$N$5,tabela_registros[TIPO],DADOS!$AB$5,tabela_registros[CATEGORIA],investiroutrosconsolidadoset[[#This Row],[ATUAL]])</f>
        <v>0</v>
      </c>
      <c r="AD151" s="91">
        <f>SUMIFS(tabela_registros[VALOR],tabela_registros[MÊS],$AE$1,tabela_registros[DIA],investiroutrosconsolidadoset[[#Headers],[26]],tabela_registros[REGISTRO],DADOS!$N$5,tabela_registros[TIPO],DADOS!$AB$5,tabela_registros[CATEGORIA],investiroutrosconsolidadoset[[#This Row],[ATUAL]])</f>
        <v>0</v>
      </c>
      <c r="AE151" s="91">
        <f>SUMIFS(tabela_registros[VALOR],tabela_registros[MÊS],$AE$1,tabela_registros[DIA],investiroutrosconsolidadoset[[#Headers],[27]],tabela_registros[REGISTRO],DADOS!$N$5,tabela_registros[TIPO],DADOS!$AB$5,tabela_registros[CATEGORIA],investiroutrosconsolidadoset[[#This Row],[ATUAL]])</f>
        <v>0</v>
      </c>
      <c r="AF151" s="91">
        <f>SUMIFS(tabela_registros[VALOR],tabela_registros[MÊS],$AE$1,tabela_registros[DIA],investiroutrosconsolidadoset[[#Headers],[28]],tabela_registros[REGISTRO],DADOS!$N$5,tabela_registros[TIPO],DADOS!$AB$5,tabela_registros[CATEGORIA],investiroutrosconsolidadoset[[#This Row],[ATUAL]])</f>
        <v>0</v>
      </c>
      <c r="AG151" s="91">
        <f>SUMIFS(tabela_registros[VALOR],tabela_registros[MÊS],$AE$1,tabela_registros[DIA],investiroutrosconsolidadoset[[#Headers],[29]],tabela_registros[REGISTRO],DADOS!$N$5,tabela_registros[TIPO],DADOS!$AB$5,tabela_registros[CATEGORIA],investiroutrosconsolidadoset[[#This Row],[ATUAL]])</f>
        <v>0</v>
      </c>
      <c r="AH151" s="91">
        <f>SUMIFS(tabela_registros[VALOR],tabela_registros[MÊS],$AE$1,tabela_registros[DIA],investiroutrosconsolidadoset[[#Headers],[30]],tabela_registros[REGISTRO],DADOS!$N$5,tabela_registros[TIPO],DADOS!$AB$5,tabela_registros[CATEGORIA],investiroutrosconsolidadoset[[#This Row],[ATUAL]])</f>
        <v>0</v>
      </c>
      <c r="AI151" s="101">
        <f>SUMIFS(tabela_registros[VALOR],tabela_registros[MÊS],$AE$1,tabela_registros[DIA],investiroutrosconsolidadoset[[#Headers],[31]],tabela_registros[REGISTRO],DADOS!$N$5,tabela_registros[TIPO],DADOS!$AB$5,tabela_registros[CATEGORIA],investiroutrosconsolidadoset[[#This Row],[ATUAL]])</f>
        <v>0</v>
      </c>
      <c r="AJ151" s="97">
        <f>SUM(investiroutrosconsolidadoset[[#This Row],[1]:[31]])</f>
        <v>0</v>
      </c>
      <c r="AK151" s="25"/>
    </row>
    <row r="152" spans="2:37" ht="19.5" customHeight="1" thickTop="1" thickBot="1" x14ac:dyDescent="0.3">
      <c r="B152" s="28"/>
      <c r="C152" s="27" t="str">
        <f>DADOS!$AH$4</f>
        <v>📝 FOREX</v>
      </c>
      <c r="D152" s="26" t="str">
        <f>IF(investiroutrosconsolidadoset[[#This Row],[TOTAL (R$)]]=0,"",IF(OR(investiroutrosconsolidadoset[[#This Row],[TOTAL (R$)]]=LARGE($AJ$151:$AJ$158,1),investiroutrosconsolidadoset[[#This Row],[TOTAL (R$)]]=LARGE($AJ$151:$AJ$158,2)),DADOS!$I$10,""))</f>
        <v/>
      </c>
      <c r="E152" s="96">
        <f>SUMIFS(tabela_registros[VALOR],tabela_registros[MÊS],$AE$1,tabela_registros[DIA],investiroutrosconsolidadoset[[#Headers],[1]],tabela_registros[REGISTRO],DADOS!$N$5,tabela_registros[TIPO],DADOS!$AB$5,tabela_registros[CATEGORIA],investiroutrosconsolidadoset[[#This Row],[ATUAL]])</f>
        <v>0</v>
      </c>
      <c r="F152" s="91">
        <f>SUMIFS(tabela_registros[VALOR],tabela_registros[MÊS],$AE$1,tabela_registros[DIA],investiroutrosconsolidadoset[[#Headers],[2]],tabela_registros[REGISTRO],DADOS!$N$5,tabela_registros[TIPO],DADOS!$AB$5,tabela_registros[CATEGORIA],investiroutrosconsolidadoset[[#This Row],[ATUAL]])</f>
        <v>0</v>
      </c>
      <c r="G152" s="91">
        <f>SUMIFS(tabela_registros[VALOR],tabela_registros[MÊS],$AE$1,tabela_registros[DIA],investiroutrosconsolidadoset[[#Headers],[3]],tabela_registros[REGISTRO],DADOS!$N$5,tabela_registros[TIPO],DADOS!$AB$5,tabela_registros[CATEGORIA],investiroutrosconsolidadoset[[#This Row],[ATUAL]])</f>
        <v>0</v>
      </c>
      <c r="H152" s="91">
        <f>SUMIFS(tabela_registros[VALOR],tabela_registros[MÊS],$AE$1,tabela_registros[DIA],investiroutrosconsolidadoset[[#Headers],[4]],tabela_registros[REGISTRO],DADOS!$N$5,tabela_registros[TIPO],DADOS!$AB$5,tabela_registros[CATEGORIA],investiroutrosconsolidadoset[[#This Row],[ATUAL]])</f>
        <v>0</v>
      </c>
      <c r="I152" s="91">
        <f>SUMIFS(tabela_registros[VALOR],tabela_registros[MÊS],$AE$1,tabela_registros[DIA],investiroutrosconsolidadoset[[#Headers],[5]],tabela_registros[REGISTRO],DADOS!$N$5,tabela_registros[TIPO],DADOS!$AB$5,tabela_registros[CATEGORIA],investiroutrosconsolidadoset[[#This Row],[ATUAL]])</f>
        <v>0</v>
      </c>
      <c r="J152" s="91">
        <f>SUMIFS(tabela_registros[VALOR],tabela_registros[MÊS],$AE$1,tabela_registros[DIA],investiroutrosconsolidadoset[[#Headers],[6]],tabela_registros[REGISTRO],DADOS!$N$5,tabela_registros[TIPO],DADOS!$AB$5,tabela_registros[CATEGORIA],investiroutrosconsolidadoset[[#This Row],[ATUAL]])</f>
        <v>0</v>
      </c>
      <c r="K152" s="91">
        <f>SUMIFS(tabela_registros[VALOR],tabela_registros[MÊS],$AE$1,tabela_registros[DIA],investiroutrosconsolidadoset[[#Headers],[7]],tabela_registros[REGISTRO],DADOS!$N$5,tabela_registros[TIPO],DADOS!$AB$5,tabela_registros[CATEGORIA],investiroutrosconsolidadoset[[#This Row],[ATUAL]])</f>
        <v>0</v>
      </c>
      <c r="L152" s="91">
        <f>SUMIFS(tabela_registros[VALOR],tabela_registros[MÊS],$AE$1,tabela_registros[DIA],investiroutrosconsolidadoset[[#Headers],[8]],tabela_registros[REGISTRO],DADOS!$N$5,tabela_registros[TIPO],DADOS!$AB$5,tabela_registros[CATEGORIA],investiroutrosconsolidadoset[[#This Row],[ATUAL]])</f>
        <v>0</v>
      </c>
      <c r="M152" s="91">
        <f>SUMIFS(tabela_registros[VALOR],tabela_registros[MÊS],$AE$1,tabela_registros[DIA],investiroutrosconsolidadoset[[#Headers],[9]],tabela_registros[REGISTRO],DADOS!$N$5,tabela_registros[TIPO],DADOS!$AB$5,tabela_registros[CATEGORIA],investiroutrosconsolidadoset[[#This Row],[ATUAL]])</f>
        <v>0</v>
      </c>
      <c r="N152" s="91">
        <f>SUMIFS(tabela_registros[VALOR],tabela_registros[MÊS],$AE$1,tabela_registros[DIA],investiroutrosconsolidadoset[[#Headers],[10]],tabela_registros[REGISTRO],DADOS!$N$5,tabela_registros[TIPO],DADOS!$AB$5,tabela_registros[CATEGORIA],investiroutrosconsolidadoset[[#This Row],[ATUAL]])</f>
        <v>0</v>
      </c>
      <c r="O152" s="91">
        <f>SUMIFS(tabela_registros[VALOR],tabela_registros[MÊS],$AE$1,tabela_registros[DIA],investiroutrosconsolidadoset[[#Headers],[11]],tabela_registros[REGISTRO],DADOS!$N$5,tabela_registros[TIPO],DADOS!$AB$5,tabela_registros[CATEGORIA],investiroutrosconsolidadoset[[#This Row],[ATUAL]])</f>
        <v>0</v>
      </c>
      <c r="P152" s="91">
        <f>SUMIFS(tabela_registros[VALOR],tabela_registros[MÊS],$AE$1,tabela_registros[DIA],investiroutrosconsolidadoset[[#Headers],[12]],tabela_registros[REGISTRO],DADOS!$N$5,tabela_registros[TIPO],DADOS!$AB$5,tabela_registros[CATEGORIA],investiroutrosconsolidadoset[[#This Row],[ATUAL]])</f>
        <v>0</v>
      </c>
      <c r="Q152" s="91">
        <f>SUMIFS(tabela_registros[VALOR],tabela_registros[MÊS],$AE$1,tabela_registros[DIA],investiroutrosconsolidadoset[[#Headers],[13]],tabela_registros[REGISTRO],DADOS!$N$5,tabela_registros[TIPO],DADOS!$AB$5,tabela_registros[CATEGORIA],investiroutrosconsolidadoset[[#This Row],[ATUAL]])</f>
        <v>0</v>
      </c>
      <c r="R152" s="91">
        <f>SUMIFS(tabela_registros[VALOR],tabela_registros[MÊS],$AE$1,tabela_registros[DIA],investiroutrosconsolidadoset[[#Headers],[14]],tabela_registros[REGISTRO],DADOS!$N$5,tabela_registros[TIPO],DADOS!$AB$5,tabela_registros[CATEGORIA],investiroutrosconsolidadoset[[#This Row],[ATUAL]])</f>
        <v>0</v>
      </c>
      <c r="S152" s="91">
        <f>SUMIFS(tabela_registros[VALOR],tabela_registros[MÊS],$AE$1,tabela_registros[DIA],investiroutrosconsolidadoset[[#Headers],[15]],tabela_registros[REGISTRO],DADOS!$N$5,tabela_registros[TIPO],DADOS!$AB$5,tabela_registros[CATEGORIA],investiroutrosconsolidadoset[[#This Row],[ATUAL]])</f>
        <v>0</v>
      </c>
      <c r="T152" s="91">
        <f>SUMIFS(tabela_registros[VALOR],tabela_registros[MÊS],$AE$1,tabela_registros[DIA],investiroutrosconsolidadoset[[#Headers],[16]],tabela_registros[REGISTRO],DADOS!$N$5,tabela_registros[TIPO],DADOS!$AB$5,tabela_registros[CATEGORIA],investiroutrosconsolidadoset[[#This Row],[ATUAL]])</f>
        <v>0</v>
      </c>
      <c r="U152" s="91">
        <f>SUMIFS(tabela_registros[VALOR],tabela_registros[MÊS],$AE$1,tabela_registros[DIA],investiroutrosconsolidadoset[[#Headers],[17]],tabela_registros[REGISTRO],DADOS!$N$5,tabela_registros[TIPO],DADOS!$AB$5,tabela_registros[CATEGORIA],investiroutrosconsolidadoset[[#This Row],[ATUAL]])</f>
        <v>0</v>
      </c>
      <c r="V152" s="91">
        <f>SUMIFS(tabela_registros[VALOR],tabela_registros[MÊS],$AE$1,tabela_registros[DIA],investiroutrosconsolidadoset[[#Headers],[18]],tabela_registros[REGISTRO],DADOS!$N$5,tabela_registros[TIPO],DADOS!$AB$5,tabela_registros[CATEGORIA],investiroutrosconsolidadoset[[#This Row],[ATUAL]])</f>
        <v>0</v>
      </c>
      <c r="W152" s="91">
        <f>SUMIFS(tabela_registros[VALOR],tabela_registros[MÊS],$AE$1,tabela_registros[DIA],investiroutrosconsolidadoset[[#Headers],[19]],tabela_registros[REGISTRO],DADOS!$N$5,tabela_registros[TIPO],DADOS!$AB$5,tabela_registros[CATEGORIA],investiroutrosconsolidadoset[[#This Row],[ATUAL]])</f>
        <v>0</v>
      </c>
      <c r="X152" s="91">
        <f>SUMIFS(tabela_registros[VALOR],tabela_registros[MÊS],$AE$1,tabela_registros[DIA],investiroutrosconsolidadoset[[#Headers],[20]],tabela_registros[REGISTRO],DADOS!$N$5,tabela_registros[TIPO],DADOS!$AB$5,tabela_registros[CATEGORIA],investiroutrosconsolidadoset[[#This Row],[ATUAL]])</f>
        <v>0</v>
      </c>
      <c r="Y152" s="91">
        <f>SUMIFS(tabela_registros[VALOR],tabela_registros[MÊS],$AE$1,tabela_registros[DIA],investiroutrosconsolidadoset[[#Headers],[21]],tabela_registros[REGISTRO],DADOS!$N$5,tabela_registros[TIPO],DADOS!$AB$5,tabela_registros[CATEGORIA],investiroutrosconsolidadoset[[#This Row],[ATUAL]])</f>
        <v>0</v>
      </c>
      <c r="Z152" s="91">
        <f>SUMIFS(tabela_registros[VALOR],tabela_registros[MÊS],$AE$1,tabela_registros[DIA],investiroutrosconsolidadoset[[#Headers],[22]],tabela_registros[REGISTRO],DADOS!$N$5,tabela_registros[TIPO],DADOS!$AB$5,tabela_registros[CATEGORIA],investiroutrosconsolidadoset[[#This Row],[ATUAL]])</f>
        <v>0</v>
      </c>
      <c r="AA152" s="91">
        <f>SUMIFS(tabela_registros[VALOR],tabela_registros[MÊS],$AE$1,tabela_registros[DIA],investiroutrosconsolidadoset[[#Headers],[23]],tabela_registros[REGISTRO],DADOS!$N$5,tabela_registros[TIPO],DADOS!$AB$5,tabela_registros[CATEGORIA],investiroutrosconsolidadoset[[#This Row],[ATUAL]])</f>
        <v>0</v>
      </c>
      <c r="AB152" s="91">
        <f>SUMIFS(tabela_registros[VALOR],tabela_registros[MÊS],$AE$1,tabela_registros[DIA],investiroutrosconsolidadoset[[#Headers],[24]],tabela_registros[REGISTRO],DADOS!$N$5,tabela_registros[TIPO],DADOS!$AB$5,tabela_registros[CATEGORIA],investiroutrosconsolidadoset[[#This Row],[ATUAL]])</f>
        <v>0</v>
      </c>
      <c r="AC152" s="91">
        <f>SUMIFS(tabela_registros[VALOR],tabela_registros[MÊS],$AE$1,tabela_registros[DIA],investiroutrosconsolidadoset[[#Headers],[25]],tabela_registros[REGISTRO],DADOS!$N$5,tabela_registros[TIPO],DADOS!$AB$5,tabela_registros[CATEGORIA],investiroutrosconsolidadoset[[#This Row],[ATUAL]])</f>
        <v>0</v>
      </c>
      <c r="AD152" s="91">
        <f>SUMIFS(tabela_registros[VALOR],tabela_registros[MÊS],$AE$1,tabela_registros[DIA],investiroutrosconsolidadoset[[#Headers],[26]],tabela_registros[REGISTRO],DADOS!$N$5,tabela_registros[TIPO],DADOS!$AB$5,tabela_registros[CATEGORIA],investiroutrosconsolidadoset[[#This Row],[ATUAL]])</f>
        <v>0</v>
      </c>
      <c r="AE152" s="91">
        <f>SUMIFS(tabela_registros[VALOR],tabela_registros[MÊS],$AE$1,tabela_registros[DIA],investiroutrosconsolidadoset[[#Headers],[27]],tabela_registros[REGISTRO],DADOS!$N$5,tabela_registros[TIPO],DADOS!$AB$5,tabela_registros[CATEGORIA],investiroutrosconsolidadoset[[#This Row],[ATUAL]])</f>
        <v>0</v>
      </c>
      <c r="AF152" s="91">
        <f>SUMIFS(tabela_registros[VALOR],tabela_registros[MÊS],$AE$1,tabela_registros[DIA],investiroutrosconsolidadoset[[#Headers],[28]],tabela_registros[REGISTRO],DADOS!$N$5,tabela_registros[TIPO],DADOS!$AB$5,tabela_registros[CATEGORIA],investiroutrosconsolidadoset[[#This Row],[ATUAL]])</f>
        <v>0</v>
      </c>
      <c r="AG152" s="91">
        <f>SUMIFS(tabela_registros[VALOR],tabela_registros[MÊS],$AE$1,tabela_registros[DIA],investiroutrosconsolidadoset[[#Headers],[29]],tabela_registros[REGISTRO],DADOS!$N$5,tabela_registros[TIPO],DADOS!$AB$5,tabela_registros[CATEGORIA],investiroutrosconsolidadoset[[#This Row],[ATUAL]])</f>
        <v>0</v>
      </c>
      <c r="AH152" s="91">
        <f>SUMIFS(tabela_registros[VALOR],tabela_registros[MÊS],$AE$1,tabela_registros[DIA],investiroutrosconsolidadoset[[#Headers],[30]],tabela_registros[REGISTRO],DADOS!$N$5,tabela_registros[TIPO],DADOS!$AB$5,tabela_registros[CATEGORIA],investiroutrosconsolidadoset[[#This Row],[ATUAL]])</f>
        <v>0</v>
      </c>
      <c r="AI152" s="101">
        <f>SUMIFS(tabela_registros[VALOR],tabela_registros[MÊS],$AE$1,tabela_registros[DIA],investiroutrosconsolidadoset[[#Headers],[31]],tabela_registros[REGISTRO],DADOS!$N$5,tabela_registros[TIPO],DADOS!$AB$5,tabela_registros[CATEGORIA],investiroutrosconsolidadoset[[#This Row],[ATUAL]])</f>
        <v>0</v>
      </c>
      <c r="AJ152" s="97">
        <f>SUM(investiroutrosconsolidadoset[[#This Row],[1]:[31]])</f>
        <v>0</v>
      </c>
      <c r="AK152" s="25"/>
    </row>
    <row r="153" spans="2:37" ht="19.5" customHeight="1" thickTop="1" thickBot="1" x14ac:dyDescent="0.3">
      <c r="B153" s="28"/>
      <c r="C153" s="27" t="str">
        <f>DADOS!$AH$5</f>
        <v>📝 FUNDO DE INVESTIMENTO</v>
      </c>
      <c r="D153" s="26" t="str">
        <f>IF(investiroutrosconsolidadoset[[#This Row],[TOTAL (R$)]]=0,"",IF(OR(investiroutrosconsolidadoset[[#This Row],[TOTAL (R$)]]=LARGE($AJ$151:$AJ$158,1),investiroutrosconsolidadoset[[#This Row],[TOTAL (R$)]]=LARGE($AJ$151:$AJ$158,2)),DADOS!$I$10,""))</f>
        <v/>
      </c>
      <c r="E153" s="96">
        <f>SUMIFS(tabela_registros[VALOR],tabela_registros[MÊS],$AE$1,tabela_registros[DIA],investiroutrosconsolidadoset[[#Headers],[1]],tabela_registros[REGISTRO],DADOS!$N$5,tabela_registros[TIPO],DADOS!$AB$5,tabela_registros[CATEGORIA],investiroutrosconsolidadoset[[#This Row],[ATUAL]])</f>
        <v>0</v>
      </c>
      <c r="F153" s="91">
        <f>SUMIFS(tabela_registros[VALOR],tabela_registros[MÊS],$AE$1,tabela_registros[DIA],investiroutrosconsolidadoset[[#Headers],[2]],tabela_registros[REGISTRO],DADOS!$N$5,tabela_registros[TIPO],DADOS!$AB$5,tabela_registros[CATEGORIA],investiroutrosconsolidadoset[[#This Row],[ATUAL]])</f>
        <v>0</v>
      </c>
      <c r="G153" s="91">
        <f>SUMIFS(tabela_registros[VALOR],tabela_registros[MÊS],$AE$1,tabela_registros[DIA],investiroutrosconsolidadoset[[#Headers],[3]],tabela_registros[REGISTRO],DADOS!$N$5,tabela_registros[TIPO],DADOS!$AB$5,tabela_registros[CATEGORIA],investiroutrosconsolidadoset[[#This Row],[ATUAL]])</f>
        <v>0</v>
      </c>
      <c r="H153" s="91">
        <f>SUMIFS(tabela_registros[VALOR],tabela_registros[MÊS],$AE$1,tabela_registros[DIA],investiroutrosconsolidadoset[[#Headers],[4]],tabela_registros[REGISTRO],DADOS!$N$5,tabela_registros[TIPO],DADOS!$AB$5,tabela_registros[CATEGORIA],investiroutrosconsolidadoset[[#This Row],[ATUAL]])</f>
        <v>0</v>
      </c>
      <c r="I153" s="91">
        <f>SUMIFS(tabela_registros[VALOR],tabela_registros[MÊS],$AE$1,tabela_registros[DIA],investiroutrosconsolidadoset[[#Headers],[5]],tabela_registros[REGISTRO],DADOS!$N$5,tabela_registros[TIPO],DADOS!$AB$5,tabela_registros[CATEGORIA],investiroutrosconsolidadoset[[#This Row],[ATUAL]])</f>
        <v>0</v>
      </c>
      <c r="J153" s="91">
        <f>SUMIFS(tabela_registros[VALOR],tabela_registros[MÊS],$AE$1,tabela_registros[DIA],investiroutrosconsolidadoset[[#Headers],[6]],tabela_registros[REGISTRO],DADOS!$N$5,tabela_registros[TIPO],DADOS!$AB$5,tabela_registros[CATEGORIA],investiroutrosconsolidadoset[[#This Row],[ATUAL]])</f>
        <v>0</v>
      </c>
      <c r="K153" s="91">
        <f>SUMIFS(tabela_registros[VALOR],tabela_registros[MÊS],$AE$1,tabela_registros[DIA],investiroutrosconsolidadoset[[#Headers],[7]],tabela_registros[REGISTRO],DADOS!$N$5,tabela_registros[TIPO],DADOS!$AB$5,tabela_registros[CATEGORIA],investiroutrosconsolidadoset[[#This Row],[ATUAL]])</f>
        <v>0</v>
      </c>
      <c r="L153" s="91">
        <f>SUMIFS(tabela_registros[VALOR],tabela_registros[MÊS],$AE$1,tabela_registros[DIA],investiroutrosconsolidadoset[[#Headers],[8]],tabela_registros[REGISTRO],DADOS!$N$5,tabela_registros[TIPO],DADOS!$AB$5,tabela_registros[CATEGORIA],investiroutrosconsolidadoset[[#This Row],[ATUAL]])</f>
        <v>0</v>
      </c>
      <c r="M153" s="91">
        <f>SUMIFS(tabela_registros[VALOR],tabela_registros[MÊS],$AE$1,tabela_registros[DIA],investiroutrosconsolidadoset[[#Headers],[9]],tabela_registros[REGISTRO],DADOS!$N$5,tabela_registros[TIPO],DADOS!$AB$5,tabela_registros[CATEGORIA],investiroutrosconsolidadoset[[#This Row],[ATUAL]])</f>
        <v>0</v>
      </c>
      <c r="N153" s="91">
        <f>SUMIFS(tabela_registros[VALOR],tabela_registros[MÊS],$AE$1,tabela_registros[DIA],investiroutrosconsolidadoset[[#Headers],[10]],tabela_registros[REGISTRO],DADOS!$N$5,tabela_registros[TIPO],DADOS!$AB$5,tabela_registros[CATEGORIA],investiroutrosconsolidadoset[[#This Row],[ATUAL]])</f>
        <v>0</v>
      </c>
      <c r="O153" s="91">
        <f>SUMIFS(tabela_registros[VALOR],tabela_registros[MÊS],$AE$1,tabela_registros[DIA],investiroutrosconsolidadoset[[#Headers],[11]],tabela_registros[REGISTRO],DADOS!$N$5,tabela_registros[TIPO],DADOS!$AB$5,tabela_registros[CATEGORIA],investiroutrosconsolidadoset[[#This Row],[ATUAL]])</f>
        <v>0</v>
      </c>
      <c r="P153" s="91">
        <f>SUMIFS(tabela_registros[VALOR],tabela_registros[MÊS],$AE$1,tabela_registros[DIA],investiroutrosconsolidadoset[[#Headers],[12]],tabela_registros[REGISTRO],DADOS!$N$5,tabela_registros[TIPO],DADOS!$AB$5,tabela_registros[CATEGORIA],investiroutrosconsolidadoset[[#This Row],[ATUAL]])</f>
        <v>0</v>
      </c>
      <c r="Q153" s="91">
        <f>SUMIFS(tabela_registros[VALOR],tabela_registros[MÊS],$AE$1,tabela_registros[DIA],investiroutrosconsolidadoset[[#Headers],[13]],tabela_registros[REGISTRO],DADOS!$N$5,tabela_registros[TIPO],DADOS!$AB$5,tabela_registros[CATEGORIA],investiroutrosconsolidadoset[[#This Row],[ATUAL]])</f>
        <v>0</v>
      </c>
      <c r="R153" s="91">
        <f>SUMIFS(tabela_registros[VALOR],tabela_registros[MÊS],$AE$1,tabela_registros[DIA],investiroutrosconsolidadoset[[#Headers],[14]],tabela_registros[REGISTRO],DADOS!$N$5,tabela_registros[TIPO],DADOS!$AB$5,tabela_registros[CATEGORIA],investiroutrosconsolidadoset[[#This Row],[ATUAL]])</f>
        <v>0</v>
      </c>
      <c r="S153" s="91">
        <f>SUMIFS(tabela_registros[VALOR],tabela_registros[MÊS],$AE$1,tabela_registros[DIA],investiroutrosconsolidadoset[[#Headers],[15]],tabela_registros[REGISTRO],DADOS!$N$5,tabela_registros[TIPO],DADOS!$AB$5,tabela_registros[CATEGORIA],investiroutrosconsolidadoset[[#This Row],[ATUAL]])</f>
        <v>0</v>
      </c>
      <c r="T153" s="91">
        <f>SUMIFS(tabela_registros[VALOR],tabela_registros[MÊS],$AE$1,tabela_registros[DIA],investiroutrosconsolidadoset[[#Headers],[16]],tabela_registros[REGISTRO],DADOS!$N$5,tabela_registros[TIPO],DADOS!$AB$5,tabela_registros[CATEGORIA],investiroutrosconsolidadoset[[#This Row],[ATUAL]])</f>
        <v>0</v>
      </c>
      <c r="U153" s="91">
        <f>SUMIFS(tabela_registros[VALOR],tabela_registros[MÊS],$AE$1,tabela_registros[DIA],investiroutrosconsolidadoset[[#Headers],[17]],tabela_registros[REGISTRO],DADOS!$N$5,tabela_registros[TIPO],DADOS!$AB$5,tabela_registros[CATEGORIA],investiroutrosconsolidadoset[[#This Row],[ATUAL]])</f>
        <v>0</v>
      </c>
      <c r="V153" s="91">
        <f>SUMIFS(tabela_registros[VALOR],tabela_registros[MÊS],$AE$1,tabela_registros[DIA],investiroutrosconsolidadoset[[#Headers],[18]],tabela_registros[REGISTRO],DADOS!$N$5,tabela_registros[TIPO],DADOS!$AB$5,tabela_registros[CATEGORIA],investiroutrosconsolidadoset[[#This Row],[ATUAL]])</f>
        <v>0</v>
      </c>
      <c r="W153" s="91">
        <f>SUMIFS(tabela_registros[VALOR],tabela_registros[MÊS],$AE$1,tabela_registros[DIA],investiroutrosconsolidadoset[[#Headers],[19]],tabela_registros[REGISTRO],DADOS!$N$5,tabela_registros[TIPO],DADOS!$AB$5,tabela_registros[CATEGORIA],investiroutrosconsolidadoset[[#This Row],[ATUAL]])</f>
        <v>0</v>
      </c>
      <c r="X153" s="91">
        <f>SUMIFS(tabela_registros[VALOR],tabela_registros[MÊS],$AE$1,tabela_registros[DIA],investiroutrosconsolidadoset[[#Headers],[20]],tabela_registros[REGISTRO],DADOS!$N$5,tabela_registros[TIPO],DADOS!$AB$5,tabela_registros[CATEGORIA],investiroutrosconsolidadoset[[#This Row],[ATUAL]])</f>
        <v>0</v>
      </c>
      <c r="Y153" s="91">
        <f>SUMIFS(tabela_registros[VALOR],tabela_registros[MÊS],$AE$1,tabela_registros[DIA],investiroutrosconsolidadoset[[#Headers],[21]],tabela_registros[REGISTRO],DADOS!$N$5,tabela_registros[TIPO],DADOS!$AB$5,tabela_registros[CATEGORIA],investiroutrosconsolidadoset[[#This Row],[ATUAL]])</f>
        <v>0</v>
      </c>
      <c r="Z153" s="91">
        <f>SUMIFS(tabela_registros[VALOR],tabela_registros[MÊS],$AE$1,tabela_registros[DIA],investiroutrosconsolidadoset[[#Headers],[22]],tabela_registros[REGISTRO],DADOS!$N$5,tabela_registros[TIPO],DADOS!$AB$5,tabela_registros[CATEGORIA],investiroutrosconsolidadoset[[#This Row],[ATUAL]])</f>
        <v>0</v>
      </c>
      <c r="AA153" s="91">
        <f>SUMIFS(tabela_registros[VALOR],tabela_registros[MÊS],$AE$1,tabela_registros[DIA],investiroutrosconsolidadoset[[#Headers],[23]],tabela_registros[REGISTRO],DADOS!$N$5,tabela_registros[TIPO],DADOS!$AB$5,tabela_registros[CATEGORIA],investiroutrosconsolidadoset[[#This Row],[ATUAL]])</f>
        <v>0</v>
      </c>
      <c r="AB153" s="91">
        <f>SUMIFS(tabela_registros[VALOR],tabela_registros[MÊS],$AE$1,tabela_registros[DIA],investiroutrosconsolidadoset[[#Headers],[24]],tabela_registros[REGISTRO],DADOS!$N$5,tabela_registros[TIPO],DADOS!$AB$5,tabela_registros[CATEGORIA],investiroutrosconsolidadoset[[#This Row],[ATUAL]])</f>
        <v>0</v>
      </c>
      <c r="AC153" s="91">
        <f>SUMIFS(tabela_registros[VALOR],tabela_registros[MÊS],$AE$1,tabela_registros[DIA],investiroutrosconsolidadoset[[#Headers],[25]],tabela_registros[REGISTRO],DADOS!$N$5,tabela_registros[TIPO],DADOS!$AB$5,tabela_registros[CATEGORIA],investiroutrosconsolidadoset[[#This Row],[ATUAL]])</f>
        <v>0</v>
      </c>
      <c r="AD153" s="91">
        <f>SUMIFS(tabela_registros[VALOR],tabela_registros[MÊS],$AE$1,tabela_registros[DIA],investiroutrosconsolidadoset[[#Headers],[26]],tabela_registros[REGISTRO],DADOS!$N$5,tabela_registros[TIPO],DADOS!$AB$5,tabela_registros[CATEGORIA],investiroutrosconsolidadoset[[#This Row],[ATUAL]])</f>
        <v>0</v>
      </c>
      <c r="AE153" s="91">
        <f>SUMIFS(tabela_registros[VALOR],tabela_registros[MÊS],$AE$1,tabela_registros[DIA],investiroutrosconsolidadoset[[#Headers],[27]],tabela_registros[REGISTRO],DADOS!$N$5,tabela_registros[TIPO],DADOS!$AB$5,tabela_registros[CATEGORIA],investiroutrosconsolidadoset[[#This Row],[ATUAL]])</f>
        <v>0</v>
      </c>
      <c r="AF153" s="91">
        <f>SUMIFS(tabela_registros[VALOR],tabela_registros[MÊS],$AE$1,tabela_registros[DIA],investiroutrosconsolidadoset[[#Headers],[28]],tabela_registros[REGISTRO],DADOS!$N$5,tabela_registros[TIPO],DADOS!$AB$5,tabela_registros[CATEGORIA],investiroutrosconsolidadoset[[#This Row],[ATUAL]])</f>
        <v>0</v>
      </c>
      <c r="AG153" s="91">
        <f>SUMIFS(tabela_registros[VALOR],tabela_registros[MÊS],$AE$1,tabela_registros[DIA],investiroutrosconsolidadoset[[#Headers],[29]],tabela_registros[REGISTRO],DADOS!$N$5,tabela_registros[TIPO],DADOS!$AB$5,tabela_registros[CATEGORIA],investiroutrosconsolidadoset[[#This Row],[ATUAL]])</f>
        <v>0</v>
      </c>
      <c r="AH153" s="91">
        <f>SUMIFS(tabela_registros[VALOR],tabela_registros[MÊS],$AE$1,tabela_registros[DIA],investiroutrosconsolidadoset[[#Headers],[30]],tabela_registros[REGISTRO],DADOS!$N$5,tabela_registros[TIPO],DADOS!$AB$5,tabela_registros[CATEGORIA],investiroutrosconsolidadoset[[#This Row],[ATUAL]])</f>
        <v>0</v>
      </c>
      <c r="AI153" s="101">
        <f>SUMIFS(tabela_registros[VALOR],tabela_registros[MÊS],$AE$1,tabela_registros[DIA],investiroutrosconsolidadoset[[#Headers],[31]],tabela_registros[REGISTRO],DADOS!$N$5,tabela_registros[TIPO],DADOS!$AB$5,tabela_registros[CATEGORIA],investiroutrosconsolidadoset[[#This Row],[ATUAL]])</f>
        <v>0</v>
      </c>
      <c r="AJ153" s="97">
        <f>SUM(investiroutrosconsolidadoset[[#This Row],[1]:[31]])</f>
        <v>0</v>
      </c>
      <c r="AK153" s="25"/>
    </row>
    <row r="154" spans="2:37" ht="19.5" customHeight="1" thickTop="1" thickBot="1" x14ac:dyDescent="0.3">
      <c r="B154" s="28"/>
      <c r="C154" s="27" t="str">
        <f>DADOS!$AH$6</f>
        <v>📝 NOVA EMPRESA</v>
      </c>
      <c r="D154" s="26" t="str">
        <f>IF(investiroutrosconsolidadoset[[#This Row],[TOTAL (R$)]]=0,"",IF(OR(investiroutrosconsolidadoset[[#This Row],[TOTAL (R$)]]=LARGE($AJ$151:$AJ$158,1),investiroutrosconsolidadoset[[#This Row],[TOTAL (R$)]]=LARGE($AJ$151:$AJ$158,2)),DADOS!$I$10,""))</f>
        <v/>
      </c>
      <c r="E154" s="96">
        <f>SUMIFS(tabela_registros[VALOR],tabela_registros[MÊS],$AE$1,tabela_registros[DIA],investiroutrosconsolidadoset[[#Headers],[1]],tabela_registros[REGISTRO],DADOS!$N$5,tabela_registros[TIPO],DADOS!$AB$5,tabela_registros[CATEGORIA],investiroutrosconsolidadoset[[#This Row],[ATUAL]])</f>
        <v>0</v>
      </c>
      <c r="F154" s="91">
        <f>SUMIFS(tabela_registros[VALOR],tabela_registros[MÊS],$AE$1,tabela_registros[DIA],investiroutrosconsolidadoset[[#Headers],[2]],tabela_registros[REGISTRO],DADOS!$N$5,tabela_registros[TIPO],DADOS!$AB$5,tabela_registros[CATEGORIA],investiroutrosconsolidadoset[[#This Row],[ATUAL]])</f>
        <v>0</v>
      </c>
      <c r="G154" s="91">
        <f>SUMIFS(tabela_registros[VALOR],tabela_registros[MÊS],$AE$1,tabela_registros[DIA],investiroutrosconsolidadoset[[#Headers],[3]],tabela_registros[REGISTRO],DADOS!$N$5,tabela_registros[TIPO],DADOS!$AB$5,tabela_registros[CATEGORIA],investiroutrosconsolidadoset[[#This Row],[ATUAL]])</f>
        <v>0</v>
      </c>
      <c r="H154" s="91">
        <f>SUMIFS(tabela_registros[VALOR],tabela_registros[MÊS],$AE$1,tabela_registros[DIA],investiroutrosconsolidadoset[[#Headers],[4]],tabela_registros[REGISTRO],DADOS!$N$5,tabela_registros[TIPO],DADOS!$AB$5,tabela_registros[CATEGORIA],investiroutrosconsolidadoset[[#This Row],[ATUAL]])</f>
        <v>0</v>
      </c>
      <c r="I154" s="91">
        <f>SUMIFS(tabela_registros[VALOR],tabela_registros[MÊS],$AE$1,tabela_registros[DIA],investiroutrosconsolidadoset[[#Headers],[5]],tabela_registros[REGISTRO],DADOS!$N$5,tabela_registros[TIPO],DADOS!$AB$5,tabela_registros[CATEGORIA],investiroutrosconsolidadoset[[#This Row],[ATUAL]])</f>
        <v>0</v>
      </c>
      <c r="J154" s="91">
        <f>SUMIFS(tabela_registros[VALOR],tabela_registros[MÊS],$AE$1,tabela_registros[DIA],investiroutrosconsolidadoset[[#Headers],[6]],tabela_registros[REGISTRO],DADOS!$N$5,tabela_registros[TIPO],DADOS!$AB$5,tabela_registros[CATEGORIA],investiroutrosconsolidadoset[[#This Row],[ATUAL]])</f>
        <v>0</v>
      </c>
      <c r="K154" s="91">
        <f>SUMIFS(tabela_registros[VALOR],tabela_registros[MÊS],$AE$1,tabela_registros[DIA],investiroutrosconsolidadoset[[#Headers],[7]],tabela_registros[REGISTRO],DADOS!$N$5,tabela_registros[TIPO],DADOS!$AB$5,tabela_registros[CATEGORIA],investiroutrosconsolidadoset[[#This Row],[ATUAL]])</f>
        <v>0</v>
      </c>
      <c r="L154" s="91">
        <f>SUMIFS(tabela_registros[VALOR],tabela_registros[MÊS],$AE$1,tabela_registros[DIA],investiroutrosconsolidadoset[[#Headers],[8]],tabela_registros[REGISTRO],DADOS!$N$5,tabela_registros[TIPO],DADOS!$AB$5,tabela_registros[CATEGORIA],investiroutrosconsolidadoset[[#This Row],[ATUAL]])</f>
        <v>0</v>
      </c>
      <c r="M154" s="91">
        <f>SUMIFS(tabela_registros[VALOR],tabela_registros[MÊS],$AE$1,tabela_registros[DIA],investiroutrosconsolidadoset[[#Headers],[9]],tabela_registros[REGISTRO],DADOS!$N$5,tabela_registros[TIPO],DADOS!$AB$5,tabela_registros[CATEGORIA],investiroutrosconsolidadoset[[#This Row],[ATUAL]])</f>
        <v>0</v>
      </c>
      <c r="N154" s="91">
        <f>SUMIFS(tabela_registros[VALOR],tabela_registros[MÊS],$AE$1,tabela_registros[DIA],investiroutrosconsolidadoset[[#Headers],[10]],tabela_registros[REGISTRO],DADOS!$N$5,tabela_registros[TIPO],DADOS!$AB$5,tabela_registros[CATEGORIA],investiroutrosconsolidadoset[[#This Row],[ATUAL]])</f>
        <v>0</v>
      </c>
      <c r="O154" s="91">
        <f>SUMIFS(tabela_registros[VALOR],tabela_registros[MÊS],$AE$1,tabela_registros[DIA],investiroutrosconsolidadoset[[#Headers],[11]],tabela_registros[REGISTRO],DADOS!$N$5,tabela_registros[TIPO],DADOS!$AB$5,tabela_registros[CATEGORIA],investiroutrosconsolidadoset[[#This Row],[ATUAL]])</f>
        <v>0</v>
      </c>
      <c r="P154" s="91">
        <f>SUMIFS(tabela_registros[VALOR],tabela_registros[MÊS],$AE$1,tabela_registros[DIA],investiroutrosconsolidadoset[[#Headers],[12]],tabela_registros[REGISTRO],DADOS!$N$5,tabela_registros[TIPO],DADOS!$AB$5,tabela_registros[CATEGORIA],investiroutrosconsolidadoset[[#This Row],[ATUAL]])</f>
        <v>0</v>
      </c>
      <c r="Q154" s="91">
        <f>SUMIFS(tabela_registros[VALOR],tabela_registros[MÊS],$AE$1,tabela_registros[DIA],investiroutrosconsolidadoset[[#Headers],[13]],tabela_registros[REGISTRO],DADOS!$N$5,tabela_registros[TIPO],DADOS!$AB$5,tabela_registros[CATEGORIA],investiroutrosconsolidadoset[[#This Row],[ATUAL]])</f>
        <v>0</v>
      </c>
      <c r="R154" s="91">
        <f>SUMIFS(tabela_registros[VALOR],tabela_registros[MÊS],$AE$1,tabela_registros[DIA],investiroutrosconsolidadoset[[#Headers],[14]],tabela_registros[REGISTRO],DADOS!$N$5,tabela_registros[TIPO],DADOS!$AB$5,tabela_registros[CATEGORIA],investiroutrosconsolidadoset[[#This Row],[ATUAL]])</f>
        <v>0</v>
      </c>
      <c r="S154" s="91">
        <f>SUMIFS(tabela_registros[VALOR],tabela_registros[MÊS],$AE$1,tabela_registros[DIA],investiroutrosconsolidadoset[[#Headers],[15]],tabela_registros[REGISTRO],DADOS!$N$5,tabela_registros[TIPO],DADOS!$AB$5,tabela_registros[CATEGORIA],investiroutrosconsolidadoset[[#This Row],[ATUAL]])</f>
        <v>0</v>
      </c>
      <c r="T154" s="91">
        <f>SUMIFS(tabela_registros[VALOR],tabela_registros[MÊS],$AE$1,tabela_registros[DIA],investiroutrosconsolidadoset[[#Headers],[16]],tabela_registros[REGISTRO],DADOS!$N$5,tabela_registros[TIPO],DADOS!$AB$5,tabela_registros[CATEGORIA],investiroutrosconsolidadoset[[#This Row],[ATUAL]])</f>
        <v>0</v>
      </c>
      <c r="U154" s="91">
        <f>SUMIFS(tabela_registros[VALOR],tabela_registros[MÊS],$AE$1,tabela_registros[DIA],investiroutrosconsolidadoset[[#Headers],[17]],tabela_registros[REGISTRO],DADOS!$N$5,tabela_registros[TIPO],DADOS!$AB$5,tabela_registros[CATEGORIA],investiroutrosconsolidadoset[[#This Row],[ATUAL]])</f>
        <v>0</v>
      </c>
      <c r="V154" s="91">
        <f>SUMIFS(tabela_registros[VALOR],tabela_registros[MÊS],$AE$1,tabela_registros[DIA],investiroutrosconsolidadoset[[#Headers],[18]],tabela_registros[REGISTRO],DADOS!$N$5,tabela_registros[TIPO],DADOS!$AB$5,tabela_registros[CATEGORIA],investiroutrosconsolidadoset[[#This Row],[ATUAL]])</f>
        <v>0</v>
      </c>
      <c r="W154" s="91">
        <f>SUMIFS(tabela_registros[VALOR],tabela_registros[MÊS],$AE$1,tabela_registros[DIA],investiroutrosconsolidadoset[[#Headers],[19]],tabela_registros[REGISTRO],DADOS!$N$5,tabela_registros[TIPO],DADOS!$AB$5,tabela_registros[CATEGORIA],investiroutrosconsolidadoset[[#This Row],[ATUAL]])</f>
        <v>0</v>
      </c>
      <c r="X154" s="91">
        <f>SUMIFS(tabela_registros[VALOR],tabela_registros[MÊS],$AE$1,tabela_registros[DIA],investiroutrosconsolidadoset[[#Headers],[20]],tabela_registros[REGISTRO],DADOS!$N$5,tabela_registros[TIPO],DADOS!$AB$5,tabela_registros[CATEGORIA],investiroutrosconsolidadoset[[#This Row],[ATUAL]])</f>
        <v>0</v>
      </c>
      <c r="Y154" s="91">
        <f>SUMIFS(tabela_registros[VALOR],tabela_registros[MÊS],$AE$1,tabela_registros[DIA],investiroutrosconsolidadoset[[#Headers],[21]],tabela_registros[REGISTRO],DADOS!$N$5,tabela_registros[TIPO],DADOS!$AB$5,tabela_registros[CATEGORIA],investiroutrosconsolidadoset[[#This Row],[ATUAL]])</f>
        <v>0</v>
      </c>
      <c r="Z154" s="91">
        <f>SUMIFS(tabela_registros[VALOR],tabela_registros[MÊS],$AE$1,tabela_registros[DIA],investiroutrosconsolidadoset[[#Headers],[22]],tabela_registros[REGISTRO],DADOS!$N$5,tabela_registros[TIPO],DADOS!$AB$5,tabela_registros[CATEGORIA],investiroutrosconsolidadoset[[#This Row],[ATUAL]])</f>
        <v>0</v>
      </c>
      <c r="AA154" s="91">
        <f>SUMIFS(tabela_registros[VALOR],tabela_registros[MÊS],$AE$1,tabela_registros[DIA],investiroutrosconsolidadoset[[#Headers],[23]],tabela_registros[REGISTRO],DADOS!$N$5,tabela_registros[TIPO],DADOS!$AB$5,tabela_registros[CATEGORIA],investiroutrosconsolidadoset[[#This Row],[ATUAL]])</f>
        <v>0</v>
      </c>
      <c r="AB154" s="91">
        <f>SUMIFS(tabela_registros[VALOR],tabela_registros[MÊS],$AE$1,tabela_registros[DIA],investiroutrosconsolidadoset[[#Headers],[24]],tabela_registros[REGISTRO],DADOS!$N$5,tabela_registros[TIPO],DADOS!$AB$5,tabela_registros[CATEGORIA],investiroutrosconsolidadoset[[#This Row],[ATUAL]])</f>
        <v>0</v>
      </c>
      <c r="AC154" s="91">
        <f>SUMIFS(tabela_registros[VALOR],tabela_registros[MÊS],$AE$1,tabela_registros[DIA],investiroutrosconsolidadoset[[#Headers],[25]],tabela_registros[REGISTRO],DADOS!$N$5,tabela_registros[TIPO],DADOS!$AB$5,tabela_registros[CATEGORIA],investiroutrosconsolidadoset[[#This Row],[ATUAL]])</f>
        <v>0</v>
      </c>
      <c r="AD154" s="91">
        <f>SUMIFS(tabela_registros[VALOR],tabela_registros[MÊS],$AE$1,tabela_registros[DIA],investiroutrosconsolidadoset[[#Headers],[26]],tabela_registros[REGISTRO],DADOS!$N$5,tabela_registros[TIPO],DADOS!$AB$5,tabela_registros[CATEGORIA],investiroutrosconsolidadoset[[#This Row],[ATUAL]])</f>
        <v>0</v>
      </c>
      <c r="AE154" s="91">
        <f>SUMIFS(tabela_registros[VALOR],tabela_registros[MÊS],$AE$1,tabela_registros[DIA],investiroutrosconsolidadoset[[#Headers],[27]],tabela_registros[REGISTRO],DADOS!$N$5,tabela_registros[TIPO],DADOS!$AB$5,tabela_registros[CATEGORIA],investiroutrosconsolidadoset[[#This Row],[ATUAL]])</f>
        <v>0</v>
      </c>
      <c r="AF154" s="91">
        <f>SUMIFS(tabela_registros[VALOR],tabela_registros[MÊS],$AE$1,tabela_registros[DIA],investiroutrosconsolidadoset[[#Headers],[28]],tabela_registros[REGISTRO],DADOS!$N$5,tabela_registros[TIPO],DADOS!$AB$5,tabela_registros[CATEGORIA],investiroutrosconsolidadoset[[#This Row],[ATUAL]])</f>
        <v>0</v>
      </c>
      <c r="AG154" s="91">
        <f>SUMIFS(tabela_registros[VALOR],tabela_registros[MÊS],$AE$1,tabela_registros[DIA],investiroutrosconsolidadoset[[#Headers],[29]],tabela_registros[REGISTRO],DADOS!$N$5,tabela_registros[TIPO],DADOS!$AB$5,tabela_registros[CATEGORIA],investiroutrosconsolidadoset[[#This Row],[ATUAL]])</f>
        <v>0</v>
      </c>
      <c r="AH154" s="91">
        <f>SUMIFS(tabela_registros[VALOR],tabela_registros[MÊS],$AE$1,tabela_registros[DIA],investiroutrosconsolidadoset[[#Headers],[30]],tabela_registros[REGISTRO],DADOS!$N$5,tabela_registros[TIPO],DADOS!$AB$5,tabela_registros[CATEGORIA],investiroutrosconsolidadoset[[#This Row],[ATUAL]])</f>
        <v>0</v>
      </c>
      <c r="AI154" s="101">
        <f>SUMIFS(tabela_registros[VALOR],tabela_registros[MÊS],$AE$1,tabela_registros[DIA],investiroutrosconsolidadoset[[#Headers],[31]],tabela_registros[REGISTRO],DADOS!$N$5,tabela_registros[TIPO],DADOS!$AB$5,tabela_registros[CATEGORIA],investiroutrosconsolidadoset[[#This Row],[ATUAL]])</f>
        <v>0</v>
      </c>
      <c r="AJ154" s="97">
        <f>SUM(investiroutrosconsolidadoset[[#This Row],[1]:[31]])</f>
        <v>0</v>
      </c>
      <c r="AK154" s="25"/>
    </row>
    <row r="155" spans="2:37" ht="19.5" customHeight="1" thickTop="1" thickBot="1" x14ac:dyDescent="0.3">
      <c r="B155" s="28"/>
      <c r="C155" s="27" t="str">
        <f>DADOS!$AH$7</f>
        <v>📝 PEER TO COMPANY</v>
      </c>
      <c r="D155" s="26" t="str">
        <f>IF(investiroutrosconsolidadoset[[#This Row],[TOTAL (R$)]]=0,"",IF(OR(investiroutrosconsolidadoset[[#This Row],[TOTAL (R$)]]=LARGE($AJ$151:$AJ$158,1),investiroutrosconsolidadoset[[#This Row],[TOTAL (R$)]]=LARGE($AJ$151:$AJ$158,2)),DADOS!$I$10,""))</f>
        <v/>
      </c>
      <c r="E155" s="96">
        <f>SUMIFS(tabela_registros[VALOR],tabela_registros[MÊS],$AE$1,tabela_registros[DIA],investiroutrosconsolidadoset[[#Headers],[1]],tabela_registros[REGISTRO],DADOS!$N$5,tabela_registros[TIPO],DADOS!$AB$5,tabela_registros[CATEGORIA],investiroutrosconsolidadoset[[#This Row],[ATUAL]])</f>
        <v>0</v>
      </c>
      <c r="F155" s="91">
        <f>SUMIFS(tabela_registros[VALOR],tabela_registros[MÊS],$AE$1,tabela_registros[DIA],investiroutrosconsolidadoset[[#Headers],[2]],tabela_registros[REGISTRO],DADOS!$N$5,tabela_registros[TIPO],DADOS!$AB$5,tabela_registros[CATEGORIA],investiroutrosconsolidadoset[[#This Row],[ATUAL]])</f>
        <v>0</v>
      </c>
      <c r="G155" s="91">
        <f>SUMIFS(tabela_registros[VALOR],tabela_registros[MÊS],$AE$1,tabela_registros[DIA],investiroutrosconsolidadoset[[#Headers],[3]],tabela_registros[REGISTRO],DADOS!$N$5,tabela_registros[TIPO],DADOS!$AB$5,tabela_registros[CATEGORIA],investiroutrosconsolidadoset[[#This Row],[ATUAL]])</f>
        <v>0</v>
      </c>
      <c r="H155" s="91">
        <f>SUMIFS(tabela_registros[VALOR],tabela_registros[MÊS],$AE$1,tabela_registros[DIA],investiroutrosconsolidadoset[[#Headers],[4]],tabela_registros[REGISTRO],DADOS!$N$5,tabela_registros[TIPO],DADOS!$AB$5,tabela_registros[CATEGORIA],investiroutrosconsolidadoset[[#This Row],[ATUAL]])</f>
        <v>0</v>
      </c>
      <c r="I155" s="91">
        <f>SUMIFS(tabela_registros[VALOR],tabela_registros[MÊS],$AE$1,tabela_registros[DIA],investiroutrosconsolidadoset[[#Headers],[5]],tabela_registros[REGISTRO],DADOS!$N$5,tabela_registros[TIPO],DADOS!$AB$5,tabela_registros[CATEGORIA],investiroutrosconsolidadoset[[#This Row],[ATUAL]])</f>
        <v>0</v>
      </c>
      <c r="J155" s="91">
        <f>SUMIFS(tabela_registros[VALOR],tabela_registros[MÊS],$AE$1,tabela_registros[DIA],investiroutrosconsolidadoset[[#Headers],[6]],tabela_registros[REGISTRO],DADOS!$N$5,tabela_registros[TIPO],DADOS!$AB$5,tabela_registros[CATEGORIA],investiroutrosconsolidadoset[[#This Row],[ATUAL]])</f>
        <v>0</v>
      </c>
      <c r="K155" s="91">
        <f>SUMIFS(tabela_registros[VALOR],tabela_registros[MÊS],$AE$1,tabela_registros[DIA],investiroutrosconsolidadoset[[#Headers],[7]],tabela_registros[REGISTRO],DADOS!$N$5,tabela_registros[TIPO],DADOS!$AB$5,tabela_registros[CATEGORIA],investiroutrosconsolidadoset[[#This Row],[ATUAL]])</f>
        <v>0</v>
      </c>
      <c r="L155" s="91">
        <f>SUMIFS(tabela_registros[VALOR],tabela_registros[MÊS],$AE$1,tabela_registros[DIA],investiroutrosconsolidadoset[[#Headers],[8]],tabela_registros[REGISTRO],DADOS!$N$5,tabela_registros[TIPO],DADOS!$AB$5,tabela_registros[CATEGORIA],investiroutrosconsolidadoset[[#This Row],[ATUAL]])</f>
        <v>0</v>
      </c>
      <c r="M155" s="91">
        <f>SUMIFS(tabela_registros[VALOR],tabela_registros[MÊS],$AE$1,tabela_registros[DIA],investiroutrosconsolidadoset[[#Headers],[9]],tabela_registros[REGISTRO],DADOS!$N$5,tabela_registros[TIPO],DADOS!$AB$5,tabela_registros[CATEGORIA],investiroutrosconsolidadoset[[#This Row],[ATUAL]])</f>
        <v>0</v>
      </c>
      <c r="N155" s="91">
        <f>SUMIFS(tabela_registros[VALOR],tabela_registros[MÊS],$AE$1,tabela_registros[DIA],investiroutrosconsolidadoset[[#Headers],[10]],tabela_registros[REGISTRO],DADOS!$N$5,tabela_registros[TIPO],DADOS!$AB$5,tabela_registros[CATEGORIA],investiroutrosconsolidadoset[[#This Row],[ATUAL]])</f>
        <v>0</v>
      </c>
      <c r="O155" s="91">
        <f>SUMIFS(tabela_registros[VALOR],tabela_registros[MÊS],$AE$1,tabela_registros[DIA],investiroutrosconsolidadoset[[#Headers],[11]],tabela_registros[REGISTRO],DADOS!$N$5,tabela_registros[TIPO],DADOS!$AB$5,tabela_registros[CATEGORIA],investiroutrosconsolidadoset[[#This Row],[ATUAL]])</f>
        <v>0</v>
      </c>
      <c r="P155" s="91">
        <f>SUMIFS(tabela_registros[VALOR],tabela_registros[MÊS],$AE$1,tabela_registros[DIA],investiroutrosconsolidadoset[[#Headers],[12]],tabela_registros[REGISTRO],DADOS!$N$5,tabela_registros[TIPO],DADOS!$AB$5,tabela_registros[CATEGORIA],investiroutrosconsolidadoset[[#This Row],[ATUAL]])</f>
        <v>0</v>
      </c>
      <c r="Q155" s="91">
        <f>SUMIFS(tabela_registros[VALOR],tabela_registros[MÊS],$AE$1,tabela_registros[DIA],investiroutrosconsolidadoset[[#Headers],[13]],tabela_registros[REGISTRO],DADOS!$N$5,tabela_registros[TIPO],DADOS!$AB$5,tabela_registros[CATEGORIA],investiroutrosconsolidadoset[[#This Row],[ATUAL]])</f>
        <v>0</v>
      </c>
      <c r="R155" s="91">
        <f>SUMIFS(tabela_registros[VALOR],tabela_registros[MÊS],$AE$1,tabela_registros[DIA],investiroutrosconsolidadoset[[#Headers],[14]],tabela_registros[REGISTRO],DADOS!$N$5,tabela_registros[TIPO],DADOS!$AB$5,tabela_registros[CATEGORIA],investiroutrosconsolidadoset[[#This Row],[ATUAL]])</f>
        <v>0</v>
      </c>
      <c r="S155" s="91">
        <f>SUMIFS(tabela_registros[VALOR],tabela_registros[MÊS],$AE$1,tabela_registros[DIA],investiroutrosconsolidadoset[[#Headers],[15]],tabela_registros[REGISTRO],DADOS!$N$5,tabela_registros[TIPO],DADOS!$AB$5,tabela_registros[CATEGORIA],investiroutrosconsolidadoset[[#This Row],[ATUAL]])</f>
        <v>0</v>
      </c>
      <c r="T155" s="91">
        <f>SUMIFS(tabela_registros[VALOR],tabela_registros[MÊS],$AE$1,tabela_registros[DIA],investiroutrosconsolidadoset[[#Headers],[16]],tabela_registros[REGISTRO],DADOS!$N$5,tabela_registros[TIPO],DADOS!$AB$5,tabela_registros[CATEGORIA],investiroutrosconsolidadoset[[#This Row],[ATUAL]])</f>
        <v>0</v>
      </c>
      <c r="U155" s="91">
        <f>SUMIFS(tabela_registros[VALOR],tabela_registros[MÊS],$AE$1,tabela_registros[DIA],investiroutrosconsolidadoset[[#Headers],[17]],tabela_registros[REGISTRO],DADOS!$N$5,tabela_registros[TIPO],DADOS!$AB$5,tabela_registros[CATEGORIA],investiroutrosconsolidadoset[[#This Row],[ATUAL]])</f>
        <v>0</v>
      </c>
      <c r="V155" s="91">
        <f>SUMIFS(tabela_registros[VALOR],tabela_registros[MÊS],$AE$1,tabela_registros[DIA],investiroutrosconsolidadoset[[#Headers],[18]],tabela_registros[REGISTRO],DADOS!$N$5,tabela_registros[TIPO],DADOS!$AB$5,tabela_registros[CATEGORIA],investiroutrosconsolidadoset[[#This Row],[ATUAL]])</f>
        <v>0</v>
      </c>
      <c r="W155" s="91">
        <f>SUMIFS(tabela_registros[VALOR],tabela_registros[MÊS],$AE$1,tabela_registros[DIA],investiroutrosconsolidadoset[[#Headers],[19]],tabela_registros[REGISTRO],DADOS!$N$5,tabela_registros[TIPO],DADOS!$AB$5,tabela_registros[CATEGORIA],investiroutrosconsolidadoset[[#This Row],[ATUAL]])</f>
        <v>0</v>
      </c>
      <c r="X155" s="91">
        <f>SUMIFS(tabela_registros[VALOR],tabela_registros[MÊS],$AE$1,tabela_registros[DIA],investiroutrosconsolidadoset[[#Headers],[20]],tabela_registros[REGISTRO],DADOS!$N$5,tabela_registros[TIPO],DADOS!$AB$5,tabela_registros[CATEGORIA],investiroutrosconsolidadoset[[#This Row],[ATUAL]])</f>
        <v>0</v>
      </c>
      <c r="Y155" s="91">
        <f>SUMIFS(tabela_registros[VALOR],tabela_registros[MÊS],$AE$1,tabela_registros[DIA],investiroutrosconsolidadoset[[#Headers],[21]],tabela_registros[REGISTRO],DADOS!$N$5,tabela_registros[TIPO],DADOS!$AB$5,tabela_registros[CATEGORIA],investiroutrosconsolidadoset[[#This Row],[ATUAL]])</f>
        <v>0</v>
      </c>
      <c r="Z155" s="91">
        <f>SUMIFS(tabela_registros[VALOR],tabela_registros[MÊS],$AE$1,tabela_registros[DIA],investiroutrosconsolidadoset[[#Headers],[22]],tabela_registros[REGISTRO],DADOS!$N$5,tabela_registros[TIPO],DADOS!$AB$5,tabela_registros[CATEGORIA],investiroutrosconsolidadoset[[#This Row],[ATUAL]])</f>
        <v>0</v>
      </c>
      <c r="AA155" s="91">
        <f>SUMIFS(tabela_registros[VALOR],tabela_registros[MÊS],$AE$1,tabela_registros[DIA],investiroutrosconsolidadoset[[#Headers],[23]],tabela_registros[REGISTRO],DADOS!$N$5,tabela_registros[TIPO],DADOS!$AB$5,tabela_registros[CATEGORIA],investiroutrosconsolidadoset[[#This Row],[ATUAL]])</f>
        <v>0</v>
      </c>
      <c r="AB155" s="91">
        <f>SUMIFS(tabela_registros[VALOR],tabela_registros[MÊS],$AE$1,tabela_registros[DIA],investiroutrosconsolidadoset[[#Headers],[24]],tabela_registros[REGISTRO],DADOS!$N$5,tabela_registros[TIPO],DADOS!$AB$5,tabela_registros[CATEGORIA],investiroutrosconsolidadoset[[#This Row],[ATUAL]])</f>
        <v>0</v>
      </c>
      <c r="AC155" s="91">
        <f>SUMIFS(tabela_registros[VALOR],tabela_registros[MÊS],$AE$1,tabela_registros[DIA],investiroutrosconsolidadoset[[#Headers],[25]],tabela_registros[REGISTRO],DADOS!$N$5,tabela_registros[TIPO],DADOS!$AB$5,tabela_registros[CATEGORIA],investiroutrosconsolidadoset[[#This Row],[ATUAL]])</f>
        <v>0</v>
      </c>
      <c r="AD155" s="91">
        <f>SUMIFS(tabela_registros[VALOR],tabela_registros[MÊS],$AE$1,tabela_registros[DIA],investiroutrosconsolidadoset[[#Headers],[26]],tabela_registros[REGISTRO],DADOS!$N$5,tabela_registros[TIPO],DADOS!$AB$5,tabela_registros[CATEGORIA],investiroutrosconsolidadoset[[#This Row],[ATUAL]])</f>
        <v>0</v>
      </c>
      <c r="AE155" s="91">
        <f>SUMIFS(tabela_registros[VALOR],tabela_registros[MÊS],$AE$1,tabela_registros[DIA],investiroutrosconsolidadoset[[#Headers],[27]],tabela_registros[REGISTRO],DADOS!$N$5,tabela_registros[TIPO],DADOS!$AB$5,tabela_registros[CATEGORIA],investiroutrosconsolidadoset[[#This Row],[ATUAL]])</f>
        <v>0</v>
      </c>
      <c r="AF155" s="91">
        <f>SUMIFS(tabela_registros[VALOR],tabela_registros[MÊS],$AE$1,tabela_registros[DIA],investiroutrosconsolidadoset[[#Headers],[28]],tabela_registros[REGISTRO],DADOS!$N$5,tabela_registros[TIPO],DADOS!$AB$5,tabela_registros[CATEGORIA],investiroutrosconsolidadoset[[#This Row],[ATUAL]])</f>
        <v>0</v>
      </c>
      <c r="AG155" s="91">
        <f>SUMIFS(tabela_registros[VALOR],tabela_registros[MÊS],$AE$1,tabela_registros[DIA],investiroutrosconsolidadoset[[#Headers],[29]],tabela_registros[REGISTRO],DADOS!$N$5,tabela_registros[TIPO],DADOS!$AB$5,tabela_registros[CATEGORIA],investiroutrosconsolidadoset[[#This Row],[ATUAL]])</f>
        <v>0</v>
      </c>
      <c r="AH155" s="91">
        <f>SUMIFS(tabela_registros[VALOR],tabela_registros[MÊS],$AE$1,tabela_registros[DIA],investiroutrosconsolidadoset[[#Headers],[30]],tabela_registros[REGISTRO],DADOS!$N$5,tabela_registros[TIPO],DADOS!$AB$5,tabela_registros[CATEGORIA],investiroutrosconsolidadoset[[#This Row],[ATUAL]])</f>
        <v>0</v>
      </c>
      <c r="AI155" s="101">
        <f>SUMIFS(tabela_registros[VALOR],tabela_registros[MÊS],$AE$1,tabela_registros[DIA],investiroutrosconsolidadoset[[#Headers],[31]],tabela_registros[REGISTRO],DADOS!$N$5,tabela_registros[TIPO],DADOS!$AB$5,tabela_registros[CATEGORIA],investiroutrosconsolidadoset[[#This Row],[ATUAL]])</f>
        <v>0</v>
      </c>
      <c r="AJ155" s="97">
        <f>SUM(investiroutrosconsolidadoset[[#This Row],[1]:[31]])</f>
        <v>0</v>
      </c>
      <c r="AK155" s="25"/>
    </row>
    <row r="156" spans="2:37" ht="19.5" customHeight="1" thickTop="1" thickBot="1" x14ac:dyDescent="0.3">
      <c r="B156" s="28"/>
      <c r="C156" s="27" t="str">
        <f>DADOS!$AH$8</f>
        <v>📝 PEER TO PEER</v>
      </c>
      <c r="D156" s="26" t="str">
        <f>IF(investiroutrosconsolidadoset[[#This Row],[TOTAL (R$)]]=0,"",IF(OR(investiroutrosconsolidadoset[[#This Row],[TOTAL (R$)]]=LARGE($AJ$151:$AJ$158,1),investiroutrosconsolidadoset[[#This Row],[TOTAL (R$)]]=LARGE($AJ$151:$AJ$158,2)),DADOS!$I$10,""))</f>
        <v/>
      </c>
      <c r="E156" s="96">
        <f>SUMIFS(tabela_registros[VALOR],tabela_registros[MÊS],$AE$1,tabela_registros[DIA],investiroutrosconsolidadoset[[#Headers],[1]],tabela_registros[REGISTRO],DADOS!$N$5,tabela_registros[TIPO],DADOS!$AB$5,tabela_registros[CATEGORIA],investiroutrosconsolidadoset[[#This Row],[ATUAL]])</f>
        <v>0</v>
      </c>
      <c r="F156" s="91">
        <f>SUMIFS(tabela_registros[VALOR],tabela_registros[MÊS],$AE$1,tabela_registros[DIA],investiroutrosconsolidadoset[[#Headers],[2]],tabela_registros[REGISTRO],DADOS!$N$5,tabela_registros[TIPO],DADOS!$AB$5,tabela_registros[CATEGORIA],investiroutrosconsolidadoset[[#This Row],[ATUAL]])</f>
        <v>0</v>
      </c>
      <c r="G156" s="91">
        <f>SUMIFS(tabela_registros[VALOR],tabela_registros[MÊS],$AE$1,tabela_registros[DIA],investiroutrosconsolidadoset[[#Headers],[3]],tabela_registros[REGISTRO],DADOS!$N$5,tabela_registros[TIPO],DADOS!$AB$5,tabela_registros[CATEGORIA],investiroutrosconsolidadoset[[#This Row],[ATUAL]])</f>
        <v>0</v>
      </c>
      <c r="H156" s="91">
        <f>SUMIFS(tabela_registros[VALOR],tabela_registros[MÊS],$AE$1,tabela_registros[DIA],investiroutrosconsolidadoset[[#Headers],[4]],tabela_registros[REGISTRO],DADOS!$N$5,tabela_registros[TIPO],DADOS!$AB$5,tabela_registros[CATEGORIA],investiroutrosconsolidadoset[[#This Row],[ATUAL]])</f>
        <v>0</v>
      </c>
      <c r="I156" s="91">
        <f>SUMIFS(tabela_registros[VALOR],tabela_registros[MÊS],$AE$1,tabela_registros[DIA],investiroutrosconsolidadoset[[#Headers],[5]],tabela_registros[REGISTRO],DADOS!$N$5,tabela_registros[TIPO],DADOS!$AB$5,tabela_registros[CATEGORIA],investiroutrosconsolidadoset[[#This Row],[ATUAL]])</f>
        <v>0</v>
      </c>
      <c r="J156" s="91">
        <f>SUMIFS(tabela_registros[VALOR],tabela_registros[MÊS],$AE$1,tabela_registros[DIA],investiroutrosconsolidadoset[[#Headers],[6]],tabela_registros[REGISTRO],DADOS!$N$5,tabela_registros[TIPO],DADOS!$AB$5,tabela_registros[CATEGORIA],investiroutrosconsolidadoset[[#This Row],[ATUAL]])</f>
        <v>0</v>
      </c>
      <c r="K156" s="91">
        <f>SUMIFS(tabela_registros[VALOR],tabela_registros[MÊS],$AE$1,tabela_registros[DIA],investiroutrosconsolidadoset[[#Headers],[7]],tabela_registros[REGISTRO],DADOS!$N$5,tabela_registros[TIPO],DADOS!$AB$5,tabela_registros[CATEGORIA],investiroutrosconsolidadoset[[#This Row],[ATUAL]])</f>
        <v>0</v>
      </c>
      <c r="L156" s="91">
        <f>SUMIFS(tabela_registros[VALOR],tabela_registros[MÊS],$AE$1,tabela_registros[DIA],investiroutrosconsolidadoset[[#Headers],[8]],tabela_registros[REGISTRO],DADOS!$N$5,tabela_registros[TIPO],DADOS!$AB$5,tabela_registros[CATEGORIA],investiroutrosconsolidadoset[[#This Row],[ATUAL]])</f>
        <v>0</v>
      </c>
      <c r="M156" s="91">
        <f>SUMIFS(tabela_registros[VALOR],tabela_registros[MÊS],$AE$1,tabela_registros[DIA],investiroutrosconsolidadoset[[#Headers],[9]],tabela_registros[REGISTRO],DADOS!$N$5,tabela_registros[TIPO],DADOS!$AB$5,tabela_registros[CATEGORIA],investiroutrosconsolidadoset[[#This Row],[ATUAL]])</f>
        <v>0</v>
      </c>
      <c r="N156" s="91">
        <f>SUMIFS(tabela_registros[VALOR],tabela_registros[MÊS],$AE$1,tabela_registros[DIA],investiroutrosconsolidadoset[[#Headers],[10]],tabela_registros[REGISTRO],DADOS!$N$5,tabela_registros[TIPO],DADOS!$AB$5,tabela_registros[CATEGORIA],investiroutrosconsolidadoset[[#This Row],[ATUAL]])</f>
        <v>0</v>
      </c>
      <c r="O156" s="91">
        <f>SUMIFS(tabela_registros[VALOR],tabela_registros[MÊS],$AE$1,tabela_registros[DIA],investiroutrosconsolidadoset[[#Headers],[11]],tabela_registros[REGISTRO],DADOS!$N$5,tabela_registros[TIPO],DADOS!$AB$5,tabela_registros[CATEGORIA],investiroutrosconsolidadoset[[#This Row],[ATUAL]])</f>
        <v>0</v>
      </c>
      <c r="P156" s="91">
        <f>SUMIFS(tabela_registros[VALOR],tabela_registros[MÊS],$AE$1,tabela_registros[DIA],investiroutrosconsolidadoset[[#Headers],[12]],tabela_registros[REGISTRO],DADOS!$N$5,tabela_registros[TIPO],DADOS!$AB$5,tabela_registros[CATEGORIA],investiroutrosconsolidadoset[[#This Row],[ATUAL]])</f>
        <v>0</v>
      </c>
      <c r="Q156" s="91">
        <f>SUMIFS(tabela_registros[VALOR],tabela_registros[MÊS],$AE$1,tabela_registros[DIA],investiroutrosconsolidadoset[[#Headers],[13]],tabela_registros[REGISTRO],DADOS!$N$5,tabela_registros[TIPO],DADOS!$AB$5,tabela_registros[CATEGORIA],investiroutrosconsolidadoset[[#This Row],[ATUAL]])</f>
        <v>0</v>
      </c>
      <c r="R156" s="91">
        <f>SUMIFS(tabela_registros[VALOR],tabela_registros[MÊS],$AE$1,tabela_registros[DIA],investiroutrosconsolidadoset[[#Headers],[14]],tabela_registros[REGISTRO],DADOS!$N$5,tabela_registros[TIPO],DADOS!$AB$5,tabela_registros[CATEGORIA],investiroutrosconsolidadoset[[#This Row],[ATUAL]])</f>
        <v>0</v>
      </c>
      <c r="S156" s="91">
        <f>SUMIFS(tabela_registros[VALOR],tabela_registros[MÊS],$AE$1,tabela_registros[DIA],investiroutrosconsolidadoset[[#Headers],[15]],tabela_registros[REGISTRO],DADOS!$N$5,tabela_registros[TIPO],DADOS!$AB$5,tabela_registros[CATEGORIA],investiroutrosconsolidadoset[[#This Row],[ATUAL]])</f>
        <v>0</v>
      </c>
      <c r="T156" s="91">
        <f>SUMIFS(tabela_registros[VALOR],tabela_registros[MÊS],$AE$1,tabela_registros[DIA],investiroutrosconsolidadoset[[#Headers],[16]],tabela_registros[REGISTRO],DADOS!$N$5,tabela_registros[TIPO],DADOS!$AB$5,tabela_registros[CATEGORIA],investiroutrosconsolidadoset[[#This Row],[ATUAL]])</f>
        <v>0</v>
      </c>
      <c r="U156" s="91">
        <f>SUMIFS(tabela_registros[VALOR],tabela_registros[MÊS],$AE$1,tabela_registros[DIA],investiroutrosconsolidadoset[[#Headers],[17]],tabela_registros[REGISTRO],DADOS!$N$5,tabela_registros[TIPO],DADOS!$AB$5,tabela_registros[CATEGORIA],investiroutrosconsolidadoset[[#This Row],[ATUAL]])</f>
        <v>0</v>
      </c>
      <c r="V156" s="91">
        <f>SUMIFS(tabela_registros[VALOR],tabela_registros[MÊS],$AE$1,tabela_registros[DIA],investiroutrosconsolidadoset[[#Headers],[18]],tabela_registros[REGISTRO],DADOS!$N$5,tabela_registros[TIPO],DADOS!$AB$5,tabela_registros[CATEGORIA],investiroutrosconsolidadoset[[#This Row],[ATUAL]])</f>
        <v>0</v>
      </c>
      <c r="W156" s="91">
        <f>SUMIFS(tabela_registros[VALOR],tabela_registros[MÊS],$AE$1,tabela_registros[DIA],investiroutrosconsolidadoset[[#Headers],[19]],tabela_registros[REGISTRO],DADOS!$N$5,tabela_registros[TIPO],DADOS!$AB$5,tabela_registros[CATEGORIA],investiroutrosconsolidadoset[[#This Row],[ATUAL]])</f>
        <v>0</v>
      </c>
      <c r="X156" s="91">
        <f>SUMIFS(tabela_registros[VALOR],tabela_registros[MÊS],$AE$1,tabela_registros[DIA],investiroutrosconsolidadoset[[#Headers],[20]],tabela_registros[REGISTRO],DADOS!$N$5,tabela_registros[TIPO],DADOS!$AB$5,tabela_registros[CATEGORIA],investiroutrosconsolidadoset[[#This Row],[ATUAL]])</f>
        <v>0</v>
      </c>
      <c r="Y156" s="91">
        <f>SUMIFS(tabela_registros[VALOR],tabela_registros[MÊS],$AE$1,tabela_registros[DIA],investiroutrosconsolidadoset[[#Headers],[21]],tabela_registros[REGISTRO],DADOS!$N$5,tabela_registros[TIPO],DADOS!$AB$5,tabela_registros[CATEGORIA],investiroutrosconsolidadoset[[#This Row],[ATUAL]])</f>
        <v>0</v>
      </c>
      <c r="Z156" s="91">
        <f>SUMIFS(tabela_registros[VALOR],tabela_registros[MÊS],$AE$1,tabela_registros[DIA],investiroutrosconsolidadoset[[#Headers],[22]],tabela_registros[REGISTRO],DADOS!$N$5,tabela_registros[TIPO],DADOS!$AB$5,tabela_registros[CATEGORIA],investiroutrosconsolidadoset[[#This Row],[ATUAL]])</f>
        <v>0</v>
      </c>
      <c r="AA156" s="91">
        <f>SUMIFS(tabela_registros[VALOR],tabela_registros[MÊS],$AE$1,tabela_registros[DIA],investiroutrosconsolidadoset[[#Headers],[23]],tabela_registros[REGISTRO],DADOS!$N$5,tabela_registros[TIPO],DADOS!$AB$5,tabela_registros[CATEGORIA],investiroutrosconsolidadoset[[#This Row],[ATUAL]])</f>
        <v>0</v>
      </c>
      <c r="AB156" s="91">
        <f>SUMIFS(tabela_registros[VALOR],tabela_registros[MÊS],$AE$1,tabela_registros[DIA],investiroutrosconsolidadoset[[#Headers],[24]],tabela_registros[REGISTRO],DADOS!$N$5,tabela_registros[TIPO],DADOS!$AB$5,tabela_registros[CATEGORIA],investiroutrosconsolidadoset[[#This Row],[ATUAL]])</f>
        <v>0</v>
      </c>
      <c r="AC156" s="91">
        <f>SUMIFS(tabela_registros[VALOR],tabela_registros[MÊS],$AE$1,tabela_registros[DIA],investiroutrosconsolidadoset[[#Headers],[25]],tabela_registros[REGISTRO],DADOS!$N$5,tabela_registros[TIPO],DADOS!$AB$5,tabela_registros[CATEGORIA],investiroutrosconsolidadoset[[#This Row],[ATUAL]])</f>
        <v>0</v>
      </c>
      <c r="AD156" s="91">
        <f>SUMIFS(tabela_registros[VALOR],tabela_registros[MÊS],$AE$1,tabela_registros[DIA],investiroutrosconsolidadoset[[#Headers],[26]],tabela_registros[REGISTRO],DADOS!$N$5,tabela_registros[TIPO],DADOS!$AB$5,tabela_registros[CATEGORIA],investiroutrosconsolidadoset[[#This Row],[ATUAL]])</f>
        <v>0</v>
      </c>
      <c r="AE156" s="91">
        <f>SUMIFS(tabela_registros[VALOR],tabela_registros[MÊS],$AE$1,tabela_registros[DIA],investiroutrosconsolidadoset[[#Headers],[27]],tabela_registros[REGISTRO],DADOS!$N$5,tabela_registros[TIPO],DADOS!$AB$5,tabela_registros[CATEGORIA],investiroutrosconsolidadoset[[#This Row],[ATUAL]])</f>
        <v>0</v>
      </c>
      <c r="AF156" s="91">
        <f>SUMIFS(tabela_registros[VALOR],tabela_registros[MÊS],$AE$1,tabela_registros[DIA],investiroutrosconsolidadoset[[#Headers],[28]],tabela_registros[REGISTRO],DADOS!$N$5,tabela_registros[TIPO],DADOS!$AB$5,tabela_registros[CATEGORIA],investiroutrosconsolidadoset[[#This Row],[ATUAL]])</f>
        <v>0</v>
      </c>
      <c r="AG156" s="91">
        <f>SUMIFS(tabela_registros[VALOR],tabela_registros[MÊS],$AE$1,tabela_registros[DIA],investiroutrosconsolidadoset[[#Headers],[29]],tabela_registros[REGISTRO],DADOS!$N$5,tabela_registros[TIPO],DADOS!$AB$5,tabela_registros[CATEGORIA],investiroutrosconsolidadoset[[#This Row],[ATUAL]])</f>
        <v>0</v>
      </c>
      <c r="AH156" s="91">
        <f>SUMIFS(tabela_registros[VALOR],tabela_registros[MÊS],$AE$1,tabela_registros[DIA],investiroutrosconsolidadoset[[#Headers],[30]],tabela_registros[REGISTRO],DADOS!$N$5,tabela_registros[TIPO],DADOS!$AB$5,tabela_registros[CATEGORIA],investiroutrosconsolidadoset[[#This Row],[ATUAL]])</f>
        <v>0</v>
      </c>
      <c r="AI156" s="101">
        <f>SUMIFS(tabela_registros[VALOR],tabela_registros[MÊS],$AE$1,tabela_registros[DIA],investiroutrosconsolidadoset[[#Headers],[31]],tabela_registros[REGISTRO],DADOS!$N$5,tabela_registros[TIPO],DADOS!$AB$5,tabela_registros[CATEGORIA],investiroutrosconsolidadoset[[#This Row],[ATUAL]])</f>
        <v>0</v>
      </c>
      <c r="AJ156" s="97">
        <f>SUM(investiroutrosconsolidadoset[[#This Row],[1]:[31]])</f>
        <v>0</v>
      </c>
      <c r="AK156" s="25"/>
    </row>
    <row r="157" spans="2:37" ht="19.5" customHeight="1" thickTop="1" thickBot="1" x14ac:dyDescent="0.3">
      <c r="B157" s="28"/>
      <c r="C157" s="27" t="str">
        <f>DADOS!$AH$9</f>
        <v>📝 PREVIDÊNCIA PRIVADA</v>
      </c>
      <c r="D157" s="26" t="str">
        <f>IF(investiroutrosconsolidadoset[[#This Row],[TOTAL (R$)]]=0,"",IF(OR(investiroutrosconsolidadoset[[#This Row],[TOTAL (R$)]]=LARGE($AJ$151:$AJ$158,1),investiroutrosconsolidadoset[[#This Row],[TOTAL (R$)]]=LARGE($AJ$151:$AJ$158,2)),DADOS!$I$10,""))</f>
        <v/>
      </c>
      <c r="E157" s="96">
        <f>SUMIFS(tabela_registros[VALOR],tabela_registros[MÊS],$AE$1,tabela_registros[DIA],investiroutrosconsolidadoset[[#Headers],[1]],tabela_registros[REGISTRO],DADOS!$N$5,tabela_registros[TIPO],DADOS!$AB$5,tabela_registros[CATEGORIA],investiroutrosconsolidadoset[[#This Row],[ATUAL]])</f>
        <v>0</v>
      </c>
      <c r="F157" s="91">
        <f>SUMIFS(tabela_registros[VALOR],tabela_registros[MÊS],$AE$1,tabela_registros[DIA],investiroutrosconsolidadoset[[#Headers],[2]],tabela_registros[REGISTRO],DADOS!$N$5,tabela_registros[TIPO],DADOS!$AB$5,tabela_registros[CATEGORIA],investiroutrosconsolidadoset[[#This Row],[ATUAL]])</f>
        <v>0</v>
      </c>
      <c r="G157" s="91">
        <f>SUMIFS(tabela_registros[VALOR],tabela_registros[MÊS],$AE$1,tabela_registros[DIA],investiroutrosconsolidadoset[[#Headers],[3]],tabela_registros[REGISTRO],DADOS!$N$5,tabela_registros[TIPO],DADOS!$AB$5,tabela_registros[CATEGORIA],investiroutrosconsolidadoset[[#This Row],[ATUAL]])</f>
        <v>0</v>
      </c>
      <c r="H157" s="91">
        <f>SUMIFS(tabela_registros[VALOR],tabela_registros[MÊS],$AE$1,tabela_registros[DIA],investiroutrosconsolidadoset[[#Headers],[4]],tabela_registros[REGISTRO],DADOS!$N$5,tabela_registros[TIPO],DADOS!$AB$5,tabela_registros[CATEGORIA],investiroutrosconsolidadoset[[#This Row],[ATUAL]])</f>
        <v>0</v>
      </c>
      <c r="I157" s="91">
        <f>SUMIFS(tabela_registros[VALOR],tabela_registros[MÊS],$AE$1,tabela_registros[DIA],investiroutrosconsolidadoset[[#Headers],[5]],tabela_registros[REGISTRO],DADOS!$N$5,tabela_registros[TIPO],DADOS!$AB$5,tabela_registros[CATEGORIA],investiroutrosconsolidadoset[[#This Row],[ATUAL]])</f>
        <v>0</v>
      </c>
      <c r="J157" s="91">
        <f>SUMIFS(tabela_registros[VALOR],tabela_registros[MÊS],$AE$1,tabela_registros[DIA],investiroutrosconsolidadoset[[#Headers],[6]],tabela_registros[REGISTRO],DADOS!$N$5,tabela_registros[TIPO],DADOS!$AB$5,tabela_registros[CATEGORIA],investiroutrosconsolidadoset[[#This Row],[ATUAL]])</f>
        <v>0</v>
      </c>
      <c r="K157" s="91">
        <f>SUMIFS(tabela_registros[VALOR],tabela_registros[MÊS],$AE$1,tabela_registros[DIA],investiroutrosconsolidadoset[[#Headers],[7]],tabela_registros[REGISTRO],DADOS!$N$5,tabela_registros[TIPO],DADOS!$AB$5,tabela_registros[CATEGORIA],investiroutrosconsolidadoset[[#This Row],[ATUAL]])</f>
        <v>0</v>
      </c>
      <c r="L157" s="91">
        <f>SUMIFS(tabela_registros[VALOR],tabela_registros[MÊS],$AE$1,tabela_registros[DIA],investiroutrosconsolidadoset[[#Headers],[8]],tabela_registros[REGISTRO],DADOS!$N$5,tabela_registros[TIPO],DADOS!$AB$5,tabela_registros[CATEGORIA],investiroutrosconsolidadoset[[#This Row],[ATUAL]])</f>
        <v>0</v>
      </c>
      <c r="M157" s="91">
        <f>SUMIFS(tabela_registros[VALOR],tabela_registros[MÊS],$AE$1,tabela_registros[DIA],investiroutrosconsolidadoset[[#Headers],[9]],tabela_registros[REGISTRO],DADOS!$N$5,tabela_registros[TIPO],DADOS!$AB$5,tabela_registros[CATEGORIA],investiroutrosconsolidadoset[[#This Row],[ATUAL]])</f>
        <v>0</v>
      </c>
      <c r="N157" s="91">
        <f>SUMIFS(tabela_registros[VALOR],tabela_registros[MÊS],$AE$1,tabela_registros[DIA],investiroutrosconsolidadoset[[#Headers],[10]],tabela_registros[REGISTRO],DADOS!$N$5,tabela_registros[TIPO],DADOS!$AB$5,tabela_registros[CATEGORIA],investiroutrosconsolidadoset[[#This Row],[ATUAL]])</f>
        <v>0</v>
      </c>
      <c r="O157" s="91">
        <f>SUMIFS(tabela_registros[VALOR],tabela_registros[MÊS],$AE$1,tabela_registros[DIA],investiroutrosconsolidadoset[[#Headers],[11]],tabela_registros[REGISTRO],DADOS!$N$5,tabela_registros[TIPO],DADOS!$AB$5,tabela_registros[CATEGORIA],investiroutrosconsolidadoset[[#This Row],[ATUAL]])</f>
        <v>0</v>
      </c>
      <c r="P157" s="91">
        <f>SUMIFS(tabela_registros[VALOR],tabela_registros[MÊS],$AE$1,tabela_registros[DIA],investiroutrosconsolidadoset[[#Headers],[12]],tabela_registros[REGISTRO],DADOS!$N$5,tabela_registros[TIPO],DADOS!$AB$5,tabela_registros[CATEGORIA],investiroutrosconsolidadoset[[#This Row],[ATUAL]])</f>
        <v>0</v>
      </c>
      <c r="Q157" s="91">
        <f>SUMIFS(tabela_registros[VALOR],tabela_registros[MÊS],$AE$1,tabela_registros[DIA],investiroutrosconsolidadoset[[#Headers],[13]],tabela_registros[REGISTRO],DADOS!$N$5,tabela_registros[TIPO],DADOS!$AB$5,tabela_registros[CATEGORIA],investiroutrosconsolidadoset[[#This Row],[ATUAL]])</f>
        <v>0</v>
      </c>
      <c r="R157" s="91">
        <f>SUMIFS(tabela_registros[VALOR],tabela_registros[MÊS],$AE$1,tabela_registros[DIA],investiroutrosconsolidadoset[[#Headers],[14]],tabela_registros[REGISTRO],DADOS!$N$5,tabela_registros[TIPO],DADOS!$AB$5,tabela_registros[CATEGORIA],investiroutrosconsolidadoset[[#This Row],[ATUAL]])</f>
        <v>0</v>
      </c>
      <c r="S157" s="91">
        <f>SUMIFS(tabela_registros[VALOR],tabela_registros[MÊS],$AE$1,tabela_registros[DIA],investiroutrosconsolidadoset[[#Headers],[15]],tabela_registros[REGISTRO],DADOS!$N$5,tabela_registros[TIPO],DADOS!$AB$5,tabela_registros[CATEGORIA],investiroutrosconsolidadoset[[#This Row],[ATUAL]])</f>
        <v>0</v>
      </c>
      <c r="T157" s="91">
        <f>SUMIFS(tabela_registros[VALOR],tabela_registros[MÊS],$AE$1,tabela_registros[DIA],investiroutrosconsolidadoset[[#Headers],[16]],tabela_registros[REGISTRO],DADOS!$N$5,tabela_registros[TIPO],DADOS!$AB$5,tabela_registros[CATEGORIA],investiroutrosconsolidadoset[[#This Row],[ATUAL]])</f>
        <v>0</v>
      </c>
      <c r="U157" s="91">
        <f>SUMIFS(tabela_registros[VALOR],tabela_registros[MÊS],$AE$1,tabela_registros[DIA],investiroutrosconsolidadoset[[#Headers],[17]],tabela_registros[REGISTRO],DADOS!$N$5,tabela_registros[TIPO],DADOS!$AB$5,tabela_registros[CATEGORIA],investiroutrosconsolidadoset[[#This Row],[ATUAL]])</f>
        <v>0</v>
      </c>
      <c r="V157" s="91">
        <f>SUMIFS(tabela_registros[VALOR],tabela_registros[MÊS],$AE$1,tabela_registros[DIA],investiroutrosconsolidadoset[[#Headers],[18]],tabela_registros[REGISTRO],DADOS!$N$5,tabela_registros[TIPO],DADOS!$AB$5,tabela_registros[CATEGORIA],investiroutrosconsolidadoset[[#This Row],[ATUAL]])</f>
        <v>0</v>
      </c>
      <c r="W157" s="91">
        <f>SUMIFS(tabela_registros[VALOR],tabela_registros[MÊS],$AE$1,tabela_registros[DIA],investiroutrosconsolidadoset[[#Headers],[19]],tabela_registros[REGISTRO],DADOS!$N$5,tabela_registros[TIPO],DADOS!$AB$5,tabela_registros[CATEGORIA],investiroutrosconsolidadoset[[#This Row],[ATUAL]])</f>
        <v>0</v>
      </c>
      <c r="X157" s="91">
        <f>SUMIFS(tabela_registros[VALOR],tabela_registros[MÊS],$AE$1,tabela_registros[DIA],investiroutrosconsolidadoset[[#Headers],[20]],tabela_registros[REGISTRO],DADOS!$N$5,tabela_registros[TIPO],DADOS!$AB$5,tabela_registros[CATEGORIA],investiroutrosconsolidadoset[[#This Row],[ATUAL]])</f>
        <v>0</v>
      </c>
      <c r="Y157" s="91">
        <f>SUMIFS(tabela_registros[VALOR],tabela_registros[MÊS],$AE$1,tabela_registros[DIA],investiroutrosconsolidadoset[[#Headers],[21]],tabela_registros[REGISTRO],DADOS!$N$5,tabela_registros[TIPO],DADOS!$AB$5,tabela_registros[CATEGORIA],investiroutrosconsolidadoset[[#This Row],[ATUAL]])</f>
        <v>0</v>
      </c>
      <c r="Z157" s="91">
        <f>SUMIFS(tabela_registros[VALOR],tabela_registros[MÊS],$AE$1,tabela_registros[DIA],investiroutrosconsolidadoset[[#Headers],[22]],tabela_registros[REGISTRO],DADOS!$N$5,tabela_registros[TIPO],DADOS!$AB$5,tabela_registros[CATEGORIA],investiroutrosconsolidadoset[[#This Row],[ATUAL]])</f>
        <v>0</v>
      </c>
      <c r="AA157" s="91">
        <f>SUMIFS(tabela_registros[VALOR],tabela_registros[MÊS],$AE$1,tabela_registros[DIA],investiroutrosconsolidadoset[[#Headers],[23]],tabela_registros[REGISTRO],DADOS!$N$5,tabela_registros[TIPO],DADOS!$AB$5,tabela_registros[CATEGORIA],investiroutrosconsolidadoset[[#This Row],[ATUAL]])</f>
        <v>0</v>
      </c>
      <c r="AB157" s="91">
        <f>SUMIFS(tabela_registros[VALOR],tabela_registros[MÊS],$AE$1,tabela_registros[DIA],investiroutrosconsolidadoset[[#Headers],[24]],tabela_registros[REGISTRO],DADOS!$N$5,tabela_registros[TIPO],DADOS!$AB$5,tabela_registros[CATEGORIA],investiroutrosconsolidadoset[[#This Row],[ATUAL]])</f>
        <v>0</v>
      </c>
      <c r="AC157" s="91">
        <f>SUMIFS(tabela_registros[VALOR],tabela_registros[MÊS],$AE$1,tabela_registros[DIA],investiroutrosconsolidadoset[[#Headers],[25]],tabela_registros[REGISTRO],DADOS!$N$5,tabela_registros[TIPO],DADOS!$AB$5,tabela_registros[CATEGORIA],investiroutrosconsolidadoset[[#This Row],[ATUAL]])</f>
        <v>0</v>
      </c>
      <c r="AD157" s="91">
        <f>SUMIFS(tabela_registros[VALOR],tabela_registros[MÊS],$AE$1,tabela_registros[DIA],investiroutrosconsolidadoset[[#Headers],[26]],tabela_registros[REGISTRO],DADOS!$N$5,tabela_registros[TIPO],DADOS!$AB$5,tabela_registros[CATEGORIA],investiroutrosconsolidadoset[[#This Row],[ATUAL]])</f>
        <v>0</v>
      </c>
      <c r="AE157" s="91">
        <f>SUMIFS(tabela_registros[VALOR],tabela_registros[MÊS],$AE$1,tabela_registros[DIA],investiroutrosconsolidadoset[[#Headers],[27]],tabela_registros[REGISTRO],DADOS!$N$5,tabela_registros[TIPO],DADOS!$AB$5,tabela_registros[CATEGORIA],investiroutrosconsolidadoset[[#This Row],[ATUAL]])</f>
        <v>0</v>
      </c>
      <c r="AF157" s="91">
        <f>SUMIFS(tabela_registros[VALOR],tabela_registros[MÊS],$AE$1,tabela_registros[DIA],investiroutrosconsolidadoset[[#Headers],[28]],tabela_registros[REGISTRO],DADOS!$N$5,tabela_registros[TIPO],DADOS!$AB$5,tabela_registros[CATEGORIA],investiroutrosconsolidadoset[[#This Row],[ATUAL]])</f>
        <v>0</v>
      </c>
      <c r="AG157" s="91">
        <f>SUMIFS(tabela_registros[VALOR],tabela_registros[MÊS],$AE$1,tabela_registros[DIA],investiroutrosconsolidadoset[[#Headers],[29]],tabela_registros[REGISTRO],DADOS!$N$5,tabela_registros[TIPO],DADOS!$AB$5,tabela_registros[CATEGORIA],investiroutrosconsolidadoset[[#This Row],[ATUAL]])</f>
        <v>0</v>
      </c>
      <c r="AH157" s="91">
        <f>SUMIFS(tabela_registros[VALOR],tabela_registros[MÊS],$AE$1,tabela_registros[DIA],investiroutrosconsolidadoset[[#Headers],[30]],tabela_registros[REGISTRO],DADOS!$N$5,tabela_registros[TIPO],DADOS!$AB$5,tabela_registros[CATEGORIA],investiroutrosconsolidadoset[[#This Row],[ATUAL]])</f>
        <v>0</v>
      </c>
      <c r="AI157" s="101">
        <f>SUMIFS(tabela_registros[VALOR],tabela_registros[MÊS],$AE$1,tabela_registros[DIA],investiroutrosconsolidadoset[[#Headers],[31]],tabela_registros[REGISTRO],DADOS!$N$5,tabela_registros[TIPO],DADOS!$AB$5,tabela_registros[CATEGORIA],investiroutrosconsolidadoset[[#This Row],[ATUAL]])</f>
        <v>0</v>
      </c>
      <c r="AJ157" s="97">
        <f>SUM(investiroutrosconsolidadoset[[#This Row],[1]:[31]])</f>
        <v>0</v>
      </c>
      <c r="AK157" s="25"/>
    </row>
    <row r="158" spans="2:37" ht="19.5" customHeight="1" thickTop="1" thickBot="1" x14ac:dyDescent="0.3">
      <c r="B158" s="28"/>
      <c r="C158" s="27" t="str">
        <f>DADOS!$AH$10</f>
        <v>📎 OUTROS</v>
      </c>
      <c r="D158" s="26" t="str">
        <f>IF(investiroutrosconsolidadoset[[#This Row],[TOTAL (R$)]]=0,"",IF(OR(investiroutrosconsolidadoset[[#This Row],[TOTAL (R$)]]=LARGE($AJ$151:$AJ$158,1),investiroutrosconsolidadoset[[#This Row],[TOTAL (R$)]]=LARGE($AJ$151:$AJ$158,2)),DADOS!$I$10,""))</f>
        <v/>
      </c>
      <c r="E158" s="96">
        <f>SUMIFS(tabela_registros[VALOR],tabela_registros[MÊS],$AE$1,tabela_registros[DIA],investiroutrosconsolidadoset[[#Headers],[1]],tabela_registros[REGISTRO],DADOS!$N$5,tabela_registros[TIPO],DADOS!$AB$5,tabela_registros[CATEGORIA],investiroutrosconsolidadoset[[#This Row],[ATUAL]])</f>
        <v>0</v>
      </c>
      <c r="F158" s="91">
        <f>SUMIFS(tabela_registros[VALOR],tabela_registros[MÊS],$AE$1,tabela_registros[DIA],investiroutrosconsolidadoset[[#Headers],[2]],tabela_registros[REGISTRO],DADOS!$N$5,tabela_registros[TIPO],DADOS!$AB$5,tabela_registros[CATEGORIA],investiroutrosconsolidadoset[[#This Row],[ATUAL]])</f>
        <v>0</v>
      </c>
      <c r="G158" s="91">
        <f>SUMIFS(tabela_registros[VALOR],tabela_registros[MÊS],$AE$1,tabela_registros[DIA],investiroutrosconsolidadoset[[#Headers],[3]],tabela_registros[REGISTRO],DADOS!$N$5,tabela_registros[TIPO],DADOS!$AB$5,tabela_registros[CATEGORIA],investiroutrosconsolidadoset[[#This Row],[ATUAL]])</f>
        <v>0</v>
      </c>
      <c r="H158" s="91">
        <f>SUMIFS(tabela_registros[VALOR],tabela_registros[MÊS],$AE$1,tabela_registros[DIA],investiroutrosconsolidadoset[[#Headers],[4]],tabela_registros[REGISTRO],DADOS!$N$5,tabela_registros[TIPO],DADOS!$AB$5,tabela_registros[CATEGORIA],investiroutrosconsolidadoset[[#This Row],[ATUAL]])</f>
        <v>0</v>
      </c>
      <c r="I158" s="91">
        <f>SUMIFS(tabela_registros[VALOR],tabela_registros[MÊS],$AE$1,tabela_registros[DIA],investiroutrosconsolidadoset[[#Headers],[5]],tabela_registros[REGISTRO],DADOS!$N$5,tabela_registros[TIPO],DADOS!$AB$5,tabela_registros[CATEGORIA],investiroutrosconsolidadoset[[#This Row],[ATUAL]])</f>
        <v>0</v>
      </c>
      <c r="J158" s="91">
        <f>SUMIFS(tabela_registros[VALOR],tabela_registros[MÊS],$AE$1,tabela_registros[DIA],investiroutrosconsolidadoset[[#Headers],[6]],tabela_registros[REGISTRO],DADOS!$N$5,tabela_registros[TIPO],DADOS!$AB$5,tabela_registros[CATEGORIA],investiroutrosconsolidadoset[[#This Row],[ATUAL]])</f>
        <v>0</v>
      </c>
      <c r="K158" s="91">
        <f>SUMIFS(tabela_registros[VALOR],tabela_registros[MÊS],$AE$1,tabela_registros[DIA],investiroutrosconsolidadoset[[#Headers],[7]],tabela_registros[REGISTRO],DADOS!$N$5,tabela_registros[TIPO],DADOS!$AB$5,tabela_registros[CATEGORIA],investiroutrosconsolidadoset[[#This Row],[ATUAL]])</f>
        <v>0</v>
      </c>
      <c r="L158" s="91">
        <f>SUMIFS(tabela_registros[VALOR],tabela_registros[MÊS],$AE$1,tabela_registros[DIA],investiroutrosconsolidadoset[[#Headers],[8]],tabela_registros[REGISTRO],DADOS!$N$5,tabela_registros[TIPO],DADOS!$AB$5,tabela_registros[CATEGORIA],investiroutrosconsolidadoset[[#This Row],[ATUAL]])</f>
        <v>0</v>
      </c>
      <c r="M158" s="91">
        <f>SUMIFS(tabela_registros[VALOR],tabela_registros[MÊS],$AE$1,tabela_registros[DIA],investiroutrosconsolidadoset[[#Headers],[9]],tabela_registros[REGISTRO],DADOS!$N$5,tabela_registros[TIPO],DADOS!$AB$5,tabela_registros[CATEGORIA],investiroutrosconsolidadoset[[#This Row],[ATUAL]])</f>
        <v>0</v>
      </c>
      <c r="N158" s="91">
        <f>SUMIFS(tabela_registros[VALOR],tabela_registros[MÊS],$AE$1,tabela_registros[DIA],investiroutrosconsolidadoset[[#Headers],[10]],tabela_registros[REGISTRO],DADOS!$N$5,tabela_registros[TIPO],DADOS!$AB$5,tabela_registros[CATEGORIA],investiroutrosconsolidadoset[[#This Row],[ATUAL]])</f>
        <v>0</v>
      </c>
      <c r="O158" s="91">
        <f>SUMIFS(tabela_registros[VALOR],tabela_registros[MÊS],$AE$1,tabela_registros[DIA],investiroutrosconsolidadoset[[#Headers],[11]],tabela_registros[REGISTRO],DADOS!$N$5,tabela_registros[TIPO],DADOS!$AB$5,tabela_registros[CATEGORIA],investiroutrosconsolidadoset[[#This Row],[ATUAL]])</f>
        <v>0</v>
      </c>
      <c r="P158" s="91">
        <f>SUMIFS(tabela_registros[VALOR],tabela_registros[MÊS],$AE$1,tabela_registros[DIA],investiroutrosconsolidadoset[[#Headers],[12]],tabela_registros[REGISTRO],DADOS!$N$5,tabela_registros[TIPO],DADOS!$AB$5,tabela_registros[CATEGORIA],investiroutrosconsolidadoset[[#This Row],[ATUAL]])</f>
        <v>0</v>
      </c>
      <c r="Q158" s="91">
        <f>SUMIFS(tabela_registros[VALOR],tabela_registros[MÊS],$AE$1,tabela_registros[DIA],investiroutrosconsolidadoset[[#Headers],[13]],tabela_registros[REGISTRO],DADOS!$N$5,tabela_registros[TIPO],DADOS!$AB$5,tabela_registros[CATEGORIA],investiroutrosconsolidadoset[[#This Row],[ATUAL]])</f>
        <v>0</v>
      </c>
      <c r="R158" s="91">
        <f>SUMIFS(tabela_registros[VALOR],tabela_registros[MÊS],$AE$1,tabela_registros[DIA],investiroutrosconsolidadoset[[#Headers],[14]],tabela_registros[REGISTRO],DADOS!$N$5,tabela_registros[TIPO],DADOS!$AB$5,tabela_registros[CATEGORIA],investiroutrosconsolidadoset[[#This Row],[ATUAL]])</f>
        <v>0</v>
      </c>
      <c r="S158" s="91">
        <f>SUMIFS(tabela_registros[VALOR],tabela_registros[MÊS],$AE$1,tabela_registros[DIA],investiroutrosconsolidadoset[[#Headers],[15]],tabela_registros[REGISTRO],DADOS!$N$5,tabela_registros[TIPO],DADOS!$AB$5,tabela_registros[CATEGORIA],investiroutrosconsolidadoset[[#This Row],[ATUAL]])</f>
        <v>0</v>
      </c>
      <c r="T158" s="91">
        <f>SUMIFS(tabela_registros[VALOR],tabela_registros[MÊS],$AE$1,tabela_registros[DIA],investiroutrosconsolidadoset[[#Headers],[16]],tabela_registros[REGISTRO],DADOS!$N$5,tabela_registros[TIPO],DADOS!$AB$5,tabela_registros[CATEGORIA],investiroutrosconsolidadoset[[#This Row],[ATUAL]])</f>
        <v>0</v>
      </c>
      <c r="U158" s="91">
        <f>SUMIFS(tabela_registros[VALOR],tabela_registros[MÊS],$AE$1,tabela_registros[DIA],investiroutrosconsolidadoset[[#Headers],[17]],tabela_registros[REGISTRO],DADOS!$N$5,tabela_registros[TIPO],DADOS!$AB$5,tabela_registros[CATEGORIA],investiroutrosconsolidadoset[[#This Row],[ATUAL]])</f>
        <v>0</v>
      </c>
      <c r="V158" s="91">
        <f>SUMIFS(tabela_registros[VALOR],tabela_registros[MÊS],$AE$1,tabela_registros[DIA],investiroutrosconsolidadoset[[#Headers],[18]],tabela_registros[REGISTRO],DADOS!$N$5,tabela_registros[TIPO],DADOS!$AB$5,tabela_registros[CATEGORIA],investiroutrosconsolidadoset[[#This Row],[ATUAL]])</f>
        <v>0</v>
      </c>
      <c r="W158" s="91">
        <f>SUMIFS(tabela_registros[VALOR],tabela_registros[MÊS],$AE$1,tabela_registros[DIA],investiroutrosconsolidadoset[[#Headers],[19]],tabela_registros[REGISTRO],DADOS!$N$5,tabela_registros[TIPO],DADOS!$AB$5,tabela_registros[CATEGORIA],investiroutrosconsolidadoset[[#This Row],[ATUAL]])</f>
        <v>0</v>
      </c>
      <c r="X158" s="91">
        <f>SUMIFS(tabela_registros[VALOR],tabela_registros[MÊS],$AE$1,tabela_registros[DIA],investiroutrosconsolidadoset[[#Headers],[20]],tabela_registros[REGISTRO],DADOS!$N$5,tabela_registros[TIPO],DADOS!$AB$5,tabela_registros[CATEGORIA],investiroutrosconsolidadoset[[#This Row],[ATUAL]])</f>
        <v>0</v>
      </c>
      <c r="Y158" s="91">
        <f>SUMIFS(tabela_registros[VALOR],tabela_registros[MÊS],$AE$1,tabela_registros[DIA],investiroutrosconsolidadoset[[#Headers],[21]],tabela_registros[REGISTRO],DADOS!$N$5,tabela_registros[TIPO],DADOS!$AB$5,tabela_registros[CATEGORIA],investiroutrosconsolidadoset[[#This Row],[ATUAL]])</f>
        <v>0</v>
      </c>
      <c r="Z158" s="91">
        <f>SUMIFS(tabela_registros[VALOR],tabela_registros[MÊS],$AE$1,tabela_registros[DIA],investiroutrosconsolidadoset[[#Headers],[22]],tabela_registros[REGISTRO],DADOS!$N$5,tabela_registros[TIPO],DADOS!$AB$5,tabela_registros[CATEGORIA],investiroutrosconsolidadoset[[#This Row],[ATUAL]])</f>
        <v>0</v>
      </c>
      <c r="AA158" s="91">
        <f>SUMIFS(tabela_registros[VALOR],tabela_registros[MÊS],$AE$1,tabela_registros[DIA],investiroutrosconsolidadoset[[#Headers],[23]],tabela_registros[REGISTRO],DADOS!$N$5,tabela_registros[TIPO],DADOS!$AB$5,tabela_registros[CATEGORIA],investiroutrosconsolidadoset[[#This Row],[ATUAL]])</f>
        <v>0</v>
      </c>
      <c r="AB158" s="91">
        <f>SUMIFS(tabela_registros[VALOR],tabela_registros[MÊS],$AE$1,tabela_registros[DIA],investiroutrosconsolidadoset[[#Headers],[24]],tabela_registros[REGISTRO],DADOS!$N$5,tabela_registros[TIPO],DADOS!$AB$5,tabela_registros[CATEGORIA],investiroutrosconsolidadoset[[#This Row],[ATUAL]])</f>
        <v>0</v>
      </c>
      <c r="AC158" s="91">
        <f>SUMIFS(tabela_registros[VALOR],tabela_registros[MÊS],$AE$1,tabela_registros[DIA],investiroutrosconsolidadoset[[#Headers],[25]],tabela_registros[REGISTRO],DADOS!$N$5,tabela_registros[TIPO],DADOS!$AB$5,tabela_registros[CATEGORIA],investiroutrosconsolidadoset[[#This Row],[ATUAL]])</f>
        <v>0</v>
      </c>
      <c r="AD158" s="91">
        <f>SUMIFS(tabela_registros[VALOR],tabela_registros[MÊS],$AE$1,tabela_registros[DIA],investiroutrosconsolidadoset[[#Headers],[26]],tabela_registros[REGISTRO],DADOS!$N$5,tabela_registros[TIPO],DADOS!$AB$5,tabela_registros[CATEGORIA],investiroutrosconsolidadoset[[#This Row],[ATUAL]])</f>
        <v>0</v>
      </c>
      <c r="AE158" s="91">
        <f>SUMIFS(tabela_registros[VALOR],tabela_registros[MÊS],$AE$1,tabela_registros[DIA],investiroutrosconsolidadoset[[#Headers],[27]],tabela_registros[REGISTRO],DADOS!$N$5,tabela_registros[TIPO],DADOS!$AB$5,tabela_registros[CATEGORIA],investiroutrosconsolidadoset[[#This Row],[ATUAL]])</f>
        <v>0</v>
      </c>
      <c r="AF158" s="91">
        <f>SUMIFS(tabela_registros[VALOR],tabela_registros[MÊS],$AE$1,tabela_registros[DIA],investiroutrosconsolidadoset[[#Headers],[28]],tabela_registros[REGISTRO],DADOS!$N$5,tabela_registros[TIPO],DADOS!$AB$5,tabela_registros[CATEGORIA],investiroutrosconsolidadoset[[#This Row],[ATUAL]])</f>
        <v>0</v>
      </c>
      <c r="AG158" s="91">
        <f>SUMIFS(tabela_registros[VALOR],tabela_registros[MÊS],$AE$1,tabela_registros[DIA],investiroutrosconsolidadoset[[#Headers],[29]],tabela_registros[REGISTRO],DADOS!$N$5,tabela_registros[TIPO],DADOS!$AB$5,tabela_registros[CATEGORIA],investiroutrosconsolidadoset[[#This Row],[ATUAL]])</f>
        <v>0</v>
      </c>
      <c r="AH158" s="91">
        <f>SUMIFS(tabela_registros[VALOR],tabela_registros[MÊS],$AE$1,tabela_registros[DIA],investiroutrosconsolidadoset[[#Headers],[30]],tabela_registros[REGISTRO],DADOS!$N$5,tabela_registros[TIPO],DADOS!$AB$5,tabela_registros[CATEGORIA],investiroutrosconsolidadoset[[#This Row],[ATUAL]])</f>
        <v>0</v>
      </c>
      <c r="AI158" s="102">
        <f>SUMIFS(tabela_registros[VALOR],tabela_registros[MÊS],$AE$1,tabela_registros[DIA],investiroutrosconsolidadoset[[#Headers],[31]],tabela_registros[REGISTRO],DADOS!$N$5,tabela_registros[TIPO],DADOS!$AB$5,tabela_registros[CATEGORIA],investiroutrosconsolidadoset[[#This Row],[ATUAL]])</f>
        <v>0</v>
      </c>
      <c r="AJ158" s="97">
        <f>SUM(investiroutrosconsolidadoset[[#This Row],[1]:[31]])</f>
        <v>0</v>
      </c>
      <c r="AK158" s="25"/>
    </row>
    <row r="159" spans="2:37" s="16" customFormat="1" ht="21" customHeight="1" thickTop="1" thickBot="1" x14ac:dyDescent="0.35">
      <c r="B159" s="24"/>
      <c r="C159" s="23" t="s">
        <v>19</v>
      </c>
      <c r="D159" s="22"/>
      <c r="E159" s="21">
        <f>SUM(E151:E158)</f>
        <v>0</v>
      </c>
      <c r="F159" s="20">
        <f>SUM(F151:F158)+investiroutrosconsolidadoset[[#This Row],[1]]</f>
        <v>0</v>
      </c>
      <c r="G159" s="20">
        <f>SUM(G151:G158)+investiroutrosconsolidadoset[[#This Row],[2]]</f>
        <v>0</v>
      </c>
      <c r="H159" s="20">
        <f>SUM(H151:H158)+investiroutrosconsolidadoset[[#This Row],[3]]</f>
        <v>0</v>
      </c>
      <c r="I159" s="20">
        <f>SUM(I151:I158)+investiroutrosconsolidadoset[[#This Row],[4]]</f>
        <v>0</v>
      </c>
      <c r="J159" s="20">
        <f>SUM(J151:J158)+investiroutrosconsolidadoset[[#This Row],[5]]</f>
        <v>0</v>
      </c>
      <c r="K159" s="20">
        <f>SUM(K151:K158)+investiroutrosconsolidadoset[[#This Row],[6]]</f>
        <v>0</v>
      </c>
      <c r="L159" s="20">
        <f>SUM(L151:L158)+investiroutrosconsolidadoset[[#This Row],[7]]</f>
        <v>0</v>
      </c>
      <c r="M159" s="20">
        <f>SUM(M151:M158)+investiroutrosconsolidadoset[[#This Row],[8]]</f>
        <v>0</v>
      </c>
      <c r="N159" s="20">
        <f>SUM(N151:N158)+investiroutrosconsolidadoset[[#This Row],[9]]</f>
        <v>0</v>
      </c>
      <c r="O159" s="20">
        <f>SUM(O151:O158)+investiroutrosconsolidadoset[[#This Row],[10]]</f>
        <v>0</v>
      </c>
      <c r="P159" s="20">
        <f>SUM(P151:P158)+investiroutrosconsolidadoset[[#This Row],[11]]</f>
        <v>0</v>
      </c>
      <c r="Q159" s="20">
        <f>SUM(Q151:Q158)+investiroutrosconsolidadoset[[#This Row],[12]]</f>
        <v>0</v>
      </c>
      <c r="R159" s="20">
        <f>SUM(R151:R158)+investiroutrosconsolidadoset[[#This Row],[13]]</f>
        <v>0</v>
      </c>
      <c r="S159" s="20">
        <f>SUM(S151:S158)+investiroutrosconsolidadoset[[#This Row],[14]]</f>
        <v>0</v>
      </c>
      <c r="T159" s="20">
        <f>SUM(T151:T158)+investiroutrosconsolidadoset[[#This Row],[15]]</f>
        <v>0</v>
      </c>
      <c r="U159" s="20">
        <f>SUM(U151:U158)+investiroutrosconsolidadoset[[#This Row],[16]]</f>
        <v>0</v>
      </c>
      <c r="V159" s="20">
        <f>SUM(V151:V158)+investiroutrosconsolidadoset[[#This Row],[17]]</f>
        <v>0</v>
      </c>
      <c r="W159" s="20">
        <f>SUM(W151:W158)+investiroutrosconsolidadoset[[#This Row],[18]]</f>
        <v>0</v>
      </c>
      <c r="X159" s="20">
        <f>SUM(X151:X158)+investiroutrosconsolidadoset[[#This Row],[19]]</f>
        <v>0</v>
      </c>
      <c r="Y159" s="20">
        <f>SUM(Y151:Y158)+investiroutrosconsolidadoset[[#This Row],[20]]</f>
        <v>0</v>
      </c>
      <c r="Z159" s="20">
        <f>SUM(Z151:Z158)+investiroutrosconsolidadoset[[#This Row],[21]]</f>
        <v>0</v>
      </c>
      <c r="AA159" s="20">
        <f>SUM(AA151:AA158)+investiroutrosconsolidadoset[[#This Row],[22]]</f>
        <v>0</v>
      </c>
      <c r="AB159" s="20">
        <f>SUM(AB151:AB158)+investiroutrosconsolidadoset[[#This Row],[23]]</f>
        <v>0</v>
      </c>
      <c r="AC159" s="20">
        <f>SUM(AC151:AC158)+investiroutrosconsolidadoset[[#This Row],[24]]</f>
        <v>0</v>
      </c>
      <c r="AD159" s="20">
        <f>SUM(AD151:AD158)+investiroutrosconsolidadoset[[#This Row],[25]]</f>
        <v>0</v>
      </c>
      <c r="AE159" s="20">
        <f>SUM(AE151:AE158)+investiroutrosconsolidadoset[[#This Row],[26]]</f>
        <v>0</v>
      </c>
      <c r="AF159" s="20">
        <f>SUM(AF151:AF158)+investiroutrosconsolidadoset[[#This Row],[27]]</f>
        <v>0</v>
      </c>
      <c r="AG159" s="20">
        <f>SUM(AG151:AG158)+investiroutrosconsolidadoset[[#This Row],[28]]</f>
        <v>0</v>
      </c>
      <c r="AH159" s="20">
        <f>SUM(AH151:AH158)+investiroutrosconsolidadoset[[#This Row],[29]]</f>
        <v>0</v>
      </c>
      <c r="AI159" s="19">
        <f>SUM(AI151:AI158)+investiroutrosconsolidadoset[[#This Row],[30]]</f>
        <v>0</v>
      </c>
      <c r="AJ159" s="18">
        <f>investiroutrosconsolidadoset[[#This Row],[31]]</f>
        <v>0</v>
      </c>
      <c r="AK159" s="17"/>
    </row>
    <row r="160" spans="2:37" ht="6.75" customHeight="1" thickTop="1" thickBot="1" x14ac:dyDescent="0.3">
      <c r="B160" s="15"/>
      <c r="C160" s="14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  <c r="AA160" s="13"/>
      <c r="AB160" s="13"/>
      <c r="AC160" s="13"/>
      <c r="AD160" s="13"/>
      <c r="AE160" s="13"/>
      <c r="AF160" s="13"/>
      <c r="AG160" s="13"/>
      <c r="AH160" s="13"/>
      <c r="AI160" s="12"/>
      <c r="AJ160" s="11"/>
      <c r="AK160" s="10"/>
    </row>
    <row r="161" spans="2:37" ht="12.6" thickTop="1" x14ac:dyDescent="0.25">
      <c r="E161" s="37"/>
      <c r="AI161" s="4"/>
    </row>
    <row r="162" spans="2:37" x14ac:dyDescent="0.25">
      <c r="AI162" s="4"/>
    </row>
    <row r="163" spans="2:37" x14ac:dyDescent="0.25">
      <c r="AI163" s="4"/>
    </row>
    <row r="164" spans="2:37" ht="39.75" customHeight="1" x14ac:dyDescent="0.7">
      <c r="C164" s="36"/>
      <c r="E164" s="240"/>
      <c r="F164" s="240"/>
      <c r="G164" s="240"/>
      <c r="H164" s="240"/>
      <c r="I164" s="240"/>
      <c r="J164" s="240"/>
      <c r="K164" s="240"/>
      <c r="L164" s="240"/>
      <c r="M164" s="240"/>
      <c r="N164" s="240"/>
      <c r="O164" s="240"/>
      <c r="P164" s="240"/>
      <c r="Q164" s="240"/>
      <c r="R164" s="240"/>
      <c r="S164" s="240"/>
      <c r="T164" s="240"/>
      <c r="U164" s="240"/>
      <c r="V164" s="240"/>
      <c r="W164" s="240"/>
      <c r="X164" s="240"/>
      <c r="Y164" s="240"/>
      <c r="Z164" s="240"/>
      <c r="AA164" s="240"/>
      <c r="AB164" s="240"/>
      <c r="AC164" s="240"/>
      <c r="AD164" s="240"/>
      <c r="AE164" s="240"/>
      <c r="AF164" s="240"/>
      <c r="AG164" s="240"/>
      <c r="AH164" s="240"/>
      <c r="AI164" s="240"/>
      <c r="AJ164" s="32" t="s">
        <v>19</v>
      </c>
    </row>
    <row r="165" spans="2:37" ht="12.6" thickBot="1" x14ac:dyDescent="0.3">
      <c r="B165" s="35"/>
      <c r="AI165" s="4"/>
      <c r="AJ165" s="34" t="s">
        <v>202</v>
      </c>
    </row>
    <row r="166" spans="2:37" ht="6.75" customHeight="1" thickTop="1" thickBot="1" x14ac:dyDescent="0.3">
      <c r="B166" s="2"/>
      <c r="C166" s="14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F166" s="13"/>
      <c r="AG166" s="13"/>
      <c r="AH166" s="13"/>
      <c r="AI166" s="13"/>
      <c r="AJ166" s="12"/>
      <c r="AK166" s="33"/>
    </row>
    <row r="167" spans="2:37" ht="13.2" hidden="1" thickTop="1" thickBot="1" x14ac:dyDescent="0.3">
      <c r="B167" s="2"/>
      <c r="C167" s="31" t="s">
        <v>199</v>
      </c>
      <c r="D167" s="30" t="s">
        <v>198</v>
      </c>
      <c r="E167" s="30" t="s">
        <v>197</v>
      </c>
      <c r="F167" s="30" t="s">
        <v>196</v>
      </c>
      <c r="G167" s="30" t="s">
        <v>195</v>
      </c>
      <c r="H167" s="30" t="s">
        <v>194</v>
      </c>
      <c r="I167" s="30" t="s">
        <v>193</v>
      </c>
      <c r="J167" s="30" t="s">
        <v>192</v>
      </c>
      <c r="K167" s="30" t="s">
        <v>191</v>
      </c>
      <c r="L167" s="30" t="s">
        <v>190</v>
      </c>
      <c r="M167" s="30" t="s">
        <v>189</v>
      </c>
      <c r="N167" s="30" t="s">
        <v>188</v>
      </c>
      <c r="O167" s="30" t="s">
        <v>187</v>
      </c>
      <c r="P167" s="30" t="s">
        <v>186</v>
      </c>
      <c r="Q167" s="30" t="s">
        <v>185</v>
      </c>
      <c r="R167" s="30" t="s">
        <v>184</v>
      </c>
      <c r="S167" s="30" t="s">
        <v>183</v>
      </c>
      <c r="T167" s="30" t="s">
        <v>182</v>
      </c>
      <c r="U167" s="30" t="s">
        <v>181</v>
      </c>
      <c r="V167" s="30" t="s">
        <v>180</v>
      </c>
      <c r="W167" s="30" t="s">
        <v>179</v>
      </c>
      <c r="X167" s="30" t="s">
        <v>178</v>
      </c>
      <c r="Y167" s="30" t="s">
        <v>177</v>
      </c>
      <c r="Z167" s="30" t="s">
        <v>176</v>
      </c>
      <c r="AA167" s="30" t="s">
        <v>175</v>
      </c>
      <c r="AB167" s="30" t="s">
        <v>174</v>
      </c>
      <c r="AC167" s="30" t="s">
        <v>173</v>
      </c>
      <c r="AD167" s="30" t="s">
        <v>172</v>
      </c>
      <c r="AE167" s="30" t="s">
        <v>171</v>
      </c>
      <c r="AF167" s="30" t="s">
        <v>170</v>
      </c>
      <c r="AG167" s="30" t="s">
        <v>169</v>
      </c>
      <c r="AH167" s="30" t="s">
        <v>168</v>
      </c>
      <c r="AI167" s="30" t="s">
        <v>167</v>
      </c>
      <c r="AJ167" s="29" t="s">
        <v>166</v>
      </c>
      <c r="AK167" s="2"/>
    </row>
    <row r="168" spans="2:37" ht="19.5" customHeight="1" thickTop="1" thickBot="1" x14ac:dyDescent="0.3">
      <c r="B168" s="28"/>
      <c r="C168" s="27" t="str">
        <f>DADOS!$AL$3</f>
        <v>📝 CDB</v>
      </c>
      <c r="D168" s="26" t="str">
        <f>IF(reservafixaconsolidadoset[[#This Row],[TOTAL (R$)]]=0,"",IF(OR(reservafixaconsolidadoset[[#This Row],[TOTAL (R$)]]=LARGE($AJ$168:$AJ$177,1),reservafixaconsolidadoset[[#This Row],[TOTAL (R$)]]=LARGE($AJ$168:$AJ$177,2)),DADOS!$I$11,""))</f>
        <v/>
      </c>
      <c r="E168" s="96">
        <f>SUMIFS(tabela_registros[VALOR],tabela_registros[MÊS],$AE$1,tabela_registros[DIA],reservafixaconsolidadoset[[#Headers],[1]],tabela_registros[REGISTRO],DADOS!$N$6,tabela_registros[TIPO],DADOS!$AJ$3,tabela_registros[CATEGORIA],reservafixaconsolidadoset[[#This Row],[ATUAL]])</f>
        <v>0</v>
      </c>
      <c r="F168" s="91">
        <f>SUMIFS(tabela_registros[VALOR],tabela_registros[MÊS],$AE$1,tabela_registros[DIA],reservafixaconsolidadoset[[#Headers],[2]],tabela_registros[REGISTRO],DADOS!$N$6,tabela_registros[TIPO],DADOS!$AJ$3,tabela_registros[CATEGORIA],reservafixaconsolidadoset[[#This Row],[ATUAL]])</f>
        <v>0</v>
      </c>
      <c r="G168" s="91">
        <f>SUMIFS(tabela_registros[VALOR],tabela_registros[MÊS],$AE$1,tabela_registros[DIA],reservafixaconsolidadoset[[#Headers],[3]],tabela_registros[REGISTRO],DADOS!$N$6,tabela_registros[TIPO],DADOS!$AJ$3,tabela_registros[CATEGORIA],reservafixaconsolidadoset[[#This Row],[ATUAL]])</f>
        <v>0</v>
      </c>
      <c r="H168" s="91">
        <f>SUMIFS(tabela_registros[VALOR],tabela_registros[MÊS],$AE$1,tabela_registros[DIA],reservafixaconsolidadoset[[#Headers],[4]],tabela_registros[REGISTRO],DADOS!$N$6,tabela_registros[TIPO],DADOS!$AJ$3,tabela_registros[CATEGORIA],reservafixaconsolidadoset[[#This Row],[ATUAL]])</f>
        <v>0</v>
      </c>
      <c r="I168" s="91">
        <f>SUMIFS(tabela_registros[VALOR],tabela_registros[MÊS],$AE$1,tabela_registros[DIA],reservafixaconsolidadoset[[#Headers],[5]],tabela_registros[REGISTRO],DADOS!$N$6,tabela_registros[TIPO],DADOS!$AJ$3,tabela_registros[CATEGORIA],reservafixaconsolidadoset[[#This Row],[ATUAL]])</f>
        <v>0</v>
      </c>
      <c r="J168" s="91">
        <f>SUMIFS(tabela_registros[VALOR],tabela_registros[MÊS],$AE$1,tabela_registros[DIA],reservafixaconsolidadoset[[#Headers],[6]],tabela_registros[REGISTRO],DADOS!$N$6,tabela_registros[TIPO],DADOS!$AJ$3,tabela_registros[CATEGORIA],reservafixaconsolidadoset[[#This Row],[ATUAL]])</f>
        <v>0</v>
      </c>
      <c r="K168" s="91">
        <f>SUMIFS(tabela_registros[VALOR],tabela_registros[MÊS],$AE$1,tabela_registros[DIA],reservafixaconsolidadoset[[#Headers],[7]],tabela_registros[REGISTRO],DADOS!$N$6,tabela_registros[TIPO],DADOS!$AJ$3,tabela_registros[CATEGORIA],reservafixaconsolidadoset[[#This Row],[ATUAL]])</f>
        <v>0</v>
      </c>
      <c r="L168" s="91">
        <f>SUMIFS(tabela_registros[VALOR],tabela_registros[MÊS],$AE$1,tabela_registros[DIA],reservafixaconsolidadoset[[#Headers],[8]],tabela_registros[REGISTRO],DADOS!$N$6,tabela_registros[TIPO],DADOS!$AJ$3,tabela_registros[CATEGORIA],reservafixaconsolidadoset[[#This Row],[ATUAL]])</f>
        <v>0</v>
      </c>
      <c r="M168" s="91">
        <f>SUMIFS(tabela_registros[VALOR],tabela_registros[MÊS],$AE$1,tabela_registros[DIA],reservafixaconsolidadoset[[#Headers],[9]],tabela_registros[REGISTRO],DADOS!$N$6,tabela_registros[TIPO],DADOS!$AJ$3,tabela_registros[CATEGORIA],reservafixaconsolidadoset[[#This Row],[ATUAL]])</f>
        <v>0</v>
      </c>
      <c r="N168" s="91">
        <f>SUMIFS(tabela_registros[VALOR],tabela_registros[MÊS],$AE$1,tabela_registros[DIA],reservafixaconsolidadoset[[#Headers],[10]],tabela_registros[REGISTRO],DADOS!$N$6,tabela_registros[TIPO],DADOS!$AJ$3,tabela_registros[CATEGORIA],reservafixaconsolidadoset[[#This Row],[ATUAL]])</f>
        <v>0</v>
      </c>
      <c r="O168" s="91">
        <f>SUMIFS(tabela_registros[VALOR],tabela_registros[MÊS],$AE$1,tabela_registros[DIA],reservafixaconsolidadoset[[#Headers],[11]],tabela_registros[REGISTRO],DADOS!$N$6,tabela_registros[TIPO],DADOS!$AJ$3,tabela_registros[CATEGORIA],reservafixaconsolidadoset[[#This Row],[ATUAL]])</f>
        <v>0</v>
      </c>
      <c r="P168" s="91">
        <f>SUMIFS(tabela_registros[VALOR],tabela_registros[MÊS],$AE$1,tabela_registros[DIA],reservafixaconsolidadoset[[#Headers],[12]],tabela_registros[REGISTRO],DADOS!$N$6,tabela_registros[TIPO],DADOS!$AJ$3,tabela_registros[CATEGORIA],reservafixaconsolidadoset[[#This Row],[ATUAL]])</f>
        <v>0</v>
      </c>
      <c r="Q168" s="91">
        <f>SUMIFS(tabela_registros[VALOR],tabela_registros[MÊS],$AE$1,tabela_registros[DIA],reservafixaconsolidadoset[[#Headers],[13]],tabela_registros[REGISTRO],DADOS!$N$6,tabela_registros[TIPO],DADOS!$AJ$3,tabela_registros[CATEGORIA],reservafixaconsolidadoset[[#This Row],[ATUAL]])</f>
        <v>0</v>
      </c>
      <c r="R168" s="91">
        <f>SUMIFS(tabela_registros[VALOR],tabela_registros[MÊS],$AE$1,tabela_registros[DIA],reservafixaconsolidadoset[[#Headers],[14]],tabela_registros[REGISTRO],DADOS!$N$6,tabela_registros[TIPO],DADOS!$AJ$3,tabela_registros[CATEGORIA],reservafixaconsolidadoset[[#This Row],[ATUAL]])</f>
        <v>0</v>
      </c>
      <c r="S168" s="91">
        <f>SUMIFS(tabela_registros[VALOR],tabela_registros[MÊS],$AE$1,tabela_registros[DIA],reservafixaconsolidadoset[[#Headers],[15]],tabela_registros[REGISTRO],DADOS!$N$6,tabela_registros[TIPO],DADOS!$AJ$3,tabela_registros[CATEGORIA],reservafixaconsolidadoset[[#This Row],[ATUAL]])</f>
        <v>0</v>
      </c>
      <c r="T168" s="91">
        <f>SUMIFS(tabela_registros[VALOR],tabela_registros[MÊS],$AE$1,tabela_registros[DIA],reservafixaconsolidadoset[[#Headers],[16]],tabela_registros[REGISTRO],DADOS!$N$6,tabela_registros[TIPO],DADOS!$AJ$3,tabela_registros[CATEGORIA],reservafixaconsolidadoset[[#This Row],[ATUAL]])</f>
        <v>0</v>
      </c>
      <c r="U168" s="91">
        <f>SUMIFS(tabela_registros[VALOR],tabela_registros[MÊS],$AE$1,tabela_registros[DIA],reservafixaconsolidadoset[[#Headers],[17]],tabela_registros[REGISTRO],DADOS!$N$6,tabela_registros[TIPO],DADOS!$AJ$3,tabela_registros[CATEGORIA],reservafixaconsolidadoset[[#This Row],[ATUAL]])</f>
        <v>0</v>
      </c>
      <c r="V168" s="91">
        <f>SUMIFS(tabela_registros[VALOR],tabela_registros[MÊS],$AE$1,tabela_registros[DIA],reservafixaconsolidadoset[[#Headers],[18]],tabela_registros[REGISTRO],DADOS!$N$6,tabela_registros[TIPO],DADOS!$AJ$3,tabela_registros[CATEGORIA],reservafixaconsolidadoset[[#This Row],[ATUAL]])</f>
        <v>0</v>
      </c>
      <c r="W168" s="91">
        <f>SUMIFS(tabela_registros[VALOR],tabela_registros[MÊS],$AE$1,tabela_registros[DIA],reservafixaconsolidadoset[[#Headers],[19]],tabela_registros[REGISTRO],DADOS!$N$6,tabela_registros[TIPO],DADOS!$AJ$3,tabela_registros[CATEGORIA],reservafixaconsolidadoset[[#This Row],[ATUAL]])</f>
        <v>0</v>
      </c>
      <c r="X168" s="91">
        <f>SUMIFS(tabela_registros[VALOR],tabela_registros[MÊS],$AE$1,tabela_registros[DIA],reservafixaconsolidadoset[[#Headers],[20]],tabela_registros[REGISTRO],DADOS!$N$6,tabela_registros[TIPO],DADOS!$AJ$3,tabela_registros[CATEGORIA],reservafixaconsolidadoset[[#This Row],[ATUAL]])</f>
        <v>0</v>
      </c>
      <c r="Y168" s="91">
        <f>SUMIFS(tabela_registros[VALOR],tabela_registros[MÊS],$AE$1,tabela_registros[DIA],reservafixaconsolidadoset[[#Headers],[21]],tabela_registros[REGISTRO],DADOS!$N$6,tabela_registros[TIPO],DADOS!$AJ$3,tabela_registros[CATEGORIA],reservafixaconsolidadoset[[#This Row],[ATUAL]])</f>
        <v>0</v>
      </c>
      <c r="Z168" s="91">
        <f>SUMIFS(tabela_registros[VALOR],tabela_registros[MÊS],$AE$1,tabela_registros[DIA],reservafixaconsolidadoset[[#Headers],[22]],tabela_registros[REGISTRO],DADOS!$N$6,tabela_registros[TIPO],DADOS!$AJ$3,tabela_registros[CATEGORIA],reservafixaconsolidadoset[[#This Row],[ATUAL]])</f>
        <v>0</v>
      </c>
      <c r="AA168" s="91">
        <f>SUMIFS(tabela_registros[VALOR],tabela_registros[MÊS],$AE$1,tabela_registros[DIA],reservafixaconsolidadoset[[#Headers],[23]],tabela_registros[REGISTRO],DADOS!$N$6,tabela_registros[TIPO],DADOS!$AJ$3,tabela_registros[CATEGORIA],reservafixaconsolidadoset[[#This Row],[ATUAL]])</f>
        <v>0</v>
      </c>
      <c r="AB168" s="91">
        <f>SUMIFS(tabela_registros[VALOR],tabela_registros[MÊS],$AE$1,tabela_registros[DIA],reservafixaconsolidadoset[[#Headers],[24]],tabela_registros[REGISTRO],DADOS!$N$6,tabela_registros[TIPO],DADOS!$AJ$3,tabela_registros[CATEGORIA],reservafixaconsolidadoset[[#This Row],[ATUAL]])</f>
        <v>0</v>
      </c>
      <c r="AC168" s="91">
        <f>SUMIFS(tabela_registros[VALOR],tabela_registros[MÊS],$AE$1,tabela_registros[DIA],reservafixaconsolidadoset[[#Headers],[25]],tabela_registros[REGISTRO],DADOS!$N$6,tabela_registros[TIPO],DADOS!$AJ$3,tabela_registros[CATEGORIA],reservafixaconsolidadoset[[#This Row],[ATUAL]])</f>
        <v>0</v>
      </c>
      <c r="AD168" s="91">
        <f>SUMIFS(tabela_registros[VALOR],tabela_registros[MÊS],$AE$1,tabela_registros[DIA],reservafixaconsolidadoset[[#Headers],[26]],tabela_registros[REGISTRO],DADOS!$N$6,tabela_registros[TIPO],DADOS!$AJ$3,tabela_registros[CATEGORIA],reservafixaconsolidadoset[[#This Row],[ATUAL]])</f>
        <v>0</v>
      </c>
      <c r="AE168" s="91">
        <f>SUMIFS(tabela_registros[VALOR],tabela_registros[MÊS],$AE$1,tabela_registros[DIA],reservafixaconsolidadoset[[#Headers],[27]],tabela_registros[REGISTRO],DADOS!$N$6,tabela_registros[TIPO],DADOS!$AJ$3,tabela_registros[CATEGORIA],reservafixaconsolidadoset[[#This Row],[ATUAL]])</f>
        <v>0</v>
      </c>
      <c r="AF168" s="91">
        <f>SUMIFS(tabela_registros[VALOR],tabela_registros[MÊS],$AE$1,tabela_registros[DIA],reservafixaconsolidadoset[[#Headers],[28]],tabela_registros[REGISTRO],DADOS!$N$6,tabela_registros[TIPO],DADOS!$AJ$3,tabela_registros[CATEGORIA],reservafixaconsolidadoset[[#This Row],[ATUAL]])</f>
        <v>0</v>
      </c>
      <c r="AG168" s="91">
        <f>SUMIFS(tabela_registros[VALOR],tabela_registros[MÊS],$AE$1,tabela_registros[DIA],reservafixaconsolidadoset[[#Headers],[29]],tabela_registros[REGISTRO],DADOS!$N$6,tabela_registros[TIPO],DADOS!$AJ$3,tabela_registros[CATEGORIA],reservafixaconsolidadoset[[#This Row],[ATUAL]])</f>
        <v>0</v>
      </c>
      <c r="AH168" s="91">
        <f>SUMIFS(tabela_registros[VALOR],tabela_registros[MÊS],$AE$1,tabela_registros[DIA],reservafixaconsolidadoset[[#Headers],[30]],tabela_registros[REGISTRO],DADOS!$N$6,tabela_registros[TIPO],DADOS!$AJ$3,tabela_registros[CATEGORIA],reservafixaconsolidadoset[[#This Row],[ATUAL]])</f>
        <v>0</v>
      </c>
      <c r="AI168" s="101">
        <f>SUMIFS(tabela_registros[VALOR],tabela_registros[MÊS],$AE$1,tabela_registros[DIA],reservafixaconsolidadoset[[#Headers],[31]],tabela_registros[REGISTRO],DADOS!$N$6,tabela_registros[TIPO],DADOS!$AJ$3,tabela_registros[CATEGORIA],reservafixaconsolidadoset[[#This Row],[ATUAL]])</f>
        <v>0</v>
      </c>
      <c r="AJ168" s="97">
        <f>SUM(reservafixaconsolidadoset[[#This Row],[1]:[31]])</f>
        <v>0</v>
      </c>
      <c r="AK168" s="25"/>
    </row>
    <row r="169" spans="2:37" ht="19.5" customHeight="1" thickTop="1" thickBot="1" x14ac:dyDescent="0.3">
      <c r="B169" s="28"/>
      <c r="C169" s="27" t="str">
        <f>DADOS!$AL$4</f>
        <v>📝 CRA</v>
      </c>
      <c r="D169" s="26" t="str">
        <f>IF(reservafixaconsolidadoset[[#This Row],[TOTAL (R$)]]=0,"",IF(OR(reservafixaconsolidadoset[[#This Row],[TOTAL (R$)]]=LARGE($AJ$168:$AJ$177,1),reservafixaconsolidadoset[[#This Row],[TOTAL (R$)]]=LARGE($AJ$168:$AJ$177,2)),DADOS!$I$11,""))</f>
        <v/>
      </c>
      <c r="E169" s="96">
        <f>SUMIFS(tabela_registros[VALOR],tabela_registros[MÊS],$AE$1,tabela_registros[DIA],reservafixaconsolidadoset[[#Headers],[1]],tabela_registros[REGISTRO],DADOS!$N$6,tabela_registros[TIPO],DADOS!$AJ$3,tabela_registros[CATEGORIA],reservafixaconsolidadoset[[#This Row],[ATUAL]])</f>
        <v>0</v>
      </c>
      <c r="F169" s="91">
        <f>SUMIFS(tabela_registros[VALOR],tabela_registros[MÊS],$AE$1,tabela_registros[DIA],reservafixaconsolidadoset[[#Headers],[2]],tabela_registros[REGISTRO],DADOS!$N$6,tabela_registros[TIPO],DADOS!$AJ$3,tabela_registros[CATEGORIA],reservafixaconsolidadoset[[#This Row],[ATUAL]])</f>
        <v>0</v>
      </c>
      <c r="G169" s="91">
        <f>SUMIFS(tabela_registros[VALOR],tabela_registros[MÊS],$AE$1,tabela_registros[DIA],reservafixaconsolidadoset[[#Headers],[3]],tabela_registros[REGISTRO],DADOS!$N$6,tabela_registros[TIPO],DADOS!$AJ$3,tabela_registros[CATEGORIA],reservafixaconsolidadoset[[#This Row],[ATUAL]])</f>
        <v>0</v>
      </c>
      <c r="H169" s="91">
        <f>SUMIFS(tabela_registros[VALOR],tabela_registros[MÊS],$AE$1,tabela_registros[DIA],reservafixaconsolidadoset[[#Headers],[4]],tabela_registros[REGISTRO],DADOS!$N$6,tabela_registros[TIPO],DADOS!$AJ$3,tabela_registros[CATEGORIA],reservafixaconsolidadoset[[#This Row],[ATUAL]])</f>
        <v>0</v>
      </c>
      <c r="I169" s="91">
        <f>SUMIFS(tabela_registros[VALOR],tabela_registros[MÊS],$AE$1,tabela_registros[DIA],reservafixaconsolidadoset[[#Headers],[5]],tabela_registros[REGISTRO],DADOS!$N$6,tabela_registros[TIPO],DADOS!$AJ$3,tabela_registros[CATEGORIA],reservafixaconsolidadoset[[#This Row],[ATUAL]])</f>
        <v>0</v>
      </c>
      <c r="J169" s="91">
        <f>SUMIFS(tabela_registros[VALOR],tabela_registros[MÊS],$AE$1,tabela_registros[DIA],reservafixaconsolidadoset[[#Headers],[6]],tabela_registros[REGISTRO],DADOS!$N$6,tabela_registros[TIPO],DADOS!$AJ$3,tabela_registros[CATEGORIA],reservafixaconsolidadoset[[#This Row],[ATUAL]])</f>
        <v>0</v>
      </c>
      <c r="K169" s="91">
        <f>SUMIFS(tabela_registros[VALOR],tabela_registros[MÊS],$AE$1,tabela_registros[DIA],reservafixaconsolidadoset[[#Headers],[7]],tabela_registros[REGISTRO],DADOS!$N$6,tabela_registros[TIPO],DADOS!$AJ$3,tabela_registros[CATEGORIA],reservafixaconsolidadoset[[#This Row],[ATUAL]])</f>
        <v>0</v>
      </c>
      <c r="L169" s="91">
        <f>SUMIFS(tabela_registros[VALOR],tabela_registros[MÊS],$AE$1,tabela_registros[DIA],reservafixaconsolidadoset[[#Headers],[8]],tabela_registros[REGISTRO],DADOS!$N$6,tabela_registros[TIPO],DADOS!$AJ$3,tabela_registros[CATEGORIA],reservafixaconsolidadoset[[#This Row],[ATUAL]])</f>
        <v>0</v>
      </c>
      <c r="M169" s="91">
        <f>SUMIFS(tabela_registros[VALOR],tabela_registros[MÊS],$AE$1,tabela_registros[DIA],reservafixaconsolidadoset[[#Headers],[9]],tabela_registros[REGISTRO],DADOS!$N$6,tabela_registros[TIPO],DADOS!$AJ$3,tabela_registros[CATEGORIA],reservafixaconsolidadoset[[#This Row],[ATUAL]])</f>
        <v>0</v>
      </c>
      <c r="N169" s="91">
        <f>SUMIFS(tabela_registros[VALOR],tabela_registros[MÊS],$AE$1,tabela_registros[DIA],reservafixaconsolidadoset[[#Headers],[10]],tabela_registros[REGISTRO],DADOS!$N$6,tabela_registros[TIPO],DADOS!$AJ$3,tabela_registros[CATEGORIA],reservafixaconsolidadoset[[#This Row],[ATUAL]])</f>
        <v>0</v>
      </c>
      <c r="O169" s="91">
        <f>SUMIFS(tabela_registros[VALOR],tabela_registros[MÊS],$AE$1,tabela_registros[DIA],reservafixaconsolidadoset[[#Headers],[11]],tabela_registros[REGISTRO],DADOS!$N$6,tabela_registros[TIPO],DADOS!$AJ$3,tabela_registros[CATEGORIA],reservafixaconsolidadoset[[#This Row],[ATUAL]])</f>
        <v>0</v>
      </c>
      <c r="P169" s="91">
        <f>SUMIFS(tabela_registros[VALOR],tabela_registros[MÊS],$AE$1,tabela_registros[DIA],reservafixaconsolidadoset[[#Headers],[12]],tabela_registros[REGISTRO],DADOS!$N$6,tabela_registros[TIPO],DADOS!$AJ$3,tabela_registros[CATEGORIA],reservafixaconsolidadoset[[#This Row],[ATUAL]])</f>
        <v>0</v>
      </c>
      <c r="Q169" s="91">
        <f>SUMIFS(tabela_registros[VALOR],tabela_registros[MÊS],$AE$1,tabela_registros[DIA],reservafixaconsolidadoset[[#Headers],[13]],tabela_registros[REGISTRO],DADOS!$N$6,tabela_registros[TIPO],DADOS!$AJ$3,tabela_registros[CATEGORIA],reservafixaconsolidadoset[[#This Row],[ATUAL]])</f>
        <v>0</v>
      </c>
      <c r="R169" s="91">
        <f>SUMIFS(tabela_registros[VALOR],tabela_registros[MÊS],$AE$1,tabela_registros[DIA],reservafixaconsolidadoset[[#Headers],[14]],tabela_registros[REGISTRO],DADOS!$N$6,tabela_registros[TIPO],DADOS!$AJ$3,tabela_registros[CATEGORIA],reservafixaconsolidadoset[[#This Row],[ATUAL]])</f>
        <v>0</v>
      </c>
      <c r="S169" s="91">
        <f>SUMIFS(tabela_registros[VALOR],tabela_registros[MÊS],$AE$1,tabela_registros[DIA],reservafixaconsolidadoset[[#Headers],[15]],tabela_registros[REGISTRO],DADOS!$N$6,tabela_registros[TIPO],DADOS!$AJ$3,tabela_registros[CATEGORIA],reservafixaconsolidadoset[[#This Row],[ATUAL]])</f>
        <v>0</v>
      </c>
      <c r="T169" s="91">
        <f>SUMIFS(tabela_registros[VALOR],tabela_registros[MÊS],$AE$1,tabela_registros[DIA],reservafixaconsolidadoset[[#Headers],[16]],tabela_registros[REGISTRO],DADOS!$N$6,tabela_registros[TIPO],DADOS!$AJ$3,tabela_registros[CATEGORIA],reservafixaconsolidadoset[[#This Row],[ATUAL]])</f>
        <v>0</v>
      </c>
      <c r="U169" s="91">
        <f>SUMIFS(tabela_registros[VALOR],tabela_registros[MÊS],$AE$1,tabela_registros[DIA],reservafixaconsolidadoset[[#Headers],[17]],tabela_registros[REGISTRO],DADOS!$N$6,tabela_registros[TIPO],DADOS!$AJ$3,tabela_registros[CATEGORIA],reservafixaconsolidadoset[[#This Row],[ATUAL]])</f>
        <v>0</v>
      </c>
      <c r="V169" s="91">
        <f>SUMIFS(tabela_registros[VALOR],tabela_registros[MÊS],$AE$1,tabela_registros[DIA],reservafixaconsolidadoset[[#Headers],[18]],tabela_registros[REGISTRO],DADOS!$N$6,tabela_registros[TIPO],DADOS!$AJ$3,tabela_registros[CATEGORIA],reservafixaconsolidadoset[[#This Row],[ATUAL]])</f>
        <v>0</v>
      </c>
      <c r="W169" s="91">
        <f>SUMIFS(tabela_registros[VALOR],tabela_registros[MÊS],$AE$1,tabela_registros[DIA],reservafixaconsolidadoset[[#Headers],[19]],tabela_registros[REGISTRO],DADOS!$N$6,tabela_registros[TIPO],DADOS!$AJ$3,tabela_registros[CATEGORIA],reservafixaconsolidadoset[[#This Row],[ATUAL]])</f>
        <v>0</v>
      </c>
      <c r="X169" s="91">
        <f>SUMIFS(tabela_registros[VALOR],tabela_registros[MÊS],$AE$1,tabela_registros[DIA],reservafixaconsolidadoset[[#Headers],[20]],tabela_registros[REGISTRO],DADOS!$N$6,tabela_registros[TIPO],DADOS!$AJ$3,tabela_registros[CATEGORIA],reservafixaconsolidadoset[[#This Row],[ATUAL]])</f>
        <v>0</v>
      </c>
      <c r="Y169" s="91">
        <f>SUMIFS(tabela_registros[VALOR],tabela_registros[MÊS],$AE$1,tabela_registros[DIA],reservafixaconsolidadoset[[#Headers],[21]],tabela_registros[REGISTRO],DADOS!$N$6,tabela_registros[TIPO],DADOS!$AJ$3,tabela_registros[CATEGORIA],reservafixaconsolidadoset[[#This Row],[ATUAL]])</f>
        <v>0</v>
      </c>
      <c r="Z169" s="91">
        <f>SUMIFS(tabela_registros[VALOR],tabela_registros[MÊS],$AE$1,tabela_registros[DIA],reservafixaconsolidadoset[[#Headers],[22]],tabela_registros[REGISTRO],DADOS!$N$6,tabela_registros[TIPO],DADOS!$AJ$3,tabela_registros[CATEGORIA],reservafixaconsolidadoset[[#This Row],[ATUAL]])</f>
        <v>0</v>
      </c>
      <c r="AA169" s="91">
        <f>SUMIFS(tabela_registros[VALOR],tabela_registros[MÊS],$AE$1,tabela_registros[DIA],reservafixaconsolidadoset[[#Headers],[23]],tabela_registros[REGISTRO],DADOS!$N$6,tabela_registros[TIPO],DADOS!$AJ$3,tabela_registros[CATEGORIA],reservafixaconsolidadoset[[#This Row],[ATUAL]])</f>
        <v>0</v>
      </c>
      <c r="AB169" s="91">
        <f>SUMIFS(tabela_registros[VALOR],tabela_registros[MÊS],$AE$1,tabela_registros[DIA],reservafixaconsolidadoset[[#Headers],[24]],tabela_registros[REGISTRO],DADOS!$N$6,tabela_registros[TIPO],DADOS!$AJ$3,tabela_registros[CATEGORIA],reservafixaconsolidadoset[[#This Row],[ATUAL]])</f>
        <v>0</v>
      </c>
      <c r="AC169" s="91">
        <f>SUMIFS(tabela_registros[VALOR],tabela_registros[MÊS],$AE$1,tabela_registros[DIA],reservafixaconsolidadoset[[#Headers],[25]],tabela_registros[REGISTRO],DADOS!$N$6,tabela_registros[TIPO],DADOS!$AJ$3,tabela_registros[CATEGORIA],reservafixaconsolidadoset[[#This Row],[ATUAL]])</f>
        <v>0</v>
      </c>
      <c r="AD169" s="91">
        <f>SUMIFS(tabela_registros[VALOR],tabela_registros[MÊS],$AE$1,tabela_registros[DIA],reservafixaconsolidadoset[[#Headers],[26]],tabela_registros[REGISTRO],DADOS!$N$6,tabela_registros[TIPO],DADOS!$AJ$3,tabela_registros[CATEGORIA],reservafixaconsolidadoset[[#This Row],[ATUAL]])</f>
        <v>0</v>
      </c>
      <c r="AE169" s="91">
        <f>SUMIFS(tabela_registros[VALOR],tabela_registros[MÊS],$AE$1,tabela_registros[DIA],reservafixaconsolidadoset[[#Headers],[27]],tabela_registros[REGISTRO],DADOS!$N$6,tabela_registros[TIPO],DADOS!$AJ$3,tabela_registros[CATEGORIA],reservafixaconsolidadoset[[#This Row],[ATUAL]])</f>
        <v>0</v>
      </c>
      <c r="AF169" s="91">
        <f>SUMIFS(tabela_registros[VALOR],tabela_registros[MÊS],$AE$1,tabela_registros[DIA],reservafixaconsolidadoset[[#Headers],[28]],tabela_registros[REGISTRO],DADOS!$N$6,tabela_registros[TIPO],DADOS!$AJ$3,tabela_registros[CATEGORIA],reservafixaconsolidadoset[[#This Row],[ATUAL]])</f>
        <v>0</v>
      </c>
      <c r="AG169" s="91">
        <f>SUMIFS(tabela_registros[VALOR],tabela_registros[MÊS],$AE$1,tabela_registros[DIA],reservafixaconsolidadoset[[#Headers],[29]],tabela_registros[REGISTRO],DADOS!$N$6,tabela_registros[TIPO],DADOS!$AJ$3,tabela_registros[CATEGORIA],reservafixaconsolidadoset[[#This Row],[ATUAL]])</f>
        <v>0</v>
      </c>
      <c r="AH169" s="91">
        <f>SUMIFS(tabela_registros[VALOR],tabela_registros[MÊS],$AE$1,tabela_registros[DIA],reservafixaconsolidadoset[[#Headers],[30]],tabela_registros[REGISTRO],DADOS!$N$6,tabela_registros[TIPO],DADOS!$AJ$3,tabela_registros[CATEGORIA],reservafixaconsolidadoset[[#This Row],[ATUAL]])</f>
        <v>0</v>
      </c>
      <c r="AI169" s="101">
        <f>SUMIFS(tabela_registros[VALOR],tabela_registros[MÊS],$AE$1,tabela_registros[DIA],reservafixaconsolidadoset[[#Headers],[31]],tabela_registros[REGISTRO],DADOS!$N$6,tabela_registros[TIPO],DADOS!$AJ$3,tabela_registros[CATEGORIA],reservafixaconsolidadoset[[#This Row],[ATUAL]])</f>
        <v>0</v>
      </c>
      <c r="AJ169" s="97">
        <f>SUM(reservafixaconsolidadoset[[#This Row],[1]:[31]])</f>
        <v>0</v>
      </c>
      <c r="AK169" s="25"/>
    </row>
    <row r="170" spans="2:37" ht="19.5" customHeight="1" thickTop="1" thickBot="1" x14ac:dyDescent="0.3">
      <c r="B170" s="28"/>
      <c r="C170" s="27" t="str">
        <f>DADOS!$AL$5</f>
        <v>📝 CRI</v>
      </c>
      <c r="D170" s="26" t="str">
        <f>IF(reservafixaconsolidadoset[[#This Row],[TOTAL (R$)]]=0,"",IF(OR(reservafixaconsolidadoset[[#This Row],[TOTAL (R$)]]=LARGE($AJ$168:$AJ$177,1),reservafixaconsolidadoset[[#This Row],[TOTAL (R$)]]=LARGE($AJ$168:$AJ$177,2)),DADOS!$I$11,""))</f>
        <v/>
      </c>
      <c r="E170" s="96">
        <f>SUMIFS(tabela_registros[VALOR],tabela_registros[MÊS],$AE$1,tabela_registros[DIA],reservafixaconsolidadoset[[#Headers],[1]],tabela_registros[REGISTRO],DADOS!$N$6,tabela_registros[TIPO],DADOS!$AJ$3,tabela_registros[CATEGORIA],reservafixaconsolidadoset[[#This Row],[ATUAL]])</f>
        <v>0</v>
      </c>
      <c r="F170" s="91">
        <f>SUMIFS(tabela_registros[VALOR],tabela_registros[MÊS],$AE$1,tabela_registros[DIA],reservafixaconsolidadoset[[#Headers],[2]],tabela_registros[REGISTRO],DADOS!$N$6,tabela_registros[TIPO],DADOS!$AJ$3,tabela_registros[CATEGORIA],reservafixaconsolidadoset[[#This Row],[ATUAL]])</f>
        <v>0</v>
      </c>
      <c r="G170" s="91">
        <f>SUMIFS(tabela_registros[VALOR],tabela_registros[MÊS],$AE$1,tabela_registros[DIA],reservafixaconsolidadoset[[#Headers],[3]],tabela_registros[REGISTRO],DADOS!$N$6,tabela_registros[TIPO],DADOS!$AJ$3,tabela_registros[CATEGORIA],reservafixaconsolidadoset[[#This Row],[ATUAL]])</f>
        <v>0</v>
      </c>
      <c r="H170" s="91">
        <f>SUMIFS(tabela_registros[VALOR],tabela_registros[MÊS],$AE$1,tabela_registros[DIA],reservafixaconsolidadoset[[#Headers],[4]],tabela_registros[REGISTRO],DADOS!$N$6,tabela_registros[TIPO],DADOS!$AJ$3,tabela_registros[CATEGORIA],reservafixaconsolidadoset[[#This Row],[ATUAL]])</f>
        <v>0</v>
      </c>
      <c r="I170" s="91">
        <f>SUMIFS(tabela_registros[VALOR],tabela_registros[MÊS],$AE$1,tabela_registros[DIA],reservafixaconsolidadoset[[#Headers],[5]],tabela_registros[REGISTRO],DADOS!$N$6,tabela_registros[TIPO],DADOS!$AJ$3,tabela_registros[CATEGORIA],reservafixaconsolidadoset[[#This Row],[ATUAL]])</f>
        <v>0</v>
      </c>
      <c r="J170" s="91">
        <f>SUMIFS(tabela_registros[VALOR],tabela_registros[MÊS],$AE$1,tabela_registros[DIA],reservafixaconsolidadoset[[#Headers],[6]],tabela_registros[REGISTRO],DADOS!$N$6,tabela_registros[TIPO],DADOS!$AJ$3,tabela_registros[CATEGORIA],reservafixaconsolidadoset[[#This Row],[ATUAL]])</f>
        <v>0</v>
      </c>
      <c r="K170" s="91">
        <f>SUMIFS(tabela_registros[VALOR],tabela_registros[MÊS],$AE$1,tabela_registros[DIA],reservafixaconsolidadoset[[#Headers],[7]],tabela_registros[REGISTRO],DADOS!$N$6,tabela_registros[TIPO],DADOS!$AJ$3,tabela_registros[CATEGORIA],reservafixaconsolidadoset[[#This Row],[ATUAL]])</f>
        <v>0</v>
      </c>
      <c r="L170" s="91">
        <f>SUMIFS(tabela_registros[VALOR],tabela_registros[MÊS],$AE$1,tabela_registros[DIA],reservafixaconsolidadoset[[#Headers],[8]],tabela_registros[REGISTRO],DADOS!$N$6,tabela_registros[TIPO],DADOS!$AJ$3,tabela_registros[CATEGORIA],reservafixaconsolidadoset[[#This Row],[ATUAL]])</f>
        <v>0</v>
      </c>
      <c r="M170" s="91">
        <f>SUMIFS(tabela_registros[VALOR],tabela_registros[MÊS],$AE$1,tabela_registros[DIA],reservafixaconsolidadoset[[#Headers],[9]],tabela_registros[REGISTRO],DADOS!$N$6,tabela_registros[TIPO],DADOS!$AJ$3,tabela_registros[CATEGORIA],reservafixaconsolidadoset[[#This Row],[ATUAL]])</f>
        <v>0</v>
      </c>
      <c r="N170" s="91">
        <f>SUMIFS(tabela_registros[VALOR],tabela_registros[MÊS],$AE$1,tabela_registros[DIA],reservafixaconsolidadoset[[#Headers],[10]],tabela_registros[REGISTRO],DADOS!$N$6,tabela_registros[TIPO],DADOS!$AJ$3,tabela_registros[CATEGORIA],reservafixaconsolidadoset[[#This Row],[ATUAL]])</f>
        <v>0</v>
      </c>
      <c r="O170" s="91">
        <f>SUMIFS(tabela_registros[VALOR],tabela_registros[MÊS],$AE$1,tabela_registros[DIA],reservafixaconsolidadoset[[#Headers],[11]],tabela_registros[REGISTRO],DADOS!$N$6,tabela_registros[TIPO],DADOS!$AJ$3,tabela_registros[CATEGORIA],reservafixaconsolidadoset[[#This Row],[ATUAL]])</f>
        <v>0</v>
      </c>
      <c r="P170" s="91">
        <f>SUMIFS(tabela_registros[VALOR],tabela_registros[MÊS],$AE$1,tabela_registros[DIA],reservafixaconsolidadoset[[#Headers],[12]],tabela_registros[REGISTRO],DADOS!$N$6,tabela_registros[TIPO],DADOS!$AJ$3,tabela_registros[CATEGORIA],reservafixaconsolidadoset[[#This Row],[ATUAL]])</f>
        <v>0</v>
      </c>
      <c r="Q170" s="91">
        <f>SUMIFS(tabela_registros[VALOR],tabela_registros[MÊS],$AE$1,tabela_registros[DIA],reservafixaconsolidadoset[[#Headers],[13]],tabela_registros[REGISTRO],DADOS!$N$6,tabela_registros[TIPO],DADOS!$AJ$3,tabela_registros[CATEGORIA],reservafixaconsolidadoset[[#This Row],[ATUAL]])</f>
        <v>0</v>
      </c>
      <c r="R170" s="91">
        <f>SUMIFS(tabela_registros[VALOR],tabela_registros[MÊS],$AE$1,tabela_registros[DIA],reservafixaconsolidadoset[[#Headers],[14]],tabela_registros[REGISTRO],DADOS!$N$6,tabela_registros[TIPO],DADOS!$AJ$3,tabela_registros[CATEGORIA],reservafixaconsolidadoset[[#This Row],[ATUAL]])</f>
        <v>0</v>
      </c>
      <c r="S170" s="91">
        <f>SUMIFS(tabela_registros[VALOR],tabela_registros[MÊS],$AE$1,tabela_registros[DIA],reservafixaconsolidadoset[[#Headers],[15]],tabela_registros[REGISTRO],DADOS!$N$6,tabela_registros[TIPO],DADOS!$AJ$3,tabela_registros[CATEGORIA],reservafixaconsolidadoset[[#This Row],[ATUAL]])</f>
        <v>0</v>
      </c>
      <c r="T170" s="91">
        <f>SUMIFS(tabela_registros[VALOR],tabela_registros[MÊS],$AE$1,tabela_registros[DIA],reservafixaconsolidadoset[[#Headers],[16]],tabela_registros[REGISTRO],DADOS!$N$6,tabela_registros[TIPO],DADOS!$AJ$3,tabela_registros[CATEGORIA],reservafixaconsolidadoset[[#This Row],[ATUAL]])</f>
        <v>0</v>
      </c>
      <c r="U170" s="91">
        <f>SUMIFS(tabela_registros[VALOR],tabela_registros[MÊS],$AE$1,tabela_registros[DIA],reservafixaconsolidadoset[[#Headers],[17]],tabela_registros[REGISTRO],DADOS!$N$6,tabela_registros[TIPO],DADOS!$AJ$3,tabela_registros[CATEGORIA],reservafixaconsolidadoset[[#This Row],[ATUAL]])</f>
        <v>0</v>
      </c>
      <c r="V170" s="91">
        <f>SUMIFS(tabela_registros[VALOR],tabela_registros[MÊS],$AE$1,tabela_registros[DIA],reservafixaconsolidadoset[[#Headers],[18]],tabela_registros[REGISTRO],DADOS!$N$6,tabela_registros[TIPO],DADOS!$AJ$3,tabela_registros[CATEGORIA],reservafixaconsolidadoset[[#This Row],[ATUAL]])</f>
        <v>0</v>
      </c>
      <c r="W170" s="91">
        <f>SUMIFS(tabela_registros[VALOR],tabela_registros[MÊS],$AE$1,tabela_registros[DIA],reservafixaconsolidadoset[[#Headers],[19]],tabela_registros[REGISTRO],DADOS!$N$6,tabela_registros[TIPO],DADOS!$AJ$3,tabela_registros[CATEGORIA],reservafixaconsolidadoset[[#This Row],[ATUAL]])</f>
        <v>0</v>
      </c>
      <c r="X170" s="91">
        <f>SUMIFS(tabela_registros[VALOR],tabela_registros[MÊS],$AE$1,tabela_registros[DIA],reservafixaconsolidadoset[[#Headers],[20]],tabela_registros[REGISTRO],DADOS!$N$6,tabela_registros[TIPO],DADOS!$AJ$3,tabela_registros[CATEGORIA],reservafixaconsolidadoset[[#This Row],[ATUAL]])</f>
        <v>0</v>
      </c>
      <c r="Y170" s="91">
        <f>SUMIFS(tabela_registros[VALOR],tabela_registros[MÊS],$AE$1,tabela_registros[DIA],reservafixaconsolidadoset[[#Headers],[21]],tabela_registros[REGISTRO],DADOS!$N$6,tabela_registros[TIPO],DADOS!$AJ$3,tabela_registros[CATEGORIA],reservafixaconsolidadoset[[#This Row],[ATUAL]])</f>
        <v>0</v>
      </c>
      <c r="Z170" s="91">
        <f>SUMIFS(tabela_registros[VALOR],tabela_registros[MÊS],$AE$1,tabela_registros[DIA],reservafixaconsolidadoset[[#Headers],[22]],tabela_registros[REGISTRO],DADOS!$N$6,tabela_registros[TIPO],DADOS!$AJ$3,tabela_registros[CATEGORIA],reservafixaconsolidadoset[[#This Row],[ATUAL]])</f>
        <v>0</v>
      </c>
      <c r="AA170" s="91">
        <f>SUMIFS(tabela_registros[VALOR],tabela_registros[MÊS],$AE$1,tabela_registros[DIA],reservafixaconsolidadoset[[#Headers],[23]],tabela_registros[REGISTRO],DADOS!$N$6,tabela_registros[TIPO],DADOS!$AJ$3,tabela_registros[CATEGORIA],reservafixaconsolidadoset[[#This Row],[ATUAL]])</f>
        <v>0</v>
      </c>
      <c r="AB170" s="91">
        <f>SUMIFS(tabela_registros[VALOR],tabela_registros[MÊS],$AE$1,tabela_registros[DIA],reservafixaconsolidadoset[[#Headers],[24]],tabela_registros[REGISTRO],DADOS!$N$6,tabela_registros[TIPO],DADOS!$AJ$3,tabela_registros[CATEGORIA],reservafixaconsolidadoset[[#This Row],[ATUAL]])</f>
        <v>0</v>
      </c>
      <c r="AC170" s="91">
        <f>SUMIFS(tabela_registros[VALOR],tabela_registros[MÊS],$AE$1,tabela_registros[DIA],reservafixaconsolidadoset[[#Headers],[25]],tabela_registros[REGISTRO],DADOS!$N$6,tabela_registros[TIPO],DADOS!$AJ$3,tabela_registros[CATEGORIA],reservafixaconsolidadoset[[#This Row],[ATUAL]])</f>
        <v>0</v>
      </c>
      <c r="AD170" s="91">
        <f>SUMIFS(tabela_registros[VALOR],tabela_registros[MÊS],$AE$1,tabela_registros[DIA],reservafixaconsolidadoset[[#Headers],[26]],tabela_registros[REGISTRO],DADOS!$N$6,tabela_registros[TIPO],DADOS!$AJ$3,tabela_registros[CATEGORIA],reservafixaconsolidadoset[[#This Row],[ATUAL]])</f>
        <v>0</v>
      </c>
      <c r="AE170" s="91">
        <f>SUMIFS(tabela_registros[VALOR],tabela_registros[MÊS],$AE$1,tabela_registros[DIA],reservafixaconsolidadoset[[#Headers],[27]],tabela_registros[REGISTRO],DADOS!$N$6,tabela_registros[TIPO],DADOS!$AJ$3,tabela_registros[CATEGORIA],reservafixaconsolidadoset[[#This Row],[ATUAL]])</f>
        <v>0</v>
      </c>
      <c r="AF170" s="91">
        <f>SUMIFS(tabela_registros[VALOR],tabela_registros[MÊS],$AE$1,tabela_registros[DIA],reservafixaconsolidadoset[[#Headers],[28]],tabela_registros[REGISTRO],DADOS!$N$6,tabela_registros[TIPO],DADOS!$AJ$3,tabela_registros[CATEGORIA],reservafixaconsolidadoset[[#This Row],[ATUAL]])</f>
        <v>0</v>
      </c>
      <c r="AG170" s="91">
        <f>SUMIFS(tabela_registros[VALOR],tabela_registros[MÊS],$AE$1,tabela_registros[DIA],reservafixaconsolidadoset[[#Headers],[29]],tabela_registros[REGISTRO],DADOS!$N$6,tabela_registros[TIPO],DADOS!$AJ$3,tabela_registros[CATEGORIA],reservafixaconsolidadoset[[#This Row],[ATUAL]])</f>
        <v>0</v>
      </c>
      <c r="AH170" s="91">
        <f>SUMIFS(tabela_registros[VALOR],tabela_registros[MÊS],$AE$1,tabela_registros[DIA],reservafixaconsolidadoset[[#Headers],[30]],tabela_registros[REGISTRO],DADOS!$N$6,tabela_registros[TIPO],DADOS!$AJ$3,tabela_registros[CATEGORIA],reservafixaconsolidadoset[[#This Row],[ATUAL]])</f>
        <v>0</v>
      </c>
      <c r="AI170" s="101">
        <f>SUMIFS(tabela_registros[VALOR],tabela_registros[MÊS],$AE$1,tabela_registros[DIA],reservafixaconsolidadoset[[#Headers],[31]],tabela_registros[REGISTRO],DADOS!$N$6,tabela_registros[TIPO],DADOS!$AJ$3,tabela_registros[CATEGORIA],reservafixaconsolidadoset[[#This Row],[ATUAL]])</f>
        <v>0</v>
      </c>
      <c r="AJ170" s="97">
        <f>SUM(reservafixaconsolidadoset[[#This Row],[1]:[31]])</f>
        <v>0</v>
      </c>
      <c r="AK170" s="25"/>
    </row>
    <row r="171" spans="2:37" ht="19.5" customHeight="1" thickTop="1" thickBot="1" x14ac:dyDescent="0.3">
      <c r="B171" s="28"/>
      <c r="C171" s="27" t="str">
        <f>DADOS!$AL$6</f>
        <v>📝 DEBÊNTURE</v>
      </c>
      <c r="D171" s="26" t="str">
        <f>IF(reservafixaconsolidadoset[[#This Row],[TOTAL (R$)]]=0,"",IF(OR(reservafixaconsolidadoset[[#This Row],[TOTAL (R$)]]=LARGE($AJ$168:$AJ$177,1),reservafixaconsolidadoset[[#This Row],[TOTAL (R$)]]=LARGE($AJ$168:$AJ$177,2)),DADOS!$I$11,""))</f>
        <v/>
      </c>
      <c r="E171" s="96">
        <f>SUMIFS(tabela_registros[VALOR],tabela_registros[MÊS],$AE$1,tabela_registros[DIA],reservafixaconsolidadoset[[#Headers],[1]],tabela_registros[REGISTRO],DADOS!$N$6,tabela_registros[TIPO],DADOS!$AJ$3,tabela_registros[CATEGORIA],reservafixaconsolidadoset[[#This Row],[ATUAL]])</f>
        <v>0</v>
      </c>
      <c r="F171" s="91">
        <f>SUMIFS(tabela_registros[VALOR],tabela_registros[MÊS],$AE$1,tabela_registros[DIA],reservafixaconsolidadoset[[#Headers],[2]],tabela_registros[REGISTRO],DADOS!$N$6,tabela_registros[TIPO],DADOS!$AJ$3,tabela_registros[CATEGORIA],reservafixaconsolidadoset[[#This Row],[ATUAL]])</f>
        <v>0</v>
      </c>
      <c r="G171" s="91">
        <f>SUMIFS(tabela_registros[VALOR],tabela_registros[MÊS],$AE$1,tabela_registros[DIA],reservafixaconsolidadoset[[#Headers],[3]],tabela_registros[REGISTRO],DADOS!$N$6,tabela_registros[TIPO],DADOS!$AJ$3,tabela_registros[CATEGORIA],reservafixaconsolidadoset[[#This Row],[ATUAL]])</f>
        <v>0</v>
      </c>
      <c r="H171" s="91">
        <f>SUMIFS(tabela_registros[VALOR],tabela_registros[MÊS],$AE$1,tabela_registros[DIA],reservafixaconsolidadoset[[#Headers],[4]],tabela_registros[REGISTRO],DADOS!$N$6,tabela_registros[TIPO],DADOS!$AJ$3,tabela_registros[CATEGORIA],reservafixaconsolidadoset[[#This Row],[ATUAL]])</f>
        <v>0</v>
      </c>
      <c r="I171" s="91">
        <f>SUMIFS(tabela_registros[VALOR],tabela_registros[MÊS],$AE$1,tabela_registros[DIA],reservafixaconsolidadoset[[#Headers],[5]],tabela_registros[REGISTRO],DADOS!$N$6,tabela_registros[TIPO],DADOS!$AJ$3,tabela_registros[CATEGORIA],reservafixaconsolidadoset[[#This Row],[ATUAL]])</f>
        <v>0</v>
      </c>
      <c r="J171" s="91">
        <f>SUMIFS(tabela_registros[VALOR],tabela_registros[MÊS],$AE$1,tabela_registros[DIA],reservafixaconsolidadoset[[#Headers],[6]],tabela_registros[REGISTRO],DADOS!$N$6,tabela_registros[TIPO],DADOS!$AJ$3,tabela_registros[CATEGORIA],reservafixaconsolidadoset[[#This Row],[ATUAL]])</f>
        <v>0</v>
      </c>
      <c r="K171" s="91">
        <f>SUMIFS(tabela_registros[VALOR],tabela_registros[MÊS],$AE$1,tabela_registros[DIA],reservafixaconsolidadoset[[#Headers],[7]],tabela_registros[REGISTRO],DADOS!$N$6,tabela_registros[TIPO],DADOS!$AJ$3,tabela_registros[CATEGORIA],reservafixaconsolidadoset[[#This Row],[ATUAL]])</f>
        <v>0</v>
      </c>
      <c r="L171" s="91">
        <f>SUMIFS(tabela_registros[VALOR],tabela_registros[MÊS],$AE$1,tabela_registros[DIA],reservafixaconsolidadoset[[#Headers],[8]],tabela_registros[REGISTRO],DADOS!$N$6,tabela_registros[TIPO],DADOS!$AJ$3,tabela_registros[CATEGORIA],reservafixaconsolidadoset[[#This Row],[ATUAL]])</f>
        <v>0</v>
      </c>
      <c r="M171" s="91">
        <f>SUMIFS(tabela_registros[VALOR],tabela_registros[MÊS],$AE$1,tabela_registros[DIA],reservafixaconsolidadoset[[#Headers],[9]],tabela_registros[REGISTRO],DADOS!$N$6,tabela_registros[TIPO],DADOS!$AJ$3,tabela_registros[CATEGORIA],reservafixaconsolidadoset[[#This Row],[ATUAL]])</f>
        <v>0</v>
      </c>
      <c r="N171" s="91">
        <f>SUMIFS(tabela_registros[VALOR],tabela_registros[MÊS],$AE$1,tabela_registros[DIA],reservafixaconsolidadoset[[#Headers],[10]],tabela_registros[REGISTRO],DADOS!$N$6,tabela_registros[TIPO],DADOS!$AJ$3,tabela_registros[CATEGORIA],reservafixaconsolidadoset[[#This Row],[ATUAL]])</f>
        <v>0</v>
      </c>
      <c r="O171" s="91">
        <f>SUMIFS(tabela_registros[VALOR],tabela_registros[MÊS],$AE$1,tabela_registros[DIA],reservafixaconsolidadoset[[#Headers],[11]],tabela_registros[REGISTRO],DADOS!$N$6,tabela_registros[TIPO],DADOS!$AJ$3,tabela_registros[CATEGORIA],reservafixaconsolidadoset[[#This Row],[ATUAL]])</f>
        <v>0</v>
      </c>
      <c r="P171" s="91">
        <f>SUMIFS(tabela_registros[VALOR],tabela_registros[MÊS],$AE$1,tabela_registros[DIA],reservafixaconsolidadoset[[#Headers],[12]],tabela_registros[REGISTRO],DADOS!$N$6,tabela_registros[TIPO],DADOS!$AJ$3,tabela_registros[CATEGORIA],reservafixaconsolidadoset[[#This Row],[ATUAL]])</f>
        <v>0</v>
      </c>
      <c r="Q171" s="91">
        <f>SUMIFS(tabela_registros[VALOR],tabela_registros[MÊS],$AE$1,tabela_registros[DIA],reservafixaconsolidadoset[[#Headers],[13]],tabela_registros[REGISTRO],DADOS!$N$6,tabela_registros[TIPO],DADOS!$AJ$3,tabela_registros[CATEGORIA],reservafixaconsolidadoset[[#This Row],[ATUAL]])</f>
        <v>0</v>
      </c>
      <c r="R171" s="91">
        <f>SUMIFS(tabela_registros[VALOR],tabela_registros[MÊS],$AE$1,tabela_registros[DIA],reservafixaconsolidadoset[[#Headers],[14]],tabela_registros[REGISTRO],DADOS!$N$6,tabela_registros[TIPO],DADOS!$AJ$3,tabela_registros[CATEGORIA],reservafixaconsolidadoset[[#This Row],[ATUAL]])</f>
        <v>0</v>
      </c>
      <c r="S171" s="91">
        <f>SUMIFS(tabela_registros[VALOR],tabela_registros[MÊS],$AE$1,tabela_registros[DIA],reservafixaconsolidadoset[[#Headers],[15]],tabela_registros[REGISTRO],DADOS!$N$6,tabela_registros[TIPO],DADOS!$AJ$3,tabela_registros[CATEGORIA],reservafixaconsolidadoset[[#This Row],[ATUAL]])</f>
        <v>0</v>
      </c>
      <c r="T171" s="91">
        <f>SUMIFS(tabela_registros[VALOR],tabela_registros[MÊS],$AE$1,tabela_registros[DIA],reservafixaconsolidadoset[[#Headers],[16]],tabela_registros[REGISTRO],DADOS!$N$6,tabela_registros[TIPO],DADOS!$AJ$3,tabela_registros[CATEGORIA],reservafixaconsolidadoset[[#This Row],[ATUAL]])</f>
        <v>0</v>
      </c>
      <c r="U171" s="91">
        <f>SUMIFS(tabela_registros[VALOR],tabela_registros[MÊS],$AE$1,tabela_registros[DIA],reservafixaconsolidadoset[[#Headers],[17]],tabela_registros[REGISTRO],DADOS!$N$6,tabela_registros[TIPO],DADOS!$AJ$3,tabela_registros[CATEGORIA],reservafixaconsolidadoset[[#This Row],[ATUAL]])</f>
        <v>0</v>
      </c>
      <c r="V171" s="91">
        <f>SUMIFS(tabela_registros[VALOR],tabela_registros[MÊS],$AE$1,tabela_registros[DIA],reservafixaconsolidadoset[[#Headers],[18]],tabela_registros[REGISTRO],DADOS!$N$6,tabela_registros[TIPO],DADOS!$AJ$3,tabela_registros[CATEGORIA],reservafixaconsolidadoset[[#This Row],[ATUAL]])</f>
        <v>0</v>
      </c>
      <c r="W171" s="91">
        <f>SUMIFS(tabela_registros[VALOR],tabela_registros[MÊS],$AE$1,tabela_registros[DIA],reservafixaconsolidadoset[[#Headers],[19]],tabela_registros[REGISTRO],DADOS!$N$6,tabela_registros[TIPO],DADOS!$AJ$3,tabela_registros[CATEGORIA],reservafixaconsolidadoset[[#This Row],[ATUAL]])</f>
        <v>0</v>
      </c>
      <c r="X171" s="91">
        <f>SUMIFS(tabela_registros[VALOR],tabela_registros[MÊS],$AE$1,tabela_registros[DIA],reservafixaconsolidadoset[[#Headers],[20]],tabela_registros[REGISTRO],DADOS!$N$6,tabela_registros[TIPO],DADOS!$AJ$3,tabela_registros[CATEGORIA],reservafixaconsolidadoset[[#This Row],[ATUAL]])</f>
        <v>0</v>
      </c>
      <c r="Y171" s="91">
        <f>SUMIFS(tabela_registros[VALOR],tabela_registros[MÊS],$AE$1,tabela_registros[DIA],reservafixaconsolidadoset[[#Headers],[21]],tabela_registros[REGISTRO],DADOS!$N$6,tabela_registros[TIPO],DADOS!$AJ$3,tabela_registros[CATEGORIA],reservafixaconsolidadoset[[#This Row],[ATUAL]])</f>
        <v>0</v>
      </c>
      <c r="Z171" s="91">
        <f>SUMIFS(tabela_registros[VALOR],tabela_registros[MÊS],$AE$1,tabela_registros[DIA],reservafixaconsolidadoset[[#Headers],[22]],tabela_registros[REGISTRO],DADOS!$N$6,tabela_registros[TIPO],DADOS!$AJ$3,tabela_registros[CATEGORIA],reservafixaconsolidadoset[[#This Row],[ATUAL]])</f>
        <v>0</v>
      </c>
      <c r="AA171" s="91">
        <f>SUMIFS(tabela_registros[VALOR],tabela_registros[MÊS],$AE$1,tabela_registros[DIA],reservafixaconsolidadoset[[#Headers],[23]],tabela_registros[REGISTRO],DADOS!$N$6,tabela_registros[TIPO],DADOS!$AJ$3,tabela_registros[CATEGORIA],reservafixaconsolidadoset[[#This Row],[ATUAL]])</f>
        <v>0</v>
      </c>
      <c r="AB171" s="91">
        <f>SUMIFS(tabela_registros[VALOR],tabela_registros[MÊS],$AE$1,tabela_registros[DIA],reservafixaconsolidadoset[[#Headers],[24]],tabela_registros[REGISTRO],DADOS!$N$6,tabela_registros[TIPO],DADOS!$AJ$3,tabela_registros[CATEGORIA],reservafixaconsolidadoset[[#This Row],[ATUAL]])</f>
        <v>0</v>
      </c>
      <c r="AC171" s="91">
        <f>SUMIFS(tabela_registros[VALOR],tabela_registros[MÊS],$AE$1,tabela_registros[DIA],reservafixaconsolidadoset[[#Headers],[25]],tabela_registros[REGISTRO],DADOS!$N$6,tabela_registros[TIPO],DADOS!$AJ$3,tabela_registros[CATEGORIA],reservafixaconsolidadoset[[#This Row],[ATUAL]])</f>
        <v>0</v>
      </c>
      <c r="AD171" s="91">
        <f>SUMIFS(tabela_registros[VALOR],tabela_registros[MÊS],$AE$1,tabela_registros[DIA],reservafixaconsolidadoset[[#Headers],[26]],tabela_registros[REGISTRO],DADOS!$N$6,tabela_registros[TIPO],DADOS!$AJ$3,tabela_registros[CATEGORIA],reservafixaconsolidadoset[[#This Row],[ATUAL]])</f>
        <v>0</v>
      </c>
      <c r="AE171" s="91">
        <f>SUMIFS(tabela_registros[VALOR],tabela_registros[MÊS],$AE$1,tabela_registros[DIA],reservafixaconsolidadoset[[#Headers],[27]],tabela_registros[REGISTRO],DADOS!$N$6,tabela_registros[TIPO],DADOS!$AJ$3,tabela_registros[CATEGORIA],reservafixaconsolidadoset[[#This Row],[ATUAL]])</f>
        <v>0</v>
      </c>
      <c r="AF171" s="91">
        <f>SUMIFS(tabela_registros[VALOR],tabela_registros[MÊS],$AE$1,tabela_registros[DIA],reservafixaconsolidadoset[[#Headers],[28]],tabela_registros[REGISTRO],DADOS!$N$6,tabela_registros[TIPO],DADOS!$AJ$3,tabela_registros[CATEGORIA],reservafixaconsolidadoset[[#This Row],[ATUAL]])</f>
        <v>0</v>
      </c>
      <c r="AG171" s="91">
        <f>SUMIFS(tabela_registros[VALOR],tabela_registros[MÊS],$AE$1,tabela_registros[DIA],reservafixaconsolidadoset[[#Headers],[29]],tabela_registros[REGISTRO],DADOS!$N$6,tabela_registros[TIPO],DADOS!$AJ$3,tabela_registros[CATEGORIA],reservafixaconsolidadoset[[#This Row],[ATUAL]])</f>
        <v>0</v>
      </c>
      <c r="AH171" s="91">
        <f>SUMIFS(tabela_registros[VALOR],tabela_registros[MÊS],$AE$1,tabela_registros[DIA],reservafixaconsolidadoset[[#Headers],[30]],tabela_registros[REGISTRO],DADOS!$N$6,tabela_registros[TIPO],DADOS!$AJ$3,tabela_registros[CATEGORIA],reservafixaconsolidadoset[[#This Row],[ATUAL]])</f>
        <v>0</v>
      </c>
      <c r="AI171" s="101">
        <f>SUMIFS(tabela_registros[VALOR],tabela_registros[MÊS],$AE$1,tabela_registros[DIA],reservafixaconsolidadoset[[#Headers],[31]],tabela_registros[REGISTRO],DADOS!$N$6,tabela_registros[TIPO],DADOS!$AJ$3,tabela_registros[CATEGORIA],reservafixaconsolidadoset[[#This Row],[ATUAL]])</f>
        <v>0</v>
      </c>
      <c r="AJ171" s="97">
        <f>SUM(reservafixaconsolidadoset[[#This Row],[1]:[31]])</f>
        <v>0</v>
      </c>
      <c r="AK171" s="25"/>
    </row>
    <row r="172" spans="2:37" ht="19.5" customHeight="1" thickTop="1" thickBot="1" x14ac:dyDescent="0.3">
      <c r="B172" s="28"/>
      <c r="C172" s="27" t="str">
        <f>DADOS!$AL$7</f>
        <v>📝 EXTERIOR</v>
      </c>
      <c r="D172" s="26" t="str">
        <f>IF(reservafixaconsolidadoset[[#This Row],[TOTAL (R$)]]=0,"",IF(OR(reservafixaconsolidadoset[[#This Row],[TOTAL (R$)]]=LARGE($AJ$168:$AJ$177,1),reservafixaconsolidadoset[[#This Row],[TOTAL (R$)]]=LARGE($AJ$168:$AJ$177,2)),DADOS!$I$11,""))</f>
        <v/>
      </c>
      <c r="E172" s="96">
        <f>SUMIFS(tabela_registros[VALOR],tabela_registros[MÊS],$AE$1,tabela_registros[DIA],reservafixaconsolidadoset[[#Headers],[1]],tabela_registros[REGISTRO],DADOS!$N$6,tabela_registros[TIPO],DADOS!$AJ$3,tabela_registros[CATEGORIA],reservafixaconsolidadoset[[#This Row],[ATUAL]])</f>
        <v>0</v>
      </c>
      <c r="F172" s="91">
        <f>SUMIFS(tabela_registros[VALOR],tabela_registros[MÊS],$AE$1,tabela_registros[DIA],reservafixaconsolidadoset[[#Headers],[2]],tabela_registros[REGISTRO],DADOS!$N$6,tabela_registros[TIPO],DADOS!$AJ$3,tabela_registros[CATEGORIA],reservafixaconsolidadoset[[#This Row],[ATUAL]])</f>
        <v>0</v>
      </c>
      <c r="G172" s="91">
        <f>SUMIFS(tabela_registros[VALOR],tabela_registros[MÊS],$AE$1,tabela_registros[DIA],reservafixaconsolidadoset[[#Headers],[3]],tabela_registros[REGISTRO],DADOS!$N$6,tabela_registros[TIPO],DADOS!$AJ$3,tabela_registros[CATEGORIA],reservafixaconsolidadoset[[#This Row],[ATUAL]])</f>
        <v>0</v>
      </c>
      <c r="H172" s="91">
        <f>SUMIFS(tabela_registros[VALOR],tabela_registros[MÊS],$AE$1,tabela_registros[DIA],reservafixaconsolidadoset[[#Headers],[4]],tabela_registros[REGISTRO],DADOS!$N$6,tabela_registros[TIPO],DADOS!$AJ$3,tabela_registros[CATEGORIA],reservafixaconsolidadoset[[#This Row],[ATUAL]])</f>
        <v>0</v>
      </c>
      <c r="I172" s="91">
        <f>SUMIFS(tabela_registros[VALOR],tabela_registros[MÊS],$AE$1,tabela_registros[DIA],reservafixaconsolidadoset[[#Headers],[5]],tabela_registros[REGISTRO],DADOS!$N$6,tabela_registros[TIPO],DADOS!$AJ$3,tabela_registros[CATEGORIA],reservafixaconsolidadoset[[#This Row],[ATUAL]])</f>
        <v>0</v>
      </c>
      <c r="J172" s="91">
        <f>SUMIFS(tabela_registros[VALOR],tabela_registros[MÊS],$AE$1,tabela_registros[DIA],reservafixaconsolidadoset[[#Headers],[6]],tabela_registros[REGISTRO],DADOS!$N$6,tabela_registros[TIPO],DADOS!$AJ$3,tabela_registros[CATEGORIA],reservafixaconsolidadoset[[#This Row],[ATUAL]])</f>
        <v>0</v>
      </c>
      <c r="K172" s="91">
        <f>SUMIFS(tabela_registros[VALOR],tabela_registros[MÊS],$AE$1,tabela_registros[DIA],reservafixaconsolidadoset[[#Headers],[7]],tabela_registros[REGISTRO],DADOS!$N$6,tabela_registros[TIPO],DADOS!$AJ$3,tabela_registros[CATEGORIA],reservafixaconsolidadoset[[#This Row],[ATUAL]])</f>
        <v>0</v>
      </c>
      <c r="L172" s="91">
        <f>SUMIFS(tabela_registros[VALOR],tabela_registros[MÊS],$AE$1,tabela_registros[DIA],reservafixaconsolidadoset[[#Headers],[8]],tabela_registros[REGISTRO],DADOS!$N$6,tabela_registros[TIPO],DADOS!$AJ$3,tabela_registros[CATEGORIA],reservafixaconsolidadoset[[#This Row],[ATUAL]])</f>
        <v>0</v>
      </c>
      <c r="M172" s="91">
        <f>SUMIFS(tabela_registros[VALOR],tabela_registros[MÊS],$AE$1,tabela_registros[DIA],reservafixaconsolidadoset[[#Headers],[9]],tabela_registros[REGISTRO],DADOS!$N$6,tabela_registros[TIPO],DADOS!$AJ$3,tabela_registros[CATEGORIA],reservafixaconsolidadoset[[#This Row],[ATUAL]])</f>
        <v>0</v>
      </c>
      <c r="N172" s="91">
        <f>SUMIFS(tabela_registros[VALOR],tabela_registros[MÊS],$AE$1,tabela_registros[DIA],reservafixaconsolidadoset[[#Headers],[10]],tabela_registros[REGISTRO],DADOS!$N$6,tabela_registros[TIPO],DADOS!$AJ$3,tabela_registros[CATEGORIA],reservafixaconsolidadoset[[#This Row],[ATUAL]])</f>
        <v>0</v>
      </c>
      <c r="O172" s="91">
        <f>SUMIFS(tabela_registros[VALOR],tabela_registros[MÊS],$AE$1,tabela_registros[DIA],reservafixaconsolidadoset[[#Headers],[11]],tabela_registros[REGISTRO],DADOS!$N$6,tabela_registros[TIPO],DADOS!$AJ$3,tabela_registros[CATEGORIA],reservafixaconsolidadoset[[#This Row],[ATUAL]])</f>
        <v>0</v>
      </c>
      <c r="P172" s="91">
        <f>SUMIFS(tabela_registros[VALOR],tabela_registros[MÊS],$AE$1,tabela_registros[DIA],reservafixaconsolidadoset[[#Headers],[12]],tabela_registros[REGISTRO],DADOS!$N$6,tabela_registros[TIPO],DADOS!$AJ$3,tabela_registros[CATEGORIA],reservafixaconsolidadoset[[#This Row],[ATUAL]])</f>
        <v>0</v>
      </c>
      <c r="Q172" s="91">
        <f>SUMIFS(tabela_registros[VALOR],tabela_registros[MÊS],$AE$1,tabela_registros[DIA],reservafixaconsolidadoset[[#Headers],[13]],tabela_registros[REGISTRO],DADOS!$N$6,tabela_registros[TIPO],DADOS!$AJ$3,tabela_registros[CATEGORIA],reservafixaconsolidadoset[[#This Row],[ATUAL]])</f>
        <v>0</v>
      </c>
      <c r="R172" s="91">
        <f>SUMIFS(tabela_registros[VALOR],tabela_registros[MÊS],$AE$1,tabela_registros[DIA],reservafixaconsolidadoset[[#Headers],[14]],tabela_registros[REGISTRO],DADOS!$N$6,tabela_registros[TIPO],DADOS!$AJ$3,tabela_registros[CATEGORIA],reservafixaconsolidadoset[[#This Row],[ATUAL]])</f>
        <v>0</v>
      </c>
      <c r="S172" s="91">
        <f>SUMIFS(tabela_registros[VALOR],tabela_registros[MÊS],$AE$1,tabela_registros[DIA],reservafixaconsolidadoset[[#Headers],[15]],tabela_registros[REGISTRO],DADOS!$N$6,tabela_registros[TIPO],DADOS!$AJ$3,tabela_registros[CATEGORIA],reservafixaconsolidadoset[[#This Row],[ATUAL]])</f>
        <v>0</v>
      </c>
      <c r="T172" s="91">
        <f>SUMIFS(tabela_registros[VALOR],tabela_registros[MÊS],$AE$1,tabela_registros[DIA],reservafixaconsolidadoset[[#Headers],[16]],tabela_registros[REGISTRO],DADOS!$N$6,tabela_registros[TIPO],DADOS!$AJ$3,tabela_registros[CATEGORIA],reservafixaconsolidadoset[[#This Row],[ATUAL]])</f>
        <v>0</v>
      </c>
      <c r="U172" s="91">
        <f>SUMIFS(tabela_registros[VALOR],tabela_registros[MÊS],$AE$1,tabela_registros[DIA],reservafixaconsolidadoset[[#Headers],[17]],tabela_registros[REGISTRO],DADOS!$N$6,tabela_registros[TIPO],DADOS!$AJ$3,tabela_registros[CATEGORIA],reservafixaconsolidadoset[[#This Row],[ATUAL]])</f>
        <v>0</v>
      </c>
      <c r="V172" s="91">
        <f>SUMIFS(tabela_registros[VALOR],tabela_registros[MÊS],$AE$1,tabela_registros[DIA],reservafixaconsolidadoset[[#Headers],[18]],tabela_registros[REGISTRO],DADOS!$N$6,tabela_registros[TIPO],DADOS!$AJ$3,tabela_registros[CATEGORIA],reservafixaconsolidadoset[[#This Row],[ATUAL]])</f>
        <v>0</v>
      </c>
      <c r="W172" s="91">
        <f>SUMIFS(tabela_registros[VALOR],tabela_registros[MÊS],$AE$1,tabela_registros[DIA],reservafixaconsolidadoset[[#Headers],[19]],tabela_registros[REGISTRO],DADOS!$N$6,tabela_registros[TIPO],DADOS!$AJ$3,tabela_registros[CATEGORIA],reservafixaconsolidadoset[[#This Row],[ATUAL]])</f>
        <v>0</v>
      </c>
      <c r="X172" s="91">
        <f>SUMIFS(tabela_registros[VALOR],tabela_registros[MÊS],$AE$1,tabela_registros[DIA],reservafixaconsolidadoset[[#Headers],[20]],tabela_registros[REGISTRO],DADOS!$N$6,tabela_registros[TIPO],DADOS!$AJ$3,tabela_registros[CATEGORIA],reservafixaconsolidadoset[[#This Row],[ATUAL]])</f>
        <v>0</v>
      </c>
      <c r="Y172" s="91">
        <f>SUMIFS(tabela_registros[VALOR],tabela_registros[MÊS],$AE$1,tabela_registros[DIA],reservafixaconsolidadoset[[#Headers],[21]],tabela_registros[REGISTRO],DADOS!$N$6,tabela_registros[TIPO],DADOS!$AJ$3,tabela_registros[CATEGORIA],reservafixaconsolidadoset[[#This Row],[ATUAL]])</f>
        <v>0</v>
      </c>
      <c r="Z172" s="91">
        <f>SUMIFS(tabela_registros[VALOR],tabela_registros[MÊS],$AE$1,tabela_registros[DIA],reservafixaconsolidadoset[[#Headers],[22]],tabela_registros[REGISTRO],DADOS!$N$6,tabela_registros[TIPO],DADOS!$AJ$3,tabela_registros[CATEGORIA],reservafixaconsolidadoset[[#This Row],[ATUAL]])</f>
        <v>0</v>
      </c>
      <c r="AA172" s="91">
        <f>SUMIFS(tabela_registros[VALOR],tabela_registros[MÊS],$AE$1,tabela_registros[DIA],reservafixaconsolidadoset[[#Headers],[23]],tabela_registros[REGISTRO],DADOS!$N$6,tabela_registros[TIPO],DADOS!$AJ$3,tabela_registros[CATEGORIA],reservafixaconsolidadoset[[#This Row],[ATUAL]])</f>
        <v>0</v>
      </c>
      <c r="AB172" s="91">
        <f>SUMIFS(tabela_registros[VALOR],tabela_registros[MÊS],$AE$1,tabela_registros[DIA],reservafixaconsolidadoset[[#Headers],[24]],tabela_registros[REGISTRO],DADOS!$N$6,tabela_registros[TIPO],DADOS!$AJ$3,tabela_registros[CATEGORIA],reservafixaconsolidadoset[[#This Row],[ATUAL]])</f>
        <v>0</v>
      </c>
      <c r="AC172" s="91">
        <f>SUMIFS(tabela_registros[VALOR],tabela_registros[MÊS],$AE$1,tabela_registros[DIA],reservafixaconsolidadoset[[#Headers],[25]],tabela_registros[REGISTRO],DADOS!$N$6,tabela_registros[TIPO],DADOS!$AJ$3,tabela_registros[CATEGORIA],reservafixaconsolidadoset[[#This Row],[ATUAL]])</f>
        <v>0</v>
      </c>
      <c r="AD172" s="91">
        <f>SUMIFS(tabela_registros[VALOR],tabela_registros[MÊS],$AE$1,tabela_registros[DIA],reservafixaconsolidadoset[[#Headers],[26]],tabela_registros[REGISTRO],DADOS!$N$6,tabela_registros[TIPO],DADOS!$AJ$3,tabela_registros[CATEGORIA],reservafixaconsolidadoset[[#This Row],[ATUAL]])</f>
        <v>0</v>
      </c>
      <c r="AE172" s="91">
        <f>SUMIFS(tabela_registros[VALOR],tabela_registros[MÊS],$AE$1,tabela_registros[DIA],reservafixaconsolidadoset[[#Headers],[27]],tabela_registros[REGISTRO],DADOS!$N$6,tabela_registros[TIPO],DADOS!$AJ$3,tabela_registros[CATEGORIA],reservafixaconsolidadoset[[#This Row],[ATUAL]])</f>
        <v>0</v>
      </c>
      <c r="AF172" s="91">
        <f>SUMIFS(tabela_registros[VALOR],tabela_registros[MÊS],$AE$1,tabela_registros[DIA],reservafixaconsolidadoset[[#Headers],[28]],tabela_registros[REGISTRO],DADOS!$N$6,tabela_registros[TIPO],DADOS!$AJ$3,tabela_registros[CATEGORIA],reservafixaconsolidadoset[[#This Row],[ATUAL]])</f>
        <v>0</v>
      </c>
      <c r="AG172" s="91">
        <f>SUMIFS(tabela_registros[VALOR],tabela_registros[MÊS],$AE$1,tabela_registros[DIA],reservafixaconsolidadoset[[#Headers],[29]],tabela_registros[REGISTRO],DADOS!$N$6,tabela_registros[TIPO],DADOS!$AJ$3,tabela_registros[CATEGORIA],reservafixaconsolidadoset[[#This Row],[ATUAL]])</f>
        <v>0</v>
      </c>
      <c r="AH172" s="91">
        <f>SUMIFS(tabela_registros[VALOR],tabela_registros[MÊS],$AE$1,tabela_registros[DIA],reservafixaconsolidadoset[[#Headers],[30]],tabela_registros[REGISTRO],DADOS!$N$6,tabela_registros[TIPO],DADOS!$AJ$3,tabela_registros[CATEGORIA],reservafixaconsolidadoset[[#This Row],[ATUAL]])</f>
        <v>0</v>
      </c>
      <c r="AI172" s="101">
        <f>SUMIFS(tabela_registros[VALOR],tabela_registros[MÊS],$AE$1,tabela_registros[DIA],reservafixaconsolidadoset[[#Headers],[31]],tabela_registros[REGISTRO],DADOS!$N$6,tabela_registros[TIPO],DADOS!$AJ$3,tabela_registros[CATEGORIA],reservafixaconsolidadoset[[#This Row],[ATUAL]])</f>
        <v>0</v>
      </c>
      <c r="AJ172" s="97">
        <f>SUM(reservafixaconsolidadoset[[#This Row],[1]:[31]])</f>
        <v>0</v>
      </c>
      <c r="AK172" s="25"/>
    </row>
    <row r="173" spans="2:37" ht="19.5" customHeight="1" thickTop="1" thickBot="1" x14ac:dyDescent="0.3">
      <c r="B173" s="28"/>
      <c r="C173" s="27" t="str">
        <f>DADOS!$AL$8</f>
        <v>📝 LC</v>
      </c>
      <c r="D173" s="26" t="str">
        <f>IF(reservafixaconsolidadoset[[#This Row],[TOTAL (R$)]]=0,"",IF(OR(reservafixaconsolidadoset[[#This Row],[TOTAL (R$)]]=LARGE($AJ$168:$AJ$177,1),reservafixaconsolidadoset[[#This Row],[TOTAL (R$)]]=LARGE($AJ$168:$AJ$177,2)),DADOS!$I$11,""))</f>
        <v/>
      </c>
      <c r="E173" s="96">
        <f>SUMIFS(tabela_registros[VALOR],tabela_registros[MÊS],$AE$1,tabela_registros[DIA],reservafixaconsolidadoset[[#Headers],[1]],tabela_registros[REGISTRO],DADOS!$N$6,tabela_registros[TIPO],DADOS!$AJ$3,tabela_registros[CATEGORIA],reservafixaconsolidadoset[[#This Row],[ATUAL]])</f>
        <v>0</v>
      </c>
      <c r="F173" s="91">
        <f>SUMIFS(tabela_registros[VALOR],tabela_registros[MÊS],$AE$1,tabela_registros[DIA],reservafixaconsolidadoset[[#Headers],[2]],tabela_registros[REGISTRO],DADOS!$N$6,tabela_registros[TIPO],DADOS!$AJ$3,tabela_registros[CATEGORIA],reservafixaconsolidadoset[[#This Row],[ATUAL]])</f>
        <v>0</v>
      </c>
      <c r="G173" s="91">
        <f>SUMIFS(tabela_registros[VALOR],tabela_registros[MÊS],$AE$1,tabela_registros[DIA],reservafixaconsolidadoset[[#Headers],[3]],tabela_registros[REGISTRO],DADOS!$N$6,tabela_registros[TIPO],DADOS!$AJ$3,tabela_registros[CATEGORIA],reservafixaconsolidadoset[[#This Row],[ATUAL]])</f>
        <v>0</v>
      </c>
      <c r="H173" s="91">
        <f>SUMIFS(tabela_registros[VALOR],tabela_registros[MÊS],$AE$1,tabela_registros[DIA],reservafixaconsolidadoset[[#Headers],[4]],tabela_registros[REGISTRO],DADOS!$N$6,tabela_registros[TIPO],DADOS!$AJ$3,tabela_registros[CATEGORIA],reservafixaconsolidadoset[[#This Row],[ATUAL]])</f>
        <v>0</v>
      </c>
      <c r="I173" s="91">
        <f>SUMIFS(tabela_registros[VALOR],tabela_registros[MÊS],$AE$1,tabela_registros[DIA],reservafixaconsolidadoset[[#Headers],[5]],tabela_registros[REGISTRO],DADOS!$N$6,tabela_registros[TIPO],DADOS!$AJ$3,tabela_registros[CATEGORIA],reservafixaconsolidadoset[[#This Row],[ATUAL]])</f>
        <v>0</v>
      </c>
      <c r="J173" s="91">
        <f>SUMIFS(tabela_registros[VALOR],tabela_registros[MÊS],$AE$1,tabela_registros[DIA],reservafixaconsolidadoset[[#Headers],[6]],tabela_registros[REGISTRO],DADOS!$N$6,tabela_registros[TIPO],DADOS!$AJ$3,tabela_registros[CATEGORIA],reservafixaconsolidadoset[[#This Row],[ATUAL]])</f>
        <v>0</v>
      </c>
      <c r="K173" s="91">
        <f>SUMIFS(tabela_registros[VALOR],tabela_registros[MÊS],$AE$1,tabela_registros[DIA],reservafixaconsolidadoset[[#Headers],[7]],tabela_registros[REGISTRO],DADOS!$N$6,tabela_registros[TIPO],DADOS!$AJ$3,tabela_registros[CATEGORIA],reservafixaconsolidadoset[[#This Row],[ATUAL]])</f>
        <v>0</v>
      </c>
      <c r="L173" s="91">
        <f>SUMIFS(tabela_registros[VALOR],tabela_registros[MÊS],$AE$1,tabela_registros[DIA],reservafixaconsolidadoset[[#Headers],[8]],tabela_registros[REGISTRO],DADOS!$N$6,tabela_registros[TIPO],DADOS!$AJ$3,tabela_registros[CATEGORIA],reservafixaconsolidadoset[[#This Row],[ATUAL]])</f>
        <v>0</v>
      </c>
      <c r="M173" s="91">
        <f>SUMIFS(tabela_registros[VALOR],tabela_registros[MÊS],$AE$1,tabela_registros[DIA],reservafixaconsolidadoset[[#Headers],[9]],tabela_registros[REGISTRO],DADOS!$N$6,tabela_registros[TIPO],DADOS!$AJ$3,tabela_registros[CATEGORIA],reservafixaconsolidadoset[[#This Row],[ATUAL]])</f>
        <v>0</v>
      </c>
      <c r="N173" s="91">
        <f>SUMIFS(tabela_registros[VALOR],tabela_registros[MÊS],$AE$1,tabela_registros[DIA],reservafixaconsolidadoset[[#Headers],[10]],tabela_registros[REGISTRO],DADOS!$N$6,tabela_registros[TIPO],DADOS!$AJ$3,tabela_registros[CATEGORIA],reservafixaconsolidadoset[[#This Row],[ATUAL]])</f>
        <v>0</v>
      </c>
      <c r="O173" s="91">
        <f>SUMIFS(tabela_registros[VALOR],tabela_registros[MÊS],$AE$1,tabela_registros[DIA],reservafixaconsolidadoset[[#Headers],[11]],tabela_registros[REGISTRO],DADOS!$N$6,tabela_registros[TIPO],DADOS!$AJ$3,tabela_registros[CATEGORIA],reservafixaconsolidadoset[[#This Row],[ATUAL]])</f>
        <v>0</v>
      </c>
      <c r="P173" s="91">
        <f>SUMIFS(tabela_registros[VALOR],tabela_registros[MÊS],$AE$1,tabela_registros[DIA],reservafixaconsolidadoset[[#Headers],[12]],tabela_registros[REGISTRO],DADOS!$N$6,tabela_registros[TIPO],DADOS!$AJ$3,tabela_registros[CATEGORIA],reservafixaconsolidadoset[[#This Row],[ATUAL]])</f>
        <v>0</v>
      </c>
      <c r="Q173" s="91">
        <f>SUMIFS(tabela_registros[VALOR],tabela_registros[MÊS],$AE$1,tabela_registros[DIA],reservafixaconsolidadoset[[#Headers],[13]],tabela_registros[REGISTRO],DADOS!$N$6,tabela_registros[TIPO],DADOS!$AJ$3,tabela_registros[CATEGORIA],reservafixaconsolidadoset[[#This Row],[ATUAL]])</f>
        <v>0</v>
      </c>
      <c r="R173" s="91">
        <f>SUMIFS(tabela_registros[VALOR],tabela_registros[MÊS],$AE$1,tabela_registros[DIA],reservafixaconsolidadoset[[#Headers],[14]],tabela_registros[REGISTRO],DADOS!$N$6,tabela_registros[TIPO],DADOS!$AJ$3,tabela_registros[CATEGORIA],reservafixaconsolidadoset[[#This Row],[ATUAL]])</f>
        <v>0</v>
      </c>
      <c r="S173" s="91">
        <f>SUMIFS(tabela_registros[VALOR],tabela_registros[MÊS],$AE$1,tabela_registros[DIA],reservafixaconsolidadoset[[#Headers],[15]],tabela_registros[REGISTRO],DADOS!$N$6,tabela_registros[TIPO],DADOS!$AJ$3,tabela_registros[CATEGORIA],reservafixaconsolidadoset[[#This Row],[ATUAL]])</f>
        <v>0</v>
      </c>
      <c r="T173" s="91">
        <f>SUMIFS(tabela_registros[VALOR],tabela_registros[MÊS],$AE$1,tabela_registros[DIA],reservafixaconsolidadoset[[#Headers],[16]],tabela_registros[REGISTRO],DADOS!$N$6,tabela_registros[TIPO],DADOS!$AJ$3,tabela_registros[CATEGORIA],reservafixaconsolidadoset[[#This Row],[ATUAL]])</f>
        <v>0</v>
      </c>
      <c r="U173" s="91">
        <f>SUMIFS(tabela_registros[VALOR],tabela_registros[MÊS],$AE$1,tabela_registros[DIA],reservafixaconsolidadoset[[#Headers],[17]],tabela_registros[REGISTRO],DADOS!$N$6,tabela_registros[TIPO],DADOS!$AJ$3,tabela_registros[CATEGORIA],reservafixaconsolidadoset[[#This Row],[ATUAL]])</f>
        <v>0</v>
      </c>
      <c r="V173" s="91">
        <f>SUMIFS(tabela_registros[VALOR],tabela_registros[MÊS],$AE$1,tabela_registros[DIA],reservafixaconsolidadoset[[#Headers],[18]],tabela_registros[REGISTRO],DADOS!$N$6,tabela_registros[TIPO],DADOS!$AJ$3,tabela_registros[CATEGORIA],reservafixaconsolidadoset[[#This Row],[ATUAL]])</f>
        <v>0</v>
      </c>
      <c r="W173" s="91">
        <f>SUMIFS(tabela_registros[VALOR],tabela_registros[MÊS],$AE$1,tabela_registros[DIA],reservafixaconsolidadoset[[#Headers],[19]],tabela_registros[REGISTRO],DADOS!$N$6,tabela_registros[TIPO],DADOS!$AJ$3,tabela_registros[CATEGORIA],reservafixaconsolidadoset[[#This Row],[ATUAL]])</f>
        <v>0</v>
      </c>
      <c r="X173" s="91">
        <f>SUMIFS(tabela_registros[VALOR],tabela_registros[MÊS],$AE$1,tabela_registros[DIA],reservafixaconsolidadoset[[#Headers],[20]],tabela_registros[REGISTRO],DADOS!$N$6,tabela_registros[TIPO],DADOS!$AJ$3,tabela_registros[CATEGORIA],reservafixaconsolidadoset[[#This Row],[ATUAL]])</f>
        <v>0</v>
      </c>
      <c r="Y173" s="91">
        <f>SUMIFS(tabela_registros[VALOR],tabela_registros[MÊS],$AE$1,tabela_registros[DIA],reservafixaconsolidadoset[[#Headers],[21]],tabela_registros[REGISTRO],DADOS!$N$6,tabela_registros[TIPO],DADOS!$AJ$3,tabela_registros[CATEGORIA],reservafixaconsolidadoset[[#This Row],[ATUAL]])</f>
        <v>0</v>
      </c>
      <c r="Z173" s="91">
        <f>SUMIFS(tabela_registros[VALOR],tabela_registros[MÊS],$AE$1,tabela_registros[DIA],reservafixaconsolidadoset[[#Headers],[22]],tabela_registros[REGISTRO],DADOS!$N$6,tabela_registros[TIPO],DADOS!$AJ$3,tabela_registros[CATEGORIA],reservafixaconsolidadoset[[#This Row],[ATUAL]])</f>
        <v>0</v>
      </c>
      <c r="AA173" s="91">
        <f>SUMIFS(tabela_registros[VALOR],tabela_registros[MÊS],$AE$1,tabela_registros[DIA],reservafixaconsolidadoset[[#Headers],[23]],tabela_registros[REGISTRO],DADOS!$N$6,tabela_registros[TIPO],DADOS!$AJ$3,tabela_registros[CATEGORIA],reservafixaconsolidadoset[[#This Row],[ATUAL]])</f>
        <v>0</v>
      </c>
      <c r="AB173" s="91">
        <f>SUMIFS(tabela_registros[VALOR],tabela_registros[MÊS],$AE$1,tabela_registros[DIA],reservafixaconsolidadoset[[#Headers],[24]],tabela_registros[REGISTRO],DADOS!$N$6,tabela_registros[TIPO],DADOS!$AJ$3,tabela_registros[CATEGORIA],reservafixaconsolidadoset[[#This Row],[ATUAL]])</f>
        <v>0</v>
      </c>
      <c r="AC173" s="91">
        <f>SUMIFS(tabela_registros[VALOR],tabela_registros[MÊS],$AE$1,tabela_registros[DIA],reservafixaconsolidadoset[[#Headers],[25]],tabela_registros[REGISTRO],DADOS!$N$6,tabela_registros[TIPO],DADOS!$AJ$3,tabela_registros[CATEGORIA],reservafixaconsolidadoset[[#This Row],[ATUAL]])</f>
        <v>0</v>
      </c>
      <c r="AD173" s="91">
        <f>SUMIFS(tabela_registros[VALOR],tabela_registros[MÊS],$AE$1,tabela_registros[DIA],reservafixaconsolidadoset[[#Headers],[26]],tabela_registros[REGISTRO],DADOS!$N$6,tabela_registros[TIPO],DADOS!$AJ$3,tabela_registros[CATEGORIA],reservafixaconsolidadoset[[#This Row],[ATUAL]])</f>
        <v>0</v>
      </c>
      <c r="AE173" s="91">
        <f>SUMIFS(tabela_registros[VALOR],tabela_registros[MÊS],$AE$1,tabela_registros[DIA],reservafixaconsolidadoset[[#Headers],[27]],tabela_registros[REGISTRO],DADOS!$N$6,tabela_registros[TIPO],DADOS!$AJ$3,tabela_registros[CATEGORIA],reservafixaconsolidadoset[[#This Row],[ATUAL]])</f>
        <v>0</v>
      </c>
      <c r="AF173" s="91">
        <f>SUMIFS(tabela_registros[VALOR],tabela_registros[MÊS],$AE$1,tabela_registros[DIA],reservafixaconsolidadoset[[#Headers],[28]],tabela_registros[REGISTRO],DADOS!$N$6,tabela_registros[TIPO],DADOS!$AJ$3,tabela_registros[CATEGORIA],reservafixaconsolidadoset[[#This Row],[ATUAL]])</f>
        <v>0</v>
      </c>
      <c r="AG173" s="91">
        <f>SUMIFS(tabela_registros[VALOR],tabela_registros[MÊS],$AE$1,tabela_registros[DIA],reservafixaconsolidadoset[[#Headers],[29]],tabela_registros[REGISTRO],DADOS!$N$6,tabela_registros[TIPO],DADOS!$AJ$3,tabela_registros[CATEGORIA],reservafixaconsolidadoset[[#This Row],[ATUAL]])</f>
        <v>0</v>
      </c>
      <c r="AH173" s="91">
        <f>SUMIFS(tabela_registros[VALOR],tabela_registros[MÊS],$AE$1,tabela_registros[DIA],reservafixaconsolidadoset[[#Headers],[30]],tabela_registros[REGISTRO],DADOS!$N$6,tabela_registros[TIPO],DADOS!$AJ$3,tabela_registros[CATEGORIA],reservafixaconsolidadoset[[#This Row],[ATUAL]])</f>
        <v>0</v>
      </c>
      <c r="AI173" s="101">
        <f>SUMIFS(tabela_registros[VALOR],tabela_registros[MÊS],$AE$1,tabela_registros[DIA],reservafixaconsolidadoset[[#Headers],[31]],tabela_registros[REGISTRO],DADOS!$N$6,tabela_registros[TIPO],DADOS!$AJ$3,tabela_registros[CATEGORIA],reservafixaconsolidadoset[[#This Row],[ATUAL]])</f>
        <v>0</v>
      </c>
      <c r="AJ173" s="97">
        <f>SUM(reservafixaconsolidadoset[[#This Row],[1]:[31]])</f>
        <v>0</v>
      </c>
      <c r="AK173" s="25"/>
    </row>
    <row r="174" spans="2:37" ht="19.5" customHeight="1" thickTop="1" thickBot="1" x14ac:dyDescent="0.3">
      <c r="B174" s="28"/>
      <c r="C174" s="27" t="str">
        <f>DADOS!$AL$9</f>
        <v>📝 LCA</v>
      </c>
      <c r="D174" s="26" t="str">
        <f>IF(reservafixaconsolidadoset[[#This Row],[TOTAL (R$)]]=0,"",IF(OR(reservafixaconsolidadoset[[#This Row],[TOTAL (R$)]]=LARGE($AJ$168:$AJ$177,1),reservafixaconsolidadoset[[#This Row],[TOTAL (R$)]]=LARGE($AJ$168:$AJ$177,2)),DADOS!$I$11,""))</f>
        <v/>
      </c>
      <c r="E174" s="96">
        <f>SUMIFS(tabela_registros[VALOR],tabela_registros[MÊS],$AE$1,tabela_registros[DIA],reservafixaconsolidadoset[[#Headers],[1]],tabela_registros[REGISTRO],DADOS!$N$6,tabela_registros[TIPO],DADOS!$AJ$3,tabela_registros[CATEGORIA],reservafixaconsolidadoset[[#This Row],[ATUAL]])</f>
        <v>0</v>
      </c>
      <c r="F174" s="91">
        <f>SUMIFS(tabela_registros[VALOR],tabela_registros[MÊS],$AE$1,tabela_registros[DIA],reservafixaconsolidadoset[[#Headers],[2]],tabela_registros[REGISTRO],DADOS!$N$6,tabela_registros[TIPO],DADOS!$AJ$3,tabela_registros[CATEGORIA],reservafixaconsolidadoset[[#This Row],[ATUAL]])</f>
        <v>0</v>
      </c>
      <c r="G174" s="91">
        <f>SUMIFS(tabela_registros[VALOR],tabela_registros[MÊS],$AE$1,tabela_registros[DIA],reservafixaconsolidadoset[[#Headers],[3]],tabela_registros[REGISTRO],DADOS!$N$6,tabela_registros[TIPO],DADOS!$AJ$3,tabela_registros[CATEGORIA],reservafixaconsolidadoset[[#This Row],[ATUAL]])</f>
        <v>0</v>
      </c>
      <c r="H174" s="91">
        <f>SUMIFS(tabela_registros[VALOR],tabela_registros[MÊS],$AE$1,tabela_registros[DIA],reservafixaconsolidadoset[[#Headers],[4]],tabela_registros[REGISTRO],DADOS!$N$6,tabela_registros[TIPO],DADOS!$AJ$3,tabela_registros[CATEGORIA],reservafixaconsolidadoset[[#This Row],[ATUAL]])</f>
        <v>0</v>
      </c>
      <c r="I174" s="91">
        <f>SUMIFS(tabela_registros[VALOR],tabela_registros[MÊS],$AE$1,tabela_registros[DIA],reservafixaconsolidadoset[[#Headers],[5]],tabela_registros[REGISTRO],DADOS!$N$6,tabela_registros[TIPO],DADOS!$AJ$3,tabela_registros[CATEGORIA],reservafixaconsolidadoset[[#This Row],[ATUAL]])</f>
        <v>0</v>
      </c>
      <c r="J174" s="91">
        <f>SUMIFS(tabela_registros[VALOR],tabela_registros[MÊS],$AE$1,tabela_registros[DIA],reservafixaconsolidadoset[[#Headers],[6]],tabela_registros[REGISTRO],DADOS!$N$6,tabela_registros[TIPO],DADOS!$AJ$3,tabela_registros[CATEGORIA],reservafixaconsolidadoset[[#This Row],[ATUAL]])</f>
        <v>0</v>
      </c>
      <c r="K174" s="91">
        <f>SUMIFS(tabela_registros[VALOR],tabela_registros[MÊS],$AE$1,tabela_registros[DIA],reservafixaconsolidadoset[[#Headers],[7]],tabela_registros[REGISTRO],DADOS!$N$6,tabela_registros[TIPO],DADOS!$AJ$3,tabela_registros[CATEGORIA],reservafixaconsolidadoset[[#This Row],[ATUAL]])</f>
        <v>0</v>
      </c>
      <c r="L174" s="91">
        <f>SUMIFS(tabela_registros[VALOR],tabela_registros[MÊS],$AE$1,tabela_registros[DIA],reservafixaconsolidadoset[[#Headers],[8]],tabela_registros[REGISTRO],DADOS!$N$6,tabela_registros[TIPO],DADOS!$AJ$3,tabela_registros[CATEGORIA],reservafixaconsolidadoset[[#This Row],[ATUAL]])</f>
        <v>0</v>
      </c>
      <c r="M174" s="91">
        <f>SUMIFS(tabela_registros[VALOR],tabela_registros[MÊS],$AE$1,tabela_registros[DIA],reservafixaconsolidadoset[[#Headers],[9]],tabela_registros[REGISTRO],DADOS!$N$6,tabela_registros[TIPO],DADOS!$AJ$3,tabela_registros[CATEGORIA],reservafixaconsolidadoset[[#This Row],[ATUAL]])</f>
        <v>0</v>
      </c>
      <c r="N174" s="91">
        <f>SUMIFS(tabela_registros[VALOR],tabela_registros[MÊS],$AE$1,tabela_registros[DIA],reservafixaconsolidadoset[[#Headers],[10]],tabela_registros[REGISTRO],DADOS!$N$6,tabela_registros[TIPO],DADOS!$AJ$3,tabela_registros[CATEGORIA],reservafixaconsolidadoset[[#This Row],[ATUAL]])</f>
        <v>0</v>
      </c>
      <c r="O174" s="91">
        <f>SUMIFS(tabela_registros[VALOR],tabela_registros[MÊS],$AE$1,tabela_registros[DIA],reservafixaconsolidadoset[[#Headers],[11]],tabela_registros[REGISTRO],DADOS!$N$6,tabela_registros[TIPO],DADOS!$AJ$3,tabela_registros[CATEGORIA],reservafixaconsolidadoset[[#This Row],[ATUAL]])</f>
        <v>0</v>
      </c>
      <c r="P174" s="91">
        <f>SUMIFS(tabela_registros[VALOR],tabela_registros[MÊS],$AE$1,tabela_registros[DIA],reservafixaconsolidadoset[[#Headers],[12]],tabela_registros[REGISTRO],DADOS!$N$6,tabela_registros[TIPO],DADOS!$AJ$3,tabela_registros[CATEGORIA],reservafixaconsolidadoset[[#This Row],[ATUAL]])</f>
        <v>0</v>
      </c>
      <c r="Q174" s="91">
        <f>SUMIFS(tabela_registros[VALOR],tabela_registros[MÊS],$AE$1,tabela_registros[DIA],reservafixaconsolidadoset[[#Headers],[13]],tabela_registros[REGISTRO],DADOS!$N$6,tabela_registros[TIPO],DADOS!$AJ$3,tabela_registros[CATEGORIA],reservafixaconsolidadoset[[#This Row],[ATUAL]])</f>
        <v>0</v>
      </c>
      <c r="R174" s="91">
        <f>SUMIFS(tabela_registros[VALOR],tabela_registros[MÊS],$AE$1,tabela_registros[DIA],reservafixaconsolidadoset[[#Headers],[14]],tabela_registros[REGISTRO],DADOS!$N$6,tabela_registros[TIPO],DADOS!$AJ$3,tabela_registros[CATEGORIA],reservafixaconsolidadoset[[#This Row],[ATUAL]])</f>
        <v>0</v>
      </c>
      <c r="S174" s="91">
        <f>SUMIFS(tabela_registros[VALOR],tabela_registros[MÊS],$AE$1,tabela_registros[DIA],reservafixaconsolidadoset[[#Headers],[15]],tabela_registros[REGISTRO],DADOS!$N$6,tabela_registros[TIPO],DADOS!$AJ$3,tabela_registros[CATEGORIA],reservafixaconsolidadoset[[#This Row],[ATUAL]])</f>
        <v>0</v>
      </c>
      <c r="T174" s="91">
        <f>SUMIFS(tabela_registros[VALOR],tabela_registros[MÊS],$AE$1,tabela_registros[DIA],reservafixaconsolidadoset[[#Headers],[16]],tabela_registros[REGISTRO],DADOS!$N$6,tabela_registros[TIPO],DADOS!$AJ$3,tabela_registros[CATEGORIA],reservafixaconsolidadoset[[#This Row],[ATUAL]])</f>
        <v>0</v>
      </c>
      <c r="U174" s="91">
        <f>SUMIFS(tabela_registros[VALOR],tabela_registros[MÊS],$AE$1,tabela_registros[DIA],reservafixaconsolidadoset[[#Headers],[17]],tabela_registros[REGISTRO],DADOS!$N$6,tabela_registros[TIPO],DADOS!$AJ$3,tabela_registros[CATEGORIA],reservafixaconsolidadoset[[#This Row],[ATUAL]])</f>
        <v>0</v>
      </c>
      <c r="V174" s="91">
        <f>SUMIFS(tabela_registros[VALOR],tabela_registros[MÊS],$AE$1,tabela_registros[DIA],reservafixaconsolidadoset[[#Headers],[18]],tabela_registros[REGISTRO],DADOS!$N$6,tabela_registros[TIPO],DADOS!$AJ$3,tabela_registros[CATEGORIA],reservafixaconsolidadoset[[#This Row],[ATUAL]])</f>
        <v>0</v>
      </c>
      <c r="W174" s="91">
        <f>SUMIFS(tabela_registros[VALOR],tabela_registros[MÊS],$AE$1,tabela_registros[DIA],reservafixaconsolidadoset[[#Headers],[19]],tabela_registros[REGISTRO],DADOS!$N$6,tabela_registros[TIPO],DADOS!$AJ$3,tabela_registros[CATEGORIA],reservafixaconsolidadoset[[#This Row],[ATUAL]])</f>
        <v>0</v>
      </c>
      <c r="X174" s="91">
        <f>SUMIFS(tabela_registros[VALOR],tabela_registros[MÊS],$AE$1,tabela_registros[DIA],reservafixaconsolidadoset[[#Headers],[20]],tabela_registros[REGISTRO],DADOS!$N$6,tabela_registros[TIPO],DADOS!$AJ$3,tabela_registros[CATEGORIA],reservafixaconsolidadoset[[#This Row],[ATUAL]])</f>
        <v>0</v>
      </c>
      <c r="Y174" s="91">
        <f>SUMIFS(tabela_registros[VALOR],tabela_registros[MÊS],$AE$1,tabela_registros[DIA],reservafixaconsolidadoset[[#Headers],[21]],tabela_registros[REGISTRO],DADOS!$N$6,tabela_registros[TIPO],DADOS!$AJ$3,tabela_registros[CATEGORIA],reservafixaconsolidadoset[[#This Row],[ATUAL]])</f>
        <v>0</v>
      </c>
      <c r="Z174" s="91">
        <f>SUMIFS(tabela_registros[VALOR],tabela_registros[MÊS],$AE$1,tabela_registros[DIA],reservafixaconsolidadoset[[#Headers],[22]],tabela_registros[REGISTRO],DADOS!$N$6,tabela_registros[TIPO],DADOS!$AJ$3,tabela_registros[CATEGORIA],reservafixaconsolidadoset[[#This Row],[ATUAL]])</f>
        <v>0</v>
      </c>
      <c r="AA174" s="91">
        <f>SUMIFS(tabela_registros[VALOR],tabela_registros[MÊS],$AE$1,tabela_registros[DIA],reservafixaconsolidadoset[[#Headers],[23]],tabela_registros[REGISTRO],DADOS!$N$6,tabela_registros[TIPO],DADOS!$AJ$3,tabela_registros[CATEGORIA],reservafixaconsolidadoset[[#This Row],[ATUAL]])</f>
        <v>0</v>
      </c>
      <c r="AB174" s="91">
        <f>SUMIFS(tabela_registros[VALOR],tabela_registros[MÊS],$AE$1,tabela_registros[DIA],reservafixaconsolidadoset[[#Headers],[24]],tabela_registros[REGISTRO],DADOS!$N$6,tabela_registros[TIPO],DADOS!$AJ$3,tabela_registros[CATEGORIA],reservafixaconsolidadoset[[#This Row],[ATUAL]])</f>
        <v>0</v>
      </c>
      <c r="AC174" s="91">
        <f>SUMIFS(tabela_registros[VALOR],tabela_registros[MÊS],$AE$1,tabela_registros[DIA],reservafixaconsolidadoset[[#Headers],[25]],tabela_registros[REGISTRO],DADOS!$N$6,tabela_registros[TIPO],DADOS!$AJ$3,tabela_registros[CATEGORIA],reservafixaconsolidadoset[[#This Row],[ATUAL]])</f>
        <v>0</v>
      </c>
      <c r="AD174" s="91">
        <f>SUMIFS(tabela_registros[VALOR],tabela_registros[MÊS],$AE$1,tabela_registros[DIA],reservafixaconsolidadoset[[#Headers],[26]],tabela_registros[REGISTRO],DADOS!$N$6,tabela_registros[TIPO],DADOS!$AJ$3,tabela_registros[CATEGORIA],reservafixaconsolidadoset[[#This Row],[ATUAL]])</f>
        <v>0</v>
      </c>
      <c r="AE174" s="91">
        <f>SUMIFS(tabela_registros[VALOR],tabela_registros[MÊS],$AE$1,tabela_registros[DIA],reservafixaconsolidadoset[[#Headers],[27]],tabela_registros[REGISTRO],DADOS!$N$6,tabela_registros[TIPO],DADOS!$AJ$3,tabela_registros[CATEGORIA],reservafixaconsolidadoset[[#This Row],[ATUAL]])</f>
        <v>0</v>
      </c>
      <c r="AF174" s="91">
        <f>SUMIFS(tabela_registros[VALOR],tabela_registros[MÊS],$AE$1,tabela_registros[DIA],reservafixaconsolidadoset[[#Headers],[28]],tabela_registros[REGISTRO],DADOS!$N$6,tabela_registros[TIPO],DADOS!$AJ$3,tabela_registros[CATEGORIA],reservafixaconsolidadoset[[#This Row],[ATUAL]])</f>
        <v>0</v>
      </c>
      <c r="AG174" s="91">
        <f>SUMIFS(tabela_registros[VALOR],tabela_registros[MÊS],$AE$1,tabela_registros[DIA],reservafixaconsolidadoset[[#Headers],[29]],tabela_registros[REGISTRO],DADOS!$N$6,tabela_registros[TIPO],DADOS!$AJ$3,tabela_registros[CATEGORIA],reservafixaconsolidadoset[[#This Row],[ATUAL]])</f>
        <v>0</v>
      </c>
      <c r="AH174" s="91">
        <f>SUMIFS(tabela_registros[VALOR],tabela_registros[MÊS],$AE$1,tabela_registros[DIA],reservafixaconsolidadoset[[#Headers],[30]],tabela_registros[REGISTRO],DADOS!$N$6,tabela_registros[TIPO],DADOS!$AJ$3,tabela_registros[CATEGORIA],reservafixaconsolidadoset[[#This Row],[ATUAL]])</f>
        <v>0</v>
      </c>
      <c r="AI174" s="101">
        <f>SUMIFS(tabela_registros[VALOR],tabela_registros[MÊS],$AE$1,tabela_registros[DIA],reservafixaconsolidadoset[[#Headers],[31]],tabela_registros[REGISTRO],DADOS!$N$6,tabela_registros[TIPO],DADOS!$AJ$3,tabela_registros[CATEGORIA],reservafixaconsolidadoset[[#This Row],[ATUAL]])</f>
        <v>0</v>
      </c>
      <c r="AJ174" s="97">
        <f>SUM(reservafixaconsolidadoset[[#This Row],[1]:[31]])</f>
        <v>0</v>
      </c>
      <c r="AK174" s="25"/>
    </row>
    <row r="175" spans="2:37" ht="19.5" customHeight="1" thickTop="1" thickBot="1" x14ac:dyDescent="0.3">
      <c r="B175" s="28"/>
      <c r="C175" s="27" t="str">
        <f>DADOS!$AL$10</f>
        <v>📝 LCI</v>
      </c>
      <c r="D175" s="26" t="str">
        <f>IF(reservafixaconsolidadoset[[#This Row],[TOTAL (R$)]]=0,"",IF(OR(reservafixaconsolidadoset[[#This Row],[TOTAL (R$)]]=LARGE($AJ$168:$AJ$177,1),reservafixaconsolidadoset[[#This Row],[TOTAL (R$)]]=LARGE($AJ$168:$AJ$177,2)),DADOS!$I$11,""))</f>
        <v/>
      </c>
      <c r="E175" s="96">
        <f>SUMIFS(tabela_registros[VALOR],tabela_registros[MÊS],$AE$1,tabela_registros[DIA],reservafixaconsolidadoset[[#Headers],[1]],tabela_registros[REGISTRO],DADOS!$N$6,tabela_registros[TIPO],DADOS!$AJ$3,tabela_registros[CATEGORIA],reservafixaconsolidadoset[[#This Row],[ATUAL]])</f>
        <v>0</v>
      </c>
      <c r="F175" s="91">
        <f>SUMIFS(tabela_registros[VALOR],tabela_registros[MÊS],$AE$1,tabela_registros[DIA],reservafixaconsolidadoset[[#Headers],[2]],tabela_registros[REGISTRO],DADOS!$N$6,tabela_registros[TIPO],DADOS!$AJ$3,tabela_registros[CATEGORIA],reservafixaconsolidadoset[[#This Row],[ATUAL]])</f>
        <v>0</v>
      </c>
      <c r="G175" s="91">
        <f>SUMIFS(tabela_registros[VALOR],tabela_registros[MÊS],$AE$1,tabela_registros[DIA],reservafixaconsolidadoset[[#Headers],[3]],tabela_registros[REGISTRO],DADOS!$N$6,tabela_registros[TIPO],DADOS!$AJ$3,tabela_registros[CATEGORIA],reservafixaconsolidadoset[[#This Row],[ATUAL]])</f>
        <v>0</v>
      </c>
      <c r="H175" s="91">
        <f>SUMIFS(tabela_registros[VALOR],tabela_registros[MÊS],$AE$1,tabela_registros[DIA],reservafixaconsolidadoset[[#Headers],[4]],tabela_registros[REGISTRO],DADOS!$N$6,tabela_registros[TIPO],DADOS!$AJ$3,tabela_registros[CATEGORIA],reservafixaconsolidadoset[[#This Row],[ATUAL]])</f>
        <v>0</v>
      </c>
      <c r="I175" s="91">
        <f>SUMIFS(tabela_registros[VALOR],tabela_registros[MÊS],$AE$1,tabela_registros[DIA],reservafixaconsolidadoset[[#Headers],[5]],tabela_registros[REGISTRO],DADOS!$N$6,tabela_registros[TIPO],DADOS!$AJ$3,tabela_registros[CATEGORIA],reservafixaconsolidadoset[[#This Row],[ATUAL]])</f>
        <v>0</v>
      </c>
      <c r="J175" s="91">
        <f>SUMIFS(tabela_registros[VALOR],tabela_registros[MÊS],$AE$1,tabela_registros[DIA],reservafixaconsolidadoset[[#Headers],[6]],tabela_registros[REGISTRO],DADOS!$N$6,tabela_registros[TIPO],DADOS!$AJ$3,tabela_registros[CATEGORIA],reservafixaconsolidadoset[[#This Row],[ATUAL]])</f>
        <v>0</v>
      </c>
      <c r="K175" s="91">
        <f>SUMIFS(tabela_registros[VALOR],tabela_registros[MÊS],$AE$1,tabela_registros[DIA],reservafixaconsolidadoset[[#Headers],[7]],tabela_registros[REGISTRO],DADOS!$N$6,tabela_registros[TIPO],DADOS!$AJ$3,tabela_registros[CATEGORIA],reservafixaconsolidadoset[[#This Row],[ATUAL]])</f>
        <v>0</v>
      </c>
      <c r="L175" s="91">
        <f>SUMIFS(tabela_registros[VALOR],tabela_registros[MÊS],$AE$1,tabela_registros[DIA],reservafixaconsolidadoset[[#Headers],[8]],tabela_registros[REGISTRO],DADOS!$N$6,tabela_registros[TIPO],DADOS!$AJ$3,tabela_registros[CATEGORIA],reservafixaconsolidadoset[[#This Row],[ATUAL]])</f>
        <v>0</v>
      </c>
      <c r="M175" s="91">
        <f>SUMIFS(tabela_registros[VALOR],tabela_registros[MÊS],$AE$1,tabela_registros[DIA],reservafixaconsolidadoset[[#Headers],[9]],tabela_registros[REGISTRO],DADOS!$N$6,tabela_registros[TIPO],DADOS!$AJ$3,tabela_registros[CATEGORIA],reservafixaconsolidadoset[[#This Row],[ATUAL]])</f>
        <v>0</v>
      </c>
      <c r="N175" s="91">
        <f>SUMIFS(tabela_registros[VALOR],tabela_registros[MÊS],$AE$1,tabela_registros[DIA],reservafixaconsolidadoset[[#Headers],[10]],tabela_registros[REGISTRO],DADOS!$N$6,tabela_registros[TIPO],DADOS!$AJ$3,tabela_registros[CATEGORIA],reservafixaconsolidadoset[[#This Row],[ATUAL]])</f>
        <v>0</v>
      </c>
      <c r="O175" s="91">
        <f>SUMIFS(tabela_registros[VALOR],tabela_registros[MÊS],$AE$1,tabela_registros[DIA],reservafixaconsolidadoset[[#Headers],[11]],tabela_registros[REGISTRO],DADOS!$N$6,tabela_registros[TIPO],DADOS!$AJ$3,tabela_registros[CATEGORIA],reservafixaconsolidadoset[[#This Row],[ATUAL]])</f>
        <v>0</v>
      </c>
      <c r="P175" s="91">
        <f>SUMIFS(tabela_registros[VALOR],tabela_registros[MÊS],$AE$1,tabela_registros[DIA],reservafixaconsolidadoset[[#Headers],[12]],tabela_registros[REGISTRO],DADOS!$N$6,tabela_registros[TIPO],DADOS!$AJ$3,tabela_registros[CATEGORIA],reservafixaconsolidadoset[[#This Row],[ATUAL]])</f>
        <v>0</v>
      </c>
      <c r="Q175" s="91">
        <f>SUMIFS(tabela_registros[VALOR],tabela_registros[MÊS],$AE$1,tabela_registros[DIA],reservafixaconsolidadoset[[#Headers],[13]],tabela_registros[REGISTRO],DADOS!$N$6,tabela_registros[TIPO],DADOS!$AJ$3,tabela_registros[CATEGORIA],reservafixaconsolidadoset[[#This Row],[ATUAL]])</f>
        <v>0</v>
      </c>
      <c r="R175" s="91">
        <f>SUMIFS(tabela_registros[VALOR],tabela_registros[MÊS],$AE$1,tabela_registros[DIA],reservafixaconsolidadoset[[#Headers],[14]],tabela_registros[REGISTRO],DADOS!$N$6,tabela_registros[TIPO],DADOS!$AJ$3,tabela_registros[CATEGORIA],reservafixaconsolidadoset[[#This Row],[ATUAL]])</f>
        <v>0</v>
      </c>
      <c r="S175" s="91">
        <f>SUMIFS(tabela_registros[VALOR],tabela_registros[MÊS],$AE$1,tabela_registros[DIA],reservafixaconsolidadoset[[#Headers],[15]],tabela_registros[REGISTRO],DADOS!$N$6,tabela_registros[TIPO],DADOS!$AJ$3,tabela_registros[CATEGORIA],reservafixaconsolidadoset[[#This Row],[ATUAL]])</f>
        <v>0</v>
      </c>
      <c r="T175" s="91">
        <f>SUMIFS(tabela_registros[VALOR],tabela_registros[MÊS],$AE$1,tabela_registros[DIA],reservafixaconsolidadoset[[#Headers],[16]],tabela_registros[REGISTRO],DADOS!$N$6,tabela_registros[TIPO],DADOS!$AJ$3,tabela_registros[CATEGORIA],reservafixaconsolidadoset[[#This Row],[ATUAL]])</f>
        <v>0</v>
      </c>
      <c r="U175" s="91">
        <f>SUMIFS(tabela_registros[VALOR],tabela_registros[MÊS],$AE$1,tabela_registros[DIA],reservafixaconsolidadoset[[#Headers],[17]],tabela_registros[REGISTRO],DADOS!$N$6,tabela_registros[TIPO],DADOS!$AJ$3,tabela_registros[CATEGORIA],reservafixaconsolidadoset[[#This Row],[ATUAL]])</f>
        <v>0</v>
      </c>
      <c r="V175" s="91">
        <f>SUMIFS(tabela_registros[VALOR],tabela_registros[MÊS],$AE$1,tabela_registros[DIA],reservafixaconsolidadoset[[#Headers],[18]],tabela_registros[REGISTRO],DADOS!$N$6,tabela_registros[TIPO],DADOS!$AJ$3,tabela_registros[CATEGORIA],reservafixaconsolidadoset[[#This Row],[ATUAL]])</f>
        <v>0</v>
      </c>
      <c r="W175" s="91">
        <f>SUMIFS(tabela_registros[VALOR],tabela_registros[MÊS],$AE$1,tabela_registros[DIA],reservafixaconsolidadoset[[#Headers],[19]],tabela_registros[REGISTRO],DADOS!$N$6,tabela_registros[TIPO],DADOS!$AJ$3,tabela_registros[CATEGORIA],reservafixaconsolidadoset[[#This Row],[ATUAL]])</f>
        <v>0</v>
      </c>
      <c r="X175" s="91">
        <f>SUMIFS(tabela_registros[VALOR],tabela_registros[MÊS],$AE$1,tabela_registros[DIA],reservafixaconsolidadoset[[#Headers],[20]],tabela_registros[REGISTRO],DADOS!$N$6,tabela_registros[TIPO],DADOS!$AJ$3,tabela_registros[CATEGORIA],reservafixaconsolidadoset[[#This Row],[ATUAL]])</f>
        <v>0</v>
      </c>
      <c r="Y175" s="91">
        <f>SUMIFS(tabela_registros[VALOR],tabela_registros[MÊS],$AE$1,tabela_registros[DIA],reservafixaconsolidadoset[[#Headers],[21]],tabela_registros[REGISTRO],DADOS!$N$6,tabela_registros[TIPO],DADOS!$AJ$3,tabela_registros[CATEGORIA],reservafixaconsolidadoset[[#This Row],[ATUAL]])</f>
        <v>0</v>
      </c>
      <c r="Z175" s="91">
        <f>SUMIFS(tabela_registros[VALOR],tabela_registros[MÊS],$AE$1,tabela_registros[DIA],reservafixaconsolidadoset[[#Headers],[22]],tabela_registros[REGISTRO],DADOS!$N$6,tabela_registros[TIPO],DADOS!$AJ$3,tabela_registros[CATEGORIA],reservafixaconsolidadoset[[#This Row],[ATUAL]])</f>
        <v>0</v>
      </c>
      <c r="AA175" s="91">
        <f>SUMIFS(tabela_registros[VALOR],tabela_registros[MÊS],$AE$1,tabela_registros[DIA],reservafixaconsolidadoset[[#Headers],[23]],tabela_registros[REGISTRO],DADOS!$N$6,tabela_registros[TIPO],DADOS!$AJ$3,tabela_registros[CATEGORIA],reservafixaconsolidadoset[[#This Row],[ATUAL]])</f>
        <v>0</v>
      </c>
      <c r="AB175" s="91">
        <f>SUMIFS(tabela_registros[VALOR],tabela_registros[MÊS],$AE$1,tabela_registros[DIA],reservafixaconsolidadoset[[#Headers],[24]],tabela_registros[REGISTRO],DADOS!$N$6,tabela_registros[TIPO],DADOS!$AJ$3,tabela_registros[CATEGORIA],reservafixaconsolidadoset[[#This Row],[ATUAL]])</f>
        <v>0</v>
      </c>
      <c r="AC175" s="91">
        <f>SUMIFS(tabela_registros[VALOR],tabela_registros[MÊS],$AE$1,tabela_registros[DIA],reservafixaconsolidadoset[[#Headers],[25]],tabela_registros[REGISTRO],DADOS!$N$6,tabela_registros[TIPO],DADOS!$AJ$3,tabela_registros[CATEGORIA],reservafixaconsolidadoset[[#This Row],[ATUAL]])</f>
        <v>0</v>
      </c>
      <c r="AD175" s="91">
        <f>SUMIFS(tabela_registros[VALOR],tabela_registros[MÊS],$AE$1,tabela_registros[DIA],reservafixaconsolidadoset[[#Headers],[26]],tabela_registros[REGISTRO],DADOS!$N$6,tabela_registros[TIPO],DADOS!$AJ$3,tabela_registros[CATEGORIA],reservafixaconsolidadoset[[#This Row],[ATUAL]])</f>
        <v>0</v>
      </c>
      <c r="AE175" s="91">
        <f>SUMIFS(tabela_registros[VALOR],tabela_registros[MÊS],$AE$1,tabela_registros[DIA],reservafixaconsolidadoset[[#Headers],[27]],tabela_registros[REGISTRO],DADOS!$N$6,tabela_registros[TIPO],DADOS!$AJ$3,tabela_registros[CATEGORIA],reservafixaconsolidadoset[[#This Row],[ATUAL]])</f>
        <v>0</v>
      </c>
      <c r="AF175" s="91">
        <f>SUMIFS(tabela_registros[VALOR],tabela_registros[MÊS],$AE$1,tabela_registros[DIA],reservafixaconsolidadoset[[#Headers],[28]],tabela_registros[REGISTRO],DADOS!$N$6,tabela_registros[TIPO],DADOS!$AJ$3,tabela_registros[CATEGORIA],reservafixaconsolidadoset[[#This Row],[ATUAL]])</f>
        <v>0</v>
      </c>
      <c r="AG175" s="91">
        <f>SUMIFS(tabela_registros[VALOR],tabela_registros[MÊS],$AE$1,tabela_registros[DIA],reservafixaconsolidadoset[[#Headers],[29]],tabela_registros[REGISTRO],DADOS!$N$6,tabela_registros[TIPO],DADOS!$AJ$3,tabela_registros[CATEGORIA],reservafixaconsolidadoset[[#This Row],[ATUAL]])</f>
        <v>0</v>
      </c>
      <c r="AH175" s="91">
        <f>SUMIFS(tabela_registros[VALOR],tabela_registros[MÊS],$AE$1,tabela_registros[DIA],reservafixaconsolidadoset[[#Headers],[30]],tabela_registros[REGISTRO],DADOS!$N$6,tabela_registros[TIPO],DADOS!$AJ$3,tabela_registros[CATEGORIA],reservafixaconsolidadoset[[#This Row],[ATUAL]])</f>
        <v>0</v>
      </c>
      <c r="AI175" s="101">
        <f>SUMIFS(tabela_registros[VALOR],tabela_registros[MÊS],$AE$1,tabela_registros[DIA],reservafixaconsolidadoset[[#Headers],[31]],tabela_registros[REGISTRO],DADOS!$N$6,tabela_registros[TIPO],DADOS!$AJ$3,tabela_registros[CATEGORIA],reservafixaconsolidadoset[[#This Row],[ATUAL]])</f>
        <v>0</v>
      </c>
      <c r="AJ175" s="97">
        <f>SUM(reservafixaconsolidadoset[[#This Row],[1]:[31]])</f>
        <v>0</v>
      </c>
      <c r="AK175" s="25"/>
    </row>
    <row r="176" spans="2:37" ht="19.5" customHeight="1" thickTop="1" thickBot="1" x14ac:dyDescent="0.3">
      <c r="B176" s="28"/>
      <c r="C176" s="27" t="str">
        <f>DADOS!$AL$11</f>
        <v>📝 TESOURO DIRETO</v>
      </c>
      <c r="D176" s="26" t="str">
        <f>IF(reservafixaconsolidadoset[[#This Row],[TOTAL (R$)]]=0,"",IF(OR(reservafixaconsolidadoset[[#This Row],[TOTAL (R$)]]=LARGE($AJ$168:$AJ$177,1),reservafixaconsolidadoset[[#This Row],[TOTAL (R$)]]=LARGE($AJ$168:$AJ$177,2)),DADOS!$I$11,""))</f>
        <v/>
      </c>
      <c r="E176" s="96">
        <f>SUMIFS(tabela_registros[VALOR],tabela_registros[MÊS],$AE$1,tabela_registros[DIA],reservafixaconsolidadoset[[#Headers],[1]],tabela_registros[REGISTRO],DADOS!$N$6,tabela_registros[TIPO],DADOS!$AJ$3,tabela_registros[CATEGORIA],reservafixaconsolidadoset[[#This Row],[ATUAL]])</f>
        <v>0</v>
      </c>
      <c r="F176" s="91">
        <f>SUMIFS(tabela_registros[VALOR],tabela_registros[MÊS],$AE$1,tabela_registros[DIA],reservafixaconsolidadoset[[#Headers],[2]],tabela_registros[REGISTRO],DADOS!$N$6,tabela_registros[TIPO],DADOS!$AJ$3,tabela_registros[CATEGORIA],reservafixaconsolidadoset[[#This Row],[ATUAL]])</f>
        <v>0</v>
      </c>
      <c r="G176" s="91">
        <f>SUMIFS(tabela_registros[VALOR],tabela_registros[MÊS],$AE$1,tabela_registros[DIA],reservafixaconsolidadoset[[#Headers],[3]],tabela_registros[REGISTRO],DADOS!$N$6,tabela_registros[TIPO],DADOS!$AJ$3,tabela_registros[CATEGORIA],reservafixaconsolidadoset[[#This Row],[ATUAL]])</f>
        <v>0</v>
      </c>
      <c r="H176" s="91">
        <f>SUMIFS(tabela_registros[VALOR],tabela_registros[MÊS],$AE$1,tabela_registros[DIA],reservafixaconsolidadoset[[#Headers],[4]],tabela_registros[REGISTRO],DADOS!$N$6,tabela_registros[TIPO],DADOS!$AJ$3,tabela_registros[CATEGORIA],reservafixaconsolidadoset[[#This Row],[ATUAL]])</f>
        <v>0</v>
      </c>
      <c r="I176" s="91">
        <f>SUMIFS(tabela_registros[VALOR],tabela_registros[MÊS],$AE$1,tabela_registros[DIA],reservafixaconsolidadoset[[#Headers],[5]],tabela_registros[REGISTRO],DADOS!$N$6,tabela_registros[TIPO],DADOS!$AJ$3,tabela_registros[CATEGORIA],reservafixaconsolidadoset[[#This Row],[ATUAL]])</f>
        <v>0</v>
      </c>
      <c r="J176" s="91">
        <f>SUMIFS(tabela_registros[VALOR],tabela_registros[MÊS],$AE$1,tabela_registros[DIA],reservafixaconsolidadoset[[#Headers],[6]],tabela_registros[REGISTRO],DADOS!$N$6,tabela_registros[TIPO],DADOS!$AJ$3,tabela_registros[CATEGORIA],reservafixaconsolidadoset[[#This Row],[ATUAL]])</f>
        <v>0</v>
      </c>
      <c r="K176" s="91">
        <f>SUMIFS(tabela_registros[VALOR],tabela_registros[MÊS],$AE$1,tabela_registros[DIA],reservafixaconsolidadoset[[#Headers],[7]],tabela_registros[REGISTRO],DADOS!$N$6,tabela_registros[TIPO],DADOS!$AJ$3,tabela_registros[CATEGORIA],reservafixaconsolidadoset[[#This Row],[ATUAL]])</f>
        <v>0</v>
      </c>
      <c r="L176" s="91">
        <f>SUMIFS(tabela_registros[VALOR],tabela_registros[MÊS],$AE$1,tabela_registros[DIA],reservafixaconsolidadoset[[#Headers],[8]],tabela_registros[REGISTRO],DADOS!$N$6,tabela_registros[TIPO],DADOS!$AJ$3,tabela_registros[CATEGORIA],reservafixaconsolidadoset[[#This Row],[ATUAL]])</f>
        <v>0</v>
      </c>
      <c r="M176" s="91">
        <f>SUMIFS(tabela_registros[VALOR],tabela_registros[MÊS],$AE$1,tabela_registros[DIA],reservafixaconsolidadoset[[#Headers],[9]],tabela_registros[REGISTRO],DADOS!$N$6,tabela_registros[TIPO],DADOS!$AJ$3,tabela_registros[CATEGORIA],reservafixaconsolidadoset[[#This Row],[ATUAL]])</f>
        <v>0</v>
      </c>
      <c r="N176" s="91">
        <f>SUMIFS(tabela_registros[VALOR],tabela_registros[MÊS],$AE$1,tabela_registros[DIA],reservafixaconsolidadoset[[#Headers],[10]],tabela_registros[REGISTRO],DADOS!$N$6,tabela_registros[TIPO],DADOS!$AJ$3,tabela_registros[CATEGORIA],reservafixaconsolidadoset[[#This Row],[ATUAL]])</f>
        <v>0</v>
      </c>
      <c r="O176" s="91">
        <f>SUMIFS(tabela_registros[VALOR],tabela_registros[MÊS],$AE$1,tabela_registros[DIA],reservafixaconsolidadoset[[#Headers],[11]],tabela_registros[REGISTRO],DADOS!$N$6,tabela_registros[TIPO],DADOS!$AJ$3,tabela_registros[CATEGORIA],reservafixaconsolidadoset[[#This Row],[ATUAL]])</f>
        <v>0</v>
      </c>
      <c r="P176" s="91">
        <f>SUMIFS(tabela_registros[VALOR],tabela_registros[MÊS],$AE$1,tabela_registros[DIA],reservafixaconsolidadoset[[#Headers],[12]],tabela_registros[REGISTRO],DADOS!$N$6,tabela_registros[TIPO],DADOS!$AJ$3,tabela_registros[CATEGORIA],reservafixaconsolidadoset[[#This Row],[ATUAL]])</f>
        <v>0</v>
      </c>
      <c r="Q176" s="91">
        <f>SUMIFS(tabela_registros[VALOR],tabela_registros[MÊS],$AE$1,tabela_registros[DIA],reservafixaconsolidadoset[[#Headers],[13]],tabela_registros[REGISTRO],DADOS!$N$6,tabela_registros[TIPO],DADOS!$AJ$3,tabela_registros[CATEGORIA],reservafixaconsolidadoset[[#This Row],[ATUAL]])</f>
        <v>0</v>
      </c>
      <c r="R176" s="91">
        <f>SUMIFS(tabela_registros[VALOR],tabela_registros[MÊS],$AE$1,tabela_registros[DIA],reservafixaconsolidadoset[[#Headers],[14]],tabela_registros[REGISTRO],DADOS!$N$6,tabela_registros[TIPO],DADOS!$AJ$3,tabela_registros[CATEGORIA],reservafixaconsolidadoset[[#This Row],[ATUAL]])</f>
        <v>0</v>
      </c>
      <c r="S176" s="91">
        <f>SUMIFS(tabela_registros[VALOR],tabela_registros[MÊS],$AE$1,tabela_registros[DIA],reservafixaconsolidadoset[[#Headers],[15]],tabela_registros[REGISTRO],DADOS!$N$6,tabela_registros[TIPO],DADOS!$AJ$3,tabela_registros[CATEGORIA],reservafixaconsolidadoset[[#This Row],[ATUAL]])</f>
        <v>0</v>
      </c>
      <c r="T176" s="91">
        <f>SUMIFS(tabela_registros[VALOR],tabela_registros[MÊS],$AE$1,tabela_registros[DIA],reservafixaconsolidadoset[[#Headers],[16]],tabela_registros[REGISTRO],DADOS!$N$6,tabela_registros[TIPO],DADOS!$AJ$3,tabela_registros[CATEGORIA],reservafixaconsolidadoset[[#This Row],[ATUAL]])</f>
        <v>0</v>
      </c>
      <c r="U176" s="91">
        <f>SUMIFS(tabela_registros[VALOR],tabela_registros[MÊS],$AE$1,tabela_registros[DIA],reservafixaconsolidadoset[[#Headers],[17]],tabela_registros[REGISTRO],DADOS!$N$6,tabela_registros[TIPO],DADOS!$AJ$3,tabela_registros[CATEGORIA],reservafixaconsolidadoset[[#This Row],[ATUAL]])</f>
        <v>0</v>
      </c>
      <c r="V176" s="91">
        <f>SUMIFS(tabela_registros[VALOR],tabela_registros[MÊS],$AE$1,tabela_registros[DIA],reservafixaconsolidadoset[[#Headers],[18]],tabela_registros[REGISTRO],DADOS!$N$6,tabela_registros[TIPO],DADOS!$AJ$3,tabela_registros[CATEGORIA],reservafixaconsolidadoset[[#This Row],[ATUAL]])</f>
        <v>0</v>
      </c>
      <c r="W176" s="91">
        <f>SUMIFS(tabela_registros[VALOR],tabela_registros[MÊS],$AE$1,tabela_registros[DIA],reservafixaconsolidadoset[[#Headers],[19]],tabela_registros[REGISTRO],DADOS!$N$6,tabela_registros[TIPO],DADOS!$AJ$3,tabela_registros[CATEGORIA],reservafixaconsolidadoset[[#This Row],[ATUAL]])</f>
        <v>0</v>
      </c>
      <c r="X176" s="91">
        <f>SUMIFS(tabela_registros[VALOR],tabela_registros[MÊS],$AE$1,tabela_registros[DIA],reservafixaconsolidadoset[[#Headers],[20]],tabela_registros[REGISTRO],DADOS!$N$6,tabela_registros[TIPO],DADOS!$AJ$3,tabela_registros[CATEGORIA],reservafixaconsolidadoset[[#This Row],[ATUAL]])</f>
        <v>0</v>
      </c>
      <c r="Y176" s="91">
        <f>SUMIFS(tabela_registros[VALOR],tabela_registros[MÊS],$AE$1,tabela_registros[DIA],reservafixaconsolidadoset[[#Headers],[21]],tabela_registros[REGISTRO],DADOS!$N$6,tabela_registros[TIPO],DADOS!$AJ$3,tabela_registros[CATEGORIA],reservafixaconsolidadoset[[#This Row],[ATUAL]])</f>
        <v>0</v>
      </c>
      <c r="Z176" s="91">
        <f>SUMIFS(tabela_registros[VALOR],tabela_registros[MÊS],$AE$1,tabela_registros[DIA],reservafixaconsolidadoset[[#Headers],[22]],tabela_registros[REGISTRO],DADOS!$N$6,tabela_registros[TIPO],DADOS!$AJ$3,tabela_registros[CATEGORIA],reservafixaconsolidadoset[[#This Row],[ATUAL]])</f>
        <v>0</v>
      </c>
      <c r="AA176" s="91">
        <f>SUMIFS(tabela_registros[VALOR],tabela_registros[MÊS],$AE$1,tabela_registros[DIA],reservafixaconsolidadoset[[#Headers],[23]],tabela_registros[REGISTRO],DADOS!$N$6,tabela_registros[TIPO],DADOS!$AJ$3,tabela_registros[CATEGORIA],reservafixaconsolidadoset[[#This Row],[ATUAL]])</f>
        <v>0</v>
      </c>
      <c r="AB176" s="91">
        <f>SUMIFS(tabela_registros[VALOR],tabela_registros[MÊS],$AE$1,tabela_registros[DIA],reservafixaconsolidadoset[[#Headers],[24]],tabela_registros[REGISTRO],DADOS!$N$6,tabela_registros[TIPO],DADOS!$AJ$3,tabela_registros[CATEGORIA],reservafixaconsolidadoset[[#This Row],[ATUAL]])</f>
        <v>0</v>
      </c>
      <c r="AC176" s="91">
        <f>SUMIFS(tabela_registros[VALOR],tabela_registros[MÊS],$AE$1,tabela_registros[DIA],reservafixaconsolidadoset[[#Headers],[25]],tabela_registros[REGISTRO],DADOS!$N$6,tabela_registros[TIPO],DADOS!$AJ$3,tabela_registros[CATEGORIA],reservafixaconsolidadoset[[#This Row],[ATUAL]])</f>
        <v>0</v>
      </c>
      <c r="AD176" s="91">
        <f>SUMIFS(tabela_registros[VALOR],tabela_registros[MÊS],$AE$1,tabela_registros[DIA],reservafixaconsolidadoset[[#Headers],[26]],tabela_registros[REGISTRO],DADOS!$N$6,tabela_registros[TIPO],DADOS!$AJ$3,tabela_registros[CATEGORIA],reservafixaconsolidadoset[[#This Row],[ATUAL]])</f>
        <v>0</v>
      </c>
      <c r="AE176" s="91">
        <f>SUMIFS(tabela_registros[VALOR],tabela_registros[MÊS],$AE$1,tabela_registros[DIA],reservafixaconsolidadoset[[#Headers],[27]],tabela_registros[REGISTRO],DADOS!$N$6,tabela_registros[TIPO],DADOS!$AJ$3,tabela_registros[CATEGORIA],reservafixaconsolidadoset[[#This Row],[ATUAL]])</f>
        <v>0</v>
      </c>
      <c r="AF176" s="91">
        <f>SUMIFS(tabela_registros[VALOR],tabela_registros[MÊS],$AE$1,tabela_registros[DIA],reservafixaconsolidadoset[[#Headers],[28]],tabela_registros[REGISTRO],DADOS!$N$6,tabela_registros[TIPO],DADOS!$AJ$3,tabela_registros[CATEGORIA],reservafixaconsolidadoset[[#This Row],[ATUAL]])</f>
        <v>0</v>
      </c>
      <c r="AG176" s="91">
        <f>SUMIFS(tabela_registros[VALOR],tabela_registros[MÊS],$AE$1,tabela_registros[DIA],reservafixaconsolidadoset[[#Headers],[29]],tabela_registros[REGISTRO],DADOS!$N$6,tabela_registros[TIPO],DADOS!$AJ$3,tabela_registros[CATEGORIA],reservafixaconsolidadoset[[#This Row],[ATUAL]])</f>
        <v>0</v>
      </c>
      <c r="AH176" s="91">
        <f>SUMIFS(tabela_registros[VALOR],tabela_registros[MÊS],$AE$1,tabela_registros[DIA],reservafixaconsolidadoset[[#Headers],[30]],tabela_registros[REGISTRO],DADOS!$N$6,tabela_registros[TIPO],DADOS!$AJ$3,tabela_registros[CATEGORIA],reservafixaconsolidadoset[[#This Row],[ATUAL]])</f>
        <v>0</v>
      </c>
      <c r="AI176" s="101">
        <f>SUMIFS(tabela_registros[VALOR],tabela_registros[MÊS],$AE$1,tabela_registros[DIA],reservafixaconsolidadoset[[#Headers],[31]],tabela_registros[REGISTRO],DADOS!$N$6,tabela_registros[TIPO],DADOS!$AJ$3,tabela_registros[CATEGORIA],reservafixaconsolidadoset[[#This Row],[ATUAL]])</f>
        <v>0</v>
      </c>
      <c r="AJ176" s="97">
        <f>SUM(reservafixaconsolidadoset[[#This Row],[1]:[31]])</f>
        <v>0</v>
      </c>
      <c r="AK176" s="25"/>
    </row>
    <row r="177" spans="2:37" ht="19.5" customHeight="1" thickTop="1" thickBot="1" x14ac:dyDescent="0.3">
      <c r="B177" s="28"/>
      <c r="C177" s="27" t="str">
        <f>DADOS!$AL$12</f>
        <v>📎 OUTROS</v>
      </c>
      <c r="D177" s="26" t="str">
        <f>IF(reservafixaconsolidadoset[[#This Row],[TOTAL (R$)]]=0,"",IF(OR(reservafixaconsolidadoset[[#This Row],[TOTAL (R$)]]=LARGE($AJ$168:$AJ$177,1),reservafixaconsolidadoset[[#This Row],[TOTAL (R$)]]=LARGE($AJ$168:$AJ$177,2)),DADOS!$I$11,""))</f>
        <v/>
      </c>
      <c r="E177" s="96">
        <f>SUMIFS(tabela_registros[VALOR],tabela_registros[MÊS],$AE$1,tabela_registros[DIA],reservafixaconsolidadoset[[#Headers],[1]],tabela_registros[REGISTRO],DADOS!$N$6,tabela_registros[TIPO],DADOS!$AJ$3,tabela_registros[CATEGORIA],reservafixaconsolidadoset[[#This Row],[ATUAL]])</f>
        <v>0</v>
      </c>
      <c r="F177" s="91">
        <f>SUMIFS(tabela_registros[VALOR],tabela_registros[MÊS],$AE$1,tabela_registros[DIA],reservafixaconsolidadoset[[#Headers],[2]],tabela_registros[REGISTRO],DADOS!$N$6,tabela_registros[TIPO],DADOS!$AJ$3,tabela_registros[CATEGORIA],reservafixaconsolidadoset[[#This Row],[ATUAL]])</f>
        <v>0</v>
      </c>
      <c r="G177" s="91">
        <f>SUMIFS(tabela_registros[VALOR],tabela_registros[MÊS],$AE$1,tabela_registros[DIA],reservafixaconsolidadoset[[#Headers],[3]],tabela_registros[REGISTRO],DADOS!$N$6,tabela_registros[TIPO],DADOS!$AJ$3,tabela_registros[CATEGORIA],reservafixaconsolidadoset[[#This Row],[ATUAL]])</f>
        <v>0</v>
      </c>
      <c r="H177" s="91">
        <f>SUMIFS(tabela_registros[VALOR],tabela_registros[MÊS],$AE$1,tabela_registros[DIA],reservafixaconsolidadoset[[#Headers],[4]],tabela_registros[REGISTRO],DADOS!$N$6,tabela_registros[TIPO],DADOS!$AJ$3,tabela_registros[CATEGORIA],reservafixaconsolidadoset[[#This Row],[ATUAL]])</f>
        <v>0</v>
      </c>
      <c r="I177" s="91">
        <f>SUMIFS(tabela_registros[VALOR],tabela_registros[MÊS],$AE$1,tabela_registros[DIA],reservafixaconsolidadoset[[#Headers],[5]],tabela_registros[REGISTRO],DADOS!$N$6,tabela_registros[TIPO],DADOS!$AJ$3,tabela_registros[CATEGORIA],reservafixaconsolidadoset[[#This Row],[ATUAL]])</f>
        <v>0</v>
      </c>
      <c r="J177" s="91">
        <f>SUMIFS(tabela_registros[VALOR],tabela_registros[MÊS],$AE$1,tabela_registros[DIA],reservafixaconsolidadoset[[#Headers],[6]],tabela_registros[REGISTRO],DADOS!$N$6,tabela_registros[TIPO],DADOS!$AJ$3,tabela_registros[CATEGORIA],reservafixaconsolidadoset[[#This Row],[ATUAL]])</f>
        <v>0</v>
      </c>
      <c r="K177" s="91">
        <f>SUMIFS(tabela_registros[VALOR],tabela_registros[MÊS],$AE$1,tabela_registros[DIA],reservafixaconsolidadoset[[#Headers],[7]],tabela_registros[REGISTRO],DADOS!$N$6,tabela_registros[TIPO],DADOS!$AJ$3,tabela_registros[CATEGORIA],reservafixaconsolidadoset[[#This Row],[ATUAL]])</f>
        <v>0</v>
      </c>
      <c r="L177" s="91">
        <f>SUMIFS(tabela_registros[VALOR],tabela_registros[MÊS],$AE$1,tabela_registros[DIA],reservafixaconsolidadoset[[#Headers],[8]],tabela_registros[REGISTRO],DADOS!$N$6,tabela_registros[TIPO],DADOS!$AJ$3,tabela_registros[CATEGORIA],reservafixaconsolidadoset[[#This Row],[ATUAL]])</f>
        <v>0</v>
      </c>
      <c r="M177" s="91">
        <f>SUMIFS(tabela_registros[VALOR],tabela_registros[MÊS],$AE$1,tabela_registros[DIA],reservafixaconsolidadoset[[#Headers],[9]],tabela_registros[REGISTRO],DADOS!$N$6,tabela_registros[TIPO],DADOS!$AJ$3,tabela_registros[CATEGORIA],reservafixaconsolidadoset[[#This Row],[ATUAL]])</f>
        <v>0</v>
      </c>
      <c r="N177" s="91">
        <f>SUMIFS(tabela_registros[VALOR],tabela_registros[MÊS],$AE$1,tabela_registros[DIA],reservafixaconsolidadoset[[#Headers],[10]],tabela_registros[REGISTRO],DADOS!$N$6,tabela_registros[TIPO],DADOS!$AJ$3,tabela_registros[CATEGORIA],reservafixaconsolidadoset[[#This Row],[ATUAL]])</f>
        <v>0</v>
      </c>
      <c r="O177" s="91">
        <f>SUMIFS(tabela_registros[VALOR],tabela_registros[MÊS],$AE$1,tabela_registros[DIA],reservafixaconsolidadoset[[#Headers],[11]],tabela_registros[REGISTRO],DADOS!$N$6,tabela_registros[TIPO],DADOS!$AJ$3,tabela_registros[CATEGORIA],reservafixaconsolidadoset[[#This Row],[ATUAL]])</f>
        <v>0</v>
      </c>
      <c r="P177" s="91">
        <f>SUMIFS(tabela_registros[VALOR],tabela_registros[MÊS],$AE$1,tabela_registros[DIA],reservafixaconsolidadoset[[#Headers],[12]],tabela_registros[REGISTRO],DADOS!$N$6,tabela_registros[TIPO],DADOS!$AJ$3,tabela_registros[CATEGORIA],reservafixaconsolidadoset[[#This Row],[ATUAL]])</f>
        <v>0</v>
      </c>
      <c r="Q177" s="91">
        <f>SUMIFS(tabela_registros[VALOR],tabela_registros[MÊS],$AE$1,tabela_registros[DIA],reservafixaconsolidadoset[[#Headers],[13]],tabela_registros[REGISTRO],DADOS!$N$6,tabela_registros[TIPO],DADOS!$AJ$3,tabela_registros[CATEGORIA],reservafixaconsolidadoset[[#This Row],[ATUAL]])</f>
        <v>0</v>
      </c>
      <c r="R177" s="91">
        <f>SUMIFS(tabela_registros[VALOR],tabela_registros[MÊS],$AE$1,tabela_registros[DIA],reservafixaconsolidadoset[[#Headers],[14]],tabela_registros[REGISTRO],DADOS!$N$6,tabela_registros[TIPO],DADOS!$AJ$3,tabela_registros[CATEGORIA],reservafixaconsolidadoset[[#This Row],[ATUAL]])</f>
        <v>0</v>
      </c>
      <c r="S177" s="91">
        <f>SUMIFS(tabela_registros[VALOR],tabela_registros[MÊS],$AE$1,tabela_registros[DIA],reservafixaconsolidadoset[[#Headers],[15]],tabela_registros[REGISTRO],DADOS!$N$6,tabela_registros[TIPO],DADOS!$AJ$3,tabela_registros[CATEGORIA],reservafixaconsolidadoset[[#This Row],[ATUAL]])</f>
        <v>0</v>
      </c>
      <c r="T177" s="91">
        <f>SUMIFS(tabela_registros[VALOR],tabela_registros[MÊS],$AE$1,tabela_registros[DIA],reservafixaconsolidadoset[[#Headers],[16]],tabela_registros[REGISTRO],DADOS!$N$6,tabela_registros[TIPO],DADOS!$AJ$3,tabela_registros[CATEGORIA],reservafixaconsolidadoset[[#This Row],[ATUAL]])</f>
        <v>0</v>
      </c>
      <c r="U177" s="91">
        <f>SUMIFS(tabela_registros[VALOR],tabela_registros[MÊS],$AE$1,tabela_registros[DIA],reservafixaconsolidadoset[[#Headers],[17]],tabela_registros[REGISTRO],DADOS!$N$6,tabela_registros[TIPO],DADOS!$AJ$3,tabela_registros[CATEGORIA],reservafixaconsolidadoset[[#This Row],[ATUAL]])</f>
        <v>0</v>
      </c>
      <c r="V177" s="91">
        <f>SUMIFS(tabela_registros[VALOR],tabela_registros[MÊS],$AE$1,tabela_registros[DIA],reservafixaconsolidadoset[[#Headers],[18]],tabela_registros[REGISTRO],DADOS!$N$6,tabela_registros[TIPO],DADOS!$AJ$3,tabela_registros[CATEGORIA],reservafixaconsolidadoset[[#This Row],[ATUAL]])</f>
        <v>0</v>
      </c>
      <c r="W177" s="91">
        <f>SUMIFS(tabela_registros[VALOR],tabela_registros[MÊS],$AE$1,tabela_registros[DIA],reservafixaconsolidadoset[[#Headers],[19]],tabela_registros[REGISTRO],DADOS!$N$6,tabela_registros[TIPO],DADOS!$AJ$3,tabela_registros[CATEGORIA],reservafixaconsolidadoset[[#This Row],[ATUAL]])</f>
        <v>0</v>
      </c>
      <c r="X177" s="91">
        <f>SUMIFS(tabela_registros[VALOR],tabela_registros[MÊS],$AE$1,tabela_registros[DIA],reservafixaconsolidadoset[[#Headers],[20]],tabela_registros[REGISTRO],DADOS!$N$6,tabela_registros[TIPO],DADOS!$AJ$3,tabela_registros[CATEGORIA],reservafixaconsolidadoset[[#This Row],[ATUAL]])</f>
        <v>0</v>
      </c>
      <c r="Y177" s="91">
        <f>SUMIFS(tabela_registros[VALOR],tabela_registros[MÊS],$AE$1,tabela_registros[DIA],reservafixaconsolidadoset[[#Headers],[21]],tabela_registros[REGISTRO],DADOS!$N$6,tabela_registros[TIPO],DADOS!$AJ$3,tabela_registros[CATEGORIA],reservafixaconsolidadoset[[#This Row],[ATUAL]])</f>
        <v>0</v>
      </c>
      <c r="Z177" s="91">
        <f>SUMIFS(tabela_registros[VALOR],tabela_registros[MÊS],$AE$1,tabela_registros[DIA],reservafixaconsolidadoset[[#Headers],[22]],tabela_registros[REGISTRO],DADOS!$N$6,tabela_registros[TIPO],DADOS!$AJ$3,tabela_registros[CATEGORIA],reservafixaconsolidadoset[[#This Row],[ATUAL]])</f>
        <v>0</v>
      </c>
      <c r="AA177" s="91">
        <f>SUMIFS(tabela_registros[VALOR],tabela_registros[MÊS],$AE$1,tabela_registros[DIA],reservafixaconsolidadoset[[#Headers],[23]],tabela_registros[REGISTRO],DADOS!$N$6,tabela_registros[TIPO],DADOS!$AJ$3,tabela_registros[CATEGORIA],reservafixaconsolidadoset[[#This Row],[ATUAL]])</f>
        <v>0</v>
      </c>
      <c r="AB177" s="91">
        <f>SUMIFS(tabela_registros[VALOR],tabela_registros[MÊS],$AE$1,tabela_registros[DIA],reservafixaconsolidadoset[[#Headers],[24]],tabela_registros[REGISTRO],DADOS!$N$6,tabela_registros[TIPO],DADOS!$AJ$3,tabela_registros[CATEGORIA],reservafixaconsolidadoset[[#This Row],[ATUAL]])</f>
        <v>0</v>
      </c>
      <c r="AC177" s="91">
        <f>SUMIFS(tabela_registros[VALOR],tabela_registros[MÊS],$AE$1,tabela_registros[DIA],reservafixaconsolidadoset[[#Headers],[25]],tabela_registros[REGISTRO],DADOS!$N$6,tabela_registros[TIPO],DADOS!$AJ$3,tabela_registros[CATEGORIA],reservafixaconsolidadoset[[#This Row],[ATUAL]])</f>
        <v>0</v>
      </c>
      <c r="AD177" s="91">
        <f>SUMIFS(tabela_registros[VALOR],tabela_registros[MÊS],$AE$1,tabela_registros[DIA],reservafixaconsolidadoset[[#Headers],[26]],tabela_registros[REGISTRO],DADOS!$N$6,tabela_registros[TIPO],DADOS!$AJ$3,tabela_registros[CATEGORIA],reservafixaconsolidadoset[[#This Row],[ATUAL]])</f>
        <v>0</v>
      </c>
      <c r="AE177" s="91">
        <f>SUMIFS(tabela_registros[VALOR],tabela_registros[MÊS],$AE$1,tabela_registros[DIA],reservafixaconsolidadoset[[#Headers],[27]],tabela_registros[REGISTRO],DADOS!$N$6,tabela_registros[TIPO],DADOS!$AJ$3,tabela_registros[CATEGORIA],reservafixaconsolidadoset[[#This Row],[ATUAL]])</f>
        <v>0</v>
      </c>
      <c r="AF177" s="91">
        <f>SUMIFS(tabela_registros[VALOR],tabela_registros[MÊS],$AE$1,tabela_registros[DIA],reservafixaconsolidadoset[[#Headers],[28]],tabela_registros[REGISTRO],DADOS!$N$6,tabela_registros[TIPO],DADOS!$AJ$3,tabela_registros[CATEGORIA],reservafixaconsolidadoset[[#This Row],[ATUAL]])</f>
        <v>0</v>
      </c>
      <c r="AG177" s="91">
        <f>SUMIFS(tabela_registros[VALOR],tabela_registros[MÊS],$AE$1,tabela_registros[DIA],reservafixaconsolidadoset[[#Headers],[29]],tabela_registros[REGISTRO],DADOS!$N$6,tabela_registros[TIPO],DADOS!$AJ$3,tabela_registros[CATEGORIA],reservafixaconsolidadoset[[#This Row],[ATUAL]])</f>
        <v>0</v>
      </c>
      <c r="AH177" s="91">
        <f>SUMIFS(tabela_registros[VALOR],tabela_registros[MÊS],$AE$1,tabela_registros[DIA],reservafixaconsolidadoset[[#Headers],[30]],tabela_registros[REGISTRO],DADOS!$N$6,tabela_registros[TIPO],DADOS!$AJ$3,tabela_registros[CATEGORIA],reservafixaconsolidadoset[[#This Row],[ATUAL]])</f>
        <v>0</v>
      </c>
      <c r="AI177" s="102">
        <f>SUMIFS(tabela_registros[VALOR],tabela_registros[MÊS],$AE$1,tabela_registros[DIA],reservafixaconsolidadoset[[#Headers],[31]],tabela_registros[REGISTRO],DADOS!$N$6,tabela_registros[TIPO],DADOS!$AJ$3,tabela_registros[CATEGORIA],reservafixaconsolidadoset[[#This Row],[ATUAL]])</f>
        <v>0</v>
      </c>
      <c r="AJ177" s="97">
        <f>SUM(reservafixaconsolidadoset[[#This Row],[1]:[31]])</f>
        <v>0</v>
      </c>
      <c r="AK177" s="25"/>
    </row>
    <row r="178" spans="2:37" s="16" customFormat="1" ht="21" customHeight="1" thickTop="1" thickBot="1" x14ac:dyDescent="0.35">
      <c r="B178" s="24"/>
      <c r="C178" s="23" t="s">
        <v>19</v>
      </c>
      <c r="D178" s="22"/>
      <c r="E178" s="21">
        <f>SUM(E168:E177)</f>
        <v>0</v>
      </c>
      <c r="F178" s="20">
        <f>SUM(F168:F177)+reservafixaconsolidadoset[[#This Row],[1]]</f>
        <v>0</v>
      </c>
      <c r="G178" s="20">
        <f>SUM(G168:G177)+reservafixaconsolidadoset[[#This Row],[2]]</f>
        <v>0</v>
      </c>
      <c r="H178" s="20">
        <f>SUM(H168:H177)+reservafixaconsolidadoset[[#This Row],[3]]</f>
        <v>0</v>
      </c>
      <c r="I178" s="20">
        <f>SUM(I168:I177)+reservafixaconsolidadoset[[#This Row],[4]]</f>
        <v>0</v>
      </c>
      <c r="J178" s="20">
        <f>SUM(J168:J177)+reservafixaconsolidadoset[[#This Row],[5]]</f>
        <v>0</v>
      </c>
      <c r="K178" s="20">
        <f>SUM(K168:K177)+reservafixaconsolidadoset[[#This Row],[6]]</f>
        <v>0</v>
      </c>
      <c r="L178" s="20">
        <f>SUM(L168:L177)+reservafixaconsolidadoset[[#This Row],[7]]</f>
        <v>0</v>
      </c>
      <c r="M178" s="20">
        <f>SUM(M168:M177)+reservafixaconsolidadoset[[#This Row],[8]]</f>
        <v>0</v>
      </c>
      <c r="N178" s="20">
        <f>SUM(N168:N177)+reservafixaconsolidadoset[[#This Row],[9]]</f>
        <v>0</v>
      </c>
      <c r="O178" s="20">
        <f>SUM(O168:O177)+reservafixaconsolidadoset[[#This Row],[10]]</f>
        <v>0</v>
      </c>
      <c r="P178" s="20">
        <f>SUM(P168:P177)+reservafixaconsolidadoset[[#This Row],[11]]</f>
        <v>0</v>
      </c>
      <c r="Q178" s="20">
        <f>SUM(Q168:Q177)+reservafixaconsolidadoset[[#This Row],[12]]</f>
        <v>0</v>
      </c>
      <c r="R178" s="20">
        <f>SUM(R168:R177)+reservafixaconsolidadoset[[#This Row],[13]]</f>
        <v>0</v>
      </c>
      <c r="S178" s="20">
        <f>SUM(S168:S177)+reservafixaconsolidadoset[[#This Row],[14]]</f>
        <v>0</v>
      </c>
      <c r="T178" s="20">
        <f>SUM(T168:T177)+reservafixaconsolidadoset[[#This Row],[15]]</f>
        <v>0</v>
      </c>
      <c r="U178" s="20">
        <f>SUM(U168:U177)+reservafixaconsolidadoset[[#This Row],[16]]</f>
        <v>0</v>
      </c>
      <c r="V178" s="20">
        <f>SUM(V168:V177)+reservafixaconsolidadoset[[#This Row],[17]]</f>
        <v>0</v>
      </c>
      <c r="W178" s="20">
        <f>SUM(W168:W177)+reservafixaconsolidadoset[[#This Row],[18]]</f>
        <v>0</v>
      </c>
      <c r="X178" s="20">
        <f>SUM(X168:X177)+reservafixaconsolidadoset[[#This Row],[19]]</f>
        <v>0</v>
      </c>
      <c r="Y178" s="20">
        <f>SUM(Y168:Y177)+reservafixaconsolidadoset[[#This Row],[20]]</f>
        <v>0</v>
      </c>
      <c r="Z178" s="20">
        <f>SUM(Z168:Z177)+reservafixaconsolidadoset[[#This Row],[21]]</f>
        <v>0</v>
      </c>
      <c r="AA178" s="20">
        <f>SUM(AA168:AA177)+reservafixaconsolidadoset[[#This Row],[22]]</f>
        <v>0</v>
      </c>
      <c r="AB178" s="20">
        <f>SUM(AB168:AB177)+reservafixaconsolidadoset[[#This Row],[23]]</f>
        <v>0</v>
      </c>
      <c r="AC178" s="20">
        <f>SUM(AC168:AC177)+reservafixaconsolidadoset[[#This Row],[24]]</f>
        <v>0</v>
      </c>
      <c r="AD178" s="20">
        <f>SUM(AD168:AD177)+reservafixaconsolidadoset[[#This Row],[25]]</f>
        <v>0</v>
      </c>
      <c r="AE178" s="20">
        <f>SUM(AE168:AE177)+reservafixaconsolidadoset[[#This Row],[26]]</f>
        <v>0</v>
      </c>
      <c r="AF178" s="20">
        <f>SUM(AF168:AF177)+reservafixaconsolidadoset[[#This Row],[27]]</f>
        <v>0</v>
      </c>
      <c r="AG178" s="20">
        <f>SUM(AG168:AG177)+reservafixaconsolidadoset[[#This Row],[28]]</f>
        <v>0</v>
      </c>
      <c r="AH178" s="20">
        <f>SUM(AH168:AH177)+reservafixaconsolidadoset[[#This Row],[29]]</f>
        <v>0</v>
      </c>
      <c r="AI178" s="19">
        <f>SUM(AI168:AI177)+reservafixaconsolidadoset[[#This Row],[30]]</f>
        <v>0</v>
      </c>
      <c r="AJ178" s="18">
        <f>reservafixaconsolidadoset[[#This Row],[31]]</f>
        <v>0</v>
      </c>
      <c r="AK178" s="17"/>
    </row>
    <row r="179" spans="2:37" ht="6.75" customHeight="1" thickTop="1" thickBot="1" x14ac:dyDescent="0.3">
      <c r="B179" s="15"/>
      <c r="C179" s="14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3"/>
      <c r="AF179" s="13"/>
      <c r="AG179" s="13"/>
      <c r="AH179" s="13"/>
      <c r="AI179" s="12"/>
      <c r="AJ179" s="11"/>
      <c r="AK179" s="10"/>
    </row>
    <row r="180" spans="2:37" ht="12.6" thickTop="1" x14ac:dyDescent="0.25">
      <c r="E180" s="37"/>
      <c r="AI180" s="4"/>
    </row>
    <row r="181" spans="2:37" x14ac:dyDescent="0.25">
      <c r="AI181" s="4"/>
    </row>
    <row r="182" spans="2:37" x14ac:dyDescent="0.25">
      <c r="AI182" s="4"/>
    </row>
    <row r="183" spans="2:37" ht="39.75" customHeight="1" x14ac:dyDescent="0.7">
      <c r="C183" s="36"/>
      <c r="E183" s="240"/>
      <c r="F183" s="240"/>
      <c r="G183" s="240"/>
      <c r="H183" s="240"/>
      <c r="I183" s="240"/>
      <c r="J183" s="240"/>
      <c r="K183" s="240"/>
      <c r="L183" s="240"/>
      <c r="M183" s="240"/>
      <c r="N183" s="240"/>
      <c r="O183" s="240"/>
      <c r="P183" s="240"/>
      <c r="Q183" s="240"/>
      <c r="R183" s="240"/>
      <c r="S183" s="240"/>
      <c r="T183" s="240"/>
      <c r="U183" s="240"/>
      <c r="V183" s="240"/>
      <c r="W183" s="240"/>
      <c r="X183" s="240"/>
      <c r="Y183" s="240"/>
      <c r="Z183" s="240"/>
      <c r="AA183" s="240"/>
      <c r="AB183" s="240"/>
      <c r="AC183" s="240"/>
      <c r="AD183" s="240"/>
      <c r="AE183" s="240"/>
      <c r="AF183" s="240"/>
      <c r="AG183" s="240"/>
      <c r="AH183" s="240"/>
      <c r="AI183" s="240"/>
      <c r="AJ183" s="32" t="s">
        <v>19</v>
      </c>
    </row>
    <row r="184" spans="2:37" ht="12.6" thickBot="1" x14ac:dyDescent="0.3">
      <c r="B184" s="35"/>
      <c r="AI184" s="4"/>
      <c r="AJ184" s="34" t="s">
        <v>202</v>
      </c>
    </row>
    <row r="185" spans="2:37" ht="6.75" customHeight="1" thickTop="1" thickBot="1" x14ac:dyDescent="0.3">
      <c r="B185" s="2"/>
      <c r="C185" s="14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  <c r="AF185" s="13"/>
      <c r="AG185" s="13"/>
      <c r="AH185" s="13"/>
      <c r="AI185" s="13"/>
      <c r="AJ185" s="12"/>
      <c r="AK185" s="33"/>
    </row>
    <row r="186" spans="2:37" ht="13.2" hidden="1" thickTop="1" thickBot="1" x14ac:dyDescent="0.3">
      <c r="B186" s="2"/>
      <c r="C186" s="31" t="s">
        <v>199</v>
      </c>
      <c r="D186" s="30" t="s">
        <v>198</v>
      </c>
      <c r="E186" s="30" t="s">
        <v>197</v>
      </c>
      <c r="F186" s="30" t="s">
        <v>196</v>
      </c>
      <c r="G186" s="30" t="s">
        <v>195</v>
      </c>
      <c r="H186" s="30" t="s">
        <v>194</v>
      </c>
      <c r="I186" s="30" t="s">
        <v>193</v>
      </c>
      <c r="J186" s="30" t="s">
        <v>192</v>
      </c>
      <c r="K186" s="30" t="s">
        <v>191</v>
      </c>
      <c r="L186" s="30" t="s">
        <v>190</v>
      </c>
      <c r="M186" s="30" t="s">
        <v>189</v>
      </c>
      <c r="N186" s="30" t="s">
        <v>188</v>
      </c>
      <c r="O186" s="30" t="s">
        <v>187</v>
      </c>
      <c r="P186" s="30" t="s">
        <v>186</v>
      </c>
      <c r="Q186" s="30" t="s">
        <v>185</v>
      </c>
      <c r="R186" s="30" t="s">
        <v>184</v>
      </c>
      <c r="S186" s="30" t="s">
        <v>183</v>
      </c>
      <c r="T186" s="30" t="s">
        <v>182</v>
      </c>
      <c r="U186" s="30" t="s">
        <v>181</v>
      </c>
      <c r="V186" s="30" t="s">
        <v>180</v>
      </c>
      <c r="W186" s="30" t="s">
        <v>179</v>
      </c>
      <c r="X186" s="30" t="s">
        <v>178</v>
      </c>
      <c r="Y186" s="30" t="s">
        <v>177</v>
      </c>
      <c r="Z186" s="30" t="s">
        <v>176</v>
      </c>
      <c r="AA186" s="30" t="s">
        <v>175</v>
      </c>
      <c r="AB186" s="30" t="s">
        <v>174</v>
      </c>
      <c r="AC186" s="30" t="s">
        <v>173</v>
      </c>
      <c r="AD186" s="30" t="s">
        <v>172</v>
      </c>
      <c r="AE186" s="30" t="s">
        <v>171</v>
      </c>
      <c r="AF186" s="30" t="s">
        <v>170</v>
      </c>
      <c r="AG186" s="30" t="s">
        <v>169</v>
      </c>
      <c r="AH186" s="30" t="s">
        <v>168</v>
      </c>
      <c r="AI186" s="30" t="s">
        <v>167</v>
      </c>
      <c r="AJ186" s="29" t="s">
        <v>166</v>
      </c>
      <c r="AK186" s="2"/>
    </row>
    <row r="187" spans="2:37" ht="19.5" customHeight="1" thickTop="1" thickBot="1" x14ac:dyDescent="0.3">
      <c r="B187" s="28"/>
      <c r="C187" s="27" t="str">
        <f>DADOS!$AN$3</f>
        <v>📝 AÇÃO</v>
      </c>
      <c r="D187" s="26" t="str">
        <f>IF(reservavariáveisconsolidadoset[[#This Row],[TOTAL (R$)]]=0,"",IF(OR(reservavariáveisconsolidadoset[[#This Row],[TOTAL (R$)]]=LARGE($AJ$187:$AJ$196,1),reservavariáveisconsolidadoset[[#This Row],[TOTAL (R$)]]=LARGE($AJ$187:$AJ$196,2)),DADOS!$I$11,""))</f>
        <v/>
      </c>
      <c r="E187" s="96">
        <f>SUMIFS(tabela_registros[VALOR],tabela_registros[MÊS],$AE$1,tabela_registros[DIA],reservavariáveisconsolidadoset[[#Headers],[1]],tabela_registros[REGISTRO],DADOS!$N$6,tabela_registros[TIPO],DADOS!$AJ$4,tabela_registros[CATEGORIA],reservavariáveisconsolidadoset[[#This Row],[ATUAL]])</f>
        <v>0</v>
      </c>
      <c r="F187" s="91">
        <f>SUMIFS(tabela_registros[VALOR],tabela_registros[MÊS],$AE$1,tabela_registros[DIA],reservavariáveisconsolidadoset[[#Headers],[2]],tabela_registros[REGISTRO],DADOS!$N$6,tabela_registros[TIPO],DADOS!$AJ$4,tabela_registros[CATEGORIA],reservavariáveisconsolidadoset[[#This Row],[ATUAL]])</f>
        <v>0</v>
      </c>
      <c r="G187" s="91">
        <f>SUMIFS(tabela_registros[VALOR],tabela_registros[MÊS],$AE$1,tabela_registros[DIA],reservavariáveisconsolidadoset[[#Headers],[3]],tabela_registros[REGISTRO],DADOS!$N$6,tabela_registros[TIPO],DADOS!$AJ$4,tabela_registros[CATEGORIA],reservavariáveisconsolidadoset[[#This Row],[ATUAL]])</f>
        <v>0</v>
      </c>
      <c r="H187" s="91">
        <f>SUMIFS(tabela_registros[VALOR],tabela_registros[MÊS],$AE$1,tabela_registros[DIA],reservavariáveisconsolidadoset[[#Headers],[4]],tabela_registros[REGISTRO],DADOS!$N$6,tabela_registros[TIPO],DADOS!$AJ$4,tabela_registros[CATEGORIA],reservavariáveisconsolidadoset[[#This Row],[ATUAL]])</f>
        <v>0</v>
      </c>
      <c r="I187" s="91">
        <f>SUMIFS(tabela_registros[VALOR],tabela_registros[MÊS],$AE$1,tabela_registros[DIA],reservavariáveisconsolidadoset[[#Headers],[5]],tabela_registros[REGISTRO],DADOS!$N$6,tabela_registros[TIPO],DADOS!$AJ$4,tabela_registros[CATEGORIA],reservavariáveisconsolidadoset[[#This Row],[ATUAL]])</f>
        <v>0</v>
      </c>
      <c r="J187" s="91">
        <f>SUMIFS(tabela_registros[VALOR],tabela_registros[MÊS],$AE$1,tabela_registros[DIA],reservavariáveisconsolidadoset[[#Headers],[6]],tabela_registros[REGISTRO],DADOS!$N$6,tabela_registros[TIPO],DADOS!$AJ$4,tabela_registros[CATEGORIA],reservavariáveisconsolidadoset[[#This Row],[ATUAL]])</f>
        <v>0</v>
      </c>
      <c r="K187" s="91">
        <f>SUMIFS(tabela_registros[VALOR],tabela_registros[MÊS],$AE$1,tabela_registros[DIA],reservavariáveisconsolidadoset[[#Headers],[7]],tabela_registros[REGISTRO],DADOS!$N$6,tabela_registros[TIPO],DADOS!$AJ$4,tabela_registros[CATEGORIA],reservavariáveisconsolidadoset[[#This Row],[ATUAL]])</f>
        <v>0</v>
      </c>
      <c r="L187" s="91">
        <f>SUMIFS(tabela_registros[VALOR],tabela_registros[MÊS],$AE$1,tabela_registros[DIA],reservavariáveisconsolidadoset[[#Headers],[8]],tabela_registros[REGISTRO],DADOS!$N$6,tabela_registros[TIPO],DADOS!$AJ$4,tabela_registros[CATEGORIA],reservavariáveisconsolidadoset[[#This Row],[ATUAL]])</f>
        <v>0</v>
      </c>
      <c r="M187" s="91">
        <f>SUMIFS(tabela_registros[VALOR],tabela_registros[MÊS],$AE$1,tabela_registros[DIA],reservavariáveisconsolidadoset[[#Headers],[9]],tabela_registros[REGISTRO],DADOS!$N$6,tabela_registros[TIPO],DADOS!$AJ$4,tabela_registros[CATEGORIA],reservavariáveisconsolidadoset[[#This Row],[ATUAL]])</f>
        <v>0</v>
      </c>
      <c r="N187" s="91">
        <f>SUMIFS(tabela_registros[VALOR],tabela_registros[MÊS],$AE$1,tabela_registros[DIA],reservavariáveisconsolidadoset[[#Headers],[10]],tabela_registros[REGISTRO],DADOS!$N$6,tabela_registros[TIPO],DADOS!$AJ$4,tabela_registros[CATEGORIA],reservavariáveisconsolidadoset[[#This Row],[ATUAL]])</f>
        <v>0</v>
      </c>
      <c r="O187" s="91">
        <f>SUMIFS(tabela_registros[VALOR],tabela_registros[MÊS],$AE$1,tabela_registros[DIA],reservavariáveisconsolidadoset[[#Headers],[11]],tabela_registros[REGISTRO],DADOS!$N$6,tabela_registros[TIPO],DADOS!$AJ$4,tabela_registros[CATEGORIA],reservavariáveisconsolidadoset[[#This Row],[ATUAL]])</f>
        <v>0</v>
      </c>
      <c r="P187" s="91">
        <f>SUMIFS(tabela_registros[VALOR],tabela_registros[MÊS],$AE$1,tabela_registros[DIA],reservavariáveisconsolidadoset[[#Headers],[12]],tabela_registros[REGISTRO],DADOS!$N$6,tabela_registros[TIPO],DADOS!$AJ$4,tabela_registros[CATEGORIA],reservavariáveisconsolidadoset[[#This Row],[ATUAL]])</f>
        <v>0</v>
      </c>
      <c r="Q187" s="91">
        <f>SUMIFS(tabela_registros[VALOR],tabela_registros[MÊS],$AE$1,tabela_registros[DIA],reservavariáveisconsolidadoset[[#Headers],[13]],tabela_registros[REGISTRO],DADOS!$N$6,tabela_registros[TIPO],DADOS!$AJ$4,tabela_registros[CATEGORIA],reservavariáveisconsolidadoset[[#This Row],[ATUAL]])</f>
        <v>0</v>
      </c>
      <c r="R187" s="91">
        <f>SUMIFS(tabela_registros[VALOR],tabela_registros[MÊS],$AE$1,tabela_registros[DIA],reservavariáveisconsolidadoset[[#Headers],[14]],tabela_registros[REGISTRO],DADOS!$N$6,tabela_registros[TIPO],DADOS!$AJ$4,tabela_registros[CATEGORIA],reservavariáveisconsolidadoset[[#This Row],[ATUAL]])</f>
        <v>0</v>
      </c>
      <c r="S187" s="91">
        <f>SUMIFS(tabela_registros[VALOR],tabela_registros[MÊS],$AE$1,tabela_registros[DIA],reservavariáveisconsolidadoset[[#Headers],[15]],tabela_registros[REGISTRO],DADOS!$N$6,tabela_registros[TIPO],DADOS!$AJ$4,tabela_registros[CATEGORIA],reservavariáveisconsolidadoset[[#This Row],[ATUAL]])</f>
        <v>0</v>
      </c>
      <c r="T187" s="91">
        <f>SUMIFS(tabela_registros[VALOR],tabela_registros[MÊS],$AE$1,tabela_registros[DIA],reservavariáveisconsolidadoset[[#Headers],[16]],tabela_registros[REGISTRO],DADOS!$N$6,tabela_registros[TIPO],DADOS!$AJ$4,tabela_registros[CATEGORIA],reservavariáveisconsolidadoset[[#This Row],[ATUAL]])</f>
        <v>0</v>
      </c>
      <c r="U187" s="91">
        <f>SUMIFS(tabela_registros[VALOR],tabela_registros[MÊS],$AE$1,tabela_registros[DIA],reservavariáveisconsolidadoset[[#Headers],[17]],tabela_registros[REGISTRO],DADOS!$N$6,tabela_registros[TIPO],DADOS!$AJ$4,tabela_registros[CATEGORIA],reservavariáveisconsolidadoset[[#This Row],[ATUAL]])</f>
        <v>0</v>
      </c>
      <c r="V187" s="91">
        <f>SUMIFS(tabela_registros[VALOR],tabela_registros[MÊS],$AE$1,tabela_registros[DIA],reservavariáveisconsolidadoset[[#Headers],[18]],tabela_registros[REGISTRO],DADOS!$N$6,tabela_registros[TIPO],DADOS!$AJ$4,tabela_registros[CATEGORIA],reservavariáveisconsolidadoset[[#This Row],[ATUAL]])</f>
        <v>0</v>
      </c>
      <c r="W187" s="91">
        <f>SUMIFS(tabela_registros[VALOR],tabela_registros[MÊS],$AE$1,tabela_registros[DIA],reservavariáveisconsolidadoset[[#Headers],[19]],tabela_registros[REGISTRO],DADOS!$N$6,tabela_registros[TIPO],DADOS!$AJ$4,tabela_registros[CATEGORIA],reservavariáveisconsolidadoset[[#This Row],[ATUAL]])</f>
        <v>0</v>
      </c>
      <c r="X187" s="91">
        <f>SUMIFS(tabela_registros[VALOR],tabela_registros[MÊS],$AE$1,tabela_registros[DIA],reservavariáveisconsolidadoset[[#Headers],[20]],tabela_registros[REGISTRO],DADOS!$N$6,tabela_registros[TIPO],DADOS!$AJ$4,tabela_registros[CATEGORIA],reservavariáveisconsolidadoset[[#This Row],[ATUAL]])</f>
        <v>0</v>
      </c>
      <c r="Y187" s="91">
        <f>SUMIFS(tabela_registros[VALOR],tabela_registros[MÊS],$AE$1,tabela_registros[DIA],reservavariáveisconsolidadoset[[#Headers],[21]],tabela_registros[REGISTRO],DADOS!$N$6,tabela_registros[TIPO],DADOS!$AJ$4,tabela_registros[CATEGORIA],reservavariáveisconsolidadoset[[#This Row],[ATUAL]])</f>
        <v>0</v>
      </c>
      <c r="Z187" s="91">
        <f>SUMIFS(tabela_registros[VALOR],tabela_registros[MÊS],$AE$1,tabela_registros[DIA],reservavariáveisconsolidadoset[[#Headers],[22]],tabela_registros[REGISTRO],DADOS!$N$6,tabela_registros[TIPO],DADOS!$AJ$4,tabela_registros[CATEGORIA],reservavariáveisconsolidadoset[[#This Row],[ATUAL]])</f>
        <v>0</v>
      </c>
      <c r="AA187" s="91">
        <f>SUMIFS(tabela_registros[VALOR],tabela_registros[MÊS],$AE$1,tabela_registros[DIA],reservavariáveisconsolidadoset[[#Headers],[23]],tabela_registros[REGISTRO],DADOS!$N$6,tabela_registros[TIPO],DADOS!$AJ$4,tabela_registros[CATEGORIA],reservavariáveisconsolidadoset[[#This Row],[ATUAL]])</f>
        <v>0</v>
      </c>
      <c r="AB187" s="91">
        <f>SUMIFS(tabela_registros[VALOR],tabela_registros[MÊS],$AE$1,tabela_registros[DIA],reservavariáveisconsolidadoset[[#Headers],[24]],tabela_registros[REGISTRO],DADOS!$N$6,tabela_registros[TIPO],DADOS!$AJ$4,tabela_registros[CATEGORIA],reservavariáveisconsolidadoset[[#This Row],[ATUAL]])</f>
        <v>0</v>
      </c>
      <c r="AC187" s="91">
        <f>SUMIFS(tabela_registros[VALOR],tabela_registros[MÊS],$AE$1,tabela_registros[DIA],reservavariáveisconsolidadoset[[#Headers],[25]],tabela_registros[REGISTRO],DADOS!$N$6,tabela_registros[TIPO],DADOS!$AJ$4,tabela_registros[CATEGORIA],reservavariáveisconsolidadoset[[#This Row],[ATUAL]])</f>
        <v>0</v>
      </c>
      <c r="AD187" s="91">
        <f>SUMIFS(tabela_registros[VALOR],tabela_registros[MÊS],$AE$1,tabela_registros[DIA],reservavariáveisconsolidadoset[[#Headers],[26]],tabela_registros[REGISTRO],DADOS!$N$6,tabela_registros[TIPO],DADOS!$AJ$4,tabela_registros[CATEGORIA],reservavariáveisconsolidadoset[[#This Row],[ATUAL]])</f>
        <v>0</v>
      </c>
      <c r="AE187" s="91">
        <f>SUMIFS(tabela_registros[VALOR],tabela_registros[MÊS],$AE$1,tabela_registros[DIA],reservavariáveisconsolidadoset[[#Headers],[27]],tabela_registros[REGISTRO],DADOS!$N$6,tabela_registros[TIPO],DADOS!$AJ$4,tabela_registros[CATEGORIA],reservavariáveisconsolidadoset[[#This Row],[ATUAL]])</f>
        <v>0</v>
      </c>
      <c r="AF187" s="91">
        <f>SUMIFS(tabela_registros[VALOR],tabela_registros[MÊS],$AE$1,tabela_registros[DIA],reservavariáveisconsolidadoset[[#Headers],[28]],tabela_registros[REGISTRO],DADOS!$N$6,tabela_registros[TIPO],DADOS!$AJ$4,tabela_registros[CATEGORIA],reservavariáveisconsolidadoset[[#This Row],[ATUAL]])</f>
        <v>0</v>
      </c>
      <c r="AG187" s="91">
        <f>SUMIFS(tabela_registros[VALOR],tabela_registros[MÊS],$AE$1,tabela_registros[DIA],reservavariáveisconsolidadoset[[#Headers],[29]],tabela_registros[REGISTRO],DADOS!$N$6,tabela_registros[TIPO],DADOS!$AJ$4,tabela_registros[CATEGORIA],reservavariáveisconsolidadoset[[#This Row],[ATUAL]])</f>
        <v>0</v>
      </c>
      <c r="AH187" s="91">
        <f>SUMIFS(tabela_registros[VALOR],tabela_registros[MÊS],$AE$1,tabela_registros[DIA],reservavariáveisconsolidadoset[[#Headers],[30]],tabela_registros[REGISTRO],DADOS!$N$6,tabela_registros[TIPO],DADOS!$AJ$4,tabela_registros[CATEGORIA],reservavariáveisconsolidadoset[[#This Row],[ATUAL]])</f>
        <v>0</v>
      </c>
      <c r="AI187" s="101">
        <f>SUMIFS(tabela_registros[VALOR],tabela_registros[MÊS],$AE$1,tabela_registros[DIA],reservavariáveisconsolidadoset[[#Headers],[31]],tabela_registros[REGISTRO],DADOS!$N$6,tabela_registros[TIPO],DADOS!$AJ$4,tabela_registros[CATEGORIA],reservavariáveisconsolidadoset[[#This Row],[ATUAL]])</f>
        <v>0</v>
      </c>
      <c r="AJ187" s="97">
        <f>SUM(reservavariáveisconsolidadoset[[#This Row],[1]:[31]])</f>
        <v>0</v>
      </c>
      <c r="AK187" s="25"/>
    </row>
    <row r="188" spans="2:37" ht="19.5" customHeight="1" thickTop="1" thickBot="1" x14ac:dyDescent="0.3">
      <c r="B188" s="28"/>
      <c r="C188" s="27" t="str">
        <f>DADOS!$AN$4</f>
        <v>📝 COMÓDITE</v>
      </c>
      <c r="D188" s="26" t="str">
        <f>IF(reservavariáveisconsolidadoset[[#This Row],[TOTAL (R$)]]=0,"",IF(OR(reservavariáveisconsolidadoset[[#This Row],[TOTAL (R$)]]=LARGE($AJ$187:$AJ$196,1),reservavariáveisconsolidadoset[[#This Row],[TOTAL (R$)]]=LARGE($AJ$187:$AJ$196,2)),DADOS!$I$11,""))</f>
        <v/>
      </c>
      <c r="E188" s="96">
        <f>SUMIFS(tabela_registros[VALOR],tabela_registros[MÊS],$AE$1,tabela_registros[DIA],reservavariáveisconsolidadoset[[#Headers],[1]],tabela_registros[REGISTRO],DADOS!$N$6,tabela_registros[TIPO],DADOS!$AJ$4,tabela_registros[CATEGORIA],reservavariáveisconsolidadoset[[#This Row],[ATUAL]])</f>
        <v>0</v>
      </c>
      <c r="F188" s="91">
        <f>SUMIFS(tabela_registros[VALOR],tabela_registros[MÊS],$AE$1,tabela_registros[DIA],reservavariáveisconsolidadoset[[#Headers],[2]],tabela_registros[REGISTRO],DADOS!$N$6,tabela_registros[TIPO],DADOS!$AJ$4,tabela_registros[CATEGORIA],reservavariáveisconsolidadoset[[#This Row],[ATUAL]])</f>
        <v>0</v>
      </c>
      <c r="G188" s="91">
        <f>SUMIFS(tabela_registros[VALOR],tabela_registros[MÊS],$AE$1,tabela_registros[DIA],reservavariáveisconsolidadoset[[#Headers],[3]],tabela_registros[REGISTRO],DADOS!$N$6,tabela_registros[TIPO],DADOS!$AJ$4,tabela_registros[CATEGORIA],reservavariáveisconsolidadoset[[#This Row],[ATUAL]])</f>
        <v>0</v>
      </c>
      <c r="H188" s="91">
        <f>SUMIFS(tabela_registros[VALOR],tabela_registros[MÊS],$AE$1,tabela_registros[DIA],reservavariáveisconsolidadoset[[#Headers],[4]],tabela_registros[REGISTRO],DADOS!$N$6,tabela_registros[TIPO],DADOS!$AJ$4,tabela_registros[CATEGORIA],reservavariáveisconsolidadoset[[#This Row],[ATUAL]])</f>
        <v>0</v>
      </c>
      <c r="I188" s="91">
        <f>SUMIFS(tabela_registros[VALOR],tabela_registros[MÊS],$AE$1,tabela_registros[DIA],reservavariáveisconsolidadoset[[#Headers],[5]],tabela_registros[REGISTRO],DADOS!$N$6,tabela_registros[TIPO],DADOS!$AJ$4,tabela_registros[CATEGORIA],reservavariáveisconsolidadoset[[#This Row],[ATUAL]])</f>
        <v>0</v>
      </c>
      <c r="J188" s="91">
        <f>SUMIFS(tabela_registros[VALOR],tabela_registros[MÊS],$AE$1,tabela_registros[DIA],reservavariáveisconsolidadoset[[#Headers],[6]],tabela_registros[REGISTRO],DADOS!$N$6,tabela_registros[TIPO],DADOS!$AJ$4,tabela_registros[CATEGORIA],reservavariáveisconsolidadoset[[#This Row],[ATUAL]])</f>
        <v>0</v>
      </c>
      <c r="K188" s="91">
        <f>SUMIFS(tabela_registros[VALOR],tabela_registros[MÊS],$AE$1,tabela_registros[DIA],reservavariáveisconsolidadoset[[#Headers],[7]],tabela_registros[REGISTRO],DADOS!$N$6,tabela_registros[TIPO],DADOS!$AJ$4,tabela_registros[CATEGORIA],reservavariáveisconsolidadoset[[#This Row],[ATUAL]])</f>
        <v>0</v>
      </c>
      <c r="L188" s="91">
        <f>SUMIFS(tabela_registros[VALOR],tabela_registros[MÊS],$AE$1,tabela_registros[DIA],reservavariáveisconsolidadoset[[#Headers],[8]],tabela_registros[REGISTRO],DADOS!$N$6,tabela_registros[TIPO],DADOS!$AJ$4,tabela_registros[CATEGORIA],reservavariáveisconsolidadoset[[#This Row],[ATUAL]])</f>
        <v>0</v>
      </c>
      <c r="M188" s="91">
        <f>SUMIFS(tabela_registros[VALOR],tabela_registros[MÊS],$AE$1,tabela_registros[DIA],reservavariáveisconsolidadoset[[#Headers],[9]],tabela_registros[REGISTRO],DADOS!$N$6,tabela_registros[TIPO],DADOS!$AJ$4,tabela_registros[CATEGORIA],reservavariáveisconsolidadoset[[#This Row],[ATUAL]])</f>
        <v>0</v>
      </c>
      <c r="N188" s="91">
        <f>SUMIFS(tabela_registros[VALOR],tabela_registros[MÊS],$AE$1,tabela_registros[DIA],reservavariáveisconsolidadoset[[#Headers],[10]],tabela_registros[REGISTRO],DADOS!$N$6,tabela_registros[TIPO],DADOS!$AJ$4,tabela_registros[CATEGORIA],reservavariáveisconsolidadoset[[#This Row],[ATUAL]])</f>
        <v>0</v>
      </c>
      <c r="O188" s="91">
        <f>SUMIFS(tabela_registros[VALOR],tabela_registros[MÊS],$AE$1,tabela_registros[DIA],reservavariáveisconsolidadoset[[#Headers],[11]],tabela_registros[REGISTRO],DADOS!$N$6,tabela_registros[TIPO],DADOS!$AJ$4,tabela_registros[CATEGORIA],reservavariáveisconsolidadoset[[#This Row],[ATUAL]])</f>
        <v>0</v>
      </c>
      <c r="P188" s="91">
        <f>SUMIFS(tabela_registros[VALOR],tabela_registros[MÊS],$AE$1,tabela_registros[DIA],reservavariáveisconsolidadoset[[#Headers],[12]],tabela_registros[REGISTRO],DADOS!$N$6,tabela_registros[TIPO],DADOS!$AJ$4,tabela_registros[CATEGORIA],reservavariáveisconsolidadoset[[#This Row],[ATUAL]])</f>
        <v>0</v>
      </c>
      <c r="Q188" s="91">
        <f>SUMIFS(tabela_registros[VALOR],tabela_registros[MÊS],$AE$1,tabela_registros[DIA],reservavariáveisconsolidadoset[[#Headers],[13]],tabela_registros[REGISTRO],DADOS!$N$6,tabela_registros[TIPO],DADOS!$AJ$4,tabela_registros[CATEGORIA],reservavariáveisconsolidadoset[[#This Row],[ATUAL]])</f>
        <v>0</v>
      </c>
      <c r="R188" s="91">
        <f>SUMIFS(tabela_registros[VALOR],tabela_registros[MÊS],$AE$1,tabela_registros[DIA],reservavariáveisconsolidadoset[[#Headers],[14]],tabela_registros[REGISTRO],DADOS!$N$6,tabela_registros[TIPO],DADOS!$AJ$4,tabela_registros[CATEGORIA],reservavariáveisconsolidadoset[[#This Row],[ATUAL]])</f>
        <v>0</v>
      </c>
      <c r="S188" s="91">
        <f>SUMIFS(tabela_registros[VALOR],tabela_registros[MÊS],$AE$1,tabela_registros[DIA],reservavariáveisconsolidadoset[[#Headers],[15]],tabela_registros[REGISTRO],DADOS!$N$6,tabela_registros[TIPO],DADOS!$AJ$4,tabela_registros[CATEGORIA],reservavariáveisconsolidadoset[[#This Row],[ATUAL]])</f>
        <v>0</v>
      </c>
      <c r="T188" s="91">
        <f>SUMIFS(tabela_registros[VALOR],tabela_registros[MÊS],$AE$1,tabela_registros[DIA],reservavariáveisconsolidadoset[[#Headers],[16]],tabela_registros[REGISTRO],DADOS!$N$6,tabela_registros[TIPO],DADOS!$AJ$4,tabela_registros[CATEGORIA],reservavariáveisconsolidadoset[[#This Row],[ATUAL]])</f>
        <v>0</v>
      </c>
      <c r="U188" s="91">
        <f>SUMIFS(tabela_registros[VALOR],tabela_registros[MÊS],$AE$1,tabela_registros[DIA],reservavariáveisconsolidadoset[[#Headers],[17]],tabela_registros[REGISTRO],DADOS!$N$6,tabela_registros[TIPO],DADOS!$AJ$4,tabela_registros[CATEGORIA],reservavariáveisconsolidadoset[[#This Row],[ATUAL]])</f>
        <v>0</v>
      </c>
      <c r="V188" s="91">
        <f>SUMIFS(tabela_registros[VALOR],tabela_registros[MÊS],$AE$1,tabela_registros[DIA],reservavariáveisconsolidadoset[[#Headers],[18]],tabela_registros[REGISTRO],DADOS!$N$6,tabela_registros[TIPO],DADOS!$AJ$4,tabela_registros[CATEGORIA],reservavariáveisconsolidadoset[[#This Row],[ATUAL]])</f>
        <v>0</v>
      </c>
      <c r="W188" s="91">
        <f>SUMIFS(tabela_registros[VALOR],tabela_registros[MÊS],$AE$1,tabela_registros[DIA],reservavariáveisconsolidadoset[[#Headers],[19]],tabela_registros[REGISTRO],DADOS!$N$6,tabela_registros[TIPO],DADOS!$AJ$4,tabela_registros[CATEGORIA],reservavariáveisconsolidadoset[[#This Row],[ATUAL]])</f>
        <v>0</v>
      </c>
      <c r="X188" s="91">
        <f>SUMIFS(tabela_registros[VALOR],tabela_registros[MÊS],$AE$1,tabela_registros[DIA],reservavariáveisconsolidadoset[[#Headers],[20]],tabela_registros[REGISTRO],DADOS!$N$6,tabela_registros[TIPO],DADOS!$AJ$4,tabela_registros[CATEGORIA],reservavariáveisconsolidadoset[[#This Row],[ATUAL]])</f>
        <v>0</v>
      </c>
      <c r="Y188" s="91">
        <f>SUMIFS(tabela_registros[VALOR],tabela_registros[MÊS],$AE$1,tabela_registros[DIA],reservavariáveisconsolidadoset[[#Headers],[21]],tabela_registros[REGISTRO],DADOS!$N$6,tabela_registros[TIPO],DADOS!$AJ$4,tabela_registros[CATEGORIA],reservavariáveisconsolidadoset[[#This Row],[ATUAL]])</f>
        <v>0</v>
      </c>
      <c r="Z188" s="91">
        <f>SUMIFS(tabela_registros[VALOR],tabela_registros[MÊS],$AE$1,tabela_registros[DIA],reservavariáveisconsolidadoset[[#Headers],[22]],tabela_registros[REGISTRO],DADOS!$N$6,tabela_registros[TIPO],DADOS!$AJ$4,tabela_registros[CATEGORIA],reservavariáveisconsolidadoset[[#This Row],[ATUAL]])</f>
        <v>0</v>
      </c>
      <c r="AA188" s="91">
        <f>SUMIFS(tabela_registros[VALOR],tabela_registros[MÊS],$AE$1,tabela_registros[DIA],reservavariáveisconsolidadoset[[#Headers],[23]],tabela_registros[REGISTRO],DADOS!$N$6,tabela_registros[TIPO],DADOS!$AJ$4,tabela_registros[CATEGORIA],reservavariáveisconsolidadoset[[#This Row],[ATUAL]])</f>
        <v>0</v>
      </c>
      <c r="AB188" s="91">
        <f>SUMIFS(tabela_registros[VALOR],tabela_registros[MÊS],$AE$1,tabela_registros[DIA],reservavariáveisconsolidadoset[[#Headers],[24]],tabela_registros[REGISTRO],DADOS!$N$6,tabela_registros[TIPO],DADOS!$AJ$4,tabela_registros[CATEGORIA],reservavariáveisconsolidadoset[[#This Row],[ATUAL]])</f>
        <v>0</v>
      </c>
      <c r="AC188" s="91">
        <f>SUMIFS(tabela_registros[VALOR],tabela_registros[MÊS],$AE$1,tabela_registros[DIA],reservavariáveisconsolidadoset[[#Headers],[25]],tabela_registros[REGISTRO],DADOS!$N$6,tabela_registros[TIPO],DADOS!$AJ$4,tabela_registros[CATEGORIA],reservavariáveisconsolidadoset[[#This Row],[ATUAL]])</f>
        <v>0</v>
      </c>
      <c r="AD188" s="91">
        <f>SUMIFS(tabela_registros[VALOR],tabela_registros[MÊS],$AE$1,tabela_registros[DIA],reservavariáveisconsolidadoset[[#Headers],[26]],tabela_registros[REGISTRO],DADOS!$N$6,tabela_registros[TIPO],DADOS!$AJ$4,tabela_registros[CATEGORIA],reservavariáveisconsolidadoset[[#This Row],[ATUAL]])</f>
        <v>0</v>
      </c>
      <c r="AE188" s="91">
        <f>SUMIFS(tabela_registros[VALOR],tabela_registros[MÊS],$AE$1,tabela_registros[DIA],reservavariáveisconsolidadoset[[#Headers],[27]],tabela_registros[REGISTRO],DADOS!$N$6,tabela_registros[TIPO],DADOS!$AJ$4,tabela_registros[CATEGORIA],reservavariáveisconsolidadoset[[#This Row],[ATUAL]])</f>
        <v>0</v>
      </c>
      <c r="AF188" s="91">
        <f>SUMIFS(tabela_registros[VALOR],tabela_registros[MÊS],$AE$1,tabela_registros[DIA],reservavariáveisconsolidadoset[[#Headers],[28]],tabela_registros[REGISTRO],DADOS!$N$6,tabela_registros[TIPO],DADOS!$AJ$4,tabela_registros[CATEGORIA],reservavariáveisconsolidadoset[[#This Row],[ATUAL]])</f>
        <v>0</v>
      </c>
      <c r="AG188" s="91">
        <f>SUMIFS(tabela_registros[VALOR],tabela_registros[MÊS],$AE$1,tabela_registros[DIA],reservavariáveisconsolidadoset[[#Headers],[29]],tabela_registros[REGISTRO],DADOS!$N$6,tabela_registros[TIPO],DADOS!$AJ$4,tabela_registros[CATEGORIA],reservavariáveisconsolidadoset[[#This Row],[ATUAL]])</f>
        <v>0</v>
      </c>
      <c r="AH188" s="91">
        <f>SUMIFS(tabela_registros[VALOR],tabela_registros[MÊS],$AE$1,tabela_registros[DIA],reservavariáveisconsolidadoset[[#Headers],[30]],tabela_registros[REGISTRO],DADOS!$N$6,tabela_registros[TIPO],DADOS!$AJ$4,tabela_registros[CATEGORIA],reservavariáveisconsolidadoset[[#This Row],[ATUAL]])</f>
        <v>0</v>
      </c>
      <c r="AI188" s="101">
        <f>SUMIFS(tabela_registros[VALOR],tabela_registros[MÊS],$AE$1,tabela_registros[DIA],reservavariáveisconsolidadoset[[#Headers],[31]],tabela_registros[REGISTRO],DADOS!$N$6,tabela_registros[TIPO],DADOS!$AJ$4,tabela_registros[CATEGORIA],reservavariáveisconsolidadoset[[#This Row],[ATUAL]])</f>
        <v>0</v>
      </c>
      <c r="AJ188" s="97">
        <f>SUM(reservavariáveisconsolidadoset[[#This Row],[1]:[31]])</f>
        <v>0</v>
      </c>
      <c r="AK188" s="25"/>
    </row>
    <row r="189" spans="2:37" ht="19.5" customHeight="1" thickTop="1" thickBot="1" x14ac:dyDescent="0.3">
      <c r="B189" s="28"/>
      <c r="C189" s="27" t="str">
        <f>DADOS!$AN$5</f>
        <v>📝 CONTRATO DE FUTUROS</v>
      </c>
      <c r="D189" s="26" t="str">
        <f>IF(reservavariáveisconsolidadoset[[#This Row],[TOTAL (R$)]]=0,"",IF(OR(reservavariáveisconsolidadoset[[#This Row],[TOTAL (R$)]]=LARGE($AJ$187:$AJ$196,1),reservavariáveisconsolidadoset[[#This Row],[TOTAL (R$)]]=LARGE($AJ$187:$AJ$196,2)),DADOS!$I$11,""))</f>
        <v/>
      </c>
      <c r="E189" s="96">
        <f>SUMIFS(tabela_registros[VALOR],tabela_registros[MÊS],$AE$1,tabela_registros[DIA],reservavariáveisconsolidadoset[[#Headers],[1]],tabela_registros[REGISTRO],DADOS!$N$6,tabela_registros[TIPO],DADOS!$AJ$4,tabela_registros[CATEGORIA],reservavariáveisconsolidadoset[[#This Row],[ATUAL]])</f>
        <v>0</v>
      </c>
      <c r="F189" s="91">
        <f>SUMIFS(tabela_registros[VALOR],tabela_registros[MÊS],$AE$1,tabela_registros[DIA],reservavariáveisconsolidadoset[[#Headers],[2]],tabela_registros[REGISTRO],DADOS!$N$6,tabela_registros[TIPO],DADOS!$AJ$4,tabela_registros[CATEGORIA],reservavariáveisconsolidadoset[[#This Row],[ATUAL]])</f>
        <v>0</v>
      </c>
      <c r="G189" s="91">
        <f>SUMIFS(tabela_registros[VALOR],tabela_registros[MÊS],$AE$1,tabela_registros[DIA],reservavariáveisconsolidadoset[[#Headers],[3]],tabela_registros[REGISTRO],DADOS!$N$6,tabela_registros[TIPO],DADOS!$AJ$4,tabela_registros[CATEGORIA],reservavariáveisconsolidadoset[[#This Row],[ATUAL]])</f>
        <v>0</v>
      </c>
      <c r="H189" s="91">
        <f>SUMIFS(tabela_registros[VALOR],tabela_registros[MÊS],$AE$1,tabela_registros[DIA],reservavariáveisconsolidadoset[[#Headers],[4]],tabela_registros[REGISTRO],DADOS!$N$6,tabela_registros[TIPO],DADOS!$AJ$4,tabela_registros[CATEGORIA],reservavariáveisconsolidadoset[[#This Row],[ATUAL]])</f>
        <v>0</v>
      </c>
      <c r="I189" s="91">
        <f>SUMIFS(tabela_registros[VALOR],tabela_registros[MÊS],$AE$1,tabela_registros[DIA],reservavariáveisconsolidadoset[[#Headers],[5]],tabela_registros[REGISTRO],DADOS!$N$6,tabela_registros[TIPO],DADOS!$AJ$4,tabela_registros[CATEGORIA],reservavariáveisconsolidadoset[[#This Row],[ATUAL]])</f>
        <v>0</v>
      </c>
      <c r="J189" s="91">
        <f>SUMIFS(tabela_registros[VALOR],tabela_registros[MÊS],$AE$1,tabela_registros[DIA],reservavariáveisconsolidadoset[[#Headers],[6]],tabela_registros[REGISTRO],DADOS!$N$6,tabela_registros[TIPO],DADOS!$AJ$4,tabela_registros[CATEGORIA],reservavariáveisconsolidadoset[[#This Row],[ATUAL]])</f>
        <v>0</v>
      </c>
      <c r="K189" s="91">
        <f>SUMIFS(tabela_registros[VALOR],tabela_registros[MÊS],$AE$1,tabela_registros[DIA],reservavariáveisconsolidadoset[[#Headers],[7]],tabela_registros[REGISTRO],DADOS!$N$6,tabela_registros[TIPO],DADOS!$AJ$4,tabela_registros[CATEGORIA],reservavariáveisconsolidadoset[[#This Row],[ATUAL]])</f>
        <v>0</v>
      </c>
      <c r="L189" s="91">
        <f>SUMIFS(tabela_registros[VALOR],tabela_registros[MÊS],$AE$1,tabela_registros[DIA],reservavariáveisconsolidadoset[[#Headers],[8]],tabela_registros[REGISTRO],DADOS!$N$6,tabela_registros[TIPO],DADOS!$AJ$4,tabela_registros[CATEGORIA],reservavariáveisconsolidadoset[[#This Row],[ATUAL]])</f>
        <v>0</v>
      </c>
      <c r="M189" s="91">
        <f>SUMIFS(tabela_registros[VALOR],tabela_registros[MÊS],$AE$1,tabela_registros[DIA],reservavariáveisconsolidadoset[[#Headers],[9]],tabela_registros[REGISTRO],DADOS!$N$6,tabela_registros[TIPO],DADOS!$AJ$4,tabela_registros[CATEGORIA],reservavariáveisconsolidadoset[[#This Row],[ATUAL]])</f>
        <v>0</v>
      </c>
      <c r="N189" s="91">
        <f>SUMIFS(tabela_registros[VALOR],tabela_registros[MÊS],$AE$1,tabela_registros[DIA],reservavariáveisconsolidadoset[[#Headers],[10]],tabela_registros[REGISTRO],DADOS!$N$6,tabela_registros[TIPO],DADOS!$AJ$4,tabela_registros[CATEGORIA],reservavariáveisconsolidadoset[[#This Row],[ATUAL]])</f>
        <v>0</v>
      </c>
      <c r="O189" s="91">
        <f>SUMIFS(tabela_registros[VALOR],tabela_registros[MÊS],$AE$1,tabela_registros[DIA],reservavariáveisconsolidadoset[[#Headers],[11]],tabela_registros[REGISTRO],DADOS!$N$6,tabela_registros[TIPO],DADOS!$AJ$4,tabela_registros[CATEGORIA],reservavariáveisconsolidadoset[[#This Row],[ATUAL]])</f>
        <v>0</v>
      </c>
      <c r="P189" s="91">
        <f>SUMIFS(tabela_registros[VALOR],tabela_registros[MÊS],$AE$1,tabela_registros[DIA],reservavariáveisconsolidadoset[[#Headers],[12]],tabela_registros[REGISTRO],DADOS!$N$6,tabela_registros[TIPO],DADOS!$AJ$4,tabela_registros[CATEGORIA],reservavariáveisconsolidadoset[[#This Row],[ATUAL]])</f>
        <v>0</v>
      </c>
      <c r="Q189" s="91">
        <f>SUMIFS(tabela_registros[VALOR],tabela_registros[MÊS],$AE$1,tabela_registros[DIA],reservavariáveisconsolidadoset[[#Headers],[13]],tabela_registros[REGISTRO],DADOS!$N$6,tabela_registros[TIPO],DADOS!$AJ$4,tabela_registros[CATEGORIA],reservavariáveisconsolidadoset[[#This Row],[ATUAL]])</f>
        <v>0</v>
      </c>
      <c r="R189" s="91">
        <f>SUMIFS(tabela_registros[VALOR],tabela_registros[MÊS],$AE$1,tabela_registros[DIA],reservavariáveisconsolidadoset[[#Headers],[14]],tabela_registros[REGISTRO],DADOS!$N$6,tabela_registros[TIPO],DADOS!$AJ$4,tabela_registros[CATEGORIA],reservavariáveisconsolidadoset[[#This Row],[ATUAL]])</f>
        <v>0</v>
      </c>
      <c r="S189" s="91">
        <f>SUMIFS(tabela_registros[VALOR],tabela_registros[MÊS],$AE$1,tabela_registros[DIA],reservavariáveisconsolidadoset[[#Headers],[15]],tabela_registros[REGISTRO],DADOS!$N$6,tabela_registros[TIPO],DADOS!$AJ$4,tabela_registros[CATEGORIA],reservavariáveisconsolidadoset[[#This Row],[ATUAL]])</f>
        <v>0</v>
      </c>
      <c r="T189" s="91">
        <f>SUMIFS(tabela_registros[VALOR],tabela_registros[MÊS],$AE$1,tabela_registros[DIA],reservavariáveisconsolidadoset[[#Headers],[16]],tabela_registros[REGISTRO],DADOS!$N$6,tabela_registros[TIPO],DADOS!$AJ$4,tabela_registros[CATEGORIA],reservavariáveisconsolidadoset[[#This Row],[ATUAL]])</f>
        <v>0</v>
      </c>
      <c r="U189" s="91">
        <f>SUMIFS(tabela_registros[VALOR],tabela_registros[MÊS],$AE$1,tabela_registros[DIA],reservavariáveisconsolidadoset[[#Headers],[17]],tabela_registros[REGISTRO],DADOS!$N$6,tabela_registros[TIPO],DADOS!$AJ$4,tabela_registros[CATEGORIA],reservavariáveisconsolidadoset[[#This Row],[ATUAL]])</f>
        <v>0</v>
      </c>
      <c r="V189" s="91">
        <f>SUMIFS(tabela_registros[VALOR],tabela_registros[MÊS],$AE$1,tabela_registros[DIA],reservavariáveisconsolidadoset[[#Headers],[18]],tabela_registros[REGISTRO],DADOS!$N$6,tabela_registros[TIPO],DADOS!$AJ$4,tabela_registros[CATEGORIA],reservavariáveisconsolidadoset[[#This Row],[ATUAL]])</f>
        <v>0</v>
      </c>
      <c r="W189" s="91">
        <f>SUMIFS(tabela_registros[VALOR],tabela_registros[MÊS],$AE$1,tabela_registros[DIA],reservavariáveisconsolidadoset[[#Headers],[19]],tabela_registros[REGISTRO],DADOS!$N$6,tabela_registros[TIPO],DADOS!$AJ$4,tabela_registros[CATEGORIA],reservavariáveisconsolidadoset[[#This Row],[ATUAL]])</f>
        <v>0</v>
      </c>
      <c r="X189" s="91">
        <f>SUMIFS(tabela_registros[VALOR],tabela_registros[MÊS],$AE$1,tabela_registros[DIA],reservavariáveisconsolidadoset[[#Headers],[20]],tabela_registros[REGISTRO],DADOS!$N$6,tabela_registros[TIPO],DADOS!$AJ$4,tabela_registros[CATEGORIA],reservavariáveisconsolidadoset[[#This Row],[ATUAL]])</f>
        <v>0</v>
      </c>
      <c r="Y189" s="91">
        <f>SUMIFS(tabela_registros[VALOR],tabela_registros[MÊS],$AE$1,tabela_registros[DIA],reservavariáveisconsolidadoset[[#Headers],[21]],tabela_registros[REGISTRO],DADOS!$N$6,tabela_registros[TIPO],DADOS!$AJ$4,tabela_registros[CATEGORIA],reservavariáveisconsolidadoset[[#This Row],[ATUAL]])</f>
        <v>0</v>
      </c>
      <c r="Z189" s="91">
        <f>SUMIFS(tabela_registros[VALOR],tabela_registros[MÊS],$AE$1,tabela_registros[DIA],reservavariáveisconsolidadoset[[#Headers],[22]],tabela_registros[REGISTRO],DADOS!$N$6,tabela_registros[TIPO],DADOS!$AJ$4,tabela_registros[CATEGORIA],reservavariáveisconsolidadoset[[#This Row],[ATUAL]])</f>
        <v>0</v>
      </c>
      <c r="AA189" s="91">
        <f>SUMIFS(tabela_registros[VALOR],tabela_registros[MÊS],$AE$1,tabela_registros[DIA],reservavariáveisconsolidadoset[[#Headers],[23]],tabela_registros[REGISTRO],DADOS!$N$6,tabela_registros[TIPO],DADOS!$AJ$4,tabela_registros[CATEGORIA],reservavariáveisconsolidadoset[[#This Row],[ATUAL]])</f>
        <v>0</v>
      </c>
      <c r="AB189" s="91">
        <f>SUMIFS(tabela_registros[VALOR],tabela_registros[MÊS],$AE$1,tabela_registros[DIA],reservavariáveisconsolidadoset[[#Headers],[24]],tabela_registros[REGISTRO],DADOS!$N$6,tabela_registros[TIPO],DADOS!$AJ$4,tabela_registros[CATEGORIA],reservavariáveisconsolidadoset[[#This Row],[ATUAL]])</f>
        <v>0</v>
      </c>
      <c r="AC189" s="91">
        <f>SUMIFS(tabela_registros[VALOR],tabela_registros[MÊS],$AE$1,tabela_registros[DIA],reservavariáveisconsolidadoset[[#Headers],[25]],tabela_registros[REGISTRO],DADOS!$N$6,tabela_registros[TIPO],DADOS!$AJ$4,tabela_registros[CATEGORIA],reservavariáveisconsolidadoset[[#This Row],[ATUAL]])</f>
        <v>0</v>
      </c>
      <c r="AD189" s="91">
        <f>SUMIFS(tabela_registros[VALOR],tabela_registros[MÊS],$AE$1,tabela_registros[DIA],reservavariáveisconsolidadoset[[#Headers],[26]],tabela_registros[REGISTRO],DADOS!$N$6,tabela_registros[TIPO],DADOS!$AJ$4,tabela_registros[CATEGORIA],reservavariáveisconsolidadoset[[#This Row],[ATUAL]])</f>
        <v>0</v>
      </c>
      <c r="AE189" s="91">
        <f>SUMIFS(tabela_registros[VALOR],tabela_registros[MÊS],$AE$1,tabela_registros[DIA],reservavariáveisconsolidadoset[[#Headers],[27]],tabela_registros[REGISTRO],DADOS!$N$6,tabela_registros[TIPO],DADOS!$AJ$4,tabela_registros[CATEGORIA],reservavariáveisconsolidadoset[[#This Row],[ATUAL]])</f>
        <v>0</v>
      </c>
      <c r="AF189" s="91">
        <f>SUMIFS(tabela_registros[VALOR],tabela_registros[MÊS],$AE$1,tabela_registros[DIA],reservavariáveisconsolidadoset[[#Headers],[28]],tabela_registros[REGISTRO],DADOS!$N$6,tabela_registros[TIPO],DADOS!$AJ$4,tabela_registros[CATEGORIA],reservavariáveisconsolidadoset[[#This Row],[ATUAL]])</f>
        <v>0</v>
      </c>
      <c r="AG189" s="91">
        <f>SUMIFS(tabela_registros[VALOR],tabela_registros[MÊS],$AE$1,tabela_registros[DIA],reservavariáveisconsolidadoset[[#Headers],[29]],tabela_registros[REGISTRO],DADOS!$N$6,tabela_registros[TIPO],DADOS!$AJ$4,tabela_registros[CATEGORIA],reservavariáveisconsolidadoset[[#This Row],[ATUAL]])</f>
        <v>0</v>
      </c>
      <c r="AH189" s="91">
        <f>SUMIFS(tabela_registros[VALOR],tabela_registros[MÊS],$AE$1,tabela_registros[DIA],reservavariáveisconsolidadoset[[#Headers],[30]],tabela_registros[REGISTRO],DADOS!$N$6,tabela_registros[TIPO],DADOS!$AJ$4,tabela_registros[CATEGORIA],reservavariáveisconsolidadoset[[#This Row],[ATUAL]])</f>
        <v>0</v>
      </c>
      <c r="AI189" s="101">
        <f>SUMIFS(tabela_registros[VALOR],tabela_registros[MÊS],$AE$1,tabela_registros[DIA],reservavariáveisconsolidadoset[[#Headers],[31]],tabela_registros[REGISTRO],DADOS!$N$6,tabela_registros[TIPO],DADOS!$AJ$4,tabela_registros[CATEGORIA],reservavariáveisconsolidadoset[[#This Row],[ATUAL]])</f>
        <v>0</v>
      </c>
      <c r="AJ189" s="97">
        <f>SUM(reservavariáveisconsolidadoset[[#This Row],[1]:[31]])</f>
        <v>0</v>
      </c>
      <c r="AK189" s="25"/>
    </row>
    <row r="190" spans="2:37" ht="19.5" customHeight="1" thickTop="1" thickBot="1" x14ac:dyDescent="0.3">
      <c r="B190" s="28"/>
      <c r="C190" s="27" t="str">
        <f>DADOS!$AN$6</f>
        <v>📝 CONTRATO DE OPÇÕES</v>
      </c>
      <c r="D190" s="26" t="str">
        <f>IF(reservavariáveisconsolidadoset[[#This Row],[TOTAL (R$)]]=0,"",IF(OR(reservavariáveisconsolidadoset[[#This Row],[TOTAL (R$)]]=LARGE($AJ$187:$AJ$196,1),reservavariáveisconsolidadoset[[#This Row],[TOTAL (R$)]]=LARGE($AJ$187:$AJ$196,2)),DADOS!$I$11,""))</f>
        <v/>
      </c>
      <c r="E190" s="96">
        <f>SUMIFS(tabela_registros[VALOR],tabela_registros[MÊS],$AE$1,tabela_registros[DIA],reservavariáveisconsolidadoset[[#Headers],[1]],tabela_registros[REGISTRO],DADOS!$N$6,tabela_registros[TIPO],DADOS!$AJ$4,tabela_registros[CATEGORIA],reservavariáveisconsolidadoset[[#This Row],[ATUAL]])</f>
        <v>0</v>
      </c>
      <c r="F190" s="91">
        <f>SUMIFS(tabela_registros[VALOR],tabela_registros[MÊS],$AE$1,tabela_registros[DIA],reservavariáveisconsolidadoset[[#Headers],[2]],tabela_registros[REGISTRO],DADOS!$N$6,tabela_registros[TIPO],DADOS!$AJ$4,tabela_registros[CATEGORIA],reservavariáveisconsolidadoset[[#This Row],[ATUAL]])</f>
        <v>0</v>
      </c>
      <c r="G190" s="91">
        <f>SUMIFS(tabela_registros[VALOR],tabela_registros[MÊS],$AE$1,tabela_registros[DIA],reservavariáveisconsolidadoset[[#Headers],[3]],tabela_registros[REGISTRO],DADOS!$N$6,tabela_registros[TIPO],DADOS!$AJ$4,tabela_registros[CATEGORIA],reservavariáveisconsolidadoset[[#This Row],[ATUAL]])</f>
        <v>0</v>
      </c>
      <c r="H190" s="91">
        <f>SUMIFS(tabela_registros[VALOR],tabela_registros[MÊS],$AE$1,tabela_registros[DIA],reservavariáveisconsolidadoset[[#Headers],[4]],tabela_registros[REGISTRO],DADOS!$N$6,tabela_registros[TIPO],DADOS!$AJ$4,tabela_registros[CATEGORIA],reservavariáveisconsolidadoset[[#This Row],[ATUAL]])</f>
        <v>0</v>
      </c>
      <c r="I190" s="91">
        <f>SUMIFS(tabela_registros[VALOR],tabela_registros[MÊS],$AE$1,tabela_registros[DIA],reservavariáveisconsolidadoset[[#Headers],[5]],tabela_registros[REGISTRO],DADOS!$N$6,tabela_registros[TIPO],DADOS!$AJ$4,tabela_registros[CATEGORIA],reservavariáveisconsolidadoset[[#This Row],[ATUAL]])</f>
        <v>0</v>
      </c>
      <c r="J190" s="91">
        <f>SUMIFS(tabela_registros[VALOR],tabela_registros[MÊS],$AE$1,tabela_registros[DIA],reservavariáveisconsolidadoset[[#Headers],[6]],tabela_registros[REGISTRO],DADOS!$N$6,tabela_registros[TIPO],DADOS!$AJ$4,tabela_registros[CATEGORIA],reservavariáveisconsolidadoset[[#This Row],[ATUAL]])</f>
        <v>0</v>
      </c>
      <c r="K190" s="91">
        <f>SUMIFS(tabela_registros[VALOR],tabela_registros[MÊS],$AE$1,tabela_registros[DIA],reservavariáveisconsolidadoset[[#Headers],[7]],tabela_registros[REGISTRO],DADOS!$N$6,tabela_registros[TIPO],DADOS!$AJ$4,tabela_registros[CATEGORIA],reservavariáveisconsolidadoset[[#This Row],[ATUAL]])</f>
        <v>0</v>
      </c>
      <c r="L190" s="91">
        <f>SUMIFS(tabela_registros[VALOR],tabela_registros[MÊS],$AE$1,tabela_registros[DIA],reservavariáveisconsolidadoset[[#Headers],[8]],tabela_registros[REGISTRO],DADOS!$N$6,tabela_registros[TIPO],DADOS!$AJ$4,tabela_registros[CATEGORIA],reservavariáveisconsolidadoset[[#This Row],[ATUAL]])</f>
        <v>0</v>
      </c>
      <c r="M190" s="91">
        <f>SUMIFS(tabela_registros[VALOR],tabela_registros[MÊS],$AE$1,tabela_registros[DIA],reservavariáveisconsolidadoset[[#Headers],[9]],tabela_registros[REGISTRO],DADOS!$N$6,tabela_registros[TIPO],DADOS!$AJ$4,tabela_registros[CATEGORIA],reservavariáveisconsolidadoset[[#This Row],[ATUAL]])</f>
        <v>0</v>
      </c>
      <c r="N190" s="91">
        <f>SUMIFS(tabela_registros[VALOR],tabela_registros[MÊS],$AE$1,tabela_registros[DIA],reservavariáveisconsolidadoset[[#Headers],[10]],tabela_registros[REGISTRO],DADOS!$N$6,tabela_registros[TIPO],DADOS!$AJ$4,tabela_registros[CATEGORIA],reservavariáveisconsolidadoset[[#This Row],[ATUAL]])</f>
        <v>0</v>
      </c>
      <c r="O190" s="91">
        <f>SUMIFS(tabela_registros[VALOR],tabela_registros[MÊS],$AE$1,tabela_registros[DIA],reservavariáveisconsolidadoset[[#Headers],[11]],tabela_registros[REGISTRO],DADOS!$N$6,tabela_registros[TIPO],DADOS!$AJ$4,tabela_registros[CATEGORIA],reservavariáveisconsolidadoset[[#This Row],[ATUAL]])</f>
        <v>0</v>
      </c>
      <c r="P190" s="91">
        <f>SUMIFS(tabela_registros[VALOR],tabela_registros[MÊS],$AE$1,tabela_registros[DIA],reservavariáveisconsolidadoset[[#Headers],[12]],tabela_registros[REGISTRO],DADOS!$N$6,tabela_registros[TIPO],DADOS!$AJ$4,tabela_registros[CATEGORIA],reservavariáveisconsolidadoset[[#This Row],[ATUAL]])</f>
        <v>0</v>
      </c>
      <c r="Q190" s="91">
        <f>SUMIFS(tabela_registros[VALOR],tabela_registros[MÊS],$AE$1,tabela_registros[DIA],reservavariáveisconsolidadoset[[#Headers],[13]],tabela_registros[REGISTRO],DADOS!$N$6,tabela_registros[TIPO],DADOS!$AJ$4,tabela_registros[CATEGORIA],reservavariáveisconsolidadoset[[#This Row],[ATUAL]])</f>
        <v>0</v>
      </c>
      <c r="R190" s="91">
        <f>SUMIFS(tabela_registros[VALOR],tabela_registros[MÊS],$AE$1,tabela_registros[DIA],reservavariáveisconsolidadoset[[#Headers],[14]],tabela_registros[REGISTRO],DADOS!$N$6,tabela_registros[TIPO],DADOS!$AJ$4,tabela_registros[CATEGORIA],reservavariáveisconsolidadoset[[#This Row],[ATUAL]])</f>
        <v>0</v>
      </c>
      <c r="S190" s="91">
        <f>SUMIFS(tabela_registros[VALOR],tabela_registros[MÊS],$AE$1,tabela_registros[DIA],reservavariáveisconsolidadoset[[#Headers],[15]],tabela_registros[REGISTRO],DADOS!$N$6,tabela_registros[TIPO],DADOS!$AJ$4,tabela_registros[CATEGORIA],reservavariáveisconsolidadoset[[#This Row],[ATUAL]])</f>
        <v>0</v>
      </c>
      <c r="T190" s="91">
        <f>SUMIFS(tabela_registros[VALOR],tabela_registros[MÊS],$AE$1,tabela_registros[DIA],reservavariáveisconsolidadoset[[#Headers],[16]],tabela_registros[REGISTRO],DADOS!$N$6,tabela_registros[TIPO],DADOS!$AJ$4,tabela_registros[CATEGORIA],reservavariáveisconsolidadoset[[#This Row],[ATUAL]])</f>
        <v>0</v>
      </c>
      <c r="U190" s="91">
        <f>SUMIFS(tabela_registros[VALOR],tabela_registros[MÊS],$AE$1,tabela_registros[DIA],reservavariáveisconsolidadoset[[#Headers],[17]],tabela_registros[REGISTRO],DADOS!$N$6,tabela_registros[TIPO],DADOS!$AJ$4,tabela_registros[CATEGORIA],reservavariáveisconsolidadoset[[#This Row],[ATUAL]])</f>
        <v>0</v>
      </c>
      <c r="V190" s="91">
        <f>SUMIFS(tabela_registros[VALOR],tabela_registros[MÊS],$AE$1,tabela_registros[DIA],reservavariáveisconsolidadoset[[#Headers],[18]],tabela_registros[REGISTRO],DADOS!$N$6,tabela_registros[TIPO],DADOS!$AJ$4,tabela_registros[CATEGORIA],reservavariáveisconsolidadoset[[#This Row],[ATUAL]])</f>
        <v>0</v>
      </c>
      <c r="W190" s="91">
        <f>SUMIFS(tabela_registros[VALOR],tabela_registros[MÊS],$AE$1,tabela_registros[DIA],reservavariáveisconsolidadoset[[#Headers],[19]],tabela_registros[REGISTRO],DADOS!$N$6,tabela_registros[TIPO],DADOS!$AJ$4,tabela_registros[CATEGORIA],reservavariáveisconsolidadoset[[#This Row],[ATUAL]])</f>
        <v>0</v>
      </c>
      <c r="X190" s="91">
        <f>SUMIFS(tabela_registros[VALOR],tabela_registros[MÊS],$AE$1,tabela_registros[DIA],reservavariáveisconsolidadoset[[#Headers],[20]],tabela_registros[REGISTRO],DADOS!$N$6,tabela_registros[TIPO],DADOS!$AJ$4,tabela_registros[CATEGORIA],reservavariáveisconsolidadoset[[#This Row],[ATUAL]])</f>
        <v>0</v>
      </c>
      <c r="Y190" s="91">
        <f>SUMIFS(tabela_registros[VALOR],tabela_registros[MÊS],$AE$1,tabela_registros[DIA],reservavariáveisconsolidadoset[[#Headers],[21]],tabela_registros[REGISTRO],DADOS!$N$6,tabela_registros[TIPO],DADOS!$AJ$4,tabela_registros[CATEGORIA],reservavariáveisconsolidadoset[[#This Row],[ATUAL]])</f>
        <v>0</v>
      </c>
      <c r="Z190" s="91">
        <f>SUMIFS(tabela_registros[VALOR],tabela_registros[MÊS],$AE$1,tabela_registros[DIA],reservavariáveisconsolidadoset[[#Headers],[22]],tabela_registros[REGISTRO],DADOS!$N$6,tabela_registros[TIPO],DADOS!$AJ$4,tabela_registros[CATEGORIA],reservavariáveisconsolidadoset[[#This Row],[ATUAL]])</f>
        <v>0</v>
      </c>
      <c r="AA190" s="91">
        <f>SUMIFS(tabela_registros[VALOR],tabela_registros[MÊS],$AE$1,tabela_registros[DIA],reservavariáveisconsolidadoset[[#Headers],[23]],tabela_registros[REGISTRO],DADOS!$N$6,tabela_registros[TIPO],DADOS!$AJ$4,tabela_registros[CATEGORIA],reservavariáveisconsolidadoset[[#This Row],[ATUAL]])</f>
        <v>0</v>
      </c>
      <c r="AB190" s="91">
        <f>SUMIFS(tabela_registros[VALOR],tabela_registros[MÊS],$AE$1,tabela_registros[DIA],reservavariáveisconsolidadoset[[#Headers],[24]],tabela_registros[REGISTRO],DADOS!$N$6,tabela_registros[TIPO],DADOS!$AJ$4,tabela_registros[CATEGORIA],reservavariáveisconsolidadoset[[#This Row],[ATUAL]])</f>
        <v>0</v>
      </c>
      <c r="AC190" s="91">
        <f>SUMIFS(tabela_registros[VALOR],tabela_registros[MÊS],$AE$1,tabela_registros[DIA],reservavariáveisconsolidadoset[[#Headers],[25]],tabela_registros[REGISTRO],DADOS!$N$6,tabela_registros[TIPO],DADOS!$AJ$4,tabela_registros[CATEGORIA],reservavariáveisconsolidadoset[[#This Row],[ATUAL]])</f>
        <v>0</v>
      </c>
      <c r="AD190" s="91">
        <f>SUMIFS(tabela_registros[VALOR],tabela_registros[MÊS],$AE$1,tabela_registros[DIA],reservavariáveisconsolidadoset[[#Headers],[26]],tabela_registros[REGISTRO],DADOS!$N$6,tabela_registros[TIPO],DADOS!$AJ$4,tabela_registros[CATEGORIA],reservavariáveisconsolidadoset[[#This Row],[ATUAL]])</f>
        <v>0</v>
      </c>
      <c r="AE190" s="91">
        <f>SUMIFS(tabela_registros[VALOR],tabela_registros[MÊS],$AE$1,tabela_registros[DIA],reservavariáveisconsolidadoset[[#Headers],[27]],tabela_registros[REGISTRO],DADOS!$N$6,tabela_registros[TIPO],DADOS!$AJ$4,tabela_registros[CATEGORIA],reservavariáveisconsolidadoset[[#This Row],[ATUAL]])</f>
        <v>0</v>
      </c>
      <c r="AF190" s="91">
        <f>SUMIFS(tabela_registros[VALOR],tabela_registros[MÊS],$AE$1,tabela_registros[DIA],reservavariáveisconsolidadoset[[#Headers],[28]],tabela_registros[REGISTRO],DADOS!$N$6,tabela_registros[TIPO],DADOS!$AJ$4,tabela_registros[CATEGORIA],reservavariáveisconsolidadoset[[#This Row],[ATUAL]])</f>
        <v>0</v>
      </c>
      <c r="AG190" s="91">
        <f>SUMIFS(tabela_registros[VALOR],tabela_registros[MÊS],$AE$1,tabela_registros[DIA],reservavariáveisconsolidadoset[[#Headers],[29]],tabela_registros[REGISTRO],DADOS!$N$6,tabela_registros[TIPO],DADOS!$AJ$4,tabela_registros[CATEGORIA],reservavariáveisconsolidadoset[[#This Row],[ATUAL]])</f>
        <v>0</v>
      </c>
      <c r="AH190" s="91">
        <f>SUMIFS(tabela_registros[VALOR],tabela_registros[MÊS],$AE$1,tabela_registros[DIA],reservavariáveisconsolidadoset[[#Headers],[30]],tabela_registros[REGISTRO],DADOS!$N$6,tabela_registros[TIPO],DADOS!$AJ$4,tabela_registros[CATEGORIA],reservavariáveisconsolidadoset[[#This Row],[ATUAL]])</f>
        <v>0</v>
      </c>
      <c r="AI190" s="101">
        <f>SUMIFS(tabela_registros[VALOR],tabela_registros[MÊS],$AE$1,tabela_registros[DIA],reservavariáveisconsolidadoset[[#Headers],[31]],tabela_registros[REGISTRO],DADOS!$N$6,tabela_registros[TIPO],DADOS!$AJ$4,tabela_registros[CATEGORIA],reservavariáveisconsolidadoset[[#This Row],[ATUAL]])</f>
        <v>0</v>
      </c>
      <c r="AJ190" s="97">
        <f>SUM(reservavariáveisconsolidadoset[[#This Row],[1]:[31]])</f>
        <v>0</v>
      </c>
      <c r="AK190" s="25"/>
    </row>
    <row r="191" spans="2:37" ht="19.5" customHeight="1" thickTop="1" thickBot="1" x14ac:dyDescent="0.3">
      <c r="B191" s="28"/>
      <c r="C191" s="27" t="str">
        <f>DADOS!$AN$7</f>
        <v>📝 CRIPTOMOEDA</v>
      </c>
      <c r="D191" s="26" t="str">
        <f>IF(reservavariáveisconsolidadoset[[#This Row],[TOTAL (R$)]]=0,"",IF(OR(reservavariáveisconsolidadoset[[#This Row],[TOTAL (R$)]]=LARGE($AJ$187:$AJ$196,1),reservavariáveisconsolidadoset[[#This Row],[TOTAL (R$)]]=LARGE($AJ$187:$AJ$196,2)),DADOS!$I$11,""))</f>
        <v/>
      </c>
      <c r="E191" s="96">
        <f>SUMIFS(tabela_registros[VALOR],tabela_registros[MÊS],$AE$1,tabela_registros[DIA],reservavariáveisconsolidadoset[[#Headers],[1]],tabela_registros[REGISTRO],DADOS!$N$6,tabela_registros[TIPO],DADOS!$AJ$4,tabela_registros[CATEGORIA],reservavariáveisconsolidadoset[[#This Row],[ATUAL]])</f>
        <v>0</v>
      </c>
      <c r="F191" s="91">
        <f>SUMIFS(tabela_registros[VALOR],tabela_registros[MÊS],$AE$1,tabela_registros[DIA],reservavariáveisconsolidadoset[[#Headers],[2]],tabela_registros[REGISTRO],DADOS!$N$6,tabela_registros[TIPO],DADOS!$AJ$4,tabela_registros[CATEGORIA],reservavariáveisconsolidadoset[[#This Row],[ATUAL]])</f>
        <v>0</v>
      </c>
      <c r="G191" s="91">
        <f>SUMIFS(tabela_registros[VALOR],tabela_registros[MÊS],$AE$1,tabela_registros[DIA],reservavariáveisconsolidadoset[[#Headers],[3]],tabela_registros[REGISTRO],DADOS!$N$6,tabela_registros[TIPO],DADOS!$AJ$4,tabela_registros[CATEGORIA],reservavariáveisconsolidadoset[[#This Row],[ATUAL]])</f>
        <v>0</v>
      </c>
      <c r="H191" s="91">
        <f>SUMIFS(tabela_registros[VALOR],tabela_registros[MÊS],$AE$1,tabela_registros[DIA],reservavariáveisconsolidadoset[[#Headers],[4]],tabela_registros[REGISTRO],DADOS!$N$6,tabela_registros[TIPO],DADOS!$AJ$4,tabela_registros[CATEGORIA],reservavariáveisconsolidadoset[[#This Row],[ATUAL]])</f>
        <v>0</v>
      </c>
      <c r="I191" s="91">
        <f>SUMIFS(tabela_registros[VALOR],tabela_registros[MÊS],$AE$1,tabela_registros[DIA],reservavariáveisconsolidadoset[[#Headers],[5]],tabela_registros[REGISTRO],DADOS!$N$6,tabela_registros[TIPO],DADOS!$AJ$4,tabela_registros[CATEGORIA],reservavariáveisconsolidadoset[[#This Row],[ATUAL]])</f>
        <v>0</v>
      </c>
      <c r="J191" s="91">
        <f>SUMIFS(tabela_registros[VALOR],tabela_registros[MÊS],$AE$1,tabela_registros[DIA],reservavariáveisconsolidadoset[[#Headers],[6]],tabela_registros[REGISTRO],DADOS!$N$6,tabela_registros[TIPO],DADOS!$AJ$4,tabela_registros[CATEGORIA],reservavariáveisconsolidadoset[[#This Row],[ATUAL]])</f>
        <v>0</v>
      </c>
      <c r="K191" s="91">
        <f>SUMIFS(tabela_registros[VALOR],tabela_registros[MÊS],$AE$1,tabela_registros[DIA],reservavariáveisconsolidadoset[[#Headers],[7]],tabela_registros[REGISTRO],DADOS!$N$6,tabela_registros[TIPO],DADOS!$AJ$4,tabela_registros[CATEGORIA],reservavariáveisconsolidadoset[[#This Row],[ATUAL]])</f>
        <v>0</v>
      </c>
      <c r="L191" s="91">
        <f>SUMIFS(tabela_registros[VALOR],tabela_registros[MÊS],$AE$1,tabela_registros[DIA],reservavariáveisconsolidadoset[[#Headers],[8]],tabela_registros[REGISTRO],DADOS!$N$6,tabela_registros[TIPO],DADOS!$AJ$4,tabela_registros[CATEGORIA],reservavariáveisconsolidadoset[[#This Row],[ATUAL]])</f>
        <v>0</v>
      </c>
      <c r="M191" s="91">
        <f>SUMIFS(tabela_registros[VALOR],tabela_registros[MÊS],$AE$1,tabela_registros[DIA],reservavariáveisconsolidadoset[[#Headers],[9]],tabela_registros[REGISTRO],DADOS!$N$6,tabela_registros[TIPO],DADOS!$AJ$4,tabela_registros[CATEGORIA],reservavariáveisconsolidadoset[[#This Row],[ATUAL]])</f>
        <v>0</v>
      </c>
      <c r="N191" s="91">
        <f>SUMIFS(tabela_registros[VALOR],tabela_registros[MÊS],$AE$1,tabela_registros[DIA],reservavariáveisconsolidadoset[[#Headers],[10]],tabela_registros[REGISTRO],DADOS!$N$6,tabela_registros[TIPO],DADOS!$AJ$4,tabela_registros[CATEGORIA],reservavariáveisconsolidadoset[[#This Row],[ATUAL]])</f>
        <v>0</v>
      </c>
      <c r="O191" s="91">
        <f>SUMIFS(tabela_registros[VALOR],tabela_registros[MÊS],$AE$1,tabela_registros[DIA],reservavariáveisconsolidadoset[[#Headers],[11]],tabela_registros[REGISTRO],DADOS!$N$6,tabela_registros[TIPO],DADOS!$AJ$4,tabela_registros[CATEGORIA],reservavariáveisconsolidadoset[[#This Row],[ATUAL]])</f>
        <v>0</v>
      </c>
      <c r="P191" s="91">
        <f>SUMIFS(tabela_registros[VALOR],tabela_registros[MÊS],$AE$1,tabela_registros[DIA],reservavariáveisconsolidadoset[[#Headers],[12]],tabela_registros[REGISTRO],DADOS!$N$6,tabela_registros[TIPO],DADOS!$AJ$4,tabela_registros[CATEGORIA],reservavariáveisconsolidadoset[[#This Row],[ATUAL]])</f>
        <v>0</v>
      </c>
      <c r="Q191" s="91">
        <f>SUMIFS(tabela_registros[VALOR],tabela_registros[MÊS],$AE$1,tabela_registros[DIA],reservavariáveisconsolidadoset[[#Headers],[13]],tabela_registros[REGISTRO],DADOS!$N$6,tabela_registros[TIPO],DADOS!$AJ$4,tabela_registros[CATEGORIA],reservavariáveisconsolidadoset[[#This Row],[ATUAL]])</f>
        <v>0</v>
      </c>
      <c r="R191" s="91">
        <f>SUMIFS(tabela_registros[VALOR],tabela_registros[MÊS],$AE$1,tabela_registros[DIA],reservavariáveisconsolidadoset[[#Headers],[14]],tabela_registros[REGISTRO],DADOS!$N$6,tabela_registros[TIPO],DADOS!$AJ$4,tabela_registros[CATEGORIA],reservavariáveisconsolidadoset[[#This Row],[ATUAL]])</f>
        <v>0</v>
      </c>
      <c r="S191" s="91">
        <f>SUMIFS(tabela_registros[VALOR],tabela_registros[MÊS],$AE$1,tabela_registros[DIA],reservavariáveisconsolidadoset[[#Headers],[15]],tabela_registros[REGISTRO],DADOS!$N$6,tabela_registros[TIPO],DADOS!$AJ$4,tabela_registros[CATEGORIA],reservavariáveisconsolidadoset[[#This Row],[ATUAL]])</f>
        <v>0</v>
      </c>
      <c r="T191" s="91">
        <f>SUMIFS(tabela_registros[VALOR],tabela_registros[MÊS],$AE$1,tabela_registros[DIA],reservavariáveisconsolidadoset[[#Headers],[16]],tabela_registros[REGISTRO],DADOS!$N$6,tabela_registros[TIPO],DADOS!$AJ$4,tabela_registros[CATEGORIA],reservavariáveisconsolidadoset[[#This Row],[ATUAL]])</f>
        <v>0</v>
      </c>
      <c r="U191" s="91">
        <f>SUMIFS(tabela_registros[VALOR],tabela_registros[MÊS],$AE$1,tabela_registros[DIA],reservavariáveisconsolidadoset[[#Headers],[17]],tabela_registros[REGISTRO],DADOS!$N$6,tabela_registros[TIPO],DADOS!$AJ$4,tabela_registros[CATEGORIA],reservavariáveisconsolidadoset[[#This Row],[ATUAL]])</f>
        <v>0</v>
      </c>
      <c r="V191" s="91">
        <f>SUMIFS(tabela_registros[VALOR],tabela_registros[MÊS],$AE$1,tabela_registros[DIA],reservavariáveisconsolidadoset[[#Headers],[18]],tabela_registros[REGISTRO],DADOS!$N$6,tabela_registros[TIPO],DADOS!$AJ$4,tabela_registros[CATEGORIA],reservavariáveisconsolidadoset[[#This Row],[ATUAL]])</f>
        <v>0</v>
      </c>
      <c r="W191" s="91">
        <f>SUMIFS(tabela_registros[VALOR],tabela_registros[MÊS],$AE$1,tabela_registros[DIA],reservavariáveisconsolidadoset[[#Headers],[19]],tabela_registros[REGISTRO],DADOS!$N$6,tabela_registros[TIPO],DADOS!$AJ$4,tabela_registros[CATEGORIA],reservavariáveisconsolidadoset[[#This Row],[ATUAL]])</f>
        <v>0</v>
      </c>
      <c r="X191" s="91">
        <f>SUMIFS(tabela_registros[VALOR],tabela_registros[MÊS],$AE$1,tabela_registros[DIA],reservavariáveisconsolidadoset[[#Headers],[20]],tabela_registros[REGISTRO],DADOS!$N$6,tabela_registros[TIPO],DADOS!$AJ$4,tabela_registros[CATEGORIA],reservavariáveisconsolidadoset[[#This Row],[ATUAL]])</f>
        <v>0</v>
      </c>
      <c r="Y191" s="91">
        <f>SUMIFS(tabela_registros[VALOR],tabela_registros[MÊS],$AE$1,tabela_registros[DIA],reservavariáveisconsolidadoset[[#Headers],[21]],tabela_registros[REGISTRO],DADOS!$N$6,tabela_registros[TIPO],DADOS!$AJ$4,tabela_registros[CATEGORIA],reservavariáveisconsolidadoset[[#This Row],[ATUAL]])</f>
        <v>0</v>
      </c>
      <c r="Z191" s="91">
        <f>SUMIFS(tabela_registros[VALOR],tabela_registros[MÊS],$AE$1,tabela_registros[DIA],reservavariáveisconsolidadoset[[#Headers],[22]],tabela_registros[REGISTRO],DADOS!$N$6,tabela_registros[TIPO],DADOS!$AJ$4,tabela_registros[CATEGORIA],reservavariáveisconsolidadoset[[#This Row],[ATUAL]])</f>
        <v>0</v>
      </c>
      <c r="AA191" s="91">
        <f>SUMIFS(tabela_registros[VALOR],tabela_registros[MÊS],$AE$1,tabela_registros[DIA],reservavariáveisconsolidadoset[[#Headers],[23]],tabela_registros[REGISTRO],DADOS!$N$6,tabela_registros[TIPO],DADOS!$AJ$4,tabela_registros[CATEGORIA],reservavariáveisconsolidadoset[[#This Row],[ATUAL]])</f>
        <v>0</v>
      </c>
      <c r="AB191" s="91">
        <f>SUMIFS(tabela_registros[VALOR],tabela_registros[MÊS],$AE$1,tabela_registros[DIA],reservavariáveisconsolidadoset[[#Headers],[24]],tabela_registros[REGISTRO],DADOS!$N$6,tabela_registros[TIPO],DADOS!$AJ$4,tabela_registros[CATEGORIA],reservavariáveisconsolidadoset[[#This Row],[ATUAL]])</f>
        <v>0</v>
      </c>
      <c r="AC191" s="91">
        <f>SUMIFS(tabela_registros[VALOR],tabela_registros[MÊS],$AE$1,tabela_registros[DIA],reservavariáveisconsolidadoset[[#Headers],[25]],tabela_registros[REGISTRO],DADOS!$N$6,tabela_registros[TIPO],DADOS!$AJ$4,tabela_registros[CATEGORIA],reservavariáveisconsolidadoset[[#This Row],[ATUAL]])</f>
        <v>0</v>
      </c>
      <c r="AD191" s="91">
        <f>SUMIFS(tabela_registros[VALOR],tabela_registros[MÊS],$AE$1,tabela_registros[DIA],reservavariáveisconsolidadoset[[#Headers],[26]],tabela_registros[REGISTRO],DADOS!$N$6,tabela_registros[TIPO],DADOS!$AJ$4,tabela_registros[CATEGORIA],reservavariáveisconsolidadoset[[#This Row],[ATUAL]])</f>
        <v>0</v>
      </c>
      <c r="AE191" s="91">
        <f>SUMIFS(tabela_registros[VALOR],tabela_registros[MÊS],$AE$1,tabela_registros[DIA],reservavariáveisconsolidadoset[[#Headers],[27]],tabela_registros[REGISTRO],DADOS!$N$6,tabela_registros[TIPO],DADOS!$AJ$4,tabela_registros[CATEGORIA],reservavariáveisconsolidadoset[[#This Row],[ATUAL]])</f>
        <v>0</v>
      </c>
      <c r="AF191" s="91">
        <f>SUMIFS(tabela_registros[VALOR],tabela_registros[MÊS],$AE$1,tabela_registros[DIA],reservavariáveisconsolidadoset[[#Headers],[28]],tabela_registros[REGISTRO],DADOS!$N$6,tabela_registros[TIPO],DADOS!$AJ$4,tabela_registros[CATEGORIA],reservavariáveisconsolidadoset[[#This Row],[ATUAL]])</f>
        <v>0</v>
      </c>
      <c r="AG191" s="91">
        <f>SUMIFS(tabela_registros[VALOR],tabela_registros[MÊS],$AE$1,tabela_registros[DIA],reservavariáveisconsolidadoset[[#Headers],[29]],tabela_registros[REGISTRO],DADOS!$N$6,tabela_registros[TIPO],DADOS!$AJ$4,tabela_registros[CATEGORIA],reservavariáveisconsolidadoset[[#This Row],[ATUAL]])</f>
        <v>0</v>
      </c>
      <c r="AH191" s="91">
        <f>SUMIFS(tabela_registros[VALOR],tabela_registros[MÊS],$AE$1,tabela_registros[DIA],reservavariáveisconsolidadoset[[#Headers],[30]],tabela_registros[REGISTRO],DADOS!$N$6,tabela_registros[TIPO],DADOS!$AJ$4,tabela_registros[CATEGORIA],reservavariáveisconsolidadoset[[#This Row],[ATUAL]])</f>
        <v>0</v>
      </c>
      <c r="AI191" s="101">
        <f>SUMIFS(tabela_registros[VALOR],tabela_registros[MÊS],$AE$1,tabela_registros[DIA],reservavariáveisconsolidadoset[[#Headers],[31]],tabela_registros[REGISTRO],DADOS!$N$6,tabela_registros[TIPO],DADOS!$AJ$4,tabela_registros[CATEGORIA],reservavariáveisconsolidadoset[[#This Row],[ATUAL]])</f>
        <v>0</v>
      </c>
      <c r="AJ191" s="97">
        <f>SUM(reservavariáveisconsolidadoset[[#This Row],[1]:[31]])</f>
        <v>0</v>
      </c>
      <c r="AK191" s="25"/>
    </row>
    <row r="192" spans="2:37" ht="19.5" customHeight="1" thickTop="1" thickBot="1" x14ac:dyDescent="0.3">
      <c r="B192" s="28"/>
      <c r="C192" s="27" t="str">
        <f>DADOS!$AN$8</f>
        <v>📝 ETF</v>
      </c>
      <c r="D192" s="26" t="str">
        <f>IF(reservavariáveisconsolidadoset[[#This Row],[TOTAL (R$)]]=0,"",IF(OR(reservavariáveisconsolidadoset[[#This Row],[TOTAL (R$)]]=LARGE($AJ$187:$AJ$196,1),reservavariáveisconsolidadoset[[#This Row],[TOTAL (R$)]]=LARGE($AJ$187:$AJ$196,2)),DADOS!$I$11,""))</f>
        <v/>
      </c>
      <c r="E192" s="96">
        <f>SUMIFS(tabela_registros[VALOR],tabela_registros[MÊS],$AE$1,tabela_registros[DIA],reservavariáveisconsolidadoset[[#Headers],[1]],tabela_registros[REGISTRO],DADOS!$N$6,tabela_registros[TIPO],DADOS!$AJ$4,tabela_registros[CATEGORIA],reservavariáveisconsolidadoset[[#This Row],[ATUAL]])</f>
        <v>0</v>
      </c>
      <c r="F192" s="91">
        <f>SUMIFS(tabela_registros[VALOR],tabela_registros[MÊS],$AE$1,tabela_registros[DIA],reservavariáveisconsolidadoset[[#Headers],[2]],tabela_registros[REGISTRO],DADOS!$N$6,tabela_registros[TIPO],DADOS!$AJ$4,tabela_registros[CATEGORIA],reservavariáveisconsolidadoset[[#This Row],[ATUAL]])</f>
        <v>0</v>
      </c>
      <c r="G192" s="91">
        <f>SUMIFS(tabela_registros[VALOR],tabela_registros[MÊS],$AE$1,tabela_registros[DIA],reservavariáveisconsolidadoset[[#Headers],[3]],tabela_registros[REGISTRO],DADOS!$N$6,tabela_registros[TIPO],DADOS!$AJ$4,tabela_registros[CATEGORIA],reservavariáveisconsolidadoset[[#This Row],[ATUAL]])</f>
        <v>0</v>
      </c>
      <c r="H192" s="91">
        <f>SUMIFS(tabela_registros[VALOR],tabela_registros[MÊS],$AE$1,tabela_registros[DIA],reservavariáveisconsolidadoset[[#Headers],[4]],tabela_registros[REGISTRO],DADOS!$N$6,tabela_registros[TIPO],DADOS!$AJ$4,tabela_registros[CATEGORIA],reservavariáveisconsolidadoset[[#This Row],[ATUAL]])</f>
        <v>0</v>
      </c>
      <c r="I192" s="91">
        <f>SUMIFS(tabela_registros[VALOR],tabela_registros[MÊS],$AE$1,tabela_registros[DIA],reservavariáveisconsolidadoset[[#Headers],[5]],tabela_registros[REGISTRO],DADOS!$N$6,tabela_registros[TIPO],DADOS!$AJ$4,tabela_registros[CATEGORIA],reservavariáveisconsolidadoset[[#This Row],[ATUAL]])</f>
        <v>0</v>
      </c>
      <c r="J192" s="91">
        <f>SUMIFS(tabela_registros[VALOR],tabela_registros[MÊS],$AE$1,tabela_registros[DIA],reservavariáveisconsolidadoset[[#Headers],[6]],tabela_registros[REGISTRO],DADOS!$N$6,tabela_registros[TIPO],DADOS!$AJ$4,tabela_registros[CATEGORIA],reservavariáveisconsolidadoset[[#This Row],[ATUAL]])</f>
        <v>0</v>
      </c>
      <c r="K192" s="91">
        <f>SUMIFS(tabela_registros[VALOR],tabela_registros[MÊS],$AE$1,tabela_registros[DIA],reservavariáveisconsolidadoset[[#Headers],[7]],tabela_registros[REGISTRO],DADOS!$N$6,tabela_registros[TIPO],DADOS!$AJ$4,tabela_registros[CATEGORIA],reservavariáveisconsolidadoset[[#This Row],[ATUAL]])</f>
        <v>0</v>
      </c>
      <c r="L192" s="91">
        <f>SUMIFS(tabela_registros[VALOR],tabela_registros[MÊS],$AE$1,tabela_registros[DIA],reservavariáveisconsolidadoset[[#Headers],[8]],tabela_registros[REGISTRO],DADOS!$N$6,tabela_registros[TIPO],DADOS!$AJ$4,tabela_registros[CATEGORIA],reservavariáveisconsolidadoset[[#This Row],[ATUAL]])</f>
        <v>0</v>
      </c>
      <c r="M192" s="91">
        <f>SUMIFS(tabela_registros[VALOR],tabela_registros[MÊS],$AE$1,tabela_registros[DIA],reservavariáveisconsolidadoset[[#Headers],[9]],tabela_registros[REGISTRO],DADOS!$N$6,tabela_registros[TIPO],DADOS!$AJ$4,tabela_registros[CATEGORIA],reservavariáveisconsolidadoset[[#This Row],[ATUAL]])</f>
        <v>0</v>
      </c>
      <c r="N192" s="91">
        <f>SUMIFS(tabela_registros[VALOR],tabela_registros[MÊS],$AE$1,tabela_registros[DIA],reservavariáveisconsolidadoset[[#Headers],[10]],tabela_registros[REGISTRO],DADOS!$N$6,tabela_registros[TIPO],DADOS!$AJ$4,tabela_registros[CATEGORIA],reservavariáveisconsolidadoset[[#This Row],[ATUAL]])</f>
        <v>0</v>
      </c>
      <c r="O192" s="91">
        <f>SUMIFS(tabela_registros[VALOR],tabela_registros[MÊS],$AE$1,tabela_registros[DIA],reservavariáveisconsolidadoset[[#Headers],[11]],tabela_registros[REGISTRO],DADOS!$N$6,tabela_registros[TIPO],DADOS!$AJ$4,tabela_registros[CATEGORIA],reservavariáveisconsolidadoset[[#This Row],[ATUAL]])</f>
        <v>0</v>
      </c>
      <c r="P192" s="91">
        <f>SUMIFS(tabela_registros[VALOR],tabela_registros[MÊS],$AE$1,tabela_registros[DIA],reservavariáveisconsolidadoset[[#Headers],[12]],tabela_registros[REGISTRO],DADOS!$N$6,tabela_registros[TIPO],DADOS!$AJ$4,tabela_registros[CATEGORIA],reservavariáveisconsolidadoset[[#This Row],[ATUAL]])</f>
        <v>0</v>
      </c>
      <c r="Q192" s="91">
        <f>SUMIFS(tabela_registros[VALOR],tabela_registros[MÊS],$AE$1,tabela_registros[DIA],reservavariáveisconsolidadoset[[#Headers],[13]],tabela_registros[REGISTRO],DADOS!$N$6,tabela_registros[TIPO],DADOS!$AJ$4,tabela_registros[CATEGORIA],reservavariáveisconsolidadoset[[#This Row],[ATUAL]])</f>
        <v>0</v>
      </c>
      <c r="R192" s="91">
        <f>SUMIFS(tabela_registros[VALOR],tabela_registros[MÊS],$AE$1,tabela_registros[DIA],reservavariáveisconsolidadoset[[#Headers],[14]],tabela_registros[REGISTRO],DADOS!$N$6,tabela_registros[TIPO],DADOS!$AJ$4,tabela_registros[CATEGORIA],reservavariáveisconsolidadoset[[#This Row],[ATUAL]])</f>
        <v>0</v>
      </c>
      <c r="S192" s="91">
        <f>SUMIFS(tabela_registros[VALOR],tabela_registros[MÊS],$AE$1,tabela_registros[DIA],reservavariáveisconsolidadoset[[#Headers],[15]],tabela_registros[REGISTRO],DADOS!$N$6,tabela_registros[TIPO],DADOS!$AJ$4,tabela_registros[CATEGORIA],reservavariáveisconsolidadoset[[#This Row],[ATUAL]])</f>
        <v>0</v>
      </c>
      <c r="T192" s="91">
        <f>SUMIFS(tabela_registros[VALOR],tabela_registros[MÊS],$AE$1,tabela_registros[DIA],reservavariáveisconsolidadoset[[#Headers],[16]],tabela_registros[REGISTRO],DADOS!$N$6,tabela_registros[TIPO],DADOS!$AJ$4,tabela_registros[CATEGORIA],reservavariáveisconsolidadoset[[#This Row],[ATUAL]])</f>
        <v>0</v>
      </c>
      <c r="U192" s="91">
        <f>SUMIFS(tabela_registros[VALOR],tabela_registros[MÊS],$AE$1,tabela_registros[DIA],reservavariáveisconsolidadoset[[#Headers],[17]],tabela_registros[REGISTRO],DADOS!$N$6,tabela_registros[TIPO],DADOS!$AJ$4,tabela_registros[CATEGORIA],reservavariáveisconsolidadoset[[#This Row],[ATUAL]])</f>
        <v>0</v>
      </c>
      <c r="V192" s="91">
        <f>SUMIFS(tabela_registros[VALOR],tabela_registros[MÊS],$AE$1,tabela_registros[DIA],reservavariáveisconsolidadoset[[#Headers],[18]],tabela_registros[REGISTRO],DADOS!$N$6,tabela_registros[TIPO],DADOS!$AJ$4,tabela_registros[CATEGORIA],reservavariáveisconsolidadoset[[#This Row],[ATUAL]])</f>
        <v>0</v>
      </c>
      <c r="W192" s="91">
        <f>SUMIFS(tabela_registros[VALOR],tabela_registros[MÊS],$AE$1,tabela_registros[DIA],reservavariáveisconsolidadoset[[#Headers],[19]],tabela_registros[REGISTRO],DADOS!$N$6,tabela_registros[TIPO],DADOS!$AJ$4,tabela_registros[CATEGORIA],reservavariáveisconsolidadoset[[#This Row],[ATUAL]])</f>
        <v>0</v>
      </c>
      <c r="X192" s="91">
        <f>SUMIFS(tabela_registros[VALOR],tabela_registros[MÊS],$AE$1,tabela_registros[DIA],reservavariáveisconsolidadoset[[#Headers],[20]],tabela_registros[REGISTRO],DADOS!$N$6,tabela_registros[TIPO],DADOS!$AJ$4,tabela_registros[CATEGORIA],reservavariáveisconsolidadoset[[#This Row],[ATUAL]])</f>
        <v>0</v>
      </c>
      <c r="Y192" s="91">
        <f>SUMIFS(tabela_registros[VALOR],tabela_registros[MÊS],$AE$1,tabela_registros[DIA],reservavariáveisconsolidadoset[[#Headers],[21]],tabela_registros[REGISTRO],DADOS!$N$6,tabela_registros[TIPO],DADOS!$AJ$4,tabela_registros[CATEGORIA],reservavariáveisconsolidadoset[[#This Row],[ATUAL]])</f>
        <v>0</v>
      </c>
      <c r="Z192" s="91">
        <f>SUMIFS(tabela_registros[VALOR],tabela_registros[MÊS],$AE$1,tabela_registros[DIA],reservavariáveisconsolidadoset[[#Headers],[22]],tabela_registros[REGISTRO],DADOS!$N$6,tabela_registros[TIPO],DADOS!$AJ$4,tabela_registros[CATEGORIA],reservavariáveisconsolidadoset[[#This Row],[ATUAL]])</f>
        <v>0</v>
      </c>
      <c r="AA192" s="91">
        <f>SUMIFS(tabela_registros[VALOR],tabela_registros[MÊS],$AE$1,tabela_registros[DIA],reservavariáveisconsolidadoset[[#Headers],[23]],tabela_registros[REGISTRO],DADOS!$N$6,tabela_registros[TIPO],DADOS!$AJ$4,tabela_registros[CATEGORIA],reservavariáveisconsolidadoset[[#This Row],[ATUAL]])</f>
        <v>0</v>
      </c>
      <c r="AB192" s="91">
        <f>SUMIFS(tabela_registros[VALOR],tabela_registros[MÊS],$AE$1,tabela_registros[DIA],reservavariáveisconsolidadoset[[#Headers],[24]],tabela_registros[REGISTRO],DADOS!$N$6,tabela_registros[TIPO],DADOS!$AJ$4,tabela_registros[CATEGORIA],reservavariáveisconsolidadoset[[#This Row],[ATUAL]])</f>
        <v>0</v>
      </c>
      <c r="AC192" s="91">
        <f>SUMIFS(tabela_registros[VALOR],tabela_registros[MÊS],$AE$1,tabela_registros[DIA],reservavariáveisconsolidadoset[[#Headers],[25]],tabela_registros[REGISTRO],DADOS!$N$6,tabela_registros[TIPO],DADOS!$AJ$4,tabela_registros[CATEGORIA],reservavariáveisconsolidadoset[[#This Row],[ATUAL]])</f>
        <v>0</v>
      </c>
      <c r="AD192" s="91">
        <f>SUMIFS(tabela_registros[VALOR],tabela_registros[MÊS],$AE$1,tabela_registros[DIA],reservavariáveisconsolidadoset[[#Headers],[26]],tabela_registros[REGISTRO],DADOS!$N$6,tabela_registros[TIPO],DADOS!$AJ$4,tabela_registros[CATEGORIA],reservavariáveisconsolidadoset[[#This Row],[ATUAL]])</f>
        <v>0</v>
      </c>
      <c r="AE192" s="91">
        <f>SUMIFS(tabela_registros[VALOR],tabela_registros[MÊS],$AE$1,tabela_registros[DIA],reservavariáveisconsolidadoset[[#Headers],[27]],tabela_registros[REGISTRO],DADOS!$N$6,tabela_registros[TIPO],DADOS!$AJ$4,tabela_registros[CATEGORIA],reservavariáveisconsolidadoset[[#This Row],[ATUAL]])</f>
        <v>0</v>
      </c>
      <c r="AF192" s="91">
        <f>SUMIFS(tabela_registros[VALOR],tabela_registros[MÊS],$AE$1,tabela_registros[DIA],reservavariáveisconsolidadoset[[#Headers],[28]],tabela_registros[REGISTRO],DADOS!$N$6,tabela_registros[TIPO],DADOS!$AJ$4,tabela_registros[CATEGORIA],reservavariáveisconsolidadoset[[#This Row],[ATUAL]])</f>
        <v>0</v>
      </c>
      <c r="AG192" s="91">
        <f>SUMIFS(tabela_registros[VALOR],tabela_registros[MÊS],$AE$1,tabela_registros[DIA],reservavariáveisconsolidadoset[[#Headers],[29]],tabela_registros[REGISTRO],DADOS!$N$6,tabela_registros[TIPO],DADOS!$AJ$4,tabela_registros[CATEGORIA],reservavariáveisconsolidadoset[[#This Row],[ATUAL]])</f>
        <v>0</v>
      </c>
      <c r="AH192" s="91">
        <f>SUMIFS(tabela_registros[VALOR],tabela_registros[MÊS],$AE$1,tabela_registros[DIA],reservavariáveisconsolidadoset[[#Headers],[30]],tabela_registros[REGISTRO],DADOS!$N$6,tabela_registros[TIPO],DADOS!$AJ$4,tabela_registros[CATEGORIA],reservavariáveisconsolidadoset[[#This Row],[ATUAL]])</f>
        <v>0</v>
      </c>
      <c r="AI192" s="101">
        <f>SUMIFS(tabela_registros[VALOR],tabela_registros[MÊS],$AE$1,tabela_registros[DIA],reservavariáveisconsolidadoset[[#Headers],[31]],tabela_registros[REGISTRO],DADOS!$N$6,tabela_registros[TIPO],DADOS!$AJ$4,tabela_registros[CATEGORIA],reservavariáveisconsolidadoset[[#This Row],[ATUAL]])</f>
        <v>0</v>
      </c>
      <c r="AJ192" s="97">
        <f>SUM(reservavariáveisconsolidadoset[[#This Row],[1]:[31]])</f>
        <v>0</v>
      </c>
      <c r="AK192" s="25"/>
    </row>
    <row r="193" spans="2:37" ht="19.5" customHeight="1" thickTop="1" thickBot="1" x14ac:dyDescent="0.3">
      <c r="B193" s="28"/>
      <c r="C193" s="27" t="str">
        <f>DADOS!$AN$9</f>
        <v>📝 EXTERIOR</v>
      </c>
      <c r="D193" s="26" t="str">
        <f>IF(reservavariáveisconsolidadoset[[#This Row],[TOTAL (R$)]]=0,"",IF(OR(reservavariáveisconsolidadoset[[#This Row],[TOTAL (R$)]]=LARGE($AJ$187:$AJ$196,1),reservavariáveisconsolidadoset[[#This Row],[TOTAL (R$)]]=LARGE($AJ$187:$AJ$196,2)),DADOS!$I$11,""))</f>
        <v/>
      </c>
      <c r="E193" s="96">
        <f>SUMIFS(tabela_registros[VALOR],tabela_registros[MÊS],$AE$1,tabela_registros[DIA],reservavariáveisconsolidadoset[[#Headers],[1]],tabela_registros[REGISTRO],DADOS!$N$6,tabela_registros[TIPO],DADOS!$AJ$4,tabela_registros[CATEGORIA],reservavariáveisconsolidadoset[[#This Row],[ATUAL]])</f>
        <v>0</v>
      </c>
      <c r="F193" s="91">
        <f>SUMIFS(tabela_registros[VALOR],tabela_registros[MÊS],$AE$1,tabela_registros[DIA],reservavariáveisconsolidadoset[[#Headers],[2]],tabela_registros[REGISTRO],DADOS!$N$6,tabela_registros[TIPO],DADOS!$AJ$4,tabela_registros[CATEGORIA],reservavariáveisconsolidadoset[[#This Row],[ATUAL]])</f>
        <v>0</v>
      </c>
      <c r="G193" s="91">
        <f>SUMIFS(tabela_registros[VALOR],tabela_registros[MÊS],$AE$1,tabela_registros[DIA],reservavariáveisconsolidadoset[[#Headers],[3]],tabela_registros[REGISTRO],DADOS!$N$6,tabela_registros[TIPO],DADOS!$AJ$4,tabela_registros[CATEGORIA],reservavariáveisconsolidadoset[[#This Row],[ATUAL]])</f>
        <v>0</v>
      </c>
      <c r="H193" s="91">
        <f>SUMIFS(tabela_registros[VALOR],tabela_registros[MÊS],$AE$1,tabela_registros[DIA],reservavariáveisconsolidadoset[[#Headers],[4]],tabela_registros[REGISTRO],DADOS!$N$6,tabela_registros[TIPO],DADOS!$AJ$4,tabela_registros[CATEGORIA],reservavariáveisconsolidadoset[[#This Row],[ATUAL]])</f>
        <v>0</v>
      </c>
      <c r="I193" s="91">
        <f>SUMIFS(tabela_registros[VALOR],tabela_registros[MÊS],$AE$1,tabela_registros[DIA],reservavariáveisconsolidadoset[[#Headers],[5]],tabela_registros[REGISTRO],DADOS!$N$6,tabela_registros[TIPO],DADOS!$AJ$4,tabela_registros[CATEGORIA],reservavariáveisconsolidadoset[[#This Row],[ATUAL]])</f>
        <v>0</v>
      </c>
      <c r="J193" s="91">
        <f>SUMIFS(tabela_registros[VALOR],tabela_registros[MÊS],$AE$1,tabela_registros[DIA],reservavariáveisconsolidadoset[[#Headers],[6]],tabela_registros[REGISTRO],DADOS!$N$6,tabela_registros[TIPO],DADOS!$AJ$4,tabela_registros[CATEGORIA],reservavariáveisconsolidadoset[[#This Row],[ATUAL]])</f>
        <v>0</v>
      </c>
      <c r="K193" s="91">
        <f>SUMIFS(tabela_registros[VALOR],tabela_registros[MÊS],$AE$1,tabela_registros[DIA],reservavariáveisconsolidadoset[[#Headers],[7]],tabela_registros[REGISTRO],DADOS!$N$6,tabela_registros[TIPO],DADOS!$AJ$4,tabela_registros[CATEGORIA],reservavariáveisconsolidadoset[[#This Row],[ATUAL]])</f>
        <v>0</v>
      </c>
      <c r="L193" s="91">
        <f>SUMIFS(tabela_registros[VALOR],tabela_registros[MÊS],$AE$1,tabela_registros[DIA],reservavariáveisconsolidadoset[[#Headers],[8]],tabela_registros[REGISTRO],DADOS!$N$6,tabela_registros[TIPO],DADOS!$AJ$4,tabela_registros[CATEGORIA],reservavariáveisconsolidadoset[[#This Row],[ATUAL]])</f>
        <v>0</v>
      </c>
      <c r="M193" s="91">
        <f>SUMIFS(tabela_registros[VALOR],tabela_registros[MÊS],$AE$1,tabela_registros[DIA],reservavariáveisconsolidadoset[[#Headers],[9]],tabela_registros[REGISTRO],DADOS!$N$6,tabela_registros[TIPO],DADOS!$AJ$4,tabela_registros[CATEGORIA],reservavariáveisconsolidadoset[[#This Row],[ATUAL]])</f>
        <v>0</v>
      </c>
      <c r="N193" s="91">
        <f>SUMIFS(tabela_registros[VALOR],tabela_registros[MÊS],$AE$1,tabela_registros[DIA],reservavariáveisconsolidadoset[[#Headers],[10]],tabela_registros[REGISTRO],DADOS!$N$6,tabela_registros[TIPO],DADOS!$AJ$4,tabela_registros[CATEGORIA],reservavariáveisconsolidadoset[[#This Row],[ATUAL]])</f>
        <v>0</v>
      </c>
      <c r="O193" s="91">
        <f>SUMIFS(tabela_registros[VALOR],tabela_registros[MÊS],$AE$1,tabela_registros[DIA],reservavariáveisconsolidadoset[[#Headers],[11]],tabela_registros[REGISTRO],DADOS!$N$6,tabela_registros[TIPO],DADOS!$AJ$4,tabela_registros[CATEGORIA],reservavariáveisconsolidadoset[[#This Row],[ATUAL]])</f>
        <v>0</v>
      </c>
      <c r="P193" s="91">
        <f>SUMIFS(tabela_registros[VALOR],tabela_registros[MÊS],$AE$1,tabela_registros[DIA],reservavariáveisconsolidadoset[[#Headers],[12]],tabela_registros[REGISTRO],DADOS!$N$6,tabela_registros[TIPO],DADOS!$AJ$4,tabela_registros[CATEGORIA],reservavariáveisconsolidadoset[[#This Row],[ATUAL]])</f>
        <v>0</v>
      </c>
      <c r="Q193" s="91">
        <f>SUMIFS(tabela_registros[VALOR],tabela_registros[MÊS],$AE$1,tabela_registros[DIA],reservavariáveisconsolidadoset[[#Headers],[13]],tabela_registros[REGISTRO],DADOS!$N$6,tabela_registros[TIPO],DADOS!$AJ$4,tabela_registros[CATEGORIA],reservavariáveisconsolidadoset[[#This Row],[ATUAL]])</f>
        <v>0</v>
      </c>
      <c r="R193" s="91">
        <f>SUMIFS(tabela_registros[VALOR],tabela_registros[MÊS],$AE$1,tabela_registros[DIA],reservavariáveisconsolidadoset[[#Headers],[14]],tabela_registros[REGISTRO],DADOS!$N$6,tabela_registros[TIPO],DADOS!$AJ$4,tabela_registros[CATEGORIA],reservavariáveisconsolidadoset[[#This Row],[ATUAL]])</f>
        <v>0</v>
      </c>
      <c r="S193" s="91">
        <f>SUMIFS(tabela_registros[VALOR],tabela_registros[MÊS],$AE$1,tabela_registros[DIA],reservavariáveisconsolidadoset[[#Headers],[15]],tabela_registros[REGISTRO],DADOS!$N$6,tabela_registros[TIPO],DADOS!$AJ$4,tabela_registros[CATEGORIA],reservavariáveisconsolidadoset[[#This Row],[ATUAL]])</f>
        <v>0</v>
      </c>
      <c r="T193" s="91">
        <f>SUMIFS(tabela_registros[VALOR],tabela_registros[MÊS],$AE$1,tabela_registros[DIA],reservavariáveisconsolidadoset[[#Headers],[16]],tabela_registros[REGISTRO],DADOS!$N$6,tabela_registros[TIPO],DADOS!$AJ$4,tabela_registros[CATEGORIA],reservavariáveisconsolidadoset[[#This Row],[ATUAL]])</f>
        <v>0</v>
      </c>
      <c r="U193" s="91">
        <f>SUMIFS(tabela_registros[VALOR],tabela_registros[MÊS],$AE$1,tabela_registros[DIA],reservavariáveisconsolidadoset[[#Headers],[17]],tabela_registros[REGISTRO],DADOS!$N$6,tabela_registros[TIPO],DADOS!$AJ$4,tabela_registros[CATEGORIA],reservavariáveisconsolidadoset[[#This Row],[ATUAL]])</f>
        <v>0</v>
      </c>
      <c r="V193" s="91">
        <f>SUMIFS(tabela_registros[VALOR],tabela_registros[MÊS],$AE$1,tabela_registros[DIA],reservavariáveisconsolidadoset[[#Headers],[18]],tabela_registros[REGISTRO],DADOS!$N$6,tabela_registros[TIPO],DADOS!$AJ$4,tabela_registros[CATEGORIA],reservavariáveisconsolidadoset[[#This Row],[ATUAL]])</f>
        <v>0</v>
      </c>
      <c r="W193" s="91">
        <f>SUMIFS(tabela_registros[VALOR],tabela_registros[MÊS],$AE$1,tabela_registros[DIA],reservavariáveisconsolidadoset[[#Headers],[19]],tabela_registros[REGISTRO],DADOS!$N$6,tabela_registros[TIPO],DADOS!$AJ$4,tabela_registros[CATEGORIA],reservavariáveisconsolidadoset[[#This Row],[ATUAL]])</f>
        <v>0</v>
      </c>
      <c r="X193" s="91">
        <f>SUMIFS(tabela_registros[VALOR],tabela_registros[MÊS],$AE$1,tabela_registros[DIA],reservavariáveisconsolidadoset[[#Headers],[20]],tabela_registros[REGISTRO],DADOS!$N$6,tabela_registros[TIPO],DADOS!$AJ$4,tabela_registros[CATEGORIA],reservavariáveisconsolidadoset[[#This Row],[ATUAL]])</f>
        <v>0</v>
      </c>
      <c r="Y193" s="91">
        <f>SUMIFS(tabela_registros[VALOR],tabela_registros[MÊS],$AE$1,tabela_registros[DIA],reservavariáveisconsolidadoset[[#Headers],[21]],tabela_registros[REGISTRO],DADOS!$N$6,tabela_registros[TIPO],DADOS!$AJ$4,tabela_registros[CATEGORIA],reservavariáveisconsolidadoset[[#This Row],[ATUAL]])</f>
        <v>0</v>
      </c>
      <c r="Z193" s="91">
        <f>SUMIFS(tabela_registros[VALOR],tabela_registros[MÊS],$AE$1,tabela_registros[DIA],reservavariáveisconsolidadoset[[#Headers],[22]],tabela_registros[REGISTRO],DADOS!$N$6,tabela_registros[TIPO],DADOS!$AJ$4,tabela_registros[CATEGORIA],reservavariáveisconsolidadoset[[#This Row],[ATUAL]])</f>
        <v>0</v>
      </c>
      <c r="AA193" s="91">
        <f>SUMIFS(tabela_registros[VALOR],tabela_registros[MÊS],$AE$1,tabela_registros[DIA],reservavariáveisconsolidadoset[[#Headers],[23]],tabela_registros[REGISTRO],DADOS!$N$6,tabela_registros[TIPO],DADOS!$AJ$4,tabela_registros[CATEGORIA],reservavariáveisconsolidadoset[[#This Row],[ATUAL]])</f>
        <v>0</v>
      </c>
      <c r="AB193" s="91">
        <f>SUMIFS(tabela_registros[VALOR],tabela_registros[MÊS],$AE$1,tabela_registros[DIA],reservavariáveisconsolidadoset[[#Headers],[24]],tabela_registros[REGISTRO],DADOS!$N$6,tabela_registros[TIPO],DADOS!$AJ$4,tabela_registros[CATEGORIA],reservavariáveisconsolidadoset[[#This Row],[ATUAL]])</f>
        <v>0</v>
      </c>
      <c r="AC193" s="91">
        <f>SUMIFS(tabela_registros[VALOR],tabela_registros[MÊS],$AE$1,tabela_registros[DIA],reservavariáveisconsolidadoset[[#Headers],[25]],tabela_registros[REGISTRO],DADOS!$N$6,tabela_registros[TIPO],DADOS!$AJ$4,tabela_registros[CATEGORIA],reservavariáveisconsolidadoset[[#This Row],[ATUAL]])</f>
        <v>0</v>
      </c>
      <c r="AD193" s="91">
        <f>SUMIFS(tabela_registros[VALOR],tabela_registros[MÊS],$AE$1,tabela_registros[DIA],reservavariáveisconsolidadoset[[#Headers],[26]],tabela_registros[REGISTRO],DADOS!$N$6,tabela_registros[TIPO],DADOS!$AJ$4,tabela_registros[CATEGORIA],reservavariáveisconsolidadoset[[#This Row],[ATUAL]])</f>
        <v>0</v>
      </c>
      <c r="AE193" s="91">
        <f>SUMIFS(tabela_registros[VALOR],tabela_registros[MÊS],$AE$1,tabela_registros[DIA],reservavariáveisconsolidadoset[[#Headers],[27]],tabela_registros[REGISTRO],DADOS!$N$6,tabela_registros[TIPO],DADOS!$AJ$4,tabela_registros[CATEGORIA],reservavariáveisconsolidadoset[[#This Row],[ATUAL]])</f>
        <v>0</v>
      </c>
      <c r="AF193" s="91">
        <f>SUMIFS(tabela_registros[VALOR],tabela_registros[MÊS],$AE$1,tabela_registros[DIA],reservavariáveisconsolidadoset[[#Headers],[28]],tabela_registros[REGISTRO],DADOS!$N$6,tabela_registros[TIPO],DADOS!$AJ$4,tabela_registros[CATEGORIA],reservavariáveisconsolidadoset[[#This Row],[ATUAL]])</f>
        <v>0</v>
      </c>
      <c r="AG193" s="91">
        <f>SUMIFS(tabela_registros[VALOR],tabela_registros[MÊS],$AE$1,tabela_registros[DIA],reservavariáveisconsolidadoset[[#Headers],[29]],tabela_registros[REGISTRO],DADOS!$N$6,tabela_registros[TIPO],DADOS!$AJ$4,tabela_registros[CATEGORIA],reservavariáveisconsolidadoset[[#This Row],[ATUAL]])</f>
        <v>0</v>
      </c>
      <c r="AH193" s="91">
        <f>SUMIFS(tabela_registros[VALOR],tabela_registros[MÊS],$AE$1,tabela_registros[DIA],reservavariáveisconsolidadoset[[#Headers],[30]],tabela_registros[REGISTRO],DADOS!$N$6,tabela_registros[TIPO],DADOS!$AJ$4,tabela_registros[CATEGORIA],reservavariáveisconsolidadoset[[#This Row],[ATUAL]])</f>
        <v>0</v>
      </c>
      <c r="AI193" s="101">
        <f>SUMIFS(tabela_registros[VALOR],tabela_registros[MÊS],$AE$1,tabela_registros[DIA],reservavariáveisconsolidadoset[[#Headers],[31]],tabela_registros[REGISTRO],DADOS!$N$6,tabela_registros[TIPO],DADOS!$AJ$4,tabela_registros[CATEGORIA],reservavariáveisconsolidadoset[[#This Row],[ATUAL]])</f>
        <v>0</v>
      </c>
      <c r="AJ193" s="97">
        <f>SUM(reservavariáveisconsolidadoset[[#This Row],[1]:[31]])</f>
        <v>0</v>
      </c>
      <c r="AK193" s="25"/>
    </row>
    <row r="194" spans="2:37" ht="19.5" customHeight="1" thickTop="1" thickBot="1" x14ac:dyDescent="0.3">
      <c r="B194" s="28"/>
      <c r="C194" s="27" t="str">
        <f>DADOS!$AN$10</f>
        <v>📝 FII</v>
      </c>
      <c r="D194" s="26" t="str">
        <f>IF(reservavariáveisconsolidadoset[[#This Row],[TOTAL (R$)]]=0,"",IF(OR(reservavariáveisconsolidadoset[[#This Row],[TOTAL (R$)]]=LARGE($AJ$187:$AJ$196,1),reservavariáveisconsolidadoset[[#This Row],[TOTAL (R$)]]=LARGE($AJ$187:$AJ$196,2)),DADOS!$I$11,""))</f>
        <v/>
      </c>
      <c r="E194" s="96">
        <f>SUMIFS(tabela_registros[VALOR],tabela_registros[MÊS],$AE$1,tabela_registros[DIA],reservavariáveisconsolidadoset[[#Headers],[1]],tabela_registros[REGISTRO],DADOS!$N$6,tabela_registros[TIPO],DADOS!$AJ$4,tabela_registros[CATEGORIA],reservavariáveisconsolidadoset[[#This Row],[ATUAL]])</f>
        <v>0</v>
      </c>
      <c r="F194" s="91">
        <f>SUMIFS(tabela_registros[VALOR],tabela_registros[MÊS],$AE$1,tabela_registros[DIA],reservavariáveisconsolidadoset[[#Headers],[2]],tabela_registros[REGISTRO],DADOS!$N$6,tabela_registros[TIPO],DADOS!$AJ$4,tabela_registros[CATEGORIA],reservavariáveisconsolidadoset[[#This Row],[ATUAL]])</f>
        <v>0</v>
      </c>
      <c r="G194" s="91">
        <f>SUMIFS(tabela_registros[VALOR],tabela_registros[MÊS],$AE$1,tabela_registros[DIA],reservavariáveisconsolidadoset[[#Headers],[3]],tabela_registros[REGISTRO],DADOS!$N$6,tabela_registros[TIPO],DADOS!$AJ$4,tabela_registros[CATEGORIA],reservavariáveisconsolidadoset[[#This Row],[ATUAL]])</f>
        <v>0</v>
      </c>
      <c r="H194" s="91">
        <f>SUMIFS(tabela_registros[VALOR],tabela_registros[MÊS],$AE$1,tabela_registros[DIA],reservavariáveisconsolidadoset[[#Headers],[4]],tabela_registros[REGISTRO],DADOS!$N$6,tabela_registros[TIPO],DADOS!$AJ$4,tabela_registros[CATEGORIA],reservavariáveisconsolidadoset[[#This Row],[ATUAL]])</f>
        <v>0</v>
      </c>
      <c r="I194" s="91">
        <f>SUMIFS(tabela_registros[VALOR],tabela_registros[MÊS],$AE$1,tabela_registros[DIA],reservavariáveisconsolidadoset[[#Headers],[5]],tabela_registros[REGISTRO],DADOS!$N$6,tabela_registros[TIPO],DADOS!$AJ$4,tabela_registros[CATEGORIA],reservavariáveisconsolidadoset[[#This Row],[ATUAL]])</f>
        <v>0</v>
      </c>
      <c r="J194" s="91">
        <f>SUMIFS(tabela_registros[VALOR],tabela_registros[MÊS],$AE$1,tabela_registros[DIA],reservavariáveisconsolidadoset[[#Headers],[6]],tabela_registros[REGISTRO],DADOS!$N$6,tabela_registros[TIPO],DADOS!$AJ$4,tabela_registros[CATEGORIA],reservavariáveisconsolidadoset[[#This Row],[ATUAL]])</f>
        <v>0</v>
      </c>
      <c r="K194" s="91">
        <f>SUMIFS(tabela_registros[VALOR],tabela_registros[MÊS],$AE$1,tabela_registros[DIA],reservavariáveisconsolidadoset[[#Headers],[7]],tabela_registros[REGISTRO],DADOS!$N$6,tabela_registros[TIPO],DADOS!$AJ$4,tabela_registros[CATEGORIA],reservavariáveisconsolidadoset[[#This Row],[ATUAL]])</f>
        <v>0</v>
      </c>
      <c r="L194" s="91">
        <f>SUMIFS(tabela_registros[VALOR],tabela_registros[MÊS],$AE$1,tabela_registros[DIA],reservavariáveisconsolidadoset[[#Headers],[8]],tabela_registros[REGISTRO],DADOS!$N$6,tabela_registros[TIPO],DADOS!$AJ$4,tabela_registros[CATEGORIA],reservavariáveisconsolidadoset[[#This Row],[ATUAL]])</f>
        <v>0</v>
      </c>
      <c r="M194" s="91">
        <f>SUMIFS(tabela_registros[VALOR],tabela_registros[MÊS],$AE$1,tabela_registros[DIA],reservavariáveisconsolidadoset[[#Headers],[9]],tabela_registros[REGISTRO],DADOS!$N$6,tabela_registros[TIPO],DADOS!$AJ$4,tabela_registros[CATEGORIA],reservavariáveisconsolidadoset[[#This Row],[ATUAL]])</f>
        <v>0</v>
      </c>
      <c r="N194" s="91">
        <f>SUMIFS(tabela_registros[VALOR],tabela_registros[MÊS],$AE$1,tabela_registros[DIA],reservavariáveisconsolidadoset[[#Headers],[10]],tabela_registros[REGISTRO],DADOS!$N$6,tabela_registros[TIPO],DADOS!$AJ$4,tabela_registros[CATEGORIA],reservavariáveisconsolidadoset[[#This Row],[ATUAL]])</f>
        <v>0</v>
      </c>
      <c r="O194" s="91">
        <f>SUMIFS(tabela_registros[VALOR],tabela_registros[MÊS],$AE$1,tabela_registros[DIA],reservavariáveisconsolidadoset[[#Headers],[11]],tabela_registros[REGISTRO],DADOS!$N$6,tabela_registros[TIPO],DADOS!$AJ$4,tabela_registros[CATEGORIA],reservavariáveisconsolidadoset[[#This Row],[ATUAL]])</f>
        <v>0</v>
      </c>
      <c r="P194" s="91">
        <f>SUMIFS(tabela_registros[VALOR],tabela_registros[MÊS],$AE$1,tabela_registros[DIA],reservavariáveisconsolidadoset[[#Headers],[12]],tabela_registros[REGISTRO],DADOS!$N$6,tabela_registros[TIPO],DADOS!$AJ$4,tabela_registros[CATEGORIA],reservavariáveisconsolidadoset[[#This Row],[ATUAL]])</f>
        <v>0</v>
      </c>
      <c r="Q194" s="91">
        <f>SUMIFS(tabela_registros[VALOR],tabela_registros[MÊS],$AE$1,tabela_registros[DIA],reservavariáveisconsolidadoset[[#Headers],[13]],tabela_registros[REGISTRO],DADOS!$N$6,tabela_registros[TIPO],DADOS!$AJ$4,tabela_registros[CATEGORIA],reservavariáveisconsolidadoset[[#This Row],[ATUAL]])</f>
        <v>0</v>
      </c>
      <c r="R194" s="91">
        <f>SUMIFS(tabela_registros[VALOR],tabela_registros[MÊS],$AE$1,tabela_registros[DIA],reservavariáveisconsolidadoset[[#Headers],[14]],tabela_registros[REGISTRO],DADOS!$N$6,tabela_registros[TIPO],DADOS!$AJ$4,tabela_registros[CATEGORIA],reservavariáveisconsolidadoset[[#This Row],[ATUAL]])</f>
        <v>0</v>
      </c>
      <c r="S194" s="91">
        <f>SUMIFS(tabela_registros[VALOR],tabela_registros[MÊS],$AE$1,tabela_registros[DIA],reservavariáveisconsolidadoset[[#Headers],[15]],tabela_registros[REGISTRO],DADOS!$N$6,tabela_registros[TIPO],DADOS!$AJ$4,tabela_registros[CATEGORIA],reservavariáveisconsolidadoset[[#This Row],[ATUAL]])</f>
        <v>0</v>
      </c>
      <c r="T194" s="91">
        <f>SUMIFS(tabela_registros[VALOR],tabela_registros[MÊS],$AE$1,tabela_registros[DIA],reservavariáveisconsolidadoset[[#Headers],[16]],tabela_registros[REGISTRO],DADOS!$N$6,tabela_registros[TIPO],DADOS!$AJ$4,tabela_registros[CATEGORIA],reservavariáveisconsolidadoset[[#This Row],[ATUAL]])</f>
        <v>0</v>
      </c>
      <c r="U194" s="91">
        <f>SUMIFS(tabela_registros[VALOR],tabela_registros[MÊS],$AE$1,tabela_registros[DIA],reservavariáveisconsolidadoset[[#Headers],[17]],tabela_registros[REGISTRO],DADOS!$N$6,tabela_registros[TIPO],DADOS!$AJ$4,tabela_registros[CATEGORIA],reservavariáveisconsolidadoset[[#This Row],[ATUAL]])</f>
        <v>0</v>
      </c>
      <c r="V194" s="91">
        <f>SUMIFS(tabela_registros[VALOR],tabela_registros[MÊS],$AE$1,tabela_registros[DIA],reservavariáveisconsolidadoset[[#Headers],[18]],tabela_registros[REGISTRO],DADOS!$N$6,tabela_registros[TIPO],DADOS!$AJ$4,tabela_registros[CATEGORIA],reservavariáveisconsolidadoset[[#This Row],[ATUAL]])</f>
        <v>0</v>
      </c>
      <c r="W194" s="91">
        <f>SUMIFS(tabela_registros[VALOR],tabela_registros[MÊS],$AE$1,tabela_registros[DIA],reservavariáveisconsolidadoset[[#Headers],[19]],tabela_registros[REGISTRO],DADOS!$N$6,tabela_registros[TIPO],DADOS!$AJ$4,tabela_registros[CATEGORIA],reservavariáveisconsolidadoset[[#This Row],[ATUAL]])</f>
        <v>0</v>
      </c>
      <c r="X194" s="91">
        <f>SUMIFS(tabela_registros[VALOR],tabela_registros[MÊS],$AE$1,tabela_registros[DIA],reservavariáveisconsolidadoset[[#Headers],[20]],tabela_registros[REGISTRO],DADOS!$N$6,tabela_registros[TIPO],DADOS!$AJ$4,tabela_registros[CATEGORIA],reservavariáveisconsolidadoset[[#This Row],[ATUAL]])</f>
        <v>0</v>
      </c>
      <c r="Y194" s="91">
        <f>SUMIFS(tabela_registros[VALOR],tabela_registros[MÊS],$AE$1,tabela_registros[DIA],reservavariáveisconsolidadoset[[#Headers],[21]],tabela_registros[REGISTRO],DADOS!$N$6,tabela_registros[TIPO],DADOS!$AJ$4,tabela_registros[CATEGORIA],reservavariáveisconsolidadoset[[#This Row],[ATUAL]])</f>
        <v>0</v>
      </c>
      <c r="Z194" s="91">
        <f>SUMIFS(tabela_registros[VALOR],tabela_registros[MÊS],$AE$1,tabela_registros[DIA],reservavariáveisconsolidadoset[[#Headers],[22]],tabela_registros[REGISTRO],DADOS!$N$6,tabela_registros[TIPO],DADOS!$AJ$4,tabela_registros[CATEGORIA],reservavariáveisconsolidadoset[[#This Row],[ATUAL]])</f>
        <v>0</v>
      </c>
      <c r="AA194" s="91">
        <f>SUMIFS(tabela_registros[VALOR],tabela_registros[MÊS],$AE$1,tabela_registros[DIA],reservavariáveisconsolidadoset[[#Headers],[23]],tabela_registros[REGISTRO],DADOS!$N$6,tabela_registros[TIPO],DADOS!$AJ$4,tabela_registros[CATEGORIA],reservavariáveisconsolidadoset[[#This Row],[ATUAL]])</f>
        <v>0</v>
      </c>
      <c r="AB194" s="91">
        <f>SUMIFS(tabela_registros[VALOR],tabela_registros[MÊS],$AE$1,tabela_registros[DIA],reservavariáveisconsolidadoset[[#Headers],[24]],tabela_registros[REGISTRO],DADOS!$N$6,tabela_registros[TIPO],DADOS!$AJ$4,tabela_registros[CATEGORIA],reservavariáveisconsolidadoset[[#This Row],[ATUAL]])</f>
        <v>0</v>
      </c>
      <c r="AC194" s="91">
        <f>SUMIFS(tabela_registros[VALOR],tabela_registros[MÊS],$AE$1,tabela_registros[DIA],reservavariáveisconsolidadoset[[#Headers],[25]],tabela_registros[REGISTRO],DADOS!$N$6,tabela_registros[TIPO],DADOS!$AJ$4,tabela_registros[CATEGORIA],reservavariáveisconsolidadoset[[#This Row],[ATUAL]])</f>
        <v>0</v>
      </c>
      <c r="AD194" s="91">
        <f>SUMIFS(tabela_registros[VALOR],tabela_registros[MÊS],$AE$1,tabela_registros[DIA],reservavariáveisconsolidadoset[[#Headers],[26]],tabela_registros[REGISTRO],DADOS!$N$6,tabela_registros[TIPO],DADOS!$AJ$4,tabela_registros[CATEGORIA],reservavariáveisconsolidadoset[[#This Row],[ATUAL]])</f>
        <v>0</v>
      </c>
      <c r="AE194" s="91">
        <f>SUMIFS(tabela_registros[VALOR],tabela_registros[MÊS],$AE$1,tabela_registros[DIA],reservavariáveisconsolidadoset[[#Headers],[27]],tabela_registros[REGISTRO],DADOS!$N$6,tabela_registros[TIPO],DADOS!$AJ$4,tabela_registros[CATEGORIA],reservavariáveisconsolidadoset[[#This Row],[ATUAL]])</f>
        <v>0</v>
      </c>
      <c r="AF194" s="91">
        <f>SUMIFS(tabela_registros[VALOR],tabela_registros[MÊS],$AE$1,tabela_registros[DIA],reservavariáveisconsolidadoset[[#Headers],[28]],tabela_registros[REGISTRO],DADOS!$N$6,tabela_registros[TIPO],DADOS!$AJ$4,tabela_registros[CATEGORIA],reservavariáveisconsolidadoset[[#This Row],[ATUAL]])</f>
        <v>0</v>
      </c>
      <c r="AG194" s="91">
        <f>SUMIFS(tabela_registros[VALOR],tabela_registros[MÊS],$AE$1,tabela_registros[DIA],reservavariáveisconsolidadoset[[#Headers],[29]],tabela_registros[REGISTRO],DADOS!$N$6,tabela_registros[TIPO],DADOS!$AJ$4,tabela_registros[CATEGORIA],reservavariáveisconsolidadoset[[#This Row],[ATUAL]])</f>
        <v>0</v>
      </c>
      <c r="AH194" s="91">
        <f>SUMIFS(tabela_registros[VALOR],tabela_registros[MÊS],$AE$1,tabela_registros[DIA],reservavariáveisconsolidadoset[[#Headers],[30]],tabela_registros[REGISTRO],DADOS!$N$6,tabela_registros[TIPO],DADOS!$AJ$4,tabela_registros[CATEGORIA],reservavariáveisconsolidadoset[[#This Row],[ATUAL]])</f>
        <v>0</v>
      </c>
      <c r="AI194" s="101">
        <f>SUMIFS(tabela_registros[VALOR],tabela_registros[MÊS],$AE$1,tabela_registros[DIA],reservavariáveisconsolidadoset[[#Headers],[31]],tabela_registros[REGISTRO],DADOS!$N$6,tabela_registros[TIPO],DADOS!$AJ$4,tabela_registros[CATEGORIA],reservavariáveisconsolidadoset[[#This Row],[ATUAL]])</f>
        <v>0</v>
      </c>
      <c r="AJ194" s="97">
        <f>SUM(reservavariáveisconsolidadoset[[#This Row],[1]:[31]])</f>
        <v>0</v>
      </c>
      <c r="AK194" s="25"/>
    </row>
    <row r="195" spans="2:37" ht="19.5" customHeight="1" thickTop="1" thickBot="1" x14ac:dyDescent="0.3">
      <c r="B195" s="28"/>
      <c r="C195" s="27" t="str">
        <f>DADOS!$AN$11</f>
        <v>📝 MOEDA</v>
      </c>
      <c r="D195" s="26" t="str">
        <f>IF(reservavariáveisconsolidadoset[[#This Row],[TOTAL (R$)]]=0,"",IF(OR(reservavariáveisconsolidadoset[[#This Row],[TOTAL (R$)]]=LARGE($AJ$187:$AJ$196,1),reservavariáveisconsolidadoset[[#This Row],[TOTAL (R$)]]=LARGE($AJ$187:$AJ$196,2)),DADOS!$I$11,""))</f>
        <v/>
      </c>
      <c r="E195" s="96">
        <f>SUMIFS(tabela_registros[VALOR],tabela_registros[MÊS],$AE$1,tabela_registros[DIA],reservavariáveisconsolidadoset[[#Headers],[1]],tabela_registros[REGISTRO],DADOS!$N$6,tabela_registros[TIPO],DADOS!$AJ$4,tabela_registros[CATEGORIA],reservavariáveisconsolidadoset[[#This Row],[ATUAL]])</f>
        <v>0</v>
      </c>
      <c r="F195" s="91">
        <f>SUMIFS(tabela_registros[VALOR],tabela_registros[MÊS],$AE$1,tabela_registros[DIA],reservavariáveisconsolidadoset[[#Headers],[2]],tabela_registros[REGISTRO],DADOS!$N$6,tabela_registros[TIPO],DADOS!$AJ$4,tabela_registros[CATEGORIA],reservavariáveisconsolidadoset[[#This Row],[ATUAL]])</f>
        <v>0</v>
      </c>
      <c r="G195" s="91">
        <f>SUMIFS(tabela_registros[VALOR],tabela_registros[MÊS],$AE$1,tabela_registros[DIA],reservavariáveisconsolidadoset[[#Headers],[3]],tabela_registros[REGISTRO],DADOS!$N$6,tabela_registros[TIPO],DADOS!$AJ$4,tabela_registros[CATEGORIA],reservavariáveisconsolidadoset[[#This Row],[ATUAL]])</f>
        <v>0</v>
      </c>
      <c r="H195" s="91">
        <f>SUMIFS(tabela_registros[VALOR],tabela_registros[MÊS],$AE$1,tabela_registros[DIA],reservavariáveisconsolidadoset[[#Headers],[4]],tabela_registros[REGISTRO],DADOS!$N$6,tabela_registros[TIPO],DADOS!$AJ$4,tabela_registros[CATEGORIA],reservavariáveisconsolidadoset[[#This Row],[ATUAL]])</f>
        <v>0</v>
      </c>
      <c r="I195" s="91">
        <f>SUMIFS(tabela_registros[VALOR],tabela_registros[MÊS],$AE$1,tabela_registros[DIA],reservavariáveisconsolidadoset[[#Headers],[5]],tabela_registros[REGISTRO],DADOS!$N$6,tabela_registros[TIPO],DADOS!$AJ$4,tabela_registros[CATEGORIA],reservavariáveisconsolidadoset[[#This Row],[ATUAL]])</f>
        <v>0</v>
      </c>
      <c r="J195" s="91">
        <f>SUMIFS(tabela_registros[VALOR],tabela_registros[MÊS],$AE$1,tabela_registros[DIA],reservavariáveisconsolidadoset[[#Headers],[6]],tabela_registros[REGISTRO],DADOS!$N$6,tabela_registros[TIPO],DADOS!$AJ$4,tabela_registros[CATEGORIA],reservavariáveisconsolidadoset[[#This Row],[ATUAL]])</f>
        <v>0</v>
      </c>
      <c r="K195" s="91">
        <f>SUMIFS(tabela_registros[VALOR],tabela_registros[MÊS],$AE$1,tabela_registros[DIA],reservavariáveisconsolidadoset[[#Headers],[7]],tabela_registros[REGISTRO],DADOS!$N$6,tabela_registros[TIPO],DADOS!$AJ$4,tabela_registros[CATEGORIA],reservavariáveisconsolidadoset[[#This Row],[ATUAL]])</f>
        <v>0</v>
      </c>
      <c r="L195" s="91">
        <f>SUMIFS(tabela_registros[VALOR],tabela_registros[MÊS],$AE$1,tabela_registros[DIA],reservavariáveisconsolidadoset[[#Headers],[8]],tabela_registros[REGISTRO],DADOS!$N$6,tabela_registros[TIPO],DADOS!$AJ$4,tabela_registros[CATEGORIA],reservavariáveisconsolidadoset[[#This Row],[ATUAL]])</f>
        <v>0</v>
      </c>
      <c r="M195" s="91">
        <f>SUMIFS(tabela_registros[VALOR],tabela_registros[MÊS],$AE$1,tabela_registros[DIA],reservavariáveisconsolidadoset[[#Headers],[9]],tabela_registros[REGISTRO],DADOS!$N$6,tabela_registros[TIPO],DADOS!$AJ$4,tabela_registros[CATEGORIA],reservavariáveisconsolidadoset[[#This Row],[ATUAL]])</f>
        <v>0</v>
      </c>
      <c r="N195" s="91">
        <f>SUMIFS(tabela_registros[VALOR],tabela_registros[MÊS],$AE$1,tabela_registros[DIA],reservavariáveisconsolidadoset[[#Headers],[10]],tabela_registros[REGISTRO],DADOS!$N$6,tabela_registros[TIPO],DADOS!$AJ$4,tabela_registros[CATEGORIA],reservavariáveisconsolidadoset[[#This Row],[ATUAL]])</f>
        <v>0</v>
      </c>
      <c r="O195" s="91">
        <f>SUMIFS(tabela_registros[VALOR],tabela_registros[MÊS],$AE$1,tabela_registros[DIA],reservavariáveisconsolidadoset[[#Headers],[11]],tabela_registros[REGISTRO],DADOS!$N$6,tabela_registros[TIPO],DADOS!$AJ$4,tabela_registros[CATEGORIA],reservavariáveisconsolidadoset[[#This Row],[ATUAL]])</f>
        <v>0</v>
      </c>
      <c r="P195" s="91">
        <f>SUMIFS(tabela_registros[VALOR],tabela_registros[MÊS],$AE$1,tabela_registros[DIA],reservavariáveisconsolidadoset[[#Headers],[12]],tabela_registros[REGISTRO],DADOS!$N$6,tabela_registros[TIPO],DADOS!$AJ$4,tabela_registros[CATEGORIA],reservavariáveisconsolidadoset[[#This Row],[ATUAL]])</f>
        <v>0</v>
      </c>
      <c r="Q195" s="91">
        <f>SUMIFS(tabela_registros[VALOR],tabela_registros[MÊS],$AE$1,tabela_registros[DIA],reservavariáveisconsolidadoset[[#Headers],[13]],tabela_registros[REGISTRO],DADOS!$N$6,tabela_registros[TIPO],DADOS!$AJ$4,tabela_registros[CATEGORIA],reservavariáveisconsolidadoset[[#This Row],[ATUAL]])</f>
        <v>0</v>
      </c>
      <c r="R195" s="91">
        <f>SUMIFS(tabela_registros[VALOR],tabela_registros[MÊS],$AE$1,tabela_registros[DIA],reservavariáveisconsolidadoset[[#Headers],[14]],tabela_registros[REGISTRO],DADOS!$N$6,tabela_registros[TIPO],DADOS!$AJ$4,tabela_registros[CATEGORIA],reservavariáveisconsolidadoset[[#This Row],[ATUAL]])</f>
        <v>0</v>
      </c>
      <c r="S195" s="91">
        <f>SUMIFS(tabela_registros[VALOR],tabela_registros[MÊS],$AE$1,tabela_registros[DIA],reservavariáveisconsolidadoset[[#Headers],[15]],tabela_registros[REGISTRO],DADOS!$N$6,tabela_registros[TIPO],DADOS!$AJ$4,tabela_registros[CATEGORIA],reservavariáveisconsolidadoset[[#This Row],[ATUAL]])</f>
        <v>0</v>
      </c>
      <c r="T195" s="91">
        <f>SUMIFS(tabela_registros[VALOR],tabela_registros[MÊS],$AE$1,tabela_registros[DIA],reservavariáveisconsolidadoset[[#Headers],[16]],tabela_registros[REGISTRO],DADOS!$N$6,tabela_registros[TIPO],DADOS!$AJ$4,tabela_registros[CATEGORIA],reservavariáveisconsolidadoset[[#This Row],[ATUAL]])</f>
        <v>0</v>
      </c>
      <c r="U195" s="91">
        <f>SUMIFS(tabela_registros[VALOR],tabela_registros[MÊS],$AE$1,tabela_registros[DIA],reservavariáveisconsolidadoset[[#Headers],[17]],tabela_registros[REGISTRO],DADOS!$N$6,tabela_registros[TIPO],DADOS!$AJ$4,tabela_registros[CATEGORIA],reservavariáveisconsolidadoset[[#This Row],[ATUAL]])</f>
        <v>0</v>
      </c>
      <c r="V195" s="91">
        <f>SUMIFS(tabela_registros[VALOR],tabela_registros[MÊS],$AE$1,tabela_registros[DIA],reservavariáveisconsolidadoset[[#Headers],[18]],tabela_registros[REGISTRO],DADOS!$N$6,tabela_registros[TIPO],DADOS!$AJ$4,tabela_registros[CATEGORIA],reservavariáveisconsolidadoset[[#This Row],[ATUAL]])</f>
        <v>0</v>
      </c>
      <c r="W195" s="91">
        <f>SUMIFS(tabela_registros[VALOR],tabela_registros[MÊS],$AE$1,tabela_registros[DIA],reservavariáveisconsolidadoset[[#Headers],[19]],tabela_registros[REGISTRO],DADOS!$N$6,tabela_registros[TIPO],DADOS!$AJ$4,tabela_registros[CATEGORIA],reservavariáveisconsolidadoset[[#This Row],[ATUAL]])</f>
        <v>0</v>
      </c>
      <c r="X195" s="91">
        <f>SUMIFS(tabela_registros[VALOR],tabela_registros[MÊS],$AE$1,tabela_registros[DIA],reservavariáveisconsolidadoset[[#Headers],[20]],tabela_registros[REGISTRO],DADOS!$N$6,tabela_registros[TIPO],DADOS!$AJ$4,tabela_registros[CATEGORIA],reservavariáveisconsolidadoset[[#This Row],[ATUAL]])</f>
        <v>0</v>
      </c>
      <c r="Y195" s="91">
        <f>SUMIFS(tabela_registros[VALOR],tabela_registros[MÊS],$AE$1,tabela_registros[DIA],reservavariáveisconsolidadoset[[#Headers],[21]],tabela_registros[REGISTRO],DADOS!$N$6,tabela_registros[TIPO],DADOS!$AJ$4,tabela_registros[CATEGORIA],reservavariáveisconsolidadoset[[#This Row],[ATUAL]])</f>
        <v>0</v>
      </c>
      <c r="Z195" s="91">
        <f>SUMIFS(tabela_registros[VALOR],tabela_registros[MÊS],$AE$1,tabela_registros[DIA],reservavariáveisconsolidadoset[[#Headers],[22]],tabela_registros[REGISTRO],DADOS!$N$6,tabela_registros[TIPO],DADOS!$AJ$4,tabela_registros[CATEGORIA],reservavariáveisconsolidadoset[[#This Row],[ATUAL]])</f>
        <v>0</v>
      </c>
      <c r="AA195" s="91">
        <f>SUMIFS(tabela_registros[VALOR],tabela_registros[MÊS],$AE$1,tabela_registros[DIA],reservavariáveisconsolidadoset[[#Headers],[23]],tabela_registros[REGISTRO],DADOS!$N$6,tabela_registros[TIPO],DADOS!$AJ$4,tabela_registros[CATEGORIA],reservavariáveisconsolidadoset[[#This Row],[ATUAL]])</f>
        <v>0</v>
      </c>
      <c r="AB195" s="91">
        <f>SUMIFS(tabela_registros[VALOR],tabela_registros[MÊS],$AE$1,tabela_registros[DIA],reservavariáveisconsolidadoset[[#Headers],[24]],tabela_registros[REGISTRO],DADOS!$N$6,tabela_registros[TIPO],DADOS!$AJ$4,tabela_registros[CATEGORIA],reservavariáveisconsolidadoset[[#This Row],[ATUAL]])</f>
        <v>0</v>
      </c>
      <c r="AC195" s="91">
        <f>SUMIFS(tabela_registros[VALOR],tabela_registros[MÊS],$AE$1,tabela_registros[DIA],reservavariáveisconsolidadoset[[#Headers],[25]],tabela_registros[REGISTRO],DADOS!$N$6,tabela_registros[TIPO],DADOS!$AJ$4,tabela_registros[CATEGORIA],reservavariáveisconsolidadoset[[#This Row],[ATUAL]])</f>
        <v>0</v>
      </c>
      <c r="AD195" s="91">
        <f>SUMIFS(tabela_registros[VALOR],tabela_registros[MÊS],$AE$1,tabela_registros[DIA],reservavariáveisconsolidadoset[[#Headers],[26]],tabela_registros[REGISTRO],DADOS!$N$6,tabela_registros[TIPO],DADOS!$AJ$4,tabela_registros[CATEGORIA],reservavariáveisconsolidadoset[[#This Row],[ATUAL]])</f>
        <v>0</v>
      </c>
      <c r="AE195" s="91">
        <f>SUMIFS(tabela_registros[VALOR],tabela_registros[MÊS],$AE$1,tabela_registros[DIA],reservavariáveisconsolidadoset[[#Headers],[27]],tabela_registros[REGISTRO],DADOS!$N$6,tabela_registros[TIPO],DADOS!$AJ$4,tabela_registros[CATEGORIA],reservavariáveisconsolidadoset[[#This Row],[ATUAL]])</f>
        <v>0</v>
      </c>
      <c r="AF195" s="91">
        <f>SUMIFS(tabela_registros[VALOR],tabela_registros[MÊS],$AE$1,tabela_registros[DIA],reservavariáveisconsolidadoset[[#Headers],[28]],tabela_registros[REGISTRO],DADOS!$N$6,tabela_registros[TIPO],DADOS!$AJ$4,tabela_registros[CATEGORIA],reservavariáveisconsolidadoset[[#This Row],[ATUAL]])</f>
        <v>0</v>
      </c>
      <c r="AG195" s="91">
        <f>SUMIFS(tabela_registros[VALOR],tabela_registros[MÊS],$AE$1,tabela_registros[DIA],reservavariáveisconsolidadoset[[#Headers],[29]],tabela_registros[REGISTRO],DADOS!$N$6,tabela_registros[TIPO],DADOS!$AJ$4,tabela_registros[CATEGORIA],reservavariáveisconsolidadoset[[#This Row],[ATUAL]])</f>
        <v>0</v>
      </c>
      <c r="AH195" s="91">
        <f>SUMIFS(tabela_registros[VALOR],tabela_registros[MÊS],$AE$1,tabela_registros[DIA],reservavariáveisconsolidadoset[[#Headers],[30]],tabela_registros[REGISTRO],DADOS!$N$6,tabela_registros[TIPO],DADOS!$AJ$4,tabela_registros[CATEGORIA],reservavariáveisconsolidadoset[[#This Row],[ATUAL]])</f>
        <v>0</v>
      </c>
      <c r="AI195" s="101">
        <f>SUMIFS(tabela_registros[VALOR],tabela_registros[MÊS],$AE$1,tabela_registros[DIA],reservavariáveisconsolidadoset[[#Headers],[31]],tabela_registros[REGISTRO],DADOS!$N$6,tabela_registros[TIPO],DADOS!$AJ$4,tabela_registros[CATEGORIA],reservavariáveisconsolidadoset[[#This Row],[ATUAL]])</f>
        <v>0</v>
      </c>
      <c r="AJ195" s="97">
        <f>SUM(reservavariáveisconsolidadoset[[#This Row],[1]:[31]])</f>
        <v>0</v>
      </c>
      <c r="AK195" s="25"/>
    </row>
    <row r="196" spans="2:37" ht="19.5" customHeight="1" thickTop="1" thickBot="1" x14ac:dyDescent="0.3">
      <c r="B196" s="28"/>
      <c r="C196" s="27" t="str">
        <f>DADOS!$AN$12</f>
        <v>📎 OUTROS</v>
      </c>
      <c r="D196" s="26" t="str">
        <f>IF(reservavariáveisconsolidadoset[[#This Row],[TOTAL (R$)]]=0,"",IF(OR(reservavariáveisconsolidadoset[[#This Row],[TOTAL (R$)]]=LARGE($AJ$187:$AJ$196,1),reservavariáveisconsolidadoset[[#This Row],[TOTAL (R$)]]=LARGE($AJ$187:$AJ$196,2)),DADOS!$I$11,""))</f>
        <v/>
      </c>
      <c r="E196" s="96">
        <f>SUMIFS(tabela_registros[VALOR],tabela_registros[MÊS],$AE$1,tabela_registros[DIA],reservavariáveisconsolidadoset[[#Headers],[1]],tabela_registros[REGISTRO],DADOS!$N$6,tabela_registros[TIPO],DADOS!$AJ$4,tabela_registros[CATEGORIA],reservavariáveisconsolidadoset[[#This Row],[ATUAL]])</f>
        <v>0</v>
      </c>
      <c r="F196" s="91">
        <f>SUMIFS(tabela_registros[VALOR],tabela_registros[MÊS],$AE$1,tabela_registros[DIA],reservavariáveisconsolidadoset[[#Headers],[2]],tabela_registros[REGISTRO],DADOS!$N$6,tabela_registros[TIPO],DADOS!$AJ$4,tabela_registros[CATEGORIA],reservavariáveisconsolidadoset[[#This Row],[ATUAL]])</f>
        <v>0</v>
      </c>
      <c r="G196" s="91">
        <f>SUMIFS(tabela_registros[VALOR],tabela_registros[MÊS],$AE$1,tabela_registros[DIA],reservavariáveisconsolidadoset[[#Headers],[3]],tabela_registros[REGISTRO],DADOS!$N$6,tabela_registros[TIPO],DADOS!$AJ$4,tabela_registros[CATEGORIA],reservavariáveisconsolidadoset[[#This Row],[ATUAL]])</f>
        <v>0</v>
      </c>
      <c r="H196" s="91">
        <f>SUMIFS(tabela_registros[VALOR],tabela_registros[MÊS],$AE$1,tabela_registros[DIA],reservavariáveisconsolidadoset[[#Headers],[4]],tabela_registros[REGISTRO],DADOS!$N$6,tabela_registros[TIPO],DADOS!$AJ$4,tabela_registros[CATEGORIA],reservavariáveisconsolidadoset[[#This Row],[ATUAL]])</f>
        <v>0</v>
      </c>
      <c r="I196" s="91">
        <f>SUMIFS(tabela_registros[VALOR],tabela_registros[MÊS],$AE$1,tabela_registros[DIA],reservavariáveisconsolidadoset[[#Headers],[5]],tabela_registros[REGISTRO],DADOS!$N$6,tabela_registros[TIPO],DADOS!$AJ$4,tabela_registros[CATEGORIA],reservavariáveisconsolidadoset[[#This Row],[ATUAL]])</f>
        <v>0</v>
      </c>
      <c r="J196" s="91">
        <f>SUMIFS(tabela_registros[VALOR],tabela_registros[MÊS],$AE$1,tabela_registros[DIA],reservavariáveisconsolidadoset[[#Headers],[6]],tabela_registros[REGISTRO],DADOS!$N$6,tabela_registros[TIPO],DADOS!$AJ$4,tabela_registros[CATEGORIA],reservavariáveisconsolidadoset[[#This Row],[ATUAL]])</f>
        <v>0</v>
      </c>
      <c r="K196" s="91">
        <f>SUMIFS(tabela_registros[VALOR],tabela_registros[MÊS],$AE$1,tabela_registros[DIA],reservavariáveisconsolidadoset[[#Headers],[7]],tabela_registros[REGISTRO],DADOS!$N$6,tabela_registros[TIPO],DADOS!$AJ$4,tabela_registros[CATEGORIA],reservavariáveisconsolidadoset[[#This Row],[ATUAL]])</f>
        <v>0</v>
      </c>
      <c r="L196" s="91">
        <f>SUMIFS(tabela_registros[VALOR],tabela_registros[MÊS],$AE$1,tabela_registros[DIA],reservavariáveisconsolidadoset[[#Headers],[8]],tabela_registros[REGISTRO],DADOS!$N$6,tabela_registros[TIPO],DADOS!$AJ$4,tabela_registros[CATEGORIA],reservavariáveisconsolidadoset[[#This Row],[ATUAL]])</f>
        <v>0</v>
      </c>
      <c r="M196" s="91">
        <f>SUMIFS(tabela_registros[VALOR],tabela_registros[MÊS],$AE$1,tabela_registros[DIA],reservavariáveisconsolidadoset[[#Headers],[9]],tabela_registros[REGISTRO],DADOS!$N$6,tabela_registros[TIPO],DADOS!$AJ$4,tabela_registros[CATEGORIA],reservavariáveisconsolidadoset[[#This Row],[ATUAL]])</f>
        <v>0</v>
      </c>
      <c r="N196" s="91">
        <f>SUMIFS(tabela_registros[VALOR],tabela_registros[MÊS],$AE$1,tabela_registros[DIA],reservavariáveisconsolidadoset[[#Headers],[10]],tabela_registros[REGISTRO],DADOS!$N$6,tabela_registros[TIPO],DADOS!$AJ$4,tabela_registros[CATEGORIA],reservavariáveisconsolidadoset[[#This Row],[ATUAL]])</f>
        <v>0</v>
      </c>
      <c r="O196" s="91">
        <f>SUMIFS(tabela_registros[VALOR],tabela_registros[MÊS],$AE$1,tabela_registros[DIA],reservavariáveisconsolidadoset[[#Headers],[11]],tabela_registros[REGISTRO],DADOS!$N$6,tabela_registros[TIPO],DADOS!$AJ$4,tabela_registros[CATEGORIA],reservavariáveisconsolidadoset[[#This Row],[ATUAL]])</f>
        <v>0</v>
      </c>
      <c r="P196" s="91">
        <f>SUMIFS(tabela_registros[VALOR],tabela_registros[MÊS],$AE$1,tabela_registros[DIA],reservavariáveisconsolidadoset[[#Headers],[12]],tabela_registros[REGISTRO],DADOS!$N$6,tabela_registros[TIPO],DADOS!$AJ$4,tabela_registros[CATEGORIA],reservavariáveisconsolidadoset[[#This Row],[ATUAL]])</f>
        <v>0</v>
      </c>
      <c r="Q196" s="91">
        <f>SUMIFS(tabela_registros[VALOR],tabela_registros[MÊS],$AE$1,tabela_registros[DIA],reservavariáveisconsolidadoset[[#Headers],[13]],tabela_registros[REGISTRO],DADOS!$N$6,tabela_registros[TIPO],DADOS!$AJ$4,tabela_registros[CATEGORIA],reservavariáveisconsolidadoset[[#This Row],[ATUAL]])</f>
        <v>0</v>
      </c>
      <c r="R196" s="91">
        <f>SUMIFS(tabela_registros[VALOR],tabela_registros[MÊS],$AE$1,tabela_registros[DIA],reservavariáveisconsolidadoset[[#Headers],[14]],tabela_registros[REGISTRO],DADOS!$N$6,tabela_registros[TIPO],DADOS!$AJ$4,tabela_registros[CATEGORIA],reservavariáveisconsolidadoset[[#This Row],[ATUAL]])</f>
        <v>0</v>
      </c>
      <c r="S196" s="91">
        <f>SUMIFS(tabela_registros[VALOR],tabela_registros[MÊS],$AE$1,tabela_registros[DIA],reservavariáveisconsolidadoset[[#Headers],[15]],tabela_registros[REGISTRO],DADOS!$N$6,tabela_registros[TIPO],DADOS!$AJ$4,tabela_registros[CATEGORIA],reservavariáveisconsolidadoset[[#This Row],[ATUAL]])</f>
        <v>0</v>
      </c>
      <c r="T196" s="91">
        <f>SUMIFS(tabela_registros[VALOR],tabela_registros[MÊS],$AE$1,tabela_registros[DIA],reservavariáveisconsolidadoset[[#Headers],[16]],tabela_registros[REGISTRO],DADOS!$N$6,tabela_registros[TIPO],DADOS!$AJ$4,tabela_registros[CATEGORIA],reservavariáveisconsolidadoset[[#This Row],[ATUAL]])</f>
        <v>0</v>
      </c>
      <c r="U196" s="91">
        <f>SUMIFS(tabela_registros[VALOR],tabela_registros[MÊS],$AE$1,tabela_registros[DIA],reservavariáveisconsolidadoset[[#Headers],[17]],tabela_registros[REGISTRO],DADOS!$N$6,tabela_registros[TIPO],DADOS!$AJ$4,tabela_registros[CATEGORIA],reservavariáveisconsolidadoset[[#This Row],[ATUAL]])</f>
        <v>0</v>
      </c>
      <c r="V196" s="91">
        <f>SUMIFS(tabela_registros[VALOR],tabela_registros[MÊS],$AE$1,tabela_registros[DIA],reservavariáveisconsolidadoset[[#Headers],[18]],tabela_registros[REGISTRO],DADOS!$N$6,tabela_registros[TIPO],DADOS!$AJ$4,tabela_registros[CATEGORIA],reservavariáveisconsolidadoset[[#This Row],[ATUAL]])</f>
        <v>0</v>
      </c>
      <c r="W196" s="91">
        <f>SUMIFS(tabela_registros[VALOR],tabela_registros[MÊS],$AE$1,tabela_registros[DIA],reservavariáveisconsolidadoset[[#Headers],[19]],tabela_registros[REGISTRO],DADOS!$N$6,tabela_registros[TIPO],DADOS!$AJ$4,tabela_registros[CATEGORIA],reservavariáveisconsolidadoset[[#This Row],[ATUAL]])</f>
        <v>0</v>
      </c>
      <c r="X196" s="91">
        <f>SUMIFS(tabela_registros[VALOR],tabela_registros[MÊS],$AE$1,tabela_registros[DIA],reservavariáveisconsolidadoset[[#Headers],[20]],tabela_registros[REGISTRO],DADOS!$N$6,tabela_registros[TIPO],DADOS!$AJ$4,tabela_registros[CATEGORIA],reservavariáveisconsolidadoset[[#This Row],[ATUAL]])</f>
        <v>0</v>
      </c>
      <c r="Y196" s="91">
        <f>SUMIFS(tabela_registros[VALOR],tabela_registros[MÊS],$AE$1,tabela_registros[DIA],reservavariáveisconsolidadoset[[#Headers],[21]],tabela_registros[REGISTRO],DADOS!$N$6,tabela_registros[TIPO],DADOS!$AJ$4,tabela_registros[CATEGORIA],reservavariáveisconsolidadoset[[#This Row],[ATUAL]])</f>
        <v>0</v>
      </c>
      <c r="Z196" s="91">
        <f>SUMIFS(tabela_registros[VALOR],tabela_registros[MÊS],$AE$1,tabela_registros[DIA],reservavariáveisconsolidadoset[[#Headers],[22]],tabela_registros[REGISTRO],DADOS!$N$6,tabela_registros[TIPO],DADOS!$AJ$4,tabela_registros[CATEGORIA],reservavariáveisconsolidadoset[[#This Row],[ATUAL]])</f>
        <v>0</v>
      </c>
      <c r="AA196" s="91">
        <f>SUMIFS(tabela_registros[VALOR],tabela_registros[MÊS],$AE$1,tabela_registros[DIA],reservavariáveisconsolidadoset[[#Headers],[23]],tabela_registros[REGISTRO],DADOS!$N$6,tabela_registros[TIPO],DADOS!$AJ$4,tabela_registros[CATEGORIA],reservavariáveisconsolidadoset[[#This Row],[ATUAL]])</f>
        <v>0</v>
      </c>
      <c r="AB196" s="91">
        <f>SUMIFS(tabela_registros[VALOR],tabela_registros[MÊS],$AE$1,tabela_registros[DIA],reservavariáveisconsolidadoset[[#Headers],[24]],tabela_registros[REGISTRO],DADOS!$N$6,tabela_registros[TIPO],DADOS!$AJ$4,tabela_registros[CATEGORIA],reservavariáveisconsolidadoset[[#This Row],[ATUAL]])</f>
        <v>0</v>
      </c>
      <c r="AC196" s="91">
        <f>SUMIFS(tabela_registros[VALOR],tabela_registros[MÊS],$AE$1,tabela_registros[DIA],reservavariáveisconsolidadoset[[#Headers],[25]],tabela_registros[REGISTRO],DADOS!$N$6,tabela_registros[TIPO],DADOS!$AJ$4,tabela_registros[CATEGORIA],reservavariáveisconsolidadoset[[#This Row],[ATUAL]])</f>
        <v>0</v>
      </c>
      <c r="AD196" s="91">
        <f>SUMIFS(tabela_registros[VALOR],tabela_registros[MÊS],$AE$1,tabela_registros[DIA],reservavariáveisconsolidadoset[[#Headers],[26]],tabela_registros[REGISTRO],DADOS!$N$6,tabela_registros[TIPO],DADOS!$AJ$4,tabela_registros[CATEGORIA],reservavariáveisconsolidadoset[[#This Row],[ATUAL]])</f>
        <v>0</v>
      </c>
      <c r="AE196" s="91">
        <f>SUMIFS(tabela_registros[VALOR],tabela_registros[MÊS],$AE$1,tabela_registros[DIA],reservavariáveisconsolidadoset[[#Headers],[27]],tabela_registros[REGISTRO],DADOS!$N$6,tabela_registros[TIPO],DADOS!$AJ$4,tabela_registros[CATEGORIA],reservavariáveisconsolidadoset[[#This Row],[ATUAL]])</f>
        <v>0</v>
      </c>
      <c r="AF196" s="91">
        <f>SUMIFS(tabela_registros[VALOR],tabela_registros[MÊS],$AE$1,tabela_registros[DIA],reservavariáveisconsolidadoset[[#Headers],[28]],tabela_registros[REGISTRO],DADOS!$N$6,tabela_registros[TIPO],DADOS!$AJ$4,tabela_registros[CATEGORIA],reservavariáveisconsolidadoset[[#This Row],[ATUAL]])</f>
        <v>0</v>
      </c>
      <c r="AG196" s="91">
        <f>SUMIFS(tabela_registros[VALOR],tabela_registros[MÊS],$AE$1,tabela_registros[DIA],reservavariáveisconsolidadoset[[#Headers],[29]],tabela_registros[REGISTRO],DADOS!$N$6,tabela_registros[TIPO],DADOS!$AJ$4,tabela_registros[CATEGORIA],reservavariáveisconsolidadoset[[#This Row],[ATUAL]])</f>
        <v>0</v>
      </c>
      <c r="AH196" s="91">
        <f>SUMIFS(tabela_registros[VALOR],tabela_registros[MÊS],$AE$1,tabela_registros[DIA],reservavariáveisconsolidadoset[[#Headers],[30]],tabela_registros[REGISTRO],DADOS!$N$6,tabela_registros[TIPO],DADOS!$AJ$4,tabela_registros[CATEGORIA],reservavariáveisconsolidadoset[[#This Row],[ATUAL]])</f>
        <v>0</v>
      </c>
      <c r="AI196" s="102">
        <f>SUMIFS(tabela_registros[VALOR],tabela_registros[MÊS],$AE$1,tabela_registros[DIA],reservavariáveisconsolidadoset[[#Headers],[31]],tabela_registros[REGISTRO],DADOS!$N$6,tabela_registros[TIPO],DADOS!$AJ$4,tabela_registros[CATEGORIA],reservavariáveisconsolidadoset[[#This Row],[ATUAL]])</f>
        <v>0</v>
      </c>
      <c r="AJ196" s="97">
        <f>SUM(reservavariáveisconsolidadoset[[#This Row],[1]:[31]])</f>
        <v>0</v>
      </c>
      <c r="AK196" s="25"/>
    </row>
    <row r="197" spans="2:37" s="16" customFormat="1" ht="21" customHeight="1" thickTop="1" thickBot="1" x14ac:dyDescent="0.35">
      <c r="B197" s="24"/>
      <c r="C197" s="23" t="s">
        <v>19</v>
      </c>
      <c r="D197" s="22"/>
      <c r="E197" s="21">
        <f>SUM(E187:E196)</f>
        <v>0</v>
      </c>
      <c r="F197" s="20">
        <f>SUM(F187:F196)+reservavariáveisconsolidadoset[[#This Row],[1]]</f>
        <v>0</v>
      </c>
      <c r="G197" s="20">
        <f>SUM(G187:G196)+reservavariáveisconsolidadoset[[#This Row],[2]]</f>
        <v>0</v>
      </c>
      <c r="H197" s="20">
        <f>SUM(H187:H196)+reservavariáveisconsolidadoset[[#This Row],[3]]</f>
        <v>0</v>
      </c>
      <c r="I197" s="20">
        <f>SUM(I187:I196)+reservavariáveisconsolidadoset[[#This Row],[4]]</f>
        <v>0</v>
      </c>
      <c r="J197" s="20">
        <f>SUM(J187:J196)+reservavariáveisconsolidadoset[[#This Row],[5]]</f>
        <v>0</v>
      </c>
      <c r="K197" s="20">
        <f>SUM(K187:K196)+reservavariáveisconsolidadoset[[#This Row],[6]]</f>
        <v>0</v>
      </c>
      <c r="L197" s="20">
        <f>SUM(L187:L196)+reservavariáveisconsolidadoset[[#This Row],[7]]</f>
        <v>0</v>
      </c>
      <c r="M197" s="20">
        <f>SUM(M187:M196)+reservavariáveisconsolidadoset[[#This Row],[8]]</f>
        <v>0</v>
      </c>
      <c r="N197" s="20">
        <f>SUM(N187:N196)+reservavariáveisconsolidadoset[[#This Row],[9]]</f>
        <v>0</v>
      </c>
      <c r="O197" s="20">
        <f>SUM(O187:O196)+reservavariáveisconsolidadoset[[#This Row],[10]]</f>
        <v>0</v>
      </c>
      <c r="P197" s="20">
        <f>SUM(P187:P196)+reservavariáveisconsolidadoset[[#This Row],[11]]</f>
        <v>0</v>
      </c>
      <c r="Q197" s="20">
        <f>SUM(Q187:Q196)+reservavariáveisconsolidadoset[[#This Row],[12]]</f>
        <v>0</v>
      </c>
      <c r="R197" s="20">
        <f>SUM(R187:R196)+reservavariáveisconsolidadoset[[#This Row],[13]]</f>
        <v>0</v>
      </c>
      <c r="S197" s="20">
        <f>SUM(S187:S196)+reservavariáveisconsolidadoset[[#This Row],[14]]</f>
        <v>0</v>
      </c>
      <c r="T197" s="20">
        <f>SUM(T187:T196)+reservavariáveisconsolidadoset[[#This Row],[15]]</f>
        <v>0</v>
      </c>
      <c r="U197" s="20">
        <f>SUM(U187:U196)+reservavariáveisconsolidadoset[[#This Row],[16]]</f>
        <v>0</v>
      </c>
      <c r="V197" s="20">
        <f>SUM(V187:V196)+reservavariáveisconsolidadoset[[#This Row],[17]]</f>
        <v>0</v>
      </c>
      <c r="W197" s="20">
        <f>SUM(W187:W196)+reservavariáveisconsolidadoset[[#This Row],[18]]</f>
        <v>0</v>
      </c>
      <c r="X197" s="20">
        <f>SUM(X187:X196)+reservavariáveisconsolidadoset[[#This Row],[19]]</f>
        <v>0</v>
      </c>
      <c r="Y197" s="20">
        <f>SUM(Y187:Y196)+reservavariáveisconsolidadoset[[#This Row],[20]]</f>
        <v>0</v>
      </c>
      <c r="Z197" s="20">
        <f>SUM(Z187:Z196)+reservavariáveisconsolidadoset[[#This Row],[21]]</f>
        <v>0</v>
      </c>
      <c r="AA197" s="20">
        <f>SUM(AA187:AA196)+reservavariáveisconsolidadoset[[#This Row],[22]]</f>
        <v>0</v>
      </c>
      <c r="AB197" s="20">
        <f>SUM(AB187:AB196)+reservavariáveisconsolidadoset[[#This Row],[23]]</f>
        <v>0</v>
      </c>
      <c r="AC197" s="20">
        <f>SUM(AC187:AC196)+reservavariáveisconsolidadoset[[#This Row],[24]]</f>
        <v>0</v>
      </c>
      <c r="AD197" s="20">
        <f>SUM(AD187:AD196)+reservavariáveisconsolidadoset[[#This Row],[25]]</f>
        <v>0</v>
      </c>
      <c r="AE197" s="20">
        <f>SUM(AE187:AE196)+reservavariáveisconsolidadoset[[#This Row],[26]]</f>
        <v>0</v>
      </c>
      <c r="AF197" s="20">
        <f>SUM(AF187:AF196)+reservavariáveisconsolidadoset[[#This Row],[27]]</f>
        <v>0</v>
      </c>
      <c r="AG197" s="20">
        <f>SUM(AG187:AG196)+reservavariáveisconsolidadoset[[#This Row],[28]]</f>
        <v>0</v>
      </c>
      <c r="AH197" s="20">
        <f>SUM(AH187:AH196)+reservavariáveisconsolidadoset[[#This Row],[29]]</f>
        <v>0</v>
      </c>
      <c r="AI197" s="19">
        <f>SUM(AI187:AI196)+reservavariáveisconsolidadoset[[#This Row],[30]]</f>
        <v>0</v>
      </c>
      <c r="AJ197" s="18">
        <f>reservavariáveisconsolidadoset[[#This Row],[31]]</f>
        <v>0</v>
      </c>
      <c r="AK197" s="17"/>
    </row>
    <row r="198" spans="2:37" ht="6.75" customHeight="1" thickTop="1" thickBot="1" x14ac:dyDescent="0.3">
      <c r="B198" s="15"/>
      <c r="C198" s="14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  <c r="AC198" s="13"/>
      <c r="AD198" s="13"/>
      <c r="AE198" s="13"/>
      <c r="AF198" s="13"/>
      <c r="AG198" s="13"/>
      <c r="AH198" s="13"/>
      <c r="AI198" s="12"/>
      <c r="AJ198" s="11"/>
      <c r="AK198" s="10"/>
    </row>
    <row r="199" spans="2:37" ht="12.6" thickTop="1" x14ac:dyDescent="0.25">
      <c r="E199" s="37"/>
      <c r="AI199" s="4"/>
    </row>
    <row r="200" spans="2:37" x14ac:dyDescent="0.25">
      <c r="AI200" s="4"/>
    </row>
    <row r="201" spans="2:37" x14ac:dyDescent="0.25">
      <c r="AI201" s="4"/>
    </row>
    <row r="202" spans="2:37" ht="39.75" customHeight="1" x14ac:dyDescent="0.7">
      <c r="C202" s="36"/>
      <c r="E202" s="240"/>
      <c r="F202" s="240"/>
      <c r="G202" s="240"/>
      <c r="H202" s="240"/>
      <c r="I202" s="240"/>
      <c r="J202" s="240"/>
      <c r="K202" s="240"/>
      <c r="L202" s="240"/>
      <c r="M202" s="240"/>
      <c r="N202" s="240"/>
      <c r="O202" s="240"/>
      <c r="P202" s="240"/>
      <c r="Q202" s="240"/>
      <c r="R202" s="240"/>
      <c r="S202" s="240"/>
      <c r="T202" s="240"/>
      <c r="U202" s="240"/>
      <c r="V202" s="240"/>
      <c r="W202" s="240"/>
      <c r="X202" s="240"/>
      <c r="Y202" s="240"/>
      <c r="Z202" s="240"/>
      <c r="AA202" s="240"/>
      <c r="AB202" s="240"/>
      <c r="AC202" s="240"/>
      <c r="AD202" s="240"/>
      <c r="AE202" s="240"/>
      <c r="AF202" s="240"/>
      <c r="AG202" s="240"/>
      <c r="AH202" s="240"/>
      <c r="AI202" s="240"/>
      <c r="AJ202" s="32" t="s">
        <v>19</v>
      </c>
    </row>
    <row r="203" spans="2:37" ht="12.6" thickBot="1" x14ac:dyDescent="0.3">
      <c r="B203" s="35"/>
      <c r="AI203" s="4"/>
      <c r="AJ203" s="34" t="s">
        <v>202</v>
      </c>
    </row>
    <row r="204" spans="2:37" ht="6.75" customHeight="1" thickTop="1" thickBot="1" x14ac:dyDescent="0.3">
      <c r="B204" s="2"/>
      <c r="C204" s="14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3"/>
      <c r="AD204" s="13"/>
      <c r="AE204" s="13"/>
      <c r="AF204" s="13"/>
      <c r="AG204" s="13"/>
      <c r="AH204" s="13"/>
      <c r="AI204" s="13"/>
      <c r="AJ204" s="12"/>
      <c r="AK204" s="33"/>
    </row>
    <row r="205" spans="2:37" ht="13.2" hidden="1" thickTop="1" thickBot="1" x14ac:dyDescent="0.3">
      <c r="B205" s="2"/>
      <c r="C205" s="31" t="s">
        <v>199</v>
      </c>
      <c r="D205" s="30" t="s">
        <v>198</v>
      </c>
      <c r="E205" s="30" t="s">
        <v>197</v>
      </c>
      <c r="F205" s="30" t="s">
        <v>196</v>
      </c>
      <c r="G205" s="30" t="s">
        <v>195</v>
      </c>
      <c r="H205" s="30" t="s">
        <v>194</v>
      </c>
      <c r="I205" s="30" t="s">
        <v>193</v>
      </c>
      <c r="J205" s="30" t="s">
        <v>192</v>
      </c>
      <c r="K205" s="30" t="s">
        <v>191</v>
      </c>
      <c r="L205" s="30" t="s">
        <v>190</v>
      </c>
      <c r="M205" s="30" t="s">
        <v>189</v>
      </c>
      <c r="N205" s="30" t="s">
        <v>188</v>
      </c>
      <c r="O205" s="30" t="s">
        <v>187</v>
      </c>
      <c r="P205" s="30" t="s">
        <v>186</v>
      </c>
      <c r="Q205" s="30" t="s">
        <v>185</v>
      </c>
      <c r="R205" s="30" t="s">
        <v>184</v>
      </c>
      <c r="S205" s="30" t="s">
        <v>183</v>
      </c>
      <c r="T205" s="30" t="s">
        <v>182</v>
      </c>
      <c r="U205" s="30" t="s">
        <v>181</v>
      </c>
      <c r="V205" s="30" t="s">
        <v>180</v>
      </c>
      <c r="W205" s="30" t="s">
        <v>179</v>
      </c>
      <c r="X205" s="30" t="s">
        <v>178</v>
      </c>
      <c r="Y205" s="30" t="s">
        <v>177</v>
      </c>
      <c r="Z205" s="30" t="s">
        <v>176</v>
      </c>
      <c r="AA205" s="30" t="s">
        <v>175</v>
      </c>
      <c r="AB205" s="30" t="s">
        <v>174</v>
      </c>
      <c r="AC205" s="30" t="s">
        <v>173</v>
      </c>
      <c r="AD205" s="30" t="s">
        <v>172</v>
      </c>
      <c r="AE205" s="30" t="s">
        <v>171</v>
      </c>
      <c r="AF205" s="30" t="s">
        <v>170</v>
      </c>
      <c r="AG205" s="30" t="s">
        <v>169</v>
      </c>
      <c r="AH205" s="30" t="s">
        <v>168</v>
      </c>
      <c r="AI205" s="30" t="s">
        <v>167</v>
      </c>
      <c r="AJ205" s="29" t="s">
        <v>166</v>
      </c>
      <c r="AK205" s="2"/>
    </row>
    <row r="206" spans="2:37" ht="19.5" customHeight="1" thickTop="1" thickBot="1" x14ac:dyDescent="0.3">
      <c r="B206" s="28"/>
      <c r="C206" s="27" t="str">
        <f>DADOS!$AP$3</f>
        <v>📝 COE</v>
      </c>
      <c r="D206" s="26" t="str">
        <f>IF(reservaoutrosconsolidadoset[[#This Row],[TOTAL (R$)]]=0,"",IF(OR(reservaoutrosconsolidadoset[[#This Row],[TOTAL (R$)]]=LARGE($AJ$206:$AJ$213,1),reservaoutrosconsolidadoset[[#This Row],[TOTAL (R$)]]=LARGE($AJ$206:$AJ$213,2)),DADOS!$I$11,""))</f>
        <v/>
      </c>
      <c r="E206" s="96">
        <f>SUMIFS(tabela_registros[VALOR],tabela_registros[MÊS],$AE$1,tabela_registros[DIA],reservaoutrosconsolidadoset[[#Headers],[1]],tabela_registros[REGISTRO],DADOS!$N$6,tabela_registros[TIPO],DADOS!$AJ$5,tabela_registros[CATEGORIA],reservaoutrosconsolidadoset[[#This Row],[ATUAL]])</f>
        <v>0</v>
      </c>
      <c r="F206" s="91">
        <f>SUMIFS(tabela_registros[VALOR],tabela_registros[MÊS],$AE$1,tabela_registros[DIA],reservaoutrosconsolidadoset[[#Headers],[2]],tabela_registros[REGISTRO],DADOS!$N$6,tabela_registros[TIPO],DADOS!$AJ$5,tabela_registros[CATEGORIA],reservaoutrosconsolidadoset[[#This Row],[ATUAL]])</f>
        <v>0</v>
      </c>
      <c r="G206" s="91">
        <f>SUMIFS(tabela_registros[VALOR],tabela_registros[MÊS],$AE$1,tabela_registros[DIA],reservaoutrosconsolidadoset[[#Headers],[3]],tabela_registros[REGISTRO],DADOS!$N$6,tabela_registros[TIPO],DADOS!$AJ$5,tabela_registros[CATEGORIA],reservaoutrosconsolidadoset[[#This Row],[ATUAL]])</f>
        <v>0</v>
      </c>
      <c r="H206" s="91">
        <f>SUMIFS(tabela_registros[VALOR],tabela_registros[MÊS],$AE$1,tabela_registros[DIA],reservaoutrosconsolidadoset[[#Headers],[4]],tabela_registros[REGISTRO],DADOS!$N$6,tabela_registros[TIPO],DADOS!$AJ$5,tabela_registros[CATEGORIA],reservaoutrosconsolidadoset[[#This Row],[ATUAL]])</f>
        <v>0</v>
      </c>
      <c r="I206" s="91">
        <f>SUMIFS(tabela_registros[VALOR],tabela_registros[MÊS],$AE$1,tabela_registros[DIA],reservaoutrosconsolidadoset[[#Headers],[5]],tabela_registros[REGISTRO],DADOS!$N$6,tabela_registros[TIPO],DADOS!$AJ$5,tabela_registros[CATEGORIA],reservaoutrosconsolidadoset[[#This Row],[ATUAL]])</f>
        <v>0</v>
      </c>
      <c r="J206" s="91">
        <f>SUMIFS(tabela_registros[VALOR],tabela_registros[MÊS],$AE$1,tabela_registros[DIA],reservaoutrosconsolidadoset[[#Headers],[6]],tabela_registros[REGISTRO],DADOS!$N$6,tabela_registros[TIPO],DADOS!$AJ$5,tabela_registros[CATEGORIA],reservaoutrosconsolidadoset[[#This Row],[ATUAL]])</f>
        <v>0</v>
      </c>
      <c r="K206" s="91">
        <f>SUMIFS(tabela_registros[VALOR],tabela_registros[MÊS],$AE$1,tabela_registros[DIA],reservaoutrosconsolidadoset[[#Headers],[7]],tabela_registros[REGISTRO],DADOS!$N$6,tabela_registros[TIPO],DADOS!$AJ$5,tabela_registros[CATEGORIA],reservaoutrosconsolidadoset[[#This Row],[ATUAL]])</f>
        <v>0</v>
      </c>
      <c r="L206" s="91">
        <f>SUMIFS(tabela_registros[VALOR],tabela_registros[MÊS],$AE$1,tabela_registros[DIA],reservaoutrosconsolidadoset[[#Headers],[8]],tabela_registros[REGISTRO],DADOS!$N$6,tabela_registros[TIPO],DADOS!$AJ$5,tabela_registros[CATEGORIA],reservaoutrosconsolidadoset[[#This Row],[ATUAL]])</f>
        <v>0</v>
      </c>
      <c r="M206" s="91">
        <f>SUMIFS(tabela_registros[VALOR],tabela_registros[MÊS],$AE$1,tabela_registros[DIA],reservaoutrosconsolidadoset[[#Headers],[9]],tabela_registros[REGISTRO],DADOS!$N$6,tabela_registros[TIPO],DADOS!$AJ$5,tabela_registros[CATEGORIA],reservaoutrosconsolidadoset[[#This Row],[ATUAL]])</f>
        <v>0</v>
      </c>
      <c r="N206" s="91">
        <f>SUMIFS(tabela_registros[VALOR],tabela_registros[MÊS],$AE$1,tabela_registros[DIA],reservaoutrosconsolidadoset[[#Headers],[10]],tabela_registros[REGISTRO],DADOS!$N$6,tabela_registros[TIPO],DADOS!$AJ$5,tabela_registros[CATEGORIA],reservaoutrosconsolidadoset[[#This Row],[ATUAL]])</f>
        <v>0</v>
      </c>
      <c r="O206" s="91">
        <f>SUMIFS(tabela_registros[VALOR],tabela_registros[MÊS],$AE$1,tabela_registros[DIA],reservaoutrosconsolidadoset[[#Headers],[11]],tabela_registros[REGISTRO],DADOS!$N$6,tabela_registros[TIPO],DADOS!$AJ$5,tabela_registros[CATEGORIA],reservaoutrosconsolidadoset[[#This Row],[ATUAL]])</f>
        <v>0</v>
      </c>
      <c r="P206" s="91">
        <f>SUMIFS(tabela_registros[VALOR],tabela_registros[MÊS],$AE$1,tabela_registros[DIA],reservaoutrosconsolidadoset[[#Headers],[12]],tabela_registros[REGISTRO],DADOS!$N$6,tabela_registros[TIPO],DADOS!$AJ$5,tabela_registros[CATEGORIA],reservaoutrosconsolidadoset[[#This Row],[ATUAL]])</f>
        <v>0</v>
      </c>
      <c r="Q206" s="91">
        <f>SUMIFS(tabela_registros[VALOR],tabela_registros[MÊS],$AE$1,tabela_registros[DIA],reservaoutrosconsolidadoset[[#Headers],[13]],tabela_registros[REGISTRO],DADOS!$N$6,tabela_registros[TIPO],DADOS!$AJ$5,tabela_registros[CATEGORIA],reservaoutrosconsolidadoset[[#This Row],[ATUAL]])</f>
        <v>0</v>
      </c>
      <c r="R206" s="91">
        <f>SUMIFS(tabela_registros[VALOR],tabela_registros[MÊS],$AE$1,tabela_registros[DIA],reservaoutrosconsolidadoset[[#Headers],[14]],tabela_registros[REGISTRO],DADOS!$N$6,tabela_registros[TIPO],DADOS!$AJ$5,tabela_registros[CATEGORIA],reservaoutrosconsolidadoset[[#This Row],[ATUAL]])</f>
        <v>0</v>
      </c>
      <c r="S206" s="91">
        <f>SUMIFS(tabela_registros[VALOR],tabela_registros[MÊS],$AE$1,tabela_registros[DIA],reservaoutrosconsolidadoset[[#Headers],[15]],tabela_registros[REGISTRO],DADOS!$N$6,tabela_registros[TIPO],DADOS!$AJ$5,tabela_registros[CATEGORIA],reservaoutrosconsolidadoset[[#This Row],[ATUAL]])</f>
        <v>0</v>
      </c>
      <c r="T206" s="91">
        <f>SUMIFS(tabela_registros[VALOR],tabela_registros[MÊS],$AE$1,tabela_registros[DIA],reservaoutrosconsolidadoset[[#Headers],[16]],tabela_registros[REGISTRO],DADOS!$N$6,tabela_registros[TIPO],DADOS!$AJ$5,tabela_registros[CATEGORIA],reservaoutrosconsolidadoset[[#This Row],[ATUAL]])</f>
        <v>0</v>
      </c>
      <c r="U206" s="91">
        <f>SUMIFS(tabela_registros[VALOR],tabela_registros[MÊS],$AE$1,tabela_registros[DIA],reservaoutrosconsolidadoset[[#Headers],[17]],tabela_registros[REGISTRO],DADOS!$N$6,tabela_registros[TIPO],DADOS!$AJ$5,tabela_registros[CATEGORIA],reservaoutrosconsolidadoset[[#This Row],[ATUAL]])</f>
        <v>0</v>
      </c>
      <c r="V206" s="91">
        <f>SUMIFS(tabela_registros[VALOR],tabela_registros[MÊS],$AE$1,tabela_registros[DIA],reservaoutrosconsolidadoset[[#Headers],[18]],tabela_registros[REGISTRO],DADOS!$N$6,tabela_registros[TIPO],DADOS!$AJ$5,tabela_registros[CATEGORIA],reservaoutrosconsolidadoset[[#This Row],[ATUAL]])</f>
        <v>0</v>
      </c>
      <c r="W206" s="91">
        <f>SUMIFS(tabela_registros[VALOR],tabela_registros[MÊS],$AE$1,tabela_registros[DIA],reservaoutrosconsolidadoset[[#Headers],[19]],tabela_registros[REGISTRO],DADOS!$N$6,tabela_registros[TIPO],DADOS!$AJ$5,tabela_registros[CATEGORIA],reservaoutrosconsolidadoset[[#This Row],[ATUAL]])</f>
        <v>0</v>
      </c>
      <c r="X206" s="91">
        <f>SUMIFS(tabela_registros[VALOR],tabela_registros[MÊS],$AE$1,tabela_registros[DIA],reservaoutrosconsolidadoset[[#Headers],[20]],tabela_registros[REGISTRO],DADOS!$N$6,tabela_registros[TIPO],DADOS!$AJ$5,tabela_registros[CATEGORIA],reservaoutrosconsolidadoset[[#This Row],[ATUAL]])</f>
        <v>0</v>
      </c>
      <c r="Y206" s="91">
        <f>SUMIFS(tabela_registros[VALOR],tabela_registros[MÊS],$AE$1,tabela_registros[DIA],reservaoutrosconsolidadoset[[#Headers],[21]],tabela_registros[REGISTRO],DADOS!$N$6,tabela_registros[TIPO],DADOS!$AJ$5,tabela_registros[CATEGORIA],reservaoutrosconsolidadoset[[#This Row],[ATUAL]])</f>
        <v>0</v>
      </c>
      <c r="Z206" s="91">
        <f>SUMIFS(tabela_registros[VALOR],tabela_registros[MÊS],$AE$1,tabela_registros[DIA],reservaoutrosconsolidadoset[[#Headers],[22]],tabela_registros[REGISTRO],DADOS!$N$6,tabela_registros[TIPO],DADOS!$AJ$5,tabela_registros[CATEGORIA],reservaoutrosconsolidadoset[[#This Row],[ATUAL]])</f>
        <v>0</v>
      </c>
      <c r="AA206" s="91">
        <f>SUMIFS(tabela_registros[VALOR],tabela_registros[MÊS],$AE$1,tabela_registros[DIA],reservaoutrosconsolidadoset[[#Headers],[23]],tabela_registros[REGISTRO],DADOS!$N$6,tabela_registros[TIPO],DADOS!$AJ$5,tabela_registros[CATEGORIA],reservaoutrosconsolidadoset[[#This Row],[ATUAL]])</f>
        <v>0</v>
      </c>
      <c r="AB206" s="91">
        <f>SUMIFS(tabela_registros[VALOR],tabela_registros[MÊS],$AE$1,tabela_registros[DIA],reservaoutrosconsolidadoset[[#Headers],[24]],tabela_registros[REGISTRO],DADOS!$N$6,tabela_registros[TIPO],DADOS!$AJ$5,tabela_registros[CATEGORIA],reservaoutrosconsolidadoset[[#This Row],[ATUAL]])</f>
        <v>0</v>
      </c>
      <c r="AC206" s="91">
        <f>SUMIFS(tabela_registros[VALOR],tabela_registros[MÊS],$AE$1,tabela_registros[DIA],reservaoutrosconsolidadoset[[#Headers],[25]],tabela_registros[REGISTRO],DADOS!$N$6,tabela_registros[TIPO],DADOS!$AJ$5,tabela_registros[CATEGORIA],reservaoutrosconsolidadoset[[#This Row],[ATUAL]])</f>
        <v>0</v>
      </c>
      <c r="AD206" s="91">
        <f>SUMIFS(tabela_registros[VALOR],tabela_registros[MÊS],$AE$1,tabela_registros[DIA],reservaoutrosconsolidadoset[[#Headers],[26]],tabela_registros[REGISTRO],DADOS!$N$6,tabela_registros[TIPO],DADOS!$AJ$5,tabela_registros[CATEGORIA],reservaoutrosconsolidadoset[[#This Row],[ATUAL]])</f>
        <v>0</v>
      </c>
      <c r="AE206" s="91">
        <f>SUMIFS(tabela_registros[VALOR],tabela_registros[MÊS],$AE$1,tabela_registros[DIA],reservaoutrosconsolidadoset[[#Headers],[27]],tabela_registros[REGISTRO],DADOS!$N$6,tabela_registros[TIPO],DADOS!$AJ$5,tabela_registros[CATEGORIA],reservaoutrosconsolidadoset[[#This Row],[ATUAL]])</f>
        <v>0</v>
      </c>
      <c r="AF206" s="91">
        <f>SUMIFS(tabela_registros[VALOR],tabela_registros[MÊS],$AE$1,tabela_registros[DIA],reservaoutrosconsolidadoset[[#Headers],[28]],tabela_registros[REGISTRO],DADOS!$N$6,tabela_registros[TIPO],DADOS!$AJ$5,tabela_registros[CATEGORIA],reservaoutrosconsolidadoset[[#This Row],[ATUAL]])</f>
        <v>0</v>
      </c>
      <c r="AG206" s="91">
        <f>SUMIFS(tabela_registros[VALOR],tabela_registros[MÊS],$AE$1,tabela_registros[DIA],reservaoutrosconsolidadoset[[#Headers],[29]],tabela_registros[REGISTRO],DADOS!$N$6,tabela_registros[TIPO],DADOS!$AJ$5,tabela_registros[CATEGORIA],reservaoutrosconsolidadoset[[#This Row],[ATUAL]])</f>
        <v>0</v>
      </c>
      <c r="AH206" s="91">
        <f>SUMIFS(tabela_registros[VALOR],tabela_registros[MÊS],$AE$1,tabela_registros[DIA],reservaoutrosconsolidadoset[[#Headers],[30]],tabela_registros[REGISTRO],DADOS!$N$6,tabela_registros[TIPO],DADOS!$AJ$5,tabela_registros[CATEGORIA],reservaoutrosconsolidadoset[[#This Row],[ATUAL]])</f>
        <v>0</v>
      </c>
      <c r="AI206" s="101">
        <f>SUMIFS(tabela_registros[VALOR],tabela_registros[MÊS],$AE$1,tabela_registros[DIA],reservaoutrosconsolidadoset[[#Headers],[31]],tabela_registros[REGISTRO],DADOS!$N$6,tabela_registros[TIPO],DADOS!$AJ$5,tabela_registros[CATEGORIA],reservaoutrosconsolidadoset[[#This Row],[ATUAL]])</f>
        <v>0</v>
      </c>
      <c r="AJ206" s="97">
        <f>SUM(reservaoutrosconsolidadoset[[#This Row],[1]:[31]])</f>
        <v>0</v>
      </c>
      <c r="AK206" s="25"/>
    </row>
    <row r="207" spans="2:37" ht="19.5" customHeight="1" thickTop="1" thickBot="1" x14ac:dyDescent="0.3">
      <c r="B207" s="28"/>
      <c r="C207" s="27" t="str">
        <f>DADOS!$AP$4</f>
        <v>📝 FOREX</v>
      </c>
      <c r="D207" s="26" t="str">
        <f>IF(reservaoutrosconsolidadoset[[#This Row],[TOTAL (R$)]]=0,"",IF(OR(reservaoutrosconsolidadoset[[#This Row],[TOTAL (R$)]]=LARGE($AJ$206:$AJ$213,1),reservaoutrosconsolidadoset[[#This Row],[TOTAL (R$)]]=LARGE($AJ$206:$AJ$213,2)),DADOS!$I$11,""))</f>
        <v/>
      </c>
      <c r="E207" s="96">
        <f>SUMIFS(tabela_registros[VALOR],tabela_registros[MÊS],$AE$1,tabela_registros[DIA],reservaoutrosconsolidadoset[[#Headers],[1]],tabela_registros[REGISTRO],DADOS!$N$6,tabela_registros[TIPO],DADOS!$AJ$5,tabela_registros[CATEGORIA],reservaoutrosconsolidadoset[[#This Row],[ATUAL]])</f>
        <v>0</v>
      </c>
      <c r="F207" s="91">
        <f>SUMIFS(tabela_registros[VALOR],tabela_registros[MÊS],$AE$1,tabela_registros[DIA],reservaoutrosconsolidadoset[[#Headers],[2]],tabela_registros[REGISTRO],DADOS!$N$6,tabela_registros[TIPO],DADOS!$AJ$5,tabela_registros[CATEGORIA],reservaoutrosconsolidadoset[[#This Row],[ATUAL]])</f>
        <v>0</v>
      </c>
      <c r="G207" s="91">
        <f>SUMIFS(tabela_registros[VALOR],tabela_registros[MÊS],$AE$1,tabela_registros[DIA],reservaoutrosconsolidadoset[[#Headers],[3]],tabela_registros[REGISTRO],DADOS!$N$6,tabela_registros[TIPO],DADOS!$AJ$5,tabela_registros[CATEGORIA],reservaoutrosconsolidadoset[[#This Row],[ATUAL]])</f>
        <v>0</v>
      </c>
      <c r="H207" s="91">
        <f>SUMIFS(tabela_registros[VALOR],tabela_registros[MÊS],$AE$1,tabela_registros[DIA],reservaoutrosconsolidadoset[[#Headers],[4]],tabela_registros[REGISTRO],DADOS!$N$6,tabela_registros[TIPO],DADOS!$AJ$5,tabela_registros[CATEGORIA],reservaoutrosconsolidadoset[[#This Row],[ATUAL]])</f>
        <v>0</v>
      </c>
      <c r="I207" s="91">
        <f>SUMIFS(tabela_registros[VALOR],tabela_registros[MÊS],$AE$1,tabela_registros[DIA],reservaoutrosconsolidadoset[[#Headers],[5]],tabela_registros[REGISTRO],DADOS!$N$6,tabela_registros[TIPO],DADOS!$AJ$5,tabela_registros[CATEGORIA],reservaoutrosconsolidadoset[[#This Row],[ATUAL]])</f>
        <v>0</v>
      </c>
      <c r="J207" s="91">
        <f>SUMIFS(tabela_registros[VALOR],tabela_registros[MÊS],$AE$1,tabela_registros[DIA],reservaoutrosconsolidadoset[[#Headers],[6]],tabela_registros[REGISTRO],DADOS!$N$6,tabela_registros[TIPO],DADOS!$AJ$5,tabela_registros[CATEGORIA],reservaoutrosconsolidadoset[[#This Row],[ATUAL]])</f>
        <v>0</v>
      </c>
      <c r="K207" s="91">
        <f>SUMIFS(tabela_registros[VALOR],tabela_registros[MÊS],$AE$1,tabela_registros[DIA],reservaoutrosconsolidadoset[[#Headers],[7]],tabela_registros[REGISTRO],DADOS!$N$6,tabela_registros[TIPO],DADOS!$AJ$5,tabela_registros[CATEGORIA],reservaoutrosconsolidadoset[[#This Row],[ATUAL]])</f>
        <v>0</v>
      </c>
      <c r="L207" s="91">
        <f>SUMIFS(tabela_registros[VALOR],tabela_registros[MÊS],$AE$1,tabela_registros[DIA],reservaoutrosconsolidadoset[[#Headers],[8]],tabela_registros[REGISTRO],DADOS!$N$6,tabela_registros[TIPO],DADOS!$AJ$5,tabela_registros[CATEGORIA],reservaoutrosconsolidadoset[[#This Row],[ATUAL]])</f>
        <v>0</v>
      </c>
      <c r="M207" s="91">
        <f>SUMIFS(tabela_registros[VALOR],tabela_registros[MÊS],$AE$1,tabela_registros[DIA],reservaoutrosconsolidadoset[[#Headers],[9]],tabela_registros[REGISTRO],DADOS!$N$6,tabela_registros[TIPO],DADOS!$AJ$5,tabela_registros[CATEGORIA],reservaoutrosconsolidadoset[[#This Row],[ATUAL]])</f>
        <v>0</v>
      </c>
      <c r="N207" s="91">
        <f>SUMIFS(tabela_registros[VALOR],tabela_registros[MÊS],$AE$1,tabela_registros[DIA],reservaoutrosconsolidadoset[[#Headers],[10]],tabela_registros[REGISTRO],DADOS!$N$6,tabela_registros[TIPO],DADOS!$AJ$5,tabela_registros[CATEGORIA],reservaoutrosconsolidadoset[[#This Row],[ATUAL]])</f>
        <v>0</v>
      </c>
      <c r="O207" s="91">
        <f>SUMIFS(tabela_registros[VALOR],tabela_registros[MÊS],$AE$1,tabela_registros[DIA],reservaoutrosconsolidadoset[[#Headers],[11]],tabela_registros[REGISTRO],DADOS!$N$6,tabela_registros[TIPO],DADOS!$AJ$5,tabela_registros[CATEGORIA],reservaoutrosconsolidadoset[[#This Row],[ATUAL]])</f>
        <v>0</v>
      </c>
      <c r="P207" s="91">
        <f>SUMIFS(tabela_registros[VALOR],tabela_registros[MÊS],$AE$1,tabela_registros[DIA],reservaoutrosconsolidadoset[[#Headers],[12]],tabela_registros[REGISTRO],DADOS!$N$6,tabela_registros[TIPO],DADOS!$AJ$5,tabela_registros[CATEGORIA],reservaoutrosconsolidadoset[[#This Row],[ATUAL]])</f>
        <v>0</v>
      </c>
      <c r="Q207" s="91">
        <f>SUMIFS(tabela_registros[VALOR],tabela_registros[MÊS],$AE$1,tabela_registros[DIA],reservaoutrosconsolidadoset[[#Headers],[13]],tabela_registros[REGISTRO],DADOS!$N$6,tabela_registros[TIPO],DADOS!$AJ$5,tabela_registros[CATEGORIA],reservaoutrosconsolidadoset[[#This Row],[ATUAL]])</f>
        <v>0</v>
      </c>
      <c r="R207" s="91">
        <f>SUMIFS(tabela_registros[VALOR],tabela_registros[MÊS],$AE$1,tabela_registros[DIA],reservaoutrosconsolidadoset[[#Headers],[14]],tabela_registros[REGISTRO],DADOS!$N$6,tabela_registros[TIPO],DADOS!$AJ$5,tabela_registros[CATEGORIA],reservaoutrosconsolidadoset[[#This Row],[ATUAL]])</f>
        <v>0</v>
      </c>
      <c r="S207" s="91">
        <f>SUMIFS(tabela_registros[VALOR],tabela_registros[MÊS],$AE$1,tabela_registros[DIA],reservaoutrosconsolidadoset[[#Headers],[15]],tabela_registros[REGISTRO],DADOS!$N$6,tabela_registros[TIPO],DADOS!$AJ$5,tabela_registros[CATEGORIA],reservaoutrosconsolidadoset[[#This Row],[ATUAL]])</f>
        <v>0</v>
      </c>
      <c r="T207" s="91">
        <f>SUMIFS(tabela_registros[VALOR],tabela_registros[MÊS],$AE$1,tabela_registros[DIA],reservaoutrosconsolidadoset[[#Headers],[16]],tabela_registros[REGISTRO],DADOS!$N$6,tabela_registros[TIPO],DADOS!$AJ$5,tabela_registros[CATEGORIA],reservaoutrosconsolidadoset[[#This Row],[ATUAL]])</f>
        <v>0</v>
      </c>
      <c r="U207" s="91">
        <f>SUMIFS(tabela_registros[VALOR],tabela_registros[MÊS],$AE$1,tabela_registros[DIA],reservaoutrosconsolidadoset[[#Headers],[17]],tabela_registros[REGISTRO],DADOS!$N$6,tabela_registros[TIPO],DADOS!$AJ$5,tabela_registros[CATEGORIA],reservaoutrosconsolidadoset[[#This Row],[ATUAL]])</f>
        <v>0</v>
      </c>
      <c r="V207" s="91">
        <f>SUMIFS(tabela_registros[VALOR],tabela_registros[MÊS],$AE$1,tabela_registros[DIA],reservaoutrosconsolidadoset[[#Headers],[18]],tabela_registros[REGISTRO],DADOS!$N$6,tabela_registros[TIPO],DADOS!$AJ$5,tabela_registros[CATEGORIA],reservaoutrosconsolidadoset[[#This Row],[ATUAL]])</f>
        <v>0</v>
      </c>
      <c r="W207" s="91">
        <f>SUMIFS(tabela_registros[VALOR],tabela_registros[MÊS],$AE$1,tabela_registros[DIA],reservaoutrosconsolidadoset[[#Headers],[19]],tabela_registros[REGISTRO],DADOS!$N$6,tabela_registros[TIPO],DADOS!$AJ$5,tabela_registros[CATEGORIA],reservaoutrosconsolidadoset[[#This Row],[ATUAL]])</f>
        <v>0</v>
      </c>
      <c r="X207" s="91">
        <f>SUMIFS(tabela_registros[VALOR],tabela_registros[MÊS],$AE$1,tabela_registros[DIA],reservaoutrosconsolidadoset[[#Headers],[20]],tabela_registros[REGISTRO],DADOS!$N$6,tabela_registros[TIPO],DADOS!$AJ$5,tabela_registros[CATEGORIA],reservaoutrosconsolidadoset[[#This Row],[ATUAL]])</f>
        <v>0</v>
      </c>
      <c r="Y207" s="91">
        <f>SUMIFS(tabela_registros[VALOR],tabela_registros[MÊS],$AE$1,tabela_registros[DIA],reservaoutrosconsolidadoset[[#Headers],[21]],tabela_registros[REGISTRO],DADOS!$N$6,tabela_registros[TIPO],DADOS!$AJ$5,tabela_registros[CATEGORIA],reservaoutrosconsolidadoset[[#This Row],[ATUAL]])</f>
        <v>0</v>
      </c>
      <c r="Z207" s="91">
        <f>SUMIFS(tabela_registros[VALOR],tabela_registros[MÊS],$AE$1,tabela_registros[DIA],reservaoutrosconsolidadoset[[#Headers],[22]],tabela_registros[REGISTRO],DADOS!$N$6,tabela_registros[TIPO],DADOS!$AJ$5,tabela_registros[CATEGORIA],reservaoutrosconsolidadoset[[#This Row],[ATUAL]])</f>
        <v>0</v>
      </c>
      <c r="AA207" s="91">
        <f>SUMIFS(tabela_registros[VALOR],tabela_registros[MÊS],$AE$1,tabela_registros[DIA],reservaoutrosconsolidadoset[[#Headers],[23]],tabela_registros[REGISTRO],DADOS!$N$6,tabela_registros[TIPO],DADOS!$AJ$5,tabela_registros[CATEGORIA],reservaoutrosconsolidadoset[[#This Row],[ATUAL]])</f>
        <v>0</v>
      </c>
      <c r="AB207" s="91">
        <f>SUMIFS(tabela_registros[VALOR],tabela_registros[MÊS],$AE$1,tabela_registros[DIA],reservaoutrosconsolidadoset[[#Headers],[24]],tabela_registros[REGISTRO],DADOS!$N$6,tabela_registros[TIPO],DADOS!$AJ$5,tabela_registros[CATEGORIA],reservaoutrosconsolidadoset[[#This Row],[ATUAL]])</f>
        <v>0</v>
      </c>
      <c r="AC207" s="91">
        <f>SUMIFS(tabela_registros[VALOR],tabela_registros[MÊS],$AE$1,tabela_registros[DIA],reservaoutrosconsolidadoset[[#Headers],[25]],tabela_registros[REGISTRO],DADOS!$N$6,tabela_registros[TIPO],DADOS!$AJ$5,tabela_registros[CATEGORIA],reservaoutrosconsolidadoset[[#This Row],[ATUAL]])</f>
        <v>0</v>
      </c>
      <c r="AD207" s="91">
        <f>SUMIFS(tabela_registros[VALOR],tabela_registros[MÊS],$AE$1,tabela_registros[DIA],reservaoutrosconsolidadoset[[#Headers],[26]],tabela_registros[REGISTRO],DADOS!$N$6,tabela_registros[TIPO],DADOS!$AJ$5,tabela_registros[CATEGORIA],reservaoutrosconsolidadoset[[#This Row],[ATUAL]])</f>
        <v>0</v>
      </c>
      <c r="AE207" s="91">
        <f>SUMIFS(tabela_registros[VALOR],tabela_registros[MÊS],$AE$1,tabela_registros[DIA],reservaoutrosconsolidadoset[[#Headers],[27]],tabela_registros[REGISTRO],DADOS!$N$6,tabela_registros[TIPO],DADOS!$AJ$5,tabela_registros[CATEGORIA],reservaoutrosconsolidadoset[[#This Row],[ATUAL]])</f>
        <v>0</v>
      </c>
      <c r="AF207" s="91">
        <f>SUMIFS(tabela_registros[VALOR],tabela_registros[MÊS],$AE$1,tabela_registros[DIA],reservaoutrosconsolidadoset[[#Headers],[28]],tabela_registros[REGISTRO],DADOS!$N$6,tabela_registros[TIPO],DADOS!$AJ$5,tabela_registros[CATEGORIA],reservaoutrosconsolidadoset[[#This Row],[ATUAL]])</f>
        <v>0</v>
      </c>
      <c r="AG207" s="91">
        <f>SUMIFS(tabela_registros[VALOR],tabela_registros[MÊS],$AE$1,tabela_registros[DIA],reservaoutrosconsolidadoset[[#Headers],[29]],tabela_registros[REGISTRO],DADOS!$N$6,tabela_registros[TIPO],DADOS!$AJ$5,tabela_registros[CATEGORIA],reservaoutrosconsolidadoset[[#This Row],[ATUAL]])</f>
        <v>0</v>
      </c>
      <c r="AH207" s="91">
        <f>SUMIFS(tabela_registros[VALOR],tabela_registros[MÊS],$AE$1,tabela_registros[DIA],reservaoutrosconsolidadoset[[#Headers],[30]],tabela_registros[REGISTRO],DADOS!$N$6,tabela_registros[TIPO],DADOS!$AJ$5,tabela_registros[CATEGORIA],reservaoutrosconsolidadoset[[#This Row],[ATUAL]])</f>
        <v>0</v>
      </c>
      <c r="AI207" s="101">
        <f>SUMIFS(tabela_registros[VALOR],tabela_registros[MÊS],$AE$1,tabela_registros[DIA],reservaoutrosconsolidadoset[[#Headers],[31]],tabela_registros[REGISTRO],DADOS!$N$6,tabela_registros[TIPO],DADOS!$AJ$5,tabela_registros[CATEGORIA],reservaoutrosconsolidadoset[[#This Row],[ATUAL]])</f>
        <v>0</v>
      </c>
      <c r="AJ207" s="97">
        <f>SUM(reservaoutrosconsolidadoset[[#This Row],[1]:[31]])</f>
        <v>0</v>
      </c>
      <c r="AK207" s="25"/>
    </row>
    <row r="208" spans="2:37" ht="19.5" customHeight="1" thickTop="1" thickBot="1" x14ac:dyDescent="0.3">
      <c r="B208" s="28"/>
      <c r="C208" s="27" t="str">
        <f>DADOS!$AP$5</f>
        <v>📝 FUNDO DE INVESTIMENTO</v>
      </c>
      <c r="D208" s="26" t="str">
        <f>IF(reservaoutrosconsolidadoset[[#This Row],[TOTAL (R$)]]=0,"",IF(OR(reservaoutrosconsolidadoset[[#This Row],[TOTAL (R$)]]=LARGE($AJ$206:$AJ$213,1),reservaoutrosconsolidadoset[[#This Row],[TOTAL (R$)]]=LARGE($AJ$206:$AJ$213,2)),DADOS!$I$11,""))</f>
        <v/>
      </c>
      <c r="E208" s="96">
        <f>SUMIFS(tabela_registros[VALOR],tabela_registros[MÊS],$AE$1,tabela_registros[DIA],reservaoutrosconsolidadoset[[#Headers],[1]],tabela_registros[REGISTRO],DADOS!$N$6,tabela_registros[TIPO],DADOS!$AJ$5,tabela_registros[CATEGORIA],reservaoutrosconsolidadoset[[#This Row],[ATUAL]])</f>
        <v>0</v>
      </c>
      <c r="F208" s="91">
        <f>SUMIFS(tabela_registros[VALOR],tabela_registros[MÊS],$AE$1,tabela_registros[DIA],reservaoutrosconsolidadoset[[#Headers],[2]],tabela_registros[REGISTRO],DADOS!$N$6,tabela_registros[TIPO],DADOS!$AJ$5,tabela_registros[CATEGORIA],reservaoutrosconsolidadoset[[#This Row],[ATUAL]])</f>
        <v>0</v>
      </c>
      <c r="G208" s="91">
        <f>SUMIFS(tabela_registros[VALOR],tabela_registros[MÊS],$AE$1,tabela_registros[DIA],reservaoutrosconsolidadoset[[#Headers],[3]],tabela_registros[REGISTRO],DADOS!$N$6,tabela_registros[TIPO],DADOS!$AJ$5,tabela_registros[CATEGORIA],reservaoutrosconsolidadoset[[#This Row],[ATUAL]])</f>
        <v>0</v>
      </c>
      <c r="H208" s="91">
        <f>SUMIFS(tabela_registros[VALOR],tabela_registros[MÊS],$AE$1,tabela_registros[DIA],reservaoutrosconsolidadoset[[#Headers],[4]],tabela_registros[REGISTRO],DADOS!$N$6,tabela_registros[TIPO],DADOS!$AJ$5,tabela_registros[CATEGORIA],reservaoutrosconsolidadoset[[#This Row],[ATUAL]])</f>
        <v>0</v>
      </c>
      <c r="I208" s="91">
        <f>SUMIFS(tabela_registros[VALOR],tabela_registros[MÊS],$AE$1,tabela_registros[DIA],reservaoutrosconsolidadoset[[#Headers],[5]],tabela_registros[REGISTRO],DADOS!$N$6,tabela_registros[TIPO],DADOS!$AJ$5,tabela_registros[CATEGORIA],reservaoutrosconsolidadoset[[#This Row],[ATUAL]])</f>
        <v>0</v>
      </c>
      <c r="J208" s="91">
        <f>SUMIFS(tabela_registros[VALOR],tabela_registros[MÊS],$AE$1,tabela_registros[DIA],reservaoutrosconsolidadoset[[#Headers],[6]],tabela_registros[REGISTRO],DADOS!$N$6,tabela_registros[TIPO],DADOS!$AJ$5,tabela_registros[CATEGORIA],reservaoutrosconsolidadoset[[#This Row],[ATUAL]])</f>
        <v>0</v>
      </c>
      <c r="K208" s="91">
        <f>SUMIFS(tabela_registros[VALOR],tabela_registros[MÊS],$AE$1,tabela_registros[DIA],reservaoutrosconsolidadoset[[#Headers],[7]],tabela_registros[REGISTRO],DADOS!$N$6,tabela_registros[TIPO],DADOS!$AJ$5,tabela_registros[CATEGORIA],reservaoutrosconsolidadoset[[#This Row],[ATUAL]])</f>
        <v>0</v>
      </c>
      <c r="L208" s="91">
        <f>SUMIFS(tabela_registros[VALOR],tabela_registros[MÊS],$AE$1,tabela_registros[DIA],reservaoutrosconsolidadoset[[#Headers],[8]],tabela_registros[REGISTRO],DADOS!$N$6,tabela_registros[TIPO],DADOS!$AJ$5,tabela_registros[CATEGORIA],reservaoutrosconsolidadoset[[#This Row],[ATUAL]])</f>
        <v>0</v>
      </c>
      <c r="M208" s="91">
        <f>SUMIFS(tabela_registros[VALOR],tabela_registros[MÊS],$AE$1,tabela_registros[DIA],reservaoutrosconsolidadoset[[#Headers],[9]],tabela_registros[REGISTRO],DADOS!$N$6,tabela_registros[TIPO],DADOS!$AJ$5,tabela_registros[CATEGORIA],reservaoutrosconsolidadoset[[#This Row],[ATUAL]])</f>
        <v>0</v>
      </c>
      <c r="N208" s="91">
        <f>SUMIFS(tabela_registros[VALOR],tabela_registros[MÊS],$AE$1,tabela_registros[DIA],reservaoutrosconsolidadoset[[#Headers],[10]],tabela_registros[REGISTRO],DADOS!$N$6,tabela_registros[TIPO],DADOS!$AJ$5,tabela_registros[CATEGORIA],reservaoutrosconsolidadoset[[#This Row],[ATUAL]])</f>
        <v>0</v>
      </c>
      <c r="O208" s="91">
        <f>SUMIFS(tabela_registros[VALOR],tabela_registros[MÊS],$AE$1,tabela_registros[DIA],reservaoutrosconsolidadoset[[#Headers],[11]],tabela_registros[REGISTRO],DADOS!$N$6,tabela_registros[TIPO],DADOS!$AJ$5,tabela_registros[CATEGORIA],reservaoutrosconsolidadoset[[#This Row],[ATUAL]])</f>
        <v>0</v>
      </c>
      <c r="P208" s="91">
        <f>SUMIFS(tabela_registros[VALOR],tabela_registros[MÊS],$AE$1,tabela_registros[DIA],reservaoutrosconsolidadoset[[#Headers],[12]],tabela_registros[REGISTRO],DADOS!$N$6,tabela_registros[TIPO],DADOS!$AJ$5,tabela_registros[CATEGORIA],reservaoutrosconsolidadoset[[#This Row],[ATUAL]])</f>
        <v>0</v>
      </c>
      <c r="Q208" s="91">
        <f>SUMIFS(tabela_registros[VALOR],tabela_registros[MÊS],$AE$1,tabela_registros[DIA],reservaoutrosconsolidadoset[[#Headers],[13]],tabela_registros[REGISTRO],DADOS!$N$6,tabela_registros[TIPO],DADOS!$AJ$5,tabela_registros[CATEGORIA],reservaoutrosconsolidadoset[[#This Row],[ATUAL]])</f>
        <v>0</v>
      </c>
      <c r="R208" s="91">
        <f>SUMIFS(tabela_registros[VALOR],tabela_registros[MÊS],$AE$1,tabela_registros[DIA],reservaoutrosconsolidadoset[[#Headers],[14]],tabela_registros[REGISTRO],DADOS!$N$6,tabela_registros[TIPO],DADOS!$AJ$5,tabela_registros[CATEGORIA],reservaoutrosconsolidadoset[[#This Row],[ATUAL]])</f>
        <v>0</v>
      </c>
      <c r="S208" s="91">
        <f>SUMIFS(tabela_registros[VALOR],tabela_registros[MÊS],$AE$1,tabela_registros[DIA],reservaoutrosconsolidadoset[[#Headers],[15]],tabela_registros[REGISTRO],DADOS!$N$6,tabela_registros[TIPO],DADOS!$AJ$5,tabela_registros[CATEGORIA],reservaoutrosconsolidadoset[[#This Row],[ATUAL]])</f>
        <v>0</v>
      </c>
      <c r="T208" s="91">
        <f>SUMIFS(tabela_registros[VALOR],tabela_registros[MÊS],$AE$1,tabela_registros[DIA],reservaoutrosconsolidadoset[[#Headers],[16]],tabela_registros[REGISTRO],DADOS!$N$6,tabela_registros[TIPO],DADOS!$AJ$5,tabela_registros[CATEGORIA],reservaoutrosconsolidadoset[[#This Row],[ATUAL]])</f>
        <v>0</v>
      </c>
      <c r="U208" s="91">
        <f>SUMIFS(tabela_registros[VALOR],tabela_registros[MÊS],$AE$1,tabela_registros[DIA],reservaoutrosconsolidadoset[[#Headers],[17]],tabela_registros[REGISTRO],DADOS!$N$6,tabela_registros[TIPO],DADOS!$AJ$5,tabela_registros[CATEGORIA],reservaoutrosconsolidadoset[[#This Row],[ATUAL]])</f>
        <v>0</v>
      </c>
      <c r="V208" s="91">
        <f>SUMIFS(tabela_registros[VALOR],tabela_registros[MÊS],$AE$1,tabela_registros[DIA],reservaoutrosconsolidadoset[[#Headers],[18]],tabela_registros[REGISTRO],DADOS!$N$6,tabela_registros[TIPO],DADOS!$AJ$5,tabela_registros[CATEGORIA],reservaoutrosconsolidadoset[[#This Row],[ATUAL]])</f>
        <v>0</v>
      </c>
      <c r="W208" s="91">
        <f>SUMIFS(tabela_registros[VALOR],tabela_registros[MÊS],$AE$1,tabela_registros[DIA],reservaoutrosconsolidadoset[[#Headers],[19]],tabela_registros[REGISTRO],DADOS!$N$6,tabela_registros[TIPO],DADOS!$AJ$5,tabela_registros[CATEGORIA],reservaoutrosconsolidadoset[[#This Row],[ATUAL]])</f>
        <v>0</v>
      </c>
      <c r="X208" s="91">
        <f>SUMIFS(tabela_registros[VALOR],tabela_registros[MÊS],$AE$1,tabela_registros[DIA],reservaoutrosconsolidadoset[[#Headers],[20]],tabela_registros[REGISTRO],DADOS!$N$6,tabela_registros[TIPO],DADOS!$AJ$5,tabela_registros[CATEGORIA],reservaoutrosconsolidadoset[[#This Row],[ATUAL]])</f>
        <v>0</v>
      </c>
      <c r="Y208" s="91">
        <f>SUMIFS(tabela_registros[VALOR],tabela_registros[MÊS],$AE$1,tabela_registros[DIA],reservaoutrosconsolidadoset[[#Headers],[21]],tabela_registros[REGISTRO],DADOS!$N$6,tabela_registros[TIPO],DADOS!$AJ$5,tabela_registros[CATEGORIA],reservaoutrosconsolidadoset[[#This Row],[ATUAL]])</f>
        <v>0</v>
      </c>
      <c r="Z208" s="91">
        <f>SUMIFS(tabela_registros[VALOR],tabela_registros[MÊS],$AE$1,tabela_registros[DIA],reservaoutrosconsolidadoset[[#Headers],[22]],tabela_registros[REGISTRO],DADOS!$N$6,tabela_registros[TIPO],DADOS!$AJ$5,tabela_registros[CATEGORIA],reservaoutrosconsolidadoset[[#This Row],[ATUAL]])</f>
        <v>0</v>
      </c>
      <c r="AA208" s="91">
        <f>SUMIFS(tabela_registros[VALOR],tabela_registros[MÊS],$AE$1,tabela_registros[DIA],reservaoutrosconsolidadoset[[#Headers],[23]],tabela_registros[REGISTRO],DADOS!$N$6,tabela_registros[TIPO],DADOS!$AJ$5,tabela_registros[CATEGORIA],reservaoutrosconsolidadoset[[#This Row],[ATUAL]])</f>
        <v>0</v>
      </c>
      <c r="AB208" s="91">
        <f>SUMIFS(tabela_registros[VALOR],tabela_registros[MÊS],$AE$1,tabela_registros[DIA],reservaoutrosconsolidadoset[[#Headers],[24]],tabela_registros[REGISTRO],DADOS!$N$6,tabela_registros[TIPO],DADOS!$AJ$5,tabela_registros[CATEGORIA],reservaoutrosconsolidadoset[[#This Row],[ATUAL]])</f>
        <v>0</v>
      </c>
      <c r="AC208" s="91">
        <f>SUMIFS(tabela_registros[VALOR],tabela_registros[MÊS],$AE$1,tabela_registros[DIA],reservaoutrosconsolidadoset[[#Headers],[25]],tabela_registros[REGISTRO],DADOS!$N$6,tabela_registros[TIPO],DADOS!$AJ$5,tabela_registros[CATEGORIA],reservaoutrosconsolidadoset[[#This Row],[ATUAL]])</f>
        <v>0</v>
      </c>
      <c r="AD208" s="91">
        <f>SUMIFS(tabela_registros[VALOR],tabela_registros[MÊS],$AE$1,tabela_registros[DIA],reservaoutrosconsolidadoset[[#Headers],[26]],tabela_registros[REGISTRO],DADOS!$N$6,tabela_registros[TIPO],DADOS!$AJ$5,tabela_registros[CATEGORIA],reservaoutrosconsolidadoset[[#This Row],[ATUAL]])</f>
        <v>0</v>
      </c>
      <c r="AE208" s="91">
        <f>SUMIFS(tabela_registros[VALOR],tabela_registros[MÊS],$AE$1,tabela_registros[DIA],reservaoutrosconsolidadoset[[#Headers],[27]],tabela_registros[REGISTRO],DADOS!$N$6,tabela_registros[TIPO],DADOS!$AJ$5,tabela_registros[CATEGORIA],reservaoutrosconsolidadoset[[#This Row],[ATUAL]])</f>
        <v>0</v>
      </c>
      <c r="AF208" s="91">
        <f>SUMIFS(tabela_registros[VALOR],tabela_registros[MÊS],$AE$1,tabela_registros[DIA],reservaoutrosconsolidadoset[[#Headers],[28]],tabela_registros[REGISTRO],DADOS!$N$6,tabela_registros[TIPO],DADOS!$AJ$5,tabela_registros[CATEGORIA],reservaoutrosconsolidadoset[[#This Row],[ATUAL]])</f>
        <v>0</v>
      </c>
      <c r="AG208" s="91">
        <f>SUMIFS(tabela_registros[VALOR],tabela_registros[MÊS],$AE$1,tabela_registros[DIA],reservaoutrosconsolidadoset[[#Headers],[29]],tabela_registros[REGISTRO],DADOS!$N$6,tabela_registros[TIPO],DADOS!$AJ$5,tabela_registros[CATEGORIA],reservaoutrosconsolidadoset[[#This Row],[ATUAL]])</f>
        <v>0</v>
      </c>
      <c r="AH208" s="91">
        <f>SUMIFS(tabela_registros[VALOR],tabela_registros[MÊS],$AE$1,tabela_registros[DIA],reservaoutrosconsolidadoset[[#Headers],[30]],tabela_registros[REGISTRO],DADOS!$N$6,tabela_registros[TIPO],DADOS!$AJ$5,tabela_registros[CATEGORIA],reservaoutrosconsolidadoset[[#This Row],[ATUAL]])</f>
        <v>0</v>
      </c>
      <c r="AI208" s="101">
        <f>SUMIFS(tabela_registros[VALOR],tabela_registros[MÊS],$AE$1,tabela_registros[DIA],reservaoutrosconsolidadoset[[#Headers],[31]],tabela_registros[REGISTRO],DADOS!$N$6,tabela_registros[TIPO],DADOS!$AJ$5,tabela_registros[CATEGORIA],reservaoutrosconsolidadoset[[#This Row],[ATUAL]])</f>
        <v>0</v>
      </c>
      <c r="AJ208" s="97">
        <f>SUM(reservaoutrosconsolidadoset[[#This Row],[1]:[31]])</f>
        <v>0</v>
      </c>
      <c r="AK208" s="25"/>
    </row>
    <row r="209" spans="2:37" ht="19.5" customHeight="1" thickTop="1" thickBot="1" x14ac:dyDescent="0.3">
      <c r="B209" s="28"/>
      <c r="C209" s="27" t="str">
        <f>DADOS!$AP$6</f>
        <v>📝 NOVA EMPRESA</v>
      </c>
      <c r="D209" s="26" t="str">
        <f>IF(reservaoutrosconsolidadoset[[#This Row],[TOTAL (R$)]]=0,"",IF(OR(reservaoutrosconsolidadoset[[#This Row],[TOTAL (R$)]]=LARGE($AJ$206:$AJ$213,1),reservaoutrosconsolidadoset[[#This Row],[TOTAL (R$)]]=LARGE($AJ$206:$AJ$213,2)),DADOS!$I$11,""))</f>
        <v/>
      </c>
      <c r="E209" s="96">
        <f>SUMIFS(tabela_registros[VALOR],tabela_registros[MÊS],$AE$1,tabela_registros[DIA],reservaoutrosconsolidadoset[[#Headers],[1]],tabela_registros[REGISTRO],DADOS!$N$6,tabela_registros[TIPO],DADOS!$AJ$5,tabela_registros[CATEGORIA],reservaoutrosconsolidadoset[[#This Row],[ATUAL]])</f>
        <v>0</v>
      </c>
      <c r="F209" s="91">
        <f>SUMIFS(tabela_registros[VALOR],tabela_registros[MÊS],$AE$1,tabela_registros[DIA],reservaoutrosconsolidadoset[[#Headers],[2]],tabela_registros[REGISTRO],DADOS!$N$6,tabela_registros[TIPO],DADOS!$AJ$5,tabela_registros[CATEGORIA],reservaoutrosconsolidadoset[[#This Row],[ATUAL]])</f>
        <v>0</v>
      </c>
      <c r="G209" s="91">
        <f>SUMIFS(tabela_registros[VALOR],tabela_registros[MÊS],$AE$1,tabela_registros[DIA],reservaoutrosconsolidadoset[[#Headers],[3]],tabela_registros[REGISTRO],DADOS!$N$6,tabela_registros[TIPO],DADOS!$AJ$5,tabela_registros[CATEGORIA],reservaoutrosconsolidadoset[[#This Row],[ATUAL]])</f>
        <v>0</v>
      </c>
      <c r="H209" s="91">
        <f>SUMIFS(tabela_registros[VALOR],tabela_registros[MÊS],$AE$1,tabela_registros[DIA],reservaoutrosconsolidadoset[[#Headers],[4]],tabela_registros[REGISTRO],DADOS!$N$6,tabela_registros[TIPO],DADOS!$AJ$5,tabela_registros[CATEGORIA],reservaoutrosconsolidadoset[[#This Row],[ATUAL]])</f>
        <v>0</v>
      </c>
      <c r="I209" s="91">
        <f>SUMIFS(tabela_registros[VALOR],tabela_registros[MÊS],$AE$1,tabela_registros[DIA],reservaoutrosconsolidadoset[[#Headers],[5]],tabela_registros[REGISTRO],DADOS!$N$6,tabela_registros[TIPO],DADOS!$AJ$5,tabela_registros[CATEGORIA],reservaoutrosconsolidadoset[[#This Row],[ATUAL]])</f>
        <v>0</v>
      </c>
      <c r="J209" s="91">
        <f>SUMIFS(tabela_registros[VALOR],tabela_registros[MÊS],$AE$1,tabela_registros[DIA],reservaoutrosconsolidadoset[[#Headers],[6]],tabela_registros[REGISTRO],DADOS!$N$6,tabela_registros[TIPO],DADOS!$AJ$5,tabela_registros[CATEGORIA],reservaoutrosconsolidadoset[[#This Row],[ATUAL]])</f>
        <v>0</v>
      </c>
      <c r="K209" s="91">
        <f>SUMIFS(tabela_registros[VALOR],tabela_registros[MÊS],$AE$1,tabela_registros[DIA],reservaoutrosconsolidadoset[[#Headers],[7]],tabela_registros[REGISTRO],DADOS!$N$6,tabela_registros[TIPO],DADOS!$AJ$5,tabela_registros[CATEGORIA],reservaoutrosconsolidadoset[[#This Row],[ATUAL]])</f>
        <v>0</v>
      </c>
      <c r="L209" s="91">
        <f>SUMIFS(tabela_registros[VALOR],tabela_registros[MÊS],$AE$1,tabela_registros[DIA],reservaoutrosconsolidadoset[[#Headers],[8]],tabela_registros[REGISTRO],DADOS!$N$6,tabela_registros[TIPO],DADOS!$AJ$5,tabela_registros[CATEGORIA],reservaoutrosconsolidadoset[[#This Row],[ATUAL]])</f>
        <v>0</v>
      </c>
      <c r="M209" s="91">
        <f>SUMIFS(tabela_registros[VALOR],tabela_registros[MÊS],$AE$1,tabela_registros[DIA],reservaoutrosconsolidadoset[[#Headers],[9]],tabela_registros[REGISTRO],DADOS!$N$6,tabela_registros[TIPO],DADOS!$AJ$5,tabela_registros[CATEGORIA],reservaoutrosconsolidadoset[[#This Row],[ATUAL]])</f>
        <v>0</v>
      </c>
      <c r="N209" s="91">
        <f>SUMIFS(tabela_registros[VALOR],tabela_registros[MÊS],$AE$1,tabela_registros[DIA],reservaoutrosconsolidadoset[[#Headers],[10]],tabela_registros[REGISTRO],DADOS!$N$6,tabela_registros[TIPO],DADOS!$AJ$5,tabela_registros[CATEGORIA],reservaoutrosconsolidadoset[[#This Row],[ATUAL]])</f>
        <v>0</v>
      </c>
      <c r="O209" s="91">
        <f>SUMIFS(tabela_registros[VALOR],tabela_registros[MÊS],$AE$1,tabela_registros[DIA],reservaoutrosconsolidadoset[[#Headers],[11]],tabela_registros[REGISTRO],DADOS!$N$6,tabela_registros[TIPO],DADOS!$AJ$5,tabela_registros[CATEGORIA],reservaoutrosconsolidadoset[[#This Row],[ATUAL]])</f>
        <v>0</v>
      </c>
      <c r="P209" s="91">
        <f>SUMIFS(tabela_registros[VALOR],tabela_registros[MÊS],$AE$1,tabela_registros[DIA],reservaoutrosconsolidadoset[[#Headers],[12]],tabela_registros[REGISTRO],DADOS!$N$6,tabela_registros[TIPO],DADOS!$AJ$5,tabela_registros[CATEGORIA],reservaoutrosconsolidadoset[[#This Row],[ATUAL]])</f>
        <v>0</v>
      </c>
      <c r="Q209" s="91">
        <f>SUMIFS(tabela_registros[VALOR],tabela_registros[MÊS],$AE$1,tabela_registros[DIA],reservaoutrosconsolidadoset[[#Headers],[13]],tabela_registros[REGISTRO],DADOS!$N$6,tabela_registros[TIPO],DADOS!$AJ$5,tabela_registros[CATEGORIA],reservaoutrosconsolidadoset[[#This Row],[ATUAL]])</f>
        <v>0</v>
      </c>
      <c r="R209" s="91">
        <f>SUMIFS(tabela_registros[VALOR],tabela_registros[MÊS],$AE$1,tabela_registros[DIA],reservaoutrosconsolidadoset[[#Headers],[14]],tabela_registros[REGISTRO],DADOS!$N$6,tabela_registros[TIPO],DADOS!$AJ$5,tabela_registros[CATEGORIA],reservaoutrosconsolidadoset[[#This Row],[ATUAL]])</f>
        <v>0</v>
      </c>
      <c r="S209" s="91">
        <f>SUMIFS(tabela_registros[VALOR],tabela_registros[MÊS],$AE$1,tabela_registros[DIA],reservaoutrosconsolidadoset[[#Headers],[15]],tabela_registros[REGISTRO],DADOS!$N$6,tabela_registros[TIPO],DADOS!$AJ$5,tabela_registros[CATEGORIA],reservaoutrosconsolidadoset[[#This Row],[ATUAL]])</f>
        <v>0</v>
      </c>
      <c r="T209" s="91">
        <f>SUMIFS(tabela_registros[VALOR],tabela_registros[MÊS],$AE$1,tabela_registros[DIA],reservaoutrosconsolidadoset[[#Headers],[16]],tabela_registros[REGISTRO],DADOS!$N$6,tabela_registros[TIPO],DADOS!$AJ$5,tabela_registros[CATEGORIA],reservaoutrosconsolidadoset[[#This Row],[ATUAL]])</f>
        <v>0</v>
      </c>
      <c r="U209" s="91">
        <f>SUMIFS(tabela_registros[VALOR],tabela_registros[MÊS],$AE$1,tabela_registros[DIA],reservaoutrosconsolidadoset[[#Headers],[17]],tabela_registros[REGISTRO],DADOS!$N$6,tabela_registros[TIPO],DADOS!$AJ$5,tabela_registros[CATEGORIA],reservaoutrosconsolidadoset[[#This Row],[ATUAL]])</f>
        <v>0</v>
      </c>
      <c r="V209" s="91">
        <f>SUMIFS(tabela_registros[VALOR],tabela_registros[MÊS],$AE$1,tabela_registros[DIA],reservaoutrosconsolidadoset[[#Headers],[18]],tabela_registros[REGISTRO],DADOS!$N$6,tabela_registros[TIPO],DADOS!$AJ$5,tabela_registros[CATEGORIA],reservaoutrosconsolidadoset[[#This Row],[ATUAL]])</f>
        <v>0</v>
      </c>
      <c r="W209" s="91">
        <f>SUMIFS(tabela_registros[VALOR],tabela_registros[MÊS],$AE$1,tabela_registros[DIA],reservaoutrosconsolidadoset[[#Headers],[19]],tabela_registros[REGISTRO],DADOS!$N$6,tabela_registros[TIPO],DADOS!$AJ$5,tabela_registros[CATEGORIA],reservaoutrosconsolidadoset[[#This Row],[ATUAL]])</f>
        <v>0</v>
      </c>
      <c r="X209" s="91">
        <f>SUMIFS(tabela_registros[VALOR],tabela_registros[MÊS],$AE$1,tabela_registros[DIA],reservaoutrosconsolidadoset[[#Headers],[20]],tabela_registros[REGISTRO],DADOS!$N$6,tabela_registros[TIPO],DADOS!$AJ$5,tabela_registros[CATEGORIA],reservaoutrosconsolidadoset[[#This Row],[ATUAL]])</f>
        <v>0</v>
      </c>
      <c r="Y209" s="91">
        <f>SUMIFS(tabela_registros[VALOR],tabela_registros[MÊS],$AE$1,tabela_registros[DIA],reservaoutrosconsolidadoset[[#Headers],[21]],tabela_registros[REGISTRO],DADOS!$N$6,tabela_registros[TIPO],DADOS!$AJ$5,tabela_registros[CATEGORIA],reservaoutrosconsolidadoset[[#This Row],[ATUAL]])</f>
        <v>0</v>
      </c>
      <c r="Z209" s="91">
        <f>SUMIFS(tabela_registros[VALOR],tabela_registros[MÊS],$AE$1,tabela_registros[DIA],reservaoutrosconsolidadoset[[#Headers],[22]],tabela_registros[REGISTRO],DADOS!$N$6,tabela_registros[TIPO],DADOS!$AJ$5,tabela_registros[CATEGORIA],reservaoutrosconsolidadoset[[#This Row],[ATUAL]])</f>
        <v>0</v>
      </c>
      <c r="AA209" s="91">
        <f>SUMIFS(tabela_registros[VALOR],tabela_registros[MÊS],$AE$1,tabela_registros[DIA],reservaoutrosconsolidadoset[[#Headers],[23]],tabela_registros[REGISTRO],DADOS!$N$6,tabela_registros[TIPO],DADOS!$AJ$5,tabela_registros[CATEGORIA],reservaoutrosconsolidadoset[[#This Row],[ATUAL]])</f>
        <v>0</v>
      </c>
      <c r="AB209" s="91">
        <f>SUMIFS(tabela_registros[VALOR],tabela_registros[MÊS],$AE$1,tabela_registros[DIA],reservaoutrosconsolidadoset[[#Headers],[24]],tabela_registros[REGISTRO],DADOS!$N$6,tabela_registros[TIPO],DADOS!$AJ$5,tabela_registros[CATEGORIA],reservaoutrosconsolidadoset[[#This Row],[ATUAL]])</f>
        <v>0</v>
      </c>
      <c r="AC209" s="91">
        <f>SUMIFS(tabela_registros[VALOR],tabela_registros[MÊS],$AE$1,tabela_registros[DIA],reservaoutrosconsolidadoset[[#Headers],[25]],tabela_registros[REGISTRO],DADOS!$N$6,tabela_registros[TIPO],DADOS!$AJ$5,tabela_registros[CATEGORIA],reservaoutrosconsolidadoset[[#This Row],[ATUAL]])</f>
        <v>0</v>
      </c>
      <c r="AD209" s="91">
        <f>SUMIFS(tabela_registros[VALOR],tabela_registros[MÊS],$AE$1,tabela_registros[DIA],reservaoutrosconsolidadoset[[#Headers],[26]],tabela_registros[REGISTRO],DADOS!$N$6,tabela_registros[TIPO],DADOS!$AJ$5,tabela_registros[CATEGORIA],reservaoutrosconsolidadoset[[#This Row],[ATUAL]])</f>
        <v>0</v>
      </c>
      <c r="AE209" s="91">
        <f>SUMIFS(tabela_registros[VALOR],tabela_registros[MÊS],$AE$1,tabela_registros[DIA],reservaoutrosconsolidadoset[[#Headers],[27]],tabela_registros[REGISTRO],DADOS!$N$6,tabela_registros[TIPO],DADOS!$AJ$5,tabela_registros[CATEGORIA],reservaoutrosconsolidadoset[[#This Row],[ATUAL]])</f>
        <v>0</v>
      </c>
      <c r="AF209" s="91">
        <f>SUMIFS(tabela_registros[VALOR],tabela_registros[MÊS],$AE$1,tabela_registros[DIA],reservaoutrosconsolidadoset[[#Headers],[28]],tabela_registros[REGISTRO],DADOS!$N$6,tabela_registros[TIPO],DADOS!$AJ$5,tabela_registros[CATEGORIA],reservaoutrosconsolidadoset[[#This Row],[ATUAL]])</f>
        <v>0</v>
      </c>
      <c r="AG209" s="91">
        <f>SUMIFS(tabela_registros[VALOR],tabela_registros[MÊS],$AE$1,tabela_registros[DIA],reservaoutrosconsolidadoset[[#Headers],[29]],tabela_registros[REGISTRO],DADOS!$N$6,tabela_registros[TIPO],DADOS!$AJ$5,tabela_registros[CATEGORIA],reservaoutrosconsolidadoset[[#This Row],[ATUAL]])</f>
        <v>0</v>
      </c>
      <c r="AH209" s="91">
        <f>SUMIFS(tabela_registros[VALOR],tabela_registros[MÊS],$AE$1,tabela_registros[DIA],reservaoutrosconsolidadoset[[#Headers],[30]],tabela_registros[REGISTRO],DADOS!$N$6,tabela_registros[TIPO],DADOS!$AJ$5,tabela_registros[CATEGORIA],reservaoutrosconsolidadoset[[#This Row],[ATUAL]])</f>
        <v>0</v>
      </c>
      <c r="AI209" s="101">
        <f>SUMIFS(tabela_registros[VALOR],tabela_registros[MÊS],$AE$1,tabela_registros[DIA],reservaoutrosconsolidadoset[[#Headers],[31]],tabela_registros[REGISTRO],DADOS!$N$6,tabela_registros[TIPO],DADOS!$AJ$5,tabela_registros[CATEGORIA],reservaoutrosconsolidadoset[[#This Row],[ATUAL]])</f>
        <v>0</v>
      </c>
      <c r="AJ209" s="97">
        <f>SUM(reservaoutrosconsolidadoset[[#This Row],[1]:[31]])</f>
        <v>0</v>
      </c>
      <c r="AK209" s="25"/>
    </row>
    <row r="210" spans="2:37" ht="19.5" customHeight="1" thickTop="1" thickBot="1" x14ac:dyDescent="0.3">
      <c r="B210" s="28"/>
      <c r="C210" s="27" t="str">
        <f>DADOS!$AP$7</f>
        <v>📝 PEER TO COMPANY</v>
      </c>
      <c r="D210" s="26" t="str">
        <f>IF(reservaoutrosconsolidadoset[[#This Row],[TOTAL (R$)]]=0,"",IF(OR(reservaoutrosconsolidadoset[[#This Row],[TOTAL (R$)]]=LARGE($AJ$206:$AJ$213,1),reservaoutrosconsolidadoset[[#This Row],[TOTAL (R$)]]=LARGE($AJ$206:$AJ$213,2)),DADOS!$I$11,""))</f>
        <v/>
      </c>
      <c r="E210" s="96">
        <f>SUMIFS(tabela_registros[VALOR],tabela_registros[MÊS],$AE$1,tabela_registros[DIA],reservaoutrosconsolidadoset[[#Headers],[1]],tabela_registros[REGISTRO],DADOS!$N$6,tabela_registros[TIPO],DADOS!$AJ$5,tabela_registros[CATEGORIA],reservaoutrosconsolidadoset[[#This Row],[ATUAL]])</f>
        <v>0</v>
      </c>
      <c r="F210" s="91">
        <f>SUMIFS(tabela_registros[VALOR],tabela_registros[MÊS],$AE$1,tabela_registros[DIA],reservaoutrosconsolidadoset[[#Headers],[2]],tabela_registros[REGISTRO],DADOS!$N$6,tabela_registros[TIPO],DADOS!$AJ$5,tabela_registros[CATEGORIA],reservaoutrosconsolidadoset[[#This Row],[ATUAL]])</f>
        <v>0</v>
      </c>
      <c r="G210" s="91">
        <f>SUMIFS(tabela_registros[VALOR],tabela_registros[MÊS],$AE$1,tabela_registros[DIA],reservaoutrosconsolidadoset[[#Headers],[3]],tabela_registros[REGISTRO],DADOS!$N$6,tabela_registros[TIPO],DADOS!$AJ$5,tabela_registros[CATEGORIA],reservaoutrosconsolidadoset[[#This Row],[ATUAL]])</f>
        <v>0</v>
      </c>
      <c r="H210" s="91">
        <f>SUMIFS(tabela_registros[VALOR],tabela_registros[MÊS],$AE$1,tabela_registros[DIA],reservaoutrosconsolidadoset[[#Headers],[4]],tabela_registros[REGISTRO],DADOS!$N$6,tabela_registros[TIPO],DADOS!$AJ$5,tabela_registros[CATEGORIA],reservaoutrosconsolidadoset[[#This Row],[ATUAL]])</f>
        <v>0</v>
      </c>
      <c r="I210" s="91">
        <f>SUMIFS(tabela_registros[VALOR],tabela_registros[MÊS],$AE$1,tabela_registros[DIA],reservaoutrosconsolidadoset[[#Headers],[5]],tabela_registros[REGISTRO],DADOS!$N$6,tabela_registros[TIPO],DADOS!$AJ$5,tabela_registros[CATEGORIA],reservaoutrosconsolidadoset[[#This Row],[ATUAL]])</f>
        <v>0</v>
      </c>
      <c r="J210" s="91">
        <f>SUMIFS(tabela_registros[VALOR],tabela_registros[MÊS],$AE$1,tabela_registros[DIA],reservaoutrosconsolidadoset[[#Headers],[6]],tabela_registros[REGISTRO],DADOS!$N$6,tabela_registros[TIPO],DADOS!$AJ$5,tabela_registros[CATEGORIA],reservaoutrosconsolidadoset[[#This Row],[ATUAL]])</f>
        <v>0</v>
      </c>
      <c r="K210" s="91">
        <f>SUMIFS(tabela_registros[VALOR],tabela_registros[MÊS],$AE$1,tabela_registros[DIA],reservaoutrosconsolidadoset[[#Headers],[7]],tabela_registros[REGISTRO],DADOS!$N$6,tabela_registros[TIPO],DADOS!$AJ$5,tabela_registros[CATEGORIA],reservaoutrosconsolidadoset[[#This Row],[ATUAL]])</f>
        <v>0</v>
      </c>
      <c r="L210" s="91">
        <f>SUMIFS(tabela_registros[VALOR],tabela_registros[MÊS],$AE$1,tabela_registros[DIA],reservaoutrosconsolidadoset[[#Headers],[8]],tabela_registros[REGISTRO],DADOS!$N$6,tabela_registros[TIPO],DADOS!$AJ$5,tabela_registros[CATEGORIA],reservaoutrosconsolidadoset[[#This Row],[ATUAL]])</f>
        <v>0</v>
      </c>
      <c r="M210" s="91">
        <f>SUMIFS(tabela_registros[VALOR],tabela_registros[MÊS],$AE$1,tabela_registros[DIA],reservaoutrosconsolidadoset[[#Headers],[9]],tabela_registros[REGISTRO],DADOS!$N$6,tabela_registros[TIPO],DADOS!$AJ$5,tabela_registros[CATEGORIA],reservaoutrosconsolidadoset[[#This Row],[ATUAL]])</f>
        <v>0</v>
      </c>
      <c r="N210" s="91">
        <f>SUMIFS(tabela_registros[VALOR],tabela_registros[MÊS],$AE$1,tabela_registros[DIA],reservaoutrosconsolidadoset[[#Headers],[10]],tabela_registros[REGISTRO],DADOS!$N$6,tabela_registros[TIPO],DADOS!$AJ$5,tabela_registros[CATEGORIA],reservaoutrosconsolidadoset[[#This Row],[ATUAL]])</f>
        <v>0</v>
      </c>
      <c r="O210" s="91">
        <f>SUMIFS(tabela_registros[VALOR],tabela_registros[MÊS],$AE$1,tabela_registros[DIA],reservaoutrosconsolidadoset[[#Headers],[11]],tabela_registros[REGISTRO],DADOS!$N$6,tabela_registros[TIPO],DADOS!$AJ$5,tabela_registros[CATEGORIA],reservaoutrosconsolidadoset[[#This Row],[ATUAL]])</f>
        <v>0</v>
      </c>
      <c r="P210" s="91">
        <f>SUMIFS(tabela_registros[VALOR],tabela_registros[MÊS],$AE$1,tabela_registros[DIA],reservaoutrosconsolidadoset[[#Headers],[12]],tabela_registros[REGISTRO],DADOS!$N$6,tabela_registros[TIPO],DADOS!$AJ$5,tabela_registros[CATEGORIA],reservaoutrosconsolidadoset[[#This Row],[ATUAL]])</f>
        <v>0</v>
      </c>
      <c r="Q210" s="91">
        <f>SUMIFS(tabela_registros[VALOR],tabela_registros[MÊS],$AE$1,tabela_registros[DIA],reservaoutrosconsolidadoset[[#Headers],[13]],tabela_registros[REGISTRO],DADOS!$N$6,tabela_registros[TIPO],DADOS!$AJ$5,tabela_registros[CATEGORIA],reservaoutrosconsolidadoset[[#This Row],[ATUAL]])</f>
        <v>0</v>
      </c>
      <c r="R210" s="91">
        <f>SUMIFS(tabela_registros[VALOR],tabela_registros[MÊS],$AE$1,tabela_registros[DIA],reservaoutrosconsolidadoset[[#Headers],[14]],tabela_registros[REGISTRO],DADOS!$N$6,tabela_registros[TIPO],DADOS!$AJ$5,tabela_registros[CATEGORIA],reservaoutrosconsolidadoset[[#This Row],[ATUAL]])</f>
        <v>0</v>
      </c>
      <c r="S210" s="91">
        <f>SUMIFS(tabela_registros[VALOR],tabela_registros[MÊS],$AE$1,tabela_registros[DIA],reservaoutrosconsolidadoset[[#Headers],[15]],tabela_registros[REGISTRO],DADOS!$N$6,tabela_registros[TIPO],DADOS!$AJ$5,tabela_registros[CATEGORIA],reservaoutrosconsolidadoset[[#This Row],[ATUAL]])</f>
        <v>0</v>
      </c>
      <c r="T210" s="91">
        <f>SUMIFS(tabela_registros[VALOR],tabela_registros[MÊS],$AE$1,tabela_registros[DIA],reservaoutrosconsolidadoset[[#Headers],[16]],tabela_registros[REGISTRO],DADOS!$N$6,tabela_registros[TIPO],DADOS!$AJ$5,tabela_registros[CATEGORIA],reservaoutrosconsolidadoset[[#This Row],[ATUAL]])</f>
        <v>0</v>
      </c>
      <c r="U210" s="91">
        <f>SUMIFS(tabela_registros[VALOR],tabela_registros[MÊS],$AE$1,tabela_registros[DIA],reservaoutrosconsolidadoset[[#Headers],[17]],tabela_registros[REGISTRO],DADOS!$N$6,tabela_registros[TIPO],DADOS!$AJ$5,tabela_registros[CATEGORIA],reservaoutrosconsolidadoset[[#This Row],[ATUAL]])</f>
        <v>0</v>
      </c>
      <c r="V210" s="91">
        <f>SUMIFS(tabela_registros[VALOR],tabela_registros[MÊS],$AE$1,tabela_registros[DIA],reservaoutrosconsolidadoset[[#Headers],[18]],tabela_registros[REGISTRO],DADOS!$N$6,tabela_registros[TIPO],DADOS!$AJ$5,tabela_registros[CATEGORIA],reservaoutrosconsolidadoset[[#This Row],[ATUAL]])</f>
        <v>0</v>
      </c>
      <c r="W210" s="91">
        <f>SUMIFS(tabela_registros[VALOR],tabela_registros[MÊS],$AE$1,tabela_registros[DIA],reservaoutrosconsolidadoset[[#Headers],[19]],tabela_registros[REGISTRO],DADOS!$N$6,tabela_registros[TIPO],DADOS!$AJ$5,tabela_registros[CATEGORIA],reservaoutrosconsolidadoset[[#This Row],[ATUAL]])</f>
        <v>0</v>
      </c>
      <c r="X210" s="91">
        <f>SUMIFS(tabela_registros[VALOR],tabela_registros[MÊS],$AE$1,tabela_registros[DIA],reservaoutrosconsolidadoset[[#Headers],[20]],tabela_registros[REGISTRO],DADOS!$N$6,tabela_registros[TIPO],DADOS!$AJ$5,tabela_registros[CATEGORIA],reservaoutrosconsolidadoset[[#This Row],[ATUAL]])</f>
        <v>0</v>
      </c>
      <c r="Y210" s="91">
        <f>SUMIFS(tabela_registros[VALOR],tabela_registros[MÊS],$AE$1,tabela_registros[DIA],reservaoutrosconsolidadoset[[#Headers],[21]],tabela_registros[REGISTRO],DADOS!$N$6,tabela_registros[TIPO],DADOS!$AJ$5,tabela_registros[CATEGORIA],reservaoutrosconsolidadoset[[#This Row],[ATUAL]])</f>
        <v>0</v>
      </c>
      <c r="Z210" s="91">
        <f>SUMIFS(tabela_registros[VALOR],tabela_registros[MÊS],$AE$1,tabela_registros[DIA],reservaoutrosconsolidadoset[[#Headers],[22]],tabela_registros[REGISTRO],DADOS!$N$6,tabela_registros[TIPO],DADOS!$AJ$5,tabela_registros[CATEGORIA],reservaoutrosconsolidadoset[[#This Row],[ATUAL]])</f>
        <v>0</v>
      </c>
      <c r="AA210" s="91">
        <f>SUMIFS(tabela_registros[VALOR],tabela_registros[MÊS],$AE$1,tabela_registros[DIA],reservaoutrosconsolidadoset[[#Headers],[23]],tabela_registros[REGISTRO],DADOS!$N$6,tabela_registros[TIPO],DADOS!$AJ$5,tabela_registros[CATEGORIA],reservaoutrosconsolidadoset[[#This Row],[ATUAL]])</f>
        <v>0</v>
      </c>
      <c r="AB210" s="91">
        <f>SUMIFS(tabela_registros[VALOR],tabela_registros[MÊS],$AE$1,tabela_registros[DIA],reservaoutrosconsolidadoset[[#Headers],[24]],tabela_registros[REGISTRO],DADOS!$N$6,tabela_registros[TIPO],DADOS!$AJ$5,tabela_registros[CATEGORIA],reservaoutrosconsolidadoset[[#This Row],[ATUAL]])</f>
        <v>0</v>
      </c>
      <c r="AC210" s="91">
        <f>SUMIFS(tabela_registros[VALOR],tabela_registros[MÊS],$AE$1,tabela_registros[DIA],reservaoutrosconsolidadoset[[#Headers],[25]],tabela_registros[REGISTRO],DADOS!$N$6,tabela_registros[TIPO],DADOS!$AJ$5,tabela_registros[CATEGORIA],reservaoutrosconsolidadoset[[#This Row],[ATUAL]])</f>
        <v>0</v>
      </c>
      <c r="AD210" s="91">
        <f>SUMIFS(tabela_registros[VALOR],tabela_registros[MÊS],$AE$1,tabela_registros[DIA],reservaoutrosconsolidadoset[[#Headers],[26]],tabela_registros[REGISTRO],DADOS!$N$6,tabela_registros[TIPO],DADOS!$AJ$5,tabela_registros[CATEGORIA],reservaoutrosconsolidadoset[[#This Row],[ATUAL]])</f>
        <v>0</v>
      </c>
      <c r="AE210" s="91">
        <f>SUMIFS(tabela_registros[VALOR],tabela_registros[MÊS],$AE$1,tabela_registros[DIA],reservaoutrosconsolidadoset[[#Headers],[27]],tabela_registros[REGISTRO],DADOS!$N$6,tabela_registros[TIPO],DADOS!$AJ$5,tabela_registros[CATEGORIA],reservaoutrosconsolidadoset[[#This Row],[ATUAL]])</f>
        <v>0</v>
      </c>
      <c r="AF210" s="91">
        <f>SUMIFS(tabela_registros[VALOR],tabela_registros[MÊS],$AE$1,tabela_registros[DIA],reservaoutrosconsolidadoset[[#Headers],[28]],tabela_registros[REGISTRO],DADOS!$N$6,tabela_registros[TIPO],DADOS!$AJ$5,tabela_registros[CATEGORIA],reservaoutrosconsolidadoset[[#This Row],[ATUAL]])</f>
        <v>0</v>
      </c>
      <c r="AG210" s="91">
        <f>SUMIFS(tabela_registros[VALOR],tabela_registros[MÊS],$AE$1,tabela_registros[DIA],reservaoutrosconsolidadoset[[#Headers],[29]],tabela_registros[REGISTRO],DADOS!$N$6,tabela_registros[TIPO],DADOS!$AJ$5,tabela_registros[CATEGORIA],reservaoutrosconsolidadoset[[#This Row],[ATUAL]])</f>
        <v>0</v>
      </c>
      <c r="AH210" s="91">
        <f>SUMIFS(tabela_registros[VALOR],tabela_registros[MÊS],$AE$1,tabela_registros[DIA],reservaoutrosconsolidadoset[[#Headers],[30]],tabela_registros[REGISTRO],DADOS!$N$6,tabela_registros[TIPO],DADOS!$AJ$5,tabela_registros[CATEGORIA],reservaoutrosconsolidadoset[[#This Row],[ATUAL]])</f>
        <v>0</v>
      </c>
      <c r="AI210" s="101">
        <f>SUMIFS(tabela_registros[VALOR],tabela_registros[MÊS],$AE$1,tabela_registros[DIA],reservaoutrosconsolidadoset[[#Headers],[31]],tabela_registros[REGISTRO],DADOS!$N$6,tabela_registros[TIPO],DADOS!$AJ$5,tabela_registros[CATEGORIA],reservaoutrosconsolidadoset[[#This Row],[ATUAL]])</f>
        <v>0</v>
      </c>
      <c r="AJ210" s="97">
        <f>SUM(reservaoutrosconsolidadoset[[#This Row],[1]:[31]])</f>
        <v>0</v>
      </c>
      <c r="AK210" s="25"/>
    </row>
    <row r="211" spans="2:37" ht="19.5" customHeight="1" thickTop="1" thickBot="1" x14ac:dyDescent="0.3">
      <c r="B211" s="28"/>
      <c r="C211" s="27" t="str">
        <f>DADOS!$AP$8</f>
        <v>📝 PEER TO PEER</v>
      </c>
      <c r="D211" s="26" t="str">
        <f>IF(reservaoutrosconsolidadoset[[#This Row],[TOTAL (R$)]]=0,"",IF(OR(reservaoutrosconsolidadoset[[#This Row],[TOTAL (R$)]]=LARGE($AJ$206:$AJ$213,1),reservaoutrosconsolidadoset[[#This Row],[TOTAL (R$)]]=LARGE($AJ$206:$AJ$213,2)),DADOS!$I$11,""))</f>
        <v/>
      </c>
      <c r="E211" s="96">
        <f>SUMIFS(tabela_registros[VALOR],tabela_registros[MÊS],$AE$1,tabela_registros[DIA],reservaoutrosconsolidadoset[[#Headers],[1]],tabela_registros[REGISTRO],DADOS!$N$6,tabela_registros[TIPO],DADOS!$AJ$5,tabela_registros[CATEGORIA],reservaoutrosconsolidadoset[[#This Row],[ATUAL]])</f>
        <v>0</v>
      </c>
      <c r="F211" s="91">
        <f>SUMIFS(tabela_registros[VALOR],tabela_registros[MÊS],$AE$1,tabela_registros[DIA],reservaoutrosconsolidadoset[[#Headers],[2]],tabela_registros[REGISTRO],DADOS!$N$6,tabela_registros[TIPO],DADOS!$AJ$5,tabela_registros[CATEGORIA],reservaoutrosconsolidadoset[[#This Row],[ATUAL]])</f>
        <v>0</v>
      </c>
      <c r="G211" s="91">
        <f>SUMIFS(tabela_registros[VALOR],tabela_registros[MÊS],$AE$1,tabela_registros[DIA],reservaoutrosconsolidadoset[[#Headers],[3]],tabela_registros[REGISTRO],DADOS!$N$6,tabela_registros[TIPO],DADOS!$AJ$5,tabela_registros[CATEGORIA],reservaoutrosconsolidadoset[[#This Row],[ATUAL]])</f>
        <v>0</v>
      </c>
      <c r="H211" s="91">
        <f>SUMIFS(tabela_registros[VALOR],tabela_registros[MÊS],$AE$1,tabela_registros[DIA],reservaoutrosconsolidadoset[[#Headers],[4]],tabela_registros[REGISTRO],DADOS!$N$6,tabela_registros[TIPO],DADOS!$AJ$5,tabela_registros[CATEGORIA],reservaoutrosconsolidadoset[[#This Row],[ATUAL]])</f>
        <v>0</v>
      </c>
      <c r="I211" s="91">
        <f>SUMIFS(tabela_registros[VALOR],tabela_registros[MÊS],$AE$1,tabela_registros[DIA],reservaoutrosconsolidadoset[[#Headers],[5]],tabela_registros[REGISTRO],DADOS!$N$6,tabela_registros[TIPO],DADOS!$AJ$5,tabela_registros[CATEGORIA],reservaoutrosconsolidadoset[[#This Row],[ATUAL]])</f>
        <v>0</v>
      </c>
      <c r="J211" s="91">
        <f>SUMIFS(tabela_registros[VALOR],tabela_registros[MÊS],$AE$1,tabela_registros[DIA],reservaoutrosconsolidadoset[[#Headers],[6]],tabela_registros[REGISTRO],DADOS!$N$6,tabela_registros[TIPO],DADOS!$AJ$5,tabela_registros[CATEGORIA],reservaoutrosconsolidadoset[[#This Row],[ATUAL]])</f>
        <v>0</v>
      </c>
      <c r="K211" s="91">
        <f>SUMIFS(tabela_registros[VALOR],tabela_registros[MÊS],$AE$1,tabela_registros[DIA],reservaoutrosconsolidadoset[[#Headers],[7]],tabela_registros[REGISTRO],DADOS!$N$6,tabela_registros[TIPO],DADOS!$AJ$5,tabela_registros[CATEGORIA],reservaoutrosconsolidadoset[[#This Row],[ATUAL]])</f>
        <v>0</v>
      </c>
      <c r="L211" s="91">
        <f>SUMIFS(tabela_registros[VALOR],tabela_registros[MÊS],$AE$1,tabela_registros[DIA],reservaoutrosconsolidadoset[[#Headers],[8]],tabela_registros[REGISTRO],DADOS!$N$6,tabela_registros[TIPO],DADOS!$AJ$5,tabela_registros[CATEGORIA],reservaoutrosconsolidadoset[[#This Row],[ATUAL]])</f>
        <v>0</v>
      </c>
      <c r="M211" s="91">
        <f>SUMIFS(tabela_registros[VALOR],tabela_registros[MÊS],$AE$1,tabela_registros[DIA],reservaoutrosconsolidadoset[[#Headers],[9]],tabela_registros[REGISTRO],DADOS!$N$6,tabela_registros[TIPO],DADOS!$AJ$5,tabela_registros[CATEGORIA],reservaoutrosconsolidadoset[[#This Row],[ATUAL]])</f>
        <v>0</v>
      </c>
      <c r="N211" s="91">
        <f>SUMIFS(tabela_registros[VALOR],tabela_registros[MÊS],$AE$1,tabela_registros[DIA],reservaoutrosconsolidadoset[[#Headers],[10]],tabela_registros[REGISTRO],DADOS!$N$6,tabela_registros[TIPO],DADOS!$AJ$5,tabela_registros[CATEGORIA],reservaoutrosconsolidadoset[[#This Row],[ATUAL]])</f>
        <v>0</v>
      </c>
      <c r="O211" s="91">
        <f>SUMIFS(tabela_registros[VALOR],tabela_registros[MÊS],$AE$1,tabela_registros[DIA],reservaoutrosconsolidadoset[[#Headers],[11]],tabela_registros[REGISTRO],DADOS!$N$6,tabela_registros[TIPO],DADOS!$AJ$5,tabela_registros[CATEGORIA],reservaoutrosconsolidadoset[[#This Row],[ATUAL]])</f>
        <v>0</v>
      </c>
      <c r="P211" s="91">
        <f>SUMIFS(tabela_registros[VALOR],tabela_registros[MÊS],$AE$1,tabela_registros[DIA],reservaoutrosconsolidadoset[[#Headers],[12]],tabela_registros[REGISTRO],DADOS!$N$6,tabela_registros[TIPO],DADOS!$AJ$5,tabela_registros[CATEGORIA],reservaoutrosconsolidadoset[[#This Row],[ATUAL]])</f>
        <v>0</v>
      </c>
      <c r="Q211" s="91">
        <f>SUMIFS(tabela_registros[VALOR],tabela_registros[MÊS],$AE$1,tabela_registros[DIA],reservaoutrosconsolidadoset[[#Headers],[13]],tabela_registros[REGISTRO],DADOS!$N$6,tabela_registros[TIPO],DADOS!$AJ$5,tabela_registros[CATEGORIA],reservaoutrosconsolidadoset[[#This Row],[ATUAL]])</f>
        <v>0</v>
      </c>
      <c r="R211" s="91">
        <f>SUMIFS(tabela_registros[VALOR],tabela_registros[MÊS],$AE$1,tabela_registros[DIA],reservaoutrosconsolidadoset[[#Headers],[14]],tabela_registros[REGISTRO],DADOS!$N$6,tabela_registros[TIPO],DADOS!$AJ$5,tabela_registros[CATEGORIA],reservaoutrosconsolidadoset[[#This Row],[ATUAL]])</f>
        <v>0</v>
      </c>
      <c r="S211" s="91">
        <f>SUMIFS(tabela_registros[VALOR],tabela_registros[MÊS],$AE$1,tabela_registros[DIA],reservaoutrosconsolidadoset[[#Headers],[15]],tabela_registros[REGISTRO],DADOS!$N$6,tabela_registros[TIPO],DADOS!$AJ$5,tabela_registros[CATEGORIA],reservaoutrosconsolidadoset[[#This Row],[ATUAL]])</f>
        <v>0</v>
      </c>
      <c r="T211" s="91">
        <f>SUMIFS(tabela_registros[VALOR],tabela_registros[MÊS],$AE$1,tabela_registros[DIA],reservaoutrosconsolidadoset[[#Headers],[16]],tabela_registros[REGISTRO],DADOS!$N$6,tabela_registros[TIPO],DADOS!$AJ$5,tabela_registros[CATEGORIA],reservaoutrosconsolidadoset[[#This Row],[ATUAL]])</f>
        <v>0</v>
      </c>
      <c r="U211" s="91">
        <f>SUMIFS(tabela_registros[VALOR],tabela_registros[MÊS],$AE$1,tabela_registros[DIA],reservaoutrosconsolidadoset[[#Headers],[17]],tabela_registros[REGISTRO],DADOS!$N$6,tabela_registros[TIPO],DADOS!$AJ$5,tabela_registros[CATEGORIA],reservaoutrosconsolidadoset[[#This Row],[ATUAL]])</f>
        <v>0</v>
      </c>
      <c r="V211" s="91">
        <f>SUMIFS(tabela_registros[VALOR],tabela_registros[MÊS],$AE$1,tabela_registros[DIA],reservaoutrosconsolidadoset[[#Headers],[18]],tabela_registros[REGISTRO],DADOS!$N$6,tabela_registros[TIPO],DADOS!$AJ$5,tabela_registros[CATEGORIA],reservaoutrosconsolidadoset[[#This Row],[ATUAL]])</f>
        <v>0</v>
      </c>
      <c r="W211" s="91">
        <f>SUMIFS(tabela_registros[VALOR],tabela_registros[MÊS],$AE$1,tabela_registros[DIA],reservaoutrosconsolidadoset[[#Headers],[19]],tabela_registros[REGISTRO],DADOS!$N$6,tabela_registros[TIPO],DADOS!$AJ$5,tabela_registros[CATEGORIA],reservaoutrosconsolidadoset[[#This Row],[ATUAL]])</f>
        <v>0</v>
      </c>
      <c r="X211" s="91">
        <f>SUMIFS(tabela_registros[VALOR],tabela_registros[MÊS],$AE$1,tabela_registros[DIA],reservaoutrosconsolidadoset[[#Headers],[20]],tabela_registros[REGISTRO],DADOS!$N$6,tabela_registros[TIPO],DADOS!$AJ$5,tabela_registros[CATEGORIA],reservaoutrosconsolidadoset[[#This Row],[ATUAL]])</f>
        <v>0</v>
      </c>
      <c r="Y211" s="91">
        <f>SUMIFS(tabela_registros[VALOR],tabela_registros[MÊS],$AE$1,tabela_registros[DIA],reservaoutrosconsolidadoset[[#Headers],[21]],tabela_registros[REGISTRO],DADOS!$N$6,tabela_registros[TIPO],DADOS!$AJ$5,tabela_registros[CATEGORIA],reservaoutrosconsolidadoset[[#This Row],[ATUAL]])</f>
        <v>0</v>
      </c>
      <c r="Z211" s="91">
        <f>SUMIFS(tabela_registros[VALOR],tabela_registros[MÊS],$AE$1,tabela_registros[DIA],reservaoutrosconsolidadoset[[#Headers],[22]],tabela_registros[REGISTRO],DADOS!$N$6,tabela_registros[TIPO],DADOS!$AJ$5,tabela_registros[CATEGORIA],reservaoutrosconsolidadoset[[#This Row],[ATUAL]])</f>
        <v>0</v>
      </c>
      <c r="AA211" s="91">
        <f>SUMIFS(tabela_registros[VALOR],tabela_registros[MÊS],$AE$1,tabela_registros[DIA],reservaoutrosconsolidadoset[[#Headers],[23]],tabela_registros[REGISTRO],DADOS!$N$6,tabela_registros[TIPO],DADOS!$AJ$5,tabela_registros[CATEGORIA],reservaoutrosconsolidadoset[[#This Row],[ATUAL]])</f>
        <v>0</v>
      </c>
      <c r="AB211" s="91">
        <f>SUMIFS(tabela_registros[VALOR],tabela_registros[MÊS],$AE$1,tabela_registros[DIA],reservaoutrosconsolidadoset[[#Headers],[24]],tabela_registros[REGISTRO],DADOS!$N$6,tabela_registros[TIPO],DADOS!$AJ$5,tabela_registros[CATEGORIA],reservaoutrosconsolidadoset[[#This Row],[ATUAL]])</f>
        <v>0</v>
      </c>
      <c r="AC211" s="91">
        <f>SUMIFS(tabela_registros[VALOR],tabela_registros[MÊS],$AE$1,tabela_registros[DIA],reservaoutrosconsolidadoset[[#Headers],[25]],tabela_registros[REGISTRO],DADOS!$N$6,tabela_registros[TIPO],DADOS!$AJ$5,tabela_registros[CATEGORIA],reservaoutrosconsolidadoset[[#This Row],[ATUAL]])</f>
        <v>0</v>
      </c>
      <c r="AD211" s="91">
        <f>SUMIFS(tabela_registros[VALOR],tabela_registros[MÊS],$AE$1,tabela_registros[DIA],reservaoutrosconsolidadoset[[#Headers],[26]],tabela_registros[REGISTRO],DADOS!$N$6,tabela_registros[TIPO],DADOS!$AJ$5,tabela_registros[CATEGORIA],reservaoutrosconsolidadoset[[#This Row],[ATUAL]])</f>
        <v>0</v>
      </c>
      <c r="AE211" s="91">
        <f>SUMIFS(tabela_registros[VALOR],tabela_registros[MÊS],$AE$1,tabela_registros[DIA],reservaoutrosconsolidadoset[[#Headers],[27]],tabela_registros[REGISTRO],DADOS!$N$6,tabela_registros[TIPO],DADOS!$AJ$5,tabela_registros[CATEGORIA],reservaoutrosconsolidadoset[[#This Row],[ATUAL]])</f>
        <v>0</v>
      </c>
      <c r="AF211" s="91">
        <f>SUMIFS(tabela_registros[VALOR],tabela_registros[MÊS],$AE$1,tabela_registros[DIA],reservaoutrosconsolidadoset[[#Headers],[28]],tabela_registros[REGISTRO],DADOS!$N$6,tabela_registros[TIPO],DADOS!$AJ$5,tabela_registros[CATEGORIA],reservaoutrosconsolidadoset[[#This Row],[ATUAL]])</f>
        <v>0</v>
      </c>
      <c r="AG211" s="91">
        <f>SUMIFS(tabela_registros[VALOR],tabela_registros[MÊS],$AE$1,tabela_registros[DIA],reservaoutrosconsolidadoset[[#Headers],[29]],tabela_registros[REGISTRO],DADOS!$N$6,tabela_registros[TIPO],DADOS!$AJ$5,tabela_registros[CATEGORIA],reservaoutrosconsolidadoset[[#This Row],[ATUAL]])</f>
        <v>0</v>
      </c>
      <c r="AH211" s="91">
        <f>SUMIFS(tabela_registros[VALOR],tabela_registros[MÊS],$AE$1,tabela_registros[DIA],reservaoutrosconsolidadoset[[#Headers],[30]],tabela_registros[REGISTRO],DADOS!$N$6,tabela_registros[TIPO],DADOS!$AJ$5,tabela_registros[CATEGORIA],reservaoutrosconsolidadoset[[#This Row],[ATUAL]])</f>
        <v>0</v>
      </c>
      <c r="AI211" s="101">
        <f>SUMIFS(tabela_registros[VALOR],tabela_registros[MÊS],$AE$1,tabela_registros[DIA],reservaoutrosconsolidadoset[[#Headers],[31]],tabela_registros[REGISTRO],DADOS!$N$6,tabela_registros[TIPO],DADOS!$AJ$5,tabela_registros[CATEGORIA],reservaoutrosconsolidadoset[[#This Row],[ATUAL]])</f>
        <v>0</v>
      </c>
      <c r="AJ211" s="97">
        <f>SUM(reservaoutrosconsolidadoset[[#This Row],[1]:[31]])</f>
        <v>0</v>
      </c>
      <c r="AK211" s="25"/>
    </row>
    <row r="212" spans="2:37" ht="19.5" customHeight="1" thickTop="1" thickBot="1" x14ac:dyDescent="0.3">
      <c r="B212" s="28"/>
      <c r="C212" s="27" t="str">
        <f>DADOS!$AP$9</f>
        <v>📝 PREVIDÊNCIA PRIVADA</v>
      </c>
      <c r="D212" s="26" t="str">
        <f>IF(reservaoutrosconsolidadoset[[#This Row],[TOTAL (R$)]]=0,"",IF(OR(reservaoutrosconsolidadoset[[#This Row],[TOTAL (R$)]]=LARGE($AJ$206:$AJ$213,1),reservaoutrosconsolidadoset[[#This Row],[TOTAL (R$)]]=LARGE($AJ$206:$AJ$213,2)),DADOS!$I$11,""))</f>
        <v/>
      </c>
      <c r="E212" s="96">
        <f>SUMIFS(tabela_registros[VALOR],tabela_registros[MÊS],$AE$1,tabela_registros[DIA],reservaoutrosconsolidadoset[[#Headers],[1]],tabela_registros[REGISTRO],DADOS!$N$6,tabela_registros[TIPO],DADOS!$AJ$5,tabela_registros[CATEGORIA],reservaoutrosconsolidadoset[[#This Row],[ATUAL]])</f>
        <v>0</v>
      </c>
      <c r="F212" s="91">
        <f>SUMIFS(tabela_registros[VALOR],tabela_registros[MÊS],$AE$1,tabela_registros[DIA],reservaoutrosconsolidadoset[[#Headers],[2]],tabela_registros[REGISTRO],DADOS!$N$6,tabela_registros[TIPO],DADOS!$AJ$5,tabela_registros[CATEGORIA],reservaoutrosconsolidadoset[[#This Row],[ATUAL]])</f>
        <v>0</v>
      </c>
      <c r="G212" s="91">
        <f>SUMIFS(tabela_registros[VALOR],tabela_registros[MÊS],$AE$1,tabela_registros[DIA],reservaoutrosconsolidadoset[[#Headers],[3]],tabela_registros[REGISTRO],DADOS!$N$6,tabela_registros[TIPO],DADOS!$AJ$5,tabela_registros[CATEGORIA],reservaoutrosconsolidadoset[[#This Row],[ATUAL]])</f>
        <v>0</v>
      </c>
      <c r="H212" s="91">
        <f>SUMIFS(tabela_registros[VALOR],tabela_registros[MÊS],$AE$1,tabela_registros[DIA],reservaoutrosconsolidadoset[[#Headers],[4]],tabela_registros[REGISTRO],DADOS!$N$6,tabela_registros[TIPO],DADOS!$AJ$5,tabela_registros[CATEGORIA],reservaoutrosconsolidadoset[[#This Row],[ATUAL]])</f>
        <v>0</v>
      </c>
      <c r="I212" s="91">
        <f>SUMIFS(tabela_registros[VALOR],tabela_registros[MÊS],$AE$1,tabela_registros[DIA],reservaoutrosconsolidadoset[[#Headers],[5]],tabela_registros[REGISTRO],DADOS!$N$6,tabela_registros[TIPO],DADOS!$AJ$5,tabela_registros[CATEGORIA],reservaoutrosconsolidadoset[[#This Row],[ATUAL]])</f>
        <v>0</v>
      </c>
      <c r="J212" s="91">
        <f>SUMIFS(tabela_registros[VALOR],tabela_registros[MÊS],$AE$1,tabela_registros[DIA],reservaoutrosconsolidadoset[[#Headers],[6]],tabela_registros[REGISTRO],DADOS!$N$6,tabela_registros[TIPO],DADOS!$AJ$5,tabela_registros[CATEGORIA],reservaoutrosconsolidadoset[[#This Row],[ATUAL]])</f>
        <v>0</v>
      </c>
      <c r="K212" s="91">
        <f>SUMIFS(tabela_registros[VALOR],tabela_registros[MÊS],$AE$1,tabela_registros[DIA],reservaoutrosconsolidadoset[[#Headers],[7]],tabela_registros[REGISTRO],DADOS!$N$6,tabela_registros[TIPO],DADOS!$AJ$5,tabela_registros[CATEGORIA],reservaoutrosconsolidadoset[[#This Row],[ATUAL]])</f>
        <v>0</v>
      </c>
      <c r="L212" s="91">
        <f>SUMIFS(tabela_registros[VALOR],tabela_registros[MÊS],$AE$1,tabela_registros[DIA],reservaoutrosconsolidadoset[[#Headers],[8]],tabela_registros[REGISTRO],DADOS!$N$6,tabela_registros[TIPO],DADOS!$AJ$5,tabela_registros[CATEGORIA],reservaoutrosconsolidadoset[[#This Row],[ATUAL]])</f>
        <v>0</v>
      </c>
      <c r="M212" s="91">
        <f>SUMIFS(tabela_registros[VALOR],tabela_registros[MÊS],$AE$1,tabela_registros[DIA],reservaoutrosconsolidadoset[[#Headers],[9]],tabela_registros[REGISTRO],DADOS!$N$6,tabela_registros[TIPO],DADOS!$AJ$5,tabela_registros[CATEGORIA],reservaoutrosconsolidadoset[[#This Row],[ATUAL]])</f>
        <v>0</v>
      </c>
      <c r="N212" s="91">
        <f>SUMIFS(tabela_registros[VALOR],tabela_registros[MÊS],$AE$1,tabela_registros[DIA],reservaoutrosconsolidadoset[[#Headers],[10]],tabela_registros[REGISTRO],DADOS!$N$6,tabela_registros[TIPO],DADOS!$AJ$5,tabela_registros[CATEGORIA],reservaoutrosconsolidadoset[[#This Row],[ATUAL]])</f>
        <v>0</v>
      </c>
      <c r="O212" s="91">
        <f>SUMIFS(tabela_registros[VALOR],tabela_registros[MÊS],$AE$1,tabela_registros[DIA],reservaoutrosconsolidadoset[[#Headers],[11]],tabela_registros[REGISTRO],DADOS!$N$6,tabela_registros[TIPO],DADOS!$AJ$5,tabela_registros[CATEGORIA],reservaoutrosconsolidadoset[[#This Row],[ATUAL]])</f>
        <v>0</v>
      </c>
      <c r="P212" s="91">
        <f>SUMIFS(tabela_registros[VALOR],tabela_registros[MÊS],$AE$1,tabela_registros[DIA],reservaoutrosconsolidadoset[[#Headers],[12]],tabela_registros[REGISTRO],DADOS!$N$6,tabela_registros[TIPO],DADOS!$AJ$5,tabela_registros[CATEGORIA],reservaoutrosconsolidadoset[[#This Row],[ATUAL]])</f>
        <v>0</v>
      </c>
      <c r="Q212" s="91">
        <f>SUMIFS(tabela_registros[VALOR],tabela_registros[MÊS],$AE$1,tabela_registros[DIA],reservaoutrosconsolidadoset[[#Headers],[13]],tabela_registros[REGISTRO],DADOS!$N$6,tabela_registros[TIPO],DADOS!$AJ$5,tabela_registros[CATEGORIA],reservaoutrosconsolidadoset[[#This Row],[ATUAL]])</f>
        <v>0</v>
      </c>
      <c r="R212" s="91">
        <f>SUMIFS(tabela_registros[VALOR],tabela_registros[MÊS],$AE$1,tabela_registros[DIA],reservaoutrosconsolidadoset[[#Headers],[14]],tabela_registros[REGISTRO],DADOS!$N$6,tabela_registros[TIPO],DADOS!$AJ$5,tabela_registros[CATEGORIA],reservaoutrosconsolidadoset[[#This Row],[ATUAL]])</f>
        <v>0</v>
      </c>
      <c r="S212" s="91">
        <f>SUMIFS(tabela_registros[VALOR],tabela_registros[MÊS],$AE$1,tabela_registros[DIA],reservaoutrosconsolidadoset[[#Headers],[15]],tabela_registros[REGISTRO],DADOS!$N$6,tabela_registros[TIPO],DADOS!$AJ$5,tabela_registros[CATEGORIA],reservaoutrosconsolidadoset[[#This Row],[ATUAL]])</f>
        <v>0</v>
      </c>
      <c r="T212" s="91">
        <f>SUMIFS(tabela_registros[VALOR],tabela_registros[MÊS],$AE$1,tabela_registros[DIA],reservaoutrosconsolidadoset[[#Headers],[16]],tabela_registros[REGISTRO],DADOS!$N$6,tabela_registros[TIPO],DADOS!$AJ$5,tabela_registros[CATEGORIA],reservaoutrosconsolidadoset[[#This Row],[ATUAL]])</f>
        <v>0</v>
      </c>
      <c r="U212" s="91">
        <f>SUMIFS(tabela_registros[VALOR],tabela_registros[MÊS],$AE$1,tabela_registros[DIA],reservaoutrosconsolidadoset[[#Headers],[17]],tabela_registros[REGISTRO],DADOS!$N$6,tabela_registros[TIPO],DADOS!$AJ$5,tabela_registros[CATEGORIA],reservaoutrosconsolidadoset[[#This Row],[ATUAL]])</f>
        <v>0</v>
      </c>
      <c r="V212" s="91">
        <f>SUMIFS(tabela_registros[VALOR],tabela_registros[MÊS],$AE$1,tabela_registros[DIA],reservaoutrosconsolidadoset[[#Headers],[18]],tabela_registros[REGISTRO],DADOS!$N$6,tabela_registros[TIPO],DADOS!$AJ$5,tabela_registros[CATEGORIA],reservaoutrosconsolidadoset[[#This Row],[ATUAL]])</f>
        <v>0</v>
      </c>
      <c r="W212" s="91">
        <f>SUMIFS(tabela_registros[VALOR],tabela_registros[MÊS],$AE$1,tabela_registros[DIA],reservaoutrosconsolidadoset[[#Headers],[19]],tabela_registros[REGISTRO],DADOS!$N$6,tabela_registros[TIPO],DADOS!$AJ$5,tabela_registros[CATEGORIA],reservaoutrosconsolidadoset[[#This Row],[ATUAL]])</f>
        <v>0</v>
      </c>
      <c r="X212" s="91">
        <f>SUMIFS(tabela_registros[VALOR],tabela_registros[MÊS],$AE$1,tabela_registros[DIA],reservaoutrosconsolidadoset[[#Headers],[20]],tabela_registros[REGISTRO],DADOS!$N$6,tabela_registros[TIPO],DADOS!$AJ$5,tabela_registros[CATEGORIA],reservaoutrosconsolidadoset[[#This Row],[ATUAL]])</f>
        <v>0</v>
      </c>
      <c r="Y212" s="91">
        <f>SUMIFS(tabela_registros[VALOR],tabela_registros[MÊS],$AE$1,tabela_registros[DIA],reservaoutrosconsolidadoset[[#Headers],[21]],tabela_registros[REGISTRO],DADOS!$N$6,tabela_registros[TIPO],DADOS!$AJ$5,tabela_registros[CATEGORIA],reservaoutrosconsolidadoset[[#This Row],[ATUAL]])</f>
        <v>0</v>
      </c>
      <c r="Z212" s="91">
        <f>SUMIFS(tabela_registros[VALOR],tabela_registros[MÊS],$AE$1,tabela_registros[DIA],reservaoutrosconsolidadoset[[#Headers],[22]],tabela_registros[REGISTRO],DADOS!$N$6,tabela_registros[TIPO],DADOS!$AJ$5,tabela_registros[CATEGORIA],reservaoutrosconsolidadoset[[#This Row],[ATUAL]])</f>
        <v>0</v>
      </c>
      <c r="AA212" s="91">
        <f>SUMIFS(tabela_registros[VALOR],tabela_registros[MÊS],$AE$1,tabela_registros[DIA],reservaoutrosconsolidadoset[[#Headers],[23]],tabela_registros[REGISTRO],DADOS!$N$6,tabela_registros[TIPO],DADOS!$AJ$5,tabela_registros[CATEGORIA],reservaoutrosconsolidadoset[[#This Row],[ATUAL]])</f>
        <v>0</v>
      </c>
      <c r="AB212" s="91">
        <f>SUMIFS(tabela_registros[VALOR],tabela_registros[MÊS],$AE$1,tabela_registros[DIA],reservaoutrosconsolidadoset[[#Headers],[24]],tabela_registros[REGISTRO],DADOS!$N$6,tabela_registros[TIPO],DADOS!$AJ$5,tabela_registros[CATEGORIA],reservaoutrosconsolidadoset[[#This Row],[ATUAL]])</f>
        <v>0</v>
      </c>
      <c r="AC212" s="91">
        <f>SUMIFS(tabela_registros[VALOR],tabela_registros[MÊS],$AE$1,tabela_registros[DIA],reservaoutrosconsolidadoset[[#Headers],[25]],tabela_registros[REGISTRO],DADOS!$N$6,tabela_registros[TIPO],DADOS!$AJ$5,tabela_registros[CATEGORIA],reservaoutrosconsolidadoset[[#This Row],[ATUAL]])</f>
        <v>0</v>
      </c>
      <c r="AD212" s="91">
        <f>SUMIFS(tabela_registros[VALOR],tabela_registros[MÊS],$AE$1,tabela_registros[DIA],reservaoutrosconsolidadoset[[#Headers],[26]],tabela_registros[REGISTRO],DADOS!$N$6,tabela_registros[TIPO],DADOS!$AJ$5,tabela_registros[CATEGORIA],reservaoutrosconsolidadoset[[#This Row],[ATUAL]])</f>
        <v>0</v>
      </c>
      <c r="AE212" s="91">
        <f>SUMIFS(tabela_registros[VALOR],tabela_registros[MÊS],$AE$1,tabela_registros[DIA],reservaoutrosconsolidadoset[[#Headers],[27]],tabela_registros[REGISTRO],DADOS!$N$6,tabela_registros[TIPO],DADOS!$AJ$5,tabela_registros[CATEGORIA],reservaoutrosconsolidadoset[[#This Row],[ATUAL]])</f>
        <v>0</v>
      </c>
      <c r="AF212" s="91">
        <f>SUMIFS(tabela_registros[VALOR],tabela_registros[MÊS],$AE$1,tabela_registros[DIA],reservaoutrosconsolidadoset[[#Headers],[28]],tabela_registros[REGISTRO],DADOS!$N$6,tabela_registros[TIPO],DADOS!$AJ$5,tabela_registros[CATEGORIA],reservaoutrosconsolidadoset[[#This Row],[ATUAL]])</f>
        <v>0</v>
      </c>
      <c r="AG212" s="91">
        <f>SUMIFS(tabela_registros[VALOR],tabela_registros[MÊS],$AE$1,tabela_registros[DIA],reservaoutrosconsolidadoset[[#Headers],[29]],tabela_registros[REGISTRO],DADOS!$N$6,tabela_registros[TIPO],DADOS!$AJ$5,tabela_registros[CATEGORIA],reservaoutrosconsolidadoset[[#This Row],[ATUAL]])</f>
        <v>0</v>
      </c>
      <c r="AH212" s="91">
        <f>SUMIFS(tabela_registros[VALOR],tabela_registros[MÊS],$AE$1,tabela_registros[DIA],reservaoutrosconsolidadoset[[#Headers],[30]],tabela_registros[REGISTRO],DADOS!$N$6,tabela_registros[TIPO],DADOS!$AJ$5,tabela_registros[CATEGORIA],reservaoutrosconsolidadoset[[#This Row],[ATUAL]])</f>
        <v>0</v>
      </c>
      <c r="AI212" s="101">
        <f>SUMIFS(tabela_registros[VALOR],tabela_registros[MÊS],$AE$1,tabela_registros[DIA],reservaoutrosconsolidadoset[[#Headers],[31]],tabela_registros[REGISTRO],DADOS!$N$6,tabela_registros[TIPO],DADOS!$AJ$5,tabela_registros[CATEGORIA],reservaoutrosconsolidadoset[[#This Row],[ATUAL]])</f>
        <v>0</v>
      </c>
      <c r="AJ212" s="97">
        <f>SUM(reservaoutrosconsolidadoset[[#This Row],[1]:[31]])</f>
        <v>0</v>
      </c>
      <c r="AK212" s="25"/>
    </row>
    <row r="213" spans="2:37" ht="19.5" customHeight="1" thickTop="1" thickBot="1" x14ac:dyDescent="0.3">
      <c r="B213" s="28"/>
      <c r="C213" s="27" t="str">
        <f>DADOS!$AP$10</f>
        <v>📎 OUTROS</v>
      </c>
      <c r="D213" s="26" t="str">
        <f>IF(reservaoutrosconsolidadoset[[#This Row],[TOTAL (R$)]]=0,"",IF(OR(reservaoutrosconsolidadoset[[#This Row],[TOTAL (R$)]]=LARGE($AJ$206:$AJ$213,1),reservaoutrosconsolidadoset[[#This Row],[TOTAL (R$)]]=LARGE($AJ$206:$AJ$213,2)),DADOS!$I$11,""))</f>
        <v/>
      </c>
      <c r="E213" s="96">
        <f>SUMIFS(tabela_registros[VALOR],tabela_registros[MÊS],$AE$1,tabela_registros[DIA],reservaoutrosconsolidadoset[[#Headers],[1]],tabela_registros[REGISTRO],DADOS!$N$6,tabela_registros[TIPO],DADOS!$AJ$5,tabela_registros[CATEGORIA],reservaoutrosconsolidadoset[[#This Row],[ATUAL]])</f>
        <v>0</v>
      </c>
      <c r="F213" s="91">
        <f>SUMIFS(tabela_registros[VALOR],tabela_registros[MÊS],$AE$1,tabela_registros[DIA],reservaoutrosconsolidadoset[[#Headers],[2]],tabela_registros[REGISTRO],DADOS!$N$6,tabela_registros[TIPO],DADOS!$AJ$5,tabela_registros[CATEGORIA],reservaoutrosconsolidadoset[[#This Row],[ATUAL]])</f>
        <v>0</v>
      </c>
      <c r="G213" s="91">
        <f>SUMIFS(tabela_registros[VALOR],tabela_registros[MÊS],$AE$1,tabela_registros[DIA],reservaoutrosconsolidadoset[[#Headers],[3]],tabela_registros[REGISTRO],DADOS!$N$6,tabela_registros[TIPO],DADOS!$AJ$5,tabela_registros[CATEGORIA],reservaoutrosconsolidadoset[[#This Row],[ATUAL]])</f>
        <v>0</v>
      </c>
      <c r="H213" s="91">
        <f>SUMIFS(tabela_registros[VALOR],tabela_registros[MÊS],$AE$1,tabela_registros[DIA],reservaoutrosconsolidadoset[[#Headers],[4]],tabela_registros[REGISTRO],DADOS!$N$6,tabela_registros[TIPO],DADOS!$AJ$5,tabela_registros[CATEGORIA],reservaoutrosconsolidadoset[[#This Row],[ATUAL]])</f>
        <v>0</v>
      </c>
      <c r="I213" s="91">
        <f>SUMIFS(tabela_registros[VALOR],tabela_registros[MÊS],$AE$1,tabela_registros[DIA],reservaoutrosconsolidadoset[[#Headers],[5]],tabela_registros[REGISTRO],DADOS!$N$6,tabela_registros[TIPO],DADOS!$AJ$5,tabela_registros[CATEGORIA],reservaoutrosconsolidadoset[[#This Row],[ATUAL]])</f>
        <v>0</v>
      </c>
      <c r="J213" s="91">
        <f>SUMIFS(tabela_registros[VALOR],tabela_registros[MÊS],$AE$1,tabela_registros[DIA],reservaoutrosconsolidadoset[[#Headers],[6]],tabela_registros[REGISTRO],DADOS!$N$6,tabela_registros[TIPO],DADOS!$AJ$5,tabela_registros[CATEGORIA],reservaoutrosconsolidadoset[[#This Row],[ATUAL]])</f>
        <v>0</v>
      </c>
      <c r="K213" s="91">
        <f>SUMIFS(tabela_registros[VALOR],tabela_registros[MÊS],$AE$1,tabela_registros[DIA],reservaoutrosconsolidadoset[[#Headers],[7]],tabela_registros[REGISTRO],DADOS!$N$6,tabela_registros[TIPO],DADOS!$AJ$5,tabela_registros[CATEGORIA],reservaoutrosconsolidadoset[[#This Row],[ATUAL]])</f>
        <v>0</v>
      </c>
      <c r="L213" s="91">
        <f>SUMIFS(tabela_registros[VALOR],tabela_registros[MÊS],$AE$1,tabela_registros[DIA],reservaoutrosconsolidadoset[[#Headers],[8]],tabela_registros[REGISTRO],DADOS!$N$6,tabela_registros[TIPO],DADOS!$AJ$5,tabela_registros[CATEGORIA],reservaoutrosconsolidadoset[[#This Row],[ATUAL]])</f>
        <v>0</v>
      </c>
      <c r="M213" s="91">
        <f>SUMIFS(tabela_registros[VALOR],tabela_registros[MÊS],$AE$1,tabela_registros[DIA],reservaoutrosconsolidadoset[[#Headers],[9]],tabela_registros[REGISTRO],DADOS!$N$6,tabela_registros[TIPO],DADOS!$AJ$5,tabela_registros[CATEGORIA],reservaoutrosconsolidadoset[[#This Row],[ATUAL]])</f>
        <v>0</v>
      </c>
      <c r="N213" s="91">
        <f>SUMIFS(tabela_registros[VALOR],tabela_registros[MÊS],$AE$1,tabela_registros[DIA],reservaoutrosconsolidadoset[[#Headers],[10]],tabela_registros[REGISTRO],DADOS!$N$6,tabela_registros[TIPO],DADOS!$AJ$5,tabela_registros[CATEGORIA],reservaoutrosconsolidadoset[[#This Row],[ATUAL]])</f>
        <v>0</v>
      </c>
      <c r="O213" s="91">
        <f>SUMIFS(tabela_registros[VALOR],tabela_registros[MÊS],$AE$1,tabela_registros[DIA],reservaoutrosconsolidadoset[[#Headers],[11]],tabela_registros[REGISTRO],DADOS!$N$6,tabela_registros[TIPO],DADOS!$AJ$5,tabela_registros[CATEGORIA],reservaoutrosconsolidadoset[[#This Row],[ATUAL]])</f>
        <v>0</v>
      </c>
      <c r="P213" s="91">
        <f>SUMIFS(tabela_registros[VALOR],tabela_registros[MÊS],$AE$1,tabela_registros[DIA],reservaoutrosconsolidadoset[[#Headers],[12]],tabela_registros[REGISTRO],DADOS!$N$6,tabela_registros[TIPO],DADOS!$AJ$5,tabela_registros[CATEGORIA],reservaoutrosconsolidadoset[[#This Row],[ATUAL]])</f>
        <v>0</v>
      </c>
      <c r="Q213" s="91">
        <f>SUMIFS(tabela_registros[VALOR],tabela_registros[MÊS],$AE$1,tabela_registros[DIA],reservaoutrosconsolidadoset[[#Headers],[13]],tabela_registros[REGISTRO],DADOS!$N$6,tabela_registros[TIPO],DADOS!$AJ$5,tabela_registros[CATEGORIA],reservaoutrosconsolidadoset[[#This Row],[ATUAL]])</f>
        <v>0</v>
      </c>
      <c r="R213" s="91">
        <f>SUMIFS(tabela_registros[VALOR],tabela_registros[MÊS],$AE$1,tabela_registros[DIA],reservaoutrosconsolidadoset[[#Headers],[14]],tabela_registros[REGISTRO],DADOS!$N$6,tabela_registros[TIPO],DADOS!$AJ$5,tabela_registros[CATEGORIA],reservaoutrosconsolidadoset[[#This Row],[ATUAL]])</f>
        <v>0</v>
      </c>
      <c r="S213" s="91">
        <f>SUMIFS(tabela_registros[VALOR],tabela_registros[MÊS],$AE$1,tabela_registros[DIA],reservaoutrosconsolidadoset[[#Headers],[15]],tabela_registros[REGISTRO],DADOS!$N$6,tabela_registros[TIPO],DADOS!$AJ$5,tabela_registros[CATEGORIA],reservaoutrosconsolidadoset[[#This Row],[ATUAL]])</f>
        <v>0</v>
      </c>
      <c r="T213" s="91">
        <f>SUMIFS(tabela_registros[VALOR],tabela_registros[MÊS],$AE$1,tabela_registros[DIA],reservaoutrosconsolidadoset[[#Headers],[16]],tabela_registros[REGISTRO],DADOS!$N$6,tabela_registros[TIPO],DADOS!$AJ$5,tabela_registros[CATEGORIA],reservaoutrosconsolidadoset[[#This Row],[ATUAL]])</f>
        <v>0</v>
      </c>
      <c r="U213" s="91">
        <f>SUMIFS(tabela_registros[VALOR],tabela_registros[MÊS],$AE$1,tabela_registros[DIA],reservaoutrosconsolidadoset[[#Headers],[17]],tabela_registros[REGISTRO],DADOS!$N$6,tabela_registros[TIPO],DADOS!$AJ$5,tabela_registros[CATEGORIA],reservaoutrosconsolidadoset[[#This Row],[ATUAL]])</f>
        <v>0</v>
      </c>
      <c r="V213" s="91">
        <f>SUMIFS(tabela_registros[VALOR],tabela_registros[MÊS],$AE$1,tabela_registros[DIA],reservaoutrosconsolidadoset[[#Headers],[18]],tabela_registros[REGISTRO],DADOS!$N$6,tabela_registros[TIPO],DADOS!$AJ$5,tabela_registros[CATEGORIA],reservaoutrosconsolidadoset[[#This Row],[ATUAL]])</f>
        <v>0</v>
      </c>
      <c r="W213" s="91">
        <f>SUMIFS(tabela_registros[VALOR],tabela_registros[MÊS],$AE$1,tabela_registros[DIA],reservaoutrosconsolidadoset[[#Headers],[19]],tabela_registros[REGISTRO],DADOS!$N$6,tabela_registros[TIPO],DADOS!$AJ$5,tabela_registros[CATEGORIA],reservaoutrosconsolidadoset[[#This Row],[ATUAL]])</f>
        <v>0</v>
      </c>
      <c r="X213" s="91">
        <f>SUMIFS(tabela_registros[VALOR],tabela_registros[MÊS],$AE$1,tabela_registros[DIA],reservaoutrosconsolidadoset[[#Headers],[20]],tabela_registros[REGISTRO],DADOS!$N$6,tabela_registros[TIPO],DADOS!$AJ$5,tabela_registros[CATEGORIA],reservaoutrosconsolidadoset[[#This Row],[ATUAL]])</f>
        <v>0</v>
      </c>
      <c r="Y213" s="91">
        <f>SUMIFS(tabela_registros[VALOR],tabela_registros[MÊS],$AE$1,tabela_registros[DIA],reservaoutrosconsolidadoset[[#Headers],[21]],tabela_registros[REGISTRO],DADOS!$N$6,tabela_registros[TIPO],DADOS!$AJ$5,tabela_registros[CATEGORIA],reservaoutrosconsolidadoset[[#This Row],[ATUAL]])</f>
        <v>0</v>
      </c>
      <c r="Z213" s="91">
        <f>SUMIFS(tabela_registros[VALOR],tabela_registros[MÊS],$AE$1,tabela_registros[DIA],reservaoutrosconsolidadoset[[#Headers],[22]],tabela_registros[REGISTRO],DADOS!$N$6,tabela_registros[TIPO],DADOS!$AJ$5,tabela_registros[CATEGORIA],reservaoutrosconsolidadoset[[#This Row],[ATUAL]])</f>
        <v>0</v>
      </c>
      <c r="AA213" s="91">
        <f>SUMIFS(tabela_registros[VALOR],tabela_registros[MÊS],$AE$1,tabela_registros[DIA],reservaoutrosconsolidadoset[[#Headers],[23]],tabela_registros[REGISTRO],DADOS!$N$6,tabela_registros[TIPO],DADOS!$AJ$5,tabela_registros[CATEGORIA],reservaoutrosconsolidadoset[[#This Row],[ATUAL]])</f>
        <v>0</v>
      </c>
      <c r="AB213" s="91">
        <f>SUMIFS(tabela_registros[VALOR],tabela_registros[MÊS],$AE$1,tabela_registros[DIA],reservaoutrosconsolidadoset[[#Headers],[24]],tabela_registros[REGISTRO],DADOS!$N$6,tabela_registros[TIPO],DADOS!$AJ$5,tabela_registros[CATEGORIA],reservaoutrosconsolidadoset[[#This Row],[ATUAL]])</f>
        <v>0</v>
      </c>
      <c r="AC213" s="91">
        <f>SUMIFS(tabela_registros[VALOR],tabela_registros[MÊS],$AE$1,tabela_registros[DIA],reservaoutrosconsolidadoset[[#Headers],[25]],tabela_registros[REGISTRO],DADOS!$N$6,tabela_registros[TIPO],DADOS!$AJ$5,tabela_registros[CATEGORIA],reservaoutrosconsolidadoset[[#This Row],[ATUAL]])</f>
        <v>0</v>
      </c>
      <c r="AD213" s="91">
        <f>SUMIFS(tabela_registros[VALOR],tabela_registros[MÊS],$AE$1,tabela_registros[DIA],reservaoutrosconsolidadoset[[#Headers],[26]],tabela_registros[REGISTRO],DADOS!$N$6,tabela_registros[TIPO],DADOS!$AJ$5,tabela_registros[CATEGORIA],reservaoutrosconsolidadoset[[#This Row],[ATUAL]])</f>
        <v>0</v>
      </c>
      <c r="AE213" s="91">
        <f>SUMIFS(tabela_registros[VALOR],tabela_registros[MÊS],$AE$1,tabela_registros[DIA],reservaoutrosconsolidadoset[[#Headers],[27]],tabela_registros[REGISTRO],DADOS!$N$6,tabela_registros[TIPO],DADOS!$AJ$5,tabela_registros[CATEGORIA],reservaoutrosconsolidadoset[[#This Row],[ATUAL]])</f>
        <v>0</v>
      </c>
      <c r="AF213" s="91">
        <f>SUMIFS(tabela_registros[VALOR],tabela_registros[MÊS],$AE$1,tabela_registros[DIA],reservaoutrosconsolidadoset[[#Headers],[28]],tabela_registros[REGISTRO],DADOS!$N$6,tabela_registros[TIPO],DADOS!$AJ$5,tabela_registros[CATEGORIA],reservaoutrosconsolidadoset[[#This Row],[ATUAL]])</f>
        <v>0</v>
      </c>
      <c r="AG213" s="91">
        <f>SUMIFS(tabela_registros[VALOR],tabela_registros[MÊS],$AE$1,tabela_registros[DIA],reservaoutrosconsolidadoset[[#Headers],[29]],tabela_registros[REGISTRO],DADOS!$N$6,tabela_registros[TIPO],DADOS!$AJ$5,tabela_registros[CATEGORIA],reservaoutrosconsolidadoset[[#This Row],[ATUAL]])</f>
        <v>0</v>
      </c>
      <c r="AH213" s="91">
        <f>SUMIFS(tabela_registros[VALOR],tabela_registros[MÊS],$AE$1,tabela_registros[DIA],reservaoutrosconsolidadoset[[#Headers],[30]],tabela_registros[REGISTRO],DADOS!$N$6,tabela_registros[TIPO],DADOS!$AJ$5,tabela_registros[CATEGORIA],reservaoutrosconsolidadoset[[#This Row],[ATUAL]])</f>
        <v>0</v>
      </c>
      <c r="AI213" s="102">
        <f>SUMIFS(tabela_registros[VALOR],tabela_registros[MÊS],$AE$1,tabela_registros[DIA],reservaoutrosconsolidadoset[[#Headers],[31]],tabela_registros[REGISTRO],DADOS!$N$6,tabela_registros[TIPO],DADOS!$AJ$5,tabela_registros[CATEGORIA],reservaoutrosconsolidadoset[[#This Row],[ATUAL]])</f>
        <v>0</v>
      </c>
      <c r="AJ213" s="97">
        <f>SUM(reservaoutrosconsolidadoset[[#This Row],[1]:[31]])</f>
        <v>0</v>
      </c>
      <c r="AK213" s="25"/>
    </row>
    <row r="214" spans="2:37" s="16" customFormat="1" ht="21" customHeight="1" thickTop="1" thickBot="1" x14ac:dyDescent="0.35">
      <c r="B214" s="24"/>
      <c r="C214" s="23" t="s">
        <v>19</v>
      </c>
      <c r="D214" s="22"/>
      <c r="E214" s="21">
        <f>SUM(E206:E213)</f>
        <v>0</v>
      </c>
      <c r="F214" s="20">
        <f>SUM(F206:F213)+reservaoutrosconsolidadoset[[#This Row],[1]]</f>
        <v>0</v>
      </c>
      <c r="G214" s="20">
        <f>SUM(G206:G213)+reservaoutrosconsolidadoset[[#This Row],[2]]</f>
        <v>0</v>
      </c>
      <c r="H214" s="20">
        <f>SUM(H206:H213)+reservaoutrosconsolidadoset[[#This Row],[3]]</f>
        <v>0</v>
      </c>
      <c r="I214" s="20">
        <f>SUM(I206:I213)+reservaoutrosconsolidadoset[[#This Row],[4]]</f>
        <v>0</v>
      </c>
      <c r="J214" s="20">
        <f>SUM(J206:J213)+reservaoutrosconsolidadoset[[#This Row],[5]]</f>
        <v>0</v>
      </c>
      <c r="K214" s="20">
        <f>SUM(K206:K213)+reservaoutrosconsolidadoset[[#This Row],[6]]</f>
        <v>0</v>
      </c>
      <c r="L214" s="20">
        <f>SUM(L206:L213)+reservaoutrosconsolidadoset[[#This Row],[7]]</f>
        <v>0</v>
      </c>
      <c r="M214" s="20">
        <f>SUM(M206:M213)+reservaoutrosconsolidadoset[[#This Row],[8]]</f>
        <v>0</v>
      </c>
      <c r="N214" s="20">
        <f>SUM(N206:N213)+reservaoutrosconsolidadoset[[#This Row],[9]]</f>
        <v>0</v>
      </c>
      <c r="O214" s="20">
        <f>SUM(O206:O213)+reservaoutrosconsolidadoset[[#This Row],[10]]</f>
        <v>0</v>
      </c>
      <c r="P214" s="20">
        <f>SUM(P206:P213)+reservaoutrosconsolidadoset[[#This Row],[11]]</f>
        <v>0</v>
      </c>
      <c r="Q214" s="20">
        <f>SUM(Q206:Q213)+reservaoutrosconsolidadoset[[#This Row],[12]]</f>
        <v>0</v>
      </c>
      <c r="R214" s="20">
        <f>SUM(R206:R213)+reservaoutrosconsolidadoset[[#This Row],[13]]</f>
        <v>0</v>
      </c>
      <c r="S214" s="20">
        <f>SUM(S206:S213)+reservaoutrosconsolidadoset[[#This Row],[14]]</f>
        <v>0</v>
      </c>
      <c r="T214" s="20">
        <f>SUM(T206:T213)+reservaoutrosconsolidadoset[[#This Row],[15]]</f>
        <v>0</v>
      </c>
      <c r="U214" s="20">
        <f>SUM(U206:U213)+reservaoutrosconsolidadoset[[#This Row],[16]]</f>
        <v>0</v>
      </c>
      <c r="V214" s="20">
        <f>SUM(V206:V213)+reservaoutrosconsolidadoset[[#This Row],[17]]</f>
        <v>0</v>
      </c>
      <c r="W214" s="20">
        <f>SUM(W206:W213)+reservaoutrosconsolidadoset[[#This Row],[18]]</f>
        <v>0</v>
      </c>
      <c r="X214" s="20">
        <f>SUM(X206:X213)+reservaoutrosconsolidadoset[[#This Row],[19]]</f>
        <v>0</v>
      </c>
      <c r="Y214" s="20">
        <f>SUM(Y206:Y213)+reservaoutrosconsolidadoset[[#This Row],[20]]</f>
        <v>0</v>
      </c>
      <c r="Z214" s="20">
        <f>SUM(Z206:Z213)+reservaoutrosconsolidadoset[[#This Row],[21]]</f>
        <v>0</v>
      </c>
      <c r="AA214" s="20">
        <f>SUM(AA206:AA213)+reservaoutrosconsolidadoset[[#This Row],[22]]</f>
        <v>0</v>
      </c>
      <c r="AB214" s="20">
        <f>SUM(AB206:AB213)+reservaoutrosconsolidadoset[[#This Row],[23]]</f>
        <v>0</v>
      </c>
      <c r="AC214" s="20">
        <f>SUM(AC206:AC213)+reservaoutrosconsolidadoset[[#This Row],[24]]</f>
        <v>0</v>
      </c>
      <c r="AD214" s="20">
        <f>SUM(AD206:AD213)+reservaoutrosconsolidadoset[[#This Row],[25]]</f>
        <v>0</v>
      </c>
      <c r="AE214" s="20">
        <f>SUM(AE206:AE213)+reservaoutrosconsolidadoset[[#This Row],[26]]</f>
        <v>0</v>
      </c>
      <c r="AF214" s="20">
        <f>SUM(AF206:AF213)+reservaoutrosconsolidadoset[[#This Row],[27]]</f>
        <v>0</v>
      </c>
      <c r="AG214" s="20">
        <f>SUM(AG206:AG213)+reservaoutrosconsolidadoset[[#This Row],[28]]</f>
        <v>0</v>
      </c>
      <c r="AH214" s="20">
        <f>SUM(AH206:AH213)+reservaoutrosconsolidadoset[[#This Row],[29]]</f>
        <v>0</v>
      </c>
      <c r="AI214" s="19">
        <f>SUM(AI206:AI213)+reservaoutrosconsolidadoset[[#This Row],[30]]</f>
        <v>0</v>
      </c>
      <c r="AJ214" s="18">
        <f>reservaoutrosconsolidadoset[[#This Row],[31]]</f>
        <v>0</v>
      </c>
      <c r="AK214" s="17"/>
    </row>
    <row r="215" spans="2:37" ht="6.75" customHeight="1" thickTop="1" thickBot="1" x14ac:dyDescent="0.3">
      <c r="B215" s="15"/>
      <c r="C215" s="14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3"/>
      <c r="AE215" s="13"/>
      <c r="AF215" s="13"/>
      <c r="AG215" s="13"/>
      <c r="AH215" s="13"/>
      <c r="AI215" s="12"/>
      <c r="AJ215" s="11"/>
      <c r="AK215" s="10"/>
    </row>
    <row r="216" spans="2:37" ht="12.6" thickTop="1" x14ac:dyDescent="0.25"/>
    <row r="217" spans="2:37" x14ac:dyDescent="0.25"/>
  </sheetData>
  <sheetProtection algorithmName="SHA-512" hashValue="wO7NTFl9QHi6J2UFqYxt5W11t+vriudsGP9680MMWXiiX47khFLRDXqRq5nYTNX+8hxaILSY30fLiH1zL5k6HQ==" saltValue="XwOZElqEx2/s9GmXMdKSlg==" spinCount="100000" sheet="1" objects="1" scenarios="1" selectLockedCells="1" selectUnlockedCells="1"/>
  <mergeCells count="26">
    <mergeCell ref="E164:AI164"/>
    <mergeCell ref="E183:AI183"/>
    <mergeCell ref="E202:AI202"/>
    <mergeCell ref="E10:AI10"/>
    <mergeCell ref="E21:AI21"/>
    <mergeCell ref="E33:AI33"/>
    <mergeCell ref="E56:AI56"/>
    <mergeCell ref="E78:AI78"/>
    <mergeCell ref="E92:AI92"/>
    <mergeCell ref="E109:AI109"/>
    <mergeCell ref="E128:AI128"/>
    <mergeCell ref="E147:AI147"/>
    <mergeCell ref="AC3:AD4"/>
    <mergeCell ref="AF3:AG4"/>
    <mergeCell ref="E4:G4"/>
    <mergeCell ref="I4:K4"/>
    <mergeCell ref="M4:O4"/>
    <mergeCell ref="Q4:S4"/>
    <mergeCell ref="U4:W4"/>
    <mergeCell ref="U3:W3"/>
    <mergeCell ref="Z3:AA4"/>
    <mergeCell ref="C2:C6"/>
    <mergeCell ref="E3:G3"/>
    <mergeCell ref="I3:K3"/>
    <mergeCell ref="M3:O3"/>
    <mergeCell ref="Q3:S3"/>
  </mergeCells>
  <hyperlinks>
    <hyperlink ref="Z3:AA4" location="'🔒'!A1" display="REGISTROS" xr:uid="{24789928-6839-44F3-B51D-0713611B1C10}"/>
    <hyperlink ref="AF3:AG4" location="ANUAL!A1" display="ANUAL" xr:uid="{E2DA6BD5-E9E2-415E-844E-C1CE2E61D0A9}"/>
    <hyperlink ref="AC3:AD4" location="'📈'!A1" display="RADAR" xr:uid="{55593AFE-0A21-4C1D-9ED8-FFA4FA709F09}"/>
  </hyperlinks>
  <pageMargins left="0.511811024" right="0.511811024" top="0.78740157499999996" bottom="0.78740157499999996" header="0.31496062000000002" footer="0.31496062000000002"/>
  <ignoredErrors>
    <ignoredError sqref="E6:AH6" numberStoredAsText="1"/>
    <ignoredError sqref="AJ16:AJ27 D37:AJ214" calculatedColumn="1"/>
  </ignoredErrors>
  <drawing r:id="rId1"/>
  <tableParts count="12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</tableParts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type="column" displayEmptyCellsAs="gap" high="1" low="1" negative="1" minAxisType="custom" maxAxisType="group" xr2:uid="{268F964D-2244-43F1-B185-481DB2DFB6A5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'9'!E27:AI27</xm:f>
              <xm:sqref>E21</xm:sqref>
            </x14:sparkline>
          </x14:sparklines>
        </x14:sparklineGroup>
        <x14:sparklineGroup manualMax="0" manualMin="0" type="column" displayEmptyCellsAs="gap" high="1" low="1" negative="1" minAxisType="custom" maxAxisType="group" xr2:uid="{DF416FFF-FA71-45CF-BF9A-6B1BEEB210B4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'9'!E87:AI87</xm:f>
              <xm:sqref>E78</xm:sqref>
            </x14:sparkline>
          </x14:sparklines>
        </x14:sparklineGroup>
        <x14:sparklineGroup manualMax="0" manualMin="0" type="column" displayEmptyCellsAs="gap" high="1" low="1" negative="1" minAxisType="custom" maxAxisType="group" xr2:uid="{4FBBBACC-EBDC-4B24-A208-3EBB77B7F8FD}">
          <x14:colorSeries rgb="FFC00000"/>
          <x14:colorNegative rgb="FFC00000"/>
          <x14:colorAxis rgb="FF000000"/>
          <x14:colorMarkers rgb="FF0070C0"/>
          <x14:colorFirst rgb="FFFFC000"/>
          <x14:colorLast rgb="FFFFC000"/>
          <x14:colorHigh rgb="FFFF0000"/>
          <x14:colorLow rgb="FFFFC000"/>
          <x14:sparklines>
            <x14:sparkline>
              <xm:f>'9'!E73:AI73</xm:f>
              <xm:sqref>E56</xm:sqref>
            </x14:sparkline>
          </x14:sparklines>
        </x14:sparklineGroup>
        <x14:sparklineGroup manualMax="0" manualMin="0" type="column" displayEmptyCellsAs="gap" high="1" low="1" negative="1" minAxisType="custom" maxAxisType="group" xr2:uid="{2013E3CC-F79E-4283-80DE-E4755B3B5B0F}">
          <x14:colorSeries rgb="FFC00000"/>
          <x14:colorNegative rgb="FFC00000"/>
          <x14:colorAxis rgb="FF000000"/>
          <x14:colorMarkers rgb="FF0070C0"/>
          <x14:colorFirst rgb="FFFFC000"/>
          <x14:colorLast rgb="FFFFC000"/>
          <x14:colorHigh rgb="FFFF0000"/>
          <x14:colorLow rgb="FFFFC000"/>
          <x14:sparklines>
            <x14:sparkline>
              <xm:f>'9'!E51:AI51</xm:f>
              <xm:sqref>E33</xm:sqref>
            </x14:sparkline>
          </x14:sparklines>
        </x14:sparklineGroup>
        <x14:sparklineGroup manualMax="0" manualMin="0" type="column" displayEmptyCellsAs="gap" high="1" low="1" negative="1" minAxisType="custom" maxAxisType="group" xr2:uid="{C8186605-4AA1-4272-9DCA-96379F40EF54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'9'!E104:AI104</xm:f>
              <xm:sqref>E92</xm:sqref>
            </x14:sparkline>
          </x14:sparklines>
        </x14:sparklineGroup>
        <x14:sparklineGroup manualMax="0" manualMin="0" type="column" displayEmptyCellsAs="gap" high="1" low="1" negative="1" minAxisType="custom" maxAxisType="group" xr2:uid="{6A0C92AA-81D7-47E0-9ED1-64463141EA74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'9'!E123:AI123</xm:f>
              <xm:sqref>E109</xm:sqref>
            </x14:sparkline>
          </x14:sparklines>
        </x14:sparklineGroup>
        <x14:sparklineGroup manualMax="0" manualMin="0" type="column" displayEmptyCellsAs="gap" high="1" low="1" negative="1" minAxisType="custom" maxAxisType="group" xr2:uid="{EE6A9DD1-2E59-46F0-8934-15DC085CCE99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'9'!E142:AI142</xm:f>
              <xm:sqref>E128</xm:sqref>
            </x14:sparkline>
          </x14:sparklines>
        </x14:sparklineGroup>
        <x14:sparklineGroup manualMax="0" manualMin="0" type="column" displayEmptyCellsAs="gap" high="1" low="1" negative="1" minAxisType="custom" maxAxisType="group" xr2:uid="{B93A5E92-8034-4C62-BDC3-761363686080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'9'!E159:AI159</xm:f>
              <xm:sqref>E147</xm:sqref>
            </x14:sparkline>
          </x14:sparklines>
        </x14:sparklineGroup>
        <x14:sparklineGroup manualMax="0" manualMin="0" type="column" displayEmptyCellsAs="gap" high="1" low="1" negative="1" minAxisType="custom" maxAxisType="group" xr2:uid="{21082030-31A2-4C02-8AD7-695FB525CB6F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'9'!E178:AI178</xm:f>
              <xm:sqref>E164</xm:sqref>
            </x14:sparkline>
          </x14:sparklines>
        </x14:sparklineGroup>
        <x14:sparklineGroup manualMax="0" manualMin="0" type="column" displayEmptyCellsAs="gap" high="1" low="1" negative="1" minAxisType="custom" maxAxisType="group" xr2:uid="{C2C3ECC5-F6FC-412B-9766-7A5827DD0140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'9'!E197:AI197</xm:f>
              <xm:sqref>E183</xm:sqref>
            </x14:sparkline>
          </x14:sparklines>
        </x14:sparklineGroup>
        <x14:sparklineGroup manualMax="0" manualMin="0" type="column" displayEmptyCellsAs="gap" high="1" low="1" negative="1" minAxisType="custom" maxAxisType="group" xr2:uid="{87755E56-BC05-4B37-8BBF-83A6CE4A289C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'9'!E214:AI214</xm:f>
              <xm:sqref>E202</xm:sqref>
            </x14:sparkline>
          </x14:sparklines>
        </x14:sparklineGroup>
        <x14:sparklineGroup manualMax="0" type="column" displayEmptyCellsAs="gap" high="1" negative="1" maxAxisType="group" xr2:uid="{4398DFD1-CEE9-422D-B25B-7899FD45317E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'9'!E16:AI16</xm:f>
              <xm:sqref>E10</xm:sqref>
            </x14:sparkline>
          </x14:sparklines>
        </x14:sparklineGroup>
      </x14:sparklineGroups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F9B515-8FC3-407F-8B88-05FE12462F18}">
  <sheetPr codeName="Planilha14">
    <tabColor rgb="FFFFEBAB"/>
  </sheetPr>
  <dimension ref="A1:AL217"/>
  <sheetViews>
    <sheetView showGridLines="0" showRowColHeaders="0" showZeros="0" zoomScale="85" zoomScaleNormal="85" workbookViewId="0">
      <pane xSplit="3" ySplit="6" topLeftCell="D7" activePane="bottomRight" state="frozen"/>
      <selection activeCell="D24" sqref="D24"/>
      <selection pane="topRight" activeCell="D24" sqref="D24"/>
      <selection pane="bottomLeft" activeCell="D24" sqref="D24"/>
      <selection pane="bottomRight" activeCell="D24" sqref="D24"/>
    </sheetView>
  </sheetViews>
  <sheetFormatPr defaultColWidth="0" defaultRowHeight="12" zeroHeight="1" x14ac:dyDescent="0.25"/>
  <cols>
    <col min="1" max="1" width="2.109375" style="4" customWidth="1"/>
    <col min="2" max="2" width="1.5546875" style="4" customWidth="1"/>
    <col min="3" max="3" width="29.33203125" style="4" bestFit="1" customWidth="1"/>
    <col min="4" max="4" width="4.6640625" style="4" customWidth="1"/>
    <col min="5" max="34" width="5.5546875" style="4" customWidth="1"/>
    <col min="35" max="35" width="5.5546875" style="9" customWidth="1"/>
    <col min="36" max="36" width="9.5546875" style="4" customWidth="1"/>
    <col min="37" max="37" width="1.5546875" style="4" customWidth="1"/>
    <col min="38" max="38" width="2" style="4" customWidth="1"/>
    <col min="39" max="16384" width="2.109375" style="4" hidden="1"/>
  </cols>
  <sheetData>
    <row r="1" spans="1:38" ht="29.25" hidden="1" customHeight="1" thickBot="1" x14ac:dyDescent="0.3">
      <c r="A1" s="80"/>
      <c r="B1" s="80"/>
      <c r="C1" s="80"/>
      <c r="D1" s="79"/>
      <c r="AD1" s="4" t="s">
        <v>215</v>
      </c>
      <c r="AE1" s="78">
        <v>10</v>
      </c>
      <c r="AH1" s="4" t="s">
        <v>214</v>
      </c>
      <c r="AI1" s="75">
        <f>IF('⚙️'!$Q$3=$AE$1,'⚙️'!$F$13,0)</f>
        <v>0</v>
      </c>
      <c r="AK1" s="75"/>
    </row>
    <row r="2" spans="1:38" ht="15.75" customHeight="1" thickTop="1" thickBot="1" x14ac:dyDescent="0.3">
      <c r="A2" s="77"/>
      <c r="B2" s="77"/>
      <c r="C2" s="245" t="s">
        <v>35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71"/>
      <c r="U2" s="71"/>
      <c r="V2" s="71"/>
      <c r="W2" s="71"/>
      <c r="X2" s="71"/>
      <c r="Y2" s="71"/>
      <c r="Z2" s="71"/>
      <c r="AA2" s="71"/>
      <c r="AB2" s="71"/>
      <c r="AC2" s="76"/>
      <c r="AD2" s="64"/>
      <c r="AE2" s="64"/>
      <c r="AF2" s="64"/>
      <c r="AG2" s="64"/>
      <c r="AH2" s="64"/>
      <c r="AI2" s="64"/>
      <c r="AJ2" s="64"/>
      <c r="AK2" s="64"/>
      <c r="AL2" s="64"/>
    </row>
    <row r="3" spans="1:38" s="73" customFormat="1" ht="18" customHeight="1" thickTop="1" thickBot="1" x14ac:dyDescent="0.3">
      <c r="A3" s="72"/>
      <c r="B3" s="72"/>
      <c r="C3" s="246"/>
      <c r="D3" s="2"/>
      <c r="E3" s="243" t="s">
        <v>211</v>
      </c>
      <c r="F3" s="243"/>
      <c r="G3" s="243"/>
      <c r="H3" s="71"/>
      <c r="I3" s="243" t="s">
        <v>210</v>
      </c>
      <c r="J3" s="243"/>
      <c r="K3" s="243"/>
      <c r="L3" s="71"/>
      <c r="M3" s="243" t="s">
        <v>209</v>
      </c>
      <c r="N3" s="243"/>
      <c r="O3" s="243"/>
      <c r="P3" s="71"/>
      <c r="Q3" s="243" t="s">
        <v>208</v>
      </c>
      <c r="R3" s="243"/>
      <c r="S3" s="243"/>
      <c r="T3" s="71"/>
      <c r="U3" s="243" t="s">
        <v>207</v>
      </c>
      <c r="V3" s="243"/>
      <c r="W3" s="243"/>
      <c r="X3" s="71"/>
      <c r="Y3" s="71"/>
      <c r="Z3" s="252" t="s">
        <v>23</v>
      </c>
      <c r="AA3" s="253"/>
      <c r="AB3" s="64"/>
      <c r="AC3" s="252" t="s">
        <v>24</v>
      </c>
      <c r="AD3" s="253"/>
      <c r="AE3" s="64"/>
      <c r="AF3" s="252" t="s">
        <v>22</v>
      </c>
      <c r="AG3" s="253"/>
      <c r="AH3" s="74"/>
      <c r="AI3" s="74"/>
      <c r="AJ3" s="74"/>
      <c r="AK3" s="64"/>
      <c r="AL3" s="64"/>
    </row>
    <row r="4" spans="1:38" s="73" customFormat="1" ht="18" customHeight="1" thickTop="1" thickBot="1" x14ac:dyDescent="0.3">
      <c r="A4" s="72"/>
      <c r="B4" s="72"/>
      <c r="C4" s="246"/>
      <c r="D4" s="2"/>
      <c r="E4" s="242">
        <f>$AJ$16</f>
        <v>-89.9</v>
      </c>
      <c r="F4" s="242"/>
      <c r="G4" s="242"/>
      <c r="H4" s="71"/>
      <c r="I4" s="242">
        <f>$AJ$14</f>
        <v>0</v>
      </c>
      <c r="J4" s="242"/>
      <c r="K4" s="242"/>
      <c r="L4" s="71"/>
      <c r="M4" s="242">
        <f>$AJ$15</f>
        <v>89.9</v>
      </c>
      <c r="N4" s="242"/>
      <c r="O4" s="242"/>
      <c r="P4" s="71"/>
      <c r="Q4" s="242">
        <f>$AJ$25</f>
        <v>451</v>
      </c>
      <c r="R4" s="242"/>
      <c r="S4" s="242"/>
      <c r="T4" s="71"/>
      <c r="U4" s="242">
        <f>$AJ$26</f>
        <v>0</v>
      </c>
      <c r="V4" s="242"/>
      <c r="W4" s="242"/>
      <c r="X4" s="71"/>
      <c r="Y4" s="71"/>
      <c r="Z4" s="254"/>
      <c r="AA4" s="255"/>
      <c r="AB4" s="64"/>
      <c r="AC4" s="254"/>
      <c r="AD4" s="255"/>
      <c r="AE4" s="64"/>
      <c r="AF4" s="254"/>
      <c r="AG4" s="255"/>
      <c r="AH4" s="74"/>
      <c r="AI4" s="74"/>
      <c r="AJ4" s="74"/>
      <c r="AK4" s="64"/>
      <c r="AL4" s="64"/>
    </row>
    <row r="5" spans="1:38" ht="11.25" customHeight="1" thickTop="1" thickBot="1" x14ac:dyDescent="0.3">
      <c r="A5" s="72"/>
      <c r="B5" s="72"/>
      <c r="C5" s="246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71"/>
      <c r="Y5" s="2"/>
      <c r="Z5" s="2"/>
      <c r="AA5" s="71"/>
      <c r="AB5" s="71"/>
      <c r="AC5" s="70"/>
      <c r="AD5" s="69"/>
      <c r="AE5" s="69"/>
      <c r="AF5" s="69"/>
      <c r="AG5" s="69"/>
      <c r="AH5" s="69"/>
      <c r="AI5" s="69"/>
      <c r="AJ5" s="64"/>
      <c r="AK5" s="64"/>
      <c r="AL5" s="64"/>
    </row>
    <row r="6" spans="1:38" ht="13.5" customHeight="1" thickTop="1" thickBot="1" x14ac:dyDescent="0.3">
      <c r="A6" s="68"/>
      <c r="B6" s="68"/>
      <c r="C6" s="247"/>
      <c r="D6" s="15"/>
      <c r="E6" s="67" t="s">
        <v>197</v>
      </c>
      <c r="F6" s="67" t="s">
        <v>196</v>
      </c>
      <c r="G6" s="66" t="s">
        <v>195</v>
      </c>
      <c r="H6" s="66" t="s">
        <v>194</v>
      </c>
      <c r="I6" s="66" t="s">
        <v>193</v>
      </c>
      <c r="J6" s="66" t="s">
        <v>192</v>
      </c>
      <c r="K6" s="66" t="s">
        <v>191</v>
      </c>
      <c r="L6" s="66" t="s">
        <v>190</v>
      </c>
      <c r="M6" s="66" t="s">
        <v>189</v>
      </c>
      <c r="N6" s="66" t="s">
        <v>188</v>
      </c>
      <c r="O6" s="66" t="s">
        <v>187</v>
      </c>
      <c r="P6" s="66" t="s">
        <v>186</v>
      </c>
      <c r="Q6" s="66" t="s">
        <v>185</v>
      </c>
      <c r="R6" s="66" t="s">
        <v>184</v>
      </c>
      <c r="S6" s="66" t="s">
        <v>183</v>
      </c>
      <c r="T6" s="66" t="s">
        <v>182</v>
      </c>
      <c r="U6" s="66" t="s">
        <v>181</v>
      </c>
      <c r="V6" s="66" t="s">
        <v>180</v>
      </c>
      <c r="W6" s="66" t="s">
        <v>179</v>
      </c>
      <c r="X6" s="66" t="s">
        <v>178</v>
      </c>
      <c r="Y6" s="66" t="s">
        <v>177</v>
      </c>
      <c r="Z6" s="66" t="s">
        <v>176</v>
      </c>
      <c r="AA6" s="66" t="s">
        <v>175</v>
      </c>
      <c r="AB6" s="66" t="s">
        <v>174</v>
      </c>
      <c r="AC6" s="66" t="s">
        <v>173</v>
      </c>
      <c r="AD6" s="66" t="s">
        <v>172</v>
      </c>
      <c r="AE6" s="66" t="s">
        <v>171</v>
      </c>
      <c r="AF6" s="66" t="s">
        <v>170</v>
      </c>
      <c r="AG6" s="66" t="s">
        <v>169</v>
      </c>
      <c r="AH6" s="66" t="s">
        <v>168</v>
      </c>
      <c r="AI6" s="65" t="s">
        <v>167</v>
      </c>
      <c r="AJ6" s="64"/>
      <c r="AK6" s="64"/>
      <c r="AL6" s="64"/>
    </row>
    <row r="7" spans="1:38" ht="12.6" thickTop="1" x14ac:dyDescent="0.25">
      <c r="E7" s="37"/>
      <c r="AI7" s="4"/>
    </row>
    <row r="8" spans="1:38" x14ac:dyDescent="0.25">
      <c r="AI8" s="4"/>
    </row>
    <row r="9" spans="1:38" x14ac:dyDescent="0.25">
      <c r="AI9" s="4"/>
    </row>
    <row r="10" spans="1:38" ht="39.75" customHeight="1" x14ac:dyDescent="0.7">
      <c r="C10" s="36"/>
      <c r="E10" s="240"/>
      <c r="F10" s="240"/>
      <c r="G10" s="240"/>
      <c r="H10" s="240"/>
      <c r="I10" s="240"/>
      <c r="J10" s="240"/>
      <c r="K10" s="240"/>
      <c r="L10" s="240"/>
      <c r="M10" s="240"/>
      <c r="N10" s="240"/>
      <c r="O10" s="240"/>
      <c r="P10" s="240"/>
      <c r="Q10" s="240"/>
      <c r="R10" s="240"/>
      <c r="S10" s="240"/>
      <c r="T10" s="240"/>
      <c r="U10" s="240"/>
      <c r="V10" s="240"/>
      <c r="W10" s="240"/>
      <c r="X10" s="240"/>
      <c r="Y10" s="240"/>
      <c r="Z10" s="240"/>
      <c r="AA10" s="240"/>
      <c r="AB10" s="240"/>
      <c r="AC10" s="240"/>
      <c r="AD10" s="240"/>
      <c r="AE10" s="240"/>
      <c r="AF10" s="240"/>
      <c r="AG10" s="240"/>
      <c r="AH10" s="240"/>
      <c r="AI10" s="240"/>
      <c r="AJ10" s="32" t="s">
        <v>19</v>
      </c>
    </row>
    <row r="11" spans="1:38" ht="12.6" thickBot="1" x14ac:dyDescent="0.3">
      <c r="AI11" s="4"/>
      <c r="AJ11" s="34" t="s">
        <v>202</v>
      </c>
    </row>
    <row r="12" spans="1:38" ht="6.75" customHeight="1" thickTop="1" thickBot="1" x14ac:dyDescent="0.3">
      <c r="B12" s="49"/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49"/>
      <c r="X12" s="49"/>
      <c r="Y12" s="49"/>
      <c r="Z12" s="49"/>
      <c r="AA12" s="49"/>
      <c r="AB12" s="49"/>
      <c r="AC12" s="49"/>
      <c r="AD12" s="49"/>
      <c r="AE12" s="49"/>
      <c r="AF12" s="49"/>
      <c r="AG12" s="49"/>
      <c r="AH12" s="49"/>
      <c r="AI12" s="49"/>
      <c r="AJ12" s="50"/>
      <c r="AK12" s="49"/>
    </row>
    <row r="13" spans="1:38" ht="13.2" hidden="1" thickTop="1" thickBot="1" x14ac:dyDescent="0.3">
      <c r="B13" s="2"/>
      <c r="C13" s="31" t="s">
        <v>199</v>
      </c>
      <c r="D13" s="30" t="s">
        <v>198</v>
      </c>
      <c r="E13" s="30" t="s">
        <v>197</v>
      </c>
      <c r="F13" s="30" t="s">
        <v>196</v>
      </c>
      <c r="G13" s="30" t="s">
        <v>195</v>
      </c>
      <c r="H13" s="30" t="s">
        <v>194</v>
      </c>
      <c r="I13" s="30" t="s">
        <v>193</v>
      </c>
      <c r="J13" s="30" t="s">
        <v>192</v>
      </c>
      <c r="K13" s="30" t="s">
        <v>191</v>
      </c>
      <c r="L13" s="30" t="s">
        <v>190</v>
      </c>
      <c r="M13" s="30" t="s">
        <v>189</v>
      </c>
      <c r="N13" s="30" t="s">
        <v>188</v>
      </c>
      <c r="O13" s="30" t="s">
        <v>187</v>
      </c>
      <c r="P13" s="30" t="s">
        <v>186</v>
      </c>
      <c r="Q13" s="30" t="s">
        <v>185</v>
      </c>
      <c r="R13" s="30" t="s">
        <v>184</v>
      </c>
      <c r="S13" s="30" t="s">
        <v>183</v>
      </c>
      <c r="T13" s="30" t="s">
        <v>182</v>
      </c>
      <c r="U13" s="30" t="s">
        <v>181</v>
      </c>
      <c r="V13" s="30" t="s">
        <v>180</v>
      </c>
      <c r="W13" s="30" t="s">
        <v>179</v>
      </c>
      <c r="X13" s="30" t="s">
        <v>178</v>
      </c>
      <c r="Y13" s="30" t="s">
        <v>177</v>
      </c>
      <c r="Z13" s="30" t="s">
        <v>176</v>
      </c>
      <c r="AA13" s="30" t="s">
        <v>175</v>
      </c>
      <c r="AB13" s="30" t="s">
        <v>174</v>
      </c>
      <c r="AC13" s="30" t="s">
        <v>173</v>
      </c>
      <c r="AD13" s="30" t="s">
        <v>172</v>
      </c>
      <c r="AE13" s="30" t="s">
        <v>171</v>
      </c>
      <c r="AF13" s="30" t="s">
        <v>170</v>
      </c>
      <c r="AG13" s="30" t="s">
        <v>169</v>
      </c>
      <c r="AH13" s="30" t="s">
        <v>168</v>
      </c>
      <c r="AI13" s="30" t="s">
        <v>167</v>
      </c>
      <c r="AJ13" s="29" t="s">
        <v>166</v>
      </c>
      <c r="AK13" s="49"/>
    </row>
    <row r="14" spans="1:38" ht="19.5" customHeight="1" thickTop="1" thickBot="1" x14ac:dyDescent="0.3">
      <c r="B14" s="49"/>
      <c r="C14" s="61" t="s">
        <v>206</v>
      </c>
      <c r="D14" s="60"/>
      <c r="E14" s="88">
        <f>SUMIFS(tabela_registros[VALOR],tabela_registros[MÊS],$AE$1,tabela_registros[DIA],outtotal3059718395107119131143[[#Headers],[1]],tabela_registros[REGISTRO],DADOS!$N$3)</f>
        <v>0</v>
      </c>
      <c r="F14" s="88">
        <f>SUMIFS(tabela_registros[VALOR],tabela_registros[MÊS],$AE$1,tabela_registros[DIA],outtotal3059718395107119131143[[#Headers],[2]],tabela_registros[REGISTRO],DADOS!$N$3)</f>
        <v>0</v>
      </c>
      <c r="G14" s="88">
        <f>SUMIFS(tabela_registros[VALOR],tabela_registros[MÊS],$AE$1,tabela_registros[DIA],outtotal3059718395107119131143[[#Headers],[3]],tabela_registros[REGISTRO],DADOS!$N$3)</f>
        <v>0</v>
      </c>
      <c r="H14" s="88">
        <f>SUMIFS(tabela_registros[VALOR],tabela_registros[MÊS],$AE$1,tabela_registros[DIA],outtotal3059718395107119131143[[#Headers],[4]],tabela_registros[REGISTRO],DADOS!$N$3)</f>
        <v>0</v>
      </c>
      <c r="I14" s="88">
        <f>SUMIFS(tabela_registros[VALOR],tabela_registros[MÊS],$AE$1,tabela_registros[DIA],outtotal3059718395107119131143[[#Headers],[5]],tabela_registros[REGISTRO],DADOS!$N$3)</f>
        <v>0</v>
      </c>
      <c r="J14" s="88">
        <f>SUMIFS(tabela_registros[VALOR],tabela_registros[MÊS],$AE$1,tabela_registros[DIA],outtotal3059718395107119131143[[#Headers],[6]],tabela_registros[REGISTRO],DADOS!$N$3)</f>
        <v>0</v>
      </c>
      <c r="K14" s="88">
        <f>SUMIFS(tabela_registros[VALOR],tabela_registros[MÊS],$AE$1,tabela_registros[DIA],outtotal3059718395107119131143[[#Headers],[7]],tabela_registros[REGISTRO],DADOS!$N$3)</f>
        <v>0</v>
      </c>
      <c r="L14" s="88">
        <f>SUMIFS(tabela_registros[VALOR],tabela_registros[MÊS],$AE$1,tabela_registros[DIA],outtotal3059718395107119131143[[#Headers],[8]],tabela_registros[REGISTRO],DADOS!$N$3)</f>
        <v>0</v>
      </c>
      <c r="M14" s="88">
        <f>SUMIFS(tabela_registros[VALOR],tabela_registros[MÊS],$AE$1,tabela_registros[DIA],outtotal3059718395107119131143[[#Headers],[9]],tabela_registros[REGISTRO],DADOS!$N$3)</f>
        <v>0</v>
      </c>
      <c r="N14" s="88">
        <f>SUMIFS(tabela_registros[VALOR],tabela_registros[MÊS],$AE$1,tabela_registros[DIA],outtotal3059718395107119131143[[#Headers],[10]],tabela_registros[REGISTRO],DADOS!$N$3)</f>
        <v>0</v>
      </c>
      <c r="O14" s="88">
        <f>SUMIFS(tabela_registros[VALOR],tabela_registros[MÊS],$AE$1,tabela_registros[DIA],outtotal3059718395107119131143[[#Headers],[11]],tabela_registros[REGISTRO],DADOS!$N$3)</f>
        <v>0</v>
      </c>
      <c r="P14" s="88">
        <f>SUMIFS(tabela_registros[VALOR],tabela_registros[MÊS],$AE$1,tabela_registros[DIA],outtotal3059718395107119131143[[#Headers],[12]],tabela_registros[REGISTRO],DADOS!$N$3)</f>
        <v>0</v>
      </c>
      <c r="Q14" s="88">
        <f>SUMIFS(tabela_registros[VALOR],tabela_registros[MÊS],$AE$1,tabela_registros[DIA],outtotal3059718395107119131143[[#Headers],[13]],tabela_registros[REGISTRO],DADOS!$N$3)</f>
        <v>0</v>
      </c>
      <c r="R14" s="88">
        <f>SUMIFS(tabela_registros[VALOR],tabela_registros[MÊS],$AE$1,tabela_registros[DIA],outtotal3059718395107119131143[[#Headers],[14]],tabela_registros[REGISTRO],DADOS!$N$3)</f>
        <v>0</v>
      </c>
      <c r="S14" s="88">
        <f>SUMIFS(tabela_registros[VALOR],tabela_registros[MÊS],$AE$1,tabela_registros[DIA],outtotal3059718395107119131143[[#Headers],[15]],tabela_registros[REGISTRO],DADOS!$N$3)</f>
        <v>0</v>
      </c>
      <c r="T14" s="88">
        <f>SUMIFS(tabela_registros[VALOR],tabela_registros[MÊS],$AE$1,tabela_registros[DIA],outtotal3059718395107119131143[[#Headers],[16]],tabela_registros[REGISTRO],DADOS!$N$3)</f>
        <v>0</v>
      </c>
      <c r="U14" s="88">
        <f>SUMIFS(tabela_registros[VALOR],tabela_registros[MÊS],$AE$1,tabela_registros[DIA],outtotal3059718395107119131143[[#Headers],[17]],tabela_registros[REGISTRO],DADOS!$N$3)</f>
        <v>0</v>
      </c>
      <c r="V14" s="88">
        <f>SUMIFS(tabela_registros[VALOR],tabela_registros[MÊS],$AE$1,tabela_registros[DIA],outtotal3059718395107119131143[[#Headers],[18]],tabela_registros[REGISTRO],DADOS!$N$3)</f>
        <v>0</v>
      </c>
      <c r="W14" s="88">
        <f>SUMIFS(tabela_registros[VALOR],tabela_registros[MÊS],$AE$1,tabela_registros[DIA],outtotal3059718395107119131143[[#Headers],[19]],tabela_registros[REGISTRO],DADOS!$N$3)</f>
        <v>0</v>
      </c>
      <c r="X14" s="88">
        <f>SUMIFS(tabela_registros[VALOR],tabela_registros[MÊS],$AE$1,tabela_registros[DIA],outtotal3059718395107119131143[[#Headers],[20]],tabela_registros[REGISTRO],DADOS!$N$3)</f>
        <v>0</v>
      </c>
      <c r="Y14" s="88">
        <f>SUMIFS(tabela_registros[VALOR],tabela_registros[MÊS],$AE$1,tabela_registros[DIA],outtotal3059718395107119131143[[#Headers],[21]],tabela_registros[REGISTRO],DADOS!$N$3)</f>
        <v>0</v>
      </c>
      <c r="Z14" s="88">
        <f>SUMIFS(tabela_registros[VALOR],tabela_registros[MÊS],$AE$1,tabela_registros[DIA],outtotal3059718395107119131143[[#Headers],[22]],tabela_registros[REGISTRO],DADOS!$N$3)</f>
        <v>0</v>
      </c>
      <c r="AA14" s="88">
        <f>SUMIFS(tabela_registros[VALOR],tabela_registros[MÊS],$AE$1,tabela_registros[DIA],outtotal3059718395107119131143[[#Headers],[23]],tabela_registros[REGISTRO],DADOS!$N$3)</f>
        <v>0</v>
      </c>
      <c r="AB14" s="88">
        <f>SUMIFS(tabela_registros[VALOR],tabela_registros[MÊS],$AE$1,tabela_registros[DIA],outtotal3059718395107119131143[[#Headers],[24]],tabela_registros[REGISTRO],DADOS!$N$3)</f>
        <v>0</v>
      </c>
      <c r="AC14" s="88">
        <f>SUMIFS(tabela_registros[VALOR],tabela_registros[MÊS],$AE$1,tabela_registros[DIA],outtotal3059718395107119131143[[#Headers],[25]],tabela_registros[REGISTRO],DADOS!$N$3)</f>
        <v>0</v>
      </c>
      <c r="AD14" s="88">
        <f>SUMIFS(tabela_registros[VALOR],tabela_registros[MÊS],$AE$1,tabela_registros[DIA],outtotal3059718395107119131143[[#Headers],[26]],tabela_registros[REGISTRO],DADOS!$N$3)</f>
        <v>0</v>
      </c>
      <c r="AE14" s="88">
        <f>SUMIFS(tabela_registros[VALOR],tabela_registros[MÊS],$AE$1,tabela_registros[DIA],outtotal3059718395107119131143[[#Headers],[27]],tabela_registros[REGISTRO],DADOS!$N$3)</f>
        <v>0</v>
      </c>
      <c r="AF14" s="88">
        <f>SUMIFS(tabela_registros[VALOR],tabela_registros[MÊS],$AE$1,tabela_registros[DIA],outtotal3059718395107119131143[[#Headers],[28]],tabela_registros[REGISTRO],DADOS!$N$3)</f>
        <v>0</v>
      </c>
      <c r="AG14" s="88">
        <f>SUMIFS(tabela_registros[VALOR],tabela_registros[MÊS],$AE$1,tabela_registros[DIA],outtotal3059718395107119131143[[#Headers],[29]],tabela_registros[REGISTRO],DADOS!$N$3)</f>
        <v>0</v>
      </c>
      <c r="AH14" s="88">
        <f>SUMIFS(tabela_registros[VALOR],tabela_registros[MÊS],$AE$1,tabela_registros[DIA],outtotal3059718395107119131143[[#Headers],[30]],tabela_registros[REGISTRO],DADOS!$N$3)</f>
        <v>0</v>
      </c>
      <c r="AI14" s="89">
        <f>SUMIFS(tabela_registros[VALOR],tabela_registros[MÊS],$AE$1,tabela_registros[DIA],outtotal3059718395107119131143[[#Headers],[31]],tabela_registros[REGISTRO],DADOS!$N$3)</f>
        <v>0</v>
      </c>
      <c r="AJ14" s="90">
        <f>SUM(outtotal3059718395107119131143[[#This Row],[1]:[31]])</f>
        <v>0</v>
      </c>
      <c r="AK14" s="49"/>
    </row>
    <row r="15" spans="1:38" ht="18" customHeight="1" thickTop="1" thickBot="1" x14ac:dyDescent="0.3">
      <c r="B15" s="49"/>
      <c r="C15" s="61" t="s">
        <v>205</v>
      </c>
      <c r="D15" s="60"/>
      <c r="E15" s="91">
        <f>SUMIFS(tabela_registros[VALOR],tabela_registros[MÊS],$AE$1,tabela_registros[DIA],outtotal3059718395107119131143[[#Headers],[1]],tabela_registros[REGISTRO],DADOS!$N$4)</f>
        <v>0</v>
      </c>
      <c r="F15" s="91">
        <f>SUMIFS(tabela_registros[VALOR],tabela_registros[MÊS],$AE$1,tabela_registros[DIA],outtotal3059718395107119131143[[#Headers],[2]],tabela_registros[REGISTRO],DADOS!$N$4)</f>
        <v>69.900000000000006</v>
      </c>
      <c r="G15" s="91">
        <f>SUMIFS(tabela_registros[VALOR],tabela_registros[MÊS],$AE$1,tabela_registros[DIA],outtotal3059718395107119131143[[#Headers],[3]],tabela_registros[REGISTRO],DADOS!$N$4)</f>
        <v>0</v>
      </c>
      <c r="H15" s="91">
        <f>SUMIFS(tabela_registros[VALOR],tabela_registros[MÊS],$AE$1,tabela_registros[DIA],outtotal3059718395107119131143[[#Headers],[4]],tabela_registros[REGISTRO],DADOS!$N$4)</f>
        <v>0</v>
      </c>
      <c r="I15" s="91">
        <f>SUMIFS(tabela_registros[VALOR],tabela_registros[MÊS],$AE$1,tabela_registros[DIA],outtotal3059718395107119131143[[#Headers],[5]],tabela_registros[REGISTRO],DADOS!$N$4)</f>
        <v>0</v>
      </c>
      <c r="J15" s="91">
        <f>SUMIFS(tabela_registros[VALOR],tabela_registros[MÊS],$AE$1,tabela_registros[DIA],outtotal3059718395107119131143[[#Headers],[6]],tabela_registros[REGISTRO],DADOS!$N$4)</f>
        <v>0</v>
      </c>
      <c r="K15" s="91">
        <f>SUMIFS(tabela_registros[VALOR],tabela_registros[MÊS],$AE$1,tabela_registros[DIA],outtotal3059718395107119131143[[#Headers],[7]],tabela_registros[REGISTRO],DADOS!$N$4)</f>
        <v>0</v>
      </c>
      <c r="L15" s="91">
        <f>SUMIFS(tabela_registros[VALOR],tabela_registros[MÊS],$AE$1,tabela_registros[DIA],outtotal3059718395107119131143[[#Headers],[8]],tabela_registros[REGISTRO],DADOS!$N$4)</f>
        <v>20</v>
      </c>
      <c r="M15" s="91">
        <f>SUMIFS(tabela_registros[VALOR],tabela_registros[MÊS],$AE$1,tabela_registros[DIA],outtotal3059718395107119131143[[#Headers],[9]],tabela_registros[REGISTRO],DADOS!$N$4)</f>
        <v>0</v>
      </c>
      <c r="N15" s="91">
        <f>SUMIFS(tabela_registros[VALOR],tabela_registros[MÊS],$AE$1,tabela_registros[DIA],outtotal3059718395107119131143[[#Headers],[10]],tabela_registros[REGISTRO],DADOS!$N$4)</f>
        <v>0</v>
      </c>
      <c r="O15" s="91">
        <f>SUMIFS(tabela_registros[VALOR],tabela_registros[MÊS],$AE$1,tabela_registros[DIA],outtotal3059718395107119131143[[#Headers],[11]],tabela_registros[REGISTRO],DADOS!$N$4)</f>
        <v>0</v>
      </c>
      <c r="P15" s="91">
        <f>SUMIFS(tabela_registros[VALOR],tabela_registros[MÊS],$AE$1,tabela_registros[DIA],outtotal3059718395107119131143[[#Headers],[12]],tabela_registros[REGISTRO],DADOS!$N$4)</f>
        <v>0</v>
      </c>
      <c r="Q15" s="91">
        <f>SUMIFS(tabela_registros[VALOR],tabela_registros[MÊS],$AE$1,tabela_registros[DIA],outtotal3059718395107119131143[[#Headers],[13]],tabela_registros[REGISTRO],DADOS!$N$4)</f>
        <v>0</v>
      </c>
      <c r="R15" s="91">
        <f>SUMIFS(tabela_registros[VALOR],tabela_registros[MÊS],$AE$1,tabela_registros[DIA],outtotal3059718395107119131143[[#Headers],[14]],tabela_registros[REGISTRO],DADOS!$N$4)</f>
        <v>0</v>
      </c>
      <c r="S15" s="91">
        <f>SUMIFS(tabela_registros[VALOR],tabela_registros[MÊS],$AE$1,tabela_registros[DIA],outtotal3059718395107119131143[[#Headers],[15]],tabela_registros[REGISTRO],DADOS!$N$4)</f>
        <v>0</v>
      </c>
      <c r="T15" s="91">
        <f>SUMIFS(tabela_registros[VALOR],tabela_registros[MÊS],$AE$1,tabela_registros[DIA],outtotal3059718395107119131143[[#Headers],[16]],tabela_registros[REGISTRO],DADOS!$N$4)</f>
        <v>0</v>
      </c>
      <c r="U15" s="91">
        <f>SUMIFS(tabela_registros[VALOR],tabela_registros[MÊS],$AE$1,tabela_registros[DIA],outtotal3059718395107119131143[[#Headers],[17]],tabela_registros[REGISTRO],DADOS!$N$4)</f>
        <v>0</v>
      </c>
      <c r="V15" s="91">
        <f>SUMIFS(tabela_registros[VALOR],tabela_registros[MÊS],$AE$1,tabela_registros[DIA],outtotal3059718395107119131143[[#Headers],[18]],tabela_registros[REGISTRO],DADOS!$N$4)</f>
        <v>0</v>
      </c>
      <c r="W15" s="91">
        <f>SUMIFS(tabela_registros[VALOR],tabela_registros[MÊS],$AE$1,tabela_registros[DIA],outtotal3059718395107119131143[[#Headers],[19]],tabela_registros[REGISTRO],DADOS!$N$4)</f>
        <v>0</v>
      </c>
      <c r="X15" s="91">
        <f>SUMIFS(tabela_registros[VALOR],tabela_registros[MÊS],$AE$1,tabela_registros[DIA],outtotal3059718395107119131143[[#Headers],[20]],tabela_registros[REGISTRO],DADOS!$N$4)</f>
        <v>0</v>
      </c>
      <c r="Y15" s="91">
        <f>SUMIFS(tabela_registros[VALOR],tabela_registros[MÊS],$AE$1,tabela_registros[DIA],outtotal3059718395107119131143[[#Headers],[21]],tabela_registros[REGISTRO],DADOS!$N$4)</f>
        <v>0</v>
      </c>
      <c r="Z15" s="91">
        <f>SUMIFS(tabela_registros[VALOR],tabela_registros[MÊS],$AE$1,tabela_registros[DIA],outtotal3059718395107119131143[[#Headers],[22]],tabela_registros[REGISTRO],DADOS!$N$4)</f>
        <v>0</v>
      </c>
      <c r="AA15" s="91">
        <f>SUMIFS(tabela_registros[VALOR],tabela_registros[MÊS],$AE$1,tabela_registros[DIA],outtotal3059718395107119131143[[#Headers],[23]],tabela_registros[REGISTRO],DADOS!$N$4)</f>
        <v>0</v>
      </c>
      <c r="AB15" s="91">
        <f>SUMIFS(tabela_registros[VALOR],tabela_registros[MÊS],$AE$1,tabela_registros[DIA],outtotal3059718395107119131143[[#Headers],[24]],tabela_registros[REGISTRO],DADOS!$N$4)</f>
        <v>0</v>
      </c>
      <c r="AC15" s="91">
        <f>SUMIFS(tabela_registros[VALOR],tabela_registros[MÊS],$AE$1,tabela_registros[DIA],outtotal3059718395107119131143[[#Headers],[25]],tabela_registros[REGISTRO],DADOS!$N$4)</f>
        <v>0</v>
      </c>
      <c r="AD15" s="91">
        <f>SUMIFS(tabela_registros[VALOR],tabela_registros[MÊS],$AE$1,tabela_registros[DIA],outtotal3059718395107119131143[[#Headers],[26]],tabela_registros[REGISTRO],DADOS!$N$4)</f>
        <v>0</v>
      </c>
      <c r="AE15" s="91">
        <f>SUMIFS(tabela_registros[VALOR],tabela_registros[MÊS],$AE$1,tabela_registros[DIA],outtotal3059718395107119131143[[#Headers],[27]],tabela_registros[REGISTRO],DADOS!$N$4)</f>
        <v>0</v>
      </c>
      <c r="AF15" s="91">
        <f>SUMIFS(tabela_registros[VALOR],tabela_registros[MÊS],$AE$1,tabela_registros[DIA],outtotal3059718395107119131143[[#Headers],[28]],tabela_registros[REGISTRO],DADOS!$N$4)</f>
        <v>0</v>
      </c>
      <c r="AG15" s="91">
        <f>SUMIFS(tabela_registros[VALOR],tabela_registros[MÊS],$AE$1,tabela_registros[DIA],outtotal3059718395107119131143[[#Headers],[29]],tabela_registros[REGISTRO],DADOS!$N$4)</f>
        <v>0</v>
      </c>
      <c r="AH15" s="91">
        <f>SUMIFS(tabela_registros[VALOR],tabela_registros[MÊS],$AE$1,tabela_registros[DIA],outtotal3059718395107119131143[[#Headers],[30]],tabela_registros[REGISTRO],DADOS!$N$4)</f>
        <v>0</v>
      </c>
      <c r="AI15" s="92">
        <f>SUMIFS(tabela_registros[VALOR],tabela_registros[MÊS],$AE$1,tabela_registros[DIA],outtotal3059718395107119131143[[#Headers],[31]],tabela_registros[REGISTRO],DADOS!$N$4)</f>
        <v>0</v>
      </c>
      <c r="AJ15" s="93">
        <f>SUM(outtotal3059718395107119131143[[#This Row],[1]:[31]])</f>
        <v>89.9</v>
      </c>
      <c r="AK15" s="49"/>
    </row>
    <row r="16" spans="1:38" s="16" customFormat="1" ht="21" customHeight="1" thickTop="1" thickBot="1" x14ac:dyDescent="0.35">
      <c r="B16" s="52"/>
      <c r="C16" s="57" t="s">
        <v>204</v>
      </c>
      <c r="D16" s="63"/>
      <c r="E16" s="55">
        <f>(E14-E15)+AI1</f>
        <v>0</v>
      </c>
      <c r="F16" s="54">
        <f>outtotal3059718395107119131143[[#This Row],[1]]+(F14-F15)</f>
        <v>-69.900000000000006</v>
      </c>
      <c r="G16" s="54">
        <f>outtotal3059718395107119131143[[#This Row],[2]]+(G14-G15)</f>
        <v>-69.900000000000006</v>
      </c>
      <c r="H16" s="54">
        <f>outtotal3059718395107119131143[[#This Row],[3]]+(H14-H15)</f>
        <v>-69.900000000000006</v>
      </c>
      <c r="I16" s="54">
        <f>outtotal3059718395107119131143[[#This Row],[4]]+(I14-I15)</f>
        <v>-69.900000000000006</v>
      </c>
      <c r="J16" s="54">
        <f>outtotal3059718395107119131143[[#This Row],[5]]+(J14-J15)</f>
        <v>-69.900000000000006</v>
      </c>
      <c r="K16" s="54">
        <f>outtotal3059718395107119131143[[#This Row],[6]]+(K14-K15)</f>
        <v>-69.900000000000006</v>
      </c>
      <c r="L16" s="54">
        <f>outtotal3059718395107119131143[[#This Row],[7]]+(L14-L15)</f>
        <v>-89.9</v>
      </c>
      <c r="M16" s="54">
        <f>outtotal3059718395107119131143[[#This Row],[8]]+(M14-M15)</f>
        <v>-89.9</v>
      </c>
      <c r="N16" s="54">
        <f>outtotal3059718395107119131143[[#This Row],[9]]+(N14-N15)</f>
        <v>-89.9</v>
      </c>
      <c r="O16" s="54">
        <f>outtotal3059718395107119131143[[#This Row],[10]]+(O14-O15)</f>
        <v>-89.9</v>
      </c>
      <c r="P16" s="54">
        <f>outtotal3059718395107119131143[[#This Row],[11]]+(P14-P15)</f>
        <v>-89.9</v>
      </c>
      <c r="Q16" s="54">
        <f>outtotal3059718395107119131143[[#This Row],[12]]+(Q14-Q15)</f>
        <v>-89.9</v>
      </c>
      <c r="R16" s="54">
        <f>outtotal3059718395107119131143[[#This Row],[13]]+(R14-R15)</f>
        <v>-89.9</v>
      </c>
      <c r="S16" s="54">
        <f>outtotal3059718395107119131143[[#This Row],[14]]+(S14-S15)</f>
        <v>-89.9</v>
      </c>
      <c r="T16" s="54">
        <f>outtotal3059718395107119131143[[#This Row],[15]]+(T14-T15)</f>
        <v>-89.9</v>
      </c>
      <c r="U16" s="54">
        <f>outtotal3059718395107119131143[[#This Row],[16]]+(U14-U15)</f>
        <v>-89.9</v>
      </c>
      <c r="V16" s="54">
        <f>outtotal3059718395107119131143[[#This Row],[17]]+(V14-V15)</f>
        <v>-89.9</v>
      </c>
      <c r="W16" s="54">
        <f>outtotal3059718395107119131143[[#This Row],[18]]+(W14-W15)</f>
        <v>-89.9</v>
      </c>
      <c r="X16" s="54">
        <f>outtotal3059718395107119131143[[#This Row],[19]]+(X14-X15)</f>
        <v>-89.9</v>
      </c>
      <c r="Y16" s="54">
        <f>outtotal3059718395107119131143[[#This Row],[20]]+(Y14-Y15)</f>
        <v>-89.9</v>
      </c>
      <c r="Z16" s="54">
        <f>outtotal3059718395107119131143[[#This Row],[21]]+(Z14-Z15)</f>
        <v>-89.9</v>
      </c>
      <c r="AA16" s="54">
        <f>outtotal3059718395107119131143[[#This Row],[22]]+(AA14-AA15)</f>
        <v>-89.9</v>
      </c>
      <c r="AB16" s="54">
        <f>outtotal3059718395107119131143[[#This Row],[23]]+(AB14-AB15)</f>
        <v>-89.9</v>
      </c>
      <c r="AC16" s="54">
        <f>outtotal3059718395107119131143[[#This Row],[24]]+(AC14-AC15)</f>
        <v>-89.9</v>
      </c>
      <c r="AD16" s="54">
        <f>outtotal3059718395107119131143[[#This Row],[25]]+(AD14-AD15)</f>
        <v>-89.9</v>
      </c>
      <c r="AE16" s="54">
        <f>outtotal3059718395107119131143[[#This Row],[26]]+(AE14-AE15)</f>
        <v>-89.9</v>
      </c>
      <c r="AF16" s="54">
        <f>outtotal3059718395107119131143[[#This Row],[27]]+(AF14-AF15)</f>
        <v>-89.9</v>
      </c>
      <c r="AG16" s="54">
        <f>outtotal3059718395107119131143[[#This Row],[28]]+(AG14-AG15)</f>
        <v>-89.9</v>
      </c>
      <c r="AH16" s="54">
        <f>outtotal3059718395107119131143[[#This Row],[29]]+(AH14-AH15)</f>
        <v>-89.9</v>
      </c>
      <c r="AI16" s="62">
        <f>outtotal3059718395107119131143[[#This Row],[30]]+(AI14-AI15)</f>
        <v>-89.9</v>
      </c>
      <c r="AJ16" s="53">
        <f>outtotal3059718395107119131143[[#This Row],[31]]</f>
        <v>-89.9</v>
      </c>
      <c r="AK16" s="52"/>
    </row>
    <row r="17" spans="1:37" ht="6.75" customHeight="1" thickTop="1" thickBot="1" x14ac:dyDescent="0.3">
      <c r="B17" s="49"/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49"/>
      <c r="X17" s="49"/>
      <c r="Y17" s="49"/>
      <c r="Z17" s="49"/>
      <c r="AA17" s="49"/>
      <c r="AB17" s="49"/>
      <c r="AC17" s="49"/>
      <c r="AD17" s="49"/>
      <c r="AE17" s="49"/>
      <c r="AF17" s="49"/>
      <c r="AG17" s="49"/>
      <c r="AH17" s="49"/>
      <c r="AI17" s="50"/>
      <c r="AJ17" s="49"/>
      <c r="AK17" s="49"/>
    </row>
    <row r="18" spans="1:37" ht="12.6" thickTop="1" x14ac:dyDescent="0.25">
      <c r="C18" s="46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  <c r="AH18" s="47"/>
      <c r="AI18" s="47"/>
    </row>
    <row r="19" spans="1:37" x14ac:dyDescent="0.25">
      <c r="C19" s="46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  <c r="AA19" s="47"/>
      <c r="AB19" s="47"/>
      <c r="AC19" s="47"/>
      <c r="AD19" s="47"/>
      <c r="AE19" s="47"/>
      <c r="AF19" s="47"/>
      <c r="AG19" s="47"/>
      <c r="AH19" s="47"/>
      <c r="AI19" s="47"/>
    </row>
    <row r="20" spans="1:37" x14ac:dyDescent="0.25">
      <c r="A20" s="46"/>
      <c r="B20" s="46"/>
      <c r="C20" s="46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  <c r="AA20" s="47"/>
      <c r="AB20" s="47"/>
      <c r="AC20" s="47"/>
      <c r="AD20" s="47"/>
      <c r="AE20" s="47"/>
      <c r="AF20" s="47"/>
      <c r="AG20" s="47"/>
      <c r="AH20" s="47"/>
      <c r="AI20" s="47"/>
    </row>
    <row r="21" spans="1:37" ht="39.75" customHeight="1" x14ac:dyDescent="0.25">
      <c r="A21" s="46"/>
      <c r="B21" s="46"/>
      <c r="C21" s="46"/>
      <c r="E21" s="240"/>
      <c r="F21" s="240"/>
      <c r="G21" s="240"/>
      <c r="H21" s="240"/>
      <c r="I21" s="240"/>
      <c r="J21" s="240"/>
      <c r="K21" s="240"/>
      <c r="L21" s="240"/>
      <c r="M21" s="240"/>
      <c r="N21" s="240"/>
      <c r="O21" s="240"/>
      <c r="P21" s="240"/>
      <c r="Q21" s="240"/>
      <c r="R21" s="240"/>
      <c r="S21" s="240"/>
      <c r="T21" s="240"/>
      <c r="U21" s="240"/>
      <c r="V21" s="240"/>
      <c r="W21" s="240"/>
      <c r="X21" s="240"/>
      <c r="Y21" s="240"/>
      <c r="Z21" s="240"/>
      <c r="AA21" s="240"/>
      <c r="AB21" s="240"/>
      <c r="AC21" s="240"/>
      <c r="AD21" s="240"/>
      <c r="AE21" s="240"/>
      <c r="AF21" s="240"/>
      <c r="AG21" s="240"/>
      <c r="AH21" s="240"/>
      <c r="AI21" s="240"/>
      <c r="AJ21" s="32" t="s">
        <v>19</v>
      </c>
    </row>
    <row r="22" spans="1:37" ht="11.25" customHeight="1" thickBot="1" x14ac:dyDescent="0.75">
      <c r="C22" s="36"/>
      <c r="AI22" s="4"/>
      <c r="AJ22" s="34" t="s">
        <v>202</v>
      </c>
    </row>
    <row r="23" spans="1:37" ht="6.75" customHeight="1" thickTop="1" thickBot="1" x14ac:dyDescent="0.3">
      <c r="B23" s="49"/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49"/>
      <c r="X23" s="49"/>
      <c r="Y23" s="49"/>
      <c r="Z23" s="49"/>
      <c r="AA23" s="49"/>
      <c r="AB23" s="49"/>
      <c r="AC23" s="49"/>
      <c r="AD23" s="49"/>
      <c r="AE23" s="49"/>
      <c r="AF23" s="49"/>
      <c r="AG23" s="49"/>
      <c r="AH23" s="49"/>
      <c r="AI23" s="49"/>
      <c r="AJ23" s="50"/>
      <c r="AK23" s="49"/>
    </row>
    <row r="24" spans="1:37" ht="13.2" hidden="1" thickTop="1" thickBot="1" x14ac:dyDescent="0.3">
      <c r="B24" s="2"/>
      <c r="C24" s="30" t="s">
        <v>199</v>
      </c>
      <c r="D24" s="49" t="s">
        <v>198</v>
      </c>
      <c r="E24" s="30" t="s">
        <v>197</v>
      </c>
      <c r="F24" s="30" t="s">
        <v>196</v>
      </c>
      <c r="G24" s="30" t="s">
        <v>195</v>
      </c>
      <c r="H24" s="30" t="s">
        <v>194</v>
      </c>
      <c r="I24" s="30" t="s">
        <v>193</v>
      </c>
      <c r="J24" s="30" t="s">
        <v>192</v>
      </c>
      <c r="K24" s="30" t="s">
        <v>191</v>
      </c>
      <c r="L24" s="30" t="s">
        <v>190</v>
      </c>
      <c r="M24" s="30" t="s">
        <v>189</v>
      </c>
      <c r="N24" s="30" t="s">
        <v>188</v>
      </c>
      <c r="O24" s="30" t="s">
        <v>187</v>
      </c>
      <c r="P24" s="30" t="s">
        <v>186</v>
      </c>
      <c r="Q24" s="30" t="s">
        <v>185</v>
      </c>
      <c r="R24" s="30" t="s">
        <v>184</v>
      </c>
      <c r="S24" s="30" t="s">
        <v>183</v>
      </c>
      <c r="T24" s="30" t="s">
        <v>182</v>
      </c>
      <c r="U24" s="30" t="s">
        <v>181</v>
      </c>
      <c r="V24" s="30" t="s">
        <v>180</v>
      </c>
      <c r="W24" s="30" t="s">
        <v>179</v>
      </c>
      <c r="X24" s="30" t="s">
        <v>178</v>
      </c>
      <c r="Y24" s="30" t="s">
        <v>177</v>
      </c>
      <c r="Z24" s="30" t="s">
        <v>176</v>
      </c>
      <c r="AA24" s="30" t="s">
        <v>175</v>
      </c>
      <c r="AB24" s="30" t="s">
        <v>174</v>
      </c>
      <c r="AC24" s="30" t="s">
        <v>173</v>
      </c>
      <c r="AD24" s="30" t="s">
        <v>172</v>
      </c>
      <c r="AE24" s="30" t="s">
        <v>171</v>
      </c>
      <c r="AF24" s="30" t="s">
        <v>170</v>
      </c>
      <c r="AG24" s="30" t="s">
        <v>169</v>
      </c>
      <c r="AH24" s="30" t="s">
        <v>168</v>
      </c>
      <c r="AI24" s="30" t="s">
        <v>167</v>
      </c>
      <c r="AJ24" s="29" t="s">
        <v>166</v>
      </c>
      <c r="AK24" s="49"/>
    </row>
    <row r="25" spans="1:37" ht="19.5" customHeight="1" thickTop="1" thickBot="1" x14ac:dyDescent="0.3">
      <c r="B25" s="49"/>
      <c r="C25" s="61" t="s">
        <v>7</v>
      </c>
      <c r="D25" s="60"/>
      <c r="E25" s="88">
        <f>SUMIFS(tabela_registros[VALOR],tabela_registros[MÊS],$AE$1,tabela_registros[DIA],outtotal3059718395107119131143[[#Headers],[1]],tabela_registros[REGISTRO],DADOS!$N$5)</f>
        <v>0</v>
      </c>
      <c r="F25" s="88">
        <f>SUMIFS(tabela_registros[VALOR],tabela_registros[MÊS],$AE$1,tabela_registros[DIA],outtotal3059718395107119131143[[#Headers],[2]],tabela_registros[REGISTRO],DADOS!$N$5)</f>
        <v>0</v>
      </c>
      <c r="G25" s="88">
        <f>SUMIFS(tabela_registros[VALOR],tabela_registros[MÊS],$AE$1,tabela_registros[DIA],outtotal3059718395107119131143[[#Headers],[3]],tabela_registros[REGISTRO],DADOS!$N$5)</f>
        <v>0</v>
      </c>
      <c r="H25" s="88">
        <f>SUMIFS(tabela_registros[VALOR],tabela_registros[MÊS],$AE$1,tabela_registros[DIA],outtotal3059718395107119131143[[#Headers],[4]],tabela_registros[REGISTRO],DADOS!$N$5)</f>
        <v>0</v>
      </c>
      <c r="I25" s="88">
        <f>SUMIFS(tabela_registros[VALOR],tabela_registros[MÊS],$AE$1,tabela_registros[DIA],outtotal3059718395107119131143[[#Headers],[5]],tabela_registros[REGISTRO],DADOS!$N$5)</f>
        <v>0</v>
      </c>
      <c r="J25" s="88">
        <f>SUMIFS(tabela_registros[VALOR],tabela_registros[MÊS],$AE$1,tabela_registros[DIA],outtotal3059718395107119131143[[#Headers],[6]],tabela_registros[REGISTRO],DADOS!$N$5)</f>
        <v>0</v>
      </c>
      <c r="K25" s="88">
        <f>SUMIFS(tabela_registros[VALOR],tabela_registros[MÊS],$AE$1,tabela_registros[DIA],outtotal3059718395107119131143[[#Headers],[7]],tabela_registros[REGISTRO],DADOS!$N$5)</f>
        <v>0</v>
      </c>
      <c r="L25" s="88">
        <f>SUMIFS(tabela_registros[VALOR],tabela_registros[MÊS],$AE$1,tabela_registros[DIA],outtotal3059718395107119131143[[#Headers],[8]],tabela_registros[REGISTRO],DADOS!$N$5)</f>
        <v>0</v>
      </c>
      <c r="M25" s="88">
        <f>SUMIFS(tabela_registros[VALOR],tabela_registros[MÊS],$AE$1,tabela_registros[DIA],outtotal3059718395107119131143[[#Headers],[9]],tabela_registros[REGISTRO],DADOS!$N$5)</f>
        <v>0</v>
      </c>
      <c r="N25" s="88">
        <f>SUMIFS(tabela_registros[VALOR],tabela_registros[MÊS],$AE$1,tabela_registros[DIA],outtotal3059718395107119131143[[#Headers],[10]],tabela_registros[REGISTRO],DADOS!$N$5)</f>
        <v>0</v>
      </c>
      <c r="O25" s="88">
        <f>SUMIFS(tabela_registros[VALOR],tabela_registros[MÊS],$AE$1,tabela_registros[DIA],outtotal3059718395107119131143[[#Headers],[11]],tabela_registros[REGISTRO],DADOS!$N$5)</f>
        <v>0</v>
      </c>
      <c r="P25" s="88">
        <f>SUMIFS(tabela_registros[VALOR],tabela_registros[MÊS],$AE$1,tabela_registros[DIA],outtotal3059718395107119131143[[#Headers],[12]],tabela_registros[REGISTRO],DADOS!$N$5)</f>
        <v>0</v>
      </c>
      <c r="Q25" s="88">
        <f>SUMIFS(tabela_registros[VALOR],tabela_registros[MÊS],$AE$1,tabela_registros[DIA],outtotal3059718395107119131143[[#Headers],[13]],tabela_registros[REGISTRO],DADOS!$N$5)</f>
        <v>0</v>
      </c>
      <c r="R25" s="88">
        <f>SUMIFS(tabela_registros[VALOR],tabela_registros[MÊS],$AE$1,tabela_registros[DIA],outtotal3059718395107119131143[[#Headers],[14]],tabela_registros[REGISTRO],DADOS!$N$5)</f>
        <v>0</v>
      </c>
      <c r="S25" s="88">
        <f>SUMIFS(tabela_registros[VALOR],tabela_registros[MÊS],$AE$1,tabela_registros[DIA],outtotal3059718395107119131143[[#Headers],[15]],tabela_registros[REGISTRO],DADOS!$N$5)</f>
        <v>0</v>
      </c>
      <c r="T25" s="88">
        <f>SUMIFS(tabela_registros[VALOR],tabela_registros[MÊS],$AE$1,tabela_registros[DIA],outtotal3059718395107119131143[[#Headers],[16]],tabela_registros[REGISTRO],DADOS!$N$5)</f>
        <v>0</v>
      </c>
      <c r="U25" s="88">
        <f>SUMIFS(tabela_registros[VALOR],tabela_registros[MÊS],$AE$1,tabela_registros[DIA],outtotal3059718395107119131143[[#Headers],[17]],tabela_registros[REGISTRO],DADOS!$N$5)</f>
        <v>0</v>
      </c>
      <c r="V25" s="88">
        <f>SUMIFS(tabela_registros[VALOR],tabela_registros[MÊS],$AE$1,tabela_registros[DIA],outtotal3059718395107119131143[[#Headers],[18]],tabela_registros[REGISTRO],DADOS!$N$5)</f>
        <v>0</v>
      </c>
      <c r="W25" s="88">
        <f>SUMIFS(tabela_registros[VALOR],tabela_registros[MÊS],$AE$1,tabela_registros[DIA],outtotal3059718395107119131143[[#Headers],[19]],tabela_registros[REGISTRO],DADOS!$N$5)</f>
        <v>0</v>
      </c>
      <c r="X25" s="88">
        <f>SUMIFS(tabela_registros[VALOR],tabela_registros[MÊS],$AE$1,tabela_registros[DIA],outtotal3059718395107119131143[[#Headers],[20]],tabela_registros[REGISTRO],DADOS!$N$5)</f>
        <v>0</v>
      </c>
      <c r="Y25" s="88">
        <f>SUMIFS(tabela_registros[VALOR],tabela_registros[MÊS],$AE$1,tabela_registros[DIA],outtotal3059718395107119131143[[#Headers],[21]],tabela_registros[REGISTRO],DADOS!$N$5)</f>
        <v>0</v>
      </c>
      <c r="Z25" s="88">
        <f>SUMIFS(tabela_registros[VALOR],tabela_registros[MÊS],$AE$1,tabela_registros[DIA],outtotal3059718395107119131143[[#Headers],[22]],tabela_registros[REGISTRO],DADOS!$N$5)</f>
        <v>0</v>
      </c>
      <c r="AA25" s="88">
        <f>SUMIFS(tabela_registros[VALOR],tabela_registros[MÊS],$AE$1,tabela_registros[DIA],outtotal3059718395107119131143[[#Headers],[23]],tabela_registros[REGISTRO],DADOS!$N$5)</f>
        <v>0</v>
      </c>
      <c r="AB25" s="88">
        <f>SUMIFS(tabela_registros[VALOR],tabela_registros[MÊS],$AE$1,tabela_registros[DIA],outtotal3059718395107119131143[[#Headers],[24]],tabela_registros[REGISTRO],DADOS!$N$5)</f>
        <v>0</v>
      </c>
      <c r="AC25" s="88">
        <f>SUMIFS(tabela_registros[VALOR],tabela_registros[MÊS],$AE$1,tabela_registros[DIA],outtotal3059718395107119131143[[#Headers],[25]],tabela_registros[REGISTRO],DADOS!$N$5)</f>
        <v>0</v>
      </c>
      <c r="AD25" s="88">
        <f>SUMIFS(tabela_registros[VALOR],tabela_registros[MÊS],$AE$1,tabela_registros[DIA],outtotal3059718395107119131143[[#Headers],[26]],tabela_registros[REGISTRO],DADOS!$N$5)</f>
        <v>0</v>
      </c>
      <c r="AE25" s="88">
        <f>SUMIFS(tabela_registros[VALOR],tabela_registros[MÊS],$AE$1,tabela_registros[DIA],outtotal3059718395107119131143[[#Headers],[27]],tabela_registros[REGISTRO],DADOS!$N$5)</f>
        <v>451</v>
      </c>
      <c r="AF25" s="88">
        <f>SUMIFS(tabela_registros[VALOR],tabela_registros[MÊS],$AE$1,tabela_registros[DIA],outtotal3059718395107119131143[[#Headers],[28]],tabela_registros[REGISTRO],DADOS!$N$5)</f>
        <v>0</v>
      </c>
      <c r="AG25" s="88">
        <f>SUMIFS(tabela_registros[VALOR],tabela_registros[MÊS],$AE$1,tabela_registros[DIA],outtotal3059718395107119131143[[#Headers],[29]],tabela_registros[REGISTRO],DADOS!$N$5)</f>
        <v>0</v>
      </c>
      <c r="AH25" s="88">
        <f>SUMIFS(tabela_registros[VALOR],tabela_registros[MÊS],$AE$1,tabela_registros[DIA],outtotal3059718395107119131143[[#Headers],[30]],tabela_registros[REGISTRO],DADOS!$N$5)</f>
        <v>0</v>
      </c>
      <c r="AI25" s="89">
        <f>SUMIFS(tabela_registros[VALOR],tabela_registros[MÊS],$AE$1,tabela_registros[DIA],outtotal3059718395107119131143[[#Headers],[31]],tabela_registros[REGISTRO],DADOS!$N$5)</f>
        <v>0</v>
      </c>
      <c r="AJ25" s="90">
        <f>SUM(E25:AI25)</f>
        <v>451</v>
      </c>
      <c r="AK25" s="49"/>
    </row>
    <row r="26" spans="1:37" ht="18" customHeight="1" thickTop="1" thickBot="1" x14ac:dyDescent="0.3">
      <c r="B26" s="49"/>
      <c r="C26" s="59" t="s">
        <v>8</v>
      </c>
      <c r="D26" s="58"/>
      <c r="E26" s="91">
        <f>SUMIFS(tabela_registros[VALOR],tabela_registros[MÊS],$AE$1,tabela_registros[DIA],outtotal3059718395107119131143[[#Headers],[1]],tabela_registros[REGISTRO],DADOS!$N$6)</f>
        <v>0</v>
      </c>
      <c r="F26" s="91">
        <f>SUMIFS(tabela_registros[VALOR],tabela_registros[MÊS],$AE$1,tabela_registros[DIA],outtotal3059718395107119131143[[#Headers],[2]],tabela_registros[REGISTRO],DADOS!$N$6)</f>
        <v>0</v>
      </c>
      <c r="G26" s="91">
        <f>SUMIFS(tabela_registros[VALOR],tabela_registros[MÊS],$AE$1,tabela_registros[DIA],outtotal3059718395107119131143[[#Headers],[3]],tabela_registros[REGISTRO],DADOS!$N$6)</f>
        <v>0</v>
      </c>
      <c r="H26" s="91">
        <f>SUMIFS(tabela_registros[VALOR],tabela_registros[MÊS],$AE$1,tabela_registros[DIA],outtotal3059718395107119131143[[#Headers],[4]],tabela_registros[REGISTRO],DADOS!$N$6)</f>
        <v>0</v>
      </c>
      <c r="I26" s="91">
        <f>SUMIFS(tabela_registros[VALOR],tabela_registros[MÊS],$AE$1,tabela_registros[DIA],outtotal3059718395107119131143[[#Headers],[5]],tabela_registros[REGISTRO],DADOS!$N$6)</f>
        <v>0</v>
      </c>
      <c r="J26" s="91">
        <f>SUMIFS(tabela_registros[VALOR],tabela_registros[MÊS],$AE$1,tabela_registros[DIA],outtotal3059718395107119131143[[#Headers],[6]],tabela_registros[REGISTRO],DADOS!$N$6)</f>
        <v>0</v>
      </c>
      <c r="K26" s="91">
        <f>SUMIFS(tabela_registros[VALOR],tabela_registros[MÊS],$AE$1,tabela_registros[DIA],outtotal3059718395107119131143[[#Headers],[7]],tabela_registros[REGISTRO],DADOS!$N$6)</f>
        <v>0</v>
      </c>
      <c r="L26" s="91">
        <f>SUMIFS(tabela_registros[VALOR],tabela_registros[MÊS],$AE$1,tabela_registros[DIA],outtotal3059718395107119131143[[#Headers],[8]],tabela_registros[REGISTRO],DADOS!$N$6)</f>
        <v>0</v>
      </c>
      <c r="M26" s="91">
        <f>SUMIFS(tabela_registros[VALOR],tabela_registros[MÊS],$AE$1,tabela_registros[DIA],outtotal3059718395107119131143[[#Headers],[9]],tabela_registros[REGISTRO],DADOS!$N$6)</f>
        <v>0</v>
      </c>
      <c r="N26" s="91">
        <f>SUMIFS(tabela_registros[VALOR],tabela_registros[MÊS],$AE$1,tabela_registros[DIA],outtotal3059718395107119131143[[#Headers],[10]],tabela_registros[REGISTRO],DADOS!$N$6)</f>
        <v>0</v>
      </c>
      <c r="O26" s="91">
        <f>SUMIFS(tabela_registros[VALOR],tabela_registros[MÊS],$AE$1,tabela_registros[DIA],outtotal3059718395107119131143[[#Headers],[11]],tabela_registros[REGISTRO],DADOS!$N$6)</f>
        <v>0</v>
      </c>
      <c r="P26" s="91">
        <f>SUMIFS(tabela_registros[VALOR],tabela_registros[MÊS],$AE$1,tabela_registros[DIA],outtotal3059718395107119131143[[#Headers],[12]],tabela_registros[REGISTRO],DADOS!$N$6)</f>
        <v>0</v>
      </c>
      <c r="Q26" s="91">
        <f>SUMIFS(tabela_registros[VALOR],tabela_registros[MÊS],$AE$1,tabela_registros[DIA],outtotal3059718395107119131143[[#Headers],[13]],tabela_registros[REGISTRO],DADOS!$N$6)</f>
        <v>0</v>
      </c>
      <c r="R26" s="91">
        <f>SUMIFS(tabela_registros[VALOR],tabela_registros[MÊS],$AE$1,tabela_registros[DIA],outtotal3059718395107119131143[[#Headers],[14]],tabela_registros[REGISTRO],DADOS!$N$6)</f>
        <v>0</v>
      </c>
      <c r="S26" s="91">
        <f>SUMIFS(tabela_registros[VALOR],tabela_registros[MÊS],$AE$1,tabela_registros[DIA],outtotal3059718395107119131143[[#Headers],[15]],tabela_registros[REGISTRO],DADOS!$N$6)</f>
        <v>0</v>
      </c>
      <c r="T26" s="91">
        <f>SUMIFS(tabela_registros[VALOR],tabela_registros[MÊS],$AE$1,tabela_registros[DIA],outtotal3059718395107119131143[[#Headers],[16]],tabela_registros[REGISTRO],DADOS!$N$6)</f>
        <v>0</v>
      </c>
      <c r="U26" s="91">
        <f>SUMIFS(tabela_registros[VALOR],tabela_registros[MÊS],$AE$1,tabela_registros[DIA],outtotal3059718395107119131143[[#Headers],[17]],tabela_registros[REGISTRO],DADOS!$N$6)</f>
        <v>0</v>
      </c>
      <c r="V26" s="91">
        <f>SUMIFS(tabela_registros[VALOR],tabela_registros[MÊS],$AE$1,tabela_registros[DIA],outtotal3059718395107119131143[[#Headers],[18]],tabela_registros[REGISTRO],DADOS!$N$6)</f>
        <v>0</v>
      </c>
      <c r="W26" s="91">
        <f>SUMIFS(tabela_registros[VALOR],tabela_registros[MÊS],$AE$1,tabela_registros[DIA],outtotal3059718395107119131143[[#Headers],[19]],tabela_registros[REGISTRO],DADOS!$N$6)</f>
        <v>0</v>
      </c>
      <c r="X26" s="91">
        <f>SUMIFS(tabela_registros[VALOR],tabela_registros[MÊS],$AE$1,tabela_registros[DIA],outtotal3059718395107119131143[[#Headers],[20]],tabela_registros[REGISTRO],DADOS!$N$6)</f>
        <v>0</v>
      </c>
      <c r="Y26" s="91">
        <f>SUMIFS(tabela_registros[VALOR],tabela_registros[MÊS],$AE$1,tabela_registros[DIA],outtotal3059718395107119131143[[#Headers],[21]],tabela_registros[REGISTRO],DADOS!$N$6)</f>
        <v>0</v>
      </c>
      <c r="Z26" s="91">
        <f>SUMIFS(tabela_registros[VALOR],tabela_registros[MÊS],$AE$1,tabela_registros[DIA],outtotal3059718395107119131143[[#Headers],[22]],tabela_registros[REGISTRO],DADOS!$N$6)</f>
        <v>0</v>
      </c>
      <c r="AA26" s="91">
        <f>SUMIFS(tabela_registros[VALOR],tabela_registros[MÊS],$AE$1,tabela_registros[DIA],outtotal3059718395107119131143[[#Headers],[23]],tabela_registros[REGISTRO],DADOS!$N$6)</f>
        <v>0</v>
      </c>
      <c r="AB26" s="91">
        <f>SUMIFS(tabela_registros[VALOR],tabela_registros[MÊS],$AE$1,tabela_registros[DIA],outtotal3059718395107119131143[[#Headers],[24]],tabela_registros[REGISTRO],DADOS!$N$6)</f>
        <v>0</v>
      </c>
      <c r="AC26" s="91">
        <f>SUMIFS(tabela_registros[VALOR],tabela_registros[MÊS],$AE$1,tabela_registros[DIA],outtotal3059718395107119131143[[#Headers],[25]],tabela_registros[REGISTRO],DADOS!$N$6)</f>
        <v>0</v>
      </c>
      <c r="AD26" s="91">
        <f>SUMIFS(tabela_registros[VALOR],tabela_registros[MÊS],$AE$1,tabela_registros[DIA],outtotal3059718395107119131143[[#Headers],[26]],tabela_registros[REGISTRO],DADOS!$N$6)</f>
        <v>0</v>
      </c>
      <c r="AE26" s="91">
        <f>SUMIFS(tabela_registros[VALOR],tabela_registros[MÊS],$AE$1,tabela_registros[DIA],outtotal3059718395107119131143[[#Headers],[27]],tabela_registros[REGISTRO],DADOS!$N$6)</f>
        <v>0</v>
      </c>
      <c r="AF26" s="91">
        <f>SUMIFS(tabela_registros[VALOR],tabela_registros[MÊS],$AE$1,tabela_registros[DIA],outtotal3059718395107119131143[[#Headers],[28]],tabela_registros[REGISTRO],DADOS!$N$6)</f>
        <v>0</v>
      </c>
      <c r="AG26" s="91">
        <f>SUMIFS(tabela_registros[VALOR],tabela_registros[MÊS],$AE$1,tabela_registros[DIA],outtotal3059718395107119131143[[#Headers],[29]],tabela_registros[REGISTRO],DADOS!$N$6)</f>
        <v>0</v>
      </c>
      <c r="AH26" s="91">
        <f>SUMIFS(tabela_registros[VALOR],tabela_registros[MÊS],$AE$1,tabela_registros[DIA],outtotal3059718395107119131143[[#Headers],[30]],tabela_registros[REGISTRO],DADOS!$N$6)</f>
        <v>0</v>
      </c>
      <c r="AI26" s="92">
        <f>SUMIFS(tabela_registros[VALOR],tabela_registros[MÊS],$AE$1,tabela_registros[DIA],outtotal3059718395107119131143[[#Headers],[31]],tabela_registros[REGISTRO],DADOS!$N$6)</f>
        <v>0</v>
      </c>
      <c r="AJ26" s="93">
        <f>SUM(E26:AI26)</f>
        <v>0</v>
      </c>
      <c r="AK26" s="49"/>
    </row>
    <row r="27" spans="1:37" s="16" customFormat="1" ht="21" customHeight="1" thickTop="1" thickBot="1" x14ac:dyDescent="0.35">
      <c r="B27" s="52"/>
      <c r="C27" s="57" t="s">
        <v>19</v>
      </c>
      <c r="D27" s="56"/>
      <c r="E27" s="55">
        <f>SUM(E25:E26)</f>
        <v>0</v>
      </c>
      <c r="F27" s="54">
        <f>SUM(F25:F26)+outinvestir2158708294106118130142[[#This Row],[1]]</f>
        <v>0</v>
      </c>
      <c r="G27" s="54">
        <f>SUM(G25:G26)+outinvestir2158708294106118130142[[#This Row],[2]]</f>
        <v>0</v>
      </c>
      <c r="H27" s="54">
        <f>SUM(H25:H26)+outinvestir2158708294106118130142[[#This Row],[3]]</f>
        <v>0</v>
      </c>
      <c r="I27" s="54">
        <f>SUM(I25:I26)+outinvestir2158708294106118130142[[#This Row],[4]]</f>
        <v>0</v>
      </c>
      <c r="J27" s="54">
        <f>SUM(J25:J26)+outinvestir2158708294106118130142[[#This Row],[5]]</f>
        <v>0</v>
      </c>
      <c r="K27" s="54">
        <f>SUM(K25:K26)+outinvestir2158708294106118130142[[#This Row],[6]]</f>
        <v>0</v>
      </c>
      <c r="L27" s="54">
        <f>SUM(L25:L26)+outinvestir2158708294106118130142[[#This Row],[7]]</f>
        <v>0</v>
      </c>
      <c r="M27" s="54">
        <f>SUM(M25:M26)+outinvestir2158708294106118130142[[#This Row],[8]]</f>
        <v>0</v>
      </c>
      <c r="N27" s="54">
        <f>SUM(N25:N26)+outinvestir2158708294106118130142[[#This Row],[9]]</f>
        <v>0</v>
      </c>
      <c r="O27" s="54">
        <f>SUM(O25:O26)+outinvestir2158708294106118130142[[#This Row],[10]]</f>
        <v>0</v>
      </c>
      <c r="P27" s="54">
        <f>SUM(P25:P26)+outinvestir2158708294106118130142[[#This Row],[11]]</f>
        <v>0</v>
      </c>
      <c r="Q27" s="54">
        <f>SUM(Q25:Q26)+outinvestir2158708294106118130142[[#This Row],[12]]</f>
        <v>0</v>
      </c>
      <c r="R27" s="54">
        <f>SUM(R25:R26)+outinvestir2158708294106118130142[[#This Row],[13]]</f>
        <v>0</v>
      </c>
      <c r="S27" s="54">
        <f>SUM(S25:S26)+outinvestir2158708294106118130142[[#This Row],[14]]</f>
        <v>0</v>
      </c>
      <c r="T27" s="54">
        <f>SUM(T25:T26)+outinvestir2158708294106118130142[[#This Row],[15]]</f>
        <v>0</v>
      </c>
      <c r="U27" s="54">
        <f>SUM(U25:U26)+outinvestir2158708294106118130142[[#This Row],[16]]</f>
        <v>0</v>
      </c>
      <c r="V27" s="54">
        <f>SUM(V25:V26)+outinvestir2158708294106118130142[[#This Row],[17]]</f>
        <v>0</v>
      </c>
      <c r="W27" s="54">
        <f>SUM(W25:W26)+outinvestir2158708294106118130142[[#This Row],[18]]</f>
        <v>0</v>
      </c>
      <c r="X27" s="54">
        <f>SUM(X25:X26)+outinvestir2158708294106118130142[[#This Row],[19]]</f>
        <v>0</v>
      </c>
      <c r="Y27" s="54">
        <f>SUM(Y25:Y26)+outinvestir2158708294106118130142[[#This Row],[20]]</f>
        <v>0</v>
      </c>
      <c r="Z27" s="54">
        <f>SUM(Z25:Z26)+outinvestir2158708294106118130142[[#This Row],[21]]</f>
        <v>0</v>
      </c>
      <c r="AA27" s="54">
        <f>SUM(AA25:AA26)+outinvestir2158708294106118130142[[#This Row],[22]]</f>
        <v>0</v>
      </c>
      <c r="AB27" s="54">
        <f>SUM(AB25:AB26)+outinvestir2158708294106118130142[[#This Row],[23]]</f>
        <v>0</v>
      </c>
      <c r="AC27" s="54">
        <f>SUM(AC25:AC26)+outinvestir2158708294106118130142[[#This Row],[24]]</f>
        <v>0</v>
      </c>
      <c r="AD27" s="54">
        <f>SUM(AD25:AD26)+outinvestir2158708294106118130142[[#This Row],[25]]</f>
        <v>0</v>
      </c>
      <c r="AE27" s="54">
        <f>SUM(AE25:AE26)+outinvestir2158708294106118130142[[#This Row],[26]]</f>
        <v>451</v>
      </c>
      <c r="AF27" s="54">
        <f>SUM(AF25:AF26)+outinvestir2158708294106118130142[[#This Row],[27]]</f>
        <v>451</v>
      </c>
      <c r="AG27" s="54">
        <f>SUM(AG25:AG26)+outinvestir2158708294106118130142[[#This Row],[28]]</f>
        <v>451</v>
      </c>
      <c r="AH27" s="54">
        <f>SUM(AH25:AH26)+outinvestir2158708294106118130142[[#This Row],[29]]</f>
        <v>451</v>
      </c>
      <c r="AI27" s="62">
        <f>SUM(AI25:AI26)+outinvestir2158708294106118130142[[#This Row],[30]]</f>
        <v>451</v>
      </c>
      <c r="AJ27" s="53">
        <f>outinvestir2158708294106118130142[[#This Row],[31]]</f>
        <v>451</v>
      </c>
      <c r="AK27" s="52"/>
    </row>
    <row r="28" spans="1:37" ht="6.75" hidden="1" customHeight="1" thickTop="1" thickBot="1" x14ac:dyDescent="0.35">
      <c r="B28" s="49"/>
      <c r="C28" t="s">
        <v>204</v>
      </c>
      <c r="D28"/>
      <c r="E28" s="51">
        <f>SUBTOTAL(109,outinvestir2158708294106118130142[1])</f>
        <v>0</v>
      </c>
      <c r="F28" s="51">
        <f>SUBTOTAL(109,outinvestir2158708294106118130142[2])</f>
        <v>0</v>
      </c>
      <c r="G28" s="51">
        <f>SUBTOTAL(109,outinvestir2158708294106118130142[3])</f>
        <v>0</v>
      </c>
      <c r="H28" s="51">
        <f>SUBTOTAL(109,outinvestir2158708294106118130142[4])</f>
        <v>0</v>
      </c>
      <c r="I28" s="51">
        <f>SUBTOTAL(109,outinvestir2158708294106118130142[5])</f>
        <v>0</v>
      </c>
      <c r="J28" s="51">
        <f>SUBTOTAL(109,outinvestir2158708294106118130142[6])</f>
        <v>0</v>
      </c>
      <c r="K28" s="51">
        <f>SUBTOTAL(109,outinvestir2158708294106118130142[7])</f>
        <v>0</v>
      </c>
      <c r="L28" s="51">
        <f>SUBTOTAL(109,outinvestir2158708294106118130142[8])</f>
        <v>0</v>
      </c>
      <c r="M28" s="51">
        <f>SUBTOTAL(109,outinvestir2158708294106118130142[9])</f>
        <v>0</v>
      </c>
      <c r="N28" s="51">
        <f>SUBTOTAL(109,outinvestir2158708294106118130142[10])</f>
        <v>0</v>
      </c>
      <c r="O28" s="51">
        <f>SUBTOTAL(109,outinvestir2158708294106118130142[11])</f>
        <v>0</v>
      </c>
      <c r="P28" s="51">
        <f>SUBTOTAL(109,outinvestir2158708294106118130142[12])</f>
        <v>0</v>
      </c>
      <c r="Q28" s="51">
        <f>SUBTOTAL(109,outinvestir2158708294106118130142[13])</f>
        <v>0</v>
      </c>
      <c r="R28" s="51">
        <f>SUBTOTAL(109,outinvestir2158708294106118130142[14])</f>
        <v>0</v>
      </c>
      <c r="S28" s="51">
        <f>SUBTOTAL(109,outinvestir2158708294106118130142[15])</f>
        <v>0</v>
      </c>
      <c r="T28" s="51">
        <f>SUBTOTAL(109,outinvestir2158708294106118130142[16])</f>
        <v>0</v>
      </c>
      <c r="U28" s="51">
        <f>SUBTOTAL(109,outinvestir2158708294106118130142[17])</f>
        <v>0</v>
      </c>
      <c r="V28" s="51">
        <f>SUBTOTAL(109,outinvestir2158708294106118130142[18])</f>
        <v>0</v>
      </c>
      <c r="W28" s="51">
        <f>SUBTOTAL(109,outinvestir2158708294106118130142[19])</f>
        <v>0</v>
      </c>
      <c r="X28" s="51">
        <f>SUBTOTAL(109,outinvestir2158708294106118130142[20])</f>
        <v>0</v>
      </c>
      <c r="Y28" s="51">
        <f>SUBTOTAL(109,outinvestir2158708294106118130142[21])</f>
        <v>0</v>
      </c>
      <c r="Z28" s="51">
        <f>SUBTOTAL(109,outinvestir2158708294106118130142[22])</f>
        <v>0</v>
      </c>
      <c r="AA28" s="51">
        <f>SUBTOTAL(109,outinvestir2158708294106118130142[23])</f>
        <v>0</v>
      </c>
      <c r="AB28" s="51">
        <f>SUBTOTAL(109,outinvestir2158708294106118130142[24])</f>
        <v>0</v>
      </c>
      <c r="AC28" s="51">
        <f>SUBTOTAL(109,outinvestir2158708294106118130142[25])</f>
        <v>0</v>
      </c>
      <c r="AD28" s="51">
        <f>SUBTOTAL(109,outinvestir2158708294106118130142[26])</f>
        <v>0</v>
      </c>
      <c r="AE28" s="51">
        <f>SUBTOTAL(109,outinvestir2158708294106118130142[27])</f>
        <v>902</v>
      </c>
      <c r="AF28" s="51">
        <f>SUBTOTAL(109,outinvestir2158708294106118130142[28])</f>
        <v>451</v>
      </c>
      <c r="AG28" s="51">
        <f>SUBTOTAL(109,outinvestir2158708294106118130142[29])</f>
        <v>451</v>
      </c>
      <c r="AH28" s="51">
        <f>SUBTOTAL(109,outinvestir2158708294106118130142[30])</f>
        <v>451</v>
      </c>
      <c r="AI28" s="51">
        <f>SUBTOTAL(109,outinvestir2158708294106118130142[31])</f>
        <v>451</v>
      </c>
      <c r="AJ28" s="51">
        <f>SUBTOTAL(109,outinvestir2158708294106118130142[TOTAL (R$)])</f>
        <v>902</v>
      </c>
      <c r="AK28" s="49"/>
    </row>
    <row r="29" spans="1:37" ht="6.75" customHeight="1" thickTop="1" thickBot="1" x14ac:dyDescent="0.3">
      <c r="B29" s="49"/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49"/>
      <c r="X29" s="49"/>
      <c r="Y29" s="49"/>
      <c r="Z29" s="49"/>
      <c r="AA29" s="49"/>
      <c r="AB29" s="49"/>
      <c r="AC29" s="49"/>
      <c r="AD29" s="49"/>
      <c r="AE29" s="49"/>
      <c r="AF29" s="49"/>
      <c r="AG29" s="49"/>
      <c r="AH29" s="49"/>
      <c r="AI29" s="50"/>
      <c r="AJ29" s="49"/>
      <c r="AK29" s="49"/>
    </row>
    <row r="30" spans="1:37" ht="12.6" thickTop="1" x14ac:dyDescent="0.25">
      <c r="C30" s="46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 s="47"/>
      <c r="Z30" s="47"/>
      <c r="AA30" s="47"/>
      <c r="AB30" s="47"/>
      <c r="AC30" s="47"/>
      <c r="AD30" s="47"/>
      <c r="AE30" s="47"/>
      <c r="AF30" s="47"/>
      <c r="AG30" s="47"/>
      <c r="AH30" s="47"/>
      <c r="AI30" s="47"/>
    </row>
    <row r="31" spans="1:37" x14ac:dyDescent="0.25">
      <c r="C31" s="46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47"/>
      <c r="X31" s="47"/>
      <c r="Y31" s="47"/>
      <c r="Z31" s="47"/>
      <c r="AA31" s="47"/>
      <c r="AB31" s="47"/>
      <c r="AC31" s="47"/>
      <c r="AD31" s="47"/>
      <c r="AE31" s="47"/>
      <c r="AF31" s="47"/>
      <c r="AG31" s="47"/>
      <c r="AH31" s="47"/>
      <c r="AI31" s="47"/>
    </row>
    <row r="32" spans="1:37" x14ac:dyDescent="0.25">
      <c r="C32" s="46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47"/>
      <c r="AB32" s="47"/>
      <c r="AC32" s="47"/>
      <c r="AD32" s="47"/>
      <c r="AE32" s="47"/>
      <c r="AF32" s="47"/>
      <c r="AG32" s="47"/>
      <c r="AH32" s="47"/>
      <c r="AI32" s="47"/>
    </row>
    <row r="33" spans="2:37" ht="39.75" customHeight="1" x14ac:dyDescent="0.25">
      <c r="C33" s="46"/>
      <c r="E33" s="240"/>
      <c r="F33" s="240"/>
      <c r="G33" s="240"/>
      <c r="H33" s="240"/>
      <c r="I33" s="240"/>
      <c r="J33" s="240"/>
      <c r="K33" s="240"/>
      <c r="L33" s="240"/>
      <c r="M33" s="240"/>
      <c r="N33" s="240"/>
      <c r="O33" s="240"/>
      <c r="P33" s="240"/>
      <c r="Q33" s="240"/>
      <c r="R33" s="240"/>
      <c r="S33" s="240"/>
      <c r="T33" s="240"/>
      <c r="U33" s="240"/>
      <c r="V33" s="240"/>
      <c r="W33" s="240"/>
      <c r="X33" s="240"/>
      <c r="Y33" s="240"/>
      <c r="Z33" s="240"/>
      <c r="AA33" s="240"/>
      <c r="AB33" s="240"/>
      <c r="AC33" s="240"/>
      <c r="AD33" s="240"/>
      <c r="AE33" s="240"/>
      <c r="AF33" s="240"/>
      <c r="AG33" s="240"/>
      <c r="AH33" s="240"/>
      <c r="AI33" s="240"/>
      <c r="AJ33" s="32" t="s">
        <v>19</v>
      </c>
    </row>
    <row r="34" spans="2:37" ht="11.25" customHeight="1" thickBot="1" x14ac:dyDescent="0.75">
      <c r="C34" s="36"/>
      <c r="AI34" s="4"/>
      <c r="AJ34" s="34" t="s">
        <v>202</v>
      </c>
    </row>
    <row r="35" spans="2:37" ht="6.75" customHeight="1" thickTop="1" thickBot="1" x14ac:dyDescent="0.3">
      <c r="B35" s="33"/>
      <c r="C35" s="45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F35" s="44"/>
      <c r="AG35" s="44"/>
      <c r="AH35" s="44"/>
      <c r="AI35" s="44"/>
      <c r="AJ35" s="43"/>
      <c r="AK35" s="33"/>
    </row>
    <row r="36" spans="2:37" ht="12.6" hidden="1" thickBot="1" x14ac:dyDescent="0.3">
      <c r="B36" s="2"/>
      <c r="C36" s="31" t="s">
        <v>132</v>
      </c>
      <c r="D36" s="30" t="s">
        <v>198</v>
      </c>
      <c r="E36" s="30" t="s">
        <v>197</v>
      </c>
      <c r="F36" s="30" t="s">
        <v>196</v>
      </c>
      <c r="G36" s="30" t="s">
        <v>195</v>
      </c>
      <c r="H36" s="30" t="s">
        <v>194</v>
      </c>
      <c r="I36" s="30" t="s">
        <v>193</v>
      </c>
      <c r="J36" s="30" t="s">
        <v>192</v>
      </c>
      <c r="K36" s="30" t="s">
        <v>191</v>
      </c>
      <c r="L36" s="30" t="s">
        <v>190</v>
      </c>
      <c r="M36" s="30" t="s">
        <v>189</v>
      </c>
      <c r="N36" s="30" t="s">
        <v>188</v>
      </c>
      <c r="O36" s="30" t="s">
        <v>187</v>
      </c>
      <c r="P36" s="30" t="s">
        <v>186</v>
      </c>
      <c r="Q36" s="30" t="s">
        <v>185</v>
      </c>
      <c r="R36" s="30" t="s">
        <v>184</v>
      </c>
      <c r="S36" s="30" t="s">
        <v>183</v>
      </c>
      <c r="T36" s="30" t="s">
        <v>182</v>
      </c>
      <c r="U36" s="30" t="s">
        <v>181</v>
      </c>
      <c r="V36" s="30" t="s">
        <v>180</v>
      </c>
      <c r="W36" s="30" t="s">
        <v>179</v>
      </c>
      <c r="X36" s="30" t="s">
        <v>178</v>
      </c>
      <c r="Y36" s="30" t="s">
        <v>177</v>
      </c>
      <c r="Z36" s="30" t="s">
        <v>176</v>
      </c>
      <c r="AA36" s="30" t="s">
        <v>175</v>
      </c>
      <c r="AB36" s="30" t="s">
        <v>174</v>
      </c>
      <c r="AC36" s="30" t="s">
        <v>173</v>
      </c>
      <c r="AD36" s="30" t="s">
        <v>172</v>
      </c>
      <c r="AE36" s="30" t="s">
        <v>171</v>
      </c>
      <c r="AF36" s="30" t="s">
        <v>170</v>
      </c>
      <c r="AG36" s="30" t="s">
        <v>169</v>
      </c>
      <c r="AH36" s="30" t="s">
        <v>168</v>
      </c>
      <c r="AI36" s="30" t="s">
        <v>167</v>
      </c>
      <c r="AJ36" s="42" t="s">
        <v>19</v>
      </c>
      <c r="AK36" s="2" t="s">
        <v>203</v>
      </c>
    </row>
    <row r="37" spans="2:37" ht="19.5" customHeight="1" thickTop="1" thickBot="1" x14ac:dyDescent="0.3">
      <c r="B37" s="28"/>
      <c r="C37" s="27" t="str">
        <f>DADOS!$R$3</f>
        <v>💧 ÁGUA</v>
      </c>
      <c r="D37" s="26" t="str">
        <f>IF(despesafixaconsolidadoout[[#This Row],[TOTAL]]=0,"",IF(OR(despesafixaconsolidadoout[[#This Row],[TOTAL]]=LARGE($AJ$37:$AJ$50,1),despesafixaconsolidadoout[[#This Row],[TOTAL]]=LARGE($AJ$37:$AJ$50,2),despesafixaconsolidadoout[[#This Row],[TOTAL]]=LARGE($AJ$37:$AJ$50,3),despesafixaconsolidadoout[[#This Row],[TOTAL]]=LARGE($AJ$37:$AJ$50,4),despesafixaconsolidadoout[[#This Row],[TOTAL]]=LARGE($AJ$37:$AJ$50,5)),DADOS!$I$8,""))</f>
        <v/>
      </c>
      <c r="E37" s="94">
        <f>SUMIFS(tabela_registros[VALOR],tabela_registros[MÊS],$AE$1,tabela_registros[DIA],outtotal3059718395107119131143[[#Headers],[1]],tabela_registros[REGISTRO],DADOS!$N$4,tabela_registros[TIPO],DADOS!$P$3,tabela_registros[CATEGORIA],despesafixaconsolidadoout[[#This Row],[DESPESA FIXA]])</f>
        <v>0</v>
      </c>
      <c r="F37" s="88">
        <f>SUMIFS(tabela_registros[VALOR],tabela_registros[MÊS],$AE$1,tabela_registros[DIA],outtotal3059718395107119131143[[#Headers],[2]],tabela_registros[REGISTRO],DADOS!$N$4,tabela_registros[TIPO],DADOS!$P$3,tabela_registros[CATEGORIA],despesafixaconsolidadoout[[#This Row],[DESPESA FIXA]])</f>
        <v>0</v>
      </c>
      <c r="G37" s="88">
        <f>SUMIFS(tabela_registros[VALOR],tabela_registros[MÊS],$AE$1,tabela_registros[DIA],outtotal3059718395107119131143[[#Headers],[3]],tabela_registros[REGISTRO],DADOS!$N$4,tabela_registros[TIPO],DADOS!$P$3,tabela_registros[CATEGORIA],despesafixaconsolidadoout[[#This Row],[DESPESA FIXA]])</f>
        <v>0</v>
      </c>
      <c r="H37" s="88">
        <f>SUMIFS(tabela_registros[VALOR],tabela_registros[MÊS],$AE$1,tabela_registros[DIA],outtotal3059718395107119131143[[#Headers],[4]],tabela_registros[REGISTRO],DADOS!$N$4,tabela_registros[TIPO],DADOS!$P$3,tabela_registros[CATEGORIA],despesafixaconsolidadoout[[#This Row],[DESPESA FIXA]])</f>
        <v>0</v>
      </c>
      <c r="I37" s="88">
        <f>SUMIFS(tabela_registros[VALOR],tabela_registros[MÊS],$AE$1,tabela_registros[DIA],outtotal3059718395107119131143[[#Headers],[5]],tabela_registros[REGISTRO],DADOS!$N$4,tabela_registros[TIPO],DADOS!$P$3,tabela_registros[CATEGORIA],despesafixaconsolidadoout[[#This Row],[DESPESA FIXA]])</f>
        <v>0</v>
      </c>
      <c r="J37" s="88">
        <f>SUMIFS(tabela_registros[VALOR],tabela_registros[MÊS],$AE$1,tabela_registros[DIA],outtotal3059718395107119131143[[#Headers],[6]],tabela_registros[REGISTRO],DADOS!$N$4,tabela_registros[TIPO],DADOS!$P$3,tabela_registros[CATEGORIA],despesafixaconsolidadoout[[#This Row],[DESPESA FIXA]])</f>
        <v>0</v>
      </c>
      <c r="K37" s="88">
        <f>SUMIFS(tabela_registros[VALOR],tabela_registros[MÊS],$AE$1,tabela_registros[DIA],outtotal3059718395107119131143[[#Headers],[7]],tabela_registros[REGISTRO],DADOS!$N$4,tabela_registros[TIPO],DADOS!$P$3,tabela_registros[CATEGORIA],despesafixaconsolidadoout[[#This Row],[DESPESA FIXA]])</f>
        <v>0</v>
      </c>
      <c r="L37" s="88">
        <f>SUMIFS(tabela_registros[VALOR],tabela_registros[MÊS],$AE$1,tabela_registros[DIA],outtotal3059718395107119131143[[#Headers],[8]],tabela_registros[REGISTRO],DADOS!$N$4,tabela_registros[TIPO],DADOS!$P$3,tabela_registros[CATEGORIA],despesafixaconsolidadoout[[#This Row],[DESPESA FIXA]])</f>
        <v>0</v>
      </c>
      <c r="M37" s="88">
        <f>SUMIFS(tabela_registros[VALOR],tabela_registros[MÊS],$AE$1,tabela_registros[DIA],outtotal3059718395107119131143[[#Headers],[9]],tabela_registros[REGISTRO],DADOS!$N$4,tabela_registros[TIPO],DADOS!$P$3,tabela_registros[CATEGORIA],despesafixaconsolidadoout[[#This Row],[DESPESA FIXA]])</f>
        <v>0</v>
      </c>
      <c r="N37" s="88">
        <f>SUMIFS(tabela_registros[VALOR],tabela_registros[MÊS],$AE$1,tabela_registros[DIA],outtotal3059718395107119131143[[#Headers],[10]],tabela_registros[REGISTRO],DADOS!$N$4,tabela_registros[TIPO],DADOS!$P$3,tabela_registros[CATEGORIA],despesafixaconsolidadoout[[#This Row],[DESPESA FIXA]])</f>
        <v>0</v>
      </c>
      <c r="O37" s="88">
        <f>SUMIFS(tabela_registros[VALOR],tabela_registros[MÊS],$AE$1,tabela_registros[DIA],outtotal3059718395107119131143[[#Headers],[11]],tabela_registros[REGISTRO],DADOS!$N$4,tabela_registros[TIPO],DADOS!$P$3,tabela_registros[CATEGORIA],despesafixaconsolidadoout[[#This Row],[DESPESA FIXA]])</f>
        <v>0</v>
      </c>
      <c r="P37" s="88">
        <f>SUMIFS(tabela_registros[VALOR],tabela_registros[MÊS],$AE$1,tabela_registros[DIA],outtotal3059718395107119131143[[#Headers],[12]],tabela_registros[REGISTRO],DADOS!$N$4,tabela_registros[TIPO],DADOS!$P$3,tabela_registros[CATEGORIA],despesafixaconsolidadoout[[#This Row],[DESPESA FIXA]])</f>
        <v>0</v>
      </c>
      <c r="Q37" s="88">
        <f>SUMIFS(tabela_registros[VALOR],tabela_registros[MÊS],$AE$1,tabela_registros[DIA],outtotal3059718395107119131143[[#Headers],[13]],tabela_registros[REGISTRO],DADOS!$N$4,tabela_registros[TIPO],DADOS!$P$3,tabela_registros[CATEGORIA],despesafixaconsolidadoout[[#This Row],[DESPESA FIXA]])</f>
        <v>0</v>
      </c>
      <c r="R37" s="88">
        <f>SUMIFS(tabela_registros[VALOR],tabela_registros[MÊS],$AE$1,tabela_registros[DIA],outtotal3059718395107119131143[[#Headers],[14]],tabela_registros[REGISTRO],DADOS!$N$4,tabela_registros[TIPO],DADOS!$P$3,tabela_registros[CATEGORIA],despesafixaconsolidadoout[[#This Row],[DESPESA FIXA]])</f>
        <v>0</v>
      </c>
      <c r="S37" s="88">
        <f>SUMIFS(tabela_registros[VALOR],tabela_registros[MÊS],$AE$1,tabela_registros[DIA],outtotal3059718395107119131143[[#Headers],[15]],tabela_registros[REGISTRO],DADOS!$N$4,tabela_registros[TIPO],DADOS!$P$3,tabela_registros[CATEGORIA],despesafixaconsolidadoout[[#This Row],[DESPESA FIXA]])</f>
        <v>0</v>
      </c>
      <c r="T37" s="88">
        <f>SUMIFS(tabela_registros[VALOR],tabela_registros[MÊS],$AE$1,tabela_registros[DIA],outtotal3059718395107119131143[[#Headers],[16]],tabela_registros[REGISTRO],DADOS!$N$4,tabela_registros[TIPO],DADOS!$P$3,tabela_registros[CATEGORIA],despesafixaconsolidadoout[[#This Row],[DESPESA FIXA]])</f>
        <v>0</v>
      </c>
      <c r="U37" s="88">
        <f>SUMIFS(tabela_registros[VALOR],tabela_registros[MÊS],$AE$1,tabela_registros[DIA],outtotal3059718395107119131143[[#Headers],[17]],tabela_registros[REGISTRO],DADOS!$N$4,tabela_registros[TIPO],DADOS!$P$3,tabela_registros[CATEGORIA],despesafixaconsolidadoout[[#This Row],[DESPESA FIXA]])</f>
        <v>0</v>
      </c>
      <c r="V37" s="88">
        <f>SUMIFS(tabela_registros[VALOR],tabela_registros[MÊS],$AE$1,tabela_registros[DIA],outtotal3059718395107119131143[[#Headers],[18]],tabela_registros[REGISTRO],DADOS!$N$4,tabela_registros[TIPO],DADOS!$P$3,tabela_registros[CATEGORIA],despesafixaconsolidadoout[[#This Row],[DESPESA FIXA]])</f>
        <v>0</v>
      </c>
      <c r="W37" s="88">
        <f>SUMIFS(tabela_registros[VALOR],tabela_registros[MÊS],$AE$1,tabela_registros[DIA],outtotal3059718395107119131143[[#Headers],[19]],tabela_registros[REGISTRO],DADOS!$N$4,tabela_registros[TIPO],DADOS!$P$3,tabela_registros[CATEGORIA],despesafixaconsolidadoout[[#This Row],[DESPESA FIXA]])</f>
        <v>0</v>
      </c>
      <c r="X37" s="88">
        <f>SUMIFS(tabela_registros[VALOR],tabela_registros[MÊS],$AE$1,tabela_registros[DIA],outtotal3059718395107119131143[[#Headers],[20]],tabela_registros[REGISTRO],DADOS!$N$4,tabela_registros[TIPO],DADOS!$P$3,tabela_registros[CATEGORIA],despesafixaconsolidadoout[[#This Row],[DESPESA FIXA]])</f>
        <v>0</v>
      </c>
      <c r="Y37" s="88">
        <f>SUMIFS(tabela_registros[VALOR],tabela_registros[MÊS],$AE$1,tabela_registros[DIA],outtotal3059718395107119131143[[#Headers],[21]],tabela_registros[REGISTRO],DADOS!$N$4,tabela_registros[TIPO],DADOS!$P$3,tabela_registros[CATEGORIA],despesafixaconsolidadoout[[#This Row],[DESPESA FIXA]])</f>
        <v>0</v>
      </c>
      <c r="Z37" s="88">
        <f>SUMIFS(tabela_registros[VALOR],tabela_registros[MÊS],$AE$1,tabela_registros[DIA],outtotal3059718395107119131143[[#Headers],[22]],tabela_registros[REGISTRO],DADOS!$N$4,tabela_registros[TIPO],DADOS!$P$3,tabela_registros[CATEGORIA],despesafixaconsolidadoout[[#This Row],[DESPESA FIXA]])</f>
        <v>0</v>
      </c>
      <c r="AA37" s="88">
        <f>SUMIFS(tabela_registros[VALOR],tabela_registros[MÊS],$AE$1,tabela_registros[DIA],outtotal3059718395107119131143[[#Headers],[23]],tabela_registros[REGISTRO],DADOS!$N$4,tabela_registros[TIPO],DADOS!$P$3,tabela_registros[CATEGORIA],despesafixaconsolidadoout[[#This Row],[DESPESA FIXA]])</f>
        <v>0</v>
      </c>
      <c r="AB37" s="88">
        <f>SUMIFS(tabela_registros[VALOR],tabela_registros[MÊS],$AE$1,tabela_registros[DIA],outtotal3059718395107119131143[[#Headers],[24]],tabela_registros[REGISTRO],DADOS!$N$4,tabela_registros[TIPO],DADOS!$P$3,tabela_registros[CATEGORIA],despesafixaconsolidadoout[[#This Row],[DESPESA FIXA]])</f>
        <v>0</v>
      </c>
      <c r="AC37" s="88">
        <f>SUMIFS(tabela_registros[VALOR],tabela_registros[MÊS],$AE$1,tabela_registros[DIA],outtotal3059718395107119131143[[#Headers],[25]],tabela_registros[REGISTRO],DADOS!$N$4,tabela_registros[TIPO],DADOS!$P$3,tabela_registros[CATEGORIA],despesafixaconsolidadoout[[#This Row],[DESPESA FIXA]])</f>
        <v>0</v>
      </c>
      <c r="AD37" s="88">
        <f>SUMIFS(tabela_registros[VALOR],tabela_registros[MÊS],$AE$1,tabela_registros[DIA],outtotal3059718395107119131143[[#Headers],[26]],tabela_registros[REGISTRO],DADOS!$N$4,tabela_registros[TIPO],DADOS!$P$3,tabela_registros[CATEGORIA],despesafixaconsolidadoout[[#This Row],[DESPESA FIXA]])</f>
        <v>0</v>
      </c>
      <c r="AE37" s="88">
        <f>SUMIFS(tabela_registros[VALOR],tabela_registros[MÊS],$AE$1,tabela_registros[DIA],outtotal3059718395107119131143[[#Headers],[27]],tabela_registros[REGISTRO],DADOS!$N$4,tabela_registros[TIPO],DADOS!$P$3,tabela_registros[CATEGORIA],despesafixaconsolidadoout[[#This Row],[DESPESA FIXA]])</f>
        <v>0</v>
      </c>
      <c r="AF37" s="88">
        <f>SUMIFS(tabela_registros[VALOR],tabela_registros[MÊS],$AE$1,tabela_registros[DIA],outtotal3059718395107119131143[[#Headers],[28]],tabela_registros[REGISTRO],DADOS!$N$4,tabela_registros[TIPO],DADOS!$P$3,tabela_registros[CATEGORIA],despesafixaconsolidadoout[[#This Row],[DESPESA FIXA]])</f>
        <v>0</v>
      </c>
      <c r="AG37" s="88">
        <f>SUMIFS(tabela_registros[VALOR],tabela_registros[MÊS],$AE$1,tabela_registros[DIA],outtotal3059718395107119131143[[#Headers],[29]],tabela_registros[REGISTRO],DADOS!$N$4,tabela_registros[TIPO],DADOS!$P$3,tabela_registros[CATEGORIA],despesafixaconsolidadoout[[#This Row],[DESPESA FIXA]])</f>
        <v>0</v>
      </c>
      <c r="AH37" s="88">
        <f>SUMIFS(tabela_registros[VALOR],tabela_registros[MÊS],$AE$1,tabela_registros[DIA],outtotal3059718395107119131143[[#Headers],[30]],tabela_registros[REGISTRO],DADOS!$N$4,tabela_registros[TIPO],DADOS!$P$3,tabela_registros[CATEGORIA],despesafixaconsolidadoout[[#This Row],[DESPESA FIXA]])</f>
        <v>0</v>
      </c>
      <c r="AI37" s="100">
        <f>SUMIFS(tabela_registros[VALOR],tabela_registros[MÊS],$AE$1,tabela_registros[DIA],outtotal3059718395107119131143[[#Headers],[31]],tabela_registros[REGISTRO],DADOS!$N$4,tabela_registros[TIPO],DADOS!$P$3,tabela_registros[CATEGORIA],despesafixaconsolidadoout[[#This Row],[DESPESA FIXA]])</f>
        <v>0</v>
      </c>
      <c r="AJ37" s="95">
        <f>SUM(despesafixaconsolidadoout[[#This Row],[1]:[31]])</f>
        <v>0</v>
      </c>
      <c r="AK37" s="28"/>
    </row>
    <row r="38" spans="2:37" ht="18" customHeight="1" thickTop="1" thickBot="1" x14ac:dyDescent="0.3">
      <c r="B38" s="28"/>
      <c r="C38" s="27" t="str">
        <f>DADOS!$R$4</f>
        <v>🐶 ANIMAIS DE ESTIMAÇÃO</v>
      </c>
      <c r="D38" s="26" t="str">
        <f>IF(despesafixaconsolidadoout[[#This Row],[TOTAL]]=0,"",IF(OR(despesafixaconsolidadoout[[#This Row],[TOTAL]]=LARGE($AJ$37:$AJ$50,1),despesafixaconsolidadoout[[#This Row],[TOTAL]]=LARGE($AJ$37:$AJ$50,2),despesafixaconsolidadoout[[#This Row],[TOTAL]]=LARGE($AJ$37:$AJ$50,3),despesafixaconsolidadoout[[#This Row],[TOTAL]]=LARGE($AJ$37:$AJ$50,4),despesafixaconsolidadoout[[#This Row],[TOTAL]]=LARGE($AJ$37:$AJ$50,5)),DADOS!$I$8,""))</f>
        <v/>
      </c>
      <c r="E38" s="96">
        <f>SUMIFS(tabela_registros[VALOR],tabela_registros[MÊS],$AE$1,tabela_registros[DIA],outtotal3059718395107119131143[[#Headers],[1]],tabela_registros[REGISTRO],DADOS!$N$4,tabela_registros[TIPO],DADOS!$P$3,tabela_registros[CATEGORIA],despesafixaconsolidadoout[[#This Row],[DESPESA FIXA]])</f>
        <v>0</v>
      </c>
      <c r="F38" s="91">
        <f>SUMIFS(tabela_registros[VALOR],tabela_registros[MÊS],$AE$1,tabela_registros[DIA],outtotal3059718395107119131143[[#Headers],[2]],tabela_registros[REGISTRO],DADOS!$N$4,tabela_registros[TIPO],DADOS!$P$3,tabela_registros[CATEGORIA],despesafixaconsolidadoout[[#This Row],[DESPESA FIXA]])</f>
        <v>0</v>
      </c>
      <c r="G38" s="91">
        <f>SUMIFS(tabela_registros[VALOR],tabela_registros[MÊS],$AE$1,tabela_registros[DIA],outtotal3059718395107119131143[[#Headers],[3]],tabela_registros[REGISTRO],DADOS!$N$4,tabela_registros[TIPO],DADOS!$P$3,tabela_registros[CATEGORIA],despesafixaconsolidadoout[[#This Row],[DESPESA FIXA]])</f>
        <v>0</v>
      </c>
      <c r="H38" s="91">
        <f>SUMIFS(tabela_registros[VALOR],tabela_registros[MÊS],$AE$1,tabela_registros[DIA],outtotal3059718395107119131143[[#Headers],[4]],tabela_registros[REGISTRO],DADOS!$N$4,tabela_registros[TIPO],DADOS!$P$3,tabela_registros[CATEGORIA],despesafixaconsolidadoout[[#This Row],[DESPESA FIXA]])</f>
        <v>0</v>
      </c>
      <c r="I38" s="91">
        <f>SUMIFS(tabela_registros[VALOR],tabela_registros[MÊS],$AE$1,tabela_registros[DIA],outtotal3059718395107119131143[[#Headers],[5]],tabela_registros[REGISTRO],DADOS!$N$4,tabela_registros[TIPO],DADOS!$P$3,tabela_registros[CATEGORIA],despesafixaconsolidadoout[[#This Row],[DESPESA FIXA]])</f>
        <v>0</v>
      </c>
      <c r="J38" s="91">
        <f>SUMIFS(tabela_registros[VALOR],tabela_registros[MÊS],$AE$1,tabela_registros[DIA],outtotal3059718395107119131143[[#Headers],[6]],tabela_registros[REGISTRO],DADOS!$N$4,tabela_registros[TIPO],DADOS!$P$3,tabela_registros[CATEGORIA],despesafixaconsolidadoout[[#This Row],[DESPESA FIXA]])</f>
        <v>0</v>
      </c>
      <c r="K38" s="91">
        <f>SUMIFS(tabela_registros[VALOR],tabela_registros[MÊS],$AE$1,tabela_registros[DIA],outtotal3059718395107119131143[[#Headers],[7]],tabela_registros[REGISTRO],DADOS!$N$4,tabela_registros[TIPO],DADOS!$P$3,tabela_registros[CATEGORIA],despesafixaconsolidadoout[[#This Row],[DESPESA FIXA]])</f>
        <v>0</v>
      </c>
      <c r="L38" s="91">
        <f>SUMIFS(tabela_registros[VALOR],tabela_registros[MÊS],$AE$1,tabela_registros[DIA],outtotal3059718395107119131143[[#Headers],[8]],tabela_registros[REGISTRO],DADOS!$N$4,tabela_registros[TIPO],DADOS!$P$3,tabela_registros[CATEGORIA],despesafixaconsolidadoout[[#This Row],[DESPESA FIXA]])</f>
        <v>0</v>
      </c>
      <c r="M38" s="91">
        <f>SUMIFS(tabela_registros[VALOR],tabela_registros[MÊS],$AE$1,tabela_registros[DIA],outtotal3059718395107119131143[[#Headers],[9]],tabela_registros[REGISTRO],DADOS!$N$4,tabela_registros[TIPO],DADOS!$P$3,tabela_registros[CATEGORIA],despesafixaconsolidadoout[[#This Row],[DESPESA FIXA]])</f>
        <v>0</v>
      </c>
      <c r="N38" s="91">
        <f>SUMIFS(tabela_registros[VALOR],tabela_registros[MÊS],$AE$1,tabela_registros[DIA],outtotal3059718395107119131143[[#Headers],[10]],tabela_registros[REGISTRO],DADOS!$N$4,tabela_registros[TIPO],DADOS!$P$3,tabela_registros[CATEGORIA],despesafixaconsolidadoout[[#This Row],[DESPESA FIXA]])</f>
        <v>0</v>
      </c>
      <c r="O38" s="91">
        <f>SUMIFS(tabela_registros[VALOR],tabela_registros[MÊS],$AE$1,tabela_registros[DIA],outtotal3059718395107119131143[[#Headers],[11]],tabela_registros[REGISTRO],DADOS!$N$4,tabela_registros[TIPO],DADOS!$P$3,tabela_registros[CATEGORIA],despesafixaconsolidadoout[[#This Row],[DESPESA FIXA]])</f>
        <v>0</v>
      </c>
      <c r="P38" s="91">
        <f>SUMIFS(tabela_registros[VALOR],tabela_registros[MÊS],$AE$1,tabela_registros[DIA],outtotal3059718395107119131143[[#Headers],[12]],tabela_registros[REGISTRO],DADOS!$N$4,tabela_registros[TIPO],DADOS!$P$3,tabela_registros[CATEGORIA],despesafixaconsolidadoout[[#This Row],[DESPESA FIXA]])</f>
        <v>0</v>
      </c>
      <c r="Q38" s="91">
        <f>SUMIFS(tabela_registros[VALOR],tabela_registros[MÊS],$AE$1,tabela_registros[DIA],outtotal3059718395107119131143[[#Headers],[13]],tabela_registros[REGISTRO],DADOS!$N$4,tabela_registros[TIPO],DADOS!$P$3,tabela_registros[CATEGORIA],despesafixaconsolidadoout[[#This Row],[DESPESA FIXA]])</f>
        <v>0</v>
      </c>
      <c r="R38" s="91">
        <f>SUMIFS(tabela_registros[VALOR],tabela_registros[MÊS],$AE$1,tabela_registros[DIA],outtotal3059718395107119131143[[#Headers],[14]],tabela_registros[REGISTRO],DADOS!$N$4,tabela_registros[TIPO],DADOS!$P$3,tabela_registros[CATEGORIA],despesafixaconsolidadoout[[#This Row],[DESPESA FIXA]])</f>
        <v>0</v>
      </c>
      <c r="S38" s="91">
        <f>SUMIFS(tabela_registros[VALOR],tabela_registros[MÊS],$AE$1,tabela_registros[DIA],outtotal3059718395107119131143[[#Headers],[15]],tabela_registros[REGISTRO],DADOS!$N$4,tabela_registros[TIPO],DADOS!$P$3,tabela_registros[CATEGORIA],despesafixaconsolidadoout[[#This Row],[DESPESA FIXA]])</f>
        <v>0</v>
      </c>
      <c r="T38" s="91">
        <f>SUMIFS(tabela_registros[VALOR],tabela_registros[MÊS],$AE$1,tabela_registros[DIA],outtotal3059718395107119131143[[#Headers],[16]],tabela_registros[REGISTRO],DADOS!$N$4,tabela_registros[TIPO],DADOS!$P$3,tabela_registros[CATEGORIA],despesafixaconsolidadoout[[#This Row],[DESPESA FIXA]])</f>
        <v>0</v>
      </c>
      <c r="U38" s="91">
        <f>SUMIFS(tabela_registros[VALOR],tabela_registros[MÊS],$AE$1,tabela_registros[DIA],outtotal3059718395107119131143[[#Headers],[17]],tabela_registros[REGISTRO],DADOS!$N$4,tabela_registros[TIPO],DADOS!$P$3,tabela_registros[CATEGORIA],despesafixaconsolidadoout[[#This Row],[DESPESA FIXA]])</f>
        <v>0</v>
      </c>
      <c r="V38" s="91">
        <f>SUMIFS(tabela_registros[VALOR],tabela_registros[MÊS],$AE$1,tabela_registros[DIA],outtotal3059718395107119131143[[#Headers],[18]],tabela_registros[REGISTRO],DADOS!$N$4,tabela_registros[TIPO],DADOS!$P$3,tabela_registros[CATEGORIA],despesafixaconsolidadoout[[#This Row],[DESPESA FIXA]])</f>
        <v>0</v>
      </c>
      <c r="W38" s="91">
        <f>SUMIFS(tabela_registros[VALOR],tabela_registros[MÊS],$AE$1,tabela_registros[DIA],outtotal3059718395107119131143[[#Headers],[19]],tabela_registros[REGISTRO],DADOS!$N$4,tabela_registros[TIPO],DADOS!$P$3,tabela_registros[CATEGORIA],despesafixaconsolidadoout[[#This Row],[DESPESA FIXA]])</f>
        <v>0</v>
      </c>
      <c r="X38" s="91">
        <f>SUMIFS(tabela_registros[VALOR],tabela_registros[MÊS],$AE$1,tabela_registros[DIA],outtotal3059718395107119131143[[#Headers],[20]],tabela_registros[REGISTRO],DADOS!$N$4,tabela_registros[TIPO],DADOS!$P$3,tabela_registros[CATEGORIA],despesafixaconsolidadoout[[#This Row],[DESPESA FIXA]])</f>
        <v>0</v>
      </c>
      <c r="Y38" s="91">
        <f>SUMIFS(tabela_registros[VALOR],tabela_registros[MÊS],$AE$1,tabela_registros[DIA],outtotal3059718395107119131143[[#Headers],[21]],tabela_registros[REGISTRO],DADOS!$N$4,tabela_registros[TIPO],DADOS!$P$3,tabela_registros[CATEGORIA],despesafixaconsolidadoout[[#This Row],[DESPESA FIXA]])</f>
        <v>0</v>
      </c>
      <c r="Z38" s="91">
        <f>SUMIFS(tabela_registros[VALOR],tabela_registros[MÊS],$AE$1,tabela_registros[DIA],outtotal3059718395107119131143[[#Headers],[22]],tabela_registros[REGISTRO],DADOS!$N$4,tabela_registros[TIPO],DADOS!$P$3,tabela_registros[CATEGORIA],despesafixaconsolidadoout[[#This Row],[DESPESA FIXA]])</f>
        <v>0</v>
      </c>
      <c r="AA38" s="91">
        <f>SUMIFS(tabela_registros[VALOR],tabela_registros[MÊS],$AE$1,tabela_registros[DIA],outtotal3059718395107119131143[[#Headers],[23]],tabela_registros[REGISTRO],DADOS!$N$4,tabela_registros[TIPO],DADOS!$P$3,tabela_registros[CATEGORIA],despesafixaconsolidadoout[[#This Row],[DESPESA FIXA]])</f>
        <v>0</v>
      </c>
      <c r="AB38" s="91">
        <f>SUMIFS(tabela_registros[VALOR],tabela_registros[MÊS],$AE$1,tabela_registros[DIA],outtotal3059718395107119131143[[#Headers],[24]],tabela_registros[REGISTRO],DADOS!$N$4,tabela_registros[TIPO],DADOS!$P$3,tabela_registros[CATEGORIA],despesafixaconsolidadoout[[#This Row],[DESPESA FIXA]])</f>
        <v>0</v>
      </c>
      <c r="AC38" s="91">
        <f>SUMIFS(tabela_registros[VALOR],tabela_registros[MÊS],$AE$1,tabela_registros[DIA],outtotal3059718395107119131143[[#Headers],[25]],tabela_registros[REGISTRO],DADOS!$N$4,tabela_registros[TIPO],DADOS!$P$3,tabela_registros[CATEGORIA],despesafixaconsolidadoout[[#This Row],[DESPESA FIXA]])</f>
        <v>0</v>
      </c>
      <c r="AD38" s="91">
        <f>SUMIFS(tabela_registros[VALOR],tabela_registros[MÊS],$AE$1,tabela_registros[DIA],outtotal3059718395107119131143[[#Headers],[26]],tabela_registros[REGISTRO],DADOS!$N$4,tabela_registros[TIPO],DADOS!$P$3,tabela_registros[CATEGORIA],despesafixaconsolidadoout[[#This Row],[DESPESA FIXA]])</f>
        <v>0</v>
      </c>
      <c r="AE38" s="91">
        <f>SUMIFS(tabela_registros[VALOR],tabela_registros[MÊS],$AE$1,tabela_registros[DIA],outtotal3059718395107119131143[[#Headers],[27]],tabela_registros[REGISTRO],DADOS!$N$4,tabela_registros[TIPO],DADOS!$P$3,tabela_registros[CATEGORIA],despesafixaconsolidadoout[[#This Row],[DESPESA FIXA]])</f>
        <v>0</v>
      </c>
      <c r="AF38" s="91">
        <f>SUMIFS(tabela_registros[VALOR],tabela_registros[MÊS],$AE$1,tabela_registros[DIA],outtotal3059718395107119131143[[#Headers],[28]],tabela_registros[REGISTRO],DADOS!$N$4,tabela_registros[TIPO],DADOS!$P$3,tabela_registros[CATEGORIA],despesafixaconsolidadoout[[#This Row],[DESPESA FIXA]])</f>
        <v>0</v>
      </c>
      <c r="AG38" s="91">
        <f>SUMIFS(tabela_registros[VALOR],tabela_registros[MÊS],$AE$1,tabela_registros[DIA],outtotal3059718395107119131143[[#Headers],[29]],tabela_registros[REGISTRO],DADOS!$N$4,tabela_registros[TIPO],DADOS!$P$3,tabela_registros[CATEGORIA],despesafixaconsolidadoout[[#This Row],[DESPESA FIXA]])</f>
        <v>0</v>
      </c>
      <c r="AH38" s="91">
        <f>SUMIFS(tabela_registros[VALOR],tabela_registros[MÊS],$AE$1,tabela_registros[DIA],outtotal3059718395107119131143[[#Headers],[30]],tabela_registros[REGISTRO],DADOS!$N$4,tabela_registros[TIPO],DADOS!$P$3,tabela_registros[CATEGORIA],despesafixaconsolidadoout[[#This Row],[DESPESA FIXA]])</f>
        <v>0</v>
      </c>
      <c r="AI38" s="101">
        <f>SUMIFS(tabela_registros[VALOR],tabela_registros[MÊS],$AE$1,tabela_registros[DIA],outtotal3059718395107119131143[[#Headers],[31]],tabela_registros[REGISTRO],DADOS!$N$4,tabela_registros[TIPO],DADOS!$P$3,tabela_registros[CATEGORIA],despesafixaconsolidadoout[[#This Row],[DESPESA FIXA]])</f>
        <v>0</v>
      </c>
      <c r="AJ38" s="97">
        <f>SUM(despesafixaconsolidadoout[[#This Row],[1]:[31]])</f>
        <v>0</v>
      </c>
      <c r="AK38" s="28"/>
    </row>
    <row r="39" spans="2:37" ht="18" customHeight="1" thickTop="1" thickBot="1" x14ac:dyDescent="0.3">
      <c r="B39" s="28"/>
      <c r="C39" s="27" t="str">
        <f>DADOS!$R$5</f>
        <v>🔖 ASSINATURAS E SERVIÇOS</v>
      </c>
      <c r="D39" s="26" t="str">
        <f>IF(despesafixaconsolidadoout[[#This Row],[TOTAL]]=0,"",IF(OR(despesafixaconsolidadoout[[#This Row],[TOTAL]]=LARGE($AJ$37:$AJ$50,1),despesafixaconsolidadoout[[#This Row],[TOTAL]]=LARGE($AJ$37:$AJ$50,2),despesafixaconsolidadoout[[#This Row],[TOTAL]]=LARGE($AJ$37:$AJ$50,3),despesafixaconsolidadoout[[#This Row],[TOTAL]]=LARGE($AJ$37:$AJ$50,4),despesafixaconsolidadoout[[#This Row],[TOTAL]]=LARGE($AJ$37:$AJ$50,5)),DADOS!$I$8,""))</f>
        <v/>
      </c>
      <c r="E39" s="96">
        <f>SUMIFS(tabela_registros[VALOR],tabela_registros[MÊS],$AE$1,tabela_registros[DIA],outtotal3059718395107119131143[[#Headers],[1]],tabela_registros[REGISTRO],DADOS!$N$4,tabela_registros[TIPO],DADOS!$P$3,tabela_registros[CATEGORIA],despesafixaconsolidadoout[[#This Row],[DESPESA FIXA]])</f>
        <v>0</v>
      </c>
      <c r="F39" s="91">
        <f>SUMIFS(tabela_registros[VALOR],tabela_registros[MÊS],$AE$1,tabela_registros[DIA],outtotal3059718395107119131143[[#Headers],[2]],tabela_registros[REGISTRO],DADOS!$N$4,tabela_registros[TIPO],DADOS!$P$3,tabela_registros[CATEGORIA],despesafixaconsolidadoout[[#This Row],[DESPESA FIXA]])</f>
        <v>0</v>
      </c>
      <c r="G39" s="91">
        <f>SUMIFS(tabela_registros[VALOR],tabela_registros[MÊS],$AE$1,tabela_registros[DIA],outtotal3059718395107119131143[[#Headers],[3]],tabela_registros[REGISTRO],DADOS!$N$4,tabela_registros[TIPO],DADOS!$P$3,tabela_registros[CATEGORIA],despesafixaconsolidadoout[[#This Row],[DESPESA FIXA]])</f>
        <v>0</v>
      </c>
      <c r="H39" s="91">
        <f>SUMIFS(tabela_registros[VALOR],tabela_registros[MÊS],$AE$1,tabela_registros[DIA],outtotal3059718395107119131143[[#Headers],[4]],tabela_registros[REGISTRO],DADOS!$N$4,tabela_registros[TIPO],DADOS!$P$3,tabela_registros[CATEGORIA],despesafixaconsolidadoout[[#This Row],[DESPESA FIXA]])</f>
        <v>0</v>
      </c>
      <c r="I39" s="91">
        <f>SUMIFS(tabela_registros[VALOR],tabela_registros[MÊS],$AE$1,tabela_registros[DIA],outtotal3059718395107119131143[[#Headers],[5]],tabela_registros[REGISTRO],DADOS!$N$4,tabela_registros[TIPO],DADOS!$P$3,tabela_registros[CATEGORIA],despesafixaconsolidadoout[[#This Row],[DESPESA FIXA]])</f>
        <v>0</v>
      </c>
      <c r="J39" s="91">
        <f>SUMIFS(tabela_registros[VALOR],tabela_registros[MÊS],$AE$1,tabela_registros[DIA],outtotal3059718395107119131143[[#Headers],[6]],tabela_registros[REGISTRO],DADOS!$N$4,tabela_registros[TIPO],DADOS!$P$3,tabela_registros[CATEGORIA],despesafixaconsolidadoout[[#This Row],[DESPESA FIXA]])</f>
        <v>0</v>
      </c>
      <c r="K39" s="91">
        <f>SUMIFS(tabela_registros[VALOR],tabela_registros[MÊS],$AE$1,tabela_registros[DIA],outtotal3059718395107119131143[[#Headers],[7]],tabela_registros[REGISTRO],DADOS!$N$4,tabela_registros[TIPO],DADOS!$P$3,tabela_registros[CATEGORIA],despesafixaconsolidadoout[[#This Row],[DESPESA FIXA]])</f>
        <v>0</v>
      </c>
      <c r="L39" s="91">
        <f>SUMIFS(tabela_registros[VALOR],tabela_registros[MÊS],$AE$1,tabela_registros[DIA],outtotal3059718395107119131143[[#Headers],[8]],tabela_registros[REGISTRO],DADOS!$N$4,tabela_registros[TIPO],DADOS!$P$3,tabela_registros[CATEGORIA],despesafixaconsolidadoout[[#This Row],[DESPESA FIXA]])</f>
        <v>0</v>
      </c>
      <c r="M39" s="91">
        <f>SUMIFS(tabela_registros[VALOR],tabela_registros[MÊS],$AE$1,tabela_registros[DIA],outtotal3059718395107119131143[[#Headers],[9]],tabela_registros[REGISTRO],DADOS!$N$4,tabela_registros[TIPO],DADOS!$P$3,tabela_registros[CATEGORIA],despesafixaconsolidadoout[[#This Row],[DESPESA FIXA]])</f>
        <v>0</v>
      </c>
      <c r="N39" s="91">
        <f>SUMIFS(tabela_registros[VALOR],tabela_registros[MÊS],$AE$1,tabela_registros[DIA],outtotal3059718395107119131143[[#Headers],[10]],tabela_registros[REGISTRO],DADOS!$N$4,tabela_registros[TIPO],DADOS!$P$3,tabela_registros[CATEGORIA],despesafixaconsolidadoout[[#This Row],[DESPESA FIXA]])</f>
        <v>0</v>
      </c>
      <c r="O39" s="91">
        <f>SUMIFS(tabela_registros[VALOR],tabela_registros[MÊS],$AE$1,tabela_registros[DIA],outtotal3059718395107119131143[[#Headers],[11]],tabela_registros[REGISTRO],DADOS!$N$4,tabela_registros[TIPO],DADOS!$P$3,tabela_registros[CATEGORIA],despesafixaconsolidadoout[[#This Row],[DESPESA FIXA]])</f>
        <v>0</v>
      </c>
      <c r="P39" s="91">
        <f>SUMIFS(tabela_registros[VALOR],tabela_registros[MÊS],$AE$1,tabela_registros[DIA],outtotal3059718395107119131143[[#Headers],[12]],tabela_registros[REGISTRO],DADOS!$N$4,tabela_registros[TIPO],DADOS!$P$3,tabela_registros[CATEGORIA],despesafixaconsolidadoout[[#This Row],[DESPESA FIXA]])</f>
        <v>0</v>
      </c>
      <c r="Q39" s="91">
        <f>SUMIFS(tabela_registros[VALOR],tabela_registros[MÊS],$AE$1,tabela_registros[DIA],outtotal3059718395107119131143[[#Headers],[13]],tabela_registros[REGISTRO],DADOS!$N$4,tabela_registros[TIPO],DADOS!$P$3,tabela_registros[CATEGORIA],despesafixaconsolidadoout[[#This Row],[DESPESA FIXA]])</f>
        <v>0</v>
      </c>
      <c r="R39" s="91">
        <f>SUMIFS(tabela_registros[VALOR],tabela_registros[MÊS],$AE$1,tabela_registros[DIA],outtotal3059718395107119131143[[#Headers],[14]],tabela_registros[REGISTRO],DADOS!$N$4,tabela_registros[TIPO],DADOS!$P$3,tabela_registros[CATEGORIA],despesafixaconsolidadoout[[#This Row],[DESPESA FIXA]])</f>
        <v>0</v>
      </c>
      <c r="S39" s="91">
        <f>SUMIFS(tabela_registros[VALOR],tabela_registros[MÊS],$AE$1,tabela_registros[DIA],outtotal3059718395107119131143[[#Headers],[15]],tabela_registros[REGISTRO],DADOS!$N$4,tabela_registros[TIPO],DADOS!$P$3,tabela_registros[CATEGORIA],despesafixaconsolidadoout[[#This Row],[DESPESA FIXA]])</f>
        <v>0</v>
      </c>
      <c r="T39" s="91">
        <f>SUMIFS(tabela_registros[VALOR],tabela_registros[MÊS],$AE$1,tabela_registros[DIA],outtotal3059718395107119131143[[#Headers],[16]],tabela_registros[REGISTRO],DADOS!$N$4,tabela_registros[TIPO],DADOS!$P$3,tabela_registros[CATEGORIA],despesafixaconsolidadoout[[#This Row],[DESPESA FIXA]])</f>
        <v>0</v>
      </c>
      <c r="U39" s="91">
        <f>SUMIFS(tabela_registros[VALOR],tabela_registros[MÊS],$AE$1,tabela_registros[DIA],outtotal3059718395107119131143[[#Headers],[17]],tabela_registros[REGISTRO],DADOS!$N$4,tabela_registros[TIPO],DADOS!$P$3,tabela_registros[CATEGORIA],despesafixaconsolidadoout[[#This Row],[DESPESA FIXA]])</f>
        <v>0</v>
      </c>
      <c r="V39" s="91">
        <f>SUMIFS(tabela_registros[VALOR],tabela_registros[MÊS],$AE$1,tabela_registros[DIA],outtotal3059718395107119131143[[#Headers],[18]],tabela_registros[REGISTRO],DADOS!$N$4,tabela_registros[TIPO],DADOS!$P$3,tabela_registros[CATEGORIA],despesafixaconsolidadoout[[#This Row],[DESPESA FIXA]])</f>
        <v>0</v>
      </c>
      <c r="W39" s="91">
        <f>SUMIFS(tabela_registros[VALOR],tabela_registros[MÊS],$AE$1,tabela_registros[DIA],outtotal3059718395107119131143[[#Headers],[19]],tabela_registros[REGISTRO],DADOS!$N$4,tabela_registros[TIPO],DADOS!$P$3,tabela_registros[CATEGORIA],despesafixaconsolidadoout[[#This Row],[DESPESA FIXA]])</f>
        <v>0</v>
      </c>
      <c r="X39" s="91">
        <f>SUMIFS(tabela_registros[VALOR],tabela_registros[MÊS],$AE$1,tabela_registros[DIA],outtotal3059718395107119131143[[#Headers],[20]],tabela_registros[REGISTRO],DADOS!$N$4,tabela_registros[TIPO],DADOS!$P$3,tabela_registros[CATEGORIA],despesafixaconsolidadoout[[#This Row],[DESPESA FIXA]])</f>
        <v>0</v>
      </c>
      <c r="Y39" s="91">
        <f>SUMIFS(tabela_registros[VALOR],tabela_registros[MÊS],$AE$1,tabela_registros[DIA],outtotal3059718395107119131143[[#Headers],[21]],tabela_registros[REGISTRO],DADOS!$N$4,tabela_registros[TIPO],DADOS!$P$3,tabela_registros[CATEGORIA],despesafixaconsolidadoout[[#This Row],[DESPESA FIXA]])</f>
        <v>0</v>
      </c>
      <c r="Z39" s="91">
        <f>SUMIFS(tabela_registros[VALOR],tabela_registros[MÊS],$AE$1,tabela_registros[DIA],outtotal3059718395107119131143[[#Headers],[22]],tabela_registros[REGISTRO],DADOS!$N$4,tabela_registros[TIPO],DADOS!$P$3,tabela_registros[CATEGORIA],despesafixaconsolidadoout[[#This Row],[DESPESA FIXA]])</f>
        <v>0</v>
      </c>
      <c r="AA39" s="91">
        <f>SUMIFS(tabela_registros[VALOR],tabela_registros[MÊS],$AE$1,tabela_registros[DIA],outtotal3059718395107119131143[[#Headers],[23]],tabela_registros[REGISTRO],DADOS!$N$4,tabela_registros[TIPO],DADOS!$P$3,tabela_registros[CATEGORIA],despesafixaconsolidadoout[[#This Row],[DESPESA FIXA]])</f>
        <v>0</v>
      </c>
      <c r="AB39" s="91">
        <f>SUMIFS(tabela_registros[VALOR],tabela_registros[MÊS],$AE$1,tabela_registros[DIA],outtotal3059718395107119131143[[#Headers],[24]],tabela_registros[REGISTRO],DADOS!$N$4,tabela_registros[TIPO],DADOS!$P$3,tabela_registros[CATEGORIA],despesafixaconsolidadoout[[#This Row],[DESPESA FIXA]])</f>
        <v>0</v>
      </c>
      <c r="AC39" s="91">
        <f>SUMIFS(tabela_registros[VALOR],tabela_registros[MÊS],$AE$1,tabela_registros[DIA],outtotal3059718395107119131143[[#Headers],[25]],tabela_registros[REGISTRO],DADOS!$N$4,tabela_registros[TIPO],DADOS!$P$3,tabela_registros[CATEGORIA],despesafixaconsolidadoout[[#This Row],[DESPESA FIXA]])</f>
        <v>0</v>
      </c>
      <c r="AD39" s="91">
        <f>SUMIFS(tabela_registros[VALOR],tabela_registros[MÊS],$AE$1,tabela_registros[DIA],outtotal3059718395107119131143[[#Headers],[26]],tabela_registros[REGISTRO],DADOS!$N$4,tabela_registros[TIPO],DADOS!$P$3,tabela_registros[CATEGORIA],despesafixaconsolidadoout[[#This Row],[DESPESA FIXA]])</f>
        <v>0</v>
      </c>
      <c r="AE39" s="91">
        <f>SUMIFS(tabela_registros[VALOR],tabela_registros[MÊS],$AE$1,tabela_registros[DIA],outtotal3059718395107119131143[[#Headers],[27]],tabela_registros[REGISTRO],DADOS!$N$4,tabela_registros[TIPO],DADOS!$P$3,tabela_registros[CATEGORIA],despesafixaconsolidadoout[[#This Row],[DESPESA FIXA]])</f>
        <v>0</v>
      </c>
      <c r="AF39" s="91">
        <f>SUMIFS(tabela_registros[VALOR],tabela_registros[MÊS],$AE$1,tabela_registros[DIA],outtotal3059718395107119131143[[#Headers],[28]],tabela_registros[REGISTRO],DADOS!$N$4,tabela_registros[TIPO],DADOS!$P$3,tabela_registros[CATEGORIA],despesafixaconsolidadoout[[#This Row],[DESPESA FIXA]])</f>
        <v>0</v>
      </c>
      <c r="AG39" s="91">
        <f>SUMIFS(tabela_registros[VALOR],tabela_registros[MÊS],$AE$1,tabela_registros[DIA],outtotal3059718395107119131143[[#Headers],[29]],tabela_registros[REGISTRO],DADOS!$N$4,tabela_registros[TIPO],DADOS!$P$3,tabela_registros[CATEGORIA],despesafixaconsolidadoout[[#This Row],[DESPESA FIXA]])</f>
        <v>0</v>
      </c>
      <c r="AH39" s="91">
        <f>SUMIFS(tabela_registros[VALOR],tabela_registros[MÊS],$AE$1,tabela_registros[DIA],outtotal3059718395107119131143[[#Headers],[30]],tabela_registros[REGISTRO],DADOS!$N$4,tabela_registros[TIPO],DADOS!$P$3,tabela_registros[CATEGORIA],despesafixaconsolidadoout[[#This Row],[DESPESA FIXA]])</f>
        <v>0</v>
      </c>
      <c r="AI39" s="101">
        <f>SUMIFS(tabela_registros[VALOR],tabela_registros[MÊS],$AE$1,tabela_registros[DIA],outtotal3059718395107119131143[[#Headers],[31]],tabela_registros[REGISTRO],DADOS!$N$4,tabela_registros[TIPO],DADOS!$P$3,tabela_registros[CATEGORIA],despesafixaconsolidadoout[[#This Row],[DESPESA FIXA]])</f>
        <v>0</v>
      </c>
      <c r="AJ39" s="97">
        <f>SUM(despesafixaconsolidadoout[[#This Row],[1]:[31]])</f>
        <v>0</v>
      </c>
      <c r="AK39" s="28"/>
    </row>
    <row r="40" spans="2:37" ht="18" customHeight="1" thickTop="1" thickBot="1" x14ac:dyDescent="0.3">
      <c r="B40" s="28"/>
      <c r="C40" s="27" t="str">
        <f>DADOS!$R$6</f>
        <v>📱 CELULAR</v>
      </c>
      <c r="D40" s="26" t="str">
        <f>IF(despesafixaconsolidadoout[[#This Row],[TOTAL]]=0,"",IF(OR(despesafixaconsolidadoout[[#This Row],[TOTAL]]=LARGE($AJ$37:$AJ$50,1),despesafixaconsolidadoout[[#This Row],[TOTAL]]=LARGE($AJ$37:$AJ$50,2),despesafixaconsolidadoout[[#This Row],[TOTAL]]=LARGE($AJ$37:$AJ$50,3),despesafixaconsolidadoout[[#This Row],[TOTAL]]=LARGE($AJ$37:$AJ$50,4),despesafixaconsolidadoout[[#This Row],[TOTAL]]=LARGE($AJ$37:$AJ$50,5)),DADOS!$I$8,""))</f>
        <v>💣</v>
      </c>
      <c r="E40" s="96">
        <f>SUMIFS(tabela_registros[VALOR],tabela_registros[MÊS],$AE$1,tabela_registros[DIA],outtotal3059718395107119131143[[#Headers],[1]],tabela_registros[REGISTRO],DADOS!$N$4,tabela_registros[TIPO],DADOS!$P$3,tabela_registros[CATEGORIA],despesafixaconsolidadoout[[#This Row],[DESPESA FIXA]])</f>
        <v>0</v>
      </c>
      <c r="F40" s="91">
        <f>SUMIFS(tabela_registros[VALOR],tabela_registros[MÊS],$AE$1,tabela_registros[DIA],outtotal3059718395107119131143[[#Headers],[2]],tabela_registros[REGISTRO],DADOS!$N$4,tabela_registros[TIPO],DADOS!$P$3,tabela_registros[CATEGORIA],despesafixaconsolidadoout[[#This Row],[DESPESA FIXA]])</f>
        <v>69.900000000000006</v>
      </c>
      <c r="G40" s="91">
        <f>SUMIFS(tabela_registros[VALOR],tabela_registros[MÊS],$AE$1,tabela_registros[DIA],outtotal3059718395107119131143[[#Headers],[3]],tabela_registros[REGISTRO],DADOS!$N$4,tabela_registros[TIPO],DADOS!$P$3,tabela_registros[CATEGORIA],despesafixaconsolidadoout[[#This Row],[DESPESA FIXA]])</f>
        <v>0</v>
      </c>
      <c r="H40" s="91">
        <f>SUMIFS(tabela_registros[VALOR],tabela_registros[MÊS],$AE$1,tabela_registros[DIA],outtotal3059718395107119131143[[#Headers],[4]],tabela_registros[REGISTRO],DADOS!$N$4,tabela_registros[TIPO],DADOS!$P$3,tabela_registros[CATEGORIA],despesafixaconsolidadoout[[#This Row],[DESPESA FIXA]])</f>
        <v>0</v>
      </c>
      <c r="I40" s="91">
        <f>SUMIFS(tabela_registros[VALOR],tabela_registros[MÊS],$AE$1,tabela_registros[DIA],outtotal3059718395107119131143[[#Headers],[5]],tabela_registros[REGISTRO],DADOS!$N$4,tabela_registros[TIPO],DADOS!$P$3,tabela_registros[CATEGORIA],despesafixaconsolidadoout[[#This Row],[DESPESA FIXA]])</f>
        <v>0</v>
      </c>
      <c r="J40" s="91">
        <f>SUMIFS(tabela_registros[VALOR],tabela_registros[MÊS],$AE$1,tabela_registros[DIA],outtotal3059718395107119131143[[#Headers],[6]],tabela_registros[REGISTRO],DADOS!$N$4,tabela_registros[TIPO],DADOS!$P$3,tabela_registros[CATEGORIA],despesafixaconsolidadoout[[#This Row],[DESPESA FIXA]])</f>
        <v>0</v>
      </c>
      <c r="K40" s="91">
        <f>SUMIFS(tabela_registros[VALOR],tabela_registros[MÊS],$AE$1,tabela_registros[DIA],outtotal3059718395107119131143[[#Headers],[7]],tabela_registros[REGISTRO],DADOS!$N$4,tabela_registros[TIPO],DADOS!$P$3,tabela_registros[CATEGORIA],despesafixaconsolidadoout[[#This Row],[DESPESA FIXA]])</f>
        <v>0</v>
      </c>
      <c r="L40" s="91">
        <f>SUMIFS(tabela_registros[VALOR],tabela_registros[MÊS],$AE$1,tabela_registros[DIA],outtotal3059718395107119131143[[#Headers],[8]],tabela_registros[REGISTRO],DADOS!$N$4,tabela_registros[TIPO],DADOS!$P$3,tabela_registros[CATEGORIA],despesafixaconsolidadoout[[#This Row],[DESPESA FIXA]])</f>
        <v>0</v>
      </c>
      <c r="M40" s="91">
        <f>SUMIFS(tabela_registros[VALOR],tabela_registros[MÊS],$AE$1,tabela_registros[DIA],outtotal3059718395107119131143[[#Headers],[9]],tabela_registros[REGISTRO],DADOS!$N$4,tabela_registros[TIPO],DADOS!$P$3,tabela_registros[CATEGORIA],despesafixaconsolidadoout[[#This Row],[DESPESA FIXA]])</f>
        <v>0</v>
      </c>
      <c r="N40" s="91">
        <f>SUMIFS(tabela_registros[VALOR],tabela_registros[MÊS],$AE$1,tabela_registros[DIA],outtotal3059718395107119131143[[#Headers],[10]],tabela_registros[REGISTRO],DADOS!$N$4,tabela_registros[TIPO],DADOS!$P$3,tabela_registros[CATEGORIA],despesafixaconsolidadoout[[#This Row],[DESPESA FIXA]])</f>
        <v>0</v>
      </c>
      <c r="O40" s="91">
        <f>SUMIFS(tabela_registros[VALOR],tabela_registros[MÊS],$AE$1,tabela_registros[DIA],outtotal3059718395107119131143[[#Headers],[11]],tabela_registros[REGISTRO],DADOS!$N$4,tabela_registros[TIPO],DADOS!$P$3,tabela_registros[CATEGORIA],despesafixaconsolidadoout[[#This Row],[DESPESA FIXA]])</f>
        <v>0</v>
      </c>
      <c r="P40" s="91">
        <f>SUMIFS(tabela_registros[VALOR],tabela_registros[MÊS],$AE$1,tabela_registros[DIA],outtotal3059718395107119131143[[#Headers],[12]],tabela_registros[REGISTRO],DADOS!$N$4,tabela_registros[TIPO],DADOS!$P$3,tabela_registros[CATEGORIA],despesafixaconsolidadoout[[#This Row],[DESPESA FIXA]])</f>
        <v>0</v>
      </c>
      <c r="Q40" s="91">
        <f>SUMIFS(tabela_registros[VALOR],tabela_registros[MÊS],$AE$1,tabela_registros[DIA],outtotal3059718395107119131143[[#Headers],[13]],tabela_registros[REGISTRO],DADOS!$N$4,tabela_registros[TIPO],DADOS!$P$3,tabela_registros[CATEGORIA],despesafixaconsolidadoout[[#This Row],[DESPESA FIXA]])</f>
        <v>0</v>
      </c>
      <c r="R40" s="91">
        <f>SUMIFS(tabela_registros[VALOR],tabela_registros[MÊS],$AE$1,tabela_registros[DIA],outtotal3059718395107119131143[[#Headers],[14]],tabela_registros[REGISTRO],DADOS!$N$4,tabela_registros[TIPO],DADOS!$P$3,tabela_registros[CATEGORIA],despesafixaconsolidadoout[[#This Row],[DESPESA FIXA]])</f>
        <v>0</v>
      </c>
      <c r="S40" s="91">
        <f>SUMIFS(tabela_registros[VALOR],tabela_registros[MÊS],$AE$1,tabela_registros[DIA],outtotal3059718395107119131143[[#Headers],[15]],tabela_registros[REGISTRO],DADOS!$N$4,tabela_registros[TIPO],DADOS!$P$3,tabela_registros[CATEGORIA],despesafixaconsolidadoout[[#This Row],[DESPESA FIXA]])</f>
        <v>0</v>
      </c>
      <c r="T40" s="91">
        <f>SUMIFS(tabela_registros[VALOR],tabela_registros[MÊS],$AE$1,tabela_registros[DIA],outtotal3059718395107119131143[[#Headers],[16]],tabela_registros[REGISTRO],DADOS!$N$4,tabela_registros[TIPO],DADOS!$P$3,tabela_registros[CATEGORIA],despesafixaconsolidadoout[[#This Row],[DESPESA FIXA]])</f>
        <v>0</v>
      </c>
      <c r="U40" s="91">
        <f>SUMIFS(tabela_registros[VALOR],tabela_registros[MÊS],$AE$1,tabela_registros[DIA],outtotal3059718395107119131143[[#Headers],[17]],tabela_registros[REGISTRO],DADOS!$N$4,tabela_registros[TIPO],DADOS!$P$3,tabela_registros[CATEGORIA],despesafixaconsolidadoout[[#This Row],[DESPESA FIXA]])</f>
        <v>0</v>
      </c>
      <c r="V40" s="91">
        <f>SUMIFS(tabela_registros[VALOR],tabela_registros[MÊS],$AE$1,tabela_registros[DIA],outtotal3059718395107119131143[[#Headers],[18]],tabela_registros[REGISTRO],DADOS!$N$4,tabela_registros[TIPO],DADOS!$P$3,tabela_registros[CATEGORIA],despesafixaconsolidadoout[[#This Row],[DESPESA FIXA]])</f>
        <v>0</v>
      </c>
      <c r="W40" s="91">
        <f>SUMIFS(tabela_registros[VALOR],tabela_registros[MÊS],$AE$1,tabela_registros[DIA],outtotal3059718395107119131143[[#Headers],[19]],tabela_registros[REGISTRO],DADOS!$N$4,tabela_registros[TIPO],DADOS!$P$3,tabela_registros[CATEGORIA],despesafixaconsolidadoout[[#This Row],[DESPESA FIXA]])</f>
        <v>0</v>
      </c>
      <c r="X40" s="91">
        <f>SUMIFS(tabela_registros[VALOR],tabela_registros[MÊS],$AE$1,tabela_registros[DIA],outtotal3059718395107119131143[[#Headers],[20]],tabela_registros[REGISTRO],DADOS!$N$4,tabela_registros[TIPO],DADOS!$P$3,tabela_registros[CATEGORIA],despesafixaconsolidadoout[[#This Row],[DESPESA FIXA]])</f>
        <v>0</v>
      </c>
      <c r="Y40" s="91">
        <f>SUMIFS(tabela_registros[VALOR],tabela_registros[MÊS],$AE$1,tabela_registros[DIA],outtotal3059718395107119131143[[#Headers],[21]],tabela_registros[REGISTRO],DADOS!$N$4,tabela_registros[TIPO],DADOS!$P$3,tabela_registros[CATEGORIA],despesafixaconsolidadoout[[#This Row],[DESPESA FIXA]])</f>
        <v>0</v>
      </c>
      <c r="Z40" s="91">
        <f>SUMIFS(tabela_registros[VALOR],tabela_registros[MÊS],$AE$1,tabela_registros[DIA],outtotal3059718395107119131143[[#Headers],[22]],tabela_registros[REGISTRO],DADOS!$N$4,tabela_registros[TIPO],DADOS!$P$3,tabela_registros[CATEGORIA],despesafixaconsolidadoout[[#This Row],[DESPESA FIXA]])</f>
        <v>0</v>
      </c>
      <c r="AA40" s="91">
        <f>SUMIFS(tabela_registros[VALOR],tabela_registros[MÊS],$AE$1,tabela_registros[DIA],outtotal3059718395107119131143[[#Headers],[23]],tabela_registros[REGISTRO],DADOS!$N$4,tabela_registros[TIPO],DADOS!$P$3,tabela_registros[CATEGORIA],despesafixaconsolidadoout[[#This Row],[DESPESA FIXA]])</f>
        <v>0</v>
      </c>
      <c r="AB40" s="91">
        <f>SUMIFS(tabela_registros[VALOR],tabela_registros[MÊS],$AE$1,tabela_registros[DIA],outtotal3059718395107119131143[[#Headers],[24]],tabela_registros[REGISTRO],DADOS!$N$4,tabela_registros[TIPO],DADOS!$P$3,tabela_registros[CATEGORIA],despesafixaconsolidadoout[[#This Row],[DESPESA FIXA]])</f>
        <v>0</v>
      </c>
      <c r="AC40" s="91">
        <f>SUMIFS(tabela_registros[VALOR],tabela_registros[MÊS],$AE$1,tabela_registros[DIA],outtotal3059718395107119131143[[#Headers],[25]],tabela_registros[REGISTRO],DADOS!$N$4,tabela_registros[TIPO],DADOS!$P$3,tabela_registros[CATEGORIA],despesafixaconsolidadoout[[#This Row],[DESPESA FIXA]])</f>
        <v>0</v>
      </c>
      <c r="AD40" s="91">
        <f>SUMIFS(tabela_registros[VALOR],tabela_registros[MÊS],$AE$1,tabela_registros[DIA],outtotal3059718395107119131143[[#Headers],[26]],tabela_registros[REGISTRO],DADOS!$N$4,tabela_registros[TIPO],DADOS!$P$3,tabela_registros[CATEGORIA],despesafixaconsolidadoout[[#This Row],[DESPESA FIXA]])</f>
        <v>0</v>
      </c>
      <c r="AE40" s="91">
        <f>SUMIFS(tabela_registros[VALOR],tabela_registros[MÊS],$AE$1,tabela_registros[DIA],outtotal3059718395107119131143[[#Headers],[27]],tabela_registros[REGISTRO],DADOS!$N$4,tabela_registros[TIPO],DADOS!$P$3,tabela_registros[CATEGORIA],despesafixaconsolidadoout[[#This Row],[DESPESA FIXA]])</f>
        <v>0</v>
      </c>
      <c r="AF40" s="91">
        <f>SUMIFS(tabela_registros[VALOR],tabela_registros[MÊS],$AE$1,tabela_registros[DIA],outtotal3059718395107119131143[[#Headers],[28]],tabela_registros[REGISTRO],DADOS!$N$4,tabela_registros[TIPO],DADOS!$P$3,tabela_registros[CATEGORIA],despesafixaconsolidadoout[[#This Row],[DESPESA FIXA]])</f>
        <v>0</v>
      </c>
      <c r="AG40" s="91">
        <f>SUMIFS(tabela_registros[VALOR],tabela_registros[MÊS],$AE$1,tabela_registros[DIA],outtotal3059718395107119131143[[#Headers],[29]],tabela_registros[REGISTRO],DADOS!$N$4,tabela_registros[TIPO],DADOS!$P$3,tabela_registros[CATEGORIA],despesafixaconsolidadoout[[#This Row],[DESPESA FIXA]])</f>
        <v>0</v>
      </c>
      <c r="AH40" s="91">
        <f>SUMIFS(tabela_registros[VALOR],tabela_registros[MÊS],$AE$1,tabela_registros[DIA],outtotal3059718395107119131143[[#Headers],[30]],tabela_registros[REGISTRO],DADOS!$N$4,tabela_registros[TIPO],DADOS!$P$3,tabela_registros[CATEGORIA],despesafixaconsolidadoout[[#This Row],[DESPESA FIXA]])</f>
        <v>0</v>
      </c>
      <c r="AI40" s="101">
        <f>SUMIFS(tabela_registros[VALOR],tabela_registros[MÊS],$AE$1,tabela_registros[DIA],outtotal3059718395107119131143[[#Headers],[31]],tabela_registros[REGISTRO],DADOS!$N$4,tabela_registros[TIPO],DADOS!$P$3,tabela_registros[CATEGORIA],despesafixaconsolidadoout[[#This Row],[DESPESA FIXA]])</f>
        <v>0</v>
      </c>
      <c r="AJ40" s="97">
        <f>SUM(despesafixaconsolidadoout[[#This Row],[1]:[31]])</f>
        <v>69.900000000000006</v>
      </c>
      <c r="AK40" s="28"/>
    </row>
    <row r="41" spans="2:37" ht="18" customHeight="1" thickTop="1" thickBot="1" x14ac:dyDescent="0.3">
      <c r="B41" s="28"/>
      <c r="C41" s="27" t="str">
        <f>DADOS!$R$7</f>
        <v>📖 EDUCAÇÃO</v>
      </c>
      <c r="D41" s="26" t="str">
        <f>IF(despesafixaconsolidadoout[[#This Row],[TOTAL]]=0,"",IF(OR(despesafixaconsolidadoout[[#This Row],[TOTAL]]=LARGE($AJ$37:$AJ$50,1),despesafixaconsolidadoout[[#This Row],[TOTAL]]=LARGE($AJ$37:$AJ$50,2),despesafixaconsolidadoout[[#This Row],[TOTAL]]=LARGE($AJ$37:$AJ$50,3),despesafixaconsolidadoout[[#This Row],[TOTAL]]=LARGE($AJ$37:$AJ$50,4),despesafixaconsolidadoout[[#This Row],[TOTAL]]=LARGE($AJ$37:$AJ$50,5)),DADOS!$I$8,""))</f>
        <v/>
      </c>
      <c r="E41" s="96">
        <f>SUMIFS(tabela_registros[VALOR],tabela_registros[MÊS],$AE$1,tabela_registros[DIA],outtotal3059718395107119131143[[#Headers],[1]],tabela_registros[REGISTRO],DADOS!$N$4,tabela_registros[TIPO],DADOS!$P$3,tabela_registros[CATEGORIA],despesafixaconsolidadoout[[#This Row],[DESPESA FIXA]])</f>
        <v>0</v>
      </c>
      <c r="F41" s="91">
        <f>SUMIFS(tabela_registros[VALOR],tabela_registros[MÊS],$AE$1,tabela_registros[DIA],outtotal3059718395107119131143[[#Headers],[2]],tabela_registros[REGISTRO],DADOS!$N$4,tabela_registros[TIPO],DADOS!$P$3,tabela_registros[CATEGORIA],despesafixaconsolidadoout[[#This Row],[DESPESA FIXA]])</f>
        <v>0</v>
      </c>
      <c r="G41" s="91">
        <f>SUMIFS(tabela_registros[VALOR],tabela_registros[MÊS],$AE$1,tabela_registros[DIA],outtotal3059718395107119131143[[#Headers],[3]],tabela_registros[REGISTRO],DADOS!$N$4,tabela_registros[TIPO],DADOS!$P$3,tabela_registros[CATEGORIA],despesafixaconsolidadoout[[#This Row],[DESPESA FIXA]])</f>
        <v>0</v>
      </c>
      <c r="H41" s="91">
        <f>SUMIFS(tabela_registros[VALOR],tabela_registros[MÊS],$AE$1,tabela_registros[DIA],outtotal3059718395107119131143[[#Headers],[4]],tabela_registros[REGISTRO],DADOS!$N$4,tabela_registros[TIPO],DADOS!$P$3,tabela_registros[CATEGORIA],despesafixaconsolidadoout[[#This Row],[DESPESA FIXA]])</f>
        <v>0</v>
      </c>
      <c r="I41" s="91">
        <f>SUMIFS(tabela_registros[VALOR],tabela_registros[MÊS],$AE$1,tabela_registros[DIA],outtotal3059718395107119131143[[#Headers],[5]],tabela_registros[REGISTRO],DADOS!$N$4,tabela_registros[TIPO],DADOS!$P$3,tabela_registros[CATEGORIA],despesafixaconsolidadoout[[#This Row],[DESPESA FIXA]])</f>
        <v>0</v>
      </c>
      <c r="J41" s="91">
        <f>SUMIFS(tabela_registros[VALOR],tabela_registros[MÊS],$AE$1,tabela_registros[DIA],outtotal3059718395107119131143[[#Headers],[6]],tabela_registros[REGISTRO],DADOS!$N$4,tabela_registros[TIPO],DADOS!$P$3,tabela_registros[CATEGORIA],despesafixaconsolidadoout[[#This Row],[DESPESA FIXA]])</f>
        <v>0</v>
      </c>
      <c r="K41" s="91">
        <f>SUMIFS(tabela_registros[VALOR],tabela_registros[MÊS],$AE$1,tabela_registros[DIA],outtotal3059718395107119131143[[#Headers],[7]],tabela_registros[REGISTRO],DADOS!$N$4,tabela_registros[TIPO],DADOS!$P$3,tabela_registros[CATEGORIA],despesafixaconsolidadoout[[#This Row],[DESPESA FIXA]])</f>
        <v>0</v>
      </c>
      <c r="L41" s="91">
        <f>SUMIFS(tabela_registros[VALOR],tabela_registros[MÊS],$AE$1,tabela_registros[DIA],outtotal3059718395107119131143[[#Headers],[8]],tabela_registros[REGISTRO],DADOS!$N$4,tabela_registros[TIPO],DADOS!$P$3,tabela_registros[CATEGORIA],despesafixaconsolidadoout[[#This Row],[DESPESA FIXA]])</f>
        <v>0</v>
      </c>
      <c r="M41" s="91">
        <f>SUMIFS(tabela_registros[VALOR],tabela_registros[MÊS],$AE$1,tabela_registros[DIA],outtotal3059718395107119131143[[#Headers],[9]],tabela_registros[REGISTRO],DADOS!$N$4,tabela_registros[TIPO],DADOS!$P$3,tabela_registros[CATEGORIA],despesafixaconsolidadoout[[#This Row],[DESPESA FIXA]])</f>
        <v>0</v>
      </c>
      <c r="N41" s="91">
        <f>SUMIFS(tabela_registros[VALOR],tabela_registros[MÊS],$AE$1,tabela_registros[DIA],outtotal3059718395107119131143[[#Headers],[10]],tabela_registros[REGISTRO],DADOS!$N$4,tabela_registros[TIPO],DADOS!$P$3,tabela_registros[CATEGORIA],despesafixaconsolidadoout[[#This Row],[DESPESA FIXA]])</f>
        <v>0</v>
      </c>
      <c r="O41" s="91">
        <f>SUMIFS(tabela_registros[VALOR],tabela_registros[MÊS],$AE$1,tabela_registros[DIA],outtotal3059718395107119131143[[#Headers],[11]],tabela_registros[REGISTRO],DADOS!$N$4,tabela_registros[TIPO],DADOS!$P$3,tabela_registros[CATEGORIA],despesafixaconsolidadoout[[#This Row],[DESPESA FIXA]])</f>
        <v>0</v>
      </c>
      <c r="P41" s="91">
        <f>SUMIFS(tabela_registros[VALOR],tabela_registros[MÊS],$AE$1,tabela_registros[DIA],outtotal3059718395107119131143[[#Headers],[12]],tabela_registros[REGISTRO],DADOS!$N$4,tabela_registros[TIPO],DADOS!$P$3,tabela_registros[CATEGORIA],despesafixaconsolidadoout[[#This Row],[DESPESA FIXA]])</f>
        <v>0</v>
      </c>
      <c r="Q41" s="91">
        <f>SUMIFS(tabela_registros[VALOR],tabela_registros[MÊS],$AE$1,tabela_registros[DIA],outtotal3059718395107119131143[[#Headers],[13]],tabela_registros[REGISTRO],DADOS!$N$4,tabela_registros[TIPO],DADOS!$P$3,tabela_registros[CATEGORIA],despesafixaconsolidadoout[[#This Row],[DESPESA FIXA]])</f>
        <v>0</v>
      </c>
      <c r="R41" s="91">
        <f>SUMIFS(tabela_registros[VALOR],tabela_registros[MÊS],$AE$1,tabela_registros[DIA],outtotal3059718395107119131143[[#Headers],[14]],tabela_registros[REGISTRO],DADOS!$N$4,tabela_registros[TIPO],DADOS!$P$3,tabela_registros[CATEGORIA],despesafixaconsolidadoout[[#This Row],[DESPESA FIXA]])</f>
        <v>0</v>
      </c>
      <c r="S41" s="91">
        <f>SUMIFS(tabela_registros[VALOR],tabela_registros[MÊS],$AE$1,tabela_registros[DIA],outtotal3059718395107119131143[[#Headers],[15]],tabela_registros[REGISTRO],DADOS!$N$4,tabela_registros[TIPO],DADOS!$P$3,tabela_registros[CATEGORIA],despesafixaconsolidadoout[[#This Row],[DESPESA FIXA]])</f>
        <v>0</v>
      </c>
      <c r="T41" s="91">
        <f>SUMIFS(tabela_registros[VALOR],tabela_registros[MÊS],$AE$1,tabela_registros[DIA],outtotal3059718395107119131143[[#Headers],[16]],tabela_registros[REGISTRO],DADOS!$N$4,tabela_registros[TIPO],DADOS!$P$3,tabela_registros[CATEGORIA],despesafixaconsolidadoout[[#This Row],[DESPESA FIXA]])</f>
        <v>0</v>
      </c>
      <c r="U41" s="91">
        <f>SUMIFS(tabela_registros[VALOR],tabela_registros[MÊS],$AE$1,tabela_registros[DIA],outtotal3059718395107119131143[[#Headers],[17]],tabela_registros[REGISTRO],DADOS!$N$4,tabela_registros[TIPO],DADOS!$P$3,tabela_registros[CATEGORIA],despesafixaconsolidadoout[[#This Row],[DESPESA FIXA]])</f>
        <v>0</v>
      </c>
      <c r="V41" s="91">
        <f>SUMIFS(tabela_registros[VALOR],tabela_registros[MÊS],$AE$1,tabela_registros[DIA],outtotal3059718395107119131143[[#Headers],[18]],tabela_registros[REGISTRO],DADOS!$N$4,tabela_registros[TIPO],DADOS!$P$3,tabela_registros[CATEGORIA],despesafixaconsolidadoout[[#This Row],[DESPESA FIXA]])</f>
        <v>0</v>
      </c>
      <c r="W41" s="91">
        <f>SUMIFS(tabela_registros[VALOR],tabela_registros[MÊS],$AE$1,tabela_registros[DIA],outtotal3059718395107119131143[[#Headers],[19]],tabela_registros[REGISTRO],DADOS!$N$4,tabela_registros[TIPO],DADOS!$P$3,tabela_registros[CATEGORIA],despesafixaconsolidadoout[[#This Row],[DESPESA FIXA]])</f>
        <v>0</v>
      </c>
      <c r="X41" s="91">
        <f>SUMIFS(tabela_registros[VALOR],tabela_registros[MÊS],$AE$1,tabela_registros[DIA],outtotal3059718395107119131143[[#Headers],[20]],tabela_registros[REGISTRO],DADOS!$N$4,tabela_registros[TIPO],DADOS!$P$3,tabela_registros[CATEGORIA],despesafixaconsolidadoout[[#This Row],[DESPESA FIXA]])</f>
        <v>0</v>
      </c>
      <c r="Y41" s="91">
        <f>SUMIFS(tabela_registros[VALOR],tabela_registros[MÊS],$AE$1,tabela_registros[DIA],outtotal3059718395107119131143[[#Headers],[21]],tabela_registros[REGISTRO],DADOS!$N$4,tabela_registros[TIPO],DADOS!$P$3,tabela_registros[CATEGORIA],despesafixaconsolidadoout[[#This Row],[DESPESA FIXA]])</f>
        <v>0</v>
      </c>
      <c r="Z41" s="91">
        <f>SUMIFS(tabela_registros[VALOR],tabela_registros[MÊS],$AE$1,tabela_registros[DIA],outtotal3059718395107119131143[[#Headers],[22]],tabela_registros[REGISTRO],DADOS!$N$4,tabela_registros[TIPO],DADOS!$P$3,tabela_registros[CATEGORIA],despesafixaconsolidadoout[[#This Row],[DESPESA FIXA]])</f>
        <v>0</v>
      </c>
      <c r="AA41" s="91">
        <f>SUMIFS(tabela_registros[VALOR],tabela_registros[MÊS],$AE$1,tabela_registros[DIA],outtotal3059718395107119131143[[#Headers],[23]],tabela_registros[REGISTRO],DADOS!$N$4,tabela_registros[TIPO],DADOS!$P$3,tabela_registros[CATEGORIA],despesafixaconsolidadoout[[#This Row],[DESPESA FIXA]])</f>
        <v>0</v>
      </c>
      <c r="AB41" s="91">
        <f>SUMIFS(tabela_registros[VALOR],tabela_registros[MÊS],$AE$1,tabela_registros[DIA],outtotal3059718395107119131143[[#Headers],[24]],tabela_registros[REGISTRO],DADOS!$N$4,tabela_registros[TIPO],DADOS!$P$3,tabela_registros[CATEGORIA],despesafixaconsolidadoout[[#This Row],[DESPESA FIXA]])</f>
        <v>0</v>
      </c>
      <c r="AC41" s="91">
        <f>SUMIFS(tabela_registros[VALOR],tabela_registros[MÊS],$AE$1,tabela_registros[DIA],outtotal3059718395107119131143[[#Headers],[25]],tabela_registros[REGISTRO],DADOS!$N$4,tabela_registros[TIPO],DADOS!$P$3,tabela_registros[CATEGORIA],despesafixaconsolidadoout[[#This Row],[DESPESA FIXA]])</f>
        <v>0</v>
      </c>
      <c r="AD41" s="91">
        <f>SUMIFS(tabela_registros[VALOR],tabela_registros[MÊS],$AE$1,tabela_registros[DIA],outtotal3059718395107119131143[[#Headers],[26]],tabela_registros[REGISTRO],DADOS!$N$4,tabela_registros[TIPO],DADOS!$P$3,tabela_registros[CATEGORIA],despesafixaconsolidadoout[[#This Row],[DESPESA FIXA]])</f>
        <v>0</v>
      </c>
      <c r="AE41" s="91">
        <f>SUMIFS(tabela_registros[VALOR],tabela_registros[MÊS],$AE$1,tabela_registros[DIA],outtotal3059718395107119131143[[#Headers],[27]],tabela_registros[REGISTRO],DADOS!$N$4,tabela_registros[TIPO],DADOS!$P$3,tabela_registros[CATEGORIA],despesafixaconsolidadoout[[#This Row],[DESPESA FIXA]])</f>
        <v>0</v>
      </c>
      <c r="AF41" s="91">
        <f>SUMIFS(tabela_registros[VALOR],tabela_registros[MÊS],$AE$1,tabela_registros[DIA],outtotal3059718395107119131143[[#Headers],[28]],tabela_registros[REGISTRO],DADOS!$N$4,tabela_registros[TIPO],DADOS!$P$3,tabela_registros[CATEGORIA],despesafixaconsolidadoout[[#This Row],[DESPESA FIXA]])</f>
        <v>0</v>
      </c>
      <c r="AG41" s="91">
        <f>SUMIFS(tabela_registros[VALOR],tabela_registros[MÊS],$AE$1,tabela_registros[DIA],outtotal3059718395107119131143[[#Headers],[29]],tabela_registros[REGISTRO],DADOS!$N$4,tabela_registros[TIPO],DADOS!$P$3,tabela_registros[CATEGORIA],despesafixaconsolidadoout[[#This Row],[DESPESA FIXA]])</f>
        <v>0</v>
      </c>
      <c r="AH41" s="91">
        <f>SUMIFS(tabela_registros[VALOR],tabela_registros[MÊS],$AE$1,tabela_registros[DIA],outtotal3059718395107119131143[[#Headers],[30]],tabela_registros[REGISTRO],DADOS!$N$4,tabela_registros[TIPO],DADOS!$P$3,tabela_registros[CATEGORIA],despesafixaconsolidadoout[[#This Row],[DESPESA FIXA]])</f>
        <v>0</v>
      </c>
      <c r="AI41" s="101">
        <f>SUMIFS(tabela_registros[VALOR],tabela_registros[MÊS],$AE$1,tabela_registros[DIA],outtotal3059718395107119131143[[#Headers],[31]],tabela_registros[REGISTRO],DADOS!$N$4,tabela_registros[TIPO],DADOS!$P$3,tabela_registros[CATEGORIA],despesafixaconsolidadoout[[#This Row],[DESPESA FIXA]])</f>
        <v>0</v>
      </c>
      <c r="AJ41" s="97">
        <f>SUM(despesafixaconsolidadoout[[#This Row],[1]:[31]])</f>
        <v>0</v>
      </c>
      <c r="AK41" s="28"/>
    </row>
    <row r="42" spans="2:37" ht="18" customHeight="1" thickTop="1" thickBot="1" x14ac:dyDescent="0.3">
      <c r="B42" s="28"/>
      <c r="C42" s="27" t="str">
        <f>DADOS!$R$8</f>
        <v>🏦 EMPRÉSTIMO</v>
      </c>
      <c r="D42" s="26" t="str">
        <f>IF(despesafixaconsolidadoout[[#This Row],[TOTAL]]=0,"",IF(OR(despesafixaconsolidadoout[[#This Row],[TOTAL]]=LARGE($AJ$37:$AJ$50,1),despesafixaconsolidadoout[[#This Row],[TOTAL]]=LARGE($AJ$37:$AJ$50,2),despesafixaconsolidadoout[[#This Row],[TOTAL]]=LARGE($AJ$37:$AJ$50,3),despesafixaconsolidadoout[[#This Row],[TOTAL]]=LARGE($AJ$37:$AJ$50,4),despesafixaconsolidadoout[[#This Row],[TOTAL]]=LARGE($AJ$37:$AJ$50,5)),DADOS!$I$8,""))</f>
        <v/>
      </c>
      <c r="E42" s="96">
        <f>SUMIFS(tabela_registros[VALOR],tabela_registros[MÊS],$AE$1,tabela_registros[DIA],outtotal3059718395107119131143[[#Headers],[1]],tabela_registros[REGISTRO],DADOS!$N$4,tabela_registros[TIPO],DADOS!$P$3,tabela_registros[CATEGORIA],despesafixaconsolidadoout[[#This Row],[DESPESA FIXA]])</f>
        <v>0</v>
      </c>
      <c r="F42" s="91">
        <f>SUMIFS(tabela_registros[VALOR],tabela_registros[MÊS],$AE$1,tabela_registros[DIA],outtotal3059718395107119131143[[#Headers],[2]],tabela_registros[REGISTRO],DADOS!$N$4,tabela_registros[TIPO],DADOS!$P$3,tabela_registros[CATEGORIA],despesafixaconsolidadoout[[#This Row],[DESPESA FIXA]])</f>
        <v>0</v>
      </c>
      <c r="G42" s="91">
        <f>SUMIFS(tabela_registros[VALOR],tabela_registros[MÊS],$AE$1,tabela_registros[DIA],outtotal3059718395107119131143[[#Headers],[3]],tabela_registros[REGISTRO],DADOS!$N$4,tabela_registros[TIPO],DADOS!$P$3,tabela_registros[CATEGORIA],despesafixaconsolidadoout[[#This Row],[DESPESA FIXA]])</f>
        <v>0</v>
      </c>
      <c r="H42" s="91">
        <f>SUMIFS(tabela_registros[VALOR],tabela_registros[MÊS],$AE$1,tabela_registros[DIA],outtotal3059718395107119131143[[#Headers],[4]],tabela_registros[REGISTRO],DADOS!$N$4,tabela_registros[TIPO],DADOS!$P$3,tabela_registros[CATEGORIA],despesafixaconsolidadoout[[#This Row],[DESPESA FIXA]])</f>
        <v>0</v>
      </c>
      <c r="I42" s="91">
        <f>SUMIFS(tabela_registros[VALOR],tabela_registros[MÊS],$AE$1,tabela_registros[DIA],outtotal3059718395107119131143[[#Headers],[5]],tabela_registros[REGISTRO],DADOS!$N$4,tabela_registros[TIPO],DADOS!$P$3,tabela_registros[CATEGORIA],despesafixaconsolidadoout[[#This Row],[DESPESA FIXA]])</f>
        <v>0</v>
      </c>
      <c r="J42" s="91">
        <f>SUMIFS(tabela_registros[VALOR],tabela_registros[MÊS],$AE$1,tabela_registros[DIA],outtotal3059718395107119131143[[#Headers],[6]],tabela_registros[REGISTRO],DADOS!$N$4,tabela_registros[TIPO],DADOS!$P$3,tabela_registros[CATEGORIA],despesafixaconsolidadoout[[#This Row],[DESPESA FIXA]])</f>
        <v>0</v>
      </c>
      <c r="K42" s="91">
        <f>SUMIFS(tabela_registros[VALOR],tabela_registros[MÊS],$AE$1,tabela_registros[DIA],outtotal3059718395107119131143[[#Headers],[7]],tabela_registros[REGISTRO],DADOS!$N$4,tabela_registros[TIPO],DADOS!$P$3,tabela_registros[CATEGORIA],despesafixaconsolidadoout[[#This Row],[DESPESA FIXA]])</f>
        <v>0</v>
      </c>
      <c r="L42" s="91">
        <f>SUMIFS(tabela_registros[VALOR],tabela_registros[MÊS],$AE$1,tabela_registros[DIA],outtotal3059718395107119131143[[#Headers],[8]],tabela_registros[REGISTRO],DADOS!$N$4,tabela_registros[TIPO],DADOS!$P$3,tabela_registros[CATEGORIA],despesafixaconsolidadoout[[#This Row],[DESPESA FIXA]])</f>
        <v>0</v>
      </c>
      <c r="M42" s="91">
        <f>SUMIFS(tabela_registros[VALOR],tabela_registros[MÊS],$AE$1,tabela_registros[DIA],outtotal3059718395107119131143[[#Headers],[9]],tabela_registros[REGISTRO],DADOS!$N$4,tabela_registros[TIPO],DADOS!$P$3,tabela_registros[CATEGORIA],despesafixaconsolidadoout[[#This Row],[DESPESA FIXA]])</f>
        <v>0</v>
      </c>
      <c r="N42" s="91">
        <f>SUMIFS(tabela_registros[VALOR],tabela_registros[MÊS],$AE$1,tabela_registros[DIA],outtotal3059718395107119131143[[#Headers],[10]],tabela_registros[REGISTRO],DADOS!$N$4,tabela_registros[TIPO],DADOS!$P$3,tabela_registros[CATEGORIA],despesafixaconsolidadoout[[#This Row],[DESPESA FIXA]])</f>
        <v>0</v>
      </c>
      <c r="O42" s="91">
        <f>SUMIFS(tabela_registros[VALOR],tabela_registros[MÊS],$AE$1,tabela_registros[DIA],outtotal3059718395107119131143[[#Headers],[11]],tabela_registros[REGISTRO],DADOS!$N$4,tabela_registros[TIPO],DADOS!$P$3,tabela_registros[CATEGORIA],despesafixaconsolidadoout[[#This Row],[DESPESA FIXA]])</f>
        <v>0</v>
      </c>
      <c r="P42" s="91">
        <f>SUMIFS(tabela_registros[VALOR],tabela_registros[MÊS],$AE$1,tabela_registros[DIA],outtotal3059718395107119131143[[#Headers],[12]],tabela_registros[REGISTRO],DADOS!$N$4,tabela_registros[TIPO],DADOS!$P$3,tabela_registros[CATEGORIA],despesafixaconsolidadoout[[#This Row],[DESPESA FIXA]])</f>
        <v>0</v>
      </c>
      <c r="Q42" s="91">
        <f>SUMIFS(tabela_registros[VALOR],tabela_registros[MÊS],$AE$1,tabela_registros[DIA],outtotal3059718395107119131143[[#Headers],[13]],tabela_registros[REGISTRO],DADOS!$N$4,tabela_registros[TIPO],DADOS!$P$3,tabela_registros[CATEGORIA],despesafixaconsolidadoout[[#This Row],[DESPESA FIXA]])</f>
        <v>0</v>
      </c>
      <c r="R42" s="91">
        <f>SUMIFS(tabela_registros[VALOR],tabela_registros[MÊS],$AE$1,tabela_registros[DIA],outtotal3059718395107119131143[[#Headers],[14]],tabela_registros[REGISTRO],DADOS!$N$4,tabela_registros[TIPO],DADOS!$P$3,tabela_registros[CATEGORIA],despesafixaconsolidadoout[[#This Row],[DESPESA FIXA]])</f>
        <v>0</v>
      </c>
      <c r="S42" s="91">
        <f>SUMIFS(tabela_registros[VALOR],tabela_registros[MÊS],$AE$1,tabela_registros[DIA],outtotal3059718395107119131143[[#Headers],[15]],tabela_registros[REGISTRO],DADOS!$N$4,tabela_registros[TIPO],DADOS!$P$3,tabela_registros[CATEGORIA],despesafixaconsolidadoout[[#This Row],[DESPESA FIXA]])</f>
        <v>0</v>
      </c>
      <c r="T42" s="91">
        <f>SUMIFS(tabela_registros[VALOR],tabela_registros[MÊS],$AE$1,tabela_registros[DIA],outtotal3059718395107119131143[[#Headers],[16]],tabela_registros[REGISTRO],DADOS!$N$4,tabela_registros[TIPO],DADOS!$P$3,tabela_registros[CATEGORIA],despesafixaconsolidadoout[[#This Row],[DESPESA FIXA]])</f>
        <v>0</v>
      </c>
      <c r="U42" s="91">
        <f>SUMIFS(tabela_registros[VALOR],tabela_registros[MÊS],$AE$1,tabela_registros[DIA],outtotal3059718395107119131143[[#Headers],[17]],tabela_registros[REGISTRO],DADOS!$N$4,tabela_registros[TIPO],DADOS!$P$3,tabela_registros[CATEGORIA],despesafixaconsolidadoout[[#This Row],[DESPESA FIXA]])</f>
        <v>0</v>
      </c>
      <c r="V42" s="91">
        <f>SUMIFS(tabela_registros[VALOR],tabela_registros[MÊS],$AE$1,tabela_registros[DIA],outtotal3059718395107119131143[[#Headers],[18]],tabela_registros[REGISTRO],DADOS!$N$4,tabela_registros[TIPO],DADOS!$P$3,tabela_registros[CATEGORIA],despesafixaconsolidadoout[[#This Row],[DESPESA FIXA]])</f>
        <v>0</v>
      </c>
      <c r="W42" s="91">
        <f>SUMIFS(tabela_registros[VALOR],tabela_registros[MÊS],$AE$1,tabela_registros[DIA],outtotal3059718395107119131143[[#Headers],[19]],tabela_registros[REGISTRO],DADOS!$N$4,tabela_registros[TIPO],DADOS!$P$3,tabela_registros[CATEGORIA],despesafixaconsolidadoout[[#This Row],[DESPESA FIXA]])</f>
        <v>0</v>
      </c>
      <c r="X42" s="91">
        <f>SUMIFS(tabela_registros[VALOR],tabela_registros[MÊS],$AE$1,tabela_registros[DIA],outtotal3059718395107119131143[[#Headers],[20]],tabela_registros[REGISTRO],DADOS!$N$4,tabela_registros[TIPO],DADOS!$P$3,tabela_registros[CATEGORIA],despesafixaconsolidadoout[[#This Row],[DESPESA FIXA]])</f>
        <v>0</v>
      </c>
      <c r="Y42" s="91">
        <f>SUMIFS(tabela_registros[VALOR],tabela_registros[MÊS],$AE$1,tabela_registros[DIA],outtotal3059718395107119131143[[#Headers],[21]],tabela_registros[REGISTRO],DADOS!$N$4,tabela_registros[TIPO],DADOS!$P$3,tabela_registros[CATEGORIA],despesafixaconsolidadoout[[#This Row],[DESPESA FIXA]])</f>
        <v>0</v>
      </c>
      <c r="Z42" s="91">
        <f>SUMIFS(tabela_registros[VALOR],tabela_registros[MÊS],$AE$1,tabela_registros[DIA],outtotal3059718395107119131143[[#Headers],[22]],tabela_registros[REGISTRO],DADOS!$N$4,tabela_registros[TIPO],DADOS!$P$3,tabela_registros[CATEGORIA],despesafixaconsolidadoout[[#This Row],[DESPESA FIXA]])</f>
        <v>0</v>
      </c>
      <c r="AA42" s="91">
        <f>SUMIFS(tabela_registros[VALOR],tabela_registros[MÊS],$AE$1,tabela_registros[DIA],outtotal3059718395107119131143[[#Headers],[23]],tabela_registros[REGISTRO],DADOS!$N$4,tabela_registros[TIPO],DADOS!$P$3,tabela_registros[CATEGORIA],despesafixaconsolidadoout[[#This Row],[DESPESA FIXA]])</f>
        <v>0</v>
      </c>
      <c r="AB42" s="91">
        <f>SUMIFS(tabela_registros[VALOR],tabela_registros[MÊS],$AE$1,tabela_registros[DIA],outtotal3059718395107119131143[[#Headers],[24]],tabela_registros[REGISTRO],DADOS!$N$4,tabela_registros[TIPO],DADOS!$P$3,tabela_registros[CATEGORIA],despesafixaconsolidadoout[[#This Row],[DESPESA FIXA]])</f>
        <v>0</v>
      </c>
      <c r="AC42" s="91">
        <f>SUMIFS(tabela_registros[VALOR],tabela_registros[MÊS],$AE$1,tabela_registros[DIA],outtotal3059718395107119131143[[#Headers],[25]],tabela_registros[REGISTRO],DADOS!$N$4,tabela_registros[TIPO],DADOS!$P$3,tabela_registros[CATEGORIA],despesafixaconsolidadoout[[#This Row],[DESPESA FIXA]])</f>
        <v>0</v>
      </c>
      <c r="AD42" s="91">
        <f>SUMIFS(tabela_registros[VALOR],tabela_registros[MÊS],$AE$1,tabela_registros[DIA],outtotal3059718395107119131143[[#Headers],[26]],tabela_registros[REGISTRO],DADOS!$N$4,tabela_registros[TIPO],DADOS!$P$3,tabela_registros[CATEGORIA],despesafixaconsolidadoout[[#This Row],[DESPESA FIXA]])</f>
        <v>0</v>
      </c>
      <c r="AE42" s="91">
        <f>SUMIFS(tabela_registros[VALOR],tabela_registros[MÊS],$AE$1,tabela_registros[DIA],outtotal3059718395107119131143[[#Headers],[27]],tabela_registros[REGISTRO],DADOS!$N$4,tabela_registros[TIPO],DADOS!$P$3,tabela_registros[CATEGORIA],despesafixaconsolidadoout[[#This Row],[DESPESA FIXA]])</f>
        <v>0</v>
      </c>
      <c r="AF42" s="91">
        <f>SUMIFS(tabela_registros[VALOR],tabela_registros[MÊS],$AE$1,tabela_registros[DIA],outtotal3059718395107119131143[[#Headers],[28]],tabela_registros[REGISTRO],DADOS!$N$4,tabela_registros[TIPO],DADOS!$P$3,tabela_registros[CATEGORIA],despesafixaconsolidadoout[[#This Row],[DESPESA FIXA]])</f>
        <v>0</v>
      </c>
      <c r="AG42" s="91">
        <f>SUMIFS(tabela_registros[VALOR],tabela_registros[MÊS],$AE$1,tabela_registros[DIA],outtotal3059718395107119131143[[#Headers],[29]],tabela_registros[REGISTRO],DADOS!$N$4,tabela_registros[TIPO],DADOS!$P$3,tabela_registros[CATEGORIA],despesafixaconsolidadoout[[#This Row],[DESPESA FIXA]])</f>
        <v>0</v>
      </c>
      <c r="AH42" s="91">
        <f>SUMIFS(tabela_registros[VALOR],tabela_registros[MÊS],$AE$1,tabela_registros[DIA],outtotal3059718395107119131143[[#Headers],[30]],tabela_registros[REGISTRO],DADOS!$N$4,tabela_registros[TIPO],DADOS!$P$3,tabela_registros[CATEGORIA],despesafixaconsolidadoout[[#This Row],[DESPESA FIXA]])</f>
        <v>0</v>
      </c>
      <c r="AI42" s="101">
        <f>SUMIFS(tabela_registros[VALOR],tabela_registros[MÊS],$AE$1,tabela_registros[DIA],outtotal3059718395107119131143[[#Headers],[31]],tabela_registros[REGISTRO],DADOS!$N$4,tabela_registros[TIPO],DADOS!$P$3,tabela_registros[CATEGORIA],despesafixaconsolidadoout[[#This Row],[DESPESA FIXA]])</f>
        <v>0</v>
      </c>
      <c r="AJ42" s="97">
        <f>SUM(despesafixaconsolidadoout[[#This Row],[1]:[31]])</f>
        <v>0</v>
      </c>
      <c r="AK42" s="28"/>
    </row>
    <row r="43" spans="2:37" ht="18" customHeight="1" thickTop="1" thickBot="1" x14ac:dyDescent="0.3">
      <c r="B43" s="28"/>
      <c r="C43" s="27" t="str">
        <f>DADOS!$R$9</f>
        <v>💡 ENERGIA</v>
      </c>
      <c r="D43" s="26" t="str">
        <f>IF(despesafixaconsolidadoout[[#This Row],[TOTAL]]=0,"",IF(OR(despesafixaconsolidadoout[[#This Row],[TOTAL]]=LARGE($AJ$37:$AJ$50,1),despesafixaconsolidadoout[[#This Row],[TOTAL]]=LARGE($AJ$37:$AJ$50,2),despesafixaconsolidadoout[[#This Row],[TOTAL]]=LARGE($AJ$37:$AJ$50,3),despesafixaconsolidadoout[[#This Row],[TOTAL]]=LARGE($AJ$37:$AJ$50,4),despesafixaconsolidadoout[[#This Row],[TOTAL]]=LARGE($AJ$37:$AJ$50,5)),DADOS!$I$8,""))</f>
        <v/>
      </c>
      <c r="E43" s="96">
        <f>SUMIFS(tabela_registros[VALOR],tabela_registros[MÊS],$AE$1,tabela_registros[DIA],outtotal3059718395107119131143[[#Headers],[1]],tabela_registros[REGISTRO],DADOS!$N$4,tabela_registros[TIPO],DADOS!$P$3,tabela_registros[CATEGORIA],despesafixaconsolidadoout[[#This Row],[DESPESA FIXA]])</f>
        <v>0</v>
      </c>
      <c r="F43" s="91">
        <f>SUMIFS(tabela_registros[VALOR],tabela_registros[MÊS],$AE$1,tabela_registros[DIA],outtotal3059718395107119131143[[#Headers],[2]],tabela_registros[REGISTRO],DADOS!$N$4,tabela_registros[TIPO],DADOS!$P$3,tabela_registros[CATEGORIA],despesafixaconsolidadoout[[#This Row],[DESPESA FIXA]])</f>
        <v>0</v>
      </c>
      <c r="G43" s="91">
        <f>SUMIFS(tabela_registros[VALOR],tabela_registros[MÊS],$AE$1,tabela_registros[DIA],outtotal3059718395107119131143[[#Headers],[3]],tabela_registros[REGISTRO],DADOS!$N$4,tabela_registros[TIPO],DADOS!$P$3,tabela_registros[CATEGORIA],despesafixaconsolidadoout[[#This Row],[DESPESA FIXA]])</f>
        <v>0</v>
      </c>
      <c r="H43" s="91">
        <f>SUMIFS(tabela_registros[VALOR],tabela_registros[MÊS],$AE$1,tabela_registros[DIA],outtotal3059718395107119131143[[#Headers],[4]],tabela_registros[REGISTRO],DADOS!$N$4,tabela_registros[TIPO],DADOS!$P$3,tabela_registros[CATEGORIA],despesafixaconsolidadoout[[#This Row],[DESPESA FIXA]])</f>
        <v>0</v>
      </c>
      <c r="I43" s="91">
        <f>SUMIFS(tabela_registros[VALOR],tabela_registros[MÊS],$AE$1,tabela_registros[DIA],outtotal3059718395107119131143[[#Headers],[5]],tabela_registros[REGISTRO],DADOS!$N$4,tabela_registros[TIPO],DADOS!$P$3,tabela_registros[CATEGORIA],despesafixaconsolidadoout[[#This Row],[DESPESA FIXA]])</f>
        <v>0</v>
      </c>
      <c r="J43" s="91">
        <f>SUMIFS(tabela_registros[VALOR],tabela_registros[MÊS],$AE$1,tabela_registros[DIA],outtotal3059718395107119131143[[#Headers],[6]],tabela_registros[REGISTRO],DADOS!$N$4,tabela_registros[TIPO],DADOS!$P$3,tabela_registros[CATEGORIA],despesafixaconsolidadoout[[#This Row],[DESPESA FIXA]])</f>
        <v>0</v>
      </c>
      <c r="K43" s="91">
        <f>SUMIFS(tabela_registros[VALOR],tabela_registros[MÊS],$AE$1,tabela_registros[DIA],outtotal3059718395107119131143[[#Headers],[7]],tabela_registros[REGISTRO],DADOS!$N$4,tabela_registros[TIPO],DADOS!$P$3,tabela_registros[CATEGORIA],despesafixaconsolidadoout[[#This Row],[DESPESA FIXA]])</f>
        <v>0</v>
      </c>
      <c r="L43" s="91">
        <f>SUMIFS(tabela_registros[VALOR],tabela_registros[MÊS],$AE$1,tabela_registros[DIA],outtotal3059718395107119131143[[#Headers],[8]],tabela_registros[REGISTRO],DADOS!$N$4,tabela_registros[TIPO],DADOS!$P$3,tabela_registros[CATEGORIA],despesafixaconsolidadoout[[#This Row],[DESPESA FIXA]])</f>
        <v>0</v>
      </c>
      <c r="M43" s="91">
        <f>SUMIFS(tabela_registros[VALOR],tabela_registros[MÊS],$AE$1,tabela_registros[DIA],outtotal3059718395107119131143[[#Headers],[9]],tabela_registros[REGISTRO],DADOS!$N$4,tabela_registros[TIPO],DADOS!$P$3,tabela_registros[CATEGORIA],despesafixaconsolidadoout[[#This Row],[DESPESA FIXA]])</f>
        <v>0</v>
      </c>
      <c r="N43" s="91">
        <f>SUMIFS(tabela_registros[VALOR],tabela_registros[MÊS],$AE$1,tabela_registros[DIA],outtotal3059718395107119131143[[#Headers],[10]],tabela_registros[REGISTRO],DADOS!$N$4,tabela_registros[TIPO],DADOS!$P$3,tabela_registros[CATEGORIA],despesafixaconsolidadoout[[#This Row],[DESPESA FIXA]])</f>
        <v>0</v>
      </c>
      <c r="O43" s="91">
        <f>SUMIFS(tabela_registros[VALOR],tabela_registros[MÊS],$AE$1,tabela_registros[DIA],outtotal3059718395107119131143[[#Headers],[11]],tabela_registros[REGISTRO],DADOS!$N$4,tabela_registros[TIPO],DADOS!$P$3,tabela_registros[CATEGORIA],despesafixaconsolidadoout[[#This Row],[DESPESA FIXA]])</f>
        <v>0</v>
      </c>
      <c r="P43" s="91">
        <f>SUMIFS(tabela_registros[VALOR],tabela_registros[MÊS],$AE$1,tabela_registros[DIA],outtotal3059718395107119131143[[#Headers],[12]],tabela_registros[REGISTRO],DADOS!$N$4,tabela_registros[TIPO],DADOS!$P$3,tabela_registros[CATEGORIA],despesafixaconsolidadoout[[#This Row],[DESPESA FIXA]])</f>
        <v>0</v>
      </c>
      <c r="Q43" s="91">
        <f>SUMIFS(tabela_registros[VALOR],tabela_registros[MÊS],$AE$1,tabela_registros[DIA],outtotal3059718395107119131143[[#Headers],[13]],tabela_registros[REGISTRO],DADOS!$N$4,tabela_registros[TIPO],DADOS!$P$3,tabela_registros[CATEGORIA],despesafixaconsolidadoout[[#This Row],[DESPESA FIXA]])</f>
        <v>0</v>
      </c>
      <c r="R43" s="91">
        <f>SUMIFS(tabela_registros[VALOR],tabela_registros[MÊS],$AE$1,tabela_registros[DIA],outtotal3059718395107119131143[[#Headers],[14]],tabela_registros[REGISTRO],DADOS!$N$4,tabela_registros[TIPO],DADOS!$P$3,tabela_registros[CATEGORIA],despesafixaconsolidadoout[[#This Row],[DESPESA FIXA]])</f>
        <v>0</v>
      </c>
      <c r="S43" s="91">
        <f>SUMIFS(tabela_registros[VALOR],tabela_registros[MÊS],$AE$1,tabela_registros[DIA],outtotal3059718395107119131143[[#Headers],[15]],tabela_registros[REGISTRO],DADOS!$N$4,tabela_registros[TIPO],DADOS!$P$3,tabela_registros[CATEGORIA],despesafixaconsolidadoout[[#This Row],[DESPESA FIXA]])</f>
        <v>0</v>
      </c>
      <c r="T43" s="91">
        <f>SUMIFS(tabela_registros[VALOR],tabela_registros[MÊS],$AE$1,tabela_registros[DIA],outtotal3059718395107119131143[[#Headers],[16]],tabela_registros[REGISTRO],DADOS!$N$4,tabela_registros[TIPO],DADOS!$P$3,tabela_registros[CATEGORIA],despesafixaconsolidadoout[[#This Row],[DESPESA FIXA]])</f>
        <v>0</v>
      </c>
      <c r="U43" s="91">
        <f>SUMIFS(tabela_registros[VALOR],tabela_registros[MÊS],$AE$1,tabela_registros[DIA],outtotal3059718395107119131143[[#Headers],[17]],tabela_registros[REGISTRO],DADOS!$N$4,tabela_registros[TIPO],DADOS!$P$3,tabela_registros[CATEGORIA],despesafixaconsolidadoout[[#This Row],[DESPESA FIXA]])</f>
        <v>0</v>
      </c>
      <c r="V43" s="91">
        <f>SUMIFS(tabela_registros[VALOR],tabela_registros[MÊS],$AE$1,tabela_registros[DIA],outtotal3059718395107119131143[[#Headers],[18]],tabela_registros[REGISTRO],DADOS!$N$4,tabela_registros[TIPO],DADOS!$P$3,tabela_registros[CATEGORIA],despesafixaconsolidadoout[[#This Row],[DESPESA FIXA]])</f>
        <v>0</v>
      </c>
      <c r="W43" s="91">
        <f>SUMIFS(tabela_registros[VALOR],tabela_registros[MÊS],$AE$1,tabela_registros[DIA],outtotal3059718395107119131143[[#Headers],[19]],tabela_registros[REGISTRO],DADOS!$N$4,tabela_registros[TIPO],DADOS!$P$3,tabela_registros[CATEGORIA],despesafixaconsolidadoout[[#This Row],[DESPESA FIXA]])</f>
        <v>0</v>
      </c>
      <c r="X43" s="91">
        <f>SUMIFS(tabela_registros[VALOR],tabela_registros[MÊS],$AE$1,tabela_registros[DIA],outtotal3059718395107119131143[[#Headers],[20]],tabela_registros[REGISTRO],DADOS!$N$4,tabela_registros[TIPO],DADOS!$P$3,tabela_registros[CATEGORIA],despesafixaconsolidadoout[[#This Row],[DESPESA FIXA]])</f>
        <v>0</v>
      </c>
      <c r="Y43" s="91">
        <f>SUMIFS(tabela_registros[VALOR],tabela_registros[MÊS],$AE$1,tabela_registros[DIA],outtotal3059718395107119131143[[#Headers],[21]],tabela_registros[REGISTRO],DADOS!$N$4,tabela_registros[TIPO],DADOS!$P$3,tabela_registros[CATEGORIA],despesafixaconsolidadoout[[#This Row],[DESPESA FIXA]])</f>
        <v>0</v>
      </c>
      <c r="Z43" s="91">
        <f>SUMIFS(tabela_registros[VALOR],tabela_registros[MÊS],$AE$1,tabela_registros[DIA],outtotal3059718395107119131143[[#Headers],[22]],tabela_registros[REGISTRO],DADOS!$N$4,tabela_registros[TIPO],DADOS!$P$3,tabela_registros[CATEGORIA],despesafixaconsolidadoout[[#This Row],[DESPESA FIXA]])</f>
        <v>0</v>
      </c>
      <c r="AA43" s="91">
        <f>SUMIFS(tabela_registros[VALOR],tabela_registros[MÊS],$AE$1,tabela_registros[DIA],outtotal3059718395107119131143[[#Headers],[23]],tabela_registros[REGISTRO],DADOS!$N$4,tabela_registros[TIPO],DADOS!$P$3,tabela_registros[CATEGORIA],despesafixaconsolidadoout[[#This Row],[DESPESA FIXA]])</f>
        <v>0</v>
      </c>
      <c r="AB43" s="91">
        <f>SUMIFS(tabela_registros[VALOR],tabela_registros[MÊS],$AE$1,tabela_registros[DIA],outtotal3059718395107119131143[[#Headers],[24]],tabela_registros[REGISTRO],DADOS!$N$4,tabela_registros[TIPO],DADOS!$P$3,tabela_registros[CATEGORIA],despesafixaconsolidadoout[[#This Row],[DESPESA FIXA]])</f>
        <v>0</v>
      </c>
      <c r="AC43" s="91">
        <f>SUMIFS(tabela_registros[VALOR],tabela_registros[MÊS],$AE$1,tabela_registros[DIA],outtotal3059718395107119131143[[#Headers],[25]],tabela_registros[REGISTRO],DADOS!$N$4,tabela_registros[TIPO],DADOS!$P$3,tabela_registros[CATEGORIA],despesafixaconsolidadoout[[#This Row],[DESPESA FIXA]])</f>
        <v>0</v>
      </c>
      <c r="AD43" s="91">
        <f>SUMIFS(tabela_registros[VALOR],tabela_registros[MÊS],$AE$1,tabela_registros[DIA],outtotal3059718395107119131143[[#Headers],[26]],tabela_registros[REGISTRO],DADOS!$N$4,tabela_registros[TIPO],DADOS!$P$3,tabela_registros[CATEGORIA],despesafixaconsolidadoout[[#This Row],[DESPESA FIXA]])</f>
        <v>0</v>
      </c>
      <c r="AE43" s="91">
        <f>SUMIFS(tabela_registros[VALOR],tabela_registros[MÊS],$AE$1,tabela_registros[DIA],outtotal3059718395107119131143[[#Headers],[27]],tabela_registros[REGISTRO],DADOS!$N$4,tabela_registros[TIPO],DADOS!$P$3,tabela_registros[CATEGORIA],despesafixaconsolidadoout[[#This Row],[DESPESA FIXA]])</f>
        <v>0</v>
      </c>
      <c r="AF43" s="91">
        <f>SUMIFS(tabela_registros[VALOR],tabela_registros[MÊS],$AE$1,tabela_registros[DIA],outtotal3059718395107119131143[[#Headers],[28]],tabela_registros[REGISTRO],DADOS!$N$4,tabela_registros[TIPO],DADOS!$P$3,tabela_registros[CATEGORIA],despesafixaconsolidadoout[[#This Row],[DESPESA FIXA]])</f>
        <v>0</v>
      </c>
      <c r="AG43" s="91">
        <f>SUMIFS(tabela_registros[VALOR],tabela_registros[MÊS],$AE$1,tabela_registros[DIA],outtotal3059718395107119131143[[#Headers],[29]],tabela_registros[REGISTRO],DADOS!$N$4,tabela_registros[TIPO],DADOS!$P$3,tabela_registros[CATEGORIA],despesafixaconsolidadoout[[#This Row],[DESPESA FIXA]])</f>
        <v>0</v>
      </c>
      <c r="AH43" s="91">
        <f>SUMIFS(tabela_registros[VALOR],tabela_registros[MÊS],$AE$1,tabela_registros[DIA],outtotal3059718395107119131143[[#Headers],[30]],tabela_registros[REGISTRO],DADOS!$N$4,tabela_registros[TIPO],DADOS!$P$3,tabela_registros[CATEGORIA],despesafixaconsolidadoout[[#This Row],[DESPESA FIXA]])</f>
        <v>0</v>
      </c>
      <c r="AI43" s="101">
        <f>SUMIFS(tabela_registros[VALOR],tabela_registros[MÊS],$AE$1,tabela_registros[DIA],outtotal3059718395107119131143[[#Headers],[31]],tabela_registros[REGISTRO],DADOS!$N$4,tabela_registros[TIPO],DADOS!$P$3,tabela_registros[CATEGORIA],despesafixaconsolidadoout[[#This Row],[DESPESA FIXA]])</f>
        <v>0</v>
      </c>
      <c r="AJ43" s="97">
        <f>SUM(despesafixaconsolidadoout[[#This Row],[1]:[31]])</f>
        <v>0</v>
      </c>
      <c r="AK43" s="28"/>
    </row>
    <row r="44" spans="2:37" ht="18" customHeight="1" thickTop="1" thickBot="1" x14ac:dyDescent="0.3">
      <c r="B44" s="28"/>
      <c r="C44" s="27" t="str">
        <f>DADOS!$R$10</f>
        <v>👨‍👩‍👧 FAMÍLIA</v>
      </c>
      <c r="D44" s="26" t="str">
        <f>IF(despesafixaconsolidadoout[[#This Row],[TOTAL]]=0,"",IF(OR(despesafixaconsolidadoout[[#This Row],[TOTAL]]=LARGE($AJ$37:$AJ$50,1),despesafixaconsolidadoout[[#This Row],[TOTAL]]=LARGE($AJ$37:$AJ$50,2),despesafixaconsolidadoout[[#This Row],[TOTAL]]=LARGE($AJ$37:$AJ$50,3),despesafixaconsolidadoout[[#This Row],[TOTAL]]=LARGE($AJ$37:$AJ$50,4),despesafixaconsolidadoout[[#This Row],[TOTAL]]=LARGE($AJ$37:$AJ$50,5)),DADOS!$I$8,""))</f>
        <v/>
      </c>
      <c r="E44" s="96">
        <f>SUMIFS(tabela_registros[VALOR],tabela_registros[MÊS],$AE$1,tabela_registros[DIA],outtotal3059718395107119131143[[#Headers],[1]],tabela_registros[REGISTRO],DADOS!$N$4,tabela_registros[TIPO],DADOS!$P$3,tabela_registros[CATEGORIA],despesafixaconsolidadoout[[#This Row],[DESPESA FIXA]])</f>
        <v>0</v>
      </c>
      <c r="F44" s="91">
        <f>SUMIFS(tabela_registros[VALOR],tabela_registros[MÊS],$AE$1,tabela_registros[DIA],outtotal3059718395107119131143[[#Headers],[2]],tabela_registros[REGISTRO],DADOS!$N$4,tabela_registros[TIPO],DADOS!$P$3,tabela_registros[CATEGORIA],despesafixaconsolidadoout[[#This Row],[DESPESA FIXA]])</f>
        <v>0</v>
      </c>
      <c r="G44" s="91">
        <f>SUMIFS(tabela_registros[VALOR],tabela_registros[MÊS],$AE$1,tabela_registros[DIA],outtotal3059718395107119131143[[#Headers],[3]],tabela_registros[REGISTRO],DADOS!$N$4,tabela_registros[TIPO],DADOS!$P$3,tabela_registros[CATEGORIA],despesafixaconsolidadoout[[#This Row],[DESPESA FIXA]])</f>
        <v>0</v>
      </c>
      <c r="H44" s="91">
        <f>SUMIFS(tabela_registros[VALOR],tabela_registros[MÊS],$AE$1,tabela_registros[DIA],outtotal3059718395107119131143[[#Headers],[4]],tabela_registros[REGISTRO],DADOS!$N$4,tabela_registros[TIPO],DADOS!$P$3,tabela_registros[CATEGORIA],despesafixaconsolidadoout[[#This Row],[DESPESA FIXA]])</f>
        <v>0</v>
      </c>
      <c r="I44" s="91">
        <f>SUMIFS(tabela_registros[VALOR],tabela_registros[MÊS],$AE$1,tabela_registros[DIA],outtotal3059718395107119131143[[#Headers],[5]],tabela_registros[REGISTRO],DADOS!$N$4,tabela_registros[TIPO],DADOS!$P$3,tabela_registros[CATEGORIA],despesafixaconsolidadoout[[#This Row],[DESPESA FIXA]])</f>
        <v>0</v>
      </c>
      <c r="J44" s="91">
        <f>SUMIFS(tabela_registros[VALOR],tabela_registros[MÊS],$AE$1,tabela_registros[DIA],outtotal3059718395107119131143[[#Headers],[6]],tabela_registros[REGISTRO],DADOS!$N$4,tabela_registros[TIPO],DADOS!$P$3,tabela_registros[CATEGORIA],despesafixaconsolidadoout[[#This Row],[DESPESA FIXA]])</f>
        <v>0</v>
      </c>
      <c r="K44" s="91">
        <f>SUMIFS(tabela_registros[VALOR],tabela_registros[MÊS],$AE$1,tabela_registros[DIA],outtotal3059718395107119131143[[#Headers],[7]],tabela_registros[REGISTRO],DADOS!$N$4,tabela_registros[TIPO],DADOS!$P$3,tabela_registros[CATEGORIA],despesafixaconsolidadoout[[#This Row],[DESPESA FIXA]])</f>
        <v>0</v>
      </c>
      <c r="L44" s="91">
        <f>SUMIFS(tabela_registros[VALOR],tabela_registros[MÊS],$AE$1,tabela_registros[DIA],outtotal3059718395107119131143[[#Headers],[8]],tabela_registros[REGISTRO],DADOS!$N$4,tabela_registros[TIPO],DADOS!$P$3,tabela_registros[CATEGORIA],despesafixaconsolidadoout[[#This Row],[DESPESA FIXA]])</f>
        <v>0</v>
      </c>
      <c r="M44" s="91">
        <f>SUMIFS(tabela_registros[VALOR],tabela_registros[MÊS],$AE$1,tabela_registros[DIA],outtotal3059718395107119131143[[#Headers],[9]],tabela_registros[REGISTRO],DADOS!$N$4,tabela_registros[TIPO],DADOS!$P$3,tabela_registros[CATEGORIA],despesafixaconsolidadoout[[#This Row],[DESPESA FIXA]])</f>
        <v>0</v>
      </c>
      <c r="N44" s="91">
        <f>SUMIFS(tabela_registros[VALOR],tabela_registros[MÊS],$AE$1,tabela_registros[DIA],outtotal3059718395107119131143[[#Headers],[10]],tabela_registros[REGISTRO],DADOS!$N$4,tabela_registros[TIPO],DADOS!$P$3,tabela_registros[CATEGORIA],despesafixaconsolidadoout[[#This Row],[DESPESA FIXA]])</f>
        <v>0</v>
      </c>
      <c r="O44" s="91">
        <f>SUMIFS(tabela_registros[VALOR],tabela_registros[MÊS],$AE$1,tabela_registros[DIA],outtotal3059718395107119131143[[#Headers],[11]],tabela_registros[REGISTRO],DADOS!$N$4,tabela_registros[TIPO],DADOS!$P$3,tabela_registros[CATEGORIA],despesafixaconsolidadoout[[#This Row],[DESPESA FIXA]])</f>
        <v>0</v>
      </c>
      <c r="P44" s="91">
        <f>SUMIFS(tabela_registros[VALOR],tabela_registros[MÊS],$AE$1,tabela_registros[DIA],outtotal3059718395107119131143[[#Headers],[12]],tabela_registros[REGISTRO],DADOS!$N$4,tabela_registros[TIPO],DADOS!$P$3,tabela_registros[CATEGORIA],despesafixaconsolidadoout[[#This Row],[DESPESA FIXA]])</f>
        <v>0</v>
      </c>
      <c r="Q44" s="91">
        <f>SUMIFS(tabela_registros[VALOR],tabela_registros[MÊS],$AE$1,tabela_registros[DIA],outtotal3059718395107119131143[[#Headers],[13]],tabela_registros[REGISTRO],DADOS!$N$4,tabela_registros[TIPO],DADOS!$P$3,tabela_registros[CATEGORIA],despesafixaconsolidadoout[[#This Row],[DESPESA FIXA]])</f>
        <v>0</v>
      </c>
      <c r="R44" s="91">
        <f>SUMIFS(tabela_registros[VALOR],tabela_registros[MÊS],$AE$1,tabela_registros[DIA],outtotal3059718395107119131143[[#Headers],[14]],tabela_registros[REGISTRO],DADOS!$N$4,tabela_registros[TIPO],DADOS!$P$3,tabela_registros[CATEGORIA],despesafixaconsolidadoout[[#This Row],[DESPESA FIXA]])</f>
        <v>0</v>
      </c>
      <c r="S44" s="91">
        <f>SUMIFS(tabela_registros[VALOR],tabela_registros[MÊS],$AE$1,tabela_registros[DIA],outtotal3059718395107119131143[[#Headers],[15]],tabela_registros[REGISTRO],DADOS!$N$4,tabela_registros[TIPO],DADOS!$P$3,tabela_registros[CATEGORIA],despesafixaconsolidadoout[[#This Row],[DESPESA FIXA]])</f>
        <v>0</v>
      </c>
      <c r="T44" s="91">
        <f>SUMIFS(tabela_registros[VALOR],tabela_registros[MÊS],$AE$1,tabela_registros[DIA],outtotal3059718395107119131143[[#Headers],[16]],tabela_registros[REGISTRO],DADOS!$N$4,tabela_registros[TIPO],DADOS!$P$3,tabela_registros[CATEGORIA],despesafixaconsolidadoout[[#This Row],[DESPESA FIXA]])</f>
        <v>0</v>
      </c>
      <c r="U44" s="91">
        <f>SUMIFS(tabela_registros[VALOR],tabela_registros[MÊS],$AE$1,tabela_registros[DIA],outtotal3059718395107119131143[[#Headers],[17]],tabela_registros[REGISTRO],DADOS!$N$4,tabela_registros[TIPO],DADOS!$P$3,tabela_registros[CATEGORIA],despesafixaconsolidadoout[[#This Row],[DESPESA FIXA]])</f>
        <v>0</v>
      </c>
      <c r="V44" s="91">
        <f>SUMIFS(tabela_registros[VALOR],tabela_registros[MÊS],$AE$1,tabela_registros[DIA],outtotal3059718395107119131143[[#Headers],[18]],tabela_registros[REGISTRO],DADOS!$N$4,tabela_registros[TIPO],DADOS!$P$3,tabela_registros[CATEGORIA],despesafixaconsolidadoout[[#This Row],[DESPESA FIXA]])</f>
        <v>0</v>
      </c>
      <c r="W44" s="91">
        <f>SUMIFS(tabela_registros[VALOR],tabela_registros[MÊS],$AE$1,tabela_registros[DIA],outtotal3059718395107119131143[[#Headers],[19]],tabela_registros[REGISTRO],DADOS!$N$4,tabela_registros[TIPO],DADOS!$P$3,tabela_registros[CATEGORIA],despesafixaconsolidadoout[[#This Row],[DESPESA FIXA]])</f>
        <v>0</v>
      </c>
      <c r="X44" s="91">
        <f>SUMIFS(tabela_registros[VALOR],tabela_registros[MÊS],$AE$1,tabela_registros[DIA],outtotal3059718395107119131143[[#Headers],[20]],tabela_registros[REGISTRO],DADOS!$N$4,tabela_registros[TIPO],DADOS!$P$3,tabela_registros[CATEGORIA],despesafixaconsolidadoout[[#This Row],[DESPESA FIXA]])</f>
        <v>0</v>
      </c>
      <c r="Y44" s="91">
        <f>SUMIFS(tabela_registros[VALOR],tabela_registros[MÊS],$AE$1,tabela_registros[DIA],outtotal3059718395107119131143[[#Headers],[21]],tabela_registros[REGISTRO],DADOS!$N$4,tabela_registros[TIPO],DADOS!$P$3,tabela_registros[CATEGORIA],despesafixaconsolidadoout[[#This Row],[DESPESA FIXA]])</f>
        <v>0</v>
      </c>
      <c r="Z44" s="91">
        <f>SUMIFS(tabela_registros[VALOR],tabela_registros[MÊS],$AE$1,tabela_registros[DIA],outtotal3059718395107119131143[[#Headers],[22]],tabela_registros[REGISTRO],DADOS!$N$4,tabela_registros[TIPO],DADOS!$P$3,tabela_registros[CATEGORIA],despesafixaconsolidadoout[[#This Row],[DESPESA FIXA]])</f>
        <v>0</v>
      </c>
      <c r="AA44" s="91">
        <f>SUMIFS(tabela_registros[VALOR],tabela_registros[MÊS],$AE$1,tabela_registros[DIA],outtotal3059718395107119131143[[#Headers],[23]],tabela_registros[REGISTRO],DADOS!$N$4,tabela_registros[TIPO],DADOS!$P$3,tabela_registros[CATEGORIA],despesafixaconsolidadoout[[#This Row],[DESPESA FIXA]])</f>
        <v>0</v>
      </c>
      <c r="AB44" s="91">
        <f>SUMIFS(tabela_registros[VALOR],tabela_registros[MÊS],$AE$1,tabela_registros[DIA],outtotal3059718395107119131143[[#Headers],[24]],tabela_registros[REGISTRO],DADOS!$N$4,tabela_registros[TIPO],DADOS!$P$3,tabela_registros[CATEGORIA],despesafixaconsolidadoout[[#This Row],[DESPESA FIXA]])</f>
        <v>0</v>
      </c>
      <c r="AC44" s="91">
        <f>SUMIFS(tabela_registros[VALOR],tabela_registros[MÊS],$AE$1,tabela_registros[DIA],outtotal3059718395107119131143[[#Headers],[25]],tabela_registros[REGISTRO],DADOS!$N$4,tabela_registros[TIPO],DADOS!$P$3,tabela_registros[CATEGORIA],despesafixaconsolidadoout[[#This Row],[DESPESA FIXA]])</f>
        <v>0</v>
      </c>
      <c r="AD44" s="91">
        <f>SUMIFS(tabela_registros[VALOR],tabela_registros[MÊS],$AE$1,tabela_registros[DIA],outtotal3059718395107119131143[[#Headers],[26]],tabela_registros[REGISTRO],DADOS!$N$4,tabela_registros[TIPO],DADOS!$P$3,tabela_registros[CATEGORIA],despesafixaconsolidadoout[[#This Row],[DESPESA FIXA]])</f>
        <v>0</v>
      </c>
      <c r="AE44" s="91">
        <f>SUMIFS(tabela_registros[VALOR],tabela_registros[MÊS],$AE$1,tabela_registros[DIA],outtotal3059718395107119131143[[#Headers],[27]],tabela_registros[REGISTRO],DADOS!$N$4,tabela_registros[TIPO],DADOS!$P$3,tabela_registros[CATEGORIA],despesafixaconsolidadoout[[#This Row],[DESPESA FIXA]])</f>
        <v>0</v>
      </c>
      <c r="AF44" s="91">
        <f>SUMIFS(tabela_registros[VALOR],tabela_registros[MÊS],$AE$1,tabela_registros[DIA],outtotal3059718395107119131143[[#Headers],[28]],tabela_registros[REGISTRO],DADOS!$N$4,tabela_registros[TIPO],DADOS!$P$3,tabela_registros[CATEGORIA],despesafixaconsolidadoout[[#This Row],[DESPESA FIXA]])</f>
        <v>0</v>
      </c>
      <c r="AG44" s="91">
        <f>SUMIFS(tabela_registros[VALOR],tabela_registros[MÊS],$AE$1,tabela_registros[DIA],outtotal3059718395107119131143[[#Headers],[29]],tabela_registros[REGISTRO],DADOS!$N$4,tabela_registros[TIPO],DADOS!$P$3,tabela_registros[CATEGORIA],despesafixaconsolidadoout[[#This Row],[DESPESA FIXA]])</f>
        <v>0</v>
      </c>
      <c r="AH44" s="91">
        <f>SUMIFS(tabela_registros[VALOR],tabela_registros[MÊS],$AE$1,tabela_registros[DIA],outtotal3059718395107119131143[[#Headers],[30]],tabela_registros[REGISTRO],DADOS!$N$4,tabela_registros[TIPO],DADOS!$P$3,tabela_registros[CATEGORIA],despesafixaconsolidadoout[[#This Row],[DESPESA FIXA]])</f>
        <v>0</v>
      </c>
      <c r="AI44" s="101">
        <f>SUMIFS(tabela_registros[VALOR],tabela_registros[MÊS],$AE$1,tabela_registros[DIA],outtotal3059718395107119131143[[#Headers],[31]],tabela_registros[REGISTRO],DADOS!$N$4,tabela_registros[TIPO],DADOS!$P$3,tabela_registros[CATEGORIA],despesafixaconsolidadoout[[#This Row],[DESPESA FIXA]])</f>
        <v>0</v>
      </c>
      <c r="AJ44" s="97">
        <f>SUM(despesafixaconsolidadoout[[#This Row],[1]:[31]])</f>
        <v>0</v>
      </c>
      <c r="AK44" s="28"/>
    </row>
    <row r="45" spans="2:37" ht="18" customHeight="1" thickTop="1" thickBot="1" x14ac:dyDescent="0.3">
      <c r="B45" s="28"/>
      <c r="C45" s="27" t="str">
        <f>DADOS!$R$11</f>
        <v>🔢 IMPOSTOS</v>
      </c>
      <c r="D45" s="26" t="str">
        <f>IF(despesafixaconsolidadoout[[#This Row],[TOTAL]]=0,"",IF(OR(despesafixaconsolidadoout[[#This Row],[TOTAL]]=LARGE($AJ$37:$AJ$50,1),despesafixaconsolidadoout[[#This Row],[TOTAL]]=LARGE($AJ$37:$AJ$50,2),despesafixaconsolidadoout[[#This Row],[TOTAL]]=LARGE($AJ$37:$AJ$50,3),despesafixaconsolidadoout[[#This Row],[TOTAL]]=LARGE($AJ$37:$AJ$50,4),despesafixaconsolidadoout[[#This Row],[TOTAL]]=LARGE($AJ$37:$AJ$50,5)),DADOS!$I$8,""))</f>
        <v/>
      </c>
      <c r="E45" s="96">
        <f>SUMIFS(tabela_registros[VALOR],tabela_registros[MÊS],$AE$1,tabela_registros[DIA],outtotal3059718395107119131143[[#Headers],[1]],tabela_registros[REGISTRO],DADOS!$N$4,tabela_registros[TIPO],DADOS!$P$3,tabela_registros[CATEGORIA],despesafixaconsolidadoout[[#This Row],[DESPESA FIXA]])</f>
        <v>0</v>
      </c>
      <c r="F45" s="91">
        <f>SUMIFS(tabela_registros[VALOR],tabela_registros[MÊS],$AE$1,tabela_registros[DIA],outtotal3059718395107119131143[[#Headers],[2]],tabela_registros[REGISTRO],DADOS!$N$4,tabela_registros[TIPO],DADOS!$P$3,tabela_registros[CATEGORIA],despesafixaconsolidadoout[[#This Row],[DESPESA FIXA]])</f>
        <v>0</v>
      </c>
      <c r="G45" s="91">
        <f>SUMIFS(tabela_registros[VALOR],tabela_registros[MÊS],$AE$1,tabela_registros[DIA],outtotal3059718395107119131143[[#Headers],[3]],tabela_registros[REGISTRO],DADOS!$N$4,tabela_registros[TIPO],DADOS!$P$3,tabela_registros[CATEGORIA],despesafixaconsolidadoout[[#This Row],[DESPESA FIXA]])</f>
        <v>0</v>
      </c>
      <c r="H45" s="91">
        <f>SUMIFS(tabela_registros[VALOR],tabela_registros[MÊS],$AE$1,tabela_registros[DIA],outtotal3059718395107119131143[[#Headers],[4]],tabela_registros[REGISTRO],DADOS!$N$4,tabela_registros[TIPO],DADOS!$P$3,tabela_registros[CATEGORIA],despesafixaconsolidadoout[[#This Row],[DESPESA FIXA]])</f>
        <v>0</v>
      </c>
      <c r="I45" s="91">
        <f>SUMIFS(tabela_registros[VALOR],tabela_registros[MÊS],$AE$1,tabela_registros[DIA],outtotal3059718395107119131143[[#Headers],[5]],tabela_registros[REGISTRO],DADOS!$N$4,tabela_registros[TIPO],DADOS!$P$3,tabela_registros[CATEGORIA],despesafixaconsolidadoout[[#This Row],[DESPESA FIXA]])</f>
        <v>0</v>
      </c>
      <c r="J45" s="91">
        <f>SUMIFS(tabela_registros[VALOR],tabela_registros[MÊS],$AE$1,tabela_registros[DIA],outtotal3059718395107119131143[[#Headers],[6]],tabela_registros[REGISTRO],DADOS!$N$4,tabela_registros[TIPO],DADOS!$P$3,tabela_registros[CATEGORIA],despesafixaconsolidadoout[[#This Row],[DESPESA FIXA]])</f>
        <v>0</v>
      </c>
      <c r="K45" s="91">
        <f>SUMIFS(tabela_registros[VALOR],tabela_registros[MÊS],$AE$1,tabela_registros[DIA],outtotal3059718395107119131143[[#Headers],[7]],tabela_registros[REGISTRO],DADOS!$N$4,tabela_registros[TIPO],DADOS!$P$3,tabela_registros[CATEGORIA],despesafixaconsolidadoout[[#This Row],[DESPESA FIXA]])</f>
        <v>0</v>
      </c>
      <c r="L45" s="91">
        <f>SUMIFS(tabela_registros[VALOR],tabela_registros[MÊS],$AE$1,tabela_registros[DIA],outtotal3059718395107119131143[[#Headers],[8]],tabela_registros[REGISTRO],DADOS!$N$4,tabela_registros[TIPO],DADOS!$P$3,tabela_registros[CATEGORIA],despesafixaconsolidadoout[[#This Row],[DESPESA FIXA]])</f>
        <v>0</v>
      </c>
      <c r="M45" s="91">
        <f>SUMIFS(tabela_registros[VALOR],tabela_registros[MÊS],$AE$1,tabela_registros[DIA],outtotal3059718395107119131143[[#Headers],[9]],tabela_registros[REGISTRO],DADOS!$N$4,tabela_registros[TIPO],DADOS!$P$3,tabela_registros[CATEGORIA],despesafixaconsolidadoout[[#This Row],[DESPESA FIXA]])</f>
        <v>0</v>
      </c>
      <c r="N45" s="91">
        <f>SUMIFS(tabela_registros[VALOR],tabela_registros[MÊS],$AE$1,tabela_registros[DIA],outtotal3059718395107119131143[[#Headers],[10]],tabela_registros[REGISTRO],DADOS!$N$4,tabela_registros[TIPO],DADOS!$P$3,tabela_registros[CATEGORIA],despesafixaconsolidadoout[[#This Row],[DESPESA FIXA]])</f>
        <v>0</v>
      </c>
      <c r="O45" s="91">
        <f>SUMIFS(tabela_registros[VALOR],tabela_registros[MÊS],$AE$1,tabela_registros[DIA],outtotal3059718395107119131143[[#Headers],[11]],tabela_registros[REGISTRO],DADOS!$N$4,tabela_registros[TIPO],DADOS!$P$3,tabela_registros[CATEGORIA],despesafixaconsolidadoout[[#This Row],[DESPESA FIXA]])</f>
        <v>0</v>
      </c>
      <c r="P45" s="91">
        <f>SUMIFS(tabela_registros[VALOR],tabela_registros[MÊS],$AE$1,tabela_registros[DIA],outtotal3059718395107119131143[[#Headers],[12]],tabela_registros[REGISTRO],DADOS!$N$4,tabela_registros[TIPO],DADOS!$P$3,tabela_registros[CATEGORIA],despesafixaconsolidadoout[[#This Row],[DESPESA FIXA]])</f>
        <v>0</v>
      </c>
      <c r="Q45" s="91">
        <f>SUMIFS(tabela_registros[VALOR],tabela_registros[MÊS],$AE$1,tabela_registros[DIA],outtotal3059718395107119131143[[#Headers],[13]],tabela_registros[REGISTRO],DADOS!$N$4,tabela_registros[TIPO],DADOS!$P$3,tabela_registros[CATEGORIA],despesafixaconsolidadoout[[#This Row],[DESPESA FIXA]])</f>
        <v>0</v>
      </c>
      <c r="R45" s="91">
        <f>SUMIFS(tabela_registros[VALOR],tabela_registros[MÊS],$AE$1,tabela_registros[DIA],outtotal3059718395107119131143[[#Headers],[14]],tabela_registros[REGISTRO],DADOS!$N$4,tabela_registros[TIPO],DADOS!$P$3,tabela_registros[CATEGORIA],despesafixaconsolidadoout[[#This Row],[DESPESA FIXA]])</f>
        <v>0</v>
      </c>
      <c r="S45" s="91">
        <f>SUMIFS(tabela_registros[VALOR],tabela_registros[MÊS],$AE$1,tabela_registros[DIA],outtotal3059718395107119131143[[#Headers],[15]],tabela_registros[REGISTRO],DADOS!$N$4,tabela_registros[TIPO],DADOS!$P$3,tabela_registros[CATEGORIA],despesafixaconsolidadoout[[#This Row],[DESPESA FIXA]])</f>
        <v>0</v>
      </c>
      <c r="T45" s="91">
        <f>SUMIFS(tabela_registros[VALOR],tabela_registros[MÊS],$AE$1,tabela_registros[DIA],outtotal3059718395107119131143[[#Headers],[16]],tabela_registros[REGISTRO],DADOS!$N$4,tabela_registros[TIPO],DADOS!$P$3,tabela_registros[CATEGORIA],despesafixaconsolidadoout[[#This Row],[DESPESA FIXA]])</f>
        <v>0</v>
      </c>
      <c r="U45" s="91">
        <f>SUMIFS(tabela_registros[VALOR],tabela_registros[MÊS],$AE$1,tabela_registros[DIA],outtotal3059718395107119131143[[#Headers],[17]],tabela_registros[REGISTRO],DADOS!$N$4,tabela_registros[TIPO],DADOS!$P$3,tabela_registros[CATEGORIA],despesafixaconsolidadoout[[#This Row],[DESPESA FIXA]])</f>
        <v>0</v>
      </c>
      <c r="V45" s="91">
        <f>SUMIFS(tabela_registros[VALOR],tabela_registros[MÊS],$AE$1,tabela_registros[DIA],outtotal3059718395107119131143[[#Headers],[18]],tabela_registros[REGISTRO],DADOS!$N$4,tabela_registros[TIPO],DADOS!$P$3,tabela_registros[CATEGORIA],despesafixaconsolidadoout[[#This Row],[DESPESA FIXA]])</f>
        <v>0</v>
      </c>
      <c r="W45" s="91">
        <f>SUMIFS(tabela_registros[VALOR],tabela_registros[MÊS],$AE$1,tabela_registros[DIA],outtotal3059718395107119131143[[#Headers],[19]],tabela_registros[REGISTRO],DADOS!$N$4,tabela_registros[TIPO],DADOS!$P$3,tabela_registros[CATEGORIA],despesafixaconsolidadoout[[#This Row],[DESPESA FIXA]])</f>
        <v>0</v>
      </c>
      <c r="X45" s="91">
        <f>SUMIFS(tabela_registros[VALOR],tabela_registros[MÊS],$AE$1,tabela_registros[DIA],outtotal3059718395107119131143[[#Headers],[20]],tabela_registros[REGISTRO],DADOS!$N$4,tabela_registros[TIPO],DADOS!$P$3,tabela_registros[CATEGORIA],despesafixaconsolidadoout[[#This Row],[DESPESA FIXA]])</f>
        <v>0</v>
      </c>
      <c r="Y45" s="91">
        <f>SUMIFS(tabela_registros[VALOR],tabela_registros[MÊS],$AE$1,tabela_registros[DIA],outtotal3059718395107119131143[[#Headers],[21]],tabela_registros[REGISTRO],DADOS!$N$4,tabela_registros[TIPO],DADOS!$P$3,tabela_registros[CATEGORIA],despesafixaconsolidadoout[[#This Row],[DESPESA FIXA]])</f>
        <v>0</v>
      </c>
      <c r="Z45" s="91">
        <f>SUMIFS(tabela_registros[VALOR],tabela_registros[MÊS],$AE$1,tabela_registros[DIA],outtotal3059718395107119131143[[#Headers],[22]],tabela_registros[REGISTRO],DADOS!$N$4,tabela_registros[TIPO],DADOS!$P$3,tabela_registros[CATEGORIA],despesafixaconsolidadoout[[#This Row],[DESPESA FIXA]])</f>
        <v>0</v>
      </c>
      <c r="AA45" s="91">
        <f>SUMIFS(tabela_registros[VALOR],tabela_registros[MÊS],$AE$1,tabela_registros[DIA],outtotal3059718395107119131143[[#Headers],[23]],tabela_registros[REGISTRO],DADOS!$N$4,tabela_registros[TIPO],DADOS!$P$3,tabela_registros[CATEGORIA],despesafixaconsolidadoout[[#This Row],[DESPESA FIXA]])</f>
        <v>0</v>
      </c>
      <c r="AB45" s="91">
        <f>SUMIFS(tabela_registros[VALOR],tabela_registros[MÊS],$AE$1,tabela_registros[DIA],outtotal3059718395107119131143[[#Headers],[24]],tabela_registros[REGISTRO],DADOS!$N$4,tabela_registros[TIPO],DADOS!$P$3,tabela_registros[CATEGORIA],despesafixaconsolidadoout[[#This Row],[DESPESA FIXA]])</f>
        <v>0</v>
      </c>
      <c r="AC45" s="91">
        <f>SUMIFS(tabela_registros[VALOR],tabela_registros[MÊS],$AE$1,tabela_registros[DIA],outtotal3059718395107119131143[[#Headers],[25]],tabela_registros[REGISTRO],DADOS!$N$4,tabela_registros[TIPO],DADOS!$P$3,tabela_registros[CATEGORIA],despesafixaconsolidadoout[[#This Row],[DESPESA FIXA]])</f>
        <v>0</v>
      </c>
      <c r="AD45" s="91">
        <f>SUMIFS(tabela_registros[VALOR],tabela_registros[MÊS],$AE$1,tabela_registros[DIA],outtotal3059718395107119131143[[#Headers],[26]],tabela_registros[REGISTRO],DADOS!$N$4,tabela_registros[TIPO],DADOS!$P$3,tabela_registros[CATEGORIA],despesafixaconsolidadoout[[#This Row],[DESPESA FIXA]])</f>
        <v>0</v>
      </c>
      <c r="AE45" s="91">
        <f>SUMIFS(tabela_registros[VALOR],tabela_registros[MÊS],$AE$1,tabela_registros[DIA],outtotal3059718395107119131143[[#Headers],[27]],tabela_registros[REGISTRO],DADOS!$N$4,tabela_registros[TIPO],DADOS!$P$3,tabela_registros[CATEGORIA],despesafixaconsolidadoout[[#This Row],[DESPESA FIXA]])</f>
        <v>0</v>
      </c>
      <c r="AF45" s="91">
        <f>SUMIFS(tabela_registros[VALOR],tabela_registros[MÊS],$AE$1,tabela_registros[DIA],outtotal3059718395107119131143[[#Headers],[28]],tabela_registros[REGISTRO],DADOS!$N$4,tabela_registros[TIPO],DADOS!$P$3,tabela_registros[CATEGORIA],despesafixaconsolidadoout[[#This Row],[DESPESA FIXA]])</f>
        <v>0</v>
      </c>
      <c r="AG45" s="91">
        <f>SUMIFS(tabela_registros[VALOR],tabela_registros[MÊS],$AE$1,tabela_registros[DIA],outtotal3059718395107119131143[[#Headers],[29]],tabela_registros[REGISTRO],DADOS!$N$4,tabela_registros[TIPO],DADOS!$P$3,tabela_registros[CATEGORIA],despesafixaconsolidadoout[[#This Row],[DESPESA FIXA]])</f>
        <v>0</v>
      </c>
      <c r="AH45" s="91">
        <f>SUMIFS(tabela_registros[VALOR],tabela_registros[MÊS],$AE$1,tabela_registros[DIA],outtotal3059718395107119131143[[#Headers],[30]],tabela_registros[REGISTRO],DADOS!$N$4,tabela_registros[TIPO],DADOS!$P$3,tabela_registros[CATEGORIA],despesafixaconsolidadoout[[#This Row],[DESPESA FIXA]])</f>
        <v>0</v>
      </c>
      <c r="AI45" s="101">
        <f>SUMIFS(tabela_registros[VALOR],tabela_registros[MÊS],$AE$1,tabela_registros[DIA],outtotal3059718395107119131143[[#Headers],[31]],tabela_registros[REGISTRO],DADOS!$N$4,tabela_registros[TIPO],DADOS!$P$3,tabela_registros[CATEGORIA],despesafixaconsolidadoout[[#This Row],[DESPESA FIXA]])</f>
        <v>0</v>
      </c>
      <c r="AJ45" s="97">
        <f>SUM(despesafixaconsolidadoout[[#This Row],[1]:[31]])</f>
        <v>0</v>
      </c>
      <c r="AK45" s="28"/>
    </row>
    <row r="46" spans="2:37" ht="18" customHeight="1" thickTop="1" thickBot="1" x14ac:dyDescent="0.3">
      <c r="B46" s="28"/>
      <c r="C46" s="27" t="str">
        <f>DADOS!$R$12</f>
        <v>🖱️ INTERNET</v>
      </c>
      <c r="D46" s="26" t="str">
        <f>IF(despesafixaconsolidadoout[[#This Row],[TOTAL]]=0,"",IF(OR(despesafixaconsolidadoout[[#This Row],[TOTAL]]=LARGE($AJ$37:$AJ$50,1),despesafixaconsolidadoout[[#This Row],[TOTAL]]=LARGE($AJ$37:$AJ$50,2),despesafixaconsolidadoout[[#This Row],[TOTAL]]=LARGE($AJ$37:$AJ$50,3),despesafixaconsolidadoout[[#This Row],[TOTAL]]=LARGE($AJ$37:$AJ$50,4),despesafixaconsolidadoout[[#This Row],[TOTAL]]=LARGE($AJ$37:$AJ$50,5)),DADOS!$I$8,""))</f>
        <v/>
      </c>
      <c r="E46" s="96">
        <f>SUMIFS(tabela_registros[VALOR],tabela_registros[MÊS],$AE$1,tabela_registros[DIA],outtotal3059718395107119131143[[#Headers],[1]],tabela_registros[REGISTRO],DADOS!$N$4,tabela_registros[TIPO],DADOS!$P$3,tabela_registros[CATEGORIA],despesafixaconsolidadoout[[#This Row],[DESPESA FIXA]])</f>
        <v>0</v>
      </c>
      <c r="F46" s="91">
        <f>SUMIFS(tabela_registros[VALOR],tabela_registros[MÊS],$AE$1,tabela_registros[DIA],outtotal3059718395107119131143[[#Headers],[2]],tabela_registros[REGISTRO],DADOS!$N$4,tabela_registros[TIPO],DADOS!$P$3,tabela_registros[CATEGORIA],despesafixaconsolidadoout[[#This Row],[DESPESA FIXA]])</f>
        <v>0</v>
      </c>
      <c r="G46" s="91">
        <f>SUMIFS(tabela_registros[VALOR],tabela_registros[MÊS],$AE$1,tabela_registros[DIA],outtotal3059718395107119131143[[#Headers],[3]],tabela_registros[REGISTRO],DADOS!$N$4,tabela_registros[TIPO],DADOS!$P$3,tabela_registros[CATEGORIA],despesafixaconsolidadoout[[#This Row],[DESPESA FIXA]])</f>
        <v>0</v>
      </c>
      <c r="H46" s="91">
        <f>SUMIFS(tabela_registros[VALOR],tabela_registros[MÊS],$AE$1,tabela_registros[DIA],outtotal3059718395107119131143[[#Headers],[4]],tabela_registros[REGISTRO],DADOS!$N$4,tabela_registros[TIPO],DADOS!$P$3,tabela_registros[CATEGORIA],despesafixaconsolidadoout[[#This Row],[DESPESA FIXA]])</f>
        <v>0</v>
      </c>
      <c r="I46" s="91">
        <f>SUMIFS(tabela_registros[VALOR],tabela_registros[MÊS],$AE$1,tabela_registros[DIA],outtotal3059718395107119131143[[#Headers],[5]],tabela_registros[REGISTRO],DADOS!$N$4,tabela_registros[TIPO],DADOS!$P$3,tabela_registros[CATEGORIA],despesafixaconsolidadoout[[#This Row],[DESPESA FIXA]])</f>
        <v>0</v>
      </c>
      <c r="J46" s="91">
        <f>SUMIFS(tabela_registros[VALOR],tabela_registros[MÊS],$AE$1,tabela_registros[DIA],outtotal3059718395107119131143[[#Headers],[6]],tabela_registros[REGISTRO],DADOS!$N$4,tabela_registros[TIPO],DADOS!$P$3,tabela_registros[CATEGORIA],despesafixaconsolidadoout[[#This Row],[DESPESA FIXA]])</f>
        <v>0</v>
      </c>
      <c r="K46" s="91">
        <f>SUMIFS(tabela_registros[VALOR],tabela_registros[MÊS],$AE$1,tabela_registros[DIA],outtotal3059718395107119131143[[#Headers],[7]],tabela_registros[REGISTRO],DADOS!$N$4,tabela_registros[TIPO],DADOS!$P$3,tabela_registros[CATEGORIA],despesafixaconsolidadoout[[#This Row],[DESPESA FIXA]])</f>
        <v>0</v>
      </c>
      <c r="L46" s="91">
        <f>SUMIFS(tabela_registros[VALOR],tabela_registros[MÊS],$AE$1,tabela_registros[DIA],outtotal3059718395107119131143[[#Headers],[8]],tabela_registros[REGISTRO],DADOS!$N$4,tabela_registros[TIPO],DADOS!$P$3,tabela_registros[CATEGORIA],despesafixaconsolidadoout[[#This Row],[DESPESA FIXA]])</f>
        <v>0</v>
      </c>
      <c r="M46" s="91">
        <f>SUMIFS(tabela_registros[VALOR],tabela_registros[MÊS],$AE$1,tabela_registros[DIA],outtotal3059718395107119131143[[#Headers],[9]],tabela_registros[REGISTRO],DADOS!$N$4,tabela_registros[TIPO],DADOS!$P$3,tabela_registros[CATEGORIA],despesafixaconsolidadoout[[#This Row],[DESPESA FIXA]])</f>
        <v>0</v>
      </c>
      <c r="N46" s="91">
        <f>SUMIFS(tabela_registros[VALOR],tabela_registros[MÊS],$AE$1,tabela_registros[DIA],outtotal3059718395107119131143[[#Headers],[10]],tabela_registros[REGISTRO],DADOS!$N$4,tabela_registros[TIPO],DADOS!$P$3,tabela_registros[CATEGORIA],despesafixaconsolidadoout[[#This Row],[DESPESA FIXA]])</f>
        <v>0</v>
      </c>
      <c r="O46" s="91">
        <f>SUMIFS(tabela_registros[VALOR],tabela_registros[MÊS],$AE$1,tabela_registros[DIA],outtotal3059718395107119131143[[#Headers],[11]],tabela_registros[REGISTRO],DADOS!$N$4,tabela_registros[TIPO],DADOS!$P$3,tabela_registros[CATEGORIA],despesafixaconsolidadoout[[#This Row],[DESPESA FIXA]])</f>
        <v>0</v>
      </c>
      <c r="P46" s="91">
        <f>SUMIFS(tabela_registros[VALOR],tabela_registros[MÊS],$AE$1,tabela_registros[DIA],outtotal3059718395107119131143[[#Headers],[12]],tabela_registros[REGISTRO],DADOS!$N$4,tabela_registros[TIPO],DADOS!$P$3,tabela_registros[CATEGORIA],despesafixaconsolidadoout[[#This Row],[DESPESA FIXA]])</f>
        <v>0</v>
      </c>
      <c r="Q46" s="91">
        <f>SUMIFS(tabela_registros[VALOR],tabela_registros[MÊS],$AE$1,tabela_registros[DIA],outtotal3059718395107119131143[[#Headers],[13]],tabela_registros[REGISTRO],DADOS!$N$4,tabela_registros[TIPO],DADOS!$P$3,tabela_registros[CATEGORIA],despesafixaconsolidadoout[[#This Row],[DESPESA FIXA]])</f>
        <v>0</v>
      </c>
      <c r="R46" s="91">
        <f>SUMIFS(tabela_registros[VALOR],tabela_registros[MÊS],$AE$1,tabela_registros[DIA],outtotal3059718395107119131143[[#Headers],[14]],tabela_registros[REGISTRO],DADOS!$N$4,tabela_registros[TIPO],DADOS!$P$3,tabela_registros[CATEGORIA],despesafixaconsolidadoout[[#This Row],[DESPESA FIXA]])</f>
        <v>0</v>
      </c>
      <c r="S46" s="91">
        <f>SUMIFS(tabela_registros[VALOR],tabela_registros[MÊS],$AE$1,tabela_registros[DIA],outtotal3059718395107119131143[[#Headers],[15]],tabela_registros[REGISTRO],DADOS!$N$4,tabela_registros[TIPO],DADOS!$P$3,tabela_registros[CATEGORIA],despesafixaconsolidadoout[[#This Row],[DESPESA FIXA]])</f>
        <v>0</v>
      </c>
      <c r="T46" s="91">
        <f>SUMIFS(tabela_registros[VALOR],tabela_registros[MÊS],$AE$1,tabela_registros[DIA],outtotal3059718395107119131143[[#Headers],[16]],tabela_registros[REGISTRO],DADOS!$N$4,tabela_registros[TIPO],DADOS!$P$3,tabela_registros[CATEGORIA],despesafixaconsolidadoout[[#This Row],[DESPESA FIXA]])</f>
        <v>0</v>
      </c>
      <c r="U46" s="91">
        <f>SUMIFS(tabela_registros[VALOR],tabela_registros[MÊS],$AE$1,tabela_registros[DIA],outtotal3059718395107119131143[[#Headers],[17]],tabela_registros[REGISTRO],DADOS!$N$4,tabela_registros[TIPO],DADOS!$P$3,tabela_registros[CATEGORIA],despesafixaconsolidadoout[[#This Row],[DESPESA FIXA]])</f>
        <v>0</v>
      </c>
      <c r="V46" s="91">
        <f>SUMIFS(tabela_registros[VALOR],tabela_registros[MÊS],$AE$1,tabela_registros[DIA],outtotal3059718395107119131143[[#Headers],[18]],tabela_registros[REGISTRO],DADOS!$N$4,tabela_registros[TIPO],DADOS!$P$3,tabela_registros[CATEGORIA],despesafixaconsolidadoout[[#This Row],[DESPESA FIXA]])</f>
        <v>0</v>
      </c>
      <c r="W46" s="91">
        <f>SUMIFS(tabela_registros[VALOR],tabela_registros[MÊS],$AE$1,tabela_registros[DIA],outtotal3059718395107119131143[[#Headers],[19]],tabela_registros[REGISTRO],DADOS!$N$4,tabela_registros[TIPO],DADOS!$P$3,tabela_registros[CATEGORIA],despesafixaconsolidadoout[[#This Row],[DESPESA FIXA]])</f>
        <v>0</v>
      </c>
      <c r="X46" s="91">
        <f>SUMIFS(tabela_registros[VALOR],tabela_registros[MÊS],$AE$1,tabela_registros[DIA],outtotal3059718395107119131143[[#Headers],[20]],tabela_registros[REGISTRO],DADOS!$N$4,tabela_registros[TIPO],DADOS!$P$3,tabela_registros[CATEGORIA],despesafixaconsolidadoout[[#This Row],[DESPESA FIXA]])</f>
        <v>0</v>
      </c>
      <c r="Y46" s="91">
        <f>SUMIFS(tabela_registros[VALOR],tabela_registros[MÊS],$AE$1,tabela_registros[DIA],outtotal3059718395107119131143[[#Headers],[21]],tabela_registros[REGISTRO],DADOS!$N$4,tabela_registros[TIPO],DADOS!$P$3,tabela_registros[CATEGORIA],despesafixaconsolidadoout[[#This Row],[DESPESA FIXA]])</f>
        <v>0</v>
      </c>
      <c r="Z46" s="91">
        <f>SUMIFS(tabela_registros[VALOR],tabela_registros[MÊS],$AE$1,tabela_registros[DIA],outtotal3059718395107119131143[[#Headers],[22]],tabela_registros[REGISTRO],DADOS!$N$4,tabela_registros[TIPO],DADOS!$P$3,tabela_registros[CATEGORIA],despesafixaconsolidadoout[[#This Row],[DESPESA FIXA]])</f>
        <v>0</v>
      </c>
      <c r="AA46" s="91">
        <f>SUMIFS(tabela_registros[VALOR],tabela_registros[MÊS],$AE$1,tabela_registros[DIA],outtotal3059718395107119131143[[#Headers],[23]],tabela_registros[REGISTRO],DADOS!$N$4,tabela_registros[TIPO],DADOS!$P$3,tabela_registros[CATEGORIA],despesafixaconsolidadoout[[#This Row],[DESPESA FIXA]])</f>
        <v>0</v>
      </c>
      <c r="AB46" s="91">
        <f>SUMIFS(tabela_registros[VALOR],tabela_registros[MÊS],$AE$1,tabela_registros[DIA],outtotal3059718395107119131143[[#Headers],[24]],tabela_registros[REGISTRO],DADOS!$N$4,tabela_registros[TIPO],DADOS!$P$3,tabela_registros[CATEGORIA],despesafixaconsolidadoout[[#This Row],[DESPESA FIXA]])</f>
        <v>0</v>
      </c>
      <c r="AC46" s="91">
        <f>SUMIFS(tabela_registros[VALOR],tabela_registros[MÊS],$AE$1,tabela_registros[DIA],outtotal3059718395107119131143[[#Headers],[25]],tabela_registros[REGISTRO],DADOS!$N$4,tabela_registros[TIPO],DADOS!$P$3,tabela_registros[CATEGORIA],despesafixaconsolidadoout[[#This Row],[DESPESA FIXA]])</f>
        <v>0</v>
      </c>
      <c r="AD46" s="91">
        <f>SUMIFS(tabela_registros[VALOR],tabela_registros[MÊS],$AE$1,tabela_registros[DIA],outtotal3059718395107119131143[[#Headers],[26]],tabela_registros[REGISTRO],DADOS!$N$4,tabela_registros[TIPO],DADOS!$P$3,tabela_registros[CATEGORIA],despesafixaconsolidadoout[[#This Row],[DESPESA FIXA]])</f>
        <v>0</v>
      </c>
      <c r="AE46" s="91">
        <f>SUMIFS(tabela_registros[VALOR],tabela_registros[MÊS],$AE$1,tabela_registros[DIA],outtotal3059718395107119131143[[#Headers],[27]],tabela_registros[REGISTRO],DADOS!$N$4,tabela_registros[TIPO],DADOS!$P$3,tabela_registros[CATEGORIA],despesafixaconsolidadoout[[#This Row],[DESPESA FIXA]])</f>
        <v>0</v>
      </c>
      <c r="AF46" s="91">
        <f>SUMIFS(tabela_registros[VALOR],tabela_registros[MÊS],$AE$1,tabela_registros[DIA],outtotal3059718395107119131143[[#Headers],[28]],tabela_registros[REGISTRO],DADOS!$N$4,tabela_registros[TIPO],DADOS!$P$3,tabela_registros[CATEGORIA],despesafixaconsolidadoout[[#This Row],[DESPESA FIXA]])</f>
        <v>0</v>
      </c>
      <c r="AG46" s="91">
        <f>SUMIFS(tabela_registros[VALOR],tabela_registros[MÊS],$AE$1,tabela_registros[DIA],outtotal3059718395107119131143[[#Headers],[29]],tabela_registros[REGISTRO],DADOS!$N$4,tabela_registros[TIPO],DADOS!$P$3,tabela_registros[CATEGORIA],despesafixaconsolidadoout[[#This Row],[DESPESA FIXA]])</f>
        <v>0</v>
      </c>
      <c r="AH46" s="91">
        <f>SUMIFS(tabela_registros[VALOR],tabela_registros[MÊS],$AE$1,tabela_registros[DIA],outtotal3059718395107119131143[[#Headers],[30]],tabela_registros[REGISTRO],DADOS!$N$4,tabela_registros[TIPO],DADOS!$P$3,tabela_registros[CATEGORIA],despesafixaconsolidadoout[[#This Row],[DESPESA FIXA]])</f>
        <v>0</v>
      </c>
      <c r="AI46" s="101">
        <f>SUMIFS(tabela_registros[VALOR],tabela_registros[MÊS],$AE$1,tabela_registros[DIA],outtotal3059718395107119131143[[#Headers],[31]],tabela_registros[REGISTRO],DADOS!$N$4,tabela_registros[TIPO],DADOS!$P$3,tabela_registros[CATEGORIA],despesafixaconsolidadoout[[#This Row],[DESPESA FIXA]])</f>
        <v>0</v>
      </c>
      <c r="AJ46" s="97">
        <f>SUM(despesafixaconsolidadoout[[#This Row],[1]:[31]])</f>
        <v>0</v>
      </c>
      <c r="AK46" s="28"/>
    </row>
    <row r="47" spans="2:37" ht="18" customHeight="1" thickTop="1" thickBot="1" x14ac:dyDescent="0.3">
      <c r="B47" s="28"/>
      <c r="C47" s="27" t="str">
        <f>DADOS!$R$13</f>
        <v>🏠 MORADIA</v>
      </c>
      <c r="D47" s="26" t="str">
        <f>IF(despesafixaconsolidadoout[[#This Row],[TOTAL]]=0,"",IF(OR(despesafixaconsolidadoout[[#This Row],[TOTAL]]=LARGE($AJ$37:$AJ$50,1),despesafixaconsolidadoout[[#This Row],[TOTAL]]=LARGE($AJ$37:$AJ$50,2),despesafixaconsolidadoout[[#This Row],[TOTAL]]=LARGE($AJ$37:$AJ$50,3),despesafixaconsolidadoout[[#This Row],[TOTAL]]=LARGE($AJ$37:$AJ$50,4),despesafixaconsolidadoout[[#This Row],[TOTAL]]=LARGE($AJ$37:$AJ$50,5)),DADOS!$I$8,""))</f>
        <v/>
      </c>
      <c r="E47" s="96">
        <f>SUMIFS(tabela_registros[VALOR],tabela_registros[MÊS],$AE$1,tabela_registros[DIA],outtotal3059718395107119131143[[#Headers],[1]],tabela_registros[REGISTRO],DADOS!$N$4,tabela_registros[TIPO],DADOS!$P$3,tabela_registros[CATEGORIA],despesafixaconsolidadoout[[#This Row],[DESPESA FIXA]])</f>
        <v>0</v>
      </c>
      <c r="F47" s="91">
        <f>SUMIFS(tabela_registros[VALOR],tabela_registros[MÊS],$AE$1,tabela_registros[DIA],outtotal3059718395107119131143[[#Headers],[2]],tabela_registros[REGISTRO],DADOS!$N$4,tabela_registros[TIPO],DADOS!$P$3,tabela_registros[CATEGORIA],despesafixaconsolidadoout[[#This Row],[DESPESA FIXA]])</f>
        <v>0</v>
      </c>
      <c r="G47" s="91">
        <f>SUMIFS(tabela_registros[VALOR],tabela_registros[MÊS],$AE$1,tabela_registros[DIA],outtotal3059718395107119131143[[#Headers],[3]],tabela_registros[REGISTRO],DADOS!$N$4,tabela_registros[TIPO],DADOS!$P$3,tabela_registros[CATEGORIA],despesafixaconsolidadoout[[#This Row],[DESPESA FIXA]])</f>
        <v>0</v>
      </c>
      <c r="H47" s="91">
        <f>SUMIFS(tabela_registros[VALOR],tabela_registros[MÊS],$AE$1,tabela_registros[DIA],outtotal3059718395107119131143[[#Headers],[4]],tabela_registros[REGISTRO],DADOS!$N$4,tabela_registros[TIPO],DADOS!$P$3,tabela_registros[CATEGORIA],despesafixaconsolidadoout[[#This Row],[DESPESA FIXA]])</f>
        <v>0</v>
      </c>
      <c r="I47" s="91">
        <f>SUMIFS(tabela_registros[VALOR],tabela_registros[MÊS],$AE$1,tabela_registros[DIA],outtotal3059718395107119131143[[#Headers],[5]],tabela_registros[REGISTRO],DADOS!$N$4,tabela_registros[TIPO],DADOS!$P$3,tabela_registros[CATEGORIA],despesafixaconsolidadoout[[#This Row],[DESPESA FIXA]])</f>
        <v>0</v>
      </c>
      <c r="J47" s="91">
        <f>SUMIFS(tabela_registros[VALOR],tabela_registros[MÊS],$AE$1,tabela_registros[DIA],outtotal3059718395107119131143[[#Headers],[6]],tabela_registros[REGISTRO],DADOS!$N$4,tabela_registros[TIPO],DADOS!$P$3,tabela_registros[CATEGORIA],despesafixaconsolidadoout[[#This Row],[DESPESA FIXA]])</f>
        <v>0</v>
      </c>
      <c r="K47" s="91">
        <f>SUMIFS(tabela_registros[VALOR],tabela_registros[MÊS],$AE$1,tabela_registros[DIA],outtotal3059718395107119131143[[#Headers],[7]],tabela_registros[REGISTRO],DADOS!$N$4,tabela_registros[TIPO],DADOS!$P$3,tabela_registros[CATEGORIA],despesafixaconsolidadoout[[#This Row],[DESPESA FIXA]])</f>
        <v>0</v>
      </c>
      <c r="L47" s="91">
        <f>SUMIFS(tabela_registros[VALOR],tabela_registros[MÊS],$AE$1,tabela_registros[DIA],outtotal3059718395107119131143[[#Headers],[8]],tabela_registros[REGISTRO],DADOS!$N$4,tabela_registros[TIPO],DADOS!$P$3,tabela_registros[CATEGORIA],despesafixaconsolidadoout[[#This Row],[DESPESA FIXA]])</f>
        <v>0</v>
      </c>
      <c r="M47" s="91">
        <f>SUMIFS(tabela_registros[VALOR],tabela_registros[MÊS],$AE$1,tabela_registros[DIA],outtotal3059718395107119131143[[#Headers],[9]],tabela_registros[REGISTRO],DADOS!$N$4,tabela_registros[TIPO],DADOS!$P$3,tabela_registros[CATEGORIA],despesafixaconsolidadoout[[#This Row],[DESPESA FIXA]])</f>
        <v>0</v>
      </c>
      <c r="N47" s="91">
        <f>SUMIFS(tabela_registros[VALOR],tabela_registros[MÊS],$AE$1,tabela_registros[DIA],outtotal3059718395107119131143[[#Headers],[10]],tabela_registros[REGISTRO],DADOS!$N$4,tabela_registros[TIPO],DADOS!$P$3,tabela_registros[CATEGORIA],despesafixaconsolidadoout[[#This Row],[DESPESA FIXA]])</f>
        <v>0</v>
      </c>
      <c r="O47" s="91">
        <f>SUMIFS(tabela_registros[VALOR],tabela_registros[MÊS],$AE$1,tabela_registros[DIA],outtotal3059718395107119131143[[#Headers],[11]],tabela_registros[REGISTRO],DADOS!$N$4,tabela_registros[TIPO],DADOS!$P$3,tabela_registros[CATEGORIA],despesafixaconsolidadoout[[#This Row],[DESPESA FIXA]])</f>
        <v>0</v>
      </c>
      <c r="P47" s="91">
        <f>SUMIFS(tabela_registros[VALOR],tabela_registros[MÊS],$AE$1,tabela_registros[DIA],outtotal3059718395107119131143[[#Headers],[12]],tabela_registros[REGISTRO],DADOS!$N$4,tabela_registros[TIPO],DADOS!$P$3,tabela_registros[CATEGORIA],despesafixaconsolidadoout[[#This Row],[DESPESA FIXA]])</f>
        <v>0</v>
      </c>
      <c r="Q47" s="91">
        <f>SUMIFS(tabela_registros[VALOR],tabela_registros[MÊS],$AE$1,tabela_registros[DIA],outtotal3059718395107119131143[[#Headers],[13]],tabela_registros[REGISTRO],DADOS!$N$4,tabela_registros[TIPO],DADOS!$P$3,tabela_registros[CATEGORIA],despesafixaconsolidadoout[[#This Row],[DESPESA FIXA]])</f>
        <v>0</v>
      </c>
      <c r="R47" s="91">
        <f>SUMIFS(tabela_registros[VALOR],tabela_registros[MÊS],$AE$1,tabela_registros[DIA],outtotal3059718395107119131143[[#Headers],[14]],tabela_registros[REGISTRO],DADOS!$N$4,tabela_registros[TIPO],DADOS!$P$3,tabela_registros[CATEGORIA],despesafixaconsolidadoout[[#This Row],[DESPESA FIXA]])</f>
        <v>0</v>
      </c>
      <c r="S47" s="91">
        <f>SUMIFS(tabela_registros[VALOR],tabela_registros[MÊS],$AE$1,tabela_registros[DIA],outtotal3059718395107119131143[[#Headers],[15]],tabela_registros[REGISTRO],DADOS!$N$4,tabela_registros[TIPO],DADOS!$P$3,tabela_registros[CATEGORIA],despesafixaconsolidadoout[[#This Row],[DESPESA FIXA]])</f>
        <v>0</v>
      </c>
      <c r="T47" s="91">
        <f>SUMIFS(tabela_registros[VALOR],tabela_registros[MÊS],$AE$1,tabela_registros[DIA],outtotal3059718395107119131143[[#Headers],[16]],tabela_registros[REGISTRO],DADOS!$N$4,tabela_registros[TIPO],DADOS!$P$3,tabela_registros[CATEGORIA],despesafixaconsolidadoout[[#This Row],[DESPESA FIXA]])</f>
        <v>0</v>
      </c>
      <c r="U47" s="91">
        <f>SUMIFS(tabela_registros[VALOR],tabela_registros[MÊS],$AE$1,tabela_registros[DIA],outtotal3059718395107119131143[[#Headers],[17]],tabela_registros[REGISTRO],DADOS!$N$4,tabela_registros[TIPO],DADOS!$P$3,tabela_registros[CATEGORIA],despesafixaconsolidadoout[[#This Row],[DESPESA FIXA]])</f>
        <v>0</v>
      </c>
      <c r="V47" s="91">
        <f>SUMIFS(tabela_registros[VALOR],tabela_registros[MÊS],$AE$1,tabela_registros[DIA],outtotal3059718395107119131143[[#Headers],[18]],tabela_registros[REGISTRO],DADOS!$N$4,tabela_registros[TIPO],DADOS!$P$3,tabela_registros[CATEGORIA],despesafixaconsolidadoout[[#This Row],[DESPESA FIXA]])</f>
        <v>0</v>
      </c>
      <c r="W47" s="91">
        <f>SUMIFS(tabela_registros[VALOR],tabela_registros[MÊS],$AE$1,tabela_registros[DIA],outtotal3059718395107119131143[[#Headers],[19]],tabela_registros[REGISTRO],DADOS!$N$4,tabela_registros[TIPO],DADOS!$P$3,tabela_registros[CATEGORIA],despesafixaconsolidadoout[[#This Row],[DESPESA FIXA]])</f>
        <v>0</v>
      </c>
      <c r="X47" s="91">
        <f>SUMIFS(tabela_registros[VALOR],tabela_registros[MÊS],$AE$1,tabela_registros[DIA],outtotal3059718395107119131143[[#Headers],[20]],tabela_registros[REGISTRO],DADOS!$N$4,tabela_registros[TIPO],DADOS!$P$3,tabela_registros[CATEGORIA],despesafixaconsolidadoout[[#This Row],[DESPESA FIXA]])</f>
        <v>0</v>
      </c>
      <c r="Y47" s="91">
        <f>SUMIFS(tabela_registros[VALOR],tabela_registros[MÊS],$AE$1,tabela_registros[DIA],outtotal3059718395107119131143[[#Headers],[21]],tabela_registros[REGISTRO],DADOS!$N$4,tabela_registros[TIPO],DADOS!$P$3,tabela_registros[CATEGORIA],despesafixaconsolidadoout[[#This Row],[DESPESA FIXA]])</f>
        <v>0</v>
      </c>
      <c r="Z47" s="91">
        <f>SUMIFS(tabela_registros[VALOR],tabela_registros[MÊS],$AE$1,tabela_registros[DIA],outtotal3059718395107119131143[[#Headers],[22]],tabela_registros[REGISTRO],DADOS!$N$4,tabela_registros[TIPO],DADOS!$P$3,tabela_registros[CATEGORIA],despesafixaconsolidadoout[[#This Row],[DESPESA FIXA]])</f>
        <v>0</v>
      </c>
      <c r="AA47" s="91">
        <f>SUMIFS(tabela_registros[VALOR],tabela_registros[MÊS],$AE$1,tabela_registros[DIA],outtotal3059718395107119131143[[#Headers],[23]],tabela_registros[REGISTRO],DADOS!$N$4,tabela_registros[TIPO],DADOS!$P$3,tabela_registros[CATEGORIA],despesafixaconsolidadoout[[#This Row],[DESPESA FIXA]])</f>
        <v>0</v>
      </c>
      <c r="AB47" s="91">
        <f>SUMIFS(tabela_registros[VALOR],tabela_registros[MÊS],$AE$1,tabela_registros[DIA],outtotal3059718395107119131143[[#Headers],[24]],tabela_registros[REGISTRO],DADOS!$N$4,tabela_registros[TIPO],DADOS!$P$3,tabela_registros[CATEGORIA],despesafixaconsolidadoout[[#This Row],[DESPESA FIXA]])</f>
        <v>0</v>
      </c>
      <c r="AC47" s="91">
        <f>SUMIFS(tabela_registros[VALOR],tabela_registros[MÊS],$AE$1,tabela_registros[DIA],outtotal3059718395107119131143[[#Headers],[25]],tabela_registros[REGISTRO],DADOS!$N$4,tabela_registros[TIPO],DADOS!$P$3,tabela_registros[CATEGORIA],despesafixaconsolidadoout[[#This Row],[DESPESA FIXA]])</f>
        <v>0</v>
      </c>
      <c r="AD47" s="91">
        <f>SUMIFS(tabela_registros[VALOR],tabela_registros[MÊS],$AE$1,tabela_registros[DIA],outtotal3059718395107119131143[[#Headers],[26]],tabela_registros[REGISTRO],DADOS!$N$4,tabela_registros[TIPO],DADOS!$P$3,tabela_registros[CATEGORIA],despesafixaconsolidadoout[[#This Row],[DESPESA FIXA]])</f>
        <v>0</v>
      </c>
      <c r="AE47" s="91">
        <f>SUMIFS(tabela_registros[VALOR],tabela_registros[MÊS],$AE$1,tabela_registros[DIA],outtotal3059718395107119131143[[#Headers],[27]],tabela_registros[REGISTRO],DADOS!$N$4,tabela_registros[TIPO],DADOS!$P$3,tabela_registros[CATEGORIA],despesafixaconsolidadoout[[#This Row],[DESPESA FIXA]])</f>
        <v>0</v>
      </c>
      <c r="AF47" s="91">
        <f>SUMIFS(tabela_registros[VALOR],tabela_registros[MÊS],$AE$1,tabela_registros[DIA],outtotal3059718395107119131143[[#Headers],[28]],tabela_registros[REGISTRO],DADOS!$N$4,tabela_registros[TIPO],DADOS!$P$3,tabela_registros[CATEGORIA],despesafixaconsolidadoout[[#This Row],[DESPESA FIXA]])</f>
        <v>0</v>
      </c>
      <c r="AG47" s="91">
        <f>SUMIFS(tabela_registros[VALOR],tabela_registros[MÊS],$AE$1,tabela_registros[DIA],outtotal3059718395107119131143[[#Headers],[29]],tabela_registros[REGISTRO],DADOS!$N$4,tabela_registros[TIPO],DADOS!$P$3,tabela_registros[CATEGORIA],despesafixaconsolidadoout[[#This Row],[DESPESA FIXA]])</f>
        <v>0</v>
      </c>
      <c r="AH47" s="91">
        <f>SUMIFS(tabela_registros[VALOR],tabela_registros[MÊS],$AE$1,tabela_registros[DIA],outtotal3059718395107119131143[[#Headers],[30]],tabela_registros[REGISTRO],DADOS!$N$4,tabela_registros[TIPO],DADOS!$P$3,tabela_registros[CATEGORIA],despesafixaconsolidadoout[[#This Row],[DESPESA FIXA]])</f>
        <v>0</v>
      </c>
      <c r="AI47" s="101">
        <f>SUMIFS(tabela_registros[VALOR],tabela_registros[MÊS],$AE$1,tabela_registros[DIA],outtotal3059718395107119131143[[#Headers],[31]],tabela_registros[REGISTRO],DADOS!$N$4,tabela_registros[TIPO],DADOS!$P$3,tabela_registros[CATEGORIA],despesafixaconsolidadoout[[#This Row],[DESPESA FIXA]])</f>
        <v>0</v>
      </c>
      <c r="AJ47" s="97">
        <f>SUM(despesafixaconsolidadoout[[#This Row],[1]:[31]])</f>
        <v>0</v>
      </c>
      <c r="AK47" s="28"/>
    </row>
    <row r="48" spans="2:37" ht="18" customHeight="1" thickTop="1" thickBot="1" x14ac:dyDescent="0.3">
      <c r="B48" s="28"/>
      <c r="C48" s="27" t="str">
        <f>DADOS!$R$14</f>
        <v>💊 SAÚDE</v>
      </c>
      <c r="D48" s="26" t="str">
        <f>IF(despesafixaconsolidadoout[[#This Row],[TOTAL]]=0,"",IF(OR(despesafixaconsolidadoout[[#This Row],[TOTAL]]=LARGE($AJ$37:$AJ$50,1),despesafixaconsolidadoout[[#This Row],[TOTAL]]=LARGE($AJ$37:$AJ$50,2),despesafixaconsolidadoout[[#This Row],[TOTAL]]=LARGE($AJ$37:$AJ$50,3),despesafixaconsolidadoout[[#This Row],[TOTAL]]=LARGE($AJ$37:$AJ$50,4),despesafixaconsolidadoout[[#This Row],[TOTAL]]=LARGE($AJ$37:$AJ$50,5)),DADOS!$I$8,""))</f>
        <v/>
      </c>
      <c r="E48" s="96">
        <f>SUMIFS(tabela_registros[VALOR],tabela_registros[MÊS],$AE$1,tabela_registros[DIA],outtotal3059718395107119131143[[#Headers],[1]],tabela_registros[REGISTRO],DADOS!$N$4,tabela_registros[TIPO],DADOS!$P$3,tabela_registros[CATEGORIA],despesafixaconsolidadoout[[#This Row],[DESPESA FIXA]])</f>
        <v>0</v>
      </c>
      <c r="F48" s="91">
        <f>SUMIFS(tabela_registros[VALOR],tabela_registros[MÊS],$AE$1,tabela_registros[DIA],outtotal3059718395107119131143[[#Headers],[2]],tabela_registros[REGISTRO],DADOS!$N$4,tabela_registros[TIPO],DADOS!$P$3,tabela_registros[CATEGORIA],despesafixaconsolidadoout[[#This Row],[DESPESA FIXA]])</f>
        <v>0</v>
      </c>
      <c r="G48" s="91">
        <f>SUMIFS(tabela_registros[VALOR],tabela_registros[MÊS],$AE$1,tabela_registros[DIA],outtotal3059718395107119131143[[#Headers],[3]],tabela_registros[REGISTRO],DADOS!$N$4,tabela_registros[TIPO],DADOS!$P$3,tabela_registros[CATEGORIA],despesafixaconsolidadoout[[#This Row],[DESPESA FIXA]])</f>
        <v>0</v>
      </c>
      <c r="H48" s="91">
        <f>SUMIFS(tabela_registros[VALOR],tabela_registros[MÊS],$AE$1,tabela_registros[DIA],outtotal3059718395107119131143[[#Headers],[4]],tabela_registros[REGISTRO],DADOS!$N$4,tabela_registros[TIPO],DADOS!$P$3,tabela_registros[CATEGORIA],despesafixaconsolidadoout[[#This Row],[DESPESA FIXA]])</f>
        <v>0</v>
      </c>
      <c r="I48" s="91">
        <f>SUMIFS(tabela_registros[VALOR],tabela_registros[MÊS],$AE$1,tabela_registros[DIA],outtotal3059718395107119131143[[#Headers],[5]],tabela_registros[REGISTRO],DADOS!$N$4,tabela_registros[TIPO],DADOS!$P$3,tabela_registros[CATEGORIA],despesafixaconsolidadoout[[#This Row],[DESPESA FIXA]])</f>
        <v>0</v>
      </c>
      <c r="J48" s="91">
        <f>SUMIFS(tabela_registros[VALOR],tabela_registros[MÊS],$AE$1,tabela_registros[DIA],outtotal3059718395107119131143[[#Headers],[6]],tabela_registros[REGISTRO],DADOS!$N$4,tabela_registros[TIPO],DADOS!$P$3,tabela_registros[CATEGORIA],despesafixaconsolidadoout[[#This Row],[DESPESA FIXA]])</f>
        <v>0</v>
      </c>
      <c r="K48" s="91">
        <f>SUMIFS(tabela_registros[VALOR],tabela_registros[MÊS],$AE$1,tabela_registros[DIA],outtotal3059718395107119131143[[#Headers],[7]],tabela_registros[REGISTRO],DADOS!$N$4,tabela_registros[TIPO],DADOS!$P$3,tabela_registros[CATEGORIA],despesafixaconsolidadoout[[#This Row],[DESPESA FIXA]])</f>
        <v>0</v>
      </c>
      <c r="L48" s="91">
        <f>SUMIFS(tabela_registros[VALOR],tabela_registros[MÊS],$AE$1,tabela_registros[DIA],outtotal3059718395107119131143[[#Headers],[8]],tabela_registros[REGISTRO],DADOS!$N$4,tabela_registros[TIPO],DADOS!$P$3,tabela_registros[CATEGORIA],despesafixaconsolidadoout[[#This Row],[DESPESA FIXA]])</f>
        <v>0</v>
      </c>
      <c r="M48" s="91">
        <f>SUMIFS(tabela_registros[VALOR],tabela_registros[MÊS],$AE$1,tabela_registros[DIA],outtotal3059718395107119131143[[#Headers],[9]],tabela_registros[REGISTRO],DADOS!$N$4,tabela_registros[TIPO],DADOS!$P$3,tabela_registros[CATEGORIA],despesafixaconsolidadoout[[#This Row],[DESPESA FIXA]])</f>
        <v>0</v>
      </c>
      <c r="N48" s="91">
        <f>SUMIFS(tabela_registros[VALOR],tabela_registros[MÊS],$AE$1,tabela_registros[DIA],outtotal3059718395107119131143[[#Headers],[10]],tabela_registros[REGISTRO],DADOS!$N$4,tabela_registros[TIPO],DADOS!$P$3,tabela_registros[CATEGORIA],despesafixaconsolidadoout[[#This Row],[DESPESA FIXA]])</f>
        <v>0</v>
      </c>
      <c r="O48" s="91">
        <f>SUMIFS(tabela_registros[VALOR],tabela_registros[MÊS],$AE$1,tabela_registros[DIA],outtotal3059718395107119131143[[#Headers],[11]],tabela_registros[REGISTRO],DADOS!$N$4,tabela_registros[TIPO],DADOS!$P$3,tabela_registros[CATEGORIA],despesafixaconsolidadoout[[#This Row],[DESPESA FIXA]])</f>
        <v>0</v>
      </c>
      <c r="P48" s="91">
        <f>SUMIFS(tabela_registros[VALOR],tabela_registros[MÊS],$AE$1,tabela_registros[DIA],outtotal3059718395107119131143[[#Headers],[12]],tabela_registros[REGISTRO],DADOS!$N$4,tabela_registros[TIPO],DADOS!$P$3,tabela_registros[CATEGORIA],despesafixaconsolidadoout[[#This Row],[DESPESA FIXA]])</f>
        <v>0</v>
      </c>
      <c r="Q48" s="91">
        <f>SUMIFS(tabela_registros[VALOR],tabela_registros[MÊS],$AE$1,tabela_registros[DIA],outtotal3059718395107119131143[[#Headers],[13]],tabela_registros[REGISTRO],DADOS!$N$4,tabela_registros[TIPO],DADOS!$P$3,tabela_registros[CATEGORIA],despesafixaconsolidadoout[[#This Row],[DESPESA FIXA]])</f>
        <v>0</v>
      </c>
      <c r="R48" s="91">
        <f>SUMIFS(tabela_registros[VALOR],tabela_registros[MÊS],$AE$1,tabela_registros[DIA],outtotal3059718395107119131143[[#Headers],[14]],tabela_registros[REGISTRO],DADOS!$N$4,tabela_registros[TIPO],DADOS!$P$3,tabela_registros[CATEGORIA],despesafixaconsolidadoout[[#This Row],[DESPESA FIXA]])</f>
        <v>0</v>
      </c>
      <c r="S48" s="91">
        <f>SUMIFS(tabela_registros[VALOR],tabela_registros[MÊS],$AE$1,tabela_registros[DIA],outtotal3059718395107119131143[[#Headers],[15]],tabela_registros[REGISTRO],DADOS!$N$4,tabela_registros[TIPO],DADOS!$P$3,tabela_registros[CATEGORIA],despesafixaconsolidadoout[[#This Row],[DESPESA FIXA]])</f>
        <v>0</v>
      </c>
      <c r="T48" s="91">
        <f>SUMIFS(tabela_registros[VALOR],tabela_registros[MÊS],$AE$1,tabela_registros[DIA],outtotal3059718395107119131143[[#Headers],[16]],tabela_registros[REGISTRO],DADOS!$N$4,tabela_registros[TIPO],DADOS!$P$3,tabela_registros[CATEGORIA],despesafixaconsolidadoout[[#This Row],[DESPESA FIXA]])</f>
        <v>0</v>
      </c>
      <c r="U48" s="91">
        <f>SUMIFS(tabela_registros[VALOR],tabela_registros[MÊS],$AE$1,tabela_registros[DIA],outtotal3059718395107119131143[[#Headers],[17]],tabela_registros[REGISTRO],DADOS!$N$4,tabela_registros[TIPO],DADOS!$P$3,tabela_registros[CATEGORIA],despesafixaconsolidadoout[[#This Row],[DESPESA FIXA]])</f>
        <v>0</v>
      </c>
      <c r="V48" s="91">
        <f>SUMIFS(tabela_registros[VALOR],tabela_registros[MÊS],$AE$1,tabela_registros[DIA],outtotal3059718395107119131143[[#Headers],[18]],tabela_registros[REGISTRO],DADOS!$N$4,tabela_registros[TIPO],DADOS!$P$3,tabela_registros[CATEGORIA],despesafixaconsolidadoout[[#This Row],[DESPESA FIXA]])</f>
        <v>0</v>
      </c>
      <c r="W48" s="91">
        <f>SUMIFS(tabela_registros[VALOR],tabela_registros[MÊS],$AE$1,tabela_registros[DIA],outtotal3059718395107119131143[[#Headers],[19]],tabela_registros[REGISTRO],DADOS!$N$4,tabela_registros[TIPO],DADOS!$P$3,tabela_registros[CATEGORIA],despesafixaconsolidadoout[[#This Row],[DESPESA FIXA]])</f>
        <v>0</v>
      </c>
      <c r="X48" s="91">
        <f>SUMIFS(tabela_registros[VALOR],tabela_registros[MÊS],$AE$1,tabela_registros[DIA],outtotal3059718395107119131143[[#Headers],[20]],tabela_registros[REGISTRO],DADOS!$N$4,tabela_registros[TIPO],DADOS!$P$3,tabela_registros[CATEGORIA],despesafixaconsolidadoout[[#This Row],[DESPESA FIXA]])</f>
        <v>0</v>
      </c>
      <c r="Y48" s="91">
        <f>SUMIFS(tabela_registros[VALOR],tabela_registros[MÊS],$AE$1,tabela_registros[DIA],outtotal3059718395107119131143[[#Headers],[21]],tabela_registros[REGISTRO],DADOS!$N$4,tabela_registros[TIPO],DADOS!$P$3,tabela_registros[CATEGORIA],despesafixaconsolidadoout[[#This Row],[DESPESA FIXA]])</f>
        <v>0</v>
      </c>
      <c r="Z48" s="91">
        <f>SUMIFS(tabela_registros[VALOR],tabela_registros[MÊS],$AE$1,tabela_registros[DIA],outtotal3059718395107119131143[[#Headers],[22]],tabela_registros[REGISTRO],DADOS!$N$4,tabela_registros[TIPO],DADOS!$P$3,tabela_registros[CATEGORIA],despesafixaconsolidadoout[[#This Row],[DESPESA FIXA]])</f>
        <v>0</v>
      </c>
      <c r="AA48" s="91">
        <f>SUMIFS(tabela_registros[VALOR],tabela_registros[MÊS],$AE$1,tabela_registros[DIA],outtotal3059718395107119131143[[#Headers],[23]],tabela_registros[REGISTRO],DADOS!$N$4,tabela_registros[TIPO],DADOS!$P$3,tabela_registros[CATEGORIA],despesafixaconsolidadoout[[#This Row],[DESPESA FIXA]])</f>
        <v>0</v>
      </c>
      <c r="AB48" s="91">
        <f>SUMIFS(tabela_registros[VALOR],tabela_registros[MÊS],$AE$1,tabela_registros[DIA],outtotal3059718395107119131143[[#Headers],[24]],tabela_registros[REGISTRO],DADOS!$N$4,tabela_registros[TIPO],DADOS!$P$3,tabela_registros[CATEGORIA],despesafixaconsolidadoout[[#This Row],[DESPESA FIXA]])</f>
        <v>0</v>
      </c>
      <c r="AC48" s="91">
        <f>SUMIFS(tabela_registros[VALOR],tabela_registros[MÊS],$AE$1,tabela_registros[DIA],outtotal3059718395107119131143[[#Headers],[25]],tabela_registros[REGISTRO],DADOS!$N$4,tabela_registros[TIPO],DADOS!$P$3,tabela_registros[CATEGORIA],despesafixaconsolidadoout[[#This Row],[DESPESA FIXA]])</f>
        <v>0</v>
      </c>
      <c r="AD48" s="91">
        <f>SUMIFS(tabela_registros[VALOR],tabela_registros[MÊS],$AE$1,tabela_registros[DIA],outtotal3059718395107119131143[[#Headers],[26]],tabela_registros[REGISTRO],DADOS!$N$4,tabela_registros[TIPO],DADOS!$P$3,tabela_registros[CATEGORIA],despesafixaconsolidadoout[[#This Row],[DESPESA FIXA]])</f>
        <v>0</v>
      </c>
      <c r="AE48" s="91">
        <f>SUMIFS(tabela_registros[VALOR],tabela_registros[MÊS],$AE$1,tabela_registros[DIA],outtotal3059718395107119131143[[#Headers],[27]],tabela_registros[REGISTRO],DADOS!$N$4,tabela_registros[TIPO],DADOS!$P$3,tabela_registros[CATEGORIA],despesafixaconsolidadoout[[#This Row],[DESPESA FIXA]])</f>
        <v>0</v>
      </c>
      <c r="AF48" s="91">
        <f>SUMIFS(tabela_registros[VALOR],tabela_registros[MÊS],$AE$1,tabela_registros[DIA],outtotal3059718395107119131143[[#Headers],[28]],tabela_registros[REGISTRO],DADOS!$N$4,tabela_registros[TIPO],DADOS!$P$3,tabela_registros[CATEGORIA],despesafixaconsolidadoout[[#This Row],[DESPESA FIXA]])</f>
        <v>0</v>
      </c>
      <c r="AG48" s="91">
        <f>SUMIFS(tabela_registros[VALOR],tabela_registros[MÊS],$AE$1,tabela_registros[DIA],outtotal3059718395107119131143[[#Headers],[29]],tabela_registros[REGISTRO],DADOS!$N$4,tabela_registros[TIPO],DADOS!$P$3,tabela_registros[CATEGORIA],despesafixaconsolidadoout[[#This Row],[DESPESA FIXA]])</f>
        <v>0</v>
      </c>
      <c r="AH48" s="91">
        <f>SUMIFS(tabela_registros[VALOR],tabela_registros[MÊS],$AE$1,tabela_registros[DIA],outtotal3059718395107119131143[[#Headers],[30]],tabela_registros[REGISTRO],DADOS!$N$4,tabela_registros[TIPO],DADOS!$P$3,tabela_registros[CATEGORIA],despesafixaconsolidadoout[[#This Row],[DESPESA FIXA]])</f>
        <v>0</v>
      </c>
      <c r="AI48" s="101">
        <f>SUMIFS(tabela_registros[VALOR],tabela_registros[MÊS],$AE$1,tabela_registros[DIA],outtotal3059718395107119131143[[#Headers],[31]],tabela_registros[REGISTRO],DADOS!$N$4,tabela_registros[TIPO],DADOS!$P$3,tabela_registros[CATEGORIA],despesafixaconsolidadoout[[#This Row],[DESPESA FIXA]])</f>
        <v>0</v>
      </c>
      <c r="AJ48" s="97">
        <f>SUM(despesafixaconsolidadoout[[#This Row],[1]:[31]])</f>
        <v>0</v>
      </c>
      <c r="AK48" s="28"/>
    </row>
    <row r="49" spans="2:37" ht="18" customHeight="1" thickTop="1" thickBot="1" x14ac:dyDescent="0.3">
      <c r="B49" s="28"/>
      <c r="C49" s="27" t="str">
        <f>DADOS!$R$15</f>
        <v>📞 TELEFONE</v>
      </c>
      <c r="D49" s="26" t="str">
        <f>IF(despesafixaconsolidadoout[[#This Row],[TOTAL]]=0,"",IF(OR(despesafixaconsolidadoout[[#This Row],[TOTAL]]=LARGE($AJ$37:$AJ$50,1),despesafixaconsolidadoout[[#This Row],[TOTAL]]=LARGE($AJ$37:$AJ$50,2),despesafixaconsolidadoout[[#This Row],[TOTAL]]=LARGE($AJ$37:$AJ$50,3),despesafixaconsolidadoout[[#This Row],[TOTAL]]=LARGE($AJ$37:$AJ$50,4),despesafixaconsolidadoout[[#This Row],[TOTAL]]=LARGE($AJ$37:$AJ$50,5)),DADOS!$I$8,""))</f>
        <v/>
      </c>
      <c r="E49" s="96">
        <f>SUMIFS(tabela_registros[VALOR],tabela_registros[MÊS],$AE$1,tabela_registros[DIA],outtotal3059718395107119131143[[#Headers],[1]],tabela_registros[REGISTRO],DADOS!$N$4,tabela_registros[TIPO],DADOS!$P$3,tabela_registros[CATEGORIA],despesafixaconsolidadoout[[#This Row],[DESPESA FIXA]])</f>
        <v>0</v>
      </c>
      <c r="F49" s="91">
        <f>SUMIFS(tabela_registros[VALOR],tabela_registros[MÊS],$AE$1,tabela_registros[DIA],outtotal3059718395107119131143[[#Headers],[2]],tabela_registros[REGISTRO],DADOS!$N$4,tabela_registros[TIPO],DADOS!$P$3,tabela_registros[CATEGORIA],despesafixaconsolidadoout[[#This Row],[DESPESA FIXA]])</f>
        <v>0</v>
      </c>
      <c r="G49" s="91">
        <f>SUMIFS(tabela_registros[VALOR],tabela_registros[MÊS],$AE$1,tabela_registros[DIA],outtotal3059718395107119131143[[#Headers],[3]],tabela_registros[REGISTRO],DADOS!$N$4,tabela_registros[TIPO],DADOS!$P$3,tabela_registros[CATEGORIA],despesafixaconsolidadoout[[#This Row],[DESPESA FIXA]])</f>
        <v>0</v>
      </c>
      <c r="H49" s="91">
        <f>SUMIFS(tabela_registros[VALOR],tabela_registros[MÊS],$AE$1,tabela_registros[DIA],outtotal3059718395107119131143[[#Headers],[4]],tabela_registros[REGISTRO],DADOS!$N$4,tabela_registros[TIPO],DADOS!$P$3,tabela_registros[CATEGORIA],despesafixaconsolidadoout[[#This Row],[DESPESA FIXA]])</f>
        <v>0</v>
      </c>
      <c r="I49" s="91">
        <f>SUMIFS(tabela_registros[VALOR],tabela_registros[MÊS],$AE$1,tabela_registros[DIA],outtotal3059718395107119131143[[#Headers],[5]],tabela_registros[REGISTRO],DADOS!$N$4,tabela_registros[TIPO],DADOS!$P$3,tabela_registros[CATEGORIA],despesafixaconsolidadoout[[#This Row],[DESPESA FIXA]])</f>
        <v>0</v>
      </c>
      <c r="J49" s="91">
        <f>SUMIFS(tabela_registros[VALOR],tabela_registros[MÊS],$AE$1,tabela_registros[DIA],outtotal3059718395107119131143[[#Headers],[6]],tabela_registros[REGISTRO],DADOS!$N$4,tabela_registros[TIPO],DADOS!$P$3,tabela_registros[CATEGORIA],despesafixaconsolidadoout[[#This Row],[DESPESA FIXA]])</f>
        <v>0</v>
      </c>
      <c r="K49" s="91">
        <f>SUMIFS(tabela_registros[VALOR],tabela_registros[MÊS],$AE$1,tabela_registros[DIA],outtotal3059718395107119131143[[#Headers],[7]],tabela_registros[REGISTRO],DADOS!$N$4,tabela_registros[TIPO],DADOS!$P$3,tabela_registros[CATEGORIA],despesafixaconsolidadoout[[#This Row],[DESPESA FIXA]])</f>
        <v>0</v>
      </c>
      <c r="L49" s="91">
        <f>SUMIFS(tabela_registros[VALOR],tabela_registros[MÊS],$AE$1,tabela_registros[DIA],outtotal3059718395107119131143[[#Headers],[8]],tabela_registros[REGISTRO],DADOS!$N$4,tabela_registros[TIPO],DADOS!$P$3,tabela_registros[CATEGORIA],despesafixaconsolidadoout[[#This Row],[DESPESA FIXA]])</f>
        <v>0</v>
      </c>
      <c r="M49" s="91">
        <f>SUMIFS(tabela_registros[VALOR],tabela_registros[MÊS],$AE$1,tabela_registros[DIA],outtotal3059718395107119131143[[#Headers],[9]],tabela_registros[REGISTRO],DADOS!$N$4,tabela_registros[TIPO],DADOS!$P$3,tabela_registros[CATEGORIA],despesafixaconsolidadoout[[#This Row],[DESPESA FIXA]])</f>
        <v>0</v>
      </c>
      <c r="N49" s="91">
        <f>SUMIFS(tabela_registros[VALOR],tabela_registros[MÊS],$AE$1,tabela_registros[DIA],outtotal3059718395107119131143[[#Headers],[10]],tabela_registros[REGISTRO],DADOS!$N$4,tabela_registros[TIPO],DADOS!$P$3,tabela_registros[CATEGORIA],despesafixaconsolidadoout[[#This Row],[DESPESA FIXA]])</f>
        <v>0</v>
      </c>
      <c r="O49" s="91">
        <f>SUMIFS(tabela_registros[VALOR],tabela_registros[MÊS],$AE$1,tabela_registros[DIA],outtotal3059718395107119131143[[#Headers],[11]],tabela_registros[REGISTRO],DADOS!$N$4,tabela_registros[TIPO],DADOS!$P$3,tabela_registros[CATEGORIA],despesafixaconsolidadoout[[#This Row],[DESPESA FIXA]])</f>
        <v>0</v>
      </c>
      <c r="P49" s="91">
        <f>SUMIFS(tabela_registros[VALOR],tabela_registros[MÊS],$AE$1,tabela_registros[DIA],outtotal3059718395107119131143[[#Headers],[12]],tabela_registros[REGISTRO],DADOS!$N$4,tabela_registros[TIPO],DADOS!$P$3,tabela_registros[CATEGORIA],despesafixaconsolidadoout[[#This Row],[DESPESA FIXA]])</f>
        <v>0</v>
      </c>
      <c r="Q49" s="91">
        <f>SUMIFS(tabela_registros[VALOR],tabela_registros[MÊS],$AE$1,tabela_registros[DIA],outtotal3059718395107119131143[[#Headers],[13]],tabela_registros[REGISTRO],DADOS!$N$4,tabela_registros[TIPO],DADOS!$P$3,tabela_registros[CATEGORIA],despesafixaconsolidadoout[[#This Row],[DESPESA FIXA]])</f>
        <v>0</v>
      </c>
      <c r="R49" s="91">
        <f>SUMIFS(tabela_registros[VALOR],tabela_registros[MÊS],$AE$1,tabela_registros[DIA],outtotal3059718395107119131143[[#Headers],[14]],tabela_registros[REGISTRO],DADOS!$N$4,tabela_registros[TIPO],DADOS!$P$3,tabela_registros[CATEGORIA],despesafixaconsolidadoout[[#This Row],[DESPESA FIXA]])</f>
        <v>0</v>
      </c>
      <c r="S49" s="91">
        <f>SUMIFS(tabela_registros[VALOR],tabela_registros[MÊS],$AE$1,tabela_registros[DIA],outtotal3059718395107119131143[[#Headers],[15]],tabela_registros[REGISTRO],DADOS!$N$4,tabela_registros[TIPO],DADOS!$P$3,tabela_registros[CATEGORIA],despesafixaconsolidadoout[[#This Row],[DESPESA FIXA]])</f>
        <v>0</v>
      </c>
      <c r="T49" s="91">
        <f>SUMIFS(tabela_registros[VALOR],tabela_registros[MÊS],$AE$1,tabela_registros[DIA],outtotal3059718395107119131143[[#Headers],[16]],tabela_registros[REGISTRO],DADOS!$N$4,tabela_registros[TIPO],DADOS!$P$3,tabela_registros[CATEGORIA],despesafixaconsolidadoout[[#This Row],[DESPESA FIXA]])</f>
        <v>0</v>
      </c>
      <c r="U49" s="91">
        <f>SUMIFS(tabela_registros[VALOR],tabela_registros[MÊS],$AE$1,tabela_registros[DIA],outtotal3059718395107119131143[[#Headers],[17]],tabela_registros[REGISTRO],DADOS!$N$4,tabela_registros[TIPO],DADOS!$P$3,tabela_registros[CATEGORIA],despesafixaconsolidadoout[[#This Row],[DESPESA FIXA]])</f>
        <v>0</v>
      </c>
      <c r="V49" s="91">
        <f>SUMIFS(tabela_registros[VALOR],tabela_registros[MÊS],$AE$1,tabela_registros[DIA],outtotal3059718395107119131143[[#Headers],[18]],tabela_registros[REGISTRO],DADOS!$N$4,tabela_registros[TIPO],DADOS!$P$3,tabela_registros[CATEGORIA],despesafixaconsolidadoout[[#This Row],[DESPESA FIXA]])</f>
        <v>0</v>
      </c>
      <c r="W49" s="91">
        <f>SUMIFS(tabela_registros[VALOR],tabela_registros[MÊS],$AE$1,tabela_registros[DIA],outtotal3059718395107119131143[[#Headers],[19]],tabela_registros[REGISTRO],DADOS!$N$4,tabela_registros[TIPO],DADOS!$P$3,tabela_registros[CATEGORIA],despesafixaconsolidadoout[[#This Row],[DESPESA FIXA]])</f>
        <v>0</v>
      </c>
      <c r="X49" s="91">
        <f>SUMIFS(tabela_registros[VALOR],tabela_registros[MÊS],$AE$1,tabela_registros[DIA],outtotal3059718395107119131143[[#Headers],[20]],tabela_registros[REGISTRO],DADOS!$N$4,tabela_registros[TIPO],DADOS!$P$3,tabela_registros[CATEGORIA],despesafixaconsolidadoout[[#This Row],[DESPESA FIXA]])</f>
        <v>0</v>
      </c>
      <c r="Y49" s="91">
        <f>SUMIFS(tabela_registros[VALOR],tabela_registros[MÊS],$AE$1,tabela_registros[DIA],outtotal3059718395107119131143[[#Headers],[21]],tabela_registros[REGISTRO],DADOS!$N$4,tabela_registros[TIPO],DADOS!$P$3,tabela_registros[CATEGORIA],despesafixaconsolidadoout[[#This Row],[DESPESA FIXA]])</f>
        <v>0</v>
      </c>
      <c r="Z49" s="91">
        <f>SUMIFS(tabela_registros[VALOR],tabela_registros[MÊS],$AE$1,tabela_registros[DIA],outtotal3059718395107119131143[[#Headers],[22]],tabela_registros[REGISTRO],DADOS!$N$4,tabela_registros[TIPO],DADOS!$P$3,tabela_registros[CATEGORIA],despesafixaconsolidadoout[[#This Row],[DESPESA FIXA]])</f>
        <v>0</v>
      </c>
      <c r="AA49" s="91">
        <f>SUMIFS(tabela_registros[VALOR],tabela_registros[MÊS],$AE$1,tabela_registros[DIA],outtotal3059718395107119131143[[#Headers],[23]],tabela_registros[REGISTRO],DADOS!$N$4,tabela_registros[TIPO],DADOS!$P$3,tabela_registros[CATEGORIA],despesafixaconsolidadoout[[#This Row],[DESPESA FIXA]])</f>
        <v>0</v>
      </c>
      <c r="AB49" s="91">
        <f>SUMIFS(tabela_registros[VALOR],tabela_registros[MÊS],$AE$1,tabela_registros[DIA],outtotal3059718395107119131143[[#Headers],[24]],tabela_registros[REGISTRO],DADOS!$N$4,tabela_registros[TIPO],DADOS!$P$3,tabela_registros[CATEGORIA],despesafixaconsolidadoout[[#This Row],[DESPESA FIXA]])</f>
        <v>0</v>
      </c>
      <c r="AC49" s="91">
        <f>SUMIFS(tabela_registros[VALOR],tabela_registros[MÊS],$AE$1,tabela_registros[DIA],outtotal3059718395107119131143[[#Headers],[25]],tabela_registros[REGISTRO],DADOS!$N$4,tabela_registros[TIPO],DADOS!$P$3,tabela_registros[CATEGORIA],despesafixaconsolidadoout[[#This Row],[DESPESA FIXA]])</f>
        <v>0</v>
      </c>
      <c r="AD49" s="91">
        <f>SUMIFS(tabela_registros[VALOR],tabela_registros[MÊS],$AE$1,tabela_registros[DIA],outtotal3059718395107119131143[[#Headers],[26]],tabela_registros[REGISTRO],DADOS!$N$4,tabela_registros[TIPO],DADOS!$P$3,tabela_registros[CATEGORIA],despesafixaconsolidadoout[[#This Row],[DESPESA FIXA]])</f>
        <v>0</v>
      </c>
      <c r="AE49" s="91">
        <f>SUMIFS(tabela_registros[VALOR],tabela_registros[MÊS],$AE$1,tabela_registros[DIA],outtotal3059718395107119131143[[#Headers],[27]],tabela_registros[REGISTRO],DADOS!$N$4,tabela_registros[TIPO],DADOS!$P$3,tabela_registros[CATEGORIA],despesafixaconsolidadoout[[#This Row],[DESPESA FIXA]])</f>
        <v>0</v>
      </c>
      <c r="AF49" s="91">
        <f>SUMIFS(tabela_registros[VALOR],tabela_registros[MÊS],$AE$1,tabela_registros[DIA],outtotal3059718395107119131143[[#Headers],[28]],tabela_registros[REGISTRO],DADOS!$N$4,tabela_registros[TIPO],DADOS!$P$3,tabela_registros[CATEGORIA],despesafixaconsolidadoout[[#This Row],[DESPESA FIXA]])</f>
        <v>0</v>
      </c>
      <c r="AG49" s="91">
        <f>SUMIFS(tabela_registros[VALOR],tabela_registros[MÊS],$AE$1,tabela_registros[DIA],outtotal3059718395107119131143[[#Headers],[29]],tabela_registros[REGISTRO],DADOS!$N$4,tabela_registros[TIPO],DADOS!$P$3,tabela_registros[CATEGORIA],despesafixaconsolidadoout[[#This Row],[DESPESA FIXA]])</f>
        <v>0</v>
      </c>
      <c r="AH49" s="91">
        <f>SUMIFS(tabela_registros[VALOR],tabela_registros[MÊS],$AE$1,tabela_registros[DIA],outtotal3059718395107119131143[[#Headers],[30]],tabela_registros[REGISTRO],DADOS!$N$4,tabela_registros[TIPO],DADOS!$P$3,tabela_registros[CATEGORIA],despesafixaconsolidadoout[[#This Row],[DESPESA FIXA]])</f>
        <v>0</v>
      </c>
      <c r="AI49" s="101">
        <f>SUMIFS(tabela_registros[VALOR],tabela_registros[MÊS],$AE$1,tabela_registros[DIA],outtotal3059718395107119131143[[#Headers],[31]],tabela_registros[REGISTRO],DADOS!$N$4,tabela_registros[TIPO],DADOS!$P$3,tabela_registros[CATEGORIA],despesafixaconsolidadoout[[#This Row],[DESPESA FIXA]])</f>
        <v>0</v>
      </c>
      <c r="AJ49" s="97">
        <f>SUM(despesafixaconsolidadoout[[#This Row],[1]:[31]])</f>
        <v>0</v>
      </c>
      <c r="AK49" s="28"/>
    </row>
    <row r="50" spans="2:37" ht="18" customHeight="1" thickTop="1" thickBot="1" x14ac:dyDescent="0.3">
      <c r="B50" s="28"/>
      <c r="C50" s="27" t="str">
        <f>DADOS!$R$16</f>
        <v>📎 OUTROS</v>
      </c>
      <c r="D50" s="26" t="str">
        <f>IF(despesafixaconsolidadoout[[#This Row],[TOTAL]]=0,"",IF(OR(despesafixaconsolidadoout[[#This Row],[TOTAL]]=LARGE($AJ$37:$AJ$50,1),despesafixaconsolidadoout[[#This Row],[TOTAL]]=LARGE($AJ$37:$AJ$50,2),despesafixaconsolidadoout[[#This Row],[TOTAL]]=LARGE($AJ$37:$AJ$50,3),despesafixaconsolidadoout[[#This Row],[TOTAL]]=LARGE($AJ$37:$AJ$50,4),despesafixaconsolidadoout[[#This Row],[TOTAL]]=LARGE($AJ$37:$AJ$50,5)),DADOS!$I$8,""))</f>
        <v/>
      </c>
      <c r="E50" s="98">
        <f>SUMIFS(tabela_registros[VALOR],tabela_registros[MÊS],$AE$1,tabela_registros[DIA],outtotal3059718395107119131143[[#Headers],[1]],tabela_registros[REGISTRO],DADOS!$N$4,tabela_registros[TIPO],DADOS!$P$3,tabela_registros[CATEGORIA],despesafixaconsolidadoout[[#This Row],[DESPESA FIXA]])</f>
        <v>0</v>
      </c>
      <c r="F50" s="99">
        <f>SUMIFS(tabela_registros[VALOR],tabela_registros[MÊS],$AE$1,tabela_registros[DIA],outtotal3059718395107119131143[[#Headers],[2]],tabela_registros[REGISTRO],DADOS!$N$4,tabela_registros[TIPO],DADOS!$P$3,tabela_registros[CATEGORIA],despesafixaconsolidadoout[[#This Row],[DESPESA FIXA]])</f>
        <v>0</v>
      </c>
      <c r="G50" s="99">
        <f>SUMIFS(tabela_registros[VALOR],tabela_registros[MÊS],$AE$1,tabela_registros[DIA],outtotal3059718395107119131143[[#Headers],[3]],tabela_registros[REGISTRO],DADOS!$N$4,tabela_registros[TIPO],DADOS!$P$3,tabela_registros[CATEGORIA],despesafixaconsolidadoout[[#This Row],[DESPESA FIXA]])</f>
        <v>0</v>
      </c>
      <c r="H50" s="99">
        <f>SUMIFS(tabela_registros[VALOR],tabela_registros[MÊS],$AE$1,tabela_registros[DIA],outtotal3059718395107119131143[[#Headers],[4]],tabela_registros[REGISTRO],DADOS!$N$4,tabela_registros[TIPO],DADOS!$P$3,tabela_registros[CATEGORIA],despesafixaconsolidadoout[[#This Row],[DESPESA FIXA]])</f>
        <v>0</v>
      </c>
      <c r="I50" s="99">
        <f>SUMIFS(tabela_registros[VALOR],tabela_registros[MÊS],$AE$1,tabela_registros[DIA],outtotal3059718395107119131143[[#Headers],[5]],tabela_registros[REGISTRO],DADOS!$N$4,tabela_registros[TIPO],DADOS!$P$3,tabela_registros[CATEGORIA],despesafixaconsolidadoout[[#This Row],[DESPESA FIXA]])</f>
        <v>0</v>
      </c>
      <c r="J50" s="99">
        <f>SUMIFS(tabela_registros[VALOR],tabela_registros[MÊS],$AE$1,tabela_registros[DIA],outtotal3059718395107119131143[[#Headers],[6]],tabela_registros[REGISTRO],DADOS!$N$4,tabela_registros[TIPO],DADOS!$P$3,tabela_registros[CATEGORIA],despesafixaconsolidadoout[[#This Row],[DESPESA FIXA]])</f>
        <v>0</v>
      </c>
      <c r="K50" s="99">
        <f>SUMIFS(tabela_registros[VALOR],tabela_registros[MÊS],$AE$1,tabela_registros[DIA],outtotal3059718395107119131143[[#Headers],[7]],tabela_registros[REGISTRO],DADOS!$N$4,tabela_registros[TIPO],DADOS!$P$3,tabela_registros[CATEGORIA],despesafixaconsolidadoout[[#This Row],[DESPESA FIXA]])</f>
        <v>0</v>
      </c>
      <c r="L50" s="99">
        <f>SUMIFS(tabela_registros[VALOR],tabela_registros[MÊS],$AE$1,tabela_registros[DIA],outtotal3059718395107119131143[[#Headers],[8]],tabela_registros[REGISTRO],DADOS!$N$4,tabela_registros[TIPO],DADOS!$P$3,tabela_registros[CATEGORIA],despesafixaconsolidadoout[[#This Row],[DESPESA FIXA]])</f>
        <v>0</v>
      </c>
      <c r="M50" s="99">
        <f>SUMIFS(tabela_registros[VALOR],tabela_registros[MÊS],$AE$1,tabela_registros[DIA],outtotal3059718395107119131143[[#Headers],[9]],tabela_registros[REGISTRO],DADOS!$N$4,tabela_registros[TIPO],DADOS!$P$3,tabela_registros[CATEGORIA],despesafixaconsolidadoout[[#This Row],[DESPESA FIXA]])</f>
        <v>0</v>
      </c>
      <c r="N50" s="99">
        <f>SUMIFS(tabela_registros[VALOR],tabela_registros[MÊS],$AE$1,tabela_registros[DIA],outtotal3059718395107119131143[[#Headers],[10]],tabela_registros[REGISTRO],DADOS!$N$4,tabela_registros[TIPO],DADOS!$P$3,tabela_registros[CATEGORIA],despesafixaconsolidadoout[[#This Row],[DESPESA FIXA]])</f>
        <v>0</v>
      </c>
      <c r="O50" s="99">
        <f>SUMIFS(tabela_registros[VALOR],tabela_registros[MÊS],$AE$1,tabela_registros[DIA],outtotal3059718395107119131143[[#Headers],[11]],tabela_registros[REGISTRO],DADOS!$N$4,tabela_registros[TIPO],DADOS!$P$3,tabela_registros[CATEGORIA],despesafixaconsolidadoout[[#This Row],[DESPESA FIXA]])</f>
        <v>0</v>
      </c>
      <c r="P50" s="99">
        <f>SUMIFS(tabela_registros[VALOR],tabela_registros[MÊS],$AE$1,tabela_registros[DIA],outtotal3059718395107119131143[[#Headers],[12]],tabela_registros[REGISTRO],DADOS!$N$4,tabela_registros[TIPO],DADOS!$P$3,tabela_registros[CATEGORIA],despesafixaconsolidadoout[[#This Row],[DESPESA FIXA]])</f>
        <v>0</v>
      </c>
      <c r="Q50" s="99">
        <f>SUMIFS(tabela_registros[VALOR],tabela_registros[MÊS],$AE$1,tabela_registros[DIA],outtotal3059718395107119131143[[#Headers],[13]],tabela_registros[REGISTRO],DADOS!$N$4,tabela_registros[TIPO],DADOS!$P$3,tabela_registros[CATEGORIA],despesafixaconsolidadoout[[#This Row],[DESPESA FIXA]])</f>
        <v>0</v>
      </c>
      <c r="R50" s="99">
        <f>SUMIFS(tabela_registros[VALOR],tabela_registros[MÊS],$AE$1,tabela_registros[DIA],outtotal3059718395107119131143[[#Headers],[14]],tabela_registros[REGISTRO],DADOS!$N$4,tabela_registros[TIPO],DADOS!$P$3,tabela_registros[CATEGORIA],despesafixaconsolidadoout[[#This Row],[DESPESA FIXA]])</f>
        <v>0</v>
      </c>
      <c r="S50" s="99">
        <f>SUMIFS(tabela_registros[VALOR],tabela_registros[MÊS],$AE$1,tabela_registros[DIA],outtotal3059718395107119131143[[#Headers],[15]],tabela_registros[REGISTRO],DADOS!$N$4,tabela_registros[TIPO],DADOS!$P$3,tabela_registros[CATEGORIA],despesafixaconsolidadoout[[#This Row],[DESPESA FIXA]])</f>
        <v>0</v>
      </c>
      <c r="T50" s="99">
        <f>SUMIFS(tabela_registros[VALOR],tabela_registros[MÊS],$AE$1,tabela_registros[DIA],outtotal3059718395107119131143[[#Headers],[16]],tabela_registros[REGISTRO],DADOS!$N$4,tabela_registros[TIPO],DADOS!$P$3,tabela_registros[CATEGORIA],despesafixaconsolidadoout[[#This Row],[DESPESA FIXA]])</f>
        <v>0</v>
      </c>
      <c r="U50" s="99">
        <f>SUMIFS(tabela_registros[VALOR],tabela_registros[MÊS],$AE$1,tabela_registros[DIA],outtotal3059718395107119131143[[#Headers],[17]],tabela_registros[REGISTRO],DADOS!$N$4,tabela_registros[TIPO],DADOS!$P$3,tabela_registros[CATEGORIA],despesafixaconsolidadoout[[#This Row],[DESPESA FIXA]])</f>
        <v>0</v>
      </c>
      <c r="V50" s="99">
        <f>SUMIFS(tabela_registros[VALOR],tabela_registros[MÊS],$AE$1,tabela_registros[DIA],outtotal3059718395107119131143[[#Headers],[18]],tabela_registros[REGISTRO],DADOS!$N$4,tabela_registros[TIPO],DADOS!$P$3,tabela_registros[CATEGORIA],despesafixaconsolidadoout[[#This Row],[DESPESA FIXA]])</f>
        <v>0</v>
      </c>
      <c r="W50" s="99">
        <f>SUMIFS(tabela_registros[VALOR],tabela_registros[MÊS],$AE$1,tabela_registros[DIA],outtotal3059718395107119131143[[#Headers],[19]],tabela_registros[REGISTRO],DADOS!$N$4,tabela_registros[TIPO],DADOS!$P$3,tabela_registros[CATEGORIA],despesafixaconsolidadoout[[#This Row],[DESPESA FIXA]])</f>
        <v>0</v>
      </c>
      <c r="X50" s="99">
        <f>SUMIFS(tabela_registros[VALOR],tabela_registros[MÊS],$AE$1,tabela_registros[DIA],outtotal3059718395107119131143[[#Headers],[20]],tabela_registros[REGISTRO],DADOS!$N$4,tabela_registros[TIPO],DADOS!$P$3,tabela_registros[CATEGORIA],despesafixaconsolidadoout[[#This Row],[DESPESA FIXA]])</f>
        <v>0</v>
      </c>
      <c r="Y50" s="99">
        <f>SUMIFS(tabela_registros[VALOR],tabela_registros[MÊS],$AE$1,tabela_registros[DIA],outtotal3059718395107119131143[[#Headers],[21]],tabela_registros[REGISTRO],DADOS!$N$4,tabela_registros[TIPO],DADOS!$P$3,tabela_registros[CATEGORIA],despesafixaconsolidadoout[[#This Row],[DESPESA FIXA]])</f>
        <v>0</v>
      </c>
      <c r="Z50" s="99">
        <f>SUMIFS(tabela_registros[VALOR],tabela_registros[MÊS],$AE$1,tabela_registros[DIA],outtotal3059718395107119131143[[#Headers],[22]],tabela_registros[REGISTRO],DADOS!$N$4,tabela_registros[TIPO],DADOS!$P$3,tabela_registros[CATEGORIA],despesafixaconsolidadoout[[#This Row],[DESPESA FIXA]])</f>
        <v>0</v>
      </c>
      <c r="AA50" s="99">
        <f>SUMIFS(tabela_registros[VALOR],tabela_registros[MÊS],$AE$1,tabela_registros[DIA],outtotal3059718395107119131143[[#Headers],[23]],tabela_registros[REGISTRO],DADOS!$N$4,tabela_registros[TIPO],DADOS!$P$3,tabela_registros[CATEGORIA],despesafixaconsolidadoout[[#This Row],[DESPESA FIXA]])</f>
        <v>0</v>
      </c>
      <c r="AB50" s="99">
        <f>SUMIFS(tabela_registros[VALOR],tabela_registros[MÊS],$AE$1,tabela_registros[DIA],outtotal3059718395107119131143[[#Headers],[24]],tabela_registros[REGISTRO],DADOS!$N$4,tabela_registros[TIPO],DADOS!$P$3,tabela_registros[CATEGORIA],despesafixaconsolidadoout[[#This Row],[DESPESA FIXA]])</f>
        <v>0</v>
      </c>
      <c r="AC50" s="99">
        <f>SUMIFS(tabela_registros[VALOR],tabela_registros[MÊS],$AE$1,tabela_registros[DIA],outtotal3059718395107119131143[[#Headers],[25]],tabela_registros[REGISTRO],DADOS!$N$4,tabela_registros[TIPO],DADOS!$P$3,tabela_registros[CATEGORIA],despesafixaconsolidadoout[[#This Row],[DESPESA FIXA]])</f>
        <v>0</v>
      </c>
      <c r="AD50" s="99">
        <f>SUMIFS(tabela_registros[VALOR],tabela_registros[MÊS],$AE$1,tabela_registros[DIA],outtotal3059718395107119131143[[#Headers],[26]],tabela_registros[REGISTRO],DADOS!$N$4,tabela_registros[TIPO],DADOS!$P$3,tabela_registros[CATEGORIA],despesafixaconsolidadoout[[#This Row],[DESPESA FIXA]])</f>
        <v>0</v>
      </c>
      <c r="AE50" s="99">
        <f>SUMIFS(tabela_registros[VALOR],tabela_registros[MÊS],$AE$1,tabela_registros[DIA],outtotal3059718395107119131143[[#Headers],[27]],tabela_registros[REGISTRO],DADOS!$N$4,tabela_registros[TIPO],DADOS!$P$3,tabela_registros[CATEGORIA],despesafixaconsolidadoout[[#This Row],[DESPESA FIXA]])</f>
        <v>0</v>
      </c>
      <c r="AF50" s="99">
        <f>SUMIFS(tabela_registros[VALOR],tabela_registros[MÊS],$AE$1,tabela_registros[DIA],outtotal3059718395107119131143[[#Headers],[28]],tabela_registros[REGISTRO],DADOS!$N$4,tabela_registros[TIPO],DADOS!$P$3,tabela_registros[CATEGORIA],despesafixaconsolidadoout[[#This Row],[DESPESA FIXA]])</f>
        <v>0</v>
      </c>
      <c r="AG50" s="99">
        <f>SUMIFS(tabela_registros[VALOR],tabela_registros[MÊS],$AE$1,tabela_registros[DIA],outtotal3059718395107119131143[[#Headers],[29]],tabela_registros[REGISTRO],DADOS!$N$4,tabela_registros[TIPO],DADOS!$P$3,tabela_registros[CATEGORIA],despesafixaconsolidadoout[[#This Row],[DESPESA FIXA]])</f>
        <v>0</v>
      </c>
      <c r="AH50" s="99">
        <f>SUMIFS(tabela_registros[VALOR],tabela_registros[MÊS],$AE$1,tabela_registros[DIA],outtotal3059718395107119131143[[#Headers],[30]],tabela_registros[REGISTRO],DADOS!$N$4,tabela_registros[TIPO],DADOS!$P$3,tabela_registros[CATEGORIA],despesafixaconsolidadoout[[#This Row],[DESPESA FIXA]])</f>
        <v>0</v>
      </c>
      <c r="AI50" s="102">
        <f>SUMIFS(tabela_registros[VALOR],tabela_registros[MÊS],$AE$1,tabela_registros[DIA],outtotal3059718395107119131143[[#Headers],[31]],tabela_registros[REGISTRO],DADOS!$N$4,tabela_registros[TIPO],DADOS!$P$3,tabela_registros[CATEGORIA],despesafixaconsolidadoout[[#This Row],[DESPESA FIXA]])</f>
        <v>0</v>
      </c>
      <c r="AJ50" s="103">
        <f>SUM(despesafixaconsolidadoout[[#This Row],[1]:[31]])</f>
        <v>0</v>
      </c>
      <c r="AK50" s="28"/>
    </row>
    <row r="51" spans="2:37" s="16" customFormat="1" ht="21" customHeight="1" thickTop="1" thickBot="1" x14ac:dyDescent="0.35">
      <c r="B51" s="24"/>
      <c r="C51" s="23" t="s">
        <v>19</v>
      </c>
      <c r="D51" s="41" t="str">
        <f>IF(despesafixaconsolidadoout[[#This Row],[TOTAL]]=0,"",IF(OR(despesafixaconsolidadoout[[#This Row],[TOTAL]]=SMALL($AJ$37:$AJ$50,1),despesafixaconsolidadoout[[#This Row],[TOTAL]]=SMALL($AJ$37:$AJ$50,2),despesafixaconsolidadoout[[#This Row],[TOTAL]]=SMALL($AJ$37:$AJ$50,3),despesafixaconsolidadoout[[#This Row],[TOTAL]]=SMALL($AJ$37:$AJ$50,4),despesafixaconsolidadoout[[#This Row],[TOTAL]]=SMALL($AJ$37:$AJ$50,5)),DADOS!$I$8,""))</f>
        <v/>
      </c>
      <c r="E51" s="21">
        <f>SUM(E37:E50)</f>
        <v>0</v>
      </c>
      <c r="F51" s="20">
        <f>SUM(F37:F50)+despesafixaconsolidadoout[[#This Row],[1]]</f>
        <v>69.900000000000006</v>
      </c>
      <c r="G51" s="20">
        <f>SUM(G37:G50)+despesafixaconsolidadoout[[#This Row],[2]]</f>
        <v>69.900000000000006</v>
      </c>
      <c r="H51" s="20">
        <f>SUM(H37:H50)+despesafixaconsolidadoout[[#This Row],[3]]</f>
        <v>69.900000000000006</v>
      </c>
      <c r="I51" s="20">
        <f>SUM(I37:I50)+despesafixaconsolidadoout[[#This Row],[4]]</f>
        <v>69.900000000000006</v>
      </c>
      <c r="J51" s="20">
        <f>SUM(J37:J50)+despesafixaconsolidadoout[[#This Row],[5]]</f>
        <v>69.900000000000006</v>
      </c>
      <c r="K51" s="20">
        <f>SUM(K37:K50)+despesafixaconsolidadoout[[#This Row],[6]]</f>
        <v>69.900000000000006</v>
      </c>
      <c r="L51" s="20">
        <f>SUM(L37:L50)+despesafixaconsolidadoout[[#This Row],[7]]</f>
        <v>69.900000000000006</v>
      </c>
      <c r="M51" s="20">
        <f>SUM(M37:M50)+despesafixaconsolidadoout[[#This Row],[8]]</f>
        <v>69.900000000000006</v>
      </c>
      <c r="N51" s="20">
        <f>SUM(N37:N50)+despesafixaconsolidadoout[[#This Row],[9]]</f>
        <v>69.900000000000006</v>
      </c>
      <c r="O51" s="20">
        <f>SUM(O37:O50)+despesafixaconsolidadoout[[#This Row],[10]]</f>
        <v>69.900000000000006</v>
      </c>
      <c r="P51" s="20">
        <f>SUM(P37:P50)+despesafixaconsolidadoout[[#This Row],[11]]</f>
        <v>69.900000000000006</v>
      </c>
      <c r="Q51" s="20">
        <f>SUM(Q37:Q50)+despesafixaconsolidadoout[[#This Row],[12]]</f>
        <v>69.900000000000006</v>
      </c>
      <c r="R51" s="20">
        <f>SUM(R37:R50)+despesafixaconsolidadoout[[#This Row],[13]]</f>
        <v>69.900000000000006</v>
      </c>
      <c r="S51" s="20">
        <f>SUM(S37:S50)+despesafixaconsolidadoout[[#This Row],[14]]</f>
        <v>69.900000000000006</v>
      </c>
      <c r="T51" s="20">
        <f>SUM(T37:T50)+despesafixaconsolidadoout[[#This Row],[15]]</f>
        <v>69.900000000000006</v>
      </c>
      <c r="U51" s="20">
        <f>SUM(U37:U50)+despesafixaconsolidadoout[[#This Row],[16]]</f>
        <v>69.900000000000006</v>
      </c>
      <c r="V51" s="20">
        <f>SUM(V37:V50)+despesafixaconsolidadoout[[#This Row],[17]]</f>
        <v>69.900000000000006</v>
      </c>
      <c r="W51" s="20">
        <f>SUM(W37:W50)+despesafixaconsolidadoout[[#This Row],[18]]</f>
        <v>69.900000000000006</v>
      </c>
      <c r="X51" s="20">
        <f>SUM(X37:X50)+despesafixaconsolidadoout[[#This Row],[19]]</f>
        <v>69.900000000000006</v>
      </c>
      <c r="Y51" s="20">
        <f>SUM(Y37:Y50)+despesafixaconsolidadoout[[#This Row],[20]]</f>
        <v>69.900000000000006</v>
      </c>
      <c r="Z51" s="20">
        <f>SUM(Z37:Z50)+despesafixaconsolidadoout[[#This Row],[21]]</f>
        <v>69.900000000000006</v>
      </c>
      <c r="AA51" s="20">
        <f>SUM(AA37:AA50)+despesafixaconsolidadoout[[#This Row],[22]]</f>
        <v>69.900000000000006</v>
      </c>
      <c r="AB51" s="20">
        <f>SUM(AB37:AB50)+despesafixaconsolidadoout[[#This Row],[23]]</f>
        <v>69.900000000000006</v>
      </c>
      <c r="AC51" s="20">
        <f>SUM(AC37:AC50)+despesafixaconsolidadoout[[#This Row],[24]]</f>
        <v>69.900000000000006</v>
      </c>
      <c r="AD51" s="20">
        <f>SUM(AD37:AD50)+despesafixaconsolidadoout[[#This Row],[25]]</f>
        <v>69.900000000000006</v>
      </c>
      <c r="AE51" s="20">
        <f>SUM(AE37:AE50)+despesafixaconsolidadoout[[#This Row],[26]]</f>
        <v>69.900000000000006</v>
      </c>
      <c r="AF51" s="20">
        <f>SUM(AF37:AF50)+despesafixaconsolidadoout[[#This Row],[27]]</f>
        <v>69.900000000000006</v>
      </c>
      <c r="AG51" s="20">
        <f>SUM(AG37:AG50)+despesafixaconsolidadoout[[#This Row],[28]]</f>
        <v>69.900000000000006</v>
      </c>
      <c r="AH51" s="20">
        <f>SUM(AH37:AH50)+despesafixaconsolidadoout[[#This Row],[29]]</f>
        <v>69.900000000000006</v>
      </c>
      <c r="AI51" s="19">
        <f>SUM(AI37:AI50)+despesafixaconsolidadoout[[#This Row],[30]]</f>
        <v>69.900000000000006</v>
      </c>
      <c r="AJ51" s="18">
        <f>despesafixaconsolidadoout[[#This Row],[31]]</f>
        <v>69.900000000000006</v>
      </c>
      <c r="AK51" s="17"/>
    </row>
    <row r="52" spans="2:37" ht="6.75" customHeight="1" thickTop="1" thickBot="1" x14ac:dyDescent="0.3">
      <c r="B52" s="15"/>
      <c r="C52" s="40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39"/>
      <c r="AG52" s="39"/>
      <c r="AH52" s="39"/>
      <c r="AI52" s="48"/>
      <c r="AJ52" s="15"/>
      <c r="AK52" s="10"/>
    </row>
    <row r="53" spans="2:37" ht="12.6" thickTop="1" x14ac:dyDescent="0.25">
      <c r="C53" s="46"/>
      <c r="D53" s="47"/>
      <c r="E53" s="47"/>
      <c r="F53" s="47"/>
      <c r="G53" s="47"/>
      <c r="H53" s="47"/>
      <c r="I53" s="47"/>
      <c r="J53" s="47"/>
      <c r="K53" s="47"/>
      <c r="L53" s="47"/>
      <c r="M53" s="47"/>
      <c r="N53" s="47"/>
      <c r="O53" s="47"/>
      <c r="P53" s="47"/>
      <c r="Q53" s="47"/>
      <c r="R53" s="47"/>
      <c r="S53" s="47"/>
      <c r="T53" s="47"/>
      <c r="U53" s="47"/>
      <c r="V53" s="47"/>
      <c r="W53" s="47"/>
      <c r="X53" s="47"/>
      <c r="Y53" s="47"/>
      <c r="Z53" s="47"/>
      <c r="AA53" s="47"/>
      <c r="AB53" s="47"/>
      <c r="AC53" s="47"/>
      <c r="AD53" s="47"/>
      <c r="AE53" s="47"/>
      <c r="AF53" s="47"/>
      <c r="AG53" s="47"/>
      <c r="AH53" s="47"/>
      <c r="AI53" s="47"/>
      <c r="AK53" s="37"/>
    </row>
    <row r="54" spans="2:37" x14ac:dyDescent="0.25">
      <c r="C54" s="46"/>
      <c r="D54" s="47"/>
      <c r="E54" s="47"/>
      <c r="F54" s="47"/>
      <c r="G54" s="47"/>
      <c r="H54" s="47"/>
      <c r="I54" s="47"/>
      <c r="J54" s="47"/>
      <c r="K54" s="47"/>
      <c r="L54" s="47"/>
      <c r="M54" s="47"/>
      <c r="N54" s="47"/>
      <c r="O54" s="47"/>
      <c r="P54" s="47"/>
      <c r="Q54" s="47"/>
      <c r="R54" s="47"/>
      <c r="S54" s="47"/>
      <c r="T54" s="47"/>
      <c r="U54" s="47"/>
      <c r="V54" s="47"/>
      <c r="W54" s="47"/>
      <c r="X54" s="47"/>
      <c r="Y54" s="47"/>
      <c r="Z54" s="47"/>
      <c r="AA54" s="47"/>
      <c r="AB54" s="47"/>
      <c r="AC54" s="47"/>
      <c r="AD54" s="47"/>
      <c r="AE54" s="47"/>
      <c r="AF54" s="47"/>
      <c r="AG54" s="47"/>
      <c r="AH54" s="47"/>
      <c r="AI54" s="47"/>
    </row>
    <row r="55" spans="2:37" x14ac:dyDescent="0.25">
      <c r="C55" s="46"/>
      <c r="D55" s="47"/>
      <c r="E55" s="47"/>
      <c r="F55" s="47"/>
      <c r="G55" s="47"/>
      <c r="H55" s="47"/>
      <c r="I55" s="47"/>
      <c r="J55" s="47"/>
      <c r="K55" s="47"/>
      <c r="L55" s="47"/>
      <c r="M55" s="47"/>
      <c r="N55" s="47"/>
      <c r="O55" s="47"/>
      <c r="P55" s="47"/>
      <c r="Q55" s="47"/>
      <c r="R55" s="47"/>
      <c r="S55" s="47"/>
      <c r="T55" s="47"/>
      <c r="U55" s="47"/>
      <c r="V55" s="47"/>
      <c r="W55" s="47"/>
      <c r="X55" s="47"/>
      <c r="Y55" s="47"/>
      <c r="Z55" s="47"/>
      <c r="AA55" s="47"/>
      <c r="AB55" s="47"/>
      <c r="AC55" s="47"/>
      <c r="AD55" s="47"/>
      <c r="AE55" s="47"/>
      <c r="AF55" s="47"/>
      <c r="AG55" s="47"/>
      <c r="AH55" s="47"/>
      <c r="AI55" s="47"/>
    </row>
    <row r="56" spans="2:37" ht="39.75" customHeight="1" x14ac:dyDescent="0.25">
      <c r="C56" s="46"/>
      <c r="E56" s="240"/>
      <c r="F56" s="240"/>
      <c r="G56" s="240"/>
      <c r="H56" s="240"/>
      <c r="I56" s="240"/>
      <c r="J56" s="240"/>
      <c r="K56" s="240"/>
      <c r="L56" s="240"/>
      <c r="M56" s="240"/>
      <c r="N56" s="240"/>
      <c r="O56" s="240"/>
      <c r="P56" s="240"/>
      <c r="Q56" s="240"/>
      <c r="R56" s="240"/>
      <c r="S56" s="240"/>
      <c r="T56" s="240"/>
      <c r="U56" s="240"/>
      <c r="V56" s="240"/>
      <c r="W56" s="240"/>
      <c r="X56" s="240"/>
      <c r="Y56" s="240"/>
      <c r="Z56" s="240"/>
      <c r="AA56" s="240"/>
      <c r="AB56" s="240"/>
      <c r="AC56" s="240"/>
      <c r="AD56" s="240"/>
      <c r="AE56" s="240"/>
      <c r="AF56" s="240"/>
      <c r="AG56" s="240"/>
      <c r="AH56" s="240"/>
      <c r="AI56" s="240"/>
      <c r="AJ56" s="32" t="s">
        <v>19</v>
      </c>
    </row>
    <row r="57" spans="2:37" ht="11.25" customHeight="1" thickBot="1" x14ac:dyDescent="0.75">
      <c r="C57" s="36"/>
      <c r="AI57" s="4"/>
      <c r="AJ57" s="34" t="s">
        <v>202</v>
      </c>
    </row>
    <row r="58" spans="2:37" ht="6.75" customHeight="1" thickTop="1" thickBot="1" x14ac:dyDescent="0.3">
      <c r="B58" s="33"/>
      <c r="C58" s="45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44"/>
      <c r="AH58" s="44"/>
      <c r="AI58" s="44"/>
      <c r="AJ58" s="43"/>
      <c r="AK58" s="33"/>
    </row>
    <row r="59" spans="2:37" ht="12.6" hidden="1" thickBot="1" x14ac:dyDescent="0.3">
      <c r="B59" s="2"/>
      <c r="C59" s="31" t="s">
        <v>116</v>
      </c>
      <c r="D59" s="30" t="s">
        <v>198</v>
      </c>
      <c r="E59" s="30" t="s">
        <v>197</v>
      </c>
      <c r="F59" s="30" t="s">
        <v>196</v>
      </c>
      <c r="G59" s="30" t="s">
        <v>195</v>
      </c>
      <c r="H59" s="30" t="s">
        <v>194</v>
      </c>
      <c r="I59" s="30" t="s">
        <v>193</v>
      </c>
      <c r="J59" s="30" t="s">
        <v>192</v>
      </c>
      <c r="K59" s="30" t="s">
        <v>191</v>
      </c>
      <c r="L59" s="30" t="s">
        <v>190</v>
      </c>
      <c r="M59" s="30" t="s">
        <v>189</v>
      </c>
      <c r="N59" s="30" t="s">
        <v>188</v>
      </c>
      <c r="O59" s="30" t="s">
        <v>187</v>
      </c>
      <c r="P59" s="30" t="s">
        <v>186</v>
      </c>
      <c r="Q59" s="30" t="s">
        <v>185</v>
      </c>
      <c r="R59" s="30" t="s">
        <v>184</v>
      </c>
      <c r="S59" s="30" t="s">
        <v>183</v>
      </c>
      <c r="T59" s="30" t="s">
        <v>182</v>
      </c>
      <c r="U59" s="30" t="s">
        <v>181</v>
      </c>
      <c r="V59" s="30" t="s">
        <v>180</v>
      </c>
      <c r="W59" s="30" t="s">
        <v>179</v>
      </c>
      <c r="X59" s="30" t="s">
        <v>178</v>
      </c>
      <c r="Y59" s="30" t="s">
        <v>177</v>
      </c>
      <c r="Z59" s="30" t="s">
        <v>176</v>
      </c>
      <c r="AA59" s="30" t="s">
        <v>175</v>
      </c>
      <c r="AB59" s="30" t="s">
        <v>174</v>
      </c>
      <c r="AC59" s="30" t="s">
        <v>173</v>
      </c>
      <c r="AD59" s="30" t="s">
        <v>172</v>
      </c>
      <c r="AE59" s="30" t="s">
        <v>171</v>
      </c>
      <c r="AF59" s="30" t="s">
        <v>170</v>
      </c>
      <c r="AG59" s="30" t="s">
        <v>169</v>
      </c>
      <c r="AH59" s="30" t="s">
        <v>168</v>
      </c>
      <c r="AI59" s="30" t="s">
        <v>167</v>
      </c>
      <c r="AJ59" s="42" t="s">
        <v>19</v>
      </c>
      <c r="AK59" s="2" t="s">
        <v>203</v>
      </c>
    </row>
    <row r="60" spans="2:37" ht="19.5" customHeight="1" thickTop="1" thickBot="1" x14ac:dyDescent="0.3">
      <c r="B60" s="28"/>
      <c r="C60" s="27" t="str">
        <f>DADOS!$T$3</f>
        <v>🍕 ALIMENTAÇÃO</v>
      </c>
      <c r="D60" s="26" t="str">
        <f>IF(despesavariávelconsolidadoout[[#This Row],[TOTAL]]=0,"",IF(OR(despesavariávelconsolidadoout[[#This Row],[TOTAL]]=LARGE($AJ$60:$AJ$72,1),despesavariávelconsolidadoout[[#This Row],[TOTAL]]=LARGE($AJ$60:$AJ$72,2),despesavariávelconsolidadoout[[#This Row],[TOTAL]]=LARGE($AJ$60:$AJ$72,3),despesavariávelconsolidadoout[[#This Row],[TOTAL]]=LARGE($AJ$60:$AJ$72,4),despesavariávelconsolidadoout[[#This Row],[TOTAL]]=LARGE($AJ$60:$AJ$72,5)),DADOS!$I$8,""))</f>
        <v/>
      </c>
      <c r="E60" s="94">
        <f>SUMIFS(tabela_registros[VALOR],tabela_registros[MÊS],$AE$1,tabela_registros[DIA],outtotal3059718395107119131143[[#Headers],[1]],tabela_registros[REGISTRO],DADOS!$N$4,tabela_registros[TIPO],DADOS!$P$4,tabela_registros[CATEGORIA],despesavariávelconsolidadoout[[#This Row],[DESPESA VARIÁVEL]])</f>
        <v>0</v>
      </c>
      <c r="F60" s="88">
        <f>SUMIFS(tabela_registros[VALOR],tabela_registros[MÊS],$AE$1,tabela_registros[DIA],outtotal3059718395107119131143[[#Headers],[2]],tabela_registros[REGISTRO],DADOS!$N$4,tabela_registros[TIPO],DADOS!$P$4,tabela_registros[CATEGORIA],despesavariávelconsolidadoout[[#This Row],[DESPESA VARIÁVEL]])</f>
        <v>0</v>
      </c>
      <c r="G60" s="88">
        <f>SUMIFS(tabela_registros[VALOR],tabela_registros[MÊS],$AE$1,tabela_registros[DIA],outtotal3059718395107119131143[[#Headers],[3]],tabela_registros[REGISTRO],DADOS!$N$4,tabela_registros[TIPO],DADOS!$P$4,tabela_registros[CATEGORIA],despesavariávelconsolidadoout[[#This Row],[DESPESA VARIÁVEL]])</f>
        <v>0</v>
      </c>
      <c r="H60" s="88">
        <f>SUMIFS(tabela_registros[VALOR],tabela_registros[MÊS],$AE$1,tabela_registros[DIA],outtotal3059718395107119131143[[#Headers],[4]],tabela_registros[REGISTRO],DADOS!$N$4,tabela_registros[TIPO],DADOS!$P$4,tabela_registros[CATEGORIA],despesavariávelconsolidadoout[[#This Row],[DESPESA VARIÁVEL]])</f>
        <v>0</v>
      </c>
      <c r="I60" s="88">
        <f>SUMIFS(tabela_registros[VALOR],tabela_registros[MÊS],$AE$1,tabela_registros[DIA],outtotal3059718395107119131143[[#Headers],[5]],tabela_registros[REGISTRO],DADOS!$N$4,tabela_registros[TIPO],DADOS!$P$4,tabela_registros[CATEGORIA],despesavariávelconsolidadoout[[#This Row],[DESPESA VARIÁVEL]])</f>
        <v>0</v>
      </c>
      <c r="J60" s="88">
        <f>SUMIFS(tabela_registros[VALOR],tabela_registros[MÊS],$AE$1,tabela_registros[DIA],outtotal3059718395107119131143[[#Headers],[6]],tabela_registros[REGISTRO],DADOS!$N$4,tabela_registros[TIPO],DADOS!$P$4,tabela_registros[CATEGORIA],despesavariávelconsolidadoout[[#This Row],[DESPESA VARIÁVEL]])</f>
        <v>0</v>
      </c>
      <c r="K60" s="88">
        <f>SUMIFS(tabela_registros[VALOR],tabela_registros[MÊS],$AE$1,tabela_registros[DIA],outtotal3059718395107119131143[[#Headers],[7]],tabela_registros[REGISTRO],DADOS!$N$4,tabela_registros[TIPO],DADOS!$P$4,tabela_registros[CATEGORIA],despesavariávelconsolidadoout[[#This Row],[DESPESA VARIÁVEL]])</f>
        <v>0</v>
      </c>
      <c r="L60" s="88">
        <f>SUMIFS(tabela_registros[VALOR],tabela_registros[MÊS],$AE$1,tabela_registros[DIA],outtotal3059718395107119131143[[#Headers],[8]],tabela_registros[REGISTRO],DADOS!$N$4,tabela_registros[TIPO],DADOS!$P$4,tabela_registros[CATEGORIA],despesavariávelconsolidadoout[[#This Row],[DESPESA VARIÁVEL]])</f>
        <v>0</v>
      </c>
      <c r="M60" s="88">
        <f>SUMIFS(tabela_registros[VALOR],tabela_registros[MÊS],$AE$1,tabela_registros[DIA],outtotal3059718395107119131143[[#Headers],[9]],tabela_registros[REGISTRO],DADOS!$N$4,tabela_registros[TIPO],DADOS!$P$4,tabela_registros[CATEGORIA],despesavariávelconsolidadoout[[#This Row],[DESPESA VARIÁVEL]])</f>
        <v>0</v>
      </c>
      <c r="N60" s="88">
        <f>SUMIFS(tabela_registros[VALOR],tabela_registros[MÊS],$AE$1,tabela_registros[DIA],outtotal3059718395107119131143[[#Headers],[10]],tabela_registros[REGISTRO],DADOS!$N$4,tabela_registros[TIPO],DADOS!$P$4,tabela_registros[CATEGORIA],despesavariávelconsolidadoout[[#This Row],[DESPESA VARIÁVEL]])</f>
        <v>0</v>
      </c>
      <c r="O60" s="88">
        <f>SUMIFS(tabela_registros[VALOR],tabela_registros[MÊS],$AE$1,tabela_registros[DIA],outtotal3059718395107119131143[[#Headers],[11]],tabela_registros[REGISTRO],DADOS!$N$4,tabela_registros[TIPO],DADOS!$P$4,tabela_registros[CATEGORIA],despesavariávelconsolidadoout[[#This Row],[DESPESA VARIÁVEL]])</f>
        <v>0</v>
      </c>
      <c r="P60" s="88">
        <f>SUMIFS(tabela_registros[VALOR],tabela_registros[MÊS],$AE$1,tabela_registros[DIA],outtotal3059718395107119131143[[#Headers],[12]],tabela_registros[REGISTRO],DADOS!$N$4,tabela_registros[TIPO],DADOS!$P$4,tabela_registros[CATEGORIA],despesavariávelconsolidadoout[[#This Row],[DESPESA VARIÁVEL]])</f>
        <v>0</v>
      </c>
      <c r="Q60" s="88">
        <f>SUMIFS(tabela_registros[VALOR],tabela_registros[MÊS],$AE$1,tabela_registros[DIA],outtotal3059718395107119131143[[#Headers],[13]],tabela_registros[REGISTRO],DADOS!$N$4,tabela_registros[TIPO],DADOS!$P$4,tabela_registros[CATEGORIA],despesavariávelconsolidadoout[[#This Row],[DESPESA VARIÁVEL]])</f>
        <v>0</v>
      </c>
      <c r="R60" s="88">
        <f>SUMIFS(tabela_registros[VALOR],tabela_registros[MÊS],$AE$1,tabela_registros[DIA],outtotal3059718395107119131143[[#Headers],[14]],tabela_registros[REGISTRO],DADOS!$N$4,tabela_registros[TIPO],DADOS!$P$4,tabela_registros[CATEGORIA],despesavariávelconsolidadoout[[#This Row],[DESPESA VARIÁVEL]])</f>
        <v>0</v>
      </c>
      <c r="S60" s="88">
        <f>SUMIFS(tabela_registros[VALOR],tabela_registros[MÊS],$AE$1,tabela_registros[DIA],outtotal3059718395107119131143[[#Headers],[15]],tabela_registros[REGISTRO],DADOS!$N$4,tabela_registros[TIPO],DADOS!$P$4,tabela_registros[CATEGORIA],despesavariávelconsolidadoout[[#This Row],[DESPESA VARIÁVEL]])</f>
        <v>0</v>
      </c>
      <c r="T60" s="88">
        <f>SUMIFS(tabela_registros[VALOR],tabela_registros[MÊS],$AE$1,tabela_registros[DIA],outtotal3059718395107119131143[[#Headers],[16]],tabela_registros[REGISTRO],DADOS!$N$4,tabela_registros[TIPO],DADOS!$P$4,tabela_registros[CATEGORIA],despesavariávelconsolidadoout[[#This Row],[DESPESA VARIÁVEL]])</f>
        <v>0</v>
      </c>
      <c r="U60" s="88">
        <f>SUMIFS(tabela_registros[VALOR],tabela_registros[MÊS],$AE$1,tabela_registros[DIA],outtotal3059718395107119131143[[#Headers],[17]],tabela_registros[REGISTRO],DADOS!$N$4,tabela_registros[TIPO],DADOS!$P$4,tabela_registros[CATEGORIA],despesavariávelconsolidadoout[[#This Row],[DESPESA VARIÁVEL]])</f>
        <v>0</v>
      </c>
      <c r="V60" s="88">
        <f>SUMIFS(tabela_registros[VALOR],tabela_registros[MÊS],$AE$1,tabela_registros[DIA],outtotal3059718395107119131143[[#Headers],[18]],tabela_registros[REGISTRO],DADOS!$N$4,tabela_registros[TIPO],DADOS!$P$4,tabela_registros[CATEGORIA],despesavariávelconsolidadoout[[#This Row],[DESPESA VARIÁVEL]])</f>
        <v>0</v>
      </c>
      <c r="W60" s="88">
        <f>SUMIFS(tabela_registros[VALOR],tabela_registros[MÊS],$AE$1,tabela_registros[DIA],outtotal3059718395107119131143[[#Headers],[19]],tabela_registros[REGISTRO],DADOS!$N$4,tabela_registros[TIPO],DADOS!$P$4,tabela_registros[CATEGORIA],despesavariávelconsolidadoout[[#This Row],[DESPESA VARIÁVEL]])</f>
        <v>0</v>
      </c>
      <c r="X60" s="88">
        <f>SUMIFS(tabela_registros[VALOR],tabela_registros[MÊS],$AE$1,tabela_registros[DIA],outtotal3059718395107119131143[[#Headers],[20]],tabela_registros[REGISTRO],DADOS!$N$4,tabela_registros[TIPO],DADOS!$P$4,tabela_registros[CATEGORIA],despesavariávelconsolidadoout[[#This Row],[DESPESA VARIÁVEL]])</f>
        <v>0</v>
      </c>
      <c r="Y60" s="88">
        <f>SUMIFS(tabela_registros[VALOR],tabela_registros[MÊS],$AE$1,tabela_registros[DIA],outtotal3059718395107119131143[[#Headers],[21]],tabela_registros[REGISTRO],DADOS!$N$4,tabela_registros[TIPO],DADOS!$P$4,tabela_registros[CATEGORIA],despesavariávelconsolidadoout[[#This Row],[DESPESA VARIÁVEL]])</f>
        <v>0</v>
      </c>
      <c r="Z60" s="88">
        <f>SUMIFS(tabela_registros[VALOR],tabela_registros[MÊS],$AE$1,tabela_registros[DIA],outtotal3059718395107119131143[[#Headers],[22]],tabela_registros[REGISTRO],DADOS!$N$4,tabela_registros[TIPO],DADOS!$P$4,tabela_registros[CATEGORIA],despesavariávelconsolidadoout[[#This Row],[DESPESA VARIÁVEL]])</f>
        <v>0</v>
      </c>
      <c r="AA60" s="88">
        <f>SUMIFS(tabela_registros[VALOR],tabela_registros[MÊS],$AE$1,tabela_registros[DIA],outtotal3059718395107119131143[[#Headers],[23]],tabela_registros[REGISTRO],DADOS!$N$4,tabela_registros[TIPO],DADOS!$P$4,tabela_registros[CATEGORIA],despesavariávelconsolidadoout[[#This Row],[DESPESA VARIÁVEL]])</f>
        <v>0</v>
      </c>
      <c r="AB60" s="88">
        <f>SUMIFS(tabela_registros[VALOR],tabela_registros[MÊS],$AE$1,tabela_registros[DIA],outtotal3059718395107119131143[[#Headers],[24]],tabela_registros[REGISTRO],DADOS!$N$4,tabela_registros[TIPO],DADOS!$P$4,tabela_registros[CATEGORIA],despesavariávelconsolidadoout[[#This Row],[DESPESA VARIÁVEL]])</f>
        <v>0</v>
      </c>
      <c r="AC60" s="88">
        <f>SUMIFS(tabela_registros[VALOR],tabela_registros[MÊS],$AE$1,tabela_registros[DIA],outtotal3059718395107119131143[[#Headers],[25]],tabela_registros[REGISTRO],DADOS!$N$4,tabela_registros[TIPO],DADOS!$P$4,tabela_registros[CATEGORIA],despesavariávelconsolidadoout[[#This Row],[DESPESA VARIÁVEL]])</f>
        <v>0</v>
      </c>
      <c r="AD60" s="88">
        <f>SUMIFS(tabela_registros[VALOR],tabela_registros[MÊS],$AE$1,tabela_registros[DIA],outtotal3059718395107119131143[[#Headers],[26]],tabela_registros[REGISTRO],DADOS!$N$4,tabela_registros[TIPO],DADOS!$P$4,tabela_registros[CATEGORIA],despesavariávelconsolidadoout[[#This Row],[DESPESA VARIÁVEL]])</f>
        <v>0</v>
      </c>
      <c r="AE60" s="88">
        <f>SUMIFS(tabela_registros[VALOR],tabela_registros[MÊS],$AE$1,tabela_registros[DIA],outtotal3059718395107119131143[[#Headers],[27]],tabela_registros[REGISTRO],DADOS!$N$4,tabela_registros[TIPO],DADOS!$P$4,tabela_registros[CATEGORIA],despesavariávelconsolidadoout[[#This Row],[DESPESA VARIÁVEL]])</f>
        <v>0</v>
      </c>
      <c r="AF60" s="88">
        <f>SUMIFS(tabela_registros[VALOR],tabela_registros[MÊS],$AE$1,tabela_registros[DIA],outtotal3059718395107119131143[[#Headers],[28]],tabela_registros[REGISTRO],DADOS!$N$4,tabela_registros[TIPO],DADOS!$P$4,tabela_registros[CATEGORIA],despesavariávelconsolidadoout[[#This Row],[DESPESA VARIÁVEL]])</f>
        <v>0</v>
      </c>
      <c r="AG60" s="88">
        <f>SUMIFS(tabela_registros[VALOR],tabela_registros[MÊS],$AE$1,tabela_registros[DIA],outtotal3059718395107119131143[[#Headers],[29]],tabela_registros[REGISTRO],DADOS!$N$4,tabela_registros[TIPO],DADOS!$P$4,tabela_registros[CATEGORIA],despesavariávelconsolidadoout[[#This Row],[DESPESA VARIÁVEL]])</f>
        <v>0</v>
      </c>
      <c r="AH60" s="88">
        <f>SUMIFS(tabela_registros[VALOR],tabela_registros[MÊS],$AE$1,tabela_registros[DIA],outtotal3059718395107119131143[[#Headers],[30]],tabela_registros[REGISTRO],DADOS!$N$4,tabela_registros[TIPO],DADOS!$P$4,tabela_registros[CATEGORIA],despesavariávelconsolidadoout[[#This Row],[DESPESA VARIÁVEL]])</f>
        <v>0</v>
      </c>
      <c r="AI60" s="100">
        <f>SUMIFS(tabela_registros[VALOR],tabela_registros[MÊS],$AE$1,tabela_registros[DIA],outtotal3059718395107119131143[[#Headers],[31]],tabela_registros[REGISTRO],DADOS!$N$4,tabela_registros[TIPO],DADOS!$P$4,tabela_registros[CATEGORIA],despesavariávelconsolidadoout[[#This Row],[DESPESA VARIÁVEL]])</f>
        <v>0</v>
      </c>
      <c r="AJ60" s="95">
        <f>SUM(despesavariávelconsolidadoout[[#This Row],[1]:[31]])</f>
        <v>0</v>
      </c>
      <c r="AK60" s="28"/>
    </row>
    <row r="61" spans="2:37" ht="18" customHeight="1" thickTop="1" thickBot="1" x14ac:dyDescent="0.3">
      <c r="B61" s="28"/>
      <c r="C61" s="27" t="str">
        <f>DADOS!$T$4</f>
        <v>💳 CARTÃO DE CRÉDITO</v>
      </c>
      <c r="D61" s="26" t="str">
        <f>IF(despesavariávelconsolidadoout[[#This Row],[TOTAL]]=0,"",IF(OR(despesavariávelconsolidadoout[[#This Row],[TOTAL]]=LARGE($AJ$60:$AJ$72,1),despesavariávelconsolidadoout[[#This Row],[TOTAL]]=LARGE($AJ$60:$AJ$72,2),despesavariávelconsolidadoout[[#This Row],[TOTAL]]=LARGE($AJ$60:$AJ$72,3),despesavariávelconsolidadoout[[#This Row],[TOTAL]]=LARGE($AJ$60:$AJ$72,4),despesavariávelconsolidadoout[[#This Row],[TOTAL]]=LARGE($AJ$60:$AJ$72,5)),DADOS!$I$8,""))</f>
        <v/>
      </c>
      <c r="E61" s="96">
        <f>SUMIFS(tabela_registros[VALOR],tabela_registros[MÊS],$AE$1,tabela_registros[DIA],outtotal3059718395107119131143[[#Headers],[1]],tabela_registros[REGISTRO],DADOS!$N$4,tabela_registros[TIPO],DADOS!$P$4,tabela_registros[CATEGORIA],despesavariávelconsolidadoout[[#This Row],[DESPESA VARIÁVEL]])</f>
        <v>0</v>
      </c>
      <c r="F61" s="91">
        <f>SUMIFS(tabela_registros[VALOR],tabela_registros[MÊS],$AE$1,tabela_registros[DIA],outtotal3059718395107119131143[[#Headers],[2]],tabela_registros[REGISTRO],DADOS!$N$4,tabela_registros[TIPO],DADOS!$P$4,tabela_registros[CATEGORIA],despesavariávelconsolidadoout[[#This Row],[DESPESA VARIÁVEL]])</f>
        <v>0</v>
      </c>
      <c r="G61" s="91">
        <f>SUMIFS(tabela_registros[VALOR],tabela_registros[MÊS],$AE$1,tabela_registros[DIA],outtotal3059718395107119131143[[#Headers],[3]],tabela_registros[REGISTRO],DADOS!$N$4,tabela_registros[TIPO],DADOS!$P$4,tabela_registros[CATEGORIA],despesavariávelconsolidadoout[[#This Row],[DESPESA VARIÁVEL]])</f>
        <v>0</v>
      </c>
      <c r="H61" s="91">
        <f>SUMIFS(tabela_registros[VALOR],tabela_registros[MÊS],$AE$1,tabela_registros[DIA],outtotal3059718395107119131143[[#Headers],[4]],tabela_registros[REGISTRO],DADOS!$N$4,tabela_registros[TIPO],DADOS!$P$4,tabela_registros[CATEGORIA],despesavariávelconsolidadoout[[#This Row],[DESPESA VARIÁVEL]])</f>
        <v>0</v>
      </c>
      <c r="I61" s="91">
        <f>SUMIFS(tabela_registros[VALOR],tabela_registros[MÊS],$AE$1,tabela_registros[DIA],outtotal3059718395107119131143[[#Headers],[5]],tabela_registros[REGISTRO],DADOS!$N$4,tabela_registros[TIPO],DADOS!$P$4,tabela_registros[CATEGORIA],despesavariávelconsolidadoout[[#This Row],[DESPESA VARIÁVEL]])</f>
        <v>0</v>
      </c>
      <c r="J61" s="91">
        <f>SUMIFS(tabela_registros[VALOR],tabela_registros[MÊS],$AE$1,tabela_registros[DIA],outtotal3059718395107119131143[[#Headers],[6]],tabela_registros[REGISTRO],DADOS!$N$4,tabela_registros[TIPO],DADOS!$P$4,tabela_registros[CATEGORIA],despesavariávelconsolidadoout[[#This Row],[DESPESA VARIÁVEL]])</f>
        <v>0</v>
      </c>
      <c r="K61" s="91">
        <f>SUMIFS(tabela_registros[VALOR],tabela_registros[MÊS],$AE$1,tabela_registros[DIA],outtotal3059718395107119131143[[#Headers],[7]],tabela_registros[REGISTRO],DADOS!$N$4,tabela_registros[TIPO],DADOS!$P$4,tabela_registros[CATEGORIA],despesavariávelconsolidadoout[[#This Row],[DESPESA VARIÁVEL]])</f>
        <v>0</v>
      </c>
      <c r="L61" s="91">
        <f>SUMIFS(tabela_registros[VALOR],tabela_registros[MÊS],$AE$1,tabela_registros[DIA],outtotal3059718395107119131143[[#Headers],[8]],tabela_registros[REGISTRO],DADOS!$N$4,tabela_registros[TIPO],DADOS!$P$4,tabela_registros[CATEGORIA],despesavariávelconsolidadoout[[#This Row],[DESPESA VARIÁVEL]])</f>
        <v>0</v>
      </c>
      <c r="M61" s="91">
        <f>SUMIFS(tabela_registros[VALOR],tabela_registros[MÊS],$AE$1,tabela_registros[DIA],outtotal3059718395107119131143[[#Headers],[9]],tabela_registros[REGISTRO],DADOS!$N$4,tabela_registros[TIPO],DADOS!$P$4,tabela_registros[CATEGORIA],despesavariávelconsolidadoout[[#This Row],[DESPESA VARIÁVEL]])</f>
        <v>0</v>
      </c>
      <c r="N61" s="91">
        <f>SUMIFS(tabela_registros[VALOR],tabela_registros[MÊS],$AE$1,tabela_registros[DIA],outtotal3059718395107119131143[[#Headers],[10]],tabela_registros[REGISTRO],DADOS!$N$4,tabela_registros[TIPO],DADOS!$P$4,tabela_registros[CATEGORIA],despesavariávelconsolidadoout[[#This Row],[DESPESA VARIÁVEL]])</f>
        <v>0</v>
      </c>
      <c r="O61" s="91">
        <f>SUMIFS(tabela_registros[VALOR],tabela_registros[MÊS],$AE$1,tabela_registros[DIA],outtotal3059718395107119131143[[#Headers],[11]],tabela_registros[REGISTRO],DADOS!$N$4,tabela_registros[TIPO],DADOS!$P$4,tabela_registros[CATEGORIA],despesavariávelconsolidadoout[[#This Row],[DESPESA VARIÁVEL]])</f>
        <v>0</v>
      </c>
      <c r="P61" s="91">
        <f>SUMIFS(tabela_registros[VALOR],tabela_registros[MÊS],$AE$1,tabela_registros[DIA],outtotal3059718395107119131143[[#Headers],[12]],tabela_registros[REGISTRO],DADOS!$N$4,tabela_registros[TIPO],DADOS!$P$4,tabela_registros[CATEGORIA],despesavariávelconsolidadoout[[#This Row],[DESPESA VARIÁVEL]])</f>
        <v>0</v>
      </c>
      <c r="Q61" s="91">
        <f>SUMIFS(tabela_registros[VALOR],tabela_registros[MÊS],$AE$1,tabela_registros[DIA],outtotal3059718395107119131143[[#Headers],[13]],tabela_registros[REGISTRO],DADOS!$N$4,tabela_registros[TIPO],DADOS!$P$4,tabela_registros[CATEGORIA],despesavariávelconsolidadoout[[#This Row],[DESPESA VARIÁVEL]])</f>
        <v>0</v>
      </c>
      <c r="R61" s="91">
        <f>SUMIFS(tabela_registros[VALOR],tabela_registros[MÊS],$AE$1,tabela_registros[DIA],outtotal3059718395107119131143[[#Headers],[14]],tabela_registros[REGISTRO],DADOS!$N$4,tabela_registros[TIPO],DADOS!$P$4,tabela_registros[CATEGORIA],despesavariávelconsolidadoout[[#This Row],[DESPESA VARIÁVEL]])</f>
        <v>0</v>
      </c>
      <c r="S61" s="91">
        <f>SUMIFS(tabela_registros[VALOR],tabela_registros[MÊS],$AE$1,tabela_registros[DIA],outtotal3059718395107119131143[[#Headers],[15]],tabela_registros[REGISTRO],DADOS!$N$4,tabela_registros[TIPO],DADOS!$P$4,tabela_registros[CATEGORIA],despesavariávelconsolidadoout[[#This Row],[DESPESA VARIÁVEL]])</f>
        <v>0</v>
      </c>
      <c r="T61" s="91">
        <f>SUMIFS(tabela_registros[VALOR],tabela_registros[MÊS],$AE$1,tabela_registros[DIA],outtotal3059718395107119131143[[#Headers],[16]],tabela_registros[REGISTRO],DADOS!$N$4,tabela_registros[TIPO],DADOS!$P$4,tabela_registros[CATEGORIA],despesavariávelconsolidadoout[[#This Row],[DESPESA VARIÁVEL]])</f>
        <v>0</v>
      </c>
      <c r="U61" s="91">
        <f>SUMIFS(tabela_registros[VALOR],tabela_registros[MÊS],$AE$1,tabela_registros[DIA],outtotal3059718395107119131143[[#Headers],[17]],tabela_registros[REGISTRO],DADOS!$N$4,tabela_registros[TIPO],DADOS!$P$4,tabela_registros[CATEGORIA],despesavariávelconsolidadoout[[#This Row],[DESPESA VARIÁVEL]])</f>
        <v>0</v>
      </c>
      <c r="V61" s="91">
        <f>SUMIFS(tabela_registros[VALOR],tabela_registros[MÊS],$AE$1,tabela_registros[DIA],outtotal3059718395107119131143[[#Headers],[18]],tabela_registros[REGISTRO],DADOS!$N$4,tabela_registros[TIPO],DADOS!$P$4,tabela_registros[CATEGORIA],despesavariávelconsolidadoout[[#This Row],[DESPESA VARIÁVEL]])</f>
        <v>0</v>
      </c>
      <c r="W61" s="91">
        <f>SUMIFS(tabela_registros[VALOR],tabela_registros[MÊS],$AE$1,tabela_registros[DIA],outtotal3059718395107119131143[[#Headers],[19]],tabela_registros[REGISTRO],DADOS!$N$4,tabela_registros[TIPO],DADOS!$P$4,tabela_registros[CATEGORIA],despesavariávelconsolidadoout[[#This Row],[DESPESA VARIÁVEL]])</f>
        <v>0</v>
      </c>
      <c r="X61" s="91">
        <f>SUMIFS(tabela_registros[VALOR],tabela_registros[MÊS],$AE$1,tabela_registros[DIA],outtotal3059718395107119131143[[#Headers],[20]],tabela_registros[REGISTRO],DADOS!$N$4,tabela_registros[TIPO],DADOS!$P$4,tabela_registros[CATEGORIA],despesavariávelconsolidadoout[[#This Row],[DESPESA VARIÁVEL]])</f>
        <v>0</v>
      </c>
      <c r="Y61" s="91">
        <f>SUMIFS(tabela_registros[VALOR],tabela_registros[MÊS],$AE$1,tabela_registros[DIA],outtotal3059718395107119131143[[#Headers],[21]],tabela_registros[REGISTRO],DADOS!$N$4,tabela_registros[TIPO],DADOS!$P$4,tabela_registros[CATEGORIA],despesavariávelconsolidadoout[[#This Row],[DESPESA VARIÁVEL]])</f>
        <v>0</v>
      </c>
      <c r="Z61" s="91">
        <f>SUMIFS(tabela_registros[VALOR],tabela_registros[MÊS],$AE$1,tabela_registros[DIA],outtotal3059718395107119131143[[#Headers],[22]],tabela_registros[REGISTRO],DADOS!$N$4,tabela_registros[TIPO],DADOS!$P$4,tabela_registros[CATEGORIA],despesavariávelconsolidadoout[[#This Row],[DESPESA VARIÁVEL]])</f>
        <v>0</v>
      </c>
      <c r="AA61" s="91">
        <f>SUMIFS(tabela_registros[VALOR],tabela_registros[MÊS],$AE$1,tabela_registros[DIA],outtotal3059718395107119131143[[#Headers],[23]],tabela_registros[REGISTRO],DADOS!$N$4,tabela_registros[TIPO],DADOS!$P$4,tabela_registros[CATEGORIA],despesavariávelconsolidadoout[[#This Row],[DESPESA VARIÁVEL]])</f>
        <v>0</v>
      </c>
      <c r="AB61" s="91">
        <f>SUMIFS(tabela_registros[VALOR],tabela_registros[MÊS],$AE$1,tabela_registros[DIA],outtotal3059718395107119131143[[#Headers],[24]],tabela_registros[REGISTRO],DADOS!$N$4,tabela_registros[TIPO],DADOS!$P$4,tabela_registros[CATEGORIA],despesavariávelconsolidadoout[[#This Row],[DESPESA VARIÁVEL]])</f>
        <v>0</v>
      </c>
      <c r="AC61" s="91">
        <f>SUMIFS(tabela_registros[VALOR],tabela_registros[MÊS],$AE$1,tabela_registros[DIA],outtotal3059718395107119131143[[#Headers],[25]],tabela_registros[REGISTRO],DADOS!$N$4,tabela_registros[TIPO],DADOS!$P$4,tabela_registros[CATEGORIA],despesavariávelconsolidadoout[[#This Row],[DESPESA VARIÁVEL]])</f>
        <v>0</v>
      </c>
      <c r="AD61" s="91">
        <f>SUMIFS(tabela_registros[VALOR],tabela_registros[MÊS],$AE$1,tabela_registros[DIA],outtotal3059718395107119131143[[#Headers],[26]],tabela_registros[REGISTRO],DADOS!$N$4,tabela_registros[TIPO],DADOS!$P$4,tabela_registros[CATEGORIA],despesavariávelconsolidadoout[[#This Row],[DESPESA VARIÁVEL]])</f>
        <v>0</v>
      </c>
      <c r="AE61" s="91">
        <f>SUMIFS(tabela_registros[VALOR],tabela_registros[MÊS],$AE$1,tabela_registros[DIA],outtotal3059718395107119131143[[#Headers],[27]],tabela_registros[REGISTRO],DADOS!$N$4,tabela_registros[TIPO],DADOS!$P$4,tabela_registros[CATEGORIA],despesavariávelconsolidadoout[[#This Row],[DESPESA VARIÁVEL]])</f>
        <v>0</v>
      </c>
      <c r="AF61" s="91">
        <f>SUMIFS(tabela_registros[VALOR],tabela_registros[MÊS],$AE$1,tabela_registros[DIA],outtotal3059718395107119131143[[#Headers],[28]],tabela_registros[REGISTRO],DADOS!$N$4,tabela_registros[TIPO],DADOS!$P$4,tabela_registros[CATEGORIA],despesavariávelconsolidadoout[[#This Row],[DESPESA VARIÁVEL]])</f>
        <v>0</v>
      </c>
      <c r="AG61" s="91">
        <f>SUMIFS(tabela_registros[VALOR],tabela_registros[MÊS],$AE$1,tabela_registros[DIA],outtotal3059718395107119131143[[#Headers],[29]],tabela_registros[REGISTRO],DADOS!$N$4,tabela_registros[TIPO],DADOS!$P$4,tabela_registros[CATEGORIA],despesavariávelconsolidadoout[[#This Row],[DESPESA VARIÁVEL]])</f>
        <v>0</v>
      </c>
      <c r="AH61" s="91">
        <f>SUMIFS(tabela_registros[VALOR],tabela_registros[MÊS],$AE$1,tabela_registros[DIA],outtotal3059718395107119131143[[#Headers],[30]],tabela_registros[REGISTRO],DADOS!$N$4,tabela_registros[TIPO],DADOS!$P$4,tabela_registros[CATEGORIA],despesavariávelconsolidadoout[[#This Row],[DESPESA VARIÁVEL]])</f>
        <v>0</v>
      </c>
      <c r="AI61" s="101">
        <f>SUMIFS(tabela_registros[VALOR],tabela_registros[MÊS],$AE$1,tabela_registros[DIA],outtotal3059718395107119131143[[#Headers],[31]],tabela_registros[REGISTRO],DADOS!$N$4,tabela_registros[TIPO],DADOS!$P$4,tabela_registros[CATEGORIA],despesavariávelconsolidadoout[[#This Row],[DESPESA VARIÁVEL]])</f>
        <v>0</v>
      </c>
      <c r="AJ61" s="97">
        <f>SUM(despesavariávelconsolidadoout[[#This Row],[1]:[31]])</f>
        <v>0</v>
      </c>
      <c r="AK61" s="28"/>
    </row>
    <row r="62" spans="2:37" ht="18" customHeight="1" thickTop="1" thickBot="1" x14ac:dyDescent="0.3">
      <c r="B62" s="28"/>
      <c r="C62" s="27" t="str">
        <f>DADOS!$T$5</f>
        <v>✍️ CHEQUE ESPECIAL</v>
      </c>
      <c r="D62" s="26" t="str">
        <f>IF(despesavariávelconsolidadoout[[#This Row],[TOTAL]]=0,"",IF(OR(despesavariávelconsolidadoout[[#This Row],[TOTAL]]=LARGE($AJ$60:$AJ$72,1),despesavariávelconsolidadoout[[#This Row],[TOTAL]]=LARGE($AJ$60:$AJ$72,2),despesavariávelconsolidadoout[[#This Row],[TOTAL]]=LARGE($AJ$60:$AJ$72,3),despesavariávelconsolidadoout[[#This Row],[TOTAL]]=LARGE($AJ$60:$AJ$72,4),despesavariávelconsolidadoout[[#This Row],[TOTAL]]=LARGE($AJ$60:$AJ$72,5)),DADOS!$I$8,""))</f>
        <v/>
      </c>
      <c r="E62" s="96">
        <f>SUMIFS(tabela_registros[VALOR],tabela_registros[MÊS],$AE$1,tabela_registros[DIA],outtotal3059718395107119131143[[#Headers],[1]],tabela_registros[REGISTRO],DADOS!$N$4,tabela_registros[TIPO],DADOS!$P$4,tabela_registros[CATEGORIA],despesavariávelconsolidadoout[[#This Row],[DESPESA VARIÁVEL]])</f>
        <v>0</v>
      </c>
      <c r="F62" s="91">
        <f>SUMIFS(tabela_registros[VALOR],tabela_registros[MÊS],$AE$1,tabela_registros[DIA],outtotal3059718395107119131143[[#Headers],[2]],tabela_registros[REGISTRO],DADOS!$N$4,tabela_registros[TIPO],DADOS!$P$4,tabela_registros[CATEGORIA],despesavariávelconsolidadoout[[#This Row],[DESPESA VARIÁVEL]])</f>
        <v>0</v>
      </c>
      <c r="G62" s="91">
        <f>SUMIFS(tabela_registros[VALOR],tabela_registros[MÊS],$AE$1,tabela_registros[DIA],outtotal3059718395107119131143[[#Headers],[3]],tabela_registros[REGISTRO],DADOS!$N$4,tabela_registros[TIPO],DADOS!$P$4,tabela_registros[CATEGORIA],despesavariávelconsolidadoout[[#This Row],[DESPESA VARIÁVEL]])</f>
        <v>0</v>
      </c>
      <c r="H62" s="91">
        <f>SUMIFS(tabela_registros[VALOR],tabela_registros[MÊS],$AE$1,tabela_registros[DIA],outtotal3059718395107119131143[[#Headers],[4]],tabela_registros[REGISTRO],DADOS!$N$4,tabela_registros[TIPO],DADOS!$P$4,tabela_registros[CATEGORIA],despesavariávelconsolidadoout[[#This Row],[DESPESA VARIÁVEL]])</f>
        <v>0</v>
      </c>
      <c r="I62" s="91">
        <f>SUMIFS(tabela_registros[VALOR],tabela_registros[MÊS],$AE$1,tabela_registros[DIA],outtotal3059718395107119131143[[#Headers],[5]],tabela_registros[REGISTRO],DADOS!$N$4,tabela_registros[TIPO],DADOS!$P$4,tabela_registros[CATEGORIA],despesavariávelconsolidadoout[[#This Row],[DESPESA VARIÁVEL]])</f>
        <v>0</v>
      </c>
      <c r="J62" s="91">
        <f>SUMIFS(tabela_registros[VALOR],tabela_registros[MÊS],$AE$1,tabela_registros[DIA],outtotal3059718395107119131143[[#Headers],[6]],tabela_registros[REGISTRO],DADOS!$N$4,tabela_registros[TIPO],DADOS!$P$4,tabela_registros[CATEGORIA],despesavariávelconsolidadoout[[#This Row],[DESPESA VARIÁVEL]])</f>
        <v>0</v>
      </c>
      <c r="K62" s="91">
        <f>SUMIFS(tabela_registros[VALOR],tabela_registros[MÊS],$AE$1,tabela_registros[DIA],outtotal3059718395107119131143[[#Headers],[7]],tabela_registros[REGISTRO],DADOS!$N$4,tabela_registros[TIPO],DADOS!$P$4,tabela_registros[CATEGORIA],despesavariávelconsolidadoout[[#This Row],[DESPESA VARIÁVEL]])</f>
        <v>0</v>
      </c>
      <c r="L62" s="91">
        <f>SUMIFS(tabela_registros[VALOR],tabela_registros[MÊS],$AE$1,tabela_registros[DIA],outtotal3059718395107119131143[[#Headers],[8]],tabela_registros[REGISTRO],DADOS!$N$4,tabela_registros[TIPO],DADOS!$P$4,tabela_registros[CATEGORIA],despesavariávelconsolidadoout[[#This Row],[DESPESA VARIÁVEL]])</f>
        <v>0</v>
      </c>
      <c r="M62" s="91">
        <f>SUMIFS(tabela_registros[VALOR],tabela_registros[MÊS],$AE$1,tabela_registros[DIA],outtotal3059718395107119131143[[#Headers],[9]],tabela_registros[REGISTRO],DADOS!$N$4,tabela_registros[TIPO],DADOS!$P$4,tabela_registros[CATEGORIA],despesavariávelconsolidadoout[[#This Row],[DESPESA VARIÁVEL]])</f>
        <v>0</v>
      </c>
      <c r="N62" s="91">
        <f>SUMIFS(tabela_registros[VALOR],tabela_registros[MÊS],$AE$1,tabela_registros[DIA],outtotal3059718395107119131143[[#Headers],[10]],tabela_registros[REGISTRO],DADOS!$N$4,tabela_registros[TIPO],DADOS!$P$4,tabela_registros[CATEGORIA],despesavariávelconsolidadoout[[#This Row],[DESPESA VARIÁVEL]])</f>
        <v>0</v>
      </c>
      <c r="O62" s="91">
        <f>SUMIFS(tabela_registros[VALOR],tabela_registros[MÊS],$AE$1,tabela_registros[DIA],outtotal3059718395107119131143[[#Headers],[11]],tabela_registros[REGISTRO],DADOS!$N$4,tabela_registros[TIPO],DADOS!$P$4,tabela_registros[CATEGORIA],despesavariávelconsolidadoout[[#This Row],[DESPESA VARIÁVEL]])</f>
        <v>0</v>
      </c>
      <c r="P62" s="91">
        <f>SUMIFS(tabela_registros[VALOR],tabela_registros[MÊS],$AE$1,tabela_registros[DIA],outtotal3059718395107119131143[[#Headers],[12]],tabela_registros[REGISTRO],DADOS!$N$4,tabela_registros[TIPO],DADOS!$P$4,tabela_registros[CATEGORIA],despesavariávelconsolidadoout[[#This Row],[DESPESA VARIÁVEL]])</f>
        <v>0</v>
      </c>
      <c r="Q62" s="91">
        <f>SUMIFS(tabela_registros[VALOR],tabela_registros[MÊS],$AE$1,tabela_registros[DIA],outtotal3059718395107119131143[[#Headers],[13]],tabela_registros[REGISTRO],DADOS!$N$4,tabela_registros[TIPO],DADOS!$P$4,tabela_registros[CATEGORIA],despesavariávelconsolidadoout[[#This Row],[DESPESA VARIÁVEL]])</f>
        <v>0</v>
      </c>
      <c r="R62" s="91">
        <f>SUMIFS(tabela_registros[VALOR],tabela_registros[MÊS],$AE$1,tabela_registros[DIA],outtotal3059718395107119131143[[#Headers],[14]],tabela_registros[REGISTRO],DADOS!$N$4,tabela_registros[TIPO],DADOS!$P$4,tabela_registros[CATEGORIA],despesavariávelconsolidadoout[[#This Row],[DESPESA VARIÁVEL]])</f>
        <v>0</v>
      </c>
      <c r="S62" s="91">
        <f>SUMIFS(tabela_registros[VALOR],tabela_registros[MÊS],$AE$1,tabela_registros[DIA],outtotal3059718395107119131143[[#Headers],[15]],tabela_registros[REGISTRO],DADOS!$N$4,tabela_registros[TIPO],DADOS!$P$4,tabela_registros[CATEGORIA],despesavariávelconsolidadoout[[#This Row],[DESPESA VARIÁVEL]])</f>
        <v>0</v>
      </c>
      <c r="T62" s="91">
        <f>SUMIFS(tabela_registros[VALOR],tabela_registros[MÊS],$AE$1,tabela_registros[DIA],outtotal3059718395107119131143[[#Headers],[16]],tabela_registros[REGISTRO],DADOS!$N$4,tabela_registros[TIPO],DADOS!$P$4,tabela_registros[CATEGORIA],despesavariávelconsolidadoout[[#This Row],[DESPESA VARIÁVEL]])</f>
        <v>0</v>
      </c>
      <c r="U62" s="91">
        <f>SUMIFS(tabela_registros[VALOR],tabela_registros[MÊS],$AE$1,tabela_registros[DIA],outtotal3059718395107119131143[[#Headers],[17]],tabela_registros[REGISTRO],DADOS!$N$4,tabela_registros[TIPO],DADOS!$P$4,tabela_registros[CATEGORIA],despesavariávelconsolidadoout[[#This Row],[DESPESA VARIÁVEL]])</f>
        <v>0</v>
      </c>
      <c r="V62" s="91">
        <f>SUMIFS(tabela_registros[VALOR],tabela_registros[MÊS],$AE$1,tabela_registros[DIA],outtotal3059718395107119131143[[#Headers],[18]],tabela_registros[REGISTRO],DADOS!$N$4,tabela_registros[TIPO],DADOS!$P$4,tabela_registros[CATEGORIA],despesavariávelconsolidadoout[[#This Row],[DESPESA VARIÁVEL]])</f>
        <v>0</v>
      </c>
      <c r="W62" s="91">
        <f>SUMIFS(tabela_registros[VALOR],tabela_registros[MÊS],$AE$1,tabela_registros[DIA],outtotal3059718395107119131143[[#Headers],[19]],tabela_registros[REGISTRO],DADOS!$N$4,tabela_registros[TIPO],DADOS!$P$4,tabela_registros[CATEGORIA],despesavariávelconsolidadoout[[#This Row],[DESPESA VARIÁVEL]])</f>
        <v>0</v>
      </c>
      <c r="X62" s="91">
        <f>SUMIFS(tabela_registros[VALOR],tabela_registros[MÊS],$AE$1,tabela_registros[DIA],outtotal3059718395107119131143[[#Headers],[20]],tabela_registros[REGISTRO],DADOS!$N$4,tabela_registros[TIPO],DADOS!$P$4,tabela_registros[CATEGORIA],despesavariávelconsolidadoout[[#This Row],[DESPESA VARIÁVEL]])</f>
        <v>0</v>
      </c>
      <c r="Y62" s="91">
        <f>SUMIFS(tabela_registros[VALOR],tabela_registros[MÊS],$AE$1,tabela_registros[DIA],outtotal3059718395107119131143[[#Headers],[21]],tabela_registros[REGISTRO],DADOS!$N$4,tabela_registros[TIPO],DADOS!$P$4,tabela_registros[CATEGORIA],despesavariávelconsolidadoout[[#This Row],[DESPESA VARIÁVEL]])</f>
        <v>0</v>
      </c>
      <c r="Z62" s="91">
        <f>SUMIFS(tabela_registros[VALOR],tabela_registros[MÊS],$AE$1,tabela_registros[DIA],outtotal3059718395107119131143[[#Headers],[22]],tabela_registros[REGISTRO],DADOS!$N$4,tabela_registros[TIPO],DADOS!$P$4,tabela_registros[CATEGORIA],despesavariávelconsolidadoout[[#This Row],[DESPESA VARIÁVEL]])</f>
        <v>0</v>
      </c>
      <c r="AA62" s="91">
        <f>SUMIFS(tabela_registros[VALOR],tabela_registros[MÊS],$AE$1,tabela_registros[DIA],outtotal3059718395107119131143[[#Headers],[23]],tabela_registros[REGISTRO],DADOS!$N$4,tabela_registros[TIPO],DADOS!$P$4,tabela_registros[CATEGORIA],despesavariávelconsolidadoout[[#This Row],[DESPESA VARIÁVEL]])</f>
        <v>0</v>
      </c>
      <c r="AB62" s="91">
        <f>SUMIFS(tabela_registros[VALOR],tabela_registros[MÊS],$AE$1,tabela_registros[DIA],outtotal3059718395107119131143[[#Headers],[24]],tabela_registros[REGISTRO],DADOS!$N$4,tabela_registros[TIPO],DADOS!$P$4,tabela_registros[CATEGORIA],despesavariávelconsolidadoout[[#This Row],[DESPESA VARIÁVEL]])</f>
        <v>0</v>
      </c>
      <c r="AC62" s="91">
        <f>SUMIFS(tabela_registros[VALOR],tabela_registros[MÊS],$AE$1,tabela_registros[DIA],outtotal3059718395107119131143[[#Headers],[25]],tabela_registros[REGISTRO],DADOS!$N$4,tabela_registros[TIPO],DADOS!$P$4,tabela_registros[CATEGORIA],despesavariávelconsolidadoout[[#This Row],[DESPESA VARIÁVEL]])</f>
        <v>0</v>
      </c>
      <c r="AD62" s="91">
        <f>SUMIFS(tabela_registros[VALOR],tabela_registros[MÊS],$AE$1,tabela_registros[DIA],outtotal3059718395107119131143[[#Headers],[26]],tabela_registros[REGISTRO],DADOS!$N$4,tabela_registros[TIPO],DADOS!$P$4,tabela_registros[CATEGORIA],despesavariávelconsolidadoout[[#This Row],[DESPESA VARIÁVEL]])</f>
        <v>0</v>
      </c>
      <c r="AE62" s="91">
        <f>SUMIFS(tabela_registros[VALOR],tabela_registros[MÊS],$AE$1,tabela_registros[DIA],outtotal3059718395107119131143[[#Headers],[27]],tabela_registros[REGISTRO],DADOS!$N$4,tabela_registros[TIPO],DADOS!$P$4,tabela_registros[CATEGORIA],despesavariávelconsolidadoout[[#This Row],[DESPESA VARIÁVEL]])</f>
        <v>0</v>
      </c>
      <c r="AF62" s="91">
        <f>SUMIFS(tabela_registros[VALOR],tabela_registros[MÊS],$AE$1,tabela_registros[DIA],outtotal3059718395107119131143[[#Headers],[28]],tabela_registros[REGISTRO],DADOS!$N$4,tabela_registros[TIPO],DADOS!$P$4,tabela_registros[CATEGORIA],despesavariávelconsolidadoout[[#This Row],[DESPESA VARIÁVEL]])</f>
        <v>0</v>
      </c>
      <c r="AG62" s="91">
        <f>SUMIFS(tabela_registros[VALOR],tabela_registros[MÊS],$AE$1,tabela_registros[DIA],outtotal3059718395107119131143[[#Headers],[29]],tabela_registros[REGISTRO],DADOS!$N$4,tabela_registros[TIPO],DADOS!$P$4,tabela_registros[CATEGORIA],despesavariávelconsolidadoout[[#This Row],[DESPESA VARIÁVEL]])</f>
        <v>0</v>
      </c>
      <c r="AH62" s="91">
        <f>SUMIFS(tabela_registros[VALOR],tabela_registros[MÊS],$AE$1,tabela_registros[DIA],outtotal3059718395107119131143[[#Headers],[30]],tabela_registros[REGISTRO],DADOS!$N$4,tabela_registros[TIPO],DADOS!$P$4,tabela_registros[CATEGORIA],despesavariávelconsolidadoout[[#This Row],[DESPESA VARIÁVEL]])</f>
        <v>0</v>
      </c>
      <c r="AI62" s="101">
        <f>SUMIFS(tabela_registros[VALOR],tabela_registros[MÊS],$AE$1,tabela_registros[DIA],outtotal3059718395107119131143[[#Headers],[31]],tabela_registros[REGISTRO],DADOS!$N$4,tabela_registros[TIPO],DADOS!$P$4,tabela_registros[CATEGORIA],despesavariávelconsolidadoout[[#This Row],[DESPESA VARIÁVEL]])</f>
        <v>0</v>
      </c>
      <c r="AJ62" s="97">
        <f>SUM(despesavariávelconsolidadoout[[#This Row],[1]:[31]])</f>
        <v>0</v>
      </c>
      <c r="AK62" s="28"/>
    </row>
    <row r="63" spans="2:37" ht="18" customHeight="1" thickTop="1" thickBot="1" x14ac:dyDescent="0.3">
      <c r="B63" s="28"/>
      <c r="C63" s="27" t="str">
        <f>DADOS!$T$6</f>
        <v>💄 CUIDADOS PESSOAIS</v>
      </c>
      <c r="D63" s="26" t="str">
        <f>IF(despesavariávelconsolidadoout[[#This Row],[TOTAL]]=0,"",IF(OR(despesavariávelconsolidadoout[[#This Row],[TOTAL]]=LARGE($AJ$60:$AJ$72,1),despesavariávelconsolidadoout[[#This Row],[TOTAL]]=LARGE($AJ$60:$AJ$72,2),despesavariávelconsolidadoout[[#This Row],[TOTAL]]=LARGE($AJ$60:$AJ$72,3),despesavariávelconsolidadoout[[#This Row],[TOTAL]]=LARGE($AJ$60:$AJ$72,4),despesavariávelconsolidadoout[[#This Row],[TOTAL]]=LARGE($AJ$60:$AJ$72,5)),DADOS!$I$8,""))</f>
        <v/>
      </c>
      <c r="E63" s="96">
        <f>SUMIFS(tabela_registros[VALOR],tabela_registros[MÊS],$AE$1,tabela_registros[DIA],outtotal3059718395107119131143[[#Headers],[1]],tabela_registros[REGISTRO],DADOS!$N$4,tabela_registros[TIPO],DADOS!$P$4,tabela_registros[CATEGORIA],despesavariávelconsolidadoout[[#This Row],[DESPESA VARIÁVEL]])</f>
        <v>0</v>
      </c>
      <c r="F63" s="91">
        <f>SUMIFS(tabela_registros[VALOR],tabela_registros[MÊS],$AE$1,tabela_registros[DIA],outtotal3059718395107119131143[[#Headers],[2]],tabela_registros[REGISTRO],DADOS!$N$4,tabela_registros[TIPO],DADOS!$P$4,tabela_registros[CATEGORIA],despesavariávelconsolidadoout[[#This Row],[DESPESA VARIÁVEL]])</f>
        <v>0</v>
      </c>
      <c r="G63" s="91">
        <f>SUMIFS(tabela_registros[VALOR],tabela_registros[MÊS],$AE$1,tabela_registros[DIA],outtotal3059718395107119131143[[#Headers],[3]],tabela_registros[REGISTRO],DADOS!$N$4,tabela_registros[TIPO],DADOS!$P$4,tabela_registros[CATEGORIA],despesavariávelconsolidadoout[[#This Row],[DESPESA VARIÁVEL]])</f>
        <v>0</v>
      </c>
      <c r="H63" s="91">
        <f>SUMIFS(tabela_registros[VALOR],tabela_registros[MÊS],$AE$1,tabela_registros[DIA],outtotal3059718395107119131143[[#Headers],[4]],tabela_registros[REGISTRO],DADOS!$N$4,tabela_registros[TIPO],DADOS!$P$4,tabela_registros[CATEGORIA],despesavariávelconsolidadoout[[#This Row],[DESPESA VARIÁVEL]])</f>
        <v>0</v>
      </c>
      <c r="I63" s="91">
        <f>SUMIFS(tabela_registros[VALOR],tabela_registros[MÊS],$AE$1,tabela_registros[DIA],outtotal3059718395107119131143[[#Headers],[5]],tabela_registros[REGISTRO],DADOS!$N$4,tabela_registros[TIPO],DADOS!$P$4,tabela_registros[CATEGORIA],despesavariávelconsolidadoout[[#This Row],[DESPESA VARIÁVEL]])</f>
        <v>0</v>
      </c>
      <c r="J63" s="91">
        <f>SUMIFS(tabela_registros[VALOR],tabela_registros[MÊS],$AE$1,tabela_registros[DIA],outtotal3059718395107119131143[[#Headers],[6]],tabela_registros[REGISTRO],DADOS!$N$4,tabela_registros[TIPO],DADOS!$P$4,tabela_registros[CATEGORIA],despesavariávelconsolidadoout[[#This Row],[DESPESA VARIÁVEL]])</f>
        <v>0</v>
      </c>
      <c r="K63" s="91">
        <f>SUMIFS(tabela_registros[VALOR],tabela_registros[MÊS],$AE$1,tabela_registros[DIA],outtotal3059718395107119131143[[#Headers],[7]],tabela_registros[REGISTRO],DADOS!$N$4,tabela_registros[TIPO],DADOS!$P$4,tabela_registros[CATEGORIA],despesavariávelconsolidadoout[[#This Row],[DESPESA VARIÁVEL]])</f>
        <v>0</v>
      </c>
      <c r="L63" s="91">
        <f>SUMIFS(tabela_registros[VALOR],tabela_registros[MÊS],$AE$1,tabela_registros[DIA],outtotal3059718395107119131143[[#Headers],[8]],tabela_registros[REGISTRO],DADOS!$N$4,tabela_registros[TIPO],DADOS!$P$4,tabela_registros[CATEGORIA],despesavariávelconsolidadoout[[#This Row],[DESPESA VARIÁVEL]])</f>
        <v>0</v>
      </c>
      <c r="M63" s="91">
        <f>SUMIFS(tabela_registros[VALOR],tabela_registros[MÊS],$AE$1,tabela_registros[DIA],outtotal3059718395107119131143[[#Headers],[9]],tabela_registros[REGISTRO],DADOS!$N$4,tabela_registros[TIPO],DADOS!$P$4,tabela_registros[CATEGORIA],despesavariávelconsolidadoout[[#This Row],[DESPESA VARIÁVEL]])</f>
        <v>0</v>
      </c>
      <c r="N63" s="91">
        <f>SUMIFS(tabela_registros[VALOR],tabela_registros[MÊS],$AE$1,tabela_registros[DIA],outtotal3059718395107119131143[[#Headers],[10]],tabela_registros[REGISTRO],DADOS!$N$4,tabela_registros[TIPO],DADOS!$P$4,tabela_registros[CATEGORIA],despesavariávelconsolidadoout[[#This Row],[DESPESA VARIÁVEL]])</f>
        <v>0</v>
      </c>
      <c r="O63" s="91">
        <f>SUMIFS(tabela_registros[VALOR],tabela_registros[MÊS],$AE$1,tabela_registros[DIA],outtotal3059718395107119131143[[#Headers],[11]],tabela_registros[REGISTRO],DADOS!$N$4,tabela_registros[TIPO],DADOS!$P$4,tabela_registros[CATEGORIA],despesavariávelconsolidadoout[[#This Row],[DESPESA VARIÁVEL]])</f>
        <v>0</v>
      </c>
      <c r="P63" s="91">
        <f>SUMIFS(tabela_registros[VALOR],tabela_registros[MÊS],$AE$1,tabela_registros[DIA],outtotal3059718395107119131143[[#Headers],[12]],tabela_registros[REGISTRO],DADOS!$N$4,tabela_registros[TIPO],DADOS!$P$4,tabela_registros[CATEGORIA],despesavariávelconsolidadoout[[#This Row],[DESPESA VARIÁVEL]])</f>
        <v>0</v>
      </c>
      <c r="Q63" s="91">
        <f>SUMIFS(tabela_registros[VALOR],tabela_registros[MÊS],$AE$1,tabela_registros[DIA],outtotal3059718395107119131143[[#Headers],[13]],tabela_registros[REGISTRO],DADOS!$N$4,tabela_registros[TIPO],DADOS!$P$4,tabela_registros[CATEGORIA],despesavariávelconsolidadoout[[#This Row],[DESPESA VARIÁVEL]])</f>
        <v>0</v>
      </c>
      <c r="R63" s="91">
        <f>SUMIFS(tabela_registros[VALOR],tabela_registros[MÊS],$AE$1,tabela_registros[DIA],outtotal3059718395107119131143[[#Headers],[14]],tabela_registros[REGISTRO],DADOS!$N$4,tabela_registros[TIPO],DADOS!$P$4,tabela_registros[CATEGORIA],despesavariávelconsolidadoout[[#This Row],[DESPESA VARIÁVEL]])</f>
        <v>0</v>
      </c>
      <c r="S63" s="91">
        <f>SUMIFS(tabela_registros[VALOR],tabela_registros[MÊS],$AE$1,tabela_registros[DIA],outtotal3059718395107119131143[[#Headers],[15]],tabela_registros[REGISTRO],DADOS!$N$4,tabela_registros[TIPO],DADOS!$P$4,tabela_registros[CATEGORIA],despesavariávelconsolidadoout[[#This Row],[DESPESA VARIÁVEL]])</f>
        <v>0</v>
      </c>
      <c r="T63" s="91">
        <f>SUMIFS(tabela_registros[VALOR],tabela_registros[MÊS],$AE$1,tabela_registros[DIA],outtotal3059718395107119131143[[#Headers],[16]],tabela_registros[REGISTRO],DADOS!$N$4,tabela_registros[TIPO],DADOS!$P$4,tabela_registros[CATEGORIA],despesavariávelconsolidadoout[[#This Row],[DESPESA VARIÁVEL]])</f>
        <v>0</v>
      </c>
      <c r="U63" s="91">
        <f>SUMIFS(tabela_registros[VALOR],tabela_registros[MÊS],$AE$1,tabela_registros[DIA],outtotal3059718395107119131143[[#Headers],[17]],tabela_registros[REGISTRO],DADOS!$N$4,tabela_registros[TIPO],DADOS!$P$4,tabela_registros[CATEGORIA],despesavariávelconsolidadoout[[#This Row],[DESPESA VARIÁVEL]])</f>
        <v>0</v>
      </c>
      <c r="V63" s="91">
        <f>SUMIFS(tabela_registros[VALOR],tabela_registros[MÊS],$AE$1,tabela_registros[DIA],outtotal3059718395107119131143[[#Headers],[18]],tabela_registros[REGISTRO],DADOS!$N$4,tabela_registros[TIPO],DADOS!$P$4,tabela_registros[CATEGORIA],despesavariávelconsolidadoout[[#This Row],[DESPESA VARIÁVEL]])</f>
        <v>0</v>
      </c>
      <c r="W63" s="91">
        <f>SUMIFS(tabela_registros[VALOR],tabela_registros[MÊS],$AE$1,tabela_registros[DIA],outtotal3059718395107119131143[[#Headers],[19]],tabela_registros[REGISTRO],DADOS!$N$4,tabela_registros[TIPO],DADOS!$P$4,tabela_registros[CATEGORIA],despesavariávelconsolidadoout[[#This Row],[DESPESA VARIÁVEL]])</f>
        <v>0</v>
      </c>
      <c r="X63" s="91">
        <f>SUMIFS(tabela_registros[VALOR],tabela_registros[MÊS],$AE$1,tabela_registros[DIA],outtotal3059718395107119131143[[#Headers],[20]],tabela_registros[REGISTRO],DADOS!$N$4,tabela_registros[TIPO],DADOS!$P$4,tabela_registros[CATEGORIA],despesavariávelconsolidadoout[[#This Row],[DESPESA VARIÁVEL]])</f>
        <v>0</v>
      </c>
      <c r="Y63" s="91">
        <f>SUMIFS(tabela_registros[VALOR],tabela_registros[MÊS],$AE$1,tabela_registros[DIA],outtotal3059718395107119131143[[#Headers],[21]],tabela_registros[REGISTRO],DADOS!$N$4,tabela_registros[TIPO],DADOS!$P$4,tabela_registros[CATEGORIA],despesavariávelconsolidadoout[[#This Row],[DESPESA VARIÁVEL]])</f>
        <v>0</v>
      </c>
      <c r="Z63" s="91">
        <f>SUMIFS(tabela_registros[VALOR],tabela_registros[MÊS],$AE$1,tabela_registros[DIA],outtotal3059718395107119131143[[#Headers],[22]],tabela_registros[REGISTRO],DADOS!$N$4,tabela_registros[TIPO],DADOS!$P$4,tabela_registros[CATEGORIA],despesavariávelconsolidadoout[[#This Row],[DESPESA VARIÁVEL]])</f>
        <v>0</v>
      </c>
      <c r="AA63" s="91">
        <f>SUMIFS(tabela_registros[VALOR],tabela_registros[MÊS],$AE$1,tabela_registros[DIA],outtotal3059718395107119131143[[#Headers],[23]],tabela_registros[REGISTRO],DADOS!$N$4,tabela_registros[TIPO],DADOS!$P$4,tabela_registros[CATEGORIA],despesavariávelconsolidadoout[[#This Row],[DESPESA VARIÁVEL]])</f>
        <v>0</v>
      </c>
      <c r="AB63" s="91">
        <f>SUMIFS(tabela_registros[VALOR],tabela_registros[MÊS],$AE$1,tabela_registros[DIA],outtotal3059718395107119131143[[#Headers],[24]],tabela_registros[REGISTRO],DADOS!$N$4,tabela_registros[TIPO],DADOS!$P$4,tabela_registros[CATEGORIA],despesavariávelconsolidadoout[[#This Row],[DESPESA VARIÁVEL]])</f>
        <v>0</v>
      </c>
      <c r="AC63" s="91">
        <f>SUMIFS(tabela_registros[VALOR],tabela_registros[MÊS],$AE$1,tabela_registros[DIA],outtotal3059718395107119131143[[#Headers],[25]],tabela_registros[REGISTRO],DADOS!$N$4,tabela_registros[TIPO],DADOS!$P$4,tabela_registros[CATEGORIA],despesavariávelconsolidadoout[[#This Row],[DESPESA VARIÁVEL]])</f>
        <v>0</v>
      </c>
      <c r="AD63" s="91">
        <f>SUMIFS(tabela_registros[VALOR],tabela_registros[MÊS],$AE$1,tabela_registros[DIA],outtotal3059718395107119131143[[#Headers],[26]],tabela_registros[REGISTRO],DADOS!$N$4,tabela_registros[TIPO],DADOS!$P$4,tabela_registros[CATEGORIA],despesavariávelconsolidadoout[[#This Row],[DESPESA VARIÁVEL]])</f>
        <v>0</v>
      </c>
      <c r="AE63" s="91">
        <f>SUMIFS(tabela_registros[VALOR],tabela_registros[MÊS],$AE$1,tabela_registros[DIA],outtotal3059718395107119131143[[#Headers],[27]],tabela_registros[REGISTRO],DADOS!$N$4,tabela_registros[TIPO],DADOS!$P$4,tabela_registros[CATEGORIA],despesavariávelconsolidadoout[[#This Row],[DESPESA VARIÁVEL]])</f>
        <v>0</v>
      </c>
      <c r="AF63" s="91">
        <f>SUMIFS(tabela_registros[VALOR],tabela_registros[MÊS],$AE$1,tabela_registros[DIA],outtotal3059718395107119131143[[#Headers],[28]],tabela_registros[REGISTRO],DADOS!$N$4,tabela_registros[TIPO],DADOS!$P$4,tabela_registros[CATEGORIA],despesavariávelconsolidadoout[[#This Row],[DESPESA VARIÁVEL]])</f>
        <v>0</v>
      </c>
      <c r="AG63" s="91">
        <f>SUMIFS(tabela_registros[VALOR],tabela_registros[MÊS],$AE$1,tabela_registros[DIA],outtotal3059718395107119131143[[#Headers],[29]],tabela_registros[REGISTRO],DADOS!$N$4,tabela_registros[TIPO],DADOS!$P$4,tabela_registros[CATEGORIA],despesavariávelconsolidadoout[[#This Row],[DESPESA VARIÁVEL]])</f>
        <v>0</v>
      </c>
      <c r="AH63" s="91">
        <f>SUMIFS(tabela_registros[VALOR],tabela_registros[MÊS],$AE$1,tabela_registros[DIA],outtotal3059718395107119131143[[#Headers],[30]],tabela_registros[REGISTRO],DADOS!$N$4,tabela_registros[TIPO],DADOS!$P$4,tabela_registros[CATEGORIA],despesavariávelconsolidadoout[[#This Row],[DESPESA VARIÁVEL]])</f>
        <v>0</v>
      </c>
      <c r="AI63" s="101">
        <f>SUMIFS(tabela_registros[VALOR],tabela_registros[MÊS],$AE$1,tabela_registros[DIA],outtotal3059718395107119131143[[#Headers],[31]],tabela_registros[REGISTRO],DADOS!$N$4,tabela_registros[TIPO],DADOS!$P$4,tabela_registros[CATEGORIA],despesavariávelconsolidadoout[[#This Row],[DESPESA VARIÁVEL]])</f>
        <v>0</v>
      </c>
      <c r="AJ63" s="97">
        <f>SUM(despesavariávelconsolidadoout[[#This Row],[1]:[31]])</f>
        <v>0</v>
      </c>
      <c r="AK63" s="28"/>
    </row>
    <row r="64" spans="2:37" ht="18" customHeight="1" thickTop="1" thickBot="1" x14ac:dyDescent="0.3">
      <c r="B64" s="28"/>
      <c r="C64" s="27" t="str">
        <f>DADOS!$T$7</f>
        <v>🤝 DOAÇÃO</v>
      </c>
      <c r="D64" s="26" t="str">
        <f>IF(despesavariávelconsolidadoout[[#This Row],[TOTAL]]=0,"",IF(OR(despesavariávelconsolidadoout[[#This Row],[TOTAL]]=LARGE($AJ$60:$AJ$72,1),despesavariávelconsolidadoout[[#This Row],[TOTAL]]=LARGE($AJ$60:$AJ$72,2),despesavariávelconsolidadoout[[#This Row],[TOTAL]]=LARGE($AJ$60:$AJ$72,3),despesavariávelconsolidadoout[[#This Row],[TOTAL]]=LARGE($AJ$60:$AJ$72,4),despesavariávelconsolidadoout[[#This Row],[TOTAL]]=LARGE($AJ$60:$AJ$72,5)),DADOS!$I$8,""))</f>
        <v/>
      </c>
      <c r="E64" s="96">
        <f>SUMIFS(tabela_registros[VALOR],tabela_registros[MÊS],$AE$1,tabela_registros[DIA],outtotal3059718395107119131143[[#Headers],[1]],tabela_registros[REGISTRO],DADOS!$N$4,tabela_registros[TIPO],DADOS!$P$4,tabela_registros[CATEGORIA],despesavariávelconsolidadoout[[#This Row],[DESPESA VARIÁVEL]])</f>
        <v>0</v>
      </c>
      <c r="F64" s="91">
        <f>SUMIFS(tabela_registros[VALOR],tabela_registros[MÊS],$AE$1,tabela_registros[DIA],outtotal3059718395107119131143[[#Headers],[2]],tabela_registros[REGISTRO],DADOS!$N$4,tabela_registros[TIPO],DADOS!$P$4,tabela_registros[CATEGORIA],despesavariávelconsolidadoout[[#This Row],[DESPESA VARIÁVEL]])</f>
        <v>0</v>
      </c>
      <c r="G64" s="91">
        <f>SUMIFS(tabela_registros[VALOR],tabela_registros[MÊS],$AE$1,tabela_registros[DIA],outtotal3059718395107119131143[[#Headers],[3]],tabela_registros[REGISTRO],DADOS!$N$4,tabela_registros[TIPO],DADOS!$P$4,tabela_registros[CATEGORIA],despesavariávelconsolidadoout[[#This Row],[DESPESA VARIÁVEL]])</f>
        <v>0</v>
      </c>
      <c r="H64" s="91">
        <f>SUMIFS(tabela_registros[VALOR],tabela_registros[MÊS],$AE$1,tabela_registros[DIA],outtotal3059718395107119131143[[#Headers],[4]],tabela_registros[REGISTRO],DADOS!$N$4,tabela_registros[TIPO],DADOS!$P$4,tabela_registros[CATEGORIA],despesavariávelconsolidadoout[[#This Row],[DESPESA VARIÁVEL]])</f>
        <v>0</v>
      </c>
      <c r="I64" s="91">
        <f>SUMIFS(tabela_registros[VALOR],tabela_registros[MÊS],$AE$1,tabela_registros[DIA],outtotal3059718395107119131143[[#Headers],[5]],tabela_registros[REGISTRO],DADOS!$N$4,tabela_registros[TIPO],DADOS!$P$4,tabela_registros[CATEGORIA],despesavariávelconsolidadoout[[#This Row],[DESPESA VARIÁVEL]])</f>
        <v>0</v>
      </c>
      <c r="J64" s="91">
        <f>SUMIFS(tabela_registros[VALOR],tabela_registros[MÊS],$AE$1,tabela_registros[DIA],outtotal3059718395107119131143[[#Headers],[6]],tabela_registros[REGISTRO],DADOS!$N$4,tabela_registros[TIPO],DADOS!$P$4,tabela_registros[CATEGORIA],despesavariávelconsolidadoout[[#This Row],[DESPESA VARIÁVEL]])</f>
        <v>0</v>
      </c>
      <c r="K64" s="91">
        <f>SUMIFS(tabela_registros[VALOR],tabela_registros[MÊS],$AE$1,tabela_registros[DIA],outtotal3059718395107119131143[[#Headers],[7]],tabela_registros[REGISTRO],DADOS!$N$4,tabela_registros[TIPO],DADOS!$P$4,tabela_registros[CATEGORIA],despesavariávelconsolidadoout[[#This Row],[DESPESA VARIÁVEL]])</f>
        <v>0</v>
      </c>
      <c r="L64" s="91">
        <f>SUMIFS(tabela_registros[VALOR],tabela_registros[MÊS],$AE$1,tabela_registros[DIA],outtotal3059718395107119131143[[#Headers],[8]],tabela_registros[REGISTRO],DADOS!$N$4,tabela_registros[TIPO],DADOS!$P$4,tabela_registros[CATEGORIA],despesavariávelconsolidadoout[[#This Row],[DESPESA VARIÁVEL]])</f>
        <v>0</v>
      </c>
      <c r="M64" s="91">
        <f>SUMIFS(tabela_registros[VALOR],tabela_registros[MÊS],$AE$1,tabela_registros[DIA],outtotal3059718395107119131143[[#Headers],[9]],tabela_registros[REGISTRO],DADOS!$N$4,tabela_registros[TIPO],DADOS!$P$4,tabela_registros[CATEGORIA],despesavariávelconsolidadoout[[#This Row],[DESPESA VARIÁVEL]])</f>
        <v>0</v>
      </c>
      <c r="N64" s="91">
        <f>SUMIFS(tabela_registros[VALOR],tabela_registros[MÊS],$AE$1,tabela_registros[DIA],outtotal3059718395107119131143[[#Headers],[10]],tabela_registros[REGISTRO],DADOS!$N$4,tabela_registros[TIPO],DADOS!$P$4,tabela_registros[CATEGORIA],despesavariávelconsolidadoout[[#This Row],[DESPESA VARIÁVEL]])</f>
        <v>0</v>
      </c>
      <c r="O64" s="91">
        <f>SUMIFS(tabela_registros[VALOR],tabela_registros[MÊS],$AE$1,tabela_registros[DIA],outtotal3059718395107119131143[[#Headers],[11]],tabela_registros[REGISTRO],DADOS!$N$4,tabela_registros[TIPO],DADOS!$P$4,tabela_registros[CATEGORIA],despesavariávelconsolidadoout[[#This Row],[DESPESA VARIÁVEL]])</f>
        <v>0</v>
      </c>
      <c r="P64" s="91">
        <f>SUMIFS(tabela_registros[VALOR],tabela_registros[MÊS],$AE$1,tabela_registros[DIA],outtotal3059718395107119131143[[#Headers],[12]],tabela_registros[REGISTRO],DADOS!$N$4,tabela_registros[TIPO],DADOS!$P$4,tabela_registros[CATEGORIA],despesavariávelconsolidadoout[[#This Row],[DESPESA VARIÁVEL]])</f>
        <v>0</v>
      </c>
      <c r="Q64" s="91">
        <f>SUMIFS(tabela_registros[VALOR],tabela_registros[MÊS],$AE$1,tabela_registros[DIA],outtotal3059718395107119131143[[#Headers],[13]],tabela_registros[REGISTRO],DADOS!$N$4,tabela_registros[TIPO],DADOS!$P$4,tabela_registros[CATEGORIA],despesavariávelconsolidadoout[[#This Row],[DESPESA VARIÁVEL]])</f>
        <v>0</v>
      </c>
      <c r="R64" s="91">
        <f>SUMIFS(tabela_registros[VALOR],tabela_registros[MÊS],$AE$1,tabela_registros[DIA],outtotal3059718395107119131143[[#Headers],[14]],tabela_registros[REGISTRO],DADOS!$N$4,tabela_registros[TIPO],DADOS!$P$4,tabela_registros[CATEGORIA],despesavariávelconsolidadoout[[#This Row],[DESPESA VARIÁVEL]])</f>
        <v>0</v>
      </c>
      <c r="S64" s="91">
        <f>SUMIFS(tabela_registros[VALOR],tabela_registros[MÊS],$AE$1,tabela_registros[DIA],outtotal3059718395107119131143[[#Headers],[15]],tabela_registros[REGISTRO],DADOS!$N$4,tabela_registros[TIPO],DADOS!$P$4,tabela_registros[CATEGORIA],despesavariávelconsolidadoout[[#This Row],[DESPESA VARIÁVEL]])</f>
        <v>0</v>
      </c>
      <c r="T64" s="91">
        <f>SUMIFS(tabela_registros[VALOR],tabela_registros[MÊS],$AE$1,tabela_registros[DIA],outtotal3059718395107119131143[[#Headers],[16]],tabela_registros[REGISTRO],DADOS!$N$4,tabela_registros[TIPO],DADOS!$P$4,tabela_registros[CATEGORIA],despesavariávelconsolidadoout[[#This Row],[DESPESA VARIÁVEL]])</f>
        <v>0</v>
      </c>
      <c r="U64" s="91">
        <f>SUMIFS(tabela_registros[VALOR],tabela_registros[MÊS],$AE$1,tabela_registros[DIA],outtotal3059718395107119131143[[#Headers],[17]],tabela_registros[REGISTRO],DADOS!$N$4,tabela_registros[TIPO],DADOS!$P$4,tabela_registros[CATEGORIA],despesavariávelconsolidadoout[[#This Row],[DESPESA VARIÁVEL]])</f>
        <v>0</v>
      </c>
      <c r="V64" s="91">
        <f>SUMIFS(tabela_registros[VALOR],tabela_registros[MÊS],$AE$1,tabela_registros[DIA],outtotal3059718395107119131143[[#Headers],[18]],tabela_registros[REGISTRO],DADOS!$N$4,tabela_registros[TIPO],DADOS!$P$4,tabela_registros[CATEGORIA],despesavariávelconsolidadoout[[#This Row],[DESPESA VARIÁVEL]])</f>
        <v>0</v>
      </c>
      <c r="W64" s="91">
        <f>SUMIFS(tabela_registros[VALOR],tabela_registros[MÊS],$AE$1,tabela_registros[DIA],outtotal3059718395107119131143[[#Headers],[19]],tabela_registros[REGISTRO],DADOS!$N$4,tabela_registros[TIPO],DADOS!$P$4,tabela_registros[CATEGORIA],despesavariávelconsolidadoout[[#This Row],[DESPESA VARIÁVEL]])</f>
        <v>0</v>
      </c>
      <c r="X64" s="91">
        <f>SUMIFS(tabela_registros[VALOR],tabela_registros[MÊS],$AE$1,tabela_registros[DIA],outtotal3059718395107119131143[[#Headers],[20]],tabela_registros[REGISTRO],DADOS!$N$4,tabela_registros[TIPO],DADOS!$P$4,tabela_registros[CATEGORIA],despesavariávelconsolidadoout[[#This Row],[DESPESA VARIÁVEL]])</f>
        <v>0</v>
      </c>
      <c r="Y64" s="91">
        <f>SUMIFS(tabela_registros[VALOR],tabela_registros[MÊS],$AE$1,tabela_registros[DIA],outtotal3059718395107119131143[[#Headers],[21]],tabela_registros[REGISTRO],DADOS!$N$4,tabela_registros[TIPO],DADOS!$P$4,tabela_registros[CATEGORIA],despesavariávelconsolidadoout[[#This Row],[DESPESA VARIÁVEL]])</f>
        <v>0</v>
      </c>
      <c r="Z64" s="91">
        <f>SUMIFS(tabela_registros[VALOR],tabela_registros[MÊS],$AE$1,tabela_registros[DIA],outtotal3059718395107119131143[[#Headers],[22]],tabela_registros[REGISTRO],DADOS!$N$4,tabela_registros[TIPO],DADOS!$P$4,tabela_registros[CATEGORIA],despesavariávelconsolidadoout[[#This Row],[DESPESA VARIÁVEL]])</f>
        <v>0</v>
      </c>
      <c r="AA64" s="91">
        <f>SUMIFS(tabela_registros[VALOR],tabela_registros[MÊS],$AE$1,tabela_registros[DIA],outtotal3059718395107119131143[[#Headers],[23]],tabela_registros[REGISTRO],DADOS!$N$4,tabela_registros[TIPO],DADOS!$P$4,tabela_registros[CATEGORIA],despesavariávelconsolidadoout[[#This Row],[DESPESA VARIÁVEL]])</f>
        <v>0</v>
      </c>
      <c r="AB64" s="91">
        <f>SUMIFS(tabela_registros[VALOR],tabela_registros[MÊS],$AE$1,tabela_registros[DIA],outtotal3059718395107119131143[[#Headers],[24]],tabela_registros[REGISTRO],DADOS!$N$4,tabela_registros[TIPO],DADOS!$P$4,tabela_registros[CATEGORIA],despesavariávelconsolidadoout[[#This Row],[DESPESA VARIÁVEL]])</f>
        <v>0</v>
      </c>
      <c r="AC64" s="91">
        <f>SUMIFS(tabela_registros[VALOR],tabela_registros[MÊS],$AE$1,tabela_registros[DIA],outtotal3059718395107119131143[[#Headers],[25]],tabela_registros[REGISTRO],DADOS!$N$4,tabela_registros[TIPO],DADOS!$P$4,tabela_registros[CATEGORIA],despesavariávelconsolidadoout[[#This Row],[DESPESA VARIÁVEL]])</f>
        <v>0</v>
      </c>
      <c r="AD64" s="91">
        <f>SUMIFS(tabela_registros[VALOR],tabela_registros[MÊS],$AE$1,tabela_registros[DIA],outtotal3059718395107119131143[[#Headers],[26]],tabela_registros[REGISTRO],DADOS!$N$4,tabela_registros[TIPO],DADOS!$P$4,tabela_registros[CATEGORIA],despesavariávelconsolidadoout[[#This Row],[DESPESA VARIÁVEL]])</f>
        <v>0</v>
      </c>
      <c r="AE64" s="91">
        <f>SUMIFS(tabela_registros[VALOR],tabela_registros[MÊS],$AE$1,tabela_registros[DIA],outtotal3059718395107119131143[[#Headers],[27]],tabela_registros[REGISTRO],DADOS!$N$4,tabela_registros[TIPO],DADOS!$P$4,tabela_registros[CATEGORIA],despesavariávelconsolidadoout[[#This Row],[DESPESA VARIÁVEL]])</f>
        <v>0</v>
      </c>
      <c r="AF64" s="91">
        <f>SUMIFS(tabela_registros[VALOR],tabela_registros[MÊS],$AE$1,tabela_registros[DIA],outtotal3059718395107119131143[[#Headers],[28]],tabela_registros[REGISTRO],DADOS!$N$4,tabela_registros[TIPO],DADOS!$P$4,tabela_registros[CATEGORIA],despesavariávelconsolidadoout[[#This Row],[DESPESA VARIÁVEL]])</f>
        <v>0</v>
      </c>
      <c r="AG64" s="91">
        <f>SUMIFS(tabela_registros[VALOR],tabela_registros[MÊS],$AE$1,tabela_registros[DIA],outtotal3059718395107119131143[[#Headers],[29]],tabela_registros[REGISTRO],DADOS!$N$4,tabela_registros[TIPO],DADOS!$P$4,tabela_registros[CATEGORIA],despesavariávelconsolidadoout[[#This Row],[DESPESA VARIÁVEL]])</f>
        <v>0</v>
      </c>
      <c r="AH64" s="91">
        <f>SUMIFS(tabela_registros[VALOR],tabela_registros[MÊS],$AE$1,tabela_registros[DIA],outtotal3059718395107119131143[[#Headers],[30]],tabela_registros[REGISTRO],DADOS!$N$4,tabela_registros[TIPO],DADOS!$P$4,tabela_registros[CATEGORIA],despesavariávelconsolidadoout[[#This Row],[DESPESA VARIÁVEL]])</f>
        <v>0</v>
      </c>
      <c r="AI64" s="101">
        <f>SUMIFS(tabela_registros[VALOR],tabela_registros[MÊS],$AE$1,tabela_registros[DIA],outtotal3059718395107119131143[[#Headers],[31]],tabela_registros[REGISTRO],DADOS!$N$4,tabela_registros[TIPO],DADOS!$P$4,tabela_registros[CATEGORIA],despesavariávelconsolidadoout[[#This Row],[DESPESA VARIÁVEL]])</f>
        <v>0</v>
      </c>
      <c r="AJ64" s="97">
        <f>SUM(despesavariávelconsolidadoout[[#This Row],[1]:[31]])</f>
        <v>0</v>
      </c>
      <c r="AK64" s="28"/>
    </row>
    <row r="65" spans="2:37" ht="18" customHeight="1" thickTop="1" thickBot="1" x14ac:dyDescent="0.3">
      <c r="B65" s="28"/>
      <c r="C65" s="27" t="str">
        <f>DADOS!$T$8</f>
        <v>📖 EDUCAÇÃO</v>
      </c>
      <c r="D65" s="26" t="str">
        <f>IF(despesavariávelconsolidadoout[[#This Row],[TOTAL]]=0,"",IF(OR(despesavariávelconsolidadoout[[#This Row],[TOTAL]]=LARGE($AJ$60:$AJ$72,1),despesavariávelconsolidadoout[[#This Row],[TOTAL]]=LARGE($AJ$60:$AJ$72,2),despesavariávelconsolidadoout[[#This Row],[TOTAL]]=LARGE($AJ$60:$AJ$72,3),despesavariávelconsolidadoout[[#This Row],[TOTAL]]=LARGE($AJ$60:$AJ$72,4),despesavariávelconsolidadoout[[#This Row],[TOTAL]]=LARGE($AJ$60:$AJ$72,5)),DADOS!$I$8,""))</f>
        <v/>
      </c>
      <c r="E65" s="96">
        <f>SUMIFS(tabela_registros[VALOR],tabela_registros[MÊS],$AE$1,tabela_registros[DIA],outtotal3059718395107119131143[[#Headers],[1]],tabela_registros[REGISTRO],DADOS!$N$4,tabela_registros[TIPO],DADOS!$P$4,tabela_registros[CATEGORIA],despesavariávelconsolidadoout[[#This Row],[DESPESA VARIÁVEL]])</f>
        <v>0</v>
      </c>
      <c r="F65" s="91">
        <f>SUMIFS(tabela_registros[VALOR],tabela_registros[MÊS],$AE$1,tabela_registros[DIA],outtotal3059718395107119131143[[#Headers],[2]],tabela_registros[REGISTRO],DADOS!$N$4,tabela_registros[TIPO],DADOS!$P$4,tabela_registros[CATEGORIA],despesavariávelconsolidadoout[[#This Row],[DESPESA VARIÁVEL]])</f>
        <v>0</v>
      </c>
      <c r="G65" s="91">
        <f>SUMIFS(tabela_registros[VALOR],tabela_registros[MÊS],$AE$1,tabela_registros[DIA],outtotal3059718395107119131143[[#Headers],[3]],tabela_registros[REGISTRO],DADOS!$N$4,tabela_registros[TIPO],DADOS!$P$4,tabela_registros[CATEGORIA],despesavariávelconsolidadoout[[#This Row],[DESPESA VARIÁVEL]])</f>
        <v>0</v>
      </c>
      <c r="H65" s="91">
        <f>SUMIFS(tabela_registros[VALOR],tabela_registros[MÊS],$AE$1,tabela_registros[DIA],outtotal3059718395107119131143[[#Headers],[4]],tabela_registros[REGISTRO],DADOS!$N$4,tabela_registros[TIPO],DADOS!$P$4,tabela_registros[CATEGORIA],despesavariávelconsolidadoout[[#This Row],[DESPESA VARIÁVEL]])</f>
        <v>0</v>
      </c>
      <c r="I65" s="91">
        <f>SUMIFS(tabela_registros[VALOR],tabela_registros[MÊS],$AE$1,tabela_registros[DIA],outtotal3059718395107119131143[[#Headers],[5]],tabela_registros[REGISTRO],DADOS!$N$4,tabela_registros[TIPO],DADOS!$P$4,tabela_registros[CATEGORIA],despesavariávelconsolidadoout[[#This Row],[DESPESA VARIÁVEL]])</f>
        <v>0</v>
      </c>
      <c r="J65" s="91">
        <f>SUMIFS(tabela_registros[VALOR],tabela_registros[MÊS],$AE$1,tabela_registros[DIA],outtotal3059718395107119131143[[#Headers],[6]],tabela_registros[REGISTRO],DADOS!$N$4,tabela_registros[TIPO],DADOS!$P$4,tabela_registros[CATEGORIA],despesavariávelconsolidadoout[[#This Row],[DESPESA VARIÁVEL]])</f>
        <v>0</v>
      </c>
      <c r="K65" s="91">
        <f>SUMIFS(tabela_registros[VALOR],tabela_registros[MÊS],$AE$1,tabela_registros[DIA],outtotal3059718395107119131143[[#Headers],[7]],tabela_registros[REGISTRO],DADOS!$N$4,tabela_registros[TIPO],DADOS!$P$4,tabela_registros[CATEGORIA],despesavariávelconsolidadoout[[#This Row],[DESPESA VARIÁVEL]])</f>
        <v>0</v>
      </c>
      <c r="L65" s="91">
        <f>SUMIFS(tabela_registros[VALOR],tabela_registros[MÊS],$AE$1,tabela_registros[DIA],outtotal3059718395107119131143[[#Headers],[8]],tabela_registros[REGISTRO],DADOS!$N$4,tabela_registros[TIPO],DADOS!$P$4,tabela_registros[CATEGORIA],despesavariávelconsolidadoout[[#This Row],[DESPESA VARIÁVEL]])</f>
        <v>0</v>
      </c>
      <c r="M65" s="91">
        <f>SUMIFS(tabela_registros[VALOR],tabela_registros[MÊS],$AE$1,tabela_registros[DIA],outtotal3059718395107119131143[[#Headers],[9]],tabela_registros[REGISTRO],DADOS!$N$4,tabela_registros[TIPO],DADOS!$P$4,tabela_registros[CATEGORIA],despesavariávelconsolidadoout[[#This Row],[DESPESA VARIÁVEL]])</f>
        <v>0</v>
      </c>
      <c r="N65" s="91">
        <f>SUMIFS(tabela_registros[VALOR],tabela_registros[MÊS],$AE$1,tabela_registros[DIA],outtotal3059718395107119131143[[#Headers],[10]],tabela_registros[REGISTRO],DADOS!$N$4,tabela_registros[TIPO],DADOS!$P$4,tabela_registros[CATEGORIA],despesavariávelconsolidadoout[[#This Row],[DESPESA VARIÁVEL]])</f>
        <v>0</v>
      </c>
      <c r="O65" s="91">
        <f>SUMIFS(tabela_registros[VALOR],tabela_registros[MÊS],$AE$1,tabela_registros[DIA],outtotal3059718395107119131143[[#Headers],[11]],tabela_registros[REGISTRO],DADOS!$N$4,tabela_registros[TIPO],DADOS!$P$4,tabela_registros[CATEGORIA],despesavariávelconsolidadoout[[#This Row],[DESPESA VARIÁVEL]])</f>
        <v>0</v>
      </c>
      <c r="P65" s="91">
        <f>SUMIFS(tabela_registros[VALOR],tabela_registros[MÊS],$AE$1,tabela_registros[DIA],outtotal3059718395107119131143[[#Headers],[12]],tabela_registros[REGISTRO],DADOS!$N$4,tabela_registros[TIPO],DADOS!$P$4,tabela_registros[CATEGORIA],despesavariávelconsolidadoout[[#This Row],[DESPESA VARIÁVEL]])</f>
        <v>0</v>
      </c>
      <c r="Q65" s="91">
        <f>SUMIFS(tabela_registros[VALOR],tabela_registros[MÊS],$AE$1,tabela_registros[DIA],outtotal3059718395107119131143[[#Headers],[13]],tabela_registros[REGISTRO],DADOS!$N$4,tabela_registros[TIPO],DADOS!$P$4,tabela_registros[CATEGORIA],despesavariávelconsolidadoout[[#This Row],[DESPESA VARIÁVEL]])</f>
        <v>0</v>
      </c>
      <c r="R65" s="91">
        <f>SUMIFS(tabela_registros[VALOR],tabela_registros[MÊS],$AE$1,tabela_registros[DIA],outtotal3059718395107119131143[[#Headers],[14]],tabela_registros[REGISTRO],DADOS!$N$4,tabela_registros[TIPO],DADOS!$P$4,tabela_registros[CATEGORIA],despesavariávelconsolidadoout[[#This Row],[DESPESA VARIÁVEL]])</f>
        <v>0</v>
      </c>
      <c r="S65" s="91">
        <f>SUMIFS(tabela_registros[VALOR],tabela_registros[MÊS],$AE$1,tabela_registros[DIA],outtotal3059718395107119131143[[#Headers],[15]],tabela_registros[REGISTRO],DADOS!$N$4,tabela_registros[TIPO],DADOS!$P$4,tabela_registros[CATEGORIA],despesavariávelconsolidadoout[[#This Row],[DESPESA VARIÁVEL]])</f>
        <v>0</v>
      </c>
      <c r="T65" s="91">
        <f>SUMIFS(tabela_registros[VALOR],tabela_registros[MÊS],$AE$1,tabela_registros[DIA],outtotal3059718395107119131143[[#Headers],[16]],tabela_registros[REGISTRO],DADOS!$N$4,tabela_registros[TIPO],DADOS!$P$4,tabela_registros[CATEGORIA],despesavariávelconsolidadoout[[#This Row],[DESPESA VARIÁVEL]])</f>
        <v>0</v>
      </c>
      <c r="U65" s="91">
        <f>SUMIFS(tabela_registros[VALOR],tabela_registros[MÊS],$AE$1,tabela_registros[DIA],outtotal3059718395107119131143[[#Headers],[17]],tabela_registros[REGISTRO],DADOS!$N$4,tabela_registros[TIPO],DADOS!$P$4,tabela_registros[CATEGORIA],despesavariávelconsolidadoout[[#This Row],[DESPESA VARIÁVEL]])</f>
        <v>0</v>
      </c>
      <c r="V65" s="91">
        <f>SUMIFS(tabela_registros[VALOR],tabela_registros[MÊS],$AE$1,tabela_registros[DIA],outtotal3059718395107119131143[[#Headers],[18]],tabela_registros[REGISTRO],DADOS!$N$4,tabela_registros[TIPO],DADOS!$P$4,tabela_registros[CATEGORIA],despesavariávelconsolidadoout[[#This Row],[DESPESA VARIÁVEL]])</f>
        <v>0</v>
      </c>
      <c r="W65" s="91">
        <f>SUMIFS(tabela_registros[VALOR],tabela_registros[MÊS],$AE$1,tabela_registros[DIA],outtotal3059718395107119131143[[#Headers],[19]],tabela_registros[REGISTRO],DADOS!$N$4,tabela_registros[TIPO],DADOS!$P$4,tabela_registros[CATEGORIA],despesavariávelconsolidadoout[[#This Row],[DESPESA VARIÁVEL]])</f>
        <v>0</v>
      </c>
      <c r="X65" s="91">
        <f>SUMIFS(tabela_registros[VALOR],tabela_registros[MÊS],$AE$1,tabela_registros[DIA],outtotal3059718395107119131143[[#Headers],[20]],tabela_registros[REGISTRO],DADOS!$N$4,tabela_registros[TIPO],DADOS!$P$4,tabela_registros[CATEGORIA],despesavariávelconsolidadoout[[#This Row],[DESPESA VARIÁVEL]])</f>
        <v>0</v>
      </c>
      <c r="Y65" s="91">
        <f>SUMIFS(tabela_registros[VALOR],tabela_registros[MÊS],$AE$1,tabela_registros[DIA],outtotal3059718395107119131143[[#Headers],[21]],tabela_registros[REGISTRO],DADOS!$N$4,tabela_registros[TIPO],DADOS!$P$4,tabela_registros[CATEGORIA],despesavariávelconsolidadoout[[#This Row],[DESPESA VARIÁVEL]])</f>
        <v>0</v>
      </c>
      <c r="Z65" s="91">
        <f>SUMIFS(tabela_registros[VALOR],tabela_registros[MÊS],$AE$1,tabela_registros[DIA],outtotal3059718395107119131143[[#Headers],[22]],tabela_registros[REGISTRO],DADOS!$N$4,tabela_registros[TIPO],DADOS!$P$4,tabela_registros[CATEGORIA],despesavariávelconsolidadoout[[#This Row],[DESPESA VARIÁVEL]])</f>
        <v>0</v>
      </c>
      <c r="AA65" s="91">
        <f>SUMIFS(tabela_registros[VALOR],tabela_registros[MÊS],$AE$1,tabela_registros[DIA],outtotal3059718395107119131143[[#Headers],[23]],tabela_registros[REGISTRO],DADOS!$N$4,tabela_registros[TIPO],DADOS!$P$4,tabela_registros[CATEGORIA],despesavariávelconsolidadoout[[#This Row],[DESPESA VARIÁVEL]])</f>
        <v>0</v>
      </c>
      <c r="AB65" s="91">
        <f>SUMIFS(tabela_registros[VALOR],tabela_registros[MÊS],$AE$1,tabela_registros[DIA],outtotal3059718395107119131143[[#Headers],[24]],tabela_registros[REGISTRO],DADOS!$N$4,tabela_registros[TIPO],DADOS!$P$4,tabela_registros[CATEGORIA],despesavariávelconsolidadoout[[#This Row],[DESPESA VARIÁVEL]])</f>
        <v>0</v>
      </c>
      <c r="AC65" s="91">
        <f>SUMIFS(tabela_registros[VALOR],tabela_registros[MÊS],$AE$1,tabela_registros[DIA],outtotal3059718395107119131143[[#Headers],[25]],tabela_registros[REGISTRO],DADOS!$N$4,tabela_registros[TIPO],DADOS!$P$4,tabela_registros[CATEGORIA],despesavariávelconsolidadoout[[#This Row],[DESPESA VARIÁVEL]])</f>
        <v>0</v>
      </c>
      <c r="AD65" s="91">
        <f>SUMIFS(tabela_registros[VALOR],tabela_registros[MÊS],$AE$1,tabela_registros[DIA],outtotal3059718395107119131143[[#Headers],[26]],tabela_registros[REGISTRO],DADOS!$N$4,tabela_registros[TIPO],DADOS!$P$4,tabela_registros[CATEGORIA],despesavariávelconsolidadoout[[#This Row],[DESPESA VARIÁVEL]])</f>
        <v>0</v>
      </c>
      <c r="AE65" s="91">
        <f>SUMIFS(tabela_registros[VALOR],tabela_registros[MÊS],$AE$1,tabela_registros[DIA],outtotal3059718395107119131143[[#Headers],[27]],tabela_registros[REGISTRO],DADOS!$N$4,tabela_registros[TIPO],DADOS!$P$4,tabela_registros[CATEGORIA],despesavariávelconsolidadoout[[#This Row],[DESPESA VARIÁVEL]])</f>
        <v>0</v>
      </c>
      <c r="AF65" s="91">
        <f>SUMIFS(tabela_registros[VALOR],tabela_registros[MÊS],$AE$1,tabela_registros[DIA],outtotal3059718395107119131143[[#Headers],[28]],tabela_registros[REGISTRO],DADOS!$N$4,tabela_registros[TIPO],DADOS!$P$4,tabela_registros[CATEGORIA],despesavariávelconsolidadoout[[#This Row],[DESPESA VARIÁVEL]])</f>
        <v>0</v>
      </c>
      <c r="AG65" s="91">
        <f>SUMIFS(tabela_registros[VALOR],tabela_registros[MÊS],$AE$1,tabela_registros[DIA],outtotal3059718395107119131143[[#Headers],[29]],tabela_registros[REGISTRO],DADOS!$N$4,tabela_registros[TIPO],DADOS!$P$4,tabela_registros[CATEGORIA],despesavariávelconsolidadoout[[#This Row],[DESPESA VARIÁVEL]])</f>
        <v>0</v>
      </c>
      <c r="AH65" s="91">
        <f>SUMIFS(tabela_registros[VALOR],tabela_registros[MÊS],$AE$1,tabela_registros[DIA],outtotal3059718395107119131143[[#Headers],[30]],tabela_registros[REGISTRO],DADOS!$N$4,tabela_registros[TIPO],DADOS!$P$4,tabela_registros[CATEGORIA],despesavariávelconsolidadoout[[#This Row],[DESPESA VARIÁVEL]])</f>
        <v>0</v>
      </c>
      <c r="AI65" s="101">
        <f>SUMIFS(tabela_registros[VALOR],tabela_registros[MÊS],$AE$1,tabela_registros[DIA],outtotal3059718395107119131143[[#Headers],[31]],tabela_registros[REGISTRO],DADOS!$N$4,tabela_registros[TIPO],DADOS!$P$4,tabela_registros[CATEGORIA],despesavariávelconsolidadoout[[#This Row],[DESPESA VARIÁVEL]])</f>
        <v>0</v>
      </c>
      <c r="AJ65" s="97">
        <f>SUM(despesavariávelconsolidadoout[[#This Row],[1]:[31]])</f>
        <v>0</v>
      </c>
      <c r="AK65" s="28"/>
    </row>
    <row r="66" spans="2:37" ht="18" customHeight="1" thickTop="1" thickBot="1" x14ac:dyDescent="0.3">
      <c r="B66" s="28"/>
      <c r="C66" s="27" t="str">
        <f>DADOS!$T$9</f>
        <v>🎭 LAZER</v>
      </c>
      <c r="D66" s="26" t="str">
        <f>IF(despesavariávelconsolidadoout[[#This Row],[TOTAL]]=0,"",IF(OR(despesavariávelconsolidadoout[[#This Row],[TOTAL]]=LARGE($AJ$60:$AJ$72,1),despesavariávelconsolidadoout[[#This Row],[TOTAL]]=LARGE($AJ$60:$AJ$72,2),despesavariávelconsolidadoout[[#This Row],[TOTAL]]=LARGE($AJ$60:$AJ$72,3),despesavariávelconsolidadoout[[#This Row],[TOTAL]]=LARGE($AJ$60:$AJ$72,4),despesavariávelconsolidadoout[[#This Row],[TOTAL]]=LARGE($AJ$60:$AJ$72,5)),DADOS!$I$8,""))</f>
        <v>💣</v>
      </c>
      <c r="E66" s="96">
        <f>SUMIFS(tabela_registros[VALOR],tabela_registros[MÊS],$AE$1,tabela_registros[DIA],outtotal3059718395107119131143[[#Headers],[1]],tabela_registros[REGISTRO],DADOS!$N$4,tabela_registros[TIPO],DADOS!$P$4,tabela_registros[CATEGORIA],despesavariávelconsolidadoout[[#This Row],[DESPESA VARIÁVEL]])</f>
        <v>0</v>
      </c>
      <c r="F66" s="91">
        <f>SUMIFS(tabela_registros[VALOR],tabela_registros[MÊS],$AE$1,tabela_registros[DIA],outtotal3059718395107119131143[[#Headers],[2]],tabela_registros[REGISTRO],DADOS!$N$4,tabela_registros[TIPO],DADOS!$P$4,tabela_registros[CATEGORIA],despesavariávelconsolidadoout[[#This Row],[DESPESA VARIÁVEL]])</f>
        <v>0</v>
      </c>
      <c r="G66" s="91">
        <f>SUMIFS(tabela_registros[VALOR],tabela_registros[MÊS],$AE$1,tabela_registros[DIA],outtotal3059718395107119131143[[#Headers],[3]],tabela_registros[REGISTRO],DADOS!$N$4,tabela_registros[TIPO],DADOS!$P$4,tabela_registros[CATEGORIA],despesavariávelconsolidadoout[[#This Row],[DESPESA VARIÁVEL]])</f>
        <v>0</v>
      </c>
      <c r="H66" s="91">
        <f>SUMIFS(tabela_registros[VALOR],tabela_registros[MÊS],$AE$1,tabela_registros[DIA],outtotal3059718395107119131143[[#Headers],[4]],tabela_registros[REGISTRO],DADOS!$N$4,tabela_registros[TIPO],DADOS!$P$4,tabela_registros[CATEGORIA],despesavariávelconsolidadoout[[#This Row],[DESPESA VARIÁVEL]])</f>
        <v>0</v>
      </c>
      <c r="I66" s="91">
        <f>SUMIFS(tabela_registros[VALOR],tabela_registros[MÊS],$AE$1,tabela_registros[DIA],outtotal3059718395107119131143[[#Headers],[5]],tabela_registros[REGISTRO],DADOS!$N$4,tabela_registros[TIPO],DADOS!$P$4,tabela_registros[CATEGORIA],despesavariávelconsolidadoout[[#This Row],[DESPESA VARIÁVEL]])</f>
        <v>0</v>
      </c>
      <c r="J66" s="91">
        <f>SUMIFS(tabela_registros[VALOR],tabela_registros[MÊS],$AE$1,tabela_registros[DIA],outtotal3059718395107119131143[[#Headers],[6]],tabela_registros[REGISTRO],DADOS!$N$4,tabela_registros[TIPO],DADOS!$P$4,tabela_registros[CATEGORIA],despesavariávelconsolidadoout[[#This Row],[DESPESA VARIÁVEL]])</f>
        <v>0</v>
      </c>
      <c r="K66" s="91">
        <f>SUMIFS(tabela_registros[VALOR],tabela_registros[MÊS],$AE$1,tabela_registros[DIA],outtotal3059718395107119131143[[#Headers],[7]],tabela_registros[REGISTRO],DADOS!$N$4,tabela_registros[TIPO],DADOS!$P$4,tabela_registros[CATEGORIA],despesavariávelconsolidadoout[[#This Row],[DESPESA VARIÁVEL]])</f>
        <v>0</v>
      </c>
      <c r="L66" s="91">
        <f>SUMIFS(tabela_registros[VALOR],tabela_registros[MÊS],$AE$1,tabela_registros[DIA],outtotal3059718395107119131143[[#Headers],[8]],tabela_registros[REGISTRO],DADOS!$N$4,tabela_registros[TIPO],DADOS!$P$4,tabela_registros[CATEGORIA],despesavariávelconsolidadoout[[#This Row],[DESPESA VARIÁVEL]])</f>
        <v>20</v>
      </c>
      <c r="M66" s="91">
        <f>SUMIFS(tabela_registros[VALOR],tabela_registros[MÊS],$AE$1,tabela_registros[DIA],outtotal3059718395107119131143[[#Headers],[9]],tabela_registros[REGISTRO],DADOS!$N$4,tabela_registros[TIPO],DADOS!$P$4,tabela_registros[CATEGORIA],despesavariávelconsolidadoout[[#This Row],[DESPESA VARIÁVEL]])</f>
        <v>0</v>
      </c>
      <c r="N66" s="91">
        <f>SUMIFS(tabela_registros[VALOR],tabela_registros[MÊS],$AE$1,tabela_registros[DIA],outtotal3059718395107119131143[[#Headers],[10]],tabela_registros[REGISTRO],DADOS!$N$4,tabela_registros[TIPO],DADOS!$P$4,tabela_registros[CATEGORIA],despesavariávelconsolidadoout[[#This Row],[DESPESA VARIÁVEL]])</f>
        <v>0</v>
      </c>
      <c r="O66" s="91">
        <f>SUMIFS(tabela_registros[VALOR],tabela_registros[MÊS],$AE$1,tabela_registros[DIA],outtotal3059718395107119131143[[#Headers],[11]],tabela_registros[REGISTRO],DADOS!$N$4,tabela_registros[TIPO],DADOS!$P$4,tabela_registros[CATEGORIA],despesavariávelconsolidadoout[[#This Row],[DESPESA VARIÁVEL]])</f>
        <v>0</v>
      </c>
      <c r="P66" s="91">
        <f>SUMIFS(tabela_registros[VALOR],tabela_registros[MÊS],$AE$1,tabela_registros[DIA],outtotal3059718395107119131143[[#Headers],[12]],tabela_registros[REGISTRO],DADOS!$N$4,tabela_registros[TIPO],DADOS!$P$4,tabela_registros[CATEGORIA],despesavariávelconsolidadoout[[#This Row],[DESPESA VARIÁVEL]])</f>
        <v>0</v>
      </c>
      <c r="Q66" s="91">
        <f>SUMIFS(tabela_registros[VALOR],tabela_registros[MÊS],$AE$1,tabela_registros[DIA],outtotal3059718395107119131143[[#Headers],[13]],tabela_registros[REGISTRO],DADOS!$N$4,tabela_registros[TIPO],DADOS!$P$4,tabela_registros[CATEGORIA],despesavariávelconsolidadoout[[#This Row],[DESPESA VARIÁVEL]])</f>
        <v>0</v>
      </c>
      <c r="R66" s="91">
        <f>SUMIFS(tabela_registros[VALOR],tabela_registros[MÊS],$AE$1,tabela_registros[DIA],outtotal3059718395107119131143[[#Headers],[14]],tabela_registros[REGISTRO],DADOS!$N$4,tabela_registros[TIPO],DADOS!$P$4,tabela_registros[CATEGORIA],despesavariávelconsolidadoout[[#This Row],[DESPESA VARIÁVEL]])</f>
        <v>0</v>
      </c>
      <c r="S66" s="91">
        <f>SUMIFS(tabela_registros[VALOR],tabela_registros[MÊS],$AE$1,tabela_registros[DIA],outtotal3059718395107119131143[[#Headers],[15]],tabela_registros[REGISTRO],DADOS!$N$4,tabela_registros[TIPO],DADOS!$P$4,tabela_registros[CATEGORIA],despesavariávelconsolidadoout[[#This Row],[DESPESA VARIÁVEL]])</f>
        <v>0</v>
      </c>
      <c r="T66" s="91">
        <f>SUMIFS(tabela_registros[VALOR],tabela_registros[MÊS],$AE$1,tabela_registros[DIA],outtotal3059718395107119131143[[#Headers],[16]],tabela_registros[REGISTRO],DADOS!$N$4,tabela_registros[TIPO],DADOS!$P$4,tabela_registros[CATEGORIA],despesavariávelconsolidadoout[[#This Row],[DESPESA VARIÁVEL]])</f>
        <v>0</v>
      </c>
      <c r="U66" s="91">
        <f>SUMIFS(tabela_registros[VALOR],tabela_registros[MÊS],$AE$1,tabela_registros[DIA],outtotal3059718395107119131143[[#Headers],[17]],tabela_registros[REGISTRO],DADOS!$N$4,tabela_registros[TIPO],DADOS!$P$4,tabela_registros[CATEGORIA],despesavariávelconsolidadoout[[#This Row],[DESPESA VARIÁVEL]])</f>
        <v>0</v>
      </c>
      <c r="V66" s="91">
        <f>SUMIFS(tabela_registros[VALOR],tabela_registros[MÊS],$AE$1,tabela_registros[DIA],outtotal3059718395107119131143[[#Headers],[18]],tabela_registros[REGISTRO],DADOS!$N$4,tabela_registros[TIPO],DADOS!$P$4,tabela_registros[CATEGORIA],despesavariávelconsolidadoout[[#This Row],[DESPESA VARIÁVEL]])</f>
        <v>0</v>
      </c>
      <c r="W66" s="91">
        <f>SUMIFS(tabela_registros[VALOR],tabela_registros[MÊS],$AE$1,tabela_registros[DIA],outtotal3059718395107119131143[[#Headers],[19]],tabela_registros[REGISTRO],DADOS!$N$4,tabela_registros[TIPO],DADOS!$P$4,tabela_registros[CATEGORIA],despesavariávelconsolidadoout[[#This Row],[DESPESA VARIÁVEL]])</f>
        <v>0</v>
      </c>
      <c r="X66" s="91">
        <f>SUMIFS(tabela_registros[VALOR],tabela_registros[MÊS],$AE$1,tabela_registros[DIA],outtotal3059718395107119131143[[#Headers],[20]],tabela_registros[REGISTRO],DADOS!$N$4,tabela_registros[TIPO],DADOS!$P$4,tabela_registros[CATEGORIA],despesavariávelconsolidadoout[[#This Row],[DESPESA VARIÁVEL]])</f>
        <v>0</v>
      </c>
      <c r="Y66" s="91">
        <f>SUMIFS(tabela_registros[VALOR],tabela_registros[MÊS],$AE$1,tabela_registros[DIA],outtotal3059718395107119131143[[#Headers],[21]],tabela_registros[REGISTRO],DADOS!$N$4,tabela_registros[TIPO],DADOS!$P$4,tabela_registros[CATEGORIA],despesavariávelconsolidadoout[[#This Row],[DESPESA VARIÁVEL]])</f>
        <v>0</v>
      </c>
      <c r="Z66" s="91">
        <f>SUMIFS(tabela_registros[VALOR],tabela_registros[MÊS],$AE$1,tabela_registros[DIA],outtotal3059718395107119131143[[#Headers],[22]],tabela_registros[REGISTRO],DADOS!$N$4,tabela_registros[TIPO],DADOS!$P$4,tabela_registros[CATEGORIA],despesavariávelconsolidadoout[[#This Row],[DESPESA VARIÁVEL]])</f>
        <v>0</v>
      </c>
      <c r="AA66" s="91">
        <f>SUMIFS(tabela_registros[VALOR],tabela_registros[MÊS],$AE$1,tabela_registros[DIA],outtotal3059718395107119131143[[#Headers],[23]],tabela_registros[REGISTRO],DADOS!$N$4,tabela_registros[TIPO],DADOS!$P$4,tabela_registros[CATEGORIA],despesavariávelconsolidadoout[[#This Row],[DESPESA VARIÁVEL]])</f>
        <v>0</v>
      </c>
      <c r="AB66" s="91">
        <f>SUMIFS(tabela_registros[VALOR],tabela_registros[MÊS],$AE$1,tabela_registros[DIA],outtotal3059718395107119131143[[#Headers],[24]],tabela_registros[REGISTRO],DADOS!$N$4,tabela_registros[TIPO],DADOS!$P$4,tabela_registros[CATEGORIA],despesavariávelconsolidadoout[[#This Row],[DESPESA VARIÁVEL]])</f>
        <v>0</v>
      </c>
      <c r="AC66" s="91">
        <f>SUMIFS(tabela_registros[VALOR],tabela_registros[MÊS],$AE$1,tabela_registros[DIA],outtotal3059718395107119131143[[#Headers],[25]],tabela_registros[REGISTRO],DADOS!$N$4,tabela_registros[TIPO],DADOS!$P$4,tabela_registros[CATEGORIA],despesavariávelconsolidadoout[[#This Row],[DESPESA VARIÁVEL]])</f>
        <v>0</v>
      </c>
      <c r="AD66" s="91">
        <f>SUMIFS(tabela_registros[VALOR],tabela_registros[MÊS],$AE$1,tabela_registros[DIA],outtotal3059718395107119131143[[#Headers],[26]],tabela_registros[REGISTRO],DADOS!$N$4,tabela_registros[TIPO],DADOS!$P$4,tabela_registros[CATEGORIA],despesavariávelconsolidadoout[[#This Row],[DESPESA VARIÁVEL]])</f>
        <v>0</v>
      </c>
      <c r="AE66" s="91">
        <f>SUMIFS(tabela_registros[VALOR],tabela_registros[MÊS],$AE$1,tabela_registros[DIA],outtotal3059718395107119131143[[#Headers],[27]],tabela_registros[REGISTRO],DADOS!$N$4,tabela_registros[TIPO],DADOS!$P$4,tabela_registros[CATEGORIA],despesavariávelconsolidadoout[[#This Row],[DESPESA VARIÁVEL]])</f>
        <v>0</v>
      </c>
      <c r="AF66" s="91">
        <f>SUMIFS(tabela_registros[VALOR],tabela_registros[MÊS],$AE$1,tabela_registros[DIA],outtotal3059718395107119131143[[#Headers],[28]],tabela_registros[REGISTRO],DADOS!$N$4,tabela_registros[TIPO],DADOS!$P$4,tabela_registros[CATEGORIA],despesavariávelconsolidadoout[[#This Row],[DESPESA VARIÁVEL]])</f>
        <v>0</v>
      </c>
      <c r="AG66" s="91">
        <f>SUMIFS(tabela_registros[VALOR],tabela_registros[MÊS],$AE$1,tabela_registros[DIA],outtotal3059718395107119131143[[#Headers],[29]],tabela_registros[REGISTRO],DADOS!$N$4,tabela_registros[TIPO],DADOS!$P$4,tabela_registros[CATEGORIA],despesavariávelconsolidadoout[[#This Row],[DESPESA VARIÁVEL]])</f>
        <v>0</v>
      </c>
      <c r="AH66" s="91">
        <f>SUMIFS(tabela_registros[VALOR],tabela_registros[MÊS],$AE$1,tabela_registros[DIA],outtotal3059718395107119131143[[#Headers],[30]],tabela_registros[REGISTRO],DADOS!$N$4,tabela_registros[TIPO],DADOS!$P$4,tabela_registros[CATEGORIA],despesavariávelconsolidadoout[[#This Row],[DESPESA VARIÁVEL]])</f>
        <v>0</v>
      </c>
      <c r="AI66" s="101">
        <f>SUMIFS(tabela_registros[VALOR],tabela_registros[MÊS],$AE$1,tabela_registros[DIA],outtotal3059718395107119131143[[#Headers],[31]],tabela_registros[REGISTRO],DADOS!$N$4,tabela_registros[TIPO],DADOS!$P$4,tabela_registros[CATEGORIA],despesavariávelconsolidadoout[[#This Row],[DESPESA VARIÁVEL]])</f>
        <v>0</v>
      </c>
      <c r="AJ66" s="97">
        <f>SUM(despesavariávelconsolidadoout[[#This Row],[1]:[31]])</f>
        <v>20</v>
      </c>
      <c r="AK66" s="28"/>
    </row>
    <row r="67" spans="2:37" ht="18" customHeight="1" thickTop="1" thickBot="1" x14ac:dyDescent="0.3">
      <c r="B67" s="28"/>
      <c r="C67" s="27" t="str">
        <f>DADOS!$T$10</f>
        <v>🛒 MERCADO</v>
      </c>
      <c r="D67" s="26" t="str">
        <f>IF(despesavariávelconsolidadoout[[#This Row],[TOTAL]]=0,"",IF(OR(despesavariávelconsolidadoout[[#This Row],[TOTAL]]=LARGE($AJ$60:$AJ$72,1),despesavariávelconsolidadoout[[#This Row],[TOTAL]]=LARGE($AJ$60:$AJ$72,2),despesavariávelconsolidadoout[[#This Row],[TOTAL]]=LARGE($AJ$60:$AJ$72,3),despesavariávelconsolidadoout[[#This Row],[TOTAL]]=LARGE($AJ$60:$AJ$72,4),despesavariávelconsolidadoout[[#This Row],[TOTAL]]=LARGE($AJ$60:$AJ$72,5)),DADOS!$I$8,""))</f>
        <v/>
      </c>
      <c r="E67" s="96">
        <f>SUMIFS(tabela_registros[VALOR],tabela_registros[MÊS],$AE$1,tabela_registros[DIA],outtotal3059718395107119131143[[#Headers],[1]],tabela_registros[REGISTRO],DADOS!$N$4,tabela_registros[TIPO],DADOS!$P$4,tabela_registros[CATEGORIA],despesavariávelconsolidadoout[[#This Row],[DESPESA VARIÁVEL]])</f>
        <v>0</v>
      </c>
      <c r="F67" s="91">
        <f>SUMIFS(tabela_registros[VALOR],tabela_registros[MÊS],$AE$1,tabela_registros[DIA],outtotal3059718395107119131143[[#Headers],[2]],tabela_registros[REGISTRO],DADOS!$N$4,tabela_registros[TIPO],DADOS!$P$4,tabela_registros[CATEGORIA],despesavariávelconsolidadoout[[#This Row],[DESPESA VARIÁVEL]])</f>
        <v>0</v>
      </c>
      <c r="G67" s="91">
        <f>SUMIFS(tabela_registros[VALOR],tabela_registros[MÊS],$AE$1,tabela_registros[DIA],outtotal3059718395107119131143[[#Headers],[3]],tabela_registros[REGISTRO],DADOS!$N$4,tabela_registros[TIPO],DADOS!$P$4,tabela_registros[CATEGORIA],despesavariávelconsolidadoout[[#This Row],[DESPESA VARIÁVEL]])</f>
        <v>0</v>
      </c>
      <c r="H67" s="91">
        <f>SUMIFS(tabela_registros[VALOR],tabela_registros[MÊS],$AE$1,tabela_registros[DIA],outtotal3059718395107119131143[[#Headers],[4]],tabela_registros[REGISTRO],DADOS!$N$4,tabela_registros[TIPO],DADOS!$P$4,tabela_registros[CATEGORIA],despesavariávelconsolidadoout[[#This Row],[DESPESA VARIÁVEL]])</f>
        <v>0</v>
      </c>
      <c r="I67" s="91">
        <f>SUMIFS(tabela_registros[VALOR],tabela_registros[MÊS],$AE$1,tabela_registros[DIA],outtotal3059718395107119131143[[#Headers],[5]],tabela_registros[REGISTRO],DADOS!$N$4,tabela_registros[TIPO],DADOS!$P$4,tabela_registros[CATEGORIA],despesavariávelconsolidadoout[[#This Row],[DESPESA VARIÁVEL]])</f>
        <v>0</v>
      </c>
      <c r="J67" s="91">
        <f>SUMIFS(tabela_registros[VALOR],tabela_registros[MÊS],$AE$1,tabela_registros[DIA],outtotal3059718395107119131143[[#Headers],[6]],tabela_registros[REGISTRO],DADOS!$N$4,tabela_registros[TIPO],DADOS!$P$4,tabela_registros[CATEGORIA],despesavariávelconsolidadoout[[#This Row],[DESPESA VARIÁVEL]])</f>
        <v>0</v>
      </c>
      <c r="K67" s="91">
        <f>SUMIFS(tabela_registros[VALOR],tabela_registros[MÊS],$AE$1,tabela_registros[DIA],outtotal3059718395107119131143[[#Headers],[7]],tabela_registros[REGISTRO],DADOS!$N$4,tabela_registros[TIPO],DADOS!$P$4,tabela_registros[CATEGORIA],despesavariávelconsolidadoout[[#This Row],[DESPESA VARIÁVEL]])</f>
        <v>0</v>
      </c>
      <c r="L67" s="91">
        <f>SUMIFS(tabela_registros[VALOR],tabela_registros[MÊS],$AE$1,tabela_registros[DIA],outtotal3059718395107119131143[[#Headers],[8]],tabela_registros[REGISTRO],DADOS!$N$4,tabela_registros[TIPO],DADOS!$P$4,tabela_registros[CATEGORIA],despesavariávelconsolidadoout[[#This Row],[DESPESA VARIÁVEL]])</f>
        <v>0</v>
      </c>
      <c r="M67" s="91">
        <f>SUMIFS(tabela_registros[VALOR],tabela_registros[MÊS],$AE$1,tabela_registros[DIA],outtotal3059718395107119131143[[#Headers],[9]],tabela_registros[REGISTRO],DADOS!$N$4,tabela_registros[TIPO],DADOS!$P$4,tabela_registros[CATEGORIA],despesavariávelconsolidadoout[[#This Row],[DESPESA VARIÁVEL]])</f>
        <v>0</v>
      </c>
      <c r="N67" s="91">
        <f>SUMIFS(tabela_registros[VALOR],tabela_registros[MÊS],$AE$1,tabela_registros[DIA],outtotal3059718395107119131143[[#Headers],[10]],tabela_registros[REGISTRO],DADOS!$N$4,tabela_registros[TIPO],DADOS!$P$4,tabela_registros[CATEGORIA],despesavariávelconsolidadoout[[#This Row],[DESPESA VARIÁVEL]])</f>
        <v>0</v>
      </c>
      <c r="O67" s="91">
        <f>SUMIFS(tabela_registros[VALOR],tabela_registros[MÊS],$AE$1,tabela_registros[DIA],outtotal3059718395107119131143[[#Headers],[11]],tabela_registros[REGISTRO],DADOS!$N$4,tabela_registros[TIPO],DADOS!$P$4,tabela_registros[CATEGORIA],despesavariávelconsolidadoout[[#This Row],[DESPESA VARIÁVEL]])</f>
        <v>0</v>
      </c>
      <c r="P67" s="91">
        <f>SUMIFS(tabela_registros[VALOR],tabela_registros[MÊS],$AE$1,tabela_registros[DIA],outtotal3059718395107119131143[[#Headers],[12]],tabela_registros[REGISTRO],DADOS!$N$4,tabela_registros[TIPO],DADOS!$P$4,tabela_registros[CATEGORIA],despesavariávelconsolidadoout[[#This Row],[DESPESA VARIÁVEL]])</f>
        <v>0</v>
      </c>
      <c r="Q67" s="91">
        <f>SUMIFS(tabela_registros[VALOR],tabela_registros[MÊS],$AE$1,tabela_registros[DIA],outtotal3059718395107119131143[[#Headers],[13]],tabela_registros[REGISTRO],DADOS!$N$4,tabela_registros[TIPO],DADOS!$P$4,tabela_registros[CATEGORIA],despesavariávelconsolidadoout[[#This Row],[DESPESA VARIÁVEL]])</f>
        <v>0</v>
      </c>
      <c r="R67" s="91">
        <f>SUMIFS(tabela_registros[VALOR],tabela_registros[MÊS],$AE$1,tabela_registros[DIA],outtotal3059718395107119131143[[#Headers],[14]],tabela_registros[REGISTRO],DADOS!$N$4,tabela_registros[TIPO],DADOS!$P$4,tabela_registros[CATEGORIA],despesavariávelconsolidadoout[[#This Row],[DESPESA VARIÁVEL]])</f>
        <v>0</v>
      </c>
      <c r="S67" s="91">
        <f>SUMIFS(tabela_registros[VALOR],tabela_registros[MÊS],$AE$1,tabela_registros[DIA],outtotal3059718395107119131143[[#Headers],[15]],tabela_registros[REGISTRO],DADOS!$N$4,tabela_registros[TIPO],DADOS!$P$4,tabela_registros[CATEGORIA],despesavariávelconsolidadoout[[#This Row],[DESPESA VARIÁVEL]])</f>
        <v>0</v>
      </c>
      <c r="T67" s="91">
        <f>SUMIFS(tabela_registros[VALOR],tabela_registros[MÊS],$AE$1,tabela_registros[DIA],outtotal3059718395107119131143[[#Headers],[16]],tabela_registros[REGISTRO],DADOS!$N$4,tabela_registros[TIPO],DADOS!$P$4,tabela_registros[CATEGORIA],despesavariávelconsolidadoout[[#This Row],[DESPESA VARIÁVEL]])</f>
        <v>0</v>
      </c>
      <c r="U67" s="91">
        <f>SUMIFS(tabela_registros[VALOR],tabela_registros[MÊS],$AE$1,tabela_registros[DIA],outtotal3059718395107119131143[[#Headers],[17]],tabela_registros[REGISTRO],DADOS!$N$4,tabela_registros[TIPO],DADOS!$P$4,tabela_registros[CATEGORIA],despesavariávelconsolidadoout[[#This Row],[DESPESA VARIÁVEL]])</f>
        <v>0</v>
      </c>
      <c r="V67" s="91">
        <f>SUMIFS(tabela_registros[VALOR],tabela_registros[MÊS],$AE$1,tabela_registros[DIA],outtotal3059718395107119131143[[#Headers],[18]],tabela_registros[REGISTRO],DADOS!$N$4,tabela_registros[TIPO],DADOS!$P$4,tabela_registros[CATEGORIA],despesavariávelconsolidadoout[[#This Row],[DESPESA VARIÁVEL]])</f>
        <v>0</v>
      </c>
      <c r="W67" s="91">
        <f>SUMIFS(tabela_registros[VALOR],tabela_registros[MÊS],$AE$1,tabela_registros[DIA],outtotal3059718395107119131143[[#Headers],[19]],tabela_registros[REGISTRO],DADOS!$N$4,tabela_registros[TIPO],DADOS!$P$4,tabela_registros[CATEGORIA],despesavariávelconsolidadoout[[#This Row],[DESPESA VARIÁVEL]])</f>
        <v>0</v>
      </c>
      <c r="X67" s="91">
        <f>SUMIFS(tabela_registros[VALOR],tabela_registros[MÊS],$AE$1,tabela_registros[DIA],outtotal3059718395107119131143[[#Headers],[20]],tabela_registros[REGISTRO],DADOS!$N$4,tabela_registros[TIPO],DADOS!$P$4,tabela_registros[CATEGORIA],despesavariávelconsolidadoout[[#This Row],[DESPESA VARIÁVEL]])</f>
        <v>0</v>
      </c>
      <c r="Y67" s="91">
        <f>SUMIFS(tabela_registros[VALOR],tabela_registros[MÊS],$AE$1,tabela_registros[DIA],outtotal3059718395107119131143[[#Headers],[21]],tabela_registros[REGISTRO],DADOS!$N$4,tabela_registros[TIPO],DADOS!$P$4,tabela_registros[CATEGORIA],despesavariávelconsolidadoout[[#This Row],[DESPESA VARIÁVEL]])</f>
        <v>0</v>
      </c>
      <c r="Z67" s="91">
        <f>SUMIFS(tabela_registros[VALOR],tabela_registros[MÊS],$AE$1,tabela_registros[DIA],outtotal3059718395107119131143[[#Headers],[22]],tabela_registros[REGISTRO],DADOS!$N$4,tabela_registros[TIPO],DADOS!$P$4,tabela_registros[CATEGORIA],despesavariávelconsolidadoout[[#This Row],[DESPESA VARIÁVEL]])</f>
        <v>0</v>
      </c>
      <c r="AA67" s="91">
        <f>SUMIFS(tabela_registros[VALOR],tabela_registros[MÊS],$AE$1,tabela_registros[DIA],outtotal3059718395107119131143[[#Headers],[23]],tabela_registros[REGISTRO],DADOS!$N$4,tabela_registros[TIPO],DADOS!$P$4,tabela_registros[CATEGORIA],despesavariávelconsolidadoout[[#This Row],[DESPESA VARIÁVEL]])</f>
        <v>0</v>
      </c>
      <c r="AB67" s="91">
        <f>SUMIFS(tabela_registros[VALOR],tabela_registros[MÊS],$AE$1,tabela_registros[DIA],outtotal3059718395107119131143[[#Headers],[24]],tabela_registros[REGISTRO],DADOS!$N$4,tabela_registros[TIPO],DADOS!$P$4,tabela_registros[CATEGORIA],despesavariávelconsolidadoout[[#This Row],[DESPESA VARIÁVEL]])</f>
        <v>0</v>
      </c>
      <c r="AC67" s="91">
        <f>SUMIFS(tabela_registros[VALOR],tabela_registros[MÊS],$AE$1,tabela_registros[DIA],outtotal3059718395107119131143[[#Headers],[25]],tabela_registros[REGISTRO],DADOS!$N$4,tabela_registros[TIPO],DADOS!$P$4,tabela_registros[CATEGORIA],despesavariávelconsolidadoout[[#This Row],[DESPESA VARIÁVEL]])</f>
        <v>0</v>
      </c>
      <c r="AD67" s="91">
        <f>SUMIFS(tabela_registros[VALOR],tabela_registros[MÊS],$AE$1,tabela_registros[DIA],outtotal3059718395107119131143[[#Headers],[26]],tabela_registros[REGISTRO],DADOS!$N$4,tabela_registros[TIPO],DADOS!$P$4,tabela_registros[CATEGORIA],despesavariávelconsolidadoout[[#This Row],[DESPESA VARIÁVEL]])</f>
        <v>0</v>
      </c>
      <c r="AE67" s="91">
        <f>SUMIFS(tabela_registros[VALOR],tabela_registros[MÊS],$AE$1,tabela_registros[DIA],outtotal3059718395107119131143[[#Headers],[27]],tabela_registros[REGISTRO],DADOS!$N$4,tabela_registros[TIPO],DADOS!$P$4,tabela_registros[CATEGORIA],despesavariávelconsolidadoout[[#This Row],[DESPESA VARIÁVEL]])</f>
        <v>0</v>
      </c>
      <c r="AF67" s="91">
        <f>SUMIFS(tabela_registros[VALOR],tabela_registros[MÊS],$AE$1,tabela_registros[DIA],outtotal3059718395107119131143[[#Headers],[28]],tabela_registros[REGISTRO],DADOS!$N$4,tabela_registros[TIPO],DADOS!$P$4,tabela_registros[CATEGORIA],despesavariávelconsolidadoout[[#This Row],[DESPESA VARIÁVEL]])</f>
        <v>0</v>
      </c>
      <c r="AG67" s="91">
        <f>SUMIFS(tabela_registros[VALOR],tabela_registros[MÊS],$AE$1,tabela_registros[DIA],outtotal3059718395107119131143[[#Headers],[29]],tabela_registros[REGISTRO],DADOS!$N$4,tabela_registros[TIPO],DADOS!$P$4,tabela_registros[CATEGORIA],despesavariávelconsolidadoout[[#This Row],[DESPESA VARIÁVEL]])</f>
        <v>0</v>
      </c>
      <c r="AH67" s="91">
        <f>SUMIFS(tabela_registros[VALOR],tabela_registros[MÊS],$AE$1,tabela_registros[DIA],outtotal3059718395107119131143[[#Headers],[30]],tabela_registros[REGISTRO],DADOS!$N$4,tabela_registros[TIPO],DADOS!$P$4,tabela_registros[CATEGORIA],despesavariávelconsolidadoout[[#This Row],[DESPESA VARIÁVEL]])</f>
        <v>0</v>
      </c>
      <c r="AI67" s="101">
        <f>SUMIFS(tabela_registros[VALOR],tabela_registros[MÊS],$AE$1,tabela_registros[DIA],outtotal3059718395107119131143[[#Headers],[31]],tabela_registros[REGISTRO],DADOS!$N$4,tabela_registros[TIPO],DADOS!$P$4,tabela_registros[CATEGORIA],despesavariávelconsolidadoout[[#This Row],[DESPESA VARIÁVEL]])</f>
        <v>0</v>
      </c>
      <c r="AJ67" s="97">
        <f>SUM(despesavariávelconsolidadoout[[#This Row],[1]:[31]])</f>
        <v>0</v>
      </c>
      <c r="AK67" s="28"/>
    </row>
    <row r="68" spans="2:37" ht="18" customHeight="1" thickTop="1" thickBot="1" x14ac:dyDescent="0.3">
      <c r="B68" s="28"/>
      <c r="C68" s="27" t="str">
        <f>DADOS!$T$11</f>
        <v>🎁 PRESENTES</v>
      </c>
      <c r="D68" s="26" t="str">
        <f>IF(despesavariávelconsolidadoout[[#This Row],[TOTAL]]=0,"",IF(OR(despesavariávelconsolidadoout[[#This Row],[TOTAL]]=LARGE($AJ$60:$AJ$72,1),despesavariávelconsolidadoout[[#This Row],[TOTAL]]=LARGE($AJ$60:$AJ$72,2),despesavariávelconsolidadoout[[#This Row],[TOTAL]]=LARGE($AJ$60:$AJ$72,3),despesavariávelconsolidadoout[[#This Row],[TOTAL]]=LARGE($AJ$60:$AJ$72,4),despesavariávelconsolidadoout[[#This Row],[TOTAL]]=LARGE($AJ$60:$AJ$72,5)),DADOS!$I$8,""))</f>
        <v/>
      </c>
      <c r="E68" s="96">
        <f>SUMIFS(tabela_registros[VALOR],tabela_registros[MÊS],$AE$1,tabela_registros[DIA],outtotal3059718395107119131143[[#Headers],[1]],tabela_registros[REGISTRO],DADOS!$N$4,tabela_registros[TIPO],DADOS!$P$4,tabela_registros[CATEGORIA],despesavariávelconsolidadoout[[#This Row],[DESPESA VARIÁVEL]])</f>
        <v>0</v>
      </c>
      <c r="F68" s="91">
        <f>SUMIFS(tabela_registros[VALOR],tabela_registros[MÊS],$AE$1,tabela_registros[DIA],outtotal3059718395107119131143[[#Headers],[2]],tabela_registros[REGISTRO],DADOS!$N$4,tabela_registros[TIPO],DADOS!$P$4,tabela_registros[CATEGORIA],despesavariávelconsolidadoout[[#This Row],[DESPESA VARIÁVEL]])</f>
        <v>0</v>
      </c>
      <c r="G68" s="91">
        <f>SUMIFS(tabela_registros[VALOR],tabela_registros[MÊS],$AE$1,tabela_registros[DIA],outtotal3059718395107119131143[[#Headers],[3]],tabela_registros[REGISTRO],DADOS!$N$4,tabela_registros[TIPO],DADOS!$P$4,tabela_registros[CATEGORIA],despesavariávelconsolidadoout[[#This Row],[DESPESA VARIÁVEL]])</f>
        <v>0</v>
      </c>
      <c r="H68" s="91">
        <f>SUMIFS(tabela_registros[VALOR],tabela_registros[MÊS],$AE$1,tabela_registros[DIA],outtotal3059718395107119131143[[#Headers],[4]],tabela_registros[REGISTRO],DADOS!$N$4,tabela_registros[TIPO],DADOS!$P$4,tabela_registros[CATEGORIA],despesavariávelconsolidadoout[[#This Row],[DESPESA VARIÁVEL]])</f>
        <v>0</v>
      </c>
      <c r="I68" s="91">
        <f>SUMIFS(tabela_registros[VALOR],tabela_registros[MÊS],$AE$1,tabela_registros[DIA],outtotal3059718395107119131143[[#Headers],[5]],tabela_registros[REGISTRO],DADOS!$N$4,tabela_registros[TIPO],DADOS!$P$4,tabela_registros[CATEGORIA],despesavariávelconsolidadoout[[#This Row],[DESPESA VARIÁVEL]])</f>
        <v>0</v>
      </c>
      <c r="J68" s="91">
        <f>SUMIFS(tabela_registros[VALOR],tabela_registros[MÊS],$AE$1,tabela_registros[DIA],outtotal3059718395107119131143[[#Headers],[6]],tabela_registros[REGISTRO],DADOS!$N$4,tabela_registros[TIPO],DADOS!$P$4,tabela_registros[CATEGORIA],despesavariávelconsolidadoout[[#This Row],[DESPESA VARIÁVEL]])</f>
        <v>0</v>
      </c>
      <c r="K68" s="91">
        <f>SUMIFS(tabela_registros[VALOR],tabela_registros[MÊS],$AE$1,tabela_registros[DIA],outtotal3059718395107119131143[[#Headers],[7]],tabela_registros[REGISTRO],DADOS!$N$4,tabela_registros[TIPO],DADOS!$P$4,tabela_registros[CATEGORIA],despesavariávelconsolidadoout[[#This Row],[DESPESA VARIÁVEL]])</f>
        <v>0</v>
      </c>
      <c r="L68" s="91">
        <f>SUMIFS(tabela_registros[VALOR],tabela_registros[MÊS],$AE$1,tabela_registros[DIA],outtotal3059718395107119131143[[#Headers],[8]],tabela_registros[REGISTRO],DADOS!$N$4,tabela_registros[TIPO],DADOS!$P$4,tabela_registros[CATEGORIA],despesavariávelconsolidadoout[[#This Row],[DESPESA VARIÁVEL]])</f>
        <v>0</v>
      </c>
      <c r="M68" s="91">
        <f>SUMIFS(tabela_registros[VALOR],tabela_registros[MÊS],$AE$1,tabela_registros[DIA],outtotal3059718395107119131143[[#Headers],[9]],tabela_registros[REGISTRO],DADOS!$N$4,tabela_registros[TIPO],DADOS!$P$4,tabela_registros[CATEGORIA],despesavariávelconsolidadoout[[#This Row],[DESPESA VARIÁVEL]])</f>
        <v>0</v>
      </c>
      <c r="N68" s="91">
        <f>SUMIFS(tabela_registros[VALOR],tabela_registros[MÊS],$AE$1,tabela_registros[DIA],outtotal3059718395107119131143[[#Headers],[10]],tabela_registros[REGISTRO],DADOS!$N$4,tabela_registros[TIPO],DADOS!$P$4,tabela_registros[CATEGORIA],despesavariávelconsolidadoout[[#This Row],[DESPESA VARIÁVEL]])</f>
        <v>0</v>
      </c>
      <c r="O68" s="91">
        <f>SUMIFS(tabela_registros[VALOR],tabela_registros[MÊS],$AE$1,tabela_registros[DIA],outtotal3059718395107119131143[[#Headers],[11]],tabela_registros[REGISTRO],DADOS!$N$4,tabela_registros[TIPO],DADOS!$P$4,tabela_registros[CATEGORIA],despesavariávelconsolidadoout[[#This Row],[DESPESA VARIÁVEL]])</f>
        <v>0</v>
      </c>
      <c r="P68" s="91">
        <f>SUMIFS(tabela_registros[VALOR],tabela_registros[MÊS],$AE$1,tabela_registros[DIA],outtotal3059718395107119131143[[#Headers],[12]],tabela_registros[REGISTRO],DADOS!$N$4,tabela_registros[TIPO],DADOS!$P$4,tabela_registros[CATEGORIA],despesavariávelconsolidadoout[[#This Row],[DESPESA VARIÁVEL]])</f>
        <v>0</v>
      </c>
      <c r="Q68" s="91">
        <f>SUMIFS(tabela_registros[VALOR],tabela_registros[MÊS],$AE$1,tabela_registros[DIA],outtotal3059718395107119131143[[#Headers],[13]],tabela_registros[REGISTRO],DADOS!$N$4,tabela_registros[TIPO],DADOS!$P$4,tabela_registros[CATEGORIA],despesavariávelconsolidadoout[[#This Row],[DESPESA VARIÁVEL]])</f>
        <v>0</v>
      </c>
      <c r="R68" s="91">
        <f>SUMIFS(tabela_registros[VALOR],tabela_registros[MÊS],$AE$1,tabela_registros[DIA],outtotal3059718395107119131143[[#Headers],[14]],tabela_registros[REGISTRO],DADOS!$N$4,tabela_registros[TIPO],DADOS!$P$4,tabela_registros[CATEGORIA],despesavariávelconsolidadoout[[#This Row],[DESPESA VARIÁVEL]])</f>
        <v>0</v>
      </c>
      <c r="S68" s="91">
        <f>SUMIFS(tabela_registros[VALOR],tabela_registros[MÊS],$AE$1,tabela_registros[DIA],outtotal3059718395107119131143[[#Headers],[15]],tabela_registros[REGISTRO],DADOS!$N$4,tabela_registros[TIPO],DADOS!$P$4,tabela_registros[CATEGORIA],despesavariávelconsolidadoout[[#This Row],[DESPESA VARIÁVEL]])</f>
        <v>0</v>
      </c>
      <c r="T68" s="91">
        <f>SUMIFS(tabela_registros[VALOR],tabela_registros[MÊS],$AE$1,tabela_registros[DIA],outtotal3059718395107119131143[[#Headers],[16]],tabela_registros[REGISTRO],DADOS!$N$4,tabela_registros[TIPO],DADOS!$P$4,tabela_registros[CATEGORIA],despesavariávelconsolidadoout[[#This Row],[DESPESA VARIÁVEL]])</f>
        <v>0</v>
      </c>
      <c r="U68" s="91">
        <f>SUMIFS(tabela_registros[VALOR],tabela_registros[MÊS],$AE$1,tabela_registros[DIA],outtotal3059718395107119131143[[#Headers],[17]],tabela_registros[REGISTRO],DADOS!$N$4,tabela_registros[TIPO],DADOS!$P$4,tabela_registros[CATEGORIA],despesavariávelconsolidadoout[[#This Row],[DESPESA VARIÁVEL]])</f>
        <v>0</v>
      </c>
      <c r="V68" s="91">
        <f>SUMIFS(tabela_registros[VALOR],tabela_registros[MÊS],$AE$1,tabela_registros[DIA],outtotal3059718395107119131143[[#Headers],[18]],tabela_registros[REGISTRO],DADOS!$N$4,tabela_registros[TIPO],DADOS!$P$4,tabela_registros[CATEGORIA],despesavariávelconsolidadoout[[#This Row],[DESPESA VARIÁVEL]])</f>
        <v>0</v>
      </c>
      <c r="W68" s="91">
        <f>SUMIFS(tabela_registros[VALOR],tabela_registros[MÊS],$AE$1,tabela_registros[DIA],outtotal3059718395107119131143[[#Headers],[19]],tabela_registros[REGISTRO],DADOS!$N$4,tabela_registros[TIPO],DADOS!$P$4,tabela_registros[CATEGORIA],despesavariávelconsolidadoout[[#This Row],[DESPESA VARIÁVEL]])</f>
        <v>0</v>
      </c>
      <c r="X68" s="91">
        <f>SUMIFS(tabela_registros[VALOR],tabela_registros[MÊS],$AE$1,tabela_registros[DIA],outtotal3059718395107119131143[[#Headers],[20]],tabela_registros[REGISTRO],DADOS!$N$4,tabela_registros[TIPO],DADOS!$P$4,tabela_registros[CATEGORIA],despesavariávelconsolidadoout[[#This Row],[DESPESA VARIÁVEL]])</f>
        <v>0</v>
      </c>
      <c r="Y68" s="91">
        <f>SUMIFS(tabela_registros[VALOR],tabela_registros[MÊS],$AE$1,tabela_registros[DIA],outtotal3059718395107119131143[[#Headers],[21]],tabela_registros[REGISTRO],DADOS!$N$4,tabela_registros[TIPO],DADOS!$P$4,tabela_registros[CATEGORIA],despesavariávelconsolidadoout[[#This Row],[DESPESA VARIÁVEL]])</f>
        <v>0</v>
      </c>
      <c r="Z68" s="91">
        <f>SUMIFS(tabela_registros[VALOR],tabela_registros[MÊS],$AE$1,tabela_registros[DIA],outtotal3059718395107119131143[[#Headers],[22]],tabela_registros[REGISTRO],DADOS!$N$4,tabela_registros[TIPO],DADOS!$P$4,tabela_registros[CATEGORIA],despesavariávelconsolidadoout[[#This Row],[DESPESA VARIÁVEL]])</f>
        <v>0</v>
      </c>
      <c r="AA68" s="91">
        <f>SUMIFS(tabela_registros[VALOR],tabela_registros[MÊS],$AE$1,tabela_registros[DIA],outtotal3059718395107119131143[[#Headers],[23]],tabela_registros[REGISTRO],DADOS!$N$4,tabela_registros[TIPO],DADOS!$P$4,tabela_registros[CATEGORIA],despesavariávelconsolidadoout[[#This Row],[DESPESA VARIÁVEL]])</f>
        <v>0</v>
      </c>
      <c r="AB68" s="91">
        <f>SUMIFS(tabela_registros[VALOR],tabela_registros[MÊS],$AE$1,tabela_registros[DIA],outtotal3059718395107119131143[[#Headers],[24]],tabela_registros[REGISTRO],DADOS!$N$4,tabela_registros[TIPO],DADOS!$P$4,tabela_registros[CATEGORIA],despesavariávelconsolidadoout[[#This Row],[DESPESA VARIÁVEL]])</f>
        <v>0</v>
      </c>
      <c r="AC68" s="91">
        <f>SUMIFS(tabela_registros[VALOR],tabela_registros[MÊS],$AE$1,tabela_registros[DIA],outtotal3059718395107119131143[[#Headers],[25]],tabela_registros[REGISTRO],DADOS!$N$4,tabela_registros[TIPO],DADOS!$P$4,tabela_registros[CATEGORIA],despesavariávelconsolidadoout[[#This Row],[DESPESA VARIÁVEL]])</f>
        <v>0</v>
      </c>
      <c r="AD68" s="91">
        <f>SUMIFS(tabela_registros[VALOR],tabela_registros[MÊS],$AE$1,tabela_registros[DIA],outtotal3059718395107119131143[[#Headers],[26]],tabela_registros[REGISTRO],DADOS!$N$4,tabela_registros[TIPO],DADOS!$P$4,tabela_registros[CATEGORIA],despesavariávelconsolidadoout[[#This Row],[DESPESA VARIÁVEL]])</f>
        <v>0</v>
      </c>
      <c r="AE68" s="91">
        <f>SUMIFS(tabela_registros[VALOR],tabela_registros[MÊS],$AE$1,tabela_registros[DIA],outtotal3059718395107119131143[[#Headers],[27]],tabela_registros[REGISTRO],DADOS!$N$4,tabela_registros[TIPO],DADOS!$P$4,tabela_registros[CATEGORIA],despesavariávelconsolidadoout[[#This Row],[DESPESA VARIÁVEL]])</f>
        <v>0</v>
      </c>
      <c r="AF68" s="91">
        <f>SUMIFS(tabela_registros[VALOR],tabela_registros[MÊS],$AE$1,tabela_registros[DIA],outtotal3059718395107119131143[[#Headers],[28]],tabela_registros[REGISTRO],DADOS!$N$4,tabela_registros[TIPO],DADOS!$P$4,tabela_registros[CATEGORIA],despesavariávelconsolidadoout[[#This Row],[DESPESA VARIÁVEL]])</f>
        <v>0</v>
      </c>
      <c r="AG68" s="91">
        <f>SUMIFS(tabela_registros[VALOR],tabela_registros[MÊS],$AE$1,tabela_registros[DIA],outtotal3059718395107119131143[[#Headers],[29]],tabela_registros[REGISTRO],DADOS!$N$4,tabela_registros[TIPO],DADOS!$P$4,tabela_registros[CATEGORIA],despesavariávelconsolidadoout[[#This Row],[DESPESA VARIÁVEL]])</f>
        <v>0</v>
      </c>
      <c r="AH68" s="91">
        <f>SUMIFS(tabela_registros[VALOR],tabela_registros[MÊS],$AE$1,tabela_registros[DIA],outtotal3059718395107119131143[[#Headers],[30]],tabela_registros[REGISTRO],DADOS!$N$4,tabela_registros[TIPO],DADOS!$P$4,tabela_registros[CATEGORIA],despesavariávelconsolidadoout[[#This Row],[DESPESA VARIÁVEL]])</f>
        <v>0</v>
      </c>
      <c r="AI68" s="101">
        <f>SUMIFS(tabela_registros[VALOR],tabela_registros[MÊS],$AE$1,tabela_registros[DIA],outtotal3059718395107119131143[[#Headers],[31]],tabela_registros[REGISTRO],DADOS!$N$4,tabela_registros[TIPO],DADOS!$P$4,tabela_registros[CATEGORIA],despesavariávelconsolidadoout[[#This Row],[DESPESA VARIÁVEL]])</f>
        <v>0</v>
      </c>
      <c r="AJ68" s="97">
        <f>SUM(despesavariávelconsolidadoout[[#This Row],[1]:[31]])</f>
        <v>0</v>
      </c>
      <c r="AK68" s="28"/>
    </row>
    <row r="69" spans="2:37" ht="18" customHeight="1" thickTop="1" thickBot="1" x14ac:dyDescent="0.3">
      <c r="B69" s="28"/>
      <c r="C69" s="27" t="str">
        <f>DADOS!$T$12</f>
        <v>💊 SAÚDE</v>
      </c>
      <c r="D69" s="26" t="str">
        <f>IF(despesavariávelconsolidadoout[[#This Row],[TOTAL]]=0,"",IF(OR(despesavariávelconsolidadoout[[#This Row],[TOTAL]]=LARGE($AJ$60:$AJ$72,1),despesavariávelconsolidadoout[[#This Row],[TOTAL]]=LARGE($AJ$60:$AJ$72,2),despesavariávelconsolidadoout[[#This Row],[TOTAL]]=LARGE($AJ$60:$AJ$72,3),despesavariávelconsolidadoout[[#This Row],[TOTAL]]=LARGE($AJ$60:$AJ$72,4),despesavariávelconsolidadoout[[#This Row],[TOTAL]]=LARGE($AJ$60:$AJ$72,5)),DADOS!$I$8,""))</f>
        <v/>
      </c>
      <c r="E69" s="96">
        <f>SUMIFS(tabela_registros[VALOR],tabela_registros[MÊS],$AE$1,tabela_registros[DIA],outtotal3059718395107119131143[[#Headers],[1]],tabela_registros[REGISTRO],DADOS!$N$4,tabela_registros[TIPO],DADOS!$P$4,tabela_registros[CATEGORIA],despesavariávelconsolidadoout[[#This Row],[DESPESA VARIÁVEL]])</f>
        <v>0</v>
      </c>
      <c r="F69" s="91">
        <f>SUMIFS(tabela_registros[VALOR],tabela_registros[MÊS],$AE$1,tabela_registros[DIA],outtotal3059718395107119131143[[#Headers],[2]],tabela_registros[REGISTRO],DADOS!$N$4,tabela_registros[TIPO],DADOS!$P$4,tabela_registros[CATEGORIA],despesavariávelconsolidadoout[[#This Row],[DESPESA VARIÁVEL]])</f>
        <v>0</v>
      </c>
      <c r="G69" s="91">
        <f>SUMIFS(tabela_registros[VALOR],tabela_registros[MÊS],$AE$1,tabela_registros[DIA],outtotal3059718395107119131143[[#Headers],[3]],tabela_registros[REGISTRO],DADOS!$N$4,tabela_registros[TIPO],DADOS!$P$4,tabela_registros[CATEGORIA],despesavariávelconsolidadoout[[#This Row],[DESPESA VARIÁVEL]])</f>
        <v>0</v>
      </c>
      <c r="H69" s="91">
        <f>SUMIFS(tabela_registros[VALOR],tabela_registros[MÊS],$AE$1,tabela_registros[DIA],outtotal3059718395107119131143[[#Headers],[4]],tabela_registros[REGISTRO],DADOS!$N$4,tabela_registros[TIPO],DADOS!$P$4,tabela_registros[CATEGORIA],despesavariávelconsolidadoout[[#This Row],[DESPESA VARIÁVEL]])</f>
        <v>0</v>
      </c>
      <c r="I69" s="91">
        <f>SUMIFS(tabela_registros[VALOR],tabela_registros[MÊS],$AE$1,tabela_registros[DIA],outtotal3059718395107119131143[[#Headers],[5]],tabela_registros[REGISTRO],DADOS!$N$4,tabela_registros[TIPO],DADOS!$P$4,tabela_registros[CATEGORIA],despesavariávelconsolidadoout[[#This Row],[DESPESA VARIÁVEL]])</f>
        <v>0</v>
      </c>
      <c r="J69" s="91">
        <f>SUMIFS(tabela_registros[VALOR],tabela_registros[MÊS],$AE$1,tabela_registros[DIA],outtotal3059718395107119131143[[#Headers],[6]],tabela_registros[REGISTRO],DADOS!$N$4,tabela_registros[TIPO],DADOS!$P$4,tabela_registros[CATEGORIA],despesavariávelconsolidadoout[[#This Row],[DESPESA VARIÁVEL]])</f>
        <v>0</v>
      </c>
      <c r="K69" s="91">
        <f>SUMIFS(tabela_registros[VALOR],tabela_registros[MÊS],$AE$1,tabela_registros[DIA],outtotal3059718395107119131143[[#Headers],[7]],tabela_registros[REGISTRO],DADOS!$N$4,tabela_registros[TIPO],DADOS!$P$4,tabela_registros[CATEGORIA],despesavariávelconsolidadoout[[#This Row],[DESPESA VARIÁVEL]])</f>
        <v>0</v>
      </c>
      <c r="L69" s="91">
        <f>SUMIFS(tabela_registros[VALOR],tabela_registros[MÊS],$AE$1,tabela_registros[DIA],outtotal3059718395107119131143[[#Headers],[8]],tabela_registros[REGISTRO],DADOS!$N$4,tabela_registros[TIPO],DADOS!$P$4,tabela_registros[CATEGORIA],despesavariávelconsolidadoout[[#This Row],[DESPESA VARIÁVEL]])</f>
        <v>0</v>
      </c>
      <c r="M69" s="91">
        <f>SUMIFS(tabela_registros[VALOR],tabela_registros[MÊS],$AE$1,tabela_registros[DIA],outtotal3059718395107119131143[[#Headers],[9]],tabela_registros[REGISTRO],DADOS!$N$4,tabela_registros[TIPO],DADOS!$P$4,tabela_registros[CATEGORIA],despesavariávelconsolidadoout[[#This Row],[DESPESA VARIÁVEL]])</f>
        <v>0</v>
      </c>
      <c r="N69" s="91">
        <f>SUMIFS(tabela_registros[VALOR],tabela_registros[MÊS],$AE$1,tabela_registros[DIA],outtotal3059718395107119131143[[#Headers],[10]],tabela_registros[REGISTRO],DADOS!$N$4,tabela_registros[TIPO],DADOS!$P$4,tabela_registros[CATEGORIA],despesavariávelconsolidadoout[[#This Row],[DESPESA VARIÁVEL]])</f>
        <v>0</v>
      </c>
      <c r="O69" s="91">
        <f>SUMIFS(tabela_registros[VALOR],tabela_registros[MÊS],$AE$1,tabela_registros[DIA],outtotal3059718395107119131143[[#Headers],[11]],tabela_registros[REGISTRO],DADOS!$N$4,tabela_registros[TIPO],DADOS!$P$4,tabela_registros[CATEGORIA],despesavariávelconsolidadoout[[#This Row],[DESPESA VARIÁVEL]])</f>
        <v>0</v>
      </c>
      <c r="P69" s="91">
        <f>SUMIFS(tabela_registros[VALOR],tabela_registros[MÊS],$AE$1,tabela_registros[DIA],outtotal3059718395107119131143[[#Headers],[12]],tabela_registros[REGISTRO],DADOS!$N$4,tabela_registros[TIPO],DADOS!$P$4,tabela_registros[CATEGORIA],despesavariávelconsolidadoout[[#This Row],[DESPESA VARIÁVEL]])</f>
        <v>0</v>
      </c>
      <c r="Q69" s="91">
        <f>SUMIFS(tabela_registros[VALOR],tabela_registros[MÊS],$AE$1,tabela_registros[DIA],outtotal3059718395107119131143[[#Headers],[13]],tabela_registros[REGISTRO],DADOS!$N$4,tabela_registros[TIPO],DADOS!$P$4,tabela_registros[CATEGORIA],despesavariávelconsolidadoout[[#This Row],[DESPESA VARIÁVEL]])</f>
        <v>0</v>
      </c>
      <c r="R69" s="91">
        <f>SUMIFS(tabela_registros[VALOR],tabela_registros[MÊS],$AE$1,tabela_registros[DIA],outtotal3059718395107119131143[[#Headers],[14]],tabela_registros[REGISTRO],DADOS!$N$4,tabela_registros[TIPO],DADOS!$P$4,tabela_registros[CATEGORIA],despesavariávelconsolidadoout[[#This Row],[DESPESA VARIÁVEL]])</f>
        <v>0</v>
      </c>
      <c r="S69" s="91">
        <f>SUMIFS(tabela_registros[VALOR],tabela_registros[MÊS],$AE$1,tabela_registros[DIA],outtotal3059718395107119131143[[#Headers],[15]],tabela_registros[REGISTRO],DADOS!$N$4,tabela_registros[TIPO],DADOS!$P$4,tabela_registros[CATEGORIA],despesavariávelconsolidadoout[[#This Row],[DESPESA VARIÁVEL]])</f>
        <v>0</v>
      </c>
      <c r="T69" s="91">
        <f>SUMIFS(tabela_registros[VALOR],tabela_registros[MÊS],$AE$1,tabela_registros[DIA],outtotal3059718395107119131143[[#Headers],[16]],tabela_registros[REGISTRO],DADOS!$N$4,tabela_registros[TIPO],DADOS!$P$4,tabela_registros[CATEGORIA],despesavariávelconsolidadoout[[#This Row],[DESPESA VARIÁVEL]])</f>
        <v>0</v>
      </c>
      <c r="U69" s="91">
        <f>SUMIFS(tabela_registros[VALOR],tabela_registros[MÊS],$AE$1,tabela_registros[DIA],outtotal3059718395107119131143[[#Headers],[17]],tabela_registros[REGISTRO],DADOS!$N$4,tabela_registros[TIPO],DADOS!$P$4,tabela_registros[CATEGORIA],despesavariávelconsolidadoout[[#This Row],[DESPESA VARIÁVEL]])</f>
        <v>0</v>
      </c>
      <c r="V69" s="91">
        <f>SUMIFS(tabela_registros[VALOR],tabela_registros[MÊS],$AE$1,tabela_registros[DIA],outtotal3059718395107119131143[[#Headers],[18]],tabela_registros[REGISTRO],DADOS!$N$4,tabela_registros[TIPO],DADOS!$P$4,tabela_registros[CATEGORIA],despesavariávelconsolidadoout[[#This Row],[DESPESA VARIÁVEL]])</f>
        <v>0</v>
      </c>
      <c r="W69" s="91">
        <f>SUMIFS(tabela_registros[VALOR],tabela_registros[MÊS],$AE$1,tabela_registros[DIA],outtotal3059718395107119131143[[#Headers],[19]],tabela_registros[REGISTRO],DADOS!$N$4,tabela_registros[TIPO],DADOS!$P$4,tabela_registros[CATEGORIA],despesavariávelconsolidadoout[[#This Row],[DESPESA VARIÁVEL]])</f>
        <v>0</v>
      </c>
      <c r="X69" s="91">
        <f>SUMIFS(tabela_registros[VALOR],tabela_registros[MÊS],$AE$1,tabela_registros[DIA],outtotal3059718395107119131143[[#Headers],[20]],tabela_registros[REGISTRO],DADOS!$N$4,tabela_registros[TIPO],DADOS!$P$4,tabela_registros[CATEGORIA],despesavariávelconsolidadoout[[#This Row],[DESPESA VARIÁVEL]])</f>
        <v>0</v>
      </c>
      <c r="Y69" s="91">
        <f>SUMIFS(tabela_registros[VALOR],tabela_registros[MÊS],$AE$1,tabela_registros[DIA],outtotal3059718395107119131143[[#Headers],[21]],tabela_registros[REGISTRO],DADOS!$N$4,tabela_registros[TIPO],DADOS!$P$4,tabela_registros[CATEGORIA],despesavariávelconsolidadoout[[#This Row],[DESPESA VARIÁVEL]])</f>
        <v>0</v>
      </c>
      <c r="Z69" s="91">
        <f>SUMIFS(tabela_registros[VALOR],tabela_registros[MÊS],$AE$1,tabela_registros[DIA],outtotal3059718395107119131143[[#Headers],[22]],tabela_registros[REGISTRO],DADOS!$N$4,tabela_registros[TIPO],DADOS!$P$4,tabela_registros[CATEGORIA],despesavariávelconsolidadoout[[#This Row],[DESPESA VARIÁVEL]])</f>
        <v>0</v>
      </c>
      <c r="AA69" s="91">
        <f>SUMIFS(tabela_registros[VALOR],tabela_registros[MÊS],$AE$1,tabela_registros[DIA],outtotal3059718395107119131143[[#Headers],[23]],tabela_registros[REGISTRO],DADOS!$N$4,tabela_registros[TIPO],DADOS!$P$4,tabela_registros[CATEGORIA],despesavariávelconsolidadoout[[#This Row],[DESPESA VARIÁVEL]])</f>
        <v>0</v>
      </c>
      <c r="AB69" s="91">
        <f>SUMIFS(tabela_registros[VALOR],tabela_registros[MÊS],$AE$1,tabela_registros[DIA],outtotal3059718395107119131143[[#Headers],[24]],tabela_registros[REGISTRO],DADOS!$N$4,tabela_registros[TIPO],DADOS!$P$4,tabela_registros[CATEGORIA],despesavariávelconsolidadoout[[#This Row],[DESPESA VARIÁVEL]])</f>
        <v>0</v>
      </c>
      <c r="AC69" s="91">
        <f>SUMIFS(tabela_registros[VALOR],tabela_registros[MÊS],$AE$1,tabela_registros[DIA],outtotal3059718395107119131143[[#Headers],[25]],tabela_registros[REGISTRO],DADOS!$N$4,tabela_registros[TIPO],DADOS!$P$4,tabela_registros[CATEGORIA],despesavariávelconsolidadoout[[#This Row],[DESPESA VARIÁVEL]])</f>
        <v>0</v>
      </c>
      <c r="AD69" s="91">
        <f>SUMIFS(tabela_registros[VALOR],tabela_registros[MÊS],$AE$1,tabela_registros[DIA],outtotal3059718395107119131143[[#Headers],[26]],tabela_registros[REGISTRO],DADOS!$N$4,tabela_registros[TIPO],DADOS!$P$4,tabela_registros[CATEGORIA],despesavariávelconsolidadoout[[#This Row],[DESPESA VARIÁVEL]])</f>
        <v>0</v>
      </c>
      <c r="AE69" s="91">
        <f>SUMIFS(tabela_registros[VALOR],tabela_registros[MÊS],$AE$1,tabela_registros[DIA],outtotal3059718395107119131143[[#Headers],[27]],tabela_registros[REGISTRO],DADOS!$N$4,tabela_registros[TIPO],DADOS!$P$4,tabela_registros[CATEGORIA],despesavariávelconsolidadoout[[#This Row],[DESPESA VARIÁVEL]])</f>
        <v>0</v>
      </c>
      <c r="AF69" s="91">
        <f>SUMIFS(tabela_registros[VALOR],tabela_registros[MÊS],$AE$1,tabela_registros[DIA],outtotal3059718395107119131143[[#Headers],[28]],tabela_registros[REGISTRO],DADOS!$N$4,tabela_registros[TIPO],DADOS!$P$4,tabela_registros[CATEGORIA],despesavariávelconsolidadoout[[#This Row],[DESPESA VARIÁVEL]])</f>
        <v>0</v>
      </c>
      <c r="AG69" s="91">
        <f>SUMIFS(tabela_registros[VALOR],tabela_registros[MÊS],$AE$1,tabela_registros[DIA],outtotal3059718395107119131143[[#Headers],[29]],tabela_registros[REGISTRO],DADOS!$N$4,tabela_registros[TIPO],DADOS!$P$4,tabela_registros[CATEGORIA],despesavariávelconsolidadoout[[#This Row],[DESPESA VARIÁVEL]])</f>
        <v>0</v>
      </c>
      <c r="AH69" s="91">
        <f>SUMIFS(tabela_registros[VALOR],tabela_registros[MÊS],$AE$1,tabela_registros[DIA],outtotal3059718395107119131143[[#Headers],[30]],tabela_registros[REGISTRO],DADOS!$N$4,tabela_registros[TIPO],DADOS!$P$4,tabela_registros[CATEGORIA],despesavariávelconsolidadoout[[#This Row],[DESPESA VARIÁVEL]])</f>
        <v>0</v>
      </c>
      <c r="AI69" s="101">
        <f>SUMIFS(tabela_registros[VALOR],tabela_registros[MÊS],$AE$1,tabela_registros[DIA],outtotal3059718395107119131143[[#Headers],[31]],tabela_registros[REGISTRO],DADOS!$N$4,tabela_registros[TIPO],DADOS!$P$4,tabela_registros[CATEGORIA],despesavariávelconsolidadoout[[#This Row],[DESPESA VARIÁVEL]])</f>
        <v>0</v>
      </c>
      <c r="AJ69" s="97">
        <f>SUM(despesavariávelconsolidadoout[[#This Row],[1]:[31]])</f>
        <v>0</v>
      </c>
      <c r="AK69" s="28"/>
    </row>
    <row r="70" spans="2:37" ht="18" customHeight="1" thickTop="1" thickBot="1" x14ac:dyDescent="0.3">
      <c r="B70" s="28"/>
      <c r="C70" s="27" t="str">
        <f>DADOS!$T$13</f>
        <v>🚍 TRANSPORTE</v>
      </c>
      <c r="D70" s="26" t="str">
        <f>IF(despesavariávelconsolidadoout[[#This Row],[TOTAL]]=0,"",IF(OR(despesavariávelconsolidadoout[[#This Row],[TOTAL]]=LARGE($AJ$60:$AJ$72,1),despesavariávelconsolidadoout[[#This Row],[TOTAL]]=LARGE($AJ$60:$AJ$72,2),despesavariávelconsolidadoout[[#This Row],[TOTAL]]=LARGE($AJ$60:$AJ$72,3),despesavariávelconsolidadoout[[#This Row],[TOTAL]]=LARGE($AJ$60:$AJ$72,4),despesavariávelconsolidadoout[[#This Row],[TOTAL]]=LARGE($AJ$60:$AJ$72,5)),DADOS!$I$8,""))</f>
        <v/>
      </c>
      <c r="E70" s="96">
        <f>SUMIFS(tabela_registros[VALOR],tabela_registros[MÊS],$AE$1,tabela_registros[DIA],outtotal3059718395107119131143[[#Headers],[1]],tabela_registros[REGISTRO],DADOS!$N$4,tabela_registros[TIPO],DADOS!$P$4,tabela_registros[CATEGORIA],despesavariávelconsolidadoout[[#This Row],[DESPESA VARIÁVEL]])</f>
        <v>0</v>
      </c>
      <c r="F70" s="91">
        <f>SUMIFS(tabela_registros[VALOR],tabela_registros[MÊS],$AE$1,tabela_registros[DIA],outtotal3059718395107119131143[[#Headers],[2]],tabela_registros[REGISTRO],DADOS!$N$4,tabela_registros[TIPO],DADOS!$P$4,tabela_registros[CATEGORIA],despesavariávelconsolidadoout[[#This Row],[DESPESA VARIÁVEL]])</f>
        <v>0</v>
      </c>
      <c r="G70" s="91">
        <f>SUMIFS(tabela_registros[VALOR],tabela_registros[MÊS],$AE$1,tabela_registros[DIA],outtotal3059718395107119131143[[#Headers],[3]],tabela_registros[REGISTRO],DADOS!$N$4,tabela_registros[TIPO],DADOS!$P$4,tabela_registros[CATEGORIA],despesavariávelconsolidadoout[[#This Row],[DESPESA VARIÁVEL]])</f>
        <v>0</v>
      </c>
      <c r="H70" s="91">
        <f>SUMIFS(tabela_registros[VALOR],tabela_registros[MÊS],$AE$1,tabela_registros[DIA],outtotal3059718395107119131143[[#Headers],[4]],tabela_registros[REGISTRO],DADOS!$N$4,tabela_registros[TIPO],DADOS!$P$4,tabela_registros[CATEGORIA],despesavariávelconsolidadoout[[#This Row],[DESPESA VARIÁVEL]])</f>
        <v>0</v>
      </c>
      <c r="I70" s="91">
        <f>SUMIFS(tabela_registros[VALOR],tabela_registros[MÊS],$AE$1,tabela_registros[DIA],outtotal3059718395107119131143[[#Headers],[5]],tabela_registros[REGISTRO],DADOS!$N$4,tabela_registros[TIPO],DADOS!$P$4,tabela_registros[CATEGORIA],despesavariávelconsolidadoout[[#This Row],[DESPESA VARIÁVEL]])</f>
        <v>0</v>
      </c>
      <c r="J70" s="91">
        <f>SUMIFS(tabela_registros[VALOR],tabela_registros[MÊS],$AE$1,tabela_registros[DIA],outtotal3059718395107119131143[[#Headers],[6]],tabela_registros[REGISTRO],DADOS!$N$4,tabela_registros[TIPO],DADOS!$P$4,tabela_registros[CATEGORIA],despesavariávelconsolidadoout[[#This Row],[DESPESA VARIÁVEL]])</f>
        <v>0</v>
      </c>
      <c r="K70" s="91">
        <f>SUMIFS(tabela_registros[VALOR],tabela_registros[MÊS],$AE$1,tabela_registros[DIA],outtotal3059718395107119131143[[#Headers],[7]],tabela_registros[REGISTRO],DADOS!$N$4,tabela_registros[TIPO],DADOS!$P$4,tabela_registros[CATEGORIA],despesavariávelconsolidadoout[[#This Row],[DESPESA VARIÁVEL]])</f>
        <v>0</v>
      </c>
      <c r="L70" s="91">
        <f>SUMIFS(tabela_registros[VALOR],tabela_registros[MÊS],$AE$1,tabela_registros[DIA],outtotal3059718395107119131143[[#Headers],[8]],tabela_registros[REGISTRO],DADOS!$N$4,tabela_registros[TIPO],DADOS!$P$4,tabela_registros[CATEGORIA],despesavariávelconsolidadoout[[#This Row],[DESPESA VARIÁVEL]])</f>
        <v>0</v>
      </c>
      <c r="M70" s="91">
        <f>SUMIFS(tabela_registros[VALOR],tabela_registros[MÊS],$AE$1,tabela_registros[DIA],outtotal3059718395107119131143[[#Headers],[9]],tabela_registros[REGISTRO],DADOS!$N$4,tabela_registros[TIPO],DADOS!$P$4,tabela_registros[CATEGORIA],despesavariávelconsolidadoout[[#This Row],[DESPESA VARIÁVEL]])</f>
        <v>0</v>
      </c>
      <c r="N70" s="91">
        <f>SUMIFS(tabela_registros[VALOR],tabela_registros[MÊS],$AE$1,tabela_registros[DIA],outtotal3059718395107119131143[[#Headers],[10]],tabela_registros[REGISTRO],DADOS!$N$4,tabela_registros[TIPO],DADOS!$P$4,tabela_registros[CATEGORIA],despesavariávelconsolidadoout[[#This Row],[DESPESA VARIÁVEL]])</f>
        <v>0</v>
      </c>
      <c r="O70" s="91">
        <f>SUMIFS(tabela_registros[VALOR],tabela_registros[MÊS],$AE$1,tabela_registros[DIA],outtotal3059718395107119131143[[#Headers],[11]],tabela_registros[REGISTRO],DADOS!$N$4,tabela_registros[TIPO],DADOS!$P$4,tabela_registros[CATEGORIA],despesavariávelconsolidadoout[[#This Row],[DESPESA VARIÁVEL]])</f>
        <v>0</v>
      </c>
      <c r="P70" s="91">
        <f>SUMIFS(tabela_registros[VALOR],tabela_registros[MÊS],$AE$1,tabela_registros[DIA],outtotal3059718395107119131143[[#Headers],[12]],tabela_registros[REGISTRO],DADOS!$N$4,tabela_registros[TIPO],DADOS!$P$4,tabela_registros[CATEGORIA],despesavariávelconsolidadoout[[#This Row],[DESPESA VARIÁVEL]])</f>
        <v>0</v>
      </c>
      <c r="Q70" s="91">
        <f>SUMIFS(tabela_registros[VALOR],tabela_registros[MÊS],$AE$1,tabela_registros[DIA],outtotal3059718395107119131143[[#Headers],[13]],tabela_registros[REGISTRO],DADOS!$N$4,tabela_registros[TIPO],DADOS!$P$4,tabela_registros[CATEGORIA],despesavariávelconsolidadoout[[#This Row],[DESPESA VARIÁVEL]])</f>
        <v>0</v>
      </c>
      <c r="R70" s="91">
        <f>SUMIFS(tabela_registros[VALOR],tabela_registros[MÊS],$AE$1,tabela_registros[DIA],outtotal3059718395107119131143[[#Headers],[14]],tabela_registros[REGISTRO],DADOS!$N$4,tabela_registros[TIPO],DADOS!$P$4,tabela_registros[CATEGORIA],despesavariávelconsolidadoout[[#This Row],[DESPESA VARIÁVEL]])</f>
        <v>0</v>
      </c>
      <c r="S70" s="91">
        <f>SUMIFS(tabela_registros[VALOR],tabela_registros[MÊS],$AE$1,tabela_registros[DIA],outtotal3059718395107119131143[[#Headers],[15]],tabela_registros[REGISTRO],DADOS!$N$4,tabela_registros[TIPO],DADOS!$P$4,tabela_registros[CATEGORIA],despesavariávelconsolidadoout[[#This Row],[DESPESA VARIÁVEL]])</f>
        <v>0</v>
      </c>
      <c r="T70" s="91">
        <f>SUMIFS(tabela_registros[VALOR],tabela_registros[MÊS],$AE$1,tabela_registros[DIA],outtotal3059718395107119131143[[#Headers],[16]],tabela_registros[REGISTRO],DADOS!$N$4,tabela_registros[TIPO],DADOS!$P$4,tabela_registros[CATEGORIA],despesavariávelconsolidadoout[[#This Row],[DESPESA VARIÁVEL]])</f>
        <v>0</v>
      </c>
      <c r="U70" s="91">
        <f>SUMIFS(tabela_registros[VALOR],tabela_registros[MÊS],$AE$1,tabela_registros[DIA],outtotal3059718395107119131143[[#Headers],[17]],tabela_registros[REGISTRO],DADOS!$N$4,tabela_registros[TIPO],DADOS!$P$4,tabela_registros[CATEGORIA],despesavariávelconsolidadoout[[#This Row],[DESPESA VARIÁVEL]])</f>
        <v>0</v>
      </c>
      <c r="V70" s="91">
        <f>SUMIFS(tabela_registros[VALOR],tabela_registros[MÊS],$AE$1,tabela_registros[DIA],outtotal3059718395107119131143[[#Headers],[18]],tabela_registros[REGISTRO],DADOS!$N$4,tabela_registros[TIPO],DADOS!$P$4,tabela_registros[CATEGORIA],despesavariávelconsolidadoout[[#This Row],[DESPESA VARIÁVEL]])</f>
        <v>0</v>
      </c>
      <c r="W70" s="91">
        <f>SUMIFS(tabela_registros[VALOR],tabela_registros[MÊS],$AE$1,tabela_registros[DIA],outtotal3059718395107119131143[[#Headers],[19]],tabela_registros[REGISTRO],DADOS!$N$4,tabela_registros[TIPO],DADOS!$P$4,tabela_registros[CATEGORIA],despesavariávelconsolidadoout[[#This Row],[DESPESA VARIÁVEL]])</f>
        <v>0</v>
      </c>
      <c r="X70" s="91">
        <f>SUMIFS(tabela_registros[VALOR],tabela_registros[MÊS],$AE$1,tabela_registros[DIA],outtotal3059718395107119131143[[#Headers],[20]],tabela_registros[REGISTRO],DADOS!$N$4,tabela_registros[TIPO],DADOS!$P$4,tabela_registros[CATEGORIA],despesavariávelconsolidadoout[[#This Row],[DESPESA VARIÁVEL]])</f>
        <v>0</v>
      </c>
      <c r="Y70" s="91">
        <f>SUMIFS(tabela_registros[VALOR],tabela_registros[MÊS],$AE$1,tabela_registros[DIA],outtotal3059718395107119131143[[#Headers],[21]],tabela_registros[REGISTRO],DADOS!$N$4,tabela_registros[TIPO],DADOS!$P$4,tabela_registros[CATEGORIA],despesavariávelconsolidadoout[[#This Row],[DESPESA VARIÁVEL]])</f>
        <v>0</v>
      </c>
      <c r="Z70" s="91">
        <f>SUMIFS(tabela_registros[VALOR],tabela_registros[MÊS],$AE$1,tabela_registros[DIA],outtotal3059718395107119131143[[#Headers],[22]],tabela_registros[REGISTRO],DADOS!$N$4,tabela_registros[TIPO],DADOS!$P$4,tabela_registros[CATEGORIA],despesavariávelconsolidadoout[[#This Row],[DESPESA VARIÁVEL]])</f>
        <v>0</v>
      </c>
      <c r="AA70" s="91">
        <f>SUMIFS(tabela_registros[VALOR],tabela_registros[MÊS],$AE$1,tabela_registros[DIA],outtotal3059718395107119131143[[#Headers],[23]],tabela_registros[REGISTRO],DADOS!$N$4,tabela_registros[TIPO],DADOS!$P$4,tabela_registros[CATEGORIA],despesavariávelconsolidadoout[[#This Row],[DESPESA VARIÁVEL]])</f>
        <v>0</v>
      </c>
      <c r="AB70" s="91">
        <f>SUMIFS(tabela_registros[VALOR],tabela_registros[MÊS],$AE$1,tabela_registros[DIA],outtotal3059718395107119131143[[#Headers],[24]],tabela_registros[REGISTRO],DADOS!$N$4,tabela_registros[TIPO],DADOS!$P$4,tabela_registros[CATEGORIA],despesavariávelconsolidadoout[[#This Row],[DESPESA VARIÁVEL]])</f>
        <v>0</v>
      </c>
      <c r="AC70" s="91">
        <f>SUMIFS(tabela_registros[VALOR],tabela_registros[MÊS],$AE$1,tabela_registros[DIA],outtotal3059718395107119131143[[#Headers],[25]],tabela_registros[REGISTRO],DADOS!$N$4,tabela_registros[TIPO],DADOS!$P$4,tabela_registros[CATEGORIA],despesavariávelconsolidadoout[[#This Row],[DESPESA VARIÁVEL]])</f>
        <v>0</v>
      </c>
      <c r="AD70" s="91">
        <f>SUMIFS(tabela_registros[VALOR],tabela_registros[MÊS],$AE$1,tabela_registros[DIA],outtotal3059718395107119131143[[#Headers],[26]],tabela_registros[REGISTRO],DADOS!$N$4,tabela_registros[TIPO],DADOS!$P$4,tabela_registros[CATEGORIA],despesavariávelconsolidadoout[[#This Row],[DESPESA VARIÁVEL]])</f>
        <v>0</v>
      </c>
      <c r="AE70" s="91">
        <f>SUMIFS(tabela_registros[VALOR],tabela_registros[MÊS],$AE$1,tabela_registros[DIA],outtotal3059718395107119131143[[#Headers],[27]],tabela_registros[REGISTRO],DADOS!$N$4,tabela_registros[TIPO],DADOS!$P$4,tabela_registros[CATEGORIA],despesavariávelconsolidadoout[[#This Row],[DESPESA VARIÁVEL]])</f>
        <v>0</v>
      </c>
      <c r="AF70" s="91">
        <f>SUMIFS(tabela_registros[VALOR],tabela_registros[MÊS],$AE$1,tabela_registros[DIA],outtotal3059718395107119131143[[#Headers],[28]],tabela_registros[REGISTRO],DADOS!$N$4,tabela_registros[TIPO],DADOS!$P$4,tabela_registros[CATEGORIA],despesavariávelconsolidadoout[[#This Row],[DESPESA VARIÁVEL]])</f>
        <v>0</v>
      </c>
      <c r="AG70" s="91">
        <f>SUMIFS(tabela_registros[VALOR],tabela_registros[MÊS],$AE$1,tabela_registros[DIA],outtotal3059718395107119131143[[#Headers],[29]],tabela_registros[REGISTRO],DADOS!$N$4,tabela_registros[TIPO],DADOS!$P$4,tabela_registros[CATEGORIA],despesavariávelconsolidadoout[[#This Row],[DESPESA VARIÁVEL]])</f>
        <v>0</v>
      </c>
      <c r="AH70" s="91">
        <f>SUMIFS(tabela_registros[VALOR],tabela_registros[MÊS],$AE$1,tabela_registros[DIA],outtotal3059718395107119131143[[#Headers],[30]],tabela_registros[REGISTRO],DADOS!$N$4,tabela_registros[TIPO],DADOS!$P$4,tabela_registros[CATEGORIA],despesavariávelconsolidadoout[[#This Row],[DESPESA VARIÁVEL]])</f>
        <v>0</v>
      </c>
      <c r="AI70" s="101">
        <f>SUMIFS(tabela_registros[VALOR],tabela_registros[MÊS],$AE$1,tabela_registros[DIA],outtotal3059718395107119131143[[#Headers],[31]],tabela_registros[REGISTRO],DADOS!$N$4,tabela_registros[TIPO],DADOS!$P$4,tabela_registros[CATEGORIA],despesavariávelconsolidadoout[[#This Row],[DESPESA VARIÁVEL]])</f>
        <v>0</v>
      </c>
      <c r="AJ70" s="97">
        <f>SUM(despesavariávelconsolidadoout[[#This Row],[1]:[31]])</f>
        <v>0</v>
      </c>
      <c r="AK70" s="28"/>
    </row>
    <row r="71" spans="2:37" ht="18" customHeight="1" thickTop="1" thickBot="1" x14ac:dyDescent="0.3">
      <c r="B71" s="28"/>
      <c r="C71" s="27" t="str">
        <f>DADOS!$T$14</f>
        <v>🛍️ VESTUÁRIO</v>
      </c>
      <c r="D71" s="26" t="str">
        <f>IF(despesavariávelconsolidadoout[[#This Row],[TOTAL]]=0,"",IF(OR(despesavariávelconsolidadoout[[#This Row],[TOTAL]]=LARGE($AJ$60:$AJ$72,1),despesavariávelconsolidadoout[[#This Row],[TOTAL]]=LARGE($AJ$60:$AJ$72,2),despesavariávelconsolidadoout[[#This Row],[TOTAL]]=LARGE($AJ$60:$AJ$72,3),despesavariávelconsolidadoout[[#This Row],[TOTAL]]=LARGE($AJ$60:$AJ$72,4),despesavariávelconsolidadoout[[#This Row],[TOTAL]]=LARGE($AJ$60:$AJ$72,5)),DADOS!$I$8,""))</f>
        <v/>
      </c>
      <c r="E71" s="96">
        <f>SUMIFS(tabela_registros[VALOR],tabela_registros[MÊS],$AE$1,tabela_registros[DIA],outtotal3059718395107119131143[[#Headers],[1]],tabela_registros[REGISTRO],DADOS!$N$4,tabela_registros[TIPO],DADOS!$P$4,tabela_registros[CATEGORIA],despesavariávelconsolidadoout[[#This Row],[DESPESA VARIÁVEL]])</f>
        <v>0</v>
      </c>
      <c r="F71" s="91">
        <f>SUMIFS(tabela_registros[VALOR],tabela_registros[MÊS],$AE$1,tabela_registros[DIA],outtotal3059718395107119131143[[#Headers],[2]],tabela_registros[REGISTRO],DADOS!$N$4,tabela_registros[TIPO],DADOS!$P$4,tabela_registros[CATEGORIA],despesavariávelconsolidadoout[[#This Row],[DESPESA VARIÁVEL]])</f>
        <v>0</v>
      </c>
      <c r="G71" s="91">
        <f>SUMIFS(tabela_registros[VALOR],tabela_registros[MÊS],$AE$1,tabela_registros[DIA],outtotal3059718395107119131143[[#Headers],[3]],tabela_registros[REGISTRO],DADOS!$N$4,tabela_registros[TIPO],DADOS!$P$4,tabela_registros[CATEGORIA],despesavariávelconsolidadoout[[#This Row],[DESPESA VARIÁVEL]])</f>
        <v>0</v>
      </c>
      <c r="H71" s="91">
        <f>SUMIFS(tabela_registros[VALOR],tabela_registros[MÊS],$AE$1,tabela_registros[DIA],outtotal3059718395107119131143[[#Headers],[4]],tabela_registros[REGISTRO],DADOS!$N$4,tabela_registros[TIPO],DADOS!$P$4,tabela_registros[CATEGORIA],despesavariávelconsolidadoout[[#This Row],[DESPESA VARIÁVEL]])</f>
        <v>0</v>
      </c>
      <c r="I71" s="91">
        <f>SUMIFS(tabela_registros[VALOR],tabela_registros[MÊS],$AE$1,tabela_registros[DIA],outtotal3059718395107119131143[[#Headers],[5]],tabela_registros[REGISTRO],DADOS!$N$4,tabela_registros[TIPO],DADOS!$P$4,tabela_registros[CATEGORIA],despesavariávelconsolidadoout[[#This Row],[DESPESA VARIÁVEL]])</f>
        <v>0</v>
      </c>
      <c r="J71" s="91">
        <f>SUMIFS(tabela_registros[VALOR],tabela_registros[MÊS],$AE$1,tabela_registros[DIA],outtotal3059718395107119131143[[#Headers],[6]],tabela_registros[REGISTRO],DADOS!$N$4,tabela_registros[TIPO],DADOS!$P$4,tabela_registros[CATEGORIA],despesavariávelconsolidadoout[[#This Row],[DESPESA VARIÁVEL]])</f>
        <v>0</v>
      </c>
      <c r="K71" s="91">
        <f>SUMIFS(tabela_registros[VALOR],tabela_registros[MÊS],$AE$1,tabela_registros[DIA],outtotal3059718395107119131143[[#Headers],[7]],tabela_registros[REGISTRO],DADOS!$N$4,tabela_registros[TIPO],DADOS!$P$4,tabela_registros[CATEGORIA],despesavariávelconsolidadoout[[#This Row],[DESPESA VARIÁVEL]])</f>
        <v>0</v>
      </c>
      <c r="L71" s="91">
        <f>SUMIFS(tabela_registros[VALOR],tabela_registros[MÊS],$AE$1,tabela_registros[DIA],outtotal3059718395107119131143[[#Headers],[8]],tabela_registros[REGISTRO],DADOS!$N$4,tabela_registros[TIPO],DADOS!$P$4,tabela_registros[CATEGORIA],despesavariávelconsolidadoout[[#This Row],[DESPESA VARIÁVEL]])</f>
        <v>0</v>
      </c>
      <c r="M71" s="91">
        <f>SUMIFS(tabela_registros[VALOR],tabela_registros[MÊS],$AE$1,tabela_registros[DIA],outtotal3059718395107119131143[[#Headers],[9]],tabela_registros[REGISTRO],DADOS!$N$4,tabela_registros[TIPO],DADOS!$P$4,tabela_registros[CATEGORIA],despesavariávelconsolidadoout[[#This Row],[DESPESA VARIÁVEL]])</f>
        <v>0</v>
      </c>
      <c r="N71" s="91">
        <f>SUMIFS(tabela_registros[VALOR],tabela_registros[MÊS],$AE$1,tabela_registros[DIA],outtotal3059718395107119131143[[#Headers],[10]],tabela_registros[REGISTRO],DADOS!$N$4,tabela_registros[TIPO],DADOS!$P$4,tabela_registros[CATEGORIA],despesavariávelconsolidadoout[[#This Row],[DESPESA VARIÁVEL]])</f>
        <v>0</v>
      </c>
      <c r="O71" s="91">
        <f>SUMIFS(tabela_registros[VALOR],tabela_registros[MÊS],$AE$1,tabela_registros[DIA],outtotal3059718395107119131143[[#Headers],[11]],tabela_registros[REGISTRO],DADOS!$N$4,tabela_registros[TIPO],DADOS!$P$4,tabela_registros[CATEGORIA],despesavariávelconsolidadoout[[#This Row],[DESPESA VARIÁVEL]])</f>
        <v>0</v>
      </c>
      <c r="P71" s="91">
        <f>SUMIFS(tabela_registros[VALOR],tabela_registros[MÊS],$AE$1,tabela_registros[DIA],outtotal3059718395107119131143[[#Headers],[12]],tabela_registros[REGISTRO],DADOS!$N$4,tabela_registros[TIPO],DADOS!$P$4,tabela_registros[CATEGORIA],despesavariávelconsolidadoout[[#This Row],[DESPESA VARIÁVEL]])</f>
        <v>0</v>
      </c>
      <c r="Q71" s="91">
        <f>SUMIFS(tabela_registros[VALOR],tabela_registros[MÊS],$AE$1,tabela_registros[DIA],outtotal3059718395107119131143[[#Headers],[13]],tabela_registros[REGISTRO],DADOS!$N$4,tabela_registros[TIPO],DADOS!$P$4,tabela_registros[CATEGORIA],despesavariávelconsolidadoout[[#This Row],[DESPESA VARIÁVEL]])</f>
        <v>0</v>
      </c>
      <c r="R71" s="91">
        <f>SUMIFS(tabela_registros[VALOR],tabela_registros[MÊS],$AE$1,tabela_registros[DIA],outtotal3059718395107119131143[[#Headers],[14]],tabela_registros[REGISTRO],DADOS!$N$4,tabela_registros[TIPO],DADOS!$P$4,tabela_registros[CATEGORIA],despesavariávelconsolidadoout[[#This Row],[DESPESA VARIÁVEL]])</f>
        <v>0</v>
      </c>
      <c r="S71" s="91">
        <f>SUMIFS(tabela_registros[VALOR],tabela_registros[MÊS],$AE$1,tabela_registros[DIA],outtotal3059718395107119131143[[#Headers],[15]],tabela_registros[REGISTRO],DADOS!$N$4,tabela_registros[TIPO],DADOS!$P$4,tabela_registros[CATEGORIA],despesavariávelconsolidadoout[[#This Row],[DESPESA VARIÁVEL]])</f>
        <v>0</v>
      </c>
      <c r="T71" s="91">
        <f>SUMIFS(tabela_registros[VALOR],tabela_registros[MÊS],$AE$1,tabela_registros[DIA],outtotal3059718395107119131143[[#Headers],[16]],tabela_registros[REGISTRO],DADOS!$N$4,tabela_registros[TIPO],DADOS!$P$4,tabela_registros[CATEGORIA],despesavariávelconsolidadoout[[#This Row],[DESPESA VARIÁVEL]])</f>
        <v>0</v>
      </c>
      <c r="U71" s="91">
        <f>SUMIFS(tabela_registros[VALOR],tabela_registros[MÊS],$AE$1,tabela_registros[DIA],outtotal3059718395107119131143[[#Headers],[17]],tabela_registros[REGISTRO],DADOS!$N$4,tabela_registros[TIPO],DADOS!$P$4,tabela_registros[CATEGORIA],despesavariávelconsolidadoout[[#This Row],[DESPESA VARIÁVEL]])</f>
        <v>0</v>
      </c>
      <c r="V71" s="91">
        <f>SUMIFS(tabela_registros[VALOR],tabela_registros[MÊS],$AE$1,tabela_registros[DIA],outtotal3059718395107119131143[[#Headers],[18]],tabela_registros[REGISTRO],DADOS!$N$4,tabela_registros[TIPO],DADOS!$P$4,tabela_registros[CATEGORIA],despesavariávelconsolidadoout[[#This Row],[DESPESA VARIÁVEL]])</f>
        <v>0</v>
      </c>
      <c r="W71" s="91">
        <f>SUMIFS(tabela_registros[VALOR],tabela_registros[MÊS],$AE$1,tabela_registros[DIA],outtotal3059718395107119131143[[#Headers],[19]],tabela_registros[REGISTRO],DADOS!$N$4,tabela_registros[TIPO],DADOS!$P$4,tabela_registros[CATEGORIA],despesavariávelconsolidadoout[[#This Row],[DESPESA VARIÁVEL]])</f>
        <v>0</v>
      </c>
      <c r="X71" s="91">
        <f>SUMIFS(tabela_registros[VALOR],tabela_registros[MÊS],$AE$1,tabela_registros[DIA],outtotal3059718395107119131143[[#Headers],[20]],tabela_registros[REGISTRO],DADOS!$N$4,tabela_registros[TIPO],DADOS!$P$4,tabela_registros[CATEGORIA],despesavariávelconsolidadoout[[#This Row],[DESPESA VARIÁVEL]])</f>
        <v>0</v>
      </c>
      <c r="Y71" s="91">
        <f>SUMIFS(tabela_registros[VALOR],tabela_registros[MÊS],$AE$1,tabela_registros[DIA],outtotal3059718395107119131143[[#Headers],[21]],tabela_registros[REGISTRO],DADOS!$N$4,tabela_registros[TIPO],DADOS!$P$4,tabela_registros[CATEGORIA],despesavariávelconsolidadoout[[#This Row],[DESPESA VARIÁVEL]])</f>
        <v>0</v>
      </c>
      <c r="Z71" s="91">
        <f>SUMIFS(tabela_registros[VALOR],tabela_registros[MÊS],$AE$1,tabela_registros[DIA],outtotal3059718395107119131143[[#Headers],[22]],tabela_registros[REGISTRO],DADOS!$N$4,tabela_registros[TIPO],DADOS!$P$4,tabela_registros[CATEGORIA],despesavariávelconsolidadoout[[#This Row],[DESPESA VARIÁVEL]])</f>
        <v>0</v>
      </c>
      <c r="AA71" s="91">
        <f>SUMIFS(tabela_registros[VALOR],tabela_registros[MÊS],$AE$1,tabela_registros[DIA],outtotal3059718395107119131143[[#Headers],[23]],tabela_registros[REGISTRO],DADOS!$N$4,tabela_registros[TIPO],DADOS!$P$4,tabela_registros[CATEGORIA],despesavariávelconsolidadoout[[#This Row],[DESPESA VARIÁVEL]])</f>
        <v>0</v>
      </c>
      <c r="AB71" s="91">
        <f>SUMIFS(tabela_registros[VALOR],tabela_registros[MÊS],$AE$1,tabela_registros[DIA],outtotal3059718395107119131143[[#Headers],[24]],tabela_registros[REGISTRO],DADOS!$N$4,tabela_registros[TIPO],DADOS!$P$4,tabela_registros[CATEGORIA],despesavariávelconsolidadoout[[#This Row],[DESPESA VARIÁVEL]])</f>
        <v>0</v>
      </c>
      <c r="AC71" s="91">
        <f>SUMIFS(tabela_registros[VALOR],tabela_registros[MÊS],$AE$1,tabela_registros[DIA],outtotal3059718395107119131143[[#Headers],[25]],tabela_registros[REGISTRO],DADOS!$N$4,tabela_registros[TIPO],DADOS!$P$4,tabela_registros[CATEGORIA],despesavariávelconsolidadoout[[#This Row],[DESPESA VARIÁVEL]])</f>
        <v>0</v>
      </c>
      <c r="AD71" s="91">
        <f>SUMIFS(tabela_registros[VALOR],tabela_registros[MÊS],$AE$1,tabela_registros[DIA],outtotal3059718395107119131143[[#Headers],[26]],tabela_registros[REGISTRO],DADOS!$N$4,tabela_registros[TIPO],DADOS!$P$4,tabela_registros[CATEGORIA],despesavariávelconsolidadoout[[#This Row],[DESPESA VARIÁVEL]])</f>
        <v>0</v>
      </c>
      <c r="AE71" s="91">
        <f>SUMIFS(tabela_registros[VALOR],tabela_registros[MÊS],$AE$1,tabela_registros[DIA],outtotal3059718395107119131143[[#Headers],[27]],tabela_registros[REGISTRO],DADOS!$N$4,tabela_registros[TIPO],DADOS!$P$4,tabela_registros[CATEGORIA],despesavariávelconsolidadoout[[#This Row],[DESPESA VARIÁVEL]])</f>
        <v>0</v>
      </c>
      <c r="AF71" s="91">
        <f>SUMIFS(tabela_registros[VALOR],tabela_registros[MÊS],$AE$1,tabela_registros[DIA],outtotal3059718395107119131143[[#Headers],[28]],tabela_registros[REGISTRO],DADOS!$N$4,tabela_registros[TIPO],DADOS!$P$4,tabela_registros[CATEGORIA],despesavariávelconsolidadoout[[#This Row],[DESPESA VARIÁVEL]])</f>
        <v>0</v>
      </c>
      <c r="AG71" s="91">
        <f>SUMIFS(tabela_registros[VALOR],tabela_registros[MÊS],$AE$1,tabela_registros[DIA],outtotal3059718395107119131143[[#Headers],[29]],tabela_registros[REGISTRO],DADOS!$N$4,tabela_registros[TIPO],DADOS!$P$4,tabela_registros[CATEGORIA],despesavariávelconsolidadoout[[#This Row],[DESPESA VARIÁVEL]])</f>
        <v>0</v>
      </c>
      <c r="AH71" s="91">
        <f>SUMIFS(tabela_registros[VALOR],tabela_registros[MÊS],$AE$1,tabela_registros[DIA],outtotal3059718395107119131143[[#Headers],[30]],tabela_registros[REGISTRO],DADOS!$N$4,tabela_registros[TIPO],DADOS!$P$4,tabela_registros[CATEGORIA],despesavariávelconsolidadoout[[#This Row],[DESPESA VARIÁVEL]])</f>
        <v>0</v>
      </c>
      <c r="AI71" s="101">
        <f>SUMIFS(tabela_registros[VALOR],tabela_registros[MÊS],$AE$1,tabela_registros[DIA],outtotal3059718395107119131143[[#Headers],[31]],tabela_registros[REGISTRO],DADOS!$N$4,tabela_registros[TIPO],DADOS!$P$4,tabela_registros[CATEGORIA],despesavariávelconsolidadoout[[#This Row],[DESPESA VARIÁVEL]])</f>
        <v>0</v>
      </c>
      <c r="AJ71" s="97">
        <f>SUM(despesavariávelconsolidadoout[[#This Row],[1]:[31]])</f>
        <v>0</v>
      </c>
      <c r="AK71" s="28"/>
    </row>
    <row r="72" spans="2:37" ht="18" customHeight="1" thickTop="1" thickBot="1" x14ac:dyDescent="0.3">
      <c r="B72" s="28"/>
      <c r="C72" s="27" t="str">
        <f>DADOS!$T$15</f>
        <v>📎 OUTROS</v>
      </c>
      <c r="D72" s="26" t="str">
        <f>IF(despesavariávelconsolidadoout[[#This Row],[TOTAL]]=0,"",IF(OR(despesavariávelconsolidadoout[[#This Row],[TOTAL]]=LARGE($AJ$60:$AJ$72,1),despesavariávelconsolidadoout[[#This Row],[TOTAL]]=LARGE($AJ$60:$AJ$72,2),despesavariávelconsolidadoout[[#This Row],[TOTAL]]=LARGE($AJ$60:$AJ$72,3),despesavariávelconsolidadoout[[#This Row],[TOTAL]]=LARGE($AJ$60:$AJ$72,4),despesavariávelconsolidadoout[[#This Row],[TOTAL]]=LARGE($AJ$60:$AJ$72,5)),DADOS!$I$8,""))</f>
        <v/>
      </c>
      <c r="E72" s="96">
        <f>SUMIFS(tabela_registros[VALOR],tabela_registros[MÊS],$AE$1,tabela_registros[DIA],outtotal3059718395107119131143[[#Headers],[1]],tabela_registros[REGISTRO],DADOS!$N$4,tabela_registros[TIPO],DADOS!$P$4,tabela_registros[CATEGORIA],despesavariávelconsolidadoout[[#This Row],[DESPESA VARIÁVEL]])</f>
        <v>0</v>
      </c>
      <c r="F72" s="91">
        <f>SUMIFS(tabela_registros[VALOR],tabela_registros[MÊS],$AE$1,tabela_registros[DIA],outtotal3059718395107119131143[[#Headers],[2]],tabela_registros[REGISTRO],DADOS!$N$4,tabela_registros[TIPO],DADOS!$P$4,tabela_registros[CATEGORIA],despesavariávelconsolidadoout[[#This Row],[DESPESA VARIÁVEL]])</f>
        <v>0</v>
      </c>
      <c r="G72" s="91">
        <f>SUMIFS(tabela_registros[VALOR],tabela_registros[MÊS],$AE$1,tabela_registros[DIA],outtotal3059718395107119131143[[#Headers],[3]],tabela_registros[REGISTRO],DADOS!$N$4,tabela_registros[TIPO],DADOS!$P$4,tabela_registros[CATEGORIA],despesavariávelconsolidadoout[[#This Row],[DESPESA VARIÁVEL]])</f>
        <v>0</v>
      </c>
      <c r="H72" s="91">
        <f>SUMIFS(tabela_registros[VALOR],tabela_registros[MÊS],$AE$1,tabela_registros[DIA],outtotal3059718395107119131143[[#Headers],[4]],tabela_registros[REGISTRO],DADOS!$N$4,tabela_registros[TIPO],DADOS!$P$4,tabela_registros[CATEGORIA],despesavariávelconsolidadoout[[#This Row],[DESPESA VARIÁVEL]])</f>
        <v>0</v>
      </c>
      <c r="I72" s="91">
        <f>SUMIFS(tabela_registros[VALOR],tabela_registros[MÊS],$AE$1,tabela_registros[DIA],outtotal3059718395107119131143[[#Headers],[5]],tabela_registros[REGISTRO],DADOS!$N$4,tabela_registros[TIPO],DADOS!$P$4,tabela_registros[CATEGORIA],despesavariávelconsolidadoout[[#This Row],[DESPESA VARIÁVEL]])</f>
        <v>0</v>
      </c>
      <c r="J72" s="91">
        <f>SUMIFS(tabela_registros[VALOR],tabela_registros[MÊS],$AE$1,tabela_registros[DIA],outtotal3059718395107119131143[[#Headers],[6]],tabela_registros[REGISTRO],DADOS!$N$4,tabela_registros[TIPO],DADOS!$P$4,tabela_registros[CATEGORIA],despesavariávelconsolidadoout[[#This Row],[DESPESA VARIÁVEL]])</f>
        <v>0</v>
      </c>
      <c r="K72" s="91">
        <f>SUMIFS(tabela_registros[VALOR],tabela_registros[MÊS],$AE$1,tabela_registros[DIA],outtotal3059718395107119131143[[#Headers],[7]],tabela_registros[REGISTRO],DADOS!$N$4,tabela_registros[TIPO],DADOS!$P$4,tabela_registros[CATEGORIA],despesavariávelconsolidadoout[[#This Row],[DESPESA VARIÁVEL]])</f>
        <v>0</v>
      </c>
      <c r="L72" s="91">
        <f>SUMIFS(tabela_registros[VALOR],tabela_registros[MÊS],$AE$1,tabela_registros[DIA],outtotal3059718395107119131143[[#Headers],[8]],tabela_registros[REGISTRO],DADOS!$N$4,tabela_registros[TIPO],DADOS!$P$4,tabela_registros[CATEGORIA],despesavariávelconsolidadoout[[#This Row],[DESPESA VARIÁVEL]])</f>
        <v>0</v>
      </c>
      <c r="M72" s="91">
        <f>SUMIFS(tabela_registros[VALOR],tabela_registros[MÊS],$AE$1,tabela_registros[DIA],outtotal3059718395107119131143[[#Headers],[9]],tabela_registros[REGISTRO],DADOS!$N$4,tabela_registros[TIPO],DADOS!$P$4,tabela_registros[CATEGORIA],despesavariávelconsolidadoout[[#This Row],[DESPESA VARIÁVEL]])</f>
        <v>0</v>
      </c>
      <c r="N72" s="91">
        <f>SUMIFS(tabela_registros[VALOR],tabela_registros[MÊS],$AE$1,tabela_registros[DIA],outtotal3059718395107119131143[[#Headers],[10]],tabela_registros[REGISTRO],DADOS!$N$4,tabela_registros[TIPO],DADOS!$P$4,tabela_registros[CATEGORIA],despesavariávelconsolidadoout[[#This Row],[DESPESA VARIÁVEL]])</f>
        <v>0</v>
      </c>
      <c r="O72" s="91">
        <f>SUMIFS(tabela_registros[VALOR],tabela_registros[MÊS],$AE$1,tabela_registros[DIA],outtotal3059718395107119131143[[#Headers],[11]],tabela_registros[REGISTRO],DADOS!$N$4,tabela_registros[TIPO],DADOS!$P$4,tabela_registros[CATEGORIA],despesavariávelconsolidadoout[[#This Row],[DESPESA VARIÁVEL]])</f>
        <v>0</v>
      </c>
      <c r="P72" s="91">
        <f>SUMIFS(tabela_registros[VALOR],tabela_registros[MÊS],$AE$1,tabela_registros[DIA],outtotal3059718395107119131143[[#Headers],[12]],tabela_registros[REGISTRO],DADOS!$N$4,tabela_registros[TIPO],DADOS!$P$4,tabela_registros[CATEGORIA],despesavariávelconsolidadoout[[#This Row],[DESPESA VARIÁVEL]])</f>
        <v>0</v>
      </c>
      <c r="Q72" s="91">
        <f>SUMIFS(tabela_registros[VALOR],tabela_registros[MÊS],$AE$1,tabela_registros[DIA],outtotal3059718395107119131143[[#Headers],[13]],tabela_registros[REGISTRO],DADOS!$N$4,tabela_registros[TIPO],DADOS!$P$4,tabela_registros[CATEGORIA],despesavariávelconsolidadoout[[#This Row],[DESPESA VARIÁVEL]])</f>
        <v>0</v>
      </c>
      <c r="R72" s="91">
        <f>SUMIFS(tabela_registros[VALOR],tabela_registros[MÊS],$AE$1,tabela_registros[DIA],outtotal3059718395107119131143[[#Headers],[14]],tabela_registros[REGISTRO],DADOS!$N$4,tabela_registros[TIPO],DADOS!$P$4,tabela_registros[CATEGORIA],despesavariávelconsolidadoout[[#This Row],[DESPESA VARIÁVEL]])</f>
        <v>0</v>
      </c>
      <c r="S72" s="91">
        <f>SUMIFS(tabela_registros[VALOR],tabela_registros[MÊS],$AE$1,tabela_registros[DIA],outtotal3059718395107119131143[[#Headers],[15]],tabela_registros[REGISTRO],DADOS!$N$4,tabela_registros[TIPO],DADOS!$P$4,tabela_registros[CATEGORIA],despesavariávelconsolidadoout[[#This Row],[DESPESA VARIÁVEL]])</f>
        <v>0</v>
      </c>
      <c r="T72" s="91">
        <f>SUMIFS(tabela_registros[VALOR],tabela_registros[MÊS],$AE$1,tabela_registros[DIA],outtotal3059718395107119131143[[#Headers],[16]],tabela_registros[REGISTRO],DADOS!$N$4,tabela_registros[TIPO],DADOS!$P$4,tabela_registros[CATEGORIA],despesavariávelconsolidadoout[[#This Row],[DESPESA VARIÁVEL]])</f>
        <v>0</v>
      </c>
      <c r="U72" s="91">
        <f>SUMIFS(tabela_registros[VALOR],tabela_registros[MÊS],$AE$1,tabela_registros[DIA],outtotal3059718395107119131143[[#Headers],[17]],tabela_registros[REGISTRO],DADOS!$N$4,tabela_registros[TIPO],DADOS!$P$4,tabela_registros[CATEGORIA],despesavariávelconsolidadoout[[#This Row],[DESPESA VARIÁVEL]])</f>
        <v>0</v>
      </c>
      <c r="V72" s="91">
        <f>SUMIFS(tabela_registros[VALOR],tabela_registros[MÊS],$AE$1,tabela_registros[DIA],outtotal3059718395107119131143[[#Headers],[18]],tabela_registros[REGISTRO],DADOS!$N$4,tabela_registros[TIPO],DADOS!$P$4,tabela_registros[CATEGORIA],despesavariávelconsolidadoout[[#This Row],[DESPESA VARIÁVEL]])</f>
        <v>0</v>
      </c>
      <c r="W72" s="91">
        <f>SUMIFS(tabela_registros[VALOR],tabela_registros[MÊS],$AE$1,tabela_registros[DIA],outtotal3059718395107119131143[[#Headers],[19]],tabela_registros[REGISTRO],DADOS!$N$4,tabela_registros[TIPO],DADOS!$P$4,tabela_registros[CATEGORIA],despesavariávelconsolidadoout[[#This Row],[DESPESA VARIÁVEL]])</f>
        <v>0</v>
      </c>
      <c r="X72" s="91">
        <f>SUMIFS(tabela_registros[VALOR],tabela_registros[MÊS],$AE$1,tabela_registros[DIA],outtotal3059718395107119131143[[#Headers],[20]],tabela_registros[REGISTRO],DADOS!$N$4,tabela_registros[TIPO],DADOS!$P$4,tabela_registros[CATEGORIA],despesavariávelconsolidadoout[[#This Row],[DESPESA VARIÁVEL]])</f>
        <v>0</v>
      </c>
      <c r="Y72" s="91">
        <f>SUMIFS(tabela_registros[VALOR],tabela_registros[MÊS],$AE$1,tabela_registros[DIA],outtotal3059718395107119131143[[#Headers],[21]],tabela_registros[REGISTRO],DADOS!$N$4,tabela_registros[TIPO],DADOS!$P$4,tabela_registros[CATEGORIA],despesavariávelconsolidadoout[[#This Row],[DESPESA VARIÁVEL]])</f>
        <v>0</v>
      </c>
      <c r="Z72" s="91">
        <f>SUMIFS(tabela_registros[VALOR],tabela_registros[MÊS],$AE$1,tabela_registros[DIA],outtotal3059718395107119131143[[#Headers],[22]],tabela_registros[REGISTRO],DADOS!$N$4,tabela_registros[TIPO],DADOS!$P$4,tabela_registros[CATEGORIA],despesavariávelconsolidadoout[[#This Row],[DESPESA VARIÁVEL]])</f>
        <v>0</v>
      </c>
      <c r="AA72" s="91">
        <f>SUMIFS(tabela_registros[VALOR],tabela_registros[MÊS],$AE$1,tabela_registros[DIA],outtotal3059718395107119131143[[#Headers],[23]],tabela_registros[REGISTRO],DADOS!$N$4,tabela_registros[TIPO],DADOS!$P$4,tabela_registros[CATEGORIA],despesavariávelconsolidadoout[[#This Row],[DESPESA VARIÁVEL]])</f>
        <v>0</v>
      </c>
      <c r="AB72" s="91">
        <f>SUMIFS(tabela_registros[VALOR],tabela_registros[MÊS],$AE$1,tabela_registros[DIA],outtotal3059718395107119131143[[#Headers],[24]],tabela_registros[REGISTRO],DADOS!$N$4,tabela_registros[TIPO],DADOS!$P$4,tabela_registros[CATEGORIA],despesavariávelconsolidadoout[[#This Row],[DESPESA VARIÁVEL]])</f>
        <v>0</v>
      </c>
      <c r="AC72" s="91">
        <f>SUMIFS(tabela_registros[VALOR],tabela_registros[MÊS],$AE$1,tabela_registros[DIA],outtotal3059718395107119131143[[#Headers],[25]],tabela_registros[REGISTRO],DADOS!$N$4,tabela_registros[TIPO],DADOS!$P$4,tabela_registros[CATEGORIA],despesavariávelconsolidadoout[[#This Row],[DESPESA VARIÁVEL]])</f>
        <v>0</v>
      </c>
      <c r="AD72" s="91">
        <f>SUMIFS(tabela_registros[VALOR],tabela_registros[MÊS],$AE$1,tabela_registros[DIA],outtotal3059718395107119131143[[#Headers],[26]],tabela_registros[REGISTRO],DADOS!$N$4,tabela_registros[TIPO],DADOS!$P$4,tabela_registros[CATEGORIA],despesavariávelconsolidadoout[[#This Row],[DESPESA VARIÁVEL]])</f>
        <v>0</v>
      </c>
      <c r="AE72" s="91">
        <f>SUMIFS(tabela_registros[VALOR],tabela_registros[MÊS],$AE$1,tabela_registros[DIA],outtotal3059718395107119131143[[#Headers],[27]],tabela_registros[REGISTRO],DADOS!$N$4,tabela_registros[TIPO],DADOS!$P$4,tabela_registros[CATEGORIA],despesavariávelconsolidadoout[[#This Row],[DESPESA VARIÁVEL]])</f>
        <v>0</v>
      </c>
      <c r="AF72" s="91">
        <f>SUMIFS(tabela_registros[VALOR],tabela_registros[MÊS],$AE$1,tabela_registros[DIA],outtotal3059718395107119131143[[#Headers],[28]],tabela_registros[REGISTRO],DADOS!$N$4,tabela_registros[TIPO],DADOS!$P$4,tabela_registros[CATEGORIA],despesavariávelconsolidadoout[[#This Row],[DESPESA VARIÁVEL]])</f>
        <v>0</v>
      </c>
      <c r="AG72" s="91">
        <f>SUMIFS(tabela_registros[VALOR],tabela_registros[MÊS],$AE$1,tabela_registros[DIA],outtotal3059718395107119131143[[#Headers],[29]],tabela_registros[REGISTRO],DADOS!$N$4,tabela_registros[TIPO],DADOS!$P$4,tabela_registros[CATEGORIA],despesavariávelconsolidadoout[[#This Row],[DESPESA VARIÁVEL]])</f>
        <v>0</v>
      </c>
      <c r="AH72" s="91">
        <f>SUMIFS(tabela_registros[VALOR],tabela_registros[MÊS],$AE$1,tabela_registros[DIA],outtotal3059718395107119131143[[#Headers],[30]],tabela_registros[REGISTRO],DADOS!$N$4,tabela_registros[TIPO],DADOS!$P$4,tabela_registros[CATEGORIA],despesavariávelconsolidadoout[[#This Row],[DESPESA VARIÁVEL]])</f>
        <v>0</v>
      </c>
      <c r="AI72" s="102">
        <f>SUMIFS(tabela_registros[VALOR],tabela_registros[MÊS],$AE$1,tabela_registros[DIA],outtotal3059718395107119131143[[#Headers],[31]],tabela_registros[REGISTRO],DADOS!$N$4,tabela_registros[TIPO],DADOS!$P$4,tabela_registros[CATEGORIA],despesavariávelconsolidadoout[[#This Row],[DESPESA VARIÁVEL]])</f>
        <v>0</v>
      </c>
      <c r="AJ72" s="97">
        <f>SUM(despesavariávelconsolidadoout[[#This Row],[1]:[31]])</f>
        <v>0</v>
      </c>
      <c r="AK72" s="28"/>
    </row>
    <row r="73" spans="2:37" s="16" customFormat="1" ht="21" customHeight="1" thickTop="1" thickBot="1" x14ac:dyDescent="0.35">
      <c r="B73" s="24"/>
      <c r="C73" s="23" t="s">
        <v>19</v>
      </c>
      <c r="D73" s="41" t="str">
        <f>IF(despesavariávelconsolidadoout[[#This Row],[TOTAL]]=0,"",IF(OR(despesavariávelconsolidadoout[[#This Row],[TOTAL]]=SMALL(despesavariávelconsolidadoout[TOTAL],1),despesavariávelconsolidadoout[[#This Row],[TOTAL]]=SMALL(despesavariávelconsolidadoout[TOTAL],2),despesavariávelconsolidadoout[[#This Row],[TOTAL]]=SMALL(despesavariávelconsolidadoout[TOTAL],3),despesavariávelconsolidadoout[[#This Row],[TOTAL]]=SMALL(despesavariávelconsolidadoout[TOTAL],4),despesavariávelconsolidadoout[[#This Row],[TOTAL]]=SMALL(despesavariávelconsolidadoout[TOTAL],5)),DADOS!$I$8,""))</f>
        <v/>
      </c>
      <c r="E73" s="21">
        <f>SUM(E60:E72)</f>
        <v>0</v>
      </c>
      <c r="F73" s="20">
        <f>SUM(F60:F72)+despesavariávelconsolidadoout[[#This Row],[1]]</f>
        <v>0</v>
      </c>
      <c r="G73" s="20">
        <f>SUM(G60:G72)+despesavariávelconsolidadoout[[#This Row],[2]]</f>
        <v>0</v>
      </c>
      <c r="H73" s="20">
        <f>SUM(H60:H72)+despesavariávelconsolidadoout[[#This Row],[3]]</f>
        <v>0</v>
      </c>
      <c r="I73" s="20">
        <f>SUM(I60:I72)+despesavariávelconsolidadoout[[#This Row],[4]]</f>
        <v>0</v>
      </c>
      <c r="J73" s="20">
        <f>SUM(J60:J72)+despesavariávelconsolidadoout[[#This Row],[5]]</f>
        <v>0</v>
      </c>
      <c r="K73" s="20">
        <f>SUM(K60:K72)+despesavariávelconsolidadoout[[#This Row],[6]]</f>
        <v>0</v>
      </c>
      <c r="L73" s="20">
        <f>SUM(L60:L72)+despesavariávelconsolidadoout[[#This Row],[7]]</f>
        <v>20</v>
      </c>
      <c r="M73" s="20">
        <f>SUM(M60:M72)+despesavariávelconsolidadoout[[#This Row],[8]]</f>
        <v>20</v>
      </c>
      <c r="N73" s="20">
        <f>SUM(N60:N72)+despesavariávelconsolidadoout[[#This Row],[9]]</f>
        <v>20</v>
      </c>
      <c r="O73" s="20">
        <f>SUM(O60:O72)+despesavariávelconsolidadoout[[#This Row],[10]]</f>
        <v>20</v>
      </c>
      <c r="P73" s="20">
        <f>SUM(P60:P72)+despesavariávelconsolidadoout[[#This Row],[11]]</f>
        <v>20</v>
      </c>
      <c r="Q73" s="20">
        <f>SUM(Q60:Q72)+despesavariávelconsolidadoout[[#This Row],[12]]</f>
        <v>20</v>
      </c>
      <c r="R73" s="20">
        <f>SUM(R60:R72)+despesavariávelconsolidadoout[[#This Row],[13]]</f>
        <v>20</v>
      </c>
      <c r="S73" s="20">
        <f>SUM(S60:S72)+despesavariávelconsolidadoout[[#This Row],[14]]</f>
        <v>20</v>
      </c>
      <c r="T73" s="20">
        <f>SUM(T60:T72)+despesavariávelconsolidadoout[[#This Row],[15]]</f>
        <v>20</v>
      </c>
      <c r="U73" s="20">
        <f>SUM(U60:U72)+despesavariávelconsolidadoout[[#This Row],[16]]</f>
        <v>20</v>
      </c>
      <c r="V73" s="20">
        <f>SUM(V60:V72)+despesavariávelconsolidadoout[[#This Row],[17]]</f>
        <v>20</v>
      </c>
      <c r="W73" s="20">
        <f>SUM(W60:W72)+despesavariávelconsolidadoout[[#This Row],[18]]</f>
        <v>20</v>
      </c>
      <c r="X73" s="20">
        <f>SUM(X60:X72)+despesavariávelconsolidadoout[[#This Row],[19]]</f>
        <v>20</v>
      </c>
      <c r="Y73" s="20">
        <f>SUM(Y60:Y72)+despesavariávelconsolidadoout[[#This Row],[20]]</f>
        <v>20</v>
      </c>
      <c r="Z73" s="20">
        <f>SUM(Z60:Z72)+despesavariávelconsolidadoout[[#This Row],[21]]</f>
        <v>20</v>
      </c>
      <c r="AA73" s="20">
        <f>SUM(AA60:AA72)+despesavariávelconsolidadoout[[#This Row],[22]]</f>
        <v>20</v>
      </c>
      <c r="AB73" s="20">
        <f>SUM(AB60:AB72)+despesavariávelconsolidadoout[[#This Row],[23]]</f>
        <v>20</v>
      </c>
      <c r="AC73" s="20">
        <f>SUM(AC60:AC72)+despesavariávelconsolidadoout[[#This Row],[24]]</f>
        <v>20</v>
      </c>
      <c r="AD73" s="20">
        <f>SUM(AD60:AD72)+despesavariávelconsolidadoout[[#This Row],[25]]</f>
        <v>20</v>
      </c>
      <c r="AE73" s="20">
        <f>SUM(AE60:AE72)+despesavariávelconsolidadoout[[#This Row],[26]]</f>
        <v>20</v>
      </c>
      <c r="AF73" s="20">
        <f>SUM(AF60:AF72)+despesavariávelconsolidadoout[[#This Row],[27]]</f>
        <v>20</v>
      </c>
      <c r="AG73" s="20">
        <f>SUM(AG60:AG72)+despesavariávelconsolidadoout[[#This Row],[28]]</f>
        <v>20</v>
      </c>
      <c r="AH73" s="20">
        <f>SUM(AH60:AH72)+despesavariávelconsolidadoout[[#This Row],[29]]</f>
        <v>20</v>
      </c>
      <c r="AI73" s="19">
        <f>SUM(AI60:AI72)+despesavariávelconsolidadoout[[#This Row],[30]]</f>
        <v>20</v>
      </c>
      <c r="AJ73" s="18">
        <f>despesavariávelconsolidadoout[[#This Row],[31]]</f>
        <v>20</v>
      </c>
      <c r="AK73" s="17"/>
    </row>
    <row r="74" spans="2:37" ht="6.75" customHeight="1" thickTop="1" thickBot="1" x14ac:dyDescent="0.3">
      <c r="B74" s="15"/>
      <c r="C74" s="40"/>
      <c r="D74" s="39"/>
      <c r="E74" s="39"/>
      <c r="F74" s="39"/>
      <c r="G74" s="39"/>
      <c r="H74" s="39"/>
      <c r="I74" s="39"/>
      <c r="J74" s="39"/>
      <c r="K74" s="39"/>
      <c r="L74" s="39"/>
      <c r="M74" s="39"/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  <c r="AG74" s="39"/>
      <c r="AH74" s="39"/>
      <c r="AI74" s="38"/>
      <c r="AJ74" s="15"/>
      <c r="AK74" s="10"/>
    </row>
    <row r="75" spans="2:37" ht="12.6" thickTop="1" x14ac:dyDescent="0.25">
      <c r="E75" s="37"/>
      <c r="AI75" s="4"/>
    </row>
    <row r="76" spans="2:37" x14ac:dyDescent="0.25">
      <c r="AI76" s="4"/>
    </row>
    <row r="77" spans="2:37" x14ac:dyDescent="0.25">
      <c r="AI77" s="4"/>
    </row>
    <row r="78" spans="2:37" ht="39.75" customHeight="1" x14ac:dyDescent="0.7">
      <c r="C78" s="36"/>
      <c r="E78" s="240"/>
      <c r="F78" s="240"/>
      <c r="G78" s="240"/>
      <c r="H78" s="240"/>
      <c r="I78" s="240"/>
      <c r="J78" s="240"/>
      <c r="K78" s="240"/>
      <c r="L78" s="240"/>
      <c r="M78" s="240"/>
      <c r="N78" s="240"/>
      <c r="O78" s="240"/>
      <c r="P78" s="240"/>
      <c r="Q78" s="240"/>
      <c r="R78" s="240"/>
      <c r="S78" s="240"/>
      <c r="T78" s="240"/>
      <c r="U78" s="240"/>
      <c r="V78" s="240"/>
      <c r="W78" s="240"/>
      <c r="X78" s="240"/>
      <c r="Y78" s="240"/>
      <c r="Z78" s="240"/>
      <c r="AA78" s="240"/>
      <c r="AB78" s="240"/>
      <c r="AC78" s="240"/>
      <c r="AD78" s="240"/>
      <c r="AE78" s="240"/>
      <c r="AF78" s="240"/>
      <c r="AG78" s="240"/>
      <c r="AH78" s="240"/>
      <c r="AI78" s="240"/>
      <c r="AJ78" s="32" t="s">
        <v>19</v>
      </c>
    </row>
    <row r="79" spans="2:37" ht="12.6" thickBot="1" x14ac:dyDescent="0.3">
      <c r="B79" s="35"/>
      <c r="AI79" s="4"/>
      <c r="AJ79" s="34" t="s">
        <v>202</v>
      </c>
    </row>
    <row r="80" spans="2:37" ht="6.75" customHeight="1" thickTop="1" thickBot="1" x14ac:dyDescent="0.3">
      <c r="B80" s="2"/>
      <c r="C80" s="14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I80" s="13"/>
      <c r="AJ80" s="12"/>
      <c r="AK80" s="33"/>
    </row>
    <row r="81" spans="2:37" ht="13.2" hidden="1" thickTop="1" thickBot="1" x14ac:dyDescent="0.3">
      <c r="B81" s="2"/>
      <c r="C81" s="31" t="s">
        <v>199</v>
      </c>
      <c r="D81" s="30" t="s">
        <v>198</v>
      </c>
      <c r="E81" s="30" t="s">
        <v>197</v>
      </c>
      <c r="F81" s="30" t="s">
        <v>196</v>
      </c>
      <c r="G81" s="30" t="s">
        <v>195</v>
      </c>
      <c r="H81" s="30" t="s">
        <v>194</v>
      </c>
      <c r="I81" s="30" t="s">
        <v>193</v>
      </c>
      <c r="J81" s="30" t="s">
        <v>192</v>
      </c>
      <c r="K81" s="30" t="s">
        <v>191</v>
      </c>
      <c r="L81" s="30" t="s">
        <v>190</v>
      </c>
      <c r="M81" s="30" t="s">
        <v>189</v>
      </c>
      <c r="N81" s="30" t="s">
        <v>188</v>
      </c>
      <c r="O81" s="30" t="s">
        <v>187</v>
      </c>
      <c r="P81" s="30" t="s">
        <v>186</v>
      </c>
      <c r="Q81" s="30" t="s">
        <v>185</v>
      </c>
      <c r="R81" s="30" t="s">
        <v>184</v>
      </c>
      <c r="S81" s="30" t="s">
        <v>183</v>
      </c>
      <c r="T81" s="30" t="s">
        <v>182</v>
      </c>
      <c r="U81" s="30" t="s">
        <v>181</v>
      </c>
      <c r="V81" s="30" t="s">
        <v>180</v>
      </c>
      <c r="W81" s="30" t="s">
        <v>179</v>
      </c>
      <c r="X81" s="30" t="s">
        <v>178</v>
      </c>
      <c r="Y81" s="30" t="s">
        <v>177</v>
      </c>
      <c r="Z81" s="30" t="s">
        <v>176</v>
      </c>
      <c r="AA81" s="30" t="s">
        <v>175</v>
      </c>
      <c r="AB81" s="30" t="s">
        <v>174</v>
      </c>
      <c r="AC81" s="30" t="s">
        <v>173</v>
      </c>
      <c r="AD81" s="30" t="s">
        <v>172</v>
      </c>
      <c r="AE81" s="30" t="s">
        <v>171</v>
      </c>
      <c r="AF81" s="30" t="s">
        <v>170</v>
      </c>
      <c r="AG81" s="30" t="s">
        <v>169</v>
      </c>
      <c r="AH81" s="30" t="s">
        <v>168</v>
      </c>
      <c r="AI81" s="30" t="s">
        <v>167</v>
      </c>
      <c r="AJ81" s="29" t="s">
        <v>166</v>
      </c>
      <c r="AK81" s="2"/>
    </row>
    <row r="82" spans="2:37" ht="19.5" customHeight="1" thickTop="1" thickBot="1" x14ac:dyDescent="0.3">
      <c r="B82" s="28"/>
      <c r="C82" s="27" t="str">
        <f>DADOS!$X$3</f>
        <v>💵 ALUGUEL</v>
      </c>
      <c r="D82" s="26" t="str">
        <f>IF(receitasfixasconsolidadoout[[#This Row],[TOTAL (R$)]]=0,"",IF(OR(receitasfixasconsolidadoout[[#This Row],[TOTAL (R$)]]=LARGE($AJ$82:$AJ$86,1),receitasfixasconsolidadoout[[#This Row],[TOTAL (R$)]]=LARGE($AJ$82:$AJ$86,2)),DADOS!$I$9,""))</f>
        <v/>
      </c>
      <c r="E82" s="94">
        <f>SUMIFS(tabela_registros[VALOR],tabela_registros[MÊS],$AE$1,tabela_registros[DIA],receitasfixasconsolidadoout[[#Headers],[1]],tabela_registros[REGISTRO],DADOS!$N$3,tabela_registros[TIPO],DADOS!$V$3,tabela_registros[CATEGORIA],receitasfixasconsolidadoout[[#This Row],[ATUAL]])</f>
        <v>0</v>
      </c>
      <c r="F82" s="88">
        <f>SUMIFS(tabela_registros[VALOR],tabela_registros[MÊS],$AE$1,tabela_registros[DIA],receitasfixasconsolidadoout[[#Headers],[2]],tabela_registros[REGISTRO],DADOS!$N$3,tabela_registros[TIPO],DADOS!$V$3,tabela_registros[CATEGORIA],receitasfixasconsolidadoout[[#This Row],[ATUAL]])</f>
        <v>0</v>
      </c>
      <c r="G82" s="88">
        <f>SUMIFS(tabela_registros[VALOR],tabela_registros[MÊS],$AE$1,tabela_registros[DIA],receitasfixasconsolidadoout[[#Headers],[3]],tabela_registros[REGISTRO],DADOS!$N$3,tabela_registros[TIPO],DADOS!$V$3,tabela_registros[CATEGORIA],receitasfixasconsolidadoout[[#This Row],[ATUAL]])</f>
        <v>0</v>
      </c>
      <c r="H82" s="88">
        <f>SUMIFS(tabela_registros[VALOR],tabela_registros[MÊS],$AE$1,tabela_registros[DIA],receitasfixasconsolidadoout[[#Headers],[4]],tabela_registros[REGISTRO],DADOS!$N$3,tabela_registros[TIPO],DADOS!$V$3,tabela_registros[CATEGORIA],receitasfixasconsolidadoout[[#This Row],[ATUAL]])</f>
        <v>0</v>
      </c>
      <c r="I82" s="88">
        <f>SUMIFS(tabela_registros[VALOR],tabela_registros[MÊS],$AE$1,tabela_registros[DIA],receitasfixasconsolidadoout[[#Headers],[5]],tabela_registros[REGISTRO],DADOS!$N$3,tabela_registros[TIPO],DADOS!$V$3,tabela_registros[CATEGORIA],receitasfixasconsolidadoout[[#This Row],[ATUAL]])</f>
        <v>0</v>
      </c>
      <c r="J82" s="88">
        <f>SUMIFS(tabela_registros[VALOR],tabela_registros[MÊS],$AE$1,tabela_registros[DIA],receitasfixasconsolidadoout[[#Headers],[6]],tabela_registros[REGISTRO],DADOS!$N$3,tabela_registros[TIPO],DADOS!$V$3,tabela_registros[CATEGORIA],receitasfixasconsolidadoout[[#This Row],[ATUAL]])</f>
        <v>0</v>
      </c>
      <c r="K82" s="88">
        <f>SUMIFS(tabela_registros[VALOR],tabela_registros[MÊS],$AE$1,tabela_registros[DIA],receitasfixasconsolidadoout[[#Headers],[7]],tabela_registros[REGISTRO],DADOS!$N$3,tabela_registros[TIPO],DADOS!$V$3,tabela_registros[CATEGORIA],receitasfixasconsolidadoout[[#This Row],[ATUAL]])</f>
        <v>0</v>
      </c>
      <c r="L82" s="88">
        <f>SUMIFS(tabela_registros[VALOR],tabela_registros[MÊS],$AE$1,tabela_registros[DIA],receitasfixasconsolidadoout[[#Headers],[8]],tabela_registros[REGISTRO],DADOS!$N$3,tabela_registros[TIPO],DADOS!$V$3,tabela_registros[CATEGORIA],receitasfixasconsolidadoout[[#This Row],[ATUAL]])</f>
        <v>0</v>
      </c>
      <c r="M82" s="88">
        <f>SUMIFS(tabela_registros[VALOR],tabela_registros[MÊS],$AE$1,tabela_registros[DIA],receitasfixasconsolidadoout[[#Headers],[9]],tabela_registros[REGISTRO],DADOS!$N$3,tabela_registros[TIPO],DADOS!$V$3,tabela_registros[CATEGORIA],receitasfixasconsolidadoout[[#This Row],[ATUAL]])</f>
        <v>0</v>
      </c>
      <c r="N82" s="88">
        <f>SUMIFS(tabela_registros[VALOR],tabela_registros[MÊS],$AE$1,tabela_registros[DIA],receitasfixasconsolidadoout[[#Headers],[10]],tabela_registros[REGISTRO],DADOS!$N$3,tabela_registros[TIPO],DADOS!$V$3,tabela_registros[CATEGORIA],receitasfixasconsolidadoout[[#This Row],[ATUAL]])</f>
        <v>0</v>
      </c>
      <c r="O82" s="88">
        <f>SUMIFS(tabela_registros[VALOR],tabela_registros[MÊS],$AE$1,tabela_registros[DIA],receitasfixasconsolidadoout[[#Headers],[11]],tabela_registros[REGISTRO],DADOS!$N$3,tabela_registros[TIPO],DADOS!$V$3,tabela_registros[CATEGORIA],receitasfixasconsolidadoout[[#This Row],[ATUAL]])</f>
        <v>0</v>
      </c>
      <c r="P82" s="88">
        <f>SUMIFS(tabela_registros[VALOR],tabela_registros[MÊS],$AE$1,tabela_registros[DIA],receitasfixasconsolidadoout[[#Headers],[12]],tabela_registros[REGISTRO],DADOS!$N$3,tabela_registros[TIPO],DADOS!$V$3,tabela_registros[CATEGORIA],receitasfixasconsolidadoout[[#This Row],[ATUAL]])</f>
        <v>0</v>
      </c>
      <c r="Q82" s="88">
        <f>SUMIFS(tabela_registros[VALOR],tabela_registros[MÊS],$AE$1,tabela_registros[DIA],receitasfixasconsolidadoout[[#Headers],[13]],tabela_registros[REGISTRO],DADOS!$N$3,tabela_registros[TIPO],DADOS!$V$3,tabela_registros[CATEGORIA],receitasfixasconsolidadoout[[#This Row],[ATUAL]])</f>
        <v>0</v>
      </c>
      <c r="R82" s="88">
        <f>SUMIFS(tabela_registros[VALOR],tabela_registros[MÊS],$AE$1,tabela_registros[DIA],receitasfixasconsolidadoout[[#Headers],[14]],tabela_registros[REGISTRO],DADOS!$N$3,tabela_registros[TIPO],DADOS!$V$3,tabela_registros[CATEGORIA],receitasfixasconsolidadoout[[#This Row],[ATUAL]])</f>
        <v>0</v>
      </c>
      <c r="S82" s="88">
        <f>SUMIFS(tabela_registros[VALOR],tabela_registros[MÊS],$AE$1,tabela_registros[DIA],receitasfixasconsolidadoout[[#Headers],[15]],tabela_registros[REGISTRO],DADOS!$N$3,tabela_registros[TIPO],DADOS!$V$3,tabela_registros[CATEGORIA],receitasfixasconsolidadoout[[#This Row],[ATUAL]])</f>
        <v>0</v>
      </c>
      <c r="T82" s="88">
        <f>SUMIFS(tabela_registros[VALOR],tabela_registros[MÊS],$AE$1,tabela_registros[DIA],receitasfixasconsolidadoout[[#Headers],[16]],tabela_registros[REGISTRO],DADOS!$N$3,tabela_registros[TIPO],DADOS!$V$3,tabela_registros[CATEGORIA],receitasfixasconsolidadoout[[#This Row],[ATUAL]])</f>
        <v>0</v>
      </c>
      <c r="U82" s="88">
        <f>SUMIFS(tabela_registros[VALOR],tabela_registros[MÊS],$AE$1,tabela_registros[DIA],receitasfixasconsolidadoout[[#Headers],[17]],tabela_registros[REGISTRO],DADOS!$N$3,tabela_registros[TIPO],DADOS!$V$3,tabela_registros[CATEGORIA],receitasfixasconsolidadoout[[#This Row],[ATUAL]])</f>
        <v>0</v>
      </c>
      <c r="V82" s="88">
        <f>SUMIFS(tabela_registros[VALOR],tabela_registros[MÊS],$AE$1,tabela_registros[DIA],receitasfixasconsolidadoout[[#Headers],[18]],tabela_registros[REGISTRO],DADOS!$N$3,tabela_registros[TIPO],DADOS!$V$3,tabela_registros[CATEGORIA],receitasfixasconsolidadoout[[#This Row],[ATUAL]])</f>
        <v>0</v>
      </c>
      <c r="W82" s="88">
        <f>SUMIFS(tabela_registros[VALOR],tabela_registros[MÊS],$AE$1,tabela_registros[DIA],receitasfixasconsolidadoout[[#Headers],[19]],tabela_registros[REGISTRO],DADOS!$N$3,tabela_registros[TIPO],DADOS!$V$3,tabela_registros[CATEGORIA],receitasfixasconsolidadoout[[#This Row],[ATUAL]])</f>
        <v>0</v>
      </c>
      <c r="X82" s="88">
        <f>SUMIFS(tabela_registros[VALOR],tabela_registros[MÊS],$AE$1,tabela_registros[DIA],receitasfixasconsolidadoout[[#Headers],[20]],tabela_registros[REGISTRO],DADOS!$N$3,tabela_registros[TIPO],DADOS!$V$3,tabela_registros[CATEGORIA],receitasfixasconsolidadoout[[#This Row],[ATUAL]])</f>
        <v>0</v>
      </c>
      <c r="Y82" s="88">
        <f>SUMIFS(tabela_registros[VALOR],tabela_registros[MÊS],$AE$1,tabela_registros[DIA],receitasfixasconsolidadoout[[#Headers],[21]],tabela_registros[REGISTRO],DADOS!$N$3,tabela_registros[TIPO],DADOS!$V$3,tabela_registros[CATEGORIA],receitasfixasconsolidadoout[[#This Row],[ATUAL]])</f>
        <v>0</v>
      </c>
      <c r="Z82" s="88">
        <f>SUMIFS(tabela_registros[VALOR],tabela_registros[MÊS],$AE$1,tabela_registros[DIA],receitasfixasconsolidadoout[[#Headers],[22]],tabela_registros[REGISTRO],DADOS!$N$3,tabela_registros[TIPO],DADOS!$V$3,tabela_registros[CATEGORIA],receitasfixasconsolidadoout[[#This Row],[ATUAL]])</f>
        <v>0</v>
      </c>
      <c r="AA82" s="88">
        <f>SUMIFS(tabela_registros[VALOR],tabela_registros[MÊS],$AE$1,tabela_registros[DIA],receitasfixasconsolidadoout[[#Headers],[23]],tabela_registros[REGISTRO],DADOS!$N$3,tabela_registros[TIPO],DADOS!$V$3,tabela_registros[CATEGORIA],receitasfixasconsolidadoout[[#This Row],[ATUAL]])</f>
        <v>0</v>
      </c>
      <c r="AB82" s="88">
        <f>SUMIFS(tabela_registros[VALOR],tabela_registros[MÊS],$AE$1,tabela_registros[DIA],receitasfixasconsolidadoout[[#Headers],[24]],tabela_registros[REGISTRO],DADOS!$N$3,tabela_registros[TIPO],DADOS!$V$3,tabela_registros[CATEGORIA],receitasfixasconsolidadoout[[#This Row],[ATUAL]])</f>
        <v>0</v>
      </c>
      <c r="AC82" s="88">
        <f>SUMIFS(tabela_registros[VALOR],tabela_registros[MÊS],$AE$1,tabela_registros[DIA],receitasfixasconsolidadoout[[#Headers],[25]],tabela_registros[REGISTRO],DADOS!$N$3,tabela_registros[TIPO],DADOS!$V$3,tabela_registros[CATEGORIA],receitasfixasconsolidadoout[[#This Row],[ATUAL]])</f>
        <v>0</v>
      </c>
      <c r="AD82" s="88">
        <f>SUMIFS(tabela_registros[VALOR],tabela_registros[MÊS],$AE$1,tabela_registros[DIA],receitasfixasconsolidadoout[[#Headers],[26]],tabela_registros[REGISTRO],DADOS!$N$3,tabela_registros[TIPO],DADOS!$V$3,tabela_registros[CATEGORIA],receitasfixasconsolidadoout[[#This Row],[ATUAL]])</f>
        <v>0</v>
      </c>
      <c r="AE82" s="88">
        <f>SUMIFS(tabela_registros[VALOR],tabela_registros[MÊS],$AE$1,tabela_registros[DIA],receitasfixasconsolidadoout[[#Headers],[27]],tabela_registros[REGISTRO],DADOS!$N$3,tabela_registros[TIPO],DADOS!$V$3,tabela_registros[CATEGORIA],receitasfixasconsolidadoout[[#This Row],[ATUAL]])</f>
        <v>0</v>
      </c>
      <c r="AF82" s="88">
        <f>SUMIFS(tabela_registros[VALOR],tabela_registros[MÊS],$AE$1,tabela_registros[DIA],receitasfixasconsolidadoout[[#Headers],[28]],tabela_registros[REGISTRO],DADOS!$N$3,tabela_registros[TIPO],DADOS!$V$3,tabela_registros[CATEGORIA],receitasfixasconsolidadoout[[#This Row],[ATUAL]])</f>
        <v>0</v>
      </c>
      <c r="AG82" s="88">
        <f>SUMIFS(tabela_registros[VALOR],tabela_registros[MÊS],$AE$1,tabela_registros[DIA],receitasfixasconsolidadoout[[#Headers],[29]],tabela_registros[REGISTRO],DADOS!$N$3,tabela_registros[TIPO],DADOS!$V$3,tabela_registros[CATEGORIA],receitasfixasconsolidadoout[[#This Row],[ATUAL]])</f>
        <v>0</v>
      </c>
      <c r="AH82" s="88">
        <f>SUMIFS(tabela_registros[VALOR],tabela_registros[MÊS],$AE$1,tabela_registros[DIA],receitasfixasconsolidadoout[[#Headers],[30]],tabela_registros[REGISTRO],DADOS!$N$3,tabela_registros[TIPO],DADOS!$V$3,tabela_registros[CATEGORIA],receitasfixasconsolidadoout[[#This Row],[ATUAL]])</f>
        <v>0</v>
      </c>
      <c r="AI82" s="100">
        <f>SUMIFS(tabela_registros[VALOR],tabela_registros[MÊS],$AE$1,tabela_registros[DIA],receitasfixasconsolidadoout[[#Headers],[31]],tabela_registros[REGISTRO],DADOS!$N$3,tabela_registros[TIPO],DADOS!$V$3,tabela_registros[CATEGORIA],receitasfixasconsolidadoout[[#This Row],[ATUAL]])</f>
        <v>0</v>
      </c>
      <c r="AJ82" s="97">
        <f>SUM(receitasfixasconsolidadoout[[#This Row],[1]:[31]])</f>
        <v>0</v>
      </c>
      <c r="AK82" s="25"/>
    </row>
    <row r="83" spans="2:37" ht="19.5" customHeight="1" thickTop="1" thickBot="1" x14ac:dyDescent="0.3">
      <c r="B83" s="28"/>
      <c r="C83" s="27" t="str">
        <f>DADOS!$X$4</f>
        <v>💸APOSENTADORIA</v>
      </c>
      <c r="D83" s="26" t="str">
        <f>IF(receitasfixasconsolidadoout[[#This Row],[TOTAL (R$)]]=0,"",IF(OR(receitasfixasconsolidadoout[[#This Row],[TOTAL (R$)]]=LARGE($AJ$82:$AJ$86,1),receitasfixasconsolidadoout[[#This Row],[TOTAL (R$)]]=LARGE($AJ$82:$AJ$86,2)),DADOS!$I$9,""))</f>
        <v/>
      </c>
      <c r="E83" s="96">
        <f>SUMIFS(tabela_registros[VALOR],tabela_registros[MÊS],$AE$1,tabela_registros[DIA],receitasfixasconsolidadoout[[#Headers],[1]],tabela_registros[REGISTRO],DADOS!$N$3,tabela_registros[TIPO],DADOS!$V$3,tabela_registros[CATEGORIA],receitasfixasconsolidadoout[[#This Row],[ATUAL]])</f>
        <v>0</v>
      </c>
      <c r="F83" s="91">
        <f>SUMIFS(tabela_registros[VALOR],tabela_registros[MÊS],$AE$1,tabela_registros[DIA],receitasfixasconsolidadoout[[#Headers],[2]],tabela_registros[REGISTRO],DADOS!$N$3,tabela_registros[TIPO],DADOS!$V$3,tabela_registros[CATEGORIA],receitasfixasconsolidadoout[[#This Row],[ATUAL]])</f>
        <v>0</v>
      </c>
      <c r="G83" s="91">
        <f>SUMIFS(tabela_registros[VALOR],tabela_registros[MÊS],$AE$1,tabela_registros[DIA],receitasfixasconsolidadoout[[#Headers],[3]],tabela_registros[REGISTRO],DADOS!$N$3,tabela_registros[TIPO],DADOS!$V$3,tabela_registros[CATEGORIA],receitasfixasconsolidadoout[[#This Row],[ATUAL]])</f>
        <v>0</v>
      </c>
      <c r="H83" s="91">
        <f>SUMIFS(tabela_registros[VALOR],tabela_registros[MÊS],$AE$1,tabela_registros[DIA],receitasfixasconsolidadoout[[#Headers],[4]],tabela_registros[REGISTRO],DADOS!$N$3,tabela_registros[TIPO],DADOS!$V$3,tabela_registros[CATEGORIA],receitasfixasconsolidadoout[[#This Row],[ATUAL]])</f>
        <v>0</v>
      </c>
      <c r="I83" s="91">
        <f>SUMIFS(tabela_registros[VALOR],tabela_registros[MÊS],$AE$1,tabela_registros[DIA],receitasfixasconsolidadoout[[#Headers],[5]],tabela_registros[REGISTRO],DADOS!$N$3,tabela_registros[TIPO],DADOS!$V$3,tabela_registros[CATEGORIA],receitasfixasconsolidadoout[[#This Row],[ATUAL]])</f>
        <v>0</v>
      </c>
      <c r="J83" s="91">
        <f>SUMIFS(tabela_registros[VALOR],tabela_registros[MÊS],$AE$1,tabela_registros[DIA],receitasfixasconsolidadoout[[#Headers],[6]],tabela_registros[REGISTRO],DADOS!$N$3,tabela_registros[TIPO],DADOS!$V$3,tabela_registros[CATEGORIA],receitasfixasconsolidadoout[[#This Row],[ATUAL]])</f>
        <v>0</v>
      </c>
      <c r="K83" s="91">
        <f>SUMIFS(tabela_registros[VALOR],tabela_registros[MÊS],$AE$1,tabela_registros[DIA],receitasfixasconsolidadoout[[#Headers],[7]],tabela_registros[REGISTRO],DADOS!$N$3,tabela_registros[TIPO],DADOS!$V$3,tabela_registros[CATEGORIA],receitasfixasconsolidadoout[[#This Row],[ATUAL]])</f>
        <v>0</v>
      </c>
      <c r="L83" s="91">
        <f>SUMIFS(tabela_registros[VALOR],tabela_registros[MÊS],$AE$1,tabela_registros[DIA],receitasfixasconsolidadoout[[#Headers],[8]],tabela_registros[REGISTRO],DADOS!$N$3,tabela_registros[TIPO],DADOS!$V$3,tabela_registros[CATEGORIA],receitasfixasconsolidadoout[[#This Row],[ATUAL]])</f>
        <v>0</v>
      </c>
      <c r="M83" s="91">
        <f>SUMIFS(tabela_registros[VALOR],tabela_registros[MÊS],$AE$1,tabela_registros[DIA],receitasfixasconsolidadoout[[#Headers],[9]],tabela_registros[REGISTRO],DADOS!$N$3,tabela_registros[TIPO],DADOS!$V$3,tabela_registros[CATEGORIA],receitasfixasconsolidadoout[[#This Row],[ATUAL]])</f>
        <v>0</v>
      </c>
      <c r="N83" s="91">
        <f>SUMIFS(tabela_registros[VALOR],tabela_registros[MÊS],$AE$1,tabela_registros[DIA],receitasfixasconsolidadoout[[#Headers],[10]],tabela_registros[REGISTRO],DADOS!$N$3,tabela_registros[TIPO],DADOS!$V$3,tabela_registros[CATEGORIA],receitasfixasconsolidadoout[[#This Row],[ATUAL]])</f>
        <v>0</v>
      </c>
      <c r="O83" s="91">
        <f>SUMIFS(tabela_registros[VALOR],tabela_registros[MÊS],$AE$1,tabela_registros[DIA],receitasfixasconsolidadoout[[#Headers],[11]],tabela_registros[REGISTRO],DADOS!$N$3,tabela_registros[TIPO],DADOS!$V$3,tabela_registros[CATEGORIA],receitasfixasconsolidadoout[[#This Row],[ATUAL]])</f>
        <v>0</v>
      </c>
      <c r="P83" s="91">
        <f>SUMIFS(tabela_registros[VALOR],tabela_registros[MÊS],$AE$1,tabela_registros[DIA],receitasfixasconsolidadoout[[#Headers],[12]],tabela_registros[REGISTRO],DADOS!$N$3,tabela_registros[TIPO],DADOS!$V$3,tabela_registros[CATEGORIA],receitasfixasconsolidadoout[[#This Row],[ATUAL]])</f>
        <v>0</v>
      </c>
      <c r="Q83" s="91">
        <f>SUMIFS(tabela_registros[VALOR],tabela_registros[MÊS],$AE$1,tabela_registros[DIA],receitasfixasconsolidadoout[[#Headers],[13]],tabela_registros[REGISTRO],DADOS!$N$3,tabela_registros[TIPO],DADOS!$V$3,tabela_registros[CATEGORIA],receitasfixasconsolidadoout[[#This Row],[ATUAL]])</f>
        <v>0</v>
      </c>
      <c r="R83" s="91">
        <f>SUMIFS(tabela_registros[VALOR],tabela_registros[MÊS],$AE$1,tabela_registros[DIA],receitasfixasconsolidadoout[[#Headers],[14]],tabela_registros[REGISTRO],DADOS!$N$3,tabela_registros[TIPO],DADOS!$V$3,tabela_registros[CATEGORIA],receitasfixasconsolidadoout[[#This Row],[ATUAL]])</f>
        <v>0</v>
      </c>
      <c r="S83" s="91">
        <f>SUMIFS(tabela_registros[VALOR],tabela_registros[MÊS],$AE$1,tabela_registros[DIA],receitasfixasconsolidadoout[[#Headers],[15]],tabela_registros[REGISTRO],DADOS!$N$3,tabela_registros[TIPO],DADOS!$V$3,tabela_registros[CATEGORIA],receitasfixasconsolidadoout[[#This Row],[ATUAL]])</f>
        <v>0</v>
      </c>
      <c r="T83" s="91">
        <f>SUMIFS(tabela_registros[VALOR],tabela_registros[MÊS],$AE$1,tabela_registros[DIA],receitasfixasconsolidadoout[[#Headers],[16]],tabela_registros[REGISTRO],DADOS!$N$3,tabela_registros[TIPO],DADOS!$V$3,tabela_registros[CATEGORIA],receitasfixasconsolidadoout[[#This Row],[ATUAL]])</f>
        <v>0</v>
      </c>
      <c r="U83" s="91">
        <f>SUMIFS(tabela_registros[VALOR],tabela_registros[MÊS],$AE$1,tabela_registros[DIA],receitasfixasconsolidadoout[[#Headers],[17]],tabela_registros[REGISTRO],DADOS!$N$3,tabela_registros[TIPO],DADOS!$V$3,tabela_registros[CATEGORIA],receitasfixasconsolidadoout[[#This Row],[ATUAL]])</f>
        <v>0</v>
      </c>
      <c r="V83" s="91">
        <f>SUMIFS(tabela_registros[VALOR],tabela_registros[MÊS],$AE$1,tabela_registros[DIA],receitasfixasconsolidadoout[[#Headers],[18]],tabela_registros[REGISTRO],DADOS!$N$3,tabela_registros[TIPO],DADOS!$V$3,tabela_registros[CATEGORIA],receitasfixasconsolidadoout[[#This Row],[ATUAL]])</f>
        <v>0</v>
      </c>
      <c r="W83" s="91">
        <f>SUMIFS(tabela_registros[VALOR],tabela_registros[MÊS],$AE$1,tabela_registros[DIA],receitasfixasconsolidadoout[[#Headers],[19]],tabela_registros[REGISTRO],DADOS!$N$3,tabela_registros[TIPO],DADOS!$V$3,tabela_registros[CATEGORIA],receitasfixasconsolidadoout[[#This Row],[ATUAL]])</f>
        <v>0</v>
      </c>
      <c r="X83" s="91">
        <f>SUMIFS(tabela_registros[VALOR],tabela_registros[MÊS],$AE$1,tabela_registros[DIA],receitasfixasconsolidadoout[[#Headers],[20]],tabela_registros[REGISTRO],DADOS!$N$3,tabela_registros[TIPO],DADOS!$V$3,tabela_registros[CATEGORIA],receitasfixasconsolidadoout[[#This Row],[ATUAL]])</f>
        <v>0</v>
      </c>
      <c r="Y83" s="91">
        <f>SUMIFS(tabela_registros[VALOR],tabela_registros[MÊS],$AE$1,tabela_registros[DIA],receitasfixasconsolidadoout[[#Headers],[21]],tabela_registros[REGISTRO],DADOS!$N$3,tabela_registros[TIPO],DADOS!$V$3,tabela_registros[CATEGORIA],receitasfixasconsolidadoout[[#This Row],[ATUAL]])</f>
        <v>0</v>
      </c>
      <c r="Z83" s="91">
        <f>SUMIFS(tabela_registros[VALOR],tabela_registros[MÊS],$AE$1,tabela_registros[DIA],receitasfixasconsolidadoout[[#Headers],[22]],tabela_registros[REGISTRO],DADOS!$N$3,tabela_registros[TIPO],DADOS!$V$3,tabela_registros[CATEGORIA],receitasfixasconsolidadoout[[#This Row],[ATUAL]])</f>
        <v>0</v>
      </c>
      <c r="AA83" s="91">
        <f>SUMIFS(tabela_registros[VALOR],tabela_registros[MÊS],$AE$1,tabela_registros[DIA],receitasfixasconsolidadoout[[#Headers],[23]],tabela_registros[REGISTRO],DADOS!$N$3,tabela_registros[TIPO],DADOS!$V$3,tabela_registros[CATEGORIA],receitasfixasconsolidadoout[[#This Row],[ATUAL]])</f>
        <v>0</v>
      </c>
      <c r="AB83" s="91">
        <f>SUMIFS(tabela_registros[VALOR],tabela_registros[MÊS],$AE$1,tabela_registros[DIA],receitasfixasconsolidadoout[[#Headers],[24]],tabela_registros[REGISTRO],DADOS!$N$3,tabela_registros[TIPO],DADOS!$V$3,tabela_registros[CATEGORIA],receitasfixasconsolidadoout[[#This Row],[ATUAL]])</f>
        <v>0</v>
      </c>
      <c r="AC83" s="91">
        <f>SUMIFS(tabela_registros[VALOR],tabela_registros[MÊS],$AE$1,tabela_registros[DIA],receitasfixasconsolidadoout[[#Headers],[25]],tabela_registros[REGISTRO],DADOS!$N$3,tabela_registros[TIPO],DADOS!$V$3,tabela_registros[CATEGORIA],receitasfixasconsolidadoout[[#This Row],[ATUAL]])</f>
        <v>0</v>
      </c>
      <c r="AD83" s="91">
        <f>SUMIFS(tabela_registros[VALOR],tabela_registros[MÊS],$AE$1,tabela_registros[DIA],receitasfixasconsolidadoout[[#Headers],[26]],tabela_registros[REGISTRO],DADOS!$N$3,tabela_registros[TIPO],DADOS!$V$3,tabela_registros[CATEGORIA],receitasfixasconsolidadoout[[#This Row],[ATUAL]])</f>
        <v>0</v>
      </c>
      <c r="AE83" s="91">
        <f>SUMIFS(tabela_registros[VALOR],tabela_registros[MÊS],$AE$1,tabela_registros[DIA],receitasfixasconsolidadoout[[#Headers],[27]],tabela_registros[REGISTRO],DADOS!$N$3,tabela_registros[TIPO],DADOS!$V$3,tabela_registros[CATEGORIA],receitasfixasconsolidadoout[[#This Row],[ATUAL]])</f>
        <v>0</v>
      </c>
      <c r="AF83" s="91">
        <f>SUMIFS(tabela_registros[VALOR],tabela_registros[MÊS],$AE$1,tabela_registros[DIA],receitasfixasconsolidadoout[[#Headers],[28]],tabela_registros[REGISTRO],DADOS!$N$3,tabela_registros[TIPO],DADOS!$V$3,tabela_registros[CATEGORIA],receitasfixasconsolidadoout[[#This Row],[ATUAL]])</f>
        <v>0</v>
      </c>
      <c r="AG83" s="91">
        <f>SUMIFS(tabela_registros[VALOR],tabela_registros[MÊS],$AE$1,tabela_registros[DIA],receitasfixasconsolidadoout[[#Headers],[29]],tabela_registros[REGISTRO],DADOS!$N$3,tabela_registros[TIPO],DADOS!$V$3,tabela_registros[CATEGORIA],receitasfixasconsolidadoout[[#This Row],[ATUAL]])</f>
        <v>0</v>
      </c>
      <c r="AH83" s="91">
        <f>SUMIFS(tabela_registros[VALOR],tabela_registros[MÊS],$AE$1,tabela_registros[DIA],receitasfixasconsolidadoout[[#Headers],[30]],tabela_registros[REGISTRO],DADOS!$N$3,tabela_registros[TIPO],DADOS!$V$3,tabela_registros[CATEGORIA],receitasfixasconsolidadoout[[#This Row],[ATUAL]])</f>
        <v>0</v>
      </c>
      <c r="AI83" s="101">
        <f>SUMIFS(tabela_registros[VALOR],tabela_registros[MÊS],$AE$1,tabela_registros[DIA],receitasfixasconsolidadoout[[#Headers],[31]],tabela_registros[REGISTRO],DADOS!$N$3,tabela_registros[TIPO],DADOS!$V$3,tabela_registros[CATEGORIA],receitasfixasconsolidadoout[[#This Row],[ATUAL]])</f>
        <v>0</v>
      </c>
      <c r="AJ83" s="97">
        <f>SUM(receitasfixasconsolidadoout[[#This Row],[1]:[31]])</f>
        <v>0</v>
      </c>
      <c r="AK83" s="25"/>
    </row>
    <row r="84" spans="2:37" ht="19.5" customHeight="1" thickTop="1" thickBot="1" x14ac:dyDescent="0.3">
      <c r="B84" s="28"/>
      <c r="C84" s="27" t="str">
        <f>DADOS!$X$5</f>
        <v>🎀 MESADA</v>
      </c>
      <c r="D84" s="26" t="str">
        <f>IF(receitasfixasconsolidadoout[[#This Row],[TOTAL (R$)]]=0,"",IF(OR(receitasfixasconsolidadoout[[#This Row],[TOTAL (R$)]]=LARGE($AJ$82:$AJ$86,1),receitasfixasconsolidadoout[[#This Row],[TOTAL (R$)]]=LARGE($AJ$82:$AJ$86,2)),DADOS!$I$9,""))</f>
        <v/>
      </c>
      <c r="E84" s="96">
        <f>SUMIFS(tabela_registros[VALOR],tabela_registros[MÊS],$AE$1,tabela_registros[DIA],receitasfixasconsolidadoout[[#Headers],[1]],tabela_registros[REGISTRO],DADOS!$N$3,tabela_registros[TIPO],DADOS!$V$3,tabela_registros[CATEGORIA],receitasfixasconsolidadoout[[#This Row],[ATUAL]])</f>
        <v>0</v>
      </c>
      <c r="F84" s="91">
        <f>SUMIFS(tabela_registros[VALOR],tabela_registros[MÊS],$AE$1,tabela_registros[DIA],receitasfixasconsolidadoout[[#Headers],[2]],tabela_registros[REGISTRO],DADOS!$N$3,tabela_registros[TIPO],DADOS!$V$3,tabela_registros[CATEGORIA],receitasfixasconsolidadoout[[#This Row],[ATUAL]])</f>
        <v>0</v>
      </c>
      <c r="G84" s="91">
        <f>SUMIFS(tabela_registros[VALOR],tabela_registros[MÊS],$AE$1,tabela_registros[DIA],receitasfixasconsolidadoout[[#Headers],[3]],tabela_registros[REGISTRO],DADOS!$N$3,tabela_registros[TIPO],DADOS!$V$3,tabela_registros[CATEGORIA],receitasfixasconsolidadoout[[#This Row],[ATUAL]])</f>
        <v>0</v>
      </c>
      <c r="H84" s="91">
        <f>SUMIFS(tabela_registros[VALOR],tabela_registros[MÊS],$AE$1,tabela_registros[DIA],receitasfixasconsolidadoout[[#Headers],[4]],tabela_registros[REGISTRO],DADOS!$N$3,tabela_registros[TIPO],DADOS!$V$3,tabela_registros[CATEGORIA],receitasfixasconsolidadoout[[#This Row],[ATUAL]])</f>
        <v>0</v>
      </c>
      <c r="I84" s="91">
        <f>SUMIFS(tabela_registros[VALOR],tabela_registros[MÊS],$AE$1,tabela_registros[DIA],receitasfixasconsolidadoout[[#Headers],[5]],tabela_registros[REGISTRO],DADOS!$N$3,tabela_registros[TIPO],DADOS!$V$3,tabela_registros[CATEGORIA],receitasfixasconsolidadoout[[#This Row],[ATUAL]])</f>
        <v>0</v>
      </c>
      <c r="J84" s="91">
        <f>SUMIFS(tabela_registros[VALOR],tabela_registros[MÊS],$AE$1,tabela_registros[DIA],receitasfixasconsolidadoout[[#Headers],[6]],tabela_registros[REGISTRO],DADOS!$N$3,tabela_registros[TIPO],DADOS!$V$3,tabela_registros[CATEGORIA],receitasfixasconsolidadoout[[#This Row],[ATUAL]])</f>
        <v>0</v>
      </c>
      <c r="K84" s="91">
        <f>SUMIFS(tabela_registros[VALOR],tabela_registros[MÊS],$AE$1,tabela_registros[DIA],receitasfixasconsolidadoout[[#Headers],[7]],tabela_registros[REGISTRO],DADOS!$N$3,tabela_registros[TIPO],DADOS!$V$3,tabela_registros[CATEGORIA],receitasfixasconsolidadoout[[#This Row],[ATUAL]])</f>
        <v>0</v>
      </c>
      <c r="L84" s="91">
        <f>SUMIFS(tabela_registros[VALOR],tabela_registros[MÊS],$AE$1,tabela_registros[DIA],receitasfixasconsolidadoout[[#Headers],[8]],tabela_registros[REGISTRO],DADOS!$N$3,tabela_registros[TIPO],DADOS!$V$3,tabela_registros[CATEGORIA],receitasfixasconsolidadoout[[#This Row],[ATUAL]])</f>
        <v>0</v>
      </c>
      <c r="M84" s="91">
        <f>SUMIFS(tabela_registros[VALOR],tabela_registros[MÊS],$AE$1,tabela_registros[DIA],receitasfixasconsolidadoout[[#Headers],[9]],tabela_registros[REGISTRO],DADOS!$N$3,tabela_registros[TIPO],DADOS!$V$3,tabela_registros[CATEGORIA],receitasfixasconsolidadoout[[#This Row],[ATUAL]])</f>
        <v>0</v>
      </c>
      <c r="N84" s="91">
        <f>SUMIFS(tabela_registros[VALOR],tabela_registros[MÊS],$AE$1,tabela_registros[DIA],receitasfixasconsolidadoout[[#Headers],[10]],tabela_registros[REGISTRO],DADOS!$N$3,tabela_registros[TIPO],DADOS!$V$3,tabela_registros[CATEGORIA],receitasfixasconsolidadoout[[#This Row],[ATUAL]])</f>
        <v>0</v>
      </c>
      <c r="O84" s="91">
        <f>SUMIFS(tabela_registros[VALOR],tabela_registros[MÊS],$AE$1,tabela_registros[DIA],receitasfixasconsolidadoout[[#Headers],[11]],tabela_registros[REGISTRO],DADOS!$N$3,tabela_registros[TIPO],DADOS!$V$3,tabela_registros[CATEGORIA],receitasfixasconsolidadoout[[#This Row],[ATUAL]])</f>
        <v>0</v>
      </c>
      <c r="P84" s="91">
        <f>SUMIFS(tabela_registros[VALOR],tabela_registros[MÊS],$AE$1,tabela_registros[DIA],receitasfixasconsolidadoout[[#Headers],[12]],tabela_registros[REGISTRO],DADOS!$N$3,tabela_registros[TIPO],DADOS!$V$3,tabela_registros[CATEGORIA],receitasfixasconsolidadoout[[#This Row],[ATUAL]])</f>
        <v>0</v>
      </c>
      <c r="Q84" s="91">
        <f>SUMIFS(tabela_registros[VALOR],tabela_registros[MÊS],$AE$1,tabela_registros[DIA],receitasfixasconsolidadoout[[#Headers],[13]],tabela_registros[REGISTRO],DADOS!$N$3,tabela_registros[TIPO],DADOS!$V$3,tabela_registros[CATEGORIA],receitasfixasconsolidadoout[[#This Row],[ATUAL]])</f>
        <v>0</v>
      </c>
      <c r="R84" s="91">
        <f>SUMIFS(tabela_registros[VALOR],tabela_registros[MÊS],$AE$1,tabela_registros[DIA],receitasfixasconsolidadoout[[#Headers],[14]],tabela_registros[REGISTRO],DADOS!$N$3,tabela_registros[TIPO],DADOS!$V$3,tabela_registros[CATEGORIA],receitasfixasconsolidadoout[[#This Row],[ATUAL]])</f>
        <v>0</v>
      </c>
      <c r="S84" s="91">
        <f>SUMIFS(tabela_registros[VALOR],tabela_registros[MÊS],$AE$1,tabela_registros[DIA],receitasfixasconsolidadoout[[#Headers],[15]],tabela_registros[REGISTRO],DADOS!$N$3,tabela_registros[TIPO],DADOS!$V$3,tabela_registros[CATEGORIA],receitasfixasconsolidadoout[[#This Row],[ATUAL]])</f>
        <v>0</v>
      </c>
      <c r="T84" s="91">
        <f>SUMIFS(tabela_registros[VALOR],tabela_registros[MÊS],$AE$1,tabela_registros[DIA],receitasfixasconsolidadoout[[#Headers],[16]],tabela_registros[REGISTRO],DADOS!$N$3,tabela_registros[TIPO],DADOS!$V$3,tabela_registros[CATEGORIA],receitasfixasconsolidadoout[[#This Row],[ATUAL]])</f>
        <v>0</v>
      </c>
      <c r="U84" s="91">
        <f>SUMIFS(tabela_registros[VALOR],tabela_registros[MÊS],$AE$1,tabela_registros[DIA],receitasfixasconsolidadoout[[#Headers],[17]],tabela_registros[REGISTRO],DADOS!$N$3,tabela_registros[TIPO],DADOS!$V$3,tabela_registros[CATEGORIA],receitasfixasconsolidadoout[[#This Row],[ATUAL]])</f>
        <v>0</v>
      </c>
      <c r="V84" s="91">
        <f>SUMIFS(tabela_registros[VALOR],tabela_registros[MÊS],$AE$1,tabela_registros[DIA],receitasfixasconsolidadoout[[#Headers],[18]],tabela_registros[REGISTRO],DADOS!$N$3,tabela_registros[TIPO],DADOS!$V$3,tabela_registros[CATEGORIA],receitasfixasconsolidadoout[[#This Row],[ATUAL]])</f>
        <v>0</v>
      </c>
      <c r="W84" s="91">
        <f>SUMIFS(tabela_registros[VALOR],tabela_registros[MÊS],$AE$1,tabela_registros[DIA],receitasfixasconsolidadoout[[#Headers],[19]],tabela_registros[REGISTRO],DADOS!$N$3,tabela_registros[TIPO],DADOS!$V$3,tabela_registros[CATEGORIA],receitasfixasconsolidadoout[[#This Row],[ATUAL]])</f>
        <v>0</v>
      </c>
      <c r="X84" s="91">
        <f>SUMIFS(tabela_registros[VALOR],tabela_registros[MÊS],$AE$1,tabela_registros[DIA],receitasfixasconsolidadoout[[#Headers],[20]],tabela_registros[REGISTRO],DADOS!$N$3,tabela_registros[TIPO],DADOS!$V$3,tabela_registros[CATEGORIA],receitasfixasconsolidadoout[[#This Row],[ATUAL]])</f>
        <v>0</v>
      </c>
      <c r="Y84" s="91">
        <f>SUMIFS(tabela_registros[VALOR],tabela_registros[MÊS],$AE$1,tabela_registros[DIA],receitasfixasconsolidadoout[[#Headers],[21]],tabela_registros[REGISTRO],DADOS!$N$3,tabela_registros[TIPO],DADOS!$V$3,tabela_registros[CATEGORIA],receitasfixasconsolidadoout[[#This Row],[ATUAL]])</f>
        <v>0</v>
      </c>
      <c r="Z84" s="91">
        <f>SUMIFS(tabela_registros[VALOR],tabela_registros[MÊS],$AE$1,tabela_registros[DIA],receitasfixasconsolidadoout[[#Headers],[22]],tabela_registros[REGISTRO],DADOS!$N$3,tabela_registros[TIPO],DADOS!$V$3,tabela_registros[CATEGORIA],receitasfixasconsolidadoout[[#This Row],[ATUAL]])</f>
        <v>0</v>
      </c>
      <c r="AA84" s="91">
        <f>SUMIFS(tabela_registros[VALOR],tabela_registros[MÊS],$AE$1,tabela_registros[DIA],receitasfixasconsolidadoout[[#Headers],[23]],tabela_registros[REGISTRO],DADOS!$N$3,tabela_registros[TIPO],DADOS!$V$3,tabela_registros[CATEGORIA],receitasfixasconsolidadoout[[#This Row],[ATUAL]])</f>
        <v>0</v>
      </c>
      <c r="AB84" s="91">
        <f>SUMIFS(tabela_registros[VALOR],tabela_registros[MÊS],$AE$1,tabela_registros[DIA],receitasfixasconsolidadoout[[#Headers],[24]],tabela_registros[REGISTRO],DADOS!$N$3,tabela_registros[TIPO],DADOS!$V$3,tabela_registros[CATEGORIA],receitasfixasconsolidadoout[[#This Row],[ATUAL]])</f>
        <v>0</v>
      </c>
      <c r="AC84" s="91">
        <f>SUMIFS(tabela_registros[VALOR],tabela_registros[MÊS],$AE$1,tabela_registros[DIA],receitasfixasconsolidadoout[[#Headers],[25]],tabela_registros[REGISTRO],DADOS!$N$3,tabela_registros[TIPO],DADOS!$V$3,tabela_registros[CATEGORIA],receitasfixasconsolidadoout[[#This Row],[ATUAL]])</f>
        <v>0</v>
      </c>
      <c r="AD84" s="91">
        <f>SUMIFS(tabela_registros[VALOR],tabela_registros[MÊS],$AE$1,tabela_registros[DIA],receitasfixasconsolidadoout[[#Headers],[26]],tabela_registros[REGISTRO],DADOS!$N$3,tabela_registros[TIPO],DADOS!$V$3,tabela_registros[CATEGORIA],receitasfixasconsolidadoout[[#This Row],[ATUAL]])</f>
        <v>0</v>
      </c>
      <c r="AE84" s="91">
        <f>SUMIFS(tabela_registros[VALOR],tabela_registros[MÊS],$AE$1,tabela_registros[DIA],receitasfixasconsolidadoout[[#Headers],[27]],tabela_registros[REGISTRO],DADOS!$N$3,tabela_registros[TIPO],DADOS!$V$3,tabela_registros[CATEGORIA],receitasfixasconsolidadoout[[#This Row],[ATUAL]])</f>
        <v>0</v>
      </c>
      <c r="AF84" s="91">
        <f>SUMIFS(tabela_registros[VALOR],tabela_registros[MÊS],$AE$1,tabela_registros[DIA],receitasfixasconsolidadoout[[#Headers],[28]],tabela_registros[REGISTRO],DADOS!$N$3,tabela_registros[TIPO],DADOS!$V$3,tabela_registros[CATEGORIA],receitasfixasconsolidadoout[[#This Row],[ATUAL]])</f>
        <v>0</v>
      </c>
      <c r="AG84" s="91">
        <f>SUMIFS(tabela_registros[VALOR],tabela_registros[MÊS],$AE$1,tabela_registros[DIA],receitasfixasconsolidadoout[[#Headers],[29]],tabela_registros[REGISTRO],DADOS!$N$3,tabela_registros[TIPO],DADOS!$V$3,tabela_registros[CATEGORIA],receitasfixasconsolidadoout[[#This Row],[ATUAL]])</f>
        <v>0</v>
      </c>
      <c r="AH84" s="91">
        <f>SUMIFS(tabela_registros[VALOR],tabela_registros[MÊS],$AE$1,tabela_registros[DIA],receitasfixasconsolidadoout[[#Headers],[30]],tabela_registros[REGISTRO],DADOS!$N$3,tabela_registros[TIPO],DADOS!$V$3,tabela_registros[CATEGORIA],receitasfixasconsolidadoout[[#This Row],[ATUAL]])</f>
        <v>0</v>
      </c>
      <c r="AI84" s="101">
        <f>SUMIFS(tabela_registros[VALOR],tabela_registros[MÊS],$AE$1,tabela_registros[DIA],receitasfixasconsolidadoout[[#Headers],[31]],tabela_registros[REGISTRO],DADOS!$N$3,tabela_registros[TIPO],DADOS!$V$3,tabela_registros[CATEGORIA],receitasfixasconsolidadoout[[#This Row],[ATUAL]])</f>
        <v>0</v>
      </c>
      <c r="AJ84" s="97">
        <f>SUM(receitasfixasconsolidadoout[[#This Row],[1]:[31]])</f>
        <v>0</v>
      </c>
      <c r="AK84" s="25"/>
    </row>
    <row r="85" spans="2:37" ht="19.5" customHeight="1" thickTop="1" thickBot="1" x14ac:dyDescent="0.3">
      <c r="B85" s="28"/>
      <c r="C85" s="27" t="str">
        <f>DADOS!$X$6</f>
        <v>💰 SALÁRIO</v>
      </c>
      <c r="D85" s="26" t="str">
        <f>IF(receitasfixasconsolidadoout[[#This Row],[TOTAL (R$)]]=0,"",IF(OR(receitasfixasconsolidadoout[[#This Row],[TOTAL (R$)]]=LARGE($AJ$82:$AJ$86,1),receitasfixasconsolidadoout[[#This Row],[TOTAL (R$)]]=LARGE($AJ$82:$AJ$86,2)),DADOS!$I$9,""))</f>
        <v/>
      </c>
      <c r="E85" s="96">
        <f>SUMIFS(tabela_registros[VALOR],tabela_registros[MÊS],$AE$1,tabela_registros[DIA],receitasfixasconsolidadoout[[#Headers],[1]],tabela_registros[REGISTRO],DADOS!$N$3,tabela_registros[TIPO],DADOS!$V$3,tabela_registros[CATEGORIA],receitasfixasconsolidadoout[[#This Row],[ATUAL]])</f>
        <v>0</v>
      </c>
      <c r="F85" s="91">
        <f>SUMIFS(tabela_registros[VALOR],tabela_registros[MÊS],$AE$1,tabela_registros[DIA],receitasfixasconsolidadoout[[#Headers],[2]],tabela_registros[REGISTRO],DADOS!$N$3,tabela_registros[TIPO],DADOS!$V$3,tabela_registros[CATEGORIA],receitasfixasconsolidadoout[[#This Row],[ATUAL]])</f>
        <v>0</v>
      </c>
      <c r="G85" s="91">
        <f>SUMIFS(tabela_registros[VALOR],tabela_registros[MÊS],$AE$1,tabela_registros[DIA],receitasfixasconsolidadoout[[#Headers],[3]],tabela_registros[REGISTRO],DADOS!$N$3,tabela_registros[TIPO],DADOS!$V$3,tabela_registros[CATEGORIA],receitasfixasconsolidadoout[[#This Row],[ATUAL]])</f>
        <v>0</v>
      </c>
      <c r="H85" s="91">
        <f>SUMIFS(tabela_registros[VALOR],tabela_registros[MÊS],$AE$1,tabela_registros[DIA],receitasfixasconsolidadoout[[#Headers],[4]],tabela_registros[REGISTRO],DADOS!$N$3,tabela_registros[TIPO],DADOS!$V$3,tabela_registros[CATEGORIA],receitasfixasconsolidadoout[[#This Row],[ATUAL]])</f>
        <v>0</v>
      </c>
      <c r="I85" s="91">
        <f>SUMIFS(tabela_registros[VALOR],tabela_registros[MÊS],$AE$1,tabela_registros[DIA],receitasfixasconsolidadoout[[#Headers],[5]],tabela_registros[REGISTRO],DADOS!$N$3,tabela_registros[TIPO],DADOS!$V$3,tabela_registros[CATEGORIA],receitasfixasconsolidadoout[[#This Row],[ATUAL]])</f>
        <v>0</v>
      </c>
      <c r="J85" s="91">
        <f>SUMIFS(tabela_registros[VALOR],tabela_registros[MÊS],$AE$1,tabela_registros[DIA],receitasfixasconsolidadoout[[#Headers],[6]],tabela_registros[REGISTRO],DADOS!$N$3,tabela_registros[TIPO],DADOS!$V$3,tabela_registros[CATEGORIA],receitasfixasconsolidadoout[[#This Row],[ATUAL]])</f>
        <v>0</v>
      </c>
      <c r="K85" s="91">
        <f>SUMIFS(tabela_registros[VALOR],tabela_registros[MÊS],$AE$1,tabela_registros[DIA],receitasfixasconsolidadoout[[#Headers],[7]],tabela_registros[REGISTRO],DADOS!$N$3,tabela_registros[TIPO],DADOS!$V$3,tabela_registros[CATEGORIA],receitasfixasconsolidadoout[[#This Row],[ATUAL]])</f>
        <v>0</v>
      </c>
      <c r="L85" s="91">
        <f>SUMIFS(tabela_registros[VALOR],tabela_registros[MÊS],$AE$1,tabela_registros[DIA],receitasfixasconsolidadoout[[#Headers],[8]],tabela_registros[REGISTRO],DADOS!$N$3,tabela_registros[TIPO],DADOS!$V$3,tabela_registros[CATEGORIA],receitasfixasconsolidadoout[[#This Row],[ATUAL]])</f>
        <v>0</v>
      </c>
      <c r="M85" s="91">
        <f>SUMIFS(tabela_registros[VALOR],tabela_registros[MÊS],$AE$1,tabela_registros[DIA],receitasfixasconsolidadoout[[#Headers],[9]],tabela_registros[REGISTRO],DADOS!$N$3,tabela_registros[TIPO],DADOS!$V$3,tabela_registros[CATEGORIA],receitasfixasconsolidadoout[[#This Row],[ATUAL]])</f>
        <v>0</v>
      </c>
      <c r="N85" s="91">
        <f>SUMIFS(tabela_registros[VALOR],tabela_registros[MÊS],$AE$1,tabela_registros[DIA],receitasfixasconsolidadoout[[#Headers],[10]],tabela_registros[REGISTRO],DADOS!$N$3,tabela_registros[TIPO],DADOS!$V$3,tabela_registros[CATEGORIA],receitasfixasconsolidadoout[[#This Row],[ATUAL]])</f>
        <v>0</v>
      </c>
      <c r="O85" s="91">
        <f>SUMIFS(tabela_registros[VALOR],tabela_registros[MÊS],$AE$1,tabela_registros[DIA],receitasfixasconsolidadoout[[#Headers],[11]],tabela_registros[REGISTRO],DADOS!$N$3,tabela_registros[TIPO],DADOS!$V$3,tabela_registros[CATEGORIA],receitasfixasconsolidadoout[[#This Row],[ATUAL]])</f>
        <v>0</v>
      </c>
      <c r="P85" s="91">
        <f>SUMIFS(tabela_registros[VALOR],tabela_registros[MÊS],$AE$1,tabela_registros[DIA],receitasfixasconsolidadoout[[#Headers],[12]],tabela_registros[REGISTRO],DADOS!$N$3,tabela_registros[TIPO],DADOS!$V$3,tabela_registros[CATEGORIA],receitasfixasconsolidadoout[[#This Row],[ATUAL]])</f>
        <v>0</v>
      </c>
      <c r="Q85" s="91">
        <f>SUMIFS(tabela_registros[VALOR],tabela_registros[MÊS],$AE$1,tabela_registros[DIA],receitasfixasconsolidadoout[[#Headers],[13]],tabela_registros[REGISTRO],DADOS!$N$3,tabela_registros[TIPO],DADOS!$V$3,tabela_registros[CATEGORIA],receitasfixasconsolidadoout[[#This Row],[ATUAL]])</f>
        <v>0</v>
      </c>
      <c r="R85" s="91">
        <f>SUMIFS(tabela_registros[VALOR],tabela_registros[MÊS],$AE$1,tabela_registros[DIA],receitasfixasconsolidadoout[[#Headers],[14]],tabela_registros[REGISTRO],DADOS!$N$3,tabela_registros[TIPO],DADOS!$V$3,tabela_registros[CATEGORIA],receitasfixasconsolidadoout[[#This Row],[ATUAL]])</f>
        <v>0</v>
      </c>
      <c r="S85" s="91">
        <f>SUMIFS(tabela_registros[VALOR],tabela_registros[MÊS],$AE$1,tabela_registros[DIA],receitasfixasconsolidadoout[[#Headers],[15]],tabela_registros[REGISTRO],DADOS!$N$3,tabela_registros[TIPO],DADOS!$V$3,tabela_registros[CATEGORIA],receitasfixasconsolidadoout[[#This Row],[ATUAL]])</f>
        <v>0</v>
      </c>
      <c r="T85" s="91">
        <f>SUMIFS(tabela_registros[VALOR],tabela_registros[MÊS],$AE$1,tabela_registros[DIA],receitasfixasconsolidadoout[[#Headers],[16]],tabela_registros[REGISTRO],DADOS!$N$3,tabela_registros[TIPO],DADOS!$V$3,tabela_registros[CATEGORIA],receitasfixasconsolidadoout[[#This Row],[ATUAL]])</f>
        <v>0</v>
      </c>
      <c r="U85" s="91">
        <f>SUMIFS(tabela_registros[VALOR],tabela_registros[MÊS],$AE$1,tabela_registros[DIA],receitasfixasconsolidadoout[[#Headers],[17]],tabela_registros[REGISTRO],DADOS!$N$3,tabela_registros[TIPO],DADOS!$V$3,tabela_registros[CATEGORIA],receitasfixasconsolidadoout[[#This Row],[ATUAL]])</f>
        <v>0</v>
      </c>
      <c r="V85" s="91">
        <f>SUMIFS(tabela_registros[VALOR],tabela_registros[MÊS],$AE$1,tabela_registros[DIA],receitasfixasconsolidadoout[[#Headers],[18]],tabela_registros[REGISTRO],DADOS!$N$3,tabela_registros[TIPO],DADOS!$V$3,tabela_registros[CATEGORIA],receitasfixasconsolidadoout[[#This Row],[ATUAL]])</f>
        <v>0</v>
      </c>
      <c r="W85" s="91">
        <f>SUMIFS(tabela_registros[VALOR],tabela_registros[MÊS],$AE$1,tabela_registros[DIA],receitasfixasconsolidadoout[[#Headers],[19]],tabela_registros[REGISTRO],DADOS!$N$3,tabela_registros[TIPO],DADOS!$V$3,tabela_registros[CATEGORIA],receitasfixasconsolidadoout[[#This Row],[ATUAL]])</f>
        <v>0</v>
      </c>
      <c r="X85" s="91">
        <f>SUMIFS(tabela_registros[VALOR],tabela_registros[MÊS],$AE$1,tabela_registros[DIA],receitasfixasconsolidadoout[[#Headers],[20]],tabela_registros[REGISTRO],DADOS!$N$3,tabela_registros[TIPO],DADOS!$V$3,tabela_registros[CATEGORIA],receitasfixasconsolidadoout[[#This Row],[ATUAL]])</f>
        <v>0</v>
      </c>
      <c r="Y85" s="91">
        <f>SUMIFS(tabela_registros[VALOR],tabela_registros[MÊS],$AE$1,tabela_registros[DIA],receitasfixasconsolidadoout[[#Headers],[21]],tabela_registros[REGISTRO],DADOS!$N$3,tabela_registros[TIPO],DADOS!$V$3,tabela_registros[CATEGORIA],receitasfixasconsolidadoout[[#This Row],[ATUAL]])</f>
        <v>0</v>
      </c>
      <c r="Z85" s="91">
        <f>SUMIFS(tabela_registros[VALOR],tabela_registros[MÊS],$AE$1,tabela_registros[DIA],receitasfixasconsolidadoout[[#Headers],[22]],tabela_registros[REGISTRO],DADOS!$N$3,tabela_registros[TIPO],DADOS!$V$3,tabela_registros[CATEGORIA],receitasfixasconsolidadoout[[#This Row],[ATUAL]])</f>
        <v>0</v>
      </c>
      <c r="AA85" s="91">
        <f>SUMIFS(tabela_registros[VALOR],tabela_registros[MÊS],$AE$1,tabela_registros[DIA],receitasfixasconsolidadoout[[#Headers],[23]],tabela_registros[REGISTRO],DADOS!$N$3,tabela_registros[TIPO],DADOS!$V$3,tabela_registros[CATEGORIA],receitasfixasconsolidadoout[[#This Row],[ATUAL]])</f>
        <v>0</v>
      </c>
      <c r="AB85" s="91">
        <f>SUMIFS(tabela_registros[VALOR],tabela_registros[MÊS],$AE$1,tabela_registros[DIA],receitasfixasconsolidadoout[[#Headers],[24]],tabela_registros[REGISTRO],DADOS!$N$3,tabela_registros[TIPO],DADOS!$V$3,tabela_registros[CATEGORIA],receitasfixasconsolidadoout[[#This Row],[ATUAL]])</f>
        <v>0</v>
      </c>
      <c r="AC85" s="91">
        <f>SUMIFS(tabela_registros[VALOR],tabela_registros[MÊS],$AE$1,tabela_registros[DIA],receitasfixasconsolidadoout[[#Headers],[25]],tabela_registros[REGISTRO],DADOS!$N$3,tabela_registros[TIPO],DADOS!$V$3,tabela_registros[CATEGORIA],receitasfixasconsolidadoout[[#This Row],[ATUAL]])</f>
        <v>0</v>
      </c>
      <c r="AD85" s="91">
        <f>SUMIFS(tabela_registros[VALOR],tabela_registros[MÊS],$AE$1,tabela_registros[DIA],receitasfixasconsolidadoout[[#Headers],[26]],tabela_registros[REGISTRO],DADOS!$N$3,tabela_registros[TIPO],DADOS!$V$3,tabela_registros[CATEGORIA],receitasfixasconsolidadoout[[#This Row],[ATUAL]])</f>
        <v>0</v>
      </c>
      <c r="AE85" s="91">
        <f>SUMIFS(tabela_registros[VALOR],tabela_registros[MÊS],$AE$1,tabela_registros[DIA],receitasfixasconsolidadoout[[#Headers],[27]],tabela_registros[REGISTRO],DADOS!$N$3,tabela_registros[TIPO],DADOS!$V$3,tabela_registros[CATEGORIA],receitasfixasconsolidadoout[[#This Row],[ATUAL]])</f>
        <v>0</v>
      </c>
      <c r="AF85" s="91">
        <f>SUMIFS(tabela_registros[VALOR],tabela_registros[MÊS],$AE$1,tabela_registros[DIA],receitasfixasconsolidadoout[[#Headers],[28]],tabela_registros[REGISTRO],DADOS!$N$3,tabela_registros[TIPO],DADOS!$V$3,tabela_registros[CATEGORIA],receitasfixasconsolidadoout[[#This Row],[ATUAL]])</f>
        <v>0</v>
      </c>
      <c r="AG85" s="91">
        <f>SUMIFS(tabela_registros[VALOR],tabela_registros[MÊS],$AE$1,tabela_registros[DIA],receitasfixasconsolidadoout[[#Headers],[29]],tabela_registros[REGISTRO],DADOS!$N$3,tabela_registros[TIPO],DADOS!$V$3,tabela_registros[CATEGORIA],receitasfixasconsolidadoout[[#This Row],[ATUAL]])</f>
        <v>0</v>
      </c>
      <c r="AH85" s="91">
        <f>SUMIFS(tabela_registros[VALOR],tabela_registros[MÊS],$AE$1,tabela_registros[DIA],receitasfixasconsolidadoout[[#Headers],[30]],tabela_registros[REGISTRO],DADOS!$N$3,tabela_registros[TIPO],DADOS!$V$3,tabela_registros[CATEGORIA],receitasfixasconsolidadoout[[#This Row],[ATUAL]])</f>
        <v>0</v>
      </c>
      <c r="AI85" s="101">
        <f>SUMIFS(tabela_registros[VALOR],tabela_registros[MÊS],$AE$1,tabela_registros[DIA],receitasfixasconsolidadoout[[#Headers],[31]],tabela_registros[REGISTRO],DADOS!$N$3,tabela_registros[TIPO],DADOS!$V$3,tabela_registros[CATEGORIA],receitasfixasconsolidadoout[[#This Row],[ATUAL]])</f>
        <v>0</v>
      </c>
      <c r="AJ85" s="97">
        <f>SUM(receitasfixasconsolidadoout[[#This Row],[1]:[31]])</f>
        <v>0</v>
      </c>
      <c r="AK85" s="25"/>
    </row>
    <row r="86" spans="2:37" ht="18" customHeight="1" thickTop="1" thickBot="1" x14ac:dyDescent="0.3">
      <c r="B86" s="28"/>
      <c r="C86" s="27" t="str">
        <f>DADOS!$X$7</f>
        <v>📎 OUTROS</v>
      </c>
      <c r="D86" s="26" t="str">
        <f>IF(receitasfixasconsolidadoout[[#This Row],[TOTAL (R$)]]=0,"",IF(OR(receitasfixasconsolidadoout[[#This Row],[TOTAL (R$)]]=LARGE($AJ$82:$AJ$86,1),receitasfixasconsolidadoout[[#This Row],[TOTAL (R$)]]=LARGE($AJ$82:$AJ$86,2)),DADOS!$I$9,""))</f>
        <v/>
      </c>
      <c r="E86" s="96">
        <f>SUMIFS(tabela_registros[VALOR],tabela_registros[MÊS],$AE$1,tabela_registros[DIA],receitasfixasconsolidadoout[[#Headers],[1]],tabela_registros[REGISTRO],DADOS!$N$3,tabela_registros[TIPO],DADOS!$V$3,tabela_registros[CATEGORIA],receitasfixasconsolidadoout[[#This Row],[ATUAL]])</f>
        <v>0</v>
      </c>
      <c r="F86" s="91">
        <f>SUMIFS(tabela_registros[VALOR],tabela_registros[MÊS],$AE$1,tabela_registros[DIA],receitasfixasconsolidadoout[[#Headers],[2]],tabela_registros[REGISTRO],DADOS!$N$3,tabela_registros[TIPO],DADOS!$V$3,tabela_registros[CATEGORIA],receitasfixasconsolidadoout[[#This Row],[ATUAL]])</f>
        <v>0</v>
      </c>
      <c r="G86" s="91">
        <f>SUMIFS(tabela_registros[VALOR],tabela_registros[MÊS],$AE$1,tabela_registros[DIA],receitasfixasconsolidadoout[[#Headers],[3]],tabela_registros[REGISTRO],DADOS!$N$3,tabela_registros[TIPO],DADOS!$V$3,tabela_registros[CATEGORIA],receitasfixasconsolidadoout[[#This Row],[ATUAL]])</f>
        <v>0</v>
      </c>
      <c r="H86" s="91">
        <f>SUMIFS(tabela_registros[VALOR],tabela_registros[MÊS],$AE$1,tabela_registros[DIA],receitasfixasconsolidadoout[[#Headers],[4]],tabela_registros[REGISTRO],DADOS!$N$3,tabela_registros[TIPO],DADOS!$V$3,tabela_registros[CATEGORIA],receitasfixasconsolidadoout[[#This Row],[ATUAL]])</f>
        <v>0</v>
      </c>
      <c r="I86" s="91">
        <f>SUMIFS(tabela_registros[VALOR],tabela_registros[MÊS],$AE$1,tabela_registros[DIA],receitasfixasconsolidadoout[[#Headers],[5]],tabela_registros[REGISTRO],DADOS!$N$3,tabela_registros[TIPO],DADOS!$V$3,tabela_registros[CATEGORIA],receitasfixasconsolidadoout[[#This Row],[ATUAL]])</f>
        <v>0</v>
      </c>
      <c r="J86" s="91">
        <f>SUMIFS(tabela_registros[VALOR],tabela_registros[MÊS],$AE$1,tabela_registros[DIA],receitasfixasconsolidadoout[[#Headers],[6]],tabela_registros[REGISTRO],DADOS!$N$3,tabela_registros[TIPO],DADOS!$V$3,tabela_registros[CATEGORIA],receitasfixasconsolidadoout[[#This Row],[ATUAL]])</f>
        <v>0</v>
      </c>
      <c r="K86" s="91">
        <f>SUMIFS(tabela_registros[VALOR],tabela_registros[MÊS],$AE$1,tabela_registros[DIA],receitasfixasconsolidadoout[[#Headers],[7]],tabela_registros[REGISTRO],DADOS!$N$3,tabela_registros[TIPO],DADOS!$V$3,tabela_registros[CATEGORIA],receitasfixasconsolidadoout[[#This Row],[ATUAL]])</f>
        <v>0</v>
      </c>
      <c r="L86" s="91">
        <f>SUMIFS(tabela_registros[VALOR],tabela_registros[MÊS],$AE$1,tabela_registros[DIA],receitasfixasconsolidadoout[[#Headers],[8]],tabela_registros[REGISTRO],DADOS!$N$3,tabela_registros[TIPO],DADOS!$V$3,tabela_registros[CATEGORIA],receitasfixasconsolidadoout[[#This Row],[ATUAL]])</f>
        <v>0</v>
      </c>
      <c r="M86" s="91">
        <f>SUMIFS(tabela_registros[VALOR],tabela_registros[MÊS],$AE$1,tabela_registros[DIA],receitasfixasconsolidadoout[[#Headers],[9]],tabela_registros[REGISTRO],DADOS!$N$3,tabela_registros[TIPO],DADOS!$V$3,tabela_registros[CATEGORIA],receitasfixasconsolidadoout[[#This Row],[ATUAL]])</f>
        <v>0</v>
      </c>
      <c r="N86" s="91">
        <f>SUMIFS(tabela_registros[VALOR],tabela_registros[MÊS],$AE$1,tabela_registros[DIA],receitasfixasconsolidadoout[[#Headers],[10]],tabela_registros[REGISTRO],DADOS!$N$3,tabela_registros[TIPO],DADOS!$V$3,tabela_registros[CATEGORIA],receitasfixasconsolidadoout[[#This Row],[ATUAL]])</f>
        <v>0</v>
      </c>
      <c r="O86" s="91">
        <f>SUMIFS(tabela_registros[VALOR],tabela_registros[MÊS],$AE$1,tabela_registros[DIA],receitasfixasconsolidadoout[[#Headers],[11]],tabela_registros[REGISTRO],DADOS!$N$3,tabela_registros[TIPO],DADOS!$V$3,tabela_registros[CATEGORIA],receitasfixasconsolidadoout[[#This Row],[ATUAL]])</f>
        <v>0</v>
      </c>
      <c r="P86" s="91">
        <f>SUMIFS(tabela_registros[VALOR],tabela_registros[MÊS],$AE$1,tabela_registros[DIA],receitasfixasconsolidadoout[[#Headers],[12]],tabela_registros[REGISTRO],DADOS!$N$3,tabela_registros[TIPO],DADOS!$V$3,tabela_registros[CATEGORIA],receitasfixasconsolidadoout[[#This Row],[ATUAL]])</f>
        <v>0</v>
      </c>
      <c r="Q86" s="91">
        <f>SUMIFS(tabela_registros[VALOR],tabela_registros[MÊS],$AE$1,tabela_registros[DIA],receitasfixasconsolidadoout[[#Headers],[13]],tabela_registros[REGISTRO],DADOS!$N$3,tabela_registros[TIPO],DADOS!$V$3,tabela_registros[CATEGORIA],receitasfixasconsolidadoout[[#This Row],[ATUAL]])</f>
        <v>0</v>
      </c>
      <c r="R86" s="91">
        <f>SUMIFS(tabela_registros[VALOR],tabela_registros[MÊS],$AE$1,tabela_registros[DIA],receitasfixasconsolidadoout[[#Headers],[14]],tabela_registros[REGISTRO],DADOS!$N$3,tabela_registros[TIPO],DADOS!$V$3,tabela_registros[CATEGORIA],receitasfixasconsolidadoout[[#This Row],[ATUAL]])</f>
        <v>0</v>
      </c>
      <c r="S86" s="91">
        <f>SUMIFS(tabela_registros[VALOR],tabela_registros[MÊS],$AE$1,tabela_registros[DIA],receitasfixasconsolidadoout[[#Headers],[15]],tabela_registros[REGISTRO],DADOS!$N$3,tabela_registros[TIPO],DADOS!$V$3,tabela_registros[CATEGORIA],receitasfixasconsolidadoout[[#This Row],[ATUAL]])</f>
        <v>0</v>
      </c>
      <c r="T86" s="91">
        <f>SUMIFS(tabela_registros[VALOR],tabela_registros[MÊS],$AE$1,tabela_registros[DIA],receitasfixasconsolidadoout[[#Headers],[16]],tabela_registros[REGISTRO],DADOS!$N$3,tabela_registros[TIPO],DADOS!$V$3,tabela_registros[CATEGORIA],receitasfixasconsolidadoout[[#This Row],[ATUAL]])</f>
        <v>0</v>
      </c>
      <c r="U86" s="91">
        <f>SUMIFS(tabela_registros[VALOR],tabela_registros[MÊS],$AE$1,tabela_registros[DIA],receitasfixasconsolidadoout[[#Headers],[17]],tabela_registros[REGISTRO],DADOS!$N$3,tabela_registros[TIPO],DADOS!$V$3,tabela_registros[CATEGORIA],receitasfixasconsolidadoout[[#This Row],[ATUAL]])</f>
        <v>0</v>
      </c>
      <c r="V86" s="91">
        <f>SUMIFS(tabela_registros[VALOR],tabela_registros[MÊS],$AE$1,tabela_registros[DIA],receitasfixasconsolidadoout[[#Headers],[18]],tabela_registros[REGISTRO],DADOS!$N$3,tabela_registros[TIPO],DADOS!$V$3,tabela_registros[CATEGORIA],receitasfixasconsolidadoout[[#This Row],[ATUAL]])</f>
        <v>0</v>
      </c>
      <c r="W86" s="91">
        <f>SUMIFS(tabela_registros[VALOR],tabela_registros[MÊS],$AE$1,tabela_registros[DIA],receitasfixasconsolidadoout[[#Headers],[19]],tabela_registros[REGISTRO],DADOS!$N$3,tabela_registros[TIPO],DADOS!$V$3,tabela_registros[CATEGORIA],receitasfixasconsolidadoout[[#This Row],[ATUAL]])</f>
        <v>0</v>
      </c>
      <c r="X86" s="91">
        <f>SUMIFS(tabela_registros[VALOR],tabela_registros[MÊS],$AE$1,tabela_registros[DIA],receitasfixasconsolidadoout[[#Headers],[20]],tabela_registros[REGISTRO],DADOS!$N$3,tabela_registros[TIPO],DADOS!$V$3,tabela_registros[CATEGORIA],receitasfixasconsolidadoout[[#This Row],[ATUAL]])</f>
        <v>0</v>
      </c>
      <c r="Y86" s="91">
        <f>SUMIFS(tabela_registros[VALOR],tabela_registros[MÊS],$AE$1,tabela_registros[DIA],receitasfixasconsolidadoout[[#Headers],[21]],tabela_registros[REGISTRO],DADOS!$N$3,tabela_registros[TIPO],DADOS!$V$3,tabela_registros[CATEGORIA],receitasfixasconsolidadoout[[#This Row],[ATUAL]])</f>
        <v>0</v>
      </c>
      <c r="Z86" s="91">
        <f>SUMIFS(tabela_registros[VALOR],tabela_registros[MÊS],$AE$1,tabela_registros[DIA],receitasfixasconsolidadoout[[#Headers],[22]],tabela_registros[REGISTRO],DADOS!$N$3,tabela_registros[TIPO],DADOS!$V$3,tabela_registros[CATEGORIA],receitasfixasconsolidadoout[[#This Row],[ATUAL]])</f>
        <v>0</v>
      </c>
      <c r="AA86" s="91">
        <f>SUMIFS(tabela_registros[VALOR],tabela_registros[MÊS],$AE$1,tabela_registros[DIA],receitasfixasconsolidadoout[[#Headers],[23]],tabela_registros[REGISTRO],DADOS!$N$3,tabela_registros[TIPO],DADOS!$V$3,tabela_registros[CATEGORIA],receitasfixasconsolidadoout[[#This Row],[ATUAL]])</f>
        <v>0</v>
      </c>
      <c r="AB86" s="91">
        <f>SUMIFS(tabela_registros[VALOR],tabela_registros[MÊS],$AE$1,tabela_registros[DIA],receitasfixasconsolidadoout[[#Headers],[24]],tabela_registros[REGISTRO],DADOS!$N$3,tabela_registros[TIPO],DADOS!$V$3,tabela_registros[CATEGORIA],receitasfixasconsolidadoout[[#This Row],[ATUAL]])</f>
        <v>0</v>
      </c>
      <c r="AC86" s="91">
        <f>SUMIFS(tabela_registros[VALOR],tabela_registros[MÊS],$AE$1,tabela_registros[DIA],receitasfixasconsolidadoout[[#Headers],[25]],tabela_registros[REGISTRO],DADOS!$N$3,tabela_registros[TIPO],DADOS!$V$3,tabela_registros[CATEGORIA],receitasfixasconsolidadoout[[#This Row],[ATUAL]])</f>
        <v>0</v>
      </c>
      <c r="AD86" s="91">
        <f>SUMIFS(tabela_registros[VALOR],tabela_registros[MÊS],$AE$1,tabela_registros[DIA],receitasfixasconsolidadoout[[#Headers],[26]],tabela_registros[REGISTRO],DADOS!$N$3,tabela_registros[TIPO],DADOS!$V$3,tabela_registros[CATEGORIA],receitasfixasconsolidadoout[[#This Row],[ATUAL]])</f>
        <v>0</v>
      </c>
      <c r="AE86" s="91">
        <f>SUMIFS(tabela_registros[VALOR],tabela_registros[MÊS],$AE$1,tabela_registros[DIA],receitasfixasconsolidadoout[[#Headers],[27]],tabela_registros[REGISTRO],DADOS!$N$3,tabela_registros[TIPO],DADOS!$V$3,tabela_registros[CATEGORIA],receitasfixasconsolidadoout[[#This Row],[ATUAL]])</f>
        <v>0</v>
      </c>
      <c r="AF86" s="91">
        <f>SUMIFS(tabela_registros[VALOR],tabela_registros[MÊS],$AE$1,tabela_registros[DIA],receitasfixasconsolidadoout[[#Headers],[28]],tabela_registros[REGISTRO],DADOS!$N$3,tabela_registros[TIPO],DADOS!$V$3,tabela_registros[CATEGORIA],receitasfixasconsolidadoout[[#This Row],[ATUAL]])</f>
        <v>0</v>
      </c>
      <c r="AG86" s="91">
        <f>SUMIFS(tabela_registros[VALOR],tabela_registros[MÊS],$AE$1,tabela_registros[DIA],receitasfixasconsolidadoout[[#Headers],[29]],tabela_registros[REGISTRO],DADOS!$N$3,tabela_registros[TIPO],DADOS!$V$3,tabela_registros[CATEGORIA],receitasfixasconsolidadoout[[#This Row],[ATUAL]])</f>
        <v>0</v>
      </c>
      <c r="AH86" s="91">
        <f>SUMIFS(tabela_registros[VALOR],tabela_registros[MÊS],$AE$1,tabela_registros[DIA],receitasfixasconsolidadoout[[#Headers],[30]],tabela_registros[REGISTRO],DADOS!$N$3,tabela_registros[TIPO],DADOS!$V$3,tabela_registros[CATEGORIA],receitasfixasconsolidadoout[[#This Row],[ATUAL]])</f>
        <v>0</v>
      </c>
      <c r="AI86" s="102">
        <f>SUMIFS(tabela_registros[VALOR],tabela_registros[MÊS],$AE$1,tabela_registros[DIA],receitasfixasconsolidadoout[[#Headers],[31]],tabela_registros[REGISTRO],DADOS!$N$3,tabela_registros[TIPO],DADOS!$V$3,tabela_registros[CATEGORIA],receitasfixasconsolidadoout[[#This Row],[ATUAL]])</f>
        <v>0</v>
      </c>
      <c r="AJ86" s="103">
        <f>SUM(receitasfixasconsolidadoout[[#This Row],[1]:[31]])</f>
        <v>0</v>
      </c>
      <c r="AK86" s="25"/>
    </row>
    <row r="87" spans="2:37" s="16" customFormat="1" ht="21" customHeight="1" thickTop="1" thickBot="1" x14ac:dyDescent="0.35">
      <c r="B87" s="24"/>
      <c r="C87" s="23" t="s">
        <v>19</v>
      </c>
      <c r="D87" s="22"/>
      <c r="E87" s="21">
        <f>SUM(E82:E86)</f>
        <v>0</v>
      </c>
      <c r="F87" s="20">
        <f>SUM(F82:F86)+receitasfixasconsolidadoout[[#This Row],[1]]</f>
        <v>0</v>
      </c>
      <c r="G87" s="20">
        <f>SUM(G82:G86)+receitasfixasconsolidadoout[[#This Row],[2]]</f>
        <v>0</v>
      </c>
      <c r="H87" s="20">
        <f>SUM(H82:H86)+receitasfixasconsolidadoout[[#This Row],[3]]</f>
        <v>0</v>
      </c>
      <c r="I87" s="20">
        <f>SUM(I82:I86)+receitasfixasconsolidadoout[[#This Row],[4]]</f>
        <v>0</v>
      </c>
      <c r="J87" s="20">
        <f>SUM(J82:J86)+receitasfixasconsolidadoout[[#This Row],[5]]</f>
        <v>0</v>
      </c>
      <c r="K87" s="20">
        <f>SUM(K82:K86)+receitasfixasconsolidadoout[[#This Row],[6]]</f>
        <v>0</v>
      </c>
      <c r="L87" s="20">
        <f>SUM(L82:L86)+receitasfixasconsolidadoout[[#This Row],[7]]</f>
        <v>0</v>
      </c>
      <c r="M87" s="20">
        <f>SUM(M82:M86)+receitasfixasconsolidadoout[[#This Row],[8]]</f>
        <v>0</v>
      </c>
      <c r="N87" s="20">
        <f>SUM(N82:N86)+receitasfixasconsolidadoout[[#This Row],[9]]</f>
        <v>0</v>
      </c>
      <c r="O87" s="20">
        <f>SUM(O82:O86)+receitasfixasconsolidadoout[[#This Row],[10]]</f>
        <v>0</v>
      </c>
      <c r="P87" s="20">
        <f>SUM(P82:P86)+receitasfixasconsolidadoout[[#This Row],[11]]</f>
        <v>0</v>
      </c>
      <c r="Q87" s="20">
        <f>SUM(Q82:Q86)+receitasfixasconsolidadoout[[#This Row],[12]]</f>
        <v>0</v>
      </c>
      <c r="R87" s="20">
        <f>SUM(R82:R86)+receitasfixasconsolidadoout[[#This Row],[13]]</f>
        <v>0</v>
      </c>
      <c r="S87" s="20">
        <f>SUM(S82:S86)+receitasfixasconsolidadoout[[#This Row],[14]]</f>
        <v>0</v>
      </c>
      <c r="T87" s="20">
        <f>SUM(T82:T86)+receitasfixasconsolidadoout[[#This Row],[15]]</f>
        <v>0</v>
      </c>
      <c r="U87" s="20">
        <f>SUM(U82:U86)+receitasfixasconsolidadoout[[#This Row],[16]]</f>
        <v>0</v>
      </c>
      <c r="V87" s="20">
        <f>SUM(V82:V86)+receitasfixasconsolidadoout[[#This Row],[17]]</f>
        <v>0</v>
      </c>
      <c r="W87" s="20">
        <f>SUM(W82:W86)+receitasfixasconsolidadoout[[#This Row],[18]]</f>
        <v>0</v>
      </c>
      <c r="X87" s="20">
        <f>SUM(X82:X86)+receitasfixasconsolidadoout[[#This Row],[19]]</f>
        <v>0</v>
      </c>
      <c r="Y87" s="20">
        <f>SUM(Y82:Y86)+receitasfixasconsolidadoout[[#This Row],[20]]</f>
        <v>0</v>
      </c>
      <c r="Z87" s="20">
        <f>SUM(Z82:Z86)+receitasfixasconsolidadoout[[#This Row],[21]]</f>
        <v>0</v>
      </c>
      <c r="AA87" s="20">
        <f>SUM(AA82:AA86)+receitasfixasconsolidadoout[[#This Row],[22]]</f>
        <v>0</v>
      </c>
      <c r="AB87" s="20">
        <f>SUM(AB82:AB86)+receitasfixasconsolidadoout[[#This Row],[23]]</f>
        <v>0</v>
      </c>
      <c r="AC87" s="20">
        <f>SUM(AC82:AC86)+receitasfixasconsolidadoout[[#This Row],[24]]</f>
        <v>0</v>
      </c>
      <c r="AD87" s="20">
        <f>SUM(AD82:AD86)+receitasfixasconsolidadoout[[#This Row],[25]]</f>
        <v>0</v>
      </c>
      <c r="AE87" s="20">
        <f>SUM(AE82:AE86)+receitasfixasconsolidadoout[[#This Row],[26]]</f>
        <v>0</v>
      </c>
      <c r="AF87" s="20">
        <f>SUM(AF82:AF86)+receitasfixasconsolidadoout[[#This Row],[27]]</f>
        <v>0</v>
      </c>
      <c r="AG87" s="20">
        <f>SUM(AG82:AG86)+receitasfixasconsolidadoout[[#This Row],[28]]</f>
        <v>0</v>
      </c>
      <c r="AH87" s="20">
        <f>SUM(AH82:AH86)+receitasfixasconsolidadoout[[#This Row],[29]]</f>
        <v>0</v>
      </c>
      <c r="AI87" s="19">
        <f>SUM(AI82:AI86)+receitasfixasconsolidadoout[[#This Row],[30]]</f>
        <v>0</v>
      </c>
      <c r="AJ87" s="18">
        <f>receitasfixasconsolidadoout[[#This Row],[31]]</f>
        <v>0</v>
      </c>
      <c r="AK87" s="17"/>
    </row>
    <row r="88" spans="2:37" ht="6.75" customHeight="1" thickTop="1" thickBot="1" x14ac:dyDescent="0.3">
      <c r="B88" s="15"/>
      <c r="C88" s="14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2"/>
      <c r="AJ88" s="11"/>
      <c r="AK88" s="10"/>
    </row>
    <row r="89" spans="2:37" ht="12.6" thickTop="1" x14ac:dyDescent="0.25">
      <c r="E89" s="37"/>
      <c r="AI89" s="4"/>
    </row>
    <row r="90" spans="2:37" x14ac:dyDescent="0.25">
      <c r="AI90" s="4"/>
    </row>
    <row r="91" spans="2:37" x14ac:dyDescent="0.25">
      <c r="AI91" s="4"/>
    </row>
    <row r="92" spans="2:37" ht="39.75" customHeight="1" x14ac:dyDescent="0.7">
      <c r="C92" s="36"/>
      <c r="E92" s="240"/>
      <c r="F92" s="240"/>
      <c r="G92" s="240"/>
      <c r="H92" s="240"/>
      <c r="I92" s="240"/>
      <c r="J92" s="240"/>
      <c r="K92" s="240"/>
      <c r="L92" s="240"/>
      <c r="M92" s="240"/>
      <c r="N92" s="240"/>
      <c r="O92" s="240"/>
      <c r="P92" s="240"/>
      <c r="Q92" s="240"/>
      <c r="R92" s="240"/>
      <c r="S92" s="240"/>
      <c r="T92" s="240"/>
      <c r="U92" s="240"/>
      <c r="V92" s="240"/>
      <c r="W92" s="240"/>
      <c r="X92" s="240"/>
      <c r="Y92" s="240"/>
      <c r="Z92" s="240"/>
      <c r="AA92" s="240"/>
      <c r="AB92" s="240"/>
      <c r="AC92" s="240"/>
      <c r="AD92" s="240"/>
      <c r="AE92" s="240"/>
      <c r="AF92" s="240"/>
      <c r="AG92" s="240"/>
      <c r="AH92" s="240"/>
      <c r="AI92" s="240"/>
      <c r="AJ92" s="32" t="s">
        <v>19</v>
      </c>
    </row>
    <row r="93" spans="2:37" ht="12.6" thickBot="1" x14ac:dyDescent="0.3">
      <c r="B93" s="35"/>
      <c r="AI93" s="4"/>
      <c r="AJ93" s="34" t="s">
        <v>202</v>
      </c>
    </row>
    <row r="94" spans="2:37" ht="6.75" customHeight="1" thickTop="1" thickBot="1" x14ac:dyDescent="0.3">
      <c r="B94" s="2"/>
      <c r="C94" s="14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2"/>
      <c r="AK94" s="33"/>
    </row>
    <row r="95" spans="2:37" ht="13.2" hidden="1" thickTop="1" thickBot="1" x14ac:dyDescent="0.3">
      <c r="B95" s="2"/>
      <c r="C95" s="31" t="s">
        <v>199</v>
      </c>
      <c r="D95" s="30" t="s">
        <v>198</v>
      </c>
      <c r="E95" s="30" t="s">
        <v>197</v>
      </c>
      <c r="F95" s="30" t="s">
        <v>196</v>
      </c>
      <c r="G95" s="30" t="s">
        <v>195</v>
      </c>
      <c r="H95" s="30" t="s">
        <v>194</v>
      </c>
      <c r="I95" s="30" t="s">
        <v>193</v>
      </c>
      <c r="J95" s="30" t="s">
        <v>192</v>
      </c>
      <c r="K95" s="30" t="s">
        <v>191</v>
      </c>
      <c r="L95" s="30" t="s">
        <v>190</v>
      </c>
      <c r="M95" s="30" t="s">
        <v>189</v>
      </c>
      <c r="N95" s="30" t="s">
        <v>188</v>
      </c>
      <c r="O95" s="30" t="s">
        <v>187</v>
      </c>
      <c r="P95" s="30" t="s">
        <v>186</v>
      </c>
      <c r="Q95" s="30" t="s">
        <v>185</v>
      </c>
      <c r="R95" s="30" t="s">
        <v>184</v>
      </c>
      <c r="S95" s="30" t="s">
        <v>183</v>
      </c>
      <c r="T95" s="30" t="s">
        <v>182</v>
      </c>
      <c r="U95" s="30" t="s">
        <v>181</v>
      </c>
      <c r="V95" s="30" t="s">
        <v>180</v>
      </c>
      <c r="W95" s="30" t="s">
        <v>179</v>
      </c>
      <c r="X95" s="30" t="s">
        <v>178</v>
      </c>
      <c r="Y95" s="30" t="s">
        <v>177</v>
      </c>
      <c r="Z95" s="30" t="s">
        <v>176</v>
      </c>
      <c r="AA95" s="30" t="s">
        <v>175</v>
      </c>
      <c r="AB95" s="30" t="s">
        <v>174</v>
      </c>
      <c r="AC95" s="30" t="s">
        <v>173</v>
      </c>
      <c r="AD95" s="30" t="s">
        <v>172</v>
      </c>
      <c r="AE95" s="30" t="s">
        <v>171</v>
      </c>
      <c r="AF95" s="30" t="s">
        <v>170</v>
      </c>
      <c r="AG95" s="30" t="s">
        <v>169</v>
      </c>
      <c r="AH95" s="30" t="s">
        <v>168</v>
      </c>
      <c r="AI95" s="30" t="s">
        <v>167</v>
      </c>
      <c r="AJ95" s="29" t="s">
        <v>166</v>
      </c>
      <c r="AK95" s="2"/>
    </row>
    <row r="96" spans="2:37" ht="19.5" customHeight="1" thickTop="1" thickBot="1" x14ac:dyDescent="0.3">
      <c r="B96" s="28"/>
      <c r="C96" s="27" t="str">
        <f>DADOS!$Z$3</f>
        <v>🏅 BÔNUS</v>
      </c>
      <c r="D96" s="26" t="str">
        <f>IF(receitasvariáveisconsolidadoout[[#This Row],[TOTAL (R$)]]=0,"",IF(OR(receitasvariáveisconsolidadoout[[#This Row],[TOTAL (R$)]]=LARGE($AJ$96:$AJ$103,1),receitasvariáveisconsolidadoout[[#This Row],[TOTAL (R$)]]=LARGE($AJ$96:$AJ$103,2)),DADOS!$I$9,""))</f>
        <v/>
      </c>
      <c r="E96" s="96">
        <f>SUMIFS(tabela_registros[VALOR],tabela_registros[MÊS],$AE$1,tabela_registros[DIA],receitasvariáveisconsolidadoout[[#Headers],[1]],tabela_registros[REGISTRO],DADOS!$N$3,tabela_registros[TIPO],DADOS!$V$4,tabela_registros[CATEGORIA],receitasvariáveisconsolidadoout[[#This Row],[ATUAL]])</f>
        <v>0</v>
      </c>
      <c r="F96" s="91">
        <f>SUMIFS(tabela_registros[VALOR],tabela_registros[MÊS],$AE$1,tabela_registros[DIA],receitasvariáveisconsolidadoout[[#Headers],[2]],tabela_registros[REGISTRO],DADOS!$N$3,tabela_registros[TIPO],DADOS!$V$4,tabela_registros[CATEGORIA],receitasvariáveisconsolidadoout[[#This Row],[ATUAL]])</f>
        <v>0</v>
      </c>
      <c r="G96" s="91">
        <f>SUMIFS(tabela_registros[VALOR],tabela_registros[MÊS],$AE$1,tabela_registros[DIA],receitasvariáveisconsolidadoout[[#Headers],[3]],tabela_registros[REGISTRO],DADOS!$N$3,tabela_registros[TIPO],DADOS!$V$4,tabela_registros[CATEGORIA],receitasvariáveisconsolidadoout[[#This Row],[ATUAL]])</f>
        <v>0</v>
      </c>
      <c r="H96" s="91">
        <f>SUMIFS(tabela_registros[VALOR],tabela_registros[MÊS],$AE$1,tabela_registros[DIA],receitasvariáveisconsolidadoout[[#Headers],[4]],tabela_registros[REGISTRO],DADOS!$N$3,tabela_registros[TIPO],DADOS!$V$4,tabela_registros[CATEGORIA],receitasvariáveisconsolidadoout[[#This Row],[ATUAL]])</f>
        <v>0</v>
      </c>
      <c r="I96" s="91">
        <f>SUMIFS(tabela_registros[VALOR],tabela_registros[MÊS],$AE$1,tabela_registros[DIA],receitasvariáveisconsolidadoout[[#Headers],[5]],tabela_registros[REGISTRO],DADOS!$N$3,tabela_registros[TIPO],DADOS!$V$4,tabela_registros[CATEGORIA],receitasvariáveisconsolidadoout[[#This Row],[ATUAL]])</f>
        <v>0</v>
      </c>
      <c r="J96" s="91">
        <f>SUMIFS(tabela_registros[VALOR],tabela_registros[MÊS],$AE$1,tabela_registros[DIA],receitasvariáveisconsolidadoout[[#Headers],[6]],tabela_registros[REGISTRO],DADOS!$N$3,tabela_registros[TIPO],DADOS!$V$4,tabela_registros[CATEGORIA],receitasvariáveisconsolidadoout[[#This Row],[ATUAL]])</f>
        <v>0</v>
      </c>
      <c r="K96" s="91">
        <f>SUMIFS(tabela_registros[VALOR],tabela_registros[MÊS],$AE$1,tabela_registros[DIA],receitasvariáveisconsolidadoout[[#Headers],[7]],tabela_registros[REGISTRO],DADOS!$N$3,tabela_registros[TIPO],DADOS!$V$4,tabela_registros[CATEGORIA],receitasvariáveisconsolidadoout[[#This Row],[ATUAL]])</f>
        <v>0</v>
      </c>
      <c r="L96" s="91">
        <f>SUMIFS(tabela_registros[VALOR],tabela_registros[MÊS],$AE$1,tabela_registros[DIA],receitasvariáveisconsolidadoout[[#Headers],[8]],tabela_registros[REGISTRO],DADOS!$N$3,tabela_registros[TIPO],DADOS!$V$4,tabela_registros[CATEGORIA],receitasvariáveisconsolidadoout[[#This Row],[ATUAL]])</f>
        <v>0</v>
      </c>
      <c r="M96" s="91">
        <f>SUMIFS(tabela_registros[VALOR],tabela_registros[MÊS],$AE$1,tabela_registros[DIA],receitasvariáveisconsolidadoout[[#Headers],[9]],tabela_registros[REGISTRO],DADOS!$N$3,tabela_registros[TIPO],DADOS!$V$4,tabela_registros[CATEGORIA],receitasvariáveisconsolidadoout[[#This Row],[ATUAL]])</f>
        <v>0</v>
      </c>
      <c r="N96" s="91">
        <f>SUMIFS(tabela_registros[VALOR],tabela_registros[MÊS],$AE$1,tabela_registros[DIA],receitasvariáveisconsolidadoout[[#Headers],[10]],tabela_registros[REGISTRO],DADOS!$N$3,tabela_registros[TIPO],DADOS!$V$4,tabela_registros[CATEGORIA],receitasvariáveisconsolidadoout[[#This Row],[ATUAL]])</f>
        <v>0</v>
      </c>
      <c r="O96" s="91">
        <f>SUMIFS(tabela_registros[VALOR],tabela_registros[MÊS],$AE$1,tabela_registros[DIA],receitasvariáveisconsolidadoout[[#Headers],[11]],tabela_registros[REGISTRO],DADOS!$N$3,tabela_registros[TIPO],DADOS!$V$4,tabela_registros[CATEGORIA],receitasvariáveisconsolidadoout[[#This Row],[ATUAL]])</f>
        <v>0</v>
      </c>
      <c r="P96" s="91">
        <f>SUMIFS(tabela_registros[VALOR],tabela_registros[MÊS],$AE$1,tabela_registros[DIA],receitasvariáveisconsolidadoout[[#Headers],[12]],tabela_registros[REGISTRO],DADOS!$N$3,tabela_registros[TIPO],DADOS!$V$4,tabela_registros[CATEGORIA],receitasvariáveisconsolidadoout[[#This Row],[ATUAL]])</f>
        <v>0</v>
      </c>
      <c r="Q96" s="91">
        <f>SUMIFS(tabela_registros[VALOR],tabela_registros[MÊS],$AE$1,tabela_registros[DIA],receitasvariáveisconsolidadoout[[#Headers],[13]],tabela_registros[REGISTRO],DADOS!$N$3,tabela_registros[TIPO],DADOS!$V$4,tabela_registros[CATEGORIA],receitasvariáveisconsolidadoout[[#This Row],[ATUAL]])</f>
        <v>0</v>
      </c>
      <c r="R96" s="91">
        <f>SUMIFS(tabela_registros[VALOR],tabela_registros[MÊS],$AE$1,tabela_registros[DIA],receitasvariáveisconsolidadoout[[#Headers],[14]],tabela_registros[REGISTRO],DADOS!$N$3,tabela_registros[TIPO],DADOS!$V$4,tabela_registros[CATEGORIA],receitasvariáveisconsolidadoout[[#This Row],[ATUAL]])</f>
        <v>0</v>
      </c>
      <c r="S96" s="91">
        <f>SUMIFS(tabela_registros[VALOR],tabela_registros[MÊS],$AE$1,tabela_registros[DIA],receitasvariáveisconsolidadoout[[#Headers],[15]],tabela_registros[REGISTRO],DADOS!$N$3,tabela_registros[TIPO],DADOS!$V$4,tabela_registros[CATEGORIA],receitasvariáveisconsolidadoout[[#This Row],[ATUAL]])</f>
        <v>0</v>
      </c>
      <c r="T96" s="91">
        <f>SUMIFS(tabela_registros[VALOR],tabela_registros[MÊS],$AE$1,tabela_registros[DIA],receitasvariáveisconsolidadoout[[#Headers],[16]],tabela_registros[REGISTRO],DADOS!$N$3,tabela_registros[TIPO],DADOS!$V$4,tabela_registros[CATEGORIA],receitasvariáveisconsolidadoout[[#This Row],[ATUAL]])</f>
        <v>0</v>
      </c>
      <c r="U96" s="91">
        <f>SUMIFS(tabela_registros[VALOR],tabela_registros[MÊS],$AE$1,tabela_registros[DIA],receitasvariáveisconsolidadoout[[#Headers],[17]],tabela_registros[REGISTRO],DADOS!$N$3,tabela_registros[TIPO],DADOS!$V$4,tabela_registros[CATEGORIA],receitasvariáveisconsolidadoout[[#This Row],[ATUAL]])</f>
        <v>0</v>
      </c>
      <c r="V96" s="91">
        <f>SUMIFS(tabela_registros[VALOR],tabela_registros[MÊS],$AE$1,tabela_registros[DIA],receitasvariáveisconsolidadoout[[#Headers],[18]],tabela_registros[REGISTRO],DADOS!$N$3,tabela_registros[TIPO],DADOS!$V$4,tabela_registros[CATEGORIA],receitasvariáveisconsolidadoout[[#This Row],[ATUAL]])</f>
        <v>0</v>
      </c>
      <c r="W96" s="91">
        <f>SUMIFS(tabela_registros[VALOR],tabela_registros[MÊS],$AE$1,tabela_registros[DIA],receitasvariáveisconsolidadoout[[#Headers],[19]],tabela_registros[REGISTRO],DADOS!$N$3,tabela_registros[TIPO],DADOS!$V$4,tabela_registros[CATEGORIA],receitasvariáveisconsolidadoout[[#This Row],[ATUAL]])</f>
        <v>0</v>
      </c>
      <c r="X96" s="91">
        <f>SUMIFS(tabela_registros[VALOR],tabela_registros[MÊS],$AE$1,tabela_registros[DIA],receitasvariáveisconsolidadoout[[#Headers],[20]],tabela_registros[REGISTRO],DADOS!$N$3,tabela_registros[TIPO],DADOS!$V$4,tabela_registros[CATEGORIA],receitasvariáveisconsolidadoout[[#This Row],[ATUAL]])</f>
        <v>0</v>
      </c>
      <c r="Y96" s="91">
        <f>SUMIFS(tabela_registros[VALOR],tabela_registros[MÊS],$AE$1,tabela_registros[DIA],receitasvariáveisconsolidadoout[[#Headers],[21]],tabela_registros[REGISTRO],DADOS!$N$3,tabela_registros[TIPO],DADOS!$V$4,tabela_registros[CATEGORIA],receitasvariáveisconsolidadoout[[#This Row],[ATUAL]])</f>
        <v>0</v>
      </c>
      <c r="Z96" s="91">
        <f>SUMIFS(tabela_registros[VALOR],tabela_registros[MÊS],$AE$1,tabela_registros[DIA],receitasvariáveisconsolidadoout[[#Headers],[22]],tabela_registros[REGISTRO],DADOS!$N$3,tabela_registros[TIPO],DADOS!$V$4,tabela_registros[CATEGORIA],receitasvariáveisconsolidadoout[[#This Row],[ATUAL]])</f>
        <v>0</v>
      </c>
      <c r="AA96" s="91">
        <f>SUMIFS(tabela_registros[VALOR],tabela_registros[MÊS],$AE$1,tabela_registros[DIA],receitasvariáveisconsolidadoout[[#Headers],[23]],tabela_registros[REGISTRO],DADOS!$N$3,tabela_registros[TIPO],DADOS!$V$4,tabela_registros[CATEGORIA],receitasvariáveisconsolidadoout[[#This Row],[ATUAL]])</f>
        <v>0</v>
      </c>
      <c r="AB96" s="91">
        <f>SUMIFS(tabela_registros[VALOR],tabela_registros[MÊS],$AE$1,tabela_registros[DIA],receitasvariáveisconsolidadoout[[#Headers],[24]],tabela_registros[REGISTRO],DADOS!$N$3,tabela_registros[TIPO],DADOS!$V$4,tabela_registros[CATEGORIA],receitasvariáveisconsolidadoout[[#This Row],[ATUAL]])</f>
        <v>0</v>
      </c>
      <c r="AC96" s="91">
        <f>SUMIFS(tabela_registros[VALOR],tabela_registros[MÊS],$AE$1,tabela_registros[DIA],receitasvariáveisconsolidadoout[[#Headers],[25]],tabela_registros[REGISTRO],DADOS!$N$3,tabela_registros[TIPO],DADOS!$V$4,tabela_registros[CATEGORIA],receitasvariáveisconsolidadoout[[#This Row],[ATUAL]])</f>
        <v>0</v>
      </c>
      <c r="AD96" s="91">
        <f>SUMIFS(tabela_registros[VALOR],tabela_registros[MÊS],$AE$1,tabela_registros[DIA],receitasvariáveisconsolidadoout[[#Headers],[26]],tabela_registros[REGISTRO],DADOS!$N$3,tabela_registros[TIPO],DADOS!$V$4,tabela_registros[CATEGORIA],receitasvariáveisconsolidadoout[[#This Row],[ATUAL]])</f>
        <v>0</v>
      </c>
      <c r="AE96" s="91">
        <f>SUMIFS(tabela_registros[VALOR],tabela_registros[MÊS],$AE$1,tabela_registros[DIA],receitasvariáveisconsolidadoout[[#Headers],[27]],tabela_registros[REGISTRO],DADOS!$N$3,tabela_registros[TIPO],DADOS!$V$4,tabela_registros[CATEGORIA],receitasvariáveisconsolidadoout[[#This Row],[ATUAL]])</f>
        <v>0</v>
      </c>
      <c r="AF96" s="91">
        <f>SUMIFS(tabela_registros[VALOR],tabela_registros[MÊS],$AE$1,tabela_registros[DIA],receitasvariáveisconsolidadoout[[#Headers],[28]],tabela_registros[REGISTRO],DADOS!$N$3,tabela_registros[TIPO],DADOS!$V$4,tabela_registros[CATEGORIA],receitasvariáveisconsolidadoout[[#This Row],[ATUAL]])</f>
        <v>0</v>
      </c>
      <c r="AG96" s="91">
        <f>SUMIFS(tabela_registros[VALOR],tabela_registros[MÊS],$AE$1,tabela_registros[DIA],receitasvariáveisconsolidadoout[[#Headers],[29]],tabela_registros[REGISTRO],DADOS!$N$3,tabela_registros[TIPO],DADOS!$V$4,tabela_registros[CATEGORIA],receitasvariáveisconsolidadoout[[#This Row],[ATUAL]])</f>
        <v>0</v>
      </c>
      <c r="AH96" s="91">
        <f>SUMIFS(tabela_registros[VALOR],tabela_registros[MÊS],$AE$1,tabela_registros[DIA],receitasvariáveisconsolidadoout[[#Headers],[30]],tabela_registros[REGISTRO],DADOS!$N$3,tabela_registros[TIPO],DADOS!$V$4,tabela_registros[CATEGORIA],receitasvariáveisconsolidadoout[[#This Row],[ATUAL]])</f>
        <v>0</v>
      </c>
      <c r="AI96" s="101">
        <f>SUMIFS(tabela_registros[VALOR],tabela_registros[MÊS],$AE$1,tabela_registros[DIA],receitasvariáveisconsolidadoout[[#Headers],[31]],tabela_registros[REGISTRO],DADOS!$N$3,tabela_registros[TIPO],DADOS!$V$4,tabela_registros[CATEGORIA],receitasvariáveisconsolidadoout[[#This Row],[ATUAL]])</f>
        <v>0</v>
      </c>
      <c r="AJ96" s="97">
        <f>SUM(receitasvariáveisconsolidadoout[[#This Row],[1]:[31]])</f>
        <v>0</v>
      </c>
      <c r="AK96" s="25"/>
    </row>
    <row r="97" spans="2:37" ht="19.5" customHeight="1" thickTop="1" thickBot="1" x14ac:dyDescent="0.3">
      <c r="B97" s="28"/>
      <c r="C97" s="27" t="str">
        <f>DADOS!$Z$4</f>
        <v>🤑 COMISSÃO</v>
      </c>
      <c r="D97" s="26" t="str">
        <f>IF(receitasvariáveisconsolidadoout[[#This Row],[TOTAL (R$)]]=0,"",IF(OR(receitasvariáveisconsolidadoout[[#This Row],[TOTAL (R$)]]=LARGE($AJ$96:$AJ$103,1),receitasvariáveisconsolidadoout[[#This Row],[TOTAL (R$)]]=LARGE($AJ$96:$AJ$103,2)),DADOS!$I$9,""))</f>
        <v/>
      </c>
      <c r="E97" s="96">
        <f>SUMIFS(tabela_registros[VALOR],tabela_registros[MÊS],$AE$1,tabela_registros[DIA],receitasvariáveisconsolidadoout[[#Headers],[1]],tabela_registros[REGISTRO],DADOS!$N$3,tabela_registros[TIPO],DADOS!$V$4,tabela_registros[CATEGORIA],receitasvariáveisconsolidadoout[[#This Row],[ATUAL]])</f>
        <v>0</v>
      </c>
      <c r="F97" s="91">
        <f>SUMIFS(tabela_registros[VALOR],tabela_registros[MÊS],$AE$1,tabela_registros[DIA],receitasvariáveisconsolidadoout[[#Headers],[2]],tabela_registros[REGISTRO],DADOS!$N$3,tabela_registros[TIPO],DADOS!$V$4,tabela_registros[CATEGORIA],receitasvariáveisconsolidadoout[[#This Row],[ATUAL]])</f>
        <v>0</v>
      </c>
      <c r="G97" s="91">
        <f>SUMIFS(tabela_registros[VALOR],tabela_registros[MÊS],$AE$1,tabela_registros[DIA],receitasvariáveisconsolidadoout[[#Headers],[3]],tabela_registros[REGISTRO],DADOS!$N$3,tabela_registros[TIPO],DADOS!$V$4,tabela_registros[CATEGORIA],receitasvariáveisconsolidadoout[[#This Row],[ATUAL]])</f>
        <v>0</v>
      </c>
      <c r="H97" s="91">
        <f>SUMIFS(tabela_registros[VALOR],tabela_registros[MÊS],$AE$1,tabela_registros[DIA],receitasvariáveisconsolidadoout[[#Headers],[4]],tabela_registros[REGISTRO],DADOS!$N$3,tabela_registros[TIPO],DADOS!$V$4,tabela_registros[CATEGORIA],receitasvariáveisconsolidadoout[[#This Row],[ATUAL]])</f>
        <v>0</v>
      </c>
      <c r="I97" s="91">
        <f>SUMIFS(tabela_registros[VALOR],tabela_registros[MÊS],$AE$1,tabela_registros[DIA],receitasvariáveisconsolidadoout[[#Headers],[5]],tabela_registros[REGISTRO],DADOS!$N$3,tabela_registros[TIPO],DADOS!$V$4,tabela_registros[CATEGORIA],receitasvariáveisconsolidadoout[[#This Row],[ATUAL]])</f>
        <v>0</v>
      </c>
      <c r="J97" s="91">
        <f>SUMIFS(tabela_registros[VALOR],tabela_registros[MÊS],$AE$1,tabela_registros[DIA],receitasvariáveisconsolidadoout[[#Headers],[6]],tabela_registros[REGISTRO],DADOS!$N$3,tabela_registros[TIPO],DADOS!$V$4,tabela_registros[CATEGORIA],receitasvariáveisconsolidadoout[[#This Row],[ATUAL]])</f>
        <v>0</v>
      </c>
      <c r="K97" s="91">
        <f>SUMIFS(tabela_registros[VALOR],tabela_registros[MÊS],$AE$1,tabela_registros[DIA],receitasvariáveisconsolidadoout[[#Headers],[7]],tabela_registros[REGISTRO],DADOS!$N$3,tabela_registros[TIPO],DADOS!$V$4,tabela_registros[CATEGORIA],receitasvariáveisconsolidadoout[[#This Row],[ATUAL]])</f>
        <v>0</v>
      </c>
      <c r="L97" s="91">
        <f>SUMIFS(tabela_registros[VALOR],tabela_registros[MÊS],$AE$1,tabela_registros[DIA],receitasvariáveisconsolidadoout[[#Headers],[8]],tabela_registros[REGISTRO],DADOS!$N$3,tabela_registros[TIPO],DADOS!$V$4,tabela_registros[CATEGORIA],receitasvariáveisconsolidadoout[[#This Row],[ATUAL]])</f>
        <v>0</v>
      </c>
      <c r="M97" s="91">
        <f>SUMIFS(tabela_registros[VALOR],tabela_registros[MÊS],$AE$1,tabela_registros[DIA],receitasvariáveisconsolidadoout[[#Headers],[9]],tabela_registros[REGISTRO],DADOS!$N$3,tabela_registros[TIPO],DADOS!$V$4,tabela_registros[CATEGORIA],receitasvariáveisconsolidadoout[[#This Row],[ATUAL]])</f>
        <v>0</v>
      </c>
      <c r="N97" s="91">
        <f>SUMIFS(tabela_registros[VALOR],tabela_registros[MÊS],$AE$1,tabela_registros[DIA],receitasvariáveisconsolidadoout[[#Headers],[10]],tabela_registros[REGISTRO],DADOS!$N$3,tabela_registros[TIPO],DADOS!$V$4,tabela_registros[CATEGORIA],receitasvariáveisconsolidadoout[[#This Row],[ATUAL]])</f>
        <v>0</v>
      </c>
      <c r="O97" s="91">
        <f>SUMIFS(tabela_registros[VALOR],tabela_registros[MÊS],$AE$1,tabela_registros[DIA],receitasvariáveisconsolidadoout[[#Headers],[11]],tabela_registros[REGISTRO],DADOS!$N$3,tabela_registros[TIPO],DADOS!$V$4,tabela_registros[CATEGORIA],receitasvariáveisconsolidadoout[[#This Row],[ATUAL]])</f>
        <v>0</v>
      </c>
      <c r="P97" s="91">
        <f>SUMIFS(tabela_registros[VALOR],tabela_registros[MÊS],$AE$1,tabela_registros[DIA],receitasvariáveisconsolidadoout[[#Headers],[12]],tabela_registros[REGISTRO],DADOS!$N$3,tabela_registros[TIPO],DADOS!$V$4,tabela_registros[CATEGORIA],receitasvariáveisconsolidadoout[[#This Row],[ATUAL]])</f>
        <v>0</v>
      </c>
      <c r="Q97" s="91">
        <f>SUMIFS(tabela_registros[VALOR],tabela_registros[MÊS],$AE$1,tabela_registros[DIA],receitasvariáveisconsolidadoout[[#Headers],[13]],tabela_registros[REGISTRO],DADOS!$N$3,tabela_registros[TIPO],DADOS!$V$4,tabela_registros[CATEGORIA],receitasvariáveisconsolidadoout[[#This Row],[ATUAL]])</f>
        <v>0</v>
      </c>
      <c r="R97" s="91">
        <f>SUMIFS(tabela_registros[VALOR],tabela_registros[MÊS],$AE$1,tabela_registros[DIA],receitasvariáveisconsolidadoout[[#Headers],[14]],tabela_registros[REGISTRO],DADOS!$N$3,tabela_registros[TIPO],DADOS!$V$4,tabela_registros[CATEGORIA],receitasvariáveisconsolidadoout[[#This Row],[ATUAL]])</f>
        <v>0</v>
      </c>
      <c r="S97" s="91">
        <f>SUMIFS(tabela_registros[VALOR],tabela_registros[MÊS],$AE$1,tabela_registros[DIA],receitasvariáveisconsolidadoout[[#Headers],[15]],tabela_registros[REGISTRO],DADOS!$N$3,tabela_registros[TIPO],DADOS!$V$4,tabela_registros[CATEGORIA],receitasvariáveisconsolidadoout[[#This Row],[ATUAL]])</f>
        <v>0</v>
      </c>
      <c r="T97" s="91">
        <f>SUMIFS(tabela_registros[VALOR],tabela_registros[MÊS],$AE$1,tabela_registros[DIA],receitasvariáveisconsolidadoout[[#Headers],[16]],tabela_registros[REGISTRO],DADOS!$N$3,tabela_registros[TIPO],DADOS!$V$4,tabela_registros[CATEGORIA],receitasvariáveisconsolidadoout[[#This Row],[ATUAL]])</f>
        <v>0</v>
      </c>
      <c r="U97" s="91">
        <f>SUMIFS(tabela_registros[VALOR],tabela_registros[MÊS],$AE$1,tabela_registros[DIA],receitasvariáveisconsolidadoout[[#Headers],[17]],tabela_registros[REGISTRO],DADOS!$N$3,tabela_registros[TIPO],DADOS!$V$4,tabela_registros[CATEGORIA],receitasvariáveisconsolidadoout[[#This Row],[ATUAL]])</f>
        <v>0</v>
      </c>
      <c r="V97" s="91">
        <f>SUMIFS(tabela_registros[VALOR],tabela_registros[MÊS],$AE$1,tabela_registros[DIA],receitasvariáveisconsolidadoout[[#Headers],[18]],tabela_registros[REGISTRO],DADOS!$N$3,tabela_registros[TIPO],DADOS!$V$4,tabela_registros[CATEGORIA],receitasvariáveisconsolidadoout[[#This Row],[ATUAL]])</f>
        <v>0</v>
      </c>
      <c r="W97" s="91">
        <f>SUMIFS(tabela_registros[VALOR],tabela_registros[MÊS],$AE$1,tabela_registros[DIA],receitasvariáveisconsolidadoout[[#Headers],[19]],tabela_registros[REGISTRO],DADOS!$N$3,tabela_registros[TIPO],DADOS!$V$4,tabela_registros[CATEGORIA],receitasvariáveisconsolidadoout[[#This Row],[ATUAL]])</f>
        <v>0</v>
      </c>
      <c r="X97" s="91">
        <f>SUMIFS(tabela_registros[VALOR],tabela_registros[MÊS],$AE$1,tabela_registros[DIA],receitasvariáveisconsolidadoout[[#Headers],[20]],tabela_registros[REGISTRO],DADOS!$N$3,tabela_registros[TIPO],DADOS!$V$4,tabela_registros[CATEGORIA],receitasvariáveisconsolidadoout[[#This Row],[ATUAL]])</f>
        <v>0</v>
      </c>
      <c r="Y97" s="91">
        <f>SUMIFS(tabela_registros[VALOR],tabela_registros[MÊS],$AE$1,tabela_registros[DIA],receitasvariáveisconsolidadoout[[#Headers],[21]],tabela_registros[REGISTRO],DADOS!$N$3,tabela_registros[TIPO],DADOS!$V$4,tabela_registros[CATEGORIA],receitasvariáveisconsolidadoout[[#This Row],[ATUAL]])</f>
        <v>0</v>
      </c>
      <c r="Z97" s="91">
        <f>SUMIFS(tabela_registros[VALOR],tabela_registros[MÊS],$AE$1,tabela_registros[DIA],receitasvariáveisconsolidadoout[[#Headers],[22]],tabela_registros[REGISTRO],DADOS!$N$3,tabela_registros[TIPO],DADOS!$V$4,tabela_registros[CATEGORIA],receitasvariáveisconsolidadoout[[#This Row],[ATUAL]])</f>
        <v>0</v>
      </c>
      <c r="AA97" s="91">
        <f>SUMIFS(tabela_registros[VALOR],tabela_registros[MÊS],$AE$1,tabela_registros[DIA],receitasvariáveisconsolidadoout[[#Headers],[23]],tabela_registros[REGISTRO],DADOS!$N$3,tabela_registros[TIPO],DADOS!$V$4,tabela_registros[CATEGORIA],receitasvariáveisconsolidadoout[[#This Row],[ATUAL]])</f>
        <v>0</v>
      </c>
      <c r="AB97" s="91">
        <f>SUMIFS(tabela_registros[VALOR],tabela_registros[MÊS],$AE$1,tabela_registros[DIA],receitasvariáveisconsolidadoout[[#Headers],[24]],tabela_registros[REGISTRO],DADOS!$N$3,tabela_registros[TIPO],DADOS!$V$4,tabela_registros[CATEGORIA],receitasvariáveisconsolidadoout[[#This Row],[ATUAL]])</f>
        <v>0</v>
      </c>
      <c r="AC97" s="91">
        <f>SUMIFS(tabela_registros[VALOR],tabela_registros[MÊS],$AE$1,tabela_registros[DIA],receitasvariáveisconsolidadoout[[#Headers],[25]],tabela_registros[REGISTRO],DADOS!$N$3,tabela_registros[TIPO],DADOS!$V$4,tabela_registros[CATEGORIA],receitasvariáveisconsolidadoout[[#This Row],[ATUAL]])</f>
        <v>0</v>
      </c>
      <c r="AD97" s="91">
        <f>SUMIFS(tabela_registros[VALOR],tabela_registros[MÊS],$AE$1,tabela_registros[DIA],receitasvariáveisconsolidadoout[[#Headers],[26]],tabela_registros[REGISTRO],DADOS!$N$3,tabela_registros[TIPO],DADOS!$V$4,tabela_registros[CATEGORIA],receitasvariáveisconsolidadoout[[#This Row],[ATUAL]])</f>
        <v>0</v>
      </c>
      <c r="AE97" s="91">
        <f>SUMIFS(tabela_registros[VALOR],tabela_registros[MÊS],$AE$1,tabela_registros[DIA],receitasvariáveisconsolidadoout[[#Headers],[27]],tabela_registros[REGISTRO],DADOS!$N$3,tabela_registros[TIPO],DADOS!$V$4,tabela_registros[CATEGORIA],receitasvariáveisconsolidadoout[[#This Row],[ATUAL]])</f>
        <v>0</v>
      </c>
      <c r="AF97" s="91">
        <f>SUMIFS(tabela_registros[VALOR],tabela_registros[MÊS],$AE$1,tabela_registros[DIA],receitasvariáveisconsolidadoout[[#Headers],[28]],tabela_registros[REGISTRO],DADOS!$N$3,tabela_registros[TIPO],DADOS!$V$4,tabela_registros[CATEGORIA],receitasvariáveisconsolidadoout[[#This Row],[ATUAL]])</f>
        <v>0</v>
      </c>
      <c r="AG97" s="91">
        <f>SUMIFS(tabela_registros[VALOR],tabela_registros[MÊS],$AE$1,tabela_registros[DIA],receitasvariáveisconsolidadoout[[#Headers],[29]],tabela_registros[REGISTRO],DADOS!$N$3,tabela_registros[TIPO],DADOS!$V$4,tabela_registros[CATEGORIA],receitasvariáveisconsolidadoout[[#This Row],[ATUAL]])</f>
        <v>0</v>
      </c>
      <c r="AH97" s="91">
        <f>SUMIFS(tabela_registros[VALOR],tabela_registros[MÊS],$AE$1,tabela_registros[DIA],receitasvariáveisconsolidadoout[[#Headers],[30]],tabela_registros[REGISTRO],DADOS!$N$3,tabela_registros[TIPO],DADOS!$V$4,tabela_registros[CATEGORIA],receitasvariáveisconsolidadoout[[#This Row],[ATUAL]])</f>
        <v>0</v>
      </c>
      <c r="AI97" s="101">
        <f>SUMIFS(tabela_registros[VALOR],tabela_registros[MÊS],$AE$1,tabela_registros[DIA],receitasvariáveisconsolidadoout[[#Headers],[31]],tabela_registros[REGISTRO],DADOS!$N$3,tabela_registros[TIPO],DADOS!$V$4,tabela_registros[CATEGORIA],receitasvariáveisconsolidadoout[[#This Row],[ATUAL]])</f>
        <v>0</v>
      </c>
      <c r="AJ97" s="97">
        <f>SUM(receitasvariáveisconsolidadoout[[#This Row],[1]:[31]])</f>
        <v>0</v>
      </c>
      <c r="AK97" s="25"/>
    </row>
    <row r="98" spans="2:37" ht="19.5" customHeight="1" thickTop="1" thickBot="1" x14ac:dyDescent="0.3">
      <c r="B98" s="28"/>
      <c r="C98" s="27" t="str">
        <f>DADOS!$Z$5</f>
        <v>🎗️ HERANÇA</v>
      </c>
      <c r="D98" s="26" t="str">
        <f>IF(receitasvariáveisconsolidadoout[[#This Row],[TOTAL (R$)]]=0,"",IF(OR(receitasvariáveisconsolidadoout[[#This Row],[TOTAL (R$)]]=LARGE($AJ$96:$AJ$103,1),receitasvariáveisconsolidadoout[[#This Row],[TOTAL (R$)]]=LARGE($AJ$96:$AJ$103,2)),DADOS!$I$9,""))</f>
        <v/>
      </c>
      <c r="E98" s="96">
        <f>SUMIFS(tabela_registros[VALOR],tabela_registros[MÊS],$AE$1,tabela_registros[DIA],receitasvariáveisconsolidadoout[[#Headers],[1]],tabela_registros[REGISTRO],DADOS!$N$3,tabela_registros[TIPO],DADOS!$V$4,tabela_registros[CATEGORIA],receitasvariáveisconsolidadoout[[#This Row],[ATUAL]])</f>
        <v>0</v>
      </c>
      <c r="F98" s="91">
        <f>SUMIFS(tabela_registros[VALOR],tabela_registros[MÊS],$AE$1,tabela_registros[DIA],receitasvariáveisconsolidadoout[[#Headers],[2]],tabela_registros[REGISTRO],DADOS!$N$3,tabela_registros[TIPO],DADOS!$V$4,tabela_registros[CATEGORIA],receitasvariáveisconsolidadoout[[#This Row],[ATUAL]])</f>
        <v>0</v>
      </c>
      <c r="G98" s="91">
        <f>SUMIFS(tabela_registros[VALOR],tabela_registros[MÊS],$AE$1,tabela_registros[DIA],receitasvariáveisconsolidadoout[[#Headers],[3]],tabela_registros[REGISTRO],DADOS!$N$3,tabela_registros[TIPO],DADOS!$V$4,tabela_registros[CATEGORIA],receitasvariáveisconsolidadoout[[#This Row],[ATUAL]])</f>
        <v>0</v>
      </c>
      <c r="H98" s="91">
        <f>SUMIFS(tabela_registros[VALOR],tabela_registros[MÊS],$AE$1,tabela_registros[DIA],receitasvariáveisconsolidadoout[[#Headers],[4]],tabela_registros[REGISTRO],DADOS!$N$3,tabela_registros[TIPO],DADOS!$V$4,tabela_registros[CATEGORIA],receitasvariáveisconsolidadoout[[#This Row],[ATUAL]])</f>
        <v>0</v>
      </c>
      <c r="I98" s="91">
        <f>SUMIFS(tabela_registros[VALOR],tabela_registros[MÊS],$AE$1,tabela_registros[DIA],receitasvariáveisconsolidadoout[[#Headers],[5]],tabela_registros[REGISTRO],DADOS!$N$3,tabela_registros[TIPO],DADOS!$V$4,tabela_registros[CATEGORIA],receitasvariáveisconsolidadoout[[#This Row],[ATUAL]])</f>
        <v>0</v>
      </c>
      <c r="J98" s="91">
        <f>SUMIFS(tabela_registros[VALOR],tabela_registros[MÊS],$AE$1,tabela_registros[DIA],receitasvariáveisconsolidadoout[[#Headers],[6]],tabela_registros[REGISTRO],DADOS!$N$3,tabela_registros[TIPO],DADOS!$V$4,tabela_registros[CATEGORIA],receitasvariáveisconsolidadoout[[#This Row],[ATUAL]])</f>
        <v>0</v>
      </c>
      <c r="K98" s="91">
        <f>SUMIFS(tabela_registros[VALOR],tabela_registros[MÊS],$AE$1,tabela_registros[DIA],receitasvariáveisconsolidadoout[[#Headers],[7]],tabela_registros[REGISTRO],DADOS!$N$3,tabela_registros[TIPO],DADOS!$V$4,tabela_registros[CATEGORIA],receitasvariáveisconsolidadoout[[#This Row],[ATUAL]])</f>
        <v>0</v>
      </c>
      <c r="L98" s="91">
        <f>SUMIFS(tabela_registros[VALOR],tabela_registros[MÊS],$AE$1,tabela_registros[DIA],receitasvariáveisconsolidadoout[[#Headers],[8]],tabela_registros[REGISTRO],DADOS!$N$3,tabela_registros[TIPO],DADOS!$V$4,tabela_registros[CATEGORIA],receitasvariáveisconsolidadoout[[#This Row],[ATUAL]])</f>
        <v>0</v>
      </c>
      <c r="M98" s="91">
        <f>SUMIFS(tabela_registros[VALOR],tabela_registros[MÊS],$AE$1,tabela_registros[DIA],receitasvariáveisconsolidadoout[[#Headers],[9]],tabela_registros[REGISTRO],DADOS!$N$3,tabela_registros[TIPO],DADOS!$V$4,tabela_registros[CATEGORIA],receitasvariáveisconsolidadoout[[#This Row],[ATUAL]])</f>
        <v>0</v>
      </c>
      <c r="N98" s="91">
        <f>SUMIFS(tabela_registros[VALOR],tabela_registros[MÊS],$AE$1,tabela_registros[DIA],receitasvariáveisconsolidadoout[[#Headers],[10]],tabela_registros[REGISTRO],DADOS!$N$3,tabela_registros[TIPO],DADOS!$V$4,tabela_registros[CATEGORIA],receitasvariáveisconsolidadoout[[#This Row],[ATUAL]])</f>
        <v>0</v>
      </c>
      <c r="O98" s="91">
        <f>SUMIFS(tabela_registros[VALOR],tabela_registros[MÊS],$AE$1,tabela_registros[DIA],receitasvariáveisconsolidadoout[[#Headers],[11]],tabela_registros[REGISTRO],DADOS!$N$3,tabela_registros[TIPO],DADOS!$V$4,tabela_registros[CATEGORIA],receitasvariáveisconsolidadoout[[#This Row],[ATUAL]])</f>
        <v>0</v>
      </c>
      <c r="P98" s="91">
        <f>SUMIFS(tabela_registros[VALOR],tabela_registros[MÊS],$AE$1,tabela_registros[DIA],receitasvariáveisconsolidadoout[[#Headers],[12]],tabela_registros[REGISTRO],DADOS!$N$3,tabela_registros[TIPO],DADOS!$V$4,tabela_registros[CATEGORIA],receitasvariáveisconsolidadoout[[#This Row],[ATUAL]])</f>
        <v>0</v>
      </c>
      <c r="Q98" s="91">
        <f>SUMIFS(tabela_registros[VALOR],tabela_registros[MÊS],$AE$1,tabela_registros[DIA],receitasvariáveisconsolidadoout[[#Headers],[13]],tabela_registros[REGISTRO],DADOS!$N$3,tabela_registros[TIPO],DADOS!$V$4,tabela_registros[CATEGORIA],receitasvariáveisconsolidadoout[[#This Row],[ATUAL]])</f>
        <v>0</v>
      </c>
      <c r="R98" s="91">
        <f>SUMIFS(tabela_registros[VALOR],tabela_registros[MÊS],$AE$1,tabela_registros[DIA],receitasvariáveisconsolidadoout[[#Headers],[14]],tabela_registros[REGISTRO],DADOS!$N$3,tabela_registros[TIPO],DADOS!$V$4,tabela_registros[CATEGORIA],receitasvariáveisconsolidadoout[[#This Row],[ATUAL]])</f>
        <v>0</v>
      </c>
      <c r="S98" s="91">
        <f>SUMIFS(tabela_registros[VALOR],tabela_registros[MÊS],$AE$1,tabela_registros[DIA],receitasvariáveisconsolidadoout[[#Headers],[15]],tabela_registros[REGISTRO],DADOS!$N$3,tabela_registros[TIPO],DADOS!$V$4,tabela_registros[CATEGORIA],receitasvariáveisconsolidadoout[[#This Row],[ATUAL]])</f>
        <v>0</v>
      </c>
      <c r="T98" s="91">
        <f>SUMIFS(tabela_registros[VALOR],tabela_registros[MÊS],$AE$1,tabela_registros[DIA],receitasvariáveisconsolidadoout[[#Headers],[16]],tabela_registros[REGISTRO],DADOS!$N$3,tabela_registros[TIPO],DADOS!$V$4,tabela_registros[CATEGORIA],receitasvariáveisconsolidadoout[[#This Row],[ATUAL]])</f>
        <v>0</v>
      </c>
      <c r="U98" s="91">
        <f>SUMIFS(tabela_registros[VALOR],tabela_registros[MÊS],$AE$1,tabela_registros[DIA],receitasvariáveisconsolidadoout[[#Headers],[17]],tabela_registros[REGISTRO],DADOS!$N$3,tabela_registros[TIPO],DADOS!$V$4,tabela_registros[CATEGORIA],receitasvariáveisconsolidadoout[[#This Row],[ATUAL]])</f>
        <v>0</v>
      </c>
      <c r="V98" s="91">
        <f>SUMIFS(tabela_registros[VALOR],tabela_registros[MÊS],$AE$1,tabela_registros[DIA],receitasvariáveisconsolidadoout[[#Headers],[18]],tabela_registros[REGISTRO],DADOS!$N$3,tabela_registros[TIPO],DADOS!$V$4,tabela_registros[CATEGORIA],receitasvariáveisconsolidadoout[[#This Row],[ATUAL]])</f>
        <v>0</v>
      </c>
      <c r="W98" s="91">
        <f>SUMIFS(tabela_registros[VALOR],tabela_registros[MÊS],$AE$1,tabela_registros[DIA],receitasvariáveisconsolidadoout[[#Headers],[19]],tabela_registros[REGISTRO],DADOS!$N$3,tabela_registros[TIPO],DADOS!$V$4,tabela_registros[CATEGORIA],receitasvariáveisconsolidadoout[[#This Row],[ATUAL]])</f>
        <v>0</v>
      </c>
      <c r="X98" s="91">
        <f>SUMIFS(tabela_registros[VALOR],tabela_registros[MÊS],$AE$1,tabela_registros[DIA],receitasvariáveisconsolidadoout[[#Headers],[20]],tabela_registros[REGISTRO],DADOS!$N$3,tabela_registros[TIPO],DADOS!$V$4,tabela_registros[CATEGORIA],receitasvariáveisconsolidadoout[[#This Row],[ATUAL]])</f>
        <v>0</v>
      </c>
      <c r="Y98" s="91">
        <f>SUMIFS(tabela_registros[VALOR],tabela_registros[MÊS],$AE$1,tabela_registros[DIA],receitasvariáveisconsolidadoout[[#Headers],[21]],tabela_registros[REGISTRO],DADOS!$N$3,tabela_registros[TIPO],DADOS!$V$4,tabela_registros[CATEGORIA],receitasvariáveisconsolidadoout[[#This Row],[ATUAL]])</f>
        <v>0</v>
      </c>
      <c r="Z98" s="91">
        <f>SUMIFS(tabela_registros[VALOR],tabela_registros[MÊS],$AE$1,tabela_registros[DIA],receitasvariáveisconsolidadoout[[#Headers],[22]],tabela_registros[REGISTRO],DADOS!$N$3,tabela_registros[TIPO],DADOS!$V$4,tabela_registros[CATEGORIA],receitasvariáveisconsolidadoout[[#This Row],[ATUAL]])</f>
        <v>0</v>
      </c>
      <c r="AA98" s="91">
        <f>SUMIFS(tabela_registros[VALOR],tabela_registros[MÊS],$AE$1,tabela_registros[DIA],receitasvariáveisconsolidadoout[[#Headers],[23]],tabela_registros[REGISTRO],DADOS!$N$3,tabela_registros[TIPO],DADOS!$V$4,tabela_registros[CATEGORIA],receitasvariáveisconsolidadoout[[#This Row],[ATUAL]])</f>
        <v>0</v>
      </c>
      <c r="AB98" s="91">
        <f>SUMIFS(tabela_registros[VALOR],tabela_registros[MÊS],$AE$1,tabela_registros[DIA],receitasvariáveisconsolidadoout[[#Headers],[24]],tabela_registros[REGISTRO],DADOS!$N$3,tabela_registros[TIPO],DADOS!$V$4,tabela_registros[CATEGORIA],receitasvariáveisconsolidadoout[[#This Row],[ATUAL]])</f>
        <v>0</v>
      </c>
      <c r="AC98" s="91">
        <f>SUMIFS(tabela_registros[VALOR],tabela_registros[MÊS],$AE$1,tabela_registros[DIA],receitasvariáveisconsolidadoout[[#Headers],[25]],tabela_registros[REGISTRO],DADOS!$N$3,tabela_registros[TIPO],DADOS!$V$4,tabela_registros[CATEGORIA],receitasvariáveisconsolidadoout[[#This Row],[ATUAL]])</f>
        <v>0</v>
      </c>
      <c r="AD98" s="91">
        <f>SUMIFS(tabela_registros[VALOR],tabela_registros[MÊS],$AE$1,tabela_registros[DIA],receitasvariáveisconsolidadoout[[#Headers],[26]],tabela_registros[REGISTRO],DADOS!$N$3,tabela_registros[TIPO],DADOS!$V$4,tabela_registros[CATEGORIA],receitasvariáveisconsolidadoout[[#This Row],[ATUAL]])</f>
        <v>0</v>
      </c>
      <c r="AE98" s="91">
        <f>SUMIFS(tabela_registros[VALOR],tabela_registros[MÊS],$AE$1,tabela_registros[DIA],receitasvariáveisconsolidadoout[[#Headers],[27]],tabela_registros[REGISTRO],DADOS!$N$3,tabela_registros[TIPO],DADOS!$V$4,tabela_registros[CATEGORIA],receitasvariáveisconsolidadoout[[#This Row],[ATUAL]])</f>
        <v>0</v>
      </c>
      <c r="AF98" s="91">
        <f>SUMIFS(tabela_registros[VALOR],tabela_registros[MÊS],$AE$1,tabela_registros[DIA],receitasvariáveisconsolidadoout[[#Headers],[28]],tabela_registros[REGISTRO],DADOS!$N$3,tabela_registros[TIPO],DADOS!$V$4,tabela_registros[CATEGORIA],receitasvariáveisconsolidadoout[[#This Row],[ATUAL]])</f>
        <v>0</v>
      </c>
      <c r="AG98" s="91">
        <f>SUMIFS(tabela_registros[VALOR],tabela_registros[MÊS],$AE$1,tabela_registros[DIA],receitasvariáveisconsolidadoout[[#Headers],[29]],tabela_registros[REGISTRO],DADOS!$N$3,tabela_registros[TIPO],DADOS!$V$4,tabela_registros[CATEGORIA],receitasvariáveisconsolidadoout[[#This Row],[ATUAL]])</f>
        <v>0</v>
      </c>
      <c r="AH98" s="91">
        <f>SUMIFS(tabela_registros[VALOR],tabela_registros[MÊS],$AE$1,tabela_registros[DIA],receitasvariáveisconsolidadoout[[#Headers],[30]],tabela_registros[REGISTRO],DADOS!$N$3,tabela_registros[TIPO],DADOS!$V$4,tabela_registros[CATEGORIA],receitasvariáveisconsolidadoout[[#This Row],[ATUAL]])</f>
        <v>0</v>
      </c>
      <c r="AI98" s="101">
        <f>SUMIFS(tabela_registros[VALOR],tabela_registros[MÊS],$AE$1,tabela_registros[DIA],receitasvariáveisconsolidadoout[[#Headers],[31]],tabela_registros[REGISTRO],DADOS!$N$3,tabela_registros[TIPO],DADOS!$V$4,tabela_registros[CATEGORIA],receitasvariáveisconsolidadoout[[#This Row],[ATUAL]])</f>
        <v>0</v>
      </c>
      <c r="AJ98" s="97">
        <f>SUM(receitasvariáveisconsolidadoout[[#This Row],[1]:[31]])</f>
        <v>0</v>
      </c>
      <c r="AK98" s="25"/>
    </row>
    <row r="99" spans="2:37" ht="19.5" customHeight="1" thickTop="1" thickBot="1" x14ac:dyDescent="0.3">
      <c r="B99" s="28"/>
      <c r="C99" s="27" t="str">
        <f>DADOS!$Z$6</f>
        <v>💲 INVESTIMENTOS</v>
      </c>
      <c r="D99" s="26" t="str">
        <f>IF(receitasvariáveisconsolidadoout[[#This Row],[TOTAL (R$)]]=0,"",IF(OR(receitasvariáveisconsolidadoout[[#This Row],[TOTAL (R$)]]=LARGE($AJ$96:$AJ$103,1),receitasvariáveisconsolidadoout[[#This Row],[TOTAL (R$)]]=LARGE($AJ$96:$AJ$103,2)),DADOS!$I$9,""))</f>
        <v/>
      </c>
      <c r="E99" s="96">
        <f>SUMIFS(tabela_registros[VALOR],tabela_registros[MÊS],$AE$1,tabela_registros[DIA],receitasvariáveisconsolidadoout[[#Headers],[1]],tabela_registros[REGISTRO],DADOS!$N$3,tabela_registros[TIPO],DADOS!$V$4,tabela_registros[CATEGORIA],receitasvariáveisconsolidadoout[[#This Row],[ATUAL]])</f>
        <v>0</v>
      </c>
      <c r="F99" s="91">
        <f>SUMIFS(tabela_registros[VALOR],tabela_registros[MÊS],$AE$1,tabela_registros[DIA],receitasvariáveisconsolidadoout[[#Headers],[2]],tabela_registros[REGISTRO],DADOS!$N$3,tabela_registros[TIPO],DADOS!$V$4,tabela_registros[CATEGORIA],receitasvariáveisconsolidadoout[[#This Row],[ATUAL]])</f>
        <v>0</v>
      </c>
      <c r="G99" s="91">
        <f>SUMIFS(tabela_registros[VALOR],tabela_registros[MÊS],$AE$1,tabela_registros[DIA],receitasvariáveisconsolidadoout[[#Headers],[3]],tabela_registros[REGISTRO],DADOS!$N$3,tabela_registros[TIPO],DADOS!$V$4,tabela_registros[CATEGORIA],receitasvariáveisconsolidadoout[[#This Row],[ATUAL]])</f>
        <v>0</v>
      </c>
      <c r="H99" s="91">
        <f>SUMIFS(tabela_registros[VALOR],tabela_registros[MÊS],$AE$1,tabela_registros[DIA],receitasvariáveisconsolidadoout[[#Headers],[4]],tabela_registros[REGISTRO],DADOS!$N$3,tabela_registros[TIPO],DADOS!$V$4,tabela_registros[CATEGORIA],receitasvariáveisconsolidadoout[[#This Row],[ATUAL]])</f>
        <v>0</v>
      </c>
      <c r="I99" s="91">
        <f>SUMIFS(tabela_registros[VALOR],tabela_registros[MÊS],$AE$1,tabela_registros[DIA],receitasvariáveisconsolidadoout[[#Headers],[5]],tabela_registros[REGISTRO],DADOS!$N$3,tabela_registros[TIPO],DADOS!$V$4,tabela_registros[CATEGORIA],receitasvariáveisconsolidadoout[[#This Row],[ATUAL]])</f>
        <v>0</v>
      </c>
      <c r="J99" s="91">
        <f>SUMIFS(tabela_registros[VALOR],tabela_registros[MÊS],$AE$1,tabela_registros[DIA],receitasvariáveisconsolidadoout[[#Headers],[6]],tabela_registros[REGISTRO],DADOS!$N$3,tabela_registros[TIPO],DADOS!$V$4,tabela_registros[CATEGORIA],receitasvariáveisconsolidadoout[[#This Row],[ATUAL]])</f>
        <v>0</v>
      </c>
      <c r="K99" s="91">
        <f>SUMIFS(tabela_registros[VALOR],tabela_registros[MÊS],$AE$1,tabela_registros[DIA],receitasvariáveisconsolidadoout[[#Headers],[7]],tabela_registros[REGISTRO],DADOS!$N$3,tabela_registros[TIPO],DADOS!$V$4,tabela_registros[CATEGORIA],receitasvariáveisconsolidadoout[[#This Row],[ATUAL]])</f>
        <v>0</v>
      </c>
      <c r="L99" s="91">
        <f>SUMIFS(tabela_registros[VALOR],tabela_registros[MÊS],$AE$1,tabela_registros[DIA],receitasvariáveisconsolidadoout[[#Headers],[8]],tabela_registros[REGISTRO],DADOS!$N$3,tabela_registros[TIPO],DADOS!$V$4,tabela_registros[CATEGORIA],receitasvariáveisconsolidadoout[[#This Row],[ATUAL]])</f>
        <v>0</v>
      </c>
      <c r="M99" s="91">
        <f>SUMIFS(tabela_registros[VALOR],tabela_registros[MÊS],$AE$1,tabela_registros[DIA],receitasvariáveisconsolidadoout[[#Headers],[9]],tabela_registros[REGISTRO],DADOS!$N$3,tabela_registros[TIPO],DADOS!$V$4,tabela_registros[CATEGORIA],receitasvariáveisconsolidadoout[[#This Row],[ATUAL]])</f>
        <v>0</v>
      </c>
      <c r="N99" s="91">
        <f>SUMIFS(tabela_registros[VALOR],tabela_registros[MÊS],$AE$1,tabela_registros[DIA],receitasvariáveisconsolidadoout[[#Headers],[10]],tabela_registros[REGISTRO],DADOS!$N$3,tabela_registros[TIPO],DADOS!$V$4,tabela_registros[CATEGORIA],receitasvariáveisconsolidadoout[[#This Row],[ATUAL]])</f>
        <v>0</v>
      </c>
      <c r="O99" s="91">
        <f>SUMIFS(tabela_registros[VALOR],tabela_registros[MÊS],$AE$1,tabela_registros[DIA],receitasvariáveisconsolidadoout[[#Headers],[11]],tabela_registros[REGISTRO],DADOS!$N$3,tabela_registros[TIPO],DADOS!$V$4,tabela_registros[CATEGORIA],receitasvariáveisconsolidadoout[[#This Row],[ATUAL]])</f>
        <v>0</v>
      </c>
      <c r="P99" s="91">
        <f>SUMIFS(tabela_registros[VALOR],tabela_registros[MÊS],$AE$1,tabela_registros[DIA],receitasvariáveisconsolidadoout[[#Headers],[12]],tabela_registros[REGISTRO],DADOS!$N$3,tabela_registros[TIPO],DADOS!$V$4,tabela_registros[CATEGORIA],receitasvariáveisconsolidadoout[[#This Row],[ATUAL]])</f>
        <v>0</v>
      </c>
      <c r="Q99" s="91">
        <f>SUMIFS(tabela_registros[VALOR],tabela_registros[MÊS],$AE$1,tabela_registros[DIA],receitasvariáveisconsolidadoout[[#Headers],[13]],tabela_registros[REGISTRO],DADOS!$N$3,tabela_registros[TIPO],DADOS!$V$4,tabela_registros[CATEGORIA],receitasvariáveisconsolidadoout[[#This Row],[ATUAL]])</f>
        <v>0</v>
      </c>
      <c r="R99" s="91">
        <f>SUMIFS(tabela_registros[VALOR],tabela_registros[MÊS],$AE$1,tabela_registros[DIA],receitasvariáveisconsolidadoout[[#Headers],[14]],tabela_registros[REGISTRO],DADOS!$N$3,tabela_registros[TIPO],DADOS!$V$4,tabela_registros[CATEGORIA],receitasvariáveisconsolidadoout[[#This Row],[ATUAL]])</f>
        <v>0</v>
      </c>
      <c r="S99" s="91">
        <f>SUMIFS(tabela_registros[VALOR],tabela_registros[MÊS],$AE$1,tabela_registros[DIA],receitasvariáveisconsolidadoout[[#Headers],[15]],tabela_registros[REGISTRO],DADOS!$N$3,tabela_registros[TIPO],DADOS!$V$4,tabela_registros[CATEGORIA],receitasvariáveisconsolidadoout[[#This Row],[ATUAL]])</f>
        <v>0</v>
      </c>
      <c r="T99" s="91">
        <f>SUMIFS(tabela_registros[VALOR],tabela_registros[MÊS],$AE$1,tabela_registros[DIA],receitasvariáveisconsolidadoout[[#Headers],[16]],tabela_registros[REGISTRO],DADOS!$N$3,tabela_registros[TIPO],DADOS!$V$4,tabela_registros[CATEGORIA],receitasvariáveisconsolidadoout[[#This Row],[ATUAL]])</f>
        <v>0</v>
      </c>
      <c r="U99" s="91">
        <f>SUMIFS(tabela_registros[VALOR],tabela_registros[MÊS],$AE$1,tabela_registros[DIA],receitasvariáveisconsolidadoout[[#Headers],[17]],tabela_registros[REGISTRO],DADOS!$N$3,tabela_registros[TIPO],DADOS!$V$4,tabela_registros[CATEGORIA],receitasvariáveisconsolidadoout[[#This Row],[ATUAL]])</f>
        <v>0</v>
      </c>
      <c r="V99" s="91">
        <f>SUMIFS(tabela_registros[VALOR],tabela_registros[MÊS],$AE$1,tabela_registros[DIA],receitasvariáveisconsolidadoout[[#Headers],[18]],tabela_registros[REGISTRO],DADOS!$N$3,tabela_registros[TIPO],DADOS!$V$4,tabela_registros[CATEGORIA],receitasvariáveisconsolidadoout[[#This Row],[ATUAL]])</f>
        <v>0</v>
      </c>
      <c r="W99" s="91">
        <f>SUMIFS(tabela_registros[VALOR],tabela_registros[MÊS],$AE$1,tabela_registros[DIA],receitasvariáveisconsolidadoout[[#Headers],[19]],tabela_registros[REGISTRO],DADOS!$N$3,tabela_registros[TIPO],DADOS!$V$4,tabela_registros[CATEGORIA],receitasvariáveisconsolidadoout[[#This Row],[ATUAL]])</f>
        <v>0</v>
      </c>
      <c r="X99" s="91">
        <f>SUMIFS(tabela_registros[VALOR],tabela_registros[MÊS],$AE$1,tabela_registros[DIA],receitasvariáveisconsolidadoout[[#Headers],[20]],tabela_registros[REGISTRO],DADOS!$N$3,tabela_registros[TIPO],DADOS!$V$4,tabela_registros[CATEGORIA],receitasvariáveisconsolidadoout[[#This Row],[ATUAL]])</f>
        <v>0</v>
      </c>
      <c r="Y99" s="91">
        <f>SUMIFS(tabela_registros[VALOR],tabela_registros[MÊS],$AE$1,tabela_registros[DIA],receitasvariáveisconsolidadoout[[#Headers],[21]],tabela_registros[REGISTRO],DADOS!$N$3,tabela_registros[TIPO],DADOS!$V$4,tabela_registros[CATEGORIA],receitasvariáveisconsolidadoout[[#This Row],[ATUAL]])</f>
        <v>0</v>
      </c>
      <c r="Z99" s="91">
        <f>SUMIFS(tabela_registros[VALOR],tabela_registros[MÊS],$AE$1,tabela_registros[DIA],receitasvariáveisconsolidadoout[[#Headers],[22]],tabela_registros[REGISTRO],DADOS!$N$3,tabela_registros[TIPO],DADOS!$V$4,tabela_registros[CATEGORIA],receitasvariáveisconsolidadoout[[#This Row],[ATUAL]])</f>
        <v>0</v>
      </c>
      <c r="AA99" s="91">
        <f>SUMIFS(tabela_registros[VALOR],tabela_registros[MÊS],$AE$1,tabela_registros[DIA],receitasvariáveisconsolidadoout[[#Headers],[23]],tabela_registros[REGISTRO],DADOS!$N$3,tabela_registros[TIPO],DADOS!$V$4,tabela_registros[CATEGORIA],receitasvariáveisconsolidadoout[[#This Row],[ATUAL]])</f>
        <v>0</v>
      </c>
      <c r="AB99" s="91">
        <f>SUMIFS(tabela_registros[VALOR],tabela_registros[MÊS],$AE$1,tabela_registros[DIA],receitasvariáveisconsolidadoout[[#Headers],[24]],tabela_registros[REGISTRO],DADOS!$N$3,tabela_registros[TIPO],DADOS!$V$4,tabela_registros[CATEGORIA],receitasvariáveisconsolidadoout[[#This Row],[ATUAL]])</f>
        <v>0</v>
      </c>
      <c r="AC99" s="91">
        <f>SUMIFS(tabela_registros[VALOR],tabela_registros[MÊS],$AE$1,tabela_registros[DIA],receitasvariáveisconsolidadoout[[#Headers],[25]],tabela_registros[REGISTRO],DADOS!$N$3,tabela_registros[TIPO],DADOS!$V$4,tabela_registros[CATEGORIA],receitasvariáveisconsolidadoout[[#This Row],[ATUAL]])</f>
        <v>0</v>
      </c>
      <c r="AD99" s="91">
        <f>SUMIFS(tabela_registros[VALOR],tabela_registros[MÊS],$AE$1,tabela_registros[DIA],receitasvariáveisconsolidadoout[[#Headers],[26]],tabela_registros[REGISTRO],DADOS!$N$3,tabela_registros[TIPO],DADOS!$V$4,tabela_registros[CATEGORIA],receitasvariáveisconsolidadoout[[#This Row],[ATUAL]])</f>
        <v>0</v>
      </c>
      <c r="AE99" s="91">
        <f>SUMIFS(tabela_registros[VALOR],tabela_registros[MÊS],$AE$1,tabela_registros[DIA],receitasvariáveisconsolidadoout[[#Headers],[27]],tabela_registros[REGISTRO],DADOS!$N$3,tabela_registros[TIPO],DADOS!$V$4,tabela_registros[CATEGORIA],receitasvariáveisconsolidadoout[[#This Row],[ATUAL]])</f>
        <v>0</v>
      </c>
      <c r="AF99" s="91">
        <f>SUMIFS(tabela_registros[VALOR],tabela_registros[MÊS],$AE$1,tabela_registros[DIA],receitasvariáveisconsolidadoout[[#Headers],[28]],tabela_registros[REGISTRO],DADOS!$N$3,tabela_registros[TIPO],DADOS!$V$4,tabela_registros[CATEGORIA],receitasvariáveisconsolidadoout[[#This Row],[ATUAL]])</f>
        <v>0</v>
      </c>
      <c r="AG99" s="91">
        <f>SUMIFS(tabela_registros[VALOR],tabela_registros[MÊS],$AE$1,tabela_registros[DIA],receitasvariáveisconsolidadoout[[#Headers],[29]],tabela_registros[REGISTRO],DADOS!$N$3,tabela_registros[TIPO],DADOS!$V$4,tabela_registros[CATEGORIA],receitasvariáveisconsolidadoout[[#This Row],[ATUAL]])</f>
        <v>0</v>
      </c>
      <c r="AH99" s="91">
        <f>SUMIFS(tabela_registros[VALOR],tabela_registros[MÊS],$AE$1,tabela_registros[DIA],receitasvariáveisconsolidadoout[[#Headers],[30]],tabela_registros[REGISTRO],DADOS!$N$3,tabela_registros[TIPO],DADOS!$V$4,tabela_registros[CATEGORIA],receitasvariáveisconsolidadoout[[#This Row],[ATUAL]])</f>
        <v>0</v>
      </c>
      <c r="AI99" s="101">
        <f>SUMIFS(tabela_registros[VALOR],tabela_registros[MÊS],$AE$1,tabela_registros[DIA],receitasvariáveisconsolidadoout[[#Headers],[31]],tabela_registros[REGISTRO],DADOS!$N$3,tabela_registros[TIPO],DADOS!$V$4,tabela_registros[CATEGORIA],receitasvariáveisconsolidadoout[[#This Row],[ATUAL]])</f>
        <v>0</v>
      </c>
      <c r="AJ99" s="97">
        <f>SUM(receitasvariáveisconsolidadoout[[#This Row],[1]:[31]])</f>
        <v>0</v>
      </c>
      <c r="AK99" s="25"/>
    </row>
    <row r="100" spans="2:37" ht="19.5" customHeight="1" thickTop="1" thickBot="1" x14ac:dyDescent="0.3">
      <c r="B100" s="28"/>
      <c r="C100" s="27" t="str">
        <f>DADOS!$Z$7</f>
        <v>🧾 NOTA DE SERVIÇO</v>
      </c>
      <c r="D100" s="26" t="str">
        <f>IF(receitasvariáveisconsolidadoout[[#This Row],[TOTAL (R$)]]=0,"",IF(OR(receitasvariáveisconsolidadoout[[#This Row],[TOTAL (R$)]]=LARGE($AJ$96:$AJ$103,1),receitasvariáveisconsolidadoout[[#This Row],[TOTAL (R$)]]=LARGE($AJ$96:$AJ$103,2)),DADOS!$I$9,""))</f>
        <v/>
      </c>
      <c r="E100" s="96">
        <f>SUMIFS(tabela_registros[VALOR],tabela_registros[MÊS],$AE$1,tabela_registros[DIA],receitasvariáveisconsolidadoout[[#Headers],[1]],tabela_registros[REGISTRO],DADOS!$N$3,tabela_registros[TIPO],DADOS!$V$4,tabela_registros[CATEGORIA],receitasvariáveisconsolidadoout[[#This Row],[ATUAL]])</f>
        <v>0</v>
      </c>
      <c r="F100" s="91">
        <f>SUMIFS(tabela_registros[VALOR],tabela_registros[MÊS],$AE$1,tabela_registros[DIA],receitasvariáveisconsolidadoout[[#Headers],[2]],tabela_registros[REGISTRO],DADOS!$N$3,tabela_registros[TIPO],DADOS!$V$4,tabela_registros[CATEGORIA],receitasvariáveisconsolidadoout[[#This Row],[ATUAL]])</f>
        <v>0</v>
      </c>
      <c r="G100" s="91">
        <f>SUMIFS(tabela_registros[VALOR],tabela_registros[MÊS],$AE$1,tabela_registros[DIA],receitasvariáveisconsolidadoout[[#Headers],[3]],tabela_registros[REGISTRO],DADOS!$N$3,tabela_registros[TIPO],DADOS!$V$4,tabela_registros[CATEGORIA],receitasvariáveisconsolidadoout[[#This Row],[ATUAL]])</f>
        <v>0</v>
      </c>
      <c r="H100" s="91">
        <f>SUMIFS(tabela_registros[VALOR],tabela_registros[MÊS],$AE$1,tabela_registros[DIA],receitasvariáveisconsolidadoout[[#Headers],[4]],tabela_registros[REGISTRO],DADOS!$N$3,tabela_registros[TIPO],DADOS!$V$4,tabela_registros[CATEGORIA],receitasvariáveisconsolidadoout[[#This Row],[ATUAL]])</f>
        <v>0</v>
      </c>
      <c r="I100" s="91">
        <f>SUMIFS(tabela_registros[VALOR],tabela_registros[MÊS],$AE$1,tabela_registros[DIA],receitasvariáveisconsolidadoout[[#Headers],[5]],tabela_registros[REGISTRO],DADOS!$N$3,tabela_registros[TIPO],DADOS!$V$4,tabela_registros[CATEGORIA],receitasvariáveisconsolidadoout[[#This Row],[ATUAL]])</f>
        <v>0</v>
      </c>
      <c r="J100" s="91">
        <f>SUMIFS(tabela_registros[VALOR],tabela_registros[MÊS],$AE$1,tabela_registros[DIA],receitasvariáveisconsolidadoout[[#Headers],[6]],tabela_registros[REGISTRO],DADOS!$N$3,tabela_registros[TIPO],DADOS!$V$4,tabela_registros[CATEGORIA],receitasvariáveisconsolidadoout[[#This Row],[ATUAL]])</f>
        <v>0</v>
      </c>
      <c r="K100" s="91">
        <f>SUMIFS(tabela_registros[VALOR],tabela_registros[MÊS],$AE$1,tabela_registros[DIA],receitasvariáveisconsolidadoout[[#Headers],[7]],tabela_registros[REGISTRO],DADOS!$N$3,tabela_registros[TIPO],DADOS!$V$4,tabela_registros[CATEGORIA],receitasvariáveisconsolidadoout[[#This Row],[ATUAL]])</f>
        <v>0</v>
      </c>
      <c r="L100" s="91">
        <f>SUMIFS(tabela_registros[VALOR],tabela_registros[MÊS],$AE$1,tabela_registros[DIA],receitasvariáveisconsolidadoout[[#Headers],[8]],tabela_registros[REGISTRO],DADOS!$N$3,tabela_registros[TIPO],DADOS!$V$4,tabela_registros[CATEGORIA],receitasvariáveisconsolidadoout[[#This Row],[ATUAL]])</f>
        <v>0</v>
      </c>
      <c r="M100" s="91">
        <f>SUMIFS(tabela_registros[VALOR],tabela_registros[MÊS],$AE$1,tabela_registros[DIA],receitasvariáveisconsolidadoout[[#Headers],[9]],tabela_registros[REGISTRO],DADOS!$N$3,tabela_registros[TIPO],DADOS!$V$4,tabela_registros[CATEGORIA],receitasvariáveisconsolidadoout[[#This Row],[ATUAL]])</f>
        <v>0</v>
      </c>
      <c r="N100" s="91">
        <f>SUMIFS(tabela_registros[VALOR],tabela_registros[MÊS],$AE$1,tabela_registros[DIA],receitasvariáveisconsolidadoout[[#Headers],[10]],tabela_registros[REGISTRO],DADOS!$N$3,tabela_registros[TIPO],DADOS!$V$4,tabela_registros[CATEGORIA],receitasvariáveisconsolidadoout[[#This Row],[ATUAL]])</f>
        <v>0</v>
      </c>
      <c r="O100" s="91">
        <f>SUMIFS(tabela_registros[VALOR],tabela_registros[MÊS],$AE$1,tabela_registros[DIA],receitasvariáveisconsolidadoout[[#Headers],[11]],tabela_registros[REGISTRO],DADOS!$N$3,tabela_registros[TIPO],DADOS!$V$4,tabela_registros[CATEGORIA],receitasvariáveisconsolidadoout[[#This Row],[ATUAL]])</f>
        <v>0</v>
      </c>
      <c r="P100" s="91">
        <f>SUMIFS(tabela_registros[VALOR],tabela_registros[MÊS],$AE$1,tabela_registros[DIA],receitasvariáveisconsolidadoout[[#Headers],[12]],tabela_registros[REGISTRO],DADOS!$N$3,tabela_registros[TIPO],DADOS!$V$4,tabela_registros[CATEGORIA],receitasvariáveisconsolidadoout[[#This Row],[ATUAL]])</f>
        <v>0</v>
      </c>
      <c r="Q100" s="91">
        <f>SUMIFS(tabela_registros[VALOR],tabela_registros[MÊS],$AE$1,tabela_registros[DIA],receitasvariáveisconsolidadoout[[#Headers],[13]],tabela_registros[REGISTRO],DADOS!$N$3,tabela_registros[TIPO],DADOS!$V$4,tabela_registros[CATEGORIA],receitasvariáveisconsolidadoout[[#This Row],[ATUAL]])</f>
        <v>0</v>
      </c>
      <c r="R100" s="91">
        <f>SUMIFS(tabela_registros[VALOR],tabela_registros[MÊS],$AE$1,tabela_registros[DIA],receitasvariáveisconsolidadoout[[#Headers],[14]],tabela_registros[REGISTRO],DADOS!$N$3,tabela_registros[TIPO],DADOS!$V$4,tabela_registros[CATEGORIA],receitasvariáveisconsolidadoout[[#This Row],[ATUAL]])</f>
        <v>0</v>
      </c>
      <c r="S100" s="91">
        <f>SUMIFS(tabela_registros[VALOR],tabela_registros[MÊS],$AE$1,tabela_registros[DIA],receitasvariáveisconsolidadoout[[#Headers],[15]],tabela_registros[REGISTRO],DADOS!$N$3,tabela_registros[TIPO],DADOS!$V$4,tabela_registros[CATEGORIA],receitasvariáveisconsolidadoout[[#This Row],[ATUAL]])</f>
        <v>0</v>
      </c>
      <c r="T100" s="91">
        <f>SUMIFS(tabela_registros[VALOR],tabela_registros[MÊS],$AE$1,tabela_registros[DIA],receitasvariáveisconsolidadoout[[#Headers],[16]],tabela_registros[REGISTRO],DADOS!$N$3,tabela_registros[TIPO],DADOS!$V$4,tabela_registros[CATEGORIA],receitasvariáveisconsolidadoout[[#This Row],[ATUAL]])</f>
        <v>0</v>
      </c>
      <c r="U100" s="91">
        <f>SUMIFS(tabela_registros[VALOR],tabela_registros[MÊS],$AE$1,tabela_registros[DIA],receitasvariáveisconsolidadoout[[#Headers],[17]],tabela_registros[REGISTRO],DADOS!$N$3,tabela_registros[TIPO],DADOS!$V$4,tabela_registros[CATEGORIA],receitasvariáveisconsolidadoout[[#This Row],[ATUAL]])</f>
        <v>0</v>
      </c>
      <c r="V100" s="91">
        <f>SUMIFS(tabela_registros[VALOR],tabela_registros[MÊS],$AE$1,tabela_registros[DIA],receitasvariáveisconsolidadoout[[#Headers],[18]],tabela_registros[REGISTRO],DADOS!$N$3,tabela_registros[TIPO],DADOS!$V$4,tabela_registros[CATEGORIA],receitasvariáveisconsolidadoout[[#This Row],[ATUAL]])</f>
        <v>0</v>
      </c>
      <c r="W100" s="91">
        <f>SUMIFS(tabela_registros[VALOR],tabela_registros[MÊS],$AE$1,tabela_registros[DIA],receitasvariáveisconsolidadoout[[#Headers],[19]],tabela_registros[REGISTRO],DADOS!$N$3,tabela_registros[TIPO],DADOS!$V$4,tabela_registros[CATEGORIA],receitasvariáveisconsolidadoout[[#This Row],[ATUAL]])</f>
        <v>0</v>
      </c>
      <c r="X100" s="91">
        <f>SUMIFS(tabela_registros[VALOR],tabela_registros[MÊS],$AE$1,tabela_registros[DIA],receitasvariáveisconsolidadoout[[#Headers],[20]],tabela_registros[REGISTRO],DADOS!$N$3,tabela_registros[TIPO],DADOS!$V$4,tabela_registros[CATEGORIA],receitasvariáveisconsolidadoout[[#This Row],[ATUAL]])</f>
        <v>0</v>
      </c>
      <c r="Y100" s="91">
        <f>SUMIFS(tabela_registros[VALOR],tabela_registros[MÊS],$AE$1,tabela_registros[DIA],receitasvariáveisconsolidadoout[[#Headers],[21]],tabela_registros[REGISTRO],DADOS!$N$3,tabela_registros[TIPO],DADOS!$V$4,tabela_registros[CATEGORIA],receitasvariáveisconsolidadoout[[#This Row],[ATUAL]])</f>
        <v>0</v>
      </c>
      <c r="Z100" s="91">
        <f>SUMIFS(tabela_registros[VALOR],tabela_registros[MÊS],$AE$1,tabela_registros[DIA],receitasvariáveisconsolidadoout[[#Headers],[22]],tabela_registros[REGISTRO],DADOS!$N$3,tabela_registros[TIPO],DADOS!$V$4,tabela_registros[CATEGORIA],receitasvariáveisconsolidadoout[[#This Row],[ATUAL]])</f>
        <v>0</v>
      </c>
      <c r="AA100" s="91">
        <f>SUMIFS(tabela_registros[VALOR],tabela_registros[MÊS],$AE$1,tabela_registros[DIA],receitasvariáveisconsolidadoout[[#Headers],[23]],tabela_registros[REGISTRO],DADOS!$N$3,tabela_registros[TIPO],DADOS!$V$4,tabela_registros[CATEGORIA],receitasvariáveisconsolidadoout[[#This Row],[ATUAL]])</f>
        <v>0</v>
      </c>
      <c r="AB100" s="91">
        <f>SUMIFS(tabela_registros[VALOR],tabela_registros[MÊS],$AE$1,tabela_registros[DIA],receitasvariáveisconsolidadoout[[#Headers],[24]],tabela_registros[REGISTRO],DADOS!$N$3,tabela_registros[TIPO],DADOS!$V$4,tabela_registros[CATEGORIA],receitasvariáveisconsolidadoout[[#This Row],[ATUAL]])</f>
        <v>0</v>
      </c>
      <c r="AC100" s="91">
        <f>SUMIFS(tabela_registros[VALOR],tabela_registros[MÊS],$AE$1,tabela_registros[DIA],receitasvariáveisconsolidadoout[[#Headers],[25]],tabela_registros[REGISTRO],DADOS!$N$3,tabela_registros[TIPO],DADOS!$V$4,tabela_registros[CATEGORIA],receitasvariáveisconsolidadoout[[#This Row],[ATUAL]])</f>
        <v>0</v>
      </c>
      <c r="AD100" s="91">
        <f>SUMIFS(tabela_registros[VALOR],tabela_registros[MÊS],$AE$1,tabela_registros[DIA],receitasvariáveisconsolidadoout[[#Headers],[26]],tabela_registros[REGISTRO],DADOS!$N$3,tabela_registros[TIPO],DADOS!$V$4,tabela_registros[CATEGORIA],receitasvariáveisconsolidadoout[[#This Row],[ATUAL]])</f>
        <v>0</v>
      </c>
      <c r="AE100" s="91">
        <f>SUMIFS(tabela_registros[VALOR],tabela_registros[MÊS],$AE$1,tabela_registros[DIA],receitasvariáveisconsolidadoout[[#Headers],[27]],tabela_registros[REGISTRO],DADOS!$N$3,tabela_registros[TIPO],DADOS!$V$4,tabela_registros[CATEGORIA],receitasvariáveisconsolidadoout[[#This Row],[ATUAL]])</f>
        <v>0</v>
      </c>
      <c r="AF100" s="91">
        <f>SUMIFS(tabela_registros[VALOR],tabela_registros[MÊS],$AE$1,tabela_registros[DIA],receitasvariáveisconsolidadoout[[#Headers],[28]],tabela_registros[REGISTRO],DADOS!$N$3,tabela_registros[TIPO],DADOS!$V$4,tabela_registros[CATEGORIA],receitasvariáveisconsolidadoout[[#This Row],[ATUAL]])</f>
        <v>0</v>
      </c>
      <c r="AG100" s="91">
        <f>SUMIFS(tabela_registros[VALOR],tabela_registros[MÊS],$AE$1,tabela_registros[DIA],receitasvariáveisconsolidadoout[[#Headers],[29]],tabela_registros[REGISTRO],DADOS!$N$3,tabela_registros[TIPO],DADOS!$V$4,tabela_registros[CATEGORIA],receitasvariáveisconsolidadoout[[#This Row],[ATUAL]])</f>
        <v>0</v>
      </c>
      <c r="AH100" s="91">
        <f>SUMIFS(tabela_registros[VALOR],tabela_registros[MÊS],$AE$1,tabela_registros[DIA],receitasvariáveisconsolidadoout[[#Headers],[30]],tabela_registros[REGISTRO],DADOS!$N$3,tabela_registros[TIPO],DADOS!$V$4,tabela_registros[CATEGORIA],receitasvariáveisconsolidadoout[[#This Row],[ATUAL]])</f>
        <v>0</v>
      </c>
      <c r="AI100" s="101">
        <f>SUMIFS(tabela_registros[VALOR],tabela_registros[MÊS],$AE$1,tabela_registros[DIA],receitasvariáveisconsolidadoout[[#Headers],[31]],tabela_registros[REGISTRO],DADOS!$N$3,tabela_registros[TIPO],DADOS!$V$4,tabela_registros[CATEGORIA],receitasvariáveisconsolidadoout[[#This Row],[ATUAL]])</f>
        <v>0</v>
      </c>
      <c r="AJ100" s="104">
        <f>SUM(receitasvariáveisconsolidadoout[[#This Row],[1]:[31]])</f>
        <v>0</v>
      </c>
      <c r="AK100" s="25"/>
    </row>
    <row r="101" spans="2:37" ht="19.5" customHeight="1" thickTop="1" thickBot="1" x14ac:dyDescent="0.3">
      <c r="B101" s="28"/>
      <c r="C101" s="27" t="str">
        <f>DADOS!$Z$8</f>
        <v>🎁 PRESENTE</v>
      </c>
      <c r="D101" s="26" t="str">
        <f>IF(receitasvariáveisconsolidadoout[[#This Row],[TOTAL (R$)]]=0,"",IF(OR(receitasvariáveisconsolidadoout[[#This Row],[TOTAL (R$)]]=LARGE($AJ$96:$AJ$103,1),receitasvariáveisconsolidadoout[[#This Row],[TOTAL (R$)]]=LARGE($AJ$96:$AJ$103,2)),DADOS!$I$9,""))</f>
        <v/>
      </c>
      <c r="E101" s="96">
        <f>SUMIFS(tabela_registros[VALOR],tabela_registros[MÊS],$AE$1,tabela_registros[DIA],receitasvariáveisconsolidadoout[[#Headers],[1]],tabela_registros[REGISTRO],DADOS!$N$3,tabela_registros[TIPO],DADOS!$V$4,tabela_registros[CATEGORIA],receitasvariáveisconsolidadoout[[#This Row],[ATUAL]])</f>
        <v>0</v>
      </c>
      <c r="F101" s="91">
        <f>SUMIFS(tabela_registros[VALOR],tabela_registros[MÊS],$AE$1,tabela_registros[DIA],receitasvariáveisconsolidadoout[[#Headers],[2]],tabela_registros[REGISTRO],DADOS!$N$3,tabela_registros[TIPO],DADOS!$V$4,tabela_registros[CATEGORIA],receitasvariáveisconsolidadoout[[#This Row],[ATUAL]])</f>
        <v>0</v>
      </c>
      <c r="G101" s="91">
        <f>SUMIFS(tabela_registros[VALOR],tabela_registros[MÊS],$AE$1,tabela_registros[DIA],receitasvariáveisconsolidadoout[[#Headers],[3]],tabela_registros[REGISTRO],DADOS!$N$3,tabela_registros[TIPO],DADOS!$V$4,tabela_registros[CATEGORIA],receitasvariáveisconsolidadoout[[#This Row],[ATUAL]])</f>
        <v>0</v>
      </c>
      <c r="H101" s="91">
        <f>SUMIFS(tabela_registros[VALOR],tabela_registros[MÊS],$AE$1,tabela_registros[DIA],receitasvariáveisconsolidadoout[[#Headers],[4]],tabela_registros[REGISTRO],DADOS!$N$3,tabela_registros[TIPO],DADOS!$V$4,tabela_registros[CATEGORIA],receitasvariáveisconsolidadoout[[#This Row],[ATUAL]])</f>
        <v>0</v>
      </c>
      <c r="I101" s="91">
        <f>SUMIFS(tabela_registros[VALOR],tabela_registros[MÊS],$AE$1,tabela_registros[DIA],receitasvariáveisconsolidadoout[[#Headers],[5]],tabela_registros[REGISTRO],DADOS!$N$3,tabela_registros[TIPO],DADOS!$V$4,tabela_registros[CATEGORIA],receitasvariáveisconsolidadoout[[#This Row],[ATUAL]])</f>
        <v>0</v>
      </c>
      <c r="J101" s="91">
        <f>SUMIFS(tabela_registros[VALOR],tabela_registros[MÊS],$AE$1,tabela_registros[DIA],receitasvariáveisconsolidadoout[[#Headers],[6]],tabela_registros[REGISTRO],DADOS!$N$3,tabela_registros[TIPO],DADOS!$V$4,tabela_registros[CATEGORIA],receitasvariáveisconsolidadoout[[#This Row],[ATUAL]])</f>
        <v>0</v>
      </c>
      <c r="K101" s="91">
        <f>SUMIFS(tabela_registros[VALOR],tabela_registros[MÊS],$AE$1,tabela_registros[DIA],receitasvariáveisconsolidadoout[[#Headers],[7]],tabela_registros[REGISTRO],DADOS!$N$3,tabela_registros[TIPO],DADOS!$V$4,tabela_registros[CATEGORIA],receitasvariáveisconsolidadoout[[#This Row],[ATUAL]])</f>
        <v>0</v>
      </c>
      <c r="L101" s="91">
        <f>SUMIFS(tabela_registros[VALOR],tabela_registros[MÊS],$AE$1,tabela_registros[DIA],receitasvariáveisconsolidadoout[[#Headers],[8]],tabela_registros[REGISTRO],DADOS!$N$3,tabela_registros[TIPO],DADOS!$V$4,tabela_registros[CATEGORIA],receitasvariáveisconsolidadoout[[#This Row],[ATUAL]])</f>
        <v>0</v>
      </c>
      <c r="M101" s="91">
        <f>SUMIFS(tabela_registros[VALOR],tabela_registros[MÊS],$AE$1,tabela_registros[DIA],receitasvariáveisconsolidadoout[[#Headers],[9]],tabela_registros[REGISTRO],DADOS!$N$3,tabela_registros[TIPO],DADOS!$V$4,tabela_registros[CATEGORIA],receitasvariáveisconsolidadoout[[#This Row],[ATUAL]])</f>
        <v>0</v>
      </c>
      <c r="N101" s="91">
        <f>SUMIFS(tabela_registros[VALOR],tabela_registros[MÊS],$AE$1,tabela_registros[DIA],receitasvariáveisconsolidadoout[[#Headers],[10]],tabela_registros[REGISTRO],DADOS!$N$3,tabela_registros[TIPO],DADOS!$V$4,tabela_registros[CATEGORIA],receitasvariáveisconsolidadoout[[#This Row],[ATUAL]])</f>
        <v>0</v>
      </c>
      <c r="O101" s="91">
        <f>SUMIFS(tabela_registros[VALOR],tabela_registros[MÊS],$AE$1,tabela_registros[DIA],receitasvariáveisconsolidadoout[[#Headers],[11]],tabela_registros[REGISTRO],DADOS!$N$3,tabela_registros[TIPO],DADOS!$V$4,tabela_registros[CATEGORIA],receitasvariáveisconsolidadoout[[#This Row],[ATUAL]])</f>
        <v>0</v>
      </c>
      <c r="P101" s="91">
        <f>SUMIFS(tabela_registros[VALOR],tabela_registros[MÊS],$AE$1,tabela_registros[DIA],receitasvariáveisconsolidadoout[[#Headers],[12]],tabela_registros[REGISTRO],DADOS!$N$3,tabela_registros[TIPO],DADOS!$V$4,tabela_registros[CATEGORIA],receitasvariáveisconsolidadoout[[#This Row],[ATUAL]])</f>
        <v>0</v>
      </c>
      <c r="Q101" s="91">
        <f>SUMIFS(tabela_registros[VALOR],tabela_registros[MÊS],$AE$1,tabela_registros[DIA],receitasvariáveisconsolidadoout[[#Headers],[13]],tabela_registros[REGISTRO],DADOS!$N$3,tabela_registros[TIPO],DADOS!$V$4,tabela_registros[CATEGORIA],receitasvariáveisconsolidadoout[[#This Row],[ATUAL]])</f>
        <v>0</v>
      </c>
      <c r="R101" s="91">
        <f>SUMIFS(tabela_registros[VALOR],tabela_registros[MÊS],$AE$1,tabela_registros[DIA],receitasvariáveisconsolidadoout[[#Headers],[14]],tabela_registros[REGISTRO],DADOS!$N$3,tabela_registros[TIPO],DADOS!$V$4,tabela_registros[CATEGORIA],receitasvariáveisconsolidadoout[[#This Row],[ATUAL]])</f>
        <v>0</v>
      </c>
      <c r="S101" s="91">
        <f>SUMIFS(tabela_registros[VALOR],tabela_registros[MÊS],$AE$1,tabela_registros[DIA],receitasvariáveisconsolidadoout[[#Headers],[15]],tabela_registros[REGISTRO],DADOS!$N$3,tabela_registros[TIPO],DADOS!$V$4,tabela_registros[CATEGORIA],receitasvariáveisconsolidadoout[[#This Row],[ATUAL]])</f>
        <v>0</v>
      </c>
      <c r="T101" s="91">
        <f>SUMIFS(tabela_registros[VALOR],tabela_registros[MÊS],$AE$1,tabela_registros[DIA],receitasvariáveisconsolidadoout[[#Headers],[16]],tabela_registros[REGISTRO],DADOS!$N$3,tabela_registros[TIPO],DADOS!$V$4,tabela_registros[CATEGORIA],receitasvariáveisconsolidadoout[[#This Row],[ATUAL]])</f>
        <v>0</v>
      </c>
      <c r="U101" s="91">
        <f>SUMIFS(tabela_registros[VALOR],tabela_registros[MÊS],$AE$1,tabela_registros[DIA],receitasvariáveisconsolidadoout[[#Headers],[17]],tabela_registros[REGISTRO],DADOS!$N$3,tabela_registros[TIPO],DADOS!$V$4,tabela_registros[CATEGORIA],receitasvariáveisconsolidadoout[[#This Row],[ATUAL]])</f>
        <v>0</v>
      </c>
      <c r="V101" s="91">
        <f>SUMIFS(tabela_registros[VALOR],tabela_registros[MÊS],$AE$1,tabela_registros[DIA],receitasvariáveisconsolidadoout[[#Headers],[18]],tabela_registros[REGISTRO],DADOS!$N$3,tabela_registros[TIPO],DADOS!$V$4,tabela_registros[CATEGORIA],receitasvariáveisconsolidadoout[[#This Row],[ATUAL]])</f>
        <v>0</v>
      </c>
      <c r="W101" s="91">
        <f>SUMIFS(tabela_registros[VALOR],tabela_registros[MÊS],$AE$1,tabela_registros[DIA],receitasvariáveisconsolidadoout[[#Headers],[19]],tabela_registros[REGISTRO],DADOS!$N$3,tabela_registros[TIPO],DADOS!$V$4,tabela_registros[CATEGORIA],receitasvariáveisconsolidadoout[[#This Row],[ATUAL]])</f>
        <v>0</v>
      </c>
      <c r="X101" s="91">
        <f>SUMIFS(tabela_registros[VALOR],tabela_registros[MÊS],$AE$1,tabela_registros[DIA],receitasvariáveisconsolidadoout[[#Headers],[20]],tabela_registros[REGISTRO],DADOS!$N$3,tabela_registros[TIPO],DADOS!$V$4,tabela_registros[CATEGORIA],receitasvariáveisconsolidadoout[[#This Row],[ATUAL]])</f>
        <v>0</v>
      </c>
      <c r="Y101" s="91">
        <f>SUMIFS(tabela_registros[VALOR],tabela_registros[MÊS],$AE$1,tabela_registros[DIA],receitasvariáveisconsolidadoout[[#Headers],[21]],tabela_registros[REGISTRO],DADOS!$N$3,tabela_registros[TIPO],DADOS!$V$4,tabela_registros[CATEGORIA],receitasvariáveisconsolidadoout[[#This Row],[ATUAL]])</f>
        <v>0</v>
      </c>
      <c r="Z101" s="91">
        <f>SUMIFS(tabela_registros[VALOR],tabela_registros[MÊS],$AE$1,tabela_registros[DIA],receitasvariáveisconsolidadoout[[#Headers],[22]],tabela_registros[REGISTRO],DADOS!$N$3,tabela_registros[TIPO],DADOS!$V$4,tabela_registros[CATEGORIA],receitasvariáveisconsolidadoout[[#This Row],[ATUAL]])</f>
        <v>0</v>
      </c>
      <c r="AA101" s="91">
        <f>SUMIFS(tabela_registros[VALOR],tabela_registros[MÊS],$AE$1,tabela_registros[DIA],receitasvariáveisconsolidadoout[[#Headers],[23]],tabela_registros[REGISTRO],DADOS!$N$3,tabela_registros[TIPO],DADOS!$V$4,tabela_registros[CATEGORIA],receitasvariáveisconsolidadoout[[#This Row],[ATUAL]])</f>
        <v>0</v>
      </c>
      <c r="AB101" s="91">
        <f>SUMIFS(tabela_registros[VALOR],tabela_registros[MÊS],$AE$1,tabela_registros[DIA],receitasvariáveisconsolidadoout[[#Headers],[24]],tabela_registros[REGISTRO],DADOS!$N$3,tabela_registros[TIPO],DADOS!$V$4,tabela_registros[CATEGORIA],receitasvariáveisconsolidadoout[[#This Row],[ATUAL]])</f>
        <v>0</v>
      </c>
      <c r="AC101" s="91">
        <f>SUMIFS(tabela_registros[VALOR],tabela_registros[MÊS],$AE$1,tabela_registros[DIA],receitasvariáveisconsolidadoout[[#Headers],[25]],tabela_registros[REGISTRO],DADOS!$N$3,tabela_registros[TIPO],DADOS!$V$4,tabela_registros[CATEGORIA],receitasvariáveisconsolidadoout[[#This Row],[ATUAL]])</f>
        <v>0</v>
      </c>
      <c r="AD101" s="91">
        <f>SUMIFS(tabela_registros[VALOR],tabela_registros[MÊS],$AE$1,tabela_registros[DIA],receitasvariáveisconsolidadoout[[#Headers],[26]],tabela_registros[REGISTRO],DADOS!$N$3,tabela_registros[TIPO],DADOS!$V$4,tabela_registros[CATEGORIA],receitasvariáveisconsolidadoout[[#This Row],[ATUAL]])</f>
        <v>0</v>
      </c>
      <c r="AE101" s="91">
        <f>SUMIFS(tabela_registros[VALOR],tabela_registros[MÊS],$AE$1,tabela_registros[DIA],receitasvariáveisconsolidadoout[[#Headers],[27]],tabela_registros[REGISTRO],DADOS!$N$3,tabela_registros[TIPO],DADOS!$V$4,tabela_registros[CATEGORIA],receitasvariáveisconsolidadoout[[#This Row],[ATUAL]])</f>
        <v>0</v>
      </c>
      <c r="AF101" s="91">
        <f>SUMIFS(tabela_registros[VALOR],tabela_registros[MÊS],$AE$1,tabela_registros[DIA],receitasvariáveisconsolidadoout[[#Headers],[28]],tabela_registros[REGISTRO],DADOS!$N$3,tabela_registros[TIPO],DADOS!$V$4,tabela_registros[CATEGORIA],receitasvariáveisconsolidadoout[[#This Row],[ATUAL]])</f>
        <v>0</v>
      </c>
      <c r="AG101" s="91">
        <f>SUMIFS(tabela_registros[VALOR],tabela_registros[MÊS],$AE$1,tabela_registros[DIA],receitasvariáveisconsolidadoout[[#Headers],[29]],tabela_registros[REGISTRO],DADOS!$N$3,tabela_registros[TIPO],DADOS!$V$4,tabela_registros[CATEGORIA],receitasvariáveisconsolidadoout[[#This Row],[ATUAL]])</f>
        <v>0</v>
      </c>
      <c r="AH101" s="91">
        <f>SUMIFS(tabela_registros[VALOR],tabela_registros[MÊS],$AE$1,tabela_registros[DIA],receitasvariáveisconsolidadoout[[#Headers],[30]],tabela_registros[REGISTRO],DADOS!$N$3,tabela_registros[TIPO],DADOS!$V$4,tabela_registros[CATEGORIA],receitasvariáveisconsolidadoout[[#This Row],[ATUAL]])</f>
        <v>0</v>
      </c>
      <c r="AI101" s="101">
        <f>SUMIFS(tabela_registros[VALOR],tabela_registros[MÊS],$AE$1,tabela_registros[DIA],receitasvariáveisconsolidadoout[[#Headers],[31]],tabela_registros[REGISTRO],DADOS!$N$3,tabela_registros[TIPO],DADOS!$V$4,tabela_registros[CATEGORIA],receitasvariáveisconsolidadoout[[#This Row],[ATUAL]])</f>
        <v>0</v>
      </c>
      <c r="AJ101" s="104">
        <f>SUM(receitasvariáveisconsolidadoout[[#This Row],[1]:[31]])</f>
        <v>0</v>
      </c>
      <c r="AK101" s="25"/>
    </row>
    <row r="102" spans="2:37" ht="19.5" customHeight="1" thickTop="1" thickBot="1" x14ac:dyDescent="0.3">
      <c r="B102" s="28"/>
      <c r="C102" s="27" t="str">
        <f>DADOS!$Z$9</f>
        <v>👷‍♀️ TRABALHO TEMPORÁRIO</v>
      </c>
      <c r="D102" s="26" t="str">
        <f>IF(receitasvariáveisconsolidadoout[[#This Row],[TOTAL (R$)]]=0,"",IF(OR(receitasvariáveisconsolidadoout[[#This Row],[TOTAL (R$)]]=LARGE($AJ$96:$AJ$103,1),receitasvariáveisconsolidadoout[[#This Row],[TOTAL (R$)]]=LARGE($AJ$96:$AJ$103,2)),DADOS!$I$9,""))</f>
        <v/>
      </c>
      <c r="E102" s="96">
        <f>SUMIFS(tabela_registros[VALOR],tabela_registros[MÊS],$AE$1,tabela_registros[DIA],receitasvariáveisconsolidadoout[[#Headers],[1]],tabela_registros[REGISTRO],DADOS!$N$3,tabela_registros[TIPO],DADOS!$V$4,tabela_registros[CATEGORIA],receitasvariáveisconsolidadoout[[#This Row],[ATUAL]])</f>
        <v>0</v>
      </c>
      <c r="F102" s="91">
        <f>SUMIFS(tabela_registros[VALOR],tabela_registros[MÊS],$AE$1,tabela_registros[DIA],receitasvariáveisconsolidadoout[[#Headers],[2]],tabela_registros[REGISTRO],DADOS!$N$3,tabela_registros[TIPO],DADOS!$V$4,tabela_registros[CATEGORIA],receitasvariáveisconsolidadoout[[#This Row],[ATUAL]])</f>
        <v>0</v>
      </c>
      <c r="G102" s="91">
        <f>SUMIFS(tabela_registros[VALOR],tabela_registros[MÊS],$AE$1,tabela_registros[DIA],receitasvariáveisconsolidadoout[[#Headers],[3]],tabela_registros[REGISTRO],DADOS!$N$3,tabela_registros[TIPO],DADOS!$V$4,tabela_registros[CATEGORIA],receitasvariáveisconsolidadoout[[#This Row],[ATUAL]])</f>
        <v>0</v>
      </c>
      <c r="H102" s="91">
        <f>SUMIFS(tabela_registros[VALOR],tabela_registros[MÊS],$AE$1,tabela_registros[DIA],receitasvariáveisconsolidadoout[[#Headers],[4]],tabela_registros[REGISTRO],DADOS!$N$3,tabela_registros[TIPO],DADOS!$V$4,tabela_registros[CATEGORIA],receitasvariáveisconsolidadoout[[#This Row],[ATUAL]])</f>
        <v>0</v>
      </c>
      <c r="I102" s="91">
        <f>SUMIFS(tabela_registros[VALOR],tabela_registros[MÊS],$AE$1,tabela_registros[DIA],receitasvariáveisconsolidadoout[[#Headers],[5]],tabela_registros[REGISTRO],DADOS!$N$3,tabela_registros[TIPO],DADOS!$V$4,tabela_registros[CATEGORIA],receitasvariáveisconsolidadoout[[#This Row],[ATUAL]])</f>
        <v>0</v>
      </c>
      <c r="J102" s="91">
        <f>SUMIFS(tabela_registros[VALOR],tabela_registros[MÊS],$AE$1,tabela_registros[DIA],receitasvariáveisconsolidadoout[[#Headers],[6]],tabela_registros[REGISTRO],DADOS!$N$3,tabela_registros[TIPO],DADOS!$V$4,tabela_registros[CATEGORIA],receitasvariáveisconsolidadoout[[#This Row],[ATUAL]])</f>
        <v>0</v>
      </c>
      <c r="K102" s="91">
        <f>SUMIFS(tabela_registros[VALOR],tabela_registros[MÊS],$AE$1,tabela_registros[DIA],receitasvariáveisconsolidadoout[[#Headers],[7]],tabela_registros[REGISTRO],DADOS!$N$3,tabela_registros[TIPO],DADOS!$V$4,tabela_registros[CATEGORIA],receitasvariáveisconsolidadoout[[#This Row],[ATUAL]])</f>
        <v>0</v>
      </c>
      <c r="L102" s="91">
        <f>SUMIFS(tabela_registros[VALOR],tabela_registros[MÊS],$AE$1,tabela_registros[DIA],receitasvariáveisconsolidadoout[[#Headers],[8]],tabela_registros[REGISTRO],DADOS!$N$3,tabela_registros[TIPO],DADOS!$V$4,tabela_registros[CATEGORIA],receitasvariáveisconsolidadoout[[#This Row],[ATUAL]])</f>
        <v>0</v>
      </c>
      <c r="M102" s="91">
        <f>SUMIFS(tabela_registros[VALOR],tabela_registros[MÊS],$AE$1,tabela_registros[DIA],receitasvariáveisconsolidadoout[[#Headers],[9]],tabela_registros[REGISTRO],DADOS!$N$3,tabela_registros[TIPO],DADOS!$V$4,tabela_registros[CATEGORIA],receitasvariáveisconsolidadoout[[#This Row],[ATUAL]])</f>
        <v>0</v>
      </c>
      <c r="N102" s="91">
        <f>SUMIFS(tabela_registros[VALOR],tabela_registros[MÊS],$AE$1,tabela_registros[DIA],receitasvariáveisconsolidadoout[[#Headers],[10]],tabela_registros[REGISTRO],DADOS!$N$3,tabela_registros[TIPO],DADOS!$V$4,tabela_registros[CATEGORIA],receitasvariáveisconsolidadoout[[#This Row],[ATUAL]])</f>
        <v>0</v>
      </c>
      <c r="O102" s="91">
        <f>SUMIFS(tabela_registros[VALOR],tabela_registros[MÊS],$AE$1,tabela_registros[DIA],receitasvariáveisconsolidadoout[[#Headers],[11]],tabela_registros[REGISTRO],DADOS!$N$3,tabela_registros[TIPO],DADOS!$V$4,tabela_registros[CATEGORIA],receitasvariáveisconsolidadoout[[#This Row],[ATUAL]])</f>
        <v>0</v>
      </c>
      <c r="P102" s="91">
        <f>SUMIFS(tabela_registros[VALOR],tabela_registros[MÊS],$AE$1,tabela_registros[DIA],receitasvariáveisconsolidadoout[[#Headers],[12]],tabela_registros[REGISTRO],DADOS!$N$3,tabela_registros[TIPO],DADOS!$V$4,tabela_registros[CATEGORIA],receitasvariáveisconsolidadoout[[#This Row],[ATUAL]])</f>
        <v>0</v>
      </c>
      <c r="Q102" s="91">
        <f>SUMIFS(tabela_registros[VALOR],tabela_registros[MÊS],$AE$1,tabela_registros[DIA],receitasvariáveisconsolidadoout[[#Headers],[13]],tabela_registros[REGISTRO],DADOS!$N$3,tabela_registros[TIPO],DADOS!$V$4,tabela_registros[CATEGORIA],receitasvariáveisconsolidadoout[[#This Row],[ATUAL]])</f>
        <v>0</v>
      </c>
      <c r="R102" s="91">
        <f>SUMIFS(tabela_registros[VALOR],tabela_registros[MÊS],$AE$1,tabela_registros[DIA],receitasvariáveisconsolidadoout[[#Headers],[14]],tabela_registros[REGISTRO],DADOS!$N$3,tabela_registros[TIPO],DADOS!$V$4,tabela_registros[CATEGORIA],receitasvariáveisconsolidadoout[[#This Row],[ATUAL]])</f>
        <v>0</v>
      </c>
      <c r="S102" s="91">
        <f>SUMIFS(tabela_registros[VALOR],tabela_registros[MÊS],$AE$1,tabela_registros[DIA],receitasvariáveisconsolidadoout[[#Headers],[15]],tabela_registros[REGISTRO],DADOS!$N$3,tabela_registros[TIPO],DADOS!$V$4,tabela_registros[CATEGORIA],receitasvariáveisconsolidadoout[[#This Row],[ATUAL]])</f>
        <v>0</v>
      </c>
      <c r="T102" s="91">
        <f>SUMIFS(tabela_registros[VALOR],tabela_registros[MÊS],$AE$1,tabela_registros[DIA],receitasvariáveisconsolidadoout[[#Headers],[16]],tabela_registros[REGISTRO],DADOS!$N$3,tabela_registros[TIPO],DADOS!$V$4,tabela_registros[CATEGORIA],receitasvariáveisconsolidadoout[[#This Row],[ATUAL]])</f>
        <v>0</v>
      </c>
      <c r="U102" s="91">
        <f>SUMIFS(tabela_registros[VALOR],tabela_registros[MÊS],$AE$1,tabela_registros[DIA],receitasvariáveisconsolidadoout[[#Headers],[17]],tabela_registros[REGISTRO],DADOS!$N$3,tabela_registros[TIPO],DADOS!$V$4,tabela_registros[CATEGORIA],receitasvariáveisconsolidadoout[[#This Row],[ATUAL]])</f>
        <v>0</v>
      </c>
      <c r="V102" s="91">
        <f>SUMIFS(tabela_registros[VALOR],tabela_registros[MÊS],$AE$1,tabela_registros[DIA],receitasvariáveisconsolidadoout[[#Headers],[18]],tabela_registros[REGISTRO],DADOS!$N$3,tabela_registros[TIPO],DADOS!$V$4,tabela_registros[CATEGORIA],receitasvariáveisconsolidadoout[[#This Row],[ATUAL]])</f>
        <v>0</v>
      </c>
      <c r="W102" s="91">
        <f>SUMIFS(tabela_registros[VALOR],tabela_registros[MÊS],$AE$1,tabela_registros[DIA],receitasvariáveisconsolidadoout[[#Headers],[19]],tabela_registros[REGISTRO],DADOS!$N$3,tabela_registros[TIPO],DADOS!$V$4,tabela_registros[CATEGORIA],receitasvariáveisconsolidadoout[[#This Row],[ATUAL]])</f>
        <v>0</v>
      </c>
      <c r="X102" s="91">
        <f>SUMIFS(tabela_registros[VALOR],tabela_registros[MÊS],$AE$1,tabela_registros[DIA],receitasvariáveisconsolidadoout[[#Headers],[20]],tabela_registros[REGISTRO],DADOS!$N$3,tabela_registros[TIPO],DADOS!$V$4,tabela_registros[CATEGORIA],receitasvariáveisconsolidadoout[[#This Row],[ATUAL]])</f>
        <v>0</v>
      </c>
      <c r="Y102" s="91">
        <f>SUMIFS(tabela_registros[VALOR],tabela_registros[MÊS],$AE$1,tabela_registros[DIA],receitasvariáveisconsolidadoout[[#Headers],[21]],tabela_registros[REGISTRO],DADOS!$N$3,tabela_registros[TIPO],DADOS!$V$4,tabela_registros[CATEGORIA],receitasvariáveisconsolidadoout[[#This Row],[ATUAL]])</f>
        <v>0</v>
      </c>
      <c r="Z102" s="91">
        <f>SUMIFS(tabela_registros[VALOR],tabela_registros[MÊS],$AE$1,tabela_registros[DIA],receitasvariáveisconsolidadoout[[#Headers],[22]],tabela_registros[REGISTRO],DADOS!$N$3,tabela_registros[TIPO],DADOS!$V$4,tabela_registros[CATEGORIA],receitasvariáveisconsolidadoout[[#This Row],[ATUAL]])</f>
        <v>0</v>
      </c>
      <c r="AA102" s="91">
        <f>SUMIFS(tabela_registros[VALOR],tabela_registros[MÊS],$AE$1,tabela_registros[DIA],receitasvariáveisconsolidadoout[[#Headers],[23]],tabela_registros[REGISTRO],DADOS!$N$3,tabela_registros[TIPO],DADOS!$V$4,tabela_registros[CATEGORIA],receitasvariáveisconsolidadoout[[#This Row],[ATUAL]])</f>
        <v>0</v>
      </c>
      <c r="AB102" s="91">
        <f>SUMIFS(tabela_registros[VALOR],tabela_registros[MÊS],$AE$1,tabela_registros[DIA],receitasvariáveisconsolidadoout[[#Headers],[24]],tabela_registros[REGISTRO],DADOS!$N$3,tabela_registros[TIPO],DADOS!$V$4,tabela_registros[CATEGORIA],receitasvariáveisconsolidadoout[[#This Row],[ATUAL]])</f>
        <v>0</v>
      </c>
      <c r="AC102" s="91">
        <f>SUMIFS(tabela_registros[VALOR],tabela_registros[MÊS],$AE$1,tabela_registros[DIA],receitasvariáveisconsolidadoout[[#Headers],[25]],tabela_registros[REGISTRO],DADOS!$N$3,tabela_registros[TIPO],DADOS!$V$4,tabela_registros[CATEGORIA],receitasvariáveisconsolidadoout[[#This Row],[ATUAL]])</f>
        <v>0</v>
      </c>
      <c r="AD102" s="91">
        <f>SUMIFS(tabela_registros[VALOR],tabela_registros[MÊS],$AE$1,tabela_registros[DIA],receitasvariáveisconsolidadoout[[#Headers],[26]],tabela_registros[REGISTRO],DADOS!$N$3,tabela_registros[TIPO],DADOS!$V$4,tabela_registros[CATEGORIA],receitasvariáveisconsolidadoout[[#This Row],[ATUAL]])</f>
        <v>0</v>
      </c>
      <c r="AE102" s="91">
        <f>SUMIFS(tabela_registros[VALOR],tabela_registros[MÊS],$AE$1,tabela_registros[DIA],receitasvariáveisconsolidadoout[[#Headers],[27]],tabela_registros[REGISTRO],DADOS!$N$3,tabela_registros[TIPO],DADOS!$V$4,tabela_registros[CATEGORIA],receitasvariáveisconsolidadoout[[#This Row],[ATUAL]])</f>
        <v>0</v>
      </c>
      <c r="AF102" s="91">
        <f>SUMIFS(tabela_registros[VALOR],tabela_registros[MÊS],$AE$1,tabela_registros[DIA],receitasvariáveisconsolidadoout[[#Headers],[28]],tabela_registros[REGISTRO],DADOS!$N$3,tabela_registros[TIPO],DADOS!$V$4,tabela_registros[CATEGORIA],receitasvariáveisconsolidadoout[[#This Row],[ATUAL]])</f>
        <v>0</v>
      </c>
      <c r="AG102" s="91">
        <f>SUMIFS(tabela_registros[VALOR],tabela_registros[MÊS],$AE$1,tabela_registros[DIA],receitasvariáveisconsolidadoout[[#Headers],[29]],tabela_registros[REGISTRO],DADOS!$N$3,tabela_registros[TIPO],DADOS!$V$4,tabela_registros[CATEGORIA],receitasvariáveisconsolidadoout[[#This Row],[ATUAL]])</f>
        <v>0</v>
      </c>
      <c r="AH102" s="91">
        <f>SUMIFS(tabela_registros[VALOR],tabela_registros[MÊS],$AE$1,tabela_registros[DIA],receitasvariáveisconsolidadoout[[#Headers],[30]],tabela_registros[REGISTRO],DADOS!$N$3,tabela_registros[TIPO],DADOS!$V$4,tabela_registros[CATEGORIA],receitasvariáveisconsolidadoout[[#This Row],[ATUAL]])</f>
        <v>0</v>
      </c>
      <c r="AI102" s="101">
        <f>SUMIFS(tabela_registros[VALOR],tabela_registros[MÊS],$AE$1,tabela_registros[DIA],receitasvariáveisconsolidadoout[[#Headers],[31]],tabela_registros[REGISTRO],DADOS!$N$3,tabela_registros[TIPO],DADOS!$V$4,tabela_registros[CATEGORIA],receitasvariáveisconsolidadoout[[#This Row],[ATUAL]])</f>
        <v>0</v>
      </c>
      <c r="AJ102" s="104">
        <f>SUM(receitasvariáveisconsolidadoout[[#This Row],[1]:[31]])</f>
        <v>0</v>
      </c>
      <c r="AK102" s="25"/>
    </row>
    <row r="103" spans="2:37" ht="18" customHeight="1" thickTop="1" thickBot="1" x14ac:dyDescent="0.3">
      <c r="B103" s="28"/>
      <c r="C103" s="27" t="str">
        <f>DADOS!$Z$10</f>
        <v>📎 OUTROS</v>
      </c>
      <c r="D103" s="26" t="str">
        <f>IF(receitasvariáveisconsolidadoout[[#This Row],[TOTAL (R$)]]=0,"",IF(OR(receitasvariáveisconsolidadoout[[#This Row],[TOTAL (R$)]]=LARGE($AJ$96:$AJ$103,1),receitasvariáveisconsolidadoout[[#This Row],[TOTAL (R$)]]=LARGE($AJ$96:$AJ$103,2)),DADOS!$I$9,""))</f>
        <v/>
      </c>
      <c r="E103" s="96">
        <f>SUMIFS(tabela_registros[VALOR],tabela_registros[MÊS],$AE$1,tabela_registros[DIA],receitasvariáveisconsolidadoout[[#Headers],[1]],tabela_registros[REGISTRO],DADOS!$N$3,tabela_registros[TIPO],DADOS!$V$4,tabela_registros[CATEGORIA],receitasvariáveisconsolidadoout[[#This Row],[ATUAL]])</f>
        <v>0</v>
      </c>
      <c r="F103" s="91">
        <f>SUMIFS(tabela_registros[VALOR],tabela_registros[MÊS],$AE$1,tabela_registros[DIA],receitasvariáveisconsolidadoout[[#Headers],[2]],tabela_registros[REGISTRO],DADOS!$N$3,tabela_registros[TIPO],DADOS!$V$4,tabela_registros[CATEGORIA],receitasvariáveisconsolidadoout[[#This Row],[ATUAL]])</f>
        <v>0</v>
      </c>
      <c r="G103" s="91">
        <f>SUMIFS(tabela_registros[VALOR],tabela_registros[MÊS],$AE$1,tabela_registros[DIA],receitasvariáveisconsolidadoout[[#Headers],[3]],tabela_registros[REGISTRO],DADOS!$N$3,tabela_registros[TIPO],DADOS!$V$4,tabela_registros[CATEGORIA],receitasvariáveisconsolidadoout[[#This Row],[ATUAL]])</f>
        <v>0</v>
      </c>
      <c r="H103" s="91">
        <f>SUMIFS(tabela_registros[VALOR],tabela_registros[MÊS],$AE$1,tabela_registros[DIA],receitasvariáveisconsolidadoout[[#Headers],[4]],tabela_registros[REGISTRO],DADOS!$N$3,tabela_registros[TIPO],DADOS!$V$4,tabela_registros[CATEGORIA],receitasvariáveisconsolidadoout[[#This Row],[ATUAL]])</f>
        <v>0</v>
      </c>
      <c r="I103" s="91">
        <f>SUMIFS(tabela_registros[VALOR],tabela_registros[MÊS],$AE$1,tabela_registros[DIA],receitasvariáveisconsolidadoout[[#Headers],[5]],tabela_registros[REGISTRO],DADOS!$N$3,tabela_registros[TIPO],DADOS!$V$4,tabela_registros[CATEGORIA],receitasvariáveisconsolidadoout[[#This Row],[ATUAL]])</f>
        <v>0</v>
      </c>
      <c r="J103" s="91">
        <f>SUMIFS(tabela_registros[VALOR],tabela_registros[MÊS],$AE$1,tabela_registros[DIA],receitasvariáveisconsolidadoout[[#Headers],[6]],tabela_registros[REGISTRO],DADOS!$N$3,tabela_registros[TIPO],DADOS!$V$4,tabela_registros[CATEGORIA],receitasvariáveisconsolidadoout[[#This Row],[ATUAL]])</f>
        <v>0</v>
      </c>
      <c r="K103" s="91">
        <f>SUMIFS(tabela_registros[VALOR],tabela_registros[MÊS],$AE$1,tabela_registros[DIA],receitasvariáveisconsolidadoout[[#Headers],[7]],tabela_registros[REGISTRO],DADOS!$N$3,tabela_registros[TIPO],DADOS!$V$4,tabela_registros[CATEGORIA],receitasvariáveisconsolidadoout[[#This Row],[ATUAL]])</f>
        <v>0</v>
      </c>
      <c r="L103" s="91">
        <f>SUMIFS(tabela_registros[VALOR],tabela_registros[MÊS],$AE$1,tabela_registros[DIA],receitasvariáveisconsolidadoout[[#Headers],[8]],tabela_registros[REGISTRO],DADOS!$N$3,tabela_registros[TIPO],DADOS!$V$4,tabela_registros[CATEGORIA],receitasvariáveisconsolidadoout[[#This Row],[ATUAL]])</f>
        <v>0</v>
      </c>
      <c r="M103" s="91">
        <f>SUMIFS(tabela_registros[VALOR],tabela_registros[MÊS],$AE$1,tabela_registros[DIA],receitasvariáveisconsolidadoout[[#Headers],[9]],tabela_registros[REGISTRO],DADOS!$N$3,tabela_registros[TIPO],DADOS!$V$4,tabela_registros[CATEGORIA],receitasvariáveisconsolidadoout[[#This Row],[ATUAL]])</f>
        <v>0</v>
      </c>
      <c r="N103" s="91">
        <f>SUMIFS(tabela_registros[VALOR],tabela_registros[MÊS],$AE$1,tabela_registros[DIA],receitasvariáveisconsolidadoout[[#Headers],[10]],tabela_registros[REGISTRO],DADOS!$N$3,tabela_registros[TIPO],DADOS!$V$4,tabela_registros[CATEGORIA],receitasvariáveisconsolidadoout[[#This Row],[ATUAL]])</f>
        <v>0</v>
      </c>
      <c r="O103" s="91">
        <f>SUMIFS(tabela_registros[VALOR],tabela_registros[MÊS],$AE$1,tabela_registros[DIA],receitasvariáveisconsolidadoout[[#Headers],[11]],tabela_registros[REGISTRO],DADOS!$N$3,tabela_registros[TIPO],DADOS!$V$4,tabela_registros[CATEGORIA],receitasvariáveisconsolidadoout[[#This Row],[ATUAL]])</f>
        <v>0</v>
      </c>
      <c r="P103" s="91">
        <f>SUMIFS(tabela_registros[VALOR],tabela_registros[MÊS],$AE$1,tabela_registros[DIA],receitasvariáveisconsolidadoout[[#Headers],[12]],tabela_registros[REGISTRO],DADOS!$N$3,tabela_registros[TIPO],DADOS!$V$4,tabela_registros[CATEGORIA],receitasvariáveisconsolidadoout[[#This Row],[ATUAL]])</f>
        <v>0</v>
      </c>
      <c r="Q103" s="91">
        <f>SUMIFS(tabela_registros[VALOR],tabela_registros[MÊS],$AE$1,tabela_registros[DIA],receitasvariáveisconsolidadoout[[#Headers],[13]],tabela_registros[REGISTRO],DADOS!$N$3,tabela_registros[TIPO],DADOS!$V$4,tabela_registros[CATEGORIA],receitasvariáveisconsolidadoout[[#This Row],[ATUAL]])</f>
        <v>0</v>
      </c>
      <c r="R103" s="91">
        <f>SUMIFS(tabela_registros[VALOR],tabela_registros[MÊS],$AE$1,tabela_registros[DIA],receitasvariáveisconsolidadoout[[#Headers],[14]],tabela_registros[REGISTRO],DADOS!$N$3,tabela_registros[TIPO],DADOS!$V$4,tabela_registros[CATEGORIA],receitasvariáveisconsolidadoout[[#This Row],[ATUAL]])</f>
        <v>0</v>
      </c>
      <c r="S103" s="91">
        <f>SUMIFS(tabela_registros[VALOR],tabela_registros[MÊS],$AE$1,tabela_registros[DIA],receitasvariáveisconsolidadoout[[#Headers],[15]],tabela_registros[REGISTRO],DADOS!$N$3,tabela_registros[TIPO],DADOS!$V$4,tabela_registros[CATEGORIA],receitasvariáveisconsolidadoout[[#This Row],[ATUAL]])</f>
        <v>0</v>
      </c>
      <c r="T103" s="91">
        <f>SUMIFS(tabela_registros[VALOR],tabela_registros[MÊS],$AE$1,tabela_registros[DIA],receitasvariáveisconsolidadoout[[#Headers],[16]],tabela_registros[REGISTRO],DADOS!$N$3,tabela_registros[TIPO],DADOS!$V$4,tabela_registros[CATEGORIA],receitasvariáveisconsolidadoout[[#This Row],[ATUAL]])</f>
        <v>0</v>
      </c>
      <c r="U103" s="91">
        <f>SUMIFS(tabela_registros[VALOR],tabela_registros[MÊS],$AE$1,tabela_registros[DIA],receitasvariáveisconsolidadoout[[#Headers],[17]],tabela_registros[REGISTRO],DADOS!$N$3,tabela_registros[TIPO],DADOS!$V$4,tabela_registros[CATEGORIA],receitasvariáveisconsolidadoout[[#This Row],[ATUAL]])</f>
        <v>0</v>
      </c>
      <c r="V103" s="91">
        <f>SUMIFS(tabela_registros[VALOR],tabela_registros[MÊS],$AE$1,tabela_registros[DIA],receitasvariáveisconsolidadoout[[#Headers],[18]],tabela_registros[REGISTRO],DADOS!$N$3,tabela_registros[TIPO],DADOS!$V$4,tabela_registros[CATEGORIA],receitasvariáveisconsolidadoout[[#This Row],[ATUAL]])</f>
        <v>0</v>
      </c>
      <c r="W103" s="91">
        <f>SUMIFS(tabela_registros[VALOR],tabela_registros[MÊS],$AE$1,tabela_registros[DIA],receitasvariáveisconsolidadoout[[#Headers],[19]],tabela_registros[REGISTRO],DADOS!$N$3,tabela_registros[TIPO],DADOS!$V$4,tabela_registros[CATEGORIA],receitasvariáveisconsolidadoout[[#This Row],[ATUAL]])</f>
        <v>0</v>
      </c>
      <c r="X103" s="91">
        <f>SUMIFS(tabela_registros[VALOR],tabela_registros[MÊS],$AE$1,tabela_registros[DIA],receitasvariáveisconsolidadoout[[#Headers],[20]],tabela_registros[REGISTRO],DADOS!$N$3,tabela_registros[TIPO],DADOS!$V$4,tabela_registros[CATEGORIA],receitasvariáveisconsolidadoout[[#This Row],[ATUAL]])</f>
        <v>0</v>
      </c>
      <c r="Y103" s="91">
        <f>SUMIFS(tabela_registros[VALOR],tabela_registros[MÊS],$AE$1,tabela_registros[DIA],receitasvariáveisconsolidadoout[[#Headers],[21]],tabela_registros[REGISTRO],DADOS!$N$3,tabela_registros[TIPO],DADOS!$V$4,tabela_registros[CATEGORIA],receitasvariáveisconsolidadoout[[#This Row],[ATUAL]])</f>
        <v>0</v>
      </c>
      <c r="Z103" s="91">
        <f>SUMIFS(tabela_registros[VALOR],tabela_registros[MÊS],$AE$1,tabela_registros[DIA],receitasvariáveisconsolidadoout[[#Headers],[22]],tabela_registros[REGISTRO],DADOS!$N$3,tabela_registros[TIPO],DADOS!$V$4,tabela_registros[CATEGORIA],receitasvariáveisconsolidadoout[[#This Row],[ATUAL]])</f>
        <v>0</v>
      </c>
      <c r="AA103" s="91">
        <f>SUMIFS(tabela_registros[VALOR],tabela_registros[MÊS],$AE$1,tabela_registros[DIA],receitasvariáveisconsolidadoout[[#Headers],[23]],tabela_registros[REGISTRO],DADOS!$N$3,tabela_registros[TIPO],DADOS!$V$4,tabela_registros[CATEGORIA],receitasvariáveisconsolidadoout[[#This Row],[ATUAL]])</f>
        <v>0</v>
      </c>
      <c r="AB103" s="91">
        <f>SUMIFS(tabela_registros[VALOR],tabela_registros[MÊS],$AE$1,tabela_registros[DIA],receitasvariáveisconsolidadoout[[#Headers],[24]],tabela_registros[REGISTRO],DADOS!$N$3,tabela_registros[TIPO],DADOS!$V$4,tabela_registros[CATEGORIA],receitasvariáveisconsolidadoout[[#This Row],[ATUAL]])</f>
        <v>0</v>
      </c>
      <c r="AC103" s="91">
        <f>SUMIFS(tabela_registros[VALOR],tabela_registros[MÊS],$AE$1,tabela_registros[DIA],receitasvariáveisconsolidadoout[[#Headers],[25]],tabela_registros[REGISTRO],DADOS!$N$3,tabela_registros[TIPO],DADOS!$V$4,tabela_registros[CATEGORIA],receitasvariáveisconsolidadoout[[#This Row],[ATUAL]])</f>
        <v>0</v>
      </c>
      <c r="AD103" s="91">
        <f>SUMIFS(tabela_registros[VALOR],tabela_registros[MÊS],$AE$1,tabela_registros[DIA],receitasvariáveisconsolidadoout[[#Headers],[26]],tabela_registros[REGISTRO],DADOS!$N$3,tabela_registros[TIPO],DADOS!$V$4,tabela_registros[CATEGORIA],receitasvariáveisconsolidadoout[[#This Row],[ATUAL]])</f>
        <v>0</v>
      </c>
      <c r="AE103" s="91">
        <f>SUMIFS(tabela_registros[VALOR],tabela_registros[MÊS],$AE$1,tabela_registros[DIA],receitasvariáveisconsolidadoout[[#Headers],[27]],tabela_registros[REGISTRO],DADOS!$N$3,tabela_registros[TIPO],DADOS!$V$4,tabela_registros[CATEGORIA],receitasvariáveisconsolidadoout[[#This Row],[ATUAL]])</f>
        <v>0</v>
      </c>
      <c r="AF103" s="91">
        <f>SUMIFS(tabela_registros[VALOR],tabela_registros[MÊS],$AE$1,tabela_registros[DIA],receitasvariáveisconsolidadoout[[#Headers],[28]],tabela_registros[REGISTRO],DADOS!$N$3,tabela_registros[TIPO],DADOS!$V$4,tabela_registros[CATEGORIA],receitasvariáveisconsolidadoout[[#This Row],[ATUAL]])</f>
        <v>0</v>
      </c>
      <c r="AG103" s="91">
        <f>SUMIFS(tabela_registros[VALOR],tabela_registros[MÊS],$AE$1,tabela_registros[DIA],receitasvariáveisconsolidadoout[[#Headers],[29]],tabela_registros[REGISTRO],DADOS!$N$3,tabela_registros[TIPO],DADOS!$V$4,tabela_registros[CATEGORIA],receitasvariáveisconsolidadoout[[#This Row],[ATUAL]])</f>
        <v>0</v>
      </c>
      <c r="AH103" s="91">
        <f>SUMIFS(tabela_registros[VALOR],tabela_registros[MÊS],$AE$1,tabela_registros[DIA],receitasvariáveisconsolidadoout[[#Headers],[30]],tabela_registros[REGISTRO],DADOS!$N$3,tabela_registros[TIPO],DADOS!$V$4,tabela_registros[CATEGORIA],receitasvariáveisconsolidadoout[[#This Row],[ATUAL]])</f>
        <v>0</v>
      </c>
      <c r="AI103" s="102">
        <f>SUMIFS(tabela_registros[VALOR],tabela_registros[MÊS],$AE$1,tabela_registros[DIA],receitasvariáveisconsolidadoout[[#Headers],[31]],tabela_registros[REGISTRO],DADOS!$N$3,tabela_registros[TIPO],DADOS!$V$4,tabela_registros[CATEGORIA],receitasvariáveisconsolidadoout[[#This Row],[ATUAL]])</f>
        <v>0</v>
      </c>
      <c r="AJ103" s="103">
        <f>SUM(receitasvariáveisconsolidadoout[[#This Row],[1]:[31]])</f>
        <v>0</v>
      </c>
      <c r="AK103" s="25"/>
    </row>
    <row r="104" spans="2:37" s="16" customFormat="1" ht="21" customHeight="1" thickTop="1" thickBot="1" x14ac:dyDescent="0.35">
      <c r="B104" s="24"/>
      <c r="C104" s="23" t="s">
        <v>19</v>
      </c>
      <c r="D104" s="22"/>
      <c r="E104" s="21">
        <f>SUM(E96:E103)</f>
        <v>0</v>
      </c>
      <c r="F104" s="20">
        <f>SUM(F96:F103)+receitasvariáveisconsolidadoout[[#This Row],[1]]</f>
        <v>0</v>
      </c>
      <c r="G104" s="20">
        <f>SUM(G96:G103)+receitasvariáveisconsolidadoout[[#This Row],[2]]</f>
        <v>0</v>
      </c>
      <c r="H104" s="20">
        <f>SUM(H96:H103)+receitasvariáveisconsolidadoout[[#This Row],[3]]</f>
        <v>0</v>
      </c>
      <c r="I104" s="20">
        <f>SUM(I96:I103)+receitasvariáveisconsolidadoout[[#This Row],[4]]</f>
        <v>0</v>
      </c>
      <c r="J104" s="20">
        <f>SUM(J96:J103)+receitasvariáveisconsolidadoout[[#This Row],[5]]</f>
        <v>0</v>
      </c>
      <c r="K104" s="20">
        <f>SUM(K96:K103)+receitasvariáveisconsolidadoout[[#This Row],[6]]</f>
        <v>0</v>
      </c>
      <c r="L104" s="20">
        <f>SUM(L96:L103)+receitasvariáveisconsolidadoout[[#This Row],[7]]</f>
        <v>0</v>
      </c>
      <c r="M104" s="20">
        <f>SUM(M96:M103)+receitasvariáveisconsolidadoout[[#This Row],[8]]</f>
        <v>0</v>
      </c>
      <c r="N104" s="20">
        <f>SUM(N96:N103)+receitasvariáveisconsolidadoout[[#This Row],[9]]</f>
        <v>0</v>
      </c>
      <c r="O104" s="20">
        <f>SUM(O96:O103)+receitasvariáveisconsolidadoout[[#This Row],[10]]</f>
        <v>0</v>
      </c>
      <c r="P104" s="20">
        <f>SUM(P96:P103)+receitasvariáveisconsolidadoout[[#This Row],[11]]</f>
        <v>0</v>
      </c>
      <c r="Q104" s="20">
        <f>SUM(Q96:Q103)+receitasvariáveisconsolidadoout[[#This Row],[12]]</f>
        <v>0</v>
      </c>
      <c r="R104" s="20">
        <f>SUM(R96:R103)+receitasvariáveisconsolidadoout[[#This Row],[13]]</f>
        <v>0</v>
      </c>
      <c r="S104" s="20">
        <f>SUM(S96:S103)+receitasvariáveisconsolidadoout[[#This Row],[14]]</f>
        <v>0</v>
      </c>
      <c r="T104" s="20">
        <f>SUM(T96:T103)+receitasvariáveisconsolidadoout[[#This Row],[15]]</f>
        <v>0</v>
      </c>
      <c r="U104" s="20">
        <f>SUM(U96:U103)+receitasvariáveisconsolidadoout[[#This Row],[16]]</f>
        <v>0</v>
      </c>
      <c r="V104" s="20">
        <f>SUM(V96:V103)+receitasvariáveisconsolidadoout[[#This Row],[17]]</f>
        <v>0</v>
      </c>
      <c r="W104" s="20">
        <f>SUM(W96:W103)+receitasvariáveisconsolidadoout[[#This Row],[18]]</f>
        <v>0</v>
      </c>
      <c r="X104" s="20">
        <f>SUM(X96:X103)+receitasvariáveisconsolidadoout[[#This Row],[19]]</f>
        <v>0</v>
      </c>
      <c r="Y104" s="20">
        <f>SUM(Y96:Y103)+receitasvariáveisconsolidadoout[[#This Row],[20]]</f>
        <v>0</v>
      </c>
      <c r="Z104" s="20">
        <f>SUM(Z96:Z103)+receitasvariáveisconsolidadoout[[#This Row],[21]]</f>
        <v>0</v>
      </c>
      <c r="AA104" s="20">
        <f>SUM(AA96:AA103)+receitasvariáveisconsolidadoout[[#This Row],[22]]</f>
        <v>0</v>
      </c>
      <c r="AB104" s="20">
        <f>SUM(AB96:AB103)+receitasvariáveisconsolidadoout[[#This Row],[23]]</f>
        <v>0</v>
      </c>
      <c r="AC104" s="20">
        <f>SUM(AC96:AC103)+receitasvariáveisconsolidadoout[[#This Row],[24]]</f>
        <v>0</v>
      </c>
      <c r="AD104" s="20">
        <f>SUM(AD96:AD103)+receitasvariáveisconsolidadoout[[#This Row],[25]]</f>
        <v>0</v>
      </c>
      <c r="AE104" s="20">
        <f>SUM(AE96:AE103)+receitasvariáveisconsolidadoout[[#This Row],[26]]</f>
        <v>0</v>
      </c>
      <c r="AF104" s="20">
        <f>SUM(AF96:AF103)+receitasvariáveisconsolidadoout[[#This Row],[27]]</f>
        <v>0</v>
      </c>
      <c r="AG104" s="20">
        <f>SUM(AG96:AG103)+receitasvariáveisconsolidadoout[[#This Row],[28]]</f>
        <v>0</v>
      </c>
      <c r="AH104" s="20">
        <f>SUM(AH96:AH103)+receitasvariáveisconsolidadoout[[#This Row],[29]]</f>
        <v>0</v>
      </c>
      <c r="AI104" s="19">
        <f>SUM(AI96:AI103)+receitasvariáveisconsolidadoout[[#This Row],[30]]</f>
        <v>0</v>
      </c>
      <c r="AJ104" s="18">
        <f>receitasvariáveisconsolidadoout[[#This Row],[31]]</f>
        <v>0</v>
      </c>
      <c r="AK104" s="17"/>
    </row>
    <row r="105" spans="2:37" ht="6.75" customHeight="1" thickTop="1" thickBot="1" x14ac:dyDescent="0.3">
      <c r="B105" s="15"/>
      <c r="C105" s="14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2"/>
      <c r="AJ105" s="11"/>
      <c r="AK105" s="10"/>
    </row>
    <row r="106" spans="2:37" ht="12.6" thickTop="1" x14ac:dyDescent="0.25">
      <c r="E106" s="37"/>
      <c r="AI106" s="4"/>
    </row>
    <row r="107" spans="2:37" x14ac:dyDescent="0.25">
      <c r="AI107" s="4"/>
    </row>
    <row r="108" spans="2:37" x14ac:dyDescent="0.25">
      <c r="AI108" s="4"/>
    </row>
    <row r="109" spans="2:37" ht="39.75" customHeight="1" x14ac:dyDescent="0.7">
      <c r="C109" s="36"/>
      <c r="E109" s="240"/>
      <c r="F109" s="240"/>
      <c r="G109" s="240"/>
      <c r="H109" s="240"/>
      <c r="I109" s="240"/>
      <c r="J109" s="240"/>
      <c r="K109" s="240"/>
      <c r="L109" s="240"/>
      <c r="M109" s="240"/>
      <c r="N109" s="240"/>
      <c r="O109" s="240"/>
      <c r="P109" s="240"/>
      <c r="Q109" s="240"/>
      <c r="R109" s="240"/>
      <c r="S109" s="240"/>
      <c r="T109" s="240"/>
      <c r="U109" s="240"/>
      <c r="V109" s="240"/>
      <c r="W109" s="240"/>
      <c r="X109" s="240"/>
      <c r="Y109" s="240"/>
      <c r="Z109" s="240"/>
      <c r="AA109" s="240"/>
      <c r="AB109" s="240"/>
      <c r="AC109" s="240"/>
      <c r="AD109" s="240"/>
      <c r="AE109" s="240"/>
      <c r="AF109" s="240"/>
      <c r="AG109" s="240"/>
      <c r="AH109" s="240"/>
      <c r="AI109" s="240"/>
      <c r="AJ109" s="32" t="s">
        <v>19</v>
      </c>
    </row>
    <row r="110" spans="2:37" ht="12.6" thickBot="1" x14ac:dyDescent="0.3">
      <c r="B110" s="35"/>
      <c r="AI110" s="4"/>
      <c r="AJ110" s="34" t="s">
        <v>202</v>
      </c>
    </row>
    <row r="111" spans="2:37" ht="6.75" customHeight="1" thickTop="1" thickBot="1" x14ac:dyDescent="0.3">
      <c r="B111" s="2"/>
      <c r="C111" s="14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2"/>
      <c r="AK111" s="33"/>
    </row>
    <row r="112" spans="2:37" ht="13.2" hidden="1" thickTop="1" thickBot="1" x14ac:dyDescent="0.3">
      <c r="B112" s="2"/>
      <c r="C112" s="31" t="s">
        <v>199</v>
      </c>
      <c r="D112" s="30" t="s">
        <v>198</v>
      </c>
      <c r="E112" s="30" t="s">
        <v>197</v>
      </c>
      <c r="F112" s="30" t="s">
        <v>196</v>
      </c>
      <c r="G112" s="30" t="s">
        <v>195</v>
      </c>
      <c r="H112" s="30" t="s">
        <v>194</v>
      </c>
      <c r="I112" s="30" t="s">
        <v>193</v>
      </c>
      <c r="J112" s="30" t="s">
        <v>192</v>
      </c>
      <c r="K112" s="30" t="s">
        <v>191</v>
      </c>
      <c r="L112" s="30" t="s">
        <v>190</v>
      </c>
      <c r="M112" s="30" t="s">
        <v>189</v>
      </c>
      <c r="N112" s="30" t="s">
        <v>188</v>
      </c>
      <c r="O112" s="30" t="s">
        <v>187</v>
      </c>
      <c r="P112" s="30" t="s">
        <v>186</v>
      </c>
      <c r="Q112" s="30" t="s">
        <v>185</v>
      </c>
      <c r="R112" s="30" t="s">
        <v>184</v>
      </c>
      <c r="S112" s="30" t="s">
        <v>183</v>
      </c>
      <c r="T112" s="30" t="s">
        <v>182</v>
      </c>
      <c r="U112" s="30" t="s">
        <v>181</v>
      </c>
      <c r="V112" s="30" t="s">
        <v>180</v>
      </c>
      <c r="W112" s="30" t="s">
        <v>179</v>
      </c>
      <c r="X112" s="30" t="s">
        <v>178</v>
      </c>
      <c r="Y112" s="30" t="s">
        <v>177</v>
      </c>
      <c r="Z112" s="30" t="s">
        <v>176</v>
      </c>
      <c r="AA112" s="30" t="s">
        <v>175</v>
      </c>
      <c r="AB112" s="30" t="s">
        <v>174</v>
      </c>
      <c r="AC112" s="30" t="s">
        <v>173</v>
      </c>
      <c r="AD112" s="30" t="s">
        <v>172</v>
      </c>
      <c r="AE112" s="30" t="s">
        <v>171</v>
      </c>
      <c r="AF112" s="30" t="s">
        <v>170</v>
      </c>
      <c r="AG112" s="30" t="s">
        <v>169</v>
      </c>
      <c r="AH112" s="30" t="s">
        <v>168</v>
      </c>
      <c r="AI112" s="30" t="s">
        <v>167</v>
      </c>
      <c r="AJ112" s="29" t="s">
        <v>166</v>
      </c>
      <c r="AK112" s="2"/>
    </row>
    <row r="113" spans="2:37" ht="19.5" customHeight="1" thickTop="1" thickBot="1" x14ac:dyDescent="0.3">
      <c r="B113" s="28"/>
      <c r="C113" s="27" t="str">
        <f>DADOS!$AD$3</f>
        <v>📝 CDB</v>
      </c>
      <c r="D113" s="26" t="str">
        <f>IF(investirrendafixaconsolidadoout[[#This Row],[TOTAL (R$)]]=0,"",IF(OR(investirrendafixaconsolidadoout[[#This Row],[TOTAL (R$)]]=LARGE($AJ$113:$AJ$122,1),investirrendafixaconsolidadoout[[#This Row],[TOTAL (R$)]]=LARGE($AJ$113:$AJ$122,2)),DADOS!$I$10,""))</f>
        <v>💎</v>
      </c>
      <c r="E113" s="96">
        <f>SUMIFS(tabela_registros[VALOR],tabela_registros[MÊS],$AE$1,tabela_registros[DIA],investirrendafixaconsolidadoout[[#Headers],[1]],tabela_registros[REGISTRO],DADOS!$N$5,tabela_registros[TIPO],DADOS!$AB$3,tabela_registros[CATEGORIA],investirrendafixaconsolidadoout[[#This Row],[ATUAL]])</f>
        <v>0</v>
      </c>
      <c r="F113" s="91">
        <f>SUMIFS(tabela_registros[VALOR],tabela_registros[MÊS],$AE$1,tabela_registros[DIA],investirrendafixaconsolidadoout[[#Headers],[2]],tabela_registros[REGISTRO],DADOS!$N$5,tabela_registros[TIPO],DADOS!$AB$3,tabela_registros[CATEGORIA],investirrendafixaconsolidadoout[[#This Row],[ATUAL]])</f>
        <v>0</v>
      </c>
      <c r="G113" s="91">
        <f>SUMIFS(tabela_registros[VALOR],tabela_registros[MÊS],$AE$1,tabela_registros[DIA],investirrendafixaconsolidadoout[[#Headers],[3]],tabela_registros[REGISTRO],DADOS!$N$5,tabela_registros[TIPO],DADOS!$AB$3,tabela_registros[CATEGORIA],investirrendafixaconsolidadoout[[#This Row],[ATUAL]])</f>
        <v>0</v>
      </c>
      <c r="H113" s="91">
        <f>SUMIFS(tabela_registros[VALOR],tabela_registros[MÊS],$AE$1,tabela_registros[DIA],investirrendafixaconsolidadoout[[#Headers],[4]],tabela_registros[REGISTRO],DADOS!$N$5,tabela_registros[TIPO],DADOS!$AB$3,tabela_registros[CATEGORIA],investirrendafixaconsolidadoout[[#This Row],[ATUAL]])</f>
        <v>0</v>
      </c>
      <c r="I113" s="91">
        <f>SUMIFS(tabela_registros[VALOR],tabela_registros[MÊS],$AE$1,tabela_registros[DIA],investirrendafixaconsolidadoout[[#Headers],[5]],tabela_registros[REGISTRO],DADOS!$N$5,tabela_registros[TIPO],DADOS!$AB$3,tabela_registros[CATEGORIA],investirrendafixaconsolidadoout[[#This Row],[ATUAL]])</f>
        <v>0</v>
      </c>
      <c r="J113" s="91">
        <f>SUMIFS(tabela_registros[VALOR],tabela_registros[MÊS],$AE$1,tabela_registros[DIA],investirrendafixaconsolidadoout[[#Headers],[6]],tabela_registros[REGISTRO],DADOS!$N$5,tabela_registros[TIPO],DADOS!$AB$3,tabela_registros[CATEGORIA],investirrendafixaconsolidadoout[[#This Row],[ATUAL]])</f>
        <v>0</v>
      </c>
      <c r="K113" s="91">
        <f>SUMIFS(tabela_registros[VALOR],tabela_registros[MÊS],$AE$1,tabela_registros[DIA],investirrendafixaconsolidadoout[[#Headers],[7]],tabela_registros[REGISTRO],DADOS!$N$5,tabela_registros[TIPO],DADOS!$AB$3,tabela_registros[CATEGORIA],investirrendafixaconsolidadoout[[#This Row],[ATUAL]])</f>
        <v>0</v>
      </c>
      <c r="L113" s="91">
        <f>SUMIFS(tabela_registros[VALOR],tabela_registros[MÊS],$AE$1,tabela_registros[DIA],investirrendafixaconsolidadoout[[#Headers],[8]],tabela_registros[REGISTRO],DADOS!$N$5,tabela_registros[TIPO],DADOS!$AB$3,tabela_registros[CATEGORIA],investirrendafixaconsolidadoout[[#This Row],[ATUAL]])</f>
        <v>0</v>
      </c>
      <c r="M113" s="91">
        <f>SUMIFS(tabela_registros[VALOR],tabela_registros[MÊS],$AE$1,tabela_registros[DIA],investirrendafixaconsolidadoout[[#Headers],[9]],tabela_registros[REGISTRO],DADOS!$N$5,tabela_registros[TIPO],DADOS!$AB$3,tabela_registros[CATEGORIA],investirrendafixaconsolidadoout[[#This Row],[ATUAL]])</f>
        <v>0</v>
      </c>
      <c r="N113" s="91">
        <f>SUMIFS(tabela_registros[VALOR],tabela_registros[MÊS],$AE$1,tabela_registros[DIA],investirrendafixaconsolidadoout[[#Headers],[10]],tabela_registros[REGISTRO],DADOS!$N$5,tabela_registros[TIPO],DADOS!$AB$3,tabela_registros[CATEGORIA],investirrendafixaconsolidadoout[[#This Row],[ATUAL]])</f>
        <v>0</v>
      </c>
      <c r="O113" s="91">
        <f>SUMIFS(tabela_registros[VALOR],tabela_registros[MÊS],$AE$1,tabela_registros[DIA],investirrendafixaconsolidadoout[[#Headers],[11]],tabela_registros[REGISTRO],DADOS!$N$5,tabela_registros[TIPO],DADOS!$AB$3,tabela_registros[CATEGORIA],investirrendafixaconsolidadoout[[#This Row],[ATUAL]])</f>
        <v>0</v>
      </c>
      <c r="P113" s="91">
        <f>SUMIFS(tabela_registros[VALOR],tabela_registros[MÊS],$AE$1,tabela_registros[DIA],investirrendafixaconsolidadoout[[#Headers],[12]],tabela_registros[REGISTRO],DADOS!$N$5,tabela_registros[TIPO],DADOS!$AB$3,tabela_registros[CATEGORIA],investirrendafixaconsolidadoout[[#This Row],[ATUAL]])</f>
        <v>0</v>
      </c>
      <c r="Q113" s="91">
        <f>SUMIFS(tabela_registros[VALOR],tabela_registros[MÊS],$AE$1,tabela_registros[DIA],investirrendafixaconsolidadoout[[#Headers],[13]],tabela_registros[REGISTRO],DADOS!$N$5,tabela_registros[TIPO],DADOS!$AB$3,tabela_registros[CATEGORIA],investirrendafixaconsolidadoout[[#This Row],[ATUAL]])</f>
        <v>0</v>
      </c>
      <c r="R113" s="91">
        <f>SUMIFS(tabela_registros[VALOR],tabela_registros[MÊS],$AE$1,tabela_registros[DIA],investirrendafixaconsolidadoout[[#Headers],[14]],tabela_registros[REGISTRO],DADOS!$N$5,tabela_registros[TIPO],DADOS!$AB$3,tabela_registros[CATEGORIA],investirrendafixaconsolidadoout[[#This Row],[ATUAL]])</f>
        <v>0</v>
      </c>
      <c r="S113" s="91">
        <f>SUMIFS(tabela_registros[VALOR],tabela_registros[MÊS],$AE$1,tabela_registros[DIA],investirrendafixaconsolidadoout[[#Headers],[15]],tabela_registros[REGISTRO],DADOS!$N$5,tabela_registros[TIPO],DADOS!$AB$3,tabela_registros[CATEGORIA],investirrendafixaconsolidadoout[[#This Row],[ATUAL]])</f>
        <v>0</v>
      </c>
      <c r="T113" s="91">
        <f>SUMIFS(tabela_registros[VALOR],tabela_registros[MÊS],$AE$1,tabela_registros[DIA],investirrendafixaconsolidadoout[[#Headers],[16]],tabela_registros[REGISTRO],DADOS!$N$5,tabela_registros[TIPO],DADOS!$AB$3,tabela_registros[CATEGORIA],investirrendafixaconsolidadoout[[#This Row],[ATUAL]])</f>
        <v>0</v>
      </c>
      <c r="U113" s="91">
        <f>SUMIFS(tabela_registros[VALOR],tabela_registros[MÊS],$AE$1,tabela_registros[DIA],investirrendafixaconsolidadoout[[#Headers],[17]],tabela_registros[REGISTRO],DADOS!$N$5,tabela_registros[TIPO],DADOS!$AB$3,tabela_registros[CATEGORIA],investirrendafixaconsolidadoout[[#This Row],[ATUAL]])</f>
        <v>0</v>
      </c>
      <c r="V113" s="91">
        <f>SUMIFS(tabela_registros[VALOR],tabela_registros[MÊS],$AE$1,tabela_registros[DIA],investirrendafixaconsolidadoout[[#Headers],[18]],tabela_registros[REGISTRO],DADOS!$N$5,tabela_registros[TIPO],DADOS!$AB$3,tabela_registros[CATEGORIA],investirrendafixaconsolidadoout[[#This Row],[ATUAL]])</f>
        <v>0</v>
      </c>
      <c r="W113" s="91">
        <f>SUMIFS(tabela_registros[VALOR],tabela_registros[MÊS],$AE$1,tabela_registros[DIA],investirrendafixaconsolidadoout[[#Headers],[19]],tabela_registros[REGISTRO],DADOS!$N$5,tabela_registros[TIPO],DADOS!$AB$3,tabela_registros[CATEGORIA],investirrendafixaconsolidadoout[[#This Row],[ATUAL]])</f>
        <v>0</v>
      </c>
      <c r="X113" s="91">
        <f>SUMIFS(tabela_registros[VALOR],tabela_registros[MÊS],$AE$1,tabela_registros[DIA],investirrendafixaconsolidadoout[[#Headers],[20]],tabela_registros[REGISTRO],DADOS!$N$5,tabela_registros[TIPO],DADOS!$AB$3,tabela_registros[CATEGORIA],investirrendafixaconsolidadoout[[#This Row],[ATUAL]])</f>
        <v>0</v>
      </c>
      <c r="Y113" s="91">
        <f>SUMIFS(tabela_registros[VALOR],tabela_registros[MÊS],$AE$1,tabela_registros[DIA],investirrendafixaconsolidadoout[[#Headers],[21]],tabela_registros[REGISTRO],DADOS!$N$5,tabela_registros[TIPO],DADOS!$AB$3,tabela_registros[CATEGORIA],investirrendafixaconsolidadoout[[#This Row],[ATUAL]])</f>
        <v>0</v>
      </c>
      <c r="Z113" s="91">
        <f>SUMIFS(tabela_registros[VALOR],tabela_registros[MÊS],$AE$1,tabela_registros[DIA],investirrendafixaconsolidadoout[[#Headers],[22]],tabela_registros[REGISTRO],DADOS!$N$5,tabela_registros[TIPO],DADOS!$AB$3,tabela_registros[CATEGORIA],investirrendafixaconsolidadoout[[#This Row],[ATUAL]])</f>
        <v>0</v>
      </c>
      <c r="AA113" s="91">
        <f>SUMIFS(tabela_registros[VALOR],tabela_registros[MÊS],$AE$1,tabela_registros[DIA],investirrendafixaconsolidadoout[[#Headers],[23]],tabela_registros[REGISTRO],DADOS!$N$5,tabela_registros[TIPO],DADOS!$AB$3,tabela_registros[CATEGORIA],investirrendafixaconsolidadoout[[#This Row],[ATUAL]])</f>
        <v>0</v>
      </c>
      <c r="AB113" s="91">
        <f>SUMIFS(tabela_registros[VALOR],tabela_registros[MÊS],$AE$1,tabela_registros[DIA],investirrendafixaconsolidadoout[[#Headers],[24]],tabela_registros[REGISTRO],DADOS!$N$5,tabela_registros[TIPO],DADOS!$AB$3,tabela_registros[CATEGORIA],investirrendafixaconsolidadoout[[#This Row],[ATUAL]])</f>
        <v>0</v>
      </c>
      <c r="AC113" s="91">
        <f>SUMIFS(tabela_registros[VALOR],tabela_registros[MÊS],$AE$1,tabela_registros[DIA],investirrendafixaconsolidadoout[[#Headers],[25]],tabela_registros[REGISTRO],DADOS!$N$5,tabela_registros[TIPO],DADOS!$AB$3,tabela_registros[CATEGORIA],investirrendafixaconsolidadoout[[#This Row],[ATUAL]])</f>
        <v>0</v>
      </c>
      <c r="AD113" s="91">
        <f>SUMIFS(tabela_registros[VALOR],tabela_registros[MÊS],$AE$1,tabela_registros[DIA],investirrendafixaconsolidadoout[[#Headers],[26]],tabela_registros[REGISTRO],DADOS!$N$5,tabela_registros[TIPO],DADOS!$AB$3,tabela_registros[CATEGORIA],investirrendafixaconsolidadoout[[#This Row],[ATUAL]])</f>
        <v>0</v>
      </c>
      <c r="AE113" s="91">
        <f>SUMIFS(tabela_registros[VALOR],tabela_registros[MÊS],$AE$1,tabela_registros[DIA],investirrendafixaconsolidadoout[[#Headers],[27]],tabela_registros[REGISTRO],DADOS!$N$5,tabela_registros[TIPO],DADOS!$AB$3,tabela_registros[CATEGORIA],investirrendafixaconsolidadoout[[#This Row],[ATUAL]])</f>
        <v>451</v>
      </c>
      <c r="AF113" s="91">
        <f>SUMIFS(tabela_registros[VALOR],tabela_registros[MÊS],$AE$1,tabela_registros[DIA],investirrendafixaconsolidadoout[[#Headers],[28]],tabela_registros[REGISTRO],DADOS!$N$5,tabela_registros[TIPO],DADOS!$AB$3,tabela_registros[CATEGORIA],investirrendafixaconsolidadoout[[#This Row],[ATUAL]])</f>
        <v>0</v>
      </c>
      <c r="AG113" s="91">
        <f>SUMIFS(tabela_registros[VALOR],tabela_registros[MÊS],$AE$1,tabela_registros[DIA],investirrendafixaconsolidadoout[[#Headers],[29]],tabela_registros[REGISTRO],DADOS!$N$5,tabela_registros[TIPO],DADOS!$AB$3,tabela_registros[CATEGORIA],investirrendafixaconsolidadoout[[#This Row],[ATUAL]])</f>
        <v>0</v>
      </c>
      <c r="AH113" s="91">
        <f>SUMIFS(tabela_registros[VALOR],tabela_registros[MÊS],$AE$1,tabela_registros[DIA],investirrendafixaconsolidadoout[[#Headers],[30]],tabela_registros[REGISTRO],DADOS!$N$5,tabela_registros[TIPO],DADOS!$AB$3,tabela_registros[CATEGORIA],investirrendafixaconsolidadoout[[#This Row],[ATUAL]])</f>
        <v>0</v>
      </c>
      <c r="AI113" s="101">
        <f>SUMIFS(tabela_registros[VALOR],tabela_registros[MÊS],$AE$1,tabela_registros[DIA],investirrendafixaconsolidadoout[[#Headers],[31]],tabela_registros[REGISTRO],DADOS!$N$5,tabela_registros[TIPO],DADOS!$AB$3,tabela_registros[CATEGORIA],investirrendafixaconsolidadoout[[#This Row],[ATUAL]])</f>
        <v>0</v>
      </c>
      <c r="AJ113" s="97">
        <f>SUM(investirrendafixaconsolidadoout[[#This Row],[1]:[31]])</f>
        <v>451</v>
      </c>
      <c r="AK113" s="25"/>
    </row>
    <row r="114" spans="2:37" ht="19.5" customHeight="1" thickTop="1" thickBot="1" x14ac:dyDescent="0.3">
      <c r="B114" s="28"/>
      <c r="C114" s="27" t="str">
        <f>DADOS!$AD$4</f>
        <v>📝 CRA</v>
      </c>
      <c r="D114" s="26" t="str">
        <f>IF(investirrendafixaconsolidadoout[[#This Row],[TOTAL (R$)]]=0,"",IF(OR(investirrendafixaconsolidadoout[[#This Row],[TOTAL (R$)]]=LARGE($AJ$113:$AJ$122,1),investirrendafixaconsolidadoout[[#This Row],[TOTAL (R$)]]=LARGE($AJ$113:$AJ$122,2)),DADOS!$I$10,""))</f>
        <v/>
      </c>
      <c r="E114" s="96">
        <f>SUMIFS(tabela_registros[VALOR],tabela_registros[MÊS],$AE$1,tabela_registros[DIA],investirrendafixaconsolidadoout[[#Headers],[1]],tabela_registros[REGISTRO],DADOS!$N$5,tabela_registros[TIPO],DADOS!$AB$3,tabela_registros[CATEGORIA],investirrendafixaconsolidadoout[[#This Row],[ATUAL]])</f>
        <v>0</v>
      </c>
      <c r="F114" s="91">
        <f>SUMIFS(tabela_registros[VALOR],tabela_registros[MÊS],$AE$1,tabela_registros[DIA],investirrendafixaconsolidadoout[[#Headers],[2]],tabela_registros[REGISTRO],DADOS!$N$5,tabela_registros[TIPO],DADOS!$AB$3,tabela_registros[CATEGORIA],investirrendafixaconsolidadoout[[#This Row],[ATUAL]])</f>
        <v>0</v>
      </c>
      <c r="G114" s="91">
        <f>SUMIFS(tabela_registros[VALOR],tabela_registros[MÊS],$AE$1,tabela_registros[DIA],investirrendafixaconsolidadoout[[#Headers],[3]],tabela_registros[REGISTRO],DADOS!$N$5,tabela_registros[TIPO],DADOS!$AB$3,tabela_registros[CATEGORIA],investirrendafixaconsolidadoout[[#This Row],[ATUAL]])</f>
        <v>0</v>
      </c>
      <c r="H114" s="91">
        <f>SUMIFS(tabela_registros[VALOR],tabela_registros[MÊS],$AE$1,tabela_registros[DIA],investirrendafixaconsolidadoout[[#Headers],[4]],tabela_registros[REGISTRO],DADOS!$N$5,tabela_registros[TIPO],DADOS!$AB$3,tabela_registros[CATEGORIA],investirrendafixaconsolidadoout[[#This Row],[ATUAL]])</f>
        <v>0</v>
      </c>
      <c r="I114" s="91">
        <f>SUMIFS(tabela_registros[VALOR],tabela_registros[MÊS],$AE$1,tabela_registros[DIA],investirrendafixaconsolidadoout[[#Headers],[5]],tabela_registros[REGISTRO],DADOS!$N$5,tabela_registros[TIPO],DADOS!$AB$3,tabela_registros[CATEGORIA],investirrendafixaconsolidadoout[[#This Row],[ATUAL]])</f>
        <v>0</v>
      </c>
      <c r="J114" s="91">
        <f>SUMIFS(tabela_registros[VALOR],tabela_registros[MÊS],$AE$1,tabela_registros[DIA],investirrendafixaconsolidadoout[[#Headers],[6]],tabela_registros[REGISTRO],DADOS!$N$5,tabela_registros[TIPO],DADOS!$AB$3,tabela_registros[CATEGORIA],investirrendafixaconsolidadoout[[#This Row],[ATUAL]])</f>
        <v>0</v>
      </c>
      <c r="K114" s="91">
        <f>SUMIFS(tabela_registros[VALOR],tabela_registros[MÊS],$AE$1,tabela_registros[DIA],investirrendafixaconsolidadoout[[#Headers],[7]],tabela_registros[REGISTRO],DADOS!$N$5,tabela_registros[TIPO],DADOS!$AB$3,tabela_registros[CATEGORIA],investirrendafixaconsolidadoout[[#This Row],[ATUAL]])</f>
        <v>0</v>
      </c>
      <c r="L114" s="91">
        <f>SUMIFS(tabela_registros[VALOR],tabela_registros[MÊS],$AE$1,tabela_registros[DIA],investirrendafixaconsolidadoout[[#Headers],[8]],tabela_registros[REGISTRO],DADOS!$N$5,tabela_registros[TIPO],DADOS!$AB$3,tabela_registros[CATEGORIA],investirrendafixaconsolidadoout[[#This Row],[ATUAL]])</f>
        <v>0</v>
      </c>
      <c r="M114" s="91">
        <f>SUMIFS(tabela_registros[VALOR],tabela_registros[MÊS],$AE$1,tabela_registros[DIA],investirrendafixaconsolidadoout[[#Headers],[9]],tabela_registros[REGISTRO],DADOS!$N$5,tabela_registros[TIPO],DADOS!$AB$3,tabela_registros[CATEGORIA],investirrendafixaconsolidadoout[[#This Row],[ATUAL]])</f>
        <v>0</v>
      </c>
      <c r="N114" s="91">
        <f>SUMIFS(tabela_registros[VALOR],tabela_registros[MÊS],$AE$1,tabela_registros[DIA],investirrendafixaconsolidadoout[[#Headers],[10]],tabela_registros[REGISTRO],DADOS!$N$5,tabela_registros[TIPO],DADOS!$AB$3,tabela_registros[CATEGORIA],investirrendafixaconsolidadoout[[#This Row],[ATUAL]])</f>
        <v>0</v>
      </c>
      <c r="O114" s="91">
        <f>SUMIFS(tabela_registros[VALOR],tabela_registros[MÊS],$AE$1,tabela_registros[DIA],investirrendafixaconsolidadoout[[#Headers],[11]],tabela_registros[REGISTRO],DADOS!$N$5,tabela_registros[TIPO],DADOS!$AB$3,tabela_registros[CATEGORIA],investirrendafixaconsolidadoout[[#This Row],[ATUAL]])</f>
        <v>0</v>
      </c>
      <c r="P114" s="91">
        <f>SUMIFS(tabela_registros[VALOR],tabela_registros[MÊS],$AE$1,tabela_registros[DIA],investirrendafixaconsolidadoout[[#Headers],[12]],tabela_registros[REGISTRO],DADOS!$N$5,tabela_registros[TIPO],DADOS!$AB$3,tabela_registros[CATEGORIA],investirrendafixaconsolidadoout[[#This Row],[ATUAL]])</f>
        <v>0</v>
      </c>
      <c r="Q114" s="91">
        <f>SUMIFS(tabela_registros[VALOR],tabela_registros[MÊS],$AE$1,tabela_registros[DIA],investirrendafixaconsolidadoout[[#Headers],[13]],tabela_registros[REGISTRO],DADOS!$N$5,tabela_registros[TIPO],DADOS!$AB$3,tabela_registros[CATEGORIA],investirrendafixaconsolidadoout[[#This Row],[ATUAL]])</f>
        <v>0</v>
      </c>
      <c r="R114" s="91">
        <f>SUMIFS(tabela_registros[VALOR],tabela_registros[MÊS],$AE$1,tabela_registros[DIA],investirrendafixaconsolidadoout[[#Headers],[14]],tabela_registros[REGISTRO],DADOS!$N$5,tabela_registros[TIPO],DADOS!$AB$3,tabela_registros[CATEGORIA],investirrendafixaconsolidadoout[[#This Row],[ATUAL]])</f>
        <v>0</v>
      </c>
      <c r="S114" s="91">
        <f>SUMIFS(tabela_registros[VALOR],tabela_registros[MÊS],$AE$1,tabela_registros[DIA],investirrendafixaconsolidadoout[[#Headers],[15]],tabela_registros[REGISTRO],DADOS!$N$5,tabela_registros[TIPO],DADOS!$AB$3,tabela_registros[CATEGORIA],investirrendafixaconsolidadoout[[#This Row],[ATUAL]])</f>
        <v>0</v>
      </c>
      <c r="T114" s="91">
        <f>SUMIFS(tabela_registros[VALOR],tabela_registros[MÊS],$AE$1,tabela_registros[DIA],investirrendafixaconsolidadoout[[#Headers],[16]],tabela_registros[REGISTRO],DADOS!$N$5,tabela_registros[TIPO],DADOS!$AB$3,tabela_registros[CATEGORIA],investirrendafixaconsolidadoout[[#This Row],[ATUAL]])</f>
        <v>0</v>
      </c>
      <c r="U114" s="91">
        <f>SUMIFS(tabela_registros[VALOR],tabela_registros[MÊS],$AE$1,tabela_registros[DIA],investirrendafixaconsolidadoout[[#Headers],[17]],tabela_registros[REGISTRO],DADOS!$N$5,tabela_registros[TIPO],DADOS!$AB$3,tabela_registros[CATEGORIA],investirrendafixaconsolidadoout[[#This Row],[ATUAL]])</f>
        <v>0</v>
      </c>
      <c r="V114" s="91">
        <f>SUMIFS(tabela_registros[VALOR],tabela_registros[MÊS],$AE$1,tabela_registros[DIA],investirrendafixaconsolidadoout[[#Headers],[18]],tabela_registros[REGISTRO],DADOS!$N$5,tabela_registros[TIPO],DADOS!$AB$3,tabela_registros[CATEGORIA],investirrendafixaconsolidadoout[[#This Row],[ATUAL]])</f>
        <v>0</v>
      </c>
      <c r="W114" s="91">
        <f>SUMIFS(tabela_registros[VALOR],tabela_registros[MÊS],$AE$1,tabela_registros[DIA],investirrendafixaconsolidadoout[[#Headers],[19]],tabela_registros[REGISTRO],DADOS!$N$5,tabela_registros[TIPO],DADOS!$AB$3,tabela_registros[CATEGORIA],investirrendafixaconsolidadoout[[#This Row],[ATUAL]])</f>
        <v>0</v>
      </c>
      <c r="X114" s="91">
        <f>SUMIFS(tabela_registros[VALOR],tabela_registros[MÊS],$AE$1,tabela_registros[DIA],investirrendafixaconsolidadoout[[#Headers],[20]],tabela_registros[REGISTRO],DADOS!$N$5,tabela_registros[TIPO],DADOS!$AB$3,tabela_registros[CATEGORIA],investirrendafixaconsolidadoout[[#This Row],[ATUAL]])</f>
        <v>0</v>
      </c>
      <c r="Y114" s="91">
        <f>SUMIFS(tabela_registros[VALOR],tabela_registros[MÊS],$AE$1,tabela_registros[DIA],investirrendafixaconsolidadoout[[#Headers],[21]],tabela_registros[REGISTRO],DADOS!$N$5,tabela_registros[TIPO],DADOS!$AB$3,tabela_registros[CATEGORIA],investirrendafixaconsolidadoout[[#This Row],[ATUAL]])</f>
        <v>0</v>
      </c>
      <c r="Z114" s="91">
        <f>SUMIFS(tabela_registros[VALOR],tabela_registros[MÊS],$AE$1,tabela_registros[DIA],investirrendafixaconsolidadoout[[#Headers],[22]],tabela_registros[REGISTRO],DADOS!$N$5,tabela_registros[TIPO],DADOS!$AB$3,tabela_registros[CATEGORIA],investirrendafixaconsolidadoout[[#This Row],[ATUAL]])</f>
        <v>0</v>
      </c>
      <c r="AA114" s="91">
        <f>SUMIFS(tabela_registros[VALOR],tabela_registros[MÊS],$AE$1,tabela_registros[DIA],investirrendafixaconsolidadoout[[#Headers],[23]],tabela_registros[REGISTRO],DADOS!$N$5,tabela_registros[TIPO],DADOS!$AB$3,tabela_registros[CATEGORIA],investirrendafixaconsolidadoout[[#This Row],[ATUAL]])</f>
        <v>0</v>
      </c>
      <c r="AB114" s="91">
        <f>SUMIFS(tabela_registros[VALOR],tabela_registros[MÊS],$AE$1,tabela_registros[DIA],investirrendafixaconsolidadoout[[#Headers],[24]],tabela_registros[REGISTRO],DADOS!$N$5,tabela_registros[TIPO],DADOS!$AB$3,tabela_registros[CATEGORIA],investirrendafixaconsolidadoout[[#This Row],[ATUAL]])</f>
        <v>0</v>
      </c>
      <c r="AC114" s="91">
        <f>SUMIFS(tabela_registros[VALOR],tabela_registros[MÊS],$AE$1,tabela_registros[DIA],investirrendafixaconsolidadoout[[#Headers],[25]],tabela_registros[REGISTRO],DADOS!$N$5,tabela_registros[TIPO],DADOS!$AB$3,tabela_registros[CATEGORIA],investirrendafixaconsolidadoout[[#This Row],[ATUAL]])</f>
        <v>0</v>
      </c>
      <c r="AD114" s="91">
        <f>SUMIFS(tabela_registros[VALOR],tabela_registros[MÊS],$AE$1,tabela_registros[DIA],investirrendafixaconsolidadoout[[#Headers],[26]],tabela_registros[REGISTRO],DADOS!$N$5,tabela_registros[TIPO],DADOS!$AB$3,tabela_registros[CATEGORIA],investirrendafixaconsolidadoout[[#This Row],[ATUAL]])</f>
        <v>0</v>
      </c>
      <c r="AE114" s="91">
        <f>SUMIFS(tabela_registros[VALOR],tabela_registros[MÊS],$AE$1,tabela_registros[DIA],investirrendafixaconsolidadoout[[#Headers],[27]],tabela_registros[REGISTRO],DADOS!$N$5,tabela_registros[TIPO],DADOS!$AB$3,tabela_registros[CATEGORIA],investirrendafixaconsolidadoout[[#This Row],[ATUAL]])</f>
        <v>0</v>
      </c>
      <c r="AF114" s="91">
        <f>SUMIFS(tabela_registros[VALOR],tabela_registros[MÊS],$AE$1,tabela_registros[DIA],investirrendafixaconsolidadoout[[#Headers],[28]],tabela_registros[REGISTRO],DADOS!$N$5,tabela_registros[TIPO],DADOS!$AB$3,tabela_registros[CATEGORIA],investirrendafixaconsolidadoout[[#This Row],[ATUAL]])</f>
        <v>0</v>
      </c>
      <c r="AG114" s="91">
        <f>SUMIFS(tabela_registros[VALOR],tabela_registros[MÊS],$AE$1,tabela_registros[DIA],investirrendafixaconsolidadoout[[#Headers],[29]],tabela_registros[REGISTRO],DADOS!$N$5,tabela_registros[TIPO],DADOS!$AB$3,tabela_registros[CATEGORIA],investirrendafixaconsolidadoout[[#This Row],[ATUAL]])</f>
        <v>0</v>
      </c>
      <c r="AH114" s="91">
        <f>SUMIFS(tabela_registros[VALOR],tabela_registros[MÊS],$AE$1,tabela_registros[DIA],investirrendafixaconsolidadoout[[#Headers],[30]],tabela_registros[REGISTRO],DADOS!$N$5,tabela_registros[TIPO],DADOS!$AB$3,tabela_registros[CATEGORIA],investirrendafixaconsolidadoout[[#This Row],[ATUAL]])</f>
        <v>0</v>
      </c>
      <c r="AI114" s="101">
        <f>SUMIFS(tabela_registros[VALOR],tabela_registros[MÊS],$AE$1,tabela_registros[DIA],investirrendafixaconsolidadoout[[#Headers],[31]],tabela_registros[REGISTRO],DADOS!$N$5,tabela_registros[TIPO],DADOS!$AB$3,tabela_registros[CATEGORIA],investirrendafixaconsolidadoout[[#This Row],[ATUAL]])</f>
        <v>0</v>
      </c>
      <c r="AJ114" s="97">
        <f>SUM(investirrendafixaconsolidadoout[[#This Row],[1]:[31]])</f>
        <v>0</v>
      </c>
      <c r="AK114" s="25"/>
    </row>
    <row r="115" spans="2:37" ht="19.5" customHeight="1" thickTop="1" thickBot="1" x14ac:dyDescent="0.3">
      <c r="B115" s="28"/>
      <c r="C115" s="27" t="str">
        <f>DADOS!$AD$5</f>
        <v>📝 CRI</v>
      </c>
      <c r="D115" s="26" t="str">
        <f>IF(investirrendafixaconsolidadoout[[#This Row],[TOTAL (R$)]]=0,"",IF(OR(investirrendafixaconsolidadoout[[#This Row],[TOTAL (R$)]]=LARGE($AJ$113:$AJ$122,1),investirrendafixaconsolidadoout[[#This Row],[TOTAL (R$)]]=LARGE($AJ$113:$AJ$122,2)),DADOS!$I$10,""))</f>
        <v/>
      </c>
      <c r="E115" s="96">
        <f>SUMIFS(tabela_registros[VALOR],tabela_registros[MÊS],$AE$1,tabela_registros[DIA],investirrendafixaconsolidadoout[[#Headers],[1]],tabela_registros[REGISTRO],DADOS!$N$5,tabela_registros[TIPO],DADOS!$AB$3,tabela_registros[CATEGORIA],investirrendafixaconsolidadoout[[#This Row],[ATUAL]])</f>
        <v>0</v>
      </c>
      <c r="F115" s="91">
        <f>SUMIFS(tabela_registros[VALOR],tabela_registros[MÊS],$AE$1,tabela_registros[DIA],investirrendafixaconsolidadoout[[#Headers],[2]],tabela_registros[REGISTRO],DADOS!$N$5,tabela_registros[TIPO],DADOS!$AB$3,tabela_registros[CATEGORIA],investirrendafixaconsolidadoout[[#This Row],[ATUAL]])</f>
        <v>0</v>
      </c>
      <c r="G115" s="91">
        <f>SUMIFS(tabela_registros[VALOR],tabela_registros[MÊS],$AE$1,tabela_registros[DIA],investirrendafixaconsolidadoout[[#Headers],[3]],tabela_registros[REGISTRO],DADOS!$N$5,tabela_registros[TIPO],DADOS!$AB$3,tabela_registros[CATEGORIA],investirrendafixaconsolidadoout[[#This Row],[ATUAL]])</f>
        <v>0</v>
      </c>
      <c r="H115" s="91">
        <f>SUMIFS(tabela_registros[VALOR],tabela_registros[MÊS],$AE$1,tabela_registros[DIA],investirrendafixaconsolidadoout[[#Headers],[4]],tabela_registros[REGISTRO],DADOS!$N$5,tabela_registros[TIPO],DADOS!$AB$3,tabela_registros[CATEGORIA],investirrendafixaconsolidadoout[[#This Row],[ATUAL]])</f>
        <v>0</v>
      </c>
      <c r="I115" s="91">
        <f>SUMIFS(tabela_registros[VALOR],tabela_registros[MÊS],$AE$1,tabela_registros[DIA],investirrendafixaconsolidadoout[[#Headers],[5]],tabela_registros[REGISTRO],DADOS!$N$5,tabela_registros[TIPO],DADOS!$AB$3,tabela_registros[CATEGORIA],investirrendafixaconsolidadoout[[#This Row],[ATUAL]])</f>
        <v>0</v>
      </c>
      <c r="J115" s="91">
        <f>SUMIFS(tabela_registros[VALOR],tabela_registros[MÊS],$AE$1,tabela_registros[DIA],investirrendafixaconsolidadoout[[#Headers],[6]],tabela_registros[REGISTRO],DADOS!$N$5,tabela_registros[TIPO],DADOS!$AB$3,tabela_registros[CATEGORIA],investirrendafixaconsolidadoout[[#This Row],[ATUAL]])</f>
        <v>0</v>
      </c>
      <c r="K115" s="91">
        <f>SUMIFS(tabela_registros[VALOR],tabela_registros[MÊS],$AE$1,tabela_registros[DIA],investirrendafixaconsolidadoout[[#Headers],[7]],tabela_registros[REGISTRO],DADOS!$N$5,tabela_registros[TIPO],DADOS!$AB$3,tabela_registros[CATEGORIA],investirrendafixaconsolidadoout[[#This Row],[ATUAL]])</f>
        <v>0</v>
      </c>
      <c r="L115" s="91">
        <f>SUMIFS(tabela_registros[VALOR],tabela_registros[MÊS],$AE$1,tabela_registros[DIA],investirrendafixaconsolidadoout[[#Headers],[8]],tabela_registros[REGISTRO],DADOS!$N$5,tabela_registros[TIPO],DADOS!$AB$3,tabela_registros[CATEGORIA],investirrendafixaconsolidadoout[[#This Row],[ATUAL]])</f>
        <v>0</v>
      </c>
      <c r="M115" s="91">
        <f>SUMIFS(tabela_registros[VALOR],tabela_registros[MÊS],$AE$1,tabela_registros[DIA],investirrendafixaconsolidadoout[[#Headers],[9]],tabela_registros[REGISTRO],DADOS!$N$5,tabela_registros[TIPO],DADOS!$AB$3,tabela_registros[CATEGORIA],investirrendafixaconsolidadoout[[#This Row],[ATUAL]])</f>
        <v>0</v>
      </c>
      <c r="N115" s="91">
        <f>SUMIFS(tabela_registros[VALOR],tabela_registros[MÊS],$AE$1,tabela_registros[DIA],investirrendafixaconsolidadoout[[#Headers],[10]],tabela_registros[REGISTRO],DADOS!$N$5,tabela_registros[TIPO],DADOS!$AB$3,tabela_registros[CATEGORIA],investirrendafixaconsolidadoout[[#This Row],[ATUAL]])</f>
        <v>0</v>
      </c>
      <c r="O115" s="91">
        <f>SUMIFS(tabela_registros[VALOR],tabela_registros[MÊS],$AE$1,tabela_registros[DIA],investirrendafixaconsolidadoout[[#Headers],[11]],tabela_registros[REGISTRO],DADOS!$N$5,tabela_registros[TIPO],DADOS!$AB$3,tabela_registros[CATEGORIA],investirrendafixaconsolidadoout[[#This Row],[ATUAL]])</f>
        <v>0</v>
      </c>
      <c r="P115" s="91">
        <f>SUMIFS(tabela_registros[VALOR],tabela_registros[MÊS],$AE$1,tabela_registros[DIA],investirrendafixaconsolidadoout[[#Headers],[12]],tabela_registros[REGISTRO],DADOS!$N$5,tabela_registros[TIPO],DADOS!$AB$3,tabela_registros[CATEGORIA],investirrendafixaconsolidadoout[[#This Row],[ATUAL]])</f>
        <v>0</v>
      </c>
      <c r="Q115" s="91">
        <f>SUMIFS(tabela_registros[VALOR],tabela_registros[MÊS],$AE$1,tabela_registros[DIA],investirrendafixaconsolidadoout[[#Headers],[13]],tabela_registros[REGISTRO],DADOS!$N$5,tabela_registros[TIPO],DADOS!$AB$3,tabela_registros[CATEGORIA],investirrendafixaconsolidadoout[[#This Row],[ATUAL]])</f>
        <v>0</v>
      </c>
      <c r="R115" s="91">
        <f>SUMIFS(tabela_registros[VALOR],tabela_registros[MÊS],$AE$1,tabela_registros[DIA],investirrendafixaconsolidadoout[[#Headers],[14]],tabela_registros[REGISTRO],DADOS!$N$5,tabela_registros[TIPO],DADOS!$AB$3,tabela_registros[CATEGORIA],investirrendafixaconsolidadoout[[#This Row],[ATUAL]])</f>
        <v>0</v>
      </c>
      <c r="S115" s="91">
        <f>SUMIFS(tabela_registros[VALOR],tabela_registros[MÊS],$AE$1,tabela_registros[DIA],investirrendafixaconsolidadoout[[#Headers],[15]],tabela_registros[REGISTRO],DADOS!$N$5,tabela_registros[TIPO],DADOS!$AB$3,tabela_registros[CATEGORIA],investirrendafixaconsolidadoout[[#This Row],[ATUAL]])</f>
        <v>0</v>
      </c>
      <c r="T115" s="91">
        <f>SUMIFS(tabela_registros[VALOR],tabela_registros[MÊS],$AE$1,tabela_registros[DIA],investirrendafixaconsolidadoout[[#Headers],[16]],tabela_registros[REGISTRO],DADOS!$N$5,tabela_registros[TIPO],DADOS!$AB$3,tabela_registros[CATEGORIA],investirrendafixaconsolidadoout[[#This Row],[ATUAL]])</f>
        <v>0</v>
      </c>
      <c r="U115" s="91">
        <f>SUMIFS(tabela_registros[VALOR],tabela_registros[MÊS],$AE$1,tabela_registros[DIA],investirrendafixaconsolidadoout[[#Headers],[17]],tabela_registros[REGISTRO],DADOS!$N$5,tabela_registros[TIPO],DADOS!$AB$3,tabela_registros[CATEGORIA],investirrendafixaconsolidadoout[[#This Row],[ATUAL]])</f>
        <v>0</v>
      </c>
      <c r="V115" s="91">
        <f>SUMIFS(tabela_registros[VALOR],tabela_registros[MÊS],$AE$1,tabela_registros[DIA],investirrendafixaconsolidadoout[[#Headers],[18]],tabela_registros[REGISTRO],DADOS!$N$5,tabela_registros[TIPO],DADOS!$AB$3,tabela_registros[CATEGORIA],investirrendafixaconsolidadoout[[#This Row],[ATUAL]])</f>
        <v>0</v>
      </c>
      <c r="W115" s="91">
        <f>SUMIFS(tabela_registros[VALOR],tabela_registros[MÊS],$AE$1,tabela_registros[DIA],investirrendafixaconsolidadoout[[#Headers],[19]],tabela_registros[REGISTRO],DADOS!$N$5,tabela_registros[TIPO],DADOS!$AB$3,tabela_registros[CATEGORIA],investirrendafixaconsolidadoout[[#This Row],[ATUAL]])</f>
        <v>0</v>
      </c>
      <c r="X115" s="91">
        <f>SUMIFS(tabela_registros[VALOR],tabela_registros[MÊS],$AE$1,tabela_registros[DIA],investirrendafixaconsolidadoout[[#Headers],[20]],tabela_registros[REGISTRO],DADOS!$N$5,tabela_registros[TIPO],DADOS!$AB$3,tabela_registros[CATEGORIA],investirrendafixaconsolidadoout[[#This Row],[ATUAL]])</f>
        <v>0</v>
      </c>
      <c r="Y115" s="91">
        <f>SUMIFS(tabela_registros[VALOR],tabela_registros[MÊS],$AE$1,tabela_registros[DIA],investirrendafixaconsolidadoout[[#Headers],[21]],tabela_registros[REGISTRO],DADOS!$N$5,tabela_registros[TIPO],DADOS!$AB$3,tabela_registros[CATEGORIA],investirrendafixaconsolidadoout[[#This Row],[ATUAL]])</f>
        <v>0</v>
      </c>
      <c r="Z115" s="91">
        <f>SUMIFS(tabela_registros[VALOR],tabela_registros[MÊS],$AE$1,tabela_registros[DIA],investirrendafixaconsolidadoout[[#Headers],[22]],tabela_registros[REGISTRO],DADOS!$N$5,tabela_registros[TIPO],DADOS!$AB$3,tabela_registros[CATEGORIA],investirrendafixaconsolidadoout[[#This Row],[ATUAL]])</f>
        <v>0</v>
      </c>
      <c r="AA115" s="91">
        <f>SUMIFS(tabela_registros[VALOR],tabela_registros[MÊS],$AE$1,tabela_registros[DIA],investirrendafixaconsolidadoout[[#Headers],[23]],tabela_registros[REGISTRO],DADOS!$N$5,tabela_registros[TIPO],DADOS!$AB$3,tabela_registros[CATEGORIA],investirrendafixaconsolidadoout[[#This Row],[ATUAL]])</f>
        <v>0</v>
      </c>
      <c r="AB115" s="91">
        <f>SUMIFS(tabela_registros[VALOR],tabela_registros[MÊS],$AE$1,tabela_registros[DIA],investirrendafixaconsolidadoout[[#Headers],[24]],tabela_registros[REGISTRO],DADOS!$N$5,tabela_registros[TIPO],DADOS!$AB$3,tabela_registros[CATEGORIA],investirrendafixaconsolidadoout[[#This Row],[ATUAL]])</f>
        <v>0</v>
      </c>
      <c r="AC115" s="91">
        <f>SUMIFS(tabela_registros[VALOR],tabela_registros[MÊS],$AE$1,tabela_registros[DIA],investirrendafixaconsolidadoout[[#Headers],[25]],tabela_registros[REGISTRO],DADOS!$N$5,tabela_registros[TIPO],DADOS!$AB$3,tabela_registros[CATEGORIA],investirrendafixaconsolidadoout[[#This Row],[ATUAL]])</f>
        <v>0</v>
      </c>
      <c r="AD115" s="91">
        <f>SUMIFS(tabela_registros[VALOR],tabela_registros[MÊS],$AE$1,tabela_registros[DIA],investirrendafixaconsolidadoout[[#Headers],[26]],tabela_registros[REGISTRO],DADOS!$N$5,tabela_registros[TIPO],DADOS!$AB$3,tabela_registros[CATEGORIA],investirrendafixaconsolidadoout[[#This Row],[ATUAL]])</f>
        <v>0</v>
      </c>
      <c r="AE115" s="91">
        <f>SUMIFS(tabela_registros[VALOR],tabela_registros[MÊS],$AE$1,tabela_registros[DIA],investirrendafixaconsolidadoout[[#Headers],[27]],tabela_registros[REGISTRO],DADOS!$N$5,tabela_registros[TIPO],DADOS!$AB$3,tabela_registros[CATEGORIA],investirrendafixaconsolidadoout[[#This Row],[ATUAL]])</f>
        <v>0</v>
      </c>
      <c r="AF115" s="91">
        <f>SUMIFS(tabela_registros[VALOR],tabela_registros[MÊS],$AE$1,tabela_registros[DIA],investirrendafixaconsolidadoout[[#Headers],[28]],tabela_registros[REGISTRO],DADOS!$N$5,tabela_registros[TIPO],DADOS!$AB$3,tabela_registros[CATEGORIA],investirrendafixaconsolidadoout[[#This Row],[ATUAL]])</f>
        <v>0</v>
      </c>
      <c r="AG115" s="91">
        <f>SUMIFS(tabela_registros[VALOR],tabela_registros[MÊS],$AE$1,tabela_registros[DIA],investirrendafixaconsolidadoout[[#Headers],[29]],tabela_registros[REGISTRO],DADOS!$N$5,tabela_registros[TIPO],DADOS!$AB$3,tabela_registros[CATEGORIA],investirrendafixaconsolidadoout[[#This Row],[ATUAL]])</f>
        <v>0</v>
      </c>
      <c r="AH115" s="91">
        <f>SUMIFS(tabela_registros[VALOR],tabela_registros[MÊS],$AE$1,tabela_registros[DIA],investirrendafixaconsolidadoout[[#Headers],[30]],tabela_registros[REGISTRO],DADOS!$N$5,tabela_registros[TIPO],DADOS!$AB$3,tabela_registros[CATEGORIA],investirrendafixaconsolidadoout[[#This Row],[ATUAL]])</f>
        <v>0</v>
      </c>
      <c r="AI115" s="101">
        <f>SUMIFS(tabela_registros[VALOR],tabela_registros[MÊS],$AE$1,tabela_registros[DIA],investirrendafixaconsolidadoout[[#Headers],[31]],tabela_registros[REGISTRO],DADOS!$N$5,tabela_registros[TIPO],DADOS!$AB$3,tabela_registros[CATEGORIA],investirrendafixaconsolidadoout[[#This Row],[ATUAL]])</f>
        <v>0</v>
      </c>
      <c r="AJ115" s="97">
        <f>SUM(investirrendafixaconsolidadoout[[#This Row],[1]:[31]])</f>
        <v>0</v>
      </c>
      <c r="AK115" s="25"/>
    </row>
    <row r="116" spans="2:37" ht="19.5" customHeight="1" thickTop="1" thickBot="1" x14ac:dyDescent="0.3">
      <c r="B116" s="28"/>
      <c r="C116" s="27" t="str">
        <f>DADOS!$AD$6</f>
        <v>📝 DEBÊNTURE</v>
      </c>
      <c r="D116" s="26" t="str">
        <f>IF(investirrendafixaconsolidadoout[[#This Row],[TOTAL (R$)]]=0,"",IF(OR(investirrendafixaconsolidadoout[[#This Row],[TOTAL (R$)]]=LARGE($AJ$113:$AJ$122,1),investirrendafixaconsolidadoout[[#This Row],[TOTAL (R$)]]=LARGE($AJ$113:$AJ$122,2)),DADOS!$I$10,""))</f>
        <v/>
      </c>
      <c r="E116" s="96">
        <f>SUMIFS(tabela_registros[VALOR],tabela_registros[MÊS],$AE$1,tabela_registros[DIA],investirrendafixaconsolidadoout[[#Headers],[1]],tabela_registros[REGISTRO],DADOS!$N$5,tabela_registros[TIPO],DADOS!$AB$3,tabela_registros[CATEGORIA],investirrendafixaconsolidadoout[[#This Row],[ATUAL]])</f>
        <v>0</v>
      </c>
      <c r="F116" s="91">
        <f>SUMIFS(tabela_registros[VALOR],tabela_registros[MÊS],$AE$1,tabela_registros[DIA],investirrendafixaconsolidadoout[[#Headers],[2]],tabela_registros[REGISTRO],DADOS!$N$5,tabela_registros[TIPO],DADOS!$AB$3,tabela_registros[CATEGORIA],investirrendafixaconsolidadoout[[#This Row],[ATUAL]])</f>
        <v>0</v>
      </c>
      <c r="G116" s="91">
        <f>SUMIFS(tabela_registros[VALOR],tabela_registros[MÊS],$AE$1,tabela_registros[DIA],investirrendafixaconsolidadoout[[#Headers],[3]],tabela_registros[REGISTRO],DADOS!$N$5,tabela_registros[TIPO],DADOS!$AB$3,tabela_registros[CATEGORIA],investirrendafixaconsolidadoout[[#This Row],[ATUAL]])</f>
        <v>0</v>
      </c>
      <c r="H116" s="91">
        <f>SUMIFS(tabela_registros[VALOR],tabela_registros[MÊS],$AE$1,tabela_registros[DIA],investirrendafixaconsolidadoout[[#Headers],[4]],tabela_registros[REGISTRO],DADOS!$N$5,tabela_registros[TIPO],DADOS!$AB$3,tabela_registros[CATEGORIA],investirrendafixaconsolidadoout[[#This Row],[ATUAL]])</f>
        <v>0</v>
      </c>
      <c r="I116" s="91">
        <f>SUMIFS(tabela_registros[VALOR],tabela_registros[MÊS],$AE$1,tabela_registros[DIA],investirrendafixaconsolidadoout[[#Headers],[5]],tabela_registros[REGISTRO],DADOS!$N$5,tabela_registros[TIPO],DADOS!$AB$3,tabela_registros[CATEGORIA],investirrendafixaconsolidadoout[[#This Row],[ATUAL]])</f>
        <v>0</v>
      </c>
      <c r="J116" s="91">
        <f>SUMIFS(tabela_registros[VALOR],tabela_registros[MÊS],$AE$1,tabela_registros[DIA],investirrendafixaconsolidadoout[[#Headers],[6]],tabela_registros[REGISTRO],DADOS!$N$5,tabela_registros[TIPO],DADOS!$AB$3,tabela_registros[CATEGORIA],investirrendafixaconsolidadoout[[#This Row],[ATUAL]])</f>
        <v>0</v>
      </c>
      <c r="K116" s="91">
        <f>SUMIFS(tabela_registros[VALOR],tabela_registros[MÊS],$AE$1,tabela_registros[DIA],investirrendafixaconsolidadoout[[#Headers],[7]],tabela_registros[REGISTRO],DADOS!$N$5,tabela_registros[TIPO],DADOS!$AB$3,tabela_registros[CATEGORIA],investirrendafixaconsolidadoout[[#This Row],[ATUAL]])</f>
        <v>0</v>
      </c>
      <c r="L116" s="91">
        <f>SUMIFS(tabela_registros[VALOR],tabela_registros[MÊS],$AE$1,tabela_registros[DIA],investirrendafixaconsolidadoout[[#Headers],[8]],tabela_registros[REGISTRO],DADOS!$N$5,tabela_registros[TIPO],DADOS!$AB$3,tabela_registros[CATEGORIA],investirrendafixaconsolidadoout[[#This Row],[ATUAL]])</f>
        <v>0</v>
      </c>
      <c r="M116" s="91">
        <f>SUMIFS(tabela_registros[VALOR],tabela_registros[MÊS],$AE$1,tabela_registros[DIA],investirrendafixaconsolidadoout[[#Headers],[9]],tabela_registros[REGISTRO],DADOS!$N$5,tabela_registros[TIPO],DADOS!$AB$3,tabela_registros[CATEGORIA],investirrendafixaconsolidadoout[[#This Row],[ATUAL]])</f>
        <v>0</v>
      </c>
      <c r="N116" s="91">
        <f>SUMIFS(tabela_registros[VALOR],tabela_registros[MÊS],$AE$1,tabela_registros[DIA],investirrendafixaconsolidadoout[[#Headers],[10]],tabela_registros[REGISTRO],DADOS!$N$5,tabela_registros[TIPO],DADOS!$AB$3,tabela_registros[CATEGORIA],investirrendafixaconsolidadoout[[#This Row],[ATUAL]])</f>
        <v>0</v>
      </c>
      <c r="O116" s="91">
        <f>SUMIFS(tabela_registros[VALOR],tabela_registros[MÊS],$AE$1,tabela_registros[DIA],investirrendafixaconsolidadoout[[#Headers],[11]],tabela_registros[REGISTRO],DADOS!$N$5,tabela_registros[TIPO],DADOS!$AB$3,tabela_registros[CATEGORIA],investirrendafixaconsolidadoout[[#This Row],[ATUAL]])</f>
        <v>0</v>
      </c>
      <c r="P116" s="91">
        <f>SUMIFS(tabela_registros[VALOR],tabela_registros[MÊS],$AE$1,tabela_registros[DIA],investirrendafixaconsolidadoout[[#Headers],[12]],tabela_registros[REGISTRO],DADOS!$N$5,tabela_registros[TIPO],DADOS!$AB$3,tabela_registros[CATEGORIA],investirrendafixaconsolidadoout[[#This Row],[ATUAL]])</f>
        <v>0</v>
      </c>
      <c r="Q116" s="91">
        <f>SUMIFS(tabela_registros[VALOR],tabela_registros[MÊS],$AE$1,tabela_registros[DIA],investirrendafixaconsolidadoout[[#Headers],[13]],tabela_registros[REGISTRO],DADOS!$N$5,tabela_registros[TIPO],DADOS!$AB$3,tabela_registros[CATEGORIA],investirrendafixaconsolidadoout[[#This Row],[ATUAL]])</f>
        <v>0</v>
      </c>
      <c r="R116" s="91">
        <f>SUMIFS(tabela_registros[VALOR],tabela_registros[MÊS],$AE$1,tabela_registros[DIA],investirrendafixaconsolidadoout[[#Headers],[14]],tabela_registros[REGISTRO],DADOS!$N$5,tabela_registros[TIPO],DADOS!$AB$3,tabela_registros[CATEGORIA],investirrendafixaconsolidadoout[[#This Row],[ATUAL]])</f>
        <v>0</v>
      </c>
      <c r="S116" s="91">
        <f>SUMIFS(tabela_registros[VALOR],tabela_registros[MÊS],$AE$1,tabela_registros[DIA],investirrendafixaconsolidadoout[[#Headers],[15]],tabela_registros[REGISTRO],DADOS!$N$5,tabela_registros[TIPO],DADOS!$AB$3,tabela_registros[CATEGORIA],investirrendafixaconsolidadoout[[#This Row],[ATUAL]])</f>
        <v>0</v>
      </c>
      <c r="T116" s="91">
        <f>SUMIFS(tabela_registros[VALOR],tabela_registros[MÊS],$AE$1,tabela_registros[DIA],investirrendafixaconsolidadoout[[#Headers],[16]],tabela_registros[REGISTRO],DADOS!$N$5,tabela_registros[TIPO],DADOS!$AB$3,tabela_registros[CATEGORIA],investirrendafixaconsolidadoout[[#This Row],[ATUAL]])</f>
        <v>0</v>
      </c>
      <c r="U116" s="91">
        <f>SUMIFS(tabela_registros[VALOR],tabela_registros[MÊS],$AE$1,tabela_registros[DIA],investirrendafixaconsolidadoout[[#Headers],[17]],tabela_registros[REGISTRO],DADOS!$N$5,tabela_registros[TIPO],DADOS!$AB$3,tabela_registros[CATEGORIA],investirrendafixaconsolidadoout[[#This Row],[ATUAL]])</f>
        <v>0</v>
      </c>
      <c r="V116" s="91">
        <f>SUMIFS(tabela_registros[VALOR],tabela_registros[MÊS],$AE$1,tabela_registros[DIA],investirrendafixaconsolidadoout[[#Headers],[18]],tabela_registros[REGISTRO],DADOS!$N$5,tabela_registros[TIPO],DADOS!$AB$3,tabela_registros[CATEGORIA],investirrendafixaconsolidadoout[[#This Row],[ATUAL]])</f>
        <v>0</v>
      </c>
      <c r="W116" s="91">
        <f>SUMIFS(tabela_registros[VALOR],tabela_registros[MÊS],$AE$1,tabela_registros[DIA],investirrendafixaconsolidadoout[[#Headers],[19]],tabela_registros[REGISTRO],DADOS!$N$5,tabela_registros[TIPO],DADOS!$AB$3,tabela_registros[CATEGORIA],investirrendafixaconsolidadoout[[#This Row],[ATUAL]])</f>
        <v>0</v>
      </c>
      <c r="X116" s="91">
        <f>SUMIFS(tabela_registros[VALOR],tabela_registros[MÊS],$AE$1,tabela_registros[DIA],investirrendafixaconsolidadoout[[#Headers],[20]],tabela_registros[REGISTRO],DADOS!$N$5,tabela_registros[TIPO],DADOS!$AB$3,tabela_registros[CATEGORIA],investirrendafixaconsolidadoout[[#This Row],[ATUAL]])</f>
        <v>0</v>
      </c>
      <c r="Y116" s="91">
        <f>SUMIFS(tabela_registros[VALOR],tabela_registros[MÊS],$AE$1,tabela_registros[DIA],investirrendafixaconsolidadoout[[#Headers],[21]],tabela_registros[REGISTRO],DADOS!$N$5,tabela_registros[TIPO],DADOS!$AB$3,tabela_registros[CATEGORIA],investirrendafixaconsolidadoout[[#This Row],[ATUAL]])</f>
        <v>0</v>
      </c>
      <c r="Z116" s="91">
        <f>SUMIFS(tabela_registros[VALOR],tabela_registros[MÊS],$AE$1,tabela_registros[DIA],investirrendafixaconsolidadoout[[#Headers],[22]],tabela_registros[REGISTRO],DADOS!$N$5,tabela_registros[TIPO],DADOS!$AB$3,tabela_registros[CATEGORIA],investirrendafixaconsolidadoout[[#This Row],[ATUAL]])</f>
        <v>0</v>
      </c>
      <c r="AA116" s="91">
        <f>SUMIFS(tabela_registros[VALOR],tabela_registros[MÊS],$AE$1,tabela_registros[DIA],investirrendafixaconsolidadoout[[#Headers],[23]],tabela_registros[REGISTRO],DADOS!$N$5,tabela_registros[TIPO],DADOS!$AB$3,tabela_registros[CATEGORIA],investirrendafixaconsolidadoout[[#This Row],[ATUAL]])</f>
        <v>0</v>
      </c>
      <c r="AB116" s="91">
        <f>SUMIFS(tabela_registros[VALOR],tabela_registros[MÊS],$AE$1,tabela_registros[DIA],investirrendafixaconsolidadoout[[#Headers],[24]],tabela_registros[REGISTRO],DADOS!$N$5,tabela_registros[TIPO],DADOS!$AB$3,tabela_registros[CATEGORIA],investirrendafixaconsolidadoout[[#This Row],[ATUAL]])</f>
        <v>0</v>
      </c>
      <c r="AC116" s="91">
        <f>SUMIFS(tabela_registros[VALOR],tabela_registros[MÊS],$AE$1,tabela_registros[DIA],investirrendafixaconsolidadoout[[#Headers],[25]],tabela_registros[REGISTRO],DADOS!$N$5,tabela_registros[TIPO],DADOS!$AB$3,tabela_registros[CATEGORIA],investirrendafixaconsolidadoout[[#This Row],[ATUAL]])</f>
        <v>0</v>
      </c>
      <c r="AD116" s="91">
        <f>SUMIFS(tabela_registros[VALOR],tabela_registros[MÊS],$AE$1,tabela_registros[DIA],investirrendafixaconsolidadoout[[#Headers],[26]],tabela_registros[REGISTRO],DADOS!$N$5,tabela_registros[TIPO],DADOS!$AB$3,tabela_registros[CATEGORIA],investirrendafixaconsolidadoout[[#This Row],[ATUAL]])</f>
        <v>0</v>
      </c>
      <c r="AE116" s="91">
        <f>SUMIFS(tabela_registros[VALOR],tabela_registros[MÊS],$AE$1,tabela_registros[DIA],investirrendafixaconsolidadoout[[#Headers],[27]],tabela_registros[REGISTRO],DADOS!$N$5,tabela_registros[TIPO],DADOS!$AB$3,tabela_registros[CATEGORIA],investirrendafixaconsolidadoout[[#This Row],[ATUAL]])</f>
        <v>0</v>
      </c>
      <c r="AF116" s="91">
        <f>SUMIFS(tabela_registros[VALOR],tabela_registros[MÊS],$AE$1,tabela_registros[DIA],investirrendafixaconsolidadoout[[#Headers],[28]],tabela_registros[REGISTRO],DADOS!$N$5,tabela_registros[TIPO],DADOS!$AB$3,tabela_registros[CATEGORIA],investirrendafixaconsolidadoout[[#This Row],[ATUAL]])</f>
        <v>0</v>
      </c>
      <c r="AG116" s="91">
        <f>SUMIFS(tabela_registros[VALOR],tabela_registros[MÊS],$AE$1,tabela_registros[DIA],investirrendafixaconsolidadoout[[#Headers],[29]],tabela_registros[REGISTRO],DADOS!$N$5,tabela_registros[TIPO],DADOS!$AB$3,tabela_registros[CATEGORIA],investirrendafixaconsolidadoout[[#This Row],[ATUAL]])</f>
        <v>0</v>
      </c>
      <c r="AH116" s="91">
        <f>SUMIFS(tabela_registros[VALOR],tabela_registros[MÊS],$AE$1,tabela_registros[DIA],investirrendafixaconsolidadoout[[#Headers],[30]],tabela_registros[REGISTRO],DADOS!$N$5,tabela_registros[TIPO],DADOS!$AB$3,tabela_registros[CATEGORIA],investirrendafixaconsolidadoout[[#This Row],[ATUAL]])</f>
        <v>0</v>
      </c>
      <c r="AI116" s="101">
        <f>SUMIFS(tabela_registros[VALOR],tabela_registros[MÊS],$AE$1,tabela_registros[DIA],investirrendafixaconsolidadoout[[#Headers],[31]],tabela_registros[REGISTRO],DADOS!$N$5,tabela_registros[TIPO],DADOS!$AB$3,tabela_registros[CATEGORIA],investirrendafixaconsolidadoout[[#This Row],[ATUAL]])</f>
        <v>0</v>
      </c>
      <c r="AJ116" s="97">
        <f>SUM(investirrendafixaconsolidadoout[[#This Row],[1]:[31]])</f>
        <v>0</v>
      </c>
      <c r="AK116" s="25"/>
    </row>
    <row r="117" spans="2:37" ht="19.5" customHeight="1" thickTop="1" thickBot="1" x14ac:dyDescent="0.3">
      <c r="B117" s="28"/>
      <c r="C117" s="27" t="str">
        <f>DADOS!$AD$7</f>
        <v>📝 EXTERIOR</v>
      </c>
      <c r="D117" s="26" t="str">
        <f>IF(investirrendafixaconsolidadoout[[#This Row],[TOTAL (R$)]]=0,"",IF(OR(investirrendafixaconsolidadoout[[#This Row],[TOTAL (R$)]]=LARGE($AJ$113:$AJ$122,1),investirrendafixaconsolidadoout[[#This Row],[TOTAL (R$)]]=LARGE($AJ$113:$AJ$122,2)),DADOS!$I$10,""))</f>
        <v/>
      </c>
      <c r="E117" s="96">
        <f>SUMIFS(tabela_registros[VALOR],tabela_registros[MÊS],$AE$1,tabela_registros[DIA],investirrendafixaconsolidadoout[[#Headers],[1]],tabela_registros[REGISTRO],DADOS!$N$5,tabela_registros[TIPO],DADOS!$AB$3,tabela_registros[CATEGORIA],investirrendafixaconsolidadoout[[#This Row],[ATUAL]])</f>
        <v>0</v>
      </c>
      <c r="F117" s="91">
        <f>SUMIFS(tabela_registros[VALOR],tabela_registros[MÊS],$AE$1,tabela_registros[DIA],investirrendafixaconsolidadoout[[#Headers],[2]],tabela_registros[REGISTRO],DADOS!$N$5,tabela_registros[TIPO],DADOS!$AB$3,tabela_registros[CATEGORIA],investirrendafixaconsolidadoout[[#This Row],[ATUAL]])</f>
        <v>0</v>
      </c>
      <c r="G117" s="91">
        <f>SUMIFS(tabela_registros[VALOR],tabela_registros[MÊS],$AE$1,tabela_registros[DIA],investirrendafixaconsolidadoout[[#Headers],[3]],tabela_registros[REGISTRO],DADOS!$N$5,tabela_registros[TIPO],DADOS!$AB$3,tabela_registros[CATEGORIA],investirrendafixaconsolidadoout[[#This Row],[ATUAL]])</f>
        <v>0</v>
      </c>
      <c r="H117" s="91">
        <f>SUMIFS(tabela_registros[VALOR],tabela_registros[MÊS],$AE$1,tabela_registros[DIA],investirrendafixaconsolidadoout[[#Headers],[4]],tabela_registros[REGISTRO],DADOS!$N$5,tabela_registros[TIPO],DADOS!$AB$3,tabela_registros[CATEGORIA],investirrendafixaconsolidadoout[[#This Row],[ATUAL]])</f>
        <v>0</v>
      </c>
      <c r="I117" s="91">
        <f>SUMIFS(tabela_registros[VALOR],tabela_registros[MÊS],$AE$1,tabela_registros[DIA],investirrendafixaconsolidadoout[[#Headers],[5]],tabela_registros[REGISTRO],DADOS!$N$5,tabela_registros[TIPO],DADOS!$AB$3,tabela_registros[CATEGORIA],investirrendafixaconsolidadoout[[#This Row],[ATUAL]])</f>
        <v>0</v>
      </c>
      <c r="J117" s="91">
        <f>SUMIFS(tabela_registros[VALOR],tabela_registros[MÊS],$AE$1,tabela_registros[DIA],investirrendafixaconsolidadoout[[#Headers],[6]],tabela_registros[REGISTRO],DADOS!$N$5,tabela_registros[TIPO],DADOS!$AB$3,tabela_registros[CATEGORIA],investirrendafixaconsolidadoout[[#This Row],[ATUAL]])</f>
        <v>0</v>
      </c>
      <c r="K117" s="91">
        <f>SUMIFS(tabela_registros[VALOR],tabela_registros[MÊS],$AE$1,tabela_registros[DIA],investirrendafixaconsolidadoout[[#Headers],[7]],tabela_registros[REGISTRO],DADOS!$N$5,tabela_registros[TIPO],DADOS!$AB$3,tabela_registros[CATEGORIA],investirrendafixaconsolidadoout[[#This Row],[ATUAL]])</f>
        <v>0</v>
      </c>
      <c r="L117" s="91">
        <f>SUMIFS(tabela_registros[VALOR],tabela_registros[MÊS],$AE$1,tabela_registros[DIA],investirrendafixaconsolidadoout[[#Headers],[8]],tabela_registros[REGISTRO],DADOS!$N$5,tabela_registros[TIPO],DADOS!$AB$3,tabela_registros[CATEGORIA],investirrendafixaconsolidadoout[[#This Row],[ATUAL]])</f>
        <v>0</v>
      </c>
      <c r="M117" s="91">
        <f>SUMIFS(tabela_registros[VALOR],tabela_registros[MÊS],$AE$1,tabela_registros[DIA],investirrendafixaconsolidadoout[[#Headers],[9]],tabela_registros[REGISTRO],DADOS!$N$5,tabela_registros[TIPO],DADOS!$AB$3,tabela_registros[CATEGORIA],investirrendafixaconsolidadoout[[#This Row],[ATUAL]])</f>
        <v>0</v>
      </c>
      <c r="N117" s="91">
        <f>SUMIFS(tabela_registros[VALOR],tabela_registros[MÊS],$AE$1,tabela_registros[DIA],investirrendafixaconsolidadoout[[#Headers],[10]],tabela_registros[REGISTRO],DADOS!$N$5,tabela_registros[TIPO],DADOS!$AB$3,tabela_registros[CATEGORIA],investirrendafixaconsolidadoout[[#This Row],[ATUAL]])</f>
        <v>0</v>
      </c>
      <c r="O117" s="91">
        <f>SUMIFS(tabela_registros[VALOR],tabela_registros[MÊS],$AE$1,tabela_registros[DIA],investirrendafixaconsolidadoout[[#Headers],[11]],tabela_registros[REGISTRO],DADOS!$N$5,tabela_registros[TIPO],DADOS!$AB$3,tabela_registros[CATEGORIA],investirrendafixaconsolidadoout[[#This Row],[ATUAL]])</f>
        <v>0</v>
      </c>
      <c r="P117" s="91">
        <f>SUMIFS(tabela_registros[VALOR],tabela_registros[MÊS],$AE$1,tabela_registros[DIA],investirrendafixaconsolidadoout[[#Headers],[12]],tabela_registros[REGISTRO],DADOS!$N$5,tabela_registros[TIPO],DADOS!$AB$3,tabela_registros[CATEGORIA],investirrendafixaconsolidadoout[[#This Row],[ATUAL]])</f>
        <v>0</v>
      </c>
      <c r="Q117" s="91">
        <f>SUMIFS(tabela_registros[VALOR],tabela_registros[MÊS],$AE$1,tabela_registros[DIA],investirrendafixaconsolidadoout[[#Headers],[13]],tabela_registros[REGISTRO],DADOS!$N$5,tabela_registros[TIPO],DADOS!$AB$3,tabela_registros[CATEGORIA],investirrendafixaconsolidadoout[[#This Row],[ATUAL]])</f>
        <v>0</v>
      </c>
      <c r="R117" s="91">
        <f>SUMIFS(tabela_registros[VALOR],tabela_registros[MÊS],$AE$1,tabela_registros[DIA],investirrendafixaconsolidadoout[[#Headers],[14]],tabela_registros[REGISTRO],DADOS!$N$5,tabela_registros[TIPO],DADOS!$AB$3,tabela_registros[CATEGORIA],investirrendafixaconsolidadoout[[#This Row],[ATUAL]])</f>
        <v>0</v>
      </c>
      <c r="S117" s="91">
        <f>SUMIFS(tabela_registros[VALOR],tabela_registros[MÊS],$AE$1,tabela_registros[DIA],investirrendafixaconsolidadoout[[#Headers],[15]],tabela_registros[REGISTRO],DADOS!$N$5,tabela_registros[TIPO],DADOS!$AB$3,tabela_registros[CATEGORIA],investirrendafixaconsolidadoout[[#This Row],[ATUAL]])</f>
        <v>0</v>
      </c>
      <c r="T117" s="91">
        <f>SUMIFS(tabela_registros[VALOR],tabela_registros[MÊS],$AE$1,tabela_registros[DIA],investirrendafixaconsolidadoout[[#Headers],[16]],tabela_registros[REGISTRO],DADOS!$N$5,tabela_registros[TIPO],DADOS!$AB$3,tabela_registros[CATEGORIA],investirrendafixaconsolidadoout[[#This Row],[ATUAL]])</f>
        <v>0</v>
      </c>
      <c r="U117" s="91">
        <f>SUMIFS(tabela_registros[VALOR],tabela_registros[MÊS],$AE$1,tabela_registros[DIA],investirrendafixaconsolidadoout[[#Headers],[17]],tabela_registros[REGISTRO],DADOS!$N$5,tabela_registros[TIPO],DADOS!$AB$3,tabela_registros[CATEGORIA],investirrendafixaconsolidadoout[[#This Row],[ATUAL]])</f>
        <v>0</v>
      </c>
      <c r="V117" s="91">
        <f>SUMIFS(tabela_registros[VALOR],tabela_registros[MÊS],$AE$1,tabela_registros[DIA],investirrendafixaconsolidadoout[[#Headers],[18]],tabela_registros[REGISTRO],DADOS!$N$5,tabela_registros[TIPO],DADOS!$AB$3,tabela_registros[CATEGORIA],investirrendafixaconsolidadoout[[#This Row],[ATUAL]])</f>
        <v>0</v>
      </c>
      <c r="W117" s="91">
        <f>SUMIFS(tabela_registros[VALOR],tabela_registros[MÊS],$AE$1,tabela_registros[DIA],investirrendafixaconsolidadoout[[#Headers],[19]],tabela_registros[REGISTRO],DADOS!$N$5,tabela_registros[TIPO],DADOS!$AB$3,tabela_registros[CATEGORIA],investirrendafixaconsolidadoout[[#This Row],[ATUAL]])</f>
        <v>0</v>
      </c>
      <c r="X117" s="91">
        <f>SUMIFS(tabela_registros[VALOR],tabela_registros[MÊS],$AE$1,tabela_registros[DIA],investirrendafixaconsolidadoout[[#Headers],[20]],tabela_registros[REGISTRO],DADOS!$N$5,tabela_registros[TIPO],DADOS!$AB$3,tabela_registros[CATEGORIA],investirrendafixaconsolidadoout[[#This Row],[ATUAL]])</f>
        <v>0</v>
      </c>
      <c r="Y117" s="91">
        <f>SUMIFS(tabela_registros[VALOR],tabela_registros[MÊS],$AE$1,tabela_registros[DIA],investirrendafixaconsolidadoout[[#Headers],[21]],tabela_registros[REGISTRO],DADOS!$N$5,tabela_registros[TIPO],DADOS!$AB$3,tabela_registros[CATEGORIA],investirrendafixaconsolidadoout[[#This Row],[ATUAL]])</f>
        <v>0</v>
      </c>
      <c r="Z117" s="91">
        <f>SUMIFS(tabela_registros[VALOR],tabela_registros[MÊS],$AE$1,tabela_registros[DIA],investirrendafixaconsolidadoout[[#Headers],[22]],tabela_registros[REGISTRO],DADOS!$N$5,tabela_registros[TIPO],DADOS!$AB$3,tabela_registros[CATEGORIA],investirrendafixaconsolidadoout[[#This Row],[ATUAL]])</f>
        <v>0</v>
      </c>
      <c r="AA117" s="91">
        <f>SUMIFS(tabela_registros[VALOR],tabela_registros[MÊS],$AE$1,tabela_registros[DIA],investirrendafixaconsolidadoout[[#Headers],[23]],tabela_registros[REGISTRO],DADOS!$N$5,tabela_registros[TIPO],DADOS!$AB$3,tabela_registros[CATEGORIA],investirrendafixaconsolidadoout[[#This Row],[ATUAL]])</f>
        <v>0</v>
      </c>
      <c r="AB117" s="91">
        <f>SUMIFS(tabela_registros[VALOR],tabela_registros[MÊS],$AE$1,tabela_registros[DIA],investirrendafixaconsolidadoout[[#Headers],[24]],tabela_registros[REGISTRO],DADOS!$N$5,tabela_registros[TIPO],DADOS!$AB$3,tabela_registros[CATEGORIA],investirrendafixaconsolidadoout[[#This Row],[ATUAL]])</f>
        <v>0</v>
      </c>
      <c r="AC117" s="91">
        <f>SUMIFS(tabela_registros[VALOR],tabela_registros[MÊS],$AE$1,tabela_registros[DIA],investirrendafixaconsolidadoout[[#Headers],[25]],tabela_registros[REGISTRO],DADOS!$N$5,tabela_registros[TIPO],DADOS!$AB$3,tabela_registros[CATEGORIA],investirrendafixaconsolidadoout[[#This Row],[ATUAL]])</f>
        <v>0</v>
      </c>
      <c r="AD117" s="91">
        <f>SUMIFS(tabela_registros[VALOR],tabela_registros[MÊS],$AE$1,tabela_registros[DIA],investirrendafixaconsolidadoout[[#Headers],[26]],tabela_registros[REGISTRO],DADOS!$N$5,tabela_registros[TIPO],DADOS!$AB$3,tabela_registros[CATEGORIA],investirrendafixaconsolidadoout[[#This Row],[ATUAL]])</f>
        <v>0</v>
      </c>
      <c r="AE117" s="91">
        <f>SUMIFS(tabela_registros[VALOR],tabela_registros[MÊS],$AE$1,tabela_registros[DIA],investirrendafixaconsolidadoout[[#Headers],[27]],tabela_registros[REGISTRO],DADOS!$N$5,tabela_registros[TIPO],DADOS!$AB$3,tabela_registros[CATEGORIA],investirrendafixaconsolidadoout[[#This Row],[ATUAL]])</f>
        <v>0</v>
      </c>
      <c r="AF117" s="91">
        <f>SUMIFS(tabela_registros[VALOR],tabela_registros[MÊS],$AE$1,tabela_registros[DIA],investirrendafixaconsolidadoout[[#Headers],[28]],tabela_registros[REGISTRO],DADOS!$N$5,tabela_registros[TIPO],DADOS!$AB$3,tabela_registros[CATEGORIA],investirrendafixaconsolidadoout[[#This Row],[ATUAL]])</f>
        <v>0</v>
      </c>
      <c r="AG117" s="91">
        <f>SUMIFS(tabela_registros[VALOR],tabela_registros[MÊS],$AE$1,tabela_registros[DIA],investirrendafixaconsolidadoout[[#Headers],[29]],tabela_registros[REGISTRO],DADOS!$N$5,tabela_registros[TIPO],DADOS!$AB$3,tabela_registros[CATEGORIA],investirrendafixaconsolidadoout[[#This Row],[ATUAL]])</f>
        <v>0</v>
      </c>
      <c r="AH117" s="91">
        <f>SUMIFS(tabela_registros[VALOR],tabela_registros[MÊS],$AE$1,tabela_registros[DIA],investirrendafixaconsolidadoout[[#Headers],[30]],tabela_registros[REGISTRO],DADOS!$N$5,tabela_registros[TIPO],DADOS!$AB$3,tabela_registros[CATEGORIA],investirrendafixaconsolidadoout[[#This Row],[ATUAL]])</f>
        <v>0</v>
      </c>
      <c r="AI117" s="101">
        <f>SUMIFS(tabela_registros[VALOR],tabela_registros[MÊS],$AE$1,tabela_registros[DIA],investirrendafixaconsolidadoout[[#Headers],[31]],tabela_registros[REGISTRO],DADOS!$N$5,tabela_registros[TIPO],DADOS!$AB$3,tabela_registros[CATEGORIA],investirrendafixaconsolidadoout[[#This Row],[ATUAL]])</f>
        <v>0</v>
      </c>
      <c r="AJ117" s="97">
        <f>SUM(investirrendafixaconsolidadoout[[#This Row],[1]:[31]])</f>
        <v>0</v>
      </c>
      <c r="AK117" s="25"/>
    </row>
    <row r="118" spans="2:37" ht="19.5" customHeight="1" thickTop="1" thickBot="1" x14ac:dyDescent="0.3">
      <c r="B118" s="28"/>
      <c r="C118" s="27" t="str">
        <f>DADOS!$AD$8</f>
        <v>📝 LC</v>
      </c>
      <c r="D118" s="26" t="str">
        <f>IF(investirrendafixaconsolidadoout[[#This Row],[TOTAL (R$)]]=0,"",IF(OR(investirrendafixaconsolidadoout[[#This Row],[TOTAL (R$)]]=LARGE($AJ$113:$AJ$122,1),investirrendafixaconsolidadoout[[#This Row],[TOTAL (R$)]]=LARGE($AJ$113:$AJ$122,2)),DADOS!$I$10,""))</f>
        <v/>
      </c>
      <c r="E118" s="96">
        <f>SUMIFS(tabela_registros[VALOR],tabela_registros[MÊS],$AE$1,tabela_registros[DIA],investirrendafixaconsolidadoout[[#Headers],[1]],tabela_registros[REGISTRO],DADOS!$N$5,tabela_registros[TIPO],DADOS!$AB$3,tabela_registros[CATEGORIA],investirrendafixaconsolidadoout[[#This Row],[ATUAL]])</f>
        <v>0</v>
      </c>
      <c r="F118" s="91">
        <f>SUMIFS(tabela_registros[VALOR],tabela_registros[MÊS],$AE$1,tabela_registros[DIA],investirrendafixaconsolidadoout[[#Headers],[2]],tabela_registros[REGISTRO],DADOS!$N$5,tabela_registros[TIPO],DADOS!$AB$3,tabela_registros[CATEGORIA],investirrendafixaconsolidadoout[[#This Row],[ATUAL]])</f>
        <v>0</v>
      </c>
      <c r="G118" s="91">
        <f>SUMIFS(tabela_registros[VALOR],tabela_registros[MÊS],$AE$1,tabela_registros[DIA],investirrendafixaconsolidadoout[[#Headers],[3]],tabela_registros[REGISTRO],DADOS!$N$5,tabela_registros[TIPO],DADOS!$AB$3,tabela_registros[CATEGORIA],investirrendafixaconsolidadoout[[#This Row],[ATUAL]])</f>
        <v>0</v>
      </c>
      <c r="H118" s="91">
        <f>SUMIFS(tabela_registros[VALOR],tabela_registros[MÊS],$AE$1,tabela_registros[DIA],investirrendafixaconsolidadoout[[#Headers],[4]],tabela_registros[REGISTRO],DADOS!$N$5,tabela_registros[TIPO],DADOS!$AB$3,tabela_registros[CATEGORIA],investirrendafixaconsolidadoout[[#This Row],[ATUAL]])</f>
        <v>0</v>
      </c>
      <c r="I118" s="91">
        <f>SUMIFS(tabela_registros[VALOR],tabela_registros[MÊS],$AE$1,tabela_registros[DIA],investirrendafixaconsolidadoout[[#Headers],[5]],tabela_registros[REGISTRO],DADOS!$N$5,tabela_registros[TIPO],DADOS!$AB$3,tabela_registros[CATEGORIA],investirrendafixaconsolidadoout[[#This Row],[ATUAL]])</f>
        <v>0</v>
      </c>
      <c r="J118" s="91">
        <f>SUMIFS(tabela_registros[VALOR],tabela_registros[MÊS],$AE$1,tabela_registros[DIA],investirrendafixaconsolidadoout[[#Headers],[6]],tabela_registros[REGISTRO],DADOS!$N$5,tabela_registros[TIPO],DADOS!$AB$3,tabela_registros[CATEGORIA],investirrendafixaconsolidadoout[[#This Row],[ATUAL]])</f>
        <v>0</v>
      </c>
      <c r="K118" s="91">
        <f>SUMIFS(tabela_registros[VALOR],tabela_registros[MÊS],$AE$1,tabela_registros[DIA],investirrendafixaconsolidadoout[[#Headers],[7]],tabela_registros[REGISTRO],DADOS!$N$5,tabela_registros[TIPO],DADOS!$AB$3,tabela_registros[CATEGORIA],investirrendafixaconsolidadoout[[#This Row],[ATUAL]])</f>
        <v>0</v>
      </c>
      <c r="L118" s="91">
        <f>SUMIFS(tabela_registros[VALOR],tabela_registros[MÊS],$AE$1,tabela_registros[DIA],investirrendafixaconsolidadoout[[#Headers],[8]],tabela_registros[REGISTRO],DADOS!$N$5,tabela_registros[TIPO],DADOS!$AB$3,tabela_registros[CATEGORIA],investirrendafixaconsolidadoout[[#This Row],[ATUAL]])</f>
        <v>0</v>
      </c>
      <c r="M118" s="91">
        <f>SUMIFS(tabela_registros[VALOR],tabela_registros[MÊS],$AE$1,tabela_registros[DIA],investirrendafixaconsolidadoout[[#Headers],[9]],tabela_registros[REGISTRO],DADOS!$N$5,tabela_registros[TIPO],DADOS!$AB$3,tabela_registros[CATEGORIA],investirrendafixaconsolidadoout[[#This Row],[ATUAL]])</f>
        <v>0</v>
      </c>
      <c r="N118" s="91">
        <f>SUMIFS(tabela_registros[VALOR],tabela_registros[MÊS],$AE$1,tabela_registros[DIA],investirrendafixaconsolidadoout[[#Headers],[10]],tabela_registros[REGISTRO],DADOS!$N$5,tabela_registros[TIPO],DADOS!$AB$3,tabela_registros[CATEGORIA],investirrendafixaconsolidadoout[[#This Row],[ATUAL]])</f>
        <v>0</v>
      </c>
      <c r="O118" s="91">
        <f>SUMIFS(tabela_registros[VALOR],tabela_registros[MÊS],$AE$1,tabela_registros[DIA],investirrendafixaconsolidadoout[[#Headers],[11]],tabela_registros[REGISTRO],DADOS!$N$5,tabela_registros[TIPO],DADOS!$AB$3,tabela_registros[CATEGORIA],investirrendafixaconsolidadoout[[#This Row],[ATUAL]])</f>
        <v>0</v>
      </c>
      <c r="P118" s="91">
        <f>SUMIFS(tabela_registros[VALOR],tabela_registros[MÊS],$AE$1,tabela_registros[DIA],investirrendafixaconsolidadoout[[#Headers],[12]],tabela_registros[REGISTRO],DADOS!$N$5,tabela_registros[TIPO],DADOS!$AB$3,tabela_registros[CATEGORIA],investirrendafixaconsolidadoout[[#This Row],[ATUAL]])</f>
        <v>0</v>
      </c>
      <c r="Q118" s="91">
        <f>SUMIFS(tabela_registros[VALOR],tabela_registros[MÊS],$AE$1,tabela_registros[DIA],investirrendafixaconsolidadoout[[#Headers],[13]],tabela_registros[REGISTRO],DADOS!$N$5,tabela_registros[TIPO],DADOS!$AB$3,tabela_registros[CATEGORIA],investirrendafixaconsolidadoout[[#This Row],[ATUAL]])</f>
        <v>0</v>
      </c>
      <c r="R118" s="91">
        <f>SUMIFS(tabela_registros[VALOR],tabela_registros[MÊS],$AE$1,tabela_registros[DIA],investirrendafixaconsolidadoout[[#Headers],[14]],tabela_registros[REGISTRO],DADOS!$N$5,tabela_registros[TIPO],DADOS!$AB$3,tabela_registros[CATEGORIA],investirrendafixaconsolidadoout[[#This Row],[ATUAL]])</f>
        <v>0</v>
      </c>
      <c r="S118" s="91">
        <f>SUMIFS(tabela_registros[VALOR],tabela_registros[MÊS],$AE$1,tabela_registros[DIA],investirrendafixaconsolidadoout[[#Headers],[15]],tabela_registros[REGISTRO],DADOS!$N$5,tabela_registros[TIPO],DADOS!$AB$3,tabela_registros[CATEGORIA],investirrendafixaconsolidadoout[[#This Row],[ATUAL]])</f>
        <v>0</v>
      </c>
      <c r="T118" s="91">
        <f>SUMIFS(tabela_registros[VALOR],tabela_registros[MÊS],$AE$1,tabela_registros[DIA],investirrendafixaconsolidadoout[[#Headers],[16]],tabela_registros[REGISTRO],DADOS!$N$5,tabela_registros[TIPO],DADOS!$AB$3,tabela_registros[CATEGORIA],investirrendafixaconsolidadoout[[#This Row],[ATUAL]])</f>
        <v>0</v>
      </c>
      <c r="U118" s="91">
        <f>SUMIFS(tabela_registros[VALOR],tabela_registros[MÊS],$AE$1,tabela_registros[DIA],investirrendafixaconsolidadoout[[#Headers],[17]],tabela_registros[REGISTRO],DADOS!$N$5,tabela_registros[TIPO],DADOS!$AB$3,tabela_registros[CATEGORIA],investirrendafixaconsolidadoout[[#This Row],[ATUAL]])</f>
        <v>0</v>
      </c>
      <c r="V118" s="91">
        <f>SUMIFS(tabela_registros[VALOR],tabela_registros[MÊS],$AE$1,tabela_registros[DIA],investirrendafixaconsolidadoout[[#Headers],[18]],tabela_registros[REGISTRO],DADOS!$N$5,tabela_registros[TIPO],DADOS!$AB$3,tabela_registros[CATEGORIA],investirrendafixaconsolidadoout[[#This Row],[ATUAL]])</f>
        <v>0</v>
      </c>
      <c r="W118" s="91">
        <f>SUMIFS(tabela_registros[VALOR],tabela_registros[MÊS],$AE$1,tabela_registros[DIA],investirrendafixaconsolidadoout[[#Headers],[19]],tabela_registros[REGISTRO],DADOS!$N$5,tabela_registros[TIPO],DADOS!$AB$3,tabela_registros[CATEGORIA],investirrendafixaconsolidadoout[[#This Row],[ATUAL]])</f>
        <v>0</v>
      </c>
      <c r="X118" s="91">
        <f>SUMIFS(tabela_registros[VALOR],tabela_registros[MÊS],$AE$1,tabela_registros[DIA],investirrendafixaconsolidadoout[[#Headers],[20]],tabela_registros[REGISTRO],DADOS!$N$5,tabela_registros[TIPO],DADOS!$AB$3,tabela_registros[CATEGORIA],investirrendafixaconsolidadoout[[#This Row],[ATUAL]])</f>
        <v>0</v>
      </c>
      <c r="Y118" s="91">
        <f>SUMIFS(tabela_registros[VALOR],tabela_registros[MÊS],$AE$1,tabela_registros[DIA],investirrendafixaconsolidadoout[[#Headers],[21]],tabela_registros[REGISTRO],DADOS!$N$5,tabela_registros[TIPO],DADOS!$AB$3,tabela_registros[CATEGORIA],investirrendafixaconsolidadoout[[#This Row],[ATUAL]])</f>
        <v>0</v>
      </c>
      <c r="Z118" s="91">
        <f>SUMIFS(tabela_registros[VALOR],tabela_registros[MÊS],$AE$1,tabela_registros[DIA],investirrendafixaconsolidadoout[[#Headers],[22]],tabela_registros[REGISTRO],DADOS!$N$5,tabela_registros[TIPO],DADOS!$AB$3,tabela_registros[CATEGORIA],investirrendafixaconsolidadoout[[#This Row],[ATUAL]])</f>
        <v>0</v>
      </c>
      <c r="AA118" s="91">
        <f>SUMIFS(tabela_registros[VALOR],tabela_registros[MÊS],$AE$1,tabela_registros[DIA],investirrendafixaconsolidadoout[[#Headers],[23]],tabela_registros[REGISTRO],DADOS!$N$5,tabela_registros[TIPO],DADOS!$AB$3,tabela_registros[CATEGORIA],investirrendafixaconsolidadoout[[#This Row],[ATUAL]])</f>
        <v>0</v>
      </c>
      <c r="AB118" s="91">
        <f>SUMIFS(tabela_registros[VALOR],tabela_registros[MÊS],$AE$1,tabela_registros[DIA],investirrendafixaconsolidadoout[[#Headers],[24]],tabela_registros[REGISTRO],DADOS!$N$5,tabela_registros[TIPO],DADOS!$AB$3,tabela_registros[CATEGORIA],investirrendafixaconsolidadoout[[#This Row],[ATUAL]])</f>
        <v>0</v>
      </c>
      <c r="AC118" s="91">
        <f>SUMIFS(tabela_registros[VALOR],tabela_registros[MÊS],$AE$1,tabela_registros[DIA],investirrendafixaconsolidadoout[[#Headers],[25]],tabela_registros[REGISTRO],DADOS!$N$5,tabela_registros[TIPO],DADOS!$AB$3,tabela_registros[CATEGORIA],investirrendafixaconsolidadoout[[#This Row],[ATUAL]])</f>
        <v>0</v>
      </c>
      <c r="AD118" s="91">
        <f>SUMIFS(tabela_registros[VALOR],tabela_registros[MÊS],$AE$1,tabela_registros[DIA],investirrendafixaconsolidadoout[[#Headers],[26]],tabela_registros[REGISTRO],DADOS!$N$5,tabela_registros[TIPO],DADOS!$AB$3,tabela_registros[CATEGORIA],investirrendafixaconsolidadoout[[#This Row],[ATUAL]])</f>
        <v>0</v>
      </c>
      <c r="AE118" s="91">
        <f>SUMIFS(tabela_registros[VALOR],tabela_registros[MÊS],$AE$1,tabela_registros[DIA],investirrendafixaconsolidadoout[[#Headers],[27]],tabela_registros[REGISTRO],DADOS!$N$5,tabela_registros[TIPO],DADOS!$AB$3,tabela_registros[CATEGORIA],investirrendafixaconsolidadoout[[#This Row],[ATUAL]])</f>
        <v>0</v>
      </c>
      <c r="AF118" s="91">
        <f>SUMIFS(tabela_registros[VALOR],tabela_registros[MÊS],$AE$1,tabela_registros[DIA],investirrendafixaconsolidadoout[[#Headers],[28]],tabela_registros[REGISTRO],DADOS!$N$5,tabela_registros[TIPO],DADOS!$AB$3,tabela_registros[CATEGORIA],investirrendafixaconsolidadoout[[#This Row],[ATUAL]])</f>
        <v>0</v>
      </c>
      <c r="AG118" s="91">
        <f>SUMIFS(tabela_registros[VALOR],tabela_registros[MÊS],$AE$1,tabela_registros[DIA],investirrendafixaconsolidadoout[[#Headers],[29]],tabela_registros[REGISTRO],DADOS!$N$5,tabela_registros[TIPO],DADOS!$AB$3,tabela_registros[CATEGORIA],investirrendafixaconsolidadoout[[#This Row],[ATUAL]])</f>
        <v>0</v>
      </c>
      <c r="AH118" s="91">
        <f>SUMIFS(tabela_registros[VALOR],tabela_registros[MÊS],$AE$1,tabela_registros[DIA],investirrendafixaconsolidadoout[[#Headers],[30]],tabela_registros[REGISTRO],DADOS!$N$5,tabela_registros[TIPO],DADOS!$AB$3,tabela_registros[CATEGORIA],investirrendafixaconsolidadoout[[#This Row],[ATUAL]])</f>
        <v>0</v>
      </c>
      <c r="AI118" s="101">
        <f>SUMIFS(tabela_registros[VALOR],tabela_registros[MÊS],$AE$1,tabela_registros[DIA],investirrendafixaconsolidadoout[[#Headers],[31]],tabela_registros[REGISTRO],DADOS!$N$5,tabela_registros[TIPO],DADOS!$AB$3,tabela_registros[CATEGORIA],investirrendafixaconsolidadoout[[#This Row],[ATUAL]])</f>
        <v>0</v>
      </c>
      <c r="AJ118" s="97">
        <f>SUM(investirrendafixaconsolidadoout[[#This Row],[1]:[31]])</f>
        <v>0</v>
      </c>
      <c r="AK118" s="25"/>
    </row>
    <row r="119" spans="2:37" ht="19.5" customHeight="1" thickTop="1" thickBot="1" x14ac:dyDescent="0.3">
      <c r="B119" s="28"/>
      <c r="C119" s="27" t="str">
        <f>DADOS!$AD$9</f>
        <v>📝 LCA</v>
      </c>
      <c r="D119" s="26" t="str">
        <f>IF(investirrendafixaconsolidadoout[[#This Row],[TOTAL (R$)]]=0,"",IF(OR(investirrendafixaconsolidadoout[[#This Row],[TOTAL (R$)]]=LARGE($AJ$113:$AJ$122,1),investirrendafixaconsolidadoout[[#This Row],[TOTAL (R$)]]=LARGE($AJ$113:$AJ$122,2)),DADOS!$I$10,""))</f>
        <v/>
      </c>
      <c r="E119" s="96">
        <f>SUMIFS(tabela_registros[VALOR],tabela_registros[MÊS],$AE$1,tabela_registros[DIA],investirrendafixaconsolidadoout[[#Headers],[1]],tabela_registros[REGISTRO],DADOS!$N$5,tabela_registros[TIPO],DADOS!$AB$3,tabela_registros[CATEGORIA],investirrendafixaconsolidadoout[[#This Row],[ATUAL]])</f>
        <v>0</v>
      </c>
      <c r="F119" s="91">
        <f>SUMIFS(tabela_registros[VALOR],tabela_registros[MÊS],$AE$1,tabela_registros[DIA],investirrendafixaconsolidadoout[[#Headers],[2]],tabela_registros[REGISTRO],DADOS!$N$5,tabela_registros[TIPO],DADOS!$AB$3,tabela_registros[CATEGORIA],investirrendafixaconsolidadoout[[#This Row],[ATUAL]])</f>
        <v>0</v>
      </c>
      <c r="G119" s="91">
        <f>SUMIFS(tabela_registros[VALOR],tabela_registros[MÊS],$AE$1,tabela_registros[DIA],investirrendafixaconsolidadoout[[#Headers],[3]],tabela_registros[REGISTRO],DADOS!$N$5,tabela_registros[TIPO],DADOS!$AB$3,tabela_registros[CATEGORIA],investirrendafixaconsolidadoout[[#This Row],[ATUAL]])</f>
        <v>0</v>
      </c>
      <c r="H119" s="91">
        <f>SUMIFS(tabela_registros[VALOR],tabela_registros[MÊS],$AE$1,tabela_registros[DIA],investirrendafixaconsolidadoout[[#Headers],[4]],tabela_registros[REGISTRO],DADOS!$N$5,tabela_registros[TIPO],DADOS!$AB$3,tabela_registros[CATEGORIA],investirrendafixaconsolidadoout[[#This Row],[ATUAL]])</f>
        <v>0</v>
      </c>
      <c r="I119" s="91">
        <f>SUMIFS(tabela_registros[VALOR],tabela_registros[MÊS],$AE$1,tabela_registros[DIA],investirrendafixaconsolidadoout[[#Headers],[5]],tabela_registros[REGISTRO],DADOS!$N$5,tabela_registros[TIPO],DADOS!$AB$3,tabela_registros[CATEGORIA],investirrendafixaconsolidadoout[[#This Row],[ATUAL]])</f>
        <v>0</v>
      </c>
      <c r="J119" s="91">
        <f>SUMIFS(tabela_registros[VALOR],tabela_registros[MÊS],$AE$1,tabela_registros[DIA],investirrendafixaconsolidadoout[[#Headers],[6]],tabela_registros[REGISTRO],DADOS!$N$5,tabela_registros[TIPO],DADOS!$AB$3,tabela_registros[CATEGORIA],investirrendafixaconsolidadoout[[#This Row],[ATUAL]])</f>
        <v>0</v>
      </c>
      <c r="K119" s="91">
        <f>SUMIFS(tabela_registros[VALOR],tabela_registros[MÊS],$AE$1,tabela_registros[DIA],investirrendafixaconsolidadoout[[#Headers],[7]],tabela_registros[REGISTRO],DADOS!$N$5,tabela_registros[TIPO],DADOS!$AB$3,tabela_registros[CATEGORIA],investirrendafixaconsolidadoout[[#This Row],[ATUAL]])</f>
        <v>0</v>
      </c>
      <c r="L119" s="91">
        <f>SUMIFS(tabela_registros[VALOR],tabela_registros[MÊS],$AE$1,tabela_registros[DIA],investirrendafixaconsolidadoout[[#Headers],[8]],tabela_registros[REGISTRO],DADOS!$N$5,tabela_registros[TIPO],DADOS!$AB$3,tabela_registros[CATEGORIA],investirrendafixaconsolidadoout[[#This Row],[ATUAL]])</f>
        <v>0</v>
      </c>
      <c r="M119" s="91">
        <f>SUMIFS(tabela_registros[VALOR],tabela_registros[MÊS],$AE$1,tabela_registros[DIA],investirrendafixaconsolidadoout[[#Headers],[9]],tabela_registros[REGISTRO],DADOS!$N$5,tabela_registros[TIPO],DADOS!$AB$3,tabela_registros[CATEGORIA],investirrendafixaconsolidadoout[[#This Row],[ATUAL]])</f>
        <v>0</v>
      </c>
      <c r="N119" s="91">
        <f>SUMIFS(tabela_registros[VALOR],tabela_registros[MÊS],$AE$1,tabela_registros[DIA],investirrendafixaconsolidadoout[[#Headers],[10]],tabela_registros[REGISTRO],DADOS!$N$5,tabela_registros[TIPO],DADOS!$AB$3,tabela_registros[CATEGORIA],investirrendafixaconsolidadoout[[#This Row],[ATUAL]])</f>
        <v>0</v>
      </c>
      <c r="O119" s="91">
        <f>SUMIFS(tabela_registros[VALOR],tabela_registros[MÊS],$AE$1,tabela_registros[DIA],investirrendafixaconsolidadoout[[#Headers],[11]],tabela_registros[REGISTRO],DADOS!$N$5,tabela_registros[TIPO],DADOS!$AB$3,tabela_registros[CATEGORIA],investirrendafixaconsolidadoout[[#This Row],[ATUAL]])</f>
        <v>0</v>
      </c>
      <c r="P119" s="91">
        <f>SUMIFS(tabela_registros[VALOR],tabela_registros[MÊS],$AE$1,tabela_registros[DIA],investirrendafixaconsolidadoout[[#Headers],[12]],tabela_registros[REGISTRO],DADOS!$N$5,tabela_registros[TIPO],DADOS!$AB$3,tabela_registros[CATEGORIA],investirrendafixaconsolidadoout[[#This Row],[ATUAL]])</f>
        <v>0</v>
      </c>
      <c r="Q119" s="91">
        <f>SUMIFS(tabela_registros[VALOR],tabela_registros[MÊS],$AE$1,tabela_registros[DIA],investirrendafixaconsolidadoout[[#Headers],[13]],tabela_registros[REGISTRO],DADOS!$N$5,tabela_registros[TIPO],DADOS!$AB$3,tabela_registros[CATEGORIA],investirrendafixaconsolidadoout[[#This Row],[ATUAL]])</f>
        <v>0</v>
      </c>
      <c r="R119" s="91">
        <f>SUMIFS(tabela_registros[VALOR],tabela_registros[MÊS],$AE$1,tabela_registros[DIA],investirrendafixaconsolidadoout[[#Headers],[14]],tabela_registros[REGISTRO],DADOS!$N$5,tabela_registros[TIPO],DADOS!$AB$3,tabela_registros[CATEGORIA],investirrendafixaconsolidadoout[[#This Row],[ATUAL]])</f>
        <v>0</v>
      </c>
      <c r="S119" s="91">
        <f>SUMIFS(tabela_registros[VALOR],tabela_registros[MÊS],$AE$1,tabela_registros[DIA],investirrendafixaconsolidadoout[[#Headers],[15]],tabela_registros[REGISTRO],DADOS!$N$5,tabela_registros[TIPO],DADOS!$AB$3,tabela_registros[CATEGORIA],investirrendafixaconsolidadoout[[#This Row],[ATUAL]])</f>
        <v>0</v>
      </c>
      <c r="T119" s="91">
        <f>SUMIFS(tabela_registros[VALOR],tabela_registros[MÊS],$AE$1,tabela_registros[DIA],investirrendafixaconsolidadoout[[#Headers],[16]],tabela_registros[REGISTRO],DADOS!$N$5,tabela_registros[TIPO],DADOS!$AB$3,tabela_registros[CATEGORIA],investirrendafixaconsolidadoout[[#This Row],[ATUAL]])</f>
        <v>0</v>
      </c>
      <c r="U119" s="91">
        <f>SUMIFS(tabela_registros[VALOR],tabela_registros[MÊS],$AE$1,tabela_registros[DIA],investirrendafixaconsolidadoout[[#Headers],[17]],tabela_registros[REGISTRO],DADOS!$N$5,tabela_registros[TIPO],DADOS!$AB$3,tabela_registros[CATEGORIA],investirrendafixaconsolidadoout[[#This Row],[ATUAL]])</f>
        <v>0</v>
      </c>
      <c r="V119" s="91">
        <f>SUMIFS(tabela_registros[VALOR],tabela_registros[MÊS],$AE$1,tabela_registros[DIA],investirrendafixaconsolidadoout[[#Headers],[18]],tabela_registros[REGISTRO],DADOS!$N$5,tabela_registros[TIPO],DADOS!$AB$3,tabela_registros[CATEGORIA],investirrendafixaconsolidadoout[[#This Row],[ATUAL]])</f>
        <v>0</v>
      </c>
      <c r="W119" s="91">
        <f>SUMIFS(tabela_registros[VALOR],tabela_registros[MÊS],$AE$1,tabela_registros[DIA],investirrendafixaconsolidadoout[[#Headers],[19]],tabela_registros[REGISTRO],DADOS!$N$5,tabela_registros[TIPO],DADOS!$AB$3,tabela_registros[CATEGORIA],investirrendafixaconsolidadoout[[#This Row],[ATUAL]])</f>
        <v>0</v>
      </c>
      <c r="X119" s="91">
        <f>SUMIFS(tabela_registros[VALOR],tabela_registros[MÊS],$AE$1,tabela_registros[DIA],investirrendafixaconsolidadoout[[#Headers],[20]],tabela_registros[REGISTRO],DADOS!$N$5,tabela_registros[TIPO],DADOS!$AB$3,tabela_registros[CATEGORIA],investirrendafixaconsolidadoout[[#This Row],[ATUAL]])</f>
        <v>0</v>
      </c>
      <c r="Y119" s="91">
        <f>SUMIFS(tabela_registros[VALOR],tabela_registros[MÊS],$AE$1,tabela_registros[DIA],investirrendafixaconsolidadoout[[#Headers],[21]],tabela_registros[REGISTRO],DADOS!$N$5,tabela_registros[TIPO],DADOS!$AB$3,tabela_registros[CATEGORIA],investirrendafixaconsolidadoout[[#This Row],[ATUAL]])</f>
        <v>0</v>
      </c>
      <c r="Z119" s="91">
        <f>SUMIFS(tabela_registros[VALOR],tabela_registros[MÊS],$AE$1,tabela_registros[DIA],investirrendafixaconsolidadoout[[#Headers],[22]],tabela_registros[REGISTRO],DADOS!$N$5,tabela_registros[TIPO],DADOS!$AB$3,tabela_registros[CATEGORIA],investirrendafixaconsolidadoout[[#This Row],[ATUAL]])</f>
        <v>0</v>
      </c>
      <c r="AA119" s="91">
        <f>SUMIFS(tabela_registros[VALOR],tabela_registros[MÊS],$AE$1,tabela_registros[DIA],investirrendafixaconsolidadoout[[#Headers],[23]],tabela_registros[REGISTRO],DADOS!$N$5,tabela_registros[TIPO],DADOS!$AB$3,tabela_registros[CATEGORIA],investirrendafixaconsolidadoout[[#This Row],[ATUAL]])</f>
        <v>0</v>
      </c>
      <c r="AB119" s="91">
        <f>SUMIFS(tabela_registros[VALOR],tabela_registros[MÊS],$AE$1,tabela_registros[DIA],investirrendafixaconsolidadoout[[#Headers],[24]],tabela_registros[REGISTRO],DADOS!$N$5,tabela_registros[TIPO],DADOS!$AB$3,tabela_registros[CATEGORIA],investirrendafixaconsolidadoout[[#This Row],[ATUAL]])</f>
        <v>0</v>
      </c>
      <c r="AC119" s="91">
        <f>SUMIFS(tabela_registros[VALOR],tabela_registros[MÊS],$AE$1,tabela_registros[DIA],investirrendafixaconsolidadoout[[#Headers],[25]],tabela_registros[REGISTRO],DADOS!$N$5,tabela_registros[TIPO],DADOS!$AB$3,tabela_registros[CATEGORIA],investirrendafixaconsolidadoout[[#This Row],[ATUAL]])</f>
        <v>0</v>
      </c>
      <c r="AD119" s="91">
        <f>SUMIFS(tabela_registros[VALOR],tabela_registros[MÊS],$AE$1,tabela_registros[DIA],investirrendafixaconsolidadoout[[#Headers],[26]],tabela_registros[REGISTRO],DADOS!$N$5,tabela_registros[TIPO],DADOS!$AB$3,tabela_registros[CATEGORIA],investirrendafixaconsolidadoout[[#This Row],[ATUAL]])</f>
        <v>0</v>
      </c>
      <c r="AE119" s="91">
        <f>SUMIFS(tabela_registros[VALOR],tabela_registros[MÊS],$AE$1,tabela_registros[DIA],investirrendafixaconsolidadoout[[#Headers],[27]],tabela_registros[REGISTRO],DADOS!$N$5,tabela_registros[TIPO],DADOS!$AB$3,tabela_registros[CATEGORIA],investirrendafixaconsolidadoout[[#This Row],[ATUAL]])</f>
        <v>0</v>
      </c>
      <c r="AF119" s="91">
        <f>SUMIFS(tabela_registros[VALOR],tabela_registros[MÊS],$AE$1,tabela_registros[DIA],investirrendafixaconsolidadoout[[#Headers],[28]],tabela_registros[REGISTRO],DADOS!$N$5,tabela_registros[TIPO],DADOS!$AB$3,tabela_registros[CATEGORIA],investirrendafixaconsolidadoout[[#This Row],[ATUAL]])</f>
        <v>0</v>
      </c>
      <c r="AG119" s="91">
        <f>SUMIFS(tabela_registros[VALOR],tabela_registros[MÊS],$AE$1,tabela_registros[DIA],investirrendafixaconsolidadoout[[#Headers],[29]],tabela_registros[REGISTRO],DADOS!$N$5,tabela_registros[TIPO],DADOS!$AB$3,tabela_registros[CATEGORIA],investirrendafixaconsolidadoout[[#This Row],[ATUAL]])</f>
        <v>0</v>
      </c>
      <c r="AH119" s="91">
        <f>SUMIFS(tabela_registros[VALOR],tabela_registros[MÊS],$AE$1,tabela_registros[DIA],investirrendafixaconsolidadoout[[#Headers],[30]],tabela_registros[REGISTRO],DADOS!$N$5,tabela_registros[TIPO],DADOS!$AB$3,tabela_registros[CATEGORIA],investirrendafixaconsolidadoout[[#This Row],[ATUAL]])</f>
        <v>0</v>
      </c>
      <c r="AI119" s="101">
        <f>SUMIFS(tabela_registros[VALOR],tabela_registros[MÊS],$AE$1,tabela_registros[DIA],investirrendafixaconsolidadoout[[#Headers],[31]],tabela_registros[REGISTRO],DADOS!$N$5,tabela_registros[TIPO],DADOS!$AB$3,tabela_registros[CATEGORIA],investirrendafixaconsolidadoout[[#This Row],[ATUAL]])</f>
        <v>0</v>
      </c>
      <c r="AJ119" s="97">
        <f>SUM(investirrendafixaconsolidadoout[[#This Row],[1]:[31]])</f>
        <v>0</v>
      </c>
      <c r="AK119" s="25"/>
    </row>
    <row r="120" spans="2:37" ht="19.5" customHeight="1" thickTop="1" thickBot="1" x14ac:dyDescent="0.3">
      <c r="B120" s="28"/>
      <c r="C120" s="27" t="str">
        <f>DADOS!$AD$10</f>
        <v>📝 LCI</v>
      </c>
      <c r="D120" s="26" t="str">
        <f>IF(investirrendafixaconsolidadoout[[#This Row],[TOTAL (R$)]]=0,"",IF(OR(investirrendafixaconsolidadoout[[#This Row],[TOTAL (R$)]]=LARGE($AJ$113:$AJ$122,1),investirrendafixaconsolidadoout[[#This Row],[TOTAL (R$)]]=LARGE($AJ$113:$AJ$122,2)),DADOS!$I$10,""))</f>
        <v/>
      </c>
      <c r="E120" s="96">
        <f>SUMIFS(tabela_registros[VALOR],tabela_registros[MÊS],$AE$1,tabela_registros[DIA],investirrendafixaconsolidadoout[[#Headers],[1]],tabela_registros[REGISTRO],DADOS!$N$5,tabela_registros[TIPO],DADOS!$AB$3,tabela_registros[CATEGORIA],investirrendafixaconsolidadoout[[#This Row],[ATUAL]])</f>
        <v>0</v>
      </c>
      <c r="F120" s="91">
        <f>SUMIFS(tabela_registros[VALOR],tabela_registros[MÊS],$AE$1,tabela_registros[DIA],investirrendafixaconsolidadoout[[#Headers],[2]],tabela_registros[REGISTRO],DADOS!$N$5,tabela_registros[TIPO],DADOS!$AB$3,tabela_registros[CATEGORIA],investirrendafixaconsolidadoout[[#This Row],[ATUAL]])</f>
        <v>0</v>
      </c>
      <c r="G120" s="91">
        <f>SUMIFS(tabela_registros[VALOR],tabela_registros[MÊS],$AE$1,tabela_registros[DIA],investirrendafixaconsolidadoout[[#Headers],[3]],tabela_registros[REGISTRO],DADOS!$N$5,tabela_registros[TIPO],DADOS!$AB$3,tabela_registros[CATEGORIA],investirrendafixaconsolidadoout[[#This Row],[ATUAL]])</f>
        <v>0</v>
      </c>
      <c r="H120" s="91">
        <f>SUMIFS(tabela_registros[VALOR],tabela_registros[MÊS],$AE$1,tabela_registros[DIA],investirrendafixaconsolidadoout[[#Headers],[4]],tabela_registros[REGISTRO],DADOS!$N$5,tabela_registros[TIPO],DADOS!$AB$3,tabela_registros[CATEGORIA],investirrendafixaconsolidadoout[[#This Row],[ATUAL]])</f>
        <v>0</v>
      </c>
      <c r="I120" s="91">
        <f>SUMIFS(tabela_registros[VALOR],tabela_registros[MÊS],$AE$1,tabela_registros[DIA],investirrendafixaconsolidadoout[[#Headers],[5]],tabela_registros[REGISTRO],DADOS!$N$5,tabela_registros[TIPO],DADOS!$AB$3,tabela_registros[CATEGORIA],investirrendafixaconsolidadoout[[#This Row],[ATUAL]])</f>
        <v>0</v>
      </c>
      <c r="J120" s="91">
        <f>SUMIFS(tabela_registros[VALOR],tabela_registros[MÊS],$AE$1,tabela_registros[DIA],investirrendafixaconsolidadoout[[#Headers],[6]],tabela_registros[REGISTRO],DADOS!$N$5,tabela_registros[TIPO],DADOS!$AB$3,tabela_registros[CATEGORIA],investirrendafixaconsolidadoout[[#This Row],[ATUAL]])</f>
        <v>0</v>
      </c>
      <c r="K120" s="91">
        <f>SUMIFS(tabela_registros[VALOR],tabela_registros[MÊS],$AE$1,tabela_registros[DIA],investirrendafixaconsolidadoout[[#Headers],[7]],tabela_registros[REGISTRO],DADOS!$N$5,tabela_registros[TIPO],DADOS!$AB$3,tabela_registros[CATEGORIA],investirrendafixaconsolidadoout[[#This Row],[ATUAL]])</f>
        <v>0</v>
      </c>
      <c r="L120" s="91">
        <f>SUMIFS(tabela_registros[VALOR],tabela_registros[MÊS],$AE$1,tabela_registros[DIA],investirrendafixaconsolidadoout[[#Headers],[8]],tabela_registros[REGISTRO],DADOS!$N$5,tabela_registros[TIPO],DADOS!$AB$3,tabela_registros[CATEGORIA],investirrendafixaconsolidadoout[[#This Row],[ATUAL]])</f>
        <v>0</v>
      </c>
      <c r="M120" s="91">
        <f>SUMIFS(tabela_registros[VALOR],tabela_registros[MÊS],$AE$1,tabela_registros[DIA],investirrendafixaconsolidadoout[[#Headers],[9]],tabela_registros[REGISTRO],DADOS!$N$5,tabela_registros[TIPO],DADOS!$AB$3,tabela_registros[CATEGORIA],investirrendafixaconsolidadoout[[#This Row],[ATUAL]])</f>
        <v>0</v>
      </c>
      <c r="N120" s="91">
        <f>SUMIFS(tabela_registros[VALOR],tabela_registros[MÊS],$AE$1,tabela_registros[DIA],investirrendafixaconsolidadoout[[#Headers],[10]],tabela_registros[REGISTRO],DADOS!$N$5,tabela_registros[TIPO],DADOS!$AB$3,tabela_registros[CATEGORIA],investirrendafixaconsolidadoout[[#This Row],[ATUAL]])</f>
        <v>0</v>
      </c>
      <c r="O120" s="91">
        <f>SUMIFS(tabela_registros[VALOR],tabela_registros[MÊS],$AE$1,tabela_registros[DIA],investirrendafixaconsolidadoout[[#Headers],[11]],tabela_registros[REGISTRO],DADOS!$N$5,tabela_registros[TIPO],DADOS!$AB$3,tabela_registros[CATEGORIA],investirrendafixaconsolidadoout[[#This Row],[ATUAL]])</f>
        <v>0</v>
      </c>
      <c r="P120" s="91">
        <f>SUMIFS(tabela_registros[VALOR],tabela_registros[MÊS],$AE$1,tabela_registros[DIA],investirrendafixaconsolidadoout[[#Headers],[12]],tabela_registros[REGISTRO],DADOS!$N$5,tabela_registros[TIPO],DADOS!$AB$3,tabela_registros[CATEGORIA],investirrendafixaconsolidadoout[[#This Row],[ATUAL]])</f>
        <v>0</v>
      </c>
      <c r="Q120" s="91">
        <f>SUMIFS(tabela_registros[VALOR],tabela_registros[MÊS],$AE$1,tabela_registros[DIA],investirrendafixaconsolidadoout[[#Headers],[13]],tabela_registros[REGISTRO],DADOS!$N$5,tabela_registros[TIPO],DADOS!$AB$3,tabela_registros[CATEGORIA],investirrendafixaconsolidadoout[[#This Row],[ATUAL]])</f>
        <v>0</v>
      </c>
      <c r="R120" s="91">
        <f>SUMIFS(tabela_registros[VALOR],tabela_registros[MÊS],$AE$1,tabela_registros[DIA],investirrendafixaconsolidadoout[[#Headers],[14]],tabela_registros[REGISTRO],DADOS!$N$5,tabela_registros[TIPO],DADOS!$AB$3,tabela_registros[CATEGORIA],investirrendafixaconsolidadoout[[#This Row],[ATUAL]])</f>
        <v>0</v>
      </c>
      <c r="S120" s="91">
        <f>SUMIFS(tabela_registros[VALOR],tabela_registros[MÊS],$AE$1,tabela_registros[DIA],investirrendafixaconsolidadoout[[#Headers],[15]],tabela_registros[REGISTRO],DADOS!$N$5,tabela_registros[TIPO],DADOS!$AB$3,tabela_registros[CATEGORIA],investirrendafixaconsolidadoout[[#This Row],[ATUAL]])</f>
        <v>0</v>
      </c>
      <c r="T120" s="91">
        <f>SUMIFS(tabela_registros[VALOR],tabela_registros[MÊS],$AE$1,tabela_registros[DIA],investirrendafixaconsolidadoout[[#Headers],[16]],tabela_registros[REGISTRO],DADOS!$N$5,tabela_registros[TIPO],DADOS!$AB$3,tabela_registros[CATEGORIA],investirrendafixaconsolidadoout[[#This Row],[ATUAL]])</f>
        <v>0</v>
      </c>
      <c r="U120" s="91">
        <f>SUMIFS(tabela_registros[VALOR],tabela_registros[MÊS],$AE$1,tabela_registros[DIA],investirrendafixaconsolidadoout[[#Headers],[17]],tabela_registros[REGISTRO],DADOS!$N$5,tabela_registros[TIPO],DADOS!$AB$3,tabela_registros[CATEGORIA],investirrendafixaconsolidadoout[[#This Row],[ATUAL]])</f>
        <v>0</v>
      </c>
      <c r="V120" s="91">
        <f>SUMIFS(tabela_registros[VALOR],tabela_registros[MÊS],$AE$1,tabela_registros[DIA],investirrendafixaconsolidadoout[[#Headers],[18]],tabela_registros[REGISTRO],DADOS!$N$5,tabela_registros[TIPO],DADOS!$AB$3,tabela_registros[CATEGORIA],investirrendafixaconsolidadoout[[#This Row],[ATUAL]])</f>
        <v>0</v>
      </c>
      <c r="W120" s="91">
        <f>SUMIFS(tabela_registros[VALOR],tabela_registros[MÊS],$AE$1,tabela_registros[DIA],investirrendafixaconsolidadoout[[#Headers],[19]],tabela_registros[REGISTRO],DADOS!$N$5,tabela_registros[TIPO],DADOS!$AB$3,tabela_registros[CATEGORIA],investirrendafixaconsolidadoout[[#This Row],[ATUAL]])</f>
        <v>0</v>
      </c>
      <c r="X120" s="91">
        <f>SUMIFS(tabela_registros[VALOR],tabela_registros[MÊS],$AE$1,tabela_registros[DIA],investirrendafixaconsolidadoout[[#Headers],[20]],tabela_registros[REGISTRO],DADOS!$N$5,tabela_registros[TIPO],DADOS!$AB$3,tabela_registros[CATEGORIA],investirrendafixaconsolidadoout[[#This Row],[ATUAL]])</f>
        <v>0</v>
      </c>
      <c r="Y120" s="91">
        <f>SUMIFS(tabela_registros[VALOR],tabela_registros[MÊS],$AE$1,tabela_registros[DIA],investirrendafixaconsolidadoout[[#Headers],[21]],tabela_registros[REGISTRO],DADOS!$N$5,tabela_registros[TIPO],DADOS!$AB$3,tabela_registros[CATEGORIA],investirrendafixaconsolidadoout[[#This Row],[ATUAL]])</f>
        <v>0</v>
      </c>
      <c r="Z120" s="91">
        <f>SUMIFS(tabela_registros[VALOR],tabela_registros[MÊS],$AE$1,tabela_registros[DIA],investirrendafixaconsolidadoout[[#Headers],[22]],tabela_registros[REGISTRO],DADOS!$N$5,tabela_registros[TIPO],DADOS!$AB$3,tabela_registros[CATEGORIA],investirrendafixaconsolidadoout[[#This Row],[ATUAL]])</f>
        <v>0</v>
      </c>
      <c r="AA120" s="91">
        <f>SUMIFS(tabela_registros[VALOR],tabela_registros[MÊS],$AE$1,tabela_registros[DIA],investirrendafixaconsolidadoout[[#Headers],[23]],tabela_registros[REGISTRO],DADOS!$N$5,tabela_registros[TIPO],DADOS!$AB$3,tabela_registros[CATEGORIA],investirrendafixaconsolidadoout[[#This Row],[ATUAL]])</f>
        <v>0</v>
      </c>
      <c r="AB120" s="91">
        <f>SUMIFS(tabela_registros[VALOR],tabela_registros[MÊS],$AE$1,tabela_registros[DIA],investirrendafixaconsolidadoout[[#Headers],[24]],tabela_registros[REGISTRO],DADOS!$N$5,tabela_registros[TIPO],DADOS!$AB$3,tabela_registros[CATEGORIA],investirrendafixaconsolidadoout[[#This Row],[ATUAL]])</f>
        <v>0</v>
      </c>
      <c r="AC120" s="91">
        <f>SUMIFS(tabela_registros[VALOR],tabela_registros[MÊS],$AE$1,tabela_registros[DIA],investirrendafixaconsolidadoout[[#Headers],[25]],tabela_registros[REGISTRO],DADOS!$N$5,tabela_registros[TIPO],DADOS!$AB$3,tabela_registros[CATEGORIA],investirrendafixaconsolidadoout[[#This Row],[ATUAL]])</f>
        <v>0</v>
      </c>
      <c r="AD120" s="91">
        <f>SUMIFS(tabela_registros[VALOR],tabela_registros[MÊS],$AE$1,tabela_registros[DIA],investirrendafixaconsolidadoout[[#Headers],[26]],tabela_registros[REGISTRO],DADOS!$N$5,tabela_registros[TIPO],DADOS!$AB$3,tabela_registros[CATEGORIA],investirrendafixaconsolidadoout[[#This Row],[ATUAL]])</f>
        <v>0</v>
      </c>
      <c r="AE120" s="91">
        <f>SUMIFS(tabela_registros[VALOR],tabela_registros[MÊS],$AE$1,tabela_registros[DIA],investirrendafixaconsolidadoout[[#Headers],[27]],tabela_registros[REGISTRO],DADOS!$N$5,tabela_registros[TIPO],DADOS!$AB$3,tabela_registros[CATEGORIA],investirrendafixaconsolidadoout[[#This Row],[ATUAL]])</f>
        <v>0</v>
      </c>
      <c r="AF120" s="91">
        <f>SUMIFS(tabela_registros[VALOR],tabela_registros[MÊS],$AE$1,tabela_registros[DIA],investirrendafixaconsolidadoout[[#Headers],[28]],tabela_registros[REGISTRO],DADOS!$N$5,tabela_registros[TIPO],DADOS!$AB$3,tabela_registros[CATEGORIA],investirrendafixaconsolidadoout[[#This Row],[ATUAL]])</f>
        <v>0</v>
      </c>
      <c r="AG120" s="91">
        <f>SUMIFS(tabela_registros[VALOR],tabela_registros[MÊS],$AE$1,tabela_registros[DIA],investirrendafixaconsolidadoout[[#Headers],[29]],tabela_registros[REGISTRO],DADOS!$N$5,tabela_registros[TIPO],DADOS!$AB$3,tabela_registros[CATEGORIA],investirrendafixaconsolidadoout[[#This Row],[ATUAL]])</f>
        <v>0</v>
      </c>
      <c r="AH120" s="91">
        <f>SUMIFS(tabela_registros[VALOR],tabela_registros[MÊS],$AE$1,tabela_registros[DIA],investirrendafixaconsolidadoout[[#Headers],[30]],tabela_registros[REGISTRO],DADOS!$N$5,tabela_registros[TIPO],DADOS!$AB$3,tabela_registros[CATEGORIA],investirrendafixaconsolidadoout[[#This Row],[ATUAL]])</f>
        <v>0</v>
      </c>
      <c r="AI120" s="101">
        <f>SUMIFS(tabela_registros[VALOR],tabela_registros[MÊS],$AE$1,tabela_registros[DIA],investirrendafixaconsolidadoout[[#Headers],[31]],tabela_registros[REGISTRO],DADOS!$N$5,tabela_registros[TIPO],DADOS!$AB$3,tabela_registros[CATEGORIA],investirrendafixaconsolidadoout[[#This Row],[ATUAL]])</f>
        <v>0</v>
      </c>
      <c r="AJ120" s="97">
        <f>SUM(investirrendafixaconsolidadoout[[#This Row],[1]:[31]])</f>
        <v>0</v>
      </c>
      <c r="AK120" s="25"/>
    </row>
    <row r="121" spans="2:37" ht="19.5" customHeight="1" thickTop="1" thickBot="1" x14ac:dyDescent="0.3">
      <c r="B121" s="28"/>
      <c r="C121" s="27" t="str">
        <f>DADOS!$AD$11</f>
        <v>📝 TESOURO DIRETO</v>
      </c>
      <c r="D121" s="26" t="str">
        <f>IF(investirrendafixaconsolidadoout[[#This Row],[TOTAL (R$)]]=0,"",IF(OR(investirrendafixaconsolidadoout[[#This Row],[TOTAL (R$)]]=LARGE($AJ$113:$AJ$122,1),investirrendafixaconsolidadoout[[#This Row],[TOTAL (R$)]]=LARGE($AJ$113:$AJ$122,2)),DADOS!$I$10,""))</f>
        <v/>
      </c>
      <c r="E121" s="96">
        <f>SUMIFS(tabela_registros[VALOR],tabela_registros[MÊS],$AE$1,tabela_registros[DIA],investirrendafixaconsolidadoout[[#Headers],[1]],tabela_registros[REGISTRO],DADOS!$N$5,tabela_registros[TIPO],DADOS!$AB$3,tabela_registros[CATEGORIA],investirrendafixaconsolidadoout[[#This Row],[ATUAL]])</f>
        <v>0</v>
      </c>
      <c r="F121" s="91">
        <f>SUMIFS(tabela_registros[VALOR],tabela_registros[MÊS],$AE$1,tabela_registros[DIA],investirrendafixaconsolidadoout[[#Headers],[2]],tabela_registros[REGISTRO],DADOS!$N$5,tabela_registros[TIPO],DADOS!$AB$3,tabela_registros[CATEGORIA],investirrendafixaconsolidadoout[[#This Row],[ATUAL]])</f>
        <v>0</v>
      </c>
      <c r="G121" s="91">
        <f>SUMIFS(tabela_registros[VALOR],tabela_registros[MÊS],$AE$1,tabela_registros[DIA],investirrendafixaconsolidadoout[[#Headers],[3]],tabela_registros[REGISTRO],DADOS!$N$5,tabela_registros[TIPO],DADOS!$AB$3,tabela_registros[CATEGORIA],investirrendafixaconsolidadoout[[#This Row],[ATUAL]])</f>
        <v>0</v>
      </c>
      <c r="H121" s="91">
        <f>SUMIFS(tabela_registros[VALOR],tabela_registros[MÊS],$AE$1,tabela_registros[DIA],investirrendafixaconsolidadoout[[#Headers],[4]],tabela_registros[REGISTRO],DADOS!$N$5,tabela_registros[TIPO],DADOS!$AB$3,tabela_registros[CATEGORIA],investirrendafixaconsolidadoout[[#This Row],[ATUAL]])</f>
        <v>0</v>
      </c>
      <c r="I121" s="91">
        <f>SUMIFS(tabela_registros[VALOR],tabela_registros[MÊS],$AE$1,tabela_registros[DIA],investirrendafixaconsolidadoout[[#Headers],[5]],tabela_registros[REGISTRO],DADOS!$N$5,tabela_registros[TIPO],DADOS!$AB$3,tabela_registros[CATEGORIA],investirrendafixaconsolidadoout[[#This Row],[ATUAL]])</f>
        <v>0</v>
      </c>
      <c r="J121" s="91">
        <f>SUMIFS(tabela_registros[VALOR],tabela_registros[MÊS],$AE$1,tabela_registros[DIA],investirrendafixaconsolidadoout[[#Headers],[6]],tabela_registros[REGISTRO],DADOS!$N$5,tabela_registros[TIPO],DADOS!$AB$3,tabela_registros[CATEGORIA],investirrendafixaconsolidadoout[[#This Row],[ATUAL]])</f>
        <v>0</v>
      </c>
      <c r="K121" s="91">
        <f>SUMIFS(tabela_registros[VALOR],tabela_registros[MÊS],$AE$1,tabela_registros[DIA],investirrendafixaconsolidadoout[[#Headers],[7]],tabela_registros[REGISTRO],DADOS!$N$5,tabela_registros[TIPO],DADOS!$AB$3,tabela_registros[CATEGORIA],investirrendafixaconsolidadoout[[#This Row],[ATUAL]])</f>
        <v>0</v>
      </c>
      <c r="L121" s="91">
        <f>SUMIFS(tabela_registros[VALOR],tabela_registros[MÊS],$AE$1,tabela_registros[DIA],investirrendafixaconsolidadoout[[#Headers],[8]],tabela_registros[REGISTRO],DADOS!$N$5,tabela_registros[TIPO],DADOS!$AB$3,tabela_registros[CATEGORIA],investirrendafixaconsolidadoout[[#This Row],[ATUAL]])</f>
        <v>0</v>
      </c>
      <c r="M121" s="91">
        <f>SUMIFS(tabela_registros[VALOR],tabela_registros[MÊS],$AE$1,tabela_registros[DIA],investirrendafixaconsolidadoout[[#Headers],[9]],tabela_registros[REGISTRO],DADOS!$N$5,tabela_registros[TIPO],DADOS!$AB$3,tabela_registros[CATEGORIA],investirrendafixaconsolidadoout[[#This Row],[ATUAL]])</f>
        <v>0</v>
      </c>
      <c r="N121" s="91">
        <f>SUMIFS(tabela_registros[VALOR],tabela_registros[MÊS],$AE$1,tabela_registros[DIA],investirrendafixaconsolidadoout[[#Headers],[10]],tabela_registros[REGISTRO],DADOS!$N$5,tabela_registros[TIPO],DADOS!$AB$3,tabela_registros[CATEGORIA],investirrendafixaconsolidadoout[[#This Row],[ATUAL]])</f>
        <v>0</v>
      </c>
      <c r="O121" s="91">
        <f>SUMIFS(tabela_registros[VALOR],tabela_registros[MÊS],$AE$1,tabela_registros[DIA],investirrendafixaconsolidadoout[[#Headers],[11]],tabela_registros[REGISTRO],DADOS!$N$5,tabela_registros[TIPO],DADOS!$AB$3,tabela_registros[CATEGORIA],investirrendafixaconsolidadoout[[#This Row],[ATUAL]])</f>
        <v>0</v>
      </c>
      <c r="P121" s="91">
        <f>SUMIFS(tabela_registros[VALOR],tabela_registros[MÊS],$AE$1,tabela_registros[DIA],investirrendafixaconsolidadoout[[#Headers],[12]],tabela_registros[REGISTRO],DADOS!$N$5,tabela_registros[TIPO],DADOS!$AB$3,tabela_registros[CATEGORIA],investirrendafixaconsolidadoout[[#This Row],[ATUAL]])</f>
        <v>0</v>
      </c>
      <c r="Q121" s="91">
        <f>SUMIFS(tabela_registros[VALOR],tabela_registros[MÊS],$AE$1,tabela_registros[DIA],investirrendafixaconsolidadoout[[#Headers],[13]],tabela_registros[REGISTRO],DADOS!$N$5,tabela_registros[TIPO],DADOS!$AB$3,tabela_registros[CATEGORIA],investirrendafixaconsolidadoout[[#This Row],[ATUAL]])</f>
        <v>0</v>
      </c>
      <c r="R121" s="91">
        <f>SUMIFS(tabela_registros[VALOR],tabela_registros[MÊS],$AE$1,tabela_registros[DIA],investirrendafixaconsolidadoout[[#Headers],[14]],tabela_registros[REGISTRO],DADOS!$N$5,tabela_registros[TIPO],DADOS!$AB$3,tabela_registros[CATEGORIA],investirrendafixaconsolidadoout[[#This Row],[ATUAL]])</f>
        <v>0</v>
      </c>
      <c r="S121" s="91">
        <f>SUMIFS(tabela_registros[VALOR],tabela_registros[MÊS],$AE$1,tabela_registros[DIA],investirrendafixaconsolidadoout[[#Headers],[15]],tabela_registros[REGISTRO],DADOS!$N$5,tabela_registros[TIPO],DADOS!$AB$3,tabela_registros[CATEGORIA],investirrendafixaconsolidadoout[[#This Row],[ATUAL]])</f>
        <v>0</v>
      </c>
      <c r="T121" s="91">
        <f>SUMIFS(tabela_registros[VALOR],tabela_registros[MÊS],$AE$1,tabela_registros[DIA],investirrendafixaconsolidadoout[[#Headers],[16]],tabela_registros[REGISTRO],DADOS!$N$5,tabela_registros[TIPO],DADOS!$AB$3,tabela_registros[CATEGORIA],investirrendafixaconsolidadoout[[#This Row],[ATUAL]])</f>
        <v>0</v>
      </c>
      <c r="U121" s="91">
        <f>SUMIFS(tabela_registros[VALOR],tabela_registros[MÊS],$AE$1,tabela_registros[DIA],investirrendafixaconsolidadoout[[#Headers],[17]],tabela_registros[REGISTRO],DADOS!$N$5,tabela_registros[TIPO],DADOS!$AB$3,tabela_registros[CATEGORIA],investirrendafixaconsolidadoout[[#This Row],[ATUAL]])</f>
        <v>0</v>
      </c>
      <c r="V121" s="91">
        <f>SUMIFS(tabela_registros[VALOR],tabela_registros[MÊS],$AE$1,tabela_registros[DIA],investirrendafixaconsolidadoout[[#Headers],[18]],tabela_registros[REGISTRO],DADOS!$N$5,tabela_registros[TIPO],DADOS!$AB$3,tabela_registros[CATEGORIA],investirrendafixaconsolidadoout[[#This Row],[ATUAL]])</f>
        <v>0</v>
      </c>
      <c r="W121" s="91">
        <f>SUMIFS(tabela_registros[VALOR],tabela_registros[MÊS],$AE$1,tabela_registros[DIA],investirrendafixaconsolidadoout[[#Headers],[19]],tabela_registros[REGISTRO],DADOS!$N$5,tabela_registros[TIPO],DADOS!$AB$3,tabela_registros[CATEGORIA],investirrendafixaconsolidadoout[[#This Row],[ATUAL]])</f>
        <v>0</v>
      </c>
      <c r="X121" s="91">
        <f>SUMIFS(tabela_registros[VALOR],tabela_registros[MÊS],$AE$1,tabela_registros[DIA],investirrendafixaconsolidadoout[[#Headers],[20]],tabela_registros[REGISTRO],DADOS!$N$5,tabela_registros[TIPO],DADOS!$AB$3,tabela_registros[CATEGORIA],investirrendafixaconsolidadoout[[#This Row],[ATUAL]])</f>
        <v>0</v>
      </c>
      <c r="Y121" s="91">
        <f>SUMIFS(tabela_registros[VALOR],tabela_registros[MÊS],$AE$1,tabela_registros[DIA],investirrendafixaconsolidadoout[[#Headers],[21]],tabela_registros[REGISTRO],DADOS!$N$5,tabela_registros[TIPO],DADOS!$AB$3,tabela_registros[CATEGORIA],investirrendafixaconsolidadoout[[#This Row],[ATUAL]])</f>
        <v>0</v>
      </c>
      <c r="Z121" s="91">
        <f>SUMIFS(tabela_registros[VALOR],tabela_registros[MÊS],$AE$1,tabela_registros[DIA],investirrendafixaconsolidadoout[[#Headers],[22]],tabela_registros[REGISTRO],DADOS!$N$5,tabela_registros[TIPO],DADOS!$AB$3,tabela_registros[CATEGORIA],investirrendafixaconsolidadoout[[#This Row],[ATUAL]])</f>
        <v>0</v>
      </c>
      <c r="AA121" s="91">
        <f>SUMIFS(tabela_registros[VALOR],tabela_registros[MÊS],$AE$1,tabela_registros[DIA],investirrendafixaconsolidadoout[[#Headers],[23]],tabela_registros[REGISTRO],DADOS!$N$5,tabela_registros[TIPO],DADOS!$AB$3,tabela_registros[CATEGORIA],investirrendafixaconsolidadoout[[#This Row],[ATUAL]])</f>
        <v>0</v>
      </c>
      <c r="AB121" s="91">
        <f>SUMIFS(tabela_registros[VALOR],tabela_registros[MÊS],$AE$1,tabela_registros[DIA],investirrendafixaconsolidadoout[[#Headers],[24]],tabela_registros[REGISTRO],DADOS!$N$5,tabela_registros[TIPO],DADOS!$AB$3,tabela_registros[CATEGORIA],investirrendafixaconsolidadoout[[#This Row],[ATUAL]])</f>
        <v>0</v>
      </c>
      <c r="AC121" s="91">
        <f>SUMIFS(tabela_registros[VALOR],tabela_registros[MÊS],$AE$1,tabela_registros[DIA],investirrendafixaconsolidadoout[[#Headers],[25]],tabela_registros[REGISTRO],DADOS!$N$5,tabela_registros[TIPO],DADOS!$AB$3,tabela_registros[CATEGORIA],investirrendafixaconsolidadoout[[#This Row],[ATUAL]])</f>
        <v>0</v>
      </c>
      <c r="AD121" s="91">
        <f>SUMIFS(tabela_registros[VALOR],tabela_registros[MÊS],$AE$1,tabela_registros[DIA],investirrendafixaconsolidadoout[[#Headers],[26]],tabela_registros[REGISTRO],DADOS!$N$5,tabela_registros[TIPO],DADOS!$AB$3,tabela_registros[CATEGORIA],investirrendafixaconsolidadoout[[#This Row],[ATUAL]])</f>
        <v>0</v>
      </c>
      <c r="AE121" s="91">
        <f>SUMIFS(tabela_registros[VALOR],tabela_registros[MÊS],$AE$1,tabela_registros[DIA],investirrendafixaconsolidadoout[[#Headers],[27]],tabela_registros[REGISTRO],DADOS!$N$5,tabela_registros[TIPO],DADOS!$AB$3,tabela_registros[CATEGORIA],investirrendafixaconsolidadoout[[#This Row],[ATUAL]])</f>
        <v>0</v>
      </c>
      <c r="AF121" s="91">
        <f>SUMIFS(tabela_registros[VALOR],tabela_registros[MÊS],$AE$1,tabela_registros[DIA],investirrendafixaconsolidadoout[[#Headers],[28]],tabela_registros[REGISTRO],DADOS!$N$5,tabela_registros[TIPO],DADOS!$AB$3,tabela_registros[CATEGORIA],investirrendafixaconsolidadoout[[#This Row],[ATUAL]])</f>
        <v>0</v>
      </c>
      <c r="AG121" s="91">
        <f>SUMIFS(tabela_registros[VALOR],tabela_registros[MÊS],$AE$1,tabela_registros[DIA],investirrendafixaconsolidadoout[[#Headers],[29]],tabela_registros[REGISTRO],DADOS!$N$5,tabela_registros[TIPO],DADOS!$AB$3,tabela_registros[CATEGORIA],investirrendafixaconsolidadoout[[#This Row],[ATUAL]])</f>
        <v>0</v>
      </c>
      <c r="AH121" s="91">
        <f>SUMIFS(tabela_registros[VALOR],tabela_registros[MÊS],$AE$1,tabela_registros[DIA],investirrendafixaconsolidadoout[[#Headers],[30]],tabela_registros[REGISTRO],DADOS!$N$5,tabela_registros[TIPO],DADOS!$AB$3,tabela_registros[CATEGORIA],investirrendafixaconsolidadoout[[#This Row],[ATUAL]])</f>
        <v>0</v>
      </c>
      <c r="AI121" s="101">
        <f>SUMIFS(tabela_registros[VALOR],tabela_registros[MÊS],$AE$1,tabela_registros[DIA],investirrendafixaconsolidadoout[[#Headers],[31]],tabela_registros[REGISTRO],DADOS!$N$5,tabela_registros[TIPO],DADOS!$AB$3,tabela_registros[CATEGORIA],investirrendafixaconsolidadoout[[#This Row],[ATUAL]])</f>
        <v>0</v>
      </c>
      <c r="AJ121" s="97">
        <f>SUM(investirrendafixaconsolidadoout[[#This Row],[1]:[31]])</f>
        <v>0</v>
      </c>
      <c r="AK121" s="25"/>
    </row>
    <row r="122" spans="2:37" ht="19.5" customHeight="1" thickTop="1" thickBot="1" x14ac:dyDescent="0.3">
      <c r="B122" s="28"/>
      <c r="C122" s="27" t="str">
        <f>DADOS!$AD$12</f>
        <v>📎 OUTROS</v>
      </c>
      <c r="D122" s="26" t="str">
        <f>IF(investirrendafixaconsolidadoout[[#This Row],[TOTAL (R$)]]=0,"",IF(OR(investirrendafixaconsolidadoout[[#This Row],[TOTAL (R$)]]=LARGE($AJ$113:$AJ$122,1),investirrendafixaconsolidadoout[[#This Row],[TOTAL (R$)]]=LARGE($AJ$113:$AJ$122,2)),DADOS!$I$10,""))</f>
        <v/>
      </c>
      <c r="E122" s="96">
        <f>SUMIFS(tabela_registros[VALOR],tabela_registros[MÊS],$AE$1,tabela_registros[DIA],investirrendafixaconsolidadoout[[#Headers],[1]],tabela_registros[REGISTRO],DADOS!$N$5,tabela_registros[TIPO],DADOS!$AB$3,tabela_registros[CATEGORIA],investirrendafixaconsolidadoout[[#This Row],[ATUAL]])</f>
        <v>0</v>
      </c>
      <c r="F122" s="91">
        <f>SUMIFS(tabela_registros[VALOR],tabela_registros[MÊS],$AE$1,tabela_registros[DIA],investirrendafixaconsolidadoout[[#Headers],[2]],tabela_registros[REGISTRO],DADOS!$N$5,tabela_registros[TIPO],DADOS!$AB$3,tabela_registros[CATEGORIA],investirrendafixaconsolidadoout[[#This Row],[ATUAL]])</f>
        <v>0</v>
      </c>
      <c r="G122" s="91">
        <f>SUMIFS(tabela_registros[VALOR],tabela_registros[MÊS],$AE$1,tabela_registros[DIA],investirrendafixaconsolidadoout[[#Headers],[3]],tabela_registros[REGISTRO],DADOS!$N$5,tabela_registros[TIPO],DADOS!$AB$3,tabela_registros[CATEGORIA],investirrendafixaconsolidadoout[[#This Row],[ATUAL]])</f>
        <v>0</v>
      </c>
      <c r="H122" s="91">
        <f>SUMIFS(tabela_registros[VALOR],tabela_registros[MÊS],$AE$1,tabela_registros[DIA],investirrendafixaconsolidadoout[[#Headers],[4]],tabela_registros[REGISTRO],DADOS!$N$5,tabela_registros[TIPO],DADOS!$AB$3,tabela_registros[CATEGORIA],investirrendafixaconsolidadoout[[#This Row],[ATUAL]])</f>
        <v>0</v>
      </c>
      <c r="I122" s="91">
        <f>SUMIFS(tabela_registros[VALOR],tabela_registros[MÊS],$AE$1,tabela_registros[DIA],investirrendafixaconsolidadoout[[#Headers],[5]],tabela_registros[REGISTRO],DADOS!$N$5,tabela_registros[TIPO],DADOS!$AB$3,tabela_registros[CATEGORIA],investirrendafixaconsolidadoout[[#This Row],[ATUAL]])</f>
        <v>0</v>
      </c>
      <c r="J122" s="91">
        <f>SUMIFS(tabela_registros[VALOR],tabela_registros[MÊS],$AE$1,tabela_registros[DIA],investirrendafixaconsolidadoout[[#Headers],[6]],tabela_registros[REGISTRO],DADOS!$N$5,tabela_registros[TIPO],DADOS!$AB$3,tabela_registros[CATEGORIA],investirrendafixaconsolidadoout[[#This Row],[ATUAL]])</f>
        <v>0</v>
      </c>
      <c r="K122" s="91">
        <f>SUMIFS(tabela_registros[VALOR],tabela_registros[MÊS],$AE$1,tabela_registros[DIA],investirrendafixaconsolidadoout[[#Headers],[7]],tabela_registros[REGISTRO],DADOS!$N$5,tabela_registros[TIPO],DADOS!$AB$3,tabela_registros[CATEGORIA],investirrendafixaconsolidadoout[[#This Row],[ATUAL]])</f>
        <v>0</v>
      </c>
      <c r="L122" s="91">
        <f>SUMIFS(tabela_registros[VALOR],tabela_registros[MÊS],$AE$1,tabela_registros[DIA],investirrendafixaconsolidadoout[[#Headers],[8]],tabela_registros[REGISTRO],DADOS!$N$5,tabela_registros[TIPO],DADOS!$AB$3,tabela_registros[CATEGORIA],investirrendafixaconsolidadoout[[#This Row],[ATUAL]])</f>
        <v>0</v>
      </c>
      <c r="M122" s="91">
        <f>SUMIFS(tabela_registros[VALOR],tabela_registros[MÊS],$AE$1,tabela_registros[DIA],investirrendafixaconsolidadoout[[#Headers],[9]],tabela_registros[REGISTRO],DADOS!$N$5,tabela_registros[TIPO],DADOS!$AB$3,tabela_registros[CATEGORIA],investirrendafixaconsolidadoout[[#This Row],[ATUAL]])</f>
        <v>0</v>
      </c>
      <c r="N122" s="91">
        <f>SUMIFS(tabela_registros[VALOR],tabela_registros[MÊS],$AE$1,tabela_registros[DIA],investirrendafixaconsolidadoout[[#Headers],[10]],tabela_registros[REGISTRO],DADOS!$N$5,tabela_registros[TIPO],DADOS!$AB$3,tabela_registros[CATEGORIA],investirrendafixaconsolidadoout[[#This Row],[ATUAL]])</f>
        <v>0</v>
      </c>
      <c r="O122" s="91">
        <f>SUMIFS(tabela_registros[VALOR],tabela_registros[MÊS],$AE$1,tabela_registros[DIA],investirrendafixaconsolidadoout[[#Headers],[11]],tabela_registros[REGISTRO],DADOS!$N$5,tabela_registros[TIPO],DADOS!$AB$3,tabela_registros[CATEGORIA],investirrendafixaconsolidadoout[[#This Row],[ATUAL]])</f>
        <v>0</v>
      </c>
      <c r="P122" s="91">
        <f>SUMIFS(tabela_registros[VALOR],tabela_registros[MÊS],$AE$1,tabela_registros[DIA],investirrendafixaconsolidadoout[[#Headers],[12]],tabela_registros[REGISTRO],DADOS!$N$5,tabela_registros[TIPO],DADOS!$AB$3,tabela_registros[CATEGORIA],investirrendafixaconsolidadoout[[#This Row],[ATUAL]])</f>
        <v>0</v>
      </c>
      <c r="Q122" s="91">
        <f>SUMIFS(tabela_registros[VALOR],tabela_registros[MÊS],$AE$1,tabela_registros[DIA],investirrendafixaconsolidadoout[[#Headers],[13]],tabela_registros[REGISTRO],DADOS!$N$5,tabela_registros[TIPO],DADOS!$AB$3,tabela_registros[CATEGORIA],investirrendafixaconsolidadoout[[#This Row],[ATUAL]])</f>
        <v>0</v>
      </c>
      <c r="R122" s="91">
        <f>SUMIFS(tabela_registros[VALOR],tabela_registros[MÊS],$AE$1,tabela_registros[DIA],investirrendafixaconsolidadoout[[#Headers],[14]],tabela_registros[REGISTRO],DADOS!$N$5,tabela_registros[TIPO],DADOS!$AB$3,tabela_registros[CATEGORIA],investirrendafixaconsolidadoout[[#This Row],[ATUAL]])</f>
        <v>0</v>
      </c>
      <c r="S122" s="91">
        <f>SUMIFS(tabela_registros[VALOR],tabela_registros[MÊS],$AE$1,tabela_registros[DIA],investirrendafixaconsolidadoout[[#Headers],[15]],tabela_registros[REGISTRO],DADOS!$N$5,tabela_registros[TIPO],DADOS!$AB$3,tabela_registros[CATEGORIA],investirrendafixaconsolidadoout[[#This Row],[ATUAL]])</f>
        <v>0</v>
      </c>
      <c r="T122" s="91">
        <f>SUMIFS(tabela_registros[VALOR],tabela_registros[MÊS],$AE$1,tabela_registros[DIA],investirrendafixaconsolidadoout[[#Headers],[16]],tabela_registros[REGISTRO],DADOS!$N$5,tabela_registros[TIPO],DADOS!$AB$3,tabela_registros[CATEGORIA],investirrendafixaconsolidadoout[[#This Row],[ATUAL]])</f>
        <v>0</v>
      </c>
      <c r="U122" s="91">
        <f>SUMIFS(tabela_registros[VALOR],tabela_registros[MÊS],$AE$1,tabela_registros[DIA],investirrendafixaconsolidadoout[[#Headers],[17]],tabela_registros[REGISTRO],DADOS!$N$5,tabela_registros[TIPO],DADOS!$AB$3,tabela_registros[CATEGORIA],investirrendafixaconsolidadoout[[#This Row],[ATUAL]])</f>
        <v>0</v>
      </c>
      <c r="V122" s="91">
        <f>SUMIFS(tabela_registros[VALOR],tabela_registros[MÊS],$AE$1,tabela_registros[DIA],investirrendafixaconsolidadoout[[#Headers],[18]],tabela_registros[REGISTRO],DADOS!$N$5,tabela_registros[TIPO],DADOS!$AB$3,tabela_registros[CATEGORIA],investirrendafixaconsolidadoout[[#This Row],[ATUAL]])</f>
        <v>0</v>
      </c>
      <c r="W122" s="91">
        <f>SUMIFS(tabela_registros[VALOR],tabela_registros[MÊS],$AE$1,tabela_registros[DIA],investirrendafixaconsolidadoout[[#Headers],[19]],tabela_registros[REGISTRO],DADOS!$N$5,tabela_registros[TIPO],DADOS!$AB$3,tabela_registros[CATEGORIA],investirrendafixaconsolidadoout[[#This Row],[ATUAL]])</f>
        <v>0</v>
      </c>
      <c r="X122" s="91">
        <f>SUMIFS(tabela_registros[VALOR],tabela_registros[MÊS],$AE$1,tabela_registros[DIA],investirrendafixaconsolidadoout[[#Headers],[20]],tabela_registros[REGISTRO],DADOS!$N$5,tabela_registros[TIPO],DADOS!$AB$3,tabela_registros[CATEGORIA],investirrendafixaconsolidadoout[[#This Row],[ATUAL]])</f>
        <v>0</v>
      </c>
      <c r="Y122" s="91">
        <f>SUMIFS(tabela_registros[VALOR],tabela_registros[MÊS],$AE$1,tabela_registros[DIA],investirrendafixaconsolidadoout[[#Headers],[21]],tabela_registros[REGISTRO],DADOS!$N$5,tabela_registros[TIPO],DADOS!$AB$3,tabela_registros[CATEGORIA],investirrendafixaconsolidadoout[[#This Row],[ATUAL]])</f>
        <v>0</v>
      </c>
      <c r="Z122" s="91">
        <f>SUMIFS(tabela_registros[VALOR],tabela_registros[MÊS],$AE$1,tabela_registros[DIA],investirrendafixaconsolidadoout[[#Headers],[22]],tabela_registros[REGISTRO],DADOS!$N$5,tabela_registros[TIPO],DADOS!$AB$3,tabela_registros[CATEGORIA],investirrendafixaconsolidadoout[[#This Row],[ATUAL]])</f>
        <v>0</v>
      </c>
      <c r="AA122" s="91">
        <f>SUMIFS(tabela_registros[VALOR],tabela_registros[MÊS],$AE$1,tabela_registros[DIA],investirrendafixaconsolidadoout[[#Headers],[23]],tabela_registros[REGISTRO],DADOS!$N$5,tabela_registros[TIPO],DADOS!$AB$3,tabela_registros[CATEGORIA],investirrendafixaconsolidadoout[[#This Row],[ATUAL]])</f>
        <v>0</v>
      </c>
      <c r="AB122" s="91">
        <f>SUMIFS(tabela_registros[VALOR],tabela_registros[MÊS],$AE$1,tabela_registros[DIA],investirrendafixaconsolidadoout[[#Headers],[24]],tabela_registros[REGISTRO],DADOS!$N$5,tabela_registros[TIPO],DADOS!$AB$3,tabela_registros[CATEGORIA],investirrendafixaconsolidadoout[[#This Row],[ATUAL]])</f>
        <v>0</v>
      </c>
      <c r="AC122" s="91">
        <f>SUMIFS(tabela_registros[VALOR],tabela_registros[MÊS],$AE$1,tabela_registros[DIA],investirrendafixaconsolidadoout[[#Headers],[25]],tabela_registros[REGISTRO],DADOS!$N$5,tabela_registros[TIPO],DADOS!$AB$3,tabela_registros[CATEGORIA],investirrendafixaconsolidadoout[[#This Row],[ATUAL]])</f>
        <v>0</v>
      </c>
      <c r="AD122" s="91">
        <f>SUMIFS(tabela_registros[VALOR],tabela_registros[MÊS],$AE$1,tabela_registros[DIA],investirrendafixaconsolidadoout[[#Headers],[26]],tabela_registros[REGISTRO],DADOS!$N$5,tabela_registros[TIPO],DADOS!$AB$3,tabela_registros[CATEGORIA],investirrendafixaconsolidadoout[[#This Row],[ATUAL]])</f>
        <v>0</v>
      </c>
      <c r="AE122" s="91">
        <f>SUMIFS(tabela_registros[VALOR],tabela_registros[MÊS],$AE$1,tabela_registros[DIA],investirrendafixaconsolidadoout[[#Headers],[27]],tabela_registros[REGISTRO],DADOS!$N$5,tabela_registros[TIPO],DADOS!$AB$3,tabela_registros[CATEGORIA],investirrendafixaconsolidadoout[[#This Row],[ATUAL]])</f>
        <v>0</v>
      </c>
      <c r="AF122" s="91">
        <f>SUMIFS(tabela_registros[VALOR],tabela_registros[MÊS],$AE$1,tabela_registros[DIA],investirrendafixaconsolidadoout[[#Headers],[28]],tabela_registros[REGISTRO],DADOS!$N$5,tabela_registros[TIPO],DADOS!$AB$3,tabela_registros[CATEGORIA],investirrendafixaconsolidadoout[[#This Row],[ATUAL]])</f>
        <v>0</v>
      </c>
      <c r="AG122" s="91">
        <f>SUMIFS(tabela_registros[VALOR],tabela_registros[MÊS],$AE$1,tabela_registros[DIA],investirrendafixaconsolidadoout[[#Headers],[29]],tabela_registros[REGISTRO],DADOS!$N$5,tabela_registros[TIPO],DADOS!$AB$3,tabela_registros[CATEGORIA],investirrendafixaconsolidadoout[[#This Row],[ATUAL]])</f>
        <v>0</v>
      </c>
      <c r="AH122" s="91">
        <f>SUMIFS(tabela_registros[VALOR],tabela_registros[MÊS],$AE$1,tabela_registros[DIA],investirrendafixaconsolidadoout[[#Headers],[30]],tabela_registros[REGISTRO],DADOS!$N$5,tabela_registros[TIPO],DADOS!$AB$3,tabela_registros[CATEGORIA],investirrendafixaconsolidadoout[[#This Row],[ATUAL]])</f>
        <v>0</v>
      </c>
      <c r="AI122" s="102">
        <f>SUMIFS(tabela_registros[VALOR],tabela_registros[MÊS],$AE$1,tabela_registros[DIA],investirrendafixaconsolidadoout[[#Headers],[31]],tabela_registros[REGISTRO],DADOS!$N$5,tabela_registros[TIPO],DADOS!$AB$3,tabela_registros[CATEGORIA],investirrendafixaconsolidadoout[[#This Row],[ATUAL]])</f>
        <v>0</v>
      </c>
      <c r="AJ122" s="103">
        <f>SUM(investirrendafixaconsolidadoout[[#This Row],[1]:[31]])</f>
        <v>0</v>
      </c>
      <c r="AK122" s="25"/>
    </row>
    <row r="123" spans="2:37" s="16" customFormat="1" ht="21" customHeight="1" thickTop="1" thickBot="1" x14ac:dyDescent="0.35">
      <c r="B123" s="24"/>
      <c r="C123" s="23" t="s">
        <v>19</v>
      </c>
      <c r="D123" s="22"/>
      <c r="E123" s="21">
        <f>SUM(E113:E122)</f>
        <v>0</v>
      </c>
      <c r="F123" s="20">
        <f>SUM(F113:F122)+investirrendafixaconsolidadoout[[#This Row],[1]]</f>
        <v>0</v>
      </c>
      <c r="G123" s="20">
        <f>SUM(G113:G122)+investirrendafixaconsolidadoout[[#This Row],[2]]</f>
        <v>0</v>
      </c>
      <c r="H123" s="20">
        <f>SUM(H113:H122)+investirrendafixaconsolidadoout[[#This Row],[3]]</f>
        <v>0</v>
      </c>
      <c r="I123" s="20">
        <f>SUM(I113:I122)+investirrendafixaconsolidadoout[[#This Row],[4]]</f>
        <v>0</v>
      </c>
      <c r="J123" s="20">
        <f>SUM(J113:J122)+investirrendafixaconsolidadoout[[#This Row],[5]]</f>
        <v>0</v>
      </c>
      <c r="K123" s="20">
        <f>SUM(K113:K122)+investirrendafixaconsolidadoout[[#This Row],[6]]</f>
        <v>0</v>
      </c>
      <c r="L123" s="20">
        <f>SUM(L113:L122)+investirrendafixaconsolidadoout[[#This Row],[7]]</f>
        <v>0</v>
      </c>
      <c r="M123" s="20">
        <f>SUM(M113:M122)+investirrendafixaconsolidadoout[[#This Row],[8]]</f>
        <v>0</v>
      </c>
      <c r="N123" s="20">
        <f>SUM(N113:N122)+investirrendafixaconsolidadoout[[#This Row],[9]]</f>
        <v>0</v>
      </c>
      <c r="O123" s="20">
        <f>SUM(O113:O122)+investirrendafixaconsolidadoout[[#This Row],[10]]</f>
        <v>0</v>
      </c>
      <c r="P123" s="20">
        <f>SUM(P113:P122)+investirrendafixaconsolidadoout[[#This Row],[11]]</f>
        <v>0</v>
      </c>
      <c r="Q123" s="20">
        <f>SUM(Q113:Q122)+investirrendafixaconsolidadoout[[#This Row],[12]]</f>
        <v>0</v>
      </c>
      <c r="R123" s="20">
        <f>SUM(R113:R122)+investirrendafixaconsolidadoout[[#This Row],[13]]</f>
        <v>0</v>
      </c>
      <c r="S123" s="20">
        <f>SUM(S113:S122)+investirrendafixaconsolidadoout[[#This Row],[14]]</f>
        <v>0</v>
      </c>
      <c r="T123" s="20">
        <f>SUM(T113:T122)+investirrendafixaconsolidadoout[[#This Row],[15]]</f>
        <v>0</v>
      </c>
      <c r="U123" s="20">
        <f>SUM(U113:U122)+investirrendafixaconsolidadoout[[#This Row],[16]]</f>
        <v>0</v>
      </c>
      <c r="V123" s="20">
        <f>SUM(V113:V122)+investirrendafixaconsolidadoout[[#This Row],[17]]</f>
        <v>0</v>
      </c>
      <c r="W123" s="20">
        <f>SUM(W113:W122)+investirrendafixaconsolidadoout[[#This Row],[18]]</f>
        <v>0</v>
      </c>
      <c r="X123" s="20">
        <f>SUM(X113:X122)+investirrendafixaconsolidadoout[[#This Row],[19]]</f>
        <v>0</v>
      </c>
      <c r="Y123" s="20">
        <f>SUM(Y113:Y122)+investirrendafixaconsolidadoout[[#This Row],[20]]</f>
        <v>0</v>
      </c>
      <c r="Z123" s="20">
        <f>SUM(Z113:Z122)+investirrendafixaconsolidadoout[[#This Row],[21]]</f>
        <v>0</v>
      </c>
      <c r="AA123" s="20">
        <f>SUM(AA113:AA122)+investirrendafixaconsolidadoout[[#This Row],[22]]</f>
        <v>0</v>
      </c>
      <c r="AB123" s="20">
        <f>SUM(AB113:AB122)+investirrendafixaconsolidadoout[[#This Row],[23]]</f>
        <v>0</v>
      </c>
      <c r="AC123" s="20">
        <f>SUM(AC113:AC122)+investirrendafixaconsolidadoout[[#This Row],[24]]</f>
        <v>0</v>
      </c>
      <c r="AD123" s="20">
        <f>SUM(AD113:AD122)+investirrendafixaconsolidadoout[[#This Row],[25]]</f>
        <v>0</v>
      </c>
      <c r="AE123" s="20">
        <f>SUM(AE113:AE122)+investirrendafixaconsolidadoout[[#This Row],[26]]</f>
        <v>451</v>
      </c>
      <c r="AF123" s="20">
        <f>SUM(AF113:AF122)+investirrendafixaconsolidadoout[[#This Row],[27]]</f>
        <v>451</v>
      </c>
      <c r="AG123" s="20">
        <f>SUM(AG113:AG122)+investirrendafixaconsolidadoout[[#This Row],[28]]</f>
        <v>451</v>
      </c>
      <c r="AH123" s="20">
        <f>SUM(AH113:AH122)+investirrendafixaconsolidadoout[[#This Row],[29]]</f>
        <v>451</v>
      </c>
      <c r="AI123" s="19">
        <f>SUM(AI113:AI122)+investirrendafixaconsolidadoout[[#This Row],[30]]</f>
        <v>451</v>
      </c>
      <c r="AJ123" s="18">
        <f>investirrendafixaconsolidadoout[[#This Row],[31]]</f>
        <v>451</v>
      </c>
      <c r="AK123" s="17"/>
    </row>
    <row r="124" spans="2:37" ht="6.75" customHeight="1" thickTop="1" thickBot="1" x14ac:dyDescent="0.3">
      <c r="B124" s="15"/>
      <c r="C124" s="14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  <c r="AI124" s="12"/>
      <c r="AJ124" s="11"/>
      <c r="AK124" s="10"/>
    </row>
    <row r="125" spans="2:37" ht="12.6" thickTop="1" x14ac:dyDescent="0.25">
      <c r="E125" s="37"/>
      <c r="AI125" s="4"/>
    </row>
    <row r="126" spans="2:37" x14ac:dyDescent="0.25">
      <c r="AI126" s="4"/>
    </row>
    <row r="127" spans="2:37" x14ac:dyDescent="0.25">
      <c r="AI127" s="4"/>
    </row>
    <row r="128" spans="2:37" ht="39.75" customHeight="1" x14ac:dyDescent="0.7">
      <c r="C128" s="36"/>
      <c r="E128" s="240"/>
      <c r="F128" s="240"/>
      <c r="G128" s="240"/>
      <c r="H128" s="240"/>
      <c r="I128" s="240"/>
      <c r="J128" s="240"/>
      <c r="K128" s="240"/>
      <c r="L128" s="240"/>
      <c r="M128" s="240"/>
      <c r="N128" s="240"/>
      <c r="O128" s="240"/>
      <c r="P128" s="240"/>
      <c r="Q128" s="240"/>
      <c r="R128" s="240"/>
      <c r="S128" s="240"/>
      <c r="T128" s="240"/>
      <c r="U128" s="240"/>
      <c r="V128" s="240"/>
      <c r="W128" s="240"/>
      <c r="X128" s="240"/>
      <c r="Y128" s="240"/>
      <c r="Z128" s="240"/>
      <c r="AA128" s="240"/>
      <c r="AB128" s="240"/>
      <c r="AC128" s="240"/>
      <c r="AD128" s="240"/>
      <c r="AE128" s="240"/>
      <c r="AF128" s="240"/>
      <c r="AG128" s="240"/>
      <c r="AH128" s="240"/>
      <c r="AI128" s="240"/>
      <c r="AJ128" s="32" t="s">
        <v>19</v>
      </c>
    </row>
    <row r="129" spans="2:37" ht="12.6" thickBot="1" x14ac:dyDescent="0.3">
      <c r="B129" s="35"/>
      <c r="AI129" s="4"/>
      <c r="AJ129" s="34" t="s">
        <v>202</v>
      </c>
    </row>
    <row r="130" spans="2:37" ht="6.75" customHeight="1" thickTop="1" thickBot="1" x14ac:dyDescent="0.3">
      <c r="B130" s="2"/>
      <c r="C130" s="14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  <c r="AA130" s="13"/>
      <c r="AB130" s="13"/>
      <c r="AC130" s="13"/>
      <c r="AD130" s="13"/>
      <c r="AE130" s="13"/>
      <c r="AF130" s="13"/>
      <c r="AG130" s="13"/>
      <c r="AH130" s="13"/>
      <c r="AI130" s="13"/>
      <c r="AJ130" s="12"/>
      <c r="AK130" s="33"/>
    </row>
    <row r="131" spans="2:37" ht="13.2" hidden="1" thickTop="1" thickBot="1" x14ac:dyDescent="0.3">
      <c r="B131" s="2"/>
      <c r="C131" s="31" t="s">
        <v>199</v>
      </c>
      <c r="D131" s="30" t="s">
        <v>198</v>
      </c>
      <c r="E131" s="30" t="s">
        <v>197</v>
      </c>
      <c r="F131" s="30" t="s">
        <v>196</v>
      </c>
      <c r="G131" s="30" t="s">
        <v>195</v>
      </c>
      <c r="H131" s="30" t="s">
        <v>194</v>
      </c>
      <c r="I131" s="30" t="s">
        <v>193</v>
      </c>
      <c r="J131" s="30" t="s">
        <v>192</v>
      </c>
      <c r="K131" s="30" t="s">
        <v>191</v>
      </c>
      <c r="L131" s="30" t="s">
        <v>190</v>
      </c>
      <c r="M131" s="30" t="s">
        <v>189</v>
      </c>
      <c r="N131" s="30" t="s">
        <v>188</v>
      </c>
      <c r="O131" s="30" t="s">
        <v>187</v>
      </c>
      <c r="P131" s="30" t="s">
        <v>186</v>
      </c>
      <c r="Q131" s="30" t="s">
        <v>185</v>
      </c>
      <c r="R131" s="30" t="s">
        <v>184</v>
      </c>
      <c r="S131" s="30" t="s">
        <v>183</v>
      </c>
      <c r="T131" s="30" t="s">
        <v>182</v>
      </c>
      <c r="U131" s="30" t="s">
        <v>181</v>
      </c>
      <c r="V131" s="30" t="s">
        <v>180</v>
      </c>
      <c r="W131" s="30" t="s">
        <v>179</v>
      </c>
      <c r="X131" s="30" t="s">
        <v>178</v>
      </c>
      <c r="Y131" s="30" t="s">
        <v>177</v>
      </c>
      <c r="Z131" s="30" t="s">
        <v>176</v>
      </c>
      <c r="AA131" s="30" t="s">
        <v>175</v>
      </c>
      <c r="AB131" s="30" t="s">
        <v>174</v>
      </c>
      <c r="AC131" s="30" t="s">
        <v>173</v>
      </c>
      <c r="AD131" s="30" t="s">
        <v>172</v>
      </c>
      <c r="AE131" s="30" t="s">
        <v>171</v>
      </c>
      <c r="AF131" s="30" t="s">
        <v>170</v>
      </c>
      <c r="AG131" s="30" t="s">
        <v>169</v>
      </c>
      <c r="AH131" s="30" t="s">
        <v>168</v>
      </c>
      <c r="AI131" s="30" t="s">
        <v>167</v>
      </c>
      <c r="AJ131" s="29" t="s">
        <v>166</v>
      </c>
      <c r="AK131" s="2"/>
    </row>
    <row r="132" spans="2:37" ht="19.5" customHeight="1" thickTop="1" thickBot="1" x14ac:dyDescent="0.3">
      <c r="B132" s="28"/>
      <c r="C132" s="27" t="str">
        <f>DADOS!$AF$3</f>
        <v>📝 AÇÃO</v>
      </c>
      <c r="D132" s="26" t="str">
        <f>IF(investirrendavariávelconsolidadoout[[#This Row],[TOTAL (R$)]]=0,"",IF(OR(investirrendavariávelconsolidadoout[[#This Row],[TOTAL (R$)]]=LARGE($AJ$132:$AJ$141,1),investirrendavariávelconsolidadoout[[#This Row],[TOTAL (R$)]]=LARGE($AJ$132:$AJ$141,2)),DADOS!$I$10,""))</f>
        <v/>
      </c>
      <c r="E132" s="96">
        <f>SUMIFS(tabela_registros[VALOR],tabela_registros[MÊS],$AE$1,tabela_registros[DIA],investirrendavariávelconsolidadoout[[#Headers],[1]],tabela_registros[REGISTRO],DADOS!$N$5,tabela_registros[TIPO],DADOS!$AB$4,tabela_registros[CATEGORIA],investirrendavariávelconsolidadoout[[#This Row],[ATUAL]])</f>
        <v>0</v>
      </c>
      <c r="F132" s="91">
        <f>SUMIFS(tabela_registros[VALOR],tabela_registros[MÊS],$AE$1,tabela_registros[DIA],investirrendavariávelconsolidadoout[[#Headers],[2]],tabela_registros[REGISTRO],DADOS!$N$5,tabela_registros[TIPO],DADOS!$AB$4,tabela_registros[CATEGORIA],investirrendavariávelconsolidadoout[[#This Row],[ATUAL]])</f>
        <v>0</v>
      </c>
      <c r="G132" s="91">
        <f>SUMIFS(tabela_registros[VALOR],tabela_registros[MÊS],$AE$1,tabela_registros[DIA],investirrendavariávelconsolidadoout[[#Headers],[3]],tabela_registros[REGISTRO],DADOS!$N$5,tabela_registros[TIPO],DADOS!$AB$4,tabela_registros[CATEGORIA],investirrendavariávelconsolidadoout[[#This Row],[ATUAL]])</f>
        <v>0</v>
      </c>
      <c r="H132" s="91">
        <f>SUMIFS(tabela_registros[VALOR],tabela_registros[MÊS],$AE$1,tabela_registros[DIA],investirrendavariávelconsolidadoout[[#Headers],[4]],tabela_registros[REGISTRO],DADOS!$N$5,tabela_registros[TIPO],DADOS!$AB$4,tabela_registros[CATEGORIA],investirrendavariávelconsolidadoout[[#This Row],[ATUAL]])</f>
        <v>0</v>
      </c>
      <c r="I132" s="91">
        <f>SUMIFS(tabela_registros[VALOR],tabela_registros[MÊS],$AE$1,tabela_registros[DIA],investirrendavariávelconsolidadoout[[#Headers],[5]],tabela_registros[REGISTRO],DADOS!$N$5,tabela_registros[TIPO],DADOS!$AB$4,tabela_registros[CATEGORIA],investirrendavariávelconsolidadoout[[#This Row],[ATUAL]])</f>
        <v>0</v>
      </c>
      <c r="J132" s="91">
        <f>SUMIFS(tabela_registros[VALOR],tabela_registros[MÊS],$AE$1,tabela_registros[DIA],investirrendavariávelconsolidadoout[[#Headers],[6]],tabela_registros[REGISTRO],DADOS!$N$5,tabela_registros[TIPO],DADOS!$AB$4,tabela_registros[CATEGORIA],investirrendavariávelconsolidadoout[[#This Row],[ATUAL]])</f>
        <v>0</v>
      </c>
      <c r="K132" s="91">
        <f>SUMIFS(tabela_registros[VALOR],tabela_registros[MÊS],$AE$1,tabela_registros[DIA],investirrendavariávelconsolidadoout[[#Headers],[7]],tabela_registros[REGISTRO],DADOS!$N$5,tabela_registros[TIPO],DADOS!$AB$4,tabela_registros[CATEGORIA],investirrendavariávelconsolidadoout[[#This Row],[ATUAL]])</f>
        <v>0</v>
      </c>
      <c r="L132" s="91">
        <f>SUMIFS(tabela_registros[VALOR],tabela_registros[MÊS],$AE$1,tabela_registros[DIA],investirrendavariávelconsolidadoout[[#Headers],[8]],tabela_registros[REGISTRO],DADOS!$N$5,tabela_registros[TIPO],DADOS!$AB$4,tabela_registros[CATEGORIA],investirrendavariávelconsolidadoout[[#This Row],[ATUAL]])</f>
        <v>0</v>
      </c>
      <c r="M132" s="91">
        <f>SUMIFS(tabela_registros[VALOR],tabela_registros[MÊS],$AE$1,tabela_registros[DIA],investirrendavariávelconsolidadoout[[#Headers],[9]],tabela_registros[REGISTRO],DADOS!$N$5,tabela_registros[TIPO],DADOS!$AB$4,tabela_registros[CATEGORIA],investirrendavariávelconsolidadoout[[#This Row],[ATUAL]])</f>
        <v>0</v>
      </c>
      <c r="N132" s="91">
        <f>SUMIFS(tabela_registros[VALOR],tabela_registros[MÊS],$AE$1,tabela_registros[DIA],investirrendavariávelconsolidadoout[[#Headers],[10]],tabela_registros[REGISTRO],DADOS!$N$5,tabela_registros[TIPO],DADOS!$AB$4,tabela_registros[CATEGORIA],investirrendavariávelconsolidadoout[[#This Row],[ATUAL]])</f>
        <v>0</v>
      </c>
      <c r="O132" s="91">
        <f>SUMIFS(tabela_registros[VALOR],tabela_registros[MÊS],$AE$1,tabela_registros[DIA],investirrendavariávelconsolidadoout[[#Headers],[11]],tabela_registros[REGISTRO],DADOS!$N$5,tabela_registros[TIPO],DADOS!$AB$4,tabela_registros[CATEGORIA],investirrendavariávelconsolidadoout[[#This Row],[ATUAL]])</f>
        <v>0</v>
      </c>
      <c r="P132" s="91">
        <f>SUMIFS(tabela_registros[VALOR],tabela_registros[MÊS],$AE$1,tabela_registros[DIA],investirrendavariávelconsolidadoout[[#Headers],[12]],tabela_registros[REGISTRO],DADOS!$N$5,tabela_registros[TIPO],DADOS!$AB$4,tabela_registros[CATEGORIA],investirrendavariávelconsolidadoout[[#This Row],[ATUAL]])</f>
        <v>0</v>
      </c>
      <c r="Q132" s="91">
        <f>SUMIFS(tabela_registros[VALOR],tabela_registros[MÊS],$AE$1,tabela_registros[DIA],investirrendavariávelconsolidadoout[[#Headers],[13]],tabela_registros[REGISTRO],DADOS!$N$5,tabela_registros[TIPO],DADOS!$AB$4,tabela_registros[CATEGORIA],investirrendavariávelconsolidadoout[[#This Row],[ATUAL]])</f>
        <v>0</v>
      </c>
      <c r="R132" s="91">
        <f>SUMIFS(tabela_registros[VALOR],tabela_registros[MÊS],$AE$1,tabela_registros[DIA],investirrendavariávelconsolidadoout[[#Headers],[14]],tabela_registros[REGISTRO],DADOS!$N$5,tabela_registros[TIPO],DADOS!$AB$4,tabela_registros[CATEGORIA],investirrendavariávelconsolidadoout[[#This Row],[ATUAL]])</f>
        <v>0</v>
      </c>
      <c r="S132" s="91">
        <f>SUMIFS(tabela_registros[VALOR],tabela_registros[MÊS],$AE$1,tabela_registros[DIA],investirrendavariávelconsolidadoout[[#Headers],[15]],tabela_registros[REGISTRO],DADOS!$N$5,tabela_registros[TIPO],DADOS!$AB$4,tabela_registros[CATEGORIA],investirrendavariávelconsolidadoout[[#This Row],[ATUAL]])</f>
        <v>0</v>
      </c>
      <c r="T132" s="91">
        <f>SUMIFS(tabela_registros[VALOR],tabela_registros[MÊS],$AE$1,tabela_registros[DIA],investirrendavariávelconsolidadoout[[#Headers],[16]],tabela_registros[REGISTRO],DADOS!$N$5,tabela_registros[TIPO],DADOS!$AB$4,tabela_registros[CATEGORIA],investirrendavariávelconsolidadoout[[#This Row],[ATUAL]])</f>
        <v>0</v>
      </c>
      <c r="U132" s="91">
        <f>SUMIFS(tabela_registros[VALOR],tabela_registros[MÊS],$AE$1,tabela_registros[DIA],investirrendavariávelconsolidadoout[[#Headers],[17]],tabela_registros[REGISTRO],DADOS!$N$5,tabela_registros[TIPO],DADOS!$AB$4,tabela_registros[CATEGORIA],investirrendavariávelconsolidadoout[[#This Row],[ATUAL]])</f>
        <v>0</v>
      </c>
      <c r="V132" s="91">
        <f>SUMIFS(tabela_registros[VALOR],tabela_registros[MÊS],$AE$1,tabela_registros[DIA],investirrendavariávelconsolidadoout[[#Headers],[18]],tabela_registros[REGISTRO],DADOS!$N$5,tabela_registros[TIPO],DADOS!$AB$4,tabela_registros[CATEGORIA],investirrendavariávelconsolidadoout[[#This Row],[ATUAL]])</f>
        <v>0</v>
      </c>
      <c r="W132" s="91">
        <f>SUMIFS(tabela_registros[VALOR],tabela_registros[MÊS],$AE$1,tabela_registros[DIA],investirrendavariávelconsolidadoout[[#Headers],[19]],tabela_registros[REGISTRO],DADOS!$N$5,tabela_registros[TIPO],DADOS!$AB$4,tabela_registros[CATEGORIA],investirrendavariávelconsolidadoout[[#This Row],[ATUAL]])</f>
        <v>0</v>
      </c>
      <c r="X132" s="91">
        <f>SUMIFS(tabela_registros[VALOR],tabela_registros[MÊS],$AE$1,tabela_registros[DIA],investirrendavariávelconsolidadoout[[#Headers],[20]],tabela_registros[REGISTRO],DADOS!$N$5,tabela_registros[TIPO],DADOS!$AB$4,tabela_registros[CATEGORIA],investirrendavariávelconsolidadoout[[#This Row],[ATUAL]])</f>
        <v>0</v>
      </c>
      <c r="Y132" s="91">
        <f>SUMIFS(tabela_registros[VALOR],tabela_registros[MÊS],$AE$1,tabela_registros[DIA],investirrendavariávelconsolidadoout[[#Headers],[21]],tabela_registros[REGISTRO],DADOS!$N$5,tabela_registros[TIPO],DADOS!$AB$4,tabela_registros[CATEGORIA],investirrendavariávelconsolidadoout[[#This Row],[ATUAL]])</f>
        <v>0</v>
      </c>
      <c r="Z132" s="91">
        <f>SUMIFS(tabela_registros[VALOR],tabela_registros[MÊS],$AE$1,tabela_registros[DIA],investirrendavariávelconsolidadoout[[#Headers],[22]],tabela_registros[REGISTRO],DADOS!$N$5,tabela_registros[TIPO],DADOS!$AB$4,tabela_registros[CATEGORIA],investirrendavariávelconsolidadoout[[#This Row],[ATUAL]])</f>
        <v>0</v>
      </c>
      <c r="AA132" s="91">
        <f>SUMIFS(tabela_registros[VALOR],tabela_registros[MÊS],$AE$1,tabela_registros[DIA],investirrendavariávelconsolidadoout[[#Headers],[23]],tabela_registros[REGISTRO],DADOS!$N$5,tabela_registros[TIPO],DADOS!$AB$4,tabela_registros[CATEGORIA],investirrendavariávelconsolidadoout[[#This Row],[ATUAL]])</f>
        <v>0</v>
      </c>
      <c r="AB132" s="91">
        <f>SUMIFS(tabela_registros[VALOR],tabela_registros[MÊS],$AE$1,tabela_registros[DIA],investirrendavariávelconsolidadoout[[#Headers],[24]],tabela_registros[REGISTRO],DADOS!$N$5,tabela_registros[TIPO],DADOS!$AB$4,tabela_registros[CATEGORIA],investirrendavariávelconsolidadoout[[#This Row],[ATUAL]])</f>
        <v>0</v>
      </c>
      <c r="AC132" s="91">
        <f>SUMIFS(tabela_registros[VALOR],tabela_registros[MÊS],$AE$1,tabela_registros[DIA],investirrendavariávelconsolidadoout[[#Headers],[25]],tabela_registros[REGISTRO],DADOS!$N$5,tabela_registros[TIPO],DADOS!$AB$4,tabela_registros[CATEGORIA],investirrendavariávelconsolidadoout[[#This Row],[ATUAL]])</f>
        <v>0</v>
      </c>
      <c r="AD132" s="91">
        <f>SUMIFS(tabela_registros[VALOR],tabela_registros[MÊS],$AE$1,tabela_registros[DIA],investirrendavariávelconsolidadoout[[#Headers],[26]],tabela_registros[REGISTRO],DADOS!$N$5,tabela_registros[TIPO],DADOS!$AB$4,tabela_registros[CATEGORIA],investirrendavariávelconsolidadoout[[#This Row],[ATUAL]])</f>
        <v>0</v>
      </c>
      <c r="AE132" s="91">
        <f>SUMIFS(tabela_registros[VALOR],tabela_registros[MÊS],$AE$1,tabela_registros[DIA],investirrendavariávelconsolidadoout[[#Headers],[27]],tabela_registros[REGISTRO],DADOS!$N$5,tabela_registros[TIPO],DADOS!$AB$4,tabela_registros[CATEGORIA],investirrendavariávelconsolidadoout[[#This Row],[ATUAL]])</f>
        <v>0</v>
      </c>
      <c r="AF132" s="91">
        <f>SUMIFS(tabela_registros[VALOR],tabela_registros[MÊS],$AE$1,tabela_registros[DIA],investirrendavariávelconsolidadoout[[#Headers],[28]],tabela_registros[REGISTRO],DADOS!$N$5,tabela_registros[TIPO],DADOS!$AB$4,tabela_registros[CATEGORIA],investirrendavariávelconsolidadoout[[#This Row],[ATUAL]])</f>
        <v>0</v>
      </c>
      <c r="AG132" s="91">
        <f>SUMIFS(tabela_registros[VALOR],tabela_registros[MÊS],$AE$1,tabela_registros[DIA],investirrendavariávelconsolidadoout[[#Headers],[29]],tabela_registros[REGISTRO],DADOS!$N$5,tabela_registros[TIPO],DADOS!$AB$4,tabela_registros[CATEGORIA],investirrendavariávelconsolidadoout[[#This Row],[ATUAL]])</f>
        <v>0</v>
      </c>
      <c r="AH132" s="91">
        <f>SUMIFS(tabela_registros[VALOR],tabela_registros[MÊS],$AE$1,tabela_registros[DIA],investirrendavariávelconsolidadoout[[#Headers],[30]],tabela_registros[REGISTRO],DADOS!$N$5,tabela_registros[TIPO],DADOS!$AB$4,tabela_registros[CATEGORIA],investirrendavariávelconsolidadoout[[#This Row],[ATUAL]])</f>
        <v>0</v>
      </c>
      <c r="AI132" s="101">
        <f>SUMIFS(tabela_registros[VALOR],tabela_registros[MÊS],$AE$1,tabela_registros[DIA],investirrendavariávelconsolidadoout[[#Headers],[31]],tabela_registros[REGISTRO],DADOS!$N$5,tabela_registros[TIPO],DADOS!$AB$4,tabela_registros[CATEGORIA],investirrendavariávelconsolidadoout[[#This Row],[ATUAL]])</f>
        <v>0</v>
      </c>
      <c r="AJ132" s="97">
        <f>SUM(investirrendavariávelconsolidadoout[[#This Row],[1]:[31]])</f>
        <v>0</v>
      </c>
      <c r="AK132" s="25"/>
    </row>
    <row r="133" spans="2:37" ht="19.5" customHeight="1" thickTop="1" thickBot="1" x14ac:dyDescent="0.3">
      <c r="B133" s="28"/>
      <c r="C133" s="27" t="str">
        <f>DADOS!$AF$4</f>
        <v>📝 COMÓDITE</v>
      </c>
      <c r="D133" s="26" t="str">
        <f>IF(investirrendavariávelconsolidadoout[[#This Row],[TOTAL (R$)]]=0,"",IF(OR(investirrendavariávelconsolidadoout[[#This Row],[TOTAL (R$)]]=LARGE($AJ$132:$AJ$141,1),investirrendavariávelconsolidadoout[[#This Row],[TOTAL (R$)]]=LARGE($AJ$132:$AJ$141,2)),DADOS!$I$10,""))</f>
        <v/>
      </c>
      <c r="E133" s="96">
        <f>SUMIFS(tabela_registros[VALOR],tabela_registros[MÊS],$AE$1,tabela_registros[DIA],investirrendavariávelconsolidadoout[[#Headers],[1]],tabela_registros[REGISTRO],DADOS!$N$5,tabela_registros[TIPO],DADOS!$AB$4,tabela_registros[CATEGORIA],investirrendavariávelconsolidadoout[[#This Row],[ATUAL]])</f>
        <v>0</v>
      </c>
      <c r="F133" s="91">
        <f>SUMIFS(tabela_registros[VALOR],tabela_registros[MÊS],$AE$1,tabela_registros[DIA],investirrendavariávelconsolidadoout[[#Headers],[2]],tabela_registros[REGISTRO],DADOS!$N$5,tabela_registros[TIPO],DADOS!$AB$4,tabela_registros[CATEGORIA],investirrendavariávelconsolidadoout[[#This Row],[ATUAL]])</f>
        <v>0</v>
      </c>
      <c r="G133" s="91">
        <f>SUMIFS(tabela_registros[VALOR],tabela_registros[MÊS],$AE$1,tabela_registros[DIA],investirrendavariávelconsolidadoout[[#Headers],[3]],tabela_registros[REGISTRO],DADOS!$N$5,tabela_registros[TIPO],DADOS!$AB$4,tabela_registros[CATEGORIA],investirrendavariávelconsolidadoout[[#This Row],[ATUAL]])</f>
        <v>0</v>
      </c>
      <c r="H133" s="91">
        <f>SUMIFS(tabela_registros[VALOR],tabela_registros[MÊS],$AE$1,tabela_registros[DIA],investirrendavariávelconsolidadoout[[#Headers],[4]],tabela_registros[REGISTRO],DADOS!$N$5,tabela_registros[TIPO],DADOS!$AB$4,tabela_registros[CATEGORIA],investirrendavariávelconsolidadoout[[#This Row],[ATUAL]])</f>
        <v>0</v>
      </c>
      <c r="I133" s="91">
        <f>SUMIFS(tabela_registros[VALOR],tabela_registros[MÊS],$AE$1,tabela_registros[DIA],investirrendavariávelconsolidadoout[[#Headers],[5]],tabela_registros[REGISTRO],DADOS!$N$5,tabela_registros[TIPO],DADOS!$AB$4,tabela_registros[CATEGORIA],investirrendavariávelconsolidadoout[[#This Row],[ATUAL]])</f>
        <v>0</v>
      </c>
      <c r="J133" s="91">
        <f>SUMIFS(tabela_registros[VALOR],tabela_registros[MÊS],$AE$1,tabela_registros[DIA],investirrendavariávelconsolidadoout[[#Headers],[6]],tabela_registros[REGISTRO],DADOS!$N$5,tabela_registros[TIPO],DADOS!$AB$4,tabela_registros[CATEGORIA],investirrendavariávelconsolidadoout[[#This Row],[ATUAL]])</f>
        <v>0</v>
      </c>
      <c r="K133" s="91">
        <f>SUMIFS(tabela_registros[VALOR],tabela_registros[MÊS],$AE$1,tabela_registros[DIA],investirrendavariávelconsolidadoout[[#Headers],[7]],tabela_registros[REGISTRO],DADOS!$N$5,tabela_registros[TIPO],DADOS!$AB$4,tabela_registros[CATEGORIA],investirrendavariávelconsolidadoout[[#This Row],[ATUAL]])</f>
        <v>0</v>
      </c>
      <c r="L133" s="91">
        <f>SUMIFS(tabela_registros[VALOR],tabela_registros[MÊS],$AE$1,tabela_registros[DIA],investirrendavariávelconsolidadoout[[#Headers],[8]],tabela_registros[REGISTRO],DADOS!$N$5,tabela_registros[TIPO],DADOS!$AB$4,tabela_registros[CATEGORIA],investirrendavariávelconsolidadoout[[#This Row],[ATUAL]])</f>
        <v>0</v>
      </c>
      <c r="M133" s="91">
        <f>SUMIFS(tabela_registros[VALOR],tabela_registros[MÊS],$AE$1,tabela_registros[DIA],investirrendavariávelconsolidadoout[[#Headers],[9]],tabela_registros[REGISTRO],DADOS!$N$5,tabela_registros[TIPO],DADOS!$AB$4,tabela_registros[CATEGORIA],investirrendavariávelconsolidadoout[[#This Row],[ATUAL]])</f>
        <v>0</v>
      </c>
      <c r="N133" s="91">
        <f>SUMIFS(tabela_registros[VALOR],tabela_registros[MÊS],$AE$1,tabela_registros[DIA],investirrendavariávelconsolidadoout[[#Headers],[10]],tabela_registros[REGISTRO],DADOS!$N$5,tabela_registros[TIPO],DADOS!$AB$4,tabela_registros[CATEGORIA],investirrendavariávelconsolidadoout[[#This Row],[ATUAL]])</f>
        <v>0</v>
      </c>
      <c r="O133" s="91">
        <f>SUMIFS(tabela_registros[VALOR],tabela_registros[MÊS],$AE$1,tabela_registros[DIA],investirrendavariávelconsolidadoout[[#Headers],[11]],tabela_registros[REGISTRO],DADOS!$N$5,tabela_registros[TIPO],DADOS!$AB$4,tabela_registros[CATEGORIA],investirrendavariávelconsolidadoout[[#This Row],[ATUAL]])</f>
        <v>0</v>
      </c>
      <c r="P133" s="91">
        <f>SUMIFS(tabela_registros[VALOR],tabela_registros[MÊS],$AE$1,tabela_registros[DIA],investirrendavariávelconsolidadoout[[#Headers],[12]],tabela_registros[REGISTRO],DADOS!$N$5,tabela_registros[TIPO],DADOS!$AB$4,tabela_registros[CATEGORIA],investirrendavariávelconsolidadoout[[#This Row],[ATUAL]])</f>
        <v>0</v>
      </c>
      <c r="Q133" s="91">
        <f>SUMIFS(tabela_registros[VALOR],tabela_registros[MÊS],$AE$1,tabela_registros[DIA],investirrendavariávelconsolidadoout[[#Headers],[13]],tabela_registros[REGISTRO],DADOS!$N$5,tabela_registros[TIPO],DADOS!$AB$4,tabela_registros[CATEGORIA],investirrendavariávelconsolidadoout[[#This Row],[ATUAL]])</f>
        <v>0</v>
      </c>
      <c r="R133" s="91">
        <f>SUMIFS(tabela_registros[VALOR],tabela_registros[MÊS],$AE$1,tabela_registros[DIA],investirrendavariávelconsolidadoout[[#Headers],[14]],tabela_registros[REGISTRO],DADOS!$N$5,tabela_registros[TIPO],DADOS!$AB$4,tabela_registros[CATEGORIA],investirrendavariávelconsolidadoout[[#This Row],[ATUAL]])</f>
        <v>0</v>
      </c>
      <c r="S133" s="91">
        <f>SUMIFS(tabela_registros[VALOR],tabela_registros[MÊS],$AE$1,tabela_registros[DIA],investirrendavariávelconsolidadoout[[#Headers],[15]],tabela_registros[REGISTRO],DADOS!$N$5,tabela_registros[TIPO],DADOS!$AB$4,tabela_registros[CATEGORIA],investirrendavariávelconsolidadoout[[#This Row],[ATUAL]])</f>
        <v>0</v>
      </c>
      <c r="T133" s="91">
        <f>SUMIFS(tabela_registros[VALOR],tabela_registros[MÊS],$AE$1,tabela_registros[DIA],investirrendavariávelconsolidadoout[[#Headers],[16]],tabela_registros[REGISTRO],DADOS!$N$5,tabela_registros[TIPO],DADOS!$AB$4,tabela_registros[CATEGORIA],investirrendavariávelconsolidadoout[[#This Row],[ATUAL]])</f>
        <v>0</v>
      </c>
      <c r="U133" s="91">
        <f>SUMIFS(tabela_registros[VALOR],tabela_registros[MÊS],$AE$1,tabela_registros[DIA],investirrendavariávelconsolidadoout[[#Headers],[17]],tabela_registros[REGISTRO],DADOS!$N$5,tabela_registros[TIPO],DADOS!$AB$4,tabela_registros[CATEGORIA],investirrendavariávelconsolidadoout[[#This Row],[ATUAL]])</f>
        <v>0</v>
      </c>
      <c r="V133" s="91">
        <f>SUMIFS(tabela_registros[VALOR],tabela_registros[MÊS],$AE$1,tabela_registros[DIA],investirrendavariávelconsolidadoout[[#Headers],[18]],tabela_registros[REGISTRO],DADOS!$N$5,tabela_registros[TIPO],DADOS!$AB$4,tabela_registros[CATEGORIA],investirrendavariávelconsolidadoout[[#This Row],[ATUAL]])</f>
        <v>0</v>
      </c>
      <c r="W133" s="91">
        <f>SUMIFS(tabela_registros[VALOR],tabela_registros[MÊS],$AE$1,tabela_registros[DIA],investirrendavariávelconsolidadoout[[#Headers],[19]],tabela_registros[REGISTRO],DADOS!$N$5,tabela_registros[TIPO],DADOS!$AB$4,tabela_registros[CATEGORIA],investirrendavariávelconsolidadoout[[#This Row],[ATUAL]])</f>
        <v>0</v>
      </c>
      <c r="X133" s="91">
        <f>SUMIFS(tabela_registros[VALOR],tabela_registros[MÊS],$AE$1,tabela_registros[DIA],investirrendavariávelconsolidadoout[[#Headers],[20]],tabela_registros[REGISTRO],DADOS!$N$5,tabela_registros[TIPO],DADOS!$AB$4,tabela_registros[CATEGORIA],investirrendavariávelconsolidadoout[[#This Row],[ATUAL]])</f>
        <v>0</v>
      </c>
      <c r="Y133" s="91">
        <f>SUMIFS(tabela_registros[VALOR],tabela_registros[MÊS],$AE$1,tabela_registros[DIA],investirrendavariávelconsolidadoout[[#Headers],[21]],tabela_registros[REGISTRO],DADOS!$N$5,tabela_registros[TIPO],DADOS!$AB$4,tabela_registros[CATEGORIA],investirrendavariávelconsolidadoout[[#This Row],[ATUAL]])</f>
        <v>0</v>
      </c>
      <c r="Z133" s="91">
        <f>SUMIFS(tabela_registros[VALOR],tabela_registros[MÊS],$AE$1,tabela_registros[DIA],investirrendavariávelconsolidadoout[[#Headers],[22]],tabela_registros[REGISTRO],DADOS!$N$5,tabela_registros[TIPO],DADOS!$AB$4,tabela_registros[CATEGORIA],investirrendavariávelconsolidadoout[[#This Row],[ATUAL]])</f>
        <v>0</v>
      </c>
      <c r="AA133" s="91">
        <f>SUMIFS(tabela_registros[VALOR],tabela_registros[MÊS],$AE$1,tabela_registros[DIA],investirrendavariávelconsolidadoout[[#Headers],[23]],tabela_registros[REGISTRO],DADOS!$N$5,tabela_registros[TIPO],DADOS!$AB$4,tabela_registros[CATEGORIA],investirrendavariávelconsolidadoout[[#This Row],[ATUAL]])</f>
        <v>0</v>
      </c>
      <c r="AB133" s="91">
        <f>SUMIFS(tabela_registros[VALOR],tabela_registros[MÊS],$AE$1,tabela_registros[DIA],investirrendavariávelconsolidadoout[[#Headers],[24]],tabela_registros[REGISTRO],DADOS!$N$5,tabela_registros[TIPO],DADOS!$AB$4,tabela_registros[CATEGORIA],investirrendavariávelconsolidadoout[[#This Row],[ATUAL]])</f>
        <v>0</v>
      </c>
      <c r="AC133" s="91">
        <f>SUMIFS(tabela_registros[VALOR],tabela_registros[MÊS],$AE$1,tabela_registros[DIA],investirrendavariávelconsolidadoout[[#Headers],[25]],tabela_registros[REGISTRO],DADOS!$N$5,tabela_registros[TIPO],DADOS!$AB$4,tabela_registros[CATEGORIA],investirrendavariávelconsolidadoout[[#This Row],[ATUAL]])</f>
        <v>0</v>
      </c>
      <c r="AD133" s="91">
        <f>SUMIFS(tabela_registros[VALOR],tabela_registros[MÊS],$AE$1,tabela_registros[DIA],investirrendavariávelconsolidadoout[[#Headers],[26]],tabela_registros[REGISTRO],DADOS!$N$5,tabela_registros[TIPO],DADOS!$AB$4,tabela_registros[CATEGORIA],investirrendavariávelconsolidadoout[[#This Row],[ATUAL]])</f>
        <v>0</v>
      </c>
      <c r="AE133" s="91">
        <f>SUMIFS(tabela_registros[VALOR],tabela_registros[MÊS],$AE$1,tabela_registros[DIA],investirrendavariávelconsolidadoout[[#Headers],[27]],tabela_registros[REGISTRO],DADOS!$N$5,tabela_registros[TIPO],DADOS!$AB$4,tabela_registros[CATEGORIA],investirrendavariávelconsolidadoout[[#This Row],[ATUAL]])</f>
        <v>0</v>
      </c>
      <c r="AF133" s="91">
        <f>SUMIFS(tabela_registros[VALOR],tabela_registros[MÊS],$AE$1,tabela_registros[DIA],investirrendavariávelconsolidadoout[[#Headers],[28]],tabela_registros[REGISTRO],DADOS!$N$5,tabela_registros[TIPO],DADOS!$AB$4,tabela_registros[CATEGORIA],investirrendavariávelconsolidadoout[[#This Row],[ATUAL]])</f>
        <v>0</v>
      </c>
      <c r="AG133" s="91">
        <f>SUMIFS(tabela_registros[VALOR],tabela_registros[MÊS],$AE$1,tabela_registros[DIA],investirrendavariávelconsolidadoout[[#Headers],[29]],tabela_registros[REGISTRO],DADOS!$N$5,tabela_registros[TIPO],DADOS!$AB$4,tabela_registros[CATEGORIA],investirrendavariávelconsolidadoout[[#This Row],[ATUAL]])</f>
        <v>0</v>
      </c>
      <c r="AH133" s="91">
        <f>SUMIFS(tabela_registros[VALOR],tabela_registros[MÊS],$AE$1,tabela_registros[DIA],investirrendavariávelconsolidadoout[[#Headers],[30]],tabela_registros[REGISTRO],DADOS!$N$5,tabela_registros[TIPO],DADOS!$AB$4,tabela_registros[CATEGORIA],investirrendavariávelconsolidadoout[[#This Row],[ATUAL]])</f>
        <v>0</v>
      </c>
      <c r="AI133" s="101">
        <f>SUMIFS(tabela_registros[VALOR],tabela_registros[MÊS],$AE$1,tabela_registros[DIA],investirrendavariávelconsolidadoout[[#Headers],[31]],tabela_registros[REGISTRO],DADOS!$N$5,tabela_registros[TIPO],DADOS!$AB$4,tabela_registros[CATEGORIA],investirrendavariávelconsolidadoout[[#This Row],[ATUAL]])</f>
        <v>0</v>
      </c>
      <c r="AJ133" s="97">
        <f>SUM(investirrendavariávelconsolidadoout[[#This Row],[1]:[31]])</f>
        <v>0</v>
      </c>
      <c r="AK133" s="25"/>
    </row>
    <row r="134" spans="2:37" ht="19.5" customHeight="1" thickTop="1" thickBot="1" x14ac:dyDescent="0.3">
      <c r="B134" s="28"/>
      <c r="C134" s="27" t="str">
        <f>DADOS!$AF$5</f>
        <v>📝 CONTRATO DE FUTUROS</v>
      </c>
      <c r="D134" s="26" t="str">
        <f>IF(investirrendavariávelconsolidadoout[[#This Row],[TOTAL (R$)]]=0,"",IF(OR(investirrendavariávelconsolidadoout[[#This Row],[TOTAL (R$)]]=LARGE($AJ$132:$AJ$141,1),investirrendavariávelconsolidadoout[[#This Row],[TOTAL (R$)]]=LARGE($AJ$132:$AJ$141,2)),DADOS!$I$10,""))</f>
        <v/>
      </c>
      <c r="E134" s="96">
        <f>SUMIFS(tabela_registros[VALOR],tabela_registros[MÊS],$AE$1,tabela_registros[DIA],investirrendavariávelconsolidadoout[[#Headers],[1]],tabela_registros[REGISTRO],DADOS!$N$5,tabela_registros[TIPO],DADOS!$AB$4,tabela_registros[CATEGORIA],investirrendavariávelconsolidadoout[[#This Row],[ATUAL]])</f>
        <v>0</v>
      </c>
      <c r="F134" s="91">
        <f>SUMIFS(tabela_registros[VALOR],tabela_registros[MÊS],$AE$1,tabela_registros[DIA],investirrendavariávelconsolidadoout[[#Headers],[2]],tabela_registros[REGISTRO],DADOS!$N$5,tabela_registros[TIPO],DADOS!$AB$4,tabela_registros[CATEGORIA],investirrendavariávelconsolidadoout[[#This Row],[ATUAL]])</f>
        <v>0</v>
      </c>
      <c r="G134" s="91">
        <f>SUMIFS(tabela_registros[VALOR],tabela_registros[MÊS],$AE$1,tabela_registros[DIA],investirrendavariávelconsolidadoout[[#Headers],[3]],tabela_registros[REGISTRO],DADOS!$N$5,tabela_registros[TIPO],DADOS!$AB$4,tabela_registros[CATEGORIA],investirrendavariávelconsolidadoout[[#This Row],[ATUAL]])</f>
        <v>0</v>
      </c>
      <c r="H134" s="91">
        <f>SUMIFS(tabela_registros[VALOR],tabela_registros[MÊS],$AE$1,tabela_registros[DIA],investirrendavariávelconsolidadoout[[#Headers],[4]],tabela_registros[REGISTRO],DADOS!$N$5,tabela_registros[TIPO],DADOS!$AB$4,tabela_registros[CATEGORIA],investirrendavariávelconsolidadoout[[#This Row],[ATUAL]])</f>
        <v>0</v>
      </c>
      <c r="I134" s="91">
        <f>SUMIFS(tabela_registros[VALOR],tabela_registros[MÊS],$AE$1,tabela_registros[DIA],investirrendavariávelconsolidadoout[[#Headers],[5]],tabela_registros[REGISTRO],DADOS!$N$5,tabela_registros[TIPO],DADOS!$AB$4,tabela_registros[CATEGORIA],investirrendavariávelconsolidadoout[[#This Row],[ATUAL]])</f>
        <v>0</v>
      </c>
      <c r="J134" s="91">
        <f>SUMIFS(tabela_registros[VALOR],tabela_registros[MÊS],$AE$1,tabela_registros[DIA],investirrendavariávelconsolidadoout[[#Headers],[6]],tabela_registros[REGISTRO],DADOS!$N$5,tabela_registros[TIPO],DADOS!$AB$4,tabela_registros[CATEGORIA],investirrendavariávelconsolidadoout[[#This Row],[ATUAL]])</f>
        <v>0</v>
      </c>
      <c r="K134" s="91">
        <f>SUMIFS(tabela_registros[VALOR],tabela_registros[MÊS],$AE$1,tabela_registros[DIA],investirrendavariávelconsolidadoout[[#Headers],[7]],tabela_registros[REGISTRO],DADOS!$N$5,tabela_registros[TIPO],DADOS!$AB$4,tabela_registros[CATEGORIA],investirrendavariávelconsolidadoout[[#This Row],[ATUAL]])</f>
        <v>0</v>
      </c>
      <c r="L134" s="91">
        <f>SUMIFS(tabela_registros[VALOR],tabela_registros[MÊS],$AE$1,tabela_registros[DIA],investirrendavariávelconsolidadoout[[#Headers],[8]],tabela_registros[REGISTRO],DADOS!$N$5,tabela_registros[TIPO],DADOS!$AB$4,tabela_registros[CATEGORIA],investirrendavariávelconsolidadoout[[#This Row],[ATUAL]])</f>
        <v>0</v>
      </c>
      <c r="M134" s="91">
        <f>SUMIFS(tabela_registros[VALOR],tabela_registros[MÊS],$AE$1,tabela_registros[DIA],investirrendavariávelconsolidadoout[[#Headers],[9]],tabela_registros[REGISTRO],DADOS!$N$5,tabela_registros[TIPO],DADOS!$AB$4,tabela_registros[CATEGORIA],investirrendavariávelconsolidadoout[[#This Row],[ATUAL]])</f>
        <v>0</v>
      </c>
      <c r="N134" s="91">
        <f>SUMIFS(tabela_registros[VALOR],tabela_registros[MÊS],$AE$1,tabela_registros[DIA],investirrendavariávelconsolidadoout[[#Headers],[10]],tabela_registros[REGISTRO],DADOS!$N$5,tabela_registros[TIPO],DADOS!$AB$4,tabela_registros[CATEGORIA],investirrendavariávelconsolidadoout[[#This Row],[ATUAL]])</f>
        <v>0</v>
      </c>
      <c r="O134" s="91">
        <f>SUMIFS(tabela_registros[VALOR],tabela_registros[MÊS],$AE$1,tabela_registros[DIA],investirrendavariávelconsolidadoout[[#Headers],[11]],tabela_registros[REGISTRO],DADOS!$N$5,tabela_registros[TIPO],DADOS!$AB$4,tabela_registros[CATEGORIA],investirrendavariávelconsolidadoout[[#This Row],[ATUAL]])</f>
        <v>0</v>
      </c>
      <c r="P134" s="91">
        <f>SUMIFS(tabela_registros[VALOR],tabela_registros[MÊS],$AE$1,tabela_registros[DIA],investirrendavariávelconsolidadoout[[#Headers],[12]],tabela_registros[REGISTRO],DADOS!$N$5,tabela_registros[TIPO],DADOS!$AB$4,tabela_registros[CATEGORIA],investirrendavariávelconsolidadoout[[#This Row],[ATUAL]])</f>
        <v>0</v>
      </c>
      <c r="Q134" s="91">
        <f>SUMIFS(tabela_registros[VALOR],tabela_registros[MÊS],$AE$1,tabela_registros[DIA],investirrendavariávelconsolidadoout[[#Headers],[13]],tabela_registros[REGISTRO],DADOS!$N$5,tabela_registros[TIPO],DADOS!$AB$4,tabela_registros[CATEGORIA],investirrendavariávelconsolidadoout[[#This Row],[ATUAL]])</f>
        <v>0</v>
      </c>
      <c r="R134" s="91">
        <f>SUMIFS(tabela_registros[VALOR],tabela_registros[MÊS],$AE$1,tabela_registros[DIA],investirrendavariávelconsolidadoout[[#Headers],[14]],tabela_registros[REGISTRO],DADOS!$N$5,tabela_registros[TIPO],DADOS!$AB$4,tabela_registros[CATEGORIA],investirrendavariávelconsolidadoout[[#This Row],[ATUAL]])</f>
        <v>0</v>
      </c>
      <c r="S134" s="91">
        <f>SUMIFS(tabela_registros[VALOR],tabela_registros[MÊS],$AE$1,tabela_registros[DIA],investirrendavariávelconsolidadoout[[#Headers],[15]],tabela_registros[REGISTRO],DADOS!$N$5,tabela_registros[TIPO],DADOS!$AB$4,tabela_registros[CATEGORIA],investirrendavariávelconsolidadoout[[#This Row],[ATUAL]])</f>
        <v>0</v>
      </c>
      <c r="T134" s="91">
        <f>SUMIFS(tabela_registros[VALOR],tabela_registros[MÊS],$AE$1,tabela_registros[DIA],investirrendavariávelconsolidadoout[[#Headers],[16]],tabela_registros[REGISTRO],DADOS!$N$5,tabela_registros[TIPO],DADOS!$AB$4,tabela_registros[CATEGORIA],investirrendavariávelconsolidadoout[[#This Row],[ATUAL]])</f>
        <v>0</v>
      </c>
      <c r="U134" s="91">
        <f>SUMIFS(tabela_registros[VALOR],tabela_registros[MÊS],$AE$1,tabela_registros[DIA],investirrendavariávelconsolidadoout[[#Headers],[17]],tabela_registros[REGISTRO],DADOS!$N$5,tabela_registros[TIPO],DADOS!$AB$4,tabela_registros[CATEGORIA],investirrendavariávelconsolidadoout[[#This Row],[ATUAL]])</f>
        <v>0</v>
      </c>
      <c r="V134" s="91">
        <f>SUMIFS(tabela_registros[VALOR],tabela_registros[MÊS],$AE$1,tabela_registros[DIA],investirrendavariávelconsolidadoout[[#Headers],[18]],tabela_registros[REGISTRO],DADOS!$N$5,tabela_registros[TIPO],DADOS!$AB$4,tabela_registros[CATEGORIA],investirrendavariávelconsolidadoout[[#This Row],[ATUAL]])</f>
        <v>0</v>
      </c>
      <c r="W134" s="91">
        <f>SUMIFS(tabela_registros[VALOR],tabela_registros[MÊS],$AE$1,tabela_registros[DIA],investirrendavariávelconsolidadoout[[#Headers],[19]],tabela_registros[REGISTRO],DADOS!$N$5,tabela_registros[TIPO],DADOS!$AB$4,tabela_registros[CATEGORIA],investirrendavariávelconsolidadoout[[#This Row],[ATUAL]])</f>
        <v>0</v>
      </c>
      <c r="X134" s="91">
        <f>SUMIFS(tabela_registros[VALOR],tabela_registros[MÊS],$AE$1,tabela_registros[DIA],investirrendavariávelconsolidadoout[[#Headers],[20]],tabela_registros[REGISTRO],DADOS!$N$5,tabela_registros[TIPO],DADOS!$AB$4,tabela_registros[CATEGORIA],investirrendavariávelconsolidadoout[[#This Row],[ATUAL]])</f>
        <v>0</v>
      </c>
      <c r="Y134" s="91">
        <f>SUMIFS(tabela_registros[VALOR],tabela_registros[MÊS],$AE$1,tabela_registros[DIA],investirrendavariávelconsolidadoout[[#Headers],[21]],tabela_registros[REGISTRO],DADOS!$N$5,tabela_registros[TIPO],DADOS!$AB$4,tabela_registros[CATEGORIA],investirrendavariávelconsolidadoout[[#This Row],[ATUAL]])</f>
        <v>0</v>
      </c>
      <c r="Z134" s="91">
        <f>SUMIFS(tabela_registros[VALOR],tabela_registros[MÊS],$AE$1,tabela_registros[DIA],investirrendavariávelconsolidadoout[[#Headers],[22]],tabela_registros[REGISTRO],DADOS!$N$5,tabela_registros[TIPO],DADOS!$AB$4,tabela_registros[CATEGORIA],investirrendavariávelconsolidadoout[[#This Row],[ATUAL]])</f>
        <v>0</v>
      </c>
      <c r="AA134" s="91">
        <f>SUMIFS(tabela_registros[VALOR],tabela_registros[MÊS],$AE$1,tabela_registros[DIA],investirrendavariávelconsolidadoout[[#Headers],[23]],tabela_registros[REGISTRO],DADOS!$N$5,tabela_registros[TIPO],DADOS!$AB$4,tabela_registros[CATEGORIA],investirrendavariávelconsolidadoout[[#This Row],[ATUAL]])</f>
        <v>0</v>
      </c>
      <c r="AB134" s="91">
        <f>SUMIFS(tabela_registros[VALOR],tabela_registros[MÊS],$AE$1,tabela_registros[DIA],investirrendavariávelconsolidadoout[[#Headers],[24]],tabela_registros[REGISTRO],DADOS!$N$5,tabela_registros[TIPO],DADOS!$AB$4,tabela_registros[CATEGORIA],investirrendavariávelconsolidadoout[[#This Row],[ATUAL]])</f>
        <v>0</v>
      </c>
      <c r="AC134" s="91">
        <f>SUMIFS(tabela_registros[VALOR],tabela_registros[MÊS],$AE$1,tabela_registros[DIA],investirrendavariávelconsolidadoout[[#Headers],[25]],tabela_registros[REGISTRO],DADOS!$N$5,tabela_registros[TIPO],DADOS!$AB$4,tabela_registros[CATEGORIA],investirrendavariávelconsolidadoout[[#This Row],[ATUAL]])</f>
        <v>0</v>
      </c>
      <c r="AD134" s="91">
        <f>SUMIFS(tabela_registros[VALOR],tabela_registros[MÊS],$AE$1,tabela_registros[DIA],investirrendavariávelconsolidadoout[[#Headers],[26]],tabela_registros[REGISTRO],DADOS!$N$5,tabela_registros[TIPO],DADOS!$AB$4,tabela_registros[CATEGORIA],investirrendavariávelconsolidadoout[[#This Row],[ATUAL]])</f>
        <v>0</v>
      </c>
      <c r="AE134" s="91">
        <f>SUMIFS(tabela_registros[VALOR],tabela_registros[MÊS],$AE$1,tabela_registros[DIA],investirrendavariávelconsolidadoout[[#Headers],[27]],tabela_registros[REGISTRO],DADOS!$N$5,tabela_registros[TIPO],DADOS!$AB$4,tabela_registros[CATEGORIA],investirrendavariávelconsolidadoout[[#This Row],[ATUAL]])</f>
        <v>0</v>
      </c>
      <c r="AF134" s="91">
        <f>SUMIFS(tabela_registros[VALOR],tabela_registros[MÊS],$AE$1,tabela_registros[DIA],investirrendavariávelconsolidadoout[[#Headers],[28]],tabela_registros[REGISTRO],DADOS!$N$5,tabela_registros[TIPO],DADOS!$AB$4,tabela_registros[CATEGORIA],investirrendavariávelconsolidadoout[[#This Row],[ATUAL]])</f>
        <v>0</v>
      </c>
      <c r="AG134" s="91">
        <f>SUMIFS(tabela_registros[VALOR],tabela_registros[MÊS],$AE$1,tabela_registros[DIA],investirrendavariávelconsolidadoout[[#Headers],[29]],tabela_registros[REGISTRO],DADOS!$N$5,tabela_registros[TIPO],DADOS!$AB$4,tabela_registros[CATEGORIA],investirrendavariávelconsolidadoout[[#This Row],[ATUAL]])</f>
        <v>0</v>
      </c>
      <c r="AH134" s="91">
        <f>SUMIFS(tabela_registros[VALOR],tabela_registros[MÊS],$AE$1,tabela_registros[DIA],investirrendavariávelconsolidadoout[[#Headers],[30]],tabela_registros[REGISTRO],DADOS!$N$5,tabela_registros[TIPO],DADOS!$AB$4,tabela_registros[CATEGORIA],investirrendavariávelconsolidadoout[[#This Row],[ATUAL]])</f>
        <v>0</v>
      </c>
      <c r="AI134" s="101">
        <f>SUMIFS(tabela_registros[VALOR],tabela_registros[MÊS],$AE$1,tabela_registros[DIA],investirrendavariávelconsolidadoout[[#Headers],[31]],tabela_registros[REGISTRO],DADOS!$N$5,tabela_registros[TIPO],DADOS!$AB$4,tabela_registros[CATEGORIA],investirrendavariávelconsolidadoout[[#This Row],[ATUAL]])</f>
        <v>0</v>
      </c>
      <c r="AJ134" s="97">
        <f>SUM(investirrendavariávelconsolidadoout[[#This Row],[1]:[31]])</f>
        <v>0</v>
      </c>
      <c r="AK134" s="25"/>
    </row>
    <row r="135" spans="2:37" ht="19.5" customHeight="1" thickTop="1" thickBot="1" x14ac:dyDescent="0.3">
      <c r="B135" s="28"/>
      <c r="C135" s="27" t="str">
        <f>DADOS!$AF$6</f>
        <v>📝 CONTRATO DE OPÇÕES</v>
      </c>
      <c r="D135" s="26" t="str">
        <f>IF(investirrendavariávelconsolidadoout[[#This Row],[TOTAL (R$)]]=0,"",IF(OR(investirrendavariávelconsolidadoout[[#This Row],[TOTAL (R$)]]=LARGE($AJ$132:$AJ$141,1),investirrendavariávelconsolidadoout[[#This Row],[TOTAL (R$)]]=LARGE($AJ$132:$AJ$141,2)),DADOS!$I$10,""))</f>
        <v/>
      </c>
      <c r="E135" s="96">
        <f>SUMIFS(tabela_registros[VALOR],tabela_registros[MÊS],$AE$1,tabela_registros[DIA],investirrendavariávelconsolidadoout[[#Headers],[1]],tabela_registros[REGISTRO],DADOS!$N$5,tabela_registros[TIPO],DADOS!$AB$4,tabela_registros[CATEGORIA],investirrendavariávelconsolidadoout[[#This Row],[ATUAL]])</f>
        <v>0</v>
      </c>
      <c r="F135" s="91">
        <f>SUMIFS(tabela_registros[VALOR],tabela_registros[MÊS],$AE$1,tabela_registros[DIA],investirrendavariávelconsolidadoout[[#Headers],[2]],tabela_registros[REGISTRO],DADOS!$N$5,tabela_registros[TIPO],DADOS!$AB$4,tabela_registros[CATEGORIA],investirrendavariávelconsolidadoout[[#This Row],[ATUAL]])</f>
        <v>0</v>
      </c>
      <c r="G135" s="91">
        <f>SUMIFS(tabela_registros[VALOR],tabela_registros[MÊS],$AE$1,tabela_registros[DIA],investirrendavariávelconsolidadoout[[#Headers],[3]],tabela_registros[REGISTRO],DADOS!$N$5,tabela_registros[TIPO],DADOS!$AB$4,tabela_registros[CATEGORIA],investirrendavariávelconsolidadoout[[#This Row],[ATUAL]])</f>
        <v>0</v>
      </c>
      <c r="H135" s="91">
        <f>SUMIFS(tabela_registros[VALOR],tabela_registros[MÊS],$AE$1,tabela_registros[DIA],investirrendavariávelconsolidadoout[[#Headers],[4]],tabela_registros[REGISTRO],DADOS!$N$5,tabela_registros[TIPO],DADOS!$AB$4,tabela_registros[CATEGORIA],investirrendavariávelconsolidadoout[[#This Row],[ATUAL]])</f>
        <v>0</v>
      </c>
      <c r="I135" s="91">
        <f>SUMIFS(tabela_registros[VALOR],tabela_registros[MÊS],$AE$1,tabela_registros[DIA],investirrendavariávelconsolidadoout[[#Headers],[5]],tabela_registros[REGISTRO],DADOS!$N$5,tabela_registros[TIPO],DADOS!$AB$4,tabela_registros[CATEGORIA],investirrendavariávelconsolidadoout[[#This Row],[ATUAL]])</f>
        <v>0</v>
      </c>
      <c r="J135" s="91">
        <f>SUMIFS(tabela_registros[VALOR],tabela_registros[MÊS],$AE$1,tabela_registros[DIA],investirrendavariávelconsolidadoout[[#Headers],[6]],tabela_registros[REGISTRO],DADOS!$N$5,tabela_registros[TIPO],DADOS!$AB$4,tabela_registros[CATEGORIA],investirrendavariávelconsolidadoout[[#This Row],[ATUAL]])</f>
        <v>0</v>
      </c>
      <c r="K135" s="91">
        <f>SUMIFS(tabela_registros[VALOR],tabela_registros[MÊS],$AE$1,tabela_registros[DIA],investirrendavariávelconsolidadoout[[#Headers],[7]],tabela_registros[REGISTRO],DADOS!$N$5,tabela_registros[TIPO],DADOS!$AB$4,tabela_registros[CATEGORIA],investirrendavariávelconsolidadoout[[#This Row],[ATUAL]])</f>
        <v>0</v>
      </c>
      <c r="L135" s="91">
        <f>SUMIFS(tabela_registros[VALOR],tabela_registros[MÊS],$AE$1,tabela_registros[DIA],investirrendavariávelconsolidadoout[[#Headers],[8]],tabela_registros[REGISTRO],DADOS!$N$5,tabela_registros[TIPO],DADOS!$AB$4,tabela_registros[CATEGORIA],investirrendavariávelconsolidadoout[[#This Row],[ATUAL]])</f>
        <v>0</v>
      </c>
      <c r="M135" s="91">
        <f>SUMIFS(tabela_registros[VALOR],tabela_registros[MÊS],$AE$1,tabela_registros[DIA],investirrendavariávelconsolidadoout[[#Headers],[9]],tabela_registros[REGISTRO],DADOS!$N$5,tabela_registros[TIPO],DADOS!$AB$4,tabela_registros[CATEGORIA],investirrendavariávelconsolidadoout[[#This Row],[ATUAL]])</f>
        <v>0</v>
      </c>
      <c r="N135" s="91">
        <f>SUMIFS(tabela_registros[VALOR],tabela_registros[MÊS],$AE$1,tabela_registros[DIA],investirrendavariávelconsolidadoout[[#Headers],[10]],tabela_registros[REGISTRO],DADOS!$N$5,tabela_registros[TIPO],DADOS!$AB$4,tabela_registros[CATEGORIA],investirrendavariávelconsolidadoout[[#This Row],[ATUAL]])</f>
        <v>0</v>
      </c>
      <c r="O135" s="91">
        <f>SUMIFS(tabela_registros[VALOR],tabela_registros[MÊS],$AE$1,tabela_registros[DIA],investirrendavariávelconsolidadoout[[#Headers],[11]],tabela_registros[REGISTRO],DADOS!$N$5,tabela_registros[TIPO],DADOS!$AB$4,tabela_registros[CATEGORIA],investirrendavariávelconsolidadoout[[#This Row],[ATUAL]])</f>
        <v>0</v>
      </c>
      <c r="P135" s="91">
        <f>SUMIFS(tabela_registros[VALOR],tabela_registros[MÊS],$AE$1,tabela_registros[DIA],investirrendavariávelconsolidadoout[[#Headers],[12]],tabela_registros[REGISTRO],DADOS!$N$5,tabela_registros[TIPO],DADOS!$AB$4,tabela_registros[CATEGORIA],investirrendavariávelconsolidadoout[[#This Row],[ATUAL]])</f>
        <v>0</v>
      </c>
      <c r="Q135" s="91">
        <f>SUMIFS(tabela_registros[VALOR],tabela_registros[MÊS],$AE$1,tabela_registros[DIA],investirrendavariávelconsolidadoout[[#Headers],[13]],tabela_registros[REGISTRO],DADOS!$N$5,tabela_registros[TIPO],DADOS!$AB$4,tabela_registros[CATEGORIA],investirrendavariávelconsolidadoout[[#This Row],[ATUAL]])</f>
        <v>0</v>
      </c>
      <c r="R135" s="91">
        <f>SUMIFS(tabela_registros[VALOR],tabela_registros[MÊS],$AE$1,tabela_registros[DIA],investirrendavariávelconsolidadoout[[#Headers],[14]],tabela_registros[REGISTRO],DADOS!$N$5,tabela_registros[TIPO],DADOS!$AB$4,tabela_registros[CATEGORIA],investirrendavariávelconsolidadoout[[#This Row],[ATUAL]])</f>
        <v>0</v>
      </c>
      <c r="S135" s="91">
        <f>SUMIFS(tabela_registros[VALOR],tabela_registros[MÊS],$AE$1,tabela_registros[DIA],investirrendavariávelconsolidadoout[[#Headers],[15]],tabela_registros[REGISTRO],DADOS!$N$5,tabela_registros[TIPO],DADOS!$AB$4,tabela_registros[CATEGORIA],investirrendavariávelconsolidadoout[[#This Row],[ATUAL]])</f>
        <v>0</v>
      </c>
      <c r="T135" s="91">
        <f>SUMIFS(tabela_registros[VALOR],tabela_registros[MÊS],$AE$1,tabela_registros[DIA],investirrendavariávelconsolidadoout[[#Headers],[16]],tabela_registros[REGISTRO],DADOS!$N$5,tabela_registros[TIPO],DADOS!$AB$4,tabela_registros[CATEGORIA],investirrendavariávelconsolidadoout[[#This Row],[ATUAL]])</f>
        <v>0</v>
      </c>
      <c r="U135" s="91">
        <f>SUMIFS(tabela_registros[VALOR],tabela_registros[MÊS],$AE$1,tabela_registros[DIA],investirrendavariávelconsolidadoout[[#Headers],[17]],tabela_registros[REGISTRO],DADOS!$N$5,tabela_registros[TIPO],DADOS!$AB$4,tabela_registros[CATEGORIA],investirrendavariávelconsolidadoout[[#This Row],[ATUAL]])</f>
        <v>0</v>
      </c>
      <c r="V135" s="91">
        <f>SUMIFS(tabela_registros[VALOR],tabela_registros[MÊS],$AE$1,tabela_registros[DIA],investirrendavariávelconsolidadoout[[#Headers],[18]],tabela_registros[REGISTRO],DADOS!$N$5,tabela_registros[TIPO],DADOS!$AB$4,tabela_registros[CATEGORIA],investirrendavariávelconsolidadoout[[#This Row],[ATUAL]])</f>
        <v>0</v>
      </c>
      <c r="W135" s="91">
        <f>SUMIFS(tabela_registros[VALOR],tabela_registros[MÊS],$AE$1,tabela_registros[DIA],investirrendavariávelconsolidadoout[[#Headers],[19]],tabela_registros[REGISTRO],DADOS!$N$5,tabela_registros[TIPO],DADOS!$AB$4,tabela_registros[CATEGORIA],investirrendavariávelconsolidadoout[[#This Row],[ATUAL]])</f>
        <v>0</v>
      </c>
      <c r="X135" s="91">
        <f>SUMIFS(tabela_registros[VALOR],tabela_registros[MÊS],$AE$1,tabela_registros[DIA],investirrendavariávelconsolidadoout[[#Headers],[20]],tabela_registros[REGISTRO],DADOS!$N$5,tabela_registros[TIPO],DADOS!$AB$4,tabela_registros[CATEGORIA],investirrendavariávelconsolidadoout[[#This Row],[ATUAL]])</f>
        <v>0</v>
      </c>
      <c r="Y135" s="91">
        <f>SUMIFS(tabela_registros[VALOR],tabela_registros[MÊS],$AE$1,tabela_registros[DIA],investirrendavariávelconsolidadoout[[#Headers],[21]],tabela_registros[REGISTRO],DADOS!$N$5,tabela_registros[TIPO],DADOS!$AB$4,tabela_registros[CATEGORIA],investirrendavariávelconsolidadoout[[#This Row],[ATUAL]])</f>
        <v>0</v>
      </c>
      <c r="Z135" s="91">
        <f>SUMIFS(tabela_registros[VALOR],tabela_registros[MÊS],$AE$1,tabela_registros[DIA],investirrendavariávelconsolidadoout[[#Headers],[22]],tabela_registros[REGISTRO],DADOS!$N$5,tabela_registros[TIPO],DADOS!$AB$4,tabela_registros[CATEGORIA],investirrendavariávelconsolidadoout[[#This Row],[ATUAL]])</f>
        <v>0</v>
      </c>
      <c r="AA135" s="91">
        <f>SUMIFS(tabela_registros[VALOR],tabela_registros[MÊS],$AE$1,tabela_registros[DIA],investirrendavariávelconsolidadoout[[#Headers],[23]],tabela_registros[REGISTRO],DADOS!$N$5,tabela_registros[TIPO],DADOS!$AB$4,tabela_registros[CATEGORIA],investirrendavariávelconsolidadoout[[#This Row],[ATUAL]])</f>
        <v>0</v>
      </c>
      <c r="AB135" s="91">
        <f>SUMIFS(tabela_registros[VALOR],tabela_registros[MÊS],$AE$1,tabela_registros[DIA],investirrendavariávelconsolidadoout[[#Headers],[24]],tabela_registros[REGISTRO],DADOS!$N$5,tabela_registros[TIPO],DADOS!$AB$4,tabela_registros[CATEGORIA],investirrendavariávelconsolidadoout[[#This Row],[ATUAL]])</f>
        <v>0</v>
      </c>
      <c r="AC135" s="91">
        <f>SUMIFS(tabela_registros[VALOR],tabela_registros[MÊS],$AE$1,tabela_registros[DIA],investirrendavariávelconsolidadoout[[#Headers],[25]],tabela_registros[REGISTRO],DADOS!$N$5,tabela_registros[TIPO],DADOS!$AB$4,tabela_registros[CATEGORIA],investirrendavariávelconsolidadoout[[#This Row],[ATUAL]])</f>
        <v>0</v>
      </c>
      <c r="AD135" s="91">
        <f>SUMIFS(tabela_registros[VALOR],tabela_registros[MÊS],$AE$1,tabela_registros[DIA],investirrendavariávelconsolidadoout[[#Headers],[26]],tabela_registros[REGISTRO],DADOS!$N$5,tabela_registros[TIPO],DADOS!$AB$4,tabela_registros[CATEGORIA],investirrendavariávelconsolidadoout[[#This Row],[ATUAL]])</f>
        <v>0</v>
      </c>
      <c r="AE135" s="91">
        <f>SUMIFS(tabela_registros[VALOR],tabela_registros[MÊS],$AE$1,tabela_registros[DIA],investirrendavariávelconsolidadoout[[#Headers],[27]],tabela_registros[REGISTRO],DADOS!$N$5,tabela_registros[TIPO],DADOS!$AB$4,tabela_registros[CATEGORIA],investirrendavariávelconsolidadoout[[#This Row],[ATUAL]])</f>
        <v>0</v>
      </c>
      <c r="AF135" s="91">
        <f>SUMIFS(tabela_registros[VALOR],tabela_registros[MÊS],$AE$1,tabela_registros[DIA],investirrendavariávelconsolidadoout[[#Headers],[28]],tabela_registros[REGISTRO],DADOS!$N$5,tabela_registros[TIPO],DADOS!$AB$4,tabela_registros[CATEGORIA],investirrendavariávelconsolidadoout[[#This Row],[ATUAL]])</f>
        <v>0</v>
      </c>
      <c r="AG135" s="91">
        <f>SUMIFS(tabela_registros[VALOR],tabela_registros[MÊS],$AE$1,tabela_registros[DIA],investirrendavariávelconsolidadoout[[#Headers],[29]],tabela_registros[REGISTRO],DADOS!$N$5,tabela_registros[TIPO],DADOS!$AB$4,tabela_registros[CATEGORIA],investirrendavariávelconsolidadoout[[#This Row],[ATUAL]])</f>
        <v>0</v>
      </c>
      <c r="AH135" s="91">
        <f>SUMIFS(tabela_registros[VALOR],tabela_registros[MÊS],$AE$1,tabela_registros[DIA],investirrendavariávelconsolidadoout[[#Headers],[30]],tabela_registros[REGISTRO],DADOS!$N$5,tabela_registros[TIPO],DADOS!$AB$4,tabela_registros[CATEGORIA],investirrendavariávelconsolidadoout[[#This Row],[ATUAL]])</f>
        <v>0</v>
      </c>
      <c r="AI135" s="101">
        <f>SUMIFS(tabela_registros[VALOR],tabela_registros[MÊS],$AE$1,tabela_registros[DIA],investirrendavariávelconsolidadoout[[#Headers],[31]],tabela_registros[REGISTRO],DADOS!$N$5,tabela_registros[TIPO],DADOS!$AB$4,tabela_registros[CATEGORIA],investirrendavariávelconsolidadoout[[#This Row],[ATUAL]])</f>
        <v>0</v>
      </c>
      <c r="AJ135" s="97">
        <f>SUM(investirrendavariávelconsolidadoout[[#This Row],[1]:[31]])</f>
        <v>0</v>
      </c>
      <c r="AK135" s="25"/>
    </row>
    <row r="136" spans="2:37" ht="19.5" customHeight="1" thickTop="1" thickBot="1" x14ac:dyDescent="0.3">
      <c r="B136" s="28"/>
      <c r="C136" s="27" t="str">
        <f>DADOS!$AF$7</f>
        <v>📝 CRIPTOMOEDA</v>
      </c>
      <c r="D136" s="26" t="str">
        <f>IF(investirrendavariávelconsolidadoout[[#This Row],[TOTAL (R$)]]=0,"",IF(OR(investirrendavariávelconsolidadoout[[#This Row],[TOTAL (R$)]]=LARGE($AJ$132:$AJ$141,1),investirrendavariávelconsolidadoout[[#This Row],[TOTAL (R$)]]=LARGE($AJ$132:$AJ$141,2)),DADOS!$I$10,""))</f>
        <v/>
      </c>
      <c r="E136" s="96">
        <f>SUMIFS(tabela_registros[VALOR],tabela_registros[MÊS],$AE$1,tabela_registros[DIA],investirrendavariávelconsolidadoout[[#Headers],[1]],tabela_registros[REGISTRO],DADOS!$N$5,tabela_registros[TIPO],DADOS!$AB$4,tabela_registros[CATEGORIA],investirrendavariávelconsolidadoout[[#This Row],[ATUAL]])</f>
        <v>0</v>
      </c>
      <c r="F136" s="91">
        <f>SUMIFS(tabela_registros[VALOR],tabela_registros[MÊS],$AE$1,tabela_registros[DIA],investirrendavariávelconsolidadoout[[#Headers],[2]],tabela_registros[REGISTRO],DADOS!$N$5,tabela_registros[TIPO],DADOS!$AB$4,tabela_registros[CATEGORIA],investirrendavariávelconsolidadoout[[#This Row],[ATUAL]])</f>
        <v>0</v>
      </c>
      <c r="G136" s="91">
        <f>SUMIFS(tabela_registros[VALOR],tabela_registros[MÊS],$AE$1,tabela_registros[DIA],investirrendavariávelconsolidadoout[[#Headers],[3]],tabela_registros[REGISTRO],DADOS!$N$5,tabela_registros[TIPO],DADOS!$AB$4,tabela_registros[CATEGORIA],investirrendavariávelconsolidadoout[[#This Row],[ATUAL]])</f>
        <v>0</v>
      </c>
      <c r="H136" s="91">
        <f>SUMIFS(tabela_registros[VALOR],tabela_registros[MÊS],$AE$1,tabela_registros[DIA],investirrendavariávelconsolidadoout[[#Headers],[4]],tabela_registros[REGISTRO],DADOS!$N$5,tabela_registros[TIPO],DADOS!$AB$4,tabela_registros[CATEGORIA],investirrendavariávelconsolidadoout[[#This Row],[ATUAL]])</f>
        <v>0</v>
      </c>
      <c r="I136" s="91">
        <f>SUMIFS(tabela_registros[VALOR],tabela_registros[MÊS],$AE$1,tabela_registros[DIA],investirrendavariávelconsolidadoout[[#Headers],[5]],tabela_registros[REGISTRO],DADOS!$N$5,tabela_registros[TIPO],DADOS!$AB$4,tabela_registros[CATEGORIA],investirrendavariávelconsolidadoout[[#This Row],[ATUAL]])</f>
        <v>0</v>
      </c>
      <c r="J136" s="91">
        <f>SUMIFS(tabela_registros[VALOR],tabela_registros[MÊS],$AE$1,tabela_registros[DIA],investirrendavariávelconsolidadoout[[#Headers],[6]],tabela_registros[REGISTRO],DADOS!$N$5,tabela_registros[TIPO],DADOS!$AB$4,tabela_registros[CATEGORIA],investirrendavariávelconsolidadoout[[#This Row],[ATUAL]])</f>
        <v>0</v>
      </c>
      <c r="K136" s="91">
        <f>SUMIFS(tabela_registros[VALOR],tabela_registros[MÊS],$AE$1,tabela_registros[DIA],investirrendavariávelconsolidadoout[[#Headers],[7]],tabela_registros[REGISTRO],DADOS!$N$5,tabela_registros[TIPO],DADOS!$AB$4,tabela_registros[CATEGORIA],investirrendavariávelconsolidadoout[[#This Row],[ATUAL]])</f>
        <v>0</v>
      </c>
      <c r="L136" s="91">
        <f>SUMIFS(tabela_registros[VALOR],tabela_registros[MÊS],$AE$1,tabela_registros[DIA],investirrendavariávelconsolidadoout[[#Headers],[8]],tabela_registros[REGISTRO],DADOS!$N$5,tabela_registros[TIPO],DADOS!$AB$4,tabela_registros[CATEGORIA],investirrendavariávelconsolidadoout[[#This Row],[ATUAL]])</f>
        <v>0</v>
      </c>
      <c r="M136" s="91">
        <f>SUMIFS(tabela_registros[VALOR],tabela_registros[MÊS],$AE$1,tabela_registros[DIA],investirrendavariávelconsolidadoout[[#Headers],[9]],tabela_registros[REGISTRO],DADOS!$N$5,tabela_registros[TIPO],DADOS!$AB$4,tabela_registros[CATEGORIA],investirrendavariávelconsolidadoout[[#This Row],[ATUAL]])</f>
        <v>0</v>
      </c>
      <c r="N136" s="91">
        <f>SUMIFS(tabela_registros[VALOR],tabela_registros[MÊS],$AE$1,tabela_registros[DIA],investirrendavariávelconsolidadoout[[#Headers],[10]],tabela_registros[REGISTRO],DADOS!$N$5,tabela_registros[TIPO],DADOS!$AB$4,tabela_registros[CATEGORIA],investirrendavariávelconsolidadoout[[#This Row],[ATUAL]])</f>
        <v>0</v>
      </c>
      <c r="O136" s="91">
        <f>SUMIFS(tabela_registros[VALOR],tabela_registros[MÊS],$AE$1,tabela_registros[DIA],investirrendavariávelconsolidadoout[[#Headers],[11]],tabela_registros[REGISTRO],DADOS!$N$5,tabela_registros[TIPO],DADOS!$AB$4,tabela_registros[CATEGORIA],investirrendavariávelconsolidadoout[[#This Row],[ATUAL]])</f>
        <v>0</v>
      </c>
      <c r="P136" s="91">
        <f>SUMIFS(tabela_registros[VALOR],tabela_registros[MÊS],$AE$1,tabela_registros[DIA],investirrendavariávelconsolidadoout[[#Headers],[12]],tabela_registros[REGISTRO],DADOS!$N$5,tabela_registros[TIPO],DADOS!$AB$4,tabela_registros[CATEGORIA],investirrendavariávelconsolidadoout[[#This Row],[ATUAL]])</f>
        <v>0</v>
      </c>
      <c r="Q136" s="91">
        <f>SUMIFS(tabela_registros[VALOR],tabela_registros[MÊS],$AE$1,tabela_registros[DIA],investirrendavariávelconsolidadoout[[#Headers],[13]],tabela_registros[REGISTRO],DADOS!$N$5,tabela_registros[TIPO],DADOS!$AB$4,tabela_registros[CATEGORIA],investirrendavariávelconsolidadoout[[#This Row],[ATUAL]])</f>
        <v>0</v>
      </c>
      <c r="R136" s="91">
        <f>SUMIFS(tabela_registros[VALOR],tabela_registros[MÊS],$AE$1,tabela_registros[DIA],investirrendavariávelconsolidadoout[[#Headers],[14]],tabela_registros[REGISTRO],DADOS!$N$5,tabela_registros[TIPO],DADOS!$AB$4,tabela_registros[CATEGORIA],investirrendavariávelconsolidadoout[[#This Row],[ATUAL]])</f>
        <v>0</v>
      </c>
      <c r="S136" s="91">
        <f>SUMIFS(tabela_registros[VALOR],tabela_registros[MÊS],$AE$1,tabela_registros[DIA],investirrendavariávelconsolidadoout[[#Headers],[15]],tabela_registros[REGISTRO],DADOS!$N$5,tabela_registros[TIPO],DADOS!$AB$4,tabela_registros[CATEGORIA],investirrendavariávelconsolidadoout[[#This Row],[ATUAL]])</f>
        <v>0</v>
      </c>
      <c r="T136" s="91">
        <f>SUMIFS(tabela_registros[VALOR],tabela_registros[MÊS],$AE$1,tabela_registros[DIA],investirrendavariávelconsolidadoout[[#Headers],[16]],tabela_registros[REGISTRO],DADOS!$N$5,tabela_registros[TIPO],DADOS!$AB$4,tabela_registros[CATEGORIA],investirrendavariávelconsolidadoout[[#This Row],[ATUAL]])</f>
        <v>0</v>
      </c>
      <c r="U136" s="91">
        <f>SUMIFS(tabela_registros[VALOR],tabela_registros[MÊS],$AE$1,tabela_registros[DIA],investirrendavariávelconsolidadoout[[#Headers],[17]],tabela_registros[REGISTRO],DADOS!$N$5,tabela_registros[TIPO],DADOS!$AB$4,tabela_registros[CATEGORIA],investirrendavariávelconsolidadoout[[#This Row],[ATUAL]])</f>
        <v>0</v>
      </c>
      <c r="V136" s="91">
        <f>SUMIFS(tabela_registros[VALOR],tabela_registros[MÊS],$AE$1,tabela_registros[DIA],investirrendavariávelconsolidadoout[[#Headers],[18]],tabela_registros[REGISTRO],DADOS!$N$5,tabela_registros[TIPO],DADOS!$AB$4,tabela_registros[CATEGORIA],investirrendavariávelconsolidadoout[[#This Row],[ATUAL]])</f>
        <v>0</v>
      </c>
      <c r="W136" s="91">
        <f>SUMIFS(tabela_registros[VALOR],tabela_registros[MÊS],$AE$1,tabela_registros[DIA],investirrendavariávelconsolidadoout[[#Headers],[19]],tabela_registros[REGISTRO],DADOS!$N$5,tabela_registros[TIPO],DADOS!$AB$4,tabela_registros[CATEGORIA],investirrendavariávelconsolidadoout[[#This Row],[ATUAL]])</f>
        <v>0</v>
      </c>
      <c r="X136" s="91">
        <f>SUMIFS(tabela_registros[VALOR],tabela_registros[MÊS],$AE$1,tabela_registros[DIA],investirrendavariávelconsolidadoout[[#Headers],[20]],tabela_registros[REGISTRO],DADOS!$N$5,tabela_registros[TIPO],DADOS!$AB$4,tabela_registros[CATEGORIA],investirrendavariávelconsolidadoout[[#This Row],[ATUAL]])</f>
        <v>0</v>
      </c>
      <c r="Y136" s="91">
        <f>SUMIFS(tabela_registros[VALOR],tabela_registros[MÊS],$AE$1,tabela_registros[DIA],investirrendavariávelconsolidadoout[[#Headers],[21]],tabela_registros[REGISTRO],DADOS!$N$5,tabela_registros[TIPO],DADOS!$AB$4,tabela_registros[CATEGORIA],investirrendavariávelconsolidadoout[[#This Row],[ATUAL]])</f>
        <v>0</v>
      </c>
      <c r="Z136" s="91">
        <f>SUMIFS(tabela_registros[VALOR],tabela_registros[MÊS],$AE$1,tabela_registros[DIA],investirrendavariávelconsolidadoout[[#Headers],[22]],tabela_registros[REGISTRO],DADOS!$N$5,tabela_registros[TIPO],DADOS!$AB$4,tabela_registros[CATEGORIA],investirrendavariávelconsolidadoout[[#This Row],[ATUAL]])</f>
        <v>0</v>
      </c>
      <c r="AA136" s="91">
        <f>SUMIFS(tabela_registros[VALOR],tabela_registros[MÊS],$AE$1,tabela_registros[DIA],investirrendavariávelconsolidadoout[[#Headers],[23]],tabela_registros[REGISTRO],DADOS!$N$5,tabela_registros[TIPO],DADOS!$AB$4,tabela_registros[CATEGORIA],investirrendavariávelconsolidadoout[[#This Row],[ATUAL]])</f>
        <v>0</v>
      </c>
      <c r="AB136" s="91">
        <f>SUMIFS(tabela_registros[VALOR],tabela_registros[MÊS],$AE$1,tabela_registros[DIA],investirrendavariávelconsolidadoout[[#Headers],[24]],tabela_registros[REGISTRO],DADOS!$N$5,tabela_registros[TIPO],DADOS!$AB$4,tabela_registros[CATEGORIA],investirrendavariávelconsolidadoout[[#This Row],[ATUAL]])</f>
        <v>0</v>
      </c>
      <c r="AC136" s="91">
        <f>SUMIFS(tabela_registros[VALOR],tabela_registros[MÊS],$AE$1,tabela_registros[DIA],investirrendavariávelconsolidadoout[[#Headers],[25]],tabela_registros[REGISTRO],DADOS!$N$5,tabela_registros[TIPO],DADOS!$AB$4,tabela_registros[CATEGORIA],investirrendavariávelconsolidadoout[[#This Row],[ATUAL]])</f>
        <v>0</v>
      </c>
      <c r="AD136" s="91">
        <f>SUMIFS(tabela_registros[VALOR],tabela_registros[MÊS],$AE$1,tabela_registros[DIA],investirrendavariávelconsolidadoout[[#Headers],[26]],tabela_registros[REGISTRO],DADOS!$N$5,tabela_registros[TIPO],DADOS!$AB$4,tabela_registros[CATEGORIA],investirrendavariávelconsolidadoout[[#This Row],[ATUAL]])</f>
        <v>0</v>
      </c>
      <c r="AE136" s="91">
        <f>SUMIFS(tabela_registros[VALOR],tabela_registros[MÊS],$AE$1,tabela_registros[DIA],investirrendavariávelconsolidadoout[[#Headers],[27]],tabela_registros[REGISTRO],DADOS!$N$5,tabela_registros[TIPO],DADOS!$AB$4,tabela_registros[CATEGORIA],investirrendavariávelconsolidadoout[[#This Row],[ATUAL]])</f>
        <v>0</v>
      </c>
      <c r="AF136" s="91">
        <f>SUMIFS(tabela_registros[VALOR],tabela_registros[MÊS],$AE$1,tabela_registros[DIA],investirrendavariávelconsolidadoout[[#Headers],[28]],tabela_registros[REGISTRO],DADOS!$N$5,tabela_registros[TIPO],DADOS!$AB$4,tabela_registros[CATEGORIA],investirrendavariávelconsolidadoout[[#This Row],[ATUAL]])</f>
        <v>0</v>
      </c>
      <c r="AG136" s="91">
        <f>SUMIFS(tabela_registros[VALOR],tabela_registros[MÊS],$AE$1,tabela_registros[DIA],investirrendavariávelconsolidadoout[[#Headers],[29]],tabela_registros[REGISTRO],DADOS!$N$5,tabela_registros[TIPO],DADOS!$AB$4,tabela_registros[CATEGORIA],investirrendavariávelconsolidadoout[[#This Row],[ATUAL]])</f>
        <v>0</v>
      </c>
      <c r="AH136" s="91">
        <f>SUMIFS(tabela_registros[VALOR],tabela_registros[MÊS],$AE$1,tabela_registros[DIA],investirrendavariávelconsolidadoout[[#Headers],[30]],tabela_registros[REGISTRO],DADOS!$N$5,tabela_registros[TIPO],DADOS!$AB$4,tabela_registros[CATEGORIA],investirrendavariávelconsolidadoout[[#This Row],[ATUAL]])</f>
        <v>0</v>
      </c>
      <c r="AI136" s="101">
        <f>SUMIFS(tabela_registros[VALOR],tabela_registros[MÊS],$AE$1,tabela_registros[DIA],investirrendavariávelconsolidadoout[[#Headers],[31]],tabela_registros[REGISTRO],DADOS!$N$5,tabela_registros[TIPO],DADOS!$AB$4,tabela_registros[CATEGORIA],investirrendavariávelconsolidadoout[[#This Row],[ATUAL]])</f>
        <v>0</v>
      </c>
      <c r="AJ136" s="104">
        <f>SUM(investirrendavariávelconsolidadoout[[#This Row],[1]:[31]])</f>
        <v>0</v>
      </c>
      <c r="AK136" s="25"/>
    </row>
    <row r="137" spans="2:37" ht="19.5" customHeight="1" thickTop="1" thickBot="1" x14ac:dyDescent="0.3">
      <c r="B137" s="28"/>
      <c r="C137" s="27" t="str">
        <f>DADOS!$AF$8</f>
        <v>📝 ETF</v>
      </c>
      <c r="D137" s="26" t="str">
        <f>IF(investirrendavariávelconsolidadoout[[#This Row],[TOTAL (R$)]]=0,"",IF(OR(investirrendavariávelconsolidadoout[[#This Row],[TOTAL (R$)]]=LARGE($AJ$132:$AJ$141,1),investirrendavariávelconsolidadoout[[#This Row],[TOTAL (R$)]]=LARGE($AJ$132:$AJ$141,2)),DADOS!$I$10,""))</f>
        <v/>
      </c>
      <c r="E137" s="96">
        <f>SUMIFS(tabela_registros[VALOR],tabela_registros[MÊS],$AE$1,tabela_registros[DIA],investirrendavariávelconsolidadoout[[#Headers],[1]],tabela_registros[REGISTRO],DADOS!$N$5,tabela_registros[TIPO],DADOS!$AB$4,tabela_registros[CATEGORIA],investirrendavariávelconsolidadoout[[#This Row],[ATUAL]])</f>
        <v>0</v>
      </c>
      <c r="F137" s="91">
        <f>SUMIFS(tabela_registros[VALOR],tabela_registros[MÊS],$AE$1,tabela_registros[DIA],investirrendavariávelconsolidadoout[[#Headers],[2]],tabela_registros[REGISTRO],DADOS!$N$5,tabela_registros[TIPO],DADOS!$AB$4,tabela_registros[CATEGORIA],investirrendavariávelconsolidadoout[[#This Row],[ATUAL]])</f>
        <v>0</v>
      </c>
      <c r="G137" s="91">
        <f>SUMIFS(tabela_registros[VALOR],tabela_registros[MÊS],$AE$1,tabela_registros[DIA],investirrendavariávelconsolidadoout[[#Headers],[3]],tabela_registros[REGISTRO],DADOS!$N$5,tabela_registros[TIPO],DADOS!$AB$4,tabela_registros[CATEGORIA],investirrendavariávelconsolidadoout[[#This Row],[ATUAL]])</f>
        <v>0</v>
      </c>
      <c r="H137" s="91">
        <f>SUMIFS(tabela_registros[VALOR],tabela_registros[MÊS],$AE$1,tabela_registros[DIA],investirrendavariávelconsolidadoout[[#Headers],[4]],tabela_registros[REGISTRO],DADOS!$N$5,tabela_registros[TIPO],DADOS!$AB$4,tabela_registros[CATEGORIA],investirrendavariávelconsolidadoout[[#This Row],[ATUAL]])</f>
        <v>0</v>
      </c>
      <c r="I137" s="91">
        <f>SUMIFS(tabela_registros[VALOR],tabela_registros[MÊS],$AE$1,tabela_registros[DIA],investirrendavariávelconsolidadoout[[#Headers],[5]],tabela_registros[REGISTRO],DADOS!$N$5,tabela_registros[TIPO],DADOS!$AB$4,tabela_registros[CATEGORIA],investirrendavariávelconsolidadoout[[#This Row],[ATUAL]])</f>
        <v>0</v>
      </c>
      <c r="J137" s="91">
        <f>SUMIFS(tabela_registros[VALOR],tabela_registros[MÊS],$AE$1,tabela_registros[DIA],investirrendavariávelconsolidadoout[[#Headers],[6]],tabela_registros[REGISTRO],DADOS!$N$5,tabela_registros[TIPO],DADOS!$AB$4,tabela_registros[CATEGORIA],investirrendavariávelconsolidadoout[[#This Row],[ATUAL]])</f>
        <v>0</v>
      </c>
      <c r="K137" s="91">
        <f>SUMIFS(tabela_registros[VALOR],tabela_registros[MÊS],$AE$1,tabela_registros[DIA],investirrendavariávelconsolidadoout[[#Headers],[7]],tabela_registros[REGISTRO],DADOS!$N$5,tabela_registros[TIPO],DADOS!$AB$4,tabela_registros[CATEGORIA],investirrendavariávelconsolidadoout[[#This Row],[ATUAL]])</f>
        <v>0</v>
      </c>
      <c r="L137" s="91">
        <f>SUMIFS(tabela_registros[VALOR],tabela_registros[MÊS],$AE$1,tabela_registros[DIA],investirrendavariávelconsolidadoout[[#Headers],[8]],tabela_registros[REGISTRO],DADOS!$N$5,tabela_registros[TIPO],DADOS!$AB$4,tabela_registros[CATEGORIA],investirrendavariávelconsolidadoout[[#This Row],[ATUAL]])</f>
        <v>0</v>
      </c>
      <c r="M137" s="91">
        <f>SUMIFS(tabela_registros[VALOR],tabela_registros[MÊS],$AE$1,tabela_registros[DIA],investirrendavariávelconsolidadoout[[#Headers],[9]],tabela_registros[REGISTRO],DADOS!$N$5,tabela_registros[TIPO],DADOS!$AB$4,tabela_registros[CATEGORIA],investirrendavariávelconsolidadoout[[#This Row],[ATUAL]])</f>
        <v>0</v>
      </c>
      <c r="N137" s="91">
        <f>SUMIFS(tabela_registros[VALOR],tabela_registros[MÊS],$AE$1,tabela_registros[DIA],investirrendavariávelconsolidadoout[[#Headers],[10]],tabela_registros[REGISTRO],DADOS!$N$5,tabela_registros[TIPO],DADOS!$AB$4,tabela_registros[CATEGORIA],investirrendavariávelconsolidadoout[[#This Row],[ATUAL]])</f>
        <v>0</v>
      </c>
      <c r="O137" s="91">
        <f>SUMIFS(tabela_registros[VALOR],tabela_registros[MÊS],$AE$1,tabela_registros[DIA],investirrendavariávelconsolidadoout[[#Headers],[11]],tabela_registros[REGISTRO],DADOS!$N$5,tabela_registros[TIPO],DADOS!$AB$4,tabela_registros[CATEGORIA],investirrendavariávelconsolidadoout[[#This Row],[ATUAL]])</f>
        <v>0</v>
      </c>
      <c r="P137" s="91">
        <f>SUMIFS(tabela_registros[VALOR],tabela_registros[MÊS],$AE$1,tabela_registros[DIA],investirrendavariávelconsolidadoout[[#Headers],[12]],tabela_registros[REGISTRO],DADOS!$N$5,tabela_registros[TIPO],DADOS!$AB$4,tabela_registros[CATEGORIA],investirrendavariávelconsolidadoout[[#This Row],[ATUAL]])</f>
        <v>0</v>
      </c>
      <c r="Q137" s="91">
        <f>SUMIFS(tabela_registros[VALOR],tabela_registros[MÊS],$AE$1,tabela_registros[DIA],investirrendavariávelconsolidadoout[[#Headers],[13]],tabela_registros[REGISTRO],DADOS!$N$5,tabela_registros[TIPO],DADOS!$AB$4,tabela_registros[CATEGORIA],investirrendavariávelconsolidadoout[[#This Row],[ATUAL]])</f>
        <v>0</v>
      </c>
      <c r="R137" s="91">
        <f>SUMIFS(tabela_registros[VALOR],tabela_registros[MÊS],$AE$1,tabela_registros[DIA],investirrendavariávelconsolidadoout[[#Headers],[14]],tabela_registros[REGISTRO],DADOS!$N$5,tabela_registros[TIPO],DADOS!$AB$4,tabela_registros[CATEGORIA],investirrendavariávelconsolidadoout[[#This Row],[ATUAL]])</f>
        <v>0</v>
      </c>
      <c r="S137" s="91">
        <f>SUMIFS(tabela_registros[VALOR],tabela_registros[MÊS],$AE$1,tabela_registros[DIA],investirrendavariávelconsolidadoout[[#Headers],[15]],tabela_registros[REGISTRO],DADOS!$N$5,tabela_registros[TIPO],DADOS!$AB$4,tabela_registros[CATEGORIA],investirrendavariávelconsolidadoout[[#This Row],[ATUAL]])</f>
        <v>0</v>
      </c>
      <c r="T137" s="91">
        <f>SUMIFS(tabela_registros[VALOR],tabela_registros[MÊS],$AE$1,tabela_registros[DIA],investirrendavariávelconsolidadoout[[#Headers],[16]],tabela_registros[REGISTRO],DADOS!$N$5,tabela_registros[TIPO],DADOS!$AB$4,tabela_registros[CATEGORIA],investirrendavariávelconsolidadoout[[#This Row],[ATUAL]])</f>
        <v>0</v>
      </c>
      <c r="U137" s="91">
        <f>SUMIFS(tabela_registros[VALOR],tabela_registros[MÊS],$AE$1,tabela_registros[DIA],investirrendavariávelconsolidadoout[[#Headers],[17]],tabela_registros[REGISTRO],DADOS!$N$5,tabela_registros[TIPO],DADOS!$AB$4,tabela_registros[CATEGORIA],investirrendavariávelconsolidadoout[[#This Row],[ATUAL]])</f>
        <v>0</v>
      </c>
      <c r="V137" s="91">
        <f>SUMIFS(tabela_registros[VALOR],tabela_registros[MÊS],$AE$1,tabela_registros[DIA],investirrendavariávelconsolidadoout[[#Headers],[18]],tabela_registros[REGISTRO],DADOS!$N$5,tabela_registros[TIPO],DADOS!$AB$4,tabela_registros[CATEGORIA],investirrendavariávelconsolidadoout[[#This Row],[ATUAL]])</f>
        <v>0</v>
      </c>
      <c r="W137" s="91">
        <f>SUMIFS(tabela_registros[VALOR],tabela_registros[MÊS],$AE$1,tabela_registros[DIA],investirrendavariávelconsolidadoout[[#Headers],[19]],tabela_registros[REGISTRO],DADOS!$N$5,tabela_registros[TIPO],DADOS!$AB$4,tabela_registros[CATEGORIA],investirrendavariávelconsolidadoout[[#This Row],[ATUAL]])</f>
        <v>0</v>
      </c>
      <c r="X137" s="91">
        <f>SUMIFS(tabela_registros[VALOR],tabela_registros[MÊS],$AE$1,tabela_registros[DIA],investirrendavariávelconsolidadoout[[#Headers],[20]],tabela_registros[REGISTRO],DADOS!$N$5,tabela_registros[TIPO],DADOS!$AB$4,tabela_registros[CATEGORIA],investirrendavariávelconsolidadoout[[#This Row],[ATUAL]])</f>
        <v>0</v>
      </c>
      <c r="Y137" s="91">
        <f>SUMIFS(tabela_registros[VALOR],tabela_registros[MÊS],$AE$1,tabela_registros[DIA],investirrendavariávelconsolidadoout[[#Headers],[21]],tabela_registros[REGISTRO],DADOS!$N$5,tabela_registros[TIPO],DADOS!$AB$4,tabela_registros[CATEGORIA],investirrendavariávelconsolidadoout[[#This Row],[ATUAL]])</f>
        <v>0</v>
      </c>
      <c r="Z137" s="91">
        <f>SUMIFS(tabela_registros[VALOR],tabela_registros[MÊS],$AE$1,tabela_registros[DIA],investirrendavariávelconsolidadoout[[#Headers],[22]],tabela_registros[REGISTRO],DADOS!$N$5,tabela_registros[TIPO],DADOS!$AB$4,tabela_registros[CATEGORIA],investirrendavariávelconsolidadoout[[#This Row],[ATUAL]])</f>
        <v>0</v>
      </c>
      <c r="AA137" s="91">
        <f>SUMIFS(tabela_registros[VALOR],tabela_registros[MÊS],$AE$1,tabela_registros[DIA],investirrendavariávelconsolidadoout[[#Headers],[23]],tabela_registros[REGISTRO],DADOS!$N$5,tabela_registros[TIPO],DADOS!$AB$4,tabela_registros[CATEGORIA],investirrendavariávelconsolidadoout[[#This Row],[ATUAL]])</f>
        <v>0</v>
      </c>
      <c r="AB137" s="91">
        <f>SUMIFS(tabela_registros[VALOR],tabela_registros[MÊS],$AE$1,tabela_registros[DIA],investirrendavariávelconsolidadoout[[#Headers],[24]],tabela_registros[REGISTRO],DADOS!$N$5,tabela_registros[TIPO],DADOS!$AB$4,tabela_registros[CATEGORIA],investirrendavariávelconsolidadoout[[#This Row],[ATUAL]])</f>
        <v>0</v>
      </c>
      <c r="AC137" s="91">
        <f>SUMIFS(tabela_registros[VALOR],tabela_registros[MÊS],$AE$1,tabela_registros[DIA],investirrendavariávelconsolidadoout[[#Headers],[25]],tabela_registros[REGISTRO],DADOS!$N$5,tabela_registros[TIPO],DADOS!$AB$4,tabela_registros[CATEGORIA],investirrendavariávelconsolidadoout[[#This Row],[ATUAL]])</f>
        <v>0</v>
      </c>
      <c r="AD137" s="91">
        <f>SUMIFS(tabela_registros[VALOR],tabela_registros[MÊS],$AE$1,tabela_registros[DIA],investirrendavariávelconsolidadoout[[#Headers],[26]],tabela_registros[REGISTRO],DADOS!$N$5,tabela_registros[TIPO],DADOS!$AB$4,tabela_registros[CATEGORIA],investirrendavariávelconsolidadoout[[#This Row],[ATUAL]])</f>
        <v>0</v>
      </c>
      <c r="AE137" s="91">
        <f>SUMIFS(tabela_registros[VALOR],tabela_registros[MÊS],$AE$1,tabela_registros[DIA],investirrendavariávelconsolidadoout[[#Headers],[27]],tabela_registros[REGISTRO],DADOS!$N$5,tabela_registros[TIPO],DADOS!$AB$4,tabela_registros[CATEGORIA],investirrendavariávelconsolidadoout[[#This Row],[ATUAL]])</f>
        <v>0</v>
      </c>
      <c r="AF137" s="91">
        <f>SUMIFS(tabela_registros[VALOR],tabela_registros[MÊS],$AE$1,tabela_registros[DIA],investirrendavariávelconsolidadoout[[#Headers],[28]],tabela_registros[REGISTRO],DADOS!$N$5,tabela_registros[TIPO],DADOS!$AB$4,tabela_registros[CATEGORIA],investirrendavariávelconsolidadoout[[#This Row],[ATUAL]])</f>
        <v>0</v>
      </c>
      <c r="AG137" s="91">
        <f>SUMIFS(tabela_registros[VALOR],tabela_registros[MÊS],$AE$1,tabela_registros[DIA],investirrendavariávelconsolidadoout[[#Headers],[29]],tabela_registros[REGISTRO],DADOS!$N$5,tabela_registros[TIPO],DADOS!$AB$4,tabela_registros[CATEGORIA],investirrendavariávelconsolidadoout[[#This Row],[ATUAL]])</f>
        <v>0</v>
      </c>
      <c r="AH137" s="91">
        <f>SUMIFS(tabela_registros[VALOR],tabela_registros[MÊS],$AE$1,tabela_registros[DIA],investirrendavariávelconsolidadoout[[#Headers],[30]],tabela_registros[REGISTRO],DADOS!$N$5,tabela_registros[TIPO],DADOS!$AB$4,tabela_registros[CATEGORIA],investirrendavariávelconsolidadoout[[#This Row],[ATUAL]])</f>
        <v>0</v>
      </c>
      <c r="AI137" s="101">
        <f>SUMIFS(tabela_registros[VALOR],tabela_registros[MÊS],$AE$1,tabela_registros[DIA],investirrendavariávelconsolidadoout[[#Headers],[31]],tabela_registros[REGISTRO],DADOS!$N$5,tabela_registros[TIPO],DADOS!$AB$4,tabela_registros[CATEGORIA],investirrendavariávelconsolidadoout[[#This Row],[ATUAL]])</f>
        <v>0</v>
      </c>
      <c r="AJ137" s="104">
        <f>SUM(investirrendavariávelconsolidadoout[[#This Row],[1]:[31]])</f>
        <v>0</v>
      </c>
      <c r="AK137" s="25"/>
    </row>
    <row r="138" spans="2:37" ht="19.5" customHeight="1" thickTop="1" thickBot="1" x14ac:dyDescent="0.3">
      <c r="B138" s="28"/>
      <c r="C138" s="27" t="str">
        <f>DADOS!$AF$9</f>
        <v>📝 EXTERIOR</v>
      </c>
      <c r="D138" s="26" t="str">
        <f>IF(investirrendavariávelconsolidadoout[[#This Row],[TOTAL (R$)]]=0,"",IF(OR(investirrendavariávelconsolidadoout[[#This Row],[TOTAL (R$)]]=LARGE($AJ$132:$AJ$141,1),investirrendavariávelconsolidadoout[[#This Row],[TOTAL (R$)]]=LARGE($AJ$132:$AJ$141,2)),DADOS!$I$10,""))</f>
        <v/>
      </c>
      <c r="E138" s="96">
        <f>SUMIFS(tabela_registros[VALOR],tabela_registros[MÊS],$AE$1,tabela_registros[DIA],investirrendavariávelconsolidadoout[[#Headers],[1]],tabela_registros[REGISTRO],DADOS!$N$5,tabela_registros[TIPO],DADOS!$AB$4,tabela_registros[CATEGORIA],investirrendavariávelconsolidadoout[[#This Row],[ATUAL]])</f>
        <v>0</v>
      </c>
      <c r="F138" s="91">
        <f>SUMIFS(tabela_registros[VALOR],tabela_registros[MÊS],$AE$1,tabela_registros[DIA],investirrendavariávelconsolidadoout[[#Headers],[2]],tabela_registros[REGISTRO],DADOS!$N$5,tabela_registros[TIPO],DADOS!$AB$4,tabela_registros[CATEGORIA],investirrendavariávelconsolidadoout[[#This Row],[ATUAL]])</f>
        <v>0</v>
      </c>
      <c r="G138" s="91">
        <f>SUMIFS(tabela_registros[VALOR],tabela_registros[MÊS],$AE$1,tabela_registros[DIA],investirrendavariávelconsolidadoout[[#Headers],[3]],tabela_registros[REGISTRO],DADOS!$N$5,tabela_registros[TIPO],DADOS!$AB$4,tabela_registros[CATEGORIA],investirrendavariávelconsolidadoout[[#This Row],[ATUAL]])</f>
        <v>0</v>
      </c>
      <c r="H138" s="91">
        <f>SUMIFS(tabela_registros[VALOR],tabela_registros[MÊS],$AE$1,tabela_registros[DIA],investirrendavariávelconsolidadoout[[#Headers],[4]],tabela_registros[REGISTRO],DADOS!$N$5,tabela_registros[TIPO],DADOS!$AB$4,tabela_registros[CATEGORIA],investirrendavariávelconsolidadoout[[#This Row],[ATUAL]])</f>
        <v>0</v>
      </c>
      <c r="I138" s="91">
        <f>SUMIFS(tabela_registros[VALOR],tabela_registros[MÊS],$AE$1,tabela_registros[DIA],investirrendavariávelconsolidadoout[[#Headers],[5]],tabela_registros[REGISTRO],DADOS!$N$5,tabela_registros[TIPO],DADOS!$AB$4,tabela_registros[CATEGORIA],investirrendavariávelconsolidadoout[[#This Row],[ATUAL]])</f>
        <v>0</v>
      </c>
      <c r="J138" s="91">
        <f>SUMIFS(tabela_registros[VALOR],tabela_registros[MÊS],$AE$1,tabela_registros[DIA],investirrendavariávelconsolidadoout[[#Headers],[6]],tabela_registros[REGISTRO],DADOS!$N$5,tabela_registros[TIPO],DADOS!$AB$4,tabela_registros[CATEGORIA],investirrendavariávelconsolidadoout[[#This Row],[ATUAL]])</f>
        <v>0</v>
      </c>
      <c r="K138" s="91">
        <f>SUMIFS(tabela_registros[VALOR],tabela_registros[MÊS],$AE$1,tabela_registros[DIA],investirrendavariávelconsolidadoout[[#Headers],[7]],tabela_registros[REGISTRO],DADOS!$N$5,tabela_registros[TIPO],DADOS!$AB$4,tabela_registros[CATEGORIA],investirrendavariávelconsolidadoout[[#This Row],[ATUAL]])</f>
        <v>0</v>
      </c>
      <c r="L138" s="91">
        <f>SUMIFS(tabela_registros[VALOR],tabela_registros[MÊS],$AE$1,tabela_registros[DIA],investirrendavariávelconsolidadoout[[#Headers],[8]],tabela_registros[REGISTRO],DADOS!$N$5,tabela_registros[TIPO],DADOS!$AB$4,tabela_registros[CATEGORIA],investirrendavariávelconsolidadoout[[#This Row],[ATUAL]])</f>
        <v>0</v>
      </c>
      <c r="M138" s="91">
        <f>SUMIFS(tabela_registros[VALOR],tabela_registros[MÊS],$AE$1,tabela_registros[DIA],investirrendavariávelconsolidadoout[[#Headers],[9]],tabela_registros[REGISTRO],DADOS!$N$5,tabela_registros[TIPO],DADOS!$AB$4,tabela_registros[CATEGORIA],investirrendavariávelconsolidadoout[[#This Row],[ATUAL]])</f>
        <v>0</v>
      </c>
      <c r="N138" s="91">
        <f>SUMIFS(tabela_registros[VALOR],tabela_registros[MÊS],$AE$1,tabela_registros[DIA],investirrendavariávelconsolidadoout[[#Headers],[10]],tabela_registros[REGISTRO],DADOS!$N$5,tabela_registros[TIPO],DADOS!$AB$4,tabela_registros[CATEGORIA],investirrendavariávelconsolidadoout[[#This Row],[ATUAL]])</f>
        <v>0</v>
      </c>
      <c r="O138" s="91">
        <f>SUMIFS(tabela_registros[VALOR],tabela_registros[MÊS],$AE$1,tabela_registros[DIA],investirrendavariávelconsolidadoout[[#Headers],[11]],tabela_registros[REGISTRO],DADOS!$N$5,tabela_registros[TIPO],DADOS!$AB$4,tabela_registros[CATEGORIA],investirrendavariávelconsolidadoout[[#This Row],[ATUAL]])</f>
        <v>0</v>
      </c>
      <c r="P138" s="91">
        <f>SUMIFS(tabela_registros[VALOR],tabela_registros[MÊS],$AE$1,tabela_registros[DIA],investirrendavariávelconsolidadoout[[#Headers],[12]],tabela_registros[REGISTRO],DADOS!$N$5,tabela_registros[TIPO],DADOS!$AB$4,tabela_registros[CATEGORIA],investirrendavariávelconsolidadoout[[#This Row],[ATUAL]])</f>
        <v>0</v>
      </c>
      <c r="Q138" s="91">
        <f>SUMIFS(tabela_registros[VALOR],tabela_registros[MÊS],$AE$1,tabela_registros[DIA],investirrendavariávelconsolidadoout[[#Headers],[13]],tabela_registros[REGISTRO],DADOS!$N$5,tabela_registros[TIPO],DADOS!$AB$4,tabela_registros[CATEGORIA],investirrendavariávelconsolidadoout[[#This Row],[ATUAL]])</f>
        <v>0</v>
      </c>
      <c r="R138" s="91">
        <f>SUMIFS(tabela_registros[VALOR],tabela_registros[MÊS],$AE$1,tabela_registros[DIA],investirrendavariávelconsolidadoout[[#Headers],[14]],tabela_registros[REGISTRO],DADOS!$N$5,tabela_registros[TIPO],DADOS!$AB$4,tabela_registros[CATEGORIA],investirrendavariávelconsolidadoout[[#This Row],[ATUAL]])</f>
        <v>0</v>
      </c>
      <c r="S138" s="91">
        <f>SUMIFS(tabela_registros[VALOR],tabela_registros[MÊS],$AE$1,tabela_registros[DIA],investirrendavariávelconsolidadoout[[#Headers],[15]],tabela_registros[REGISTRO],DADOS!$N$5,tabela_registros[TIPO],DADOS!$AB$4,tabela_registros[CATEGORIA],investirrendavariávelconsolidadoout[[#This Row],[ATUAL]])</f>
        <v>0</v>
      </c>
      <c r="T138" s="91">
        <f>SUMIFS(tabela_registros[VALOR],tabela_registros[MÊS],$AE$1,tabela_registros[DIA],investirrendavariávelconsolidadoout[[#Headers],[16]],tabela_registros[REGISTRO],DADOS!$N$5,tabela_registros[TIPO],DADOS!$AB$4,tabela_registros[CATEGORIA],investirrendavariávelconsolidadoout[[#This Row],[ATUAL]])</f>
        <v>0</v>
      </c>
      <c r="U138" s="91">
        <f>SUMIFS(tabela_registros[VALOR],tabela_registros[MÊS],$AE$1,tabela_registros[DIA],investirrendavariávelconsolidadoout[[#Headers],[17]],tabela_registros[REGISTRO],DADOS!$N$5,tabela_registros[TIPO],DADOS!$AB$4,tabela_registros[CATEGORIA],investirrendavariávelconsolidadoout[[#This Row],[ATUAL]])</f>
        <v>0</v>
      </c>
      <c r="V138" s="91">
        <f>SUMIFS(tabela_registros[VALOR],tabela_registros[MÊS],$AE$1,tabela_registros[DIA],investirrendavariávelconsolidadoout[[#Headers],[18]],tabela_registros[REGISTRO],DADOS!$N$5,tabela_registros[TIPO],DADOS!$AB$4,tabela_registros[CATEGORIA],investirrendavariávelconsolidadoout[[#This Row],[ATUAL]])</f>
        <v>0</v>
      </c>
      <c r="W138" s="91">
        <f>SUMIFS(tabela_registros[VALOR],tabela_registros[MÊS],$AE$1,tabela_registros[DIA],investirrendavariávelconsolidadoout[[#Headers],[19]],tabela_registros[REGISTRO],DADOS!$N$5,tabela_registros[TIPO],DADOS!$AB$4,tabela_registros[CATEGORIA],investirrendavariávelconsolidadoout[[#This Row],[ATUAL]])</f>
        <v>0</v>
      </c>
      <c r="X138" s="91">
        <f>SUMIFS(tabela_registros[VALOR],tabela_registros[MÊS],$AE$1,tabela_registros[DIA],investirrendavariávelconsolidadoout[[#Headers],[20]],tabela_registros[REGISTRO],DADOS!$N$5,tabela_registros[TIPO],DADOS!$AB$4,tabela_registros[CATEGORIA],investirrendavariávelconsolidadoout[[#This Row],[ATUAL]])</f>
        <v>0</v>
      </c>
      <c r="Y138" s="91">
        <f>SUMIFS(tabela_registros[VALOR],tabela_registros[MÊS],$AE$1,tabela_registros[DIA],investirrendavariávelconsolidadoout[[#Headers],[21]],tabela_registros[REGISTRO],DADOS!$N$5,tabela_registros[TIPO],DADOS!$AB$4,tabela_registros[CATEGORIA],investirrendavariávelconsolidadoout[[#This Row],[ATUAL]])</f>
        <v>0</v>
      </c>
      <c r="Z138" s="91">
        <f>SUMIFS(tabela_registros[VALOR],tabela_registros[MÊS],$AE$1,tabela_registros[DIA],investirrendavariávelconsolidadoout[[#Headers],[22]],tabela_registros[REGISTRO],DADOS!$N$5,tabela_registros[TIPO],DADOS!$AB$4,tabela_registros[CATEGORIA],investirrendavariávelconsolidadoout[[#This Row],[ATUAL]])</f>
        <v>0</v>
      </c>
      <c r="AA138" s="91">
        <f>SUMIFS(tabela_registros[VALOR],tabela_registros[MÊS],$AE$1,tabela_registros[DIA],investirrendavariávelconsolidadoout[[#Headers],[23]],tabela_registros[REGISTRO],DADOS!$N$5,tabela_registros[TIPO],DADOS!$AB$4,tabela_registros[CATEGORIA],investirrendavariávelconsolidadoout[[#This Row],[ATUAL]])</f>
        <v>0</v>
      </c>
      <c r="AB138" s="91">
        <f>SUMIFS(tabela_registros[VALOR],tabela_registros[MÊS],$AE$1,tabela_registros[DIA],investirrendavariávelconsolidadoout[[#Headers],[24]],tabela_registros[REGISTRO],DADOS!$N$5,tabela_registros[TIPO],DADOS!$AB$4,tabela_registros[CATEGORIA],investirrendavariávelconsolidadoout[[#This Row],[ATUAL]])</f>
        <v>0</v>
      </c>
      <c r="AC138" s="91">
        <f>SUMIFS(tabela_registros[VALOR],tabela_registros[MÊS],$AE$1,tabela_registros[DIA],investirrendavariávelconsolidadoout[[#Headers],[25]],tabela_registros[REGISTRO],DADOS!$N$5,tabela_registros[TIPO],DADOS!$AB$4,tabela_registros[CATEGORIA],investirrendavariávelconsolidadoout[[#This Row],[ATUAL]])</f>
        <v>0</v>
      </c>
      <c r="AD138" s="91">
        <f>SUMIFS(tabela_registros[VALOR],tabela_registros[MÊS],$AE$1,tabela_registros[DIA],investirrendavariávelconsolidadoout[[#Headers],[26]],tabela_registros[REGISTRO],DADOS!$N$5,tabela_registros[TIPO],DADOS!$AB$4,tabela_registros[CATEGORIA],investirrendavariávelconsolidadoout[[#This Row],[ATUAL]])</f>
        <v>0</v>
      </c>
      <c r="AE138" s="91">
        <f>SUMIFS(tabela_registros[VALOR],tabela_registros[MÊS],$AE$1,tabela_registros[DIA],investirrendavariávelconsolidadoout[[#Headers],[27]],tabela_registros[REGISTRO],DADOS!$N$5,tabela_registros[TIPO],DADOS!$AB$4,tabela_registros[CATEGORIA],investirrendavariávelconsolidadoout[[#This Row],[ATUAL]])</f>
        <v>0</v>
      </c>
      <c r="AF138" s="91">
        <f>SUMIFS(tabela_registros[VALOR],tabela_registros[MÊS],$AE$1,tabela_registros[DIA],investirrendavariávelconsolidadoout[[#Headers],[28]],tabela_registros[REGISTRO],DADOS!$N$5,tabela_registros[TIPO],DADOS!$AB$4,tabela_registros[CATEGORIA],investirrendavariávelconsolidadoout[[#This Row],[ATUAL]])</f>
        <v>0</v>
      </c>
      <c r="AG138" s="91">
        <f>SUMIFS(tabela_registros[VALOR],tabela_registros[MÊS],$AE$1,tabela_registros[DIA],investirrendavariávelconsolidadoout[[#Headers],[29]],tabela_registros[REGISTRO],DADOS!$N$5,tabela_registros[TIPO],DADOS!$AB$4,tabela_registros[CATEGORIA],investirrendavariávelconsolidadoout[[#This Row],[ATUAL]])</f>
        <v>0</v>
      </c>
      <c r="AH138" s="91">
        <f>SUMIFS(tabela_registros[VALOR],tabela_registros[MÊS],$AE$1,tabela_registros[DIA],investirrendavariávelconsolidadoout[[#Headers],[30]],tabela_registros[REGISTRO],DADOS!$N$5,tabela_registros[TIPO],DADOS!$AB$4,tabela_registros[CATEGORIA],investirrendavariávelconsolidadoout[[#This Row],[ATUAL]])</f>
        <v>0</v>
      </c>
      <c r="AI138" s="101">
        <f>SUMIFS(tabela_registros[VALOR],tabela_registros[MÊS],$AE$1,tabela_registros[DIA],investirrendavariávelconsolidadoout[[#Headers],[31]],tabela_registros[REGISTRO],DADOS!$N$5,tabela_registros[TIPO],DADOS!$AB$4,tabela_registros[CATEGORIA],investirrendavariávelconsolidadoout[[#This Row],[ATUAL]])</f>
        <v>0</v>
      </c>
      <c r="AJ138" s="104">
        <f>SUM(investirrendavariávelconsolidadoout[[#This Row],[1]:[31]])</f>
        <v>0</v>
      </c>
      <c r="AK138" s="25"/>
    </row>
    <row r="139" spans="2:37" ht="19.5" customHeight="1" thickTop="1" thickBot="1" x14ac:dyDescent="0.3">
      <c r="B139" s="28"/>
      <c r="C139" s="27" t="str">
        <f>DADOS!$AF$10</f>
        <v>📝 FII</v>
      </c>
      <c r="D139" s="26" t="str">
        <f>IF(investirrendavariávelconsolidadoout[[#This Row],[TOTAL (R$)]]=0,"",IF(OR(investirrendavariávelconsolidadoout[[#This Row],[TOTAL (R$)]]=LARGE($AJ$132:$AJ$141,1),investirrendavariávelconsolidadoout[[#This Row],[TOTAL (R$)]]=LARGE($AJ$132:$AJ$141,2)),DADOS!$I$10,""))</f>
        <v/>
      </c>
      <c r="E139" s="96">
        <f>SUMIFS(tabela_registros[VALOR],tabela_registros[MÊS],$AE$1,tabela_registros[DIA],investirrendavariávelconsolidadoout[[#Headers],[1]],tabela_registros[REGISTRO],DADOS!$N$5,tabela_registros[TIPO],DADOS!$AB$4,tabela_registros[CATEGORIA],investirrendavariávelconsolidadoout[[#This Row],[ATUAL]])</f>
        <v>0</v>
      </c>
      <c r="F139" s="91">
        <f>SUMIFS(tabela_registros[VALOR],tabela_registros[MÊS],$AE$1,tabela_registros[DIA],investirrendavariávelconsolidadoout[[#Headers],[2]],tabela_registros[REGISTRO],DADOS!$N$5,tabela_registros[TIPO],DADOS!$AB$4,tabela_registros[CATEGORIA],investirrendavariávelconsolidadoout[[#This Row],[ATUAL]])</f>
        <v>0</v>
      </c>
      <c r="G139" s="91">
        <f>SUMIFS(tabela_registros[VALOR],tabela_registros[MÊS],$AE$1,tabela_registros[DIA],investirrendavariávelconsolidadoout[[#Headers],[3]],tabela_registros[REGISTRO],DADOS!$N$5,tabela_registros[TIPO],DADOS!$AB$4,tabela_registros[CATEGORIA],investirrendavariávelconsolidadoout[[#This Row],[ATUAL]])</f>
        <v>0</v>
      </c>
      <c r="H139" s="91">
        <f>SUMIFS(tabela_registros[VALOR],tabela_registros[MÊS],$AE$1,tabela_registros[DIA],investirrendavariávelconsolidadoout[[#Headers],[4]],tabela_registros[REGISTRO],DADOS!$N$5,tabela_registros[TIPO],DADOS!$AB$4,tabela_registros[CATEGORIA],investirrendavariávelconsolidadoout[[#This Row],[ATUAL]])</f>
        <v>0</v>
      </c>
      <c r="I139" s="91">
        <f>SUMIFS(tabela_registros[VALOR],tabela_registros[MÊS],$AE$1,tabela_registros[DIA],investirrendavariávelconsolidadoout[[#Headers],[5]],tabela_registros[REGISTRO],DADOS!$N$5,tabela_registros[TIPO],DADOS!$AB$4,tabela_registros[CATEGORIA],investirrendavariávelconsolidadoout[[#This Row],[ATUAL]])</f>
        <v>0</v>
      </c>
      <c r="J139" s="91">
        <f>SUMIFS(tabela_registros[VALOR],tabela_registros[MÊS],$AE$1,tabela_registros[DIA],investirrendavariávelconsolidadoout[[#Headers],[6]],tabela_registros[REGISTRO],DADOS!$N$5,tabela_registros[TIPO],DADOS!$AB$4,tabela_registros[CATEGORIA],investirrendavariávelconsolidadoout[[#This Row],[ATUAL]])</f>
        <v>0</v>
      </c>
      <c r="K139" s="91">
        <f>SUMIFS(tabela_registros[VALOR],tabela_registros[MÊS],$AE$1,tabela_registros[DIA],investirrendavariávelconsolidadoout[[#Headers],[7]],tabela_registros[REGISTRO],DADOS!$N$5,tabela_registros[TIPO],DADOS!$AB$4,tabela_registros[CATEGORIA],investirrendavariávelconsolidadoout[[#This Row],[ATUAL]])</f>
        <v>0</v>
      </c>
      <c r="L139" s="91">
        <f>SUMIFS(tabela_registros[VALOR],tabela_registros[MÊS],$AE$1,tabela_registros[DIA],investirrendavariávelconsolidadoout[[#Headers],[8]],tabela_registros[REGISTRO],DADOS!$N$5,tabela_registros[TIPO],DADOS!$AB$4,tabela_registros[CATEGORIA],investirrendavariávelconsolidadoout[[#This Row],[ATUAL]])</f>
        <v>0</v>
      </c>
      <c r="M139" s="91">
        <f>SUMIFS(tabela_registros[VALOR],tabela_registros[MÊS],$AE$1,tabela_registros[DIA],investirrendavariávelconsolidadoout[[#Headers],[9]],tabela_registros[REGISTRO],DADOS!$N$5,tabela_registros[TIPO],DADOS!$AB$4,tabela_registros[CATEGORIA],investirrendavariávelconsolidadoout[[#This Row],[ATUAL]])</f>
        <v>0</v>
      </c>
      <c r="N139" s="91">
        <f>SUMIFS(tabela_registros[VALOR],tabela_registros[MÊS],$AE$1,tabela_registros[DIA],investirrendavariávelconsolidadoout[[#Headers],[10]],tabela_registros[REGISTRO],DADOS!$N$5,tabela_registros[TIPO],DADOS!$AB$4,tabela_registros[CATEGORIA],investirrendavariávelconsolidadoout[[#This Row],[ATUAL]])</f>
        <v>0</v>
      </c>
      <c r="O139" s="91">
        <f>SUMIFS(tabela_registros[VALOR],tabela_registros[MÊS],$AE$1,tabela_registros[DIA],investirrendavariávelconsolidadoout[[#Headers],[11]],tabela_registros[REGISTRO],DADOS!$N$5,tabela_registros[TIPO],DADOS!$AB$4,tabela_registros[CATEGORIA],investirrendavariávelconsolidadoout[[#This Row],[ATUAL]])</f>
        <v>0</v>
      </c>
      <c r="P139" s="91">
        <f>SUMIFS(tabela_registros[VALOR],tabela_registros[MÊS],$AE$1,tabela_registros[DIA],investirrendavariávelconsolidadoout[[#Headers],[12]],tabela_registros[REGISTRO],DADOS!$N$5,tabela_registros[TIPO],DADOS!$AB$4,tabela_registros[CATEGORIA],investirrendavariávelconsolidadoout[[#This Row],[ATUAL]])</f>
        <v>0</v>
      </c>
      <c r="Q139" s="91">
        <f>SUMIFS(tabela_registros[VALOR],tabela_registros[MÊS],$AE$1,tabela_registros[DIA],investirrendavariávelconsolidadoout[[#Headers],[13]],tabela_registros[REGISTRO],DADOS!$N$5,tabela_registros[TIPO],DADOS!$AB$4,tabela_registros[CATEGORIA],investirrendavariávelconsolidadoout[[#This Row],[ATUAL]])</f>
        <v>0</v>
      </c>
      <c r="R139" s="91">
        <f>SUMIFS(tabela_registros[VALOR],tabela_registros[MÊS],$AE$1,tabela_registros[DIA],investirrendavariávelconsolidadoout[[#Headers],[14]],tabela_registros[REGISTRO],DADOS!$N$5,tabela_registros[TIPO],DADOS!$AB$4,tabela_registros[CATEGORIA],investirrendavariávelconsolidadoout[[#This Row],[ATUAL]])</f>
        <v>0</v>
      </c>
      <c r="S139" s="91">
        <f>SUMIFS(tabela_registros[VALOR],tabela_registros[MÊS],$AE$1,tabela_registros[DIA],investirrendavariávelconsolidadoout[[#Headers],[15]],tabela_registros[REGISTRO],DADOS!$N$5,tabela_registros[TIPO],DADOS!$AB$4,tabela_registros[CATEGORIA],investirrendavariávelconsolidadoout[[#This Row],[ATUAL]])</f>
        <v>0</v>
      </c>
      <c r="T139" s="91">
        <f>SUMIFS(tabela_registros[VALOR],tabela_registros[MÊS],$AE$1,tabela_registros[DIA],investirrendavariávelconsolidadoout[[#Headers],[16]],tabela_registros[REGISTRO],DADOS!$N$5,tabela_registros[TIPO],DADOS!$AB$4,tabela_registros[CATEGORIA],investirrendavariávelconsolidadoout[[#This Row],[ATUAL]])</f>
        <v>0</v>
      </c>
      <c r="U139" s="91">
        <f>SUMIFS(tabela_registros[VALOR],tabela_registros[MÊS],$AE$1,tabela_registros[DIA],investirrendavariávelconsolidadoout[[#Headers],[17]],tabela_registros[REGISTRO],DADOS!$N$5,tabela_registros[TIPO],DADOS!$AB$4,tabela_registros[CATEGORIA],investirrendavariávelconsolidadoout[[#This Row],[ATUAL]])</f>
        <v>0</v>
      </c>
      <c r="V139" s="91">
        <f>SUMIFS(tabela_registros[VALOR],tabela_registros[MÊS],$AE$1,tabela_registros[DIA],investirrendavariávelconsolidadoout[[#Headers],[18]],tabela_registros[REGISTRO],DADOS!$N$5,tabela_registros[TIPO],DADOS!$AB$4,tabela_registros[CATEGORIA],investirrendavariávelconsolidadoout[[#This Row],[ATUAL]])</f>
        <v>0</v>
      </c>
      <c r="W139" s="91">
        <f>SUMIFS(tabela_registros[VALOR],tabela_registros[MÊS],$AE$1,tabela_registros[DIA],investirrendavariávelconsolidadoout[[#Headers],[19]],tabela_registros[REGISTRO],DADOS!$N$5,tabela_registros[TIPO],DADOS!$AB$4,tabela_registros[CATEGORIA],investirrendavariávelconsolidadoout[[#This Row],[ATUAL]])</f>
        <v>0</v>
      </c>
      <c r="X139" s="91">
        <f>SUMIFS(tabela_registros[VALOR],tabela_registros[MÊS],$AE$1,tabela_registros[DIA],investirrendavariávelconsolidadoout[[#Headers],[20]],tabela_registros[REGISTRO],DADOS!$N$5,tabela_registros[TIPO],DADOS!$AB$4,tabela_registros[CATEGORIA],investirrendavariávelconsolidadoout[[#This Row],[ATUAL]])</f>
        <v>0</v>
      </c>
      <c r="Y139" s="91">
        <f>SUMIFS(tabela_registros[VALOR],tabela_registros[MÊS],$AE$1,tabela_registros[DIA],investirrendavariávelconsolidadoout[[#Headers],[21]],tabela_registros[REGISTRO],DADOS!$N$5,tabela_registros[TIPO],DADOS!$AB$4,tabela_registros[CATEGORIA],investirrendavariávelconsolidadoout[[#This Row],[ATUAL]])</f>
        <v>0</v>
      </c>
      <c r="Z139" s="91">
        <f>SUMIFS(tabela_registros[VALOR],tabela_registros[MÊS],$AE$1,tabela_registros[DIA],investirrendavariávelconsolidadoout[[#Headers],[22]],tabela_registros[REGISTRO],DADOS!$N$5,tabela_registros[TIPO],DADOS!$AB$4,tabela_registros[CATEGORIA],investirrendavariávelconsolidadoout[[#This Row],[ATUAL]])</f>
        <v>0</v>
      </c>
      <c r="AA139" s="91">
        <f>SUMIFS(tabela_registros[VALOR],tabela_registros[MÊS],$AE$1,tabela_registros[DIA],investirrendavariávelconsolidadoout[[#Headers],[23]],tabela_registros[REGISTRO],DADOS!$N$5,tabela_registros[TIPO],DADOS!$AB$4,tabela_registros[CATEGORIA],investirrendavariávelconsolidadoout[[#This Row],[ATUAL]])</f>
        <v>0</v>
      </c>
      <c r="AB139" s="91">
        <f>SUMIFS(tabela_registros[VALOR],tabela_registros[MÊS],$AE$1,tabela_registros[DIA],investirrendavariávelconsolidadoout[[#Headers],[24]],tabela_registros[REGISTRO],DADOS!$N$5,tabela_registros[TIPO],DADOS!$AB$4,tabela_registros[CATEGORIA],investirrendavariávelconsolidadoout[[#This Row],[ATUAL]])</f>
        <v>0</v>
      </c>
      <c r="AC139" s="91">
        <f>SUMIFS(tabela_registros[VALOR],tabela_registros[MÊS],$AE$1,tabela_registros[DIA],investirrendavariávelconsolidadoout[[#Headers],[25]],tabela_registros[REGISTRO],DADOS!$N$5,tabela_registros[TIPO],DADOS!$AB$4,tabela_registros[CATEGORIA],investirrendavariávelconsolidadoout[[#This Row],[ATUAL]])</f>
        <v>0</v>
      </c>
      <c r="AD139" s="91">
        <f>SUMIFS(tabela_registros[VALOR],tabela_registros[MÊS],$AE$1,tabela_registros[DIA],investirrendavariávelconsolidadoout[[#Headers],[26]],tabela_registros[REGISTRO],DADOS!$N$5,tabela_registros[TIPO],DADOS!$AB$4,tabela_registros[CATEGORIA],investirrendavariávelconsolidadoout[[#This Row],[ATUAL]])</f>
        <v>0</v>
      </c>
      <c r="AE139" s="91">
        <f>SUMIFS(tabela_registros[VALOR],tabela_registros[MÊS],$AE$1,tabela_registros[DIA],investirrendavariávelconsolidadoout[[#Headers],[27]],tabela_registros[REGISTRO],DADOS!$N$5,tabela_registros[TIPO],DADOS!$AB$4,tabela_registros[CATEGORIA],investirrendavariávelconsolidadoout[[#This Row],[ATUAL]])</f>
        <v>0</v>
      </c>
      <c r="AF139" s="91">
        <f>SUMIFS(tabela_registros[VALOR],tabela_registros[MÊS],$AE$1,tabela_registros[DIA],investirrendavariávelconsolidadoout[[#Headers],[28]],tabela_registros[REGISTRO],DADOS!$N$5,tabela_registros[TIPO],DADOS!$AB$4,tabela_registros[CATEGORIA],investirrendavariávelconsolidadoout[[#This Row],[ATUAL]])</f>
        <v>0</v>
      </c>
      <c r="AG139" s="91">
        <f>SUMIFS(tabela_registros[VALOR],tabela_registros[MÊS],$AE$1,tabela_registros[DIA],investirrendavariávelconsolidadoout[[#Headers],[29]],tabela_registros[REGISTRO],DADOS!$N$5,tabela_registros[TIPO],DADOS!$AB$4,tabela_registros[CATEGORIA],investirrendavariávelconsolidadoout[[#This Row],[ATUAL]])</f>
        <v>0</v>
      </c>
      <c r="AH139" s="91">
        <f>SUMIFS(tabela_registros[VALOR],tabela_registros[MÊS],$AE$1,tabela_registros[DIA],investirrendavariávelconsolidadoout[[#Headers],[30]],tabela_registros[REGISTRO],DADOS!$N$5,tabela_registros[TIPO],DADOS!$AB$4,tabela_registros[CATEGORIA],investirrendavariávelconsolidadoout[[#This Row],[ATUAL]])</f>
        <v>0</v>
      </c>
      <c r="AI139" s="101">
        <f>SUMIFS(tabela_registros[VALOR],tabela_registros[MÊS],$AE$1,tabela_registros[DIA],investirrendavariávelconsolidadoout[[#Headers],[31]],tabela_registros[REGISTRO],DADOS!$N$5,tabela_registros[TIPO],DADOS!$AB$4,tabela_registros[CATEGORIA],investirrendavariávelconsolidadoout[[#This Row],[ATUAL]])</f>
        <v>0</v>
      </c>
      <c r="AJ139" s="104">
        <f>SUM(investirrendavariávelconsolidadoout[[#This Row],[1]:[31]])</f>
        <v>0</v>
      </c>
      <c r="AK139" s="25"/>
    </row>
    <row r="140" spans="2:37" ht="19.5" customHeight="1" thickTop="1" thickBot="1" x14ac:dyDescent="0.3">
      <c r="B140" s="28"/>
      <c r="C140" s="27" t="str">
        <f>DADOS!$AF$11</f>
        <v>📝 MOEDA</v>
      </c>
      <c r="D140" s="26" t="str">
        <f>IF(investirrendavariávelconsolidadoout[[#This Row],[TOTAL (R$)]]=0,"",IF(OR(investirrendavariávelconsolidadoout[[#This Row],[TOTAL (R$)]]=LARGE($AJ$132:$AJ$141,1),investirrendavariávelconsolidadoout[[#This Row],[TOTAL (R$)]]=LARGE($AJ$132:$AJ$141,2)),DADOS!$I$10,""))</f>
        <v/>
      </c>
      <c r="E140" s="96">
        <f>SUMIFS(tabela_registros[VALOR],tabela_registros[MÊS],$AE$1,tabela_registros[DIA],investirrendavariávelconsolidadoout[[#Headers],[1]],tabela_registros[REGISTRO],DADOS!$N$5,tabela_registros[TIPO],DADOS!$AB$4,tabela_registros[CATEGORIA],investirrendavariávelconsolidadoout[[#This Row],[ATUAL]])</f>
        <v>0</v>
      </c>
      <c r="F140" s="91">
        <f>SUMIFS(tabela_registros[VALOR],tabela_registros[MÊS],$AE$1,tabela_registros[DIA],investirrendavariávelconsolidadoout[[#Headers],[2]],tabela_registros[REGISTRO],DADOS!$N$5,tabela_registros[TIPO],DADOS!$AB$4,tabela_registros[CATEGORIA],investirrendavariávelconsolidadoout[[#This Row],[ATUAL]])</f>
        <v>0</v>
      </c>
      <c r="G140" s="91">
        <f>SUMIFS(tabela_registros[VALOR],tabela_registros[MÊS],$AE$1,tabela_registros[DIA],investirrendavariávelconsolidadoout[[#Headers],[3]],tabela_registros[REGISTRO],DADOS!$N$5,tabela_registros[TIPO],DADOS!$AB$4,tabela_registros[CATEGORIA],investirrendavariávelconsolidadoout[[#This Row],[ATUAL]])</f>
        <v>0</v>
      </c>
      <c r="H140" s="91">
        <f>SUMIFS(tabela_registros[VALOR],tabela_registros[MÊS],$AE$1,tabela_registros[DIA],investirrendavariávelconsolidadoout[[#Headers],[4]],tabela_registros[REGISTRO],DADOS!$N$5,tabela_registros[TIPO],DADOS!$AB$4,tabela_registros[CATEGORIA],investirrendavariávelconsolidadoout[[#This Row],[ATUAL]])</f>
        <v>0</v>
      </c>
      <c r="I140" s="91">
        <f>SUMIFS(tabela_registros[VALOR],tabela_registros[MÊS],$AE$1,tabela_registros[DIA],investirrendavariávelconsolidadoout[[#Headers],[5]],tabela_registros[REGISTRO],DADOS!$N$5,tabela_registros[TIPO],DADOS!$AB$4,tabela_registros[CATEGORIA],investirrendavariávelconsolidadoout[[#This Row],[ATUAL]])</f>
        <v>0</v>
      </c>
      <c r="J140" s="91">
        <f>SUMIFS(tabela_registros[VALOR],tabela_registros[MÊS],$AE$1,tabela_registros[DIA],investirrendavariávelconsolidadoout[[#Headers],[6]],tabela_registros[REGISTRO],DADOS!$N$5,tabela_registros[TIPO],DADOS!$AB$4,tabela_registros[CATEGORIA],investirrendavariávelconsolidadoout[[#This Row],[ATUAL]])</f>
        <v>0</v>
      </c>
      <c r="K140" s="91">
        <f>SUMIFS(tabela_registros[VALOR],tabela_registros[MÊS],$AE$1,tabela_registros[DIA],investirrendavariávelconsolidadoout[[#Headers],[7]],tabela_registros[REGISTRO],DADOS!$N$5,tabela_registros[TIPO],DADOS!$AB$4,tabela_registros[CATEGORIA],investirrendavariávelconsolidadoout[[#This Row],[ATUAL]])</f>
        <v>0</v>
      </c>
      <c r="L140" s="91">
        <f>SUMIFS(tabela_registros[VALOR],tabela_registros[MÊS],$AE$1,tabela_registros[DIA],investirrendavariávelconsolidadoout[[#Headers],[8]],tabela_registros[REGISTRO],DADOS!$N$5,tabela_registros[TIPO],DADOS!$AB$4,tabela_registros[CATEGORIA],investirrendavariávelconsolidadoout[[#This Row],[ATUAL]])</f>
        <v>0</v>
      </c>
      <c r="M140" s="91">
        <f>SUMIFS(tabela_registros[VALOR],tabela_registros[MÊS],$AE$1,tabela_registros[DIA],investirrendavariávelconsolidadoout[[#Headers],[9]],tabela_registros[REGISTRO],DADOS!$N$5,tabela_registros[TIPO],DADOS!$AB$4,tabela_registros[CATEGORIA],investirrendavariávelconsolidadoout[[#This Row],[ATUAL]])</f>
        <v>0</v>
      </c>
      <c r="N140" s="91">
        <f>SUMIFS(tabela_registros[VALOR],tabela_registros[MÊS],$AE$1,tabela_registros[DIA],investirrendavariávelconsolidadoout[[#Headers],[10]],tabela_registros[REGISTRO],DADOS!$N$5,tabela_registros[TIPO],DADOS!$AB$4,tabela_registros[CATEGORIA],investirrendavariávelconsolidadoout[[#This Row],[ATUAL]])</f>
        <v>0</v>
      </c>
      <c r="O140" s="91">
        <f>SUMIFS(tabela_registros[VALOR],tabela_registros[MÊS],$AE$1,tabela_registros[DIA],investirrendavariávelconsolidadoout[[#Headers],[11]],tabela_registros[REGISTRO],DADOS!$N$5,tabela_registros[TIPO],DADOS!$AB$4,tabela_registros[CATEGORIA],investirrendavariávelconsolidadoout[[#This Row],[ATUAL]])</f>
        <v>0</v>
      </c>
      <c r="P140" s="91">
        <f>SUMIFS(tabela_registros[VALOR],tabela_registros[MÊS],$AE$1,tabela_registros[DIA],investirrendavariávelconsolidadoout[[#Headers],[12]],tabela_registros[REGISTRO],DADOS!$N$5,tabela_registros[TIPO],DADOS!$AB$4,tabela_registros[CATEGORIA],investirrendavariávelconsolidadoout[[#This Row],[ATUAL]])</f>
        <v>0</v>
      </c>
      <c r="Q140" s="91">
        <f>SUMIFS(tabela_registros[VALOR],tabela_registros[MÊS],$AE$1,tabela_registros[DIA],investirrendavariávelconsolidadoout[[#Headers],[13]],tabela_registros[REGISTRO],DADOS!$N$5,tabela_registros[TIPO],DADOS!$AB$4,tabela_registros[CATEGORIA],investirrendavariávelconsolidadoout[[#This Row],[ATUAL]])</f>
        <v>0</v>
      </c>
      <c r="R140" s="91">
        <f>SUMIFS(tabela_registros[VALOR],tabela_registros[MÊS],$AE$1,tabela_registros[DIA],investirrendavariávelconsolidadoout[[#Headers],[14]],tabela_registros[REGISTRO],DADOS!$N$5,tabela_registros[TIPO],DADOS!$AB$4,tabela_registros[CATEGORIA],investirrendavariávelconsolidadoout[[#This Row],[ATUAL]])</f>
        <v>0</v>
      </c>
      <c r="S140" s="91">
        <f>SUMIFS(tabela_registros[VALOR],tabela_registros[MÊS],$AE$1,tabela_registros[DIA],investirrendavariávelconsolidadoout[[#Headers],[15]],tabela_registros[REGISTRO],DADOS!$N$5,tabela_registros[TIPO],DADOS!$AB$4,tabela_registros[CATEGORIA],investirrendavariávelconsolidadoout[[#This Row],[ATUAL]])</f>
        <v>0</v>
      </c>
      <c r="T140" s="91">
        <f>SUMIFS(tabela_registros[VALOR],tabela_registros[MÊS],$AE$1,tabela_registros[DIA],investirrendavariávelconsolidadoout[[#Headers],[16]],tabela_registros[REGISTRO],DADOS!$N$5,tabela_registros[TIPO],DADOS!$AB$4,tabela_registros[CATEGORIA],investirrendavariávelconsolidadoout[[#This Row],[ATUAL]])</f>
        <v>0</v>
      </c>
      <c r="U140" s="91">
        <f>SUMIFS(tabela_registros[VALOR],tabela_registros[MÊS],$AE$1,tabela_registros[DIA],investirrendavariávelconsolidadoout[[#Headers],[17]],tabela_registros[REGISTRO],DADOS!$N$5,tabela_registros[TIPO],DADOS!$AB$4,tabela_registros[CATEGORIA],investirrendavariávelconsolidadoout[[#This Row],[ATUAL]])</f>
        <v>0</v>
      </c>
      <c r="V140" s="91">
        <f>SUMIFS(tabela_registros[VALOR],tabela_registros[MÊS],$AE$1,tabela_registros[DIA],investirrendavariávelconsolidadoout[[#Headers],[18]],tabela_registros[REGISTRO],DADOS!$N$5,tabela_registros[TIPO],DADOS!$AB$4,tabela_registros[CATEGORIA],investirrendavariávelconsolidadoout[[#This Row],[ATUAL]])</f>
        <v>0</v>
      </c>
      <c r="W140" s="91">
        <f>SUMIFS(tabela_registros[VALOR],tabela_registros[MÊS],$AE$1,tabela_registros[DIA],investirrendavariávelconsolidadoout[[#Headers],[19]],tabela_registros[REGISTRO],DADOS!$N$5,tabela_registros[TIPO],DADOS!$AB$4,tabela_registros[CATEGORIA],investirrendavariávelconsolidadoout[[#This Row],[ATUAL]])</f>
        <v>0</v>
      </c>
      <c r="X140" s="91">
        <f>SUMIFS(tabela_registros[VALOR],tabela_registros[MÊS],$AE$1,tabela_registros[DIA],investirrendavariávelconsolidadoout[[#Headers],[20]],tabela_registros[REGISTRO],DADOS!$N$5,tabela_registros[TIPO],DADOS!$AB$4,tabela_registros[CATEGORIA],investirrendavariávelconsolidadoout[[#This Row],[ATUAL]])</f>
        <v>0</v>
      </c>
      <c r="Y140" s="91">
        <f>SUMIFS(tabela_registros[VALOR],tabela_registros[MÊS],$AE$1,tabela_registros[DIA],investirrendavariávelconsolidadoout[[#Headers],[21]],tabela_registros[REGISTRO],DADOS!$N$5,tabela_registros[TIPO],DADOS!$AB$4,tabela_registros[CATEGORIA],investirrendavariávelconsolidadoout[[#This Row],[ATUAL]])</f>
        <v>0</v>
      </c>
      <c r="Z140" s="91">
        <f>SUMIFS(tabela_registros[VALOR],tabela_registros[MÊS],$AE$1,tabela_registros[DIA],investirrendavariávelconsolidadoout[[#Headers],[22]],tabela_registros[REGISTRO],DADOS!$N$5,tabela_registros[TIPO],DADOS!$AB$4,tabela_registros[CATEGORIA],investirrendavariávelconsolidadoout[[#This Row],[ATUAL]])</f>
        <v>0</v>
      </c>
      <c r="AA140" s="91">
        <f>SUMIFS(tabela_registros[VALOR],tabela_registros[MÊS],$AE$1,tabela_registros[DIA],investirrendavariávelconsolidadoout[[#Headers],[23]],tabela_registros[REGISTRO],DADOS!$N$5,tabela_registros[TIPO],DADOS!$AB$4,tabela_registros[CATEGORIA],investirrendavariávelconsolidadoout[[#This Row],[ATUAL]])</f>
        <v>0</v>
      </c>
      <c r="AB140" s="91">
        <f>SUMIFS(tabela_registros[VALOR],tabela_registros[MÊS],$AE$1,tabela_registros[DIA],investirrendavariávelconsolidadoout[[#Headers],[24]],tabela_registros[REGISTRO],DADOS!$N$5,tabela_registros[TIPO],DADOS!$AB$4,tabela_registros[CATEGORIA],investirrendavariávelconsolidadoout[[#This Row],[ATUAL]])</f>
        <v>0</v>
      </c>
      <c r="AC140" s="91">
        <f>SUMIFS(tabela_registros[VALOR],tabela_registros[MÊS],$AE$1,tabela_registros[DIA],investirrendavariávelconsolidadoout[[#Headers],[25]],tabela_registros[REGISTRO],DADOS!$N$5,tabela_registros[TIPO],DADOS!$AB$4,tabela_registros[CATEGORIA],investirrendavariávelconsolidadoout[[#This Row],[ATUAL]])</f>
        <v>0</v>
      </c>
      <c r="AD140" s="91">
        <f>SUMIFS(tabela_registros[VALOR],tabela_registros[MÊS],$AE$1,tabela_registros[DIA],investirrendavariávelconsolidadoout[[#Headers],[26]],tabela_registros[REGISTRO],DADOS!$N$5,tabela_registros[TIPO],DADOS!$AB$4,tabela_registros[CATEGORIA],investirrendavariávelconsolidadoout[[#This Row],[ATUAL]])</f>
        <v>0</v>
      </c>
      <c r="AE140" s="91">
        <f>SUMIFS(tabela_registros[VALOR],tabela_registros[MÊS],$AE$1,tabela_registros[DIA],investirrendavariávelconsolidadoout[[#Headers],[27]],tabela_registros[REGISTRO],DADOS!$N$5,tabela_registros[TIPO],DADOS!$AB$4,tabela_registros[CATEGORIA],investirrendavariávelconsolidadoout[[#This Row],[ATUAL]])</f>
        <v>0</v>
      </c>
      <c r="AF140" s="91">
        <f>SUMIFS(tabela_registros[VALOR],tabela_registros[MÊS],$AE$1,tabela_registros[DIA],investirrendavariávelconsolidadoout[[#Headers],[28]],tabela_registros[REGISTRO],DADOS!$N$5,tabela_registros[TIPO],DADOS!$AB$4,tabela_registros[CATEGORIA],investirrendavariávelconsolidadoout[[#This Row],[ATUAL]])</f>
        <v>0</v>
      </c>
      <c r="AG140" s="91">
        <f>SUMIFS(tabela_registros[VALOR],tabela_registros[MÊS],$AE$1,tabela_registros[DIA],investirrendavariávelconsolidadoout[[#Headers],[29]],tabela_registros[REGISTRO],DADOS!$N$5,tabela_registros[TIPO],DADOS!$AB$4,tabela_registros[CATEGORIA],investirrendavariávelconsolidadoout[[#This Row],[ATUAL]])</f>
        <v>0</v>
      </c>
      <c r="AH140" s="91">
        <f>SUMIFS(tabela_registros[VALOR],tabela_registros[MÊS],$AE$1,tabela_registros[DIA],investirrendavariávelconsolidadoout[[#Headers],[30]],tabela_registros[REGISTRO],DADOS!$N$5,tabela_registros[TIPO],DADOS!$AB$4,tabela_registros[CATEGORIA],investirrendavariávelconsolidadoout[[#This Row],[ATUAL]])</f>
        <v>0</v>
      </c>
      <c r="AI140" s="101">
        <f>SUMIFS(tabela_registros[VALOR],tabela_registros[MÊS],$AE$1,tabela_registros[DIA],investirrendavariávelconsolidadoout[[#Headers],[31]],tabela_registros[REGISTRO],DADOS!$N$5,tabela_registros[TIPO],DADOS!$AB$4,tabela_registros[CATEGORIA],investirrendavariávelconsolidadoout[[#This Row],[ATUAL]])</f>
        <v>0</v>
      </c>
      <c r="AJ140" s="104">
        <f>SUM(investirrendavariávelconsolidadoout[[#This Row],[1]:[31]])</f>
        <v>0</v>
      </c>
      <c r="AK140" s="25"/>
    </row>
    <row r="141" spans="2:37" ht="19.5" customHeight="1" thickTop="1" thickBot="1" x14ac:dyDescent="0.3">
      <c r="B141" s="28"/>
      <c r="C141" s="27" t="str">
        <f>DADOS!$AF$12</f>
        <v>📎 OUTROS</v>
      </c>
      <c r="D141" s="26" t="str">
        <f>IF(investirrendavariávelconsolidadoout[[#This Row],[TOTAL (R$)]]=0,"",IF(OR(investirrendavariávelconsolidadoout[[#This Row],[TOTAL (R$)]]=LARGE($AJ$132:$AJ$141,1),investirrendavariávelconsolidadoout[[#This Row],[TOTAL (R$)]]=LARGE($AJ$132:$AJ$141,2)),DADOS!$I$10,""))</f>
        <v/>
      </c>
      <c r="E141" s="96">
        <f>SUMIFS(tabela_registros[VALOR],tabela_registros[MÊS],$AE$1,tabela_registros[DIA],investirrendavariávelconsolidadoout[[#Headers],[1]],tabela_registros[REGISTRO],DADOS!$N$5,tabela_registros[TIPO],DADOS!$AB$4,tabela_registros[CATEGORIA],investirrendavariávelconsolidadoout[[#This Row],[ATUAL]])</f>
        <v>0</v>
      </c>
      <c r="F141" s="91">
        <f>SUMIFS(tabela_registros[VALOR],tabela_registros[MÊS],$AE$1,tabela_registros[DIA],investirrendavariávelconsolidadoout[[#Headers],[2]],tabela_registros[REGISTRO],DADOS!$N$5,tabela_registros[TIPO],DADOS!$AB$4,tabela_registros[CATEGORIA],investirrendavariávelconsolidadoout[[#This Row],[ATUAL]])</f>
        <v>0</v>
      </c>
      <c r="G141" s="91">
        <f>SUMIFS(tabela_registros[VALOR],tabela_registros[MÊS],$AE$1,tabela_registros[DIA],investirrendavariávelconsolidadoout[[#Headers],[3]],tabela_registros[REGISTRO],DADOS!$N$5,tabela_registros[TIPO],DADOS!$AB$4,tabela_registros[CATEGORIA],investirrendavariávelconsolidadoout[[#This Row],[ATUAL]])</f>
        <v>0</v>
      </c>
      <c r="H141" s="91">
        <f>SUMIFS(tabela_registros[VALOR],tabela_registros[MÊS],$AE$1,tabela_registros[DIA],investirrendavariávelconsolidadoout[[#Headers],[4]],tabela_registros[REGISTRO],DADOS!$N$5,tabela_registros[TIPO],DADOS!$AB$4,tabela_registros[CATEGORIA],investirrendavariávelconsolidadoout[[#This Row],[ATUAL]])</f>
        <v>0</v>
      </c>
      <c r="I141" s="91">
        <f>SUMIFS(tabela_registros[VALOR],tabela_registros[MÊS],$AE$1,tabela_registros[DIA],investirrendavariávelconsolidadoout[[#Headers],[5]],tabela_registros[REGISTRO],DADOS!$N$5,tabela_registros[TIPO],DADOS!$AB$4,tabela_registros[CATEGORIA],investirrendavariávelconsolidadoout[[#This Row],[ATUAL]])</f>
        <v>0</v>
      </c>
      <c r="J141" s="91">
        <f>SUMIFS(tabela_registros[VALOR],tabela_registros[MÊS],$AE$1,tabela_registros[DIA],investirrendavariávelconsolidadoout[[#Headers],[6]],tabela_registros[REGISTRO],DADOS!$N$5,tabela_registros[TIPO],DADOS!$AB$4,tabela_registros[CATEGORIA],investirrendavariávelconsolidadoout[[#This Row],[ATUAL]])</f>
        <v>0</v>
      </c>
      <c r="K141" s="91">
        <f>SUMIFS(tabela_registros[VALOR],tabela_registros[MÊS],$AE$1,tabela_registros[DIA],investirrendavariávelconsolidadoout[[#Headers],[7]],tabela_registros[REGISTRO],DADOS!$N$5,tabela_registros[TIPO],DADOS!$AB$4,tabela_registros[CATEGORIA],investirrendavariávelconsolidadoout[[#This Row],[ATUAL]])</f>
        <v>0</v>
      </c>
      <c r="L141" s="91">
        <f>SUMIFS(tabela_registros[VALOR],tabela_registros[MÊS],$AE$1,tabela_registros[DIA],investirrendavariávelconsolidadoout[[#Headers],[8]],tabela_registros[REGISTRO],DADOS!$N$5,tabela_registros[TIPO],DADOS!$AB$4,tabela_registros[CATEGORIA],investirrendavariávelconsolidadoout[[#This Row],[ATUAL]])</f>
        <v>0</v>
      </c>
      <c r="M141" s="91">
        <f>SUMIFS(tabela_registros[VALOR],tabela_registros[MÊS],$AE$1,tabela_registros[DIA],investirrendavariávelconsolidadoout[[#Headers],[9]],tabela_registros[REGISTRO],DADOS!$N$5,tabela_registros[TIPO],DADOS!$AB$4,tabela_registros[CATEGORIA],investirrendavariávelconsolidadoout[[#This Row],[ATUAL]])</f>
        <v>0</v>
      </c>
      <c r="N141" s="91">
        <f>SUMIFS(tabela_registros[VALOR],tabela_registros[MÊS],$AE$1,tabela_registros[DIA],investirrendavariávelconsolidadoout[[#Headers],[10]],tabela_registros[REGISTRO],DADOS!$N$5,tabela_registros[TIPO],DADOS!$AB$4,tabela_registros[CATEGORIA],investirrendavariávelconsolidadoout[[#This Row],[ATUAL]])</f>
        <v>0</v>
      </c>
      <c r="O141" s="91">
        <f>SUMIFS(tabela_registros[VALOR],tabela_registros[MÊS],$AE$1,tabela_registros[DIA],investirrendavariávelconsolidadoout[[#Headers],[11]],tabela_registros[REGISTRO],DADOS!$N$5,tabela_registros[TIPO],DADOS!$AB$4,tabela_registros[CATEGORIA],investirrendavariávelconsolidadoout[[#This Row],[ATUAL]])</f>
        <v>0</v>
      </c>
      <c r="P141" s="91">
        <f>SUMIFS(tabela_registros[VALOR],tabela_registros[MÊS],$AE$1,tabela_registros[DIA],investirrendavariávelconsolidadoout[[#Headers],[12]],tabela_registros[REGISTRO],DADOS!$N$5,tabela_registros[TIPO],DADOS!$AB$4,tabela_registros[CATEGORIA],investirrendavariávelconsolidadoout[[#This Row],[ATUAL]])</f>
        <v>0</v>
      </c>
      <c r="Q141" s="91">
        <f>SUMIFS(tabela_registros[VALOR],tabela_registros[MÊS],$AE$1,tabela_registros[DIA],investirrendavariávelconsolidadoout[[#Headers],[13]],tabela_registros[REGISTRO],DADOS!$N$5,tabela_registros[TIPO],DADOS!$AB$4,tabela_registros[CATEGORIA],investirrendavariávelconsolidadoout[[#This Row],[ATUAL]])</f>
        <v>0</v>
      </c>
      <c r="R141" s="91">
        <f>SUMIFS(tabela_registros[VALOR],tabela_registros[MÊS],$AE$1,tabela_registros[DIA],investirrendavariávelconsolidadoout[[#Headers],[14]],tabela_registros[REGISTRO],DADOS!$N$5,tabela_registros[TIPO],DADOS!$AB$4,tabela_registros[CATEGORIA],investirrendavariávelconsolidadoout[[#This Row],[ATUAL]])</f>
        <v>0</v>
      </c>
      <c r="S141" s="91">
        <f>SUMIFS(tabela_registros[VALOR],tabela_registros[MÊS],$AE$1,tabela_registros[DIA],investirrendavariávelconsolidadoout[[#Headers],[15]],tabela_registros[REGISTRO],DADOS!$N$5,tabela_registros[TIPO],DADOS!$AB$4,tabela_registros[CATEGORIA],investirrendavariávelconsolidadoout[[#This Row],[ATUAL]])</f>
        <v>0</v>
      </c>
      <c r="T141" s="91">
        <f>SUMIFS(tabela_registros[VALOR],tabela_registros[MÊS],$AE$1,tabela_registros[DIA],investirrendavariávelconsolidadoout[[#Headers],[16]],tabela_registros[REGISTRO],DADOS!$N$5,tabela_registros[TIPO],DADOS!$AB$4,tabela_registros[CATEGORIA],investirrendavariávelconsolidadoout[[#This Row],[ATUAL]])</f>
        <v>0</v>
      </c>
      <c r="U141" s="91">
        <f>SUMIFS(tabela_registros[VALOR],tabela_registros[MÊS],$AE$1,tabela_registros[DIA],investirrendavariávelconsolidadoout[[#Headers],[17]],tabela_registros[REGISTRO],DADOS!$N$5,tabela_registros[TIPO],DADOS!$AB$4,tabela_registros[CATEGORIA],investirrendavariávelconsolidadoout[[#This Row],[ATUAL]])</f>
        <v>0</v>
      </c>
      <c r="V141" s="91">
        <f>SUMIFS(tabela_registros[VALOR],tabela_registros[MÊS],$AE$1,tabela_registros[DIA],investirrendavariávelconsolidadoout[[#Headers],[18]],tabela_registros[REGISTRO],DADOS!$N$5,tabela_registros[TIPO],DADOS!$AB$4,tabela_registros[CATEGORIA],investirrendavariávelconsolidadoout[[#This Row],[ATUAL]])</f>
        <v>0</v>
      </c>
      <c r="W141" s="91">
        <f>SUMIFS(tabela_registros[VALOR],tabela_registros[MÊS],$AE$1,tabela_registros[DIA],investirrendavariávelconsolidadoout[[#Headers],[19]],tabela_registros[REGISTRO],DADOS!$N$5,tabela_registros[TIPO],DADOS!$AB$4,tabela_registros[CATEGORIA],investirrendavariávelconsolidadoout[[#This Row],[ATUAL]])</f>
        <v>0</v>
      </c>
      <c r="X141" s="91">
        <f>SUMIFS(tabela_registros[VALOR],tabela_registros[MÊS],$AE$1,tabela_registros[DIA],investirrendavariávelconsolidadoout[[#Headers],[20]],tabela_registros[REGISTRO],DADOS!$N$5,tabela_registros[TIPO],DADOS!$AB$4,tabela_registros[CATEGORIA],investirrendavariávelconsolidadoout[[#This Row],[ATUAL]])</f>
        <v>0</v>
      </c>
      <c r="Y141" s="91">
        <f>SUMIFS(tabela_registros[VALOR],tabela_registros[MÊS],$AE$1,tabela_registros[DIA],investirrendavariávelconsolidadoout[[#Headers],[21]],tabela_registros[REGISTRO],DADOS!$N$5,tabela_registros[TIPO],DADOS!$AB$4,tabela_registros[CATEGORIA],investirrendavariávelconsolidadoout[[#This Row],[ATUAL]])</f>
        <v>0</v>
      </c>
      <c r="Z141" s="91">
        <f>SUMIFS(tabela_registros[VALOR],tabela_registros[MÊS],$AE$1,tabela_registros[DIA],investirrendavariávelconsolidadoout[[#Headers],[22]],tabela_registros[REGISTRO],DADOS!$N$5,tabela_registros[TIPO],DADOS!$AB$4,tabela_registros[CATEGORIA],investirrendavariávelconsolidadoout[[#This Row],[ATUAL]])</f>
        <v>0</v>
      </c>
      <c r="AA141" s="91">
        <f>SUMIFS(tabela_registros[VALOR],tabela_registros[MÊS],$AE$1,tabela_registros[DIA],investirrendavariávelconsolidadoout[[#Headers],[23]],tabela_registros[REGISTRO],DADOS!$N$5,tabela_registros[TIPO],DADOS!$AB$4,tabela_registros[CATEGORIA],investirrendavariávelconsolidadoout[[#This Row],[ATUAL]])</f>
        <v>0</v>
      </c>
      <c r="AB141" s="91">
        <f>SUMIFS(tabela_registros[VALOR],tabela_registros[MÊS],$AE$1,tabela_registros[DIA],investirrendavariávelconsolidadoout[[#Headers],[24]],tabela_registros[REGISTRO],DADOS!$N$5,tabela_registros[TIPO],DADOS!$AB$4,tabela_registros[CATEGORIA],investirrendavariávelconsolidadoout[[#This Row],[ATUAL]])</f>
        <v>0</v>
      </c>
      <c r="AC141" s="91">
        <f>SUMIFS(tabela_registros[VALOR],tabela_registros[MÊS],$AE$1,tabela_registros[DIA],investirrendavariávelconsolidadoout[[#Headers],[25]],tabela_registros[REGISTRO],DADOS!$N$5,tabela_registros[TIPO],DADOS!$AB$4,tabela_registros[CATEGORIA],investirrendavariávelconsolidadoout[[#This Row],[ATUAL]])</f>
        <v>0</v>
      </c>
      <c r="AD141" s="91">
        <f>SUMIFS(tabela_registros[VALOR],tabela_registros[MÊS],$AE$1,tabela_registros[DIA],investirrendavariávelconsolidadoout[[#Headers],[26]],tabela_registros[REGISTRO],DADOS!$N$5,tabela_registros[TIPO],DADOS!$AB$4,tabela_registros[CATEGORIA],investirrendavariávelconsolidadoout[[#This Row],[ATUAL]])</f>
        <v>0</v>
      </c>
      <c r="AE141" s="91">
        <f>SUMIFS(tabela_registros[VALOR],tabela_registros[MÊS],$AE$1,tabela_registros[DIA],investirrendavariávelconsolidadoout[[#Headers],[27]],tabela_registros[REGISTRO],DADOS!$N$5,tabela_registros[TIPO],DADOS!$AB$4,tabela_registros[CATEGORIA],investirrendavariávelconsolidadoout[[#This Row],[ATUAL]])</f>
        <v>0</v>
      </c>
      <c r="AF141" s="91">
        <f>SUMIFS(tabela_registros[VALOR],tabela_registros[MÊS],$AE$1,tabela_registros[DIA],investirrendavariávelconsolidadoout[[#Headers],[28]],tabela_registros[REGISTRO],DADOS!$N$5,tabela_registros[TIPO],DADOS!$AB$4,tabela_registros[CATEGORIA],investirrendavariávelconsolidadoout[[#This Row],[ATUAL]])</f>
        <v>0</v>
      </c>
      <c r="AG141" s="91">
        <f>SUMIFS(tabela_registros[VALOR],tabela_registros[MÊS],$AE$1,tabela_registros[DIA],investirrendavariávelconsolidadoout[[#Headers],[29]],tabela_registros[REGISTRO],DADOS!$N$5,tabela_registros[TIPO],DADOS!$AB$4,tabela_registros[CATEGORIA],investirrendavariávelconsolidadoout[[#This Row],[ATUAL]])</f>
        <v>0</v>
      </c>
      <c r="AH141" s="91">
        <f>SUMIFS(tabela_registros[VALOR],tabela_registros[MÊS],$AE$1,tabela_registros[DIA],investirrendavariávelconsolidadoout[[#Headers],[30]],tabela_registros[REGISTRO],DADOS!$N$5,tabela_registros[TIPO],DADOS!$AB$4,tabela_registros[CATEGORIA],investirrendavariávelconsolidadoout[[#This Row],[ATUAL]])</f>
        <v>0</v>
      </c>
      <c r="AI141" s="102">
        <f>SUMIFS(tabela_registros[VALOR],tabela_registros[MÊS],$AE$1,tabela_registros[DIA],investirrendavariávelconsolidadoout[[#Headers],[31]],tabela_registros[REGISTRO],DADOS!$N$5,tabela_registros[TIPO],DADOS!$AB$4,tabela_registros[CATEGORIA],investirrendavariávelconsolidadoout[[#This Row],[ATUAL]])</f>
        <v>0</v>
      </c>
      <c r="AJ141" s="103">
        <f>SUM(investirrendavariávelconsolidadoout[[#This Row],[1]:[31]])</f>
        <v>0</v>
      </c>
      <c r="AK141" s="25"/>
    </row>
    <row r="142" spans="2:37" s="16" customFormat="1" ht="21" customHeight="1" thickTop="1" thickBot="1" x14ac:dyDescent="0.35">
      <c r="B142" s="24"/>
      <c r="C142" s="23" t="s">
        <v>19</v>
      </c>
      <c r="D142" s="22"/>
      <c r="E142" s="21">
        <f>SUM(E132:E141)</f>
        <v>0</v>
      </c>
      <c r="F142" s="20">
        <f>SUM(F132:F141)+investirrendavariávelconsolidadoout[[#This Row],[1]]</f>
        <v>0</v>
      </c>
      <c r="G142" s="20">
        <f>SUM(G132:G141)+investirrendavariávelconsolidadoout[[#This Row],[2]]</f>
        <v>0</v>
      </c>
      <c r="H142" s="20">
        <f>SUM(H132:H141)+investirrendavariávelconsolidadoout[[#This Row],[3]]</f>
        <v>0</v>
      </c>
      <c r="I142" s="20">
        <f>SUM(I132:I141)+investirrendavariávelconsolidadoout[[#This Row],[4]]</f>
        <v>0</v>
      </c>
      <c r="J142" s="20">
        <f>SUM(J132:J141)+investirrendavariávelconsolidadoout[[#This Row],[5]]</f>
        <v>0</v>
      </c>
      <c r="K142" s="20">
        <f>SUM(K132:K141)+investirrendavariávelconsolidadoout[[#This Row],[6]]</f>
        <v>0</v>
      </c>
      <c r="L142" s="20">
        <f>SUM(L132:L141)+investirrendavariávelconsolidadoout[[#This Row],[7]]</f>
        <v>0</v>
      </c>
      <c r="M142" s="20">
        <f>SUM(M132:M141)+investirrendavariávelconsolidadoout[[#This Row],[8]]</f>
        <v>0</v>
      </c>
      <c r="N142" s="20">
        <f>SUM(N132:N141)+investirrendavariávelconsolidadoout[[#This Row],[9]]</f>
        <v>0</v>
      </c>
      <c r="O142" s="20">
        <f>SUM(O132:O141)+investirrendavariávelconsolidadoout[[#This Row],[10]]</f>
        <v>0</v>
      </c>
      <c r="P142" s="20">
        <f>SUM(P132:P141)+investirrendavariávelconsolidadoout[[#This Row],[11]]</f>
        <v>0</v>
      </c>
      <c r="Q142" s="20">
        <f>SUM(Q132:Q141)+investirrendavariávelconsolidadoout[[#This Row],[12]]</f>
        <v>0</v>
      </c>
      <c r="R142" s="20">
        <f>SUM(R132:R141)+investirrendavariávelconsolidadoout[[#This Row],[13]]</f>
        <v>0</v>
      </c>
      <c r="S142" s="20">
        <f>SUM(S132:S141)+investirrendavariávelconsolidadoout[[#This Row],[14]]</f>
        <v>0</v>
      </c>
      <c r="T142" s="20">
        <f>SUM(T132:T141)+investirrendavariávelconsolidadoout[[#This Row],[15]]</f>
        <v>0</v>
      </c>
      <c r="U142" s="20">
        <f>SUM(U132:U141)+investirrendavariávelconsolidadoout[[#This Row],[16]]</f>
        <v>0</v>
      </c>
      <c r="V142" s="20">
        <f>SUM(V132:V141)+investirrendavariávelconsolidadoout[[#This Row],[17]]</f>
        <v>0</v>
      </c>
      <c r="W142" s="20">
        <f>SUM(W132:W141)+investirrendavariávelconsolidadoout[[#This Row],[18]]</f>
        <v>0</v>
      </c>
      <c r="X142" s="20">
        <f>SUM(X132:X141)+investirrendavariávelconsolidadoout[[#This Row],[19]]</f>
        <v>0</v>
      </c>
      <c r="Y142" s="20">
        <f>SUM(Y132:Y141)+investirrendavariávelconsolidadoout[[#This Row],[20]]</f>
        <v>0</v>
      </c>
      <c r="Z142" s="20">
        <f>SUM(Z132:Z141)+investirrendavariávelconsolidadoout[[#This Row],[21]]</f>
        <v>0</v>
      </c>
      <c r="AA142" s="20">
        <f>SUM(AA132:AA141)+investirrendavariávelconsolidadoout[[#This Row],[22]]</f>
        <v>0</v>
      </c>
      <c r="AB142" s="20">
        <f>SUM(AB132:AB141)+investirrendavariávelconsolidadoout[[#This Row],[23]]</f>
        <v>0</v>
      </c>
      <c r="AC142" s="20">
        <f>SUM(AC132:AC141)+investirrendavariávelconsolidadoout[[#This Row],[24]]</f>
        <v>0</v>
      </c>
      <c r="AD142" s="20">
        <f>SUM(AD132:AD141)+investirrendavariávelconsolidadoout[[#This Row],[25]]</f>
        <v>0</v>
      </c>
      <c r="AE142" s="20">
        <f>SUM(AE132:AE141)+investirrendavariávelconsolidadoout[[#This Row],[26]]</f>
        <v>0</v>
      </c>
      <c r="AF142" s="20">
        <f>SUM(AF132:AF141)+investirrendavariávelconsolidadoout[[#This Row],[27]]</f>
        <v>0</v>
      </c>
      <c r="AG142" s="20">
        <f>SUM(AG132:AG141)+investirrendavariávelconsolidadoout[[#This Row],[28]]</f>
        <v>0</v>
      </c>
      <c r="AH142" s="20">
        <f>SUM(AH132:AH141)+investirrendavariávelconsolidadoout[[#This Row],[29]]</f>
        <v>0</v>
      </c>
      <c r="AI142" s="19">
        <f>SUM(AI132:AI141)+investirrendavariávelconsolidadoout[[#This Row],[30]]</f>
        <v>0</v>
      </c>
      <c r="AJ142" s="18">
        <f>investirrendavariávelconsolidadoout[[#This Row],[31]]</f>
        <v>0</v>
      </c>
      <c r="AK142" s="17"/>
    </row>
    <row r="143" spans="2:37" ht="6.75" customHeight="1" thickTop="1" thickBot="1" x14ac:dyDescent="0.3">
      <c r="B143" s="15"/>
      <c r="C143" s="14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  <c r="AE143" s="13"/>
      <c r="AF143" s="13"/>
      <c r="AG143" s="13"/>
      <c r="AH143" s="13"/>
      <c r="AI143" s="12"/>
      <c r="AJ143" s="11"/>
      <c r="AK143" s="10"/>
    </row>
    <row r="144" spans="2:37" ht="12.6" thickTop="1" x14ac:dyDescent="0.25">
      <c r="E144" s="37"/>
      <c r="AI144" s="4"/>
    </row>
    <row r="145" spans="2:37" x14ac:dyDescent="0.25">
      <c r="AI145" s="4"/>
    </row>
    <row r="146" spans="2:37" x14ac:dyDescent="0.25">
      <c r="AI146" s="4"/>
    </row>
    <row r="147" spans="2:37" ht="39.75" customHeight="1" x14ac:dyDescent="0.7">
      <c r="C147" s="36"/>
      <c r="E147" s="240"/>
      <c r="F147" s="240"/>
      <c r="G147" s="240"/>
      <c r="H147" s="240"/>
      <c r="I147" s="240"/>
      <c r="J147" s="240"/>
      <c r="K147" s="240"/>
      <c r="L147" s="240"/>
      <c r="M147" s="240"/>
      <c r="N147" s="240"/>
      <c r="O147" s="240"/>
      <c r="P147" s="240"/>
      <c r="Q147" s="240"/>
      <c r="R147" s="240"/>
      <c r="S147" s="240"/>
      <c r="T147" s="240"/>
      <c r="U147" s="240"/>
      <c r="V147" s="240"/>
      <c r="W147" s="240"/>
      <c r="X147" s="240"/>
      <c r="Y147" s="240"/>
      <c r="Z147" s="240"/>
      <c r="AA147" s="240"/>
      <c r="AB147" s="240"/>
      <c r="AC147" s="240"/>
      <c r="AD147" s="240"/>
      <c r="AE147" s="240"/>
      <c r="AF147" s="240"/>
      <c r="AG147" s="240"/>
      <c r="AH147" s="240"/>
      <c r="AI147" s="240"/>
      <c r="AJ147" s="32" t="s">
        <v>19</v>
      </c>
    </row>
    <row r="148" spans="2:37" ht="12.6" thickBot="1" x14ac:dyDescent="0.3">
      <c r="B148" s="35"/>
      <c r="AI148" s="4"/>
      <c r="AJ148" s="34" t="s">
        <v>202</v>
      </c>
    </row>
    <row r="149" spans="2:37" ht="6.75" customHeight="1" thickTop="1" thickBot="1" x14ac:dyDescent="0.3">
      <c r="B149" s="2"/>
      <c r="C149" s="14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F149" s="13"/>
      <c r="AG149" s="13"/>
      <c r="AH149" s="13"/>
      <c r="AI149" s="13"/>
      <c r="AJ149" s="12"/>
      <c r="AK149" s="33"/>
    </row>
    <row r="150" spans="2:37" ht="13.2" hidden="1" thickTop="1" thickBot="1" x14ac:dyDescent="0.3">
      <c r="B150" s="2"/>
      <c r="C150" s="31" t="s">
        <v>199</v>
      </c>
      <c r="D150" s="30" t="s">
        <v>198</v>
      </c>
      <c r="E150" s="30" t="s">
        <v>197</v>
      </c>
      <c r="F150" s="30" t="s">
        <v>196</v>
      </c>
      <c r="G150" s="30" t="s">
        <v>195</v>
      </c>
      <c r="H150" s="30" t="s">
        <v>194</v>
      </c>
      <c r="I150" s="30" t="s">
        <v>193</v>
      </c>
      <c r="J150" s="30" t="s">
        <v>192</v>
      </c>
      <c r="K150" s="30" t="s">
        <v>191</v>
      </c>
      <c r="L150" s="30" t="s">
        <v>190</v>
      </c>
      <c r="M150" s="30" t="s">
        <v>189</v>
      </c>
      <c r="N150" s="30" t="s">
        <v>188</v>
      </c>
      <c r="O150" s="30" t="s">
        <v>187</v>
      </c>
      <c r="P150" s="30" t="s">
        <v>186</v>
      </c>
      <c r="Q150" s="30" t="s">
        <v>185</v>
      </c>
      <c r="R150" s="30" t="s">
        <v>184</v>
      </c>
      <c r="S150" s="30" t="s">
        <v>183</v>
      </c>
      <c r="T150" s="30" t="s">
        <v>182</v>
      </c>
      <c r="U150" s="30" t="s">
        <v>181</v>
      </c>
      <c r="V150" s="30" t="s">
        <v>180</v>
      </c>
      <c r="W150" s="30" t="s">
        <v>179</v>
      </c>
      <c r="X150" s="30" t="s">
        <v>178</v>
      </c>
      <c r="Y150" s="30" t="s">
        <v>177</v>
      </c>
      <c r="Z150" s="30" t="s">
        <v>176</v>
      </c>
      <c r="AA150" s="30" t="s">
        <v>175</v>
      </c>
      <c r="AB150" s="30" t="s">
        <v>174</v>
      </c>
      <c r="AC150" s="30" t="s">
        <v>173</v>
      </c>
      <c r="AD150" s="30" t="s">
        <v>172</v>
      </c>
      <c r="AE150" s="30" t="s">
        <v>171</v>
      </c>
      <c r="AF150" s="30" t="s">
        <v>170</v>
      </c>
      <c r="AG150" s="30" t="s">
        <v>169</v>
      </c>
      <c r="AH150" s="30" t="s">
        <v>168</v>
      </c>
      <c r="AI150" s="30" t="s">
        <v>167</v>
      </c>
      <c r="AJ150" s="29" t="s">
        <v>166</v>
      </c>
      <c r="AK150" s="2"/>
    </row>
    <row r="151" spans="2:37" ht="19.5" customHeight="1" thickTop="1" thickBot="1" x14ac:dyDescent="0.3">
      <c r="B151" s="28"/>
      <c r="C151" s="27" t="str">
        <f>DADOS!$AH$3</f>
        <v>📝 COE</v>
      </c>
      <c r="D151" s="26" t="str">
        <f>IF(investiroutrosconsolidadoout[[#This Row],[TOTAL (R$)]]=0,"",IF(OR(investiroutrosconsolidadoout[[#This Row],[TOTAL (R$)]]=LARGE($AJ$151:$AJ$158,1),investiroutrosconsolidadoout[[#This Row],[TOTAL (R$)]]=LARGE($AJ$151:$AJ$158,2)),DADOS!$I$10,""))</f>
        <v/>
      </c>
      <c r="E151" s="96">
        <f>SUMIFS(tabela_registros[VALOR],tabela_registros[MÊS],$AE$1,tabela_registros[DIA],investiroutrosconsolidadoout[[#Headers],[1]],tabela_registros[REGISTRO],DADOS!$N$5,tabela_registros[TIPO],DADOS!$AB$5,tabela_registros[CATEGORIA],investiroutrosconsolidadoout[[#This Row],[ATUAL]])</f>
        <v>0</v>
      </c>
      <c r="F151" s="91">
        <f>SUMIFS(tabela_registros[VALOR],tabela_registros[MÊS],$AE$1,tabela_registros[DIA],investiroutrosconsolidadoout[[#Headers],[2]],tabela_registros[REGISTRO],DADOS!$N$5,tabela_registros[TIPO],DADOS!$AB$5,tabela_registros[CATEGORIA],investiroutrosconsolidadoout[[#This Row],[ATUAL]])</f>
        <v>0</v>
      </c>
      <c r="G151" s="91">
        <f>SUMIFS(tabela_registros[VALOR],tabela_registros[MÊS],$AE$1,tabela_registros[DIA],investiroutrosconsolidadoout[[#Headers],[3]],tabela_registros[REGISTRO],DADOS!$N$5,tabela_registros[TIPO],DADOS!$AB$5,tabela_registros[CATEGORIA],investiroutrosconsolidadoout[[#This Row],[ATUAL]])</f>
        <v>0</v>
      </c>
      <c r="H151" s="91">
        <f>SUMIFS(tabela_registros[VALOR],tabela_registros[MÊS],$AE$1,tabela_registros[DIA],investiroutrosconsolidadoout[[#Headers],[4]],tabela_registros[REGISTRO],DADOS!$N$5,tabela_registros[TIPO],DADOS!$AB$5,tabela_registros[CATEGORIA],investiroutrosconsolidadoout[[#This Row],[ATUAL]])</f>
        <v>0</v>
      </c>
      <c r="I151" s="91">
        <f>SUMIFS(tabela_registros[VALOR],tabela_registros[MÊS],$AE$1,tabela_registros[DIA],investiroutrosconsolidadoout[[#Headers],[5]],tabela_registros[REGISTRO],DADOS!$N$5,tabela_registros[TIPO],DADOS!$AB$5,tabela_registros[CATEGORIA],investiroutrosconsolidadoout[[#This Row],[ATUAL]])</f>
        <v>0</v>
      </c>
      <c r="J151" s="91">
        <f>SUMIFS(tabela_registros[VALOR],tabela_registros[MÊS],$AE$1,tabela_registros[DIA],investiroutrosconsolidadoout[[#Headers],[6]],tabela_registros[REGISTRO],DADOS!$N$5,tabela_registros[TIPO],DADOS!$AB$5,tabela_registros[CATEGORIA],investiroutrosconsolidadoout[[#This Row],[ATUAL]])</f>
        <v>0</v>
      </c>
      <c r="K151" s="91">
        <f>SUMIFS(tabela_registros[VALOR],tabela_registros[MÊS],$AE$1,tabela_registros[DIA],investiroutrosconsolidadoout[[#Headers],[7]],tabela_registros[REGISTRO],DADOS!$N$5,tabela_registros[TIPO],DADOS!$AB$5,tabela_registros[CATEGORIA],investiroutrosconsolidadoout[[#This Row],[ATUAL]])</f>
        <v>0</v>
      </c>
      <c r="L151" s="91">
        <f>SUMIFS(tabela_registros[VALOR],tabela_registros[MÊS],$AE$1,tabela_registros[DIA],investiroutrosconsolidadoout[[#Headers],[8]],tabela_registros[REGISTRO],DADOS!$N$5,tabela_registros[TIPO],DADOS!$AB$5,tabela_registros[CATEGORIA],investiroutrosconsolidadoout[[#This Row],[ATUAL]])</f>
        <v>0</v>
      </c>
      <c r="M151" s="91">
        <f>SUMIFS(tabela_registros[VALOR],tabela_registros[MÊS],$AE$1,tabela_registros[DIA],investiroutrosconsolidadoout[[#Headers],[9]],tabela_registros[REGISTRO],DADOS!$N$5,tabela_registros[TIPO],DADOS!$AB$5,tabela_registros[CATEGORIA],investiroutrosconsolidadoout[[#This Row],[ATUAL]])</f>
        <v>0</v>
      </c>
      <c r="N151" s="91">
        <f>SUMIFS(tabela_registros[VALOR],tabela_registros[MÊS],$AE$1,tabela_registros[DIA],investiroutrosconsolidadoout[[#Headers],[10]],tabela_registros[REGISTRO],DADOS!$N$5,tabela_registros[TIPO],DADOS!$AB$5,tabela_registros[CATEGORIA],investiroutrosconsolidadoout[[#This Row],[ATUAL]])</f>
        <v>0</v>
      </c>
      <c r="O151" s="91">
        <f>SUMIFS(tabela_registros[VALOR],tabela_registros[MÊS],$AE$1,tabela_registros[DIA],investiroutrosconsolidadoout[[#Headers],[11]],tabela_registros[REGISTRO],DADOS!$N$5,tabela_registros[TIPO],DADOS!$AB$5,tabela_registros[CATEGORIA],investiroutrosconsolidadoout[[#This Row],[ATUAL]])</f>
        <v>0</v>
      </c>
      <c r="P151" s="91">
        <f>SUMIFS(tabela_registros[VALOR],tabela_registros[MÊS],$AE$1,tabela_registros[DIA],investiroutrosconsolidadoout[[#Headers],[12]],tabela_registros[REGISTRO],DADOS!$N$5,tabela_registros[TIPO],DADOS!$AB$5,tabela_registros[CATEGORIA],investiroutrosconsolidadoout[[#This Row],[ATUAL]])</f>
        <v>0</v>
      </c>
      <c r="Q151" s="91">
        <f>SUMIFS(tabela_registros[VALOR],tabela_registros[MÊS],$AE$1,tabela_registros[DIA],investiroutrosconsolidadoout[[#Headers],[13]],tabela_registros[REGISTRO],DADOS!$N$5,tabela_registros[TIPO],DADOS!$AB$5,tabela_registros[CATEGORIA],investiroutrosconsolidadoout[[#This Row],[ATUAL]])</f>
        <v>0</v>
      </c>
      <c r="R151" s="91">
        <f>SUMIFS(tabela_registros[VALOR],tabela_registros[MÊS],$AE$1,tabela_registros[DIA],investiroutrosconsolidadoout[[#Headers],[14]],tabela_registros[REGISTRO],DADOS!$N$5,tabela_registros[TIPO],DADOS!$AB$5,tabela_registros[CATEGORIA],investiroutrosconsolidadoout[[#This Row],[ATUAL]])</f>
        <v>0</v>
      </c>
      <c r="S151" s="91">
        <f>SUMIFS(tabela_registros[VALOR],tabela_registros[MÊS],$AE$1,tabela_registros[DIA],investiroutrosconsolidadoout[[#Headers],[15]],tabela_registros[REGISTRO],DADOS!$N$5,tabela_registros[TIPO],DADOS!$AB$5,tabela_registros[CATEGORIA],investiroutrosconsolidadoout[[#This Row],[ATUAL]])</f>
        <v>0</v>
      </c>
      <c r="T151" s="91">
        <f>SUMIFS(tabela_registros[VALOR],tabela_registros[MÊS],$AE$1,tabela_registros[DIA],investiroutrosconsolidadoout[[#Headers],[16]],tabela_registros[REGISTRO],DADOS!$N$5,tabela_registros[TIPO],DADOS!$AB$5,tabela_registros[CATEGORIA],investiroutrosconsolidadoout[[#This Row],[ATUAL]])</f>
        <v>0</v>
      </c>
      <c r="U151" s="91">
        <f>SUMIFS(tabela_registros[VALOR],tabela_registros[MÊS],$AE$1,tabela_registros[DIA],investiroutrosconsolidadoout[[#Headers],[17]],tabela_registros[REGISTRO],DADOS!$N$5,tabela_registros[TIPO],DADOS!$AB$5,tabela_registros[CATEGORIA],investiroutrosconsolidadoout[[#This Row],[ATUAL]])</f>
        <v>0</v>
      </c>
      <c r="V151" s="91">
        <f>SUMIFS(tabela_registros[VALOR],tabela_registros[MÊS],$AE$1,tabela_registros[DIA],investiroutrosconsolidadoout[[#Headers],[18]],tabela_registros[REGISTRO],DADOS!$N$5,tabela_registros[TIPO],DADOS!$AB$5,tabela_registros[CATEGORIA],investiroutrosconsolidadoout[[#This Row],[ATUAL]])</f>
        <v>0</v>
      </c>
      <c r="W151" s="91">
        <f>SUMIFS(tabela_registros[VALOR],tabela_registros[MÊS],$AE$1,tabela_registros[DIA],investiroutrosconsolidadoout[[#Headers],[19]],tabela_registros[REGISTRO],DADOS!$N$5,tabela_registros[TIPO],DADOS!$AB$5,tabela_registros[CATEGORIA],investiroutrosconsolidadoout[[#This Row],[ATUAL]])</f>
        <v>0</v>
      </c>
      <c r="X151" s="91">
        <f>SUMIFS(tabela_registros[VALOR],tabela_registros[MÊS],$AE$1,tabela_registros[DIA],investiroutrosconsolidadoout[[#Headers],[20]],tabela_registros[REGISTRO],DADOS!$N$5,tabela_registros[TIPO],DADOS!$AB$5,tabela_registros[CATEGORIA],investiroutrosconsolidadoout[[#This Row],[ATUAL]])</f>
        <v>0</v>
      </c>
      <c r="Y151" s="91">
        <f>SUMIFS(tabela_registros[VALOR],tabela_registros[MÊS],$AE$1,tabela_registros[DIA],investiroutrosconsolidadoout[[#Headers],[21]],tabela_registros[REGISTRO],DADOS!$N$5,tabela_registros[TIPO],DADOS!$AB$5,tabela_registros[CATEGORIA],investiroutrosconsolidadoout[[#This Row],[ATUAL]])</f>
        <v>0</v>
      </c>
      <c r="Z151" s="91">
        <f>SUMIFS(tabela_registros[VALOR],tabela_registros[MÊS],$AE$1,tabela_registros[DIA],investiroutrosconsolidadoout[[#Headers],[22]],tabela_registros[REGISTRO],DADOS!$N$5,tabela_registros[TIPO],DADOS!$AB$5,tabela_registros[CATEGORIA],investiroutrosconsolidadoout[[#This Row],[ATUAL]])</f>
        <v>0</v>
      </c>
      <c r="AA151" s="91">
        <f>SUMIFS(tabela_registros[VALOR],tabela_registros[MÊS],$AE$1,tabela_registros[DIA],investiroutrosconsolidadoout[[#Headers],[23]],tabela_registros[REGISTRO],DADOS!$N$5,tabela_registros[TIPO],DADOS!$AB$5,tabela_registros[CATEGORIA],investiroutrosconsolidadoout[[#This Row],[ATUAL]])</f>
        <v>0</v>
      </c>
      <c r="AB151" s="91">
        <f>SUMIFS(tabela_registros[VALOR],tabela_registros[MÊS],$AE$1,tabela_registros[DIA],investiroutrosconsolidadoout[[#Headers],[24]],tabela_registros[REGISTRO],DADOS!$N$5,tabela_registros[TIPO],DADOS!$AB$5,tabela_registros[CATEGORIA],investiroutrosconsolidadoout[[#This Row],[ATUAL]])</f>
        <v>0</v>
      </c>
      <c r="AC151" s="91">
        <f>SUMIFS(tabela_registros[VALOR],tabela_registros[MÊS],$AE$1,tabela_registros[DIA],investiroutrosconsolidadoout[[#Headers],[25]],tabela_registros[REGISTRO],DADOS!$N$5,tabela_registros[TIPO],DADOS!$AB$5,tabela_registros[CATEGORIA],investiroutrosconsolidadoout[[#This Row],[ATUAL]])</f>
        <v>0</v>
      </c>
      <c r="AD151" s="91">
        <f>SUMIFS(tabela_registros[VALOR],tabela_registros[MÊS],$AE$1,tabela_registros[DIA],investiroutrosconsolidadoout[[#Headers],[26]],tabela_registros[REGISTRO],DADOS!$N$5,tabela_registros[TIPO],DADOS!$AB$5,tabela_registros[CATEGORIA],investiroutrosconsolidadoout[[#This Row],[ATUAL]])</f>
        <v>0</v>
      </c>
      <c r="AE151" s="91">
        <f>SUMIFS(tabela_registros[VALOR],tabela_registros[MÊS],$AE$1,tabela_registros[DIA],investiroutrosconsolidadoout[[#Headers],[27]],tabela_registros[REGISTRO],DADOS!$N$5,tabela_registros[TIPO],DADOS!$AB$5,tabela_registros[CATEGORIA],investiroutrosconsolidadoout[[#This Row],[ATUAL]])</f>
        <v>0</v>
      </c>
      <c r="AF151" s="91">
        <f>SUMIFS(tabela_registros[VALOR],tabela_registros[MÊS],$AE$1,tabela_registros[DIA],investiroutrosconsolidadoout[[#Headers],[28]],tabela_registros[REGISTRO],DADOS!$N$5,tabela_registros[TIPO],DADOS!$AB$5,tabela_registros[CATEGORIA],investiroutrosconsolidadoout[[#This Row],[ATUAL]])</f>
        <v>0</v>
      </c>
      <c r="AG151" s="91">
        <f>SUMIFS(tabela_registros[VALOR],tabela_registros[MÊS],$AE$1,tabela_registros[DIA],investiroutrosconsolidadoout[[#Headers],[29]],tabela_registros[REGISTRO],DADOS!$N$5,tabela_registros[TIPO],DADOS!$AB$5,tabela_registros[CATEGORIA],investiroutrosconsolidadoout[[#This Row],[ATUAL]])</f>
        <v>0</v>
      </c>
      <c r="AH151" s="91">
        <f>SUMIFS(tabela_registros[VALOR],tabela_registros[MÊS],$AE$1,tabela_registros[DIA],investiroutrosconsolidadoout[[#Headers],[30]],tabela_registros[REGISTRO],DADOS!$N$5,tabela_registros[TIPO],DADOS!$AB$5,tabela_registros[CATEGORIA],investiroutrosconsolidadoout[[#This Row],[ATUAL]])</f>
        <v>0</v>
      </c>
      <c r="AI151" s="101">
        <f>SUMIFS(tabela_registros[VALOR],tabela_registros[MÊS],$AE$1,tabela_registros[DIA],investiroutrosconsolidadoout[[#Headers],[31]],tabela_registros[REGISTRO],DADOS!$N$5,tabela_registros[TIPO],DADOS!$AB$5,tabela_registros[CATEGORIA],investiroutrosconsolidadoout[[#This Row],[ATUAL]])</f>
        <v>0</v>
      </c>
      <c r="AJ151" s="97">
        <f>SUM(investiroutrosconsolidadoout[[#This Row],[1]:[31]])</f>
        <v>0</v>
      </c>
      <c r="AK151" s="25"/>
    </row>
    <row r="152" spans="2:37" ht="19.5" customHeight="1" thickTop="1" thickBot="1" x14ac:dyDescent="0.3">
      <c r="B152" s="28"/>
      <c r="C152" s="27" t="str">
        <f>DADOS!$AH$4</f>
        <v>📝 FOREX</v>
      </c>
      <c r="D152" s="26" t="str">
        <f>IF(investiroutrosconsolidadoout[[#This Row],[TOTAL (R$)]]=0,"",IF(OR(investiroutrosconsolidadoout[[#This Row],[TOTAL (R$)]]=LARGE($AJ$151:$AJ$158,1),investiroutrosconsolidadoout[[#This Row],[TOTAL (R$)]]=LARGE($AJ$151:$AJ$158,2)),DADOS!$I$10,""))</f>
        <v/>
      </c>
      <c r="E152" s="96">
        <f>SUMIFS(tabela_registros[VALOR],tabela_registros[MÊS],$AE$1,tabela_registros[DIA],investiroutrosconsolidadoout[[#Headers],[1]],tabela_registros[REGISTRO],DADOS!$N$5,tabela_registros[TIPO],DADOS!$AB$5,tabela_registros[CATEGORIA],investiroutrosconsolidadoout[[#This Row],[ATUAL]])</f>
        <v>0</v>
      </c>
      <c r="F152" s="91">
        <f>SUMIFS(tabela_registros[VALOR],tabela_registros[MÊS],$AE$1,tabela_registros[DIA],investiroutrosconsolidadoout[[#Headers],[2]],tabela_registros[REGISTRO],DADOS!$N$5,tabela_registros[TIPO],DADOS!$AB$5,tabela_registros[CATEGORIA],investiroutrosconsolidadoout[[#This Row],[ATUAL]])</f>
        <v>0</v>
      </c>
      <c r="G152" s="91">
        <f>SUMIFS(tabela_registros[VALOR],tabela_registros[MÊS],$AE$1,tabela_registros[DIA],investiroutrosconsolidadoout[[#Headers],[3]],tabela_registros[REGISTRO],DADOS!$N$5,tabela_registros[TIPO],DADOS!$AB$5,tabela_registros[CATEGORIA],investiroutrosconsolidadoout[[#This Row],[ATUAL]])</f>
        <v>0</v>
      </c>
      <c r="H152" s="91">
        <f>SUMIFS(tabela_registros[VALOR],tabela_registros[MÊS],$AE$1,tabela_registros[DIA],investiroutrosconsolidadoout[[#Headers],[4]],tabela_registros[REGISTRO],DADOS!$N$5,tabela_registros[TIPO],DADOS!$AB$5,tabela_registros[CATEGORIA],investiroutrosconsolidadoout[[#This Row],[ATUAL]])</f>
        <v>0</v>
      </c>
      <c r="I152" s="91">
        <f>SUMIFS(tabela_registros[VALOR],tabela_registros[MÊS],$AE$1,tabela_registros[DIA],investiroutrosconsolidadoout[[#Headers],[5]],tabela_registros[REGISTRO],DADOS!$N$5,tabela_registros[TIPO],DADOS!$AB$5,tabela_registros[CATEGORIA],investiroutrosconsolidadoout[[#This Row],[ATUAL]])</f>
        <v>0</v>
      </c>
      <c r="J152" s="91">
        <f>SUMIFS(tabela_registros[VALOR],tabela_registros[MÊS],$AE$1,tabela_registros[DIA],investiroutrosconsolidadoout[[#Headers],[6]],tabela_registros[REGISTRO],DADOS!$N$5,tabela_registros[TIPO],DADOS!$AB$5,tabela_registros[CATEGORIA],investiroutrosconsolidadoout[[#This Row],[ATUAL]])</f>
        <v>0</v>
      </c>
      <c r="K152" s="91">
        <f>SUMIFS(tabela_registros[VALOR],tabela_registros[MÊS],$AE$1,tabela_registros[DIA],investiroutrosconsolidadoout[[#Headers],[7]],tabela_registros[REGISTRO],DADOS!$N$5,tabela_registros[TIPO],DADOS!$AB$5,tabela_registros[CATEGORIA],investiroutrosconsolidadoout[[#This Row],[ATUAL]])</f>
        <v>0</v>
      </c>
      <c r="L152" s="91">
        <f>SUMIFS(tabela_registros[VALOR],tabela_registros[MÊS],$AE$1,tabela_registros[DIA],investiroutrosconsolidadoout[[#Headers],[8]],tabela_registros[REGISTRO],DADOS!$N$5,tabela_registros[TIPO],DADOS!$AB$5,tabela_registros[CATEGORIA],investiroutrosconsolidadoout[[#This Row],[ATUAL]])</f>
        <v>0</v>
      </c>
      <c r="M152" s="91">
        <f>SUMIFS(tabela_registros[VALOR],tabela_registros[MÊS],$AE$1,tabela_registros[DIA],investiroutrosconsolidadoout[[#Headers],[9]],tabela_registros[REGISTRO],DADOS!$N$5,tabela_registros[TIPO],DADOS!$AB$5,tabela_registros[CATEGORIA],investiroutrosconsolidadoout[[#This Row],[ATUAL]])</f>
        <v>0</v>
      </c>
      <c r="N152" s="91">
        <f>SUMIFS(tabela_registros[VALOR],tabela_registros[MÊS],$AE$1,tabela_registros[DIA],investiroutrosconsolidadoout[[#Headers],[10]],tabela_registros[REGISTRO],DADOS!$N$5,tabela_registros[TIPO],DADOS!$AB$5,tabela_registros[CATEGORIA],investiroutrosconsolidadoout[[#This Row],[ATUAL]])</f>
        <v>0</v>
      </c>
      <c r="O152" s="91">
        <f>SUMIFS(tabela_registros[VALOR],tabela_registros[MÊS],$AE$1,tabela_registros[DIA],investiroutrosconsolidadoout[[#Headers],[11]],tabela_registros[REGISTRO],DADOS!$N$5,tabela_registros[TIPO],DADOS!$AB$5,tabela_registros[CATEGORIA],investiroutrosconsolidadoout[[#This Row],[ATUAL]])</f>
        <v>0</v>
      </c>
      <c r="P152" s="91">
        <f>SUMIFS(tabela_registros[VALOR],tabela_registros[MÊS],$AE$1,tabela_registros[DIA],investiroutrosconsolidadoout[[#Headers],[12]],tabela_registros[REGISTRO],DADOS!$N$5,tabela_registros[TIPO],DADOS!$AB$5,tabela_registros[CATEGORIA],investiroutrosconsolidadoout[[#This Row],[ATUAL]])</f>
        <v>0</v>
      </c>
      <c r="Q152" s="91">
        <f>SUMIFS(tabela_registros[VALOR],tabela_registros[MÊS],$AE$1,tabela_registros[DIA],investiroutrosconsolidadoout[[#Headers],[13]],tabela_registros[REGISTRO],DADOS!$N$5,tabela_registros[TIPO],DADOS!$AB$5,tabela_registros[CATEGORIA],investiroutrosconsolidadoout[[#This Row],[ATUAL]])</f>
        <v>0</v>
      </c>
      <c r="R152" s="91">
        <f>SUMIFS(tabela_registros[VALOR],tabela_registros[MÊS],$AE$1,tabela_registros[DIA],investiroutrosconsolidadoout[[#Headers],[14]],tabela_registros[REGISTRO],DADOS!$N$5,tabela_registros[TIPO],DADOS!$AB$5,tabela_registros[CATEGORIA],investiroutrosconsolidadoout[[#This Row],[ATUAL]])</f>
        <v>0</v>
      </c>
      <c r="S152" s="91">
        <f>SUMIFS(tabela_registros[VALOR],tabela_registros[MÊS],$AE$1,tabela_registros[DIA],investiroutrosconsolidadoout[[#Headers],[15]],tabela_registros[REGISTRO],DADOS!$N$5,tabela_registros[TIPO],DADOS!$AB$5,tabela_registros[CATEGORIA],investiroutrosconsolidadoout[[#This Row],[ATUAL]])</f>
        <v>0</v>
      </c>
      <c r="T152" s="91">
        <f>SUMIFS(tabela_registros[VALOR],tabela_registros[MÊS],$AE$1,tabela_registros[DIA],investiroutrosconsolidadoout[[#Headers],[16]],tabela_registros[REGISTRO],DADOS!$N$5,tabela_registros[TIPO],DADOS!$AB$5,tabela_registros[CATEGORIA],investiroutrosconsolidadoout[[#This Row],[ATUAL]])</f>
        <v>0</v>
      </c>
      <c r="U152" s="91">
        <f>SUMIFS(tabela_registros[VALOR],tabela_registros[MÊS],$AE$1,tabela_registros[DIA],investiroutrosconsolidadoout[[#Headers],[17]],tabela_registros[REGISTRO],DADOS!$N$5,tabela_registros[TIPO],DADOS!$AB$5,tabela_registros[CATEGORIA],investiroutrosconsolidadoout[[#This Row],[ATUAL]])</f>
        <v>0</v>
      </c>
      <c r="V152" s="91">
        <f>SUMIFS(tabela_registros[VALOR],tabela_registros[MÊS],$AE$1,tabela_registros[DIA],investiroutrosconsolidadoout[[#Headers],[18]],tabela_registros[REGISTRO],DADOS!$N$5,tabela_registros[TIPO],DADOS!$AB$5,tabela_registros[CATEGORIA],investiroutrosconsolidadoout[[#This Row],[ATUAL]])</f>
        <v>0</v>
      </c>
      <c r="W152" s="91">
        <f>SUMIFS(tabela_registros[VALOR],tabela_registros[MÊS],$AE$1,tabela_registros[DIA],investiroutrosconsolidadoout[[#Headers],[19]],tabela_registros[REGISTRO],DADOS!$N$5,tabela_registros[TIPO],DADOS!$AB$5,tabela_registros[CATEGORIA],investiroutrosconsolidadoout[[#This Row],[ATUAL]])</f>
        <v>0</v>
      </c>
      <c r="X152" s="91">
        <f>SUMIFS(tabela_registros[VALOR],tabela_registros[MÊS],$AE$1,tabela_registros[DIA],investiroutrosconsolidadoout[[#Headers],[20]],tabela_registros[REGISTRO],DADOS!$N$5,tabela_registros[TIPO],DADOS!$AB$5,tabela_registros[CATEGORIA],investiroutrosconsolidadoout[[#This Row],[ATUAL]])</f>
        <v>0</v>
      </c>
      <c r="Y152" s="91">
        <f>SUMIFS(tabela_registros[VALOR],tabela_registros[MÊS],$AE$1,tabela_registros[DIA],investiroutrosconsolidadoout[[#Headers],[21]],tabela_registros[REGISTRO],DADOS!$N$5,tabela_registros[TIPO],DADOS!$AB$5,tabela_registros[CATEGORIA],investiroutrosconsolidadoout[[#This Row],[ATUAL]])</f>
        <v>0</v>
      </c>
      <c r="Z152" s="91">
        <f>SUMIFS(tabela_registros[VALOR],tabela_registros[MÊS],$AE$1,tabela_registros[DIA],investiroutrosconsolidadoout[[#Headers],[22]],tabela_registros[REGISTRO],DADOS!$N$5,tabela_registros[TIPO],DADOS!$AB$5,tabela_registros[CATEGORIA],investiroutrosconsolidadoout[[#This Row],[ATUAL]])</f>
        <v>0</v>
      </c>
      <c r="AA152" s="91">
        <f>SUMIFS(tabela_registros[VALOR],tabela_registros[MÊS],$AE$1,tabela_registros[DIA],investiroutrosconsolidadoout[[#Headers],[23]],tabela_registros[REGISTRO],DADOS!$N$5,tabela_registros[TIPO],DADOS!$AB$5,tabela_registros[CATEGORIA],investiroutrosconsolidadoout[[#This Row],[ATUAL]])</f>
        <v>0</v>
      </c>
      <c r="AB152" s="91">
        <f>SUMIFS(tabela_registros[VALOR],tabela_registros[MÊS],$AE$1,tabela_registros[DIA],investiroutrosconsolidadoout[[#Headers],[24]],tabela_registros[REGISTRO],DADOS!$N$5,tabela_registros[TIPO],DADOS!$AB$5,tabela_registros[CATEGORIA],investiroutrosconsolidadoout[[#This Row],[ATUAL]])</f>
        <v>0</v>
      </c>
      <c r="AC152" s="91">
        <f>SUMIFS(tabela_registros[VALOR],tabela_registros[MÊS],$AE$1,tabela_registros[DIA],investiroutrosconsolidadoout[[#Headers],[25]],tabela_registros[REGISTRO],DADOS!$N$5,tabela_registros[TIPO],DADOS!$AB$5,tabela_registros[CATEGORIA],investiroutrosconsolidadoout[[#This Row],[ATUAL]])</f>
        <v>0</v>
      </c>
      <c r="AD152" s="91">
        <f>SUMIFS(tabela_registros[VALOR],tabela_registros[MÊS],$AE$1,tabela_registros[DIA],investiroutrosconsolidadoout[[#Headers],[26]],tabela_registros[REGISTRO],DADOS!$N$5,tabela_registros[TIPO],DADOS!$AB$5,tabela_registros[CATEGORIA],investiroutrosconsolidadoout[[#This Row],[ATUAL]])</f>
        <v>0</v>
      </c>
      <c r="AE152" s="91">
        <f>SUMIFS(tabela_registros[VALOR],tabela_registros[MÊS],$AE$1,tabela_registros[DIA],investiroutrosconsolidadoout[[#Headers],[27]],tabela_registros[REGISTRO],DADOS!$N$5,tabela_registros[TIPO],DADOS!$AB$5,tabela_registros[CATEGORIA],investiroutrosconsolidadoout[[#This Row],[ATUAL]])</f>
        <v>0</v>
      </c>
      <c r="AF152" s="91">
        <f>SUMIFS(tabela_registros[VALOR],tabela_registros[MÊS],$AE$1,tabela_registros[DIA],investiroutrosconsolidadoout[[#Headers],[28]],tabela_registros[REGISTRO],DADOS!$N$5,tabela_registros[TIPO],DADOS!$AB$5,tabela_registros[CATEGORIA],investiroutrosconsolidadoout[[#This Row],[ATUAL]])</f>
        <v>0</v>
      </c>
      <c r="AG152" s="91">
        <f>SUMIFS(tabela_registros[VALOR],tabela_registros[MÊS],$AE$1,tabela_registros[DIA],investiroutrosconsolidadoout[[#Headers],[29]],tabela_registros[REGISTRO],DADOS!$N$5,tabela_registros[TIPO],DADOS!$AB$5,tabela_registros[CATEGORIA],investiroutrosconsolidadoout[[#This Row],[ATUAL]])</f>
        <v>0</v>
      </c>
      <c r="AH152" s="91">
        <f>SUMIFS(tabela_registros[VALOR],tabela_registros[MÊS],$AE$1,tabela_registros[DIA],investiroutrosconsolidadoout[[#Headers],[30]],tabela_registros[REGISTRO],DADOS!$N$5,tabela_registros[TIPO],DADOS!$AB$5,tabela_registros[CATEGORIA],investiroutrosconsolidadoout[[#This Row],[ATUAL]])</f>
        <v>0</v>
      </c>
      <c r="AI152" s="101">
        <f>SUMIFS(tabela_registros[VALOR],tabela_registros[MÊS],$AE$1,tabela_registros[DIA],investiroutrosconsolidadoout[[#Headers],[31]],tabela_registros[REGISTRO],DADOS!$N$5,tabela_registros[TIPO],DADOS!$AB$5,tabela_registros[CATEGORIA],investiroutrosconsolidadoout[[#This Row],[ATUAL]])</f>
        <v>0</v>
      </c>
      <c r="AJ152" s="97">
        <f>SUM(investiroutrosconsolidadoout[[#This Row],[1]:[31]])</f>
        <v>0</v>
      </c>
      <c r="AK152" s="25"/>
    </row>
    <row r="153" spans="2:37" ht="19.5" customHeight="1" thickTop="1" thickBot="1" x14ac:dyDescent="0.3">
      <c r="B153" s="28"/>
      <c r="C153" s="27" t="str">
        <f>DADOS!$AH$5</f>
        <v>📝 FUNDO DE INVESTIMENTO</v>
      </c>
      <c r="D153" s="26" t="str">
        <f>IF(investiroutrosconsolidadoout[[#This Row],[TOTAL (R$)]]=0,"",IF(OR(investiroutrosconsolidadoout[[#This Row],[TOTAL (R$)]]=LARGE($AJ$151:$AJ$158,1),investiroutrosconsolidadoout[[#This Row],[TOTAL (R$)]]=LARGE($AJ$151:$AJ$158,2)),DADOS!$I$10,""))</f>
        <v/>
      </c>
      <c r="E153" s="96">
        <f>SUMIFS(tabela_registros[VALOR],tabela_registros[MÊS],$AE$1,tabela_registros[DIA],investiroutrosconsolidadoout[[#Headers],[1]],tabela_registros[REGISTRO],DADOS!$N$5,tabela_registros[TIPO],DADOS!$AB$5,tabela_registros[CATEGORIA],investiroutrosconsolidadoout[[#This Row],[ATUAL]])</f>
        <v>0</v>
      </c>
      <c r="F153" s="91">
        <f>SUMIFS(tabela_registros[VALOR],tabela_registros[MÊS],$AE$1,tabela_registros[DIA],investiroutrosconsolidadoout[[#Headers],[2]],tabela_registros[REGISTRO],DADOS!$N$5,tabela_registros[TIPO],DADOS!$AB$5,tabela_registros[CATEGORIA],investiroutrosconsolidadoout[[#This Row],[ATUAL]])</f>
        <v>0</v>
      </c>
      <c r="G153" s="91">
        <f>SUMIFS(tabela_registros[VALOR],tabela_registros[MÊS],$AE$1,tabela_registros[DIA],investiroutrosconsolidadoout[[#Headers],[3]],tabela_registros[REGISTRO],DADOS!$N$5,tabela_registros[TIPO],DADOS!$AB$5,tabela_registros[CATEGORIA],investiroutrosconsolidadoout[[#This Row],[ATUAL]])</f>
        <v>0</v>
      </c>
      <c r="H153" s="91">
        <f>SUMIFS(tabela_registros[VALOR],tabela_registros[MÊS],$AE$1,tabela_registros[DIA],investiroutrosconsolidadoout[[#Headers],[4]],tabela_registros[REGISTRO],DADOS!$N$5,tabela_registros[TIPO],DADOS!$AB$5,tabela_registros[CATEGORIA],investiroutrosconsolidadoout[[#This Row],[ATUAL]])</f>
        <v>0</v>
      </c>
      <c r="I153" s="91">
        <f>SUMIFS(tabela_registros[VALOR],tabela_registros[MÊS],$AE$1,tabela_registros[DIA],investiroutrosconsolidadoout[[#Headers],[5]],tabela_registros[REGISTRO],DADOS!$N$5,tabela_registros[TIPO],DADOS!$AB$5,tabela_registros[CATEGORIA],investiroutrosconsolidadoout[[#This Row],[ATUAL]])</f>
        <v>0</v>
      </c>
      <c r="J153" s="91">
        <f>SUMIFS(tabela_registros[VALOR],tabela_registros[MÊS],$AE$1,tabela_registros[DIA],investiroutrosconsolidadoout[[#Headers],[6]],tabela_registros[REGISTRO],DADOS!$N$5,tabela_registros[TIPO],DADOS!$AB$5,tabela_registros[CATEGORIA],investiroutrosconsolidadoout[[#This Row],[ATUAL]])</f>
        <v>0</v>
      </c>
      <c r="K153" s="91">
        <f>SUMIFS(tabela_registros[VALOR],tabela_registros[MÊS],$AE$1,tabela_registros[DIA],investiroutrosconsolidadoout[[#Headers],[7]],tabela_registros[REGISTRO],DADOS!$N$5,tabela_registros[TIPO],DADOS!$AB$5,tabela_registros[CATEGORIA],investiroutrosconsolidadoout[[#This Row],[ATUAL]])</f>
        <v>0</v>
      </c>
      <c r="L153" s="91">
        <f>SUMIFS(tabela_registros[VALOR],tabela_registros[MÊS],$AE$1,tabela_registros[DIA],investiroutrosconsolidadoout[[#Headers],[8]],tabela_registros[REGISTRO],DADOS!$N$5,tabela_registros[TIPO],DADOS!$AB$5,tabela_registros[CATEGORIA],investiroutrosconsolidadoout[[#This Row],[ATUAL]])</f>
        <v>0</v>
      </c>
      <c r="M153" s="91">
        <f>SUMIFS(tabela_registros[VALOR],tabela_registros[MÊS],$AE$1,tabela_registros[DIA],investiroutrosconsolidadoout[[#Headers],[9]],tabela_registros[REGISTRO],DADOS!$N$5,tabela_registros[TIPO],DADOS!$AB$5,tabela_registros[CATEGORIA],investiroutrosconsolidadoout[[#This Row],[ATUAL]])</f>
        <v>0</v>
      </c>
      <c r="N153" s="91">
        <f>SUMIFS(tabela_registros[VALOR],tabela_registros[MÊS],$AE$1,tabela_registros[DIA],investiroutrosconsolidadoout[[#Headers],[10]],tabela_registros[REGISTRO],DADOS!$N$5,tabela_registros[TIPO],DADOS!$AB$5,tabela_registros[CATEGORIA],investiroutrosconsolidadoout[[#This Row],[ATUAL]])</f>
        <v>0</v>
      </c>
      <c r="O153" s="91">
        <f>SUMIFS(tabela_registros[VALOR],tabela_registros[MÊS],$AE$1,tabela_registros[DIA],investiroutrosconsolidadoout[[#Headers],[11]],tabela_registros[REGISTRO],DADOS!$N$5,tabela_registros[TIPO],DADOS!$AB$5,tabela_registros[CATEGORIA],investiroutrosconsolidadoout[[#This Row],[ATUAL]])</f>
        <v>0</v>
      </c>
      <c r="P153" s="91">
        <f>SUMIFS(tabela_registros[VALOR],tabela_registros[MÊS],$AE$1,tabela_registros[DIA],investiroutrosconsolidadoout[[#Headers],[12]],tabela_registros[REGISTRO],DADOS!$N$5,tabela_registros[TIPO],DADOS!$AB$5,tabela_registros[CATEGORIA],investiroutrosconsolidadoout[[#This Row],[ATUAL]])</f>
        <v>0</v>
      </c>
      <c r="Q153" s="91">
        <f>SUMIFS(tabela_registros[VALOR],tabela_registros[MÊS],$AE$1,tabela_registros[DIA],investiroutrosconsolidadoout[[#Headers],[13]],tabela_registros[REGISTRO],DADOS!$N$5,tabela_registros[TIPO],DADOS!$AB$5,tabela_registros[CATEGORIA],investiroutrosconsolidadoout[[#This Row],[ATUAL]])</f>
        <v>0</v>
      </c>
      <c r="R153" s="91">
        <f>SUMIFS(tabela_registros[VALOR],tabela_registros[MÊS],$AE$1,tabela_registros[DIA],investiroutrosconsolidadoout[[#Headers],[14]],tabela_registros[REGISTRO],DADOS!$N$5,tabela_registros[TIPO],DADOS!$AB$5,tabela_registros[CATEGORIA],investiroutrosconsolidadoout[[#This Row],[ATUAL]])</f>
        <v>0</v>
      </c>
      <c r="S153" s="91">
        <f>SUMIFS(tabela_registros[VALOR],tabela_registros[MÊS],$AE$1,tabela_registros[DIA],investiroutrosconsolidadoout[[#Headers],[15]],tabela_registros[REGISTRO],DADOS!$N$5,tabela_registros[TIPO],DADOS!$AB$5,tabela_registros[CATEGORIA],investiroutrosconsolidadoout[[#This Row],[ATUAL]])</f>
        <v>0</v>
      </c>
      <c r="T153" s="91">
        <f>SUMIFS(tabela_registros[VALOR],tabela_registros[MÊS],$AE$1,tabela_registros[DIA],investiroutrosconsolidadoout[[#Headers],[16]],tabela_registros[REGISTRO],DADOS!$N$5,tabela_registros[TIPO],DADOS!$AB$5,tabela_registros[CATEGORIA],investiroutrosconsolidadoout[[#This Row],[ATUAL]])</f>
        <v>0</v>
      </c>
      <c r="U153" s="91">
        <f>SUMIFS(tabela_registros[VALOR],tabela_registros[MÊS],$AE$1,tabela_registros[DIA],investiroutrosconsolidadoout[[#Headers],[17]],tabela_registros[REGISTRO],DADOS!$N$5,tabela_registros[TIPO],DADOS!$AB$5,tabela_registros[CATEGORIA],investiroutrosconsolidadoout[[#This Row],[ATUAL]])</f>
        <v>0</v>
      </c>
      <c r="V153" s="91">
        <f>SUMIFS(tabela_registros[VALOR],tabela_registros[MÊS],$AE$1,tabela_registros[DIA],investiroutrosconsolidadoout[[#Headers],[18]],tabela_registros[REGISTRO],DADOS!$N$5,tabela_registros[TIPO],DADOS!$AB$5,tabela_registros[CATEGORIA],investiroutrosconsolidadoout[[#This Row],[ATUAL]])</f>
        <v>0</v>
      </c>
      <c r="W153" s="91">
        <f>SUMIFS(tabela_registros[VALOR],tabela_registros[MÊS],$AE$1,tabela_registros[DIA],investiroutrosconsolidadoout[[#Headers],[19]],tabela_registros[REGISTRO],DADOS!$N$5,tabela_registros[TIPO],DADOS!$AB$5,tabela_registros[CATEGORIA],investiroutrosconsolidadoout[[#This Row],[ATUAL]])</f>
        <v>0</v>
      </c>
      <c r="X153" s="91">
        <f>SUMIFS(tabela_registros[VALOR],tabela_registros[MÊS],$AE$1,tabela_registros[DIA],investiroutrosconsolidadoout[[#Headers],[20]],tabela_registros[REGISTRO],DADOS!$N$5,tabela_registros[TIPO],DADOS!$AB$5,tabela_registros[CATEGORIA],investiroutrosconsolidadoout[[#This Row],[ATUAL]])</f>
        <v>0</v>
      </c>
      <c r="Y153" s="91">
        <f>SUMIFS(tabela_registros[VALOR],tabela_registros[MÊS],$AE$1,tabela_registros[DIA],investiroutrosconsolidadoout[[#Headers],[21]],tabela_registros[REGISTRO],DADOS!$N$5,tabela_registros[TIPO],DADOS!$AB$5,tabela_registros[CATEGORIA],investiroutrosconsolidadoout[[#This Row],[ATUAL]])</f>
        <v>0</v>
      </c>
      <c r="Z153" s="91">
        <f>SUMIFS(tabela_registros[VALOR],tabela_registros[MÊS],$AE$1,tabela_registros[DIA],investiroutrosconsolidadoout[[#Headers],[22]],tabela_registros[REGISTRO],DADOS!$N$5,tabela_registros[TIPO],DADOS!$AB$5,tabela_registros[CATEGORIA],investiroutrosconsolidadoout[[#This Row],[ATUAL]])</f>
        <v>0</v>
      </c>
      <c r="AA153" s="91">
        <f>SUMIFS(tabela_registros[VALOR],tabela_registros[MÊS],$AE$1,tabela_registros[DIA],investiroutrosconsolidadoout[[#Headers],[23]],tabela_registros[REGISTRO],DADOS!$N$5,tabela_registros[TIPO],DADOS!$AB$5,tabela_registros[CATEGORIA],investiroutrosconsolidadoout[[#This Row],[ATUAL]])</f>
        <v>0</v>
      </c>
      <c r="AB153" s="91">
        <f>SUMIFS(tabela_registros[VALOR],tabela_registros[MÊS],$AE$1,tabela_registros[DIA],investiroutrosconsolidadoout[[#Headers],[24]],tabela_registros[REGISTRO],DADOS!$N$5,tabela_registros[TIPO],DADOS!$AB$5,tabela_registros[CATEGORIA],investiroutrosconsolidadoout[[#This Row],[ATUAL]])</f>
        <v>0</v>
      </c>
      <c r="AC153" s="91">
        <f>SUMIFS(tabela_registros[VALOR],tabela_registros[MÊS],$AE$1,tabela_registros[DIA],investiroutrosconsolidadoout[[#Headers],[25]],tabela_registros[REGISTRO],DADOS!$N$5,tabela_registros[TIPO],DADOS!$AB$5,tabela_registros[CATEGORIA],investiroutrosconsolidadoout[[#This Row],[ATUAL]])</f>
        <v>0</v>
      </c>
      <c r="AD153" s="91">
        <f>SUMIFS(tabela_registros[VALOR],tabela_registros[MÊS],$AE$1,tabela_registros[DIA],investiroutrosconsolidadoout[[#Headers],[26]],tabela_registros[REGISTRO],DADOS!$N$5,tabela_registros[TIPO],DADOS!$AB$5,tabela_registros[CATEGORIA],investiroutrosconsolidadoout[[#This Row],[ATUAL]])</f>
        <v>0</v>
      </c>
      <c r="AE153" s="91">
        <f>SUMIFS(tabela_registros[VALOR],tabela_registros[MÊS],$AE$1,tabela_registros[DIA],investiroutrosconsolidadoout[[#Headers],[27]],tabela_registros[REGISTRO],DADOS!$N$5,tabela_registros[TIPO],DADOS!$AB$5,tabela_registros[CATEGORIA],investiroutrosconsolidadoout[[#This Row],[ATUAL]])</f>
        <v>0</v>
      </c>
      <c r="AF153" s="91">
        <f>SUMIFS(tabela_registros[VALOR],tabela_registros[MÊS],$AE$1,tabela_registros[DIA],investiroutrosconsolidadoout[[#Headers],[28]],tabela_registros[REGISTRO],DADOS!$N$5,tabela_registros[TIPO],DADOS!$AB$5,tabela_registros[CATEGORIA],investiroutrosconsolidadoout[[#This Row],[ATUAL]])</f>
        <v>0</v>
      </c>
      <c r="AG153" s="91">
        <f>SUMIFS(tabela_registros[VALOR],tabela_registros[MÊS],$AE$1,tabela_registros[DIA],investiroutrosconsolidadoout[[#Headers],[29]],tabela_registros[REGISTRO],DADOS!$N$5,tabela_registros[TIPO],DADOS!$AB$5,tabela_registros[CATEGORIA],investiroutrosconsolidadoout[[#This Row],[ATUAL]])</f>
        <v>0</v>
      </c>
      <c r="AH153" s="91">
        <f>SUMIFS(tabela_registros[VALOR],tabela_registros[MÊS],$AE$1,tabela_registros[DIA],investiroutrosconsolidadoout[[#Headers],[30]],tabela_registros[REGISTRO],DADOS!$N$5,tabela_registros[TIPO],DADOS!$AB$5,tabela_registros[CATEGORIA],investiroutrosconsolidadoout[[#This Row],[ATUAL]])</f>
        <v>0</v>
      </c>
      <c r="AI153" s="101">
        <f>SUMIFS(tabela_registros[VALOR],tabela_registros[MÊS],$AE$1,tabela_registros[DIA],investiroutrosconsolidadoout[[#Headers],[31]],tabela_registros[REGISTRO],DADOS!$N$5,tabela_registros[TIPO],DADOS!$AB$5,tabela_registros[CATEGORIA],investiroutrosconsolidadoout[[#This Row],[ATUAL]])</f>
        <v>0</v>
      </c>
      <c r="AJ153" s="97">
        <f>SUM(investiroutrosconsolidadoout[[#This Row],[1]:[31]])</f>
        <v>0</v>
      </c>
      <c r="AK153" s="25"/>
    </row>
    <row r="154" spans="2:37" ht="19.5" customHeight="1" thickTop="1" thickBot="1" x14ac:dyDescent="0.3">
      <c r="B154" s="28"/>
      <c r="C154" s="27" t="str">
        <f>DADOS!$AH$6</f>
        <v>📝 NOVA EMPRESA</v>
      </c>
      <c r="D154" s="26" t="str">
        <f>IF(investiroutrosconsolidadoout[[#This Row],[TOTAL (R$)]]=0,"",IF(OR(investiroutrosconsolidadoout[[#This Row],[TOTAL (R$)]]=LARGE($AJ$151:$AJ$158,1),investiroutrosconsolidadoout[[#This Row],[TOTAL (R$)]]=LARGE($AJ$151:$AJ$158,2)),DADOS!$I$10,""))</f>
        <v/>
      </c>
      <c r="E154" s="96">
        <f>SUMIFS(tabela_registros[VALOR],tabela_registros[MÊS],$AE$1,tabela_registros[DIA],investiroutrosconsolidadoout[[#Headers],[1]],tabela_registros[REGISTRO],DADOS!$N$5,tabela_registros[TIPO],DADOS!$AB$5,tabela_registros[CATEGORIA],investiroutrosconsolidadoout[[#This Row],[ATUAL]])</f>
        <v>0</v>
      </c>
      <c r="F154" s="91">
        <f>SUMIFS(tabela_registros[VALOR],tabela_registros[MÊS],$AE$1,tabela_registros[DIA],investiroutrosconsolidadoout[[#Headers],[2]],tabela_registros[REGISTRO],DADOS!$N$5,tabela_registros[TIPO],DADOS!$AB$5,tabela_registros[CATEGORIA],investiroutrosconsolidadoout[[#This Row],[ATUAL]])</f>
        <v>0</v>
      </c>
      <c r="G154" s="91">
        <f>SUMIFS(tabela_registros[VALOR],tabela_registros[MÊS],$AE$1,tabela_registros[DIA],investiroutrosconsolidadoout[[#Headers],[3]],tabela_registros[REGISTRO],DADOS!$N$5,tabela_registros[TIPO],DADOS!$AB$5,tabela_registros[CATEGORIA],investiroutrosconsolidadoout[[#This Row],[ATUAL]])</f>
        <v>0</v>
      </c>
      <c r="H154" s="91">
        <f>SUMIFS(tabela_registros[VALOR],tabela_registros[MÊS],$AE$1,tabela_registros[DIA],investiroutrosconsolidadoout[[#Headers],[4]],tabela_registros[REGISTRO],DADOS!$N$5,tabela_registros[TIPO],DADOS!$AB$5,tabela_registros[CATEGORIA],investiroutrosconsolidadoout[[#This Row],[ATUAL]])</f>
        <v>0</v>
      </c>
      <c r="I154" s="91">
        <f>SUMIFS(tabela_registros[VALOR],tabela_registros[MÊS],$AE$1,tabela_registros[DIA],investiroutrosconsolidadoout[[#Headers],[5]],tabela_registros[REGISTRO],DADOS!$N$5,tabela_registros[TIPO],DADOS!$AB$5,tabela_registros[CATEGORIA],investiroutrosconsolidadoout[[#This Row],[ATUAL]])</f>
        <v>0</v>
      </c>
      <c r="J154" s="91">
        <f>SUMIFS(tabela_registros[VALOR],tabela_registros[MÊS],$AE$1,tabela_registros[DIA],investiroutrosconsolidadoout[[#Headers],[6]],tabela_registros[REGISTRO],DADOS!$N$5,tabela_registros[TIPO],DADOS!$AB$5,tabela_registros[CATEGORIA],investiroutrosconsolidadoout[[#This Row],[ATUAL]])</f>
        <v>0</v>
      </c>
      <c r="K154" s="91">
        <f>SUMIFS(tabela_registros[VALOR],tabela_registros[MÊS],$AE$1,tabela_registros[DIA],investiroutrosconsolidadoout[[#Headers],[7]],tabela_registros[REGISTRO],DADOS!$N$5,tabela_registros[TIPO],DADOS!$AB$5,tabela_registros[CATEGORIA],investiroutrosconsolidadoout[[#This Row],[ATUAL]])</f>
        <v>0</v>
      </c>
      <c r="L154" s="91">
        <f>SUMIFS(tabela_registros[VALOR],tabela_registros[MÊS],$AE$1,tabela_registros[DIA],investiroutrosconsolidadoout[[#Headers],[8]],tabela_registros[REGISTRO],DADOS!$N$5,tabela_registros[TIPO],DADOS!$AB$5,tabela_registros[CATEGORIA],investiroutrosconsolidadoout[[#This Row],[ATUAL]])</f>
        <v>0</v>
      </c>
      <c r="M154" s="91">
        <f>SUMIFS(tabela_registros[VALOR],tabela_registros[MÊS],$AE$1,tabela_registros[DIA],investiroutrosconsolidadoout[[#Headers],[9]],tabela_registros[REGISTRO],DADOS!$N$5,tabela_registros[TIPO],DADOS!$AB$5,tabela_registros[CATEGORIA],investiroutrosconsolidadoout[[#This Row],[ATUAL]])</f>
        <v>0</v>
      </c>
      <c r="N154" s="91">
        <f>SUMIFS(tabela_registros[VALOR],tabela_registros[MÊS],$AE$1,tabela_registros[DIA],investiroutrosconsolidadoout[[#Headers],[10]],tabela_registros[REGISTRO],DADOS!$N$5,tabela_registros[TIPO],DADOS!$AB$5,tabela_registros[CATEGORIA],investiroutrosconsolidadoout[[#This Row],[ATUAL]])</f>
        <v>0</v>
      </c>
      <c r="O154" s="91">
        <f>SUMIFS(tabela_registros[VALOR],tabela_registros[MÊS],$AE$1,tabela_registros[DIA],investiroutrosconsolidadoout[[#Headers],[11]],tabela_registros[REGISTRO],DADOS!$N$5,tabela_registros[TIPO],DADOS!$AB$5,tabela_registros[CATEGORIA],investiroutrosconsolidadoout[[#This Row],[ATUAL]])</f>
        <v>0</v>
      </c>
      <c r="P154" s="91">
        <f>SUMIFS(tabela_registros[VALOR],tabela_registros[MÊS],$AE$1,tabela_registros[DIA],investiroutrosconsolidadoout[[#Headers],[12]],tabela_registros[REGISTRO],DADOS!$N$5,tabela_registros[TIPO],DADOS!$AB$5,tabela_registros[CATEGORIA],investiroutrosconsolidadoout[[#This Row],[ATUAL]])</f>
        <v>0</v>
      </c>
      <c r="Q154" s="91">
        <f>SUMIFS(tabela_registros[VALOR],tabela_registros[MÊS],$AE$1,tabela_registros[DIA],investiroutrosconsolidadoout[[#Headers],[13]],tabela_registros[REGISTRO],DADOS!$N$5,tabela_registros[TIPO],DADOS!$AB$5,tabela_registros[CATEGORIA],investiroutrosconsolidadoout[[#This Row],[ATUAL]])</f>
        <v>0</v>
      </c>
      <c r="R154" s="91">
        <f>SUMIFS(tabela_registros[VALOR],tabela_registros[MÊS],$AE$1,tabela_registros[DIA],investiroutrosconsolidadoout[[#Headers],[14]],tabela_registros[REGISTRO],DADOS!$N$5,tabela_registros[TIPO],DADOS!$AB$5,tabela_registros[CATEGORIA],investiroutrosconsolidadoout[[#This Row],[ATUAL]])</f>
        <v>0</v>
      </c>
      <c r="S154" s="91">
        <f>SUMIFS(tabela_registros[VALOR],tabela_registros[MÊS],$AE$1,tabela_registros[DIA],investiroutrosconsolidadoout[[#Headers],[15]],tabela_registros[REGISTRO],DADOS!$N$5,tabela_registros[TIPO],DADOS!$AB$5,tabela_registros[CATEGORIA],investiroutrosconsolidadoout[[#This Row],[ATUAL]])</f>
        <v>0</v>
      </c>
      <c r="T154" s="91">
        <f>SUMIFS(tabela_registros[VALOR],tabela_registros[MÊS],$AE$1,tabela_registros[DIA],investiroutrosconsolidadoout[[#Headers],[16]],tabela_registros[REGISTRO],DADOS!$N$5,tabela_registros[TIPO],DADOS!$AB$5,tabela_registros[CATEGORIA],investiroutrosconsolidadoout[[#This Row],[ATUAL]])</f>
        <v>0</v>
      </c>
      <c r="U154" s="91">
        <f>SUMIFS(tabela_registros[VALOR],tabela_registros[MÊS],$AE$1,tabela_registros[DIA],investiroutrosconsolidadoout[[#Headers],[17]],tabela_registros[REGISTRO],DADOS!$N$5,tabela_registros[TIPO],DADOS!$AB$5,tabela_registros[CATEGORIA],investiroutrosconsolidadoout[[#This Row],[ATUAL]])</f>
        <v>0</v>
      </c>
      <c r="V154" s="91">
        <f>SUMIFS(tabela_registros[VALOR],tabela_registros[MÊS],$AE$1,tabela_registros[DIA],investiroutrosconsolidadoout[[#Headers],[18]],tabela_registros[REGISTRO],DADOS!$N$5,tabela_registros[TIPO],DADOS!$AB$5,tabela_registros[CATEGORIA],investiroutrosconsolidadoout[[#This Row],[ATUAL]])</f>
        <v>0</v>
      </c>
      <c r="W154" s="91">
        <f>SUMIFS(tabela_registros[VALOR],tabela_registros[MÊS],$AE$1,tabela_registros[DIA],investiroutrosconsolidadoout[[#Headers],[19]],tabela_registros[REGISTRO],DADOS!$N$5,tabela_registros[TIPO],DADOS!$AB$5,tabela_registros[CATEGORIA],investiroutrosconsolidadoout[[#This Row],[ATUAL]])</f>
        <v>0</v>
      </c>
      <c r="X154" s="91">
        <f>SUMIFS(tabela_registros[VALOR],tabela_registros[MÊS],$AE$1,tabela_registros[DIA],investiroutrosconsolidadoout[[#Headers],[20]],tabela_registros[REGISTRO],DADOS!$N$5,tabela_registros[TIPO],DADOS!$AB$5,tabela_registros[CATEGORIA],investiroutrosconsolidadoout[[#This Row],[ATUAL]])</f>
        <v>0</v>
      </c>
      <c r="Y154" s="91">
        <f>SUMIFS(tabela_registros[VALOR],tabela_registros[MÊS],$AE$1,tabela_registros[DIA],investiroutrosconsolidadoout[[#Headers],[21]],tabela_registros[REGISTRO],DADOS!$N$5,tabela_registros[TIPO],DADOS!$AB$5,tabela_registros[CATEGORIA],investiroutrosconsolidadoout[[#This Row],[ATUAL]])</f>
        <v>0</v>
      </c>
      <c r="Z154" s="91">
        <f>SUMIFS(tabela_registros[VALOR],tabela_registros[MÊS],$AE$1,tabela_registros[DIA],investiroutrosconsolidadoout[[#Headers],[22]],tabela_registros[REGISTRO],DADOS!$N$5,tabela_registros[TIPO],DADOS!$AB$5,tabela_registros[CATEGORIA],investiroutrosconsolidadoout[[#This Row],[ATUAL]])</f>
        <v>0</v>
      </c>
      <c r="AA154" s="91">
        <f>SUMIFS(tabela_registros[VALOR],tabela_registros[MÊS],$AE$1,tabela_registros[DIA],investiroutrosconsolidadoout[[#Headers],[23]],tabela_registros[REGISTRO],DADOS!$N$5,tabela_registros[TIPO],DADOS!$AB$5,tabela_registros[CATEGORIA],investiroutrosconsolidadoout[[#This Row],[ATUAL]])</f>
        <v>0</v>
      </c>
      <c r="AB154" s="91">
        <f>SUMIFS(tabela_registros[VALOR],tabela_registros[MÊS],$AE$1,tabela_registros[DIA],investiroutrosconsolidadoout[[#Headers],[24]],tabela_registros[REGISTRO],DADOS!$N$5,tabela_registros[TIPO],DADOS!$AB$5,tabela_registros[CATEGORIA],investiroutrosconsolidadoout[[#This Row],[ATUAL]])</f>
        <v>0</v>
      </c>
      <c r="AC154" s="91">
        <f>SUMIFS(tabela_registros[VALOR],tabela_registros[MÊS],$AE$1,tabela_registros[DIA],investiroutrosconsolidadoout[[#Headers],[25]],tabela_registros[REGISTRO],DADOS!$N$5,tabela_registros[TIPO],DADOS!$AB$5,tabela_registros[CATEGORIA],investiroutrosconsolidadoout[[#This Row],[ATUAL]])</f>
        <v>0</v>
      </c>
      <c r="AD154" s="91">
        <f>SUMIFS(tabela_registros[VALOR],tabela_registros[MÊS],$AE$1,tabela_registros[DIA],investiroutrosconsolidadoout[[#Headers],[26]],tabela_registros[REGISTRO],DADOS!$N$5,tabela_registros[TIPO],DADOS!$AB$5,tabela_registros[CATEGORIA],investiroutrosconsolidadoout[[#This Row],[ATUAL]])</f>
        <v>0</v>
      </c>
      <c r="AE154" s="91">
        <f>SUMIFS(tabela_registros[VALOR],tabela_registros[MÊS],$AE$1,tabela_registros[DIA],investiroutrosconsolidadoout[[#Headers],[27]],tabela_registros[REGISTRO],DADOS!$N$5,tabela_registros[TIPO],DADOS!$AB$5,tabela_registros[CATEGORIA],investiroutrosconsolidadoout[[#This Row],[ATUAL]])</f>
        <v>0</v>
      </c>
      <c r="AF154" s="91">
        <f>SUMIFS(tabela_registros[VALOR],tabela_registros[MÊS],$AE$1,tabela_registros[DIA],investiroutrosconsolidadoout[[#Headers],[28]],tabela_registros[REGISTRO],DADOS!$N$5,tabela_registros[TIPO],DADOS!$AB$5,tabela_registros[CATEGORIA],investiroutrosconsolidadoout[[#This Row],[ATUAL]])</f>
        <v>0</v>
      </c>
      <c r="AG154" s="91">
        <f>SUMIFS(tabela_registros[VALOR],tabela_registros[MÊS],$AE$1,tabela_registros[DIA],investiroutrosconsolidadoout[[#Headers],[29]],tabela_registros[REGISTRO],DADOS!$N$5,tabela_registros[TIPO],DADOS!$AB$5,tabela_registros[CATEGORIA],investiroutrosconsolidadoout[[#This Row],[ATUAL]])</f>
        <v>0</v>
      </c>
      <c r="AH154" s="91">
        <f>SUMIFS(tabela_registros[VALOR],tabela_registros[MÊS],$AE$1,tabela_registros[DIA],investiroutrosconsolidadoout[[#Headers],[30]],tabela_registros[REGISTRO],DADOS!$N$5,tabela_registros[TIPO],DADOS!$AB$5,tabela_registros[CATEGORIA],investiroutrosconsolidadoout[[#This Row],[ATUAL]])</f>
        <v>0</v>
      </c>
      <c r="AI154" s="101">
        <f>SUMIFS(tabela_registros[VALOR],tabela_registros[MÊS],$AE$1,tabela_registros[DIA],investiroutrosconsolidadoout[[#Headers],[31]],tabela_registros[REGISTRO],DADOS!$N$5,tabela_registros[TIPO],DADOS!$AB$5,tabela_registros[CATEGORIA],investiroutrosconsolidadoout[[#This Row],[ATUAL]])</f>
        <v>0</v>
      </c>
      <c r="AJ154" s="97">
        <f>SUM(investiroutrosconsolidadoout[[#This Row],[1]:[31]])</f>
        <v>0</v>
      </c>
      <c r="AK154" s="25"/>
    </row>
    <row r="155" spans="2:37" ht="19.5" customHeight="1" thickTop="1" thickBot="1" x14ac:dyDescent="0.3">
      <c r="B155" s="28"/>
      <c r="C155" s="27" t="str">
        <f>DADOS!$AH$7</f>
        <v>📝 PEER TO COMPANY</v>
      </c>
      <c r="D155" s="26" t="str">
        <f>IF(investiroutrosconsolidadoout[[#This Row],[TOTAL (R$)]]=0,"",IF(OR(investiroutrosconsolidadoout[[#This Row],[TOTAL (R$)]]=LARGE($AJ$151:$AJ$158,1),investiroutrosconsolidadoout[[#This Row],[TOTAL (R$)]]=LARGE($AJ$151:$AJ$158,2)),DADOS!$I$10,""))</f>
        <v/>
      </c>
      <c r="E155" s="96">
        <f>SUMIFS(tabela_registros[VALOR],tabela_registros[MÊS],$AE$1,tabela_registros[DIA],investiroutrosconsolidadoout[[#Headers],[1]],tabela_registros[REGISTRO],DADOS!$N$5,tabela_registros[TIPO],DADOS!$AB$5,tabela_registros[CATEGORIA],investiroutrosconsolidadoout[[#This Row],[ATUAL]])</f>
        <v>0</v>
      </c>
      <c r="F155" s="91">
        <f>SUMIFS(tabela_registros[VALOR],tabela_registros[MÊS],$AE$1,tabela_registros[DIA],investiroutrosconsolidadoout[[#Headers],[2]],tabela_registros[REGISTRO],DADOS!$N$5,tabela_registros[TIPO],DADOS!$AB$5,tabela_registros[CATEGORIA],investiroutrosconsolidadoout[[#This Row],[ATUAL]])</f>
        <v>0</v>
      </c>
      <c r="G155" s="91">
        <f>SUMIFS(tabela_registros[VALOR],tabela_registros[MÊS],$AE$1,tabela_registros[DIA],investiroutrosconsolidadoout[[#Headers],[3]],tabela_registros[REGISTRO],DADOS!$N$5,tabela_registros[TIPO],DADOS!$AB$5,tabela_registros[CATEGORIA],investiroutrosconsolidadoout[[#This Row],[ATUAL]])</f>
        <v>0</v>
      </c>
      <c r="H155" s="91">
        <f>SUMIFS(tabela_registros[VALOR],tabela_registros[MÊS],$AE$1,tabela_registros[DIA],investiroutrosconsolidadoout[[#Headers],[4]],tabela_registros[REGISTRO],DADOS!$N$5,tabela_registros[TIPO],DADOS!$AB$5,tabela_registros[CATEGORIA],investiroutrosconsolidadoout[[#This Row],[ATUAL]])</f>
        <v>0</v>
      </c>
      <c r="I155" s="91">
        <f>SUMIFS(tabela_registros[VALOR],tabela_registros[MÊS],$AE$1,tabela_registros[DIA],investiroutrosconsolidadoout[[#Headers],[5]],tabela_registros[REGISTRO],DADOS!$N$5,tabela_registros[TIPO],DADOS!$AB$5,tabela_registros[CATEGORIA],investiroutrosconsolidadoout[[#This Row],[ATUAL]])</f>
        <v>0</v>
      </c>
      <c r="J155" s="91">
        <f>SUMIFS(tabela_registros[VALOR],tabela_registros[MÊS],$AE$1,tabela_registros[DIA],investiroutrosconsolidadoout[[#Headers],[6]],tabela_registros[REGISTRO],DADOS!$N$5,tabela_registros[TIPO],DADOS!$AB$5,tabela_registros[CATEGORIA],investiroutrosconsolidadoout[[#This Row],[ATUAL]])</f>
        <v>0</v>
      </c>
      <c r="K155" s="91">
        <f>SUMIFS(tabela_registros[VALOR],tabela_registros[MÊS],$AE$1,tabela_registros[DIA],investiroutrosconsolidadoout[[#Headers],[7]],tabela_registros[REGISTRO],DADOS!$N$5,tabela_registros[TIPO],DADOS!$AB$5,tabela_registros[CATEGORIA],investiroutrosconsolidadoout[[#This Row],[ATUAL]])</f>
        <v>0</v>
      </c>
      <c r="L155" s="91">
        <f>SUMIFS(tabela_registros[VALOR],tabela_registros[MÊS],$AE$1,tabela_registros[DIA],investiroutrosconsolidadoout[[#Headers],[8]],tabela_registros[REGISTRO],DADOS!$N$5,tabela_registros[TIPO],DADOS!$AB$5,tabela_registros[CATEGORIA],investiroutrosconsolidadoout[[#This Row],[ATUAL]])</f>
        <v>0</v>
      </c>
      <c r="M155" s="91">
        <f>SUMIFS(tabela_registros[VALOR],tabela_registros[MÊS],$AE$1,tabela_registros[DIA],investiroutrosconsolidadoout[[#Headers],[9]],tabela_registros[REGISTRO],DADOS!$N$5,tabela_registros[TIPO],DADOS!$AB$5,tabela_registros[CATEGORIA],investiroutrosconsolidadoout[[#This Row],[ATUAL]])</f>
        <v>0</v>
      </c>
      <c r="N155" s="91">
        <f>SUMIFS(tabela_registros[VALOR],tabela_registros[MÊS],$AE$1,tabela_registros[DIA],investiroutrosconsolidadoout[[#Headers],[10]],tabela_registros[REGISTRO],DADOS!$N$5,tabela_registros[TIPO],DADOS!$AB$5,tabela_registros[CATEGORIA],investiroutrosconsolidadoout[[#This Row],[ATUAL]])</f>
        <v>0</v>
      </c>
      <c r="O155" s="91">
        <f>SUMIFS(tabela_registros[VALOR],tabela_registros[MÊS],$AE$1,tabela_registros[DIA],investiroutrosconsolidadoout[[#Headers],[11]],tabela_registros[REGISTRO],DADOS!$N$5,tabela_registros[TIPO],DADOS!$AB$5,tabela_registros[CATEGORIA],investiroutrosconsolidadoout[[#This Row],[ATUAL]])</f>
        <v>0</v>
      </c>
      <c r="P155" s="91">
        <f>SUMIFS(tabela_registros[VALOR],tabela_registros[MÊS],$AE$1,tabela_registros[DIA],investiroutrosconsolidadoout[[#Headers],[12]],tabela_registros[REGISTRO],DADOS!$N$5,tabela_registros[TIPO],DADOS!$AB$5,tabela_registros[CATEGORIA],investiroutrosconsolidadoout[[#This Row],[ATUAL]])</f>
        <v>0</v>
      </c>
      <c r="Q155" s="91">
        <f>SUMIFS(tabela_registros[VALOR],tabela_registros[MÊS],$AE$1,tabela_registros[DIA],investiroutrosconsolidadoout[[#Headers],[13]],tabela_registros[REGISTRO],DADOS!$N$5,tabela_registros[TIPO],DADOS!$AB$5,tabela_registros[CATEGORIA],investiroutrosconsolidadoout[[#This Row],[ATUAL]])</f>
        <v>0</v>
      </c>
      <c r="R155" s="91">
        <f>SUMIFS(tabela_registros[VALOR],tabela_registros[MÊS],$AE$1,tabela_registros[DIA],investiroutrosconsolidadoout[[#Headers],[14]],tabela_registros[REGISTRO],DADOS!$N$5,tabela_registros[TIPO],DADOS!$AB$5,tabela_registros[CATEGORIA],investiroutrosconsolidadoout[[#This Row],[ATUAL]])</f>
        <v>0</v>
      </c>
      <c r="S155" s="91">
        <f>SUMIFS(tabela_registros[VALOR],tabela_registros[MÊS],$AE$1,tabela_registros[DIA],investiroutrosconsolidadoout[[#Headers],[15]],tabela_registros[REGISTRO],DADOS!$N$5,tabela_registros[TIPO],DADOS!$AB$5,tabela_registros[CATEGORIA],investiroutrosconsolidadoout[[#This Row],[ATUAL]])</f>
        <v>0</v>
      </c>
      <c r="T155" s="91">
        <f>SUMIFS(tabela_registros[VALOR],tabela_registros[MÊS],$AE$1,tabela_registros[DIA],investiroutrosconsolidadoout[[#Headers],[16]],tabela_registros[REGISTRO],DADOS!$N$5,tabela_registros[TIPO],DADOS!$AB$5,tabela_registros[CATEGORIA],investiroutrosconsolidadoout[[#This Row],[ATUAL]])</f>
        <v>0</v>
      </c>
      <c r="U155" s="91">
        <f>SUMIFS(tabela_registros[VALOR],tabela_registros[MÊS],$AE$1,tabela_registros[DIA],investiroutrosconsolidadoout[[#Headers],[17]],tabela_registros[REGISTRO],DADOS!$N$5,tabela_registros[TIPO],DADOS!$AB$5,tabela_registros[CATEGORIA],investiroutrosconsolidadoout[[#This Row],[ATUAL]])</f>
        <v>0</v>
      </c>
      <c r="V155" s="91">
        <f>SUMIFS(tabela_registros[VALOR],tabela_registros[MÊS],$AE$1,tabela_registros[DIA],investiroutrosconsolidadoout[[#Headers],[18]],tabela_registros[REGISTRO],DADOS!$N$5,tabela_registros[TIPO],DADOS!$AB$5,tabela_registros[CATEGORIA],investiroutrosconsolidadoout[[#This Row],[ATUAL]])</f>
        <v>0</v>
      </c>
      <c r="W155" s="91">
        <f>SUMIFS(tabela_registros[VALOR],tabela_registros[MÊS],$AE$1,tabela_registros[DIA],investiroutrosconsolidadoout[[#Headers],[19]],tabela_registros[REGISTRO],DADOS!$N$5,tabela_registros[TIPO],DADOS!$AB$5,tabela_registros[CATEGORIA],investiroutrosconsolidadoout[[#This Row],[ATUAL]])</f>
        <v>0</v>
      </c>
      <c r="X155" s="91">
        <f>SUMIFS(tabela_registros[VALOR],tabela_registros[MÊS],$AE$1,tabela_registros[DIA],investiroutrosconsolidadoout[[#Headers],[20]],tabela_registros[REGISTRO],DADOS!$N$5,tabela_registros[TIPO],DADOS!$AB$5,tabela_registros[CATEGORIA],investiroutrosconsolidadoout[[#This Row],[ATUAL]])</f>
        <v>0</v>
      </c>
      <c r="Y155" s="91">
        <f>SUMIFS(tabela_registros[VALOR],tabela_registros[MÊS],$AE$1,tabela_registros[DIA],investiroutrosconsolidadoout[[#Headers],[21]],tabela_registros[REGISTRO],DADOS!$N$5,tabela_registros[TIPO],DADOS!$AB$5,tabela_registros[CATEGORIA],investiroutrosconsolidadoout[[#This Row],[ATUAL]])</f>
        <v>0</v>
      </c>
      <c r="Z155" s="91">
        <f>SUMIFS(tabela_registros[VALOR],tabela_registros[MÊS],$AE$1,tabela_registros[DIA],investiroutrosconsolidadoout[[#Headers],[22]],tabela_registros[REGISTRO],DADOS!$N$5,tabela_registros[TIPO],DADOS!$AB$5,tabela_registros[CATEGORIA],investiroutrosconsolidadoout[[#This Row],[ATUAL]])</f>
        <v>0</v>
      </c>
      <c r="AA155" s="91">
        <f>SUMIFS(tabela_registros[VALOR],tabela_registros[MÊS],$AE$1,tabela_registros[DIA],investiroutrosconsolidadoout[[#Headers],[23]],tabela_registros[REGISTRO],DADOS!$N$5,tabela_registros[TIPO],DADOS!$AB$5,tabela_registros[CATEGORIA],investiroutrosconsolidadoout[[#This Row],[ATUAL]])</f>
        <v>0</v>
      </c>
      <c r="AB155" s="91">
        <f>SUMIFS(tabela_registros[VALOR],tabela_registros[MÊS],$AE$1,tabela_registros[DIA],investiroutrosconsolidadoout[[#Headers],[24]],tabela_registros[REGISTRO],DADOS!$N$5,tabela_registros[TIPO],DADOS!$AB$5,tabela_registros[CATEGORIA],investiroutrosconsolidadoout[[#This Row],[ATUAL]])</f>
        <v>0</v>
      </c>
      <c r="AC155" s="91">
        <f>SUMIFS(tabela_registros[VALOR],tabela_registros[MÊS],$AE$1,tabela_registros[DIA],investiroutrosconsolidadoout[[#Headers],[25]],tabela_registros[REGISTRO],DADOS!$N$5,tabela_registros[TIPO],DADOS!$AB$5,tabela_registros[CATEGORIA],investiroutrosconsolidadoout[[#This Row],[ATUAL]])</f>
        <v>0</v>
      </c>
      <c r="AD155" s="91">
        <f>SUMIFS(tabela_registros[VALOR],tabela_registros[MÊS],$AE$1,tabela_registros[DIA],investiroutrosconsolidadoout[[#Headers],[26]],tabela_registros[REGISTRO],DADOS!$N$5,tabela_registros[TIPO],DADOS!$AB$5,tabela_registros[CATEGORIA],investiroutrosconsolidadoout[[#This Row],[ATUAL]])</f>
        <v>0</v>
      </c>
      <c r="AE155" s="91">
        <f>SUMIFS(tabela_registros[VALOR],tabela_registros[MÊS],$AE$1,tabela_registros[DIA],investiroutrosconsolidadoout[[#Headers],[27]],tabela_registros[REGISTRO],DADOS!$N$5,tabela_registros[TIPO],DADOS!$AB$5,tabela_registros[CATEGORIA],investiroutrosconsolidadoout[[#This Row],[ATUAL]])</f>
        <v>0</v>
      </c>
      <c r="AF155" s="91">
        <f>SUMIFS(tabela_registros[VALOR],tabela_registros[MÊS],$AE$1,tabela_registros[DIA],investiroutrosconsolidadoout[[#Headers],[28]],tabela_registros[REGISTRO],DADOS!$N$5,tabela_registros[TIPO],DADOS!$AB$5,tabela_registros[CATEGORIA],investiroutrosconsolidadoout[[#This Row],[ATUAL]])</f>
        <v>0</v>
      </c>
      <c r="AG155" s="91">
        <f>SUMIFS(tabela_registros[VALOR],tabela_registros[MÊS],$AE$1,tabela_registros[DIA],investiroutrosconsolidadoout[[#Headers],[29]],tabela_registros[REGISTRO],DADOS!$N$5,tabela_registros[TIPO],DADOS!$AB$5,tabela_registros[CATEGORIA],investiroutrosconsolidadoout[[#This Row],[ATUAL]])</f>
        <v>0</v>
      </c>
      <c r="AH155" s="91">
        <f>SUMIFS(tabela_registros[VALOR],tabela_registros[MÊS],$AE$1,tabela_registros[DIA],investiroutrosconsolidadoout[[#Headers],[30]],tabela_registros[REGISTRO],DADOS!$N$5,tabela_registros[TIPO],DADOS!$AB$5,tabela_registros[CATEGORIA],investiroutrosconsolidadoout[[#This Row],[ATUAL]])</f>
        <v>0</v>
      </c>
      <c r="AI155" s="101">
        <f>SUMIFS(tabela_registros[VALOR],tabela_registros[MÊS],$AE$1,tabela_registros[DIA],investiroutrosconsolidadoout[[#Headers],[31]],tabela_registros[REGISTRO],DADOS!$N$5,tabela_registros[TIPO],DADOS!$AB$5,tabela_registros[CATEGORIA],investiroutrosconsolidadoout[[#This Row],[ATUAL]])</f>
        <v>0</v>
      </c>
      <c r="AJ155" s="97">
        <f>SUM(investiroutrosconsolidadoout[[#This Row],[1]:[31]])</f>
        <v>0</v>
      </c>
      <c r="AK155" s="25"/>
    </row>
    <row r="156" spans="2:37" ht="19.5" customHeight="1" thickTop="1" thickBot="1" x14ac:dyDescent="0.3">
      <c r="B156" s="28"/>
      <c r="C156" s="27" t="str">
        <f>DADOS!$AH$8</f>
        <v>📝 PEER TO PEER</v>
      </c>
      <c r="D156" s="26" t="str">
        <f>IF(investiroutrosconsolidadoout[[#This Row],[TOTAL (R$)]]=0,"",IF(OR(investiroutrosconsolidadoout[[#This Row],[TOTAL (R$)]]=LARGE($AJ$151:$AJ$158,1),investiroutrosconsolidadoout[[#This Row],[TOTAL (R$)]]=LARGE($AJ$151:$AJ$158,2)),DADOS!$I$10,""))</f>
        <v/>
      </c>
      <c r="E156" s="96">
        <f>SUMIFS(tabela_registros[VALOR],tabela_registros[MÊS],$AE$1,tabela_registros[DIA],investiroutrosconsolidadoout[[#Headers],[1]],tabela_registros[REGISTRO],DADOS!$N$5,tabela_registros[TIPO],DADOS!$AB$5,tabela_registros[CATEGORIA],investiroutrosconsolidadoout[[#This Row],[ATUAL]])</f>
        <v>0</v>
      </c>
      <c r="F156" s="91">
        <f>SUMIFS(tabela_registros[VALOR],tabela_registros[MÊS],$AE$1,tabela_registros[DIA],investiroutrosconsolidadoout[[#Headers],[2]],tabela_registros[REGISTRO],DADOS!$N$5,tabela_registros[TIPO],DADOS!$AB$5,tabela_registros[CATEGORIA],investiroutrosconsolidadoout[[#This Row],[ATUAL]])</f>
        <v>0</v>
      </c>
      <c r="G156" s="91">
        <f>SUMIFS(tabela_registros[VALOR],tabela_registros[MÊS],$AE$1,tabela_registros[DIA],investiroutrosconsolidadoout[[#Headers],[3]],tabela_registros[REGISTRO],DADOS!$N$5,tabela_registros[TIPO],DADOS!$AB$5,tabela_registros[CATEGORIA],investiroutrosconsolidadoout[[#This Row],[ATUAL]])</f>
        <v>0</v>
      </c>
      <c r="H156" s="91">
        <f>SUMIFS(tabela_registros[VALOR],tabela_registros[MÊS],$AE$1,tabela_registros[DIA],investiroutrosconsolidadoout[[#Headers],[4]],tabela_registros[REGISTRO],DADOS!$N$5,tabela_registros[TIPO],DADOS!$AB$5,tabela_registros[CATEGORIA],investiroutrosconsolidadoout[[#This Row],[ATUAL]])</f>
        <v>0</v>
      </c>
      <c r="I156" s="91">
        <f>SUMIFS(tabela_registros[VALOR],tabela_registros[MÊS],$AE$1,tabela_registros[DIA],investiroutrosconsolidadoout[[#Headers],[5]],tabela_registros[REGISTRO],DADOS!$N$5,tabela_registros[TIPO],DADOS!$AB$5,tabela_registros[CATEGORIA],investiroutrosconsolidadoout[[#This Row],[ATUAL]])</f>
        <v>0</v>
      </c>
      <c r="J156" s="91">
        <f>SUMIFS(tabela_registros[VALOR],tabela_registros[MÊS],$AE$1,tabela_registros[DIA],investiroutrosconsolidadoout[[#Headers],[6]],tabela_registros[REGISTRO],DADOS!$N$5,tabela_registros[TIPO],DADOS!$AB$5,tabela_registros[CATEGORIA],investiroutrosconsolidadoout[[#This Row],[ATUAL]])</f>
        <v>0</v>
      </c>
      <c r="K156" s="91">
        <f>SUMIFS(tabela_registros[VALOR],tabela_registros[MÊS],$AE$1,tabela_registros[DIA],investiroutrosconsolidadoout[[#Headers],[7]],tabela_registros[REGISTRO],DADOS!$N$5,tabela_registros[TIPO],DADOS!$AB$5,tabela_registros[CATEGORIA],investiroutrosconsolidadoout[[#This Row],[ATUAL]])</f>
        <v>0</v>
      </c>
      <c r="L156" s="91">
        <f>SUMIFS(tabela_registros[VALOR],tabela_registros[MÊS],$AE$1,tabela_registros[DIA],investiroutrosconsolidadoout[[#Headers],[8]],tabela_registros[REGISTRO],DADOS!$N$5,tabela_registros[TIPO],DADOS!$AB$5,tabela_registros[CATEGORIA],investiroutrosconsolidadoout[[#This Row],[ATUAL]])</f>
        <v>0</v>
      </c>
      <c r="M156" s="91">
        <f>SUMIFS(tabela_registros[VALOR],tabela_registros[MÊS],$AE$1,tabela_registros[DIA],investiroutrosconsolidadoout[[#Headers],[9]],tabela_registros[REGISTRO],DADOS!$N$5,tabela_registros[TIPO],DADOS!$AB$5,tabela_registros[CATEGORIA],investiroutrosconsolidadoout[[#This Row],[ATUAL]])</f>
        <v>0</v>
      </c>
      <c r="N156" s="91">
        <f>SUMIFS(tabela_registros[VALOR],tabela_registros[MÊS],$AE$1,tabela_registros[DIA],investiroutrosconsolidadoout[[#Headers],[10]],tabela_registros[REGISTRO],DADOS!$N$5,tabela_registros[TIPO],DADOS!$AB$5,tabela_registros[CATEGORIA],investiroutrosconsolidadoout[[#This Row],[ATUAL]])</f>
        <v>0</v>
      </c>
      <c r="O156" s="91">
        <f>SUMIFS(tabela_registros[VALOR],tabela_registros[MÊS],$AE$1,tabela_registros[DIA],investiroutrosconsolidadoout[[#Headers],[11]],tabela_registros[REGISTRO],DADOS!$N$5,tabela_registros[TIPO],DADOS!$AB$5,tabela_registros[CATEGORIA],investiroutrosconsolidadoout[[#This Row],[ATUAL]])</f>
        <v>0</v>
      </c>
      <c r="P156" s="91">
        <f>SUMIFS(tabela_registros[VALOR],tabela_registros[MÊS],$AE$1,tabela_registros[DIA],investiroutrosconsolidadoout[[#Headers],[12]],tabela_registros[REGISTRO],DADOS!$N$5,tabela_registros[TIPO],DADOS!$AB$5,tabela_registros[CATEGORIA],investiroutrosconsolidadoout[[#This Row],[ATUAL]])</f>
        <v>0</v>
      </c>
      <c r="Q156" s="91">
        <f>SUMIFS(tabela_registros[VALOR],tabela_registros[MÊS],$AE$1,tabela_registros[DIA],investiroutrosconsolidadoout[[#Headers],[13]],tabela_registros[REGISTRO],DADOS!$N$5,tabela_registros[TIPO],DADOS!$AB$5,tabela_registros[CATEGORIA],investiroutrosconsolidadoout[[#This Row],[ATUAL]])</f>
        <v>0</v>
      </c>
      <c r="R156" s="91">
        <f>SUMIFS(tabela_registros[VALOR],tabela_registros[MÊS],$AE$1,tabela_registros[DIA],investiroutrosconsolidadoout[[#Headers],[14]],tabela_registros[REGISTRO],DADOS!$N$5,tabela_registros[TIPO],DADOS!$AB$5,tabela_registros[CATEGORIA],investiroutrosconsolidadoout[[#This Row],[ATUAL]])</f>
        <v>0</v>
      </c>
      <c r="S156" s="91">
        <f>SUMIFS(tabela_registros[VALOR],tabela_registros[MÊS],$AE$1,tabela_registros[DIA],investiroutrosconsolidadoout[[#Headers],[15]],tabela_registros[REGISTRO],DADOS!$N$5,tabela_registros[TIPO],DADOS!$AB$5,tabela_registros[CATEGORIA],investiroutrosconsolidadoout[[#This Row],[ATUAL]])</f>
        <v>0</v>
      </c>
      <c r="T156" s="91">
        <f>SUMIFS(tabela_registros[VALOR],tabela_registros[MÊS],$AE$1,tabela_registros[DIA],investiroutrosconsolidadoout[[#Headers],[16]],tabela_registros[REGISTRO],DADOS!$N$5,tabela_registros[TIPO],DADOS!$AB$5,tabela_registros[CATEGORIA],investiroutrosconsolidadoout[[#This Row],[ATUAL]])</f>
        <v>0</v>
      </c>
      <c r="U156" s="91">
        <f>SUMIFS(tabela_registros[VALOR],tabela_registros[MÊS],$AE$1,tabela_registros[DIA],investiroutrosconsolidadoout[[#Headers],[17]],tabela_registros[REGISTRO],DADOS!$N$5,tabela_registros[TIPO],DADOS!$AB$5,tabela_registros[CATEGORIA],investiroutrosconsolidadoout[[#This Row],[ATUAL]])</f>
        <v>0</v>
      </c>
      <c r="V156" s="91">
        <f>SUMIFS(tabela_registros[VALOR],tabela_registros[MÊS],$AE$1,tabela_registros[DIA],investiroutrosconsolidadoout[[#Headers],[18]],tabela_registros[REGISTRO],DADOS!$N$5,tabela_registros[TIPO],DADOS!$AB$5,tabela_registros[CATEGORIA],investiroutrosconsolidadoout[[#This Row],[ATUAL]])</f>
        <v>0</v>
      </c>
      <c r="W156" s="91">
        <f>SUMIFS(tabela_registros[VALOR],tabela_registros[MÊS],$AE$1,tabela_registros[DIA],investiroutrosconsolidadoout[[#Headers],[19]],tabela_registros[REGISTRO],DADOS!$N$5,tabela_registros[TIPO],DADOS!$AB$5,tabela_registros[CATEGORIA],investiroutrosconsolidadoout[[#This Row],[ATUAL]])</f>
        <v>0</v>
      </c>
      <c r="X156" s="91">
        <f>SUMIFS(tabela_registros[VALOR],tabela_registros[MÊS],$AE$1,tabela_registros[DIA],investiroutrosconsolidadoout[[#Headers],[20]],tabela_registros[REGISTRO],DADOS!$N$5,tabela_registros[TIPO],DADOS!$AB$5,tabela_registros[CATEGORIA],investiroutrosconsolidadoout[[#This Row],[ATUAL]])</f>
        <v>0</v>
      </c>
      <c r="Y156" s="91">
        <f>SUMIFS(tabela_registros[VALOR],tabela_registros[MÊS],$AE$1,tabela_registros[DIA],investiroutrosconsolidadoout[[#Headers],[21]],tabela_registros[REGISTRO],DADOS!$N$5,tabela_registros[TIPO],DADOS!$AB$5,tabela_registros[CATEGORIA],investiroutrosconsolidadoout[[#This Row],[ATUAL]])</f>
        <v>0</v>
      </c>
      <c r="Z156" s="91">
        <f>SUMIFS(tabela_registros[VALOR],tabela_registros[MÊS],$AE$1,tabela_registros[DIA],investiroutrosconsolidadoout[[#Headers],[22]],tabela_registros[REGISTRO],DADOS!$N$5,tabela_registros[TIPO],DADOS!$AB$5,tabela_registros[CATEGORIA],investiroutrosconsolidadoout[[#This Row],[ATUAL]])</f>
        <v>0</v>
      </c>
      <c r="AA156" s="91">
        <f>SUMIFS(tabela_registros[VALOR],tabela_registros[MÊS],$AE$1,tabela_registros[DIA],investiroutrosconsolidadoout[[#Headers],[23]],tabela_registros[REGISTRO],DADOS!$N$5,tabela_registros[TIPO],DADOS!$AB$5,tabela_registros[CATEGORIA],investiroutrosconsolidadoout[[#This Row],[ATUAL]])</f>
        <v>0</v>
      </c>
      <c r="AB156" s="91">
        <f>SUMIFS(tabela_registros[VALOR],tabela_registros[MÊS],$AE$1,tabela_registros[DIA],investiroutrosconsolidadoout[[#Headers],[24]],tabela_registros[REGISTRO],DADOS!$N$5,tabela_registros[TIPO],DADOS!$AB$5,tabela_registros[CATEGORIA],investiroutrosconsolidadoout[[#This Row],[ATUAL]])</f>
        <v>0</v>
      </c>
      <c r="AC156" s="91">
        <f>SUMIFS(tabela_registros[VALOR],tabela_registros[MÊS],$AE$1,tabela_registros[DIA],investiroutrosconsolidadoout[[#Headers],[25]],tabela_registros[REGISTRO],DADOS!$N$5,tabela_registros[TIPO],DADOS!$AB$5,tabela_registros[CATEGORIA],investiroutrosconsolidadoout[[#This Row],[ATUAL]])</f>
        <v>0</v>
      </c>
      <c r="AD156" s="91">
        <f>SUMIFS(tabela_registros[VALOR],tabela_registros[MÊS],$AE$1,tabela_registros[DIA],investiroutrosconsolidadoout[[#Headers],[26]],tabela_registros[REGISTRO],DADOS!$N$5,tabela_registros[TIPO],DADOS!$AB$5,tabela_registros[CATEGORIA],investiroutrosconsolidadoout[[#This Row],[ATUAL]])</f>
        <v>0</v>
      </c>
      <c r="AE156" s="91">
        <f>SUMIFS(tabela_registros[VALOR],tabela_registros[MÊS],$AE$1,tabela_registros[DIA],investiroutrosconsolidadoout[[#Headers],[27]],tabela_registros[REGISTRO],DADOS!$N$5,tabela_registros[TIPO],DADOS!$AB$5,tabela_registros[CATEGORIA],investiroutrosconsolidadoout[[#This Row],[ATUAL]])</f>
        <v>0</v>
      </c>
      <c r="AF156" s="91">
        <f>SUMIFS(tabela_registros[VALOR],tabela_registros[MÊS],$AE$1,tabela_registros[DIA],investiroutrosconsolidadoout[[#Headers],[28]],tabela_registros[REGISTRO],DADOS!$N$5,tabela_registros[TIPO],DADOS!$AB$5,tabela_registros[CATEGORIA],investiroutrosconsolidadoout[[#This Row],[ATUAL]])</f>
        <v>0</v>
      </c>
      <c r="AG156" s="91">
        <f>SUMIFS(tabela_registros[VALOR],tabela_registros[MÊS],$AE$1,tabela_registros[DIA],investiroutrosconsolidadoout[[#Headers],[29]],tabela_registros[REGISTRO],DADOS!$N$5,tabela_registros[TIPO],DADOS!$AB$5,tabela_registros[CATEGORIA],investiroutrosconsolidadoout[[#This Row],[ATUAL]])</f>
        <v>0</v>
      </c>
      <c r="AH156" s="91">
        <f>SUMIFS(tabela_registros[VALOR],tabela_registros[MÊS],$AE$1,tabela_registros[DIA],investiroutrosconsolidadoout[[#Headers],[30]],tabela_registros[REGISTRO],DADOS!$N$5,tabela_registros[TIPO],DADOS!$AB$5,tabela_registros[CATEGORIA],investiroutrosconsolidadoout[[#This Row],[ATUAL]])</f>
        <v>0</v>
      </c>
      <c r="AI156" s="101">
        <f>SUMIFS(tabela_registros[VALOR],tabela_registros[MÊS],$AE$1,tabela_registros[DIA],investiroutrosconsolidadoout[[#Headers],[31]],tabela_registros[REGISTRO],DADOS!$N$5,tabela_registros[TIPO],DADOS!$AB$5,tabela_registros[CATEGORIA],investiroutrosconsolidadoout[[#This Row],[ATUAL]])</f>
        <v>0</v>
      </c>
      <c r="AJ156" s="97">
        <f>SUM(investiroutrosconsolidadoout[[#This Row],[1]:[31]])</f>
        <v>0</v>
      </c>
      <c r="AK156" s="25"/>
    </row>
    <row r="157" spans="2:37" ht="19.5" customHeight="1" thickTop="1" thickBot="1" x14ac:dyDescent="0.3">
      <c r="B157" s="28"/>
      <c r="C157" s="27" t="str">
        <f>DADOS!$AH$9</f>
        <v>📝 PREVIDÊNCIA PRIVADA</v>
      </c>
      <c r="D157" s="26" t="str">
        <f>IF(investiroutrosconsolidadoout[[#This Row],[TOTAL (R$)]]=0,"",IF(OR(investiroutrosconsolidadoout[[#This Row],[TOTAL (R$)]]=LARGE($AJ$151:$AJ$158,1),investiroutrosconsolidadoout[[#This Row],[TOTAL (R$)]]=LARGE($AJ$151:$AJ$158,2)),DADOS!$I$10,""))</f>
        <v/>
      </c>
      <c r="E157" s="96">
        <f>SUMIFS(tabela_registros[VALOR],tabela_registros[MÊS],$AE$1,tabela_registros[DIA],investiroutrosconsolidadoout[[#Headers],[1]],tabela_registros[REGISTRO],DADOS!$N$5,tabela_registros[TIPO],DADOS!$AB$5,tabela_registros[CATEGORIA],investiroutrosconsolidadoout[[#This Row],[ATUAL]])</f>
        <v>0</v>
      </c>
      <c r="F157" s="91">
        <f>SUMIFS(tabela_registros[VALOR],tabela_registros[MÊS],$AE$1,tabela_registros[DIA],investiroutrosconsolidadoout[[#Headers],[2]],tabela_registros[REGISTRO],DADOS!$N$5,tabela_registros[TIPO],DADOS!$AB$5,tabela_registros[CATEGORIA],investiroutrosconsolidadoout[[#This Row],[ATUAL]])</f>
        <v>0</v>
      </c>
      <c r="G157" s="91">
        <f>SUMIFS(tabela_registros[VALOR],tabela_registros[MÊS],$AE$1,tabela_registros[DIA],investiroutrosconsolidadoout[[#Headers],[3]],tabela_registros[REGISTRO],DADOS!$N$5,tabela_registros[TIPO],DADOS!$AB$5,tabela_registros[CATEGORIA],investiroutrosconsolidadoout[[#This Row],[ATUAL]])</f>
        <v>0</v>
      </c>
      <c r="H157" s="91">
        <f>SUMIFS(tabela_registros[VALOR],tabela_registros[MÊS],$AE$1,tabela_registros[DIA],investiroutrosconsolidadoout[[#Headers],[4]],tabela_registros[REGISTRO],DADOS!$N$5,tabela_registros[TIPO],DADOS!$AB$5,tabela_registros[CATEGORIA],investiroutrosconsolidadoout[[#This Row],[ATUAL]])</f>
        <v>0</v>
      </c>
      <c r="I157" s="91">
        <f>SUMIFS(tabela_registros[VALOR],tabela_registros[MÊS],$AE$1,tabela_registros[DIA],investiroutrosconsolidadoout[[#Headers],[5]],tabela_registros[REGISTRO],DADOS!$N$5,tabela_registros[TIPO],DADOS!$AB$5,tabela_registros[CATEGORIA],investiroutrosconsolidadoout[[#This Row],[ATUAL]])</f>
        <v>0</v>
      </c>
      <c r="J157" s="91">
        <f>SUMIFS(tabela_registros[VALOR],tabela_registros[MÊS],$AE$1,tabela_registros[DIA],investiroutrosconsolidadoout[[#Headers],[6]],tabela_registros[REGISTRO],DADOS!$N$5,tabela_registros[TIPO],DADOS!$AB$5,tabela_registros[CATEGORIA],investiroutrosconsolidadoout[[#This Row],[ATUAL]])</f>
        <v>0</v>
      </c>
      <c r="K157" s="91">
        <f>SUMIFS(tabela_registros[VALOR],tabela_registros[MÊS],$AE$1,tabela_registros[DIA],investiroutrosconsolidadoout[[#Headers],[7]],tabela_registros[REGISTRO],DADOS!$N$5,tabela_registros[TIPO],DADOS!$AB$5,tabela_registros[CATEGORIA],investiroutrosconsolidadoout[[#This Row],[ATUAL]])</f>
        <v>0</v>
      </c>
      <c r="L157" s="91">
        <f>SUMIFS(tabela_registros[VALOR],tabela_registros[MÊS],$AE$1,tabela_registros[DIA],investiroutrosconsolidadoout[[#Headers],[8]],tabela_registros[REGISTRO],DADOS!$N$5,tabela_registros[TIPO],DADOS!$AB$5,tabela_registros[CATEGORIA],investiroutrosconsolidadoout[[#This Row],[ATUAL]])</f>
        <v>0</v>
      </c>
      <c r="M157" s="91">
        <f>SUMIFS(tabela_registros[VALOR],tabela_registros[MÊS],$AE$1,tabela_registros[DIA],investiroutrosconsolidadoout[[#Headers],[9]],tabela_registros[REGISTRO],DADOS!$N$5,tabela_registros[TIPO],DADOS!$AB$5,tabela_registros[CATEGORIA],investiroutrosconsolidadoout[[#This Row],[ATUAL]])</f>
        <v>0</v>
      </c>
      <c r="N157" s="91">
        <f>SUMIFS(tabela_registros[VALOR],tabela_registros[MÊS],$AE$1,tabela_registros[DIA],investiroutrosconsolidadoout[[#Headers],[10]],tabela_registros[REGISTRO],DADOS!$N$5,tabela_registros[TIPO],DADOS!$AB$5,tabela_registros[CATEGORIA],investiroutrosconsolidadoout[[#This Row],[ATUAL]])</f>
        <v>0</v>
      </c>
      <c r="O157" s="91">
        <f>SUMIFS(tabela_registros[VALOR],tabela_registros[MÊS],$AE$1,tabela_registros[DIA],investiroutrosconsolidadoout[[#Headers],[11]],tabela_registros[REGISTRO],DADOS!$N$5,tabela_registros[TIPO],DADOS!$AB$5,tabela_registros[CATEGORIA],investiroutrosconsolidadoout[[#This Row],[ATUAL]])</f>
        <v>0</v>
      </c>
      <c r="P157" s="91">
        <f>SUMIFS(tabela_registros[VALOR],tabela_registros[MÊS],$AE$1,tabela_registros[DIA],investiroutrosconsolidadoout[[#Headers],[12]],tabela_registros[REGISTRO],DADOS!$N$5,tabela_registros[TIPO],DADOS!$AB$5,tabela_registros[CATEGORIA],investiroutrosconsolidadoout[[#This Row],[ATUAL]])</f>
        <v>0</v>
      </c>
      <c r="Q157" s="91">
        <f>SUMIFS(tabela_registros[VALOR],tabela_registros[MÊS],$AE$1,tabela_registros[DIA],investiroutrosconsolidadoout[[#Headers],[13]],tabela_registros[REGISTRO],DADOS!$N$5,tabela_registros[TIPO],DADOS!$AB$5,tabela_registros[CATEGORIA],investiroutrosconsolidadoout[[#This Row],[ATUAL]])</f>
        <v>0</v>
      </c>
      <c r="R157" s="91">
        <f>SUMIFS(tabela_registros[VALOR],tabela_registros[MÊS],$AE$1,tabela_registros[DIA],investiroutrosconsolidadoout[[#Headers],[14]],tabela_registros[REGISTRO],DADOS!$N$5,tabela_registros[TIPO],DADOS!$AB$5,tabela_registros[CATEGORIA],investiroutrosconsolidadoout[[#This Row],[ATUAL]])</f>
        <v>0</v>
      </c>
      <c r="S157" s="91">
        <f>SUMIFS(tabela_registros[VALOR],tabela_registros[MÊS],$AE$1,tabela_registros[DIA],investiroutrosconsolidadoout[[#Headers],[15]],tabela_registros[REGISTRO],DADOS!$N$5,tabela_registros[TIPO],DADOS!$AB$5,tabela_registros[CATEGORIA],investiroutrosconsolidadoout[[#This Row],[ATUAL]])</f>
        <v>0</v>
      </c>
      <c r="T157" s="91">
        <f>SUMIFS(tabela_registros[VALOR],tabela_registros[MÊS],$AE$1,tabela_registros[DIA],investiroutrosconsolidadoout[[#Headers],[16]],tabela_registros[REGISTRO],DADOS!$N$5,tabela_registros[TIPO],DADOS!$AB$5,tabela_registros[CATEGORIA],investiroutrosconsolidadoout[[#This Row],[ATUAL]])</f>
        <v>0</v>
      </c>
      <c r="U157" s="91">
        <f>SUMIFS(tabela_registros[VALOR],tabela_registros[MÊS],$AE$1,tabela_registros[DIA],investiroutrosconsolidadoout[[#Headers],[17]],tabela_registros[REGISTRO],DADOS!$N$5,tabela_registros[TIPO],DADOS!$AB$5,tabela_registros[CATEGORIA],investiroutrosconsolidadoout[[#This Row],[ATUAL]])</f>
        <v>0</v>
      </c>
      <c r="V157" s="91">
        <f>SUMIFS(tabela_registros[VALOR],tabela_registros[MÊS],$AE$1,tabela_registros[DIA],investiroutrosconsolidadoout[[#Headers],[18]],tabela_registros[REGISTRO],DADOS!$N$5,tabela_registros[TIPO],DADOS!$AB$5,tabela_registros[CATEGORIA],investiroutrosconsolidadoout[[#This Row],[ATUAL]])</f>
        <v>0</v>
      </c>
      <c r="W157" s="91">
        <f>SUMIFS(tabela_registros[VALOR],tabela_registros[MÊS],$AE$1,tabela_registros[DIA],investiroutrosconsolidadoout[[#Headers],[19]],tabela_registros[REGISTRO],DADOS!$N$5,tabela_registros[TIPO],DADOS!$AB$5,tabela_registros[CATEGORIA],investiroutrosconsolidadoout[[#This Row],[ATUAL]])</f>
        <v>0</v>
      </c>
      <c r="X157" s="91">
        <f>SUMIFS(tabela_registros[VALOR],tabela_registros[MÊS],$AE$1,tabela_registros[DIA],investiroutrosconsolidadoout[[#Headers],[20]],tabela_registros[REGISTRO],DADOS!$N$5,tabela_registros[TIPO],DADOS!$AB$5,tabela_registros[CATEGORIA],investiroutrosconsolidadoout[[#This Row],[ATUAL]])</f>
        <v>0</v>
      </c>
      <c r="Y157" s="91">
        <f>SUMIFS(tabela_registros[VALOR],tabela_registros[MÊS],$AE$1,tabela_registros[DIA],investiroutrosconsolidadoout[[#Headers],[21]],tabela_registros[REGISTRO],DADOS!$N$5,tabela_registros[TIPO],DADOS!$AB$5,tabela_registros[CATEGORIA],investiroutrosconsolidadoout[[#This Row],[ATUAL]])</f>
        <v>0</v>
      </c>
      <c r="Z157" s="91">
        <f>SUMIFS(tabela_registros[VALOR],tabela_registros[MÊS],$AE$1,tabela_registros[DIA],investiroutrosconsolidadoout[[#Headers],[22]],tabela_registros[REGISTRO],DADOS!$N$5,tabela_registros[TIPO],DADOS!$AB$5,tabela_registros[CATEGORIA],investiroutrosconsolidadoout[[#This Row],[ATUAL]])</f>
        <v>0</v>
      </c>
      <c r="AA157" s="91">
        <f>SUMIFS(tabela_registros[VALOR],tabela_registros[MÊS],$AE$1,tabela_registros[DIA],investiroutrosconsolidadoout[[#Headers],[23]],tabela_registros[REGISTRO],DADOS!$N$5,tabela_registros[TIPO],DADOS!$AB$5,tabela_registros[CATEGORIA],investiroutrosconsolidadoout[[#This Row],[ATUAL]])</f>
        <v>0</v>
      </c>
      <c r="AB157" s="91">
        <f>SUMIFS(tabela_registros[VALOR],tabela_registros[MÊS],$AE$1,tabela_registros[DIA],investiroutrosconsolidadoout[[#Headers],[24]],tabela_registros[REGISTRO],DADOS!$N$5,tabela_registros[TIPO],DADOS!$AB$5,tabela_registros[CATEGORIA],investiroutrosconsolidadoout[[#This Row],[ATUAL]])</f>
        <v>0</v>
      </c>
      <c r="AC157" s="91">
        <f>SUMIFS(tabela_registros[VALOR],tabela_registros[MÊS],$AE$1,tabela_registros[DIA],investiroutrosconsolidadoout[[#Headers],[25]],tabela_registros[REGISTRO],DADOS!$N$5,tabela_registros[TIPO],DADOS!$AB$5,tabela_registros[CATEGORIA],investiroutrosconsolidadoout[[#This Row],[ATUAL]])</f>
        <v>0</v>
      </c>
      <c r="AD157" s="91">
        <f>SUMIFS(tabela_registros[VALOR],tabela_registros[MÊS],$AE$1,tabela_registros[DIA],investiroutrosconsolidadoout[[#Headers],[26]],tabela_registros[REGISTRO],DADOS!$N$5,tabela_registros[TIPO],DADOS!$AB$5,tabela_registros[CATEGORIA],investiroutrosconsolidadoout[[#This Row],[ATUAL]])</f>
        <v>0</v>
      </c>
      <c r="AE157" s="91">
        <f>SUMIFS(tabela_registros[VALOR],tabela_registros[MÊS],$AE$1,tabela_registros[DIA],investiroutrosconsolidadoout[[#Headers],[27]],tabela_registros[REGISTRO],DADOS!$N$5,tabela_registros[TIPO],DADOS!$AB$5,tabela_registros[CATEGORIA],investiroutrosconsolidadoout[[#This Row],[ATUAL]])</f>
        <v>0</v>
      </c>
      <c r="AF157" s="91">
        <f>SUMIFS(tabela_registros[VALOR],tabela_registros[MÊS],$AE$1,tabela_registros[DIA],investiroutrosconsolidadoout[[#Headers],[28]],tabela_registros[REGISTRO],DADOS!$N$5,tabela_registros[TIPO],DADOS!$AB$5,tabela_registros[CATEGORIA],investiroutrosconsolidadoout[[#This Row],[ATUAL]])</f>
        <v>0</v>
      </c>
      <c r="AG157" s="91">
        <f>SUMIFS(tabela_registros[VALOR],tabela_registros[MÊS],$AE$1,tabela_registros[DIA],investiroutrosconsolidadoout[[#Headers],[29]],tabela_registros[REGISTRO],DADOS!$N$5,tabela_registros[TIPO],DADOS!$AB$5,tabela_registros[CATEGORIA],investiroutrosconsolidadoout[[#This Row],[ATUAL]])</f>
        <v>0</v>
      </c>
      <c r="AH157" s="91">
        <f>SUMIFS(tabela_registros[VALOR],tabela_registros[MÊS],$AE$1,tabela_registros[DIA],investiroutrosconsolidadoout[[#Headers],[30]],tabela_registros[REGISTRO],DADOS!$N$5,tabela_registros[TIPO],DADOS!$AB$5,tabela_registros[CATEGORIA],investiroutrosconsolidadoout[[#This Row],[ATUAL]])</f>
        <v>0</v>
      </c>
      <c r="AI157" s="101">
        <f>SUMIFS(tabela_registros[VALOR],tabela_registros[MÊS],$AE$1,tabela_registros[DIA],investiroutrosconsolidadoout[[#Headers],[31]],tabela_registros[REGISTRO],DADOS!$N$5,tabela_registros[TIPO],DADOS!$AB$5,tabela_registros[CATEGORIA],investiroutrosconsolidadoout[[#This Row],[ATUAL]])</f>
        <v>0</v>
      </c>
      <c r="AJ157" s="97">
        <f>SUM(investiroutrosconsolidadoout[[#This Row],[1]:[31]])</f>
        <v>0</v>
      </c>
      <c r="AK157" s="25"/>
    </row>
    <row r="158" spans="2:37" ht="19.5" customHeight="1" thickTop="1" thickBot="1" x14ac:dyDescent="0.3">
      <c r="B158" s="28"/>
      <c r="C158" s="27" t="str">
        <f>DADOS!$AH$10</f>
        <v>📎 OUTROS</v>
      </c>
      <c r="D158" s="26" t="str">
        <f>IF(investiroutrosconsolidadoout[[#This Row],[TOTAL (R$)]]=0,"",IF(OR(investiroutrosconsolidadoout[[#This Row],[TOTAL (R$)]]=LARGE($AJ$151:$AJ$158,1),investiroutrosconsolidadoout[[#This Row],[TOTAL (R$)]]=LARGE($AJ$151:$AJ$158,2)),DADOS!$I$10,""))</f>
        <v/>
      </c>
      <c r="E158" s="96">
        <f>SUMIFS(tabela_registros[VALOR],tabela_registros[MÊS],$AE$1,tabela_registros[DIA],investiroutrosconsolidadoout[[#Headers],[1]],tabela_registros[REGISTRO],DADOS!$N$5,tabela_registros[TIPO],DADOS!$AB$5,tabela_registros[CATEGORIA],investiroutrosconsolidadoout[[#This Row],[ATUAL]])</f>
        <v>0</v>
      </c>
      <c r="F158" s="91">
        <f>SUMIFS(tabela_registros[VALOR],tabela_registros[MÊS],$AE$1,tabela_registros[DIA],investiroutrosconsolidadoout[[#Headers],[2]],tabela_registros[REGISTRO],DADOS!$N$5,tabela_registros[TIPO],DADOS!$AB$5,tabela_registros[CATEGORIA],investiroutrosconsolidadoout[[#This Row],[ATUAL]])</f>
        <v>0</v>
      </c>
      <c r="G158" s="91">
        <f>SUMIFS(tabela_registros[VALOR],tabela_registros[MÊS],$AE$1,tabela_registros[DIA],investiroutrosconsolidadoout[[#Headers],[3]],tabela_registros[REGISTRO],DADOS!$N$5,tabela_registros[TIPO],DADOS!$AB$5,tabela_registros[CATEGORIA],investiroutrosconsolidadoout[[#This Row],[ATUAL]])</f>
        <v>0</v>
      </c>
      <c r="H158" s="91">
        <f>SUMIFS(tabela_registros[VALOR],tabela_registros[MÊS],$AE$1,tabela_registros[DIA],investiroutrosconsolidadoout[[#Headers],[4]],tabela_registros[REGISTRO],DADOS!$N$5,tabela_registros[TIPO],DADOS!$AB$5,tabela_registros[CATEGORIA],investiroutrosconsolidadoout[[#This Row],[ATUAL]])</f>
        <v>0</v>
      </c>
      <c r="I158" s="91">
        <f>SUMIFS(tabela_registros[VALOR],tabela_registros[MÊS],$AE$1,tabela_registros[DIA],investiroutrosconsolidadoout[[#Headers],[5]],tabela_registros[REGISTRO],DADOS!$N$5,tabela_registros[TIPO],DADOS!$AB$5,tabela_registros[CATEGORIA],investiroutrosconsolidadoout[[#This Row],[ATUAL]])</f>
        <v>0</v>
      </c>
      <c r="J158" s="91">
        <f>SUMIFS(tabela_registros[VALOR],tabela_registros[MÊS],$AE$1,tabela_registros[DIA],investiroutrosconsolidadoout[[#Headers],[6]],tabela_registros[REGISTRO],DADOS!$N$5,tabela_registros[TIPO],DADOS!$AB$5,tabela_registros[CATEGORIA],investiroutrosconsolidadoout[[#This Row],[ATUAL]])</f>
        <v>0</v>
      </c>
      <c r="K158" s="91">
        <f>SUMIFS(tabela_registros[VALOR],tabela_registros[MÊS],$AE$1,tabela_registros[DIA],investiroutrosconsolidadoout[[#Headers],[7]],tabela_registros[REGISTRO],DADOS!$N$5,tabela_registros[TIPO],DADOS!$AB$5,tabela_registros[CATEGORIA],investiroutrosconsolidadoout[[#This Row],[ATUAL]])</f>
        <v>0</v>
      </c>
      <c r="L158" s="91">
        <f>SUMIFS(tabela_registros[VALOR],tabela_registros[MÊS],$AE$1,tabela_registros[DIA],investiroutrosconsolidadoout[[#Headers],[8]],tabela_registros[REGISTRO],DADOS!$N$5,tabela_registros[TIPO],DADOS!$AB$5,tabela_registros[CATEGORIA],investiroutrosconsolidadoout[[#This Row],[ATUAL]])</f>
        <v>0</v>
      </c>
      <c r="M158" s="91">
        <f>SUMIFS(tabela_registros[VALOR],tabela_registros[MÊS],$AE$1,tabela_registros[DIA],investiroutrosconsolidadoout[[#Headers],[9]],tabela_registros[REGISTRO],DADOS!$N$5,tabela_registros[TIPO],DADOS!$AB$5,tabela_registros[CATEGORIA],investiroutrosconsolidadoout[[#This Row],[ATUAL]])</f>
        <v>0</v>
      </c>
      <c r="N158" s="91">
        <f>SUMIFS(tabela_registros[VALOR],tabela_registros[MÊS],$AE$1,tabela_registros[DIA],investiroutrosconsolidadoout[[#Headers],[10]],tabela_registros[REGISTRO],DADOS!$N$5,tabela_registros[TIPO],DADOS!$AB$5,tabela_registros[CATEGORIA],investiroutrosconsolidadoout[[#This Row],[ATUAL]])</f>
        <v>0</v>
      </c>
      <c r="O158" s="91">
        <f>SUMIFS(tabela_registros[VALOR],tabela_registros[MÊS],$AE$1,tabela_registros[DIA],investiroutrosconsolidadoout[[#Headers],[11]],tabela_registros[REGISTRO],DADOS!$N$5,tabela_registros[TIPO],DADOS!$AB$5,tabela_registros[CATEGORIA],investiroutrosconsolidadoout[[#This Row],[ATUAL]])</f>
        <v>0</v>
      </c>
      <c r="P158" s="91">
        <f>SUMIFS(tabela_registros[VALOR],tabela_registros[MÊS],$AE$1,tabela_registros[DIA],investiroutrosconsolidadoout[[#Headers],[12]],tabela_registros[REGISTRO],DADOS!$N$5,tabela_registros[TIPO],DADOS!$AB$5,tabela_registros[CATEGORIA],investiroutrosconsolidadoout[[#This Row],[ATUAL]])</f>
        <v>0</v>
      </c>
      <c r="Q158" s="91">
        <f>SUMIFS(tabela_registros[VALOR],tabela_registros[MÊS],$AE$1,tabela_registros[DIA],investiroutrosconsolidadoout[[#Headers],[13]],tabela_registros[REGISTRO],DADOS!$N$5,tabela_registros[TIPO],DADOS!$AB$5,tabela_registros[CATEGORIA],investiroutrosconsolidadoout[[#This Row],[ATUAL]])</f>
        <v>0</v>
      </c>
      <c r="R158" s="91">
        <f>SUMIFS(tabela_registros[VALOR],tabela_registros[MÊS],$AE$1,tabela_registros[DIA],investiroutrosconsolidadoout[[#Headers],[14]],tabela_registros[REGISTRO],DADOS!$N$5,tabela_registros[TIPO],DADOS!$AB$5,tabela_registros[CATEGORIA],investiroutrosconsolidadoout[[#This Row],[ATUAL]])</f>
        <v>0</v>
      </c>
      <c r="S158" s="91">
        <f>SUMIFS(tabela_registros[VALOR],tabela_registros[MÊS],$AE$1,tabela_registros[DIA],investiroutrosconsolidadoout[[#Headers],[15]],tabela_registros[REGISTRO],DADOS!$N$5,tabela_registros[TIPO],DADOS!$AB$5,tabela_registros[CATEGORIA],investiroutrosconsolidadoout[[#This Row],[ATUAL]])</f>
        <v>0</v>
      </c>
      <c r="T158" s="91">
        <f>SUMIFS(tabela_registros[VALOR],tabela_registros[MÊS],$AE$1,tabela_registros[DIA],investiroutrosconsolidadoout[[#Headers],[16]],tabela_registros[REGISTRO],DADOS!$N$5,tabela_registros[TIPO],DADOS!$AB$5,tabela_registros[CATEGORIA],investiroutrosconsolidadoout[[#This Row],[ATUAL]])</f>
        <v>0</v>
      </c>
      <c r="U158" s="91">
        <f>SUMIFS(tabela_registros[VALOR],tabela_registros[MÊS],$AE$1,tabela_registros[DIA],investiroutrosconsolidadoout[[#Headers],[17]],tabela_registros[REGISTRO],DADOS!$N$5,tabela_registros[TIPO],DADOS!$AB$5,tabela_registros[CATEGORIA],investiroutrosconsolidadoout[[#This Row],[ATUAL]])</f>
        <v>0</v>
      </c>
      <c r="V158" s="91">
        <f>SUMIFS(tabela_registros[VALOR],tabela_registros[MÊS],$AE$1,tabela_registros[DIA],investiroutrosconsolidadoout[[#Headers],[18]],tabela_registros[REGISTRO],DADOS!$N$5,tabela_registros[TIPO],DADOS!$AB$5,tabela_registros[CATEGORIA],investiroutrosconsolidadoout[[#This Row],[ATUAL]])</f>
        <v>0</v>
      </c>
      <c r="W158" s="91">
        <f>SUMIFS(tabela_registros[VALOR],tabela_registros[MÊS],$AE$1,tabela_registros[DIA],investiroutrosconsolidadoout[[#Headers],[19]],tabela_registros[REGISTRO],DADOS!$N$5,tabela_registros[TIPO],DADOS!$AB$5,tabela_registros[CATEGORIA],investiroutrosconsolidadoout[[#This Row],[ATUAL]])</f>
        <v>0</v>
      </c>
      <c r="X158" s="91">
        <f>SUMIFS(tabela_registros[VALOR],tabela_registros[MÊS],$AE$1,tabela_registros[DIA],investiroutrosconsolidadoout[[#Headers],[20]],tabela_registros[REGISTRO],DADOS!$N$5,tabela_registros[TIPO],DADOS!$AB$5,tabela_registros[CATEGORIA],investiroutrosconsolidadoout[[#This Row],[ATUAL]])</f>
        <v>0</v>
      </c>
      <c r="Y158" s="91">
        <f>SUMIFS(tabela_registros[VALOR],tabela_registros[MÊS],$AE$1,tabela_registros[DIA],investiroutrosconsolidadoout[[#Headers],[21]],tabela_registros[REGISTRO],DADOS!$N$5,tabela_registros[TIPO],DADOS!$AB$5,tabela_registros[CATEGORIA],investiroutrosconsolidadoout[[#This Row],[ATUAL]])</f>
        <v>0</v>
      </c>
      <c r="Z158" s="91">
        <f>SUMIFS(tabela_registros[VALOR],tabela_registros[MÊS],$AE$1,tabela_registros[DIA],investiroutrosconsolidadoout[[#Headers],[22]],tabela_registros[REGISTRO],DADOS!$N$5,tabela_registros[TIPO],DADOS!$AB$5,tabela_registros[CATEGORIA],investiroutrosconsolidadoout[[#This Row],[ATUAL]])</f>
        <v>0</v>
      </c>
      <c r="AA158" s="91">
        <f>SUMIFS(tabela_registros[VALOR],tabela_registros[MÊS],$AE$1,tabela_registros[DIA],investiroutrosconsolidadoout[[#Headers],[23]],tabela_registros[REGISTRO],DADOS!$N$5,tabela_registros[TIPO],DADOS!$AB$5,tabela_registros[CATEGORIA],investiroutrosconsolidadoout[[#This Row],[ATUAL]])</f>
        <v>0</v>
      </c>
      <c r="AB158" s="91">
        <f>SUMIFS(tabela_registros[VALOR],tabela_registros[MÊS],$AE$1,tabela_registros[DIA],investiroutrosconsolidadoout[[#Headers],[24]],tabela_registros[REGISTRO],DADOS!$N$5,tabela_registros[TIPO],DADOS!$AB$5,tabela_registros[CATEGORIA],investiroutrosconsolidadoout[[#This Row],[ATUAL]])</f>
        <v>0</v>
      </c>
      <c r="AC158" s="91">
        <f>SUMIFS(tabela_registros[VALOR],tabela_registros[MÊS],$AE$1,tabela_registros[DIA],investiroutrosconsolidadoout[[#Headers],[25]],tabela_registros[REGISTRO],DADOS!$N$5,tabela_registros[TIPO],DADOS!$AB$5,tabela_registros[CATEGORIA],investiroutrosconsolidadoout[[#This Row],[ATUAL]])</f>
        <v>0</v>
      </c>
      <c r="AD158" s="91">
        <f>SUMIFS(tabela_registros[VALOR],tabela_registros[MÊS],$AE$1,tabela_registros[DIA],investiroutrosconsolidadoout[[#Headers],[26]],tabela_registros[REGISTRO],DADOS!$N$5,tabela_registros[TIPO],DADOS!$AB$5,tabela_registros[CATEGORIA],investiroutrosconsolidadoout[[#This Row],[ATUAL]])</f>
        <v>0</v>
      </c>
      <c r="AE158" s="91">
        <f>SUMIFS(tabela_registros[VALOR],tabela_registros[MÊS],$AE$1,tabela_registros[DIA],investiroutrosconsolidadoout[[#Headers],[27]],tabela_registros[REGISTRO],DADOS!$N$5,tabela_registros[TIPO],DADOS!$AB$5,tabela_registros[CATEGORIA],investiroutrosconsolidadoout[[#This Row],[ATUAL]])</f>
        <v>0</v>
      </c>
      <c r="AF158" s="91">
        <f>SUMIFS(tabela_registros[VALOR],tabela_registros[MÊS],$AE$1,tabela_registros[DIA],investiroutrosconsolidadoout[[#Headers],[28]],tabela_registros[REGISTRO],DADOS!$N$5,tabela_registros[TIPO],DADOS!$AB$5,tabela_registros[CATEGORIA],investiroutrosconsolidadoout[[#This Row],[ATUAL]])</f>
        <v>0</v>
      </c>
      <c r="AG158" s="91">
        <f>SUMIFS(tabela_registros[VALOR],tabela_registros[MÊS],$AE$1,tabela_registros[DIA],investiroutrosconsolidadoout[[#Headers],[29]],tabela_registros[REGISTRO],DADOS!$N$5,tabela_registros[TIPO],DADOS!$AB$5,tabela_registros[CATEGORIA],investiroutrosconsolidadoout[[#This Row],[ATUAL]])</f>
        <v>0</v>
      </c>
      <c r="AH158" s="91">
        <f>SUMIFS(tabela_registros[VALOR],tabela_registros[MÊS],$AE$1,tabela_registros[DIA],investiroutrosconsolidadoout[[#Headers],[30]],tabela_registros[REGISTRO],DADOS!$N$5,tabela_registros[TIPO],DADOS!$AB$5,tabela_registros[CATEGORIA],investiroutrosconsolidadoout[[#This Row],[ATUAL]])</f>
        <v>0</v>
      </c>
      <c r="AI158" s="102">
        <f>SUMIFS(tabela_registros[VALOR],tabela_registros[MÊS],$AE$1,tabela_registros[DIA],investiroutrosconsolidadoout[[#Headers],[31]],tabela_registros[REGISTRO],DADOS!$N$5,tabela_registros[TIPO],DADOS!$AB$5,tabela_registros[CATEGORIA],investiroutrosconsolidadoout[[#This Row],[ATUAL]])</f>
        <v>0</v>
      </c>
      <c r="AJ158" s="103">
        <f>SUM(investiroutrosconsolidadoout[[#This Row],[1]:[31]])</f>
        <v>0</v>
      </c>
      <c r="AK158" s="25"/>
    </row>
    <row r="159" spans="2:37" s="16" customFormat="1" ht="21" customHeight="1" thickTop="1" thickBot="1" x14ac:dyDescent="0.35">
      <c r="B159" s="24"/>
      <c r="C159" s="23" t="s">
        <v>19</v>
      </c>
      <c r="D159" s="22"/>
      <c r="E159" s="21">
        <f>SUM(E151:E158)</f>
        <v>0</v>
      </c>
      <c r="F159" s="20">
        <f>SUM(F151:F158)+investiroutrosconsolidadoout[[#This Row],[1]]</f>
        <v>0</v>
      </c>
      <c r="G159" s="20">
        <f>SUM(G151:G158)+investiroutrosconsolidadoout[[#This Row],[2]]</f>
        <v>0</v>
      </c>
      <c r="H159" s="20">
        <f>SUM(H151:H158)+investiroutrosconsolidadoout[[#This Row],[3]]</f>
        <v>0</v>
      </c>
      <c r="I159" s="20">
        <f>SUM(I151:I158)+investiroutrosconsolidadoout[[#This Row],[4]]</f>
        <v>0</v>
      </c>
      <c r="J159" s="20">
        <f>SUM(J151:J158)+investiroutrosconsolidadoout[[#This Row],[5]]</f>
        <v>0</v>
      </c>
      <c r="K159" s="20">
        <f>SUM(K151:K158)+investiroutrosconsolidadoout[[#This Row],[6]]</f>
        <v>0</v>
      </c>
      <c r="L159" s="20">
        <f>SUM(L151:L158)+investiroutrosconsolidadoout[[#This Row],[7]]</f>
        <v>0</v>
      </c>
      <c r="M159" s="20">
        <f>SUM(M151:M158)+investiroutrosconsolidadoout[[#This Row],[8]]</f>
        <v>0</v>
      </c>
      <c r="N159" s="20">
        <f>SUM(N151:N158)+investiroutrosconsolidadoout[[#This Row],[9]]</f>
        <v>0</v>
      </c>
      <c r="O159" s="20">
        <f>SUM(O151:O158)+investiroutrosconsolidadoout[[#This Row],[10]]</f>
        <v>0</v>
      </c>
      <c r="P159" s="20">
        <f>SUM(P151:P158)+investiroutrosconsolidadoout[[#This Row],[11]]</f>
        <v>0</v>
      </c>
      <c r="Q159" s="20">
        <f>SUM(Q151:Q158)+investiroutrosconsolidadoout[[#This Row],[12]]</f>
        <v>0</v>
      </c>
      <c r="R159" s="20">
        <f>SUM(R151:R158)+investiroutrosconsolidadoout[[#This Row],[13]]</f>
        <v>0</v>
      </c>
      <c r="S159" s="20">
        <f>SUM(S151:S158)+investiroutrosconsolidadoout[[#This Row],[14]]</f>
        <v>0</v>
      </c>
      <c r="T159" s="20">
        <f>SUM(T151:T158)+investiroutrosconsolidadoout[[#This Row],[15]]</f>
        <v>0</v>
      </c>
      <c r="U159" s="20">
        <f>SUM(U151:U158)+investiroutrosconsolidadoout[[#This Row],[16]]</f>
        <v>0</v>
      </c>
      <c r="V159" s="20">
        <f>SUM(V151:V158)+investiroutrosconsolidadoout[[#This Row],[17]]</f>
        <v>0</v>
      </c>
      <c r="W159" s="20">
        <f>SUM(W151:W158)+investiroutrosconsolidadoout[[#This Row],[18]]</f>
        <v>0</v>
      </c>
      <c r="X159" s="20">
        <f>SUM(X151:X158)+investiroutrosconsolidadoout[[#This Row],[19]]</f>
        <v>0</v>
      </c>
      <c r="Y159" s="20">
        <f>SUM(Y151:Y158)+investiroutrosconsolidadoout[[#This Row],[20]]</f>
        <v>0</v>
      </c>
      <c r="Z159" s="20">
        <f>SUM(Z151:Z158)+investiroutrosconsolidadoout[[#This Row],[21]]</f>
        <v>0</v>
      </c>
      <c r="AA159" s="20">
        <f>SUM(AA151:AA158)+investiroutrosconsolidadoout[[#This Row],[22]]</f>
        <v>0</v>
      </c>
      <c r="AB159" s="20">
        <f>SUM(AB151:AB158)+investiroutrosconsolidadoout[[#This Row],[23]]</f>
        <v>0</v>
      </c>
      <c r="AC159" s="20">
        <f>SUM(AC151:AC158)+investiroutrosconsolidadoout[[#This Row],[24]]</f>
        <v>0</v>
      </c>
      <c r="AD159" s="20">
        <f>SUM(AD151:AD158)+investiroutrosconsolidadoout[[#This Row],[25]]</f>
        <v>0</v>
      </c>
      <c r="AE159" s="20">
        <f>SUM(AE151:AE158)+investiroutrosconsolidadoout[[#This Row],[26]]</f>
        <v>0</v>
      </c>
      <c r="AF159" s="20">
        <f>SUM(AF151:AF158)+investiroutrosconsolidadoout[[#This Row],[27]]</f>
        <v>0</v>
      </c>
      <c r="AG159" s="20">
        <f>SUM(AG151:AG158)+investiroutrosconsolidadoout[[#This Row],[28]]</f>
        <v>0</v>
      </c>
      <c r="AH159" s="20">
        <f>SUM(AH151:AH158)+investiroutrosconsolidadoout[[#This Row],[29]]</f>
        <v>0</v>
      </c>
      <c r="AI159" s="19">
        <f>SUM(AI151:AI158)+investiroutrosconsolidadoout[[#This Row],[30]]</f>
        <v>0</v>
      </c>
      <c r="AJ159" s="18">
        <f>investiroutrosconsolidadoout[[#This Row],[31]]</f>
        <v>0</v>
      </c>
      <c r="AK159" s="17"/>
    </row>
    <row r="160" spans="2:37" ht="6.75" customHeight="1" thickTop="1" thickBot="1" x14ac:dyDescent="0.3">
      <c r="B160" s="15"/>
      <c r="C160" s="14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  <c r="AA160" s="13"/>
      <c r="AB160" s="13"/>
      <c r="AC160" s="13"/>
      <c r="AD160" s="13"/>
      <c r="AE160" s="13"/>
      <c r="AF160" s="13"/>
      <c r="AG160" s="13"/>
      <c r="AH160" s="13"/>
      <c r="AI160" s="12"/>
      <c r="AJ160" s="11"/>
      <c r="AK160" s="10"/>
    </row>
    <row r="161" spans="2:37" ht="12.6" thickTop="1" x14ac:dyDescent="0.25">
      <c r="E161" s="37"/>
      <c r="AI161" s="4"/>
    </row>
    <row r="162" spans="2:37" x14ac:dyDescent="0.25">
      <c r="AI162" s="4"/>
    </row>
    <row r="163" spans="2:37" x14ac:dyDescent="0.25">
      <c r="AI163" s="4"/>
    </row>
    <row r="164" spans="2:37" ht="39.75" customHeight="1" x14ac:dyDescent="0.7">
      <c r="C164" s="36"/>
      <c r="E164" s="240"/>
      <c r="F164" s="240"/>
      <c r="G164" s="240"/>
      <c r="H164" s="240"/>
      <c r="I164" s="240"/>
      <c r="J164" s="240"/>
      <c r="K164" s="240"/>
      <c r="L164" s="240"/>
      <c r="M164" s="240"/>
      <c r="N164" s="240"/>
      <c r="O164" s="240"/>
      <c r="P164" s="240"/>
      <c r="Q164" s="240"/>
      <c r="R164" s="240"/>
      <c r="S164" s="240"/>
      <c r="T164" s="240"/>
      <c r="U164" s="240"/>
      <c r="V164" s="240"/>
      <c r="W164" s="240"/>
      <c r="X164" s="240"/>
      <c r="Y164" s="240"/>
      <c r="Z164" s="240"/>
      <c r="AA164" s="240"/>
      <c r="AB164" s="240"/>
      <c r="AC164" s="240"/>
      <c r="AD164" s="240"/>
      <c r="AE164" s="240"/>
      <c r="AF164" s="240"/>
      <c r="AG164" s="240"/>
      <c r="AH164" s="240"/>
      <c r="AI164" s="240"/>
      <c r="AJ164" s="32" t="s">
        <v>19</v>
      </c>
    </row>
    <row r="165" spans="2:37" ht="12.6" thickBot="1" x14ac:dyDescent="0.3">
      <c r="B165" s="35"/>
      <c r="AI165" s="4"/>
      <c r="AJ165" s="34" t="s">
        <v>202</v>
      </c>
    </row>
    <row r="166" spans="2:37" ht="6.75" customHeight="1" thickTop="1" thickBot="1" x14ac:dyDescent="0.3">
      <c r="B166" s="2"/>
      <c r="C166" s="14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F166" s="13"/>
      <c r="AG166" s="13"/>
      <c r="AH166" s="13"/>
      <c r="AI166" s="13"/>
      <c r="AJ166" s="12"/>
      <c r="AK166" s="33"/>
    </row>
    <row r="167" spans="2:37" ht="13.2" hidden="1" thickTop="1" thickBot="1" x14ac:dyDescent="0.3">
      <c r="B167" s="2"/>
      <c r="C167" s="31" t="s">
        <v>199</v>
      </c>
      <c r="D167" s="30" t="s">
        <v>198</v>
      </c>
      <c r="E167" s="30" t="s">
        <v>197</v>
      </c>
      <c r="F167" s="30" t="s">
        <v>196</v>
      </c>
      <c r="G167" s="30" t="s">
        <v>195</v>
      </c>
      <c r="H167" s="30" t="s">
        <v>194</v>
      </c>
      <c r="I167" s="30" t="s">
        <v>193</v>
      </c>
      <c r="J167" s="30" t="s">
        <v>192</v>
      </c>
      <c r="K167" s="30" t="s">
        <v>191</v>
      </c>
      <c r="L167" s="30" t="s">
        <v>190</v>
      </c>
      <c r="M167" s="30" t="s">
        <v>189</v>
      </c>
      <c r="N167" s="30" t="s">
        <v>188</v>
      </c>
      <c r="O167" s="30" t="s">
        <v>187</v>
      </c>
      <c r="P167" s="30" t="s">
        <v>186</v>
      </c>
      <c r="Q167" s="30" t="s">
        <v>185</v>
      </c>
      <c r="R167" s="30" t="s">
        <v>184</v>
      </c>
      <c r="S167" s="30" t="s">
        <v>183</v>
      </c>
      <c r="T167" s="30" t="s">
        <v>182</v>
      </c>
      <c r="U167" s="30" t="s">
        <v>181</v>
      </c>
      <c r="V167" s="30" t="s">
        <v>180</v>
      </c>
      <c r="W167" s="30" t="s">
        <v>179</v>
      </c>
      <c r="X167" s="30" t="s">
        <v>178</v>
      </c>
      <c r="Y167" s="30" t="s">
        <v>177</v>
      </c>
      <c r="Z167" s="30" t="s">
        <v>176</v>
      </c>
      <c r="AA167" s="30" t="s">
        <v>175</v>
      </c>
      <c r="AB167" s="30" t="s">
        <v>174</v>
      </c>
      <c r="AC167" s="30" t="s">
        <v>173</v>
      </c>
      <c r="AD167" s="30" t="s">
        <v>172</v>
      </c>
      <c r="AE167" s="30" t="s">
        <v>171</v>
      </c>
      <c r="AF167" s="30" t="s">
        <v>170</v>
      </c>
      <c r="AG167" s="30" t="s">
        <v>169</v>
      </c>
      <c r="AH167" s="30" t="s">
        <v>168</v>
      </c>
      <c r="AI167" s="30" t="s">
        <v>167</v>
      </c>
      <c r="AJ167" s="29" t="s">
        <v>166</v>
      </c>
      <c r="AK167" s="2"/>
    </row>
    <row r="168" spans="2:37" ht="19.5" customHeight="1" thickTop="1" thickBot="1" x14ac:dyDescent="0.3">
      <c r="B168" s="28"/>
      <c r="C168" s="27" t="str">
        <f>DADOS!$AL$3</f>
        <v>📝 CDB</v>
      </c>
      <c r="D168" s="26" t="str">
        <f>IF(reservafixaconsolidadoout[[#This Row],[TOTAL (R$)]]=0,"",IF(OR(reservafixaconsolidadoout[[#This Row],[TOTAL (R$)]]=LARGE($AJ$168:$AJ$177,1),reservafixaconsolidadoout[[#This Row],[TOTAL (R$)]]=LARGE($AJ$168:$AJ$177,2)),DADOS!$I$11,""))</f>
        <v/>
      </c>
      <c r="E168" s="96">
        <f>SUMIFS(tabela_registros[VALOR],tabela_registros[MÊS],$AE$1,tabela_registros[DIA],reservafixaconsolidadoout[[#Headers],[1]],tabela_registros[REGISTRO],DADOS!$N$6,tabela_registros[TIPO],DADOS!$AJ$3,tabela_registros[CATEGORIA],reservafixaconsolidadoout[[#This Row],[ATUAL]])</f>
        <v>0</v>
      </c>
      <c r="F168" s="91">
        <f>SUMIFS(tabela_registros[VALOR],tabela_registros[MÊS],$AE$1,tabela_registros[DIA],reservafixaconsolidadoout[[#Headers],[2]],tabela_registros[REGISTRO],DADOS!$N$6,tabela_registros[TIPO],DADOS!$AJ$3,tabela_registros[CATEGORIA],reservafixaconsolidadoout[[#This Row],[ATUAL]])</f>
        <v>0</v>
      </c>
      <c r="G168" s="91">
        <f>SUMIFS(tabela_registros[VALOR],tabela_registros[MÊS],$AE$1,tabela_registros[DIA],reservafixaconsolidadoout[[#Headers],[3]],tabela_registros[REGISTRO],DADOS!$N$6,tabela_registros[TIPO],DADOS!$AJ$3,tabela_registros[CATEGORIA],reservafixaconsolidadoout[[#This Row],[ATUAL]])</f>
        <v>0</v>
      </c>
      <c r="H168" s="91">
        <f>SUMIFS(tabela_registros[VALOR],tabela_registros[MÊS],$AE$1,tabela_registros[DIA],reservafixaconsolidadoout[[#Headers],[4]],tabela_registros[REGISTRO],DADOS!$N$6,tabela_registros[TIPO],DADOS!$AJ$3,tabela_registros[CATEGORIA],reservafixaconsolidadoout[[#This Row],[ATUAL]])</f>
        <v>0</v>
      </c>
      <c r="I168" s="91">
        <f>SUMIFS(tabela_registros[VALOR],tabela_registros[MÊS],$AE$1,tabela_registros[DIA],reservafixaconsolidadoout[[#Headers],[5]],tabela_registros[REGISTRO],DADOS!$N$6,tabela_registros[TIPO],DADOS!$AJ$3,tabela_registros[CATEGORIA],reservafixaconsolidadoout[[#This Row],[ATUAL]])</f>
        <v>0</v>
      </c>
      <c r="J168" s="91">
        <f>SUMIFS(tabela_registros[VALOR],tabela_registros[MÊS],$AE$1,tabela_registros[DIA],reservafixaconsolidadoout[[#Headers],[6]],tabela_registros[REGISTRO],DADOS!$N$6,tabela_registros[TIPO],DADOS!$AJ$3,tabela_registros[CATEGORIA],reservafixaconsolidadoout[[#This Row],[ATUAL]])</f>
        <v>0</v>
      </c>
      <c r="K168" s="91">
        <f>SUMIFS(tabela_registros[VALOR],tabela_registros[MÊS],$AE$1,tabela_registros[DIA],reservafixaconsolidadoout[[#Headers],[7]],tabela_registros[REGISTRO],DADOS!$N$6,tabela_registros[TIPO],DADOS!$AJ$3,tabela_registros[CATEGORIA],reservafixaconsolidadoout[[#This Row],[ATUAL]])</f>
        <v>0</v>
      </c>
      <c r="L168" s="91">
        <f>SUMIFS(tabela_registros[VALOR],tabela_registros[MÊS],$AE$1,tabela_registros[DIA],reservafixaconsolidadoout[[#Headers],[8]],tabela_registros[REGISTRO],DADOS!$N$6,tabela_registros[TIPO],DADOS!$AJ$3,tabela_registros[CATEGORIA],reservafixaconsolidadoout[[#This Row],[ATUAL]])</f>
        <v>0</v>
      </c>
      <c r="M168" s="91">
        <f>SUMIFS(tabela_registros[VALOR],tabela_registros[MÊS],$AE$1,tabela_registros[DIA],reservafixaconsolidadoout[[#Headers],[9]],tabela_registros[REGISTRO],DADOS!$N$6,tabela_registros[TIPO],DADOS!$AJ$3,tabela_registros[CATEGORIA],reservafixaconsolidadoout[[#This Row],[ATUAL]])</f>
        <v>0</v>
      </c>
      <c r="N168" s="91">
        <f>SUMIFS(tabela_registros[VALOR],tabela_registros[MÊS],$AE$1,tabela_registros[DIA],reservafixaconsolidadoout[[#Headers],[10]],tabela_registros[REGISTRO],DADOS!$N$6,tabela_registros[TIPO],DADOS!$AJ$3,tabela_registros[CATEGORIA],reservafixaconsolidadoout[[#This Row],[ATUAL]])</f>
        <v>0</v>
      </c>
      <c r="O168" s="91">
        <f>SUMIFS(tabela_registros[VALOR],tabela_registros[MÊS],$AE$1,tabela_registros[DIA],reservafixaconsolidadoout[[#Headers],[11]],tabela_registros[REGISTRO],DADOS!$N$6,tabela_registros[TIPO],DADOS!$AJ$3,tabela_registros[CATEGORIA],reservafixaconsolidadoout[[#This Row],[ATUAL]])</f>
        <v>0</v>
      </c>
      <c r="P168" s="91">
        <f>SUMIFS(tabela_registros[VALOR],tabela_registros[MÊS],$AE$1,tabela_registros[DIA],reservafixaconsolidadoout[[#Headers],[12]],tabela_registros[REGISTRO],DADOS!$N$6,tabela_registros[TIPO],DADOS!$AJ$3,tabela_registros[CATEGORIA],reservafixaconsolidadoout[[#This Row],[ATUAL]])</f>
        <v>0</v>
      </c>
      <c r="Q168" s="91">
        <f>SUMIFS(tabela_registros[VALOR],tabela_registros[MÊS],$AE$1,tabela_registros[DIA],reservafixaconsolidadoout[[#Headers],[13]],tabela_registros[REGISTRO],DADOS!$N$6,tabela_registros[TIPO],DADOS!$AJ$3,tabela_registros[CATEGORIA],reservafixaconsolidadoout[[#This Row],[ATUAL]])</f>
        <v>0</v>
      </c>
      <c r="R168" s="91">
        <f>SUMIFS(tabela_registros[VALOR],tabela_registros[MÊS],$AE$1,tabela_registros[DIA],reservafixaconsolidadoout[[#Headers],[14]],tabela_registros[REGISTRO],DADOS!$N$6,tabela_registros[TIPO],DADOS!$AJ$3,tabela_registros[CATEGORIA],reservafixaconsolidadoout[[#This Row],[ATUAL]])</f>
        <v>0</v>
      </c>
      <c r="S168" s="91">
        <f>SUMIFS(tabela_registros[VALOR],tabela_registros[MÊS],$AE$1,tabela_registros[DIA],reservafixaconsolidadoout[[#Headers],[15]],tabela_registros[REGISTRO],DADOS!$N$6,tabela_registros[TIPO],DADOS!$AJ$3,tabela_registros[CATEGORIA],reservafixaconsolidadoout[[#This Row],[ATUAL]])</f>
        <v>0</v>
      </c>
      <c r="T168" s="91">
        <f>SUMIFS(tabela_registros[VALOR],tabela_registros[MÊS],$AE$1,tabela_registros[DIA],reservafixaconsolidadoout[[#Headers],[16]],tabela_registros[REGISTRO],DADOS!$N$6,tabela_registros[TIPO],DADOS!$AJ$3,tabela_registros[CATEGORIA],reservafixaconsolidadoout[[#This Row],[ATUAL]])</f>
        <v>0</v>
      </c>
      <c r="U168" s="91">
        <f>SUMIFS(tabela_registros[VALOR],tabela_registros[MÊS],$AE$1,tabela_registros[DIA],reservafixaconsolidadoout[[#Headers],[17]],tabela_registros[REGISTRO],DADOS!$N$6,tabela_registros[TIPO],DADOS!$AJ$3,tabela_registros[CATEGORIA],reservafixaconsolidadoout[[#This Row],[ATUAL]])</f>
        <v>0</v>
      </c>
      <c r="V168" s="91">
        <f>SUMIFS(tabela_registros[VALOR],tabela_registros[MÊS],$AE$1,tabela_registros[DIA],reservafixaconsolidadoout[[#Headers],[18]],tabela_registros[REGISTRO],DADOS!$N$6,tabela_registros[TIPO],DADOS!$AJ$3,tabela_registros[CATEGORIA],reservafixaconsolidadoout[[#This Row],[ATUAL]])</f>
        <v>0</v>
      </c>
      <c r="W168" s="91">
        <f>SUMIFS(tabela_registros[VALOR],tabela_registros[MÊS],$AE$1,tabela_registros[DIA],reservafixaconsolidadoout[[#Headers],[19]],tabela_registros[REGISTRO],DADOS!$N$6,tabela_registros[TIPO],DADOS!$AJ$3,tabela_registros[CATEGORIA],reservafixaconsolidadoout[[#This Row],[ATUAL]])</f>
        <v>0</v>
      </c>
      <c r="X168" s="91">
        <f>SUMIFS(tabela_registros[VALOR],tabela_registros[MÊS],$AE$1,tabela_registros[DIA],reservafixaconsolidadoout[[#Headers],[20]],tabela_registros[REGISTRO],DADOS!$N$6,tabela_registros[TIPO],DADOS!$AJ$3,tabela_registros[CATEGORIA],reservafixaconsolidadoout[[#This Row],[ATUAL]])</f>
        <v>0</v>
      </c>
      <c r="Y168" s="91">
        <f>SUMIFS(tabela_registros[VALOR],tabela_registros[MÊS],$AE$1,tabela_registros[DIA],reservafixaconsolidadoout[[#Headers],[21]],tabela_registros[REGISTRO],DADOS!$N$6,tabela_registros[TIPO],DADOS!$AJ$3,tabela_registros[CATEGORIA],reservafixaconsolidadoout[[#This Row],[ATUAL]])</f>
        <v>0</v>
      </c>
      <c r="Z168" s="91">
        <f>SUMIFS(tabela_registros[VALOR],tabela_registros[MÊS],$AE$1,tabela_registros[DIA],reservafixaconsolidadoout[[#Headers],[22]],tabela_registros[REGISTRO],DADOS!$N$6,tabela_registros[TIPO],DADOS!$AJ$3,tabela_registros[CATEGORIA],reservafixaconsolidadoout[[#This Row],[ATUAL]])</f>
        <v>0</v>
      </c>
      <c r="AA168" s="91">
        <f>SUMIFS(tabela_registros[VALOR],tabela_registros[MÊS],$AE$1,tabela_registros[DIA],reservafixaconsolidadoout[[#Headers],[23]],tabela_registros[REGISTRO],DADOS!$N$6,tabela_registros[TIPO],DADOS!$AJ$3,tabela_registros[CATEGORIA],reservafixaconsolidadoout[[#This Row],[ATUAL]])</f>
        <v>0</v>
      </c>
      <c r="AB168" s="91">
        <f>SUMIFS(tabela_registros[VALOR],tabela_registros[MÊS],$AE$1,tabela_registros[DIA],reservafixaconsolidadoout[[#Headers],[24]],tabela_registros[REGISTRO],DADOS!$N$6,tabela_registros[TIPO],DADOS!$AJ$3,tabela_registros[CATEGORIA],reservafixaconsolidadoout[[#This Row],[ATUAL]])</f>
        <v>0</v>
      </c>
      <c r="AC168" s="91">
        <f>SUMIFS(tabela_registros[VALOR],tabela_registros[MÊS],$AE$1,tabela_registros[DIA],reservafixaconsolidadoout[[#Headers],[25]],tabela_registros[REGISTRO],DADOS!$N$6,tabela_registros[TIPO],DADOS!$AJ$3,tabela_registros[CATEGORIA],reservafixaconsolidadoout[[#This Row],[ATUAL]])</f>
        <v>0</v>
      </c>
      <c r="AD168" s="91">
        <f>SUMIFS(tabela_registros[VALOR],tabela_registros[MÊS],$AE$1,tabela_registros[DIA],reservafixaconsolidadoout[[#Headers],[26]],tabela_registros[REGISTRO],DADOS!$N$6,tabela_registros[TIPO],DADOS!$AJ$3,tabela_registros[CATEGORIA],reservafixaconsolidadoout[[#This Row],[ATUAL]])</f>
        <v>0</v>
      </c>
      <c r="AE168" s="91">
        <f>SUMIFS(tabela_registros[VALOR],tabela_registros[MÊS],$AE$1,tabela_registros[DIA],reservafixaconsolidadoout[[#Headers],[27]],tabela_registros[REGISTRO],DADOS!$N$6,tabela_registros[TIPO],DADOS!$AJ$3,tabela_registros[CATEGORIA],reservafixaconsolidadoout[[#This Row],[ATUAL]])</f>
        <v>0</v>
      </c>
      <c r="AF168" s="91">
        <f>SUMIFS(tabela_registros[VALOR],tabela_registros[MÊS],$AE$1,tabela_registros[DIA],reservafixaconsolidadoout[[#Headers],[28]],tabela_registros[REGISTRO],DADOS!$N$6,tabela_registros[TIPO],DADOS!$AJ$3,tabela_registros[CATEGORIA],reservafixaconsolidadoout[[#This Row],[ATUAL]])</f>
        <v>0</v>
      </c>
      <c r="AG168" s="91">
        <f>SUMIFS(tabela_registros[VALOR],tabela_registros[MÊS],$AE$1,tabela_registros[DIA],reservafixaconsolidadoout[[#Headers],[29]],tabela_registros[REGISTRO],DADOS!$N$6,tabela_registros[TIPO],DADOS!$AJ$3,tabela_registros[CATEGORIA],reservafixaconsolidadoout[[#This Row],[ATUAL]])</f>
        <v>0</v>
      </c>
      <c r="AH168" s="91">
        <f>SUMIFS(tabela_registros[VALOR],tabela_registros[MÊS],$AE$1,tabela_registros[DIA],reservafixaconsolidadoout[[#Headers],[30]],tabela_registros[REGISTRO],DADOS!$N$6,tabela_registros[TIPO],DADOS!$AJ$3,tabela_registros[CATEGORIA],reservafixaconsolidadoout[[#This Row],[ATUAL]])</f>
        <v>0</v>
      </c>
      <c r="AI168" s="101">
        <f>SUMIFS(tabela_registros[VALOR],tabela_registros[MÊS],$AE$1,tabela_registros[DIA],reservafixaconsolidadoout[[#Headers],[31]],tabela_registros[REGISTRO],DADOS!$N$6,tabela_registros[TIPO],DADOS!$AJ$3,tabela_registros[CATEGORIA],reservafixaconsolidadoout[[#This Row],[ATUAL]])</f>
        <v>0</v>
      </c>
      <c r="AJ168" s="97">
        <f>SUM(reservafixaconsolidadoout[[#This Row],[1]:[31]])</f>
        <v>0</v>
      </c>
      <c r="AK168" s="25"/>
    </row>
    <row r="169" spans="2:37" ht="19.5" customHeight="1" thickTop="1" thickBot="1" x14ac:dyDescent="0.3">
      <c r="B169" s="28"/>
      <c r="C169" s="27" t="str">
        <f>DADOS!$AL$4</f>
        <v>📝 CRA</v>
      </c>
      <c r="D169" s="26" t="str">
        <f>IF(reservafixaconsolidadoout[[#This Row],[TOTAL (R$)]]=0,"",IF(OR(reservafixaconsolidadoout[[#This Row],[TOTAL (R$)]]=LARGE($AJ$168:$AJ$177,1),reservafixaconsolidadoout[[#This Row],[TOTAL (R$)]]=LARGE($AJ$168:$AJ$177,2)),DADOS!$I$11,""))</f>
        <v/>
      </c>
      <c r="E169" s="96">
        <f>SUMIFS(tabela_registros[VALOR],tabela_registros[MÊS],$AE$1,tabela_registros[DIA],reservafixaconsolidadoout[[#Headers],[1]],tabela_registros[REGISTRO],DADOS!$N$6,tabela_registros[TIPO],DADOS!$AJ$3,tabela_registros[CATEGORIA],reservafixaconsolidadoout[[#This Row],[ATUAL]])</f>
        <v>0</v>
      </c>
      <c r="F169" s="91">
        <f>SUMIFS(tabela_registros[VALOR],tabela_registros[MÊS],$AE$1,tabela_registros[DIA],reservafixaconsolidadoout[[#Headers],[2]],tabela_registros[REGISTRO],DADOS!$N$6,tabela_registros[TIPO],DADOS!$AJ$3,tabela_registros[CATEGORIA],reservafixaconsolidadoout[[#This Row],[ATUAL]])</f>
        <v>0</v>
      </c>
      <c r="G169" s="91">
        <f>SUMIFS(tabela_registros[VALOR],tabela_registros[MÊS],$AE$1,tabela_registros[DIA],reservafixaconsolidadoout[[#Headers],[3]],tabela_registros[REGISTRO],DADOS!$N$6,tabela_registros[TIPO],DADOS!$AJ$3,tabela_registros[CATEGORIA],reservafixaconsolidadoout[[#This Row],[ATUAL]])</f>
        <v>0</v>
      </c>
      <c r="H169" s="91">
        <f>SUMIFS(tabela_registros[VALOR],tabela_registros[MÊS],$AE$1,tabela_registros[DIA],reservafixaconsolidadoout[[#Headers],[4]],tabela_registros[REGISTRO],DADOS!$N$6,tabela_registros[TIPO],DADOS!$AJ$3,tabela_registros[CATEGORIA],reservafixaconsolidadoout[[#This Row],[ATUAL]])</f>
        <v>0</v>
      </c>
      <c r="I169" s="91">
        <f>SUMIFS(tabela_registros[VALOR],tabela_registros[MÊS],$AE$1,tabela_registros[DIA],reservafixaconsolidadoout[[#Headers],[5]],tabela_registros[REGISTRO],DADOS!$N$6,tabela_registros[TIPO],DADOS!$AJ$3,tabela_registros[CATEGORIA],reservafixaconsolidadoout[[#This Row],[ATUAL]])</f>
        <v>0</v>
      </c>
      <c r="J169" s="91">
        <f>SUMIFS(tabela_registros[VALOR],tabela_registros[MÊS],$AE$1,tabela_registros[DIA],reservafixaconsolidadoout[[#Headers],[6]],tabela_registros[REGISTRO],DADOS!$N$6,tabela_registros[TIPO],DADOS!$AJ$3,tabela_registros[CATEGORIA],reservafixaconsolidadoout[[#This Row],[ATUAL]])</f>
        <v>0</v>
      </c>
      <c r="K169" s="91">
        <f>SUMIFS(tabela_registros[VALOR],tabela_registros[MÊS],$AE$1,tabela_registros[DIA],reservafixaconsolidadoout[[#Headers],[7]],tabela_registros[REGISTRO],DADOS!$N$6,tabela_registros[TIPO],DADOS!$AJ$3,tabela_registros[CATEGORIA],reservafixaconsolidadoout[[#This Row],[ATUAL]])</f>
        <v>0</v>
      </c>
      <c r="L169" s="91">
        <f>SUMIFS(tabela_registros[VALOR],tabela_registros[MÊS],$AE$1,tabela_registros[DIA],reservafixaconsolidadoout[[#Headers],[8]],tabela_registros[REGISTRO],DADOS!$N$6,tabela_registros[TIPO],DADOS!$AJ$3,tabela_registros[CATEGORIA],reservafixaconsolidadoout[[#This Row],[ATUAL]])</f>
        <v>0</v>
      </c>
      <c r="M169" s="91">
        <f>SUMIFS(tabela_registros[VALOR],tabela_registros[MÊS],$AE$1,tabela_registros[DIA],reservafixaconsolidadoout[[#Headers],[9]],tabela_registros[REGISTRO],DADOS!$N$6,tabela_registros[TIPO],DADOS!$AJ$3,tabela_registros[CATEGORIA],reservafixaconsolidadoout[[#This Row],[ATUAL]])</f>
        <v>0</v>
      </c>
      <c r="N169" s="91">
        <f>SUMIFS(tabela_registros[VALOR],tabela_registros[MÊS],$AE$1,tabela_registros[DIA],reservafixaconsolidadoout[[#Headers],[10]],tabela_registros[REGISTRO],DADOS!$N$6,tabela_registros[TIPO],DADOS!$AJ$3,tabela_registros[CATEGORIA],reservafixaconsolidadoout[[#This Row],[ATUAL]])</f>
        <v>0</v>
      </c>
      <c r="O169" s="91">
        <f>SUMIFS(tabela_registros[VALOR],tabela_registros[MÊS],$AE$1,tabela_registros[DIA],reservafixaconsolidadoout[[#Headers],[11]],tabela_registros[REGISTRO],DADOS!$N$6,tabela_registros[TIPO],DADOS!$AJ$3,tabela_registros[CATEGORIA],reservafixaconsolidadoout[[#This Row],[ATUAL]])</f>
        <v>0</v>
      </c>
      <c r="P169" s="91">
        <f>SUMIFS(tabela_registros[VALOR],tabela_registros[MÊS],$AE$1,tabela_registros[DIA],reservafixaconsolidadoout[[#Headers],[12]],tabela_registros[REGISTRO],DADOS!$N$6,tabela_registros[TIPO],DADOS!$AJ$3,tabela_registros[CATEGORIA],reservafixaconsolidadoout[[#This Row],[ATUAL]])</f>
        <v>0</v>
      </c>
      <c r="Q169" s="91">
        <f>SUMIFS(tabela_registros[VALOR],tabela_registros[MÊS],$AE$1,tabela_registros[DIA],reservafixaconsolidadoout[[#Headers],[13]],tabela_registros[REGISTRO],DADOS!$N$6,tabela_registros[TIPO],DADOS!$AJ$3,tabela_registros[CATEGORIA],reservafixaconsolidadoout[[#This Row],[ATUAL]])</f>
        <v>0</v>
      </c>
      <c r="R169" s="91">
        <f>SUMIFS(tabela_registros[VALOR],tabela_registros[MÊS],$AE$1,tabela_registros[DIA],reservafixaconsolidadoout[[#Headers],[14]],tabela_registros[REGISTRO],DADOS!$N$6,tabela_registros[TIPO],DADOS!$AJ$3,tabela_registros[CATEGORIA],reservafixaconsolidadoout[[#This Row],[ATUAL]])</f>
        <v>0</v>
      </c>
      <c r="S169" s="91">
        <f>SUMIFS(tabela_registros[VALOR],tabela_registros[MÊS],$AE$1,tabela_registros[DIA],reservafixaconsolidadoout[[#Headers],[15]],tabela_registros[REGISTRO],DADOS!$N$6,tabela_registros[TIPO],DADOS!$AJ$3,tabela_registros[CATEGORIA],reservafixaconsolidadoout[[#This Row],[ATUAL]])</f>
        <v>0</v>
      </c>
      <c r="T169" s="91">
        <f>SUMIFS(tabela_registros[VALOR],tabela_registros[MÊS],$AE$1,tabela_registros[DIA],reservafixaconsolidadoout[[#Headers],[16]],tabela_registros[REGISTRO],DADOS!$N$6,tabela_registros[TIPO],DADOS!$AJ$3,tabela_registros[CATEGORIA],reservafixaconsolidadoout[[#This Row],[ATUAL]])</f>
        <v>0</v>
      </c>
      <c r="U169" s="91">
        <f>SUMIFS(tabela_registros[VALOR],tabela_registros[MÊS],$AE$1,tabela_registros[DIA],reservafixaconsolidadoout[[#Headers],[17]],tabela_registros[REGISTRO],DADOS!$N$6,tabela_registros[TIPO],DADOS!$AJ$3,tabela_registros[CATEGORIA],reservafixaconsolidadoout[[#This Row],[ATUAL]])</f>
        <v>0</v>
      </c>
      <c r="V169" s="91">
        <f>SUMIFS(tabela_registros[VALOR],tabela_registros[MÊS],$AE$1,tabela_registros[DIA],reservafixaconsolidadoout[[#Headers],[18]],tabela_registros[REGISTRO],DADOS!$N$6,tabela_registros[TIPO],DADOS!$AJ$3,tabela_registros[CATEGORIA],reservafixaconsolidadoout[[#This Row],[ATUAL]])</f>
        <v>0</v>
      </c>
      <c r="W169" s="91">
        <f>SUMIFS(tabela_registros[VALOR],tabela_registros[MÊS],$AE$1,tabela_registros[DIA],reservafixaconsolidadoout[[#Headers],[19]],tabela_registros[REGISTRO],DADOS!$N$6,tabela_registros[TIPO],DADOS!$AJ$3,tabela_registros[CATEGORIA],reservafixaconsolidadoout[[#This Row],[ATUAL]])</f>
        <v>0</v>
      </c>
      <c r="X169" s="91">
        <f>SUMIFS(tabela_registros[VALOR],tabela_registros[MÊS],$AE$1,tabela_registros[DIA],reservafixaconsolidadoout[[#Headers],[20]],tabela_registros[REGISTRO],DADOS!$N$6,tabela_registros[TIPO],DADOS!$AJ$3,tabela_registros[CATEGORIA],reservafixaconsolidadoout[[#This Row],[ATUAL]])</f>
        <v>0</v>
      </c>
      <c r="Y169" s="91">
        <f>SUMIFS(tabela_registros[VALOR],tabela_registros[MÊS],$AE$1,tabela_registros[DIA],reservafixaconsolidadoout[[#Headers],[21]],tabela_registros[REGISTRO],DADOS!$N$6,tabela_registros[TIPO],DADOS!$AJ$3,tabela_registros[CATEGORIA],reservafixaconsolidadoout[[#This Row],[ATUAL]])</f>
        <v>0</v>
      </c>
      <c r="Z169" s="91">
        <f>SUMIFS(tabela_registros[VALOR],tabela_registros[MÊS],$AE$1,tabela_registros[DIA],reservafixaconsolidadoout[[#Headers],[22]],tabela_registros[REGISTRO],DADOS!$N$6,tabela_registros[TIPO],DADOS!$AJ$3,tabela_registros[CATEGORIA],reservafixaconsolidadoout[[#This Row],[ATUAL]])</f>
        <v>0</v>
      </c>
      <c r="AA169" s="91">
        <f>SUMIFS(tabela_registros[VALOR],tabela_registros[MÊS],$AE$1,tabela_registros[DIA],reservafixaconsolidadoout[[#Headers],[23]],tabela_registros[REGISTRO],DADOS!$N$6,tabela_registros[TIPO],DADOS!$AJ$3,tabela_registros[CATEGORIA],reservafixaconsolidadoout[[#This Row],[ATUAL]])</f>
        <v>0</v>
      </c>
      <c r="AB169" s="91">
        <f>SUMIFS(tabela_registros[VALOR],tabela_registros[MÊS],$AE$1,tabela_registros[DIA],reservafixaconsolidadoout[[#Headers],[24]],tabela_registros[REGISTRO],DADOS!$N$6,tabela_registros[TIPO],DADOS!$AJ$3,tabela_registros[CATEGORIA],reservafixaconsolidadoout[[#This Row],[ATUAL]])</f>
        <v>0</v>
      </c>
      <c r="AC169" s="91">
        <f>SUMIFS(tabela_registros[VALOR],tabela_registros[MÊS],$AE$1,tabela_registros[DIA],reservafixaconsolidadoout[[#Headers],[25]],tabela_registros[REGISTRO],DADOS!$N$6,tabela_registros[TIPO],DADOS!$AJ$3,tabela_registros[CATEGORIA],reservafixaconsolidadoout[[#This Row],[ATUAL]])</f>
        <v>0</v>
      </c>
      <c r="AD169" s="91">
        <f>SUMIFS(tabela_registros[VALOR],tabela_registros[MÊS],$AE$1,tabela_registros[DIA],reservafixaconsolidadoout[[#Headers],[26]],tabela_registros[REGISTRO],DADOS!$N$6,tabela_registros[TIPO],DADOS!$AJ$3,tabela_registros[CATEGORIA],reservafixaconsolidadoout[[#This Row],[ATUAL]])</f>
        <v>0</v>
      </c>
      <c r="AE169" s="91">
        <f>SUMIFS(tabela_registros[VALOR],tabela_registros[MÊS],$AE$1,tabela_registros[DIA],reservafixaconsolidadoout[[#Headers],[27]],tabela_registros[REGISTRO],DADOS!$N$6,tabela_registros[TIPO],DADOS!$AJ$3,tabela_registros[CATEGORIA],reservafixaconsolidadoout[[#This Row],[ATUAL]])</f>
        <v>0</v>
      </c>
      <c r="AF169" s="91">
        <f>SUMIFS(tabela_registros[VALOR],tabela_registros[MÊS],$AE$1,tabela_registros[DIA],reservafixaconsolidadoout[[#Headers],[28]],tabela_registros[REGISTRO],DADOS!$N$6,tabela_registros[TIPO],DADOS!$AJ$3,tabela_registros[CATEGORIA],reservafixaconsolidadoout[[#This Row],[ATUAL]])</f>
        <v>0</v>
      </c>
      <c r="AG169" s="91">
        <f>SUMIFS(tabela_registros[VALOR],tabela_registros[MÊS],$AE$1,tabela_registros[DIA],reservafixaconsolidadoout[[#Headers],[29]],tabela_registros[REGISTRO],DADOS!$N$6,tabela_registros[TIPO],DADOS!$AJ$3,tabela_registros[CATEGORIA],reservafixaconsolidadoout[[#This Row],[ATUAL]])</f>
        <v>0</v>
      </c>
      <c r="AH169" s="91">
        <f>SUMIFS(tabela_registros[VALOR],tabela_registros[MÊS],$AE$1,tabela_registros[DIA],reservafixaconsolidadoout[[#Headers],[30]],tabela_registros[REGISTRO],DADOS!$N$6,tabela_registros[TIPO],DADOS!$AJ$3,tabela_registros[CATEGORIA],reservafixaconsolidadoout[[#This Row],[ATUAL]])</f>
        <v>0</v>
      </c>
      <c r="AI169" s="101">
        <f>SUMIFS(tabela_registros[VALOR],tabela_registros[MÊS],$AE$1,tabela_registros[DIA],reservafixaconsolidadoout[[#Headers],[31]],tabela_registros[REGISTRO],DADOS!$N$6,tabela_registros[TIPO],DADOS!$AJ$3,tabela_registros[CATEGORIA],reservafixaconsolidadoout[[#This Row],[ATUAL]])</f>
        <v>0</v>
      </c>
      <c r="AJ169" s="97">
        <f>SUM(reservafixaconsolidadoout[[#This Row],[1]:[31]])</f>
        <v>0</v>
      </c>
      <c r="AK169" s="25"/>
    </row>
    <row r="170" spans="2:37" ht="19.5" customHeight="1" thickTop="1" thickBot="1" x14ac:dyDescent="0.3">
      <c r="B170" s="28"/>
      <c r="C170" s="27" t="str">
        <f>DADOS!$AL$5</f>
        <v>📝 CRI</v>
      </c>
      <c r="D170" s="26" t="str">
        <f>IF(reservafixaconsolidadoout[[#This Row],[TOTAL (R$)]]=0,"",IF(OR(reservafixaconsolidadoout[[#This Row],[TOTAL (R$)]]=LARGE($AJ$168:$AJ$177,1),reservafixaconsolidadoout[[#This Row],[TOTAL (R$)]]=LARGE($AJ$168:$AJ$177,2)),DADOS!$I$11,""))</f>
        <v/>
      </c>
      <c r="E170" s="96">
        <f>SUMIFS(tabela_registros[VALOR],tabela_registros[MÊS],$AE$1,tabela_registros[DIA],reservafixaconsolidadoout[[#Headers],[1]],tabela_registros[REGISTRO],DADOS!$N$6,tabela_registros[TIPO],DADOS!$AJ$3,tabela_registros[CATEGORIA],reservafixaconsolidadoout[[#This Row],[ATUAL]])</f>
        <v>0</v>
      </c>
      <c r="F170" s="91">
        <f>SUMIFS(tabela_registros[VALOR],tabela_registros[MÊS],$AE$1,tabela_registros[DIA],reservafixaconsolidadoout[[#Headers],[2]],tabela_registros[REGISTRO],DADOS!$N$6,tabela_registros[TIPO],DADOS!$AJ$3,tabela_registros[CATEGORIA],reservafixaconsolidadoout[[#This Row],[ATUAL]])</f>
        <v>0</v>
      </c>
      <c r="G170" s="91">
        <f>SUMIFS(tabela_registros[VALOR],tabela_registros[MÊS],$AE$1,tabela_registros[DIA],reservafixaconsolidadoout[[#Headers],[3]],tabela_registros[REGISTRO],DADOS!$N$6,tabela_registros[TIPO],DADOS!$AJ$3,tabela_registros[CATEGORIA],reservafixaconsolidadoout[[#This Row],[ATUAL]])</f>
        <v>0</v>
      </c>
      <c r="H170" s="91">
        <f>SUMIFS(tabela_registros[VALOR],tabela_registros[MÊS],$AE$1,tabela_registros[DIA],reservafixaconsolidadoout[[#Headers],[4]],tabela_registros[REGISTRO],DADOS!$N$6,tabela_registros[TIPO],DADOS!$AJ$3,tabela_registros[CATEGORIA],reservafixaconsolidadoout[[#This Row],[ATUAL]])</f>
        <v>0</v>
      </c>
      <c r="I170" s="91">
        <f>SUMIFS(tabela_registros[VALOR],tabela_registros[MÊS],$AE$1,tabela_registros[DIA],reservafixaconsolidadoout[[#Headers],[5]],tabela_registros[REGISTRO],DADOS!$N$6,tabela_registros[TIPO],DADOS!$AJ$3,tabela_registros[CATEGORIA],reservafixaconsolidadoout[[#This Row],[ATUAL]])</f>
        <v>0</v>
      </c>
      <c r="J170" s="91">
        <f>SUMIFS(tabela_registros[VALOR],tabela_registros[MÊS],$AE$1,tabela_registros[DIA],reservafixaconsolidadoout[[#Headers],[6]],tabela_registros[REGISTRO],DADOS!$N$6,tabela_registros[TIPO],DADOS!$AJ$3,tabela_registros[CATEGORIA],reservafixaconsolidadoout[[#This Row],[ATUAL]])</f>
        <v>0</v>
      </c>
      <c r="K170" s="91">
        <f>SUMIFS(tabela_registros[VALOR],tabela_registros[MÊS],$AE$1,tabela_registros[DIA],reservafixaconsolidadoout[[#Headers],[7]],tabela_registros[REGISTRO],DADOS!$N$6,tabela_registros[TIPO],DADOS!$AJ$3,tabela_registros[CATEGORIA],reservafixaconsolidadoout[[#This Row],[ATUAL]])</f>
        <v>0</v>
      </c>
      <c r="L170" s="91">
        <f>SUMIFS(tabela_registros[VALOR],tabela_registros[MÊS],$AE$1,tabela_registros[DIA],reservafixaconsolidadoout[[#Headers],[8]],tabela_registros[REGISTRO],DADOS!$N$6,tabela_registros[TIPO],DADOS!$AJ$3,tabela_registros[CATEGORIA],reservafixaconsolidadoout[[#This Row],[ATUAL]])</f>
        <v>0</v>
      </c>
      <c r="M170" s="91">
        <f>SUMIFS(tabela_registros[VALOR],tabela_registros[MÊS],$AE$1,tabela_registros[DIA],reservafixaconsolidadoout[[#Headers],[9]],tabela_registros[REGISTRO],DADOS!$N$6,tabela_registros[TIPO],DADOS!$AJ$3,tabela_registros[CATEGORIA],reservafixaconsolidadoout[[#This Row],[ATUAL]])</f>
        <v>0</v>
      </c>
      <c r="N170" s="91">
        <f>SUMIFS(tabela_registros[VALOR],tabela_registros[MÊS],$AE$1,tabela_registros[DIA],reservafixaconsolidadoout[[#Headers],[10]],tabela_registros[REGISTRO],DADOS!$N$6,tabela_registros[TIPO],DADOS!$AJ$3,tabela_registros[CATEGORIA],reservafixaconsolidadoout[[#This Row],[ATUAL]])</f>
        <v>0</v>
      </c>
      <c r="O170" s="91">
        <f>SUMIFS(tabela_registros[VALOR],tabela_registros[MÊS],$AE$1,tabela_registros[DIA],reservafixaconsolidadoout[[#Headers],[11]],tabela_registros[REGISTRO],DADOS!$N$6,tabela_registros[TIPO],DADOS!$AJ$3,tabela_registros[CATEGORIA],reservafixaconsolidadoout[[#This Row],[ATUAL]])</f>
        <v>0</v>
      </c>
      <c r="P170" s="91">
        <f>SUMIFS(tabela_registros[VALOR],tabela_registros[MÊS],$AE$1,tabela_registros[DIA],reservafixaconsolidadoout[[#Headers],[12]],tabela_registros[REGISTRO],DADOS!$N$6,tabela_registros[TIPO],DADOS!$AJ$3,tabela_registros[CATEGORIA],reservafixaconsolidadoout[[#This Row],[ATUAL]])</f>
        <v>0</v>
      </c>
      <c r="Q170" s="91">
        <f>SUMIFS(tabela_registros[VALOR],tabela_registros[MÊS],$AE$1,tabela_registros[DIA],reservafixaconsolidadoout[[#Headers],[13]],tabela_registros[REGISTRO],DADOS!$N$6,tabela_registros[TIPO],DADOS!$AJ$3,tabela_registros[CATEGORIA],reservafixaconsolidadoout[[#This Row],[ATUAL]])</f>
        <v>0</v>
      </c>
      <c r="R170" s="91">
        <f>SUMIFS(tabela_registros[VALOR],tabela_registros[MÊS],$AE$1,tabela_registros[DIA],reservafixaconsolidadoout[[#Headers],[14]],tabela_registros[REGISTRO],DADOS!$N$6,tabela_registros[TIPO],DADOS!$AJ$3,tabela_registros[CATEGORIA],reservafixaconsolidadoout[[#This Row],[ATUAL]])</f>
        <v>0</v>
      </c>
      <c r="S170" s="91">
        <f>SUMIFS(tabela_registros[VALOR],tabela_registros[MÊS],$AE$1,tabela_registros[DIA],reservafixaconsolidadoout[[#Headers],[15]],tabela_registros[REGISTRO],DADOS!$N$6,tabela_registros[TIPO],DADOS!$AJ$3,tabela_registros[CATEGORIA],reservafixaconsolidadoout[[#This Row],[ATUAL]])</f>
        <v>0</v>
      </c>
      <c r="T170" s="91">
        <f>SUMIFS(tabela_registros[VALOR],tabela_registros[MÊS],$AE$1,tabela_registros[DIA],reservafixaconsolidadoout[[#Headers],[16]],tabela_registros[REGISTRO],DADOS!$N$6,tabela_registros[TIPO],DADOS!$AJ$3,tabela_registros[CATEGORIA],reservafixaconsolidadoout[[#This Row],[ATUAL]])</f>
        <v>0</v>
      </c>
      <c r="U170" s="91">
        <f>SUMIFS(tabela_registros[VALOR],tabela_registros[MÊS],$AE$1,tabela_registros[DIA],reservafixaconsolidadoout[[#Headers],[17]],tabela_registros[REGISTRO],DADOS!$N$6,tabela_registros[TIPO],DADOS!$AJ$3,tabela_registros[CATEGORIA],reservafixaconsolidadoout[[#This Row],[ATUAL]])</f>
        <v>0</v>
      </c>
      <c r="V170" s="91">
        <f>SUMIFS(tabela_registros[VALOR],tabela_registros[MÊS],$AE$1,tabela_registros[DIA],reservafixaconsolidadoout[[#Headers],[18]],tabela_registros[REGISTRO],DADOS!$N$6,tabela_registros[TIPO],DADOS!$AJ$3,tabela_registros[CATEGORIA],reservafixaconsolidadoout[[#This Row],[ATUAL]])</f>
        <v>0</v>
      </c>
      <c r="W170" s="91">
        <f>SUMIFS(tabela_registros[VALOR],tabela_registros[MÊS],$AE$1,tabela_registros[DIA],reservafixaconsolidadoout[[#Headers],[19]],tabela_registros[REGISTRO],DADOS!$N$6,tabela_registros[TIPO],DADOS!$AJ$3,tabela_registros[CATEGORIA],reservafixaconsolidadoout[[#This Row],[ATUAL]])</f>
        <v>0</v>
      </c>
      <c r="X170" s="91">
        <f>SUMIFS(tabela_registros[VALOR],tabela_registros[MÊS],$AE$1,tabela_registros[DIA],reservafixaconsolidadoout[[#Headers],[20]],tabela_registros[REGISTRO],DADOS!$N$6,tabela_registros[TIPO],DADOS!$AJ$3,tabela_registros[CATEGORIA],reservafixaconsolidadoout[[#This Row],[ATUAL]])</f>
        <v>0</v>
      </c>
      <c r="Y170" s="91">
        <f>SUMIFS(tabela_registros[VALOR],tabela_registros[MÊS],$AE$1,tabela_registros[DIA],reservafixaconsolidadoout[[#Headers],[21]],tabela_registros[REGISTRO],DADOS!$N$6,tabela_registros[TIPO],DADOS!$AJ$3,tabela_registros[CATEGORIA],reservafixaconsolidadoout[[#This Row],[ATUAL]])</f>
        <v>0</v>
      </c>
      <c r="Z170" s="91">
        <f>SUMIFS(tabela_registros[VALOR],tabela_registros[MÊS],$AE$1,tabela_registros[DIA],reservafixaconsolidadoout[[#Headers],[22]],tabela_registros[REGISTRO],DADOS!$N$6,tabela_registros[TIPO],DADOS!$AJ$3,tabela_registros[CATEGORIA],reservafixaconsolidadoout[[#This Row],[ATUAL]])</f>
        <v>0</v>
      </c>
      <c r="AA170" s="91">
        <f>SUMIFS(tabela_registros[VALOR],tabela_registros[MÊS],$AE$1,tabela_registros[DIA],reservafixaconsolidadoout[[#Headers],[23]],tabela_registros[REGISTRO],DADOS!$N$6,tabela_registros[TIPO],DADOS!$AJ$3,tabela_registros[CATEGORIA],reservafixaconsolidadoout[[#This Row],[ATUAL]])</f>
        <v>0</v>
      </c>
      <c r="AB170" s="91">
        <f>SUMIFS(tabela_registros[VALOR],tabela_registros[MÊS],$AE$1,tabela_registros[DIA],reservafixaconsolidadoout[[#Headers],[24]],tabela_registros[REGISTRO],DADOS!$N$6,tabela_registros[TIPO],DADOS!$AJ$3,tabela_registros[CATEGORIA],reservafixaconsolidadoout[[#This Row],[ATUAL]])</f>
        <v>0</v>
      </c>
      <c r="AC170" s="91">
        <f>SUMIFS(tabela_registros[VALOR],tabela_registros[MÊS],$AE$1,tabela_registros[DIA],reservafixaconsolidadoout[[#Headers],[25]],tabela_registros[REGISTRO],DADOS!$N$6,tabela_registros[TIPO],DADOS!$AJ$3,tabela_registros[CATEGORIA],reservafixaconsolidadoout[[#This Row],[ATUAL]])</f>
        <v>0</v>
      </c>
      <c r="AD170" s="91">
        <f>SUMIFS(tabela_registros[VALOR],tabela_registros[MÊS],$AE$1,tabela_registros[DIA],reservafixaconsolidadoout[[#Headers],[26]],tabela_registros[REGISTRO],DADOS!$N$6,tabela_registros[TIPO],DADOS!$AJ$3,tabela_registros[CATEGORIA],reservafixaconsolidadoout[[#This Row],[ATUAL]])</f>
        <v>0</v>
      </c>
      <c r="AE170" s="91">
        <f>SUMIFS(tabela_registros[VALOR],tabela_registros[MÊS],$AE$1,tabela_registros[DIA],reservafixaconsolidadoout[[#Headers],[27]],tabela_registros[REGISTRO],DADOS!$N$6,tabela_registros[TIPO],DADOS!$AJ$3,tabela_registros[CATEGORIA],reservafixaconsolidadoout[[#This Row],[ATUAL]])</f>
        <v>0</v>
      </c>
      <c r="AF170" s="91">
        <f>SUMIFS(tabela_registros[VALOR],tabela_registros[MÊS],$AE$1,tabela_registros[DIA],reservafixaconsolidadoout[[#Headers],[28]],tabela_registros[REGISTRO],DADOS!$N$6,tabela_registros[TIPO],DADOS!$AJ$3,tabela_registros[CATEGORIA],reservafixaconsolidadoout[[#This Row],[ATUAL]])</f>
        <v>0</v>
      </c>
      <c r="AG170" s="91">
        <f>SUMIFS(tabela_registros[VALOR],tabela_registros[MÊS],$AE$1,tabela_registros[DIA],reservafixaconsolidadoout[[#Headers],[29]],tabela_registros[REGISTRO],DADOS!$N$6,tabela_registros[TIPO],DADOS!$AJ$3,tabela_registros[CATEGORIA],reservafixaconsolidadoout[[#This Row],[ATUAL]])</f>
        <v>0</v>
      </c>
      <c r="AH170" s="91">
        <f>SUMIFS(tabela_registros[VALOR],tabela_registros[MÊS],$AE$1,tabela_registros[DIA],reservafixaconsolidadoout[[#Headers],[30]],tabela_registros[REGISTRO],DADOS!$N$6,tabela_registros[TIPO],DADOS!$AJ$3,tabela_registros[CATEGORIA],reservafixaconsolidadoout[[#This Row],[ATUAL]])</f>
        <v>0</v>
      </c>
      <c r="AI170" s="101">
        <f>SUMIFS(tabela_registros[VALOR],tabela_registros[MÊS],$AE$1,tabela_registros[DIA],reservafixaconsolidadoout[[#Headers],[31]],tabela_registros[REGISTRO],DADOS!$N$6,tabela_registros[TIPO],DADOS!$AJ$3,tabela_registros[CATEGORIA],reservafixaconsolidadoout[[#This Row],[ATUAL]])</f>
        <v>0</v>
      </c>
      <c r="AJ170" s="97">
        <f>SUM(reservafixaconsolidadoout[[#This Row],[1]:[31]])</f>
        <v>0</v>
      </c>
      <c r="AK170" s="25"/>
    </row>
    <row r="171" spans="2:37" ht="19.5" customHeight="1" thickTop="1" thickBot="1" x14ac:dyDescent="0.3">
      <c r="B171" s="28"/>
      <c r="C171" s="27" t="str">
        <f>DADOS!$AL$6</f>
        <v>📝 DEBÊNTURE</v>
      </c>
      <c r="D171" s="26" t="str">
        <f>IF(reservafixaconsolidadoout[[#This Row],[TOTAL (R$)]]=0,"",IF(OR(reservafixaconsolidadoout[[#This Row],[TOTAL (R$)]]=LARGE($AJ$168:$AJ$177,1),reservafixaconsolidadoout[[#This Row],[TOTAL (R$)]]=LARGE($AJ$168:$AJ$177,2)),DADOS!$I$11,""))</f>
        <v/>
      </c>
      <c r="E171" s="96">
        <f>SUMIFS(tabela_registros[VALOR],tabela_registros[MÊS],$AE$1,tabela_registros[DIA],reservafixaconsolidadoout[[#Headers],[1]],tabela_registros[REGISTRO],DADOS!$N$6,tabela_registros[TIPO],DADOS!$AJ$3,tabela_registros[CATEGORIA],reservafixaconsolidadoout[[#This Row],[ATUAL]])</f>
        <v>0</v>
      </c>
      <c r="F171" s="91">
        <f>SUMIFS(tabela_registros[VALOR],tabela_registros[MÊS],$AE$1,tabela_registros[DIA],reservafixaconsolidadoout[[#Headers],[2]],tabela_registros[REGISTRO],DADOS!$N$6,tabela_registros[TIPO],DADOS!$AJ$3,tabela_registros[CATEGORIA],reservafixaconsolidadoout[[#This Row],[ATUAL]])</f>
        <v>0</v>
      </c>
      <c r="G171" s="91">
        <f>SUMIFS(tabela_registros[VALOR],tabela_registros[MÊS],$AE$1,tabela_registros[DIA],reservafixaconsolidadoout[[#Headers],[3]],tabela_registros[REGISTRO],DADOS!$N$6,tabela_registros[TIPO],DADOS!$AJ$3,tabela_registros[CATEGORIA],reservafixaconsolidadoout[[#This Row],[ATUAL]])</f>
        <v>0</v>
      </c>
      <c r="H171" s="91">
        <f>SUMIFS(tabela_registros[VALOR],tabela_registros[MÊS],$AE$1,tabela_registros[DIA],reservafixaconsolidadoout[[#Headers],[4]],tabela_registros[REGISTRO],DADOS!$N$6,tabela_registros[TIPO],DADOS!$AJ$3,tabela_registros[CATEGORIA],reservafixaconsolidadoout[[#This Row],[ATUAL]])</f>
        <v>0</v>
      </c>
      <c r="I171" s="91">
        <f>SUMIFS(tabela_registros[VALOR],tabela_registros[MÊS],$AE$1,tabela_registros[DIA],reservafixaconsolidadoout[[#Headers],[5]],tabela_registros[REGISTRO],DADOS!$N$6,tabela_registros[TIPO],DADOS!$AJ$3,tabela_registros[CATEGORIA],reservafixaconsolidadoout[[#This Row],[ATUAL]])</f>
        <v>0</v>
      </c>
      <c r="J171" s="91">
        <f>SUMIFS(tabela_registros[VALOR],tabela_registros[MÊS],$AE$1,tabela_registros[DIA],reservafixaconsolidadoout[[#Headers],[6]],tabela_registros[REGISTRO],DADOS!$N$6,tabela_registros[TIPO],DADOS!$AJ$3,tabela_registros[CATEGORIA],reservafixaconsolidadoout[[#This Row],[ATUAL]])</f>
        <v>0</v>
      </c>
      <c r="K171" s="91">
        <f>SUMIFS(tabela_registros[VALOR],tabela_registros[MÊS],$AE$1,tabela_registros[DIA],reservafixaconsolidadoout[[#Headers],[7]],tabela_registros[REGISTRO],DADOS!$N$6,tabela_registros[TIPO],DADOS!$AJ$3,tabela_registros[CATEGORIA],reservafixaconsolidadoout[[#This Row],[ATUAL]])</f>
        <v>0</v>
      </c>
      <c r="L171" s="91">
        <f>SUMIFS(tabela_registros[VALOR],tabela_registros[MÊS],$AE$1,tabela_registros[DIA],reservafixaconsolidadoout[[#Headers],[8]],tabela_registros[REGISTRO],DADOS!$N$6,tabela_registros[TIPO],DADOS!$AJ$3,tabela_registros[CATEGORIA],reservafixaconsolidadoout[[#This Row],[ATUAL]])</f>
        <v>0</v>
      </c>
      <c r="M171" s="91">
        <f>SUMIFS(tabela_registros[VALOR],tabela_registros[MÊS],$AE$1,tabela_registros[DIA],reservafixaconsolidadoout[[#Headers],[9]],tabela_registros[REGISTRO],DADOS!$N$6,tabela_registros[TIPO],DADOS!$AJ$3,tabela_registros[CATEGORIA],reservafixaconsolidadoout[[#This Row],[ATUAL]])</f>
        <v>0</v>
      </c>
      <c r="N171" s="91">
        <f>SUMIFS(tabela_registros[VALOR],tabela_registros[MÊS],$AE$1,tabela_registros[DIA],reservafixaconsolidadoout[[#Headers],[10]],tabela_registros[REGISTRO],DADOS!$N$6,tabela_registros[TIPO],DADOS!$AJ$3,tabela_registros[CATEGORIA],reservafixaconsolidadoout[[#This Row],[ATUAL]])</f>
        <v>0</v>
      </c>
      <c r="O171" s="91">
        <f>SUMIFS(tabela_registros[VALOR],tabela_registros[MÊS],$AE$1,tabela_registros[DIA],reservafixaconsolidadoout[[#Headers],[11]],tabela_registros[REGISTRO],DADOS!$N$6,tabela_registros[TIPO],DADOS!$AJ$3,tabela_registros[CATEGORIA],reservafixaconsolidadoout[[#This Row],[ATUAL]])</f>
        <v>0</v>
      </c>
      <c r="P171" s="91">
        <f>SUMIFS(tabela_registros[VALOR],tabela_registros[MÊS],$AE$1,tabela_registros[DIA],reservafixaconsolidadoout[[#Headers],[12]],tabela_registros[REGISTRO],DADOS!$N$6,tabela_registros[TIPO],DADOS!$AJ$3,tabela_registros[CATEGORIA],reservafixaconsolidadoout[[#This Row],[ATUAL]])</f>
        <v>0</v>
      </c>
      <c r="Q171" s="91">
        <f>SUMIFS(tabela_registros[VALOR],tabela_registros[MÊS],$AE$1,tabela_registros[DIA],reservafixaconsolidadoout[[#Headers],[13]],tabela_registros[REGISTRO],DADOS!$N$6,tabela_registros[TIPO],DADOS!$AJ$3,tabela_registros[CATEGORIA],reservafixaconsolidadoout[[#This Row],[ATUAL]])</f>
        <v>0</v>
      </c>
      <c r="R171" s="91">
        <f>SUMIFS(tabela_registros[VALOR],tabela_registros[MÊS],$AE$1,tabela_registros[DIA],reservafixaconsolidadoout[[#Headers],[14]],tabela_registros[REGISTRO],DADOS!$N$6,tabela_registros[TIPO],DADOS!$AJ$3,tabela_registros[CATEGORIA],reservafixaconsolidadoout[[#This Row],[ATUAL]])</f>
        <v>0</v>
      </c>
      <c r="S171" s="91">
        <f>SUMIFS(tabela_registros[VALOR],tabela_registros[MÊS],$AE$1,tabela_registros[DIA],reservafixaconsolidadoout[[#Headers],[15]],tabela_registros[REGISTRO],DADOS!$N$6,tabela_registros[TIPO],DADOS!$AJ$3,tabela_registros[CATEGORIA],reservafixaconsolidadoout[[#This Row],[ATUAL]])</f>
        <v>0</v>
      </c>
      <c r="T171" s="91">
        <f>SUMIFS(tabela_registros[VALOR],tabela_registros[MÊS],$AE$1,tabela_registros[DIA],reservafixaconsolidadoout[[#Headers],[16]],tabela_registros[REGISTRO],DADOS!$N$6,tabela_registros[TIPO],DADOS!$AJ$3,tabela_registros[CATEGORIA],reservafixaconsolidadoout[[#This Row],[ATUAL]])</f>
        <v>0</v>
      </c>
      <c r="U171" s="91">
        <f>SUMIFS(tabela_registros[VALOR],tabela_registros[MÊS],$AE$1,tabela_registros[DIA],reservafixaconsolidadoout[[#Headers],[17]],tabela_registros[REGISTRO],DADOS!$N$6,tabela_registros[TIPO],DADOS!$AJ$3,tabela_registros[CATEGORIA],reservafixaconsolidadoout[[#This Row],[ATUAL]])</f>
        <v>0</v>
      </c>
      <c r="V171" s="91">
        <f>SUMIFS(tabela_registros[VALOR],tabela_registros[MÊS],$AE$1,tabela_registros[DIA],reservafixaconsolidadoout[[#Headers],[18]],tabela_registros[REGISTRO],DADOS!$N$6,tabela_registros[TIPO],DADOS!$AJ$3,tabela_registros[CATEGORIA],reservafixaconsolidadoout[[#This Row],[ATUAL]])</f>
        <v>0</v>
      </c>
      <c r="W171" s="91">
        <f>SUMIFS(tabela_registros[VALOR],tabela_registros[MÊS],$AE$1,tabela_registros[DIA],reservafixaconsolidadoout[[#Headers],[19]],tabela_registros[REGISTRO],DADOS!$N$6,tabela_registros[TIPO],DADOS!$AJ$3,tabela_registros[CATEGORIA],reservafixaconsolidadoout[[#This Row],[ATUAL]])</f>
        <v>0</v>
      </c>
      <c r="X171" s="91">
        <f>SUMIFS(tabela_registros[VALOR],tabela_registros[MÊS],$AE$1,tabela_registros[DIA],reservafixaconsolidadoout[[#Headers],[20]],tabela_registros[REGISTRO],DADOS!$N$6,tabela_registros[TIPO],DADOS!$AJ$3,tabela_registros[CATEGORIA],reservafixaconsolidadoout[[#This Row],[ATUAL]])</f>
        <v>0</v>
      </c>
      <c r="Y171" s="91">
        <f>SUMIFS(tabela_registros[VALOR],tabela_registros[MÊS],$AE$1,tabela_registros[DIA],reservafixaconsolidadoout[[#Headers],[21]],tabela_registros[REGISTRO],DADOS!$N$6,tabela_registros[TIPO],DADOS!$AJ$3,tabela_registros[CATEGORIA],reservafixaconsolidadoout[[#This Row],[ATUAL]])</f>
        <v>0</v>
      </c>
      <c r="Z171" s="91">
        <f>SUMIFS(tabela_registros[VALOR],tabela_registros[MÊS],$AE$1,tabela_registros[DIA],reservafixaconsolidadoout[[#Headers],[22]],tabela_registros[REGISTRO],DADOS!$N$6,tabela_registros[TIPO],DADOS!$AJ$3,tabela_registros[CATEGORIA],reservafixaconsolidadoout[[#This Row],[ATUAL]])</f>
        <v>0</v>
      </c>
      <c r="AA171" s="91">
        <f>SUMIFS(tabela_registros[VALOR],tabela_registros[MÊS],$AE$1,tabela_registros[DIA],reservafixaconsolidadoout[[#Headers],[23]],tabela_registros[REGISTRO],DADOS!$N$6,tabela_registros[TIPO],DADOS!$AJ$3,tabela_registros[CATEGORIA],reservafixaconsolidadoout[[#This Row],[ATUAL]])</f>
        <v>0</v>
      </c>
      <c r="AB171" s="91">
        <f>SUMIFS(tabela_registros[VALOR],tabela_registros[MÊS],$AE$1,tabela_registros[DIA],reservafixaconsolidadoout[[#Headers],[24]],tabela_registros[REGISTRO],DADOS!$N$6,tabela_registros[TIPO],DADOS!$AJ$3,tabela_registros[CATEGORIA],reservafixaconsolidadoout[[#This Row],[ATUAL]])</f>
        <v>0</v>
      </c>
      <c r="AC171" s="91">
        <f>SUMIFS(tabela_registros[VALOR],tabela_registros[MÊS],$AE$1,tabela_registros[DIA],reservafixaconsolidadoout[[#Headers],[25]],tabela_registros[REGISTRO],DADOS!$N$6,tabela_registros[TIPO],DADOS!$AJ$3,tabela_registros[CATEGORIA],reservafixaconsolidadoout[[#This Row],[ATUAL]])</f>
        <v>0</v>
      </c>
      <c r="AD171" s="91">
        <f>SUMIFS(tabela_registros[VALOR],tabela_registros[MÊS],$AE$1,tabela_registros[DIA],reservafixaconsolidadoout[[#Headers],[26]],tabela_registros[REGISTRO],DADOS!$N$6,tabela_registros[TIPO],DADOS!$AJ$3,tabela_registros[CATEGORIA],reservafixaconsolidadoout[[#This Row],[ATUAL]])</f>
        <v>0</v>
      </c>
      <c r="AE171" s="91">
        <f>SUMIFS(tabela_registros[VALOR],tabela_registros[MÊS],$AE$1,tabela_registros[DIA],reservafixaconsolidadoout[[#Headers],[27]],tabela_registros[REGISTRO],DADOS!$N$6,tabela_registros[TIPO],DADOS!$AJ$3,tabela_registros[CATEGORIA],reservafixaconsolidadoout[[#This Row],[ATUAL]])</f>
        <v>0</v>
      </c>
      <c r="AF171" s="91">
        <f>SUMIFS(tabela_registros[VALOR],tabela_registros[MÊS],$AE$1,tabela_registros[DIA],reservafixaconsolidadoout[[#Headers],[28]],tabela_registros[REGISTRO],DADOS!$N$6,tabela_registros[TIPO],DADOS!$AJ$3,tabela_registros[CATEGORIA],reservafixaconsolidadoout[[#This Row],[ATUAL]])</f>
        <v>0</v>
      </c>
      <c r="AG171" s="91">
        <f>SUMIFS(tabela_registros[VALOR],tabela_registros[MÊS],$AE$1,tabela_registros[DIA],reservafixaconsolidadoout[[#Headers],[29]],tabela_registros[REGISTRO],DADOS!$N$6,tabela_registros[TIPO],DADOS!$AJ$3,tabela_registros[CATEGORIA],reservafixaconsolidadoout[[#This Row],[ATUAL]])</f>
        <v>0</v>
      </c>
      <c r="AH171" s="91">
        <f>SUMIFS(tabela_registros[VALOR],tabela_registros[MÊS],$AE$1,tabela_registros[DIA],reservafixaconsolidadoout[[#Headers],[30]],tabela_registros[REGISTRO],DADOS!$N$6,tabela_registros[TIPO],DADOS!$AJ$3,tabela_registros[CATEGORIA],reservafixaconsolidadoout[[#This Row],[ATUAL]])</f>
        <v>0</v>
      </c>
      <c r="AI171" s="101">
        <f>SUMIFS(tabela_registros[VALOR],tabela_registros[MÊS],$AE$1,tabela_registros[DIA],reservafixaconsolidadoout[[#Headers],[31]],tabela_registros[REGISTRO],DADOS!$N$6,tabela_registros[TIPO],DADOS!$AJ$3,tabela_registros[CATEGORIA],reservafixaconsolidadoout[[#This Row],[ATUAL]])</f>
        <v>0</v>
      </c>
      <c r="AJ171" s="97">
        <f>SUM(reservafixaconsolidadoout[[#This Row],[1]:[31]])</f>
        <v>0</v>
      </c>
      <c r="AK171" s="25"/>
    </row>
    <row r="172" spans="2:37" ht="19.5" customHeight="1" thickTop="1" thickBot="1" x14ac:dyDescent="0.3">
      <c r="B172" s="28"/>
      <c r="C172" s="27" t="str">
        <f>DADOS!$AL$7</f>
        <v>📝 EXTERIOR</v>
      </c>
      <c r="D172" s="26" t="str">
        <f>IF(reservafixaconsolidadoout[[#This Row],[TOTAL (R$)]]=0,"",IF(OR(reservafixaconsolidadoout[[#This Row],[TOTAL (R$)]]=LARGE($AJ$168:$AJ$177,1),reservafixaconsolidadoout[[#This Row],[TOTAL (R$)]]=LARGE($AJ$168:$AJ$177,2)),DADOS!$I$11,""))</f>
        <v/>
      </c>
      <c r="E172" s="96">
        <f>SUMIFS(tabela_registros[VALOR],tabela_registros[MÊS],$AE$1,tabela_registros[DIA],reservafixaconsolidadoout[[#Headers],[1]],tabela_registros[REGISTRO],DADOS!$N$6,tabela_registros[TIPO],DADOS!$AJ$3,tabela_registros[CATEGORIA],reservafixaconsolidadoout[[#This Row],[ATUAL]])</f>
        <v>0</v>
      </c>
      <c r="F172" s="91">
        <f>SUMIFS(tabela_registros[VALOR],tabela_registros[MÊS],$AE$1,tabela_registros[DIA],reservafixaconsolidadoout[[#Headers],[2]],tabela_registros[REGISTRO],DADOS!$N$6,tabela_registros[TIPO],DADOS!$AJ$3,tabela_registros[CATEGORIA],reservafixaconsolidadoout[[#This Row],[ATUAL]])</f>
        <v>0</v>
      </c>
      <c r="G172" s="91">
        <f>SUMIFS(tabela_registros[VALOR],tabela_registros[MÊS],$AE$1,tabela_registros[DIA],reservafixaconsolidadoout[[#Headers],[3]],tabela_registros[REGISTRO],DADOS!$N$6,tabela_registros[TIPO],DADOS!$AJ$3,tabela_registros[CATEGORIA],reservafixaconsolidadoout[[#This Row],[ATUAL]])</f>
        <v>0</v>
      </c>
      <c r="H172" s="91">
        <f>SUMIFS(tabela_registros[VALOR],tabela_registros[MÊS],$AE$1,tabela_registros[DIA],reservafixaconsolidadoout[[#Headers],[4]],tabela_registros[REGISTRO],DADOS!$N$6,tabela_registros[TIPO],DADOS!$AJ$3,tabela_registros[CATEGORIA],reservafixaconsolidadoout[[#This Row],[ATUAL]])</f>
        <v>0</v>
      </c>
      <c r="I172" s="91">
        <f>SUMIFS(tabela_registros[VALOR],tabela_registros[MÊS],$AE$1,tabela_registros[DIA],reservafixaconsolidadoout[[#Headers],[5]],tabela_registros[REGISTRO],DADOS!$N$6,tabela_registros[TIPO],DADOS!$AJ$3,tabela_registros[CATEGORIA],reservafixaconsolidadoout[[#This Row],[ATUAL]])</f>
        <v>0</v>
      </c>
      <c r="J172" s="91">
        <f>SUMIFS(tabela_registros[VALOR],tabela_registros[MÊS],$AE$1,tabela_registros[DIA],reservafixaconsolidadoout[[#Headers],[6]],tabela_registros[REGISTRO],DADOS!$N$6,tabela_registros[TIPO],DADOS!$AJ$3,tabela_registros[CATEGORIA],reservafixaconsolidadoout[[#This Row],[ATUAL]])</f>
        <v>0</v>
      </c>
      <c r="K172" s="91">
        <f>SUMIFS(tabela_registros[VALOR],tabela_registros[MÊS],$AE$1,tabela_registros[DIA],reservafixaconsolidadoout[[#Headers],[7]],tabela_registros[REGISTRO],DADOS!$N$6,tabela_registros[TIPO],DADOS!$AJ$3,tabela_registros[CATEGORIA],reservafixaconsolidadoout[[#This Row],[ATUAL]])</f>
        <v>0</v>
      </c>
      <c r="L172" s="91">
        <f>SUMIFS(tabela_registros[VALOR],tabela_registros[MÊS],$AE$1,tabela_registros[DIA],reservafixaconsolidadoout[[#Headers],[8]],tabela_registros[REGISTRO],DADOS!$N$6,tabela_registros[TIPO],DADOS!$AJ$3,tabela_registros[CATEGORIA],reservafixaconsolidadoout[[#This Row],[ATUAL]])</f>
        <v>0</v>
      </c>
      <c r="M172" s="91">
        <f>SUMIFS(tabela_registros[VALOR],tabela_registros[MÊS],$AE$1,tabela_registros[DIA],reservafixaconsolidadoout[[#Headers],[9]],tabela_registros[REGISTRO],DADOS!$N$6,tabela_registros[TIPO],DADOS!$AJ$3,tabela_registros[CATEGORIA],reservafixaconsolidadoout[[#This Row],[ATUAL]])</f>
        <v>0</v>
      </c>
      <c r="N172" s="91">
        <f>SUMIFS(tabela_registros[VALOR],tabela_registros[MÊS],$AE$1,tabela_registros[DIA],reservafixaconsolidadoout[[#Headers],[10]],tabela_registros[REGISTRO],DADOS!$N$6,tabela_registros[TIPO],DADOS!$AJ$3,tabela_registros[CATEGORIA],reservafixaconsolidadoout[[#This Row],[ATUAL]])</f>
        <v>0</v>
      </c>
      <c r="O172" s="91">
        <f>SUMIFS(tabela_registros[VALOR],tabela_registros[MÊS],$AE$1,tabela_registros[DIA],reservafixaconsolidadoout[[#Headers],[11]],tabela_registros[REGISTRO],DADOS!$N$6,tabela_registros[TIPO],DADOS!$AJ$3,tabela_registros[CATEGORIA],reservafixaconsolidadoout[[#This Row],[ATUAL]])</f>
        <v>0</v>
      </c>
      <c r="P172" s="91">
        <f>SUMIFS(tabela_registros[VALOR],tabela_registros[MÊS],$AE$1,tabela_registros[DIA],reservafixaconsolidadoout[[#Headers],[12]],tabela_registros[REGISTRO],DADOS!$N$6,tabela_registros[TIPO],DADOS!$AJ$3,tabela_registros[CATEGORIA],reservafixaconsolidadoout[[#This Row],[ATUAL]])</f>
        <v>0</v>
      </c>
      <c r="Q172" s="91">
        <f>SUMIFS(tabela_registros[VALOR],tabela_registros[MÊS],$AE$1,tabela_registros[DIA],reservafixaconsolidadoout[[#Headers],[13]],tabela_registros[REGISTRO],DADOS!$N$6,tabela_registros[TIPO],DADOS!$AJ$3,tabela_registros[CATEGORIA],reservafixaconsolidadoout[[#This Row],[ATUAL]])</f>
        <v>0</v>
      </c>
      <c r="R172" s="91">
        <f>SUMIFS(tabela_registros[VALOR],tabela_registros[MÊS],$AE$1,tabela_registros[DIA],reservafixaconsolidadoout[[#Headers],[14]],tabela_registros[REGISTRO],DADOS!$N$6,tabela_registros[TIPO],DADOS!$AJ$3,tabela_registros[CATEGORIA],reservafixaconsolidadoout[[#This Row],[ATUAL]])</f>
        <v>0</v>
      </c>
      <c r="S172" s="91">
        <f>SUMIFS(tabela_registros[VALOR],tabela_registros[MÊS],$AE$1,tabela_registros[DIA],reservafixaconsolidadoout[[#Headers],[15]],tabela_registros[REGISTRO],DADOS!$N$6,tabela_registros[TIPO],DADOS!$AJ$3,tabela_registros[CATEGORIA],reservafixaconsolidadoout[[#This Row],[ATUAL]])</f>
        <v>0</v>
      </c>
      <c r="T172" s="91">
        <f>SUMIFS(tabela_registros[VALOR],tabela_registros[MÊS],$AE$1,tabela_registros[DIA],reservafixaconsolidadoout[[#Headers],[16]],tabela_registros[REGISTRO],DADOS!$N$6,tabela_registros[TIPO],DADOS!$AJ$3,tabela_registros[CATEGORIA],reservafixaconsolidadoout[[#This Row],[ATUAL]])</f>
        <v>0</v>
      </c>
      <c r="U172" s="91">
        <f>SUMIFS(tabela_registros[VALOR],tabela_registros[MÊS],$AE$1,tabela_registros[DIA],reservafixaconsolidadoout[[#Headers],[17]],tabela_registros[REGISTRO],DADOS!$N$6,tabela_registros[TIPO],DADOS!$AJ$3,tabela_registros[CATEGORIA],reservafixaconsolidadoout[[#This Row],[ATUAL]])</f>
        <v>0</v>
      </c>
      <c r="V172" s="91">
        <f>SUMIFS(tabela_registros[VALOR],tabela_registros[MÊS],$AE$1,tabela_registros[DIA],reservafixaconsolidadoout[[#Headers],[18]],tabela_registros[REGISTRO],DADOS!$N$6,tabela_registros[TIPO],DADOS!$AJ$3,tabela_registros[CATEGORIA],reservafixaconsolidadoout[[#This Row],[ATUAL]])</f>
        <v>0</v>
      </c>
      <c r="W172" s="91">
        <f>SUMIFS(tabela_registros[VALOR],tabela_registros[MÊS],$AE$1,tabela_registros[DIA],reservafixaconsolidadoout[[#Headers],[19]],tabela_registros[REGISTRO],DADOS!$N$6,tabela_registros[TIPO],DADOS!$AJ$3,tabela_registros[CATEGORIA],reservafixaconsolidadoout[[#This Row],[ATUAL]])</f>
        <v>0</v>
      </c>
      <c r="X172" s="91">
        <f>SUMIFS(tabela_registros[VALOR],tabela_registros[MÊS],$AE$1,tabela_registros[DIA],reservafixaconsolidadoout[[#Headers],[20]],tabela_registros[REGISTRO],DADOS!$N$6,tabela_registros[TIPO],DADOS!$AJ$3,tabela_registros[CATEGORIA],reservafixaconsolidadoout[[#This Row],[ATUAL]])</f>
        <v>0</v>
      </c>
      <c r="Y172" s="91">
        <f>SUMIFS(tabela_registros[VALOR],tabela_registros[MÊS],$AE$1,tabela_registros[DIA],reservafixaconsolidadoout[[#Headers],[21]],tabela_registros[REGISTRO],DADOS!$N$6,tabela_registros[TIPO],DADOS!$AJ$3,tabela_registros[CATEGORIA],reservafixaconsolidadoout[[#This Row],[ATUAL]])</f>
        <v>0</v>
      </c>
      <c r="Z172" s="91">
        <f>SUMIFS(tabela_registros[VALOR],tabela_registros[MÊS],$AE$1,tabela_registros[DIA],reservafixaconsolidadoout[[#Headers],[22]],tabela_registros[REGISTRO],DADOS!$N$6,tabela_registros[TIPO],DADOS!$AJ$3,tabela_registros[CATEGORIA],reservafixaconsolidadoout[[#This Row],[ATUAL]])</f>
        <v>0</v>
      </c>
      <c r="AA172" s="91">
        <f>SUMIFS(tabela_registros[VALOR],tabela_registros[MÊS],$AE$1,tabela_registros[DIA],reservafixaconsolidadoout[[#Headers],[23]],tabela_registros[REGISTRO],DADOS!$N$6,tabela_registros[TIPO],DADOS!$AJ$3,tabela_registros[CATEGORIA],reservafixaconsolidadoout[[#This Row],[ATUAL]])</f>
        <v>0</v>
      </c>
      <c r="AB172" s="91">
        <f>SUMIFS(tabela_registros[VALOR],tabela_registros[MÊS],$AE$1,tabela_registros[DIA],reservafixaconsolidadoout[[#Headers],[24]],tabela_registros[REGISTRO],DADOS!$N$6,tabela_registros[TIPO],DADOS!$AJ$3,tabela_registros[CATEGORIA],reservafixaconsolidadoout[[#This Row],[ATUAL]])</f>
        <v>0</v>
      </c>
      <c r="AC172" s="91">
        <f>SUMIFS(tabela_registros[VALOR],tabela_registros[MÊS],$AE$1,tabela_registros[DIA],reservafixaconsolidadoout[[#Headers],[25]],tabela_registros[REGISTRO],DADOS!$N$6,tabela_registros[TIPO],DADOS!$AJ$3,tabela_registros[CATEGORIA],reservafixaconsolidadoout[[#This Row],[ATUAL]])</f>
        <v>0</v>
      </c>
      <c r="AD172" s="91">
        <f>SUMIFS(tabela_registros[VALOR],tabela_registros[MÊS],$AE$1,tabela_registros[DIA],reservafixaconsolidadoout[[#Headers],[26]],tabela_registros[REGISTRO],DADOS!$N$6,tabela_registros[TIPO],DADOS!$AJ$3,tabela_registros[CATEGORIA],reservafixaconsolidadoout[[#This Row],[ATUAL]])</f>
        <v>0</v>
      </c>
      <c r="AE172" s="91">
        <f>SUMIFS(tabela_registros[VALOR],tabela_registros[MÊS],$AE$1,tabela_registros[DIA],reservafixaconsolidadoout[[#Headers],[27]],tabela_registros[REGISTRO],DADOS!$N$6,tabela_registros[TIPO],DADOS!$AJ$3,tabela_registros[CATEGORIA],reservafixaconsolidadoout[[#This Row],[ATUAL]])</f>
        <v>0</v>
      </c>
      <c r="AF172" s="91">
        <f>SUMIFS(tabela_registros[VALOR],tabela_registros[MÊS],$AE$1,tabela_registros[DIA],reservafixaconsolidadoout[[#Headers],[28]],tabela_registros[REGISTRO],DADOS!$N$6,tabela_registros[TIPO],DADOS!$AJ$3,tabela_registros[CATEGORIA],reservafixaconsolidadoout[[#This Row],[ATUAL]])</f>
        <v>0</v>
      </c>
      <c r="AG172" s="91">
        <f>SUMIFS(tabela_registros[VALOR],tabela_registros[MÊS],$AE$1,tabela_registros[DIA],reservafixaconsolidadoout[[#Headers],[29]],tabela_registros[REGISTRO],DADOS!$N$6,tabela_registros[TIPO],DADOS!$AJ$3,tabela_registros[CATEGORIA],reservafixaconsolidadoout[[#This Row],[ATUAL]])</f>
        <v>0</v>
      </c>
      <c r="AH172" s="91">
        <f>SUMIFS(tabela_registros[VALOR],tabela_registros[MÊS],$AE$1,tabela_registros[DIA],reservafixaconsolidadoout[[#Headers],[30]],tabela_registros[REGISTRO],DADOS!$N$6,tabela_registros[TIPO],DADOS!$AJ$3,tabela_registros[CATEGORIA],reservafixaconsolidadoout[[#This Row],[ATUAL]])</f>
        <v>0</v>
      </c>
      <c r="AI172" s="101">
        <f>SUMIFS(tabela_registros[VALOR],tabela_registros[MÊS],$AE$1,tabela_registros[DIA],reservafixaconsolidadoout[[#Headers],[31]],tabela_registros[REGISTRO],DADOS!$N$6,tabela_registros[TIPO],DADOS!$AJ$3,tabela_registros[CATEGORIA],reservafixaconsolidadoout[[#This Row],[ATUAL]])</f>
        <v>0</v>
      </c>
      <c r="AJ172" s="97">
        <f>SUM(reservafixaconsolidadoout[[#This Row],[1]:[31]])</f>
        <v>0</v>
      </c>
      <c r="AK172" s="25"/>
    </row>
    <row r="173" spans="2:37" ht="19.5" customHeight="1" thickTop="1" thickBot="1" x14ac:dyDescent="0.3">
      <c r="B173" s="28"/>
      <c r="C173" s="27" t="str">
        <f>DADOS!$AL$8</f>
        <v>📝 LC</v>
      </c>
      <c r="D173" s="26" t="str">
        <f>IF(reservafixaconsolidadoout[[#This Row],[TOTAL (R$)]]=0,"",IF(OR(reservafixaconsolidadoout[[#This Row],[TOTAL (R$)]]=LARGE($AJ$168:$AJ$177,1),reservafixaconsolidadoout[[#This Row],[TOTAL (R$)]]=LARGE($AJ$168:$AJ$177,2)),DADOS!$I$11,""))</f>
        <v/>
      </c>
      <c r="E173" s="96">
        <f>SUMIFS(tabela_registros[VALOR],tabela_registros[MÊS],$AE$1,tabela_registros[DIA],reservafixaconsolidadoout[[#Headers],[1]],tabela_registros[REGISTRO],DADOS!$N$6,tabela_registros[TIPO],DADOS!$AJ$3,tabela_registros[CATEGORIA],reservafixaconsolidadoout[[#This Row],[ATUAL]])</f>
        <v>0</v>
      </c>
      <c r="F173" s="91">
        <f>SUMIFS(tabela_registros[VALOR],tabela_registros[MÊS],$AE$1,tabela_registros[DIA],reservafixaconsolidadoout[[#Headers],[2]],tabela_registros[REGISTRO],DADOS!$N$6,tabela_registros[TIPO],DADOS!$AJ$3,tabela_registros[CATEGORIA],reservafixaconsolidadoout[[#This Row],[ATUAL]])</f>
        <v>0</v>
      </c>
      <c r="G173" s="91">
        <f>SUMIFS(tabela_registros[VALOR],tabela_registros[MÊS],$AE$1,tabela_registros[DIA],reservafixaconsolidadoout[[#Headers],[3]],tabela_registros[REGISTRO],DADOS!$N$6,tabela_registros[TIPO],DADOS!$AJ$3,tabela_registros[CATEGORIA],reservafixaconsolidadoout[[#This Row],[ATUAL]])</f>
        <v>0</v>
      </c>
      <c r="H173" s="91">
        <f>SUMIFS(tabela_registros[VALOR],tabela_registros[MÊS],$AE$1,tabela_registros[DIA],reservafixaconsolidadoout[[#Headers],[4]],tabela_registros[REGISTRO],DADOS!$N$6,tabela_registros[TIPO],DADOS!$AJ$3,tabela_registros[CATEGORIA],reservafixaconsolidadoout[[#This Row],[ATUAL]])</f>
        <v>0</v>
      </c>
      <c r="I173" s="91">
        <f>SUMIFS(tabela_registros[VALOR],tabela_registros[MÊS],$AE$1,tabela_registros[DIA],reservafixaconsolidadoout[[#Headers],[5]],tabela_registros[REGISTRO],DADOS!$N$6,tabela_registros[TIPO],DADOS!$AJ$3,tabela_registros[CATEGORIA],reservafixaconsolidadoout[[#This Row],[ATUAL]])</f>
        <v>0</v>
      </c>
      <c r="J173" s="91">
        <f>SUMIFS(tabela_registros[VALOR],tabela_registros[MÊS],$AE$1,tabela_registros[DIA],reservafixaconsolidadoout[[#Headers],[6]],tabela_registros[REGISTRO],DADOS!$N$6,tabela_registros[TIPO],DADOS!$AJ$3,tabela_registros[CATEGORIA],reservafixaconsolidadoout[[#This Row],[ATUAL]])</f>
        <v>0</v>
      </c>
      <c r="K173" s="91">
        <f>SUMIFS(tabela_registros[VALOR],tabela_registros[MÊS],$AE$1,tabela_registros[DIA],reservafixaconsolidadoout[[#Headers],[7]],tabela_registros[REGISTRO],DADOS!$N$6,tabela_registros[TIPO],DADOS!$AJ$3,tabela_registros[CATEGORIA],reservafixaconsolidadoout[[#This Row],[ATUAL]])</f>
        <v>0</v>
      </c>
      <c r="L173" s="91">
        <f>SUMIFS(tabela_registros[VALOR],tabela_registros[MÊS],$AE$1,tabela_registros[DIA],reservafixaconsolidadoout[[#Headers],[8]],tabela_registros[REGISTRO],DADOS!$N$6,tabela_registros[TIPO],DADOS!$AJ$3,tabela_registros[CATEGORIA],reservafixaconsolidadoout[[#This Row],[ATUAL]])</f>
        <v>0</v>
      </c>
      <c r="M173" s="91">
        <f>SUMIFS(tabela_registros[VALOR],tabela_registros[MÊS],$AE$1,tabela_registros[DIA],reservafixaconsolidadoout[[#Headers],[9]],tabela_registros[REGISTRO],DADOS!$N$6,tabela_registros[TIPO],DADOS!$AJ$3,tabela_registros[CATEGORIA],reservafixaconsolidadoout[[#This Row],[ATUAL]])</f>
        <v>0</v>
      </c>
      <c r="N173" s="91">
        <f>SUMIFS(tabela_registros[VALOR],tabela_registros[MÊS],$AE$1,tabela_registros[DIA],reservafixaconsolidadoout[[#Headers],[10]],tabela_registros[REGISTRO],DADOS!$N$6,tabela_registros[TIPO],DADOS!$AJ$3,tabela_registros[CATEGORIA],reservafixaconsolidadoout[[#This Row],[ATUAL]])</f>
        <v>0</v>
      </c>
      <c r="O173" s="91">
        <f>SUMIFS(tabela_registros[VALOR],tabela_registros[MÊS],$AE$1,tabela_registros[DIA],reservafixaconsolidadoout[[#Headers],[11]],tabela_registros[REGISTRO],DADOS!$N$6,tabela_registros[TIPO],DADOS!$AJ$3,tabela_registros[CATEGORIA],reservafixaconsolidadoout[[#This Row],[ATUAL]])</f>
        <v>0</v>
      </c>
      <c r="P173" s="91">
        <f>SUMIFS(tabela_registros[VALOR],tabela_registros[MÊS],$AE$1,tabela_registros[DIA],reservafixaconsolidadoout[[#Headers],[12]],tabela_registros[REGISTRO],DADOS!$N$6,tabela_registros[TIPO],DADOS!$AJ$3,tabela_registros[CATEGORIA],reservafixaconsolidadoout[[#This Row],[ATUAL]])</f>
        <v>0</v>
      </c>
      <c r="Q173" s="91">
        <f>SUMIFS(tabela_registros[VALOR],tabela_registros[MÊS],$AE$1,tabela_registros[DIA],reservafixaconsolidadoout[[#Headers],[13]],tabela_registros[REGISTRO],DADOS!$N$6,tabela_registros[TIPO],DADOS!$AJ$3,tabela_registros[CATEGORIA],reservafixaconsolidadoout[[#This Row],[ATUAL]])</f>
        <v>0</v>
      </c>
      <c r="R173" s="91">
        <f>SUMIFS(tabela_registros[VALOR],tabela_registros[MÊS],$AE$1,tabela_registros[DIA],reservafixaconsolidadoout[[#Headers],[14]],tabela_registros[REGISTRO],DADOS!$N$6,tabela_registros[TIPO],DADOS!$AJ$3,tabela_registros[CATEGORIA],reservafixaconsolidadoout[[#This Row],[ATUAL]])</f>
        <v>0</v>
      </c>
      <c r="S173" s="91">
        <f>SUMIFS(tabela_registros[VALOR],tabela_registros[MÊS],$AE$1,tabela_registros[DIA],reservafixaconsolidadoout[[#Headers],[15]],tabela_registros[REGISTRO],DADOS!$N$6,tabela_registros[TIPO],DADOS!$AJ$3,tabela_registros[CATEGORIA],reservafixaconsolidadoout[[#This Row],[ATUAL]])</f>
        <v>0</v>
      </c>
      <c r="T173" s="91">
        <f>SUMIFS(tabela_registros[VALOR],tabela_registros[MÊS],$AE$1,tabela_registros[DIA],reservafixaconsolidadoout[[#Headers],[16]],tabela_registros[REGISTRO],DADOS!$N$6,tabela_registros[TIPO],DADOS!$AJ$3,tabela_registros[CATEGORIA],reservafixaconsolidadoout[[#This Row],[ATUAL]])</f>
        <v>0</v>
      </c>
      <c r="U173" s="91">
        <f>SUMIFS(tabela_registros[VALOR],tabela_registros[MÊS],$AE$1,tabela_registros[DIA],reservafixaconsolidadoout[[#Headers],[17]],tabela_registros[REGISTRO],DADOS!$N$6,tabela_registros[TIPO],DADOS!$AJ$3,tabela_registros[CATEGORIA],reservafixaconsolidadoout[[#This Row],[ATUAL]])</f>
        <v>0</v>
      </c>
      <c r="V173" s="91">
        <f>SUMIFS(tabela_registros[VALOR],tabela_registros[MÊS],$AE$1,tabela_registros[DIA],reservafixaconsolidadoout[[#Headers],[18]],tabela_registros[REGISTRO],DADOS!$N$6,tabela_registros[TIPO],DADOS!$AJ$3,tabela_registros[CATEGORIA],reservafixaconsolidadoout[[#This Row],[ATUAL]])</f>
        <v>0</v>
      </c>
      <c r="W173" s="91">
        <f>SUMIFS(tabela_registros[VALOR],tabela_registros[MÊS],$AE$1,tabela_registros[DIA],reservafixaconsolidadoout[[#Headers],[19]],tabela_registros[REGISTRO],DADOS!$N$6,tabela_registros[TIPO],DADOS!$AJ$3,tabela_registros[CATEGORIA],reservafixaconsolidadoout[[#This Row],[ATUAL]])</f>
        <v>0</v>
      </c>
      <c r="X173" s="91">
        <f>SUMIFS(tabela_registros[VALOR],tabela_registros[MÊS],$AE$1,tabela_registros[DIA],reservafixaconsolidadoout[[#Headers],[20]],tabela_registros[REGISTRO],DADOS!$N$6,tabela_registros[TIPO],DADOS!$AJ$3,tabela_registros[CATEGORIA],reservafixaconsolidadoout[[#This Row],[ATUAL]])</f>
        <v>0</v>
      </c>
      <c r="Y173" s="91">
        <f>SUMIFS(tabela_registros[VALOR],tabela_registros[MÊS],$AE$1,tabela_registros[DIA],reservafixaconsolidadoout[[#Headers],[21]],tabela_registros[REGISTRO],DADOS!$N$6,tabela_registros[TIPO],DADOS!$AJ$3,tabela_registros[CATEGORIA],reservafixaconsolidadoout[[#This Row],[ATUAL]])</f>
        <v>0</v>
      </c>
      <c r="Z173" s="91">
        <f>SUMIFS(tabela_registros[VALOR],tabela_registros[MÊS],$AE$1,tabela_registros[DIA],reservafixaconsolidadoout[[#Headers],[22]],tabela_registros[REGISTRO],DADOS!$N$6,tabela_registros[TIPO],DADOS!$AJ$3,tabela_registros[CATEGORIA],reservafixaconsolidadoout[[#This Row],[ATUAL]])</f>
        <v>0</v>
      </c>
      <c r="AA173" s="91">
        <f>SUMIFS(tabela_registros[VALOR],tabela_registros[MÊS],$AE$1,tabela_registros[DIA],reservafixaconsolidadoout[[#Headers],[23]],tabela_registros[REGISTRO],DADOS!$N$6,tabela_registros[TIPO],DADOS!$AJ$3,tabela_registros[CATEGORIA],reservafixaconsolidadoout[[#This Row],[ATUAL]])</f>
        <v>0</v>
      </c>
      <c r="AB173" s="91">
        <f>SUMIFS(tabela_registros[VALOR],tabela_registros[MÊS],$AE$1,tabela_registros[DIA],reservafixaconsolidadoout[[#Headers],[24]],tabela_registros[REGISTRO],DADOS!$N$6,tabela_registros[TIPO],DADOS!$AJ$3,tabela_registros[CATEGORIA],reservafixaconsolidadoout[[#This Row],[ATUAL]])</f>
        <v>0</v>
      </c>
      <c r="AC173" s="91">
        <f>SUMIFS(tabela_registros[VALOR],tabela_registros[MÊS],$AE$1,tabela_registros[DIA],reservafixaconsolidadoout[[#Headers],[25]],tabela_registros[REGISTRO],DADOS!$N$6,tabela_registros[TIPO],DADOS!$AJ$3,tabela_registros[CATEGORIA],reservafixaconsolidadoout[[#This Row],[ATUAL]])</f>
        <v>0</v>
      </c>
      <c r="AD173" s="91">
        <f>SUMIFS(tabela_registros[VALOR],tabela_registros[MÊS],$AE$1,tabela_registros[DIA],reservafixaconsolidadoout[[#Headers],[26]],tabela_registros[REGISTRO],DADOS!$N$6,tabela_registros[TIPO],DADOS!$AJ$3,tabela_registros[CATEGORIA],reservafixaconsolidadoout[[#This Row],[ATUAL]])</f>
        <v>0</v>
      </c>
      <c r="AE173" s="91">
        <f>SUMIFS(tabela_registros[VALOR],tabela_registros[MÊS],$AE$1,tabela_registros[DIA],reservafixaconsolidadoout[[#Headers],[27]],tabela_registros[REGISTRO],DADOS!$N$6,tabela_registros[TIPO],DADOS!$AJ$3,tabela_registros[CATEGORIA],reservafixaconsolidadoout[[#This Row],[ATUAL]])</f>
        <v>0</v>
      </c>
      <c r="AF173" s="91">
        <f>SUMIFS(tabela_registros[VALOR],tabela_registros[MÊS],$AE$1,tabela_registros[DIA],reservafixaconsolidadoout[[#Headers],[28]],tabela_registros[REGISTRO],DADOS!$N$6,tabela_registros[TIPO],DADOS!$AJ$3,tabela_registros[CATEGORIA],reservafixaconsolidadoout[[#This Row],[ATUAL]])</f>
        <v>0</v>
      </c>
      <c r="AG173" s="91">
        <f>SUMIFS(tabela_registros[VALOR],tabela_registros[MÊS],$AE$1,tabela_registros[DIA],reservafixaconsolidadoout[[#Headers],[29]],tabela_registros[REGISTRO],DADOS!$N$6,tabela_registros[TIPO],DADOS!$AJ$3,tabela_registros[CATEGORIA],reservafixaconsolidadoout[[#This Row],[ATUAL]])</f>
        <v>0</v>
      </c>
      <c r="AH173" s="91">
        <f>SUMIFS(tabela_registros[VALOR],tabela_registros[MÊS],$AE$1,tabela_registros[DIA],reservafixaconsolidadoout[[#Headers],[30]],tabela_registros[REGISTRO],DADOS!$N$6,tabela_registros[TIPO],DADOS!$AJ$3,tabela_registros[CATEGORIA],reservafixaconsolidadoout[[#This Row],[ATUAL]])</f>
        <v>0</v>
      </c>
      <c r="AI173" s="101">
        <f>SUMIFS(tabela_registros[VALOR],tabela_registros[MÊS],$AE$1,tabela_registros[DIA],reservafixaconsolidadoout[[#Headers],[31]],tabela_registros[REGISTRO],DADOS!$N$6,tabela_registros[TIPO],DADOS!$AJ$3,tabela_registros[CATEGORIA],reservafixaconsolidadoout[[#This Row],[ATUAL]])</f>
        <v>0</v>
      </c>
      <c r="AJ173" s="97">
        <f>SUM(reservafixaconsolidadoout[[#This Row],[1]:[31]])</f>
        <v>0</v>
      </c>
      <c r="AK173" s="25"/>
    </row>
    <row r="174" spans="2:37" ht="19.5" customHeight="1" thickTop="1" thickBot="1" x14ac:dyDescent="0.3">
      <c r="B174" s="28"/>
      <c r="C174" s="27" t="str">
        <f>DADOS!$AL$9</f>
        <v>📝 LCA</v>
      </c>
      <c r="D174" s="26" t="str">
        <f>IF(reservafixaconsolidadoout[[#This Row],[TOTAL (R$)]]=0,"",IF(OR(reservafixaconsolidadoout[[#This Row],[TOTAL (R$)]]=LARGE($AJ$168:$AJ$177,1),reservafixaconsolidadoout[[#This Row],[TOTAL (R$)]]=LARGE($AJ$168:$AJ$177,2)),DADOS!$I$11,""))</f>
        <v/>
      </c>
      <c r="E174" s="96">
        <f>SUMIFS(tabela_registros[VALOR],tabela_registros[MÊS],$AE$1,tabela_registros[DIA],reservafixaconsolidadoout[[#Headers],[1]],tabela_registros[REGISTRO],DADOS!$N$6,tabela_registros[TIPO],DADOS!$AJ$3,tabela_registros[CATEGORIA],reservafixaconsolidadoout[[#This Row],[ATUAL]])</f>
        <v>0</v>
      </c>
      <c r="F174" s="91">
        <f>SUMIFS(tabela_registros[VALOR],tabela_registros[MÊS],$AE$1,tabela_registros[DIA],reservafixaconsolidadoout[[#Headers],[2]],tabela_registros[REGISTRO],DADOS!$N$6,tabela_registros[TIPO],DADOS!$AJ$3,tabela_registros[CATEGORIA],reservafixaconsolidadoout[[#This Row],[ATUAL]])</f>
        <v>0</v>
      </c>
      <c r="G174" s="91">
        <f>SUMIFS(tabela_registros[VALOR],tabela_registros[MÊS],$AE$1,tabela_registros[DIA],reservafixaconsolidadoout[[#Headers],[3]],tabela_registros[REGISTRO],DADOS!$N$6,tabela_registros[TIPO],DADOS!$AJ$3,tabela_registros[CATEGORIA],reservafixaconsolidadoout[[#This Row],[ATUAL]])</f>
        <v>0</v>
      </c>
      <c r="H174" s="91">
        <f>SUMIFS(tabela_registros[VALOR],tabela_registros[MÊS],$AE$1,tabela_registros[DIA],reservafixaconsolidadoout[[#Headers],[4]],tabela_registros[REGISTRO],DADOS!$N$6,tabela_registros[TIPO],DADOS!$AJ$3,tabela_registros[CATEGORIA],reservafixaconsolidadoout[[#This Row],[ATUAL]])</f>
        <v>0</v>
      </c>
      <c r="I174" s="91">
        <f>SUMIFS(tabela_registros[VALOR],tabela_registros[MÊS],$AE$1,tabela_registros[DIA],reservafixaconsolidadoout[[#Headers],[5]],tabela_registros[REGISTRO],DADOS!$N$6,tabela_registros[TIPO],DADOS!$AJ$3,tabela_registros[CATEGORIA],reservafixaconsolidadoout[[#This Row],[ATUAL]])</f>
        <v>0</v>
      </c>
      <c r="J174" s="91">
        <f>SUMIFS(tabela_registros[VALOR],tabela_registros[MÊS],$AE$1,tabela_registros[DIA],reservafixaconsolidadoout[[#Headers],[6]],tabela_registros[REGISTRO],DADOS!$N$6,tabela_registros[TIPO],DADOS!$AJ$3,tabela_registros[CATEGORIA],reservafixaconsolidadoout[[#This Row],[ATUAL]])</f>
        <v>0</v>
      </c>
      <c r="K174" s="91">
        <f>SUMIFS(tabela_registros[VALOR],tabela_registros[MÊS],$AE$1,tabela_registros[DIA],reservafixaconsolidadoout[[#Headers],[7]],tabela_registros[REGISTRO],DADOS!$N$6,tabela_registros[TIPO],DADOS!$AJ$3,tabela_registros[CATEGORIA],reservafixaconsolidadoout[[#This Row],[ATUAL]])</f>
        <v>0</v>
      </c>
      <c r="L174" s="91">
        <f>SUMIFS(tabela_registros[VALOR],tabela_registros[MÊS],$AE$1,tabela_registros[DIA],reservafixaconsolidadoout[[#Headers],[8]],tabela_registros[REGISTRO],DADOS!$N$6,tabela_registros[TIPO],DADOS!$AJ$3,tabela_registros[CATEGORIA],reservafixaconsolidadoout[[#This Row],[ATUAL]])</f>
        <v>0</v>
      </c>
      <c r="M174" s="91">
        <f>SUMIFS(tabela_registros[VALOR],tabela_registros[MÊS],$AE$1,tabela_registros[DIA],reservafixaconsolidadoout[[#Headers],[9]],tabela_registros[REGISTRO],DADOS!$N$6,tabela_registros[TIPO],DADOS!$AJ$3,tabela_registros[CATEGORIA],reservafixaconsolidadoout[[#This Row],[ATUAL]])</f>
        <v>0</v>
      </c>
      <c r="N174" s="91">
        <f>SUMIFS(tabela_registros[VALOR],tabela_registros[MÊS],$AE$1,tabela_registros[DIA],reservafixaconsolidadoout[[#Headers],[10]],tabela_registros[REGISTRO],DADOS!$N$6,tabela_registros[TIPO],DADOS!$AJ$3,tabela_registros[CATEGORIA],reservafixaconsolidadoout[[#This Row],[ATUAL]])</f>
        <v>0</v>
      </c>
      <c r="O174" s="91">
        <f>SUMIFS(tabela_registros[VALOR],tabela_registros[MÊS],$AE$1,tabela_registros[DIA],reservafixaconsolidadoout[[#Headers],[11]],tabela_registros[REGISTRO],DADOS!$N$6,tabela_registros[TIPO],DADOS!$AJ$3,tabela_registros[CATEGORIA],reservafixaconsolidadoout[[#This Row],[ATUAL]])</f>
        <v>0</v>
      </c>
      <c r="P174" s="91">
        <f>SUMIFS(tabela_registros[VALOR],tabela_registros[MÊS],$AE$1,tabela_registros[DIA],reservafixaconsolidadoout[[#Headers],[12]],tabela_registros[REGISTRO],DADOS!$N$6,tabela_registros[TIPO],DADOS!$AJ$3,tabela_registros[CATEGORIA],reservafixaconsolidadoout[[#This Row],[ATUAL]])</f>
        <v>0</v>
      </c>
      <c r="Q174" s="91">
        <f>SUMIFS(tabela_registros[VALOR],tabela_registros[MÊS],$AE$1,tabela_registros[DIA],reservafixaconsolidadoout[[#Headers],[13]],tabela_registros[REGISTRO],DADOS!$N$6,tabela_registros[TIPO],DADOS!$AJ$3,tabela_registros[CATEGORIA],reservafixaconsolidadoout[[#This Row],[ATUAL]])</f>
        <v>0</v>
      </c>
      <c r="R174" s="91">
        <f>SUMIFS(tabela_registros[VALOR],tabela_registros[MÊS],$AE$1,tabela_registros[DIA],reservafixaconsolidadoout[[#Headers],[14]],tabela_registros[REGISTRO],DADOS!$N$6,tabela_registros[TIPO],DADOS!$AJ$3,tabela_registros[CATEGORIA],reservafixaconsolidadoout[[#This Row],[ATUAL]])</f>
        <v>0</v>
      </c>
      <c r="S174" s="91">
        <f>SUMIFS(tabela_registros[VALOR],tabela_registros[MÊS],$AE$1,tabela_registros[DIA],reservafixaconsolidadoout[[#Headers],[15]],tabela_registros[REGISTRO],DADOS!$N$6,tabela_registros[TIPO],DADOS!$AJ$3,tabela_registros[CATEGORIA],reservafixaconsolidadoout[[#This Row],[ATUAL]])</f>
        <v>0</v>
      </c>
      <c r="T174" s="91">
        <f>SUMIFS(tabela_registros[VALOR],tabela_registros[MÊS],$AE$1,tabela_registros[DIA],reservafixaconsolidadoout[[#Headers],[16]],tabela_registros[REGISTRO],DADOS!$N$6,tabela_registros[TIPO],DADOS!$AJ$3,tabela_registros[CATEGORIA],reservafixaconsolidadoout[[#This Row],[ATUAL]])</f>
        <v>0</v>
      </c>
      <c r="U174" s="91">
        <f>SUMIFS(tabela_registros[VALOR],tabela_registros[MÊS],$AE$1,tabela_registros[DIA],reservafixaconsolidadoout[[#Headers],[17]],tabela_registros[REGISTRO],DADOS!$N$6,tabela_registros[TIPO],DADOS!$AJ$3,tabela_registros[CATEGORIA],reservafixaconsolidadoout[[#This Row],[ATUAL]])</f>
        <v>0</v>
      </c>
      <c r="V174" s="91">
        <f>SUMIFS(tabela_registros[VALOR],tabela_registros[MÊS],$AE$1,tabela_registros[DIA],reservafixaconsolidadoout[[#Headers],[18]],tabela_registros[REGISTRO],DADOS!$N$6,tabela_registros[TIPO],DADOS!$AJ$3,tabela_registros[CATEGORIA],reservafixaconsolidadoout[[#This Row],[ATUAL]])</f>
        <v>0</v>
      </c>
      <c r="W174" s="91">
        <f>SUMIFS(tabela_registros[VALOR],tabela_registros[MÊS],$AE$1,tabela_registros[DIA],reservafixaconsolidadoout[[#Headers],[19]],tabela_registros[REGISTRO],DADOS!$N$6,tabela_registros[TIPO],DADOS!$AJ$3,tabela_registros[CATEGORIA],reservafixaconsolidadoout[[#This Row],[ATUAL]])</f>
        <v>0</v>
      </c>
      <c r="X174" s="91">
        <f>SUMIFS(tabela_registros[VALOR],tabela_registros[MÊS],$AE$1,tabela_registros[DIA],reservafixaconsolidadoout[[#Headers],[20]],tabela_registros[REGISTRO],DADOS!$N$6,tabela_registros[TIPO],DADOS!$AJ$3,tabela_registros[CATEGORIA],reservafixaconsolidadoout[[#This Row],[ATUAL]])</f>
        <v>0</v>
      </c>
      <c r="Y174" s="91">
        <f>SUMIFS(tabela_registros[VALOR],tabela_registros[MÊS],$AE$1,tabela_registros[DIA],reservafixaconsolidadoout[[#Headers],[21]],tabela_registros[REGISTRO],DADOS!$N$6,tabela_registros[TIPO],DADOS!$AJ$3,tabela_registros[CATEGORIA],reservafixaconsolidadoout[[#This Row],[ATUAL]])</f>
        <v>0</v>
      </c>
      <c r="Z174" s="91">
        <f>SUMIFS(tabela_registros[VALOR],tabela_registros[MÊS],$AE$1,tabela_registros[DIA],reservafixaconsolidadoout[[#Headers],[22]],tabela_registros[REGISTRO],DADOS!$N$6,tabela_registros[TIPO],DADOS!$AJ$3,tabela_registros[CATEGORIA],reservafixaconsolidadoout[[#This Row],[ATUAL]])</f>
        <v>0</v>
      </c>
      <c r="AA174" s="91">
        <f>SUMIFS(tabela_registros[VALOR],tabela_registros[MÊS],$AE$1,tabela_registros[DIA],reservafixaconsolidadoout[[#Headers],[23]],tabela_registros[REGISTRO],DADOS!$N$6,tabela_registros[TIPO],DADOS!$AJ$3,tabela_registros[CATEGORIA],reservafixaconsolidadoout[[#This Row],[ATUAL]])</f>
        <v>0</v>
      </c>
      <c r="AB174" s="91">
        <f>SUMIFS(tabela_registros[VALOR],tabela_registros[MÊS],$AE$1,tabela_registros[DIA],reservafixaconsolidadoout[[#Headers],[24]],tabela_registros[REGISTRO],DADOS!$N$6,tabela_registros[TIPO],DADOS!$AJ$3,tabela_registros[CATEGORIA],reservafixaconsolidadoout[[#This Row],[ATUAL]])</f>
        <v>0</v>
      </c>
      <c r="AC174" s="91">
        <f>SUMIFS(tabela_registros[VALOR],tabela_registros[MÊS],$AE$1,tabela_registros[DIA],reservafixaconsolidadoout[[#Headers],[25]],tabela_registros[REGISTRO],DADOS!$N$6,tabela_registros[TIPO],DADOS!$AJ$3,tabela_registros[CATEGORIA],reservafixaconsolidadoout[[#This Row],[ATUAL]])</f>
        <v>0</v>
      </c>
      <c r="AD174" s="91">
        <f>SUMIFS(tabela_registros[VALOR],tabela_registros[MÊS],$AE$1,tabela_registros[DIA],reservafixaconsolidadoout[[#Headers],[26]],tabela_registros[REGISTRO],DADOS!$N$6,tabela_registros[TIPO],DADOS!$AJ$3,tabela_registros[CATEGORIA],reservafixaconsolidadoout[[#This Row],[ATUAL]])</f>
        <v>0</v>
      </c>
      <c r="AE174" s="91">
        <f>SUMIFS(tabela_registros[VALOR],tabela_registros[MÊS],$AE$1,tabela_registros[DIA],reservafixaconsolidadoout[[#Headers],[27]],tabela_registros[REGISTRO],DADOS!$N$6,tabela_registros[TIPO],DADOS!$AJ$3,tabela_registros[CATEGORIA],reservafixaconsolidadoout[[#This Row],[ATUAL]])</f>
        <v>0</v>
      </c>
      <c r="AF174" s="91">
        <f>SUMIFS(tabela_registros[VALOR],tabela_registros[MÊS],$AE$1,tabela_registros[DIA],reservafixaconsolidadoout[[#Headers],[28]],tabela_registros[REGISTRO],DADOS!$N$6,tabela_registros[TIPO],DADOS!$AJ$3,tabela_registros[CATEGORIA],reservafixaconsolidadoout[[#This Row],[ATUAL]])</f>
        <v>0</v>
      </c>
      <c r="AG174" s="91">
        <f>SUMIFS(tabela_registros[VALOR],tabela_registros[MÊS],$AE$1,tabela_registros[DIA],reservafixaconsolidadoout[[#Headers],[29]],tabela_registros[REGISTRO],DADOS!$N$6,tabela_registros[TIPO],DADOS!$AJ$3,tabela_registros[CATEGORIA],reservafixaconsolidadoout[[#This Row],[ATUAL]])</f>
        <v>0</v>
      </c>
      <c r="AH174" s="91">
        <f>SUMIFS(tabela_registros[VALOR],tabela_registros[MÊS],$AE$1,tabela_registros[DIA],reservafixaconsolidadoout[[#Headers],[30]],tabela_registros[REGISTRO],DADOS!$N$6,tabela_registros[TIPO],DADOS!$AJ$3,tabela_registros[CATEGORIA],reservafixaconsolidadoout[[#This Row],[ATUAL]])</f>
        <v>0</v>
      </c>
      <c r="AI174" s="101">
        <f>SUMIFS(tabela_registros[VALOR],tabela_registros[MÊS],$AE$1,tabela_registros[DIA],reservafixaconsolidadoout[[#Headers],[31]],tabela_registros[REGISTRO],DADOS!$N$6,tabela_registros[TIPO],DADOS!$AJ$3,tabela_registros[CATEGORIA],reservafixaconsolidadoout[[#This Row],[ATUAL]])</f>
        <v>0</v>
      </c>
      <c r="AJ174" s="97">
        <f>SUM(reservafixaconsolidadoout[[#This Row],[1]:[31]])</f>
        <v>0</v>
      </c>
      <c r="AK174" s="25"/>
    </row>
    <row r="175" spans="2:37" ht="19.5" customHeight="1" thickTop="1" thickBot="1" x14ac:dyDescent="0.3">
      <c r="B175" s="28"/>
      <c r="C175" s="27" t="str">
        <f>DADOS!$AL$10</f>
        <v>📝 LCI</v>
      </c>
      <c r="D175" s="26" t="str">
        <f>IF(reservafixaconsolidadoout[[#This Row],[TOTAL (R$)]]=0,"",IF(OR(reservafixaconsolidadoout[[#This Row],[TOTAL (R$)]]=LARGE($AJ$168:$AJ$177,1),reservafixaconsolidadoout[[#This Row],[TOTAL (R$)]]=LARGE($AJ$168:$AJ$177,2)),DADOS!$I$11,""))</f>
        <v/>
      </c>
      <c r="E175" s="96">
        <f>SUMIFS(tabela_registros[VALOR],tabela_registros[MÊS],$AE$1,tabela_registros[DIA],reservafixaconsolidadoout[[#Headers],[1]],tabela_registros[REGISTRO],DADOS!$N$6,tabela_registros[TIPO],DADOS!$AJ$3,tabela_registros[CATEGORIA],reservafixaconsolidadoout[[#This Row],[ATUAL]])</f>
        <v>0</v>
      </c>
      <c r="F175" s="91">
        <f>SUMIFS(tabela_registros[VALOR],tabela_registros[MÊS],$AE$1,tabela_registros[DIA],reservafixaconsolidadoout[[#Headers],[2]],tabela_registros[REGISTRO],DADOS!$N$6,tabela_registros[TIPO],DADOS!$AJ$3,tabela_registros[CATEGORIA],reservafixaconsolidadoout[[#This Row],[ATUAL]])</f>
        <v>0</v>
      </c>
      <c r="G175" s="91">
        <f>SUMIFS(tabela_registros[VALOR],tabela_registros[MÊS],$AE$1,tabela_registros[DIA],reservafixaconsolidadoout[[#Headers],[3]],tabela_registros[REGISTRO],DADOS!$N$6,tabela_registros[TIPO],DADOS!$AJ$3,tabela_registros[CATEGORIA],reservafixaconsolidadoout[[#This Row],[ATUAL]])</f>
        <v>0</v>
      </c>
      <c r="H175" s="91">
        <f>SUMIFS(tabela_registros[VALOR],tabela_registros[MÊS],$AE$1,tabela_registros[DIA],reservafixaconsolidadoout[[#Headers],[4]],tabela_registros[REGISTRO],DADOS!$N$6,tabela_registros[TIPO],DADOS!$AJ$3,tabela_registros[CATEGORIA],reservafixaconsolidadoout[[#This Row],[ATUAL]])</f>
        <v>0</v>
      </c>
      <c r="I175" s="91">
        <f>SUMIFS(tabela_registros[VALOR],tabela_registros[MÊS],$AE$1,tabela_registros[DIA],reservafixaconsolidadoout[[#Headers],[5]],tabela_registros[REGISTRO],DADOS!$N$6,tabela_registros[TIPO],DADOS!$AJ$3,tabela_registros[CATEGORIA],reservafixaconsolidadoout[[#This Row],[ATUAL]])</f>
        <v>0</v>
      </c>
      <c r="J175" s="91">
        <f>SUMIFS(tabela_registros[VALOR],tabela_registros[MÊS],$AE$1,tabela_registros[DIA],reservafixaconsolidadoout[[#Headers],[6]],tabela_registros[REGISTRO],DADOS!$N$6,tabela_registros[TIPO],DADOS!$AJ$3,tabela_registros[CATEGORIA],reservafixaconsolidadoout[[#This Row],[ATUAL]])</f>
        <v>0</v>
      </c>
      <c r="K175" s="91">
        <f>SUMIFS(tabela_registros[VALOR],tabela_registros[MÊS],$AE$1,tabela_registros[DIA],reservafixaconsolidadoout[[#Headers],[7]],tabela_registros[REGISTRO],DADOS!$N$6,tabela_registros[TIPO],DADOS!$AJ$3,tabela_registros[CATEGORIA],reservafixaconsolidadoout[[#This Row],[ATUAL]])</f>
        <v>0</v>
      </c>
      <c r="L175" s="91">
        <f>SUMIFS(tabela_registros[VALOR],tabela_registros[MÊS],$AE$1,tabela_registros[DIA],reservafixaconsolidadoout[[#Headers],[8]],tabela_registros[REGISTRO],DADOS!$N$6,tabela_registros[TIPO],DADOS!$AJ$3,tabela_registros[CATEGORIA],reservafixaconsolidadoout[[#This Row],[ATUAL]])</f>
        <v>0</v>
      </c>
      <c r="M175" s="91">
        <f>SUMIFS(tabela_registros[VALOR],tabela_registros[MÊS],$AE$1,tabela_registros[DIA],reservafixaconsolidadoout[[#Headers],[9]],tabela_registros[REGISTRO],DADOS!$N$6,tabela_registros[TIPO],DADOS!$AJ$3,tabela_registros[CATEGORIA],reservafixaconsolidadoout[[#This Row],[ATUAL]])</f>
        <v>0</v>
      </c>
      <c r="N175" s="91">
        <f>SUMIFS(tabela_registros[VALOR],tabela_registros[MÊS],$AE$1,tabela_registros[DIA],reservafixaconsolidadoout[[#Headers],[10]],tabela_registros[REGISTRO],DADOS!$N$6,tabela_registros[TIPO],DADOS!$AJ$3,tabela_registros[CATEGORIA],reservafixaconsolidadoout[[#This Row],[ATUAL]])</f>
        <v>0</v>
      </c>
      <c r="O175" s="91">
        <f>SUMIFS(tabela_registros[VALOR],tabela_registros[MÊS],$AE$1,tabela_registros[DIA],reservafixaconsolidadoout[[#Headers],[11]],tabela_registros[REGISTRO],DADOS!$N$6,tabela_registros[TIPO],DADOS!$AJ$3,tabela_registros[CATEGORIA],reservafixaconsolidadoout[[#This Row],[ATUAL]])</f>
        <v>0</v>
      </c>
      <c r="P175" s="91">
        <f>SUMIFS(tabela_registros[VALOR],tabela_registros[MÊS],$AE$1,tabela_registros[DIA],reservafixaconsolidadoout[[#Headers],[12]],tabela_registros[REGISTRO],DADOS!$N$6,tabela_registros[TIPO],DADOS!$AJ$3,tabela_registros[CATEGORIA],reservafixaconsolidadoout[[#This Row],[ATUAL]])</f>
        <v>0</v>
      </c>
      <c r="Q175" s="91">
        <f>SUMIFS(tabela_registros[VALOR],tabela_registros[MÊS],$AE$1,tabela_registros[DIA],reservafixaconsolidadoout[[#Headers],[13]],tabela_registros[REGISTRO],DADOS!$N$6,tabela_registros[TIPO],DADOS!$AJ$3,tabela_registros[CATEGORIA],reservafixaconsolidadoout[[#This Row],[ATUAL]])</f>
        <v>0</v>
      </c>
      <c r="R175" s="91">
        <f>SUMIFS(tabela_registros[VALOR],tabela_registros[MÊS],$AE$1,tabela_registros[DIA],reservafixaconsolidadoout[[#Headers],[14]],tabela_registros[REGISTRO],DADOS!$N$6,tabela_registros[TIPO],DADOS!$AJ$3,tabela_registros[CATEGORIA],reservafixaconsolidadoout[[#This Row],[ATUAL]])</f>
        <v>0</v>
      </c>
      <c r="S175" s="91">
        <f>SUMIFS(tabela_registros[VALOR],tabela_registros[MÊS],$AE$1,tabela_registros[DIA],reservafixaconsolidadoout[[#Headers],[15]],tabela_registros[REGISTRO],DADOS!$N$6,tabela_registros[TIPO],DADOS!$AJ$3,tabela_registros[CATEGORIA],reservafixaconsolidadoout[[#This Row],[ATUAL]])</f>
        <v>0</v>
      </c>
      <c r="T175" s="91">
        <f>SUMIFS(tabela_registros[VALOR],tabela_registros[MÊS],$AE$1,tabela_registros[DIA],reservafixaconsolidadoout[[#Headers],[16]],tabela_registros[REGISTRO],DADOS!$N$6,tabela_registros[TIPO],DADOS!$AJ$3,tabela_registros[CATEGORIA],reservafixaconsolidadoout[[#This Row],[ATUAL]])</f>
        <v>0</v>
      </c>
      <c r="U175" s="91">
        <f>SUMIFS(tabela_registros[VALOR],tabela_registros[MÊS],$AE$1,tabela_registros[DIA],reservafixaconsolidadoout[[#Headers],[17]],tabela_registros[REGISTRO],DADOS!$N$6,tabela_registros[TIPO],DADOS!$AJ$3,tabela_registros[CATEGORIA],reservafixaconsolidadoout[[#This Row],[ATUAL]])</f>
        <v>0</v>
      </c>
      <c r="V175" s="91">
        <f>SUMIFS(tabela_registros[VALOR],tabela_registros[MÊS],$AE$1,tabela_registros[DIA],reservafixaconsolidadoout[[#Headers],[18]],tabela_registros[REGISTRO],DADOS!$N$6,tabela_registros[TIPO],DADOS!$AJ$3,tabela_registros[CATEGORIA],reservafixaconsolidadoout[[#This Row],[ATUAL]])</f>
        <v>0</v>
      </c>
      <c r="W175" s="91">
        <f>SUMIFS(tabela_registros[VALOR],tabela_registros[MÊS],$AE$1,tabela_registros[DIA],reservafixaconsolidadoout[[#Headers],[19]],tabela_registros[REGISTRO],DADOS!$N$6,tabela_registros[TIPO],DADOS!$AJ$3,tabela_registros[CATEGORIA],reservafixaconsolidadoout[[#This Row],[ATUAL]])</f>
        <v>0</v>
      </c>
      <c r="X175" s="91">
        <f>SUMIFS(tabela_registros[VALOR],tabela_registros[MÊS],$AE$1,tabela_registros[DIA],reservafixaconsolidadoout[[#Headers],[20]],tabela_registros[REGISTRO],DADOS!$N$6,tabela_registros[TIPO],DADOS!$AJ$3,tabela_registros[CATEGORIA],reservafixaconsolidadoout[[#This Row],[ATUAL]])</f>
        <v>0</v>
      </c>
      <c r="Y175" s="91">
        <f>SUMIFS(tabela_registros[VALOR],tabela_registros[MÊS],$AE$1,tabela_registros[DIA],reservafixaconsolidadoout[[#Headers],[21]],tabela_registros[REGISTRO],DADOS!$N$6,tabela_registros[TIPO],DADOS!$AJ$3,tabela_registros[CATEGORIA],reservafixaconsolidadoout[[#This Row],[ATUAL]])</f>
        <v>0</v>
      </c>
      <c r="Z175" s="91">
        <f>SUMIFS(tabela_registros[VALOR],tabela_registros[MÊS],$AE$1,tabela_registros[DIA],reservafixaconsolidadoout[[#Headers],[22]],tabela_registros[REGISTRO],DADOS!$N$6,tabela_registros[TIPO],DADOS!$AJ$3,tabela_registros[CATEGORIA],reservafixaconsolidadoout[[#This Row],[ATUAL]])</f>
        <v>0</v>
      </c>
      <c r="AA175" s="91">
        <f>SUMIFS(tabela_registros[VALOR],tabela_registros[MÊS],$AE$1,tabela_registros[DIA],reservafixaconsolidadoout[[#Headers],[23]],tabela_registros[REGISTRO],DADOS!$N$6,tabela_registros[TIPO],DADOS!$AJ$3,tabela_registros[CATEGORIA],reservafixaconsolidadoout[[#This Row],[ATUAL]])</f>
        <v>0</v>
      </c>
      <c r="AB175" s="91">
        <f>SUMIFS(tabela_registros[VALOR],tabela_registros[MÊS],$AE$1,tabela_registros[DIA],reservafixaconsolidadoout[[#Headers],[24]],tabela_registros[REGISTRO],DADOS!$N$6,tabela_registros[TIPO],DADOS!$AJ$3,tabela_registros[CATEGORIA],reservafixaconsolidadoout[[#This Row],[ATUAL]])</f>
        <v>0</v>
      </c>
      <c r="AC175" s="91">
        <f>SUMIFS(tabela_registros[VALOR],tabela_registros[MÊS],$AE$1,tabela_registros[DIA],reservafixaconsolidadoout[[#Headers],[25]],tabela_registros[REGISTRO],DADOS!$N$6,tabela_registros[TIPO],DADOS!$AJ$3,tabela_registros[CATEGORIA],reservafixaconsolidadoout[[#This Row],[ATUAL]])</f>
        <v>0</v>
      </c>
      <c r="AD175" s="91">
        <f>SUMIFS(tabela_registros[VALOR],tabela_registros[MÊS],$AE$1,tabela_registros[DIA],reservafixaconsolidadoout[[#Headers],[26]],tabela_registros[REGISTRO],DADOS!$N$6,tabela_registros[TIPO],DADOS!$AJ$3,tabela_registros[CATEGORIA],reservafixaconsolidadoout[[#This Row],[ATUAL]])</f>
        <v>0</v>
      </c>
      <c r="AE175" s="91">
        <f>SUMIFS(tabela_registros[VALOR],tabela_registros[MÊS],$AE$1,tabela_registros[DIA],reservafixaconsolidadoout[[#Headers],[27]],tabela_registros[REGISTRO],DADOS!$N$6,tabela_registros[TIPO],DADOS!$AJ$3,tabela_registros[CATEGORIA],reservafixaconsolidadoout[[#This Row],[ATUAL]])</f>
        <v>0</v>
      </c>
      <c r="AF175" s="91">
        <f>SUMIFS(tabela_registros[VALOR],tabela_registros[MÊS],$AE$1,tabela_registros[DIA],reservafixaconsolidadoout[[#Headers],[28]],tabela_registros[REGISTRO],DADOS!$N$6,tabela_registros[TIPO],DADOS!$AJ$3,tabela_registros[CATEGORIA],reservafixaconsolidadoout[[#This Row],[ATUAL]])</f>
        <v>0</v>
      </c>
      <c r="AG175" s="91">
        <f>SUMIFS(tabela_registros[VALOR],tabela_registros[MÊS],$AE$1,tabela_registros[DIA],reservafixaconsolidadoout[[#Headers],[29]],tabela_registros[REGISTRO],DADOS!$N$6,tabela_registros[TIPO],DADOS!$AJ$3,tabela_registros[CATEGORIA],reservafixaconsolidadoout[[#This Row],[ATUAL]])</f>
        <v>0</v>
      </c>
      <c r="AH175" s="91">
        <f>SUMIFS(tabela_registros[VALOR],tabela_registros[MÊS],$AE$1,tabela_registros[DIA],reservafixaconsolidadoout[[#Headers],[30]],tabela_registros[REGISTRO],DADOS!$N$6,tabela_registros[TIPO],DADOS!$AJ$3,tabela_registros[CATEGORIA],reservafixaconsolidadoout[[#This Row],[ATUAL]])</f>
        <v>0</v>
      </c>
      <c r="AI175" s="101">
        <f>SUMIFS(tabela_registros[VALOR],tabela_registros[MÊS],$AE$1,tabela_registros[DIA],reservafixaconsolidadoout[[#Headers],[31]],tabela_registros[REGISTRO],DADOS!$N$6,tabela_registros[TIPO],DADOS!$AJ$3,tabela_registros[CATEGORIA],reservafixaconsolidadoout[[#This Row],[ATUAL]])</f>
        <v>0</v>
      </c>
      <c r="AJ175" s="97">
        <f>SUM(reservafixaconsolidadoout[[#This Row],[1]:[31]])</f>
        <v>0</v>
      </c>
      <c r="AK175" s="25"/>
    </row>
    <row r="176" spans="2:37" ht="19.5" customHeight="1" thickTop="1" thickBot="1" x14ac:dyDescent="0.3">
      <c r="B176" s="28"/>
      <c r="C176" s="27" t="str">
        <f>DADOS!$AL$11</f>
        <v>📝 TESOURO DIRETO</v>
      </c>
      <c r="D176" s="26" t="str">
        <f>IF(reservafixaconsolidadoout[[#This Row],[TOTAL (R$)]]=0,"",IF(OR(reservafixaconsolidadoout[[#This Row],[TOTAL (R$)]]=LARGE($AJ$168:$AJ$177,1),reservafixaconsolidadoout[[#This Row],[TOTAL (R$)]]=LARGE($AJ$168:$AJ$177,2)),DADOS!$I$11,""))</f>
        <v/>
      </c>
      <c r="E176" s="96">
        <f>SUMIFS(tabela_registros[VALOR],tabela_registros[MÊS],$AE$1,tabela_registros[DIA],reservafixaconsolidadoout[[#Headers],[1]],tabela_registros[REGISTRO],DADOS!$N$6,tabela_registros[TIPO],DADOS!$AJ$3,tabela_registros[CATEGORIA],reservafixaconsolidadoout[[#This Row],[ATUAL]])</f>
        <v>0</v>
      </c>
      <c r="F176" s="91">
        <f>SUMIFS(tabela_registros[VALOR],tabela_registros[MÊS],$AE$1,tabela_registros[DIA],reservafixaconsolidadoout[[#Headers],[2]],tabela_registros[REGISTRO],DADOS!$N$6,tabela_registros[TIPO],DADOS!$AJ$3,tabela_registros[CATEGORIA],reservafixaconsolidadoout[[#This Row],[ATUAL]])</f>
        <v>0</v>
      </c>
      <c r="G176" s="91">
        <f>SUMIFS(tabela_registros[VALOR],tabela_registros[MÊS],$AE$1,tabela_registros[DIA],reservafixaconsolidadoout[[#Headers],[3]],tabela_registros[REGISTRO],DADOS!$N$6,tabela_registros[TIPO],DADOS!$AJ$3,tabela_registros[CATEGORIA],reservafixaconsolidadoout[[#This Row],[ATUAL]])</f>
        <v>0</v>
      </c>
      <c r="H176" s="91">
        <f>SUMIFS(tabela_registros[VALOR],tabela_registros[MÊS],$AE$1,tabela_registros[DIA],reservafixaconsolidadoout[[#Headers],[4]],tabela_registros[REGISTRO],DADOS!$N$6,tabela_registros[TIPO],DADOS!$AJ$3,tabela_registros[CATEGORIA],reservafixaconsolidadoout[[#This Row],[ATUAL]])</f>
        <v>0</v>
      </c>
      <c r="I176" s="91">
        <f>SUMIFS(tabela_registros[VALOR],tabela_registros[MÊS],$AE$1,tabela_registros[DIA],reservafixaconsolidadoout[[#Headers],[5]],tabela_registros[REGISTRO],DADOS!$N$6,tabela_registros[TIPO],DADOS!$AJ$3,tabela_registros[CATEGORIA],reservafixaconsolidadoout[[#This Row],[ATUAL]])</f>
        <v>0</v>
      </c>
      <c r="J176" s="91">
        <f>SUMIFS(tabela_registros[VALOR],tabela_registros[MÊS],$AE$1,tabela_registros[DIA],reservafixaconsolidadoout[[#Headers],[6]],tabela_registros[REGISTRO],DADOS!$N$6,tabela_registros[TIPO],DADOS!$AJ$3,tabela_registros[CATEGORIA],reservafixaconsolidadoout[[#This Row],[ATUAL]])</f>
        <v>0</v>
      </c>
      <c r="K176" s="91">
        <f>SUMIFS(tabela_registros[VALOR],tabela_registros[MÊS],$AE$1,tabela_registros[DIA],reservafixaconsolidadoout[[#Headers],[7]],tabela_registros[REGISTRO],DADOS!$N$6,tabela_registros[TIPO],DADOS!$AJ$3,tabela_registros[CATEGORIA],reservafixaconsolidadoout[[#This Row],[ATUAL]])</f>
        <v>0</v>
      </c>
      <c r="L176" s="91">
        <f>SUMIFS(tabela_registros[VALOR],tabela_registros[MÊS],$AE$1,tabela_registros[DIA],reservafixaconsolidadoout[[#Headers],[8]],tabela_registros[REGISTRO],DADOS!$N$6,tabela_registros[TIPO],DADOS!$AJ$3,tabela_registros[CATEGORIA],reservafixaconsolidadoout[[#This Row],[ATUAL]])</f>
        <v>0</v>
      </c>
      <c r="M176" s="91">
        <f>SUMIFS(tabela_registros[VALOR],tabela_registros[MÊS],$AE$1,tabela_registros[DIA],reservafixaconsolidadoout[[#Headers],[9]],tabela_registros[REGISTRO],DADOS!$N$6,tabela_registros[TIPO],DADOS!$AJ$3,tabela_registros[CATEGORIA],reservafixaconsolidadoout[[#This Row],[ATUAL]])</f>
        <v>0</v>
      </c>
      <c r="N176" s="91">
        <f>SUMIFS(tabela_registros[VALOR],tabela_registros[MÊS],$AE$1,tabela_registros[DIA],reservafixaconsolidadoout[[#Headers],[10]],tabela_registros[REGISTRO],DADOS!$N$6,tabela_registros[TIPO],DADOS!$AJ$3,tabela_registros[CATEGORIA],reservafixaconsolidadoout[[#This Row],[ATUAL]])</f>
        <v>0</v>
      </c>
      <c r="O176" s="91">
        <f>SUMIFS(tabela_registros[VALOR],tabela_registros[MÊS],$AE$1,tabela_registros[DIA],reservafixaconsolidadoout[[#Headers],[11]],tabela_registros[REGISTRO],DADOS!$N$6,tabela_registros[TIPO],DADOS!$AJ$3,tabela_registros[CATEGORIA],reservafixaconsolidadoout[[#This Row],[ATUAL]])</f>
        <v>0</v>
      </c>
      <c r="P176" s="91">
        <f>SUMIFS(tabela_registros[VALOR],tabela_registros[MÊS],$AE$1,tabela_registros[DIA],reservafixaconsolidadoout[[#Headers],[12]],tabela_registros[REGISTRO],DADOS!$N$6,tabela_registros[TIPO],DADOS!$AJ$3,tabela_registros[CATEGORIA],reservafixaconsolidadoout[[#This Row],[ATUAL]])</f>
        <v>0</v>
      </c>
      <c r="Q176" s="91">
        <f>SUMIFS(tabela_registros[VALOR],tabela_registros[MÊS],$AE$1,tabela_registros[DIA],reservafixaconsolidadoout[[#Headers],[13]],tabela_registros[REGISTRO],DADOS!$N$6,tabela_registros[TIPO],DADOS!$AJ$3,tabela_registros[CATEGORIA],reservafixaconsolidadoout[[#This Row],[ATUAL]])</f>
        <v>0</v>
      </c>
      <c r="R176" s="91">
        <f>SUMIFS(tabela_registros[VALOR],tabela_registros[MÊS],$AE$1,tabela_registros[DIA],reservafixaconsolidadoout[[#Headers],[14]],tabela_registros[REGISTRO],DADOS!$N$6,tabela_registros[TIPO],DADOS!$AJ$3,tabela_registros[CATEGORIA],reservafixaconsolidadoout[[#This Row],[ATUAL]])</f>
        <v>0</v>
      </c>
      <c r="S176" s="91">
        <f>SUMIFS(tabela_registros[VALOR],tabela_registros[MÊS],$AE$1,tabela_registros[DIA],reservafixaconsolidadoout[[#Headers],[15]],tabela_registros[REGISTRO],DADOS!$N$6,tabela_registros[TIPO],DADOS!$AJ$3,tabela_registros[CATEGORIA],reservafixaconsolidadoout[[#This Row],[ATUAL]])</f>
        <v>0</v>
      </c>
      <c r="T176" s="91">
        <f>SUMIFS(tabela_registros[VALOR],tabela_registros[MÊS],$AE$1,tabela_registros[DIA],reservafixaconsolidadoout[[#Headers],[16]],tabela_registros[REGISTRO],DADOS!$N$6,tabela_registros[TIPO],DADOS!$AJ$3,tabela_registros[CATEGORIA],reservafixaconsolidadoout[[#This Row],[ATUAL]])</f>
        <v>0</v>
      </c>
      <c r="U176" s="91">
        <f>SUMIFS(tabela_registros[VALOR],tabela_registros[MÊS],$AE$1,tabela_registros[DIA],reservafixaconsolidadoout[[#Headers],[17]],tabela_registros[REGISTRO],DADOS!$N$6,tabela_registros[TIPO],DADOS!$AJ$3,tabela_registros[CATEGORIA],reservafixaconsolidadoout[[#This Row],[ATUAL]])</f>
        <v>0</v>
      </c>
      <c r="V176" s="91">
        <f>SUMIFS(tabela_registros[VALOR],tabela_registros[MÊS],$AE$1,tabela_registros[DIA],reservafixaconsolidadoout[[#Headers],[18]],tabela_registros[REGISTRO],DADOS!$N$6,tabela_registros[TIPO],DADOS!$AJ$3,tabela_registros[CATEGORIA],reservafixaconsolidadoout[[#This Row],[ATUAL]])</f>
        <v>0</v>
      </c>
      <c r="W176" s="91">
        <f>SUMIFS(tabela_registros[VALOR],tabela_registros[MÊS],$AE$1,tabela_registros[DIA],reservafixaconsolidadoout[[#Headers],[19]],tabela_registros[REGISTRO],DADOS!$N$6,tabela_registros[TIPO],DADOS!$AJ$3,tabela_registros[CATEGORIA],reservafixaconsolidadoout[[#This Row],[ATUAL]])</f>
        <v>0</v>
      </c>
      <c r="X176" s="91">
        <f>SUMIFS(tabela_registros[VALOR],tabela_registros[MÊS],$AE$1,tabela_registros[DIA],reservafixaconsolidadoout[[#Headers],[20]],tabela_registros[REGISTRO],DADOS!$N$6,tabela_registros[TIPO],DADOS!$AJ$3,tabela_registros[CATEGORIA],reservafixaconsolidadoout[[#This Row],[ATUAL]])</f>
        <v>0</v>
      </c>
      <c r="Y176" s="91">
        <f>SUMIFS(tabela_registros[VALOR],tabela_registros[MÊS],$AE$1,tabela_registros[DIA],reservafixaconsolidadoout[[#Headers],[21]],tabela_registros[REGISTRO],DADOS!$N$6,tabela_registros[TIPO],DADOS!$AJ$3,tabela_registros[CATEGORIA],reservafixaconsolidadoout[[#This Row],[ATUAL]])</f>
        <v>0</v>
      </c>
      <c r="Z176" s="91">
        <f>SUMIFS(tabela_registros[VALOR],tabela_registros[MÊS],$AE$1,tabela_registros[DIA],reservafixaconsolidadoout[[#Headers],[22]],tabela_registros[REGISTRO],DADOS!$N$6,tabela_registros[TIPO],DADOS!$AJ$3,tabela_registros[CATEGORIA],reservafixaconsolidadoout[[#This Row],[ATUAL]])</f>
        <v>0</v>
      </c>
      <c r="AA176" s="91">
        <f>SUMIFS(tabela_registros[VALOR],tabela_registros[MÊS],$AE$1,tabela_registros[DIA],reservafixaconsolidadoout[[#Headers],[23]],tabela_registros[REGISTRO],DADOS!$N$6,tabela_registros[TIPO],DADOS!$AJ$3,tabela_registros[CATEGORIA],reservafixaconsolidadoout[[#This Row],[ATUAL]])</f>
        <v>0</v>
      </c>
      <c r="AB176" s="91">
        <f>SUMIFS(tabela_registros[VALOR],tabela_registros[MÊS],$AE$1,tabela_registros[DIA],reservafixaconsolidadoout[[#Headers],[24]],tabela_registros[REGISTRO],DADOS!$N$6,tabela_registros[TIPO],DADOS!$AJ$3,tabela_registros[CATEGORIA],reservafixaconsolidadoout[[#This Row],[ATUAL]])</f>
        <v>0</v>
      </c>
      <c r="AC176" s="91">
        <f>SUMIFS(tabela_registros[VALOR],tabela_registros[MÊS],$AE$1,tabela_registros[DIA],reservafixaconsolidadoout[[#Headers],[25]],tabela_registros[REGISTRO],DADOS!$N$6,tabela_registros[TIPO],DADOS!$AJ$3,tabela_registros[CATEGORIA],reservafixaconsolidadoout[[#This Row],[ATUAL]])</f>
        <v>0</v>
      </c>
      <c r="AD176" s="91">
        <f>SUMIFS(tabela_registros[VALOR],tabela_registros[MÊS],$AE$1,tabela_registros[DIA],reservafixaconsolidadoout[[#Headers],[26]],tabela_registros[REGISTRO],DADOS!$N$6,tabela_registros[TIPO],DADOS!$AJ$3,tabela_registros[CATEGORIA],reservafixaconsolidadoout[[#This Row],[ATUAL]])</f>
        <v>0</v>
      </c>
      <c r="AE176" s="91">
        <f>SUMIFS(tabela_registros[VALOR],tabela_registros[MÊS],$AE$1,tabela_registros[DIA],reservafixaconsolidadoout[[#Headers],[27]],tabela_registros[REGISTRO],DADOS!$N$6,tabela_registros[TIPO],DADOS!$AJ$3,tabela_registros[CATEGORIA],reservafixaconsolidadoout[[#This Row],[ATUAL]])</f>
        <v>0</v>
      </c>
      <c r="AF176" s="91">
        <f>SUMIFS(tabela_registros[VALOR],tabela_registros[MÊS],$AE$1,tabela_registros[DIA],reservafixaconsolidadoout[[#Headers],[28]],tabela_registros[REGISTRO],DADOS!$N$6,tabela_registros[TIPO],DADOS!$AJ$3,tabela_registros[CATEGORIA],reservafixaconsolidadoout[[#This Row],[ATUAL]])</f>
        <v>0</v>
      </c>
      <c r="AG176" s="91">
        <f>SUMIFS(tabela_registros[VALOR],tabela_registros[MÊS],$AE$1,tabela_registros[DIA],reservafixaconsolidadoout[[#Headers],[29]],tabela_registros[REGISTRO],DADOS!$N$6,tabela_registros[TIPO],DADOS!$AJ$3,tabela_registros[CATEGORIA],reservafixaconsolidadoout[[#This Row],[ATUAL]])</f>
        <v>0</v>
      </c>
      <c r="AH176" s="91">
        <f>SUMIFS(tabela_registros[VALOR],tabela_registros[MÊS],$AE$1,tabela_registros[DIA],reservafixaconsolidadoout[[#Headers],[30]],tabela_registros[REGISTRO],DADOS!$N$6,tabela_registros[TIPO],DADOS!$AJ$3,tabela_registros[CATEGORIA],reservafixaconsolidadoout[[#This Row],[ATUAL]])</f>
        <v>0</v>
      </c>
      <c r="AI176" s="101">
        <f>SUMIFS(tabela_registros[VALOR],tabela_registros[MÊS],$AE$1,tabela_registros[DIA],reservafixaconsolidadoout[[#Headers],[31]],tabela_registros[REGISTRO],DADOS!$N$6,tabela_registros[TIPO],DADOS!$AJ$3,tabela_registros[CATEGORIA],reservafixaconsolidadoout[[#This Row],[ATUAL]])</f>
        <v>0</v>
      </c>
      <c r="AJ176" s="97">
        <f>SUM(reservafixaconsolidadoout[[#This Row],[1]:[31]])</f>
        <v>0</v>
      </c>
      <c r="AK176" s="25"/>
    </row>
    <row r="177" spans="2:37" ht="19.5" customHeight="1" thickTop="1" thickBot="1" x14ac:dyDescent="0.3">
      <c r="B177" s="28"/>
      <c r="C177" s="27" t="str">
        <f>DADOS!$AL$12</f>
        <v>📎 OUTROS</v>
      </c>
      <c r="D177" s="26" t="str">
        <f>IF(reservafixaconsolidadoout[[#This Row],[TOTAL (R$)]]=0,"",IF(OR(reservafixaconsolidadoout[[#This Row],[TOTAL (R$)]]=LARGE($AJ$168:$AJ$177,1),reservafixaconsolidadoout[[#This Row],[TOTAL (R$)]]=LARGE($AJ$168:$AJ$177,2)),DADOS!$I$11,""))</f>
        <v/>
      </c>
      <c r="E177" s="96">
        <f>SUMIFS(tabela_registros[VALOR],tabela_registros[MÊS],$AE$1,tabela_registros[DIA],reservafixaconsolidadoout[[#Headers],[1]],tabela_registros[REGISTRO],DADOS!$N$6,tabela_registros[TIPO],DADOS!$AJ$3,tabela_registros[CATEGORIA],reservafixaconsolidadoout[[#This Row],[ATUAL]])</f>
        <v>0</v>
      </c>
      <c r="F177" s="91">
        <f>SUMIFS(tabela_registros[VALOR],tabela_registros[MÊS],$AE$1,tabela_registros[DIA],reservafixaconsolidadoout[[#Headers],[2]],tabela_registros[REGISTRO],DADOS!$N$6,tabela_registros[TIPO],DADOS!$AJ$3,tabela_registros[CATEGORIA],reservafixaconsolidadoout[[#This Row],[ATUAL]])</f>
        <v>0</v>
      </c>
      <c r="G177" s="91">
        <f>SUMIFS(tabela_registros[VALOR],tabela_registros[MÊS],$AE$1,tabela_registros[DIA],reservafixaconsolidadoout[[#Headers],[3]],tabela_registros[REGISTRO],DADOS!$N$6,tabela_registros[TIPO],DADOS!$AJ$3,tabela_registros[CATEGORIA],reservafixaconsolidadoout[[#This Row],[ATUAL]])</f>
        <v>0</v>
      </c>
      <c r="H177" s="91">
        <f>SUMIFS(tabela_registros[VALOR],tabela_registros[MÊS],$AE$1,tabela_registros[DIA],reservafixaconsolidadoout[[#Headers],[4]],tabela_registros[REGISTRO],DADOS!$N$6,tabela_registros[TIPO],DADOS!$AJ$3,tabela_registros[CATEGORIA],reservafixaconsolidadoout[[#This Row],[ATUAL]])</f>
        <v>0</v>
      </c>
      <c r="I177" s="91">
        <f>SUMIFS(tabela_registros[VALOR],tabela_registros[MÊS],$AE$1,tabela_registros[DIA],reservafixaconsolidadoout[[#Headers],[5]],tabela_registros[REGISTRO],DADOS!$N$6,tabela_registros[TIPO],DADOS!$AJ$3,tabela_registros[CATEGORIA],reservafixaconsolidadoout[[#This Row],[ATUAL]])</f>
        <v>0</v>
      </c>
      <c r="J177" s="91">
        <f>SUMIFS(tabela_registros[VALOR],tabela_registros[MÊS],$AE$1,tabela_registros[DIA],reservafixaconsolidadoout[[#Headers],[6]],tabela_registros[REGISTRO],DADOS!$N$6,tabela_registros[TIPO],DADOS!$AJ$3,tabela_registros[CATEGORIA],reservafixaconsolidadoout[[#This Row],[ATUAL]])</f>
        <v>0</v>
      </c>
      <c r="K177" s="91">
        <f>SUMIFS(tabela_registros[VALOR],tabela_registros[MÊS],$AE$1,tabela_registros[DIA],reservafixaconsolidadoout[[#Headers],[7]],tabela_registros[REGISTRO],DADOS!$N$6,tabela_registros[TIPO],DADOS!$AJ$3,tabela_registros[CATEGORIA],reservafixaconsolidadoout[[#This Row],[ATUAL]])</f>
        <v>0</v>
      </c>
      <c r="L177" s="91">
        <f>SUMIFS(tabela_registros[VALOR],tabela_registros[MÊS],$AE$1,tabela_registros[DIA],reservafixaconsolidadoout[[#Headers],[8]],tabela_registros[REGISTRO],DADOS!$N$6,tabela_registros[TIPO],DADOS!$AJ$3,tabela_registros[CATEGORIA],reservafixaconsolidadoout[[#This Row],[ATUAL]])</f>
        <v>0</v>
      </c>
      <c r="M177" s="91">
        <f>SUMIFS(tabela_registros[VALOR],tabela_registros[MÊS],$AE$1,tabela_registros[DIA],reservafixaconsolidadoout[[#Headers],[9]],tabela_registros[REGISTRO],DADOS!$N$6,tabela_registros[TIPO],DADOS!$AJ$3,tabela_registros[CATEGORIA],reservafixaconsolidadoout[[#This Row],[ATUAL]])</f>
        <v>0</v>
      </c>
      <c r="N177" s="91">
        <f>SUMIFS(tabela_registros[VALOR],tabela_registros[MÊS],$AE$1,tabela_registros[DIA],reservafixaconsolidadoout[[#Headers],[10]],tabela_registros[REGISTRO],DADOS!$N$6,tabela_registros[TIPO],DADOS!$AJ$3,tabela_registros[CATEGORIA],reservafixaconsolidadoout[[#This Row],[ATUAL]])</f>
        <v>0</v>
      </c>
      <c r="O177" s="91">
        <f>SUMIFS(tabela_registros[VALOR],tabela_registros[MÊS],$AE$1,tabela_registros[DIA],reservafixaconsolidadoout[[#Headers],[11]],tabela_registros[REGISTRO],DADOS!$N$6,tabela_registros[TIPO],DADOS!$AJ$3,tabela_registros[CATEGORIA],reservafixaconsolidadoout[[#This Row],[ATUAL]])</f>
        <v>0</v>
      </c>
      <c r="P177" s="91">
        <f>SUMIFS(tabela_registros[VALOR],tabela_registros[MÊS],$AE$1,tabela_registros[DIA],reservafixaconsolidadoout[[#Headers],[12]],tabela_registros[REGISTRO],DADOS!$N$6,tabela_registros[TIPO],DADOS!$AJ$3,tabela_registros[CATEGORIA],reservafixaconsolidadoout[[#This Row],[ATUAL]])</f>
        <v>0</v>
      </c>
      <c r="Q177" s="91">
        <f>SUMIFS(tabela_registros[VALOR],tabela_registros[MÊS],$AE$1,tabela_registros[DIA],reservafixaconsolidadoout[[#Headers],[13]],tabela_registros[REGISTRO],DADOS!$N$6,tabela_registros[TIPO],DADOS!$AJ$3,tabela_registros[CATEGORIA],reservafixaconsolidadoout[[#This Row],[ATUAL]])</f>
        <v>0</v>
      </c>
      <c r="R177" s="91">
        <f>SUMIFS(tabela_registros[VALOR],tabela_registros[MÊS],$AE$1,tabela_registros[DIA],reservafixaconsolidadoout[[#Headers],[14]],tabela_registros[REGISTRO],DADOS!$N$6,tabela_registros[TIPO],DADOS!$AJ$3,tabela_registros[CATEGORIA],reservafixaconsolidadoout[[#This Row],[ATUAL]])</f>
        <v>0</v>
      </c>
      <c r="S177" s="91">
        <f>SUMIFS(tabela_registros[VALOR],tabela_registros[MÊS],$AE$1,tabela_registros[DIA],reservafixaconsolidadoout[[#Headers],[15]],tabela_registros[REGISTRO],DADOS!$N$6,tabela_registros[TIPO],DADOS!$AJ$3,tabela_registros[CATEGORIA],reservafixaconsolidadoout[[#This Row],[ATUAL]])</f>
        <v>0</v>
      </c>
      <c r="T177" s="91">
        <f>SUMIFS(tabela_registros[VALOR],tabela_registros[MÊS],$AE$1,tabela_registros[DIA],reservafixaconsolidadoout[[#Headers],[16]],tabela_registros[REGISTRO],DADOS!$N$6,tabela_registros[TIPO],DADOS!$AJ$3,tabela_registros[CATEGORIA],reservafixaconsolidadoout[[#This Row],[ATUAL]])</f>
        <v>0</v>
      </c>
      <c r="U177" s="91">
        <f>SUMIFS(tabela_registros[VALOR],tabela_registros[MÊS],$AE$1,tabela_registros[DIA],reservafixaconsolidadoout[[#Headers],[17]],tabela_registros[REGISTRO],DADOS!$N$6,tabela_registros[TIPO],DADOS!$AJ$3,tabela_registros[CATEGORIA],reservafixaconsolidadoout[[#This Row],[ATUAL]])</f>
        <v>0</v>
      </c>
      <c r="V177" s="91">
        <f>SUMIFS(tabela_registros[VALOR],tabela_registros[MÊS],$AE$1,tabela_registros[DIA],reservafixaconsolidadoout[[#Headers],[18]],tabela_registros[REGISTRO],DADOS!$N$6,tabela_registros[TIPO],DADOS!$AJ$3,tabela_registros[CATEGORIA],reservafixaconsolidadoout[[#This Row],[ATUAL]])</f>
        <v>0</v>
      </c>
      <c r="W177" s="91">
        <f>SUMIFS(tabela_registros[VALOR],tabela_registros[MÊS],$AE$1,tabela_registros[DIA],reservafixaconsolidadoout[[#Headers],[19]],tabela_registros[REGISTRO],DADOS!$N$6,tabela_registros[TIPO],DADOS!$AJ$3,tabela_registros[CATEGORIA],reservafixaconsolidadoout[[#This Row],[ATUAL]])</f>
        <v>0</v>
      </c>
      <c r="X177" s="91">
        <f>SUMIFS(tabela_registros[VALOR],tabela_registros[MÊS],$AE$1,tabela_registros[DIA],reservafixaconsolidadoout[[#Headers],[20]],tabela_registros[REGISTRO],DADOS!$N$6,tabela_registros[TIPO],DADOS!$AJ$3,tabela_registros[CATEGORIA],reservafixaconsolidadoout[[#This Row],[ATUAL]])</f>
        <v>0</v>
      </c>
      <c r="Y177" s="91">
        <f>SUMIFS(tabela_registros[VALOR],tabela_registros[MÊS],$AE$1,tabela_registros[DIA],reservafixaconsolidadoout[[#Headers],[21]],tabela_registros[REGISTRO],DADOS!$N$6,tabela_registros[TIPO],DADOS!$AJ$3,tabela_registros[CATEGORIA],reservafixaconsolidadoout[[#This Row],[ATUAL]])</f>
        <v>0</v>
      </c>
      <c r="Z177" s="91">
        <f>SUMIFS(tabela_registros[VALOR],tabela_registros[MÊS],$AE$1,tabela_registros[DIA],reservafixaconsolidadoout[[#Headers],[22]],tabela_registros[REGISTRO],DADOS!$N$6,tabela_registros[TIPO],DADOS!$AJ$3,tabela_registros[CATEGORIA],reservafixaconsolidadoout[[#This Row],[ATUAL]])</f>
        <v>0</v>
      </c>
      <c r="AA177" s="91">
        <f>SUMIFS(tabela_registros[VALOR],tabela_registros[MÊS],$AE$1,tabela_registros[DIA],reservafixaconsolidadoout[[#Headers],[23]],tabela_registros[REGISTRO],DADOS!$N$6,tabela_registros[TIPO],DADOS!$AJ$3,tabela_registros[CATEGORIA],reservafixaconsolidadoout[[#This Row],[ATUAL]])</f>
        <v>0</v>
      </c>
      <c r="AB177" s="91">
        <f>SUMIFS(tabela_registros[VALOR],tabela_registros[MÊS],$AE$1,tabela_registros[DIA],reservafixaconsolidadoout[[#Headers],[24]],tabela_registros[REGISTRO],DADOS!$N$6,tabela_registros[TIPO],DADOS!$AJ$3,tabela_registros[CATEGORIA],reservafixaconsolidadoout[[#This Row],[ATUAL]])</f>
        <v>0</v>
      </c>
      <c r="AC177" s="91">
        <f>SUMIFS(tabela_registros[VALOR],tabela_registros[MÊS],$AE$1,tabela_registros[DIA],reservafixaconsolidadoout[[#Headers],[25]],tabela_registros[REGISTRO],DADOS!$N$6,tabela_registros[TIPO],DADOS!$AJ$3,tabela_registros[CATEGORIA],reservafixaconsolidadoout[[#This Row],[ATUAL]])</f>
        <v>0</v>
      </c>
      <c r="AD177" s="91">
        <f>SUMIFS(tabela_registros[VALOR],tabela_registros[MÊS],$AE$1,tabela_registros[DIA],reservafixaconsolidadoout[[#Headers],[26]],tabela_registros[REGISTRO],DADOS!$N$6,tabela_registros[TIPO],DADOS!$AJ$3,tabela_registros[CATEGORIA],reservafixaconsolidadoout[[#This Row],[ATUAL]])</f>
        <v>0</v>
      </c>
      <c r="AE177" s="91">
        <f>SUMIFS(tabela_registros[VALOR],tabela_registros[MÊS],$AE$1,tabela_registros[DIA],reservafixaconsolidadoout[[#Headers],[27]],tabela_registros[REGISTRO],DADOS!$N$6,tabela_registros[TIPO],DADOS!$AJ$3,tabela_registros[CATEGORIA],reservafixaconsolidadoout[[#This Row],[ATUAL]])</f>
        <v>0</v>
      </c>
      <c r="AF177" s="91">
        <f>SUMIFS(tabela_registros[VALOR],tabela_registros[MÊS],$AE$1,tabela_registros[DIA],reservafixaconsolidadoout[[#Headers],[28]],tabela_registros[REGISTRO],DADOS!$N$6,tabela_registros[TIPO],DADOS!$AJ$3,tabela_registros[CATEGORIA],reservafixaconsolidadoout[[#This Row],[ATUAL]])</f>
        <v>0</v>
      </c>
      <c r="AG177" s="91">
        <f>SUMIFS(tabela_registros[VALOR],tabela_registros[MÊS],$AE$1,tabela_registros[DIA],reservafixaconsolidadoout[[#Headers],[29]],tabela_registros[REGISTRO],DADOS!$N$6,tabela_registros[TIPO],DADOS!$AJ$3,tabela_registros[CATEGORIA],reservafixaconsolidadoout[[#This Row],[ATUAL]])</f>
        <v>0</v>
      </c>
      <c r="AH177" s="91">
        <f>SUMIFS(tabela_registros[VALOR],tabela_registros[MÊS],$AE$1,tabela_registros[DIA],reservafixaconsolidadoout[[#Headers],[30]],tabela_registros[REGISTRO],DADOS!$N$6,tabela_registros[TIPO],DADOS!$AJ$3,tabela_registros[CATEGORIA],reservafixaconsolidadoout[[#This Row],[ATUAL]])</f>
        <v>0</v>
      </c>
      <c r="AI177" s="102">
        <f>SUMIFS(tabela_registros[VALOR],tabela_registros[MÊS],$AE$1,tabela_registros[DIA],reservafixaconsolidadoout[[#Headers],[31]],tabela_registros[REGISTRO],DADOS!$N$6,tabela_registros[TIPO],DADOS!$AJ$3,tabela_registros[CATEGORIA],reservafixaconsolidadoout[[#This Row],[ATUAL]])</f>
        <v>0</v>
      </c>
      <c r="AJ177" s="103">
        <f>SUM(reservafixaconsolidadoout[[#This Row],[1]:[31]])</f>
        <v>0</v>
      </c>
      <c r="AK177" s="25"/>
    </row>
    <row r="178" spans="2:37" s="16" customFormat="1" ht="21" customHeight="1" thickTop="1" thickBot="1" x14ac:dyDescent="0.35">
      <c r="B178" s="24"/>
      <c r="C178" s="23" t="s">
        <v>19</v>
      </c>
      <c r="D178" s="22"/>
      <c r="E178" s="21">
        <f>SUM(E168:E177)</f>
        <v>0</v>
      </c>
      <c r="F178" s="20">
        <f>SUM(F168:F177)+reservafixaconsolidadoout[[#This Row],[1]]</f>
        <v>0</v>
      </c>
      <c r="G178" s="20">
        <f>SUM(G168:G177)+reservafixaconsolidadoout[[#This Row],[2]]</f>
        <v>0</v>
      </c>
      <c r="H178" s="20">
        <f>SUM(H168:H177)+reservafixaconsolidadoout[[#This Row],[3]]</f>
        <v>0</v>
      </c>
      <c r="I178" s="20">
        <f>SUM(I168:I177)+reservafixaconsolidadoout[[#This Row],[4]]</f>
        <v>0</v>
      </c>
      <c r="J178" s="20">
        <f>SUM(J168:J177)+reservafixaconsolidadoout[[#This Row],[5]]</f>
        <v>0</v>
      </c>
      <c r="K178" s="20">
        <f>SUM(K168:K177)+reservafixaconsolidadoout[[#This Row],[6]]</f>
        <v>0</v>
      </c>
      <c r="L178" s="20">
        <f>SUM(L168:L177)+reservafixaconsolidadoout[[#This Row],[7]]</f>
        <v>0</v>
      </c>
      <c r="M178" s="20">
        <f>SUM(M168:M177)+reservafixaconsolidadoout[[#This Row],[8]]</f>
        <v>0</v>
      </c>
      <c r="N178" s="20">
        <f>SUM(N168:N177)+reservafixaconsolidadoout[[#This Row],[9]]</f>
        <v>0</v>
      </c>
      <c r="O178" s="20">
        <f>SUM(O168:O177)+reservafixaconsolidadoout[[#This Row],[10]]</f>
        <v>0</v>
      </c>
      <c r="P178" s="20">
        <f>SUM(P168:P177)+reservafixaconsolidadoout[[#This Row],[11]]</f>
        <v>0</v>
      </c>
      <c r="Q178" s="20">
        <f>SUM(Q168:Q177)+reservafixaconsolidadoout[[#This Row],[12]]</f>
        <v>0</v>
      </c>
      <c r="R178" s="20">
        <f>SUM(R168:R177)+reservafixaconsolidadoout[[#This Row],[13]]</f>
        <v>0</v>
      </c>
      <c r="S178" s="20">
        <f>SUM(S168:S177)+reservafixaconsolidadoout[[#This Row],[14]]</f>
        <v>0</v>
      </c>
      <c r="T178" s="20">
        <f>SUM(T168:T177)+reservafixaconsolidadoout[[#This Row],[15]]</f>
        <v>0</v>
      </c>
      <c r="U178" s="20">
        <f>SUM(U168:U177)+reservafixaconsolidadoout[[#This Row],[16]]</f>
        <v>0</v>
      </c>
      <c r="V178" s="20">
        <f>SUM(V168:V177)+reservafixaconsolidadoout[[#This Row],[17]]</f>
        <v>0</v>
      </c>
      <c r="W178" s="20">
        <f>SUM(W168:W177)+reservafixaconsolidadoout[[#This Row],[18]]</f>
        <v>0</v>
      </c>
      <c r="X178" s="20">
        <f>SUM(X168:X177)+reservafixaconsolidadoout[[#This Row],[19]]</f>
        <v>0</v>
      </c>
      <c r="Y178" s="20">
        <f>SUM(Y168:Y177)+reservafixaconsolidadoout[[#This Row],[20]]</f>
        <v>0</v>
      </c>
      <c r="Z178" s="20">
        <f>SUM(Z168:Z177)+reservafixaconsolidadoout[[#This Row],[21]]</f>
        <v>0</v>
      </c>
      <c r="AA178" s="20">
        <f>SUM(AA168:AA177)+reservafixaconsolidadoout[[#This Row],[22]]</f>
        <v>0</v>
      </c>
      <c r="AB178" s="20">
        <f>SUM(AB168:AB177)+reservafixaconsolidadoout[[#This Row],[23]]</f>
        <v>0</v>
      </c>
      <c r="AC178" s="20">
        <f>SUM(AC168:AC177)+reservafixaconsolidadoout[[#This Row],[24]]</f>
        <v>0</v>
      </c>
      <c r="AD178" s="20">
        <f>SUM(AD168:AD177)+reservafixaconsolidadoout[[#This Row],[25]]</f>
        <v>0</v>
      </c>
      <c r="AE178" s="20">
        <f>SUM(AE168:AE177)+reservafixaconsolidadoout[[#This Row],[26]]</f>
        <v>0</v>
      </c>
      <c r="AF178" s="20">
        <f>SUM(AF168:AF177)+reservafixaconsolidadoout[[#This Row],[27]]</f>
        <v>0</v>
      </c>
      <c r="AG178" s="20">
        <f>SUM(AG168:AG177)+reservafixaconsolidadoout[[#This Row],[28]]</f>
        <v>0</v>
      </c>
      <c r="AH178" s="20">
        <f>SUM(AH168:AH177)+reservafixaconsolidadoout[[#This Row],[29]]</f>
        <v>0</v>
      </c>
      <c r="AI178" s="19">
        <f>SUM(AI168:AI177)+reservafixaconsolidadoout[[#This Row],[30]]</f>
        <v>0</v>
      </c>
      <c r="AJ178" s="18">
        <f>reservafixaconsolidadoout[[#This Row],[31]]</f>
        <v>0</v>
      </c>
      <c r="AK178" s="17"/>
    </row>
    <row r="179" spans="2:37" ht="6.75" customHeight="1" thickTop="1" thickBot="1" x14ac:dyDescent="0.3">
      <c r="B179" s="15"/>
      <c r="C179" s="14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3"/>
      <c r="AF179" s="13"/>
      <c r="AG179" s="13"/>
      <c r="AH179" s="13"/>
      <c r="AI179" s="12"/>
      <c r="AJ179" s="11"/>
      <c r="AK179" s="10"/>
    </row>
    <row r="180" spans="2:37" ht="12.6" thickTop="1" x14ac:dyDescent="0.25">
      <c r="E180" s="37"/>
      <c r="AI180" s="4"/>
    </row>
    <row r="181" spans="2:37" x14ac:dyDescent="0.25">
      <c r="AI181" s="4"/>
    </row>
    <row r="182" spans="2:37" x14ac:dyDescent="0.25">
      <c r="AI182" s="4"/>
    </row>
    <row r="183" spans="2:37" ht="39.75" customHeight="1" x14ac:dyDescent="0.7">
      <c r="C183" s="36"/>
      <c r="E183" s="240"/>
      <c r="F183" s="240"/>
      <c r="G183" s="240"/>
      <c r="H183" s="240"/>
      <c r="I183" s="240"/>
      <c r="J183" s="240"/>
      <c r="K183" s="240"/>
      <c r="L183" s="240"/>
      <c r="M183" s="240"/>
      <c r="N183" s="240"/>
      <c r="O183" s="240"/>
      <c r="P183" s="240"/>
      <c r="Q183" s="240"/>
      <c r="R183" s="240"/>
      <c r="S183" s="240"/>
      <c r="T183" s="240"/>
      <c r="U183" s="240"/>
      <c r="V183" s="240"/>
      <c r="W183" s="240"/>
      <c r="X183" s="240"/>
      <c r="Y183" s="240"/>
      <c r="Z183" s="240"/>
      <c r="AA183" s="240"/>
      <c r="AB183" s="240"/>
      <c r="AC183" s="240"/>
      <c r="AD183" s="240"/>
      <c r="AE183" s="240"/>
      <c r="AF183" s="240"/>
      <c r="AG183" s="240"/>
      <c r="AH183" s="240"/>
      <c r="AI183" s="240"/>
      <c r="AJ183" s="32" t="s">
        <v>19</v>
      </c>
    </row>
    <row r="184" spans="2:37" ht="12.6" thickBot="1" x14ac:dyDescent="0.3">
      <c r="B184" s="35"/>
      <c r="AI184" s="4"/>
      <c r="AJ184" s="34" t="s">
        <v>202</v>
      </c>
    </row>
    <row r="185" spans="2:37" ht="6.75" customHeight="1" thickTop="1" thickBot="1" x14ac:dyDescent="0.3">
      <c r="B185" s="2"/>
      <c r="C185" s="14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  <c r="AF185" s="13"/>
      <c r="AG185" s="13"/>
      <c r="AH185" s="13"/>
      <c r="AI185" s="13"/>
      <c r="AJ185" s="12"/>
      <c r="AK185" s="33"/>
    </row>
    <row r="186" spans="2:37" ht="13.2" hidden="1" thickTop="1" thickBot="1" x14ac:dyDescent="0.3">
      <c r="B186" s="2"/>
      <c r="C186" s="31" t="s">
        <v>199</v>
      </c>
      <c r="D186" s="30" t="s">
        <v>198</v>
      </c>
      <c r="E186" s="30" t="s">
        <v>197</v>
      </c>
      <c r="F186" s="30" t="s">
        <v>196</v>
      </c>
      <c r="G186" s="30" t="s">
        <v>195</v>
      </c>
      <c r="H186" s="30" t="s">
        <v>194</v>
      </c>
      <c r="I186" s="30" t="s">
        <v>193</v>
      </c>
      <c r="J186" s="30" t="s">
        <v>192</v>
      </c>
      <c r="K186" s="30" t="s">
        <v>191</v>
      </c>
      <c r="L186" s="30" t="s">
        <v>190</v>
      </c>
      <c r="M186" s="30" t="s">
        <v>189</v>
      </c>
      <c r="N186" s="30" t="s">
        <v>188</v>
      </c>
      <c r="O186" s="30" t="s">
        <v>187</v>
      </c>
      <c r="P186" s="30" t="s">
        <v>186</v>
      </c>
      <c r="Q186" s="30" t="s">
        <v>185</v>
      </c>
      <c r="R186" s="30" t="s">
        <v>184</v>
      </c>
      <c r="S186" s="30" t="s">
        <v>183</v>
      </c>
      <c r="T186" s="30" t="s">
        <v>182</v>
      </c>
      <c r="U186" s="30" t="s">
        <v>181</v>
      </c>
      <c r="V186" s="30" t="s">
        <v>180</v>
      </c>
      <c r="W186" s="30" t="s">
        <v>179</v>
      </c>
      <c r="X186" s="30" t="s">
        <v>178</v>
      </c>
      <c r="Y186" s="30" t="s">
        <v>177</v>
      </c>
      <c r="Z186" s="30" t="s">
        <v>176</v>
      </c>
      <c r="AA186" s="30" t="s">
        <v>175</v>
      </c>
      <c r="AB186" s="30" t="s">
        <v>174</v>
      </c>
      <c r="AC186" s="30" t="s">
        <v>173</v>
      </c>
      <c r="AD186" s="30" t="s">
        <v>172</v>
      </c>
      <c r="AE186" s="30" t="s">
        <v>171</v>
      </c>
      <c r="AF186" s="30" t="s">
        <v>170</v>
      </c>
      <c r="AG186" s="30" t="s">
        <v>169</v>
      </c>
      <c r="AH186" s="30" t="s">
        <v>168</v>
      </c>
      <c r="AI186" s="30" t="s">
        <v>167</v>
      </c>
      <c r="AJ186" s="29" t="s">
        <v>166</v>
      </c>
      <c r="AK186" s="2"/>
    </row>
    <row r="187" spans="2:37" ht="19.5" customHeight="1" thickTop="1" thickBot="1" x14ac:dyDescent="0.3">
      <c r="B187" s="28"/>
      <c r="C187" s="27" t="str">
        <f>DADOS!$AN$3</f>
        <v>📝 AÇÃO</v>
      </c>
      <c r="D187" s="26" t="str">
        <f>IF(reservavariáveisconsolidadoout[[#This Row],[TOTAL (R$)]]=0,"",IF(OR(reservavariáveisconsolidadoout[[#This Row],[TOTAL (R$)]]=LARGE($AJ$187:$AJ$196,1),reservavariáveisconsolidadoout[[#This Row],[TOTAL (R$)]]=LARGE($AJ$187:$AJ$196,2)),DADOS!$I$11,""))</f>
        <v/>
      </c>
      <c r="E187" s="96">
        <f>SUMIFS(tabela_registros[VALOR],tabela_registros[MÊS],$AE$1,tabela_registros[DIA],reservavariáveisconsolidadoout[[#Headers],[1]],tabela_registros[REGISTRO],DADOS!$N$6,tabela_registros[TIPO],DADOS!$AJ$4,tabela_registros[CATEGORIA],reservavariáveisconsolidadoout[[#This Row],[ATUAL]])</f>
        <v>0</v>
      </c>
      <c r="F187" s="91">
        <f>SUMIFS(tabela_registros[VALOR],tabela_registros[MÊS],$AE$1,tabela_registros[DIA],reservavariáveisconsolidadoout[[#Headers],[2]],tabela_registros[REGISTRO],DADOS!$N$6,tabela_registros[TIPO],DADOS!$AJ$4,tabela_registros[CATEGORIA],reservavariáveisconsolidadoout[[#This Row],[ATUAL]])</f>
        <v>0</v>
      </c>
      <c r="G187" s="91">
        <f>SUMIFS(tabela_registros[VALOR],tabela_registros[MÊS],$AE$1,tabela_registros[DIA],reservavariáveisconsolidadoout[[#Headers],[3]],tabela_registros[REGISTRO],DADOS!$N$6,tabela_registros[TIPO],DADOS!$AJ$4,tabela_registros[CATEGORIA],reservavariáveisconsolidadoout[[#This Row],[ATUAL]])</f>
        <v>0</v>
      </c>
      <c r="H187" s="91">
        <f>SUMIFS(tabela_registros[VALOR],tabela_registros[MÊS],$AE$1,tabela_registros[DIA],reservavariáveisconsolidadoout[[#Headers],[4]],tabela_registros[REGISTRO],DADOS!$N$6,tabela_registros[TIPO],DADOS!$AJ$4,tabela_registros[CATEGORIA],reservavariáveisconsolidadoout[[#This Row],[ATUAL]])</f>
        <v>0</v>
      </c>
      <c r="I187" s="91">
        <f>SUMIFS(tabela_registros[VALOR],tabela_registros[MÊS],$AE$1,tabela_registros[DIA],reservavariáveisconsolidadoout[[#Headers],[5]],tabela_registros[REGISTRO],DADOS!$N$6,tabela_registros[TIPO],DADOS!$AJ$4,tabela_registros[CATEGORIA],reservavariáveisconsolidadoout[[#This Row],[ATUAL]])</f>
        <v>0</v>
      </c>
      <c r="J187" s="91">
        <f>SUMIFS(tabela_registros[VALOR],tabela_registros[MÊS],$AE$1,tabela_registros[DIA],reservavariáveisconsolidadoout[[#Headers],[6]],tabela_registros[REGISTRO],DADOS!$N$6,tabela_registros[TIPO],DADOS!$AJ$4,tabela_registros[CATEGORIA],reservavariáveisconsolidadoout[[#This Row],[ATUAL]])</f>
        <v>0</v>
      </c>
      <c r="K187" s="91">
        <f>SUMIFS(tabela_registros[VALOR],tabela_registros[MÊS],$AE$1,tabela_registros[DIA],reservavariáveisconsolidadoout[[#Headers],[7]],tabela_registros[REGISTRO],DADOS!$N$6,tabela_registros[TIPO],DADOS!$AJ$4,tabela_registros[CATEGORIA],reservavariáveisconsolidadoout[[#This Row],[ATUAL]])</f>
        <v>0</v>
      </c>
      <c r="L187" s="91">
        <f>SUMIFS(tabela_registros[VALOR],tabela_registros[MÊS],$AE$1,tabela_registros[DIA],reservavariáveisconsolidadoout[[#Headers],[8]],tabela_registros[REGISTRO],DADOS!$N$6,tabela_registros[TIPO],DADOS!$AJ$4,tabela_registros[CATEGORIA],reservavariáveisconsolidadoout[[#This Row],[ATUAL]])</f>
        <v>0</v>
      </c>
      <c r="M187" s="91">
        <f>SUMIFS(tabela_registros[VALOR],tabela_registros[MÊS],$AE$1,tabela_registros[DIA],reservavariáveisconsolidadoout[[#Headers],[9]],tabela_registros[REGISTRO],DADOS!$N$6,tabela_registros[TIPO],DADOS!$AJ$4,tabela_registros[CATEGORIA],reservavariáveisconsolidadoout[[#This Row],[ATUAL]])</f>
        <v>0</v>
      </c>
      <c r="N187" s="91">
        <f>SUMIFS(tabela_registros[VALOR],tabela_registros[MÊS],$AE$1,tabela_registros[DIA],reservavariáveisconsolidadoout[[#Headers],[10]],tabela_registros[REGISTRO],DADOS!$N$6,tabela_registros[TIPO],DADOS!$AJ$4,tabela_registros[CATEGORIA],reservavariáveisconsolidadoout[[#This Row],[ATUAL]])</f>
        <v>0</v>
      </c>
      <c r="O187" s="91">
        <f>SUMIFS(tabela_registros[VALOR],tabela_registros[MÊS],$AE$1,tabela_registros[DIA],reservavariáveisconsolidadoout[[#Headers],[11]],tabela_registros[REGISTRO],DADOS!$N$6,tabela_registros[TIPO],DADOS!$AJ$4,tabela_registros[CATEGORIA],reservavariáveisconsolidadoout[[#This Row],[ATUAL]])</f>
        <v>0</v>
      </c>
      <c r="P187" s="91">
        <f>SUMIFS(tabela_registros[VALOR],tabela_registros[MÊS],$AE$1,tabela_registros[DIA],reservavariáveisconsolidadoout[[#Headers],[12]],tabela_registros[REGISTRO],DADOS!$N$6,tabela_registros[TIPO],DADOS!$AJ$4,tabela_registros[CATEGORIA],reservavariáveisconsolidadoout[[#This Row],[ATUAL]])</f>
        <v>0</v>
      </c>
      <c r="Q187" s="91">
        <f>SUMIFS(tabela_registros[VALOR],tabela_registros[MÊS],$AE$1,tabela_registros[DIA],reservavariáveisconsolidadoout[[#Headers],[13]],tabela_registros[REGISTRO],DADOS!$N$6,tabela_registros[TIPO],DADOS!$AJ$4,tabela_registros[CATEGORIA],reservavariáveisconsolidadoout[[#This Row],[ATUAL]])</f>
        <v>0</v>
      </c>
      <c r="R187" s="91">
        <f>SUMIFS(tabela_registros[VALOR],tabela_registros[MÊS],$AE$1,tabela_registros[DIA],reservavariáveisconsolidadoout[[#Headers],[14]],tabela_registros[REGISTRO],DADOS!$N$6,tabela_registros[TIPO],DADOS!$AJ$4,tabela_registros[CATEGORIA],reservavariáveisconsolidadoout[[#This Row],[ATUAL]])</f>
        <v>0</v>
      </c>
      <c r="S187" s="91">
        <f>SUMIFS(tabela_registros[VALOR],tabela_registros[MÊS],$AE$1,tabela_registros[DIA],reservavariáveisconsolidadoout[[#Headers],[15]],tabela_registros[REGISTRO],DADOS!$N$6,tabela_registros[TIPO],DADOS!$AJ$4,tabela_registros[CATEGORIA],reservavariáveisconsolidadoout[[#This Row],[ATUAL]])</f>
        <v>0</v>
      </c>
      <c r="T187" s="91">
        <f>SUMIFS(tabela_registros[VALOR],tabela_registros[MÊS],$AE$1,tabela_registros[DIA],reservavariáveisconsolidadoout[[#Headers],[16]],tabela_registros[REGISTRO],DADOS!$N$6,tabela_registros[TIPO],DADOS!$AJ$4,tabela_registros[CATEGORIA],reservavariáveisconsolidadoout[[#This Row],[ATUAL]])</f>
        <v>0</v>
      </c>
      <c r="U187" s="91">
        <f>SUMIFS(tabela_registros[VALOR],tabela_registros[MÊS],$AE$1,tabela_registros[DIA],reservavariáveisconsolidadoout[[#Headers],[17]],tabela_registros[REGISTRO],DADOS!$N$6,tabela_registros[TIPO],DADOS!$AJ$4,tabela_registros[CATEGORIA],reservavariáveisconsolidadoout[[#This Row],[ATUAL]])</f>
        <v>0</v>
      </c>
      <c r="V187" s="91">
        <f>SUMIFS(tabela_registros[VALOR],tabela_registros[MÊS],$AE$1,tabela_registros[DIA],reservavariáveisconsolidadoout[[#Headers],[18]],tabela_registros[REGISTRO],DADOS!$N$6,tabela_registros[TIPO],DADOS!$AJ$4,tabela_registros[CATEGORIA],reservavariáveisconsolidadoout[[#This Row],[ATUAL]])</f>
        <v>0</v>
      </c>
      <c r="W187" s="91">
        <f>SUMIFS(tabela_registros[VALOR],tabela_registros[MÊS],$AE$1,tabela_registros[DIA],reservavariáveisconsolidadoout[[#Headers],[19]],tabela_registros[REGISTRO],DADOS!$N$6,tabela_registros[TIPO],DADOS!$AJ$4,tabela_registros[CATEGORIA],reservavariáveisconsolidadoout[[#This Row],[ATUAL]])</f>
        <v>0</v>
      </c>
      <c r="X187" s="91">
        <f>SUMIFS(tabela_registros[VALOR],tabela_registros[MÊS],$AE$1,tabela_registros[DIA],reservavariáveisconsolidadoout[[#Headers],[20]],tabela_registros[REGISTRO],DADOS!$N$6,tabela_registros[TIPO],DADOS!$AJ$4,tabela_registros[CATEGORIA],reservavariáveisconsolidadoout[[#This Row],[ATUAL]])</f>
        <v>0</v>
      </c>
      <c r="Y187" s="91">
        <f>SUMIFS(tabela_registros[VALOR],tabela_registros[MÊS],$AE$1,tabela_registros[DIA],reservavariáveisconsolidadoout[[#Headers],[21]],tabela_registros[REGISTRO],DADOS!$N$6,tabela_registros[TIPO],DADOS!$AJ$4,tabela_registros[CATEGORIA],reservavariáveisconsolidadoout[[#This Row],[ATUAL]])</f>
        <v>0</v>
      </c>
      <c r="Z187" s="91">
        <f>SUMIFS(tabela_registros[VALOR],tabela_registros[MÊS],$AE$1,tabela_registros[DIA],reservavariáveisconsolidadoout[[#Headers],[22]],tabela_registros[REGISTRO],DADOS!$N$6,tabela_registros[TIPO],DADOS!$AJ$4,tabela_registros[CATEGORIA],reservavariáveisconsolidadoout[[#This Row],[ATUAL]])</f>
        <v>0</v>
      </c>
      <c r="AA187" s="91">
        <f>SUMIFS(tabela_registros[VALOR],tabela_registros[MÊS],$AE$1,tabela_registros[DIA],reservavariáveisconsolidadoout[[#Headers],[23]],tabela_registros[REGISTRO],DADOS!$N$6,tabela_registros[TIPO],DADOS!$AJ$4,tabela_registros[CATEGORIA],reservavariáveisconsolidadoout[[#This Row],[ATUAL]])</f>
        <v>0</v>
      </c>
      <c r="AB187" s="91">
        <f>SUMIFS(tabela_registros[VALOR],tabela_registros[MÊS],$AE$1,tabela_registros[DIA],reservavariáveisconsolidadoout[[#Headers],[24]],tabela_registros[REGISTRO],DADOS!$N$6,tabela_registros[TIPO],DADOS!$AJ$4,tabela_registros[CATEGORIA],reservavariáveisconsolidadoout[[#This Row],[ATUAL]])</f>
        <v>0</v>
      </c>
      <c r="AC187" s="91">
        <f>SUMIFS(tabela_registros[VALOR],tabela_registros[MÊS],$AE$1,tabela_registros[DIA],reservavariáveisconsolidadoout[[#Headers],[25]],tabela_registros[REGISTRO],DADOS!$N$6,tabela_registros[TIPO],DADOS!$AJ$4,tabela_registros[CATEGORIA],reservavariáveisconsolidadoout[[#This Row],[ATUAL]])</f>
        <v>0</v>
      </c>
      <c r="AD187" s="91">
        <f>SUMIFS(tabela_registros[VALOR],tabela_registros[MÊS],$AE$1,tabela_registros[DIA],reservavariáveisconsolidadoout[[#Headers],[26]],tabela_registros[REGISTRO],DADOS!$N$6,tabela_registros[TIPO],DADOS!$AJ$4,tabela_registros[CATEGORIA],reservavariáveisconsolidadoout[[#This Row],[ATUAL]])</f>
        <v>0</v>
      </c>
      <c r="AE187" s="91">
        <f>SUMIFS(tabela_registros[VALOR],tabela_registros[MÊS],$AE$1,tabela_registros[DIA],reservavariáveisconsolidadoout[[#Headers],[27]],tabela_registros[REGISTRO],DADOS!$N$6,tabela_registros[TIPO],DADOS!$AJ$4,tabela_registros[CATEGORIA],reservavariáveisconsolidadoout[[#This Row],[ATUAL]])</f>
        <v>0</v>
      </c>
      <c r="AF187" s="91">
        <f>SUMIFS(tabela_registros[VALOR],tabela_registros[MÊS],$AE$1,tabela_registros[DIA],reservavariáveisconsolidadoout[[#Headers],[28]],tabela_registros[REGISTRO],DADOS!$N$6,tabela_registros[TIPO],DADOS!$AJ$4,tabela_registros[CATEGORIA],reservavariáveisconsolidadoout[[#This Row],[ATUAL]])</f>
        <v>0</v>
      </c>
      <c r="AG187" s="91">
        <f>SUMIFS(tabela_registros[VALOR],tabela_registros[MÊS],$AE$1,tabela_registros[DIA],reservavariáveisconsolidadoout[[#Headers],[29]],tabela_registros[REGISTRO],DADOS!$N$6,tabela_registros[TIPO],DADOS!$AJ$4,tabela_registros[CATEGORIA],reservavariáveisconsolidadoout[[#This Row],[ATUAL]])</f>
        <v>0</v>
      </c>
      <c r="AH187" s="91">
        <f>SUMIFS(tabela_registros[VALOR],tabela_registros[MÊS],$AE$1,tabela_registros[DIA],reservavariáveisconsolidadoout[[#Headers],[30]],tabela_registros[REGISTRO],DADOS!$N$6,tabela_registros[TIPO],DADOS!$AJ$4,tabela_registros[CATEGORIA],reservavariáveisconsolidadoout[[#This Row],[ATUAL]])</f>
        <v>0</v>
      </c>
      <c r="AI187" s="101">
        <f>SUMIFS(tabela_registros[VALOR],tabela_registros[MÊS],$AE$1,tabela_registros[DIA],reservavariáveisconsolidadoout[[#Headers],[31]],tabela_registros[REGISTRO],DADOS!$N$6,tabela_registros[TIPO],DADOS!$AJ$4,tabela_registros[CATEGORIA],reservavariáveisconsolidadoout[[#This Row],[ATUAL]])</f>
        <v>0</v>
      </c>
      <c r="AJ187" s="97">
        <f>SUM(reservavariáveisconsolidadoout[[#This Row],[1]:[31]])</f>
        <v>0</v>
      </c>
      <c r="AK187" s="25"/>
    </row>
    <row r="188" spans="2:37" ht="19.5" customHeight="1" thickTop="1" thickBot="1" x14ac:dyDescent="0.3">
      <c r="B188" s="28"/>
      <c r="C188" s="27" t="str">
        <f>DADOS!$AN$4</f>
        <v>📝 COMÓDITE</v>
      </c>
      <c r="D188" s="26" t="str">
        <f>IF(reservavariáveisconsolidadoout[[#This Row],[TOTAL (R$)]]=0,"",IF(OR(reservavariáveisconsolidadoout[[#This Row],[TOTAL (R$)]]=LARGE($AJ$187:$AJ$196,1),reservavariáveisconsolidadoout[[#This Row],[TOTAL (R$)]]=LARGE($AJ$187:$AJ$196,2)),DADOS!$I$11,""))</f>
        <v/>
      </c>
      <c r="E188" s="96">
        <f>SUMIFS(tabela_registros[VALOR],tabela_registros[MÊS],$AE$1,tabela_registros[DIA],reservavariáveisconsolidadoout[[#Headers],[1]],tabela_registros[REGISTRO],DADOS!$N$6,tabela_registros[TIPO],DADOS!$AJ$4,tabela_registros[CATEGORIA],reservavariáveisconsolidadoout[[#This Row],[ATUAL]])</f>
        <v>0</v>
      </c>
      <c r="F188" s="91">
        <f>SUMIFS(tabela_registros[VALOR],tabela_registros[MÊS],$AE$1,tabela_registros[DIA],reservavariáveisconsolidadoout[[#Headers],[2]],tabela_registros[REGISTRO],DADOS!$N$6,tabela_registros[TIPO],DADOS!$AJ$4,tabela_registros[CATEGORIA],reservavariáveisconsolidadoout[[#This Row],[ATUAL]])</f>
        <v>0</v>
      </c>
      <c r="G188" s="91">
        <f>SUMIFS(tabela_registros[VALOR],tabela_registros[MÊS],$AE$1,tabela_registros[DIA],reservavariáveisconsolidadoout[[#Headers],[3]],tabela_registros[REGISTRO],DADOS!$N$6,tabela_registros[TIPO],DADOS!$AJ$4,tabela_registros[CATEGORIA],reservavariáveisconsolidadoout[[#This Row],[ATUAL]])</f>
        <v>0</v>
      </c>
      <c r="H188" s="91">
        <f>SUMIFS(tabela_registros[VALOR],tabela_registros[MÊS],$AE$1,tabela_registros[DIA],reservavariáveisconsolidadoout[[#Headers],[4]],tabela_registros[REGISTRO],DADOS!$N$6,tabela_registros[TIPO],DADOS!$AJ$4,tabela_registros[CATEGORIA],reservavariáveisconsolidadoout[[#This Row],[ATUAL]])</f>
        <v>0</v>
      </c>
      <c r="I188" s="91">
        <f>SUMIFS(tabela_registros[VALOR],tabela_registros[MÊS],$AE$1,tabela_registros[DIA],reservavariáveisconsolidadoout[[#Headers],[5]],tabela_registros[REGISTRO],DADOS!$N$6,tabela_registros[TIPO],DADOS!$AJ$4,tabela_registros[CATEGORIA],reservavariáveisconsolidadoout[[#This Row],[ATUAL]])</f>
        <v>0</v>
      </c>
      <c r="J188" s="91">
        <f>SUMIFS(tabela_registros[VALOR],tabela_registros[MÊS],$AE$1,tabela_registros[DIA],reservavariáveisconsolidadoout[[#Headers],[6]],tabela_registros[REGISTRO],DADOS!$N$6,tabela_registros[TIPO],DADOS!$AJ$4,tabela_registros[CATEGORIA],reservavariáveisconsolidadoout[[#This Row],[ATUAL]])</f>
        <v>0</v>
      </c>
      <c r="K188" s="91">
        <f>SUMIFS(tabela_registros[VALOR],tabela_registros[MÊS],$AE$1,tabela_registros[DIA],reservavariáveisconsolidadoout[[#Headers],[7]],tabela_registros[REGISTRO],DADOS!$N$6,tabela_registros[TIPO],DADOS!$AJ$4,tabela_registros[CATEGORIA],reservavariáveisconsolidadoout[[#This Row],[ATUAL]])</f>
        <v>0</v>
      </c>
      <c r="L188" s="91">
        <f>SUMIFS(tabela_registros[VALOR],tabela_registros[MÊS],$AE$1,tabela_registros[DIA],reservavariáveisconsolidadoout[[#Headers],[8]],tabela_registros[REGISTRO],DADOS!$N$6,tabela_registros[TIPO],DADOS!$AJ$4,tabela_registros[CATEGORIA],reservavariáveisconsolidadoout[[#This Row],[ATUAL]])</f>
        <v>0</v>
      </c>
      <c r="M188" s="91">
        <f>SUMIFS(tabela_registros[VALOR],tabela_registros[MÊS],$AE$1,tabela_registros[DIA],reservavariáveisconsolidadoout[[#Headers],[9]],tabela_registros[REGISTRO],DADOS!$N$6,tabela_registros[TIPO],DADOS!$AJ$4,tabela_registros[CATEGORIA],reservavariáveisconsolidadoout[[#This Row],[ATUAL]])</f>
        <v>0</v>
      </c>
      <c r="N188" s="91">
        <f>SUMIFS(tabela_registros[VALOR],tabela_registros[MÊS],$AE$1,tabela_registros[DIA],reservavariáveisconsolidadoout[[#Headers],[10]],tabela_registros[REGISTRO],DADOS!$N$6,tabela_registros[TIPO],DADOS!$AJ$4,tabela_registros[CATEGORIA],reservavariáveisconsolidadoout[[#This Row],[ATUAL]])</f>
        <v>0</v>
      </c>
      <c r="O188" s="91">
        <f>SUMIFS(tabela_registros[VALOR],tabela_registros[MÊS],$AE$1,tabela_registros[DIA],reservavariáveisconsolidadoout[[#Headers],[11]],tabela_registros[REGISTRO],DADOS!$N$6,tabela_registros[TIPO],DADOS!$AJ$4,tabela_registros[CATEGORIA],reservavariáveisconsolidadoout[[#This Row],[ATUAL]])</f>
        <v>0</v>
      </c>
      <c r="P188" s="91">
        <f>SUMIFS(tabela_registros[VALOR],tabela_registros[MÊS],$AE$1,tabela_registros[DIA],reservavariáveisconsolidadoout[[#Headers],[12]],tabela_registros[REGISTRO],DADOS!$N$6,tabela_registros[TIPO],DADOS!$AJ$4,tabela_registros[CATEGORIA],reservavariáveisconsolidadoout[[#This Row],[ATUAL]])</f>
        <v>0</v>
      </c>
      <c r="Q188" s="91">
        <f>SUMIFS(tabela_registros[VALOR],tabela_registros[MÊS],$AE$1,tabela_registros[DIA],reservavariáveisconsolidadoout[[#Headers],[13]],tabela_registros[REGISTRO],DADOS!$N$6,tabela_registros[TIPO],DADOS!$AJ$4,tabela_registros[CATEGORIA],reservavariáveisconsolidadoout[[#This Row],[ATUAL]])</f>
        <v>0</v>
      </c>
      <c r="R188" s="91">
        <f>SUMIFS(tabela_registros[VALOR],tabela_registros[MÊS],$AE$1,tabela_registros[DIA],reservavariáveisconsolidadoout[[#Headers],[14]],tabela_registros[REGISTRO],DADOS!$N$6,tabela_registros[TIPO],DADOS!$AJ$4,tabela_registros[CATEGORIA],reservavariáveisconsolidadoout[[#This Row],[ATUAL]])</f>
        <v>0</v>
      </c>
      <c r="S188" s="91">
        <f>SUMIFS(tabela_registros[VALOR],tabela_registros[MÊS],$AE$1,tabela_registros[DIA],reservavariáveisconsolidadoout[[#Headers],[15]],tabela_registros[REGISTRO],DADOS!$N$6,tabela_registros[TIPO],DADOS!$AJ$4,tabela_registros[CATEGORIA],reservavariáveisconsolidadoout[[#This Row],[ATUAL]])</f>
        <v>0</v>
      </c>
      <c r="T188" s="91">
        <f>SUMIFS(tabela_registros[VALOR],tabela_registros[MÊS],$AE$1,tabela_registros[DIA],reservavariáveisconsolidadoout[[#Headers],[16]],tabela_registros[REGISTRO],DADOS!$N$6,tabela_registros[TIPO],DADOS!$AJ$4,tabela_registros[CATEGORIA],reservavariáveisconsolidadoout[[#This Row],[ATUAL]])</f>
        <v>0</v>
      </c>
      <c r="U188" s="91">
        <f>SUMIFS(tabela_registros[VALOR],tabela_registros[MÊS],$AE$1,tabela_registros[DIA],reservavariáveisconsolidadoout[[#Headers],[17]],tabela_registros[REGISTRO],DADOS!$N$6,tabela_registros[TIPO],DADOS!$AJ$4,tabela_registros[CATEGORIA],reservavariáveisconsolidadoout[[#This Row],[ATUAL]])</f>
        <v>0</v>
      </c>
      <c r="V188" s="91">
        <f>SUMIFS(tabela_registros[VALOR],tabela_registros[MÊS],$AE$1,tabela_registros[DIA],reservavariáveisconsolidadoout[[#Headers],[18]],tabela_registros[REGISTRO],DADOS!$N$6,tabela_registros[TIPO],DADOS!$AJ$4,tabela_registros[CATEGORIA],reservavariáveisconsolidadoout[[#This Row],[ATUAL]])</f>
        <v>0</v>
      </c>
      <c r="W188" s="91">
        <f>SUMIFS(tabela_registros[VALOR],tabela_registros[MÊS],$AE$1,tabela_registros[DIA],reservavariáveisconsolidadoout[[#Headers],[19]],tabela_registros[REGISTRO],DADOS!$N$6,tabela_registros[TIPO],DADOS!$AJ$4,tabela_registros[CATEGORIA],reservavariáveisconsolidadoout[[#This Row],[ATUAL]])</f>
        <v>0</v>
      </c>
      <c r="X188" s="91">
        <f>SUMIFS(tabela_registros[VALOR],tabela_registros[MÊS],$AE$1,tabela_registros[DIA],reservavariáveisconsolidadoout[[#Headers],[20]],tabela_registros[REGISTRO],DADOS!$N$6,tabela_registros[TIPO],DADOS!$AJ$4,tabela_registros[CATEGORIA],reservavariáveisconsolidadoout[[#This Row],[ATUAL]])</f>
        <v>0</v>
      </c>
      <c r="Y188" s="91">
        <f>SUMIFS(tabela_registros[VALOR],tabela_registros[MÊS],$AE$1,tabela_registros[DIA],reservavariáveisconsolidadoout[[#Headers],[21]],tabela_registros[REGISTRO],DADOS!$N$6,tabela_registros[TIPO],DADOS!$AJ$4,tabela_registros[CATEGORIA],reservavariáveisconsolidadoout[[#This Row],[ATUAL]])</f>
        <v>0</v>
      </c>
      <c r="Z188" s="91">
        <f>SUMIFS(tabela_registros[VALOR],tabela_registros[MÊS],$AE$1,tabela_registros[DIA],reservavariáveisconsolidadoout[[#Headers],[22]],tabela_registros[REGISTRO],DADOS!$N$6,tabela_registros[TIPO],DADOS!$AJ$4,tabela_registros[CATEGORIA],reservavariáveisconsolidadoout[[#This Row],[ATUAL]])</f>
        <v>0</v>
      </c>
      <c r="AA188" s="91">
        <f>SUMIFS(tabela_registros[VALOR],tabela_registros[MÊS],$AE$1,tabela_registros[DIA],reservavariáveisconsolidadoout[[#Headers],[23]],tabela_registros[REGISTRO],DADOS!$N$6,tabela_registros[TIPO],DADOS!$AJ$4,tabela_registros[CATEGORIA],reservavariáveisconsolidadoout[[#This Row],[ATUAL]])</f>
        <v>0</v>
      </c>
      <c r="AB188" s="91">
        <f>SUMIFS(tabela_registros[VALOR],tabela_registros[MÊS],$AE$1,tabela_registros[DIA],reservavariáveisconsolidadoout[[#Headers],[24]],tabela_registros[REGISTRO],DADOS!$N$6,tabela_registros[TIPO],DADOS!$AJ$4,tabela_registros[CATEGORIA],reservavariáveisconsolidadoout[[#This Row],[ATUAL]])</f>
        <v>0</v>
      </c>
      <c r="AC188" s="91">
        <f>SUMIFS(tabela_registros[VALOR],tabela_registros[MÊS],$AE$1,tabela_registros[DIA],reservavariáveisconsolidadoout[[#Headers],[25]],tabela_registros[REGISTRO],DADOS!$N$6,tabela_registros[TIPO],DADOS!$AJ$4,tabela_registros[CATEGORIA],reservavariáveisconsolidadoout[[#This Row],[ATUAL]])</f>
        <v>0</v>
      </c>
      <c r="AD188" s="91">
        <f>SUMIFS(tabela_registros[VALOR],tabela_registros[MÊS],$AE$1,tabela_registros[DIA],reservavariáveisconsolidadoout[[#Headers],[26]],tabela_registros[REGISTRO],DADOS!$N$6,tabela_registros[TIPO],DADOS!$AJ$4,tabela_registros[CATEGORIA],reservavariáveisconsolidadoout[[#This Row],[ATUAL]])</f>
        <v>0</v>
      </c>
      <c r="AE188" s="91">
        <f>SUMIFS(tabela_registros[VALOR],tabela_registros[MÊS],$AE$1,tabela_registros[DIA],reservavariáveisconsolidadoout[[#Headers],[27]],tabela_registros[REGISTRO],DADOS!$N$6,tabela_registros[TIPO],DADOS!$AJ$4,tabela_registros[CATEGORIA],reservavariáveisconsolidadoout[[#This Row],[ATUAL]])</f>
        <v>0</v>
      </c>
      <c r="AF188" s="91">
        <f>SUMIFS(tabela_registros[VALOR],tabela_registros[MÊS],$AE$1,tabela_registros[DIA],reservavariáveisconsolidadoout[[#Headers],[28]],tabela_registros[REGISTRO],DADOS!$N$6,tabela_registros[TIPO],DADOS!$AJ$4,tabela_registros[CATEGORIA],reservavariáveisconsolidadoout[[#This Row],[ATUAL]])</f>
        <v>0</v>
      </c>
      <c r="AG188" s="91">
        <f>SUMIFS(tabela_registros[VALOR],tabela_registros[MÊS],$AE$1,tabela_registros[DIA],reservavariáveisconsolidadoout[[#Headers],[29]],tabela_registros[REGISTRO],DADOS!$N$6,tabela_registros[TIPO],DADOS!$AJ$4,tabela_registros[CATEGORIA],reservavariáveisconsolidadoout[[#This Row],[ATUAL]])</f>
        <v>0</v>
      </c>
      <c r="AH188" s="91">
        <f>SUMIFS(tabela_registros[VALOR],tabela_registros[MÊS],$AE$1,tabela_registros[DIA],reservavariáveisconsolidadoout[[#Headers],[30]],tabela_registros[REGISTRO],DADOS!$N$6,tabela_registros[TIPO],DADOS!$AJ$4,tabela_registros[CATEGORIA],reservavariáveisconsolidadoout[[#This Row],[ATUAL]])</f>
        <v>0</v>
      </c>
      <c r="AI188" s="101">
        <f>SUMIFS(tabela_registros[VALOR],tabela_registros[MÊS],$AE$1,tabela_registros[DIA],reservavariáveisconsolidadoout[[#Headers],[31]],tabela_registros[REGISTRO],DADOS!$N$6,tabela_registros[TIPO],DADOS!$AJ$4,tabela_registros[CATEGORIA],reservavariáveisconsolidadoout[[#This Row],[ATUAL]])</f>
        <v>0</v>
      </c>
      <c r="AJ188" s="97">
        <f>SUM(reservavariáveisconsolidadoout[[#This Row],[1]:[31]])</f>
        <v>0</v>
      </c>
      <c r="AK188" s="25"/>
    </row>
    <row r="189" spans="2:37" ht="19.5" customHeight="1" thickTop="1" thickBot="1" x14ac:dyDescent="0.3">
      <c r="B189" s="28"/>
      <c r="C189" s="27" t="str">
        <f>DADOS!$AN$5</f>
        <v>📝 CONTRATO DE FUTUROS</v>
      </c>
      <c r="D189" s="26" t="str">
        <f>IF(reservavariáveisconsolidadoout[[#This Row],[TOTAL (R$)]]=0,"",IF(OR(reservavariáveisconsolidadoout[[#This Row],[TOTAL (R$)]]=LARGE($AJ$187:$AJ$196,1),reservavariáveisconsolidadoout[[#This Row],[TOTAL (R$)]]=LARGE($AJ$187:$AJ$196,2)),DADOS!$I$11,""))</f>
        <v/>
      </c>
      <c r="E189" s="96">
        <f>SUMIFS(tabela_registros[VALOR],tabela_registros[MÊS],$AE$1,tabela_registros[DIA],reservavariáveisconsolidadoout[[#Headers],[1]],tabela_registros[REGISTRO],DADOS!$N$6,tabela_registros[TIPO],DADOS!$AJ$4,tabela_registros[CATEGORIA],reservavariáveisconsolidadoout[[#This Row],[ATUAL]])</f>
        <v>0</v>
      </c>
      <c r="F189" s="91">
        <f>SUMIFS(tabela_registros[VALOR],tabela_registros[MÊS],$AE$1,tabela_registros[DIA],reservavariáveisconsolidadoout[[#Headers],[2]],tabela_registros[REGISTRO],DADOS!$N$6,tabela_registros[TIPO],DADOS!$AJ$4,tabela_registros[CATEGORIA],reservavariáveisconsolidadoout[[#This Row],[ATUAL]])</f>
        <v>0</v>
      </c>
      <c r="G189" s="91">
        <f>SUMIFS(tabela_registros[VALOR],tabela_registros[MÊS],$AE$1,tabela_registros[DIA],reservavariáveisconsolidadoout[[#Headers],[3]],tabela_registros[REGISTRO],DADOS!$N$6,tabela_registros[TIPO],DADOS!$AJ$4,tabela_registros[CATEGORIA],reservavariáveisconsolidadoout[[#This Row],[ATUAL]])</f>
        <v>0</v>
      </c>
      <c r="H189" s="91">
        <f>SUMIFS(tabela_registros[VALOR],tabela_registros[MÊS],$AE$1,tabela_registros[DIA],reservavariáveisconsolidadoout[[#Headers],[4]],tabela_registros[REGISTRO],DADOS!$N$6,tabela_registros[TIPO],DADOS!$AJ$4,tabela_registros[CATEGORIA],reservavariáveisconsolidadoout[[#This Row],[ATUAL]])</f>
        <v>0</v>
      </c>
      <c r="I189" s="91">
        <f>SUMIFS(tabela_registros[VALOR],tabela_registros[MÊS],$AE$1,tabela_registros[DIA],reservavariáveisconsolidadoout[[#Headers],[5]],tabela_registros[REGISTRO],DADOS!$N$6,tabela_registros[TIPO],DADOS!$AJ$4,tabela_registros[CATEGORIA],reservavariáveisconsolidadoout[[#This Row],[ATUAL]])</f>
        <v>0</v>
      </c>
      <c r="J189" s="91">
        <f>SUMIFS(tabela_registros[VALOR],tabela_registros[MÊS],$AE$1,tabela_registros[DIA],reservavariáveisconsolidadoout[[#Headers],[6]],tabela_registros[REGISTRO],DADOS!$N$6,tabela_registros[TIPO],DADOS!$AJ$4,tabela_registros[CATEGORIA],reservavariáveisconsolidadoout[[#This Row],[ATUAL]])</f>
        <v>0</v>
      </c>
      <c r="K189" s="91">
        <f>SUMIFS(tabela_registros[VALOR],tabela_registros[MÊS],$AE$1,tabela_registros[DIA],reservavariáveisconsolidadoout[[#Headers],[7]],tabela_registros[REGISTRO],DADOS!$N$6,tabela_registros[TIPO],DADOS!$AJ$4,tabela_registros[CATEGORIA],reservavariáveisconsolidadoout[[#This Row],[ATUAL]])</f>
        <v>0</v>
      </c>
      <c r="L189" s="91">
        <f>SUMIFS(tabela_registros[VALOR],tabela_registros[MÊS],$AE$1,tabela_registros[DIA],reservavariáveisconsolidadoout[[#Headers],[8]],tabela_registros[REGISTRO],DADOS!$N$6,tabela_registros[TIPO],DADOS!$AJ$4,tabela_registros[CATEGORIA],reservavariáveisconsolidadoout[[#This Row],[ATUAL]])</f>
        <v>0</v>
      </c>
      <c r="M189" s="91">
        <f>SUMIFS(tabela_registros[VALOR],tabela_registros[MÊS],$AE$1,tabela_registros[DIA],reservavariáveisconsolidadoout[[#Headers],[9]],tabela_registros[REGISTRO],DADOS!$N$6,tabela_registros[TIPO],DADOS!$AJ$4,tabela_registros[CATEGORIA],reservavariáveisconsolidadoout[[#This Row],[ATUAL]])</f>
        <v>0</v>
      </c>
      <c r="N189" s="91">
        <f>SUMIFS(tabela_registros[VALOR],tabela_registros[MÊS],$AE$1,tabela_registros[DIA],reservavariáveisconsolidadoout[[#Headers],[10]],tabela_registros[REGISTRO],DADOS!$N$6,tabela_registros[TIPO],DADOS!$AJ$4,tabela_registros[CATEGORIA],reservavariáveisconsolidadoout[[#This Row],[ATUAL]])</f>
        <v>0</v>
      </c>
      <c r="O189" s="91">
        <f>SUMIFS(tabela_registros[VALOR],tabela_registros[MÊS],$AE$1,tabela_registros[DIA],reservavariáveisconsolidadoout[[#Headers],[11]],tabela_registros[REGISTRO],DADOS!$N$6,tabela_registros[TIPO],DADOS!$AJ$4,tabela_registros[CATEGORIA],reservavariáveisconsolidadoout[[#This Row],[ATUAL]])</f>
        <v>0</v>
      </c>
      <c r="P189" s="91">
        <f>SUMIFS(tabela_registros[VALOR],tabela_registros[MÊS],$AE$1,tabela_registros[DIA],reservavariáveisconsolidadoout[[#Headers],[12]],tabela_registros[REGISTRO],DADOS!$N$6,tabela_registros[TIPO],DADOS!$AJ$4,tabela_registros[CATEGORIA],reservavariáveisconsolidadoout[[#This Row],[ATUAL]])</f>
        <v>0</v>
      </c>
      <c r="Q189" s="91">
        <f>SUMIFS(tabela_registros[VALOR],tabela_registros[MÊS],$AE$1,tabela_registros[DIA],reservavariáveisconsolidadoout[[#Headers],[13]],tabela_registros[REGISTRO],DADOS!$N$6,tabela_registros[TIPO],DADOS!$AJ$4,tabela_registros[CATEGORIA],reservavariáveisconsolidadoout[[#This Row],[ATUAL]])</f>
        <v>0</v>
      </c>
      <c r="R189" s="91">
        <f>SUMIFS(tabela_registros[VALOR],tabela_registros[MÊS],$AE$1,tabela_registros[DIA],reservavariáveisconsolidadoout[[#Headers],[14]],tabela_registros[REGISTRO],DADOS!$N$6,tabela_registros[TIPO],DADOS!$AJ$4,tabela_registros[CATEGORIA],reservavariáveisconsolidadoout[[#This Row],[ATUAL]])</f>
        <v>0</v>
      </c>
      <c r="S189" s="91">
        <f>SUMIFS(tabela_registros[VALOR],tabela_registros[MÊS],$AE$1,tabela_registros[DIA],reservavariáveisconsolidadoout[[#Headers],[15]],tabela_registros[REGISTRO],DADOS!$N$6,tabela_registros[TIPO],DADOS!$AJ$4,tabela_registros[CATEGORIA],reservavariáveisconsolidadoout[[#This Row],[ATUAL]])</f>
        <v>0</v>
      </c>
      <c r="T189" s="91">
        <f>SUMIFS(tabela_registros[VALOR],tabela_registros[MÊS],$AE$1,tabela_registros[DIA],reservavariáveisconsolidadoout[[#Headers],[16]],tabela_registros[REGISTRO],DADOS!$N$6,tabela_registros[TIPO],DADOS!$AJ$4,tabela_registros[CATEGORIA],reservavariáveisconsolidadoout[[#This Row],[ATUAL]])</f>
        <v>0</v>
      </c>
      <c r="U189" s="91">
        <f>SUMIFS(tabela_registros[VALOR],tabela_registros[MÊS],$AE$1,tabela_registros[DIA],reservavariáveisconsolidadoout[[#Headers],[17]],tabela_registros[REGISTRO],DADOS!$N$6,tabela_registros[TIPO],DADOS!$AJ$4,tabela_registros[CATEGORIA],reservavariáveisconsolidadoout[[#This Row],[ATUAL]])</f>
        <v>0</v>
      </c>
      <c r="V189" s="91">
        <f>SUMIFS(tabela_registros[VALOR],tabela_registros[MÊS],$AE$1,tabela_registros[DIA],reservavariáveisconsolidadoout[[#Headers],[18]],tabela_registros[REGISTRO],DADOS!$N$6,tabela_registros[TIPO],DADOS!$AJ$4,tabela_registros[CATEGORIA],reservavariáveisconsolidadoout[[#This Row],[ATUAL]])</f>
        <v>0</v>
      </c>
      <c r="W189" s="91">
        <f>SUMIFS(tabela_registros[VALOR],tabela_registros[MÊS],$AE$1,tabela_registros[DIA],reservavariáveisconsolidadoout[[#Headers],[19]],tabela_registros[REGISTRO],DADOS!$N$6,tabela_registros[TIPO],DADOS!$AJ$4,tabela_registros[CATEGORIA],reservavariáveisconsolidadoout[[#This Row],[ATUAL]])</f>
        <v>0</v>
      </c>
      <c r="X189" s="91">
        <f>SUMIFS(tabela_registros[VALOR],tabela_registros[MÊS],$AE$1,tabela_registros[DIA],reservavariáveisconsolidadoout[[#Headers],[20]],tabela_registros[REGISTRO],DADOS!$N$6,tabela_registros[TIPO],DADOS!$AJ$4,tabela_registros[CATEGORIA],reservavariáveisconsolidadoout[[#This Row],[ATUAL]])</f>
        <v>0</v>
      </c>
      <c r="Y189" s="91">
        <f>SUMIFS(tabela_registros[VALOR],tabela_registros[MÊS],$AE$1,tabela_registros[DIA],reservavariáveisconsolidadoout[[#Headers],[21]],tabela_registros[REGISTRO],DADOS!$N$6,tabela_registros[TIPO],DADOS!$AJ$4,tabela_registros[CATEGORIA],reservavariáveisconsolidadoout[[#This Row],[ATUAL]])</f>
        <v>0</v>
      </c>
      <c r="Z189" s="91">
        <f>SUMIFS(tabela_registros[VALOR],tabela_registros[MÊS],$AE$1,tabela_registros[DIA],reservavariáveisconsolidadoout[[#Headers],[22]],tabela_registros[REGISTRO],DADOS!$N$6,tabela_registros[TIPO],DADOS!$AJ$4,tabela_registros[CATEGORIA],reservavariáveisconsolidadoout[[#This Row],[ATUAL]])</f>
        <v>0</v>
      </c>
      <c r="AA189" s="91">
        <f>SUMIFS(tabela_registros[VALOR],tabela_registros[MÊS],$AE$1,tabela_registros[DIA],reservavariáveisconsolidadoout[[#Headers],[23]],tabela_registros[REGISTRO],DADOS!$N$6,tabela_registros[TIPO],DADOS!$AJ$4,tabela_registros[CATEGORIA],reservavariáveisconsolidadoout[[#This Row],[ATUAL]])</f>
        <v>0</v>
      </c>
      <c r="AB189" s="91">
        <f>SUMIFS(tabela_registros[VALOR],tabela_registros[MÊS],$AE$1,tabela_registros[DIA],reservavariáveisconsolidadoout[[#Headers],[24]],tabela_registros[REGISTRO],DADOS!$N$6,tabela_registros[TIPO],DADOS!$AJ$4,tabela_registros[CATEGORIA],reservavariáveisconsolidadoout[[#This Row],[ATUAL]])</f>
        <v>0</v>
      </c>
      <c r="AC189" s="91">
        <f>SUMIFS(tabela_registros[VALOR],tabela_registros[MÊS],$AE$1,tabela_registros[DIA],reservavariáveisconsolidadoout[[#Headers],[25]],tabela_registros[REGISTRO],DADOS!$N$6,tabela_registros[TIPO],DADOS!$AJ$4,tabela_registros[CATEGORIA],reservavariáveisconsolidadoout[[#This Row],[ATUAL]])</f>
        <v>0</v>
      </c>
      <c r="AD189" s="91">
        <f>SUMIFS(tabela_registros[VALOR],tabela_registros[MÊS],$AE$1,tabela_registros[DIA],reservavariáveisconsolidadoout[[#Headers],[26]],tabela_registros[REGISTRO],DADOS!$N$6,tabela_registros[TIPO],DADOS!$AJ$4,tabela_registros[CATEGORIA],reservavariáveisconsolidadoout[[#This Row],[ATUAL]])</f>
        <v>0</v>
      </c>
      <c r="AE189" s="91">
        <f>SUMIFS(tabela_registros[VALOR],tabela_registros[MÊS],$AE$1,tabela_registros[DIA],reservavariáveisconsolidadoout[[#Headers],[27]],tabela_registros[REGISTRO],DADOS!$N$6,tabela_registros[TIPO],DADOS!$AJ$4,tabela_registros[CATEGORIA],reservavariáveisconsolidadoout[[#This Row],[ATUAL]])</f>
        <v>0</v>
      </c>
      <c r="AF189" s="91">
        <f>SUMIFS(tabela_registros[VALOR],tabela_registros[MÊS],$AE$1,tabela_registros[DIA],reservavariáveisconsolidadoout[[#Headers],[28]],tabela_registros[REGISTRO],DADOS!$N$6,tabela_registros[TIPO],DADOS!$AJ$4,tabela_registros[CATEGORIA],reservavariáveisconsolidadoout[[#This Row],[ATUAL]])</f>
        <v>0</v>
      </c>
      <c r="AG189" s="91">
        <f>SUMIFS(tabela_registros[VALOR],tabela_registros[MÊS],$AE$1,tabela_registros[DIA],reservavariáveisconsolidadoout[[#Headers],[29]],tabela_registros[REGISTRO],DADOS!$N$6,tabela_registros[TIPO],DADOS!$AJ$4,tabela_registros[CATEGORIA],reservavariáveisconsolidadoout[[#This Row],[ATUAL]])</f>
        <v>0</v>
      </c>
      <c r="AH189" s="91">
        <f>SUMIFS(tabela_registros[VALOR],tabela_registros[MÊS],$AE$1,tabela_registros[DIA],reservavariáveisconsolidadoout[[#Headers],[30]],tabela_registros[REGISTRO],DADOS!$N$6,tabela_registros[TIPO],DADOS!$AJ$4,tabela_registros[CATEGORIA],reservavariáveisconsolidadoout[[#This Row],[ATUAL]])</f>
        <v>0</v>
      </c>
      <c r="AI189" s="101">
        <f>SUMIFS(tabela_registros[VALOR],tabela_registros[MÊS],$AE$1,tabela_registros[DIA],reservavariáveisconsolidadoout[[#Headers],[31]],tabela_registros[REGISTRO],DADOS!$N$6,tabela_registros[TIPO],DADOS!$AJ$4,tabela_registros[CATEGORIA],reservavariáveisconsolidadoout[[#This Row],[ATUAL]])</f>
        <v>0</v>
      </c>
      <c r="AJ189" s="97">
        <f>SUM(reservavariáveisconsolidadoout[[#This Row],[1]:[31]])</f>
        <v>0</v>
      </c>
      <c r="AK189" s="25"/>
    </row>
    <row r="190" spans="2:37" ht="19.5" customHeight="1" thickTop="1" thickBot="1" x14ac:dyDescent="0.3">
      <c r="B190" s="28"/>
      <c r="C190" s="27" t="str">
        <f>DADOS!$AN$6</f>
        <v>📝 CONTRATO DE OPÇÕES</v>
      </c>
      <c r="D190" s="26" t="str">
        <f>IF(reservavariáveisconsolidadoout[[#This Row],[TOTAL (R$)]]=0,"",IF(OR(reservavariáveisconsolidadoout[[#This Row],[TOTAL (R$)]]=LARGE($AJ$187:$AJ$196,1),reservavariáveisconsolidadoout[[#This Row],[TOTAL (R$)]]=LARGE($AJ$187:$AJ$196,2)),DADOS!$I$11,""))</f>
        <v/>
      </c>
      <c r="E190" s="96">
        <f>SUMIFS(tabela_registros[VALOR],tabela_registros[MÊS],$AE$1,tabela_registros[DIA],reservavariáveisconsolidadoout[[#Headers],[1]],tabela_registros[REGISTRO],DADOS!$N$6,tabela_registros[TIPO],DADOS!$AJ$4,tabela_registros[CATEGORIA],reservavariáveisconsolidadoout[[#This Row],[ATUAL]])</f>
        <v>0</v>
      </c>
      <c r="F190" s="91">
        <f>SUMIFS(tabela_registros[VALOR],tabela_registros[MÊS],$AE$1,tabela_registros[DIA],reservavariáveisconsolidadoout[[#Headers],[2]],tabela_registros[REGISTRO],DADOS!$N$6,tabela_registros[TIPO],DADOS!$AJ$4,tabela_registros[CATEGORIA],reservavariáveisconsolidadoout[[#This Row],[ATUAL]])</f>
        <v>0</v>
      </c>
      <c r="G190" s="91">
        <f>SUMIFS(tabela_registros[VALOR],tabela_registros[MÊS],$AE$1,tabela_registros[DIA],reservavariáveisconsolidadoout[[#Headers],[3]],tabela_registros[REGISTRO],DADOS!$N$6,tabela_registros[TIPO],DADOS!$AJ$4,tabela_registros[CATEGORIA],reservavariáveisconsolidadoout[[#This Row],[ATUAL]])</f>
        <v>0</v>
      </c>
      <c r="H190" s="91">
        <f>SUMIFS(tabela_registros[VALOR],tabela_registros[MÊS],$AE$1,tabela_registros[DIA],reservavariáveisconsolidadoout[[#Headers],[4]],tabela_registros[REGISTRO],DADOS!$N$6,tabela_registros[TIPO],DADOS!$AJ$4,tabela_registros[CATEGORIA],reservavariáveisconsolidadoout[[#This Row],[ATUAL]])</f>
        <v>0</v>
      </c>
      <c r="I190" s="91">
        <f>SUMIFS(tabela_registros[VALOR],tabela_registros[MÊS],$AE$1,tabela_registros[DIA],reservavariáveisconsolidadoout[[#Headers],[5]],tabela_registros[REGISTRO],DADOS!$N$6,tabela_registros[TIPO],DADOS!$AJ$4,tabela_registros[CATEGORIA],reservavariáveisconsolidadoout[[#This Row],[ATUAL]])</f>
        <v>0</v>
      </c>
      <c r="J190" s="91">
        <f>SUMIFS(tabela_registros[VALOR],tabela_registros[MÊS],$AE$1,tabela_registros[DIA],reservavariáveisconsolidadoout[[#Headers],[6]],tabela_registros[REGISTRO],DADOS!$N$6,tabela_registros[TIPO],DADOS!$AJ$4,tabela_registros[CATEGORIA],reservavariáveisconsolidadoout[[#This Row],[ATUAL]])</f>
        <v>0</v>
      </c>
      <c r="K190" s="91">
        <f>SUMIFS(tabela_registros[VALOR],tabela_registros[MÊS],$AE$1,tabela_registros[DIA],reservavariáveisconsolidadoout[[#Headers],[7]],tabela_registros[REGISTRO],DADOS!$N$6,tabela_registros[TIPO],DADOS!$AJ$4,tabela_registros[CATEGORIA],reservavariáveisconsolidadoout[[#This Row],[ATUAL]])</f>
        <v>0</v>
      </c>
      <c r="L190" s="91">
        <f>SUMIFS(tabela_registros[VALOR],tabela_registros[MÊS],$AE$1,tabela_registros[DIA],reservavariáveisconsolidadoout[[#Headers],[8]],tabela_registros[REGISTRO],DADOS!$N$6,tabela_registros[TIPO],DADOS!$AJ$4,tabela_registros[CATEGORIA],reservavariáveisconsolidadoout[[#This Row],[ATUAL]])</f>
        <v>0</v>
      </c>
      <c r="M190" s="91">
        <f>SUMIFS(tabela_registros[VALOR],tabela_registros[MÊS],$AE$1,tabela_registros[DIA],reservavariáveisconsolidadoout[[#Headers],[9]],tabela_registros[REGISTRO],DADOS!$N$6,tabela_registros[TIPO],DADOS!$AJ$4,tabela_registros[CATEGORIA],reservavariáveisconsolidadoout[[#This Row],[ATUAL]])</f>
        <v>0</v>
      </c>
      <c r="N190" s="91">
        <f>SUMIFS(tabela_registros[VALOR],tabela_registros[MÊS],$AE$1,tabela_registros[DIA],reservavariáveisconsolidadoout[[#Headers],[10]],tabela_registros[REGISTRO],DADOS!$N$6,tabela_registros[TIPO],DADOS!$AJ$4,tabela_registros[CATEGORIA],reservavariáveisconsolidadoout[[#This Row],[ATUAL]])</f>
        <v>0</v>
      </c>
      <c r="O190" s="91">
        <f>SUMIFS(tabela_registros[VALOR],tabela_registros[MÊS],$AE$1,tabela_registros[DIA],reservavariáveisconsolidadoout[[#Headers],[11]],tabela_registros[REGISTRO],DADOS!$N$6,tabela_registros[TIPO],DADOS!$AJ$4,tabela_registros[CATEGORIA],reservavariáveisconsolidadoout[[#This Row],[ATUAL]])</f>
        <v>0</v>
      </c>
      <c r="P190" s="91">
        <f>SUMIFS(tabela_registros[VALOR],tabela_registros[MÊS],$AE$1,tabela_registros[DIA],reservavariáveisconsolidadoout[[#Headers],[12]],tabela_registros[REGISTRO],DADOS!$N$6,tabela_registros[TIPO],DADOS!$AJ$4,tabela_registros[CATEGORIA],reservavariáveisconsolidadoout[[#This Row],[ATUAL]])</f>
        <v>0</v>
      </c>
      <c r="Q190" s="91">
        <f>SUMIFS(tabela_registros[VALOR],tabela_registros[MÊS],$AE$1,tabela_registros[DIA],reservavariáveisconsolidadoout[[#Headers],[13]],tabela_registros[REGISTRO],DADOS!$N$6,tabela_registros[TIPO],DADOS!$AJ$4,tabela_registros[CATEGORIA],reservavariáveisconsolidadoout[[#This Row],[ATUAL]])</f>
        <v>0</v>
      </c>
      <c r="R190" s="91">
        <f>SUMIFS(tabela_registros[VALOR],tabela_registros[MÊS],$AE$1,tabela_registros[DIA],reservavariáveisconsolidadoout[[#Headers],[14]],tabela_registros[REGISTRO],DADOS!$N$6,tabela_registros[TIPO],DADOS!$AJ$4,tabela_registros[CATEGORIA],reservavariáveisconsolidadoout[[#This Row],[ATUAL]])</f>
        <v>0</v>
      </c>
      <c r="S190" s="91">
        <f>SUMIFS(tabela_registros[VALOR],tabela_registros[MÊS],$AE$1,tabela_registros[DIA],reservavariáveisconsolidadoout[[#Headers],[15]],tabela_registros[REGISTRO],DADOS!$N$6,tabela_registros[TIPO],DADOS!$AJ$4,tabela_registros[CATEGORIA],reservavariáveisconsolidadoout[[#This Row],[ATUAL]])</f>
        <v>0</v>
      </c>
      <c r="T190" s="91">
        <f>SUMIFS(tabela_registros[VALOR],tabela_registros[MÊS],$AE$1,tabela_registros[DIA],reservavariáveisconsolidadoout[[#Headers],[16]],tabela_registros[REGISTRO],DADOS!$N$6,tabela_registros[TIPO],DADOS!$AJ$4,tabela_registros[CATEGORIA],reservavariáveisconsolidadoout[[#This Row],[ATUAL]])</f>
        <v>0</v>
      </c>
      <c r="U190" s="91">
        <f>SUMIFS(tabela_registros[VALOR],tabela_registros[MÊS],$AE$1,tabela_registros[DIA],reservavariáveisconsolidadoout[[#Headers],[17]],tabela_registros[REGISTRO],DADOS!$N$6,tabela_registros[TIPO],DADOS!$AJ$4,tabela_registros[CATEGORIA],reservavariáveisconsolidadoout[[#This Row],[ATUAL]])</f>
        <v>0</v>
      </c>
      <c r="V190" s="91">
        <f>SUMIFS(tabela_registros[VALOR],tabela_registros[MÊS],$AE$1,tabela_registros[DIA],reservavariáveisconsolidadoout[[#Headers],[18]],tabela_registros[REGISTRO],DADOS!$N$6,tabela_registros[TIPO],DADOS!$AJ$4,tabela_registros[CATEGORIA],reservavariáveisconsolidadoout[[#This Row],[ATUAL]])</f>
        <v>0</v>
      </c>
      <c r="W190" s="91">
        <f>SUMIFS(tabela_registros[VALOR],tabela_registros[MÊS],$AE$1,tabela_registros[DIA],reservavariáveisconsolidadoout[[#Headers],[19]],tabela_registros[REGISTRO],DADOS!$N$6,tabela_registros[TIPO],DADOS!$AJ$4,tabela_registros[CATEGORIA],reservavariáveisconsolidadoout[[#This Row],[ATUAL]])</f>
        <v>0</v>
      </c>
      <c r="X190" s="91">
        <f>SUMIFS(tabela_registros[VALOR],tabela_registros[MÊS],$AE$1,tabela_registros[DIA],reservavariáveisconsolidadoout[[#Headers],[20]],tabela_registros[REGISTRO],DADOS!$N$6,tabela_registros[TIPO],DADOS!$AJ$4,tabela_registros[CATEGORIA],reservavariáveisconsolidadoout[[#This Row],[ATUAL]])</f>
        <v>0</v>
      </c>
      <c r="Y190" s="91">
        <f>SUMIFS(tabela_registros[VALOR],tabela_registros[MÊS],$AE$1,tabela_registros[DIA],reservavariáveisconsolidadoout[[#Headers],[21]],tabela_registros[REGISTRO],DADOS!$N$6,tabela_registros[TIPO],DADOS!$AJ$4,tabela_registros[CATEGORIA],reservavariáveisconsolidadoout[[#This Row],[ATUAL]])</f>
        <v>0</v>
      </c>
      <c r="Z190" s="91">
        <f>SUMIFS(tabela_registros[VALOR],tabela_registros[MÊS],$AE$1,tabela_registros[DIA],reservavariáveisconsolidadoout[[#Headers],[22]],tabela_registros[REGISTRO],DADOS!$N$6,tabela_registros[TIPO],DADOS!$AJ$4,tabela_registros[CATEGORIA],reservavariáveisconsolidadoout[[#This Row],[ATUAL]])</f>
        <v>0</v>
      </c>
      <c r="AA190" s="91">
        <f>SUMIFS(tabela_registros[VALOR],tabela_registros[MÊS],$AE$1,tabela_registros[DIA],reservavariáveisconsolidadoout[[#Headers],[23]],tabela_registros[REGISTRO],DADOS!$N$6,tabela_registros[TIPO],DADOS!$AJ$4,tabela_registros[CATEGORIA],reservavariáveisconsolidadoout[[#This Row],[ATUAL]])</f>
        <v>0</v>
      </c>
      <c r="AB190" s="91">
        <f>SUMIFS(tabela_registros[VALOR],tabela_registros[MÊS],$AE$1,tabela_registros[DIA],reservavariáveisconsolidadoout[[#Headers],[24]],tabela_registros[REGISTRO],DADOS!$N$6,tabela_registros[TIPO],DADOS!$AJ$4,tabela_registros[CATEGORIA],reservavariáveisconsolidadoout[[#This Row],[ATUAL]])</f>
        <v>0</v>
      </c>
      <c r="AC190" s="91">
        <f>SUMIFS(tabela_registros[VALOR],tabela_registros[MÊS],$AE$1,tabela_registros[DIA],reservavariáveisconsolidadoout[[#Headers],[25]],tabela_registros[REGISTRO],DADOS!$N$6,tabela_registros[TIPO],DADOS!$AJ$4,tabela_registros[CATEGORIA],reservavariáveisconsolidadoout[[#This Row],[ATUAL]])</f>
        <v>0</v>
      </c>
      <c r="AD190" s="91">
        <f>SUMIFS(tabela_registros[VALOR],tabela_registros[MÊS],$AE$1,tabela_registros[DIA],reservavariáveisconsolidadoout[[#Headers],[26]],tabela_registros[REGISTRO],DADOS!$N$6,tabela_registros[TIPO],DADOS!$AJ$4,tabela_registros[CATEGORIA],reservavariáveisconsolidadoout[[#This Row],[ATUAL]])</f>
        <v>0</v>
      </c>
      <c r="AE190" s="91">
        <f>SUMIFS(tabela_registros[VALOR],tabela_registros[MÊS],$AE$1,tabela_registros[DIA],reservavariáveisconsolidadoout[[#Headers],[27]],tabela_registros[REGISTRO],DADOS!$N$6,tabela_registros[TIPO],DADOS!$AJ$4,tabela_registros[CATEGORIA],reservavariáveisconsolidadoout[[#This Row],[ATUAL]])</f>
        <v>0</v>
      </c>
      <c r="AF190" s="91">
        <f>SUMIFS(tabela_registros[VALOR],tabela_registros[MÊS],$AE$1,tabela_registros[DIA],reservavariáveisconsolidadoout[[#Headers],[28]],tabela_registros[REGISTRO],DADOS!$N$6,tabela_registros[TIPO],DADOS!$AJ$4,tabela_registros[CATEGORIA],reservavariáveisconsolidadoout[[#This Row],[ATUAL]])</f>
        <v>0</v>
      </c>
      <c r="AG190" s="91">
        <f>SUMIFS(tabela_registros[VALOR],tabela_registros[MÊS],$AE$1,tabela_registros[DIA],reservavariáveisconsolidadoout[[#Headers],[29]],tabela_registros[REGISTRO],DADOS!$N$6,tabela_registros[TIPO],DADOS!$AJ$4,tabela_registros[CATEGORIA],reservavariáveisconsolidadoout[[#This Row],[ATUAL]])</f>
        <v>0</v>
      </c>
      <c r="AH190" s="91">
        <f>SUMIFS(tabela_registros[VALOR],tabela_registros[MÊS],$AE$1,tabela_registros[DIA],reservavariáveisconsolidadoout[[#Headers],[30]],tabela_registros[REGISTRO],DADOS!$N$6,tabela_registros[TIPO],DADOS!$AJ$4,tabela_registros[CATEGORIA],reservavariáveisconsolidadoout[[#This Row],[ATUAL]])</f>
        <v>0</v>
      </c>
      <c r="AI190" s="101">
        <f>SUMIFS(tabela_registros[VALOR],tabela_registros[MÊS],$AE$1,tabela_registros[DIA],reservavariáveisconsolidadoout[[#Headers],[31]],tabela_registros[REGISTRO],DADOS!$N$6,tabela_registros[TIPO],DADOS!$AJ$4,tabela_registros[CATEGORIA],reservavariáveisconsolidadoout[[#This Row],[ATUAL]])</f>
        <v>0</v>
      </c>
      <c r="AJ190" s="97">
        <f>SUM(reservavariáveisconsolidadoout[[#This Row],[1]:[31]])</f>
        <v>0</v>
      </c>
      <c r="AK190" s="25"/>
    </row>
    <row r="191" spans="2:37" ht="19.5" customHeight="1" thickTop="1" thickBot="1" x14ac:dyDescent="0.3">
      <c r="B191" s="28"/>
      <c r="C191" s="27" t="str">
        <f>DADOS!$AN$7</f>
        <v>📝 CRIPTOMOEDA</v>
      </c>
      <c r="D191" s="26" t="str">
        <f>IF(reservavariáveisconsolidadoout[[#This Row],[TOTAL (R$)]]=0,"",IF(OR(reservavariáveisconsolidadoout[[#This Row],[TOTAL (R$)]]=LARGE($AJ$187:$AJ$196,1),reservavariáveisconsolidadoout[[#This Row],[TOTAL (R$)]]=LARGE($AJ$187:$AJ$196,2)),DADOS!$I$11,""))</f>
        <v/>
      </c>
      <c r="E191" s="96">
        <f>SUMIFS(tabela_registros[VALOR],tabela_registros[MÊS],$AE$1,tabela_registros[DIA],reservavariáveisconsolidadoout[[#Headers],[1]],tabela_registros[REGISTRO],DADOS!$N$6,tabela_registros[TIPO],DADOS!$AJ$4,tabela_registros[CATEGORIA],reservavariáveisconsolidadoout[[#This Row],[ATUAL]])</f>
        <v>0</v>
      </c>
      <c r="F191" s="91">
        <f>SUMIFS(tabela_registros[VALOR],tabela_registros[MÊS],$AE$1,tabela_registros[DIA],reservavariáveisconsolidadoout[[#Headers],[2]],tabela_registros[REGISTRO],DADOS!$N$6,tabela_registros[TIPO],DADOS!$AJ$4,tabela_registros[CATEGORIA],reservavariáveisconsolidadoout[[#This Row],[ATUAL]])</f>
        <v>0</v>
      </c>
      <c r="G191" s="91">
        <f>SUMIFS(tabela_registros[VALOR],tabela_registros[MÊS],$AE$1,tabela_registros[DIA],reservavariáveisconsolidadoout[[#Headers],[3]],tabela_registros[REGISTRO],DADOS!$N$6,tabela_registros[TIPO],DADOS!$AJ$4,tabela_registros[CATEGORIA],reservavariáveisconsolidadoout[[#This Row],[ATUAL]])</f>
        <v>0</v>
      </c>
      <c r="H191" s="91">
        <f>SUMIFS(tabela_registros[VALOR],tabela_registros[MÊS],$AE$1,tabela_registros[DIA],reservavariáveisconsolidadoout[[#Headers],[4]],tabela_registros[REGISTRO],DADOS!$N$6,tabela_registros[TIPO],DADOS!$AJ$4,tabela_registros[CATEGORIA],reservavariáveisconsolidadoout[[#This Row],[ATUAL]])</f>
        <v>0</v>
      </c>
      <c r="I191" s="91">
        <f>SUMIFS(tabela_registros[VALOR],tabela_registros[MÊS],$AE$1,tabela_registros[DIA],reservavariáveisconsolidadoout[[#Headers],[5]],tabela_registros[REGISTRO],DADOS!$N$6,tabela_registros[TIPO],DADOS!$AJ$4,tabela_registros[CATEGORIA],reservavariáveisconsolidadoout[[#This Row],[ATUAL]])</f>
        <v>0</v>
      </c>
      <c r="J191" s="91">
        <f>SUMIFS(tabela_registros[VALOR],tabela_registros[MÊS],$AE$1,tabela_registros[DIA],reservavariáveisconsolidadoout[[#Headers],[6]],tabela_registros[REGISTRO],DADOS!$N$6,tabela_registros[TIPO],DADOS!$AJ$4,tabela_registros[CATEGORIA],reservavariáveisconsolidadoout[[#This Row],[ATUAL]])</f>
        <v>0</v>
      </c>
      <c r="K191" s="91">
        <f>SUMIFS(tabela_registros[VALOR],tabela_registros[MÊS],$AE$1,tabela_registros[DIA],reservavariáveisconsolidadoout[[#Headers],[7]],tabela_registros[REGISTRO],DADOS!$N$6,tabela_registros[TIPO],DADOS!$AJ$4,tabela_registros[CATEGORIA],reservavariáveisconsolidadoout[[#This Row],[ATUAL]])</f>
        <v>0</v>
      </c>
      <c r="L191" s="91">
        <f>SUMIFS(tabela_registros[VALOR],tabela_registros[MÊS],$AE$1,tabela_registros[DIA],reservavariáveisconsolidadoout[[#Headers],[8]],tabela_registros[REGISTRO],DADOS!$N$6,tabela_registros[TIPO],DADOS!$AJ$4,tabela_registros[CATEGORIA],reservavariáveisconsolidadoout[[#This Row],[ATUAL]])</f>
        <v>0</v>
      </c>
      <c r="M191" s="91">
        <f>SUMIFS(tabela_registros[VALOR],tabela_registros[MÊS],$AE$1,tabela_registros[DIA],reservavariáveisconsolidadoout[[#Headers],[9]],tabela_registros[REGISTRO],DADOS!$N$6,tabela_registros[TIPO],DADOS!$AJ$4,tabela_registros[CATEGORIA],reservavariáveisconsolidadoout[[#This Row],[ATUAL]])</f>
        <v>0</v>
      </c>
      <c r="N191" s="91">
        <f>SUMIFS(tabela_registros[VALOR],tabela_registros[MÊS],$AE$1,tabela_registros[DIA],reservavariáveisconsolidadoout[[#Headers],[10]],tabela_registros[REGISTRO],DADOS!$N$6,tabela_registros[TIPO],DADOS!$AJ$4,tabela_registros[CATEGORIA],reservavariáveisconsolidadoout[[#This Row],[ATUAL]])</f>
        <v>0</v>
      </c>
      <c r="O191" s="91">
        <f>SUMIFS(tabela_registros[VALOR],tabela_registros[MÊS],$AE$1,tabela_registros[DIA],reservavariáveisconsolidadoout[[#Headers],[11]],tabela_registros[REGISTRO],DADOS!$N$6,tabela_registros[TIPO],DADOS!$AJ$4,tabela_registros[CATEGORIA],reservavariáveisconsolidadoout[[#This Row],[ATUAL]])</f>
        <v>0</v>
      </c>
      <c r="P191" s="91">
        <f>SUMIFS(tabela_registros[VALOR],tabela_registros[MÊS],$AE$1,tabela_registros[DIA],reservavariáveisconsolidadoout[[#Headers],[12]],tabela_registros[REGISTRO],DADOS!$N$6,tabela_registros[TIPO],DADOS!$AJ$4,tabela_registros[CATEGORIA],reservavariáveisconsolidadoout[[#This Row],[ATUAL]])</f>
        <v>0</v>
      </c>
      <c r="Q191" s="91">
        <f>SUMIFS(tabela_registros[VALOR],tabela_registros[MÊS],$AE$1,tabela_registros[DIA],reservavariáveisconsolidadoout[[#Headers],[13]],tabela_registros[REGISTRO],DADOS!$N$6,tabela_registros[TIPO],DADOS!$AJ$4,tabela_registros[CATEGORIA],reservavariáveisconsolidadoout[[#This Row],[ATUAL]])</f>
        <v>0</v>
      </c>
      <c r="R191" s="91">
        <f>SUMIFS(tabela_registros[VALOR],tabela_registros[MÊS],$AE$1,tabela_registros[DIA],reservavariáveisconsolidadoout[[#Headers],[14]],tabela_registros[REGISTRO],DADOS!$N$6,tabela_registros[TIPO],DADOS!$AJ$4,tabela_registros[CATEGORIA],reservavariáveisconsolidadoout[[#This Row],[ATUAL]])</f>
        <v>0</v>
      </c>
      <c r="S191" s="91">
        <f>SUMIFS(tabela_registros[VALOR],tabela_registros[MÊS],$AE$1,tabela_registros[DIA],reservavariáveisconsolidadoout[[#Headers],[15]],tabela_registros[REGISTRO],DADOS!$N$6,tabela_registros[TIPO],DADOS!$AJ$4,tabela_registros[CATEGORIA],reservavariáveisconsolidadoout[[#This Row],[ATUAL]])</f>
        <v>0</v>
      </c>
      <c r="T191" s="91">
        <f>SUMIFS(tabela_registros[VALOR],tabela_registros[MÊS],$AE$1,tabela_registros[DIA],reservavariáveisconsolidadoout[[#Headers],[16]],tabela_registros[REGISTRO],DADOS!$N$6,tabela_registros[TIPO],DADOS!$AJ$4,tabela_registros[CATEGORIA],reservavariáveisconsolidadoout[[#This Row],[ATUAL]])</f>
        <v>0</v>
      </c>
      <c r="U191" s="91">
        <f>SUMIFS(tabela_registros[VALOR],tabela_registros[MÊS],$AE$1,tabela_registros[DIA],reservavariáveisconsolidadoout[[#Headers],[17]],tabela_registros[REGISTRO],DADOS!$N$6,tabela_registros[TIPO],DADOS!$AJ$4,tabela_registros[CATEGORIA],reservavariáveisconsolidadoout[[#This Row],[ATUAL]])</f>
        <v>0</v>
      </c>
      <c r="V191" s="91">
        <f>SUMIFS(tabela_registros[VALOR],tabela_registros[MÊS],$AE$1,tabela_registros[DIA],reservavariáveisconsolidadoout[[#Headers],[18]],tabela_registros[REGISTRO],DADOS!$N$6,tabela_registros[TIPO],DADOS!$AJ$4,tabela_registros[CATEGORIA],reservavariáveisconsolidadoout[[#This Row],[ATUAL]])</f>
        <v>0</v>
      </c>
      <c r="W191" s="91">
        <f>SUMIFS(tabela_registros[VALOR],tabela_registros[MÊS],$AE$1,tabela_registros[DIA],reservavariáveisconsolidadoout[[#Headers],[19]],tabela_registros[REGISTRO],DADOS!$N$6,tabela_registros[TIPO],DADOS!$AJ$4,tabela_registros[CATEGORIA],reservavariáveisconsolidadoout[[#This Row],[ATUAL]])</f>
        <v>0</v>
      </c>
      <c r="X191" s="91">
        <f>SUMIFS(tabela_registros[VALOR],tabela_registros[MÊS],$AE$1,tabela_registros[DIA],reservavariáveisconsolidadoout[[#Headers],[20]],tabela_registros[REGISTRO],DADOS!$N$6,tabela_registros[TIPO],DADOS!$AJ$4,tabela_registros[CATEGORIA],reservavariáveisconsolidadoout[[#This Row],[ATUAL]])</f>
        <v>0</v>
      </c>
      <c r="Y191" s="91">
        <f>SUMIFS(tabela_registros[VALOR],tabela_registros[MÊS],$AE$1,tabela_registros[DIA],reservavariáveisconsolidadoout[[#Headers],[21]],tabela_registros[REGISTRO],DADOS!$N$6,tabela_registros[TIPO],DADOS!$AJ$4,tabela_registros[CATEGORIA],reservavariáveisconsolidadoout[[#This Row],[ATUAL]])</f>
        <v>0</v>
      </c>
      <c r="Z191" s="91">
        <f>SUMIFS(tabela_registros[VALOR],tabela_registros[MÊS],$AE$1,tabela_registros[DIA],reservavariáveisconsolidadoout[[#Headers],[22]],tabela_registros[REGISTRO],DADOS!$N$6,tabela_registros[TIPO],DADOS!$AJ$4,tabela_registros[CATEGORIA],reservavariáveisconsolidadoout[[#This Row],[ATUAL]])</f>
        <v>0</v>
      </c>
      <c r="AA191" s="91">
        <f>SUMIFS(tabela_registros[VALOR],tabela_registros[MÊS],$AE$1,tabela_registros[DIA],reservavariáveisconsolidadoout[[#Headers],[23]],tabela_registros[REGISTRO],DADOS!$N$6,tabela_registros[TIPO],DADOS!$AJ$4,tabela_registros[CATEGORIA],reservavariáveisconsolidadoout[[#This Row],[ATUAL]])</f>
        <v>0</v>
      </c>
      <c r="AB191" s="91">
        <f>SUMIFS(tabela_registros[VALOR],tabela_registros[MÊS],$AE$1,tabela_registros[DIA],reservavariáveisconsolidadoout[[#Headers],[24]],tabela_registros[REGISTRO],DADOS!$N$6,tabela_registros[TIPO],DADOS!$AJ$4,tabela_registros[CATEGORIA],reservavariáveisconsolidadoout[[#This Row],[ATUAL]])</f>
        <v>0</v>
      </c>
      <c r="AC191" s="91">
        <f>SUMIFS(tabela_registros[VALOR],tabela_registros[MÊS],$AE$1,tabela_registros[DIA],reservavariáveisconsolidadoout[[#Headers],[25]],tabela_registros[REGISTRO],DADOS!$N$6,tabela_registros[TIPO],DADOS!$AJ$4,tabela_registros[CATEGORIA],reservavariáveisconsolidadoout[[#This Row],[ATUAL]])</f>
        <v>0</v>
      </c>
      <c r="AD191" s="91">
        <f>SUMIFS(tabela_registros[VALOR],tabela_registros[MÊS],$AE$1,tabela_registros[DIA],reservavariáveisconsolidadoout[[#Headers],[26]],tabela_registros[REGISTRO],DADOS!$N$6,tabela_registros[TIPO],DADOS!$AJ$4,tabela_registros[CATEGORIA],reservavariáveisconsolidadoout[[#This Row],[ATUAL]])</f>
        <v>0</v>
      </c>
      <c r="AE191" s="91">
        <f>SUMIFS(tabela_registros[VALOR],tabela_registros[MÊS],$AE$1,tabela_registros[DIA],reservavariáveisconsolidadoout[[#Headers],[27]],tabela_registros[REGISTRO],DADOS!$N$6,tabela_registros[TIPO],DADOS!$AJ$4,tabela_registros[CATEGORIA],reservavariáveisconsolidadoout[[#This Row],[ATUAL]])</f>
        <v>0</v>
      </c>
      <c r="AF191" s="91">
        <f>SUMIFS(tabela_registros[VALOR],tabela_registros[MÊS],$AE$1,tabela_registros[DIA],reservavariáveisconsolidadoout[[#Headers],[28]],tabela_registros[REGISTRO],DADOS!$N$6,tabela_registros[TIPO],DADOS!$AJ$4,tabela_registros[CATEGORIA],reservavariáveisconsolidadoout[[#This Row],[ATUAL]])</f>
        <v>0</v>
      </c>
      <c r="AG191" s="91">
        <f>SUMIFS(tabela_registros[VALOR],tabela_registros[MÊS],$AE$1,tabela_registros[DIA],reservavariáveisconsolidadoout[[#Headers],[29]],tabela_registros[REGISTRO],DADOS!$N$6,tabela_registros[TIPO],DADOS!$AJ$4,tabela_registros[CATEGORIA],reservavariáveisconsolidadoout[[#This Row],[ATUAL]])</f>
        <v>0</v>
      </c>
      <c r="AH191" s="91">
        <f>SUMIFS(tabela_registros[VALOR],tabela_registros[MÊS],$AE$1,tabela_registros[DIA],reservavariáveisconsolidadoout[[#Headers],[30]],tabela_registros[REGISTRO],DADOS!$N$6,tabela_registros[TIPO],DADOS!$AJ$4,tabela_registros[CATEGORIA],reservavariáveisconsolidadoout[[#This Row],[ATUAL]])</f>
        <v>0</v>
      </c>
      <c r="AI191" s="101">
        <f>SUMIFS(tabela_registros[VALOR],tabela_registros[MÊS],$AE$1,tabela_registros[DIA],reservavariáveisconsolidadoout[[#Headers],[31]],tabela_registros[REGISTRO],DADOS!$N$6,tabela_registros[TIPO],DADOS!$AJ$4,tabela_registros[CATEGORIA],reservavariáveisconsolidadoout[[#This Row],[ATUAL]])</f>
        <v>0</v>
      </c>
      <c r="AJ191" s="97">
        <f>SUM(reservavariáveisconsolidadoout[[#This Row],[1]:[31]])</f>
        <v>0</v>
      </c>
      <c r="AK191" s="25"/>
    </row>
    <row r="192" spans="2:37" ht="19.5" customHeight="1" thickTop="1" thickBot="1" x14ac:dyDescent="0.3">
      <c r="B192" s="28"/>
      <c r="C192" s="27" t="str">
        <f>DADOS!$AN$8</f>
        <v>📝 ETF</v>
      </c>
      <c r="D192" s="26" t="str">
        <f>IF(reservavariáveisconsolidadoout[[#This Row],[TOTAL (R$)]]=0,"",IF(OR(reservavariáveisconsolidadoout[[#This Row],[TOTAL (R$)]]=LARGE($AJ$187:$AJ$196,1),reservavariáveisconsolidadoout[[#This Row],[TOTAL (R$)]]=LARGE($AJ$187:$AJ$196,2)),DADOS!$I$11,""))</f>
        <v/>
      </c>
      <c r="E192" s="96">
        <f>SUMIFS(tabela_registros[VALOR],tabela_registros[MÊS],$AE$1,tabela_registros[DIA],reservavariáveisconsolidadoout[[#Headers],[1]],tabela_registros[REGISTRO],DADOS!$N$6,tabela_registros[TIPO],DADOS!$AJ$4,tabela_registros[CATEGORIA],reservavariáveisconsolidadoout[[#This Row],[ATUAL]])</f>
        <v>0</v>
      </c>
      <c r="F192" s="91">
        <f>SUMIFS(tabela_registros[VALOR],tabela_registros[MÊS],$AE$1,tabela_registros[DIA],reservavariáveisconsolidadoout[[#Headers],[2]],tabela_registros[REGISTRO],DADOS!$N$6,tabela_registros[TIPO],DADOS!$AJ$4,tabela_registros[CATEGORIA],reservavariáveisconsolidadoout[[#This Row],[ATUAL]])</f>
        <v>0</v>
      </c>
      <c r="G192" s="91">
        <f>SUMIFS(tabela_registros[VALOR],tabela_registros[MÊS],$AE$1,tabela_registros[DIA],reservavariáveisconsolidadoout[[#Headers],[3]],tabela_registros[REGISTRO],DADOS!$N$6,tabela_registros[TIPO],DADOS!$AJ$4,tabela_registros[CATEGORIA],reservavariáveisconsolidadoout[[#This Row],[ATUAL]])</f>
        <v>0</v>
      </c>
      <c r="H192" s="91">
        <f>SUMIFS(tabela_registros[VALOR],tabela_registros[MÊS],$AE$1,tabela_registros[DIA],reservavariáveisconsolidadoout[[#Headers],[4]],tabela_registros[REGISTRO],DADOS!$N$6,tabela_registros[TIPO],DADOS!$AJ$4,tabela_registros[CATEGORIA],reservavariáveisconsolidadoout[[#This Row],[ATUAL]])</f>
        <v>0</v>
      </c>
      <c r="I192" s="91">
        <f>SUMIFS(tabela_registros[VALOR],tabela_registros[MÊS],$AE$1,tabela_registros[DIA],reservavariáveisconsolidadoout[[#Headers],[5]],tabela_registros[REGISTRO],DADOS!$N$6,tabela_registros[TIPO],DADOS!$AJ$4,tabela_registros[CATEGORIA],reservavariáveisconsolidadoout[[#This Row],[ATUAL]])</f>
        <v>0</v>
      </c>
      <c r="J192" s="91">
        <f>SUMIFS(tabela_registros[VALOR],tabela_registros[MÊS],$AE$1,tabela_registros[DIA],reservavariáveisconsolidadoout[[#Headers],[6]],tabela_registros[REGISTRO],DADOS!$N$6,tabela_registros[TIPO],DADOS!$AJ$4,tabela_registros[CATEGORIA],reservavariáveisconsolidadoout[[#This Row],[ATUAL]])</f>
        <v>0</v>
      </c>
      <c r="K192" s="91">
        <f>SUMIFS(tabela_registros[VALOR],tabela_registros[MÊS],$AE$1,tabela_registros[DIA],reservavariáveisconsolidadoout[[#Headers],[7]],tabela_registros[REGISTRO],DADOS!$N$6,tabela_registros[TIPO],DADOS!$AJ$4,tabela_registros[CATEGORIA],reservavariáveisconsolidadoout[[#This Row],[ATUAL]])</f>
        <v>0</v>
      </c>
      <c r="L192" s="91">
        <f>SUMIFS(tabela_registros[VALOR],tabela_registros[MÊS],$AE$1,tabela_registros[DIA],reservavariáveisconsolidadoout[[#Headers],[8]],tabela_registros[REGISTRO],DADOS!$N$6,tabela_registros[TIPO],DADOS!$AJ$4,tabela_registros[CATEGORIA],reservavariáveisconsolidadoout[[#This Row],[ATUAL]])</f>
        <v>0</v>
      </c>
      <c r="M192" s="91">
        <f>SUMIFS(tabela_registros[VALOR],tabela_registros[MÊS],$AE$1,tabela_registros[DIA],reservavariáveisconsolidadoout[[#Headers],[9]],tabela_registros[REGISTRO],DADOS!$N$6,tabela_registros[TIPO],DADOS!$AJ$4,tabela_registros[CATEGORIA],reservavariáveisconsolidadoout[[#This Row],[ATUAL]])</f>
        <v>0</v>
      </c>
      <c r="N192" s="91">
        <f>SUMIFS(tabela_registros[VALOR],tabela_registros[MÊS],$AE$1,tabela_registros[DIA],reservavariáveisconsolidadoout[[#Headers],[10]],tabela_registros[REGISTRO],DADOS!$N$6,tabela_registros[TIPO],DADOS!$AJ$4,tabela_registros[CATEGORIA],reservavariáveisconsolidadoout[[#This Row],[ATUAL]])</f>
        <v>0</v>
      </c>
      <c r="O192" s="91">
        <f>SUMIFS(tabela_registros[VALOR],tabela_registros[MÊS],$AE$1,tabela_registros[DIA],reservavariáveisconsolidadoout[[#Headers],[11]],tabela_registros[REGISTRO],DADOS!$N$6,tabela_registros[TIPO],DADOS!$AJ$4,tabela_registros[CATEGORIA],reservavariáveisconsolidadoout[[#This Row],[ATUAL]])</f>
        <v>0</v>
      </c>
      <c r="P192" s="91">
        <f>SUMIFS(tabela_registros[VALOR],tabela_registros[MÊS],$AE$1,tabela_registros[DIA],reservavariáveisconsolidadoout[[#Headers],[12]],tabela_registros[REGISTRO],DADOS!$N$6,tabela_registros[TIPO],DADOS!$AJ$4,tabela_registros[CATEGORIA],reservavariáveisconsolidadoout[[#This Row],[ATUAL]])</f>
        <v>0</v>
      </c>
      <c r="Q192" s="91">
        <f>SUMIFS(tabela_registros[VALOR],tabela_registros[MÊS],$AE$1,tabela_registros[DIA],reservavariáveisconsolidadoout[[#Headers],[13]],tabela_registros[REGISTRO],DADOS!$N$6,tabela_registros[TIPO],DADOS!$AJ$4,tabela_registros[CATEGORIA],reservavariáveisconsolidadoout[[#This Row],[ATUAL]])</f>
        <v>0</v>
      </c>
      <c r="R192" s="91">
        <f>SUMIFS(tabela_registros[VALOR],tabela_registros[MÊS],$AE$1,tabela_registros[DIA],reservavariáveisconsolidadoout[[#Headers],[14]],tabela_registros[REGISTRO],DADOS!$N$6,tabela_registros[TIPO],DADOS!$AJ$4,tabela_registros[CATEGORIA],reservavariáveisconsolidadoout[[#This Row],[ATUAL]])</f>
        <v>0</v>
      </c>
      <c r="S192" s="91">
        <f>SUMIFS(tabela_registros[VALOR],tabela_registros[MÊS],$AE$1,tabela_registros[DIA],reservavariáveisconsolidadoout[[#Headers],[15]],tabela_registros[REGISTRO],DADOS!$N$6,tabela_registros[TIPO],DADOS!$AJ$4,tabela_registros[CATEGORIA],reservavariáveisconsolidadoout[[#This Row],[ATUAL]])</f>
        <v>0</v>
      </c>
      <c r="T192" s="91">
        <f>SUMIFS(tabela_registros[VALOR],tabela_registros[MÊS],$AE$1,tabela_registros[DIA],reservavariáveisconsolidadoout[[#Headers],[16]],tabela_registros[REGISTRO],DADOS!$N$6,tabela_registros[TIPO],DADOS!$AJ$4,tabela_registros[CATEGORIA],reservavariáveisconsolidadoout[[#This Row],[ATUAL]])</f>
        <v>0</v>
      </c>
      <c r="U192" s="91">
        <f>SUMIFS(tabela_registros[VALOR],tabela_registros[MÊS],$AE$1,tabela_registros[DIA],reservavariáveisconsolidadoout[[#Headers],[17]],tabela_registros[REGISTRO],DADOS!$N$6,tabela_registros[TIPO],DADOS!$AJ$4,tabela_registros[CATEGORIA],reservavariáveisconsolidadoout[[#This Row],[ATUAL]])</f>
        <v>0</v>
      </c>
      <c r="V192" s="91">
        <f>SUMIFS(tabela_registros[VALOR],tabela_registros[MÊS],$AE$1,tabela_registros[DIA],reservavariáveisconsolidadoout[[#Headers],[18]],tabela_registros[REGISTRO],DADOS!$N$6,tabela_registros[TIPO],DADOS!$AJ$4,tabela_registros[CATEGORIA],reservavariáveisconsolidadoout[[#This Row],[ATUAL]])</f>
        <v>0</v>
      </c>
      <c r="W192" s="91">
        <f>SUMIFS(tabela_registros[VALOR],tabela_registros[MÊS],$AE$1,tabela_registros[DIA],reservavariáveisconsolidadoout[[#Headers],[19]],tabela_registros[REGISTRO],DADOS!$N$6,tabela_registros[TIPO],DADOS!$AJ$4,tabela_registros[CATEGORIA],reservavariáveisconsolidadoout[[#This Row],[ATUAL]])</f>
        <v>0</v>
      </c>
      <c r="X192" s="91">
        <f>SUMIFS(tabela_registros[VALOR],tabela_registros[MÊS],$AE$1,tabela_registros[DIA],reservavariáveisconsolidadoout[[#Headers],[20]],tabela_registros[REGISTRO],DADOS!$N$6,tabela_registros[TIPO],DADOS!$AJ$4,tabela_registros[CATEGORIA],reservavariáveisconsolidadoout[[#This Row],[ATUAL]])</f>
        <v>0</v>
      </c>
      <c r="Y192" s="91">
        <f>SUMIFS(tabela_registros[VALOR],tabela_registros[MÊS],$AE$1,tabela_registros[DIA],reservavariáveisconsolidadoout[[#Headers],[21]],tabela_registros[REGISTRO],DADOS!$N$6,tabela_registros[TIPO],DADOS!$AJ$4,tabela_registros[CATEGORIA],reservavariáveisconsolidadoout[[#This Row],[ATUAL]])</f>
        <v>0</v>
      </c>
      <c r="Z192" s="91">
        <f>SUMIFS(tabela_registros[VALOR],tabela_registros[MÊS],$AE$1,tabela_registros[DIA],reservavariáveisconsolidadoout[[#Headers],[22]],tabela_registros[REGISTRO],DADOS!$N$6,tabela_registros[TIPO],DADOS!$AJ$4,tabela_registros[CATEGORIA],reservavariáveisconsolidadoout[[#This Row],[ATUAL]])</f>
        <v>0</v>
      </c>
      <c r="AA192" s="91">
        <f>SUMIFS(tabela_registros[VALOR],tabela_registros[MÊS],$AE$1,tabela_registros[DIA],reservavariáveisconsolidadoout[[#Headers],[23]],tabela_registros[REGISTRO],DADOS!$N$6,tabela_registros[TIPO],DADOS!$AJ$4,tabela_registros[CATEGORIA],reservavariáveisconsolidadoout[[#This Row],[ATUAL]])</f>
        <v>0</v>
      </c>
      <c r="AB192" s="91">
        <f>SUMIFS(tabela_registros[VALOR],tabela_registros[MÊS],$AE$1,tabela_registros[DIA],reservavariáveisconsolidadoout[[#Headers],[24]],tabela_registros[REGISTRO],DADOS!$N$6,tabela_registros[TIPO],DADOS!$AJ$4,tabela_registros[CATEGORIA],reservavariáveisconsolidadoout[[#This Row],[ATUAL]])</f>
        <v>0</v>
      </c>
      <c r="AC192" s="91">
        <f>SUMIFS(tabela_registros[VALOR],tabela_registros[MÊS],$AE$1,tabela_registros[DIA],reservavariáveisconsolidadoout[[#Headers],[25]],tabela_registros[REGISTRO],DADOS!$N$6,tabela_registros[TIPO],DADOS!$AJ$4,tabela_registros[CATEGORIA],reservavariáveisconsolidadoout[[#This Row],[ATUAL]])</f>
        <v>0</v>
      </c>
      <c r="AD192" s="91">
        <f>SUMIFS(tabela_registros[VALOR],tabela_registros[MÊS],$AE$1,tabela_registros[DIA],reservavariáveisconsolidadoout[[#Headers],[26]],tabela_registros[REGISTRO],DADOS!$N$6,tabela_registros[TIPO],DADOS!$AJ$4,tabela_registros[CATEGORIA],reservavariáveisconsolidadoout[[#This Row],[ATUAL]])</f>
        <v>0</v>
      </c>
      <c r="AE192" s="91">
        <f>SUMIFS(tabela_registros[VALOR],tabela_registros[MÊS],$AE$1,tabela_registros[DIA],reservavariáveisconsolidadoout[[#Headers],[27]],tabela_registros[REGISTRO],DADOS!$N$6,tabela_registros[TIPO],DADOS!$AJ$4,tabela_registros[CATEGORIA],reservavariáveisconsolidadoout[[#This Row],[ATUAL]])</f>
        <v>0</v>
      </c>
      <c r="AF192" s="91">
        <f>SUMIFS(tabela_registros[VALOR],tabela_registros[MÊS],$AE$1,tabela_registros[DIA],reservavariáveisconsolidadoout[[#Headers],[28]],tabela_registros[REGISTRO],DADOS!$N$6,tabela_registros[TIPO],DADOS!$AJ$4,tabela_registros[CATEGORIA],reservavariáveisconsolidadoout[[#This Row],[ATUAL]])</f>
        <v>0</v>
      </c>
      <c r="AG192" s="91">
        <f>SUMIFS(tabela_registros[VALOR],tabela_registros[MÊS],$AE$1,tabela_registros[DIA],reservavariáveisconsolidadoout[[#Headers],[29]],tabela_registros[REGISTRO],DADOS!$N$6,tabela_registros[TIPO],DADOS!$AJ$4,tabela_registros[CATEGORIA],reservavariáveisconsolidadoout[[#This Row],[ATUAL]])</f>
        <v>0</v>
      </c>
      <c r="AH192" s="91">
        <f>SUMIFS(tabela_registros[VALOR],tabela_registros[MÊS],$AE$1,tabela_registros[DIA],reservavariáveisconsolidadoout[[#Headers],[30]],tabela_registros[REGISTRO],DADOS!$N$6,tabela_registros[TIPO],DADOS!$AJ$4,tabela_registros[CATEGORIA],reservavariáveisconsolidadoout[[#This Row],[ATUAL]])</f>
        <v>0</v>
      </c>
      <c r="AI192" s="101">
        <f>SUMIFS(tabela_registros[VALOR],tabela_registros[MÊS],$AE$1,tabela_registros[DIA],reservavariáveisconsolidadoout[[#Headers],[31]],tabela_registros[REGISTRO],DADOS!$N$6,tabela_registros[TIPO],DADOS!$AJ$4,tabela_registros[CATEGORIA],reservavariáveisconsolidadoout[[#This Row],[ATUAL]])</f>
        <v>0</v>
      </c>
      <c r="AJ192" s="97">
        <f>SUM(reservavariáveisconsolidadoout[[#This Row],[1]:[31]])</f>
        <v>0</v>
      </c>
      <c r="AK192" s="25"/>
    </row>
    <row r="193" spans="2:37" ht="19.5" customHeight="1" thickTop="1" thickBot="1" x14ac:dyDescent="0.3">
      <c r="B193" s="28"/>
      <c r="C193" s="27" t="str">
        <f>DADOS!$AN$9</f>
        <v>📝 EXTERIOR</v>
      </c>
      <c r="D193" s="26" t="str">
        <f>IF(reservavariáveisconsolidadoout[[#This Row],[TOTAL (R$)]]=0,"",IF(OR(reservavariáveisconsolidadoout[[#This Row],[TOTAL (R$)]]=LARGE($AJ$187:$AJ$196,1),reservavariáveisconsolidadoout[[#This Row],[TOTAL (R$)]]=LARGE($AJ$187:$AJ$196,2)),DADOS!$I$11,""))</f>
        <v/>
      </c>
      <c r="E193" s="96">
        <f>SUMIFS(tabela_registros[VALOR],tabela_registros[MÊS],$AE$1,tabela_registros[DIA],reservavariáveisconsolidadoout[[#Headers],[1]],tabela_registros[REGISTRO],DADOS!$N$6,tabela_registros[TIPO],DADOS!$AJ$4,tabela_registros[CATEGORIA],reservavariáveisconsolidadoout[[#This Row],[ATUAL]])</f>
        <v>0</v>
      </c>
      <c r="F193" s="91">
        <f>SUMIFS(tabela_registros[VALOR],tabela_registros[MÊS],$AE$1,tabela_registros[DIA],reservavariáveisconsolidadoout[[#Headers],[2]],tabela_registros[REGISTRO],DADOS!$N$6,tabela_registros[TIPO],DADOS!$AJ$4,tabela_registros[CATEGORIA],reservavariáveisconsolidadoout[[#This Row],[ATUAL]])</f>
        <v>0</v>
      </c>
      <c r="G193" s="91">
        <f>SUMIFS(tabela_registros[VALOR],tabela_registros[MÊS],$AE$1,tabela_registros[DIA],reservavariáveisconsolidadoout[[#Headers],[3]],tabela_registros[REGISTRO],DADOS!$N$6,tabela_registros[TIPO],DADOS!$AJ$4,tabela_registros[CATEGORIA],reservavariáveisconsolidadoout[[#This Row],[ATUAL]])</f>
        <v>0</v>
      </c>
      <c r="H193" s="91">
        <f>SUMIFS(tabela_registros[VALOR],tabela_registros[MÊS],$AE$1,tabela_registros[DIA],reservavariáveisconsolidadoout[[#Headers],[4]],tabela_registros[REGISTRO],DADOS!$N$6,tabela_registros[TIPO],DADOS!$AJ$4,tabela_registros[CATEGORIA],reservavariáveisconsolidadoout[[#This Row],[ATUAL]])</f>
        <v>0</v>
      </c>
      <c r="I193" s="91">
        <f>SUMIFS(tabela_registros[VALOR],tabela_registros[MÊS],$AE$1,tabela_registros[DIA],reservavariáveisconsolidadoout[[#Headers],[5]],tabela_registros[REGISTRO],DADOS!$N$6,tabela_registros[TIPO],DADOS!$AJ$4,tabela_registros[CATEGORIA],reservavariáveisconsolidadoout[[#This Row],[ATUAL]])</f>
        <v>0</v>
      </c>
      <c r="J193" s="91">
        <f>SUMIFS(tabela_registros[VALOR],tabela_registros[MÊS],$AE$1,tabela_registros[DIA],reservavariáveisconsolidadoout[[#Headers],[6]],tabela_registros[REGISTRO],DADOS!$N$6,tabela_registros[TIPO],DADOS!$AJ$4,tabela_registros[CATEGORIA],reservavariáveisconsolidadoout[[#This Row],[ATUAL]])</f>
        <v>0</v>
      </c>
      <c r="K193" s="91">
        <f>SUMIFS(tabela_registros[VALOR],tabela_registros[MÊS],$AE$1,tabela_registros[DIA],reservavariáveisconsolidadoout[[#Headers],[7]],tabela_registros[REGISTRO],DADOS!$N$6,tabela_registros[TIPO],DADOS!$AJ$4,tabela_registros[CATEGORIA],reservavariáveisconsolidadoout[[#This Row],[ATUAL]])</f>
        <v>0</v>
      </c>
      <c r="L193" s="91">
        <f>SUMIFS(tabela_registros[VALOR],tabela_registros[MÊS],$AE$1,tabela_registros[DIA],reservavariáveisconsolidadoout[[#Headers],[8]],tabela_registros[REGISTRO],DADOS!$N$6,tabela_registros[TIPO],DADOS!$AJ$4,tabela_registros[CATEGORIA],reservavariáveisconsolidadoout[[#This Row],[ATUAL]])</f>
        <v>0</v>
      </c>
      <c r="M193" s="91">
        <f>SUMIFS(tabela_registros[VALOR],tabela_registros[MÊS],$AE$1,tabela_registros[DIA],reservavariáveisconsolidadoout[[#Headers],[9]],tabela_registros[REGISTRO],DADOS!$N$6,tabela_registros[TIPO],DADOS!$AJ$4,tabela_registros[CATEGORIA],reservavariáveisconsolidadoout[[#This Row],[ATUAL]])</f>
        <v>0</v>
      </c>
      <c r="N193" s="91">
        <f>SUMIFS(tabela_registros[VALOR],tabela_registros[MÊS],$AE$1,tabela_registros[DIA],reservavariáveisconsolidadoout[[#Headers],[10]],tabela_registros[REGISTRO],DADOS!$N$6,tabela_registros[TIPO],DADOS!$AJ$4,tabela_registros[CATEGORIA],reservavariáveisconsolidadoout[[#This Row],[ATUAL]])</f>
        <v>0</v>
      </c>
      <c r="O193" s="91">
        <f>SUMIFS(tabela_registros[VALOR],tabela_registros[MÊS],$AE$1,tabela_registros[DIA],reservavariáveisconsolidadoout[[#Headers],[11]],tabela_registros[REGISTRO],DADOS!$N$6,tabela_registros[TIPO],DADOS!$AJ$4,tabela_registros[CATEGORIA],reservavariáveisconsolidadoout[[#This Row],[ATUAL]])</f>
        <v>0</v>
      </c>
      <c r="P193" s="91">
        <f>SUMIFS(tabela_registros[VALOR],tabela_registros[MÊS],$AE$1,tabela_registros[DIA],reservavariáveisconsolidadoout[[#Headers],[12]],tabela_registros[REGISTRO],DADOS!$N$6,tabela_registros[TIPO],DADOS!$AJ$4,tabela_registros[CATEGORIA],reservavariáveisconsolidadoout[[#This Row],[ATUAL]])</f>
        <v>0</v>
      </c>
      <c r="Q193" s="91">
        <f>SUMIFS(tabela_registros[VALOR],tabela_registros[MÊS],$AE$1,tabela_registros[DIA],reservavariáveisconsolidadoout[[#Headers],[13]],tabela_registros[REGISTRO],DADOS!$N$6,tabela_registros[TIPO],DADOS!$AJ$4,tabela_registros[CATEGORIA],reservavariáveisconsolidadoout[[#This Row],[ATUAL]])</f>
        <v>0</v>
      </c>
      <c r="R193" s="91">
        <f>SUMIFS(tabela_registros[VALOR],tabela_registros[MÊS],$AE$1,tabela_registros[DIA],reservavariáveisconsolidadoout[[#Headers],[14]],tabela_registros[REGISTRO],DADOS!$N$6,tabela_registros[TIPO],DADOS!$AJ$4,tabela_registros[CATEGORIA],reservavariáveisconsolidadoout[[#This Row],[ATUAL]])</f>
        <v>0</v>
      </c>
      <c r="S193" s="91">
        <f>SUMIFS(tabela_registros[VALOR],tabela_registros[MÊS],$AE$1,tabela_registros[DIA],reservavariáveisconsolidadoout[[#Headers],[15]],tabela_registros[REGISTRO],DADOS!$N$6,tabela_registros[TIPO],DADOS!$AJ$4,tabela_registros[CATEGORIA],reservavariáveisconsolidadoout[[#This Row],[ATUAL]])</f>
        <v>0</v>
      </c>
      <c r="T193" s="91">
        <f>SUMIFS(tabela_registros[VALOR],tabela_registros[MÊS],$AE$1,tabela_registros[DIA],reservavariáveisconsolidadoout[[#Headers],[16]],tabela_registros[REGISTRO],DADOS!$N$6,tabela_registros[TIPO],DADOS!$AJ$4,tabela_registros[CATEGORIA],reservavariáveisconsolidadoout[[#This Row],[ATUAL]])</f>
        <v>0</v>
      </c>
      <c r="U193" s="91">
        <f>SUMIFS(tabela_registros[VALOR],tabela_registros[MÊS],$AE$1,tabela_registros[DIA],reservavariáveisconsolidadoout[[#Headers],[17]],tabela_registros[REGISTRO],DADOS!$N$6,tabela_registros[TIPO],DADOS!$AJ$4,tabela_registros[CATEGORIA],reservavariáveisconsolidadoout[[#This Row],[ATUAL]])</f>
        <v>0</v>
      </c>
      <c r="V193" s="91">
        <f>SUMIFS(tabela_registros[VALOR],tabela_registros[MÊS],$AE$1,tabela_registros[DIA],reservavariáveisconsolidadoout[[#Headers],[18]],tabela_registros[REGISTRO],DADOS!$N$6,tabela_registros[TIPO],DADOS!$AJ$4,tabela_registros[CATEGORIA],reservavariáveisconsolidadoout[[#This Row],[ATUAL]])</f>
        <v>0</v>
      </c>
      <c r="W193" s="91">
        <f>SUMIFS(tabela_registros[VALOR],tabela_registros[MÊS],$AE$1,tabela_registros[DIA],reservavariáveisconsolidadoout[[#Headers],[19]],tabela_registros[REGISTRO],DADOS!$N$6,tabela_registros[TIPO],DADOS!$AJ$4,tabela_registros[CATEGORIA],reservavariáveisconsolidadoout[[#This Row],[ATUAL]])</f>
        <v>0</v>
      </c>
      <c r="X193" s="91">
        <f>SUMIFS(tabela_registros[VALOR],tabela_registros[MÊS],$AE$1,tabela_registros[DIA],reservavariáveisconsolidadoout[[#Headers],[20]],tabela_registros[REGISTRO],DADOS!$N$6,tabela_registros[TIPO],DADOS!$AJ$4,tabela_registros[CATEGORIA],reservavariáveisconsolidadoout[[#This Row],[ATUAL]])</f>
        <v>0</v>
      </c>
      <c r="Y193" s="91">
        <f>SUMIFS(tabela_registros[VALOR],tabela_registros[MÊS],$AE$1,tabela_registros[DIA],reservavariáveisconsolidadoout[[#Headers],[21]],tabela_registros[REGISTRO],DADOS!$N$6,tabela_registros[TIPO],DADOS!$AJ$4,tabela_registros[CATEGORIA],reservavariáveisconsolidadoout[[#This Row],[ATUAL]])</f>
        <v>0</v>
      </c>
      <c r="Z193" s="91">
        <f>SUMIFS(tabela_registros[VALOR],tabela_registros[MÊS],$AE$1,tabela_registros[DIA],reservavariáveisconsolidadoout[[#Headers],[22]],tabela_registros[REGISTRO],DADOS!$N$6,tabela_registros[TIPO],DADOS!$AJ$4,tabela_registros[CATEGORIA],reservavariáveisconsolidadoout[[#This Row],[ATUAL]])</f>
        <v>0</v>
      </c>
      <c r="AA193" s="91">
        <f>SUMIFS(tabela_registros[VALOR],tabela_registros[MÊS],$AE$1,tabela_registros[DIA],reservavariáveisconsolidadoout[[#Headers],[23]],tabela_registros[REGISTRO],DADOS!$N$6,tabela_registros[TIPO],DADOS!$AJ$4,tabela_registros[CATEGORIA],reservavariáveisconsolidadoout[[#This Row],[ATUAL]])</f>
        <v>0</v>
      </c>
      <c r="AB193" s="91">
        <f>SUMIFS(tabela_registros[VALOR],tabela_registros[MÊS],$AE$1,tabela_registros[DIA],reservavariáveisconsolidadoout[[#Headers],[24]],tabela_registros[REGISTRO],DADOS!$N$6,tabela_registros[TIPO],DADOS!$AJ$4,tabela_registros[CATEGORIA],reservavariáveisconsolidadoout[[#This Row],[ATUAL]])</f>
        <v>0</v>
      </c>
      <c r="AC193" s="91">
        <f>SUMIFS(tabela_registros[VALOR],tabela_registros[MÊS],$AE$1,tabela_registros[DIA],reservavariáveisconsolidadoout[[#Headers],[25]],tabela_registros[REGISTRO],DADOS!$N$6,tabela_registros[TIPO],DADOS!$AJ$4,tabela_registros[CATEGORIA],reservavariáveisconsolidadoout[[#This Row],[ATUAL]])</f>
        <v>0</v>
      </c>
      <c r="AD193" s="91">
        <f>SUMIFS(tabela_registros[VALOR],tabela_registros[MÊS],$AE$1,tabela_registros[DIA],reservavariáveisconsolidadoout[[#Headers],[26]],tabela_registros[REGISTRO],DADOS!$N$6,tabela_registros[TIPO],DADOS!$AJ$4,tabela_registros[CATEGORIA],reservavariáveisconsolidadoout[[#This Row],[ATUAL]])</f>
        <v>0</v>
      </c>
      <c r="AE193" s="91">
        <f>SUMIFS(tabela_registros[VALOR],tabela_registros[MÊS],$AE$1,tabela_registros[DIA],reservavariáveisconsolidadoout[[#Headers],[27]],tabela_registros[REGISTRO],DADOS!$N$6,tabela_registros[TIPO],DADOS!$AJ$4,tabela_registros[CATEGORIA],reservavariáveisconsolidadoout[[#This Row],[ATUAL]])</f>
        <v>0</v>
      </c>
      <c r="AF193" s="91">
        <f>SUMIFS(tabela_registros[VALOR],tabela_registros[MÊS],$AE$1,tabela_registros[DIA],reservavariáveisconsolidadoout[[#Headers],[28]],tabela_registros[REGISTRO],DADOS!$N$6,tabela_registros[TIPO],DADOS!$AJ$4,tabela_registros[CATEGORIA],reservavariáveisconsolidadoout[[#This Row],[ATUAL]])</f>
        <v>0</v>
      </c>
      <c r="AG193" s="91">
        <f>SUMIFS(tabela_registros[VALOR],tabela_registros[MÊS],$AE$1,tabela_registros[DIA],reservavariáveisconsolidadoout[[#Headers],[29]],tabela_registros[REGISTRO],DADOS!$N$6,tabela_registros[TIPO],DADOS!$AJ$4,tabela_registros[CATEGORIA],reservavariáveisconsolidadoout[[#This Row],[ATUAL]])</f>
        <v>0</v>
      </c>
      <c r="AH193" s="91">
        <f>SUMIFS(tabela_registros[VALOR],tabela_registros[MÊS],$AE$1,tabela_registros[DIA],reservavariáveisconsolidadoout[[#Headers],[30]],tabela_registros[REGISTRO],DADOS!$N$6,tabela_registros[TIPO],DADOS!$AJ$4,tabela_registros[CATEGORIA],reservavariáveisconsolidadoout[[#This Row],[ATUAL]])</f>
        <v>0</v>
      </c>
      <c r="AI193" s="101">
        <f>SUMIFS(tabela_registros[VALOR],tabela_registros[MÊS],$AE$1,tabela_registros[DIA],reservavariáveisconsolidadoout[[#Headers],[31]],tabela_registros[REGISTRO],DADOS!$N$6,tabela_registros[TIPO],DADOS!$AJ$4,tabela_registros[CATEGORIA],reservavariáveisconsolidadoout[[#This Row],[ATUAL]])</f>
        <v>0</v>
      </c>
      <c r="AJ193" s="97">
        <f>SUM(reservavariáveisconsolidadoout[[#This Row],[1]:[31]])</f>
        <v>0</v>
      </c>
      <c r="AK193" s="25"/>
    </row>
    <row r="194" spans="2:37" ht="19.5" customHeight="1" thickTop="1" thickBot="1" x14ac:dyDescent="0.3">
      <c r="B194" s="28"/>
      <c r="C194" s="27" t="str">
        <f>DADOS!$AN$10</f>
        <v>📝 FII</v>
      </c>
      <c r="D194" s="26" t="str">
        <f>IF(reservavariáveisconsolidadoout[[#This Row],[TOTAL (R$)]]=0,"",IF(OR(reservavariáveisconsolidadoout[[#This Row],[TOTAL (R$)]]=LARGE($AJ$187:$AJ$196,1),reservavariáveisconsolidadoout[[#This Row],[TOTAL (R$)]]=LARGE($AJ$187:$AJ$196,2)),DADOS!$I$11,""))</f>
        <v/>
      </c>
      <c r="E194" s="96">
        <f>SUMIFS(tabela_registros[VALOR],tabela_registros[MÊS],$AE$1,tabela_registros[DIA],reservavariáveisconsolidadoout[[#Headers],[1]],tabela_registros[REGISTRO],DADOS!$N$6,tabela_registros[TIPO],DADOS!$AJ$4,tabela_registros[CATEGORIA],reservavariáveisconsolidadoout[[#This Row],[ATUAL]])</f>
        <v>0</v>
      </c>
      <c r="F194" s="91">
        <f>SUMIFS(tabela_registros[VALOR],tabela_registros[MÊS],$AE$1,tabela_registros[DIA],reservavariáveisconsolidadoout[[#Headers],[2]],tabela_registros[REGISTRO],DADOS!$N$6,tabela_registros[TIPO],DADOS!$AJ$4,tabela_registros[CATEGORIA],reservavariáveisconsolidadoout[[#This Row],[ATUAL]])</f>
        <v>0</v>
      </c>
      <c r="G194" s="91">
        <f>SUMIFS(tabela_registros[VALOR],tabela_registros[MÊS],$AE$1,tabela_registros[DIA],reservavariáveisconsolidadoout[[#Headers],[3]],tabela_registros[REGISTRO],DADOS!$N$6,tabela_registros[TIPO],DADOS!$AJ$4,tabela_registros[CATEGORIA],reservavariáveisconsolidadoout[[#This Row],[ATUAL]])</f>
        <v>0</v>
      </c>
      <c r="H194" s="91">
        <f>SUMIFS(tabela_registros[VALOR],tabela_registros[MÊS],$AE$1,tabela_registros[DIA],reservavariáveisconsolidadoout[[#Headers],[4]],tabela_registros[REGISTRO],DADOS!$N$6,tabela_registros[TIPO],DADOS!$AJ$4,tabela_registros[CATEGORIA],reservavariáveisconsolidadoout[[#This Row],[ATUAL]])</f>
        <v>0</v>
      </c>
      <c r="I194" s="91">
        <f>SUMIFS(tabela_registros[VALOR],tabela_registros[MÊS],$AE$1,tabela_registros[DIA],reservavariáveisconsolidadoout[[#Headers],[5]],tabela_registros[REGISTRO],DADOS!$N$6,tabela_registros[TIPO],DADOS!$AJ$4,tabela_registros[CATEGORIA],reservavariáveisconsolidadoout[[#This Row],[ATUAL]])</f>
        <v>0</v>
      </c>
      <c r="J194" s="91">
        <f>SUMIFS(tabela_registros[VALOR],tabela_registros[MÊS],$AE$1,tabela_registros[DIA],reservavariáveisconsolidadoout[[#Headers],[6]],tabela_registros[REGISTRO],DADOS!$N$6,tabela_registros[TIPO],DADOS!$AJ$4,tabela_registros[CATEGORIA],reservavariáveisconsolidadoout[[#This Row],[ATUAL]])</f>
        <v>0</v>
      </c>
      <c r="K194" s="91">
        <f>SUMIFS(tabela_registros[VALOR],tabela_registros[MÊS],$AE$1,tabela_registros[DIA],reservavariáveisconsolidadoout[[#Headers],[7]],tabela_registros[REGISTRO],DADOS!$N$6,tabela_registros[TIPO],DADOS!$AJ$4,tabela_registros[CATEGORIA],reservavariáveisconsolidadoout[[#This Row],[ATUAL]])</f>
        <v>0</v>
      </c>
      <c r="L194" s="91">
        <f>SUMIFS(tabela_registros[VALOR],tabela_registros[MÊS],$AE$1,tabela_registros[DIA],reservavariáveisconsolidadoout[[#Headers],[8]],tabela_registros[REGISTRO],DADOS!$N$6,tabela_registros[TIPO],DADOS!$AJ$4,tabela_registros[CATEGORIA],reservavariáveisconsolidadoout[[#This Row],[ATUAL]])</f>
        <v>0</v>
      </c>
      <c r="M194" s="91">
        <f>SUMIFS(tabela_registros[VALOR],tabela_registros[MÊS],$AE$1,tabela_registros[DIA],reservavariáveisconsolidadoout[[#Headers],[9]],tabela_registros[REGISTRO],DADOS!$N$6,tabela_registros[TIPO],DADOS!$AJ$4,tabela_registros[CATEGORIA],reservavariáveisconsolidadoout[[#This Row],[ATUAL]])</f>
        <v>0</v>
      </c>
      <c r="N194" s="91">
        <f>SUMIFS(tabela_registros[VALOR],tabela_registros[MÊS],$AE$1,tabela_registros[DIA],reservavariáveisconsolidadoout[[#Headers],[10]],tabela_registros[REGISTRO],DADOS!$N$6,tabela_registros[TIPO],DADOS!$AJ$4,tabela_registros[CATEGORIA],reservavariáveisconsolidadoout[[#This Row],[ATUAL]])</f>
        <v>0</v>
      </c>
      <c r="O194" s="91">
        <f>SUMIFS(tabela_registros[VALOR],tabela_registros[MÊS],$AE$1,tabela_registros[DIA],reservavariáveisconsolidadoout[[#Headers],[11]],tabela_registros[REGISTRO],DADOS!$N$6,tabela_registros[TIPO],DADOS!$AJ$4,tabela_registros[CATEGORIA],reservavariáveisconsolidadoout[[#This Row],[ATUAL]])</f>
        <v>0</v>
      </c>
      <c r="P194" s="91">
        <f>SUMIFS(tabela_registros[VALOR],tabela_registros[MÊS],$AE$1,tabela_registros[DIA],reservavariáveisconsolidadoout[[#Headers],[12]],tabela_registros[REGISTRO],DADOS!$N$6,tabela_registros[TIPO],DADOS!$AJ$4,tabela_registros[CATEGORIA],reservavariáveisconsolidadoout[[#This Row],[ATUAL]])</f>
        <v>0</v>
      </c>
      <c r="Q194" s="91">
        <f>SUMIFS(tabela_registros[VALOR],tabela_registros[MÊS],$AE$1,tabela_registros[DIA],reservavariáveisconsolidadoout[[#Headers],[13]],tabela_registros[REGISTRO],DADOS!$N$6,tabela_registros[TIPO],DADOS!$AJ$4,tabela_registros[CATEGORIA],reservavariáveisconsolidadoout[[#This Row],[ATUAL]])</f>
        <v>0</v>
      </c>
      <c r="R194" s="91">
        <f>SUMIFS(tabela_registros[VALOR],tabela_registros[MÊS],$AE$1,tabela_registros[DIA],reservavariáveisconsolidadoout[[#Headers],[14]],tabela_registros[REGISTRO],DADOS!$N$6,tabela_registros[TIPO],DADOS!$AJ$4,tabela_registros[CATEGORIA],reservavariáveisconsolidadoout[[#This Row],[ATUAL]])</f>
        <v>0</v>
      </c>
      <c r="S194" s="91">
        <f>SUMIFS(tabela_registros[VALOR],tabela_registros[MÊS],$AE$1,tabela_registros[DIA],reservavariáveisconsolidadoout[[#Headers],[15]],tabela_registros[REGISTRO],DADOS!$N$6,tabela_registros[TIPO],DADOS!$AJ$4,tabela_registros[CATEGORIA],reservavariáveisconsolidadoout[[#This Row],[ATUAL]])</f>
        <v>0</v>
      </c>
      <c r="T194" s="91">
        <f>SUMIFS(tabela_registros[VALOR],tabela_registros[MÊS],$AE$1,tabela_registros[DIA],reservavariáveisconsolidadoout[[#Headers],[16]],tabela_registros[REGISTRO],DADOS!$N$6,tabela_registros[TIPO],DADOS!$AJ$4,tabela_registros[CATEGORIA],reservavariáveisconsolidadoout[[#This Row],[ATUAL]])</f>
        <v>0</v>
      </c>
      <c r="U194" s="91">
        <f>SUMIFS(tabela_registros[VALOR],tabela_registros[MÊS],$AE$1,tabela_registros[DIA],reservavariáveisconsolidadoout[[#Headers],[17]],tabela_registros[REGISTRO],DADOS!$N$6,tabela_registros[TIPO],DADOS!$AJ$4,tabela_registros[CATEGORIA],reservavariáveisconsolidadoout[[#This Row],[ATUAL]])</f>
        <v>0</v>
      </c>
      <c r="V194" s="91">
        <f>SUMIFS(tabela_registros[VALOR],tabela_registros[MÊS],$AE$1,tabela_registros[DIA],reservavariáveisconsolidadoout[[#Headers],[18]],tabela_registros[REGISTRO],DADOS!$N$6,tabela_registros[TIPO],DADOS!$AJ$4,tabela_registros[CATEGORIA],reservavariáveisconsolidadoout[[#This Row],[ATUAL]])</f>
        <v>0</v>
      </c>
      <c r="W194" s="91">
        <f>SUMIFS(tabela_registros[VALOR],tabela_registros[MÊS],$AE$1,tabela_registros[DIA],reservavariáveisconsolidadoout[[#Headers],[19]],tabela_registros[REGISTRO],DADOS!$N$6,tabela_registros[TIPO],DADOS!$AJ$4,tabela_registros[CATEGORIA],reservavariáveisconsolidadoout[[#This Row],[ATUAL]])</f>
        <v>0</v>
      </c>
      <c r="X194" s="91">
        <f>SUMIFS(tabela_registros[VALOR],tabela_registros[MÊS],$AE$1,tabela_registros[DIA],reservavariáveisconsolidadoout[[#Headers],[20]],tabela_registros[REGISTRO],DADOS!$N$6,tabela_registros[TIPO],DADOS!$AJ$4,tabela_registros[CATEGORIA],reservavariáveisconsolidadoout[[#This Row],[ATUAL]])</f>
        <v>0</v>
      </c>
      <c r="Y194" s="91">
        <f>SUMIFS(tabela_registros[VALOR],tabela_registros[MÊS],$AE$1,tabela_registros[DIA],reservavariáveisconsolidadoout[[#Headers],[21]],tabela_registros[REGISTRO],DADOS!$N$6,tabela_registros[TIPO],DADOS!$AJ$4,tabela_registros[CATEGORIA],reservavariáveisconsolidadoout[[#This Row],[ATUAL]])</f>
        <v>0</v>
      </c>
      <c r="Z194" s="91">
        <f>SUMIFS(tabela_registros[VALOR],tabela_registros[MÊS],$AE$1,tabela_registros[DIA],reservavariáveisconsolidadoout[[#Headers],[22]],tabela_registros[REGISTRO],DADOS!$N$6,tabela_registros[TIPO],DADOS!$AJ$4,tabela_registros[CATEGORIA],reservavariáveisconsolidadoout[[#This Row],[ATUAL]])</f>
        <v>0</v>
      </c>
      <c r="AA194" s="91">
        <f>SUMIFS(tabela_registros[VALOR],tabela_registros[MÊS],$AE$1,tabela_registros[DIA],reservavariáveisconsolidadoout[[#Headers],[23]],tabela_registros[REGISTRO],DADOS!$N$6,tabela_registros[TIPO],DADOS!$AJ$4,tabela_registros[CATEGORIA],reservavariáveisconsolidadoout[[#This Row],[ATUAL]])</f>
        <v>0</v>
      </c>
      <c r="AB194" s="91">
        <f>SUMIFS(tabela_registros[VALOR],tabela_registros[MÊS],$AE$1,tabela_registros[DIA],reservavariáveisconsolidadoout[[#Headers],[24]],tabela_registros[REGISTRO],DADOS!$N$6,tabela_registros[TIPO],DADOS!$AJ$4,tabela_registros[CATEGORIA],reservavariáveisconsolidadoout[[#This Row],[ATUAL]])</f>
        <v>0</v>
      </c>
      <c r="AC194" s="91">
        <f>SUMIFS(tabela_registros[VALOR],tabela_registros[MÊS],$AE$1,tabela_registros[DIA],reservavariáveisconsolidadoout[[#Headers],[25]],tabela_registros[REGISTRO],DADOS!$N$6,tabela_registros[TIPO],DADOS!$AJ$4,tabela_registros[CATEGORIA],reservavariáveisconsolidadoout[[#This Row],[ATUAL]])</f>
        <v>0</v>
      </c>
      <c r="AD194" s="91">
        <f>SUMIFS(tabela_registros[VALOR],tabela_registros[MÊS],$AE$1,tabela_registros[DIA],reservavariáveisconsolidadoout[[#Headers],[26]],tabela_registros[REGISTRO],DADOS!$N$6,tabela_registros[TIPO],DADOS!$AJ$4,tabela_registros[CATEGORIA],reservavariáveisconsolidadoout[[#This Row],[ATUAL]])</f>
        <v>0</v>
      </c>
      <c r="AE194" s="91">
        <f>SUMIFS(tabela_registros[VALOR],tabela_registros[MÊS],$AE$1,tabela_registros[DIA],reservavariáveisconsolidadoout[[#Headers],[27]],tabela_registros[REGISTRO],DADOS!$N$6,tabela_registros[TIPO],DADOS!$AJ$4,tabela_registros[CATEGORIA],reservavariáveisconsolidadoout[[#This Row],[ATUAL]])</f>
        <v>0</v>
      </c>
      <c r="AF194" s="91">
        <f>SUMIFS(tabela_registros[VALOR],tabela_registros[MÊS],$AE$1,tabela_registros[DIA],reservavariáveisconsolidadoout[[#Headers],[28]],tabela_registros[REGISTRO],DADOS!$N$6,tabela_registros[TIPO],DADOS!$AJ$4,tabela_registros[CATEGORIA],reservavariáveisconsolidadoout[[#This Row],[ATUAL]])</f>
        <v>0</v>
      </c>
      <c r="AG194" s="91">
        <f>SUMIFS(tabela_registros[VALOR],tabela_registros[MÊS],$AE$1,tabela_registros[DIA],reservavariáveisconsolidadoout[[#Headers],[29]],tabela_registros[REGISTRO],DADOS!$N$6,tabela_registros[TIPO],DADOS!$AJ$4,tabela_registros[CATEGORIA],reservavariáveisconsolidadoout[[#This Row],[ATUAL]])</f>
        <v>0</v>
      </c>
      <c r="AH194" s="91">
        <f>SUMIFS(tabela_registros[VALOR],tabela_registros[MÊS],$AE$1,tabela_registros[DIA],reservavariáveisconsolidadoout[[#Headers],[30]],tabela_registros[REGISTRO],DADOS!$N$6,tabela_registros[TIPO],DADOS!$AJ$4,tabela_registros[CATEGORIA],reservavariáveisconsolidadoout[[#This Row],[ATUAL]])</f>
        <v>0</v>
      </c>
      <c r="AI194" s="101">
        <f>SUMIFS(tabela_registros[VALOR],tabela_registros[MÊS],$AE$1,tabela_registros[DIA],reservavariáveisconsolidadoout[[#Headers],[31]],tabela_registros[REGISTRO],DADOS!$N$6,tabela_registros[TIPO],DADOS!$AJ$4,tabela_registros[CATEGORIA],reservavariáveisconsolidadoout[[#This Row],[ATUAL]])</f>
        <v>0</v>
      </c>
      <c r="AJ194" s="97">
        <f>SUM(reservavariáveisconsolidadoout[[#This Row],[1]:[31]])</f>
        <v>0</v>
      </c>
      <c r="AK194" s="25"/>
    </row>
    <row r="195" spans="2:37" ht="19.5" customHeight="1" thickTop="1" thickBot="1" x14ac:dyDescent="0.3">
      <c r="B195" s="28"/>
      <c r="C195" s="27" t="str">
        <f>DADOS!$AN$11</f>
        <v>📝 MOEDA</v>
      </c>
      <c r="D195" s="26" t="str">
        <f>IF(reservavariáveisconsolidadoout[[#This Row],[TOTAL (R$)]]=0,"",IF(OR(reservavariáveisconsolidadoout[[#This Row],[TOTAL (R$)]]=LARGE($AJ$187:$AJ$196,1),reservavariáveisconsolidadoout[[#This Row],[TOTAL (R$)]]=LARGE($AJ$187:$AJ$196,2)),DADOS!$I$11,""))</f>
        <v/>
      </c>
      <c r="E195" s="96">
        <f>SUMIFS(tabela_registros[VALOR],tabela_registros[MÊS],$AE$1,tabela_registros[DIA],reservavariáveisconsolidadoout[[#Headers],[1]],tabela_registros[REGISTRO],DADOS!$N$6,tabela_registros[TIPO],DADOS!$AJ$4,tabela_registros[CATEGORIA],reservavariáveisconsolidadoout[[#This Row],[ATUAL]])</f>
        <v>0</v>
      </c>
      <c r="F195" s="91">
        <f>SUMIFS(tabela_registros[VALOR],tabela_registros[MÊS],$AE$1,tabela_registros[DIA],reservavariáveisconsolidadoout[[#Headers],[2]],tabela_registros[REGISTRO],DADOS!$N$6,tabela_registros[TIPO],DADOS!$AJ$4,tabela_registros[CATEGORIA],reservavariáveisconsolidadoout[[#This Row],[ATUAL]])</f>
        <v>0</v>
      </c>
      <c r="G195" s="91">
        <f>SUMIFS(tabela_registros[VALOR],tabela_registros[MÊS],$AE$1,tabela_registros[DIA],reservavariáveisconsolidadoout[[#Headers],[3]],tabela_registros[REGISTRO],DADOS!$N$6,tabela_registros[TIPO],DADOS!$AJ$4,tabela_registros[CATEGORIA],reservavariáveisconsolidadoout[[#This Row],[ATUAL]])</f>
        <v>0</v>
      </c>
      <c r="H195" s="91">
        <f>SUMIFS(tabela_registros[VALOR],tabela_registros[MÊS],$AE$1,tabela_registros[DIA],reservavariáveisconsolidadoout[[#Headers],[4]],tabela_registros[REGISTRO],DADOS!$N$6,tabela_registros[TIPO],DADOS!$AJ$4,tabela_registros[CATEGORIA],reservavariáveisconsolidadoout[[#This Row],[ATUAL]])</f>
        <v>0</v>
      </c>
      <c r="I195" s="91">
        <f>SUMIFS(tabela_registros[VALOR],tabela_registros[MÊS],$AE$1,tabela_registros[DIA],reservavariáveisconsolidadoout[[#Headers],[5]],tabela_registros[REGISTRO],DADOS!$N$6,tabela_registros[TIPO],DADOS!$AJ$4,tabela_registros[CATEGORIA],reservavariáveisconsolidadoout[[#This Row],[ATUAL]])</f>
        <v>0</v>
      </c>
      <c r="J195" s="91">
        <f>SUMIFS(tabela_registros[VALOR],tabela_registros[MÊS],$AE$1,tabela_registros[DIA],reservavariáveisconsolidadoout[[#Headers],[6]],tabela_registros[REGISTRO],DADOS!$N$6,tabela_registros[TIPO],DADOS!$AJ$4,tabela_registros[CATEGORIA],reservavariáveisconsolidadoout[[#This Row],[ATUAL]])</f>
        <v>0</v>
      </c>
      <c r="K195" s="91">
        <f>SUMIFS(tabela_registros[VALOR],tabela_registros[MÊS],$AE$1,tabela_registros[DIA],reservavariáveisconsolidadoout[[#Headers],[7]],tabela_registros[REGISTRO],DADOS!$N$6,tabela_registros[TIPO],DADOS!$AJ$4,tabela_registros[CATEGORIA],reservavariáveisconsolidadoout[[#This Row],[ATUAL]])</f>
        <v>0</v>
      </c>
      <c r="L195" s="91">
        <f>SUMIFS(tabela_registros[VALOR],tabela_registros[MÊS],$AE$1,tabela_registros[DIA],reservavariáveisconsolidadoout[[#Headers],[8]],tabela_registros[REGISTRO],DADOS!$N$6,tabela_registros[TIPO],DADOS!$AJ$4,tabela_registros[CATEGORIA],reservavariáveisconsolidadoout[[#This Row],[ATUAL]])</f>
        <v>0</v>
      </c>
      <c r="M195" s="91">
        <f>SUMIFS(tabela_registros[VALOR],tabela_registros[MÊS],$AE$1,tabela_registros[DIA],reservavariáveisconsolidadoout[[#Headers],[9]],tabela_registros[REGISTRO],DADOS!$N$6,tabela_registros[TIPO],DADOS!$AJ$4,tabela_registros[CATEGORIA],reservavariáveisconsolidadoout[[#This Row],[ATUAL]])</f>
        <v>0</v>
      </c>
      <c r="N195" s="91">
        <f>SUMIFS(tabela_registros[VALOR],tabela_registros[MÊS],$AE$1,tabela_registros[DIA],reservavariáveisconsolidadoout[[#Headers],[10]],tabela_registros[REGISTRO],DADOS!$N$6,tabela_registros[TIPO],DADOS!$AJ$4,tabela_registros[CATEGORIA],reservavariáveisconsolidadoout[[#This Row],[ATUAL]])</f>
        <v>0</v>
      </c>
      <c r="O195" s="91">
        <f>SUMIFS(tabela_registros[VALOR],tabela_registros[MÊS],$AE$1,tabela_registros[DIA],reservavariáveisconsolidadoout[[#Headers],[11]],tabela_registros[REGISTRO],DADOS!$N$6,tabela_registros[TIPO],DADOS!$AJ$4,tabela_registros[CATEGORIA],reservavariáveisconsolidadoout[[#This Row],[ATUAL]])</f>
        <v>0</v>
      </c>
      <c r="P195" s="91">
        <f>SUMIFS(tabela_registros[VALOR],tabela_registros[MÊS],$AE$1,tabela_registros[DIA],reservavariáveisconsolidadoout[[#Headers],[12]],tabela_registros[REGISTRO],DADOS!$N$6,tabela_registros[TIPO],DADOS!$AJ$4,tabela_registros[CATEGORIA],reservavariáveisconsolidadoout[[#This Row],[ATUAL]])</f>
        <v>0</v>
      </c>
      <c r="Q195" s="91">
        <f>SUMIFS(tabela_registros[VALOR],tabela_registros[MÊS],$AE$1,tabela_registros[DIA],reservavariáveisconsolidadoout[[#Headers],[13]],tabela_registros[REGISTRO],DADOS!$N$6,tabela_registros[TIPO],DADOS!$AJ$4,tabela_registros[CATEGORIA],reservavariáveisconsolidadoout[[#This Row],[ATUAL]])</f>
        <v>0</v>
      </c>
      <c r="R195" s="91">
        <f>SUMIFS(tabela_registros[VALOR],tabela_registros[MÊS],$AE$1,tabela_registros[DIA],reservavariáveisconsolidadoout[[#Headers],[14]],tabela_registros[REGISTRO],DADOS!$N$6,tabela_registros[TIPO],DADOS!$AJ$4,tabela_registros[CATEGORIA],reservavariáveisconsolidadoout[[#This Row],[ATUAL]])</f>
        <v>0</v>
      </c>
      <c r="S195" s="91">
        <f>SUMIFS(tabela_registros[VALOR],tabela_registros[MÊS],$AE$1,tabela_registros[DIA],reservavariáveisconsolidadoout[[#Headers],[15]],tabela_registros[REGISTRO],DADOS!$N$6,tabela_registros[TIPO],DADOS!$AJ$4,tabela_registros[CATEGORIA],reservavariáveisconsolidadoout[[#This Row],[ATUAL]])</f>
        <v>0</v>
      </c>
      <c r="T195" s="91">
        <f>SUMIFS(tabela_registros[VALOR],tabela_registros[MÊS],$AE$1,tabela_registros[DIA],reservavariáveisconsolidadoout[[#Headers],[16]],tabela_registros[REGISTRO],DADOS!$N$6,tabela_registros[TIPO],DADOS!$AJ$4,tabela_registros[CATEGORIA],reservavariáveisconsolidadoout[[#This Row],[ATUAL]])</f>
        <v>0</v>
      </c>
      <c r="U195" s="91">
        <f>SUMIFS(tabela_registros[VALOR],tabela_registros[MÊS],$AE$1,tabela_registros[DIA],reservavariáveisconsolidadoout[[#Headers],[17]],tabela_registros[REGISTRO],DADOS!$N$6,tabela_registros[TIPO],DADOS!$AJ$4,tabela_registros[CATEGORIA],reservavariáveisconsolidadoout[[#This Row],[ATUAL]])</f>
        <v>0</v>
      </c>
      <c r="V195" s="91">
        <f>SUMIFS(tabela_registros[VALOR],tabela_registros[MÊS],$AE$1,tabela_registros[DIA],reservavariáveisconsolidadoout[[#Headers],[18]],tabela_registros[REGISTRO],DADOS!$N$6,tabela_registros[TIPO],DADOS!$AJ$4,tabela_registros[CATEGORIA],reservavariáveisconsolidadoout[[#This Row],[ATUAL]])</f>
        <v>0</v>
      </c>
      <c r="W195" s="91">
        <f>SUMIFS(tabela_registros[VALOR],tabela_registros[MÊS],$AE$1,tabela_registros[DIA],reservavariáveisconsolidadoout[[#Headers],[19]],tabela_registros[REGISTRO],DADOS!$N$6,tabela_registros[TIPO],DADOS!$AJ$4,tabela_registros[CATEGORIA],reservavariáveisconsolidadoout[[#This Row],[ATUAL]])</f>
        <v>0</v>
      </c>
      <c r="X195" s="91">
        <f>SUMIFS(tabela_registros[VALOR],tabela_registros[MÊS],$AE$1,tabela_registros[DIA],reservavariáveisconsolidadoout[[#Headers],[20]],tabela_registros[REGISTRO],DADOS!$N$6,tabela_registros[TIPO],DADOS!$AJ$4,tabela_registros[CATEGORIA],reservavariáveisconsolidadoout[[#This Row],[ATUAL]])</f>
        <v>0</v>
      </c>
      <c r="Y195" s="91">
        <f>SUMIFS(tabela_registros[VALOR],tabela_registros[MÊS],$AE$1,tabela_registros[DIA],reservavariáveisconsolidadoout[[#Headers],[21]],tabela_registros[REGISTRO],DADOS!$N$6,tabela_registros[TIPO],DADOS!$AJ$4,tabela_registros[CATEGORIA],reservavariáveisconsolidadoout[[#This Row],[ATUAL]])</f>
        <v>0</v>
      </c>
      <c r="Z195" s="91">
        <f>SUMIFS(tabela_registros[VALOR],tabela_registros[MÊS],$AE$1,tabela_registros[DIA],reservavariáveisconsolidadoout[[#Headers],[22]],tabela_registros[REGISTRO],DADOS!$N$6,tabela_registros[TIPO],DADOS!$AJ$4,tabela_registros[CATEGORIA],reservavariáveisconsolidadoout[[#This Row],[ATUAL]])</f>
        <v>0</v>
      </c>
      <c r="AA195" s="91">
        <f>SUMIFS(tabela_registros[VALOR],tabela_registros[MÊS],$AE$1,tabela_registros[DIA],reservavariáveisconsolidadoout[[#Headers],[23]],tabela_registros[REGISTRO],DADOS!$N$6,tabela_registros[TIPO],DADOS!$AJ$4,tabela_registros[CATEGORIA],reservavariáveisconsolidadoout[[#This Row],[ATUAL]])</f>
        <v>0</v>
      </c>
      <c r="AB195" s="91">
        <f>SUMIFS(tabela_registros[VALOR],tabela_registros[MÊS],$AE$1,tabela_registros[DIA],reservavariáveisconsolidadoout[[#Headers],[24]],tabela_registros[REGISTRO],DADOS!$N$6,tabela_registros[TIPO],DADOS!$AJ$4,tabela_registros[CATEGORIA],reservavariáveisconsolidadoout[[#This Row],[ATUAL]])</f>
        <v>0</v>
      </c>
      <c r="AC195" s="91">
        <f>SUMIFS(tabela_registros[VALOR],tabela_registros[MÊS],$AE$1,tabela_registros[DIA],reservavariáveisconsolidadoout[[#Headers],[25]],tabela_registros[REGISTRO],DADOS!$N$6,tabela_registros[TIPO],DADOS!$AJ$4,tabela_registros[CATEGORIA],reservavariáveisconsolidadoout[[#This Row],[ATUAL]])</f>
        <v>0</v>
      </c>
      <c r="AD195" s="91">
        <f>SUMIFS(tabela_registros[VALOR],tabela_registros[MÊS],$AE$1,tabela_registros[DIA],reservavariáveisconsolidadoout[[#Headers],[26]],tabela_registros[REGISTRO],DADOS!$N$6,tabela_registros[TIPO],DADOS!$AJ$4,tabela_registros[CATEGORIA],reservavariáveisconsolidadoout[[#This Row],[ATUAL]])</f>
        <v>0</v>
      </c>
      <c r="AE195" s="91">
        <f>SUMIFS(tabela_registros[VALOR],tabela_registros[MÊS],$AE$1,tabela_registros[DIA],reservavariáveisconsolidadoout[[#Headers],[27]],tabela_registros[REGISTRO],DADOS!$N$6,tabela_registros[TIPO],DADOS!$AJ$4,tabela_registros[CATEGORIA],reservavariáveisconsolidadoout[[#This Row],[ATUAL]])</f>
        <v>0</v>
      </c>
      <c r="AF195" s="91">
        <f>SUMIFS(tabela_registros[VALOR],tabela_registros[MÊS],$AE$1,tabela_registros[DIA],reservavariáveisconsolidadoout[[#Headers],[28]],tabela_registros[REGISTRO],DADOS!$N$6,tabela_registros[TIPO],DADOS!$AJ$4,tabela_registros[CATEGORIA],reservavariáveisconsolidadoout[[#This Row],[ATUAL]])</f>
        <v>0</v>
      </c>
      <c r="AG195" s="91">
        <f>SUMIFS(tabela_registros[VALOR],tabela_registros[MÊS],$AE$1,tabela_registros[DIA],reservavariáveisconsolidadoout[[#Headers],[29]],tabela_registros[REGISTRO],DADOS!$N$6,tabela_registros[TIPO],DADOS!$AJ$4,tabela_registros[CATEGORIA],reservavariáveisconsolidadoout[[#This Row],[ATUAL]])</f>
        <v>0</v>
      </c>
      <c r="AH195" s="91">
        <f>SUMIFS(tabela_registros[VALOR],tabela_registros[MÊS],$AE$1,tabela_registros[DIA],reservavariáveisconsolidadoout[[#Headers],[30]],tabela_registros[REGISTRO],DADOS!$N$6,tabela_registros[TIPO],DADOS!$AJ$4,tabela_registros[CATEGORIA],reservavariáveisconsolidadoout[[#This Row],[ATUAL]])</f>
        <v>0</v>
      </c>
      <c r="AI195" s="101">
        <f>SUMIFS(tabela_registros[VALOR],tabela_registros[MÊS],$AE$1,tabela_registros[DIA],reservavariáveisconsolidadoout[[#Headers],[31]],tabela_registros[REGISTRO],DADOS!$N$6,tabela_registros[TIPO],DADOS!$AJ$4,tabela_registros[CATEGORIA],reservavariáveisconsolidadoout[[#This Row],[ATUAL]])</f>
        <v>0</v>
      </c>
      <c r="AJ195" s="97">
        <f>SUM(reservavariáveisconsolidadoout[[#This Row],[1]:[31]])</f>
        <v>0</v>
      </c>
      <c r="AK195" s="25"/>
    </row>
    <row r="196" spans="2:37" ht="19.5" customHeight="1" thickTop="1" thickBot="1" x14ac:dyDescent="0.3">
      <c r="B196" s="28"/>
      <c r="C196" s="27" t="str">
        <f>DADOS!$AN$12</f>
        <v>📎 OUTROS</v>
      </c>
      <c r="D196" s="26" t="str">
        <f>IF(reservavariáveisconsolidadoout[[#This Row],[TOTAL (R$)]]=0,"",IF(OR(reservavariáveisconsolidadoout[[#This Row],[TOTAL (R$)]]=LARGE($AJ$187:$AJ$196,1),reservavariáveisconsolidadoout[[#This Row],[TOTAL (R$)]]=LARGE($AJ$187:$AJ$196,2)),DADOS!$I$11,""))</f>
        <v/>
      </c>
      <c r="E196" s="96">
        <f>SUMIFS(tabela_registros[VALOR],tabela_registros[MÊS],$AE$1,tabela_registros[DIA],reservavariáveisconsolidadoout[[#Headers],[1]],tabela_registros[REGISTRO],DADOS!$N$6,tabela_registros[TIPO],DADOS!$AJ$4,tabela_registros[CATEGORIA],reservavariáveisconsolidadoout[[#This Row],[ATUAL]])</f>
        <v>0</v>
      </c>
      <c r="F196" s="91">
        <f>SUMIFS(tabela_registros[VALOR],tabela_registros[MÊS],$AE$1,tabela_registros[DIA],reservavariáveisconsolidadoout[[#Headers],[2]],tabela_registros[REGISTRO],DADOS!$N$6,tabela_registros[TIPO],DADOS!$AJ$4,tabela_registros[CATEGORIA],reservavariáveisconsolidadoout[[#This Row],[ATUAL]])</f>
        <v>0</v>
      </c>
      <c r="G196" s="91">
        <f>SUMIFS(tabela_registros[VALOR],tabela_registros[MÊS],$AE$1,tabela_registros[DIA],reservavariáveisconsolidadoout[[#Headers],[3]],tabela_registros[REGISTRO],DADOS!$N$6,tabela_registros[TIPO],DADOS!$AJ$4,tabela_registros[CATEGORIA],reservavariáveisconsolidadoout[[#This Row],[ATUAL]])</f>
        <v>0</v>
      </c>
      <c r="H196" s="91">
        <f>SUMIFS(tabela_registros[VALOR],tabela_registros[MÊS],$AE$1,tabela_registros[DIA],reservavariáveisconsolidadoout[[#Headers],[4]],tabela_registros[REGISTRO],DADOS!$N$6,tabela_registros[TIPO],DADOS!$AJ$4,tabela_registros[CATEGORIA],reservavariáveisconsolidadoout[[#This Row],[ATUAL]])</f>
        <v>0</v>
      </c>
      <c r="I196" s="91">
        <f>SUMIFS(tabela_registros[VALOR],tabela_registros[MÊS],$AE$1,tabela_registros[DIA],reservavariáveisconsolidadoout[[#Headers],[5]],tabela_registros[REGISTRO],DADOS!$N$6,tabela_registros[TIPO],DADOS!$AJ$4,tabela_registros[CATEGORIA],reservavariáveisconsolidadoout[[#This Row],[ATUAL]])</f>
        <v>0</v>
      </c>
      <c r="J196" s="91">
        <f>SUMIFS(tabela_registros[VALOR],tabela_registros[MÊS],$AE$1,tabela_registros[DIA],reservavariáveisconsolidadoout[[#Headers],[6]],tabela_registros[REGISTRO],DADOS!$N$6,tabela_registros[TIPO],DADOS!$AJ$4,tabela_registros[CATEGORIA],reservavariáveisconsolidadoout[[#This Row],[ATUAL]])</f>
        <v>0</v>
      </c>
      <c r="K196" s="91">
        <f>SUMIFS(tabela_registros[VALOR],tabela_registros[MÊS],$AE$1,tabela_registros[DIA],reservavariáveisconsolidadoout[[#Headers],[7]],tabela_registros[REGISTRO],DADOS!$N$6,tabela_registros[TIPO],DADOS!$AJ$4,tabela_registros[CATEGORIA],reservavariáveisconsolidadoout[[#This Row],[ATUAL]])</f>
        <v>0</v>
      </c>
      <c r="L196" s="91">
        <f>SUMIFS(tabela_registros[VALOR],tabela_registros[MÊS],$AE$1,tabela_registros[DIA],reservavariáveisconsolidadoout[[#Headers],[8]],tabela_registros[REGISTRO],DADOS!$N$6,tabela_registros[TIPO],DADOS!$AJ$4,tabela_registros[CATEGORIA],reservavariáveisconsolidadoout[[#This Row],[ATUAL]])</f>
        <v>0</v>
      </c>
      <c r="M196" s="91">
        <f>SUMIFS(tabela_registros[VALOR],tabela_registros[MÊS],$AE$1,tabela_registros[DIA],reservavariáveisconsolidadoout[[#Headers],[9]],tabela_registros[REGISTRO],DADOS!$N$6,tabela_registros[TIPO],DADOS!$AJ$4,tabela_registros[CATEGORIA],reservavariáveisconsolidadoout[[#This Row],[ATUAL]])</f>
        <v>0</v>
      </c>
      <c r="N196" s="91">
        <f>SUMIFS(tabela_registros[VALOR],tabela_registros[MÊS],$AE$1,tabela_registros[DIA],reservavariáveisconsolidadoout[[#Headers],[10]],tabela_registros[REGISTRO],DADOS!$N$6,tabela_registros[TIPO],DADOS!$AJ$4,tabela_registros[CATEGORIA],reservavariáveisconsolidadoout[[#This Row],[ATUAL]])</f>
        <v>0</v>
      </c>
      <c r="O196" s="91">
        <f>SUMIFS(tabela_registros[VALOR],tabela_registros[MÊS],$AE$1,tabela_registros[DIA],reservavariáveisconsolidadoout[[#Headers],[11]],tabela_registros[REGISTRO],DADOS!$N$6,tabela_registros[TIPO],DADOS!$AJ$4,tabela_registros[CATEGORIA],reservavariáveisconsolidadoout[[#This Row],[ATUAL]])</f>
        <v>0</v>
      </c>
      <c r="P196" s="91">
        <f>SUMIFS(tabela_registros[VALOR],tabela_registros[MÊS],$AE$1,tabela_registros[DIA],reservavariáveisconsolidadoout[[#Headers],[12]],tabela_registros[REGISTRO],DADOS!$N$6,tabela_registros[TIPO],DADOS!$AJ$4,tabela_registros[CATEGORIA],reservavariáveisconsolidadoout[[#This Row],[ATUAL]])</f>
        <v>0</v>
      </c>
      <c r="Q196" s="91">
        <f>SUMIFS(tabela_registros[VALOR],tabela_registros[MÊS],$AE$1,tabela_registros[DIA],reservavariáveisconsolidadoout[[#Headers],[13]],tabela_registros[REGISTRO],DADOS!$N$6,tabela_registros[TIPO],DADOS!$AJ$4,tabela_registros[CATEGORIA],reservavariáveisconsolidadoout[[#This Row],[ATUAL]])</f>
        <v>0</v>
      </c>
      <c r="R196" s="91">
        <f>SUMIFS(tabela_registros[VALOR],tabela_registros[MÊS],$AE$1,tabela_registros[DIA],reservavariáveisconsolidadoout[[#Headers],[14]],tabela_registros[REGISTRO],DADOS!$N$6,tabela_registros[TIPO],DADOS!$AJ$4,tabela_registros[CATEGORIA],reservavariáveisconsolidadoout[[#This Row],[ATUAL]])</f>
        <v>0</v>
      </c>
      <c r="S196" s="91">
        <f>SUMIFS(tabela_registros[VALOR],tabela_registros[MÊS],$AE$1,tabela_registros[DIA],reservavariáveisconsolidadoout[[#Headers],[15]],tabela_registros[REGISTRO],DADOS!$N$6,tabela_registros[TIPO],DADOS!$AJ$4,tabela_registros[CATEGORIA],reservavariáveisconsolidadoout[[#This Row],[ATUAL]])</f>
        <v>0</v>
      </c>
      <c r="T196" s="91">
        <f>SUMIFS(tabela_registros[VALOR],tabela_registros[MÊS],$AE$1,tabela_registros[DIA],reservavariáveisconsolidadoout[[#Headers],[16]],tabela_registros[REGISTRO],DADOS!$N$6,tabela_registros[TIPO],DADOS!$AJ$4,tabela_registros[CATEGORIA],reservavariáveisconsolidadoout[[#This Row],[ATUAL]])</f>
        <v>0</v>
      </c>
      <c r="U196" s="91">
        <f>SUMIFS(tabela_registros[VALOR],tabela_registros[MÊS],$AE$1,tabela_registros[DIA],reservavariáveisconsolidadoout[[#Headers],[17]],tabela_registros[REGISTRO],DADOS!$N$6,tabela_registros[TIPO],DADOS!$AJ$4,tabela_registros[CATEGORIA],reservavariáveisconsolidadoout[[#This Row],[ATUAL]])</f>
        <v>0</v>
      </c>
      <c r="V196" s="91">
        <f>SUMIFS(tabela_registros[VALOR],tabela_registros[MÊS],$AE$1,tabela_registros[DIA],reservavariáveisconsolidadoout[[#Headers],[18]],tabela_registros[REGISTRO],DADOS!$N$6,tabela_registros[TIPO],DADOS!$AJ$4,tabela_registros[CATEGORIA],reservavariáveisconsolidadoout[[#This Row],[ATUAL]])</f>
        <v>0</v>
      </c>
      <c r="W196" s="91">
        <f>SUMIFS(tabela_registros[VALOR],tabela_registros[MÊS],$AE$1,tabela_registros[DIA],reservavariáveisconsolidadoout[[#Headers],[19]],tabela_registros[REGISTRO],DADOS!$N$6,tabela_registros[TIPO],DADOS!$AJ$4,tabela_registros[CATEGORIA],reservavariáveisconsolidadoout[[#This Row],[ATUAL]])</f>
        <v>0</v>
      </c>
      <c r="X196" s="91">
        <f>SUMIFS(tabela_registros[VALOR],tabela_registros[MÊS],$AE$1,tabela_registros[DIA],reservavariáveisconsolidadoout[[#Headers],[20]],tabela_registros[REGISTRO],DADOS!$N$6,tabela_registros[TIPO],DADOS!$AJ$4,tabela_registros[CATEGORIA],reservavariáveisconsolidadoout[[#This Row],[ATUAL]])</f>
        <v>0</v>
      </c>
      <c r="Y196" s="91">
        <f>SUMIFS(tabela_registros[VALOR],tabela_registros[MÊS],$AE$1,tabela_registros[DIA],reservavariáveisconsolidadoout[[#Headers],[21]],tabela_registros[REGISTRO],DADOS!$N$6,tabela_registros[TIPO],DADOS!$AJ$4,tabela_registros[CATEGORIA],reservavariáveisconsolidadoout[[#This Row],[ATUAL]])</f>
        <v>0</v>
      </c>
      <c r="Z196" s="91">
        <f>SUMIFS(tabela_registros[VALOR],tabela_registros[MÊS],$AE$1,tabela_registros[DIA],reservavariáveisconsolidadoout[[#Headers],[22]],tabela_registros[REGISTRO],DADOS!$N$6,tabela_registros[TIPO],DADOS!$AJ$4,tabela_registros[CATEGORIA],reservavariáveisconsolidadoout[[#This Row],[ATUAL]])</f>
        <v>0</v>
      </c>
      <c r="AA196" s="91">
        <f>SUMIFS(tabela_registros[VALOR],tabela_registros[MÊS],$AE$1,tabela_registros[DIA],reservavariáveisconsolidadoout[[#Headers],[23]],tabela_registros[REGISTRO],DADOS!$N$6,tabela_registros[TIPO],DADOS!$AJ$4,tabela_registros[CATEGORIA],reservavariáveisconsolidadoout[[#This Row],[ATUAL]])</f>
        <v>0</v>
      </c>
      <c r="AB196" s="91">
        <f>SUMIFS(tabela_registros[VALOR],tabela_registros[MÊS],$AE$1,tabela_registros[DIA],reservavariáveisconsolidadoout[[#Headers],[24]],tabela_registros[REGISTRO],DADOS!$N$6,tabela_registros[TIPO],DADOS!$AJ$4,tabela_registros[CATEGORIA],reservavariáveisconsolidadoout[[#This Row],[ATUAL]])</f>
        <v>0</v>
      </c>
      <c r="AC196" s="91">
        <f>SUMIFS(tabela_registros[VALOR],tabela_registros[MÊS],$AE$1,tabela_registros[DIA],reservavariáveisconsolidadoout[[#Headers],[25]],tabela_registros[REGISTRO],DADOS!$N$6,tabela_registros[TIPO],DADOS!$AJ$4,tabela_registros[CATEGORIA],reservavariáveisconsolidadoout[[#This Row],[ATUAL]])</f>
        <v>0</v>
      </c>
      <c r="AD196" s="91">
        <f>SUMIFS(tabela_registros[VALOR],tabela_registros[MÊS],$AE$1,tabela_registros[DIA],reservavariáveisconsolidadoout[[#Headers],[26]],tabela_registros[REGISTRO],DADOS!$N$6,tabela_registros[TIPO],DADOS!$AJ$4,tabela_registros[CATEGORIA],reservavariáveisconsolidadoout[[#This Row],[ATUAL]])</f>
        <v>0</v>
      </c>
      <c r="AE196" s="91">
        <f>SUMIFS(tabela_registros[VALOR],tabela_registros[MÊS],$AE$1,tabela_registros[DIA],reservavariáveisconsolidadoout[[#Headers],[27]],tabela_registros[REGISTRO],DADOS!$N$6,tabela_registros[TIPO],DADOS!$AJ$4,tabela_registros[CATEGORIA],reservavariáveisconsolidadoout[[#This Row],[ATUAL]])</f>
        <v>0</v>
      </c>
      <c r="AF196" s="91">
        <f>SUMIFS(tabela_registros[VALOR],tabela_registros[MÊS],$AE$1,tabela_registros[DIA],reservavariáveisconsolidadoout[[#Headers],[28]],tabela_registros[REGISTRO],DADOS!$N$6,tabela_registros[TIPO],DADOS!$AJ$4,tabela_registros[CATEGORIA],reservavariáveisconsolidadoout[[#This Row],[ATUAL]])</f>
        <v>0</v>
      </c>
      <c r="AG196" s="91">
        <f>SUMIFS(tabela_registros[VALOR],tabela_registros[MÊS],$AE$1,tabela_registros[DIA],reservavariáveisconsolidadoout[[#Headers],[29]],tabela_registros[REGISTRO],DADOS!$N$6,tabela_registros[TIPO],DADOS!$AJ$4,tabela_registros[CATEGORIA],reservavariáveisconsolidadoout[[#This Row],[ATUAL]])</f>
        <v>0</v>
      </c>
      <c r="AH196" s="91">
        <f>SUMIFS(tabela_registros[VALOR],tabela_registros[MÊS],$AE$1,tabela_registros[DIA],reservavariáveisconsolidadoout[[#Headers],[30]],tabela_registros[REGISTRO],DADOS!$N$6,tabela_registros[TIPO],DADOS!$AJ$4,tabela_registros[CATEGORIA],reservavariáveisconsolidadoout[[#This Row],[ATUAL]])</f>
        <v>0</v>
      </c>
      <c r="AI196" s="102">
        <f>SUMIFS(tabela_registros[VALOR],tabela_registros[MÊS],$AE$1,tabela_registros[DIA],reservavariáveisconsolidadoout[[#Headers],[31]],tabela_registros[REGISTRO],DADOS!$N$6,tabela_registros[TIPO],DADOS!$AJ$4,tabela_registros[CATEGORIA],reservavariáveisconsolidadoout[[#This Row],[ATUAL]])</f>
        <v>0</v>
      </c>
      <c r="AJ196" s="103">
        <f>SUM(reservavariáveisconsolidadoout[[#This Row],[1]:[31]])</f>
        <v>0</v>
      </c>
      <c r="AK196" s="25"/>
    </row>
    <row r="197" spans="2:37" s="16" customFormat="1" ht="21" customHeight="1" thickTop="1" thickBot="1" x14ac:dyDescent="0.35">
      <c r="B197" s="24"/>
      <c r="C197" s="23" t="s">
        <v>19</v>
      </c>
      <c r="D197" s="22"/>
      <c r="E197" s="21">
        <f>SUM(E187:E196)</f>
        <v>0</v>
      </c>
      <c r="F197" s="20">
        <f>SUM(F187:F196)+reservavariáveisconsolidadoout[[#This Row],[1]]</f>
        <v>0</v>
      </c>
      <c r="G197" s="20">
        <f>SUM(G187:G196)+reservavariáveisconsolidadoout[[#This Row],[2]]</f>
        <v>0</v>
      </c>
      <c r="H197" s="20">
        <f>SUM(H187:H196)+reservavariáveisconsolidadoout[[#This Row],[3]]</f>
        <v>0</v>
      </c>
      <c r="I197" s="20">
        <f>SUM(I187:I196)+reservavariáveisconsolidadoout[[#This Row],[4]]</f>
        <v>0</v>
      </c>
      <c r="J197" s="20">
        <f>SUM(J187:J196)+reservavariáveisconsolidadoout[[#This Row],[5]]</f>
        <v>0</v>
      </c>
      <c r="K197" s="20">
        <f>SUM(K187:K196)+reservavariáveisconsolidadoout[[#This Row],[6]]</f>
        <v>0</v>
      </c>
      <c r="L197" s="20">
        <f>SUM(L187:L196)+reservavariáveisconsolidadoout[[#This Row],[7]]</f>
        <v>0</v>
      </c>
      <c r="M197" s="20">
        <f>SUM(M187:M196)+reservavariáveisconsolidadoout[[#This Row],[8]]</f>
        <v>0</v>
      </c>
      <c r="N197" s="20">
        <f>SUM(N187:N196)+reservavariáveisconsolidadoout[[#This Row],[9]]</f>
        <v>0</v>
      </c>
      <c r="O197" s="20">
        <f>SUM(O187:O196)+reservavariáveisconsolidadoout[[#This Row],[10]]</f>
        <v>0</v>
      </c>
      <c r="P197" s="20">
        <f>SUM(P187:P196)+reservavariáveisconsolidadoout[[#This Row],[11]]</f>
        <v>0</v>
      </c>
      <c r="Q197" s="20">
        <f>SUM(Q187:Q196)+reservavariáveisconsolidadoout[[#This Row],[12]]</f>
        <v>0</v>
      </c>
      <c r="R197" s="20">
        <f>SUM(R187:R196)+reservavariáveisconsolidadoout[[#This Row],[13]]</f>
        <v>0</v>
      </c>
      <c r="S197" s="20">
        <f>SUM(S187:S196)+reservavariáveisconsolidadoout[[#This Row],[14]]</f>
        <v>0</v>
      </c>
      <c r="T197" s="20">
        <f>SUM(T187:T196)+reservavariáveisconsolidadoout[[#This Row],[15]]</f>
        <v>0</v>
      </c>
      <c r="U197" s="20">
        <f>SUM(U187:U196)+reservavariáveisconsolidadoout[[#This Row],[16]]</f>
        <v>0</v>
      </c>
      <c r="V197" s="20">
        <f>SUM(V187:V196)+reservavariáveisconsolidadoout[[#This Row],[17]]</f>
        <v>0</v>
      </c>
      <c r="W197" s="20">
        <f>SUM(W187:W196)+reservavariáveisconsolidadoout[[#This Row],[18]]</f>
        <v>0</v>
      </c>
      <c r="X197" s="20">
        <f>SUM(X187:X196)+reservavariáveisconsolidadoout[[#This Row],[19]]</f>
        <v>0</v>
      </c>
      <c r="Y197" s="20">
        <f>SUM(Y187:Y196)+reservavariáveisconsolidadoout[[#This Row],[20]]</f>
        <v>0</v>
      </c>
      <c r="Z197" s="20">
        <f>SUM(Z187:Z196)+reservavariáveisconsolidadoout[[#This Row],[21]]</f>
        <v>0</v>
      </c>
      <c r="AA197" s="20">
        <f>SUM(AA187:AA196)+reservavariáveisconsolidadoout[[#This Row],[22]]</f>
        <v>0</v>
      </c>
      <c r="AB197" s="20">
        <f>SUM(AB187:AB196)+reservavariáveisconsolidadoout[[#This Row],[23]]</f>
        <v>0</v>
      </c>
      <c r="AC197" s="20">
        <f>SUM(AC187:AC196)+reservavariáveisconsolidadoout[[#This Row],[24]]</f>
        <v>0</v>
      </c>
      <c r="AD197" s="20">
        <f>SUM(AD187:AD196)+reservavariáveisconsolidadoout[[#This Row],[25]]</f>
        <v>0</v>
      </c>
      <c r="AE197" s="20">
        <f>SUM(AE187:AE196)+reservavariáveisconsolidadoout[[#This Row],[26]]</f>
        <v>0</v>
      </c>
      <c r="AF197" s="20">
        <f>SUM(AF187:AF196)+reservavariáveisconsolidadoout[[#This Row],[27]]</f>
        <v>0</v>
      </c>
      <c r="AG197" s="20">
        <f>SUM(AG187:AG196)+reservavariáveisconsolidadoout[[#This Row],[28]]</f>
        <v>0</v>
      </c>
      <c r="AH197" s="20">
        <f>SUM(AH187:AH196)+reservavariáveisconsolidadoout[[#This Row],[29]]</f>
        <v>0</v>
      </c>
      <c r="AI197" s="19">
        <f>SUM(AI187:AI196)+reservavariáveisconsolidadoout[[#This Row],[30]]</f>
        <v>0</v>
      </c>
      <c r="AJ197" s="18">
        <f>reservavariáveisconsolidadoout[[#This Row],[31]]</f>
        <v>0</v>
      </c>
      <c r="AK197" s="17"/>
    </row>
    <row r="198" spans="2:37" ht="6.75" customHeight="1" thickTop="1" thickBot="1" x14ac:dyDescent="0.3">
      <c r="B198" s="15"/>
      <c r="C198" s="14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  <c r="AC198" s="13"/>
      <c r="AD198" s="13"/>
      <c r="AE198" s="13"/>
      <c r="AF198" s="13"/>
      <c r="AG198" s="13"/>
      <c r="AH198" s="13"/>
      <c r="AI198" s="12"/>
      <c r="AJ198" s="11"/>
      <c r="AK198" s="10"/>
    </row>
    <row r="199" spans="2:37" ht="12.6" thickTop="1" x14ac:dyDescent="0.25">
      <c r="E199" s="37"/>
      <c r="AI199" s="4"/>
    </row>
    <row r="200" spans="2:37" x14ac:dyDescent="0.25">
      <c r="AI200" s="4"/>
    </row>
    <row r="201" spans="2:37" x14ac:dyDescent="0.25">
      <c r="AI201" s="4"/>
    </row>
    <row r="202" spans="2:37" ht="39.75" customHeight="1" x14ac:dyDescent="0.7">
      <c r="C202" s="36"/>
      <c r="E202" s="240"/>
      <c r="F202" s="240"/>
      <c r="G202" s="240"/>
      <c r="H202" s="240"/>
      <c r="I202" s="240"/>
      <c r="J202" s="240"/>
      <c r="K202" s="240"/>
      <c r="L202" s="240"/>
      <c r="M202" s="240"/>
      <c r="N202" s="240"/>
      <c r="O202" s="240"/>
      <c r="P202" s="240"/>
      <c r="Q202" s="240"/>
      <c r="R202" s="240"/>
      <c r="S202" s="240"/>
      <c r="T202" s="240"/>
      <c r="U202" s="240"/>
      <c r="V202" s="240"/>
      <c r="W202" s="240"/>
      <c r="X202" s="240"/>
      <c r="Y202" s="240"/>
      <c r="Z202" s="240"/>
      <c r="AA202" s="240"/>
      <c r="AB202" s="240"/>
      <c r="AC202" s="240"/>
      <c r="AD202" s="240"/>
      <c r="AE202" s="240"/>
      <c r="AF202" s="240"/>
      <c r="AG202" s="240"/>
      <c r="AH202" s="240"/>
      <c r="AI202" s="240"/>
      <c r="AJ202" s="32" t="s">
        <v>19</v>
      </c>
    </row>
    <row r="203" spans="2:37" ht="12.6" thickBot="1" x14ac:dyDescent="0.3">
      <c r="B203" s="35"/>
      <c r="AI203" s="4"/>
      <c r="AJ203" s="34" t="s">
        <v>202</v>
      </c>
    </row>
    <row r="204" spans="2:37" ht="6.75" customHeight="1" thickTop="1" thickBot="1" x14ac:dyDescent="0.3">
      <c r="B204" s="2"/>
      <c r="C204" s="14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3"/>
      <c r="AD204" s="13"/>
      <c r="AE204" s="13"/>
      <c r="AF204" s="13"/>
      <c r="AG204" s="13"/>
      <c r="AH204" s="13"/>
      <c r="AI204" s="13"/>
      <c r="AJ204" s="12"/>
      <c r="AK204" s="33"/>
    </row>
    <row r="205" spans="2:37" ht="13.2" hidden="1" thickTop="1" thickBot="1" x14ac:dyDescent="0.3">
      <c r="B205" s="2"/>
      <c r="C205" s="31" t="s">
        <v>199</v>
      </c>
      <c r="D205" s="30" t="s">
        <v>198</v>
      </c>
      <c r="E205" s="30" t="s">
        <v>197</v>
      </c>
      <c r="F205" s="30" t="s">
        <v>196</v>
      </c>
      <c r="G205" s="30" t="s">
        <v>195</v>
      </c>
      <c r="H205" s="30" t="s">
        <v>194</v>
      </c>
      <c r="I205" s="30" t="s">
        <v>193</v>
      </c>
      <c r="J205" s="30" t="s">
        <v>192</v>
      </c>
      <c r="K205" s="30" t="s">
        <v>191</v>
      </c>
      <c r="L205" s="30" t="s">
        <v>190</v>
      </c>
      <c r="M205" s="30" t="s">
        <v>189</v>
      </c>
      <c r="N205" s="30" t="s">
        <v>188</v>
      </c>
      <c r="O205" s="30" t="s">
        <v>187</v>
      </c>
      <c r="P205" s="30" t="s">
        <v>186</v>
      </c>
      <c r="Q205" s="30" t="s">
        <v>185</v>
      </c>
      <c r="R205" s="30" t="s">
        <v>184</v>
      </c>
      <c r="S205" s="30" t="s">
        <v>183</v>
      </c>
      <c r="T205" s="30" t="s">
        <v>182</v>
      </c>
      <c r="U205" s="30" t="s">
        <v>181</v>
      </c>
      <c r="V205" s="30" t="s">
        <v>180</v>
      </c>
      <c r="W205" s="30" t="s">
        <v>179</v>
      </c>
      <c r="X205" s="30" t="s">
        <v>178</v>
      </c>
      <c r="Y205" s="30" t="s">
        <v>177</v>
      </c>
      <c r="Z205" s="30" t="s">
        <v>176</v>
      </c>
      <c r="AA205" s="30" t="s">
        <v>175</v>
      </c>
      <c r="AB205" s="30" t="s">
        <v>174</v>
      </c>
      <c r="AC205" s="30" t="s">
        <v>173</v>
      </c>
      <c r="AD205" s="30" t="s">
        <v>172</v>
      </c>
      <c r="AE205" s="30" t="s">
        <v>171</v>
      </c>
      <c r="AF205" s="30" t="s">
        <v>170</v>
      </c>
      <c r="AG205" s="30" t="s">
        <v>169</v>
      </c>
      <c r="AH205" s="30" t="s">
        <v>168</v>
      </c>
      <c r="AI205" s="30" t="s">
        <v>167</v>
      </c>
      <c r="AJ205" s="29" t="s">
        <v>166</v>
      </c>
      <c r="AK205" s="2"/>
    </row>
    <row r="206" spans="2:37" ht="19.5" customHeight="1" thickTop="1" thickBot="1" x14ac:dyDescent="0.3">
      <c r="B206" s="28"/>
      <c r="C206" s="27" t="str">
        <f>DADOS!$AP$3</f>
        <v>📝 COE</v>
      </c>
      <c r="D206" s="26" t="str">
        <f>IF(reservaoutrosconsolidadoout[[#This Row],[TOTAL (R$)]]=0,"",IF(OR(reservaoutrosconsolidadoout[[#This Row],[TOTAL (R$)]]=LARGE($AJ$206:$AJ$213,1),reservaoutrosconsolidadoout[[#This Row],[TOTAL (R$)]]=LARGE($AJ$206:$AJ$213,2)),DADOS!$I$11,""))</f>
        <v/>
      </c>
      <c r="E206" s="96">
        <f>SUMIFS(tabela_registros[VALOR],tabela_registros[MÊS],$AE$1,tabela_registros[DIA],reservaoutrosconsolidadoout[[#Headers],[1]],tabela_registros[REGISTRO],DADOS!$N$6,tabela_registros[TIPO],DADOS!$AJ$5,tabela_registros[CATEGORIA],reservaoutrosconsolidadoout[[#This Row],[ATUAL]])</f>
        <v>0</v>
      </c>
      <c r="F206" s="91">
        <f>SUMIFS(tabela_registros[VALOR],tabela_registros[MÊS],$AE$1,tabela_registros[DIA],reservaoutrosconsolidadoout[[#Headers],[2]],tabela_registros[REGISTRO],DADOS!$N$6,tabela_registros[TIPO],DADOS!$AJ$5,tabela_registros[CATEGORIA],reservaoutrosconsolidadoout[[#This Row],[ATUAL]])</f>
        <v>0</v>
      </c>
      <c r="G206" s="91">
        <f>SUMIFS(tabela_registros[VALOR],tabela_registros[MÊS],$AE$1,tabela_registros[DIA],reservaoutrosconsolidadoout[[#Headers],[3]],tabela_registros[REGISTRO],DADOS!$N$6,tabela_registros[TIPO],DADOS!$AJ$5,tabela_registros[CATEGORIA],reservaoutrosconsolidadoout[[#This Row],[ATUAL]])</f>
        <v>0</v>
      </c>
      <c r="H206" s="91">
        <f>SUMIFS(tabela_registros[VALOR],tabela_registros[MÊS],$AE$1,tabela_registros[DIA],reservaoutrosconsolidadoout[[#Headers],[4]],tabela_registros[REGISTRO],DADOS!$N$6,tabela_registros[TIPO],DADOS!$AJ$5,tabela_registros[CATEGORIA],reservaoutrosconsolidadoout[[#This Row],[ATUAL]])</f>
        <v>0</v>
      </c>
      <c r="I206" s="91">
        <f>SUMIFS(tabela_registros[VALOR],tabela_registros[MÊS],$AE$1,tabela_registros[DIA],reservaoutrosconsolidadoout[[#Headers],[5]],tabela_registros[REGISTRO],DADOS!$N$6,tabela_registros[TIPO],DADOS!$AJ$5,tabela_registros[CATEGORIA],reservaoutrosconsolidadoout[[#This Row],[ATUAL]])</f>
        <v>0</v>
      </c>
      <c r="J206" s="91">
        <f>SUMIFS(tabela_registros[VALOR],tabela_registros[MÊS],$AE$1,tabela_registros[DIA],reservaoutrosconsolidadoout[[#Headers],[6]],tabela_registros[REGISTRO],DADOS!$N$6,tabela_registros[TIPO],DADOS!$AJ$5,tabela_registros[CATEGORIA],reservaoutrosconsolidadoout[[#This Row],[ATUAL]])</f>
        <v>0</v>
      </c>
      <c r="K206" s="91">
        <f>SUMIFS(tabela_registros[VALOR],tabela_registros[MÊS],$AE$1,tabela_registros[DIA],reservaoutrosconsolidadoout[[#Headers],[7]],tabela_registros[REGISTRO],DADOS!$N$6,tabela_registros[TIPO],DADOS!$AJ$5,tabela_registros[CATEGORIA],reservaoutrosconsolidadoout[[#This Row],[ATUAL]])</f>
        <v>0</v>
      </c>
      <c r="L206" s="91">
        <f>SUMIFS(tabela_registros[VALOR],tabela_registros[MÊS],$AE$1,tabela_registros[DIA],reservaoutrosconsolidadoout[[#Headers],[8]],tabela_registros[REGISTRO],DADOS!$N$6,tabela_registros[TIPO],DADOS!$AJ$5,tabela_registros[CATEGORIA],reservaoutrosconsolidadoout[[#This Row],[ATUAL]])</f>
        <v>0</v>
      </c>
      <c r="M206" s="91">
        <f>SUMIFS(tabela_registros[VALOR],tabela_registros[MÊS],$AE$1,tabela_registros[DIA],reservaoutrosconsolidadoout[[#Headers],[9]],tabela_registros[REGISTRO],DADOS!$N$6,tabela_registros[TIPO],DADOS!$AJ$5,tabela_registros[CATEGORIA],reservaoutrosconsolidadoout[[#This Row],[ATUAL]])</f>
        <v>0</v>
      </c>
      <c r="N206" s="91">
        <f>SUMIFS(tabela_registros[VALOR],tabela_registros[MÊS],$AE$1,tabela_registros[DIA],reservaoutrosconsolidadoout[[#Headers],[10]],tabela_registros[REGISTRO],DADOS!$N$6,tabela_registros[TIPO],DADOS!$AJ$5,tabela_registros[CATEGORIA],reservaoutrosconsolidadoout[[#This Row],[ATUAL]])</f>
        <v>0</v>
      </c>
      <c r="O206" s="91">
        <f>SUMIFS(tabela_registros[VALOR],tabela_registros[MÊS],$AE$1,tabela_registros[DIA],reservaoutrosconsolidadoout[[#Headers],[11]],tabela_registros[REGISTRO],DADOS!$N$6,tabela_registros[TIPO],DADOS!$AJ$5,tabela_registros[CATEGORIA],reservaoutrosconsolidadoout[[#This Row],[ATUAL]])</f>
        <v>0</v>
      </c>
      <c r="P206" s="91">
        <f>SUMIFS(tabela_registros[VALOR],tabela_registros[MÊS],$AE$1,tabela_registros[DIA],reservaoutrosconsolidadoout[[#Headers],[12]],tabela_registros[REGISTRO],DADOS!$N$6,tabela_registros[TIPO],DADOS!$AJ$5,tabela_registros[CATEGORIA],reservaoutrosconsolidadoout[[#This Row],[ATUAL]])</f>
        <v>0</v>
      </c>
      <c r="Q206" s="91">
        <f>SUMIFS(tabela_registros[VALOR],tabela_registros[MÊS],$AE$1,tabela_registros[DIA],reservaoutrosconsolidadoout[[#Headers],[13]],tabela_registros[REGISTRO],DADOS!$N$6,tabela_registros[TIPO],DADOS!$AJ$5,tabela_registros[CATEGORIA],reservaoutrosconsolidadoout[[#This Row],[ATUAL]])</f>
        <v>0</v>
      </c>
      <c r="R206" s="91">
        <f>SUMIFS(tabela_registros[VALOR],tabela_registros[MÊS],$AE$1,tabela_registros[DIA],reservaoutrosconsolidadoout[[#Headers],[14]],tabela_registros[REGISTRO],DADOS!$N$6,tabela_registros[TIPO],DADOS!$AJ$5,tabela_registros[CATEGORIA],reservaoutrosconsolidadoout[[#This Row],[ATUAL]])</f>
        <v>0</v>
      </c>
      <c r="S206" s="91">
        <f>SUMIFS(tabela_registros[VALOR],tabela_registros[MÊS],$AE$1,tabela_registros[DIA],reservaoutrosconsolidadoout[[#Headers],[15]],tabela_registros[REGISTRO],DADOS!$N$6,tabela_registros[TIPO],DADOS!$AJ$5,tabela_registros[CATEGORIA],reservaoutrosconsolidadoout[[#This Row],[ATUAL]])</f>
        <v>0</v>
      </c>
      <c r="T206" s="91">
        <f>SUMIFS(tabela_registros[VALOR],tabela_registros[MÊS],$AE$1,tabela_registros[DIA],reservaoutrosconsolidadoout[[#Headers],[16]],tabela_registros[REGISTRO],DADOS!$N$6,tabela_registros[TIPO],DADOS!$AJ$5,tabela_registros[CATEGORIA],reservaoutrosconsolidadoout[[#This Row],[ATUAL]])</f>
        <v>0</v>
      </c>
      <c r="U206" s="91">
        <f>SUMIFS(tabela_registros[VALOR],tabela_registros[MÊS],$AE$1,tabela_registros[DIA],reservaoutrosconsolidadoout[[#Headers],[17]],tabela_registros[REGISTRO],DADOS!$N$6,tabela_registros[TIPO],DADOS!$AJ$5,tabela_registros[CATEGORIA],reservaoutrosconsolidadoout[[#This Row],[ATUAL]])</f>
        <v>0</v>
      </c>
      <c r="V206" s="91">
        <f>SUMIFS(tabela_registros[VALOR],tabela_registros[MÊS],$AE$1,tabela_registros[DIA],reservaoutrosconsolidadoout[[#Headers],[18]],tabela_registros[REGISTRO],DADOS!$N$6,tabela_registros[TIPO],DADOS!$AJ$5,tabela_registros[CATEGORIA],reservaoutrosconsolidadoout[[#This Row],[ATUAL]])</f>
        <v>0</v>
      </c>
      <c r="W206" s="91">
        <f>SUMIFS(tabela_registros[VALOR],tabela_registros[MÊS],$AE$1,tabela_registros[DIA],reservaoutrosconsolidadoout[[#Headers],[19]],tabela_registros[REGISTRO],DADOS!$N$6,tabela_registros[TIPO],DADOS!$AJ$5,tabela_registros[CATEGORIA],reservaoutrosconsolidadoout[[#This Row],[ATUAL]])</f>
        <v>0</v>
      </c>
      <c r="X206" s="91">
        <f>SUMIFS(tabela_registros[VALOR],tabela_registros[MÊS],$AE$1,tabela_registros[DIA],reservaoutrosconsolidadoout[[#Headers],[20]],tabela_registros[REGISTRO],DADOS!$N$6,tabela_registros[TIPO],DADOS!$AJ$5,tabela_registros[CATEGORIA],reservaoutrosconsolidadoout[[#This Row],[ATUAL]])</f>
        <v>0</v>
      </c>
      <c r="Y206" s="91">
        <f>SUMIFS(tabela_registros[VALOR],tabela_registros[MÊS],$AE$1,tabela_registros[DIA],reservaoutrosconsolidadoout[[#Headers],[21]],tabela_registros[REGISTRO],DADOS!$N$6,tabela_registros[TIPO],DADOS!$AJ$5,tabela_registros[CATEGORIA],reservaoutrosconsolidadoout[[#This Row],[ATUAL]])</f>
        <v>0</v>
      </c>
      <c r="Z206" s="91">
        <f>SUMIFS(tabela_registros[VALOR],tabela_registros[MÊS],$AE$1,tabela_registros[DIA],reservaoutrosconsolidadoout[[#Headers],[22]],tabela_registros[REGISTRO],DADOS!$N$6,tabela_registros[TIPO],DADOS!$AJ$5,tabela_registros[CATEGORIA],reservaoutrosconsolidadoout[[#This Row],[ATUAL]])</f>
        <v>0</v>
      </c>
      <c r="AA206" s="91">
        <f>SUMIFS(tabela_registros[VALOR],tabela_registros[MÊS],$AE$1,tabela_registros[DIA],reservaoutrosconsolidadoout[[#Headers],[23]],tabela_registros[REGISTRO],DADOS!$N$6,tabela_registros[TIPO],DADOS!$AJ$5,tabela_registros[CATEGORIA],reservaoutrosconsolidadoout[[#This Row],[ATUAL]])</f>
        <v>0</v>
      </c>
      <c r="AB206" s="91">
        <f>SUMIFS(tabela_registros[VALOR],tabela_registros[MÊS],$AE$1,tabela_registros[DIA],reservaoutrosconsolidadoout[[#Headers],[24]],tabela_registros[REGISTRO],DADOS!$N$6,tabela_registros[TIPO],DADOS!$AJ$5,tabela_registros[CATEGORIA],reservaoutrosconsolidadoout[[#This Row],[ATUAL]])</f>
        <v>0</v>
      </c>
      <c r="AC206" s="91">
        <f>SUMIFS(tabela_registros[VALOR],tabela_registros[MÊS],$AE$1,tabela_registros[DIA],reservaoutrosconsolidadoout[[#Headers],[25]],tabela_registros[REGISTRO],DADOS!$N$6,tabela_registros[TIPO],DADOS!$AJ$5,tabela_registros[CATEGORIA],reservaoutrosconsolidadoout[[#This Row],[ATUAL]])</f>
        <v>0</v>
      </c>
      <c r="AD206" s="91">
        <f>SUMIFS(tabela_registros[VALOR],tabela_registros[MÊS],$AE$1,tabela_registros[DIA],reservaoutrosconsolidadoout[[#Headers],[26]],tabela_registros[REGISTRO],DADOS!$N$6,tabela_registros[TIPO],DADOS!$AJ$5,tabela_registros[CATEGORIA],reservaoutrosconsolidadoout[[#This Row],[ATUAL]])</f>
        <v>0</v>
      </c>
      <c r="AE206" s="91">
        <f>SUMIFS(tabela_registros[VALOR],tabela_registros[MÊS],$AE$1,tabela_registros[DIA],reservaoutrosconsolidadoout[[#Headers],[27]],tabela_registros[REGISTRO],DADOS!$N$6,tabela_registros[TIPO],DADOS!$AJ$5,tabela_registros[CATEGORIA],reservaoutrosconsolidadoout[[#This Row],[ATUAL]])</f>
        <v>0</v>
      </c>
      <c r="AF206" s="91">
        <f>SUMIFS(tabela_registros[VALOR],tabela_registros[MÊS],$AE$1,tabela_registros[DIA],reservaoutrosconsolidadoout[[#Headers],[28]],tabela_registros[REGISTRO],DADOS!$N$6,tabela_registros[TIPO],DADOS!$AJ$5,tabela_registros[CATEGORIA],reservaoutrosconsolidadoout[[#This Row],[ATUAL]])</f>
        <v>0</v>
      </c>
      <c r="AG206" s="91">
        <f>SUMIFS(tabela_registros[VALOR],tabela_registros[MÊS],$AE$1,tabela_registros[DIA],reservaoutrosconsolidadoout[[#Headers],[29]],tabela_registros[REGISTRO],DADOS!$N$6,tabela_registros[TIPO],DADOS!$AJ$5,tabela_registros[CATEGORIA],reservaoutrosconsolidadoout[[#This Row],[ATUAL]])</f>
        <v>0</v>
      </c>
      <c r="AH206" s="91">
        <f>SUMIFS(tabela_registros[VALOR],tabela_registros[MÊS],$AE$1,tabela_registros[DIA],reservaoutrosconsolidadoout[[#Headers],[30]],tabela_registros[REGISTRO],DADOS!$N$6,tabela_registros[TIPO],DADOS!$AJ$5,tabela_registros[CATEGORIA],reservaoutrosconsolidadoout[[#This Row],[ATUAL]])</f>
        <v>0</v>
      </c>
      <c r="AI206" s="101">
        <f>SUMIFS(tabela_registros[VALOR],tabela_registros[MÊS],$AE$1,tabela_registros[DIA],reservaoutrosconsolidadoout[[#Headers],[31]],tabela_registros[REGISTRO],DADOS!$N$6,tabela_registros[TIPO],DADOS!$AJ$5,tabela_registros[CATEGORIA],reservaoutrosconsolidadoout[[#This Row],[ATUAL]])</f>
        <v>0</v>
      </c>
      <c r="AJ206" s="97">
        <f>SUM(reservaoutrosconsolidadoout[[#This Row],[1]:[31]])</f>
        <v>0</v>
      </c>
      <c r="AK206" s="25"/>
    </row>
    <row r="207" spans="2:37" ht="19.5" customHeight="1" thickTop="1" thickBot="1" x14ac:dyDescent="0.3">
      <c r="B207" s="28"/>
      <c r="C207" s="27" t="str">
        <f>DADOS!$AP$4</f>
        <v>📝 FOREX</v>
      </c>
      <c r="D207" s="26" t="str">
        <f>IF(reservaoutrosconsolidadoout[[#This Row],[TOTAL (R$)]]=0,"",IF(OR(reservaoutrosconsolidadoout[[#This Row],[TOTAL (R$)]]=LARGE($AJ$206:$AJ$213,1),reservaoutrosconsolidadoout[[#This Row],[TOTAL (R$)]]=LARGE($AJ$206:$AJ$213,2)),DADOS!$I$11,""))</f>
        <v/>
      </c>
      <c r="E207" s="96">
        <f>SUMIFS(tabela_registros[VALOR],tabela_registros[MÊS],$AE$1,tabela_registros[DIA],reservaoutrosconsolidadoout[[#Headers],[1]],tabela_registros[REGISTRO],DADOS!$N$6,tabela_registros[TIPO],DADOS!$AJ$5,tabela_registros[CATEGORIA],reservaoutrosconsolidadoout[[#This Row],[ATUAL]])</f>
        <v>0</v>
      </c>
      <c r="F207" s="91">
        <f>SUMIFS(tabela_registros[VALOR],tabela_registros[MÊS],$AE$1,tabela_registros[DIA],reservaoutrosconsolidadoout[[#Headers],[2]],tabela_registros[REGISTRO],DADOS!$N$6,tabela_registros[TIPO],DADOS!$AJ$5,tabela_registros[CATEGORIA],reservaoutrosconsolidadoout[[#This Row],[ATUAL]])</f>
        <v>0</v>
      </c>
      <c r="G207" s="91">
        <f>SUMIFS(tabela_registros[VALOR],tabela_registros[MÊS],$AE$1,tabela_registros[DIA],reservaoutrosconsolidadoout[[#Headers],[3]],tabela_registros[REGISTRO],DADOS!$N$6,tabela_registros[TIPO],DADOS!$AJ$5,tabela_registros[CATEGORIA],reservaoutrosconsolidadoout[[#This Row],[ATUAL]])</f>
        <v>0</v>
      </c>
      <c r="H207" s="91">
        <f>SUMIFS(tabela_registros[VALOR],tabela_registros[MÊS],$AE$1,tabela_registros[DIA],reservaoutrosconsolidadoout[[#Headers],[4]],tabela_registros[REGISTRO],DADOS!$N$6,tabela_registros[TIPO],DADOS!$AJ$5,tabela_registros[CATEGORIA],reservaoutrosconsolidadoout[[#This Row],[ATUAL]])</f>
        <v>0</v>
      </c>
      <c r="I207" s="91">
        <f>SUMIFS(tabela_registros[VALOR],tabela_registros[MÊS],$AE$1,tabela_registros[DIA],reservaoutrosconsolidadoout[[#Headers],[5]],tabela_registros[REGISTRO],DADOS!$N$6,tabela_registros[TIPO],DADOS!$AJ$5,tabela_registros[CATEGORIA],reservaoutrosconsolidadoout[[#This Row],[ATUAL]])</f>
        <v>0</v>
      </c>
      <c r="J207" s="91">
        <f>SUMIFS(tabela_registros[VALOR],tabela_registros[MÊS],$AE$1,tabela_registros[DIA],reservaoutrosconsolidadoout[[#Headers],[6]],tabela_registros[REGISTRO],DADOS!$N$6,tabela_registros[TIPO],DADOS!$AJ$5,tabela_registros[CATEGORIA],reservaoutrosconsolidadoout[[#This Row],[ATUAL]])</f>
        <v>0</v>
      </c>
      <c r="K207" s="91">
        <f>SUMIFS(tabela_registros[VALOR],tabela_registros[MÊS],$AE$1,tabela_registros[DIA],reservaoutrosconsolidadoout[[#Headers],[7]],tabela_registros[REGISTRO],DADOS!$N$6,tabela_registros[TIPO],DADOS!$AJ$5,tabela_registros[CATEGORIA],reservaoutrosconsolidadoout[[#This Row],[ATUAL]])</f>
        <v>0</v>
      </c>
      <c r="L207" s="91">
        <f>SUMIFS(tabela_registros[VALOR],tabela_registros[MÊS],$AE$1,tabela_registros[DIA],reservaoutrosconsolidadoout[[#Headers],[8]],tabela_registros[REGISTRO],DADOS!$N$6,tabela_registros[TIPO],DADOS!$AJ$5,tabela_registros[CATEGORIA],reservaoutrosconsolidadoout[[#This Row],[ATUAL]])</f>
        <v>0</v>
      </c>
      <c r="M207" s="91">
        <f>SUMIFS(tabela_registros[VALOR],tabela_registros[MÊS],$AE$1,tabela_registros[DIA],reservaoutrosconsolidadoout[[#Headers],[9]],tabela_registros[REGISTRO],DADOS!$N$6,tabela_registros[TIPO],DADOS!$AJ$5,tabela_registros[CATEGORIA],reservaoutrosconsolidadoout[[#This Row],[ATUAL]])</f>
        <v>0</v>
      </c>
      <c r="N207" s="91">
        <f>SUMIFS(tabela_registros[VALOR],tabela_registros[MÊS],$AE$1,tabela_registros[DIA],reservaoutrosconsolidadoout[[#Headers],[10]],tabela_registros[REGISTRO],DADOS!$N$6,tabela_registros[TIPO],DADOS!$AJ$5,tabela_registros[CATEGORIA],reservaoutrosconsolidadoout[[#This Row],[ATUAL]])</f>
        <v>0</v>
      </c>
      <c r="O207" s="91">
        <f>SUMIFS(tabela_registros[VALOR],tabela_registros[MÊS],$AE$1,tabela_registros[DIA],reservaoutrosconsolidadoout[[#Headers],[11]],tabela_registros[REGISTRO],DADOS!$N$6,tabela_registros[TIPO],DADOS!$AJ$5,tabela_registros[CATEGORIA],reservaoutrosconsolidadoout[[#This Row],[ATUAL]])</f>
        <v>0</v>
      </c>
      <c r="P207" s="91">
        <f>SUMIFS(tabela_registros[VALOR],tabela_registros[MÊS],$AE$1,tabela_registros[DIA],reservaoutrosconsolidadoout[[#Headers],[12]],tabela_registros[REGISTRO],DADOS!$N$6,tabela_registros[TIPO],DADOS!$AJ$5,tabela_registros[CATEGORIA],reservaoutrosconsolidadoout[[#This Row],[ATUAL]])</f>
        <v>0</v>
      </c>
      <c r="Q207" s="91">
        <f>SUMIFS(tabela_registros[VALOR],tabela_registros[MÊS],$AE$1,tabela_registros[DIA],reservaoutrosconsolidadoout[[#Headers],[13]],tabela_registros[REGISTRO],DADOS!$N$6,tabela_registros[TIPO],DADOS!$AJ$5,tabela_registros[CATEGORIA],reservaoutrosconsolidadoout[[#This Row],[ATUAL]])</f>
        <v>0</v>
      </c>
      <c r="R207" s="91">
        <f>SUMIFS(tabela_registros[VALOR],tabela_registros[MÊS],$AE$1,tabela_registros[DIA],reservaoutrosconsolidadoout[[#Headers],[14]],tabela_registros[REGISTRO],DADOS!$N$6,tabela_registros[TIPO],DADOS!$AJ$5,tabela_registros[CATEGORIA],reservaoutrosconsolidadoout[[#This Row],[ATUAL]])</f>
        <v>0</v>
      </c>
      <c r="S207" s="91">
        <f>SUMIFS(tabela_registros[VALOR],tabela_registros[MÊS],$AE$1,tabela_registros[DIA],reservaoutrosconsolidadoout[[#Headers],[15]],tabela_registros[REGISTRO],DADOS!$N$6,tabela_registros[TIPO],DADOS!$AJ$5,tabela_registros[CATEGORIA],reservaoutrosconsolidadoout[[#This Row],[ATUAL]])</f>
        <v>0</v>
      </c>
      <c r="T207" s="91">
        <f>SUMIFS(tabela_registros[VALOR],tabela_registros[MÊS],$AE$1,tabela_registros[DIA],reservaoutrosconsolidadoout[[#Headers],[16]],tabela_registros[REGISTRO],DADOS!$N$6,tabela_registros[TIPO],DADOS!$AJ$5,tabela_registros[CATEGORIA],reservaoutrosconsolidadoout[[#This Row],[ATUAL]])</f>
        <v>0</v>
      </c>
      <c r="U207" s="91">
        <f>SUMIFS(tabela_registros[VALOR],tabela_registros[MÊS],$AE$1,tabela_registros[DIA],reservaoutrosconsolidadoout[[#Headers],[17]],tabela_registros[REGISTRO],DADOS!$N$6,tabela_registros[TIPO],DADOS!$AJ$5,tabela_registros[CATEGORIA],reservaoutrosconsolidadoout[[#This Row],[ATUAL]])</f>
        <v>0</v>
      </c>
      <c r="V207" s="91">
        <f>SUMIFS(tabela_registros[VALOR],tabela_registros[MÊS],$AE$1,tabela_registros[DIA],reservaoutrosconsolidadoout[[#Headers],[18]],tabela_registros[REGISTRO],DADOS!$N$6,tabela_registros[TIPO],DADOS!$AJ$5,tabela_registros[CATEGORIA],reservaoutrosconsolidadoout[[#This Row],[ATUAL]])</f>
        <v>0</v>
      </c>
      <c r="W207" s="91">
        <f>SUMIFS(tabela_registros[VALOR],tabela_registros[MÊS],$AE$1,tabela_registros[DIA],reservaoutrosconsolidadoout[[#Headers],[19]],tabela_registros[REGISTRO],DADOS!$N$6,tabela_registros[TIPO],DADOS!$AJ$5,tabela_registros[CATEGORIA],reservaoutrosconsolidadoout[[#This Row],[ATUAL]])</f>
        <v>0</v>
      </c>
      <c r="X207" s="91">
        <f>SUMIFS(tabela_registros[VALOR],tabela_registros[MÊS],$AE$1,tabela_registros[DIA],reservaoutrosconsolidadoout[[#Headers],[20]],tabela_registros[REGISTRO],DADOS!$N$6,tabela_registros[TIPO],DADOS!$AJ$5,tabela_registros[CATEGORIA],reservaoutrosconsolidadoout[[#This Row],[ATUAL]])</f>
        <v>0</v>
      </c>
      <c r="Y207" s="91">
        <f>SUMIFS(tabela_registros[VALOR],tabela_registros[MÊS],$AE$1,tabela_registros[DIA],reservaoutrosconsolidadoout[[#Headers],[21]],tabela_registros[REGISTRO],DADOS!$N$6,tabela_registros[TIPO],DADOS!$AJ$5,tabela_registros[CATEGORIA],reservaoutrosconsolidadoout[[#This Row],[ATUAL]])</f>
        <v>0</v>
      </c>
      <c r="Z207" s="91">
        <f>SUMIFS(tabela_registros[VALOR],tabela_registros[MÊS],$AE$1,tabela_registros[DIA],reservaoutrosconsolidadoout[[#Headers],[22]],tabela_registros[REGISTRO],DADOS!$N$6,tabela_registros[TIPO],DADOS!$AJ$5,tabela_registros[CATEGORIA],reservaoutrosconsolidadoout[[#This Row],[ATUAL]])</f>
        <v>0</v>
      </c>
      <c r="AA207" s="91">
        <f>SUMIFS(tabela_registros[VALOR],tabela_registros[MÊS],$AE$1,tabela_registros[DIA],reservaoutrosconsolidadoout[[#Headers],[23]],tabela_registros[REGISTRO],DADOS!$N$6,tabela_registros[TIPO],DADOS!$AJ$5,tabela_registros[CATEGORIA],reservaoutrosconsolidadoout[[#This Row],[ATUAL]])</f>
        <v>0</v>
      </c>
      <c r="AB207" s="91">
        <f>SUMIFS(tabela_registros[VALOR],tabela_registros[MÊS],$AE$1,tabela_registros[DIA],reservaoutrosconsolidadoout[[#Headers],[24]],tabela_registros[REGISTRO],DADOS!$N$6,tabela_registros[TIPO],DADOS!$AJ$5,tabela_registros[CATEGORIA],reservaoutrosconsolidadoout[[#This Row],[ATUAL]])</f>
        <v>0</v>
      </c>
      <c r="AC207" s="91">
        <f>SUMIFS(tabela_registros[VALOR],tabela_registros[MÊS],$AE$1,tabela_registros[DIA],reservaoutrosconsolidadoout[[#Headers],[25]],tabela_registros[REGISTRO],DADOS!$N$6,tabela_registros[TIPO],DADOS!$AJ$5,tabela_registros[CATEGORIA],reservaoutrosconsolidadoout[[#This Row],[ATUAL]])</f>
        <v>0</v>
      </c>
      <c r="AD207" s="91">
        <f>SUMIFS(tabela_registros[VALOR],tabela_registros[MÊS],$AE$1,tabela_registros[DIA],reservaoutrosconsolidadoout[[#Headers],[26]],tabela_registros[REGISTRO],DADOS!$N$6,tabela_registros[TIPO],DADOS!$AJ$5,tabela_registros[CATEGORIA],reservaoutrosconsolidadoout[[#This Row],[ATUAL]])</f>
        <v>0</v>
      </c>
      <c r="AE207" s="91">
        <f>SUMIFS(tabela_registros[VALOR],tabela_registros[MÊS],$AE$1,tabela_registros[DIA],reservaoutrosconsolidadoout[[#Headers],[27]],tabela_registros[REGISTRO],DADOS!$N$6,tabela_registros[TIPO],DADOS!$AJ$5,tabela_registros[CATEGORIA],reservaoutrosconsolidadoout[[#This Row],[ATUAL]])</f>
        <v>0</v>
      </c>
      <c r="AF207" s="91">
        <f>SUMIFS(tabela_registros[VALOR],tabela_registros[MÊS],$AE$1,tabela_registros[DIA],reservaoutrosconsolidadoout[[#Headers],[28]],tabela_registros[REGISTRO],DADOS!$N$6,tabela_registros[TIPO],DADOS!$AJ$5,tabela_registros[CATEGORIA],reservaoutrosconsolidadoout[[#This Row],[ATUAL]])</f>
        <v>0</v>
      </c>
      <c r="AG207" s="91">
        <f>SUMIFS(tabela_registros[VALOR],tabela_registros[MÊS],$AE$1,tabela_registros[DIA],reservaoutrosconsolidadoout[[#Headers],[29]],tabela_registros[REGISTRO],DADOS!$N$6,tabela_registros[TIPO],DADOS!$AJ$5,tabela_registros[CATEGORIA],reservaoutrosconsolidadoout[[#This Row],[ATUAL]])</f>
        <v>0</v>
      </c>
      <c r="AH207" s="91">
        <f>SUMIFS(tabela_registros[VALOR],tabela_registros[MÊS],$AE$1,tabela_registros[DIA],reservaoutrosconsolidadoout[[#Headers],[30]],tabela_registros[REGISTRO],DADOS!$N$6,tabela_registros[TIPO],DADOS!$AJ$5,tabela_registros[CATEGORIA],reservaoutrosconsolidadoout[[#This Row],[ATUAL]])</f>
        <v>0</v>
      </c>
      <c r="AI207" s="101">
        <f>SUMIFS(tabela_registros[VALOR],tabela_registros[MÊS],$AE$1,tabela_registros[DIA],reservaoutrosconsolidadoout[[#Headers],[31]],tabela_registros[REGISTRO],DADOS!$N$6,tabela_registros[TIPO],DADOS!$AJ$5,tabela_registros[CATEGORIA],reservaoutrosconsolidadoout[[#This Row],[ATUAL]])</f>
        <v>0</v>
      </c>
      <c r="AJ207" s="97">
        <f>SUM(reservaoutrosconsolidadoout[[#This Row],[1]:[31]])</f>
        <v>0</v>
      </c>
      <c r="AK207" s="25"/>
    </row>
    <row r="208" spans="2:37" ht="19.5" customHeight="1" thickTop="1" thickBot="1" x14ac:dyDescent="0.3">
      <c r="B208" s="28"/>
      <c r="C208" s="27" t="str">
        <f>DADOS!$AP$5</f>
        <v>📝 FUNDO DE INVESTIMENTO</v>
      </c>
      <c r="D208" s="26" t="str">
        <f>IF(reservaoutrosconsolidadoout[[#This Row],[TOTAL (R$)]]=0,"",IF(OR(reservaoutrosconsolidadoout[[#This Row],[TOTAL (R$)]]=LARGE($AJ$206:$AJ$213,1),reservaoutrosconsolidadoout[[#This Row],[TOTAL (R$)]]=LARGE($AJ$206:$AJ$213,2)),DADOS!$I$11,""))</f>
        <v/>
      </c>
      <c r="E208" s="96">
        <f>SUMIFS(tabela_registros[VALOR],tabela_registros[MÊS],$AE$1,tabela_registros[DIA],reservaoutrosconsolidadoout[[#Headers],[1]],tabela_registros[REGISTRO],DADOS!$N$6,tabela_registros[TIPO],DADOS!$AJ$5,tabela_registros[CATEGORIA],reservaoutrosconsolidadoout[[#This Row],[ATUAL]])</f>
        <v>0</v>
      </c>
      <c r="F208" s="91">
        <f>SUMIFS(tabela_registros[VALOR],tabela_registros[MÊS],$AE$1,tabela_registros[DIA],reservaoutrosconsolidadoout[[#Headers],[2]],tabela_registros[REGISTRO],DADOS!$N$6,tabela_registros[TIPO],DADOS!$AJ$5,tabela_registros[CATEGORIA],reservaoutrosconsolidadoout[[#This Row],[ATUAL]])</f>
        <v>0</v>
      </c>
      <c r="G208" s="91">
        <f>SUMIFS(tabela_registros[VALOR],tabela_registros[MÊS],$AE$1,tabela_registros[DIA],reservaoutrosconsolidadoout[[#Headers],[3]],tabela_registros[REGISTRO],DADOS!$N$6,tabela_registros[TIPO],DADOS!$AJ$5,tabela_registros[CATEGORIA],reservaoutrosconsolidadoout[[#This Row],[ATUAL]])</f>
        <v>0</v>
      </c>
      <c r="H208" s="91">
        <f>SUMIFS(tabela_registros[VALOR],tabela_registros[MÊS],$AE$1,tabela_registros[DIA],reservaoutrosconsolidadoout[[#Headers],[4]],tabela_registros[REGISTRO],DADOS!$N$6,tabela_registros[TIPO],DADOS!$AJ$5,tabela_registros[CATEGORIA],reservaoutrosconsolidadoout[[#This Row],[ATUAL]])</f>
        <v>0</v>
      </c>
      <c r="I208" s="91">
        <f>SUMIFS(tabela_registros[VALOR],tabela_registros[MÊS],$AE$1,tabela_registros[DIA],reservaoutrosconsolidadoout[[#Headers],[5]],tabela_registros[REGISTRO],DADOS!$N$6,tabela_registros[TIPO],DADOS!$AJ$5,tabela_registros[CATEGORIA],reservaoutrosconsolidadoout[[#This Row],[ATUAL]])</f>
        <v>0</v>
      </c>
      <c r="J208" s="91">
        <f>SUMIFS(tabela_registros[VALOR],tabela_registros[MÊS],$AE$1,tabela_registros[DIA],reservaoutrosconsolidadoout[[#Headers],[6]],tabela_registros[REGISTRO],DADOS!$N$6,tabela_registros[TIPO],DADOS!$AJ$5,tabela_registros[CATEGORIA],reservaoutrosconsolidadoout[[#This Row],[ATUAL]])</f>
        <v>0</v>
      </c>
      <c r="K208" s="91">
        <f>SUMIFS(tabela_registros[VALOR],tabela_registros[MÊS],$AE$1,tabela_registros[DIA],reservaoutrosconsolidadoout[[#Headers],[7]],tabela_registros[REGISTRO],DADOS!$N$6,tabela_registros[TIPO],DADOS!$AJ$5,tabela_registros[CATEGORIA],reservaoutrosconsolidadoout[[#This Row],[ATUAL]])</f>
        <v>0</v>
      </c>
      <c r="L208" s="91">
        <f>SUMIFS(tabela_registros[VALOR],tabela_registros[MÊS],$AE$1,tabela_registros[DIA],reservaoutrosconsolidadoout[[#Headers],[8]],tabela_registros[REGISTRO],DADOS!$N$6,tabela_registros[TIPO],DADOS!$AJ$5,tabela_registros[CATEGORIA],reservaoutrosconsolidadoout[[#This Row],[ATUAL]])</f>
        <v>0</v>
      </c>
      <c r="M208" s="91">
        <f>SUMIFS(tabela_registros[VALOR],tabela_registros[MÊS],$AE$1,tabela_registros[DIA],reservaoutrosconsolidadoout[[#Headers],[9]],tabela_registros[REGISTRO],DADOS!$N$6,tabela_registros[TIPO],DADOS!$AJ$5,tabela_registros[CATEGORIA],reservaoutrosconsolidadoout[[#This Row],[ATUAL]])</f>
        <v>0</v>
      </c>
      <c r="N208" s="91">
        <f>SUMIFS(tabela_registros[VALOR],tabela_registros[MÊS],$AE$1,tabela_registros[DIA],reservaoutrosconsolidadoout[[#Headers],[10]],tabela_registros[REGISTRO],DADOS!$N$6,tabela_registros[TIPO],DADOS!$AJ$5,tabela_registros[CATEGORIA],reservaoutrosconsolidadoout[[#This Row],[ATUAL]])</f>
        <v>0</v>
      </c>
      <c r="O208" s="91">
        <f>SUMIFS(tabela_registros[VALOR],tabela_registros[MÊS],$AE$1,tabela_registros[DIA],reservaoutrosconsolidadoout[[#Headers],[11]],tabela_registros[REGISTRO],DADOS!$N$6,tabela_registros[TIPO],DADOS!$AJ$5,tabela_registros[CATEGORIA],reservaoutrosconsolidadoout[[#This Row],[ATUAL]])</f>
        <v>0</v>
      </c>
      <c r="P208" s="91">
        <f>SUMIFS(tabela_registros[VALOR],tabela_registros[MÊS],$AE$1,tabela_registros[DIA],reservaoutrosconsolidadoout[[#Headers],[12]],tabela_registros[REGISTRO],DADOS!$N$6,tabela_registros[TIPO],DADOS!$AJ$5,tabela_registros[CATEGORIA],reservaoutrosconsolidadoout[[#This Row],[ATUAL]])</f>
        <v>0</v>
      </c>
      <c r="Q208" s="91">
        <f>SUMIFS(tabela_registros[VALOR],tabela_registros[MÊS],$AE$1,tabela_registros[DIA],reservaoutrosconsolidadoout[[#Headers],[13]],tabela_registros[REGISTRO],DADOS!$N$6,tabela_registros[TIPO],DADOS!$AJ$5,tabela_registros[CATEGORIA],reservaoutrosconsolidadoout[[#This Row],[ATUAL]])</f>
        <v>0</v>
      </c>
      <c r="R208" s="91">
        <f>SUMIFS(tabela_registros[VALOR],tabela_registros[MÊS],$AE$1,tabela_registros[DIA],reservaoutrosconsolidadoout[[#Headers],[14]],tabela_registros[REGISTRO],DADOS!$N$6,tabela_registros[TIPO],DADOS!$AJ$5,tabela_registros[CATEGORIA],reservaoutrosconsolidadoout[[#This Row],[ATUAL]])</f>
        <v>0</v>
      </c>
      <c r="S208" s="91">
        <f>SUMIFS(tabela_registros[VALOR],tabela_registros[MÊS],$AE$1,tabela_registros[DIA],reservaoutrosconsolidadoout[[#Headers],[15]],tabela_registros[REGISTRO],DADOS!$N$6,tabela_registros[TIPO],DADOS!$AJ$5,tabela_registros[CATEGORIA],reservaoutrosconsolidadoout[[#This Row],[ATUAL]])</f>
        <v>0</v>
      </c>
      <c r="T208" s="91">
        <f>SUMIFS(tabela_registros[VALOR],tabela_registros[MÊS],$AE$1,tabela_registros[DIA],reservaoutrosconsolidadoout[[#Headers],[16]],tabela_registros[REGISTRO],DADOS!$N$6,tabela_registros[TIPO],DADOS!$AJ$5,tabela_registros[CATEGORIA],reservaoutrosconsolidadoout[[#This Row],[ATUAL]])</f>
        <v>0</v>
      </c>
      <c r="U208" s="91">
        <f>SUMIFS(tabela_registros[VALOR],tabela_registros[MÊS],$AE$1,tabela_registros[DIA],reservaoutrosconsolidadoout[[#Headers],[17]],tabela_registros[REGISTRO],DADOS!$N$6,tabela_registros[TIPO],DADOS!$AJ$5,tabela_registros[CATEGORIA],reservaoutrosconsolidadoout[[#This Row],[ATUAL]])</f>
        <v>0</v>
      </c>
      <c r="V208" s="91">
        <f>SUMIFS(tabela_registros[VALOR],tabela_registros[MÊS],$AE$1,tabela_registros[DIA],reservaoutrosconsolidadoout[[#Headers],[18]],tabela_registros[REGISTRO],DADOS!$N$6,tabela_registros[TIPO],DADOS!$AJ$5,tabela_registros[CATEGORIA],reservaoutrosconsolidadoout[[#This Row],[ATUAL]])</f>
        <v>0</v>
      </c>
      <c r="W208" s="91">
        <f>SUMIFS(tabela_registros[VALOR],tabela_registros[MÊS],$AE$1,tabela_registros[DIA],reservaoutrosconsolidadoout[[#Headers],[19]],tabela_registros[REGISTRO],DADOS!$N$6,tabela_registros[TIPO],DADOS!$AJ$5,tabela_registros[CATEGORIA],reservaoutrosconsolidadoout[[#This Row],[ATUAL]])</f>
        <v>0</v>
      </c>
      <c r="X208" s="91">
        <f>SUMIFS(tabela_registros[VALOR],tabela_registros[MÊS],$AE$1,tabela_registros[DIA],reservaoutrosconsolidadoout[[#Headers],[20]],tabela_registros[REGISTRO],DADOS!$N$6,tabela_registros[TIPO],DADOS!$AJ$5,tabela_registros[CATEGORIA],reservaoutrosconsolidadoout[[#This Row],[ATUAL]])</f>
        <v>0</v>
      </c>
      <c r="Y208" s="91">
        <f>SUMIFS(tabela_registros[VALOR],tabela_registros[MÊS],$AE$1,tabela_registros[DIA],reservaoutrosconsolidadoout[[#Headers],[21]],tabela_registros[REGISTRO],DADOS!$N$6,tabela_registros[TIPO],DADOS!$AJ$5,tabela_registros[CATEGORIA],reservaoutrosconsolidadoout[[#This Row],[ATUAL]])</f>
        <v>0</v>
      </c>
      <c r="Z208" s="91">
        <f>SUMIFS(tabela_registros[VALOR],tabela_registros[MÊS],$AE$1,tabela_registros[DIA],reservaoutrosconsolidadoout[[#Headers],[22]],tabela_registros[REGISTRO],DADOS!$N$6,tabela_registros[TIPO],DADOS!$AJ$5,tabela_registros[CATEGORIA],reservaoutrosconsolidadoout[[#This Row],[ATUAL]])</f>
        <v>0</v>
      </c>
      <c r="AA208" s="91">
        <f>SUMIFS(tabela_registros[VALOR],tabela_registros[MÊS],$AE$1,tabela_registros[DIA],reservaoutrosconsolidadoout[[#Headers],[23]],tabela_registros[REGISTRO],DADOS!$N$6,tabela_registros[TIPO],DADOS!$AJ$5,tabela_registros[CATEGORIA],reservaoutrosconsolidadoout[[#This Row],[ATUAL]])</f>
        <v>0</v>
      </c>
      <c r="AB208" s="91">
        <f>SUMIFS(tabela_registros[VALOR],tabela_registros[MÊS],$AE$1,tabela_registros[DIA],reservaoutrosconsolidadoout[[#Headers],[24]],tabela_registros[REGISTRO],DADOS!$N$6,tabela_registros[TIPO],DADOS!$AJ$5,tabela_registros[CATEGORIA],reservaoutrosconsolidadoout[[#This Row],[ATUAL]])</f>
        <v>0</v>
      </c>
      <c r="AC208" s="91">
        <f>SUMIFS(tabela_registros[VALOR],tabela_registros[MÊS],$AE$1,tabela_registros[DIA],reservaoutrosconsolidadoout[[#Headers],[25]],tabela_registros[REGISTRO],DADOS!$N$6,tabela_registros[TIPO],DADOS!$AJ$5,tabela_registros[CATEGORIA],reservaoutrosconsolidadoout[[#This Row],[ATUAL]])</f>
        <v>0</v>
      </c>
      <c r="AD208" s="91">
        <f>SUMIFS(tabela_registros[VALOR],tabela_registros[MÊS],$AE$1,tabela_registros[DIA],reservaoutrosconsolidadoout[[#Headers],[26]],tabela_registros[REGISTRO],DADOS!$N$6,tabela_registros[TIPO],DADOS!$AJ$5,tabela_registros[CATEGORIA],reservaoutrosconsolidadoout[[#This Row],[ATUAL]])</f>
        <v>0</v>
      </c>
      <c r="AE208" s="91">
        <f>SUMIFS(tabela_registros[VALOR],tabela_registros[MÊS],$AE$1,tabela_registros[DIA],reservaoutrosconsolidadoout[[#Headers],[27]],tabela_registros[REGISTRO],DADOS!$N$6,tabela_registros[TIPO],DADOS!$AJ$5,tabela_registros[CATEGORIA],reservaoutrosconsolidadoout[[#This Row],[ATUAL]])</f>
        <v>0</v>
      </c>
      <c r="AF208" s="91">
        <f>SUMIFS(tabela_registros[VALOR],tabela_registros[MÊS],$AE$1,tabela_registros[DIA],reservaoutrosconsolidadoout[[#Headers],[28]],tabela_registros[REGISTRO],DADOS!$N$6,tabela_registros[TIPO],DADOS!$AJ$5,tabela_registros[CATEGORIA],reservaoutrosconsolidadoout[[#This Row],[ATUAL]])</f>
        <v>0</v>
      </c>
      <c r="AG208" s="91">
        <f>SUMIFS(tabela_registros[VALOR],tabela_registros[MÊS],$AE$1,tabela_registros[DIA],reservaoutrosconsolidadoout[[#Headers],[29]],tabela_registros[REGISTRO],DADOS!$N$6,tabela_registros[TIPO],DADOS!$AJ$5,tabela_registros[CATEGORIA],reservaoutrosconsolidadoout[[#This Row],[ATUAL]])</f>
        <v>0</v>
      </c>
      <c r="AH208" s="91">
        <f>SUMIFS(tabela_registros[VALOR],tabela_registros[MÊS],$AE$1,tabela_registros[DIA],reservaoutrosconsolidadoout[[#Headers],[30]],tabela_registros[REGISTRO],DADOS!$N$6,tabela_registros[TIPO],DADOS!$AJ$5,tabela_registros[CATEGORIA],reservaoutrosconsolidadoout[[#This Row],[ATUAL]])</f>
        <v>0</v>
      </c>
      <c r="AI208" s="101">
        <f>SUMIFS(tabela_registros[VALOR],tabela_registros[MÊS],$AE$1,tabela_registros[DIA],reservaoutrosconsolidadoout[[#Headers],[31]],tabela_registros[REGISTRO],DADOS!$N$6,tabela_registros[TIPO],DADOS!$AJ$5,tabela_registros[CATEGORIA],reservaoutrosconsolidadoout[[#This Row],[ATUAL]])</f>
        <v>0</v>
      </c>
      <c r="AJ208" s="97">
        <f>SUM(reservaoutrosconsolidadoout[[#This Row],[1]:[31]])</f>
        <v>0</v>
      </c>
      <c r="AK208" s="25"/>
    </row>
    <row r="209" spans="2:37" ht="19.5" customHeight="1" thickTop="1" thickBot="1" x14ac:dyDescent="0.3">
      <c r="B209" s="28"/>
      <c r="C209" s="27" t="str">
        <f>DADOS!$AP$6</f>
        <v>📝 NOVA EMPRESA</v>
      </c>
      <c r="D209" s="26" t="str">
        <f>IF(reservaoutrosconsolidadoout[[#This Row],[TOTAL (R$)]]=0,"",IF(OR(reservaoutrosconsolidadoout[[#This Row],[TOTAL (R$)]]=LARGE($AJ$206:$AJ$213,1),reservaoutrosconsolidadoout[[#This Row],[TOTAL (R$)]]=LARGE($AJ$206:$AJ$213,2)),DADOS!$I$11,""))</f>
        <v/>
      </c>
      <c r="E209" s="96">
        <f>SUMIFS(tabela_registros[VALOR],tabela_registros[MÊS],$AE$1,tabela_registros[DIA],reservaoutrosconsolidadoout[[#Headers],[1]],tabela_registros[REGISTRO],DADOS!$N$6,tabela_registros[TIPO],DADOS!$AJ$5,tabela_registros[CATEGORIA],reservaoutrosconsolidadoout[[#This Row],[ATUAL]])</f>
        <v>0</v>
      </c>
      <c r="F209" s="91">
        <f>SUMIFS(tabela_registros[VALOR],tabela_registros[MÊS],$AE$1,tabela_registros[DIA],reservaoutrosconsolidadoout[[#Headers],[2]],tabela_registros[REGISTRO],DADOS!$N$6,tabela_registros[TIPO],DADOS!$AJ$5,tabela_registros[CATEGORIA],reservaoutrosconsolidadoout[[#This Row],[ATUAL]])</f>
        <v>0</v>
      </c>
      <c r="G209" s="91">
        <f>SUMIFS(tabela_registros[VALOR],tabela_registros[MÊS],$AE$1,tabela_registros[DIA],reservaoutrosconsolidadoout[[#Headers],[3]],tabela_registros[REGISTRO],DADOS!$N$6,tabela_registros[TIPO],DADOS!$AJ$5,tabela_registros[CATEGORIA],reservaoutrosconsolidadoout[[#This Row],[ATUAL]])</f>
        <v>0</v>
      </c>
      <c r="H209" s="91">
        <f>SUMIFS(tabela_registros[VALOR],tabela_registros[MÊS],$AE$1,tabela_registros[DIA],reservaoutrosconsolidadoout[[#Headers],[4]],tabela_registros[REGISTRO],DADOS!$N$6,tabela_registros[TIPO],DADOS!$AJ$5,tabela_registros[CATEGORIA],reservaoutrosconsolidadoout[[#This Row],[ATUAL]])</f>
        <v>0</v>
      </c>
      <c r="I209" s="91">
        <f>SUMIFS(tabela_registros[VALOR],tabela_registros[MÊS],$AE$1,tabela_registros[DIA],reservaoutrosconsolidadoout[[#Headers],[5]],tabela_registros[REGISTRO],DADOS!$N$6,tabela_registros[TIPO],DADOS!$AJ$5,tabela_registros[CATEGORIA],reservaoutrosconsolidadoout[[#This Row],[ATUAL]])</f>
        <v>0</v>
      </c>
      <c r="J209" s="91">
        <f>SUMIFS(tabela_registros[VALOR],tabela_registros[MÊS],$AE$1,tabela_registros[DIA],reservaoutrosconsolidadoout[[#Headers],[6]],tabela_registros[REGISTRO],DADOS!$N$6,tabela_registros[TIPO],DADOS!$AJ$5,tabela_registros[CATEGORIA],reservaoutrosconsolidadoout[[#This Row],[ATUAL]])</f>
        <v>0</v>
      </c>
      <c r="K209" s="91">
        <f>SUMIFS(tabela_registros[VALOR],tabela_registros[MÊS],$AE$1,tabela_registros[DIA],reservaoutrosconsolidadoout[[#Headers],[7]],tabela_registros[REGISTRO],DADOS!$N$6,tabela_registros[TIPO],DADOS!$AJ$5,tabela_registros[CATEGORIA],reservaoutrosconsolidadoout[[#This Row],[ATUAL]])</f>
        <v>0</v>
      </c>
      <c r="L209" s="91">
        <f>SUMIFS(tabela_registros[VALOR],tabela_registros[MÊS],$AE$1,tabela_registros[DIA],reservaoutrosconsolidadoout[[#Headers],[8]],tabela_registros[REGISTRO],DADOS!$N$6,tabela_registros[TIPO],DADOS!$AJ$5,tabela_registros[CATEGORIA],reservaoutrosconsolidadoout[[#This Row],[ATUAL]])</f>
        <v>0</v>
      </c>
      <c r="M209" s="91">
        <f>SUMIFS(tabela_registros[VALOR],tabela_registros[MÊS],$AE$1,tabela_registros[DIA],reservaoutrosconsolidadoout[[#Headers],[9]],tabela_registros[REGISTRO],DADOS!$N$6,tabela_registros[TIPO],DADOS!$AJ$5,tabela_registros[CATEGORIA],reservaoutrosconsolidadoout[[#This Row],[ATUAL]])</f>
        <v>0</v>
      </c>
      <c r="N209" s="91">
        <f>SUMIFS(tabela_registros[VALOR],tabela_registros[MÊS],$AE$1,tabela_registros[DIA],reservaoutrosconsolidadoout[[#Headers],[10]],tabela_registros[REGISTRO],DADOS!$N$6,tabela_registros[TIPO],DADOS!$AJ$5,tabela_registros[CATEGORIA],reservaoutrosconsolidadoout[[#This Row],[ATUAL]])</f>
        <v>0</v>
      </c>
      <c r="O209" s="91">
        <f>SUMIFS(tabela_registros[VALOR],tabela_registros[MÊS],$AE$1,tabela_registros[DIA],reservaoutrosconsolidadoout[[#Headers],[11]],tabela_registros[REGISTRO],DADOS!$N$6,tabela_registros[TIPO],DADOS!$AJ$5,tabela_registros[CATEGORIA],reservaoutrosconsolidadoout[[#This Row],[ATUAL]])</f>
        <v>0</v>
      </c>
      <c r="P209" s="91">
        <f>SUMIFS(tabela_registros[VALOR],tabela_registros[MÊS],$AE$1,tabela_registros[DIA],reservaoutrosconsolidadoout[[#Headers],[12]],tabela_registros[REGISTRO],DADOS!$N$6,tabela_registros[TIPO],DADOS!$AJ$5,tabela_registros[CATEGORIA],reservaoutrosconsolidadoout[[#This Row],[ATUAL]])</f>
        <v>0</v>
      </c>
      <c r="Q209" s="91">
        <f>SUMIFS(tabela_registros[VALOR],tabela_registros[MÊS],$AE$1,tabela_registros[DIA],reservaoutrosconsolidadoout[[#Headers],[13]],tabela_registros[REGISTRO],DADOS!$N$6,tabela_registros[TIPO],DADOS!$AJ$5,tabela_registros[CATEGORIA],reservaoutrosconsolidadoout[[#This Row],[ATUAL]])</f>
        <v>0</v>
      </c>
      <c r="R209" s="91">
        <f>SUMIFS(tabela_registros[VALOR],tabela_registros[MÊS],$AE$1,tabela_registros[DIA],reservaoutrosconsolidadoout[[#Headers],[14]],tabela_registros[REGISTRO],DADOS!$N$6,tabela_registros[TIPO],DADOS!$AJ$5,tabela_registros[CATEGORIA],reservaoutrosconsolidadoout[[#This Row],[ATUAL]])</f>
        <v>0</v>
      </c>
      <c r="S209" s="91">
        <f>SUMIFS(tabela_registros[VALOR],tabela_registros[MÊS],$AE$1,tabela_registros[DIA],reservaoutrosconsolidadoout[[#Headers],[15]],tabela_registros[REGISTRO],DADOS!$N$6,tabela_registros[TIPO],DADOS!$AJ$5,tabela_registros[CATEGORIA],reservaoutrosconsolidadoout[[#This Row],[ATUAL]])</f>
        <v>0</v>
      </c>
      <c r="T209" s="91">
        <f>SUMIFS(tabela_registros[VALOR],tabela_registros[MÊS],$AE$1,tabela_registros[DIA],reservaoutrosconsolidadoout[[#Headers],[16]],tabela_registros[REGISTRO],DADOS!$N$6,tabela_registros[TIPO],DADOS!$AJ$5,tabela_registros[CATEGORIA],reservaoutrosconsolidadoout[[#This Row],[ATUAL]])</f>
        <v>0</v>
      </c>
      <c r="U209" s="91">
        <f>SUMIFS(tabela_registros[VALOR],tabela_registros[MÊS],$AE$1,tabela_registros[DIA],reservaoutrosconsolidadoout[[#Headers],[17]],tabela_registros[REGISTRO],DADOS!$N$6,tabela_registros[TIPO],DADOS!$AJ$5,tabela_registros[CATEGORIA],reservaoutrosconsolidadoout[[#This Row],[ATUAL]])</f>
        <v>0</v>
      </c>
      <c r="V209" s="91">
        <f>SUMIFS(tabela_registros[VALOR],tabela_registros[MÊS],$AE$1,tabela_registros[DIA],reservaoutrosconsolidadoout[[#Headers],[18]],tabela_registros[REGISTRO],DADOS!$N$6,tabela_registros[TIPO],DADOS!$AJ$5,tabela_registros[CATEGORIA],reservaoutrosconsolidadoout[[#This Row],[ATUAL]])</f>
        <v>0</v>
      </c>
      <c r="W209" s="91">
        <f>SUMIFS(tabela_registros[VALOR],tabela_registros[MÊS],$AE$1,tabela_registros[DIA],reservaoutrosconsolidadoout[[#Headers],[19]],tabela_registros[REGISTRO],DADOS!$N$6,tabela_registros[TIPO],DADOS!$AJ$5,tabela_registros[CATEGORIA],reservaoutrosconsolidadoout[[#This Row],[ATUAL]])</f>
        <v>0</v>
      </c>
      <c r="X209" s="91">
        <f>SUMIFS(tabela_registros[VALOR],tabela_registros[MÊS],$AE$1,tabela_registros[DIA],reservaoutrosconsolidadoout[[#Headers],[20]],tabela_registros[REGISTRO],DADOS!$N$6,tabela_registros[TIPO],DADOS!$AJ$5,tabela_registros[CATEGORIA],reservaoutrosconsolidadoout[[#This Row],[ATUAL]])</f>
        <v>0</v>
      </c>
      <c r="Y209" s="91">
        <f>SUMIFS(tabela_registros[VALOR],tabela_registros[MÊS],$AE$1,tabela_registros[DIA],reservaoutrosconsolidadoout[[#Headers],[21]],tabela_registros[REGISTRO],DADOS!$N$6,tabela_registros[TIPO],DADOS!$AJ$5,tabela_registros[CATEGORIA],reservaoutrosconsolidadoout[[#This Row],[ATUAL]])</f>
        <v>0</v>
      </c>
      <c r="Z209" s="91">
        <f>SUMIFS(tabela_registros[VALOR],tabela_registros[MÊS],$AE$1,tabela_registros[DIA],reservaoutrosconsolidadoout[[#Headers],[22]],tabela_registros[REGISTRO],DADOS!$N$6,tabela_registros[TIPO],DADOS!$AJ$5,tabela_registros[CATEGORIA],reservaoutrosconsolidadoout[[#This Row],[ATUAL]])</f>
        <v>0</v>
      </c>
      <c r="AA209" s="91">
        <f>SUMIFS(tabela_registros[VALOR],tabela_registros[MÊS],$AE$1,tabela_registros[DIA],reservaoutrosconsolidadoout[[#Headers],[23]],tabela_registros[REGISTRO],DADOS!$N$6,tabela_registros[TIPO],DADOS!$AJ$5,tabela_registros[CATEGORIA],reservaoutrosconsolidadoout[[#This Row],[ATUAL]])</f>
        <v>0</v>
      </c>
      <c r="AB209" s="91">
        <f>SUMIFS(tabela_registros[VALOR],tabela_registros[MÊS],$AE$1,tabela_registros[DIA],reservaoutrosconsolidadoout[[#Headers],[24]],tabela_registros[REGISTRO],DADOS!$N$6,tabela_registros[TIPO],DADOS!$AJ$5,tabela_registros[CATEGORIA],reservaoutrosconsolidadoout[[#This Row],[ATUAL]])</f>
        <v>0</v>
      </c>
      <c r="AC209" s="91">
        <f>SUMIFS(tabela_registros[VALOR],tabela_registros[MÊS],$AE$1,tabela_registros[DIA],reservaoutrosconsolidadoout[[#Headers],[25]],tabela_registros[REGISTRO],DADOS!$N$6,tabela_registros[TIPO],DADOS!$AJ$5,tabela_registros[CATEGORIA],reservaoutrosconsolidadoout[[#This Row],[ATUAL]])</f>
        <v>0</v>
      </c>
      <c r="AD209" s="91">
        <f>SUMIFS(tabela_registros[VALOR],tabela_registros[MÊS],$AE$1,tabela_registros[DIA],reservaoutrosconsolidadoout[[#Headers],[26]],tabela_registros[REGISTRO],DADOS!$N$6,tabela_registros[TIPO],DADOS!$AJ$5,tabela_registros[CATEGORIA],reservaoutrosconsolidadoout[[#This Row],[ATUAL]])</f>
        <v>0</v>
      </c>
      <c r="AE209" s="91">
        <f>SUMIFS(tabela_registros[VALOR],tabela_registros[MÊS],$AE$1,tabela_registros[DIA],reservaoutrosconsolidadoout[[#Headers],[27]],tabela_registros[REGISTRO],DADOS!$N$6,tabela_registros[TIPO],DADOS!$AJ$5,tabela_registros[CATEGORIA],reservaoutrosconsolidadoout[[#This Row],[ATUAL]])</f>
        <v>0</v>
      </c>
      <c r="AF209" s="91">
        <f>SUMIFS(tabela_registros[VALOR],tabela_registros[MÊS],$AE$1,tabela_registros[DIA],reservaoutrosconsolidadoout[[#Headers],[28]],tabela_registros[REGISTRO],DADOS!$N$6,tabela_registros[TIPO],DADOS!$AJ$5,tabela_registros[CATEGORIA],reservaoutrosconsolidadoout[[#This Row],[ATUAL]])</f>
        <v>0</v>
      </c>
      <c r="AG209" s="91">
        <f>SUMIFS(tabela_registros[VALOR],tabela_registros[MÊS],$AE$1,tabela_registros[DIA],reservaoutrosconsolidadoout[[#Headers],[29]],tabela_registros[REGISTRO],DADOS!$N$6,tabela_registros[TIPO],DADOS!$AJ$5,tabela_registros[CATEGORIA],reservaoutrosconsolidadoout[[#This Row],[ATUAL]])</f>
        <v>0</v>
      </c>
      <c r="AH209" s="91">
        <f>SUMIFS(tabela_registros[VALOR],tabela_registros[MÊS],$AE$1,tabela_registros[DIA],reservaoutrosconsolidadoout[[#Headers],[30]],tabela_registros[REGISTRO],DADOS!$N$6,tabela_registros[TIPO],DADOS!$AJ$5,tabela_registros[CATEGORIA],reservaoutrosconsolidadoout[[#This Row],[ATUAL]])</f>
        <v>0</v>
      </c>
      <c r="AI209" s="101">
        <f>SUMIFS(tabela_registros[VALOR],tabela_registros[MÊS],$AE$1,tabela_registros[DIA],reservaoutrosconsolidadoout[[#Headers],[31]],tabela_registros[REGISTRO],DADOS!$N$6,tabela_registros[TIPO],DADOS!$AJ$5,tabela_registros[CATEGORIA],reservaoutrosconsolidadoout[[#This Row],[ATUAL]])</f>
        <v>0</v>
      </c>
      <c r="AJ209" s="97">
        <f>SUM(reservaoutrosconsolidadoout[[#This Row],[1]:[31]])</f>
        <v>0</v>
      </c>
      <c r="AK209" s="25"/>
    </row>
    <row r="210" spans="2:37" ht="19.5" customHeight="1" thickTop="1" thickBot="1" x14ac:dyDescent="0.3">
      <c r="B210" s="28"/>
      <c r="C210" s="27" t="str">
        <f>DADOS!$AP$7</f>
        <v>📝 PEER TO COMPANY</v>
      </c>
      <c r="D210" s="26" t="str">
        <f>IF(reservaoutrosconsolidadoout[[#This Row],[TOTAL (R$)]]=0,"",IF(OR(reservaoutrosconsolidadoout[[#This Row],[TOTAL (R$)]]=LARGE($AJ$206:$AJ$213,1),reservaoutrosconsolidadoout[[#This Row],[TOTAL (R$)]]=LARGE($AJ$206:$AJ$213,2)),DADOS!$I$11,""))</f>
        <v/>
      </c>
      <c r="E210" s="96">
        <f>SUMIFS(tabela_registros[VALOR],tabela_registros[MÊS],$AE$1,tabela_registros[DIA],reservaoutrosconsolidadoout[[#Headers],[1]],tabela_registros[REGISTRO],DADOS!$N$6,tabela_registros[TIPO],DADOS!$AJ$5,tabela_registros[CATEGORIA],reservaoutrosconsolidadoout[[#This Row],[ATUAL]])</f>
        <v>0</v>
      </c>
      <c r="F210" s="91">
        <f>SUMIFS(tabela_registros[VALOR],tabela_registros[MÊS],$AE$1,tabela_registros[DIA],reservaoutrosconsolidadoout[[#Headers],[2]],tabela_registros[REGISTRO],DADOS!$N$6,tabela_registros[TIPO],DADOS!$AJ$5,tabela_registros[CATEGORIA],reservaoutrosconsolidadoout[[#This Row],[ATUAL]])</f>
        <v>0</v>
      </c>
      <c r="G210" s="91">
        <f>SUMIFS(tabela_registros[VALOR],tabela_registros[MÊS],$AE$1,tabela_registros[DIA],reservaoutrosconsolidadoout[[#Headers],[3]],tabela_registros[REGISTRO],DADOS!$N$6,tabela_registros[TIPO],DADOS!$AJ$5,tabela_registros[CATEGORIA],reservaoutrosconsolidadoout[[#This Row],[ATUAL]])</f>
        <v>0</v>
      </c>
      <c r="H210" s="91">
        <f>SUMIFS(tabela_registros[VALOR],tabela_registros[MÊS],$AE$1,tabela_registros[DIA],reservaoutrosconsolidadoout[[#Headers],[4]],tabela_registros[REGISTRO],DADOS!$N$6,tabela_registros[TIPO],DADOS!$AJ$5,tabela_registros[CATEGORIA],reservaoutrosconsolidadoout[[#This Row],[ATUAL]])</f>
        <v>0</v>
      </c>
      <c r="I210" s="91">
        <f>SUMIFS(tabela_registros[VALOR],tabela_registros[MÊS],$AE$1,tabela_registros[DIA],reservaoutrosconsolidadoout[[#Headers],[5]],tabela_registros[REGISTRO],DADOS!$N$6,tabela_registros[TIPO],DADOS!$AJ$5,tabela_registros[CATEGORIA],reservaoutrosconsolidadoout[[#This Row],[ATUAL]])</f>
        <v>0</v>
      </c>
      <c r="J210" s="91">
        <f>SUMIFS(tabela_registros[VALOR],tabela_registros[MÊS],$AE$1,tabela_registros[DIA],reservaoutrosconsolidadoout[[#Headers],[6]],tabela_registros[REGISTRO],DADOS!$N$6,tabela_registros[TIPO],DADOS!$AJ$5,tabela_registros[CATEGORIA],reservaoutrosconsolidadoout[[#This Row],[ATUAL]])</f>
        <v>0</v>
      </c>
      <c r="K210" s="91">
        <f>SUMIFS(tabela_registros[VALOR],tabela_registros[MÊS],$AE$1,tabela_registros[DIA],reservaoutrosconsolidadoout[[#Headers],[7]],tabela_registros[REGISTRO],DADOS!$N$6,tabela_registros[TIPO],DADOS!$AJ$5,tabela_registros[CATEGORIA],reservaoutrosconsolidadoout[[#This Row],[ATUAL]])</f>
        <v>0</v>
      </c>
      <c r="L210" s="91">
        <f>SUMIFS(tabela_registros[VALOR],tabela_registros[MÊS],$AE$1,tabela_registros[DIA],reservaoutrosconsolidadoout[[#Headers],[8]],tabela_registros[REGISTRO],DADOS!$N$6,tabela_registros[TIPO],DADOS!$AJ$5,tabela_registros[CATEGORIA],reservaoutrosconsolidadoout[[#This Row],[ATUAL]])</f>
        <v>0</v>
      </c>
      <c r="M210" s="91">
        <f>SUMIFS(tabela_registros[VALOR],tabela_registros[MÊS],$AE$1,tabela_registros[DIA],reservaoutrosconsolidadoout[[#Headers],[9]],tabela_registros[REGISTRO],DADOS!$N$6,tabela_registros[TIPO],DADOS!$AJ$5,tabela_registros[CATEGORIA],reservaoutrosconsolidadoout[[#This Row],[ATUAL]])</f>
        <v>0</v>
      </c>
      <c r="N210" s="91">
        <f>SUMIFS(tabela_registros[VALOR],tabela_registros[MÊS],$AE$1,tabela_registros[DIA],reservaoutrosconsolidadoout[[#Headers],[10]],tabela_registros[REGISTRO],DADOS!$N$6,tabela_registros[TIPO],DADOS!$AJ$5,tabela_registros[CATEGORIA],reservaoutrosconsolidadoout[[#This Row],[ATUAL]])</f>
        <v>0</v>
      </c>
      <c r="O210" s="91">
        <f>SUMIFS(tabela_registros[VALOR],tabela_registros[MÊS],$AE$1,tabela_registros[DIA],reservaoutrosconsolidadoout[[#Headers],[11]],tabela_registros[REGISTRO],DADOS!$N$6,tabela_registros[TIPO],DADOS!$AJ$5,tabela_registros[CATEGORIA],reservaoutrosconsolidadoout[[#This Row],[ATUAL]])</f>
        <v>0</v>
      </c>
      <c r="P210" s="91">
        <f>SUMIFS(tabela_registros[VALOR],tabela_registros[MÊS],$AE$1,tabela_registros[DIA],reservaoutrosconsolidadoout[[#Headers],[12]],tabela_registros[REGISTRO],DADOS!$N$6,tabela_registros[TIPO],DADOS!$AJ$5,tabela_registros[CATEGORIA],reservaoutrosconsolidadoout[[#This Row],[ATUAL]])</f>
        <v>0</v>
      </c>
      <c r="Q210" s="91">
        <f>SUMIFS(tabela_registros[VALOR],tabela_registros[MÊS],$AE$1,tabela_registros[DIA],reservaoutrosconsolidadoout[[#Headers],[13]],tabela_registros[REGISTRO],DADOS!$N$6,tabela_registros[TIPO],DADOS!$AJ$5,tabela_registros[CATEGORIA],reservaoutrosconsolidadoout[[#This Row],[ATUAL]])</f>
        <v>0</v>
      </c>
      <c r="R210" s="91">
        <f>SUMIFS(tabela_registros[VALOR],tabela_registros[MÊS],$AE$1,tabela_registros[DIA],reservaoutrosconsolidadoout[[#Headers],[14]],tabela_registros[REGISTRO],DADOS!$N$6,tabela_registros[TIPO],DADOS!$AJ$5,tabela_registros[CATEGORIA],reservaoutrosconsolidadoout[[#This Row],[ATUAL]])</f>
        <v>0</v>
      </c>
      <c r="S210" s="91">
        <f>SUMIFS(tabela_registros[VALOR],tabela_registros[MÊS],$AE$1,tabela_registros[DIA],reservaoutrosconsolidadoout[[#Headers],[15]],tabela_registros[REGISTRO],DADOS!$N$6,tabela_registros[TIPO],DADOS!$AJ$5,tabela_registros[CATEGORIA],reservaoutrosconsolidadoout[[#This Row],[ATUAL]])</f>
        <v>0</v>
      </c>
      <c r="T210" s="91">
        <f>SUMIFS(tabela_registros[VALOR],tabela_registros[MÊS],$AE$1,tabela_registros[DIA],reservaoutrosconsolidadoout[[#Headers],[16]],tabela_registros[REGISTRO],DADOS!$N$6,tabela_registros[TIPO],DADOS!$AJ$5,tabela_registros[CATEGORIA],reservaoutrosconsolidadoout[[#This Row],[ATUAL]])</f>
        <v>0</v>
      </c>
      <c r="U210" s="91">
        <f>SUMIFS(tabela_registros[VALOR],tabela_registros[MÊS],$AE$1,tabela_registros[DIA],reservaoutrosconsolidadoout[[#Headers],[17]],tabela_registros[REGISTRO],DADOS!$N$6,tabela_registros[TIPO],DADOS!$AJ$5,tabela_registros[CATEGORIA],reservaoutrosconsolidadoout[[#This Row],[ATUAL]])</f>
        <v>0</v>
      </c>
      <c r="V210" s="91">
        <f>SUMIFS(tabela_registros[VALOR],tabela_registros[MÊS],$AE$1,tabela_registros[DIA],reservaoutrosconsolidadoout[[#Headers],[18]],tabela_registros[REGISTRO],DADOS!$N$6,tabela_registros[TIPO],DADOS!$AJ$5,tabela_registros[CATEGORIA],reservaoutrosconsolidadoout[[#This Row],[ATUAL]])</f>
        <v>0</v>
      </c>
      <c r="W210" s="91">
        <f>SUMIFS(tabela_registros[VALOR],tabela_registros[MÊS],$AE$1,tabela_registros[DIA],reservaoutrosconsolidadoout[[#Headers],[19]],tabela_registros[REGISTRO],DADOS!$N$6,tabela_registros[TIPO],DADOS!$AJ$5,tabela_registros[CATEGORIA],reservaoutrosconsolidadoout[[#This Row],[ATUAL]])</f>
        <v>0</v>
      </c>
      <c r="X210" s="91">
        <f>SUMIFS(tabela_registros[VALOR],tabela_registros[MÊS],$AE$1,tabela_registros[DIA],reservaoutrosconsolidadoout[[#Headers],[20]],tabela_registros[REGISTRO],DADOS!$N$6,tabela_registros[TIPO],DADOS!$AJ$5,tabela_registros[CATEGORIA],reservaoutrosconsolidadoout[[#This Row],[ATUAL]])</f>
        <v>0</v>
      </c>
      <c r="Y210" s="91">
        <f>SUMIFS(tabela_registros[VALOR],tabela_registros[MÊS],$AE$1,tabela_registros[DIA],reservaoutrosconsolidadoout[[#Headers],[21]],tabela_registros[REGISTRO],DADOS!$N$6,tabela_registros[TIPO],DADOS!$AJ$5,tabela_registros[CATEGORIA],reservaoutrosconsolidadoout[[#This Row],[ATUAL]])</f>
        <v>0</v>
      </c>
      <c r="Z210" s="91">
        <f>SUMIFS(tabela_registros[VALOR],tabela_registros[MÊS],$AE$1,tabela_registros[DIA],reservaoutrosconsolidadoout[[#Headers],[22]],tabela_registros[REGISTRO],DADOS!$N$6,tabela_registros[TIPO],DADOS!$AJ$5,tabela_registros[CATEGORIA],reservaoutrosconsolidadoout[[#This Row],[ATUAL]])</f>
        <v>0</v>
      </c>
      <c r="AA210" s="91">
        <f>SUMIFS(tabela_registros[VALOR],tabela_registros[MÊS],$AE$1,tabela_registros[DIA],reservaoutrosconsolidadoout[[#Headers],[23]],tabela_registros[REGISTRO],DADOS!$N$6,tabela_registros[TIPO],DADOS!$AJ$5,tabela_registros[CATEGORIA],reservaoutrosconsolidadoout[[#This Row],[ATUAL]])</f>
        <v>0</v>
      </c>
      <c r="AB210" s="91">
        <f>SUMIFS(tabela_registros[VALOR],tabela_registros[MÊS],$AE$1,tabela_registros[DIA],reservaoutrosconsolidadoout[[#Headers],[24]],tabela_registros[REGISTRO],DADOS!$N$6,tabela_registros[TIPO],DADOS!$AJ$5,tabela_registros[CATEGORIA],reservaoutrosconsolidadoout[[#This Row],[ATUAL]])</f>
        <v>0</v>
      </c>
      <c r="AC210" s="91">
        <f>SUMIFS(tabela_registros[VALOR],tabela_registros[MÊS],$AE$1,tabela_registros[DIA],reservaoutrosconsolidadoout[[#Headers],[25]],tabela_registros[REGISTRO],DADOS!$N$6,tabela_registros[TIPO],DADOS!$AJ$5,tabela_registros[CATEGORIA],reservaoutrosconsolidadoout[[#This Row],[ATUAL]])</f>
        <v>0</v>
      </c>
      <c r="AD210" s="91">
        <f>SUMIFS(tabela_registros[VALOR],tabela_registros[MÊS],$AE$1,tabela_registros[DIA],reservaoutrosconsolidadoout[[#Headers],[26]],tabela_registros[REGISTRO],DADOS!$N$6,tabela_registros[TIPO],DADOS!$AJ$5,tabela_registros[CATEGORIA],reservaoutrosconsolidadoout[[#This Row],[ATUAL]])</f>
        <v>0</v>
      </c>
      <c r="AE210" s="91">
        <f>SUMIFS(tabela_registros[VALOR],tabela_registros[MÊS],$AE$1,tabela_registros[DIA],reservaoutrosconsolidadoout[[#Headers],[27]],tabela_registros[REGISTRO],DADOS!$N$6,tabela_registros[TIPO],DADOS!$AJ$5,tabela_registros[CATEGORIA],reservaoutrosconsolidadoout[[#This Row],[ATUAL]])</f>
        <v>0</v>
      </c>
      <c r="AF210" s="91">
        <f>SUMIFS(tabela_registros[VALOR],tabela_registros[MÊS],$AE$1,tabela_registros[DIA],reservaoutrosconsolidadoout[[#Headers],[28]],tabela_registros[REGISTRO],DADOS!$N$6,tabela_registros[TIPO],DADOS!$AJ$5,tabela_registros[CATEGORIA],reservaoutrosconsolidadoout[[#This Row],[ATUAL]])</f>
        <v>0</v>
      </c>
      <c r="AG210" s="91">
        <f>SUMIFS(tabela_registros[VALOR],tabela_registros[MÊS],$AE$1,tabela_registros[DIA],reservaoutrosconsolidadoout[[#Headers],[29]],tabela_registros[REGISTRO],DADOS!$N$6,tabela_registros[TIPO],DADOS!$AJ$5,tabela_registros[CATEGORIA],reservaoutrosconsolidadoout[[#This Row],[ATUAL]])</f>
        <v>0</v>
      </c>
      <c r="AH210" s="91">
        <f>SUMIFS(tabela_registros[VALOR],tabela_registros[MÊS],$AE$1,tabela_registros[DIA],reservaoutrosconsolidadoout[[#Headers],[30]],tabela_registros[REGISTRO],DADOS!$N$6,tabela_registros[TIPO],DADOS!$AJ$5,tabela_registros[CATEGORIA],reservaoutrosconsolidadoout[[#This Row],[ATUAL]])</f>
        <v>0</v>
      </c>
      <c r="AI210" s="101">
        <f>SUMIFS(tabela_registros[VALOR],tabela_registros[MÊS],$AE$1,tabela_registros[DIA],reservaoutrosconsolidadoout[[#Headers],[31]],tabela_registros[REGISTRO],DADOS!$N$6,tabela_registros[TIPO],DADOS!$AJ$5,tabela_registros[CATEGORIA],reservaoutrosconsolidadoout[[#This Row],[ATUAL]])</f>
        <v>0</v>
      </c>
      <c r="AJ210" s="97">
        <f>SUM(reservaoutrosconsolidadoout[[#This Row],[1]:[31]])</f>
        <v>0</v>
      </c>
      <c r="AK210" s="25"/>
    </row>
    <row r="211" spans="2:37" ht="19.5" customHeight="1" thickTop="1" thickBot="1" x14ac:dyDescent="0.3">
      <c r="B211" s="28"/>
      <c r="C211" s="27" t="str">
        <f>DADOS!$AP$8</f>
        <v>📝 PEER TO PEER</v>
      </c>
      <c r="D211" s="26" t="str">
        <f>IF(reservaoutrosconsolidadoout[[#This Row],[TOTAL (R$)]]=0,"",IF(OR(reservaoutrosconsolidadoout[[#This Row],[TOTAL (R$)]]=LARGE($AJ$206:$AJ$213,1),reservaoutrosconsolidadoout[[#This Row],[TOTAL (R$)]]=LARGE($AJ$206:$AJ$213,2)),DADOS!$I$11,""))</f>
        <v/>
      </c>
      <c r="E211" s="96">
        <f>SUMIFS(tabela_registros[VALOR],tabela_registros[MÊS],$AE$1,tabela_registros[DIA],reservaoutrosconsolidadoout[[#Headers],[1]],tabela_registros[REGISTRO],DADOS!$N$6,tabela_registros[TIPO],DADOS!$AJ$5,tabela_registros[CATEGORIA],reservaoutrosconsolidadoout[[#This Row],[ATUAL]])</f>
        <v>0</v>
      </c>
      <c r="F211" s="91">
        <f>SUMIFS(tabela_registros[VALOR],tabela_registros[MÊS],$AE$1,tabela_registros[DIA],reservaoutrosconsolidadoout[[#Headers],[2]],tabela_registros[REGISTRO],DADOS!$N$6,tabela_registros[TIPO],DADOS!$AJ$5,tabela_registros[CATEGORIA],reservaoutrosconsolidadoout[[#This Row],[ATUAL]])</f>
        <v>0</v>
      </c>
      <c r="G211" s="91">
        <f>SUMIFS(tabela_registros[VALOR],tabela_registros[MÊS],$AE$1,tabela_registros[DIA],reservaoutrosconsolidadoout[[#Headers],[3]],tabela_registros[REGISTRO],DADOS!$N$6,tabela_registros[TIPO],DADOS!$AJ$5,tabela_registros[CATEGORIA],reservaoutrosconsolidadoout[[#This Row],[ATUAL]])</f>
        <v>0</v>
      </c>
      <c r="H211" s="91">
        <f>SUMIFS(tabela_registros[VALOR],tabela_registros[MÊS],$AE$1,tabela_registros[DIA],reservaoutrosconsolidadoout[[#Headers],[4]],tabela_registros[REGISTRO],DADOS!$N$6,tabela_registros[TIPO],DADOS!$AJ$5,tabela_registros[CATEGORIA],reservaoutrosconsolidadoout[[#This Row],[ATUAL]])</f>
        <v>0</v>
      </c>
      <c r="I211" s="91">
        <f>SUMIFS(tabela_registros[VALOR],tabela_registros[MÊS],$AE$1,tabela_registros[DIA],reservaoutrosconsolidadoout[[#Headers],[5]],tabela_registros[REGISTRO],DADOS!$N$6,tabela_registros[TIPO],DADOS!$AJ$5,tabela_registros[CATEGORIA],reservaoutrosconsolidadoout[[#This Row],[ATUAL]])</f>
        <v>0</v>
      </c>
      <c r="J211" s="91">
        <f>SUMIFS(tabela_registros[VALOR],tabela_registros[MÊS],$AE$1,tabela_registros[DIA],reservaoutrosconsolidadoout[[#Headers],[6]],tabela_registros[REGISTRO],DADOS!$N$6,tabela_registros[TIPO],DADOS!$AJ$5,tabela_registros[CATEGORIA],reservaoutrosconsolidadoout[[#This Row],[ATUAL]])</f>
        <v>0</v>
      </c>
      <c r="K211" s="91">
        <f>SUMIFS(tabela_registros[VALOR],tabela_registros[MÊS],$AE$1,tabela_registros[DIA],reservaoutrosconsolidadoout[[#Headers],[7]],tabela_registros[REGISTRO],DADOS!$N$6,tabela_registros[TIPO],DADOS!$AJ$5,tabela_registros[CATEGORIA],reservaoutrosconsolidadoout[[#This Row],[ATUAL]])</f>
        <v>0</v>
      </c>
      <c r="L211" s="91">
        <f>SUMIFS(tabela_registros[VALOR],tabela_registros[MÊS],$AE$1,tabela_registros[DIA],reservaoutrosconsolidadoout[[#Headers],[8]],tabela_registros[REGISTRO],DADOS!$N$6,tabela_registros[TIPO],DADOS!$AJ$5,tabela_registros[CATEGORIA],reservaoutrosconsolidadoout[[#This Row],[ATUAL]])</f>
        <v>0</v>
      </c>
      <c r="M211" s="91">
        <f>SUMIFS(tabela_registros[VALOR],tabela_registros[MÊS],$AE$1,tabela_registros[DIA],reservaoutrosconsolidadoout[[#Headers],[9]],tabela_registros[REGISTRO],DADOS!$N$6,tabela_registros[TIPO],DADOS!$AJ$5,tabela_registros[CATEGORIA],reservaoutrosconsolidadoout[[#This Row],[ATUAL]])</f>
        <v>0</v>
      </c>
      <c r="N211" s="91">
        <f>SUMIFS(tabela_registros[VALOR],tabela_registros[MÊS],$AE$1,tabela_registros[DIA],reservaoutrosconsolidadoout[[#Headers],[10]],tabela_registros[REGISTRO],DADOS!$N$6,tabela_registros[TIPO],DADOS!$AJ$5,tabela_registros[CATEGORIA],reservaoutrosconsolidadoout[[#This Row],[ATUAL]])</f>
        <v>0</v>
      </c>
      <c r="O211" s="91">
        <f>SUMIFS(tabela_registros[VALOR],tabela_registros[MÊS],$AE$1,tabela_registros[DIA],reservaoutrosconsolidadoout[[#Headers],[11]],tabela_registros[REGISTRO],DADOS!$N$6,tabela_registros[TIPO],DADOS!$AJ$5,tabela_registros[CATEGORIA],reservaoutrosconsolidadoout[[#This Row],[ATUAL]])</f>
        <v>0</v>
      </c>
      <c r="P211" s="91">
        <f>SUMIFS(tabela_registros[VALOR],tabela_registros[MÊS],$AE$1,tabela_registros[DIA],reservaoutrosconsolidadoout[[#Headers],[12]],tabela_registros[REGISTRO],DADOS!$N$6,tabela_registros[TIPO],DADOS!$AJ$5,tabela_registros[CATEGORIA],reservaoutrosconsolidadoout[[#This Row],[ATUAL]])</f>
        <v>0</v>
      </c>
      <c r="Q211" s="91">
        <f>SUMIFS(tabela_registros[VALOR],tabela_registros[MÊS],$AE$1,tabela_registros[DIA],reservaoutrosconsolidadoout[[#Headers],[13]],tabela_registros[REGISTRO],DADOS!$N$6,tabela_registros[TIPO],DADOS!$AJ$5,tabela_registros[CATEGORIA],reservaoutrosconsolidadoout[[#This Row],[ATUAL]])</f>
        <v>0</v>
      </c>
      <c r="R211" s="91">
        <f>SUMIFS(tabela_registros[VALOR],tabela_registros[MÊS],$AE$1,tabela_registros[DIA],reservaoutrosconsolidadoout[[#Headers],[14]],tabela_registros[REGISTRO],DADOS!$N$6,tabela_registros[TIPO],DADOS!$AJ$5,tabela_registros[CATEGORIA],reservaoutrosconsolidadoout[[#This Row],[ATUAL]])</f>
        <v>0</v>
      </c>
      <c r="S211" s="91">
        <f>SUMIFS(tabela_registros[VALOR],tabela_registros[MÊS],$AE$1,tabela_registros[DIA],reservaoutrosconsolidadoout[[#Headers],[15]],tabela_registros[REGISTRO],DADOS!$N$6,tabela_registros[TIPO],DADOS!$AJ$5,tabela_registros[CATEGORIA],reservaoutrosconsolidadoout[[#This Row],[ATUAL]])</f>
        <v>0</v>
      </c>
      <c r="T211" s="91">
        <f>SUMIFS(tabela_registros[VALOR],tabela_registros[MÊS],$AE$1,tabela_registros[DIA],reservaoutrosconsolidadoout[[#Headers],[16]],tabela_registros[REGISTRO],DADOS!$N$6,tabela_registros[TIPO],DADOS!$AJ$5,tabela_registros[CATEGORIA],reservaoutrosconsolidadoout[[#This Row],[ATUAL]])</f>
        <v>0</v>
      </c>
      <c r="U211" s="91">
        <f>SUMIFS(tabela_registros[VALOR],tabela_registros[MÊS],$AE$1,tabela_registros[DIA],reservaoutrosconsolidadoout[[#Headers],[17]],tabela_registros[REGISTRO],DADOS!$N$6,tabela_registros[TIPO],DADOS!$AJ$5,tabela_registros[CATEGORIA],reservaoutrosconsolidadoout[[#This Row],[ATUAL]])</f>
        <v>0</v>
      </c>
      <c r="V211" s="91">
        <f>SUMIFS(tabela_registros[VALOR],tabela_registros[MÊS],$AE$1,tabela_registros[DIA],reservaoutrosconsolidadoout[[#Headers],[18]],tabela_registros[REGISTRO],DADOS!$N$6,tabela_registros[TIPO],DADOS!$AJ$5,tabela_registros[CATEGORIA],reservaoutrosconsolidadoout[[#This Row],[ATUAL]])</f>
        <v>0</v>
      </c>
      <c r="W211" s="91">
        <f>SUMIFS(tabela_registros[VALOR],tabela_registros[MÊS],$AE$1,tabela_registros[DIA],reservaoutrosconsolidadoout[[#Headers],[19]],tabela_registros[REGISTRO],DADOS!$N$6,tabela_registros[TIPO],DADOS!$AJ$5,tabela_registros[CATEGORIA],reservaoutrosconsolidadoout[[#This Row],[ATUAL]])</f>
        <v>0</v>
      </c>
      <c r="X211" s="91">
        <f>SUMIFS(tabela_registros[VALOR],tabela_registros[MÊS],$AE$1,tabela_registros[DIA],reservaoutrosconsolidadoout[[#Headers],[20]],tabela_registros[REGISTRO],DADOS!$N$6,tabela_registros[TIPO],DADOS!$AJ$5,tabela_registros[CATEGORIA],reservaoutrosconsolidadoout[[#This Row],[ATUAL]])</f>
        <v>0</v>
      </c>
      <c r="Y211" s="91">
        <f>SUMIFS(tabela_registros[VALOR],tabela_registros[MÊS],$AE$1,tabela_registros[DIA],reservaoutrosconsolidadoout[[#Headers],[21]],tabela_registros[REGISTRO],DADOS!$N$6,tabela_registros[TIPO],DADOS!$AJ$5,tabela_registros[CATEGORIA],reservaoutrosconsolidadoout[[#This Row],[ATUAL]])</f>
        <v>0</v>
      </c>
      <c r="Z211" s="91">
        <f>SUMIFS(tabela_registros[VALOR],tabela_registros[MÊS],$AE$1,tabela_registros[DIA],reservaoutrosconsolidadoout[[#Headers],[22]],tabela_registros[REGISTRO],DADOS!$N$6,tabela_registros[TIPO],DADOS!$AJ$5,tabela_registros[CATEGORIA],reservaoutrosconsolidadoout[[#This Row],[ATUAL]])</f>
        <v>0</v>
      </c>
      <c r="AA211" s="91">
        <f>SUMIFS(tabela_registros[VALOR],tabela_registros[MÊS],$AE$1,tabela_registros[DIA],reservaoutrosconsolidadoout[[#Headers],[23]],tabela_registros[REGISTRO],DADOS!$N$6,tabela_registros[TIPO],DADOS!$AJ$5,tabela_registros[CATEGORIA],reservaoutrosconsolidadoout[[#This Row],[ATUAL]])</f>
        <v>0</v>
      </c>
      <c r="AB211" s="91">
        <f>SUMIFS(tabela_registros[VALOR],tabela_registros[MÊS],$AE$1,tabela_registros[DIA],reservaoutrosconsolidadoout[[#Headers],[24]],tabela_registros[REGISTRO],DADOS!$N$6,tabela_registros[TIPO],DADOS!$AJ$5,tabela_registros[CATEGORIA],reservaoutrosconsolidadoout[[#This Row],[ATUAL]])</f>
        <v>0</v>
      </c>
      <c r="AC211" s="91">
        <f>SUMIFS(tabela_registros[VALOR],tabela_registros[MÊS],$AE$1,tabela_registros[DIA],reservaoutrosconsolidadoout[[#Headers],[25]],tabela_registros[REGISTRO],DADOS!$N$6,tabela_registros[TIPO],DADOS!$AJ$5,tabela_registros[CATEGORIA],reservaoutrosconsolidadoout[[#This Row],[ATUAL]])</f>
        <v>0</v>
      </c>
      <c r="AD211" s="91">
        <f>SUMIFS(tabela_registros[VALOR],tabela_registros[MÊS],$AE$1,tabela_registros[DIA],reservaoutrosconsolidadoout[[#Headers],[26]],tabela_registros[REGISTRO],DADOS!$N$6,tabela_registros[TIPO],DADOS!$AJ$5,tabela_registros[CATEGORIA],reservaoutrosconsolidadoout[[#This Row],[ATUAL]])</f>
        <v>0</v>
      </c>
      <c r="AE211" s="91">
        <f>SUMIFS(tabela_registros[VALOR],tabela_registros[MÊS],$AE$1,tabela_registros[DIA],reservaoutrosconsolidadoout[[#Headers],[27]],tabela_registros[REGISTRO],DADOS!$N$6,tabela_registros[TIPO],DADOS!$AJ$5,tabela_registros[CATEGORIA],reservaoutrosconsolidadoout[[#This Row],[ATUAL]])</f>
        <v>0</v>
      </c>
      <c r="AF211" s="91">
        <f>SUMIFS(tabela_registros[VALOR],tabela_registros[MÊS],$AE$1,tabela_registros[DIA],reservaoutrosconsolidadoout[[#Headers],[28]],tabela_registros[REGISTRO],DADOS!$N$6,tabela_registros[TIPO],DADOS!$AJ$5,tabela_registros[CATEGORIA],reservaoutrosconsolidadoout[[#This Row],[ATUAL]])</f>
        <v>0</v>
      </c>
      <c r="AG211" s="91">
        <f>SUMIFS(tabela_registros[VALOR],tabela_registros[MÊS],$AE$1,tabela_registros[DIA],reservaoutrosconsolidadoout[[#Headers],[29]],tabela_registros[REGISTRO],DADOS!$N$6,tabela_registros[TIPO],DADOS!$AJ$5,tabela_registros[CATEGORIA],reservaoutrosconsolidadoout[[#This Row],[ATUAL]])</f>
        <v>0</v>
      </c>
      <c r="AH211" s="91">
        <f>SUMIFS(tabela_registros[VALOR],tabela_registros[MÊS],$AE$1,tabela_registros[DIA],reservaoutrosconsolidadoout[[#Headers],[30]],tabela_registros[REGISTRO],DADOS!$N$6,tabela_registros[TIPO],DADOS!$AJ$5,tabela_registros[CATEGORIA],reservaoutrosconsolidadoout[[#This Row],[ATUAL]])</f>
        <v>0</v>
      </c>
      <c r="AI211" s="101">
        <f>SUMIFS(tabela_registros[VALOR],tabela_registros[MÊS],$AE$1,tabela_registros[DIA],reservaoutrosconsolidadoout[[#Headers],[31]],tabela_registros[REGISTRO],DADOS!$N$6,tabela_registros[TIPO],DADOS!$AJ$5,tabela_registros[CATEGORIA],reservaoutrosconsolidadoout[[#This Row],[ATUAL]])</f>
        <v>0</v>
      </c>
      <c r="AJ211" s="97">
        <f>SUM(reservaoutrosconsolidadoout[[#This Row],[1]:[31]])</f>
        <v>0</v>
      </c>
      <c r="AK211" s="25"/>
    </row>
    <row r="212" spans="2:37" ht="19.5" customHeight="1" thickTop="1" thickBot="1" x14ac:dyDescent="0.3">
      <c r="B212" s="28"/>
      <c r="C212" s="27" t="str">
        <f>DADOS!$AP$9</f>
        <v>📝 PREVIDÊNCIA PRIVADA</v>
      </c>
      <c r="D212" s="26" t="str">
        <f>IF(reservaoutrosconsolidadoout[[#This Row],[TOTAL (R$)]]=0,"",IF(OR(reservaoutrosconsolidadoout[[#This Row],[TOTAL (R$)]]=LARGE($AJ$206:$AJ$213,1),reservaoutrosconsolidadoout[[#This Row],[TOTAL (R$)]]=LARGE($AJ$206:$AJ$213,2)),DADOS!$I$11,""))</f>
        <v/>
      </c>
      <c r="E212" s="96">
        <f>SUMIFS(tabela_registros[VALOR],tabela_registros[MÊS],$AE$1,tabela_registros[DIA],reservaoutrosconsolidadoout[[#Headers],[1]],tabela_registros[REGISTRO],DADOS!$N$6,tabela_registros[TIPO],DADOS!$AJ$5,tabela_registros[CATEGORIA],reservaoutrosconsolidadoout[[#This Row],[ATUAL]])</f>
        <v>0</v>
      </c>
      <c r="F212" s="91">
        <f>SUMIFS(tabela_registros[VALOR],tabela_registros[MÊS],$AE$1,tabela_registros[DIA],reservaoutrosconsolidadoout[[#Headers],[2]],tabela_registros[REGISTRO],DADOS!$N$6,tabela_registros[TIPO],DADOS!$AJ$5,tabela_registros[CATEGORIA],reservaoutrosconsolidadoout[[#This Row],[ATUAL]])</f>
        <v>0</v>
      </c>
      <c r="G212" s="91">
        <f>SUMIFS(tabela_registros[VALOR],tabela_registros[MÊS],$AE$1,tabela_registros[DIA],reservaoutrosconsolidadoout[[#Headers],[3]],tabela_registros[REGISTRO],DADOS!$N$6,tabela_registros[TIPO],DADOS!$AJ$5,tabela_registros[CATEGORIA],reservaoutrosconsolidadoout[[#This Row],[ATUAL]])</f>
        <v>0</v>
      </c>
      <c r="H212" s="91">
        <f>SUMIFS(tabela_registros[VALOR],tabela_registros[MÊS],$AE$1,tabela_registros[DIA],reservaoutrosconsolidadoout[[#Headers],[4]],tabela_registros[REGISTRO],DADOS!$N$6,tabela_registros[TIPO],DADOS!$AJ$5,tabela_registros[CATEGORIA],reservaoutrosconsolidadoout[[#This Row],[ATUAL]])</f>
        <v>0</v>
      </c>
      <c r="I212" s="91">
        <f>SUMIFS(tabela_registros[VALOR],tabela_registros[MÊS],$AE$1,tabela_registros[DIA],reservaoutrosconsolidadoout[[#Headers],[5]],tabela_registros[REGISTRO],DADOS!$N$6,tabela_registros[TIPO],DADOS!$AJ$5,tabela_registros[CATEGORIA],reservaoutrosconsolidadoout[[#This Row],[ATUAL]])</f>
        <v>0</v>
      </c>
      <c r="J212" s="91">
        <f>SUMIFS(tabela_registros[VALOR],tabela_registros[MÊS],$AE$1,tabela_registros[DIA],reservaoutrosconsolidadoout[[#Headers],[6]],tabela_registros[REGISTRO],DADOS!$N$6,tabela_registros[TIPO],DADOS!$AJ$5,tabela_registros[CATEGORIA],reservaoutrosconsolidadoout[[#This Row],[ATUAL]])</f>
        <v>0</v>
      </c>
      <c r="K212" s="91">
        <f>SUMIFS(tabela_registros[VALOR],tabela_registros[MÊS],$AE$1,tabela_registros[DIA],reservaoutrosconsolidadoout[[#Headers],[7]],tabela_registros[REGISTRO],DADOS!$N$6,tabela_registros[TIPO],DADOS!$AJ$5,tabela_registros[CATEGORIA],reservaoutrosconsolidadoout[[#This Row],[ATUAL]])</f>
        <v>0</v>
      </c>
      <c r="L212" s="91">
        <f>SUMIFS(tabela_registros[VALOR],tabela_registros[MÊS],$AE$1,tabela_registros[DIA],reservaoutrosconsolidadoout[[#Headers],[8]],tabela_registros[REGISTRO],DADOS!$N$6,tabela_registros[TIPO],DADOS!$AJ$5,tabela_registros[CATEGORIA],reservaoutrosconsolidadoout[[#This Row],[ATUAL]])</f>
        <v>0</v>
      </c>
      <c r="M212" s="91">
        <f>SUMIFS(tabela_registros[VALOR],tabela_registros[MÊS],$AE$1,tabela_registros[DIA],reservaoutrosconsolidadoout[[#Headers],[9]],tabela_registros[REGISTRO],DADOS!$N$6,tabela_registros[TIPO],DADOS!$AJ$5,tabela_registros[CATEGORIA],reservaoutrosconsolidadoout[[#This Row],[ATUAL]])</f>
        <v>0</v>
      </c>
      <c r="N212" s="91">
        <f>SUMIFS(tabela_registros[VALOR],tabela_registros[MÊS],$AE$1,tabela_registros[DIA],reservaoutrosconsolidadoout[[#Headers],[10]],tabela_registros[REGISTRO],DADOS!$N$6,tabela_registros[TIPO],DADOS!$AJ$5,tabela_registros[CATEGORIA],reservaoutrosconsolidadoout[[#This Row],[ATUAL]])</f>
        <v>0</v>
      </c>
      <c r="O212" s="91">
        <f>SUMIFS(tabela_registros[VALOR],tabela_registros[MÊS],$AE$1,tabela_registros[DIA],reservaoutrosconsolidadoout[[#Headers],[11]],tabela_registros[REGISTRO],DADOS!$N$6,tabela_registros[TIPO],DADOS!$AJ$5,tabela_registros[CATEGORIA],reservaoutrosconsolidadoout[[#This Row],[ATUAL]])</f>
        <v>0</v>
      </c>
      <c r="P212" s="91">
        <f>SUMIFS(tabela_registros[VALOR],tabela_registros[MÊS],$AE$1,tabela_registros[DIA],reservaoutrosconsolidadoout[[#Headers],[12]],tabela_registros[REGISTRO],DADOS!$N$6,tabela_registros[TIPO],DADOS!$AJ$5,tabela_registros[CATEGORIA],reservaoutrosconsolidadoout[[#This Row],[ATUAL]])</f>
        <v>0</v>
      </c>
      <c r="Q212" s="91">
        <f>SUMIFS(tabela_registros[VALOR],tabela_registros[MÊS],$AE$1,tabela_registros[DIA],reservaoutrosconsolidadoout[[#Headers],[13]],tabela_registros[REGISTRO],DADOS!$N$6,tabela_registros[TIPO],DADOS!$AJ$5,tabela_registros[CATEGORIA],reservaoutrosconsolidadoout[[#This Row],[ATUAL]])</f>
        <v>0</v>
      </c>
      <c r="R212" s="91">
        <f>SUMIFS(tabela_registros[VALOR],tabela_registros[MÊS],$AE$1,tabela_registros[DIA],reservaoutrosconsolidadoout[[#Headers],[14]],tabela_registros[REGISTRO],DADOS!$N$6,tabela_registros[TIPO],DADOS!$AJ$5,tabela_registros[CATEGORIA],reservaoutrosconsolidadoout[[#This Row],[ATUAL]])</f>
        <v>0</v>
      </c>
      <c r="S212" s="91">
        <f>SUMIFS(tabela_registros[VALOR],tabela_registros[MÊS],$AE$1,tabela_registros[DIA],reservaoutrosconsolidadoout[[#Headers],[15]],tabela_registros[REGISTRO],DADOS!$N$6,tabela_registros[TIPO],DADOS!$AJ$5,tabela_registros[CATEGORIA],reservaoutrosconsolidadoout[[#This Row],[ATUAL]])</f>
        <v>0</v>
      </c>
      <c r="T212" s="91">
        <f>SUMIFS(tabela_registros[VALOR],tabela_registros[MÊS],$AE$1,tabela_registros[DIA],reservaoutrosconsolidadoout[[#Headers],[16]],tabela_registros[REGISTRO],DADOS!$N$6,tabela_registros[TIPO],DADOS!$AJ$5,tabela_registros[CATEGORIA],reservaoutrosconsolidadoout[[#This Row],[ATUAL]])</f>
        <v>0</v>
      </c>
      <c r="U212" s="91">
        <f>SUMIFS(tabela_registros[VALOR],tabela_registros[MÊS],$AE$1,tabela_registros[DIA],reservaoutrosconsolidadoout[[#Headers],[17]],tabela_registros[REGISTRO],DADOS!$N$6,tabela_registros[TIPO],DADOS!$AJ$5,tabela_registros[CATEGORIA],reservaoutrosconsolidadoout[[#This Row],[ATUAL]])</f>
        <v>0</v>
      </c>
      <c r="V212" s="91">
        <f>SUMIFS(tabela_registros[VALOR],tabela_registros[MÊS],$AE$1,tabela_registros[DIA],reservaoutrosconsolidadoout[[#Headers],[18]],tabela_registros[REGISTRO],DADOS!$N$6,tabela_registros[TIPO],DADOS!$AJ$5,tabela_registros[CATEGORIA],reservaoutrosconsolidadoout[[#This Row],[ATUAL]])</f>
        <v>0</v>
      </c>
      <c r="W212" s="91">
        <f>SUMIFS(tabela_registros[VALOR],tabela_registros[MÊS],$AE$1,tabela_registros[DIA],reservaoutrosconsolidadoout[[#Headers],[19]],tabela_registros[REGISTRO],DADOS!$N$6,tabela_registros[TIPO],DADOS!$AJ$5,tabela_registros[CATEGORIA],reservaoutrosconsolidadoout[[#This Row],[ATUAL]])</f>
        <v>0</v>
      </c>
      <c r="X212" s="91">
        <f>SUMIFS(tabela_registros[VALOR],tabela_registros[MÊS],$AE$1,tabela_registros[DIA],reservaoutrosconsolidadoout[[#Headers],[20]],tabela_registros[REGISTRO],DADOS!$N$6,tabela_registros[TIPO],DADOS!$AJ$5,tabela_registros[CATEGORIA],reservaoutrosconsolidadoout[[#This Row],[ATUAL]])</f>
        <v>0</v>
      </c>
      <c r="Y212" s="91">
        <f>SUMIFS(tabela_registros[VALOR],tabela_registros[MÊS],$AE$1,tabela_registros[DIA],reservaoutrosconsolidadoout[[#Headers],[21]],tabela_registros[REGISTRO],DADOS!$N$6,tabela_registros[TIPO],DADOS!$AJ$5,tabela_registros[CATEGORIA],reservaoutrosconsolidadoout[[#This Row],[ATUAL]])</f>
        <v>0</v>
      </c>
      <c r="Z212" s="91">
        <f>SUMIFS(tabela_registros[VALOR],tabela_registros[MÊS],$AE$1,tabela_registros[DIA],reservaoutrosconsolidadoout[[#Headers],[22]],tabela_registros[REGISTRO],DADOS!$N$6,tabela_registros[TIPO],DADOS!$AJ$5,tabela_registros[CATEGORIA],reservaoutrosconsolidadoout[[#This Row],[ATUAL]])</f>
        <v>0</v>
      </c>
      <c r="AA212" s="91">
        <f>SUMIFS(tabela_registros[VALOR],tabela_registros[MÊS],$AE$1,tabela_registros[DIA],reservaoutrosconsolidadoout[[#Headers],[23]],tabela_registros[REGISTRO],DADOS!$N$6,tabela_registros[TIPO],DADOS!$AJ$5,tabela_registros[CATEGORIA],reservaoutrosconsolidadoout[[#This Row],[ATUAL]])</f>
        <v>0</v>
      </c>
      <c r="AB212" s="91">
        <f>SUMIFS(tabela_registros[VALOR],tabela_registros[MÊS],$AE$1,tabela_registros[DIA],reservaoutrosconsolidadoout[[#Headers],[24]],tabela_registros[REGISTRO],DADOS!$N$6,tabela_registros[TIPO],DADOS!$AJ$5,tabela_registros[CATEGORIA],reservaoutrosconsolidadoout[[#This Row],[ATUAL]])</f>
        <v>0</v>
      </c>
      <c r="AC212" s="91">
        <f>SUMIFS(tabela_registros[VALOR],tabela_registros[MÊS],$AE$1,tabela_registros[DIA],reservaoutrosconsolidadoout[[#Headers],[25]],tabela_registros[REGISTRO],DADOS!$N$6,tabela_registros[TIPO],DADOS!$AJ$5,tabela_registros[CATEGORIA],reservaoutrosconsolidadoout[[#This Row],[ATUAL]])</f>
        <v>0</v>
      </c>
      <c r="AD212" s="91">
        <f>SUMIFS(tabela_registros[VALOR],tabela_registros[MÊS],$AE$1,tabela_registros[DIA],reservaoutrosconsolidadoout[[#Headers],[26]],tabela_registros[REGISTRO],DADOS!$N$6,tabela_registros[TIPO],DADOS!$AJ$5,tabela_registros[CATEGORIA],reservaoutrosconsolidadoout[[#This Row],[ATUAL]])</f>
        <v>0</v>
      </c>
      <c r="AE212" s="91">
        <f>SUMIFS(tabela_registros[VALOR],tabela_registros[MÊS],$AE$1,tabela_registros[DIA],reservaoutrosconsolidadoout[[#Headers],[27]],tabela_registros[REGISTRO],DADOS!$N$6,tabela_registros[TIPO],DADOS!$AJ$5,tabela_registros[CATEGORIA],reservaoutrosconsolidadoout[[#This Row],[ATUAL]])</f>
        <v>0</v>
      </c>
      <c r="AF212" s="91">
        <f>SUMIFS(tabela_registros[VALOR],tabela_registros[MÊS],$AE$1,tabela_registros[DIA],reservaoutrosconsolidadoout[[#Headers],[28]],tabela_registros[REGISTRO],DADOS!$N$6,tabela_registros[TIPO],DADOS!$AJ$5,tabela_registros[CATEGORIA],reservaoutrosconsolidadoout[[#This Row],[ATUAL]])</f>
        <v>0</v>
      </c>
      <c r="AG212" s="91">
        <f>SUMIFS(tabela_registros[VALOR],tabela_registros[MÊS],$AE$1,tabela_registros[DIA],reservaoutrosconsolidadoout[[#Headers],[29]],tabela_registros[REGISTRO],DADOS!$N$6,tabela_registros[TIPO],DADOS!$AJ$5,tabela_registros[CATEGORIA],reservaoutrosconsolidadoout[[#This Row],[ATUAL]])</f>
        <v>0</v>
      </c>
      <c r="AH212" s="91">
        <f>SUMIFS(tabela_registros[VALOR],tabela_registros[MÊS],$AE$1,tabela_registros[DIA],reservaoutrosconsolidadoout[[#Headers],[30]],tabela_registros[REGISTRO],DADOS!$N$6,tabela_registros[TIPO],DADOS!$AJ$5,tabela_registros[CATEGORIA],reservaoutrosconsolidadoout[[#This Row],[ATUAL]])</f>
        <v>0</v>
      </c>
      <c r="AI212" s="101">
        <f>SUMIFS(tabela_registros[VALOR],tabela_registros[MÊS],$AE$1,tabela_registros[DIA],reservaoutrosconsolidadoout[[#Headers],[31]],tabela_registros[REGISTRO],DADOS!$N$6,tabela_registros[TIPO],DADOS!$AJ$5,tabela_registros[CATEGORIA],reservaoutrosconsolidadoout[[#This Row],[ATUAL]])</f>
        <v>0</v>
      </c>
      <c r="AJ212" s="97">
        <f>SUM(reservaoutrosconsolidadoout[[#This Row],[1]:[31]])</f>
        <v>0</v>
      </c>
      <c r="AK212" s="25"/>
    </row>
    <row r="213" spans="2:37" ht="19.5" customHeight="1" thickTop="1" thickBot="1" x14ac:dyDescent="0.3">
      <c r="B213" s="28"/>
      <c r="C213" s="27" t="str">
        <f>DADOS!$AP$10</f>
        <v>📎 OUTROS</v>
      </c>
      <c r="D213" s="26" t="str">
        <f>IF(reservaoutrosconsolidadoout[[#This Row],[TOTAL (R$)]]=0,"",IF(OR(reservaoutrosconsolidadoout[[#This Row],[TOTAL (R$)]]=LARGE($AJ$206:$AJ$213,1),reservaoutrosconsolidadoout[[#This Row],[TOTAL (R$)]]=LARGE($AJ$206:$AJ$213,2)),DADOS!$I$11,""))</f>
        <v/>
      </c>
      <c r="E213" s="96">
        <f>SUMIFS(tabela_registros[VALOR],tabela_registros[MÊS],$AE$1,tabela_registros[DIA],reservaoutrosconsolidadoout[[#Headers],[1]],tabela_registros[REGISTRO],DADOS!$N$6,tabela_registros[TIPO],DADOS!$AJ$5,tabela_registros[CATEGORIA],reservaoutrosconsolidadoout[[#This Row],[ATUAL]])</f>
        <v>0</v>
      </c>
      <c r="F213" s="91">
        <f>SUMIFS(tabela_registros[VALOR],tabela_registros[MÊS],$AE$1,tabela_registros[DIA],reservaoutrosconsolidadoout[[#Headers],[2]],tabela_registros[REGISTRO],DADOS!$N$6,tabela_registros[TIPO],DADOS!$AJ$5,tabela_registros[CATEGORIA],reservaoutrosconsolidadoout[[#This Row],[ATUAL]])</f>
        <v>0</v>
      </c>
      <c r="G213" s="91">
        <f>SUMIFS(tabela_registros[VALOR],tabela_registros[MÊS],$AE$1,tabela_registros[DIA],reservaoutrosconsolidadoout[[#Headers],[3]],tabela_registros[REGISTRO],DADOS!$N$6,tabela_registros[TIPO],DADOS!$AJ$5,tabela_registros[CATEGORIA],reservaoutrosconsolidadoout[[#This Row],[ATUAL]])</f>
        <v>0</v>
      </c>
      <c r="H213" s="91">
        <f>SUMIFS(tabela_registros[VALOR],tabela_registros[MÊS],$AE$1,tabela_registros[DIA],reservaoutrosconsolidadoout[[#Headers],[4]],tabela_registros[REGISTRO],DADOS!$N$6,tabela_registros[TIPO],DADOS!$AJ$5,tabela_registros[CATEGORIA],reservaoutrosconsolidadoout[[#This Row],[ATUAL]])</f>
        <v>0</v>
      </c>
      <c r="I213" s="91">
        <f>SUMIFS(tabela_registros[VALOR],tabela_registros[MÊS],$AE$1,tabela_registros[DIA],reservaoutrosconsolidadoout[[#Headers],[5]],tabela_registros[REGISTRO],DADOS!$N$6,tabela_registros[TIPO],DADOS!$AJ$5,tabela_registros[CATEGORIA],reservaoutrosconsolidadoout[[#This Row],[ATUAL]])</f>
        <v>0</v>
      </c>
      <c r="J213" s="91">
        <f>SUMIFS(tabela_registros[VALOR],tabela_registros[MÊS],$AE$1,tabela_registros[DIA],reservaoutrosconsolidadoout[[#Headers],[6]],tabela_registros[REGISTRO],DADOS!$N$6,tabela_registros[TIPO],DADOS!$AJ$5,tabela_registros[CATEGORIA],reservaoutrosconsolidadoout[[#This Row],[ATUAL]])</f>
        <v>0</v>
      </c>
      <c r="K213" s="91">
        <f>SUMIFS(tabela_registros[VALOR],tabela_registros[MÊS],$AE$1,tabela_registros[DIA],reservaoutrosconsolidadoout[[#Headers],[7]],tabela_registros[REGISTRO],DADOS!$N$6,tabela_registros[TIPO],DADOS!$AJ$5,tabela_registros[CATEGORIA],reservaoutrosconsolidadoout[[#This Row],[ATUAL]])</f>
        <v>0</v>
      </c>
      <c r="L213" s="91">
        <f>SUMIFS(tabela_registros[VALOR],tabela_registros[MÊS],$AE$1,tabela_registros[DIA],reservaoutrosconsolidadoout[[#Headers],[8]],tabela_registros[REGISTRO],DADOS!$N$6,tabela_registros[TIPO],DADOS!$AJ$5,tabela_registros[CATEGORIA],reservaoutrosconsolidadoout[[#This Row],[ATUAL]])</f>
        <v>0</v>
      </c>
      <c r="M213" s="91">
        <f>SUMIFS(tabela_registros[VALOR],tabela_registros[MÊS],$AE$1,tabela_registros[DIA],reservaoutrosconsolidadoout[[#Headers],[9]],tabela_registros[REGISTRO],DADOS!$N$6,tabela_registros[TIPO],DADOS!$AJ$5,tabela_registros[CATEGORIA],reservaoutrosconsolidadoout[[#This Row],[ATUAL]])</f>
        <v>0</v>
      </c>
      <c r="N213" s="91">
        <f>SUMIFS(tabela_registros[VALOR],tabela_registros[MÊS],$AE$1,tabela_registros[DIA],reservaoutrosconsolidadoout[[#Headers],[10]],tabela_registros[REGISTRO],DADOS!$N$6,tabela_registros[TIPO],DADOS!$AJ$5,tabela_registros[CATEGORIA],reservaoutrosconsolidadoout[[#This Row],[ATUAL]])</f>
        <v>0</v>
      </c>
      <c r="O213" s="91">
        <f>SUMIFS(tabela_registros[VALOR],tabela_registros[MÊS],$AE$1,tabela_registros[DIA],reservaoutrosconsolidadoout[[#Headers],[11]],tabela_registros[REGISTRO],DADOS!$N$6,tabela_registros[TIPO],DADOS!$AJ$5,tabela_registros[CATEGORIA],reservaoutrosconsolidadoout[[#This Row],[ATUAL]])</f>
        <v>0</v>
      </c>
      <c r="P213" s="91">
        <f>SUMIFS(tabela_registros[VALOR],tabela_registros[MÊS],$AE$1,tabela_registros[DIA],reservaoutrosconsolidadoout[[#Headers],[12]],tabela_registros[REGISTRO],DADOS!$N$6,tabela_registros[TIPO],DADOS!$AJ$5,tabela_registros[CATEGORIA],reservaoutrosconsolidadoout[[#This Row],[ATUAL]])</f>
        <v>0</v>
      </c>
      <c r="Q213" s="91">
        <f>SUMIFS(tabela_registros[VALOR],tabela_registros[MÊS],$AE$1,tabela_registros[DIA],reservaoutrosconsolidadoout[[#Headers],[13]],tabela_registros[REGISTRO],DADOS!$N$6,tabela_registros[TIPO],DADOS!$AJ$5,tabela_registros[CATEGORIA],reservaoutrosconsolidadoout[[#This Row],[ATUAL]])</f>
        <v>0</v>
      </c>
      <c r="R213" s="91">
        <f>SUMIFS(tabela_registros[VALOR],tabela_registros[MÊS],$AE$1,tabela_registros[DIA],reservaoutrosconsolidadoout[[#Headers],[14]],tabela_registros[REGISTRO],DADOS!$N$6,tabela_registros[TIPO],DADOS!$AJ$5,tabela_registros[CATEGORIA],reservaoutrosconsolidadoout[[#This Row],[ATUAL]])</f>
        <v>0</v>
      </c>
      <c r="S213" s="91">
        <f>SUMIFS(tabela_registros[VALOR],tabela_registros[MÊS],$AE$1,tabela_registros[DIA],reservaoutrosconsolidadoout[[#Headers],[15]],tabela_registros[REGISTRO],DADOS!$N$6,tabela_registros[TIPO],DADOS!$AJ$5,tabela_registros[CATEGORIA],reservaoutrosconsolidadoout[[#This Row],[ATUAL]])</f>
        <v>0</v>
      </c>
      <c r="T213" s="91">
        <f>SUMIFS(tabela_registros[VALOR],tabela_registros[MÊS],$AE$1,tabela_registros[DIA],reservaoutrosconsolidadoout[[#Headers],[16]],tabela_registros[REGISTRO],DADOS!$N$6,tabela_registros[TIPO],DADOS!$AJ$5,tabela_registros[CATEGORIA],reservaoutrosconsolidadoout[[#This Row],[ATUAL]])</f>
        <v>0</v>
      </c>
      <c r="U213" s="91">
        <f>SUMIFS(tabela_registros[VALOR],tabela_registros[MÊS],$AE$1,tabela_registros[DIA],reservaoutrosconsolidadoout[[#Headers],[17]],tabela_registros[REGISTRO],DADOS!$N$6,tabela_registros[TIPO],DADOS!$AJ$5,tabela_registros[CATEGORIA],reservaoutrosconsolidadoout[[#This Row],[ATUAL]])</f>
        <v>0</v>
      </c>
      <c r="V213" s="91">
        <f>SUMIFS(tabela_registros[VALOR],tabela_registros[MÊS],$AE$1,tabela_registros[DIA],reservaoutrosconsolidadoout[[#Headers],[18]],tabela_registros[REGISTRO],DADOS!$N$6,tabela_registros[TIPO],DADOS!$AJ$5,tabela_registros[CATEGORIA],reservaoutrosconsolidadoout[[#This Row],[ATUAL]])</f>
        <v>0</v>
      </c>
      <c r="W213" s="91">
        <f>SUMIFS(tabela_registros[VALOR],tabela_registros[MÊS],$AE$1,tabela_registros[DIA],reservaoutrosconsolidadoout[[#Headers],[19]],tabela_registros[REGISTRO],DADOS!$N$6,tabela_registros[TIPO],DADOS!$AJ$5,tabela_registros[CATEGORIA],reservaoutrosconsolidadoout[[#This Row],[ATUAL]])</f>
        <v>0</v>
      </c>
      <c r="X213" s="91">
        <f>SUMIFS(tabela_registros[VALOR],tabela_registros[MÊS],$AE$1,tabela_registros[DIA],reservaoutrosconsolidadoout[[#Headers],[20]],tabela_registros[REGISTRO],DADOS!$N$6,tabela_registros[TIPO],DADOS!$AJ$5,tabela_registros[CATEGORIA],reservaoutrosconsolidadoout[[#This Row],[ATUAL]])</f>
        <v>0</v>
      </c>
      <c r="Y213" s="91">
        <f>SUMIFS(tabela_registros[VALOR],tabela_registros[MÊS],$AE$1,tabela_registros[DIA],reservaoutrosconsolidadoout[[#Headers],[21]],tabela_registros[REGISTRO],DADOS!$N$6,tabela_registros[TIPO],DADOS!$AJ$5,tabela_registros[CATEGORIA],reservaoutrosconsolidadoout[[#This Row],[ATUAL]])</f>
        <v>0</v>
      </c>
      <c r="Z213" s="91">
        <f>SUMIFS(tabela_registros[VALOR],tabela_registros[MÊS],$AE$1,tabela_registros[DIA],reservaoutrosconsolidadoout[[#Headers],[22]],tabela_registros[REGISTRO],DADOS!$N$6,tabela_registros[TIPO],DADOS!$AJ$5,tabela_registros[CATEGORIA],reservaoutrosconsolidadoout[[#This Row],[ATUAL]])</f>
        <v>0</v>
      </c>
      <c r="AA213" s="91">
        <f>SUMIFS(tabela_registros[VALOR],tabela_registros[MÊS],$AE$1,tabela_registros[DIA],reservaoutrosconsolidadoout[[#Headers],[23]],tabela_registros[REGISTRO],DADOS!$N$6,tabela_registros[TIPO],DADOS!$AJ$5,tabela_registros[CATEGORIA],reservaoutrosconsolidadoout[[#This Row],[ATUAL]])</f>
        <v>0</v>
      </c>
      <c r="AB213" s="91">
        <f>SUMIFS(tabela_registros[VALOR],tabela_registros[MÊS],$AE$1,tabela_registros[DIA],reservaoutrosconsolidadoout[[#Headers],[24]],tabela_registros[REGISTRO],DADOS!$N$6,tabela_registros[TIPO],DADOS!$AJ$5,tabela_registros[CATEGORIA],reservaoutrosconsolidadoout[[#This Row],[ATUAL]])</f>
        <v>0</v>
      </c>
      <c r="AC213" s="91">
        <f>SUMIFS(tabela_registros[VALOR],tabela_registros[MÊS],$AE$1,tabela_registros[DIA],reservaoutrosconsolidadoout[[#Headers],[25]],tabela_registros[REGISTRO],DADOS!$N$6,tabela_registros[TIPO],DADOS!$AJ$5,tabela_registros[CATEGORIA],reservaoutrosconsolidadoout[[#This Row],[ATUAL]])</f>
        <v>0</v>
      </c>
      <c r="AD213" s="91">
        <f>SUMIFS(tabela_registros[VALOR],tabela_registros[MÊS],$AE$1,tabela_registros[DIA],reservaoutrosconsolidadoout[[#Headers],[26]],tabela_registros[REGISTRO],DADOS!$N$6,tabela_registros[TIPO],DADOS!$AJ$5,tabela_registros[CATEGORIA],reservaoutrosconsolidadoout[[#This Row],[ATUAL]])</f>
        <v>0</v>
      </c>
      <c r="AE213" s="91">
        <f>SUMIFS(tabela_registros[VALOR],tabela_registros[MÊS],$AE$1,tabela_registros[DIA],reservaoutrosconsolidadoout[[#Headers],[27]],tabela_registros[REGISTRO],DADOS!$N$6,tabela_registros[TIPO],DADOS!$AJ$5,tabela_registros[CATEGORIA],reservaoutrosconsolidadoout[[#This Row],[ATUAL]])</f>
        <v>0</v>
      </c>
      <c r="AF213" s="91">
        <f>SUMIFS(tabela_registros[VALOR],tabela_registros[MÊS],$AE$1,tabela_registros[DIA],reservaoutrosconsolidadoout[[#Headers],[28]],tabela_registros[REGISTRO],DADOS!$N$6,tabela_registros[TIPO],DADOS!$AJ$5,tabela_registros[CATEGORIA],reservaoutrosconsolidadoout[[#This Row],[ATUAL]])</f>
        <v>0</v>
      </c>
      <c r="AG213" s="91">
        <f>SUMIFS(tabela_registros[VALOR],tabela_registros[MÊS],$AE$1,tabela_registros[DIA],reservaoutrosconsolidadoout[[#Headers],[29]],tabela_registros[REGISTRO],DADOS!$N$6,tabela_registros[TIPO],DADOS!$AJ$5,tabela_registros[CATEGORIA],reservaoutrosconsolidadoout[[#This Row],[ATUAL]])</f>
        <v>0</v>
      </c>
      <c r="AH213" s="91">
        <f>SUMIFS(tabela_registros[VALOR],tabela_registros[MÊS],$AE$1,tabela_registros[DIA],reservaoutrosconsolidadoout[[#Headers],[30]],tabela_registros[REGISTRO],DADOS!$N$6,tabela_registros[TIPO],DADOS!$AJ$5,tabela_registros[CATEGORIA],reservaoutrosconsolidadoout[[#This Row],[ATUAL]])</f>
        <v>0</v>
      </c>
      <c r="AI213" s="102">
        <f>SUMIFS(tabela_registros[VALOR],tabela_registros[MÊS],$AE$1,tabela_registros[DIA],reservaoutrosconsolidadoout[[#Headers],[31]],tabela_registros[REGISTRO],DADOS!$N$6,tabela_registros[TIPO],DADOS!$AJ$5,tabela_registros[CATEGORIA],reservaoutrosconsolidadoout[[#This Row],[ATUAL]])</f>
        <v>0</v>
      </c>
      <c r="AJ213" s="103">
        <f>SUM(reservaoutrosconsolidadoout[[#This Row],[1]:[31]])</f>
        <v>0</v>
      </c>
      <c r="AK213" s="25"/>
    </row>
    <row r="214" spans="2:37" s="16" customFormat="1" ht="21" customHeight="1" thickTop="1" thickBot="1" x14ac:dyDescent="0.35">
      <c r="B214" s="24"/>
      <c r="C214" s="23" t="s">
        <v>19</v>
      </c>
      <c r="D214" s="22"/>
      <c r="E214" s="21">
        <f>SUM(E206:E213)</f>
        <v>0</v>
      </c>
      <c r="F214" s="20">
        <f>SUM(F206:F213)+reservaoutrosconsolidadoout[[#This Row],[1]]</f>
        <v>0</v>
      </c>
      <c r="G214" s="20">
        <f>SUM(G206:G213)+reservaoutrosconsolidadoout[[#This Row],[2]]</f>
        <v>0</v>
      </c>
      <c r="H214" s="20">
        <f>SUM(H206:H213)+reservaoutrosconsolidadoout[[#This Row],[3]]</f>
        <v>0</v>
      </c>
      <c r="I214" s="20">
        <f>SUM(I206:I213)+reservaoutrosconsolidadoout[[#This Row],[4]]</f>
        <v>0</v>
      </c>
      <c r="J214" s="20">
        <f>SUM(J206:J213)+reservaoutrosconsolidadoout[[#This Row],[5]]</f>
        <v>0</v>
      </c>
      <c r="K214" s="20">
        <f>SUM(K206:K213)+reservaoutrosconsolidadoout[[#This Row],[6]]</f>
        <v>0</v>
      </c>
      <c r="L214" s="20">
        <f>SUM(L206:L213)+reservaoutrosconsolidadoout[[#This Row],[7]]</f>
        <v>0</v>
      </c>
      <c r="M214" s="20">
        <f>SUM(M206:M213)+reservaoutrosconsolidadoout[[#This Row],[8]]</f>
        <v>0</v>
      </c>
      <c r="N214" s="20">
        <f>SUM(N206:N213)+reservaoutrosconsolidadoout[[#This Row],[9]]</f>
        <v>0</v>
      </c>
      <c r="O214" s="20">
        <f>SUM(O206:O213)+reservaoutrosconsolidadoout[[#This Row],[10]]</f>
        <v>0</v>
      </c>
      <c r="P214" s="20">
        <f>SUM(P206:P213)+reservaoutrosconsolidadoout[[#This Row],[11]]</f>
        <v>0</v>
      </c>
      <c r="Q214" s="20">
        <f>SUM(Q206:Q213)+reservaoutrosconsolidadoout[[#This Row],[12]]</f>
        <v>0</v>
      </c>
      <c r="R214" s="20">
        <f>SUM(R206:R213)+reservaoutrosconsolidadoout[[#This Row],[13]]</f>
        <v>0</v>
      </c>
      <c r="S214" s="20">
        <f>SUM(S206:S213)+reservaoutrosconsolidadoout[[#This Row],[14]]</f>
        <v>0</v>
      </c>
      <c r="T214" s="20">
        <f>SUM(T206:T213)+reservaoutrosconsolidadoout[[#This Row],[15]]</f>
        <v>0</v>
      </c>
      <c r="U214" s="20">
        <f>SUM(U206:U213)+reservaoutrosconsolidadoout[[#This Row],[16]]</f>
        <v>0</v>
      </c>
      <c r="V214" s="20">
        <f>SUM(V206:V213)+reservaoutrosconsolidadoout[[#This Row],[17]]</f>
        <v>0</v>
      </c>
      <c r="W214" s="20">
        <f>SUM(W206:W213)+reservaoutrosconsolidadoout[[#This Row],[18]]</f>
        <v>0</v>
      </c>
      <c r="X214" s="20">
        <f>SUM(X206:X213)+reservaoutrosconsolidadoout[[#This Row],[19]]</f>
        <v>0</v>
      </c>
      <c r="Y214" s="20">
        <f>SUM(Y206:Y213)+reservaoutrosconsolidadoout[[#This Row],[20]]</f>
        <v>0</v>
      </c>
      <c r="Z214" s="20">
        <f>SUM(Z206:Z213)+reservaoutrosconsolidadoout[[#This Row],[21]]</f>
        <v>0</v>
      </c>
      <c r="AA214" s="20">
        <f>SUM(AA206:AA213)+reservaoutrosconsolidadoout[[#This Row],[22]]</f>
        <v>0</v>
      </c>
      <c r="AB214" s="20">
        <f>SUM(AB206:AB213)+reservaoutrosconsolidadoout[[#This Row],[23]]</f>
        <v>0</v>
      </c>
      <c r="AC214" s="20">
        <f>SUM(AC206:AC213)+reservaoutrosconsolidadoout[[#This Row],[24]]</f>
        <v>0</v>
      </c>
      <c r="AD214" s="20">
        <f>SUM(AD206:AD213)+reservaoutrosconsolidadoout[[#This Row],[25]]</f>
        <v>0</v>
      </c>
      <c r="AE214" s="20">
        <f>SUM(AE206:AE213)+reservaoutrosconsolidadoout[[#This Row],[26]]</f>
        <v>0</v>
      </c>
      <c r="AF214" s="20">
        <f>SUM(AF206:AF213)+reservaoutrosconsolidadoout[[#This Row],[27]]</f>
        <v>0</v>
      </c>
      <c r="AG214" s="20">
        <f>SUM(AG206:AG213)+reservaoutrosconsolidadoout[[#This Row],[28]]</f>
        <v>0</v>
      </c>
      <c r="AH214" s="20">
        <f>SUM(AH206:AH213)+reservaoutrosconsolidadoout[[#This Row],[29]]</f>
        <v>0</v>
      </c>
      <c r="AI214" s="19">
        <f>SUM(AI206:AI213)+reservaoutrosconsolidadoout[[#This Row],[30]]</f>
        <v>0</v>
      </c>
      <c r="AJ214" s="18">
        <f>reservaoutrosconsolidadoout[[#This Row],[31]]</f>
        <v>0</v>
      </c>
      <c r="AK214" s="17"/>
    </row>
    <row r="215" spans="2:37" ht="6.75" customHeight="1" thickTop="1" thickBot="1" x14ac:dyDescent="0.3">
      <c r="B215" s="15"/>
      <c r="C215" s="14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3"/>
      <c r="AE215" s="13"/>
      <c r="AF215" s="13"/>
      <c r="AG215" s="13"/>
      <c r="AH215" s="13"/>
      <c r="AI215" s="12"/>
      <c r="AJ215" s="11"/>
      <c r="AK215" s="10"/>
    </row>
    <row r="216" spans="2:37" ht="12.6" thickTop="1" x14ac:dyDescent="0.25"/>
    <row r="217" spans="2:37" x14ac:dyDescent="0.25"/>
  </sheetData>
  <sheetProtection algorithmName="SHA-512" hashValue="YFRmPXu5Pyg+m+53I4ZMb6RhVDbZvk6+epi1qRMQKinVy2Vz68oAawh8lERZJdghXT1DmmODikhXeTh7D6prhQ==" saltValue="IaXXqWpOBdSgF9KpX6OVmA==" spinCount="100000" sheet="1" objects="1" scenarios="1" selectLockedCells="1" selectUnlockedCells="1"/>
  <mergeCells count="26">
    <mergeCell ref="E164:AI164"/>
    <mergeCell ref="E183:AI183"/>
    <mergeCell ref="E202:AI202"/>
    <mergeCell ref="E10:AI10"/>
    <mergeCell ref="E21:AI21"/>
    <mergeCell ref="E33:AI33"/>
    <mergeCell ref="E56:AI56"/>
    <mergeCell ref="E78:AI78"/>
    <mergeCell ref="E92:AI92"/>
    <mergeCell ref="E109:AI109"/>
    <mergeCell ref="E128:AI128"/>
    <mergeCell ref="E147:AI147"/>
    <mergeCell ref="AC3:AD4"/>
    <mergeCell ref="AF3:AG4"/>
    <mergeCell ref="E4:G4"/>
    <mergeCell ref="I4:K4"/>
    <mergeCell ref="M4:O4"/>
    <mergeCell ref="Q4:S4"/>
    <mergeCell ref="U4:W4"/>
    <mergeCell ref="U3:W3"/>
    <mergeCell ref="Z3:AA4"/>
    <mergeCell ref="C2:C6"/>
    <mergeCell ref="E3:G3"/>
    <mergeCell ref="I3:K3"/>
    <mergeCell ref="M3:O3"/>
    <mergeCell ref="Q3:S3"/>
  </mergeCells>
  <hyperlinks>
    <hyperlink ref="Z3:AA4" location="'🔒'!A1" display="REGISTROS" xr:uid="{77D20282-A5A4-4A2D-B681-142B800EEFD0}"/>
    <hyperlink ref="AF3:AG4" location="ANUAL!A1" display="ANUAL" xr:uid="{C4195B55-87F2-47CD-9025-EF3D8D94FAA8}"/>
    <hyperlink ref="AC3:AD4" location="'📈'!A1" display="RADAR" xr:uid="{1806D91C-E46C-42B0-90EF-2A293222F5E5}"/>
  </hyperlinks>
  <pageMargins left="0.511811024" right="0.511811024" top="0.78740157499999996" bottom="0.78740157499999996" header="0.31496062000000002" footer="0.31496062000000002"/>
  <ignoredErrors>
    <ignoredError sqref="E6:AI6" numberStoredAsText="1"/>
    <ignoredError sqref="AJ16:AJ27 D37:AJ214" calculatedColumn="1"/>
  </ignoredErrors>
  <drawing r:id="rId1"/>
  <tableParts count="12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</tableParts>
  <extLst>
    <ext xmlns:x14="http://schemas.microsoft.com/office/spreadsheetml/2009/9/main" uri="{05C60535-1F16-4fd2-B633-F4F36F0B64E0}">
      <x14:sparklineGroups xmlns:xm="http://schemas.microsoft.com/office/excel/2006/main">
        <x14:sparklineGroup manualMax="0" type="column" displayEmptyCellsAs="gap" high="1" negative="1" maxAxisType="group" xr2:uid="{3C464E89-410B-436C-93EF-12454967EA3A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'10'!E16:AI16</xm:f>
              <xm:sqref>E10</xm:sqref>
            </x14:sparkline>
          </x14:sparklines>
        </x14:sparklineGroup>
        <x14:sparklineGroup manualMax="0" manualMin="0" type="column" displayEmptyCellsAs="gap" high="1" low="1" negative="1" minAxisType="custom" maxAxisType="group" xr2:uid="{B2104962-920B-4EF4-B834-F91CFDCF20DE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'10'!E214:AI214</xm:f>
              <xm:sqref>E202</xm:sqref>
            </x14:sparkline>
          </x14:sparklines>
        </x14:sparklineGroup>
        <x14:sparklineGroup manualMax="0" manualMin="0" type="column" displayEmptyCellsAs="gap" high="1" low="1" negative="1" minAxisType="custom" maxAxisType="group" xr2:uid="{8F05A8B6-F745-4F32-A6AF-D23850E32773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'10'!E197:AI197</xm:f>
              <xm:sqref>E183</xm:sqref>
            </x14:sparkline>
          </x14:sparklines>
        </x14:sparklineGroup>
        <x14:sparklineGroup manualMax="0" manualMin="0" type="column" displayEmptyCellsAs="gap" high="1" low="1" negative="1" minAxisType="custom" maxAxisType="group" xr2:uid="{AF7E7EBC-867C-4044-81CD-F1A744493CA7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'10'!E178:AI178</xm:f>
              <xm:sqref>E164</xm:sqref>
            </x14:sparkline>
          </x14:sparklines>
        </x14:sparklineGroup>
        <x14:sparklineGroup manualMax="0" manualMin="0" type="column" displayEmptyCellsAs="gap" high="1" low="1" negative="1" minAxisType="custom" maxAxisType="group" xr2:uid="{196074F6-1577-4BAA-80F7-B5FF776145A7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'10'!E159:AI159</xm:f>
              <xm:sqref>E147</xm:sqref>
            </x14:sparkline>
          </x14:sparklines>
        </x14:sparklineGroup>
        <x14:sparklineGroup manualMax="0" manualMin="0" type="column" displayEmptyCellsAs="gap" high="1" low="1" negative="1" minAxisType="custom" maxAxisType="group" xr2:uid="{2840E0FD-1777-42C8-8155-12637E1776DA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'10'!E142:AI142</xm:f>
              <xm:sqref>E128</xm:sqref>
            </x14:sparkline>
          </x14:sparklines>
        </x14:sparklineGroup>
        <x14:sparklineGroup manualMax="0" manualMin="0" type="column" displayEmptyCellsAs="gap" high="1" low="1" negative="1" minAxisType="custom" maxAxisType="group" xr2:uid="{9FD2E4DE-9812-4719-84A6-D91A86ADCD45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'10'!E123:AI123</xm:f>
              <xm:sqref>E109</xm:sqref>
            </x14:sparkline>
          </x14:sparklines>
        </x14:sparklineGroup>
        <x14:sparklineGroup manualMax="0" manualMin="0" type="column" displayEmptyCellsAs="gap" high="1" low="1" negative="1" minAxisType="custom" maxAxisType="group" xr2:uid="{F8C0152E-9921-45E6-ADFE-CA4925346D40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'10'!E104:AI104</xm:f>
              <xm:sqref>E92</xm:sqref>
            </x14:sparkline>
          </x14:sparklines>
        </x14:sparklineGroup>
        <x14:sparklineGroup manualMax="0" manualMin="0" type="column" displayEmptyCellsAs="gap" high="1" low="1" negative="1" minAxisType="custom" maxAxisType="group" xr2:uid="{60A587F8-C149-47AE-AF1B-C9C221E0AED0}">
          <x14:colorSeries rgb="FFC00000"/>
          <x14:colorNegative rgb="FFC00000"/>
          <x14:colorAxis rgb="FF000000"/>
          <x14:colorMarkers rgb="FF0070C0"/>
          <x14:colorFirst rgb="FFFFC000"/>
          <x14:colorLast rgb="FFFFC000"/>
          <x14:colorHigh rgb="FFFF0000"/>
          <x14:colorLow rgb="FFFFC000"/>
          <x14:sparklines>
            <x14:sparkline>
              <xm:f>'10'!E51:AI51</xm:f>
              <xm:sqref>E33</xm:sqref>
            </x14:sparkline>
          </x14:sparklines>
        </x14:sparklineGroup>
        <x14:sparklineGroup manualMax="0" manualMin="0" type="column" displayEmptyCellsAs="gap" high="1" low="1" negative="1" minAxisType="custom" maxAxisType="group" xr2:uid="{BB37599B-7D64-4BD7-8D51-32A2AF120534}">
          <x14:colorSeries rgb="FFC00000"/>
          <x14:colorNegative rgb="FFC00000"/>
          <x14:colorAxis rgb="FF000000"/>
          <x14:colorMarkers rgb="FF0070C0"/>
          <x14:colorFirst rgb="FFFFC000"/>
          <x14:colorLast rgb="FFFFC000"/>
          <x14:colorHigh rgb="FFFF0000"/>
          <x14:colorLow rgb="FFFFC000"/>
          <x14:sparklines>
            <x14:sparkline>
              <xm:f>'10'!E73:AI73</xm:f>
              <xm:sqref>E56</xm:sqref>
            </x14:sparkline>
          </x14:sparklines>
        </x14:sparklineGroup>
        <x14:sparklineGroup manualMax="0" manualMin="0" type="column" displayEmptyCellsAs="gap" high="1" low="1" negative="1" minAxisType="custom" maxAxisType="group" xr2:uid="{E6E4A837-4478-4E05-982C-660414C1410D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'10'!E87:AI87</xm:f>
              <xm:sqref>E78</xm:sqref>
            </x14:sparkline>
          </x14:sparklines>
        </x14:sparklineGroup>
        <x14:sparklineGroup manualMax="0" manualMin="0" type="column" displayEmptyCellsAs="gap" high="1" low="1" negative="1" minAxisType="custom" maxAxisType="group" xr2:uid="{01B59231-EDD1-44EC-B1F6-4E43B22C0109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'10'!E27:AI27</xm:f>
              <xm:sqref>E21</xm:sqref>
            </x14:sparkline>
          </x14:sparklines>
        </x14:sparklineGroup>
      </x14:sparklineGroups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655E69-2ABA-4578-B185-B1188A5E149D}">
  <sheetPr codeName="Planilha15">
    <tabColor rgb="FFFFEBAB"/>
  </sheetPr>
  <dimension ref="A1:AL217"/>
  <sheetViews>
    <sheetView showGridLines="0" showRowColHeaders="0" showZeros="0" zoomScale="85" zoomScaleNormal="85" workbookViewId="0">
      <pane xSplit="3" ySplit="6" topLeftCell="D7" activePane="bottomRight" state="frozen"/>
      <selection activeCell="D24" sqref="D24"/>
      <selection pane="topRight" activeCell="D24" sqref="D24"/>
      <selection pane="bottomLeft" activeCell="D24" sqref="D24"/>
      <selection pane="bottomRight" activeCell="D24" sqref="D24"/>
    </sheetView>
  </sheetViews>
  <sheetFormatPr defaultColWidth="0" defaultRowHeight="12" zeroHeight="1" x14ac:dyDescent="0.25"/>
  <cols>
    <col min="1" max="1" width="2.109375" style="4" customWidth="1"/>
    <col min="2" max="2" width="1.5546875" style="4" customWidth="1"/>
    <col min="3" max="3" width="29.33203125" style="4" bestFit="1" customWidth="1"/>
    <col min="4" max="4" width="4.6640625" style="4" customWidth="1"/>
    <col min="5" max="34" width="5.5546875" style="4" customWidth="1"/>
    <col min="35" max="35" width="5.5546875" style="9" hidden="1" customWidth="1"/>
    <col min="36" max="36" width="9.5546875" style="4" customWidth="1"/>
    <col min="37" max="37" width="1.5546875" style="4" customWidth="1"/>
    <col min="38" max="38" width="2" style="4" customWidth="1"/>
    <col min="39" max="16384" width="2.109375" style="4" hidden="1"/>
  </cols>
  <sheetData>
    <row r="1" spans="1:38" ht="29.25" hidden="1" customHeight="1" thickBot="1" x14ac:dyDescent="0.3">
      <c r="A1" s="80"/>
      <c r="B1" s="80"/>
      <c r="C1" s="80"/>
      <c r="D1" s="79"/>
      <c r="AD1" s="4" t="s">
        <v>215</v>
      </c>
      <c r="AE1" s="78">
        <v>11</v>
      </c>
      <c r="AH1" s="4" t="s">
        <v>214</v>
      </c>
      <c r="AI1" s="75">
        <f>IF('⚙️'!$Q$3=$AE$1,'⚙️'!$F$13,0)</f>
        <v>0</v>
      </c>
      <c r="AK1" s="75"/>
    </row>
    <row r="2" spans="1:38" ht="15.75" customHeight="1" thickTop="1" thickBot="1" x14ac:dyDescent="0.3">
      <c r="A2" s="77"/>
      <c r="B2" s="77"/>
      <c r="C2" s="245" t="s">
        <v>33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71"/>
      <c r="U2" s="71"/>
      <c r="V2" s="71"/>
      <c r="W2" s="71"/>
      <c r="X2" s="71"/>
      <c r="Y2" s="71"/>
      <c r="Z2" s="71"/>
      <c r="AA2" s="71"/>
      <c r="AB2" s="71"/>
      <c r="AC2" s="76"/>
      <c r="AD2" s="64"/>
      <c r="AE2" s="64"/>
      <c r="AF2" s="64"/>
      <c r="AG2" s="64"/>
      <c r="AH2" s="64"/>
      <c r="AI2" s="64"/>
      <c r="AJ2" s="64"/>
      <c r="AK2" s="64"/>
      <c r="AL2" s="64"/>
    </row>
    <row r="3" spans="1:38" s="73" customFormat="1" ht="18" customHeight="1" thickTop="1" thickBot="1" x14ac:dyDescent="0.3">
      <c r="A3" s="72"/>
      <c r="B3" s="72"/>
      <c r="C3" s="246"/>
      <c r="D3" s="2"/>
      <c r="E3" s="243" t="s">
        <v>211</v>
      </c>
      <c r="F3" s="243"/>
      <c r="G3" s="243"/>
      <c r="H3" s="71"/>
      <c r="I3" s="243" t="s">
        <v>210</v>
      </c>
      <c r="J3" s="243"/>
      <c r="K3" s="243"/>
      <c r="L3" s="71"/>
      <c r="M3" s="243" t="s">
        <v>209</v>
      </c>
      <c r="N3" s="243"/>
      <c r="O3" s="243"/>
      <c r="P3" s="71"/>
      <c r="Q3" s="243" t="s">
        <v>208</v>
      </c>
      <c r="R3" s="243"/>
      <c r="S3" s="243"/>
      <c r="T3" s="71"/>
      <c r="U3" s="243" t="s">
        <v>207</v>
      </c>
      <c r="V3" s="243"/>
      <c r="W3" s="243"/>
      <c r="X3" s="71"/>
      <c r="Y3" s="71"/>
      <c r="Z3" s="252" t="s">
        <v>23</v>
      </c>
      <c r="AA3" s="253"/>
      <c r="AB3" s="64"/>
      <c r="AC3" s="252" t="s">
        <v>24</v>
      </c>
      <c r="AD3" s="253"/>
      <c r="AE3" s="64"/>
      <c r="AF3" s="252" t="s">
        <v>22</v>
      </c>
      <c r="AG3" s="253"/>
      <c r="AH3" s="74"/>
      <c r="AI3" s="74"/>
      <c r="AJ3" s="74"/>
      <c r="AK3" s="64"/>
      <c r="AL3" s="64"/>
    </row>
    <row r="4" spans="1:38" s="73" customFormat="1" ht="18" customHeight="1" thickTop="1" thickBot="1" x14ac:dyDescent="0.3">
      <c r="A4" s="72"/>
      <c r="B4" s="72"/>
      <c r="C4" s="246"/>
      <c r="D4" s="2"/>
      <c r="E4" s="242">
        <f>$AJ$16</f>
        <v>-140</v>
      </c>
      <c r="F4" s="242"/>
      <c r="G4" s="242"/>
      <c r="H4" s="71"/>
      <c r="I4" s="242">
        <f>$AJ$14</f>
        <v>0</v>
      </c>
      <c r="J4" s="242"/>
      <c r="K4" s="242"/>
      <c r="L4" s="71"/>
      <c r="M4" s="242">
        <f>$AJ$15</f>
        <v>140</v>
      </c>
      <c r="N4" s="242"/>
      <c r="O4" s="242"/>
      <c r="P4" s="71"/>
      <c r="Q4" s="242">
        <f>$AJ$25</f>
        <v>0</v>
      </c>
      <c r="R4" s="242"/>
      <c r="S4" s="242"/>
      <c r="T4" s="71"/>
      <c r="U4" s="242">
        <f>$AJ$26</f>
        <v>0</v>
      </c>
      <c r="V4" s="242"/>
      <c r="W4" s="242"/>
      <c r="X4" s="71"/>
      <c r="Y4" s="71"/>
      <c r="Z4" s="254"/>
      <c r="AA4" s="255"/>
      <c r="AB4" s="64"/>
      <c r="AC4" s="254"/>
      <c r="AD4" s="255"/>
      <c r="AE4" s="64"/>
      <c r="AF4" s="254"/>
      <c r="AG4" s="255"/>
      <c r="AH4" s="74"/>
      <c r="AI4" s="74" t="s">
        <v>216</v>
      </c>
      <c r="AJ4" s="74"/>
      <c r="AK4" s="64"/>
      <c r="AL4" s="64"/>
    </row>
    <row r="5" spans="1:38" ht="11.25" customHeight="1" thickTop="1" thickBot="1" x14ac:dyDescent="0.3">
      <c r="A5" s="72"/>
      <c r="B5" s="72"/>
      <c r="C5" s="246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71"/>
      <c r="Y5" s="2"/>
      <c r="Z5" s="2"/>
      <c r="AA5" s="71"/>
      <c r="AB5" s="71"/>
      <c r="AC5" s="70"/>
      <c r="AD5" s="69"/>
      <c r="AE5" s="69"/>
      <c r="AF5" s="69"/>
      <c r="AG5" s="69"/>
      <c r="AH5" s="69"/>
      <c r="AI5" s="69"/>
      <c r="AJ5" s="64"/>
      <c r="AK5" s="64"/>
      <c r="AL5" s="64"/>
    </row>
    <row r="6" spans="1:38" ht="13.5" customHeight="1" thickTop="1" thickBot="1" x14ac:dyDescent="0.3">
      <c r="A6" s="68"/>
      <c r="B6" s="68"/>
      <c r="C6" s="247"/>
      <c r="D6" s="15"/>
      <c r="E6" s="67" t="s">
        <v>197</v>
      </c>
      <c r="F6" s="67" t="s">
        <v>196</v>
      </c>
      <c r="G6" s="66" t="s">
        <v>195</v>
      </c>
      <c r="H6" s="66" t="s">
        <v>194</v>
      </c>
      <c r="I6" s="66" t="s">
        <v>193</v>
      </c>
      <c r="J6" s="66" t="s">
        <v>192</v>
      </c>
      <c r="K6" s="66" t="s">
        <v>191</v>
      </c>
      <c r="L6" s="66" t="s">
        <v>190</v>
      </c>
      <c r="M6" s="66" t="s">
        <v>189</v>
      </c>
      <c r="N6" s="66" t="s">
        <v>188</v>
      </c>
      <c r="O6" s="66" t="s">
        <v>187</v>
      </c>
      <c r="P6" s="66" t="s">
        <v>186</v>
      </c>
      <c r="Q6" s="66" t="s">
        <v>185</v>
      </c>
      <c r="R6" s="66" t="s">
        <v>184</v>
      </c>
      <c r="S6" s="66" t="s">
        <v>183</v>
      </c>
      <c r="T6" s="66" t="s">
        <v>182</v>
      </c>
      <c r="U6" s="66" t="s">
        <v>181</v>
      </c>
      <c r="V6" s="66" t="s">
        <v>180</v>
      </c>
      <c r="W6" s="66" t="s">
        <v>179</v>
      </c>
      <c r="X6" s="66" t="s">
        <v>178</v>
      </c>
      <c r="Y6" s="66" t="s">
        <v>177</v>
      </c>
      <c r="Z6" s="66" t="s">
        <v>176</v>
      </c>
      <c r="AA6" s="66" t="s">
        <v>175</v>
      </c>
      <c r="AB6" s="66" t="s">
        <v>174</v>
      </c>
      <c r="AC6" s="66" t="s">
        <v>173</v>
      </c>
      <c r="AD6" s="66" t="s">
        <v>172</v>
      </c>
      <c r="AE6" s="66" t="s">
        <v>171</v>
      </c>
      <c r="AF6" s="66" t="s">
        <v>170</v>
      </c>
      <c r="AG6" s="66" t="s">
        <v>169</v>
      </c>
      <c r="AH6" s="66" t="s">
        <v>168</v>
      </c>
      <c r="AI6" s="65" t="s">
        <v>167</v>
      </c>
      <c r="AJ6" s="64"/>
      <c r="AK6" s="64"/>
      <c r="AL6" s="64"/>
    </row>
    <row r="7" spans="1:38" ht="12.6" thickTop="1" x14ac:dyDescent="0.25">
      <c r="E7" s="37"/>
      <c r="AI7" s="4"/>
    </row>
    <row r="8" spans="1:38" x14ac:dyDescent="0.25">
      <c r="AI8" s="4"/>
    </row>
    <row r="9" spans="1:38" x14ac:dyDescent="0.25">
      <c r="AI9" s="4"/>
    </row>
    <row r="10" spans="1:38" ht="39.75" customHeight="1" x14ac:dyDescent="0.7">
      <c r="C10" s="36"/>
      <c r="E10" s="240"/>
      <c r="F10" s="240"/>
      <c r="G10" s="240"/>
      <c r="H10" s="240"/>
      <c r="I10" s="240"/>
      <c r="J10" s="240"/>
      <c r="K10" s="240"/>
      <c r="L10" s="240"/>
      <c r="M10" s="240"/>
      <c r="N10" s="240"/>
      <c r="O10" s="240"/>
      <c r="P10" s="240"/>
      <c r="Q10" s="240"/>
      <c r="R10" s="240"/>
      <c r="S10" s="240"/>
      <c r="T10" s="240"/>
      <c r="U10" s="240"/>
      <c r="V10" s="240"/>
      <c r="W10" s="240"/>
      <c r="X10" s="240"/>
      <c r="Y10" s="240"/>
      <c r="Z10" s="240"/>
      <c r="AA10" s="240"/>
      <c r="AB10" s="240"/>
      <c r="AC10" s="240"/>
      <c r="AD10" s="240"/>
      <c r="AE10" s="240"/>
      <c r="AF10" s="240"/>
      <c r="AG10" s="240"/>
      <c r="AH10" s="240"/>
      <c r="AI10" s="240"/>
      <c r="AJ10" s="32" t="s">
        <v>19</v>
      </c>
    </row>
    <row r="11" spans="1:38" ht="12.6" thickBot="1" x14ac:dyDescent="0.3">
      <c r="AI11" s="4"/>
      <c r="AJ11" s="34" t="s">
        <v>202</v>
      </c>
    </row>
    <row r="12" spans="1:38" ht="6.75" customHeight="1" thickTop="1" thickBot="1" x14ac:dyDescent="0.3">
      <c r="B12" s="49"/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49"/>
      <c r="X12" s="49"/>
      <c r="Y12" s="49"/>
      <c r="Z12" s="49"/>
      <c r="AA12" s="49"/>
      <c r="AB12" s="49"/>
      <c r="AC12" s="49"/>
      <c r="AD12" s="49"/>
      <c r="AE12" s="49"/>
      <c r="AF12" s="49"/>
      <c r="AG12" s="49"/>
      <c r="AH12" s="49"/>
      <c r="AI12" s="49"/>
      <c r="AJ12" s="50"/>
      <c r="AK12" s="49"/>
    </row>
    <row r="13" spans="1:38" ht="13.2" hidden="1" thickTop="1" thickBot="1" x14ac:dyDescent="0.3">
      <c r="B13" s="2"/>
      <c r="C13" s="31" t="s">
        <v>199</v>
      </c>
      <c r="D13" s="30" t="s">
        <v>198</v>
      </c>
      <c r="E13" s="30" t="s">
        <v>197</v>
      </c>
      <c r="F13" s="30" t="s">
        <v>196</v>
      </c>
      <c r="G13" s="30" t="s">
        <v>195</v>
      </c>
      <c r="H13" s="30" t="s">
        <v>194</v>
      </c>
      <c r="I13" s="30" t="s">
        <v>193</v>
      </c>
      <c r="J13" s="30" t="s">
        <v>192</v>
      </c>
      <c r="K13" s="30" t="s">
        <v>191</v>
      </c>
      <c r="L13" s="30" t="s">
        <v>190</v>
      </c>
      <c r="M13" s="30" t="s">
        <v>189</v>
      </c>
      <c r="N13" s="30" t="s">
        <v>188</v>
      </c>
      <c r="O13" s="30" t="s">
        <v>187</v>
      </c>
      <c r="P13" s="30" t="s">
        <v>186</v>
      </c>
      <c r="Q13" s="30" t="s">
        <v>185</v>
      </c>
      <c r="R13" s="30" t="s">
        <v>184</v>
      </c>
      <c r="S13" s="30" t="s">
        <v>183</v>
      </c>
      <c r="T13" s="30" t="s">
        <v>182</v>
      </c>
      <c r="U13" s="30" t="s">
        <v>181</v>
      </c>
      <c r="V13" s="30" t="s">
        <v>180</v>
      </c>
      <c r="W13" s="30" t="s">
        <v>179</v>
      </c>
      <c r="X13" s="30" t="s">
        <v>178</v>
      </c>
      <c r="Y13" s="30" t="s">
        <v>177</v>
      </c>
      <c r="Z13" s="30" t="s">
        <v>176</v>
      </c>
      <c r="AA13" s="30" t="s">
        <v>175</v>
      </c>
      <c r="AB13" s="30" t="s">
        <v>174</v>
      </c>
      <c r="AC13" s="30" t="s">
        <v>173</v>
      </c>
      <c r="AD13" s="30" t="s">
        <v>172</v>
      </c>
      <c r="AE13" s="30" t="s">
        <v>171</v>
      </c>
      <c r="AF13" s="30" t="s">
        <v>170</v>
      </c>
      <c r="AG13" s="30" t="s">
        <v>169</v>
      </c>
      <c r="AH13" s="30" t="s">
        <v>168</v>
      </c>
      <c r="AI13" s="30" t="s">
        <v>167</v>
      </c>
      <c r="AJ13" s="29" t="s">
        <v>166</v>
      </c>
      <c r="AK13" s="49"/>
    </row>
    <row r="14" spans="1:38" ht="19.5" customHeight="1" thickTop="1" thickBot="1" x14ac:dyDescent="0.3">
      <c r="B14" s="49"/>
      <c r="C14" s="61" t="s">
        <v>206</v>
      </c>
      <c r="D14" s="60"/>
      <c r="E14" s="88">
        <f>SUMIFS(tabela_registros[VALOR],tabela_registros[MÊS],$AE$1,tabela_registros[DIA],novtotal3059718395107119131143155[[#Headers],[1]],tabela_registros[REGISTRO],DADOS!$N$3)</f>
        <v>0</v>
      </c>
      <c r="F14" s="88">
        <f>SUMIFS(tabela_registros[VALOR],tabela_registros[MÊS],$AE$1,tabela_registros[DIA],novtotal3059718395107119131143155[[#Headers],[2]],tabela_registros[REGISTRO],DADOS!$N$3)</f>
        <v>0</v>
      </c>
      <c r="G14" s="88">
        <f>SUMIFS(tabela_registros[VALOR],tabela_registros[MÊS],$AE$1,tabela_registros[DIA],novtotal3059718395107119131143155[[#Headers],[3]],tabela_registros[REGISTRO],DADOS!$N$3)</f>
        <v>0</v>
      </c>
      <c r="H14" s="88">
        <f>SUMIFS(tabela_registros[VALOR],tabela_registros[MÊS],$AE$1,tabela_registros[DIA],novtotal3059718395107119131143155[[#Headers],[4]],tabela_registros[REGISTRO],DADOS!$N$3)</f>
        <v>0</v>
      </c>
      <c r="I14" s="88">
        <f>SUMIFS(tabela_registros[VALOR],tabela_registros[MÊS],$AE$1,tabela_registros[DIA],novtotal3059718395107119131143155[[#Headers],[5]],tabela_registros[REGISTRO],DADOS!$N$3)</f>
        <v>0</v>
      </c>
      <c r="J14" s="88">
        <f>SUMIFS(tabela_registros[VALOR],tabela_registros[MÊS],$AE$1,tabela_registros[DIA],novtotal3059718395107119131143155[[#Headers],[6]],tabela_registros[REGISTRO],DADOS!$N$3)</f>
        <v>0</v>
      </c>
      <c r="K14" s="88">
        <f>SUMIFS(tabela_registros[VALOR],tabela_registros[MÊS],$AE$1,tabela_registros[DIA],novtotal3059718395107119131143155[[#Headers],[7]],tabela_registros[REGISTRO],DADOS!$N$3)</f>
        <v>0</v>
      </c>
      <c r="L14" s="88">
        <f>SUMIFS(tabela_registros[VALOR],tabela_registros[MÊS],$AE$1,tabela_registros[DIA],novtotal3059718395107119131143155[[#Headers],[8]],tabela_registros[REGISTRO],DADOS!$N$3)</f>
        <v>0</v>
      </c>
      <c r="M14" s="88">
        <f>SUMIFS(tabela_registros[VALOR],tabela_registros[MÊS],$AE$1,tabela_registros[DIA],novtotal3059718395107119131143155[[#Headers],[9]],tabela_registros[REGISTRO],DADOS!$N$3)</f>
        <v>0</v>
      </c>
      <c r="N14" s="88">
        <f>SUMIFS(tabela_registros[VALOR],tabela_registros[MÊS],$AE$1,tabela_registros[DIA],novtotal3059718395107119131143155[[#Headers],[10]],tabela_registros[REGISTRO],DADOS!$N$3)</f>
        <v>0</v>
      </c>
      <c r="O14" s="88">
        <f>SUMIFS(tabela_registros[VALOR],tabela_registros[MÊS],$AE$1,tabela_registros[DIA],novtotal3059718395107119131143155[[#Headers],[11]],tabela_registros[REGISTRO],DADOS!$N$3)</f>
        <v>0</v>
      </c>
      <c r="P14" s="88">
        <f>SUMIFS(tabela_registros[VALOR],tabela_registros[MÊS],$AE$1,tabela_registros[DIA],novtotal3059718395107119131143155[[#Headers],[12]],tabela_registros[REGISTRO],DADOS!$N$3)</f>
        <v>0</v>
      </c>
      <c r="Q14" s="88">
        <f>SUMIFS(tabela_registros[VALOR],tabela_registros[MÊS],$AE$1,tabela_registros[DIA],novtotal3059718395107119131143155[[#Headers],[13]],tabela_registros[REGISTRO],DADOS!$N$3)</f>
        <v>0</v>
      </c>
      <c r="R14" s="88">
        <f>SUMIFS(tabela_registros[VALOR],tabela_registros[MÊS],$AE$1,tabela_registros[DIA],novtotal3059718395107119131143155[[#Headers],[14]],tabela_registros[REGISTRO],DADOS!$N$3)</f>
        <v>0</v>
      </c>
      <c r="S14" s="88">
        <f>SUMIFS(tabela_registros[VALOR],tabela_registros[MÊS],$AE$1,tabela_registros[DIA],novtotal3059718395107119131143155[[#Headers],[15]],tabela_registros[REGISTRO],DADOS!$N$3)</f>
        <v>0</v>
      </c>
      <c r="T14" s="88">
        <f>SUMIFS(tabela_registros[VALOR],tabela_registros[MÊS],$AE$1,tabela_registros[DIA],novtotal3059718395107119131143155[[#Headers],[16]],tabela_registros[REGISTRO],DADOS!$N$3)</f>
        <v>0</v>
      </c>
      <c r="U14" s="88">
        <f>SUMIFS(tabela_registros[VALOR],tabela_registros[MÊS],$AE$1,tabela_registros[DIA],novtotal3059718395107119131143155[[#Headers],[17]],tabela_registros[REGISTRO],DADOS!$N$3)</f>
        <v>0</v>
      </c>
      <c r="V14" s="88">
        <f>SUMIFS(tabela_registros[VALOR],tabela_registros[MÊS],$AE$1,tabela_registros[DIA],novtotal3059718395107119131143155[[#Headers],[18]],tabela_registros[REGISTRO],DADOS!$N$3)</f>
        <v>0</v>
      </c>
      <c r="W14" s="88">
        <f>SUMIFS(tabela_registros[VALOR],tabela_registros[MÊS],$AE$1,tabela_registros[DIA],novtotal3059718395107119131143155[[#Headers],[19]],tabela_registros[REGISTRO],DADOS!$N$3)</f>
        <v>0</v>
      </c>
      <c r="X14" s="88">
        <f>SUMIFS(tabela_registros[VALOR],tabela_registros[MÊS],$AE$1,tabela_registros[DIA],novtotal3059718395107119131143155[[#Headers],[20]],tabela_registros[REGISTRO],DADOS!$N$3)</f>
        <v>0</v>
      </c>
      <c r="Y14" s="88">
        <f>SUMIFS(tabela_registros[VALOR],tabela_registros[MÊS],$AE$1,tabela_registros[DIA],novtotal3059718395107119131143155[[#Headers],[21]],tabela_registros[REGISTRO],DADOS!$N$3)</f>
        <v>0</v>
      </c>
      <c r="Z14" s="88">
        <f>SUMIFS(tabela_registros[VALOR],tabela_registros[MÊS],$AE$1,tabela_registros[DIA],novtotal3059718395107119131143155[[#Headers],[22]],tabela_registros[REGISTRO],DADOS!$N$3)</f>
        <v>0</v>
      </c>
      <c r="AA14" s="88">
        <f>SUMIFS(tabela_registros[VALOR],tabela_registros[MÊS],$AE$1,tabela_registros[DIA],novtotal3059718395107119131143155[[#Headers],[23]],tabela_registros[REGISTRO],DADOS!$N$3)</f>
        <v>0</v>
      </c>
      <c r="AB14" s="88">
        <f>SUMIFS(tabela_registros[VALOR],tabela_registros[MÊS],$AE$1,tabela_registros[DIA],novtotal3059718395107119131143155[[#Headers],[24]],tabela_registros[REGISTRO],DADOS!$N$3)</f>
        <v>0</v>
      </c>
      <c r="AC14" s="88">
        <f>SUMIFS(tabela_registros[VALOR],tabela_registros[MÊS],$AE$1,tabela_registros[DIA],novtotal3059718395107119131143155[[#Headers],[25]],tabela_registros[REGISTRO],DADOS!$N$3)</f>
        <v>0</v>
      </c>
      <c r="AD14" s="88">
        <f>SUMIFS(tabela_registros[VALOR],tabela_registros[MÊS],$AE$1,tabela_registros[DIA],novtotal3059718395107119131143155[[#Headers],[26]],tabela_registros[REGISTRO],DADOS!$N$3)</f>
        <v>0</v>
      </c>
      <c r="AE14" s="88">
        <f>SUMIFS(tabela_registros[VALOR],tabela_registros[MÊS],$AE$1,tabela_registros[DIA],novtotal3059718395107119131143155[[#Headers],[27]],tabela_registros[REGISTRO],DADOS!$N$3)</f>
        <v>0</v>
      </c>
      <c r="AF14" s="88">
        <f>SUMIFS(tabela_registros[VALOR],tabela_registros[MÊS],$AE$1,tabela_registros[DIA],novtotal3059718395107119131143155[[#Headers],[28]],tabela_registros[REGISTRO],DADOS!$N$3)</f>
        <v>0</v>
      </c>
      <c r="AG14" s="88">
        <f>SUMIFS(tabela_registros[VALOR],tabela_registros[MÊS],$AE$1,tabela_registros[DIA],novtotal3059718395107119131143155[[#Headers],[29]],tabela_registros[REGISTRO],DADOS!$N$3)</f>
        <v>0</v>
      </c>
      <c r="AH14" s="89">
        <f>SUMIFS(tabela_registros[VALOR],tabela_registros[MÊS],$AE$1,tabela_registros[DIA],novtotal3059718395107119131143155[[#Headers],[30]],tabela_registros[REGISTRO],DADOS!$N$3)</f>
        <v>0</v>
      </c>
      <c r="AI14" s="90">
        <f>SUMIFS(tabela_registros[VALOR],tabela_registros[MÊS],$AE$1,tabela_registros[DIA],novtotal3059718395107119131143155[[#Headers],[31]],tabela_registros[REGISTRO],DADOS!$N$3)</f>
        <v>0</v>
      </c>
      <c r="AJ14" s="89">
        <f>SUM(novtotal3059718395107119131143155[[#This Row],[1]:[31]])</f>
        <v>0</v>
      </c>
      <c r="AK14" s="49"/>
    </row>
    <row r="15" spans="1:38" ht="18" customHeight="1" thickTop="1" thickBot="1" x14ac:dyDescent="0.3">
      <c r="B15" s="49"/>
      <c r="C15" s="61" t="s">
        <v>205</v>
      </c>
      <c r="D15" s="60"/>
      <c r="E15" s="91">
        <f>SUMIFS(tabela_registros[VALOR],tabela_registros[MÊS],$AE$1,tabela_registros[DIA],novtotal3059718395107119131143155[[#Headers],[1]],tabela_registros[REGISTRO],DADOS!$N$4)</f>
        <v>0</v>
      </c>
      <c r="F15" s="91">
        <f>SUMIFS(tabela_registros[VALOR],tabela_registros[MÊS],$AE$1,tabela_registros[DIA],novtotal3059718395107119131143155[[#Headers],[2]],tabela_registros[REGISTRO],DADOS!$N$4)</f>
        <v>0</v>
      </c>
      <c r="G15" s="91">
        <f>SUMIFS(tabela_registros[VALOR],tabela_registros[MÊS],$AE$1,tabela_registros[DIA],novtotal3059718395107119131143155[[#Headers],[3]],tabela_registros[REGISTRO],DADOS!$N$4)</f>
        <v>0</v>
      </c>
      <c r="H15" s="91">
        <f>SUMIFS(tabela_registros[VALOR],tabela_registros[MÊS],$AE$1,tabela_registros[DIA],novtotal3059718395107119131143155[[#Headers],[4]],tabela_registros[REGISTRO],DADOS!$N$4)</f>
        <v>0</v>
      </c>
      <c r="I15" s="91">
        <f>SUMIFS(tabela_registros[VALOR],tabela_registros[MÊS],$AE$1,tabela_registros[DIA],novtotal3059718395107119131143155[[#Headers],[5]],tabela_registros[REGISTRO],DADOS!$N$4)</f>
        <v>0</v>
      </c>
      <c r="J15" s="91">
        <f>SUMIFS(tabela_registros[VALOR],tabela_registros[MÊS],$AE$1,tabela_registros[DIA],novtotal3059718395107119131143155[[#Headers],[6]],tabela_registros[REGISTRO],DADOS!$N$4)</f>
        <v>0</v>
      </c>
      <c r="K15" s="91">
        <f>SUMIFS(tabela_registros[VALOR],tabela_registros[MÊS],$AE$1,tabela_registros[DIA],novtotal3059718395107119131143155[[#Headers],[7]],tabela_registros[REGISTRO],DADOS!$N$4)</f>
        <v>0</v>
      </c>
      <c r="L15" s="91">
        <f>SUMIFS(tabela_registros[VALOR],tabela_registros[MÊS],$AE$1,tabela_registros[DIA],novtotal3059718395107119131143155[[#Headers],[8]],tabela_registros[REGISTRO],DADOS!$N$4)</f>
        <v>0</v>
      </c>
      <c r="M15" s="91">
        <f>SUMIFS(tabela_registros[VALOR],tabela_registros[MÊS],$AE$1,tabela_registros[DIA],novtotal3059718395107119131143155[[#Headers],[9]],tabela_registros[REGISTRO],DADOS!$N$4)</f>
        <v>0</v>
      </c>
      <c r="N15" s="91">
        <f>SUMIFS(tabela_registros[VALOR],tabela_registros[MÊS],$AE$1,tabela_registros[DIA],novtotal3059718395107119131143155[[#Headers],[10]],tabela_registros[REGISTRO],DADOS!$N$4)</f>
        <v>0</v>
      </c>
      <c r="O15" s="91">
        <f>SUMIFS(tabela_registros[VALOR],tabela_registros[MÊS],$AE$1,tabela_registros[DIA],novtotal3059718395107119131143155[[#Headers],[11]],tabela_registros[REGISTRO],DADOS!$N$4)</f>
        <v>0</v>
      </c>
      <c r="P15" s="91">
        <f>SUMIFS(tabela_registros[VALOR],tabela_registros[MÊS],$AE$1,tabela_registros[DIA],novtotal3059718395107119131143155[[#Headers],[12]],tabela_registros[REGISTRO],DADOS!$N$4)</f>
        <v>0</v>
      </c>
      <c r="Q15" s="91">
        <f>SUMIFS(tabela_registros[VALOR],tabela_registros[MÊS],$AE$1,tabela_registros[DIA],novtotal3059718395107119131143155[[#Headers],[13]],tabela_registros[REGISTRO],DADOS!$N$4)</f>
        <v>0</v>
      </c>
      <c r="R15" s="91">
        <f>SUMIFS(tabela_registros[VALOR],tabela_registros[MÊS],$AE$1,tabela_registros[DIA],novtotal3059718395107119131143155[[#Headers],[14]],tabela_registros[REGISTRO],DADOS!$N$4)</f>
        <v>0</v>
      </c>
      <c r="S15" s="91">
        <f>SUMIFS(tabela_registros[VALOR],tabela_registros[MÊS],$AE$1,tabela_registros[DIA],novtotal3059718395107119131143155[[#Headers],[15]],tabela_registros[REGISTRO],DADOS!$N$4)</f>
        <v>0</v>
      </c>
      <c r="T15" s="91">
        <f>SUMIFS(tabela_registros[VALOR],tabela_registros[MÊS],$AE$1,tabela_registros[DIA],novtotal3059718395107119131143155[[#Headers],[16]],tabela_registros[REGISTRO],DADOS!$N$4)</f>
        <v>0</v>
      </c>
      <c r="U15" s="91">
        <f>SUMIFS(tabela_registros[VALOR],tabela_registros[MÊS],$AE$1,tabela_registros[DIA],novtotal3059718395107119131143155[[#Headers],[17]],tabela_registros[REGISTRO],DADOS!$N$4)</f>
        <v>0</v>
      </c>
      <c r="V15" s="91">
        <f>SUMIFS(tabela_registros[VALOR],tabela_registros[MÊS],$AE$1,tabela_registros[DIA],novtotal3059718395107119131143155[[#Headers],[18]],tabela_registros[REGISTRO],DADOS!$N$4)</f>
        <v>0</v>
      </c>
      <c r="W15" s="91">
        <f>SUMIFS(tabela_registros[VALOR],tabela_registros[MÊS],$AE$1,tabela_registros[DIA],novtotal3059718395107119131143155[[#Headers],[19]],tabela_registros[REGISTRO],DADOS!$N$4)</f>
        <v>0</v>
      </c>
      <c r="X15" s="91">
        <f>SUMIFS(tabela_registros[VALOR],tabela_registros[MÊS],$AE$1,tabela_registros[DIA],novtotal3059718395107119131143155[[#Headers],[20]],tabela_registros[REGISTRO],DADOS!$N$4)</f>
        <v>0</v>
      </c>
      <c r="Y15" s="91">
        <f>SUMIFS(tabela_registros[VALOR],tabela_registros[MÊS],$AE$1,tabela_registros[DIA],novtotal3059718395107119131143155[[#Headers],[21]],tabela_registros[REGISTRO],DADOS!$N$4)</f>
        <v>0</v>
      </c>
      <c r="Z15" s="91">
        <f>SUMIFS(tabela_registros[VALOR],tabela_registros[MÊS],$AE$1,tabela_registros[DIA],novtotal3059718395107119131143155[[#Headers],[22]],tabela_registros[REGISTRO],DADOS!$N$4)</f>
        <v>0</v>
      </c>
      <c r="AA15" s="91">
        <f>SUMIFS(tabela_registros[VALOR],tabela_registros[MÊS],$AE$1,tabela_registros[DIA],novtotal3059718395107119131143155[[#Headers],[23]],tabela_registros[REGISTRO],DADOS!$N$4)</f>
        <v>0</v>
      </c>
      <c r="AB15" s="91">
        <f>SUMIFS(tabela_registros[VALOR],tabela_registros[MÊS],$AE$1,tabela_registros[DIA],novtotal3059718395107119131143155[[#Headers],[24]],tabela_registros[REGISTRO],DADOS!$N$4)</f>
        <v>0</v>
      </c>
      <c r="AC15" s="91">
        <f>SUMIFS(tabela_registros[VALOR],tabela_registros[MÊS],$AE$1,tabela_registros[DIA],novtotal3059718395107119131143155[[#Headers],[25]],tabela_registros[REGISTRO],DADOS!$N$4)</f>
        <v>0</v>
      </c>
      <c r="AD15" s="91">
        <f>SUMIFS(tabela_registros[VALOR],tabela_registros[MÊS],$AE$1,tabela_registros[DIA],novtotal3059718395107119131143155[[#Headers],[26]],tabela_registros[REGISTRO],DADOS!$N$4)</f>
        <v>0</v>
      </c>
      <c r="AE15" s="91">
        <f>SUMIFS(tabela_registros[VALOR],tabela_registros[MÊS],$AE$1,tabela_registros[DIA],novtotal3059718395107119131143155[[#Headers],[27]],tabela_registros[REGISTRO],DADOS!$N$4)</f>
        <v>0</v>
      </c>
      <c r="AF15" s="91">
        <f>SUMIFS(tabela_registros[VALOR],tabela_registros[MÊS],$AE$1,tabela_registros[DIA],novtotal3059718395107119131143155[[#Headers],[28]],tabela_registros[REGISTRO],DADOS!$N$4)</f>
        <v>0</v>
      </c>
      <c r="AG15" s="91">
        <f>SUMIFS(tabela_registros[VALOR],tabela_registros[MÊS],$AE$1,tabela_registros[DIA],novtotal3059718395107119131143155[[#Headers],[29]],tabela_registros[REGISTRO],DADOS!$N$4)</f>
        <v>140</v>
      </c>
      <c r="AH15" s="92">
        <f>SUMIFS(tabela_registros[VALOR],tabela_registros[MÊS],$AE$1,tabela_registros[DIA],novtotal3059718395107119131143155[[#Headers],[30]],tabela_registros[REGISTRO],DADOS!$N$4)</f>
        <v>0</v>
      </c>
      <c r="AI15" s="93">
        <f>SUMIFS(tabela_registros[VALOR],tabela_registros[MÊS],$AE$1,tabela_registros[DIA],novtotal3059718395107119131143155[[#Headers],[31]],tabela_registros[REGISTRO],DADOS!$N$4)</f>
        <v>0</v>
      </c>
      <c r="AJ15" s="92">
        <f>SUM(novtotal3059718395107119131143155[[#This Row],[1]:[31]])</f>
        <v>140</v>
      </c>
      <c r="AK15" s="49"/>
    </row>
    <row r="16" spans="1:38" s="16" customFormat="1" ht="21" customHeight="1" thickTop="1" thickBot="1" x14ac:dyDescent="0.35">
      <c r="B16" s="52"/>
      <c r="C16" s="57" t="s">
        <v>204</v>
      </c>
      <c r="D16" s="63"/>
      <c r="E16" s="55">
        <f>(E14-E15)+AI1</f>
        <v>0</v>
      </c>
      <c r="F16" s="54">
        <f>novtotal3059718395107119131143155[[#This Row],[1]]+(F14-F15)</f>
        <v>0</v>
      </c>
      <c r="G16" s="54">
        <f>novtotal3059718395107119131143155[[#This Row],[2]]+(G14-G15)</f>
        <v>0</v>
      </c>
      <c r="H16" s="54">
        <f>novtotal3059718395107119131143155[[#This Row],[3]]+(H14-H15)</f>
        <v>0</v>
      </c>
      <c r="I16" s="54">
        <f>novtotal3059718395107119131143155[[#This Row],[4]]+(I14-I15)</f>
        <v>0</v>
      </c>
      <c r="J16" s="54">
        <f>novtotal3059718395107119131143155[[#This Row],[5]]+(J14-J15)</f>
        <v>0</v>
      </c>
      <c r="K16" s="54">
        <f>novtotal3059718395107119131143155[[#This Row],[6]]+(K14-K15)</f>
        <v>0</v>
      </c>
      <c r="L16" s="54">
        <f>novtotal3059718395107119131143155[[#This Row],[7]]+(L14-L15)</f>
        <v>0</v>
      </c>
      <c r="M16" s="54">
        <f>novtotal3059718395107119131143155[[#This Row],[8]]+(M14-M15)</f>
        <v>0</v>
      </c>
      <c r="N16" s="54">
        <f>novtotal3059718395107119131143155[[#This Row],[9]]+(N14-N15)</f>
        <v>0</v>
      </c>
      <c r="O16" s="54">
        <f>novtotal3059718395107119131143155[[#This Row],[10]]+(O14-O15)</f>
        <v>0</v>
      </c>
      <c r="P16" s="54">
        <f>novtotal3059718395107119131143155[[#This Row],[11]]+(P14-P15)</f>
        <v>0</v>
      </c>
      <c r="Q16" s="54">
        <f>novtotal3059718395107119131143155[[#This Row],[12]]+(Q14-Q15)</f>
        <v>0</v>
      </c>
      <c r="R16" s="54">
        <f>novtotal3059718395107119131143155[[#This Row],[13]]+(R14-R15)</f>
        <v>0</v>
      </c>
      <c r="S16" s="54">
        <f>novtotal3059718395107119131143155[[#This Row],[14]]+(S14-S15)</f>
        <v>0</v>
      </c>
      <c r="T16" s="54">
        <f>novtotal3059718395107119131143155[[#This Row],[15]]+(T14-T15)</f>
        <v>0</v>
      </c>
      <c r="U16" s="54">
        <f>novtotal3059718395107119131143155[[#This Row],[16]]+(U14-U15)</f>
        <v>0</v>
      </c>
      <c r="V16" s="54">
        <f>novtotal3059718395107119131143155[[#This Row],[17]]+(V14-V15)</f>
        <v>0</v>
      </c>
      <c r="W16" s="54">
        <f>novtotal3059718395107119131143155[[#This Row],[18]]+(W14-W15)</f>
        <v>0</v>
      </c>
      <c r="X16" s="54">
        <f>novtotal3059718395107119131143155[[#This Row],[19]]+(X14-X15)</f>
        <v>0</v>
      </c>
      <c r="Y16" s="54">
        <f>novtotal3059718395107119131143155[[#This Row],[20]]+(Y14-Y15)</f>
        <v>0</v>
      </c>
      <c r="Z16" s="54">
        <f>novtotal3059718395107119131143155[[#This Row],[21]]+(Z14-Z15)</f>
        <v>0</v>
      </c>
      <c r="AA16" s="54">
        <f>novtotal3059718395107119131143155[[#This Row],[22]]+(AA14-AA15)</f>
        <v>0</v>
      </c>
      <c r="AB16" s="54">
        <f>novtotal3059718395107119131143155[[#This Row],[23]]+(AB14-AB15)</f>
        <v>0</v>
      </c>
      <c r="AC16" s="54">
        <f>novtotal3059718395107119131143155[[#This Row],[24]]+(AC14-AC15)</f>
        <v>0</v>
      </c>
      <c r="AD16" s="54">
        <f>novtotal3059718395107119131143155[[#This Row],[25]]+(AD14-AD15)</f>
        <v>0</v>
      </c>
      <c r="AE16" s="54">
        <f>novtotal3059718395107119131143155[[#This Row],[26]]+(AE14-AE15)</f>
        <v>0</v>
      </c>
      <c r="AF16" s="54">
        <f>novtotal3059718395107119131143155[[#This Row],[27]]+(AF14-AF15)</f>
        <v>0</v>
      </c>
      <c r="AG16" s="54">
        <f>novtotal3059718395107119131143155[[#This Row],[28]]+(AG14-AG15)</f>
        <v>-140</v>
      </c>
      <c r="AH16" s="62">
        <f>novtotal3059718395107119131143155[[#This Row],[29]]+(AH14-AH15)</f>
        <v>-140</v>
      </c>
      <c r="AI16" s="53">
        <f>novtotal3059718395107119131143155[[#This Row],[30]]+(AI14-AI15)</f>
        <v>-140</v>
      </c>
      <c r="AJ16" s="62">
        <f>novtotal3059718395107119131143155[[#This Row],[31]]</f>
        <v>-140</v>
      </c>
      <c r="AK16" s="52"/>
    </row>
    <row r="17" spans="1:37" ht="6.75" customHeight="1" thickTop="1" thickBot="1" x14ac:dyDescent="0.3">
      <c r="B17" s="49"/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49"/>
      <c r="X17" s="49"/>
      <c r="Y17" s="49"/>
      <c r="Z17" s="49"/>
      <c r="AA17" s="49"/>
      <c r="AB17" s="49"/>
      <c r="AC17" s="49"/>
      <c r="AD17" s="49"/>
      <c r="AE17" s="49"/>
      <c r="AF17" s="49"/>
      <c r="AG17" s="49"/>
      <c r="AH17" s="49"/>
      <c r="AI17" s="50"/>
      <c r="AJ17" s="49"/>
      <c r="AK17" s="49"/>
    </row>
    <row r="18" spans="1:37" ht="12.6" thickTop="1" x14ac:dyDescent="0.25">
      <c r="C18" s="46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  <c r="AH18" s="47"/>
      <c r="AI18" s="47"/>
    </row>
    <row r="19" spans="1:37" x14ac:dyDescent="0.25">
      <c r="C19" s="46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  <c r="AA19" s="47"/>
      <c r="AB19" s="47"/>
      <c r="AC19" s="47"/>
      <c r="AD19" s="47"/>
      <c r="AE19" s="47"/>
      <c r="AF19" s="47"/>
      <c r="AG19" s="47"/>
      <c r="AH19" s="47"/>
      <c r="AI19" s="47"/>
    </row>
    <row r="20" spans="1:37" x14ac:dyDescent="0.25">
      <c r="A20" s="46"/>
      <c r="B20" s="46"/>
      <c r="C20" s="46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  <c r="AA20" s="47"/>
      <c r="AB20" s="47"/>
      <c r="AC20" s="47"/>
      <c r="AD20" s="47"/>
      <c r="AE20" s="47"/>
      <c r="AF20" s="47"/>
      <c r="AG20" s="47"/>
      <c r="AH20" s="47"/>
      <c r="AI20" s="47"/>
    </row>
    <row r="21" spans="1:37" ht="39.75" customHeight="1" x14ac:dyDescent="0.25">
      <c r="A21" s="46"/>
      <c r="B21" s="46"/>
      <c r="C21" s="46"/>
      <c r="E21" s="240"/>
      <c r="F21" s="240"/>
      <c r="G21" s="240"/>
      <c r="H21" s="240"/>
      <c r="I21" s="240"/>
      <c r="J21" s="240"/>
      <c r="K21" s="240"/>
      <c r="L21" s="240"/>
      <c r="M21" s="240"/>
      <c r="N21" s="240"/>
      <c r="O21" s="240"/>
      <c r="P21" s="240"/>
      <c r="Q21" s="240"/>
      <c r="R21" s="240"/>
      <c r="S21" s="240"/>
      <c r="T21" s="240"/>
      <c r="U21" s="240"/>
      <c r="V21" s="240"/>
      <c r="W21" s="240"/>
      <c r="X21" s="240"/>
      <c r="Y21" s="240"/>
      <c r="Z21" s="240"/>
      <c r="AA21" s="240"/>
      <c r="AB21" s="240"/>
      <c r="AC21" s="240"/>
      <c r="AD21" s="240"/>
      <c r="AE21" s="240"/>
      <c r="AF21" s="240"/>
      <c r="AG21" s="240"/>
      <c r="AH21" s="240"/>
      <c r="AI21" s="240"/>
      <c r="AJ21" s="32" t="s">
        <v>19</v>
      </c>
    </row>
    <row r="22" spans="1:37" ht="11.25" customHeight="1" thickBot="1" x14ac:dyDescent="0.75">
      <c r="C22" s="36"/>
      <c r="AI22" s="4"/>
      <c r="AJ22" s="34" t="s">
        <v>202</v>
      </c>
    </row>
    <row r="23" spans="1:37" ht="6.75" customHeight="1" thickTop="1" thickBot="1" x14ac:dyDescent="0.3">
      <c r="B23" s="49"/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49"/>
      <c r="X23" s="49"/>
      <c r="Y23" s="49"/>
      <c r="Z23" s="49"/>
      <c r="AA23" s="49"/>
      <c r="AB23" s="49"/>
      <c r="AC23" s="49"/>
      <c r="AD23" s="49"/>
      <c r="AE23" s="49"/>
      <c r="AF23" s="49"/>
      <c r="AG23" s="49"/>
      <c r="AH23" s="49"/>
      <c r="AI23" s="49"/>
      <c r="AJ23" s="50"/>
      <c r="AK23" s="49"/>
    </row>
    <row r="24" spans="1:37" ht="13.2" hidden="1" thickTop="1" thickBot="1" x14ac:dyDescent="0.3">
      <c r="B24" s="2"/>
      <c r="C24" s="30" t="s">
        <v>199</v>
      </c>
      <c r="D24" s="49" t="s">
        <v>198</v>
      </c>
      <c r="E24" s="30" t="s">
        <v>197</v>
      </c>
      <c r="F24" s="30" t="s">
        <v>196</v>
      </c>
      <c r="G24" s="30" t="s">
        <v>195</v>
      </c>
      <c r="H24" s="30" t="s">
        <v>194</v>
      </c>
      <c r="I24" s="30" t="s">
        <v>193</v>
      </c>
      <c r="J24" s="30" t="s">
        <v>192</v>
      </c>
      <c r="K24" s="30" t="s">
        <v>191</v>
      </c>
      <c r="L24" s="30" t="s">
        <v>190</v>
      </c>
      <c r="M24" s="30" t="s">
        <v>189</v>
      </c>
      <c r="N24" s="30" t="s">
        <v>188</v>
      </c>
      <c r="O24" s="30" t="s">
        <v>187</v>
      </c>
      <c r="P24" s="30" t="s">
        <v>186</v>
      </c>
      <c r="Q24" s="30" t="s">
        <v>185</v>
      </c>
      <c r="R24" s="30" t="s">
        <v>184</v>
      </c>
      <c r="S24" s="30" t="s">
        <v>183</v>
      </c>
      <c r="T24" s="30" t="s">
        <v>182</v>
      </c>
      <c r="U24" s="30" t="s">
        <v>181</v>
      </c>
      <c r="V24" s="30" t="s">
        <v>180</v>
      </c>
      <c r="W24" s="30" t="s">
        <v>179</v>
      </c>
      <c r="X24" s="30" t="s">
        <v>178</v>
      </c>
      <c r="Y24" s="30" t="s">
        <v>177</v>
      </c>
      <c r="Z24" s="30" t="s">
        <v>176</v>
      </c>
      <c r="AA24" s="30" t="s">
        <v>175</v>
      </c>
      <c r="AB24" s="30" t="s">
        <v>174</v>
      </c>
      <c r="AC24" s="30" t="s">
        <v>173</v>
      </c>
      <c r="AD24" s="30" t="s">
        <v>172</v>
      </c>
      <c r="AE24" s="30" t="s">
        <v>171</v>
      </c>
      <c r="AF24" s="30" t="s">
        <v>170</v>
      </c>
      <c r="AG24" s="30" t="s">
        <v>169</v>
      </c>
      <c r="AH24" s="30" t="s">
        <v>168</v>
      </c>
      <c r="AI24" s="30" t="s">
        <v>167</v>
      </c>
      <c r="AJ24" s="29" t="s">
        <v>166</v>
      </c>
      <c r="AK24" s="49"/>
    </row>
    <row r="25" spans="1:37" ht="19.5" customHeight="1" thickTop="1" thickBot="1" x14ac:dyDescent="0.3">
      <c r="B25" s="49"/>
      <c r="C25" s="61" t="s">
        <v>7</v>
      </c>
      <c r="D25" s="60"/>
      <c r="E25" s="88">
        <f>SUMIFS(tabela_registros[VALOR],tabela_registros[MÊS],$AE$1,tabela_registros[DIA],novtotal3059718395107119131143155[[#Headers],[1]],tabela_registros[REGISTRO],DADOS!$N$5)</f>
        <v>0</v>
      </c>
      <c r="F25" s="88">
        <f>SUMIFS(tabela_registros[VALOR],tabela_registros[MÊS],$AE$1,tabela_registros[DIA],novtotal3059718395107119131143155[[#Headers],[2]],tabela_registros[REGISTRO],DADOS!$N$5)</f>
        <v>0</v>
      </c>
      <c r="G25" s="88">
        <f>SUMIFS(tabela_registros[VALOR],tabela_registros[MÊS],$AE$1,tabela_registros[DIA],novtotal3059718395107119131143155[[#Headers],[3]],tabela_registros[REGISTRO],DADOS!$N$5)</f>
        <v>0</v>
      </c>
      <c r="H25" s="88">
        <f>SUMIFS(tabela_registros[VALOR],tabela_registros[MÊS],$AE$1,tabela_registros[DIA],novtotal3059718395107119131143155[[#Headers],[4]],tabela_registros[REGISTRO],DADOS!$N$5)</f>
        <v>0</v>
      </c>
      <c r="I25" s="88">
        <f>SUMIFS(tabela_registros[VALOR],tabela_registros[MÊS],$AE$1,tabela_registros[DIA],novtotal3059718395107119131143155[[#Headers],[5]],tabela_registros[REGISTRO],DADOS!$N$5)</f>
        <v>0</v>
      </c>
      <c r="J25" s="88">
        <f>SUMIFS(tabela_registros[VALOR],tabela_registros[MÊS],$AE$1,tabela_registros[DIA],novtotal3059718395107119131143155[[#Headers],[6]],tabela_registros[REGISTRO],DADOS!$N$5)</f>
        <v>0</v>
      </c>
      <c r="K25" s="88">
        <f>SUMIFS(tabela_registros[VALOR],tabela_registros[MÊS],$AE$1,tabela_registros[DIA],novtotal3059718395107119131143155[[#Headers],[7]],tabela_registros[REGISTRO],DADOS!$N$5)</f>
        <v>0</v>
      </c>
      <c r="L25" s="88">
        <f>SUMIFS(tabela_registros[VALOR],tabela_registros[MÊS],$AE$1,tabela_registros[DIA],novtotal3059718395107119131143155[[#Headers],[8]],tabela_registros[REGISTRO],DADOS!$N$5)</f>
        <v>0</v>
      </c>
      <c r="M25" s="88">
        <f>SUMIFS(tabela_registros[VALOR],tabela_registros[MÊS],$AE$1,tabela_registros[DIA],novtotal3059718395107119131143155[[#Headers],[9]],tabela_registros[REGISTRO],DADOS!$N$5)</f>
        <v>0</v>
      </c>
      <c r="N25" s="88">
        <f>SUMIFS(tabela_registros[VALOR],tabela_registros[MÊS],$AE$1,tabela_registros[DIA],novtotal3059718395107119131143155[[#Headers],[10]],tabela_registros[REGISTRO],DADOS!$N$5)</f>
        <v>0</v>
      </c>
      <c r="O25" s="88">
        <f>SUMIFS(tabela_registros[VALOR],tabela_registros[MÊS],$AE$1,tabela_registros[DIA],novtotal3059718395107119131143155[[#Headers],[11]],tabela_registros[REGISTRO],DADOS!$N$5)</f>
        <v>0</v>
      </c>
      <c r="P25" s="88">
        <f>SUMIFS(tabela_registros[VALOR],tabela_registros[MÊS],$AE$1,tabela_registros[DIA],novtotal3059718395107119131143155[[#Headers],[12]],tabela_registros[REGISTRO],DADOS!$N$5)</f>
        <v>0</v>
      </c>
      <c r="Q25" s="88">
        <f>SUMIFS(tabela_registros[VALOR],tabela_registros[MÊS],$AE$1,tabela_registros[DIA],novtotal3059718395107119131143155[[#Headers],[13]],tabela_registros[REGISTRO],DADOS!$N$5)</f>
        <v>0</v>
      </c>
      <c r="R25" s="88">
        <f>SUMIFS(tabela_registros[VALOR],tabela_registros[MÊS],$AE$1,tabela_registros[DIA],novtotal3059718395107119131143155[[#Headers],[14]],tabela_registros[REGISTRO],DADOS!$N$5)</f>
        <v>0</v>
      </c>
      <c r="S25" s="88">
        <f>SUMIFS(tabela_registros[VALOR],tabela_registros[MÊS],$AE$1,tabela_registros[DIA],novtotal3059718395107119131143155[[#Headers],[15]],tabela_registros[REGISTRO],DADOS!$N$5)</f>
        <v>0</v>
      </c>
      <c r="T25" s="88">
        <f>SUMIFS(tabela_registros[VALOR],tabela_registros[MÊS],$AE$1,tabela_registros[DIA],novtotal3059718395107119131143155[[#Headers],[16]],tabela_registros[REGISTRO],DADOS!$N$5)</f>
        <v>0</v>
      </c>
      <c r="U25" s="88">
        <f>SUMIFS(tabela_registros[VALOR],tabela_registros[MÊS],$AE$1,tabela_registros[DIA],novtotal3059718395107119131143155[[#Headers],[17]],tabela_registros[REGISTRO],DADOS!$N$5)</f>
        <v>0</v>
      </c>
      <c r="V25" s="88">
        <f>SUMIFS(tabela_registros[VALOR],tabela_registros[MÊS],$AE$1,tabela_registros[DIA],novtotal3059718395107119131143155[[#Headers],[18]],tabela_registros[REGISTRO],DADOS!$N$5)</f>
        <v>0</v>
      </c>
      <c r="W25" s="88">
        <f>SUMIFS(tabela_registros[VALOR],tabela_registros[MÊS],$AE$1,tabela_registros[DIA],novtotal3059718395107119131143155[[#Headers],[19]],tabela_registros[REGISTRO],DADOS!$N$5)</f>
        <v>0</v>
      </c>
      <c r="X25" s="88">
        <f>SUMIFS(tabela_registros[VALOR],tabela_registros[MÊS],$AE$1,tabela_registros[DIA],novtotal3059718395107119131143155[[#Headers],[20]],tabela_registros[REGISTRO],DADOS!$N$5)</f>
        <v>0</v>
      </c>
      <c r="Y25" s="88">
        <f>SUMIFS(tabela_registros[VALOR],tabela_registros[MÊS],$AE$1,tabela_registros[DIA],novtotal3059718395107119131143155[[#Headers],[21]],tabela_registros[REGISTRO],DADOS!$N$5)</f>
        <v>0</v>
      </c>
      <c r="Z25" s="88">
        <f>SUMIFS(tabela_registros[VALOR],tabela_registros[MÊS],$AE$1,tabela_registros[DIA],novtotal3059718395107119131143155[[#Headers],[22]],tabela_registros[REGISTRO],DADOS!$N$5)</f>
        <v>0</v>
      </c>
      <c r="AA25" s="88">
        <f>SUMIFS(tabela_registros[VALOR],tabela_registros[MÊS],$AE$1,tabela_registros[DIA],novtotal3059718395107119131143155[[#Headers],[23]],tabela_registros[REGISTRO],DADOS!$N$5)</f>
        <v>0</v>
      </c>
      <c r="AB25" s="88">
        <f>SUMIFS(tabela_registros[VALOR],tabela_registros[MÊS],$AE$1,tabela_registros[DIA],novtotal3059718395107119131143155[[#Headers],[24]],tabela_registros[REGISTRO],DADOS!$N$5)</f>
        <v>0</v>
      </c>
      <c r="AC25" s="88">
        <f>SUMIFS(tabela_registros[VALOR],tabela_registros[MÊS],$AE$1,tabela_registros[DIA],novtotal3059718395107119131143155[[#Headers],[25]],tabela_registros[REGISTRO],DADOS!$N$5)</f>
        <v>0</v>
      </c>
      <c r="AD25" s="88">
        <f>SUMIFS(tabela_registros[VALOR],tabela_registros[MÊS],$AE$1,tabela_registros[DIA],novtotal3059718395107119131143155[[#Headers],[26]],tabela_registros[REGISTRO],DADOS!$N$5)</f>
        <v>0</v>
      </c>
      <c r="AE25" s="88">
        <f>SUMIFS(tabela_registros[VALOR],tabela_registros[MÊS],$AE$1,tabela_registros[DIA],novtotal3059718395107119131143155[[#Headers],[27]],tabela_registros[REGISTRO],DADOS!$N$5)</f>
        <v>0</v>
      </c>
      <c r="AF25" s="88">
        <f>SUMIFS(tabela_registros[VALOR],tabela_registros[MÊS],$AE$1,tabela_registros[DIA],novtotal3059718395107119131143155[[#Headers],[28]],tabela_registros[REGISTRO],DADOS!$N$5)</f>
        <v>0</v>
      </c>
      <c r="AG25" s="88">
        <f>SUMIFS(tabela_registros[VALOR],tabela_registros[MÊS],$AE$1,tabela_registros[DIA],novtotal3059718395107119131143155[[#Headers],[29]],tabela_registros[REGISTRO],DADOS!$N$5)</f>
        <v>0</v>
      </c>
      <c r="AH25" s="89">
        <f>SUMIFS(tabela_registros[VALOR],tabela_registros[MÊS],$AE$1,tabela_registros[DIA],novtotal3059718395107119131143155[[#Headers],[30]],tabela_registros[REGISTRO],DADOS!$N$5)</f>
        <v>0</v>
      </c>
      <c r="AI25" s="90">
        <f>SUMIFS(tabela_registros[VALOR],tabela_registros[MÊS],$AE$1,tabela_registros[DIA],novtotal3059718395107119131143155[[#Headers],[31]],tabela_registros[REGISTRO],DADOS!$N$5)</f>
        <v>0</v>
      </c>
      <c r="AJ25" s="89">
        <f>SUM(E25:AI25)</f>
        <v>0</v>
      </c>
      <c r="AK25" s="49"/>
    </row>
    <row r="26" spans="1:37" ht="18" customHeight="1" thickTop="1" thickBot="1" x14ac:dyDescent="0.3">
      <c r="B26" s="49"/>
      <c r="C26" s="59" t="s">
        <v>8</v>
      </c>
      <c r="D26" s="58"/>
      <c r="E26" s="91">
        <f>SUMIFS(tabela_registros[VALOR],tabela_registros[MÊS],$AE$1,tabela_registros[DIA],novtotal3059718395107119131143155[[#Headers],[1]],tabela_registros[REGISTRO],DADOS!$N$6)</f>
        <v>0</v>
      </c>
      <c r="F26" s="91">
        <f>SUMIFS(tabela_registros[VALOR],tabela_registros[MÊS],$AE$1,tabela_registros[DIA],novtotal3059718395107119131143155[[#Headers],[2]],tabela_registros[REGISTRO],DADOS!$N$6)</f>
        <v>0</v>
      </c>
      <c r="G26" s="91">
        <f>SUMIFS(tabela_registros[VALOR],tabela_registros[MÊS],$AE$1,tabela_registros[DIA],novtotal3059718395107119131143155[[#Headers],[3]],tabela_registros[REGISTRO],DADOS!$N$6)</f>
        <v>0</v>
      </c>
      <c r="H26" s="91">
        <f>SUMIFS(tabela_registros[VALOR],tabela_registros[MÊS],$AE$1,tabela_registros[DIA],novtotal3059718395107119131143155[[#Headers],[4]],tabela_registros[REGISTRO],DADOS!$N$6)</f>
        <v>0</v>
      </c>
      <c r="I26" s="91">
        <f>SUMIFS(tabela_registros[VALOR],tabela_registros[MÊS],$AE$1,tabela_registros[DIA],novtotal3059718395107119131143155[[#Headers],[5]],tabela_registros[REGISTRO],DADOS!$N$6)</f>
        <v>0</v>
      </c>
      <c r="J26" s="91">
        <f>SUMIFS(tabela_registros[VALOR],tabela_registros[MÊS],$AE$1,tabela_registros[DIA],novtotal3059718395107119131143155[[#Headers],[6]],tabela_registros[REGISTRO],DADOS!$N$6)</f>
        <v>0</v>
      </c>
      <c r="K26" s="91">
        <f>SUMIFS(tabela_registros[VALOR],tabela_registros[MÊS],$AE$1,tabela_registros[DIA],novtotal3059718395107119131143155[[#Headers],[7]],tabela_registros[REGISTRO],DADOS!$N$6)</f>
        <v>0</v>
      </c>
      <c r="L26" s="91">
        <f>SUMIFS(tabela_registros[VALOR],tabela_registros[MÊS],$AE$1,tabela_registros[DIA],novtotal3059718395107119131143155[[#Headers],[8]],tabela_registros[REGISTRO],DADOS!$N$6)</f>
        <v>0</v>
      </c>
      <c r="M26" s="91">
        <f>SUMIFS(tabela_registros[VALOR],tabela_registros[MÊS],$AE$1,tabela_registros[DIA],novtotal3059718395107119131143155[[#Headers],[9]],tabela_registros[REGISTRO],DADOS!$N$6)</f>
        <v>0</v>
      </c>
      <c r="N26" s="91">
        <f>SUMIFS(tabela_registros[VALOR],tabela_registros[MÊS],$AE$1,tabela_registros[DIA],novtotal3059718395107119131143155[[#Headers],[10]],tabela_registros[REGISTRO],DADOS!$N$6)</f>
        <v>0</v>
      </c>
      <c r="O26" s="91">
        <f>SUMIFS(tabela_registros[VALOR],tabela_registros[MÊS],$AE$1,tabela_registros[DIA],novtotal3059718395107119131143155[[#Headers],[11]],tabela_registros[REGISTRO],DADOS!$N$6)</f>
        <v>0</v>
      </c>
      <c r="P26" s="91">
        <f>SUMIFS(tabela_registros[VALOR],tabela_registros[MÊS],$AE$1,tabela_registros[DIA],novtotal3059718395107119131143155[[#Headers],[12]],tabela_registros[REGISTRO],DADOS!$N$6)</f>
        <v>0</v>
      </c>
      <c r="Q26" s="91">
        <f>SUMIFS(tabela_registros[VALOR],tabela_registros[MÊS],$AE$1,tabela_registros[DIA],novtotal3059718395107119131143155[[#Headers],[13]],tabela_registros[REGISTRO],DADOS!$N$6)</f>
        <v>0</v>
      </c>
      <c r="R26" s="91">
        <f>SUMIFS(tabela_registros[VALOR],tabela_registros[MÊS],$AE$1,tabela_registros[DIA],novtotal3059718395107119131143155[[#Headers],[14]],tabela_registros[REGISTRO],DADOS!$N$6)</f>
        <v>0</v>
      </c>
      <c r="S26" s="91">
        <f>SUMIFS(tabela_registros[VALOR],tabela_registros[MÊS],$AE$1,tabela_registros[DIA],novtotal3059718395107119131143155[[#Headers],[15]],tabela_registros[REGISTRO],DADOS!$N$6)</f>
        <v>0</v>
      </c>
      <c r="T26" s="91">
        <f>SUMIFS(tabela_registros[VALOR],tabela_registros[MÊS],$AE$1,tabela_registros[DIA],novtotal3059718395107119131143155[[#Headers],[16]],tabela_registros[REGISTRO],DADOS!$N$6)</f>
        <v>0</v>
      </c>
      <c r="U26" s="91">
        <f>SUMIFS(tabela_registros[VALOR],tabela_registros[MÊS],$AE$1,tabela_registros[DIA],novtotal3059718395107119131143155[[#Headers],[17]],tabela_registros[REGISTRO],DADOS!$N$6)</f>
        <v>0</v>
      </c>
      <c r="V26" s="91">
        <f>SUMIFS(tabela_registros[VALOR],tabela_registros[MÊS],$AE$1,tabela_registros[DIA],novtotal3059718395107119131143155[[#Headers],[18]],tabela_registros[REGISTRO],DADOS!$N$6)</f>
        <v>0</v>
      </c>
      <c r="W26" s="91">
        <f>SUMIFS(tabela_registros[VALOR],tabela_registros[MÊS],$AE$1,tabela_registros[DIA],novtotal3059718395107119131143155[[#Headers],[19]],tabela_registros[REGISTRO],DADOS!$N$6)</f>
        <v>0</v>
      </c>
      <c r="X26" s="91">
        <f>SUMIFS(tabela_registros[VALOR],tabela_registros[MÊS],$AE$1,tabela_registros[DIA],novtotal3059718395107119131143155[[#Headers],[20]],tabela_registros[REGISTRO],DADOS!$N$6)</f>
        <v>0</v>
      </c>
      <c r="Y26" s="91">
        <f>SUMIFS(tabela_registros[VALOR],tabela_registros[MÊS],$AE$1,tabela_registros[DIA],novtotal3059718395107119131143155[[#Headers],[21]],tabela_registros[REGISTRO],DADOS!$N$6)</f>
        <v>0</v>
      </c>
      <c r="Z26" s="91">
        <f>SUMIFS(tabela_registros[VALOR],tabela_registros[MÊS],$AE$1,tabela_registros[DIA],novtotal3059718395107119131143155[[#Headers],[22]],tabela_registros[REGISTRO],DADOS!$N$6)</f>
        <v>0</v>
      </c>
      <c r="AA26" s="91">
        <f>SUMIFS(tabela_registros[VALOR],tabela_registros[MÊS],$AE$1,tabela_registros[DIA],novtotal3059718395107119131143155[[#Headers],[23]],tabela_registros[REGISTRO],DADOS!$N$6)</f>
        <v>0</v>
      </c>
      <c r="AB26" s="91">
        <f>SUMIFS(tabela_registros[VALOR],tabela_registros[MÊS],$AE$1,tabela_registros[DIA],novtotal3059718395107119131143155[[#Headers],[24]],tabela_registros[REGISTRO],DADOS!$N$6)</f>
        <v>0</v>
      </c>
      <c r="AC26" s="91">
        <f>SUMIFS(tabela_registros[VALOR],tabela_registros[MÊS],$AE$1,tabela_registros[DIA],novtotal3059718395107119131143155[[#Headers],[25]],tabela_registros[REGISTRO],DADOS!$N$6)</f>
        <v>0</v>
      </c>
      <c r="AD26" s="91">
        <f>SUMIFS(tabela_registros[VALOR],tabela_registros[MÊS],$AE$1,tabela_registros[DIA],novtotal3059718395107119131143155[[#Headers],[26]],tabela_registros[REGISTRO],DADOS!$N$6)</f>
        <v>0</v>
      </c>
      <c r="AE26" s="91">
        <f>SUMIFS(tabela_registros[VALOR],tabela_registros[MÊS],$AE$1,tabela_registros[DIA],novtotal3059718395107119131143155[[#Headers],[27]],tabela_registros[REGISTRO],DADOS!$N$6)</f>
        <v>0</v>
      </c>
      <c r="AF26" s="91">
        <f>SUMIFS(tabela_registros[VALOR],tabela_registros[MÊS],$AE$1,tabela_registros[DIA],novtotal3059718395107119131143155[[#Headers],[28]],tabela_registros[REGISTRO],DADOS!$N$6)</f>
        <v>0</v>
      </c>
      <c r="AG26" s="91">
        <f>SUMIFS(tabela_registros[VALOR],tabela_registros[MÊS],$AE$1,tabela_registros[DIA],novtotal3059718395107119131143155[[#Headers],[29]],tabela_registros[REGISTRO],DADOS!$N$6)</f>
        <v>0</v>
      </c>
      <c r="AH26" s="92">
        <f>SUMIFS(tabela_registros[VALOR],tabela_registros[MÊS],$AE$1,tabela_registros[DIA],novtotal3059718395107119131143155[[#Headers],[30]],tabela_registros[REGISTRO],DADOS!$N$6)</f>
        <v>0</v>
      </c>
      <c r="AI26" s="93">
        <f>SUMIFS(tabela_registros[VALOR],tabela_registros[MÊS],$AE$1,tabela_registros[DIA],novtotal3059718395107119131143155[[#Headers],[31]],tabela_registros[REGISTRO],DADOS!$N$6)</f>
        <v>0</v>
      </c>
      <c r="AJ26" s="92">
        <f>SUM(E26:AI26)</f>
        <v>0</v>
      </c>
      <c r="AK26" s="49"/>
    </row>
    <row r="27" spans="1:37" s="16" customFormat="1" ht="21" customHeight="1" thickTop="1" thickBot="1" x14ac:dyDescent="0.35">
      <c r="B27" s="52"/>
      <c r="C27" s="57" t="s">
        <v>19</v>
      </c>
      <c r="D27" s="56"/>
      <c r="E27" s="55">
        <f>SUM(E25:E26)</f>
        <v>0</v>
      </c>
      <c r="F27" s="54">
        <f>SUM(F25:F26)+novinvestir2158708294106118130142154[[#This Row],[1]]</f>
        <v>0</v>
      </c>
      <c r="G27" s="54">
        <f>SUM(G25:G26)+novinvestir2158708294106118130142154[[#This Row],[2]]</f>
        <v>0</v>
      </c>
      <c r="H27" s="54">
        <f>SUM(H25:H26)+novinvestir2158708294106118130142154[[#This Row],[3]]</f>
        <v>0</v>
      </c>
      <c r="I27" s="54">
        <f>SUM(I25:I26)+novinvestir2158708294106118130142154[[#This Row],[4]]</f>
        <v>0</v>
      </c>
      <c r="J27" s="54">
        <f>SUM(J25:J26)+novinvestir2158708294106118130142154[[#This Row],[5]]</f>
        <v>0</v>
      </c>
      <c r="K27" s="54">
        <f>SUM(K25:K26)+novinvestir2158708294106118130142154[[#This Row],[6]]</f>
        <v>0</v>
      </c>
      <c r="L27" s="54">
        <f>SUM(L25:L26)+novinvestir2158708294106118130142154[[#This Row],[7]]</f>
        <v>0</v>
      </c>
      <c r="M27" s="54">
        <f>SUM(M25:M26)+novinvestir2158708294106118130142154[[#This Row],[8]]</f>
        <v>0</v>
      </c>
      <c r="N27" s="54">
        <f>SUM(N25:N26)+novinvestir2158708294106118130142154[[#This Row],[9]]</f>
        <v>0</v>
      </c>
      <c r="O27" s="54">
        <f>SUM(O25:O26)+novinvestir2158708294106118130142154[[#This Row],[10]]</f>
        <v>0</v>
      </c>
      <c r="P27" s="54">
        <f>SUM(P25:P26)+novinvestir2158708294106118130142154[[#This Row],[11]]</f>
        <v>0</v>
      </c>
      <c r="Q27" s="54">
        <f>SUM(Q25:Q26)+novinvestir2158708294106118130142154[[#This Row],[12]]</f>
        <v>0</v>
      </c>
      <c r="R27" s="54">
        <f>SUM(R25:R26)+novinvestir2158708294106118130142154[[#This Row],[13]]</f>
        <v>0</v>
      </c>
      <c r="S27" s="54">
        <f>SUM(S25:S26)+novinvestir2158708294106118130142154[[#This Row],[14]]</f>
        <v>0</v>
      </c>
      <c r="T27" s="54">
        <f>SUM(T25:T26)+novinvestir2158708294106118130142154[[#This Row],[15]]</f>
        <v>0</v>
      </c>
      <c r="U27" s="54">
        <f>SUM(U25:U26)+novinvestir2158708294106118130142154[[#This Row],[16]]</f>
        <v>0</v>
      </c>
      <c r="V27" s="54">
        <f>SUM(V25:V26)+novinvestir2158708294106118130142154[[#This Row],[17]]</f>
        <v>0</v>
      </c>
      <c r="W27" s="54">
        <f>SUM(W25:W26)+novinvestir2158708294106118130142154[[#This Row],[18]]</f>
        <v>0</v>
      </c>
      <c r="X27" s="54">
        <f>SUM(X25:X26)+novinvestir2158708294106118130142154[[#This Row],[19]]</f>
        <v>0</v>
      </c>
      <c r="Y27" s="54">
        <f>SUM(Y25:Y26)+novinvestir2158708294106118130142154[[#This Row],[20]]</f>
        <v>0</v>
      </c>
      <c r="Z27" s="54">
        <f>SUM(Z25:Z26)+novinvestir2158708294106118130142154[[#This Row],[21]]</f>
        <v>0</v>
      </c>
      <c r="AA27" s="54">
        <f>SUM(AA25:AA26)+novinvestir2158708294106118130142154[[#This Row],[22]]</f>
        <v>0</v>
      </c>
      <c r="AB27" s="54">
        <f>SUM(AB25:AB26)+novinvestir2158708294106118130142154[[#This Row],[23]]</f>
        <v>0</v>
      </c>
      <c r="AC27" s="54">
        <f>SUM(AC25:AC26)+novinvestir2158708294106118130142154[[#This Row],[24]]</f>
        <v>0</v>
      </c>
      <c r="AD27" s="54">
        <f>SUM(AD25:AD26)+novinvestir2158708294106118130142154[[#This Row],[25]]</f>
        <v>0</v>
      </c>
      <c r="AE27" s="54">
        <f>SUM(AE25:AE26)+novinvestir2158708294106118130142154[[#This Row],[26]]</f>
        <v>0</v>
      </c>
      <c r="AF27" s="54">
        <f>SUM(AF25:AF26)+novinvestir2158708294106118130142154[[#This Row],[27]]</f>
        <v>0</v>
      </c>
      <c r="AG27" s="54">
        <f>SUM(AG25:AG26)+novinvestir2158708294106118130142154[[#This Row],[28]]</f>
        <v>0</v>
      </c>
      <c r="AH27" s="62">
        <f>SUM(AH25:AH26)+novinvestir2158708294106118130142154[[#This Row],[29]]</f>
        <v>0</v>
      </c>
      <c r="AI27" s="53">
        <f>SUM(AI25:AI26)+novinvestir2158708294106118130142154[[#This Row],[30]]</f>
        <v>0</v>
      </c>
      <c r="AJ27" s="62">
        <f>novinvestir2158708294106118130142154[[#This Row],[31]]</f>
        <v>0</v>
      </c>
      <c r="AK27" s="52"/>
    </row>
    <row r="28" spans="1:37" ht="6.75" hidden="1" customHeight="1" thickTop="1" thickBot="1" x14ac:dyDescent="0.35">
      <c r="B28" s="49"/>
      <c r="C28" t="s">
        <v>204</v>
      </c>
      <c r="D28"/>
      <c r="E28" s="51">
        <f>SUBTOTAL(109,novinvestir2158708294106118130142154[1])</f>
        <v>0</v>
      </c>
      <c r="F28" s="51">
        <f>SUBTOTAL(109,novinvestir2158708294106118130142154[2])</f>
        <v>0</v>
      </c>
      <c r="G28" s="51">
        <f>SUBTOTAL(109,novinvestir2158708294106118130142154[3])</f>
        <v>0</v>
      </c>
      <c r="H28" s="51">
        <f>SUBTOTAL(109,novinvestir2158708294106118130142154[4])</f>
        <v>0</v>
      </c>
      <c r="I28" s="51">
        <f>SUBTOTAL(109,novinvestir2158708294106118130142154[5])</f>
        <v>0</v>
      </c>
      <c r="J28" s="51">
        <f>SUBTOTAL(109,novinvestir2158708294106118130142154[6])</f>
        <v>0</v>
      </c>
      <c r="K28" s="51">
        <f>SUBTOTAL(109,novinvestir2158708294106118130142154[7])</f>
        <v>0</v>
      </c>
      <c r="L28" s="51">
        <f>SUBTOTAL(109,novinvestir2158708294106118130142154[8])</f>
        <v>0</v>
      </c>
      <c r="M28" s="51">
        <f>SUBTOTAL(109,novinvestir2158708294106118130142154[9])</f>
        <v>0</v>
      </c>
      <c r="N28" s="51">
        <f>SUBTOTAL(109,novinvestir2158708294106118130142154[10])</f>
        <v>0</v>
      </c>
      <c r="O28" s="51">
        <f>SUBTOTAL(109,novinvestir2158708294106118130142154[11])</f>
        <v>0</v>
      </c>
      <c r="P28" s="51">
        <f>SUBTOTAL(109,novinvestir2158708294106118130142154[12])</f>
        <v>0</v>
      </c>
      <c r="Q28" s="51">
        <f>SUBTOTAL(109,novinvestir2158708294106118130142154[13])</f>
        <v>0</v>
      </c>
      <c r="R28" s="51">
        <f>SUBTOTAL(109,novinvestir2158708294106118130142154[14])</f>
        <v>0</v>
      </c>
      <c r="S28" s="51">
        <f>SUBTOTAL(109,novinvestir2158708294106118130142154[15])</f>
        <v>0</v>
      </c>
      <c r="T28" s="51">
        <f>SUBTOTAL(109,novinvestir2158708294106118130142154[16])</f>
        <v>0</v>
      </c>
      <c r="U28" s="51">
        <f>SUBTOTAL(109,novinvestir2158708294106118130142154[17])</f>
        <v>0</v>
      </c>
      <c r="V28" s="51">
        <f>SUBTOTAL(109,novinvestir2158708294106118130142154[18])</f>
        <v>0</v>
      </c>
      <c r="W28" s="51">
        <f>SUBTOTAL(109,novinvestir2158708294106118130142154[19])</f>
        <v>0</v>
      </c>
      <c r="X28" s="51">
        <f>SUBTOTAL(109,novinvestir2158708294106118130142154[20])</f>
        <v>0</v>
      </c>
      <c r="Y28" s="51">
        <f>SUBTOTAL(109,novinvestir2158708294106118130142154[21])</f>
        <v>0</v>
      </c>
      <c r="Z28" s="51">
        <f>SUBTOTAL(109,novinvestir2158708294106118130142154[22])</f>
        <v>0</v>
      </c>
      <c r="AA28" s="51">
        <f>SUBTOTAL(109,novinvestir2158708294106118130142154[23])</f>
        <v>0</v>
      </c>
      <c r="AB28" s="51">
        <f>SUBTOTAL(109,novinvestir2158708294106118130142154[24])</f>
        <v>0</v>
      </c>
      <c r="AC28" s="51">
        <f>SUBTOTAL(109,novinvestir2158708294106118130142154[25])</f>
        <v>0</v>
      </c>
      <c r="AD28" s="51">
        <f>SUBTOTAL(109,novinvestir2158708294106118130142154[26])</f>
        <v>0</v>
      </c>
      <c r="AE28" s="51">
        <f>SUBTOTAL(109,novinvestir2158708294106118130142154[27])</f>
        <v>0</v>
      </c>
      <c r="AF28" s="51">
        <f>SUBTOTAL(109,novinvestir2158708294106118130142154[28])</f>
        <v>0</v>
      </c>
      <c r="AG28" s="51">
        <f>SUBTOTAL(109,novinvestir2158708294106118130142154[29])</f>
        <v>0</v>
      </c>
      <c r="AH28" s="51">
        <f>SUBTOTAL(109,novinvestir2158708294106118130142154[30])</f>
        <v>0</v>
      </c>
      <c r="AI28" s="51">
        <f>SUBTOTAL(109,novinvestir2158708294106118130142154[31])</f>
        <v>0</v>
      </c>
      <c r="AJ28" s="51">
        <f>SUBTOTAL(109,novinvestir2158708294106118130142154[TOTAL (R$)])</f>
        <v>0</v>
      </c>
      <c r="AK28" s="49"/>
    </row>
    <row r="29" spans="1:37" ht="6.75" customHeight="1" thickTop="1" thickBot="1" x14ac:dyDescent="0.3">
      <c r="B29" s="49"/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49"/>
      <c r="X29" s="49"/>
      <c r="Y29" s="49"/>
      <c r="Z29" s="49"/>
      <c r="AA29" s="49"/>
      <c r="AB29" s="49"/>
      <c r="AC29" s="49"/>
      <c r="AD29" s="49"/>
      <c r="AE29" s="49"/>
      <c r="AF29" s="49"/>
      <c r="AG29" s="49"/>
      <c r="AH29" s="49"/>
      <c r="AI29" s="50"/>
      <c r="AJ29" s="49"/>
      <c r="AK29" s="49"/>
    </row>
    <row r="30" spans="1:37" ht="12.6" thickTop="1" x14ac:dyDescent="0.25">
      <c r="C30" s="46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 s="47"/>
      <c r="Z30" s="47"/>
      <c r="AA30" s="47"/>
      <c r="AB30" s="47"/>
      <c r="AC30" s="47"/>
      <c r="AD30" s="47"/>
      <c r="AE30" s="47"/>
      <c r="AF30" s="47"/>
      <c r="AG30" s="47"/>
      <c r="AH30" s="47"/>
      <c r="AI30" s="47"/>
    </row>
    <row r="31" spans="1:37" x14ac:dyDescent="0.25">
      <c r="C31" s="46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47"/>
      <c r="X31" s="47"/>
      <c r="Y31" s="47"/>
      <c r="Z31" s="47"/>
      <c r="AA31" s="47"/>
      <c r="AB31" s="47"/>
      <c r="AC31" s="47"/>
      <c r="AD31" s="47"/>
      <c r="AE31" s="47"/>
      <c r="AF31" s="47"/>
      <c r="AG31" s="47"/>
      <c r="AH31" s="47"/>
      <c r="AI31" s="47"/>
    </row>
    <row r="32" spans="1:37" x14ac:dyDescent="0.25">
      <c r="C32" s="46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47"/>
      <c r="AB32" s="47"/>
      <c r="AC32" s="47"/>
      <c r="AD32" s="47"/>
      <c r="AE32" s="47"/>
      <c r="AF32" s="47"/>
      <c r="AG32" s="47"/>
      <c r="AH32" s="47"/>
      <c r="AI32" s="47"/>
    </row>
    <row r="33" spans="2:37" ht="39.75" customHeight="1" x14ac:dyDescent="0.25">
      <c r="C33" s="46"/>
      <c r="E33" s="240"/>
      <c r="F33" s="240"/>
      <c r="G33" s="240"/>
      <c r="H33" s="240"/>
      <c r="I33" s="240"/>
      <c r="J33" s="240"/>
      <c r="K33" s="240"/>
      <c r="L33" s="240"/>
      <c r="M33" s="240"/>
      <c r="N33" s="240"/>
      <c r="O33" s="240"/>
      <c r="P33" s="240"/>
      <c r="Q33" s="240"/>
      <c r="R33" s="240"/>
      <c r="S33" s="240"/>
      <c r="T33" s="240"/>
      <c r="U33" s="240"/>
      <c r="V33" s="240"/>
      <c r="W33" s="240"/>
      <c r="X33" s="240"/>
      <c r="Y33" s="240"/>
      <c r="Z33" s="240"/>
      <c r="AA33" s="240"/>
      <c r="AB33" s="240"/>
      <c r="AC33" s="240"/>
      <c r="AD33" s="240"/>
      <c r="AE33" s="240"/>
      <c r="AF33" s="240"/>
      <c r="AG33" s="240"/>
      <c r="AH33" s="240"/>
      <c r="AI33" s="240"/>
      <c r="AJ33" s="32" t="s">
        <v>19</v>
      </c>
    </row>
    <row r="34" spans="2:37" ht="11.25" customHeight="1" thickBot="1" x14ac:dyDescent="0.75">
      <c r="C34" s="36"/>
      <c r="AI34" s="4"/>
      <c r="AJ34" s="34" t="s">
        <v>202</v>
      </c>
    </row>
    <row r="35" spans="2:37" ht="6.75" customHeight="1" thickTop="1" thickBot="1" x14ac:dyDescent="0.3">
      <c r="B35" s="33"/>
      <c r="C35" s="45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F35" s="44"/>
      <c r="AG35" s="44"/>
      <c r="AH35" s="44"/>
      <c r="AI35" s="44"/>
      <c r="AJ35" s="43"/>
      <c r="AK35" s="33"/>
    </row>
    <row r="36" spans="2:37" ht="12.6" hidden="1" thickBot="1" x14ac:dyDescent="0.3">
      <c r="B36" s="2"/>
      <c r="C36" s="31" t="s">
        <v>132</v>
      </c>
      <c r="D36" s="30" t="s">
        <v>198</v>
      </c>
      <c r="E36" s="30" t="s">
        <v>197</v>
      </c>
      <c r="F36" s="30" t="s">
        <v>196</v>
      </c>
      <c r="G36" s="30" t="s">
        <v>195</v>
      </c>
      <c r="H36" s="30" t="s">
        <v>194</v>
      </c>
      <c r="I36" s="30" t="s">
        <v>193</v>
      </c>
      <c r="J36" s="30" t="s">
        <v>192</v>
      </c>
      <c r="K36" s="30" t="s">
        <v>191</v>
      </c>
      <c r="L36" s="30" t="s">
        <v>190</v>
      </c>
      <c r="M36" s="30" t="s">
        <v>189</v>
      </c>
      <c r="N36" s="30" t="s">
        <v>188</v>
      </c>
      <c r="O36" s="30" t="s">
        <v>187</v>
      </c>
      <c r="P36" s="30" t="s">
        <v>186</v>
      </c>
      <c r="Q36" s="30" t="s">
        <v>185</v>
      </c>
      <c r="R36" s="30" t="s">
        <v>184</v>
      </c>
      <c r="S36" s="30" t="s">
        <v>183</v>
      </c>
      <c r="T36" s="30" t="s">
        <v>182</v>
      </c>
      <c r="U36" s="30" t="s">
        <v>181</v>
      </c>
      <c r="V36" s="30" t="s">
        <v>180</v>
      </c>
      <c r="W36" s="30" t="s">
        <v>179</v>
      </c>
      <c r="X36" s="30" t="s">
        <v>178</v>
      </c>
      <c r="Y36" s="30" t="s">
        <v>177</v>
      </c>
      <c r="Z36" s="30" t="s">
        <v>176</v>
      </c>
      <c r="AA36" s="30" t="s">
        <v>175</v>
      </c>
      <c r="AB36" s="30" t="s">
        <v>174</v>
      </c>
      <c r="AC36" s="30" t="s">
        <v>173</v>
      </c>
      <c r="AD36" s="30" t="s">
        <v>172</v>
      </c>
      <c r="AE36" s="30" t="s">
        <v>171</v>
      </c>
      <c r="AF36" s="30" t="s">
        <v>170</v>
      </c>
      <c r="AG36" s="30" t="s">
        <v>169</v>
      </c>
      <c r="AH36" s="30" t="s">
        <v>168</v>
      </c>
      <c r="AI36" s="30" t="s">
        <v>167</v>
      </c>
      <c r="AJ36" s="42" t="s">
        <v>19</v>
      </c>
      <c r="AK36" s="2" t="s">
        <v>203</v>
      </c>
    </row>
    <row r="37" spans="2:37" ht="19.5" customHeight="1" thickTop="1" thickBot="1" x14ac:dyDescent="0.3">
      <c r="B37" s="28"/>
      <c r="C37" s="27" t="str">
        <f>DADOS!$R$3</f>
        <v>💧 ÁGUA</v>
      </c>
      <c r="D37" s="26" t="str">
        <f>IF(despesafixaconsolidadonov[[#This Row],[TOTAL]]=0,"",IF(OR(despesafixaconsolidadonov[[#This Row],[TOTAL]]=LARGE($AJ$37:$AJ$50,1),despesafixaconsolidadonov[[#This Row],[TOTAL]]=LARGE($AJ$37:$AJ$50,2),despesafixaconsolidadonov[[#This Row],[TOTAL]]=LARGE($AJ$37:$AJ$50,3),despesafixaconsolidadonov[[#This Row],[TOTAL]]=LARGE($AJ$37:$AJ$50,4),despesafixaconsolidadonov[[#This Row],[TOTAL]]=LARGE($AJ$37:$AJ$50,5)),DADOS!$I$8,""))</f>
        <v/>
      </c>
      <c r="E37" s="94">
        <f>SUMIFS(tabela_registros[VALOR],tabela_registros[MÊS],$AE$1,tabela_registros[DIA],novtotal3059718395107119131143155[[#Headers],[1]],tabela_registros[REGISTRO],DADOS!$N$4,tabela_registros[TIPO],DADOS!$P$3,tabela_registros[CATEGORIA],despesafixaconsolidadonov[[#This Row],[DESPESA FIXA]])</f>
        <v>0</v>
      </c>
      <c r="F37" s="88">
        <f>SUMIFS(tabela_registros[VALOR],tabela_registros[MÊS],$AE$1,tabela_registros[DIA],novtotal3059718395107119131143155[[#Headers],[2]],tabela_registros[REGISTRO],DADOS!$N$4,tabela_registros[TIPO],DADOS!$P$3,tabela_registros[CATEGORIA],despesafixaconsolidadonov[[#This Row],[DESPESA FIXA]])</f>
        <v>0</v>
      </c>
      <c r="G37" s="88">
        <f>SUMIFS(tabela_registros[VALOR],tabela_registros[MÊS],$AE$1,tabela_registros[DIA],novtotal3059718395107119131143155[[#Headers],[3]],tabela_registros[REGISTRO],DADOS!$N$4,tabela_registros[TIPO],DADOS!$P$3,tabela_registros[CATEGORIA],despesafixaconsolidadonov[[#This Row],[DESPESA FIXA]])</f>
        <v>0</v>
      </c>
      <c r="H37" s="88">
        <f>SUMIFS(tabela_registros[VALOR],tabela_registros[MÊS],$AE$1,tabela_registros[DIA],novtotal3059718395107119131143155[[#Headers],[4]],tabela_registros[REGISTRO],DADOS!$N$4,tabela_registros[TIPO],DADOS!$P$3,tabela_registros[CATEGORIA],despesafixaconsolidadonov[[#This Row],[DESPESA FIXA]])</f>
        <v>0</v>
      </c>
      <c r="I37" s="88">
        <f>SUMIFS(tabela_registros[VALOR],tabela_registros[MÊS],$AE$1,tabela_registros[DIA],novtotal3059718395107119131143155[[#Headers],[5]],tabela_registros[REGISTRO],DADOS!$N$4,tabela_registros[TIPO],DADOS!$P$3,tabela_registros[CATEGORIA],despesafixaconsolidadonov[[#This Row],[DESPESA FIXA]])</f>
        <v>0</v>
      </c>
      <c r="J37" s="88">
        <f>SUMIFS(tabela_registros[VALOR],tabela_registros[MÊS],$AE$1,tabela_registros[DIA],novtotal3059718395107119131143155[[#Headers],[6]],tabela_registros[REGISTRO],DADOS!$N$4,tabela_registros[TIPO],DADOS!$P$3,tabela_registros[CATEGORIA],despesafixaconsolidadonov[[#This Row],[DESPESA FIXA]])</f>
        <v>0</v>
      </c>
      <c r="K37" s="88">
        <f>SUMIFS(tabela_registros[VALOR],tabela_registros[MÊS],$AE$1,tabela_registros[DIA],novtotal3059718395107119131143155[[#Headers],[7]],tabela_registros[REGISTRO],DADOS!$N$4,tabela_registros[TIPO],DADOS!$P$3,tabela_registros[CATEGORIA],despesafixaconsolidadonov[[#This Row],[DESPESA FIXA]])</f>
        <v>0</v>
      </c>
      <c r="L37" s="88">
        <f>SUMIFS(tabela_registros[VALOR],tabela_registros[MÊS],$AE$1,tabela_registros[DIA],novtotal3059718395107119131143155[[#Headers],[8]],tabela_registros[REGISTRO],DADOS!$N$4,tabela_registros[TIPO],DADOS!$P$3,tabela_registros[CATEGORIA],despesafixaconsolidadonov[[#This Row],[DESPESA FIXA]])</f>
        <v>0</v>
      </c>
      <c r="M37" s="88">
        <f>SUMIFS(tabela_registros[VALOR],tabela_registros[MÊS],$AE$1,tabela_registros[DIA],novtotal3059718395107119131143155[[#Headers],[9]],tabela_registros[REGISTRO],DADOS!$N$4,tabela_registros[TIPO],DADOS!$P$3,tabela_registros[CATEGORIA],despesafixaconsolidadonov[[#This Row],[DESPESA FIXA]])</f>
        <v>0</v>
      </c>
      <c r="N37" s="88">
        <f>SUMIFS(tabela_registros[VALOR],tabela_registros[MÊS],$AE$1,tabela_registros[DIA],novtotal3059718395107119131143155[[#Headers],[10]],tabela_registros[REGISTRO],DADOS!$N$4,tabela_registros[TIPO],DADOS!$P$3,tabela_registros[CATEGORIA],despesafixaconsolidadonov[[#This Row],[DESPESA FIXA]])</f>
        <v>0</v>
      </c>
      <c r="O37" s="88">
        <f>SUMIFS(tabela_registros[VALOR],tabela_registros[MÊS],$AE$1,tabela_registros[DIA],novtotal3059718395107119131143155[[#Headers],[11]],tabela_registros[REGISTRO],DADOS!$N$4,tabela_registros[TIPO],DADOS!$P$3,tabela_registros[CATEGORIA],despesafixaconsolidadonov[[#This Row],[DESPESA FIXA]])</f>
        <v>0</v>
      </c>
      <c r="P37" s="88">
        <f>SUMIFS(tabela_registros[VALOR],tabela_registros[MÊS],$AE$1,tabela_registros[DIA],novtotal3059718395107119131143155[[#Headers],[12]],tabela_registros[REGISTRO],DADOS!$N$4,tabela_registros[TIPO],DADOS!$P$3,tabela_registros[CATEGORIA],despesafixaconsolidadonov[[#This Row],[DESPESA FIXA]])</f>
        <v>0</v>
      </c>
      <c r="Q37" s="88">
        <f>SUMIFS(tabela_registros[VALOR],tabela_registros[MÊS],$AE$1,tabela_registros[DIA],novtotal3059718395107119131143155[[#Headers],[13]],tabela_registros[REGISTRO],DADOS!$N$4,tabela_registros[TIPO],DADOS!$P$3,tabela_registros[CATEGORIA],despesafixaconsolidadonov[[#This Row],[DESPESA FIXA]])</f>
        <v>0</v>
      </c>
      <c r="R37" s="88">
        <f>SUMIFS(tabela_registros[VALOR],tabela_registros[MÊS],$AE$1,tabela_registros[DIA],novtotal3059718395107119131143155[[#Headers],[14]],tabela_registros[REGISTRO],DADOS!$N$4,tabela_registros[TIPO],DADOS!$P$3,tabela_registros[CATEGORIA],despesafixaconsolidadonov[[#This Row],[DESPESA FIXA]])</f>
        <v>0</v>
      </c>
      <c r="S37" s="88">
        <f>SUMIFS(tabela_registros[VALOR],tabela_registros[MÊS],$AE$1,tabela_registros[DIA],novtotal3059718395107119131143155[[#Headers],[15]],tabela_registros[REGISTRO],DADOS!$N$4,tabela_registros[TIPO],DADOS!$P$3,tabela_registros[CATEGORIA],despesafixaconsolidadonov[[#This Row],[DESPESA FIXA]])</f>
        <v>0</v>
      </c>
      <c r="T37" s="88">
        <f>SUMIFS(tabela_registros[VALOR],tabela_registros[MÊS],$AE$1,tabela_registros[DIA],novtotal3059718395107119131143155[[#Headers],[16]],tabela_registros[REGISTRO],DADOS!$N$4,tabela_registros[TIPO],DADOS!$P$3,tabela_registros[CATEGORIA],despesafixaconsolidadonov[[#This Row],[DESPESA FIXA]])</f>
        <v>0</v>
      </c>
      <c r="U37" s="88">
        <f>SUMIFS(tabela_registros[VALOR],tabela_registros[MÊS],$AE$1,tabela_registros[DIA],novtotal3059718395107119131143155[[#Headers],[17]],tabela_registros[REGISTRO],DADOS!$N$4,tabela_registros[TIPO],DADOS!$P$3,tabela_registros[CATEGORIA],despesafixaconsolidadonov[[#This Row],[DESPESA FIXA]])</f>
        <v>0</v>
      </c>
      <c r="V37" s="88">
        <f>SUMIFS(tabela_registros[VALOR],tabela_registros[MÊS],$AE$1,tabela_registros[DIA],novtotal3059718395107119131143155[[#Headers],[18]],tabela_registros[REGISTRO],DADOS!$N$4,tabela_registros[TIPO],DADOS!$P$3,tabela_registros[CATEGORIA],despesafixaconsolidadonov[[#This Row],[DESPESA FIXA]])</f>
        <v>0</v>
      </c>
      <c r="W37" s="88">
        <f>SUMIFS(tabela_registros[VALOR],tabela_registros[MÊS],$AE$1,tabela_registros[DIA],novtotal3059718395107119131143155[[#Headers],[19]],tabela_registros[REGISTRO],DADOS!$N$4,tabela_registros[TIPO],DADOS!$P$3,tabela_registros[CATEGORIA],despesafixaconsolidadonov[[#This Row],[DESPESA FIXA]])</f>
        <v>0</v>
      </c>
      <c r="X37" s="88">
        <f>SUMIFS(tabela_registros[VALOR],tabela_registros[MÊS],$AE$1,tabela_registros[DIA],novtotal3059718395107119131143155[[#Headers],[20]],tabela_registros[REGISTRO],DADOS!$N$4,tabela_registros[TIPO],DADOS!$P$3,tabela_registros[CATEGORIA],despesafixaconsolidadonov[[#This Row],[DESPESA FIXA]])</f>
        <v>0</v>
      </c>
      <c r="Y37" s="88">
        <f>SUMIFS(tabela_registros[VALOR],tabela_registros[MÊS],$AE$1,tabela_registros[DIA],novtotal3059718395107119131143155[[#Headers],[21]],tabela_registros[REGISTRO],DADOS!$N$4,tabela_registros[TIPO],DADOS!$P$3,tabela_registros[CATEGORIA],despesafixaconsolidadonov[[#This Row],[DESPESA FIXA]])</f>
        <v>0</v>
      </c>
      <c r="Z37" s="88">
        <f>SUMIFS(tabela_registros[VALOR],tabela_registros[MÊS],$AE$1,tabela_registros[DIA],novtotal3059718395107119131143155[[#Headers],[22]],tabela_registros[REGISTRO],DADOS!$N$4,tabela_registros[TIPO],DADOS!$P$3,tabela_registros[CATEGORIA],despesafixaconsolidadonov[[#This Row],[DESPESA FIXA]])</f>
        <v>0</v>
      </c>
      <c r="AA37" s="88">
        <f>SUMIFS(tabela_registros[VALOR],tabela_registros[MÊS],$AE$1,tabela_registros[DIA],novtotal3059718395107119131143155[[#Headers],[23]],tabela_registros[REGISTRO],DADOS!$N$4,tabela_registros[TIPO],DADOS!$P$3,tabela_registros[CATEGORIA],despesafixaconsolidadonov[[#This Row],[DESPESA FIXA]])</f>
        <v>0</v>
      </c>
      <c r="AB37" s="88">
        <f>SUMIFS(tabela_registros[VALOR],tabela_registros[MÊS],$AE$1,tabela_registros[DIA],novtotal3059718395107119131143155[[#Headers],[24]],tabela_registros[REGISTRO],DADOS!$N$4,tabela_registros[TIPO],DADOS!$P$3,tabela_registros[CATEGORIA],despesafixaconsolidadonov[[#This Row],[DESPESA FIXA]])</f>
        <v>0</v>
      </c>
      <c r="AC37" s="88">
        <f>SUMIFS(tabela_registros[VALOR],tabela_registros[MÊS],$AE$1,tabela_registros[DIA],novtotal3059718395107119131143155[[#Headers],[25]],tabela_registros[REGISTRO],DADOS!$N$4,tabela_registros[TIPO],DADOS!$P$3,tabela_registros[CATEGORIA],despesafixaconsolidadonov[[#This Row],[DESPESA FIXA]])</f>
        <v>0</v>
      </c>
      <c r="AD37" s="88">
        <f>SUMIFS(tabela_registros[VALOR],tabela_registros[MÊS],$AE$1,tabela_registros[DIA],novtotal3059718395107119131143155[[#Headers],[26]],tabela_registros[REGISTRO],DADOS!$N$4,tabela_registros[TIPO],DADOS!$P$3,tabela_registros[CATEGORIA],despesafixaconsolidadonov[[#This Row],[DESPESA FIXA]])</f>
        <v>0</v>
      </c>
      <c r="AE37" s="88">
        <f>SUMIFS(tabela_registros[VALOR],tabela_registros[MÊS],$AE$1,tabela_registros[DIA],novtotal3059718395107119131143155[[#Headers],[27]],tabela_registros[REGISTRO],DADOS!$N$4,tabela_registros[TIPO],DADOS!$P$3,tabela_registros[CATEGORIA],despesafixaconsolidadonov[[#This Row],[DESPESA FIXA]])</f>
        <v>0</v>
      </c>
      <c r="AF37" s="88">
        <f>SUMIFS(tabela_registros[VALOR],tabela_registros[MÊS],$AE$1,tabela_registros[DIA],novtotal3059718395107119131143155[[#Headers],[28]],tabela_registros[REGISTRO],DADOS!$N$4,tabela_registros[TIPO],DADOS!$P$3,tabela_registros[CATEGORIA],despesafixaconsolidadonov[[#This Row],[DESPESA FIXA]])</f>
        <v>0</v>
      </c>
      <c r="AG37" s="88">
        <f>SUMIFS(tabela_registros[VALOR],tabela_registros[MÊS],$AE$1,tabela_registros[DIA],novtotal3059718395107119131143155[[#Headers],[29]],tabela_registros[REGISTRO],DADOS!$N$4,tabela_registros[TIPO],DADOS!$P$3,tabela_registros[CATEGORIA],despesafixaconsolidadonov[[#This Row],[DESPESA FIXA]])</f>
        <v>0</v>
      </c>
      <c r="AH37" s="88">
        <f>SUMIFS(tabela_registros[VALOR],tabela_registros[MÊS],$AE$1,tabela_registros[DIA],novtotal3059718395107119131143155[[#Headers],[30]],tabela_registros[REGISTRO],DADOS!$N$4,tabela_registros[TIPO],DADOS!$P$3,tabela_registros[CATEGORIA],despesafixaconsolidadonov[[#This Row],[DESPESA FIXA]])</f>
        <v>0</v>
      </c>
      <c r="AI37" s="100">
        <f>SUMIFS(tabela_registros[VALOR],tabela_registros[MÊS],$AE$1,tabela_registros[DIA],novtotal3059718395107119131143155[[#Headers],[31]],tabela_registros[REGISTRO],DADOS!$N$4,tabela_registros[TIPO],DADOS!$P$3,tabela_registros[CATEGORIA],despesafixaconsolidadonov[[#This Row],[DESPESA FIXA]])</f>
        <v>0</v>
      </c>
      <c r="AJ37" s="95">
        <f>SUM(despesafixaconsolidadonov[[#This Row],[1]:[31]])</f>
        <v>0</v>
      </c>
      <c r="AK37" s="28"/>
    </row>
    <row r="38" spans="2:37" ht="18" customHeight="1" thickTop="1" thickBot="1" x14ac:dyDescent="0.3">
      <c r="B38" s="28"/>
      <c r="C38" s="27" t="str">
        <f>DADOS!$R$4</f>
        <v>🐶 ANIMAIS DE ESTIMAÇÃO</v>
      </c>
      <c r="D38" s="26" t="str">
        <f>IF(despesafixaconsolidadonov[[#This Row],[TOTAL]]=0,"",IF(OR(despesafixaconsolidadonov[[#This Row],[TOTAL]]=LARGE($AJ$37:$AJ$50,1),despesafixaconsolidadonov[[#This Row],[TOTAL]]=LARGE($AJ$37:$AJ$50,2),despesafixaconsolidadonov[[#This Row],[TOTAL]]=LARGE($AJ$37:$AJ$50,3),despesafixaconsolidadonov[[#This Row],[TOTAL]]=LARGE($AJ$37:$AJ$50,4),despesafixaconsolidadonov[[#This Row],[TOTAL]]=LARGE($AJ$37:$AJ$50,5)),DADOS!$I$8,""))</f>
        <v/>
      </c>
      <c r="E38" s="96">
        <f>SUMIFS(tabela_registros[VALOR],tabela_registros[MÊS],$AE$1,tabela_registros[DIA],novtotal3059718395107119131143155[[#Headers],[1]],tabela_registros[REGISTRO],DADOS!$N$4,tabela_registros[TIPO],DADOS!$P$3,tabela_registros[CATEGORIA],despesafixaconsolidadonov[[#This Row],[DESPESA FIXA]])</f>
        <v>0</v>
      </c>
      <c r="F38" s="91">
        <f>SUMIFS(tabela_registros[VALOR],tabela_registros[MÊS],$AE$1,tabela_registros[DIA],novtotal3059718395107119131143155[[#Headers],[2]],tabela_registros[REGISTRO],DADOS!$N$4,tabela_registros[TIPO],DADOS!$P$3,tabela_registros[CATEGORIA],despesafixaconsolidadonov[[#This Row],[DESPESA FIXA]])</f>
        <v>0</v>
      </c>
      <c r="G38" s="91">
        <f>SUMIFS(tabela_registros[VALOR],tabela_registros[MÊS],$AE$1,tabela_registros[DIA],novtotal3059718395107119131143155[[#Headers],[3]],tabela_registros[REGISTRO],DADOS!$N$4,tabela_registros[TIPO],DADOS!$P$3,tabela_registros[CATEGORIA],despesafixaconsolidadonov[[#This Row],[DESPESA FIXA]])</f>
        <v>0</v>
      </c>
      <c r="H38" s="91">
        <f>SUMIFS(tabela_registros[VALOR],tabela_registros[MÊS],$AE$1,tabela_registros[DIA],novtotal3059718395107119131143155[[#Headers],[4]],tabela_registros[REGISTRO],DADOS!$N$4,tabela_registros[TIPO],DADOS!$P$3,tabela_registros[CATEGORIA],despesafixaconsolidadonov[[#This Row],[DESPESA FIXA]])</f>
        <v>0</v>
      </c>
      <c r="I38" s="91">
        <f>SUMIFS(tabela_registros[VALOR],tabela_registros[MÊS],$AE$1,tabela_registros[DIA],novtotal3059718395107119131143155[[#Headers],[5]],tabela_registros[REGISTRO],DADOS!$N$4,tabela_registros[TIPO],DADOS!$P$3,tabela_registros[CATEGORIA],despesafixaconsolidadonov[[#This Row],[DESPESA FIXA]])</f>
        <v>0</v>
      </c>
      <c r="J38" s="91">
        <f>SUMIFS(tabela_registros[VALOR],tabela_registros[MÊS],$AE$1,tabela_registros[DIA],novtotal3059718395107119131143155[[#Headers],[6]],tabela_registros[REGISTRO],DADOS!$N$4,tabela_registros[TIPO],DADOS!$P$3,tabela_registros[CATEGORIA],despesafixaconsolidadonov[[#This Row],[DESPESA FIXA]])</f>
        <v>0</v>
      </c>
      <c r="K38" s="91">
        <f>SUMIFS(tabela_registros[VALOR],tabela_registros[MÊS],$AE$1,tabela_registros[DIA],novtotal3059718395107119131143155[[#Headers],[7]],tabela_registros[REGISTRO],DADOS!$N$4,tabela_registros[TIPO],DADOS!$P$3,tabela_registros[CATEGORIA],despesafixaconsolidadonov[[#This Row],[DESPESA FIXA]])</f>
        <v>0</v>
      </c>
      <c r="L38" s="91">
        <f>SUMIFS(tabela_registros[VALOR],tabela_registros[MÊS],$AE$1,tabela_registros[DIA],novtotal3059718395107119131143155[[#Headers],[8]],tabela_registros[REGISTRO],DADOS!$N$4,tabela_registros[TIPO],DADOS!$P$3,tabela_registros[CATEGORIA],despesafixaconsolidadonov[[#This Row],[DESPESA FIXA]])</f>
        <v>0</v>
      </c>
      <c r="M38" s="91">
        <f>SUMIFS(tabela_registros[VALOR],tabela_registros[MÊS],$AE$1,tabela_registros[DIA],novtotal3059718395107119131143155[[#Headers],[9]],tabela_registros[REGISTRO],DADOS!$N$4,tabela_registros[TIPO],DADOS!$P$3,tabela_registros[CATEGORIA],despesafixaconsolidadonov[[#This Row],[DESPESA FIXA]])</f>
        <v>0</v>
      </c>
      <c r="N38" s="91">
        <f>SUMIFS(tabela_registros[VALOR],tabela_registros[MÊS],$AE$1,tabela_registros[DIA],novtotal3059718395107119131143155[[#Headers],[10]],tabela_registros[REGISTRO],DADOS!$N$4,tabela_registros[TIPO],DADOS!$P$3,tabela_registros[CATEGORIA],despesafixaconsolidadonov[[#This Row],[DESPESA FIXA]])</f>
        <v>0</v>
      </c>
      <c r="O38" s="91">
        <f>SUMIFS(tabela_registros[VALOR],tabela_registros[MÊS],$AE$1,tabela_registros[DIA],novtotal3059718395107119131143155[[#Headers],[11]],tabela_registros[REGISTRO],DADOS!$N$4,tabela_registros[TIPO],DADOS!$P$3,tabela_registros[CATEGORIA],despesafixaconsolidadonov[[#This Row],[DESPESA FIXA]])</f>
        <v>0</v>
      </c>
      <c r="P38" s="91">
        <f>SUMIFS(tabela_registros[VALOR],tabela_registros[MÊS],$AE$1,tabela_registros[DIA],novtotal3059718395107119131143155[[#Headers],[12]],tabela_registros[REGISTRO],DADOS!$N$4,tabela_registros[TIPO],DADOS!$P$3,tabela_registros[CATEGORIA],despesafixaconsolidadonov[[#This Row],[DESPESA FIXA]])</f>
        <v>0</v>
      </c>
      <c r="Q38" s="91">
        <f>SUMIFS(tabela_registros[VALOR],tabela_registros[MÊS],$AE$1,tabela_registros[DIA],novtotal3059718395107119131143155[[#Headers],[13]],tabela_registros[REGISTRO],DADOS!$N$4,tabela_registros[TIPO],DADOS!$P$3,tabela_registros[CATEGORIA],despesafixaconsolidadonov[[#This Row],[DESPESA FIXA]])</f>
        <v>0</v>
      </c>
      <c r="R38" s="91">
        <f>SUMIFS(tabela_registros[VALOR],tabela_registros[MÊS],$AE$1,tabela_registros[DIA],novtotal3059718395107119131143155[[#Headers],[14]],tabela_registros[REGISTRO],DADOS!$N$4,tabela_registros[TIPO],DADOS!$P$3,tabela_registros[CATEGORIA],despesafixaconsolidadonov[[#This Row],[DESPESA FIXA]])</f>
        <v>0</v>
      </c>
      <c r="S38" s="91">
        <f>SUMIFS(tabela_registros[VALOR],tabela_registros[MÊS],$AE$1,tabela_registros[DIA],novtotal3059718395107119131143155[[#Headers],[15]],tabela_registros[REGISTRO],DADOS!$N$4,tabela_registros[TIPO],DADOS!$P$3,tabela_registros[CATEGORIA],despesafixaconsolidadonov[[#This Row],[DESPESA FIXA]])</f>
        <v>0</v>
      </c>
      <c r="T38" s="91">
        <f>SUMIFS(tabela_registros[VALOR],tabela_registros[MÊS],$AE$1,tabela_registros[DIA],novtotal3059718395107119131143155[[#Headers],[16]],tabela_registros[REGISTRO],DADOS!$N$4,tabela_registros[TIPO],DADOS!$P$3,tabela_registros[CATEGORIA],despesafixaconsolidadonov[[#This Row],[DESPESA FIXA]])</f>
        <v>0</v>
      </c>
      <c r="U38" s="91">
        <f>SUMIFS(tabela_registros[VALOR],tabela_registros[MÊS],$AE$1,tabela_registros[DIA],novtotal3059718395107119131143155[[#Headers],[17]],tabela_registros[REGISTRO],DADOS!$N$4,tabela_registros[TIPO],DADOS!$P$3,tabela_registros[CATEGORIA],despesafixaconsolidadonov[[#This Row],[DESPESA FIXA]])</f>
        <v>0</v>
      </c>
      <c r="V38" s="91">
        <f>SUMIFS(tabela_registros[VALOR],tabela_registros[MÊS],$AE$1,tabela_registros[DIA],novtotal3059718395107119131143155[[#Headers],[18]],tabela_registros[REGISTRO],DADOS!$N$4,tabela_registros[TIPO],DADOS!$P$3,tabela_registros[CATEGORIA],despesafixaconsolidadonov[[#This Row],[DESPESA FIXA]])</f>
        <v>0</v>
      </c>
      <c r="W38" s="91">
        <f>SUMIFS(tabela_registros[VALOR],tabela_registros[MÊS],$AE$1,tabela_registros[DIA],novtotal3059718395107119131143155[[#Headers],[19]],tabela_registros[REGISTRO],DADOS!$N$4,tabela_registros[TIPO],DADOS!$P$3,tabela_registros[CATEGORIA],despesafixaconsolidadonov[[#This Row],[DESPESA FIXA]])</f>
        <v>0</v>
      </c>
      <c r="X38" s="91">
        <f>SUMIFS(tabela_registros[VALOR],tabela_registros[MÊS],$AE$1,tabela_registros[DIA],novtotal3059718395107119131143155[[#Headers],[20]],tabela_registros[REGISTRO],DADOS!$N$4,tabela_registros[TIPO],DADOS!$P$3,tabela_registros[CATEGORIA],despesafixaconsolidadonov[[#This Row],[DESPESA FIXA]])</f>
        <v>0</v>
      </c>
      <c r="Y38" s="91">
        <f>SUMIFS(tabela_registros[VALOR],tabela_registros[MÊS],$AE$1,tabela_registros[DIA],novtotal3059718395107119131143155[[#Headers],[21]],tabela_registros[REGISTRO],DADOS!$N$4,tabela_registros[TIPO],DADOS!$P$3,tabela_registros[CATEGORIA],despesafixaconsolidadonov[[#This Row],[DESPESA FIXA]])</f>
        <v>0</v>
      </c>
      <c r="Z38" s="91">
        <f>SUMIFS(tabela_registros[VALOR],tabela_registros[MÊS],$AE$1,tabela_registros[DIA],novtotal3059718395107119131143155[[#Headers],[22]],tabela_registros[REGISTRO],DADOS!$N$4,tabela_registros[TIPO],DADOS!$P$3,tabela_registros[CATEGORIA],despesafixaconsolidadonov[[#This Row],[DESPESA FIXA]])</f>
        <v>0</v>
      </c>
      <c r="AA38" s="91">
        <f>SUMIFS(tabela_registros[VALOR],tabela_registros[MÊS],$AE$1,tabela_registros[DIA],novtotal3059718395107119131143155[[#Headers],[23]],tabela_registros[REGISTRO],DADOS!$N$4,tabela_registros[TIPO],DADOS!$P$3,tabela_registros[CATEGORIA],despesafixaconsolidadonov[[#This Row],[DESPESA FIXA]])</f>
        <v>0</v>
      </c>
      <c r="AB38" s="91">
        <f>SUMIFS(tabela_registros[VALOR],tabela_registros[MÊS],$AE$1,tabela_registros[DIA],novtotal3059718395107119131143155[[#Headers],[24]],tabela_registros[REGISTRO],DADOS!$N$4,tabela_registros[TIPO],DADOS!$P$3,tabela_registros[CATEGORIA],despesafixaconsolidadonov[[#This Row],[DESPESA FIXA]])</f>
        <v>0</v>
      </c>
      <c r="AC38" s="91">
        <f>SUMIFS(tabela_registros[VALOR],tabela_registros[MÊS],$AE$1,tabela_registros[DIA],novtotal3059718395107119131143155[[#Headers],[25]],tabela_registros[REGISTRO],DADOS!$N$4,tabela_registros[TIPO],DADOS!$P$3,tabela_registros[CATEGORIA],despesafixaconsolidadonov[[#This Row],[DESPESA FIXA]])</f>
        <v>0</v>
      </c>
      <c r="AD38" s="91">
        <f>SUMIFS(tabela_registros[VALOR],tabela_registros[MÊS],$AE$1,tabela_registros[DIA],novtotal3059718395107119131143155[[#Headers],[26]],tabela_registros[REGISTRO],DADOS!$N$4,tabela_registros[TIPO],DADOS!$P$3,tabela_registros[CATEGORIA],despesafixaconsolidadonov[[#This Row],[DESPESA FIXA]])</f>
        <v>0</v>
      </c>
      <c r="AE38" s="91">
        <f>SUMIFS(tabela_registros[VALOR],tabela_registros[MÊS],$AE$1,tabela_registros[DIA],novtotal3059718395107119131143155[[#Headers],[27]],tabela_registros[REGISTRO],DADOS!$N$4,tabela_registros[TIPO],DADOS!$P$3,tabela_registros[CATEGORIA],despesafixaconsolidadonov[[#This Row],[DESPESA FIXA]])</f>
        <v>0</v>
      </c>
      <c r="AF38" s="91">
        <f>SUMIFS(tabela_registros[VALOR],tabela_registros[MÊS],$AE$1,tabela_registros[DIA],novtotal3059718395107119131143155[[#Headers],[28]],tabela_registros[REGISTRO],DADOS!$N$4,tabela_registros[TIPO],DADOS!$P$3,tabela_registros[CATEGORIA],despesafixaconsolidadonov[[#This Row],[DESPESA FIXA]])</f>
        <v>0</v>
      </c>
      <c r="AG38" s="91">
        <f>SUMIFS(tabela_registros[VALOR],tabela_registros[MÊS],$AE$1,tabela_registros[DIA],novtotal3059718395107119131143155[[#Headers],[29]],tabela_registros[REGISTRO],DADOS!$N$4,tabela_registros[TIPO],DADOS!$P$3,tabela_registros[CATEGORIA],despesafixaconsolidadonov[[#This Row],[DESPESA FIXA]])</f>
        <v>0</v>
      </c>
      <c r="AH38" s="91">
        <f>SUMIFS(tabela_registros[VALOR],tabela_registros[MÊS],$AE$1,tabela_registros[DIA],novtotal3059718395107119131143155[[#Headers],[30]],tabela_registros[REGISTRO],DADOS!$N$4,tabela_registros[TIPO],DADOS!$P$3,tabela_registros[CATEGORIA],despesafixaconsolidadonov[[#This Row],[DESPESA FIXA]])</f>
        <v>0</v>
      </c>
      <c r="AI38" s="101">
        <f>SUMIFS(tabela_registros[VALOR],tabela_registros[MÊS],$AE$1,tabela_registros[DIA],novtotal3059718395107119131143155[[#Headers],[31]],tabela_registros[REGISTRO],DADOS!$N$4,tabela_registros[TIPO],DADOS!$P$3,tabela_registros[CATEGORIA],despesafixaconsolidadonov[[#This Row],[DESPESA FIXA]])</f>
        <v>0</v>
      </c>
      <c r="AJ38" s="97">
        <f>SUM(despesafixaconsolidadonov[[#This Row],[1]:[31]])</f>
        <v>0</v>
      </c>
      <c r="AK38" s="28"/>
    </row>
    <row r="39" spans="2:37" ht="18" customHeight="1" thickTop="1" thickBot="1" x14ac:dyDescent="0.3">
      <c r="B39" s="28"/>
      <c r="C39" s="27" t="str">
        <f>DADOS!$R$5</f>
        <v>🔖 ASSINATURAS E SERVIÇOS</v>
      </c>
      <c r="D39" s="26" t="str">
        <f>IF(despesafixaconsolidadonov[[#This Row],[TOTAL]]=0,"",IF(OR(despesafixaconsolidadonov[[#This Row],[TOTAL]]=LARGE($AJ$37:$AJ$50,1),despesafixaconsolidadonov[[#This Row],[TOTAL]]=LARGE($AJ$37:$AJ$50,2),despesafixaconsolidadonov[[#This Row],[TOTAL]]=LARGE($AJ$37:$AJ$50,3),despesafixaconsolidadonov[[#This Row],[TOTAL]]=LARGE($AJ$37:$AJ$50,4),despesafixaconsolidadonov[[#This Row],[TOTAL]]=LARGE($AJ$37:$AJ$50,5)),DADOS!$I$8,""))</f>
        <v/>
      </c>
      <c r="E39" s="96">
        <f>SUMIFS(tabela_registros[VALOR],tabela_registros[MÊS],$AE$1,tabela_registros[DIA],novtotal3059718395107119131143155[[#Headers],[1]],tabela_registros[REGISTRO],DADOS!$N$4,tabela_registros[TIPO],DADOS!$P$3,tabela_registros[CATEGORIA],despesafixaconsolidadonov[[#This Row],[DESPESA FIXA]])</f>
        <v>0</v>
      </c>
      <c r="F39" s="91">
        <f>SUMIFS(tabela_registros[VALOR],tabela_registros[MÊS],$AE$1,tabela_registros[DIA],novtotal3059718395107119131143155[[#Headers],[2]],tabela_registros[REGISTRO],DADOS!$N$4,tabela_registros[TIPO],DADOS!$P$3,tabela_registros[CATEGORIA],despesafixaconsolidadonov[[#This Row],[DESPESA FIXA]])</f>
        <v>0</v>
      </c>
      <c r="G39" s="91">
        <f>SUMIFS(tabela_registros[VALOR],tabela_registros[MÊS],$AE$1,tabela_registros[DIA],novtotal3059718395107119131143155[[#Headers],[3]],tabela_registros[REGISTRO],DADOS!$N$4,tabela_registros[TIPO],DADOS!$P$3,tabela_registros[CATEGORIA],despesafixaconsolidadonov[[#This Row],[DESPESA FIXA]])</f>
        <v>0</v>
      </c>
      <c r="H39" s="91">
        <f>SUMIFS(tabela_registros[VALOR],tabela_registros[MÊS],$AE$1,tabela_registros[DIA],novtotal3059718395107119131143155[[#Headers],[4]],tabela_registros[REGISTRO],DADOS!$N$4,tabela_registros[TIPO],DADOS!$P$3,tabela_registros[CATEGORIA],despesafixaconsolidadonov[[#This Row],[DESPESA FIXA]])</f>
        <v>0</v>
      </c>
      <c r="I39" s="91">
        <f>SUMIFS(tabela_registros[VALOR],tabela_registros[MÊS],$AE$1,tabela_registros[DIA],novtotal3059718395107119131143155[[#Headers],[5]],tabela_registros[REGISTRO],DADOS!$N$4,tabela_registros[TIPO],DADOS!$P$3,tabela_registros[CATEGORIA],despesafixaconsolidadonov[[#This Row],[DESPESA FIXA]])</f>
        <v>0</v>
      </c>
      <c r="J39" s="91">
        <f>SUMIFS(tabela_registros[VALOR],tabela_registros[MÊS],$AE$1,tabela_registros[DIA],novtotal3059718395107119131143155[[#Headers],[6]],tabela_registros[REGISTRO],DADOS!$N$4,tabela_registros[TIPO],DADOS!$P$3,tabela_registros[CATEGORIA],despesafixaconsolidadonov[[#This Row],[DESPESA FIXA]])</f>
        <v>0</v>
      </c>
      <c r="K39" s="91">
        <f>SUMIFS(tabela_registros[VALOR],tabela_registros[MÊS],$AE$1,tabela_registros[DIA],novtotal3059718395107119131143155[[#Headers],[7]],tabela_registros[REGISTRO],DADOS!$N$4,tabela_registros[TIPO],DADOS!$P$3,tabela_registros[CATEGORIA],despesafixaconsolidadonov[[#This Row],[DESPESA FIXA]])</f>
        <v>0</v>
      </c>
      <c r="L39" s="91">
        <f>SUMIFS(tabela_registros[VALOR],tabela_registros[MÊS],$AE$1,tabela_registros[DIA],novtotal3059718395107119131143155[[#Headers],[8]],tabela_registros[REGISTRO],DADOS!$N$4,tabela_registros[TIPO],DADOS!$P$3,tabela_registros[CATEGORIA],despesafixaconsolidadonov[[#This Row],[DESPESA FIXA]])</f>
        <v>0</v>
      </c>
      <c r="M39" s="91">
        <f>SUMIFS(tabela_registros[VALOR],tabela_registros[MÊS],$AE$1,tabela_registros[DIA],novtotal3059718395107119131143155[[#Headers],[9]],tabela_registros[REGISTRO],DADOS!$N$4,tabela_registros[TIPO],DADOS!$P$3,tabela_registros[CATEGORIA],despesafixaconsolidadonov[[#This Row],[DESPESA FIXA]])</f>
        <v>0</v>
      </c>
      <c r="N39" s="91">
        <f>SUMIFS(tabela_registros[VALOR],tabela_registros[MÊS],$AE$1,tabela_registros[DIA],novtotal3059718395107119131143155[[#Headers],[10]],tabela_registros[REGISTRO],DADOS!$N$4,tabela_registros[TIPO],DADOS!$P$3,tabela_registros[CATEGORIA],despesafixaconsolidadonov[[#This Row],[DESPESA FIXA]])</f>
        <v>0</v>
      </c>
      <c r="O39" s="91">
        <f>SUMIFS(tabela_registros[VALOR],tabela_registros[MÊS],$AE$1,tabela_registros[DIA],novtotal3059718395107119131143155[[#Headers],[11]],tabela_registros[REGISTRO],DADOS!$N$4,tabela_registros[TIPO],DADOS!$P$3,tabela_registros[CATEGORIA],despesafixaconsolidadonov[[#This Row],[DESPESA FIXA]])</f>
        <v>0</v>
      </c>
      <c r="P39" s="91">
        <f>SUMIFS(tabela_registros[VALOR],tabela_registros[MÊS],$AE$1,tabela_registros[DIA],novtotal3059718395107119131143155[[#Headers],[12]],tabela_registros[REGISTRO],DADOS!$N$4,tabela_registros[TIPO],DADOS!$P$3,tabela_registros[CATEGORIA],despesafixaconsolidadonov[[#This Row],[DESPESA FIXA]])</f>
        <v>0</v>
      </c>
      <c r="Q39" s="91">
        <f>SUMIFS(tabela_registros[VALOR],tabela_registros[MÊS],$AE$1,tabela_registros[DIA],novtotal3059718395107119131143155[[#Headers],[13]],tabela_registros[REGISTRO],DADOS!$N$4,tabela_registros[TIPO],DADOS!$P$3,tabela_registros[CATEGORIA],despesafixaconsolidadonov[[#This Row],[DESPESA FIXA]])</f>
        <v>0</v>
      </c>
      <c r="R39" s="91">
        <f>SUMIFS(tabela_registros[VALOR],tabela_registros[MÊS],$AE$1,tabela_registros[DIA],novtotal3059718395107119131143155[[#Headers],[14]],tabela_registros[REGISTRO],DADOS!$N$4,tabela_registros[TIPO],DADOS!$P$3,tabela_registros[CATEGORIA],despesafixaconsolidadonov[[#This Row],[DESPESA FIXA]])</f>
        <v>0</v>
      </c>
      <c r="S39" s="91">
        <f>SUMIFS(tabela_registros[VALOR],tabela_registros[MÊS],$AE$1,tabela_registros[DIA],novtotal3059718395107119131143155[[#Headers],[15]],tabela_registros[REGISTRO],DADOS!$N$4,tabela_registros[TIPO],DADOS!$P$3,tabela_registros[CATEGORIA],despesafixaconsolidadonov[[#This Row],[DESPESA FIXA]])</f>
        <v>0</v>
      </c>
      <c r="T39" s="91">
        <f>SUMIFS(tabela_registros[VALOR],tabela_registros[MÊS],$AE$1,tabela_registros[DIA],novtotal3059718395107119131143155[[#Headers],[16]],tabela_registros[REGISTRO],DADOS!$N$4,tabela_registros[TIPO],DADOS!$P$3,tabela_registros[CATEGORIA],despesafixaconsolidadonov[[#This Row],[DESPESA FIXA]])</f>
        <v>0</v>
      </c>
      <c r="U39" s="91">
        <f>SUMIFS(tabela_registros[VALOR],tabela_registros[MÊS],$AE$1,tabela_registros[DIA],novtotal3059718395107119131143155[[#Headers],[17]],tabela_registros[REGISTRO],DADOS!$N$4,tabela_registros[TIPO],DADOS!$P$3,tabela_registros[CATEGORIA],despesafixaconsolidadonov[[#This Row],[DESPESA FIXA]])</f>
        <v>0</v>
      </c>
      <c r="V39" s="91">
        <f>SUMIFS(tabela_registros[VALOR],tabela_registros[MÊS],$AE$1,tabela_registros[DIA],novtotal3059718395107119131143155[[#Headers],[18]],tabela_registros[REGISTRO],DADOS!$N$4,tabela_registros[TIPO],DADOS!$P$3,tabela_registros[CATEGORIA],despesafixaconsolidadonov[[#This Row],[DESPESA FIXA]])</f>
        <v>0</v>
      </c>
      <c r="W39" s="91">
        <f>SUMIFS(tabela_registros[VALOR],tabela_registros[MÊS],$AE$1,tabela_registros[DIA],novtotal3059718395107119131143155[[#Headers],[19]],tabela_registros[REGISTRO],DADOS!$N$4,tabela_registros[TIPO],DADOS!$P$3,tabela_registros[CATEGORIA],despesafixaconsolidadonov[[#This Row],[DESPESA FIXA]])</f>
        <v>0</v>
      </c>
      <c r="X39" s="91">
        <f>SUMIFS(tabela_registros[VALOR],tabela_registros[MÊS],$AE$1,tabela_registros[DIA],novtotal3059718395107119131143155[[#Headers],[20]],tabela_registros[REGISTRO],DADOS!$N$4,tabela_registros[TIPO],DADOS!$P$3,tabela_registros[CATEGORIA],despesafixaconsolidadonov[[#This Row],[DESPESA FIXA]])</f>
        <v>0</v>
      </c>
      <c r="Y39" s="91">
        <f>SUMIFS(tabela_registros[VALOR],tabela_registros[MÊS],$AE$1,tabela_registros[DIA],novtotal3059718395107119131143155[[#Headers],[21]],tabela_registros[REGISTRO],DADOS!$N$4,tabela_registros[TIPO],DADOS!$P$3,tabela_registros[CATEGORIA],despesafixaconsolidadonov[[#This Row],[DESPESA FIXA]])</f>
        <v>0</v>
      </c>
      <c r="Z39" s="91">
        <f>SUMIFS(tabela_registros[VALOR],tabela_registros[MÊS],$AE$1,tabela_registros[DIA],novtotal3059718395107119131143155[[#Headers],[22]],tabela_registros[REGISTRO],DADOS!$N$4,tabela_registros[TIPO],DADOS!$P$3,tabela_registros[CATEGORIA],despesafixaconsolidadonov[[#This Row],[DESPESA FIXA]])</f>
        <v>0</v>
      </c>
      <c r="AA39" s="91">
        <f>SUMIFS(tabela_registros[VALOR],tabela_registros[MÊS],$AE$1,tabela_registros[DIA],novtotal3059718395107119131143155[[#Headers],[23]],tabela_registros[REGISTRO],DADOS!$N$4,tabela_registros[TIPO],DADOS!$P$3,tabela_registros[CATEGORIA],despesafixaconsolidadonov[[#This Row],[DESPESA FIXA]])</f>
        <v>0</v>
      </c>
      <c r="AB39" s="91">
        <f>SUMIFS(tabela_registros[VALOR],tabela_registros[MÊS],$AE$1,tabela_registros[DIA],novtotal3059718395107119131143155[[#Headers],[24]],tabela_registros[REGISTRO],DADOS!$N$4,tabela_registros[TIPO],DADOS!$P$3,tabela_registros[CATEGORIA],despesafixaconsolidadonov[[#This Row],[DESPESA FIXA]])</f>
        <v>0</v>
      </c>
      <c r="AC39" s="91">
        <f>SUMIFS(tabela_registros[VALOR],tabela_registros[MÊS],$AE$1,tabela_registros[DIA],novtotal3059718395107119131143155[[#Headers],[25]],tabela_registros[REGISTRO],DADOS!$N$4,tabela_registros[TIPO],DADOS!$P$3,tabela_registros[CATEGORIA],despesafixaconsolidadonov[[#This Row],[DESPESA FIXA]])</f>
        <v>0</v>
      </c>
      <c r="AD39" s="91">
        <f>SUMIFS(tabela_registros[VALOR],tabela_registros[MÊS],$AE$1,tabela_registros[DIA],novtotal3059718395107119131143155[[#Headers],[26]],tabela_registros[REGISTRO],DADOS!$N$4,tabela_registros[TIPO],DADOS!$P$3,tabela_registros[CATEGORIA],despesafixaconsolidadonov[[#This Row],[DESPESA FIXA]])</f>
        <v>0</v>
      </c>
      <c r="AE39" s="91">
        <f>SUMIFS(tabela_registros[VALOR],tabela_registros[MÊS],$AE$1,tabela_registros[DIA],novtotal3059718395107119131143155[[#Headers],[27]],tabela_registros[REGISTRO],DADOS!$N$4,tabela_registros[TIPO],DADOS!$P$3,tabela_registros[CATEGORIA],despesafixaconsolidadonov[[#This Row],[DESPESA FIXA]])</f>
        <v>0</v>
      </c>
      <c r="AF39" s="91">
        <f>SUMIFS(tabela_registros[VALOR],tabela_registros[MÊS],$AE$1,tabela_registros[DIA],novtotal3059718395107119131143155[[#Headers],[28]],tabela_registros[REGISTRO],DADOS!$N$4,tabela_registros[TIPO],DADOS!$P$3,tabela_registros[CATEGORIA],despesafixaconsolidadonov[[#This Row],[DESPESA FIXA]])</f>
        <v>0</v>
      </c>
      <c r="AG39" s="91">
        <f>SUMIFS(tabela_registros[VALOR],tabela_registros[MÊS],$AE$1,tabela_registros[DIA],novtotal3059718395107119131143155[[#Headers],[29]],tabela_registros[REGISTRO],DADOS!$N$4,tabela_registros[TIPO],DADOS!$P$3,tabela_registros[CATEGORIA],despesafixaconsolidadonov[[#This Row],[DESPESA FIXA]])</f>
        <v>0</v>
      </c>
      <c r="AH39" s="91">
        <f>SUMIFS(tabela_registros[VALOR],tabela_registros[MÊS],$AE$1,tabela_registros[DIA],novtotal3059718395107119131143155[[#Headers],[30]],tabela_registros[REGISTRO],DADOS!$N$4,tabela_registros[TIPO],DADOS!$P$3,tabela_registros[CATEGORIA],despesafixaconsolidadonov[[#This Row],[DESPESA FIXA]])</f>
        <v>0</v>
      </c>
      <c r="AI39" s="101">
        <f>SUMIFS(tabela_registros[VALOR],tabela_registros[MÊS],$AE$1,tabela_registros[DIA],novtotal3059718395107119131143155[[#Headers],[31]],tabela_registros[REGISTRO],DADOS!$N$4,tabela_registros[TIPO],DADOS!$P$3,tabela_registros[CATEGORIA],despesafixaconsolidadonov[[#This Row],[DESPESA FIXA]])</f>
        <v>0</v>
      </c>
      <c r="AJ39" s="97">
        <f>SUM(despesafixaconsolidadonov[[#This Row],[1]:[31]])</f>
        <v>0</v>
      </c>
      <c r="AK39" s="28"/>
    </row>
    <row r="40" spans="2:37" ht="18" customHeight="1" thickTop="1" thickBot="1" x14ac:dyDescent="0.3">
      <c r="B40" s="28"/>
      <c r="C40" s="27" t="str">
        <f>DADOS!$R$6</f>
        <v>📱 CELULAR</v>
      </c>
      <c r="D40" s="26" t="str">
        <f>IF(despesafixaconsolidadonov[[#This Row],[TOTAL]]=0,"",IF(OR(despesafixaconsolidadonov[[#This Row],[TOTAL]]=LARGE($AJ$37:$AJ$50,1),despesafixaconsolidadonov[[#This Row],[TOTAL]]=LARGE($AJ$37:$AJ$50,2),despesafixaconsolidadonov[[#This Row],[TOTAL]]=LARGE($AJ$37:$AJ$50,3),despesafixaconsolidadonov[[#This Row],[TOTAL]]=LARGE($AJ$37:$AJ$50,4),despesafixaconsolidadonov[[#This Row],[TOTAL]]=LARGE($AJ$37:$AJ$50,5)),DADOS!$I$8,""))</f>
        <v/>
      </c>
      <c r="E40" s="96">
        <f>SUMIFS(tabela_registros[VALOR],tabela_registros[MÊS],$AE$1,tabela_registros[DIA],novtotal3059718395107119131143155[[#Headers],[1]],tabela_registros[REGISTRO],DADOS!$N$4,tabela_registros[TIPO],DADOS!$P$3,tabela_registros[CATEGORIA],despesafixaconsolidadonov[[#This Row],[DESPESA FIXA]])</f>
        <v>0</v>
      </c>
      <c r="F40" s="91">
        <f>SUMIFS(tabela_registros[VALOR],tabela_registros[MÊS],$AE$1,tabela_registros[DIA],novtotal3059718395107119131143155[[#Headers],[2]],tabela_registros[REGISTRO],DADOS!$N$4,tabela_registros[TIPO],DADOS!$P$3,tabela_registros[CATEGORIA],despesafixaconsolidadonov[[#This Row],[DESPESA FIXA]])</f>
        <v>0</v>
      </c>
      <c r="G40" s="91">
        <f>SUMIFS(tabela_registros[VALOR],tabela_registros[MÊS],$AE$1,tabela_registros[DIA],novtotal3059718395107119131143155[[#Headers],[3]],tabela_registros[REGISTRO],DADOS!$N$4,tabela_registros[TIPO],DADOS!$P$3,tabela_registros[CATEGORIA],despesafixaconsolidadonov[[#This Row],[DESPESA FIXA]])</f>
        <v>0</v>
      </c>
      <c r="H40" s="91">
        <f>SUMIFS(tabela_registros[VALOR],tabela_registros[MÊS],$AE$1,tabela_registros[DIA],novtotal3059718395107119131143155[[#Headers],[4]],tabela_registros[REGISTRO],DADOS!$N$4,tabela_registros[TIPO],DADOS!$P$3,tabela_registros[CATEGORIA],despesafixaconsolidadonov[[#This Row],[DESPESA FIXA]])</f>
        <v>0</v>
      </c>
      <c r="I40" s="91">
        <f>SUMIFS(tabela_registros[VALOR],tabela_registros[MÊS],$AE$1,tabela_registros[DIA],novtotal3059718395107119131143155[[#Headers],[5]],tabela_registros[REGISTRO],DADOS!$N$4,tabela_registros[TIPO],DADOS!$P$3,tabela_registros[CATEGORIA],despesafixaconsolidadonov[[#This Row],[DESPESA FIXA]])</f>
        <v>0</v>
      </c>
      <c r="J40" s="91">
        <f>SUMIFS(tabela_registros[VALOR],tabela_registros[MÊS],$AE$1,tabela_registros[DIA],novtotal3059718395107119131143155[[#Headers],[6]],tabela_registros[REGISTRO],DADOS!$N$4,tabela_registros[TIPO],DADOS!$P$3,tabela_registros[CATEGORIA],despesafixaconsolidadonov[[#This Row],[DESPESA FIXA]])</f>
        <v>0</v>
      </c>
      <c r="K40" s="91">
        <f>SUMIFS(tabela_registros[VALOR],tabela_registros[MÊS],$AE$1,tabela_registros[DIA],novtotal3059718395107119131143155[[#Headers],[7]],tabela_registros[REGISTRO],DADOS!$N$4,tabela_registros[TIPO],DADOS!$P$3,tabela_registros[CATEGORIA],despesafixaconsolidadonov[[#This Row],[DESPESA FIXA]])</f>
        <v>0</v>
      </c>
      <c r="L40" s="91">
        <f>SUMIFS(tabela_registros[VALOR],tabela_registros[MÊS],$AE$1,tabela_registros[DIA],novtotal3059718395107119131143155[[#Headers],[8]],tabela_registros[REGISTRO],DADOS!$N$4,tabela_registros[TIPO],DADOS!$P$3,tabela_registros[CATEGORIA],despesafixaconsolidadonov[[#This Row],[DESPESA FIXA]])</f>
        <v>0</v>
      </c>
      <c r="M40" s="91">
        <f>SUMIFS(tabela_registros[VALOR],tabela_registros[MÊS],$AE$1,tabela_registros[DIA],novtotal3059718395107119131143155[[#Headers],[9]],tabela_registros[REGISTRO],DADOS!$N$4,tabela_registros[TIPO],DADOS!$P$3,tabela_registros[CATEGORIA],despesafixaconsolidadonov[[#This Row],[DESPESA FIXA]])</f>
        <v>0</v>
      </c>
      <c r="N40" s="91">
        <f>SUMIFS(tabela_registros[VALOR],tabela_registros[MÊS],$AE$1,tabela_registros[DIA],novtotal3059718395107119131143155[[#Headers],[10]],tabela_registros[REGISTRO],DADOS!$N$4,tabela_registros[TIPO],DADOS!$P$3,tabela_registros[CATEGORIA],despesafixaconsolidadonov[[#This Row],[DESPESA FIXA]])</f>
        <v>0</v>
      </c>
      <c r="O40" s="91">
        <f>SUMIFS(tabela_registros[VALOR],tabela_registros[MÊS],$AE$1,tabela_registros[DIA],novtotal3059718395107119131143155[[#Headers],[11]],tabela_registros[REGISTRO],DADOS!$N$4,tabela_registros[TIPO],DADOS!$P$3,tabela_registros[CATEGORIA],despesafixaconsolidadonov[[#This Row],[DESPESA FIXA]])</f>
        <v>0</v>
      </c>
      <c r="P40" s="91">
        <f>SUMIFS(tabela_registros[VALOR],tabela_registros[MÊS],$AE$1,tabela_registros[DIA],novtotal3059718395107119131143155[[#Headers],[12]],tabela_registros[REGISTRO],DADOS!$N$4,tabela_registros[TIPO],DADOS!$P$3,tabela_registros[CATEGORIA],despesafixaconsolidadonov[[#This Row],[DESPESA FIXA]])</f>
        <v>0</v>
      </c>
      <c r="Q40" s="91">
        <f>SUMIFS(tabela_registros[VALOR],tabela_registros[MÊS],$AE$1,tabela_registros[DIA],novtotal3059718395107119131143155[[#Headers],[13]],tabela_registros[REGISTRO],DADOS!$N$4,tabela_registros[TIPO],DADOS!$P$3,tabela_registros[CATEGORIA],despesafixaconsolidadonov[[#This Row],[DESPESA FIXA]])</f>
        <v>0</v>
      </c>
      <c r="R40" s="91">
        <f>SUMIFS(tabela_registros[VALOR],tabela_registros[MÊS],$AE$1,tabela_registros[DIA],novtotal3059718395107119131143155[[#Headers],[14]],tabela_registros[REGISTRO],DADOS!$N$4,tabela_registros[TIPO],DADOS!$P$3,tabela_registros[CATEGORIA],despesafixaconsolidadonov[[#This Row],[DESPESA FIXA]])</f>
        <v>0</v>
      </c>
      <c r="S40" s="91">
        <f>SUMIFS(tabela_registros[VALOR],tabela_registros[MÊS],$AE$1,tabela_registros[DIA],novtotal3059718395107119131143155[[#Headers],[15]],tabela_registros[REGISTRO],DADOS!$N$4,tabela_registros[TIPO],DADOS!$P$3,tabela_registros[CATEGORIA],despesafixaconsolidadonov[[#This Row],[DESPESA FIXA]])</f>
        <v>0</v>
      </c>
      <c r="T40" s="91">
        <f>SUMIFS(tabela_registros[VALOR],tabela_registros[MÊS],$AE$1,tabela_registros[DIA],novtotal3059718395107119131143155[[#Headers],[16]],tabela_registros[REGISTRO],DADOS!$N$4,tabela_registros[TIPO],DADOS!$P$3,tabela_registros[CATEGORIA],despesafixaconsolidadonov[[#This Row],[DESPESA FIXA]])</f>
        <v>0</v>
      </c>
      <c r="U40" s="91">
        <f>SUMIFS(tabela_registros[VALOR],tabela_registros[MÊS],$AE$1,tabela_registros[DIA],novtotal3059718395107119131143155[[#Headers],[17]],tabela_registros[REGISTRO],DADOS!$N$4,tabela_registros[TIPO],DADOS!$P$3,tabela_registros[CATEGORIA],despesafixaconsolidadonov[[#This Row],[DESPESA FIXA]])</f>
        <v>0</v>
      </c>
      <c r="V40" s="91">
        <f>SUMIFS(tabela_registros[VALOR],tabela_registros[MÊS],$AE$1,tabela_registros[DIA],novtotal3059718395107119131143155[[#Headers],[18]],tabela_registros[REGISTRO],DADOS!$N$4,tabela_registros[TIPO],DADOS!$P$3,tabela_registros[CATEGORIA],despesafixaconsolidadonov[[#This Row],[DESPESA FIXA]])</f>
        <v>0</v>
      </c>
      <c r="W40" s="91">
        <f>SUMIFS(tabela_registros[VALOR],tabela_registros[MÊS],$AE$1,tabela_registros[DIA],novtotal3059718395107119131143155[[#Headers],[19]],tabela_registros[REGISTRO],DADOS!$N$4,tabela_registros[TIPO],DADOS!$P$3,tabela_registros[CATEGORIA],despesafixaconsolidadonov[[#This Row],[DESPESA FIXA]])</f>
        <v>0</v>
      </c>
      <c r="X40" s="91">
        <f>SUMIFS(tabela_registros[VALOR],tabela_registros[MÊS],$AE$1,tabela_registros[DIA],novtotal3059718395107119131143155[[#Headers],[20]],tabela_registros[REGISTRO],DADOS!$N$4,tabela_registros[TIPO],DADOS!$P$3,tabela_registros[CATEGORIA],despesafixaconsolidadonov[[#This Row],[DESPESA FIXA]])</f>
        <v>0</v>
      </c>
      <c r="Y40" s="91">
        <f>SUMIFS(tabela_registros[VALOR],tabela_registros[MÊS],$AE$1,tabela_registros[DIA],novtotal3059718395107119131143155[[#Headers],[21]],tabela_registros[REGISTRO],DADOS!$N$4,tabela_registros[TIPO],DADOS!$P$3,tabela_registros[CATEGORIA],despesafixaconsolidadonov[[#This Row],[DESPESA FIXA]])</f>
        <v>0</v>
      </c>
      <c r="Z40" s="91">
        <f>SUMIFS(tabela_registros[VALOR],tabela_registros[MÊS],$AE$1,tabela_registros[DIA],novtotal3059718395107119131143155[[#Headers],[22]],tabela_registros[REGISTRO],DADOS!$N$4,tabela_registros[TIPO],DADOS!$P$3,tabela_registros[CATEGORIA],despesafixaconsolidadonov[[#This Row],[DESPESA FIXA]])</f>
        <v>0</v>
      </c>
      <c r="AA40" s="91">
        <f>SUMIFS(tabela_registros[VALOR],tabela_registros[MÊS],$AE$1,tabela_registros[DIA],novtotal3059718395107119131143155[[#Headers],[23]],tabela_registros[REGISTRO],DADOS!$N$4,tabela_registros[TIPO],DADOS!$P$3,tabela_registros[CATEGORIA],despesafixaconsolidadonov[[#This Row],[DESPESA FIXA]])</f>
        <v>0</v>
      </c>
      <c r="AB40" s="91">
        <f>SUMIFS(tabela_registros[VALOR],tabela_registros[MÊS],$AE$1,tabela_registros[DIA],novtotal3059718395107119131143155[[#Headers],[24]],tabela_registros[REGISTRO],DADOS!$N$4,tabela_registros[TIPO],DADOS!$P$3,tabela_registros[CATEGORIA],despesafixaconsolidadonov[[#This Row],[DESPESA FIXA]])</f>
        <v>0</v>
      </c>
      <c r="AC40" s="91">
        <f>SUMIFS(tabela_registros[VALOR],tabela_registros[MÊS],$AE$1,tabela_registros[DIA],novtotal3059718395107119131143155[[#Headers],[25]],tabela_registros[REGISTRO],DADOS!$N$4,tabela_registros[TIPO],DADOS!$P$3,tabela_registros[CATEGORIA],despesafixaconsolidadonov[[#This Row],[DESPESA FIXA]])</f>
        <v>0</v>
      </c>
      <c r="AD40" s="91">
        <f>SUMIFS(tabela_registros[VALOR],tabela_registros[MÊS],$AE$1,tabela_registros[DIA],novtotal3059718395107119131143155[[#Headers],[26]],tabela_registros[REGISTRO],DADOS!$N$4,tabela_registros[TIPO],DADOS!$P$3,tabela_registros[CATEGORIA],despesafixaconsolidadonov[[#This Row],[DESPESA FIXA]])</f>
        <v>0</v>
      </c>
      <c r="AE40" s="91">
        <f>SUMIFS(tabela_registros[VALOR],tabela_registros[MÊS],$AE$1,tabela_registros[DIA],novtotal3059718395107119131143155[[#Headers],[27]],tabela_registros[REGISTRO],DADOS!$N$4,tabela_registros[TIPO],DADOS!$P$3,tabela_registros[CATEGORIA],despesafixaconsolidadonov[[#This Row],[DESPESA FIXA]])</f>
        <v>0</v>
      </c>
      <c r="AF40" s="91">
        <f>SUMIFS(tabela_registros[VALOR],tabela_registros[MÊS],$AE$1,tabela_registros[DIA],novtotal3059718395107119131143155[[#Headers],[28]],tabela_registros[REGISTRO],DADOS!$N$4,tabela_registros[TIPO],DADOS!$P$3,tabela_registros[CATEGORIA],despesafixaconsolidadonov[[#This Row],[DESPESA FIXA]])</f>
        <v>0</v>
      </c>
      <c r="AG40" s="91">
        <f>SUMIFS(tabela_registros[VALOR],tabela_registros[MÊS],$AE$1,tabela_registros[DIA],novtotal3059718395107119131143155[[#Headers],[29]],tabela_registros[REGISTRO],DADOS!$N$4,tabela_registros[TIPO],DADOS!$P$3,tabela_registros[CATEGORIA],despesafixaconsolidadonov[[#This Row],[DESPESA FIXA]])</f>
        <v>0</v>
      </c>
      <c r="AH40" s="91">
        <f>SUMIFS(tabela_registros[VALOR],tabela_registros[MÊS],$AE$1,tabela_registros[DIA],novtotal3059718395107119131143155[[#Headers],[30]],tabela_registros[REGISTRO],DADOS!$N$4,tabela_registros[TIPO],DADOS!$P$3,tabela_registros[CATEGORIA],despesafixaconsolidadonov[[#This Row],[DESPESA FIXA]])</f>
        <v>0</v>
      </c>
      <c r="AI40" s="101">
        <f>SUMIFS(tabela_registros[VALOR],tabela_registros[MÊS],$AE$1,tabela_registros[DIA],novtotal3059718395107119131143155[[#Headers],[31]],tabela_registros[REGISTRO],DADOS!$N$4,tabela_registros[TIPO],DADOS!$P$3,tabela_registros[CATEGORIA],despesafixaconsolidadonov[[#This Row],[DESPESA FIXA]])</f>
        <v>0</v>
      </c>
      <c r="AJ40" s="97">
        <f>SUM(despesafixaconsolidadonov[[#This Row],[1]:[31]])</f>
        <v>0</v>
      </c>
      <c r="AK40" s="28"/>
    </row>
    <row r="41" spans="2:37" ht="18" customHeight="1" thickTop="1" thickBot="1" x14ac:dyDescent="0.3">
      <c r="B41" s="28"/>
      <c r="C41" s="27" t="str">
        <f>DADOS!$R$7</f>
        <v>📖 EDUCAÇÃO</v>
      </c>
      <c r="D41" s="26" t="str">
        <f>IF(despesafixaconsolidadonov[[#This Row],[TOTAL]]=0,"",IF(OR(despesafixaconsolidadonov[[#This Row],[TOTAL]]=LARGE($AJ$37:$AJ$50,1),despesafixaconsolidadonov[[#This Row],[TOTAL]]=LARGE($AJ$37:$AJ$50,2),despesafixaconsolidadonov[[#This Row],[TOTAL]]=LARGE($AJ$37:$AJ$50,3),despesafixaconsolidadonov[[#This Row],[TOTAL]]=LARGE($AJ$37:$AJ$50,4),despesafixaconsolidadonov[[#This Row],[TOTAL]]=LARGE($AJ$37:$AJ$50,5)),DADOS!$I$8,""))</f>
        <v/>
      </c>
      <c r="E41" s="96">
        <f>SUMIFS(tabela_registros[VALOR],tabela_registros[MÊS],$AE$1,tabela_registros[DIA],novtotal3059718395107119131143155[[#Headers],[1]],tabela_registros[REGISTRO],DADOS!$N$4,tabela_registros[TIPO],DADOS!$P$3,tabela_registros[CATEGORIA],despesafixaconsolidadonov[[#This Row],[DESPESA FIXA]])</f>
        <v>0</v>
      </c>
      <c r="F41" s="91">
        <f>SUMIFS(tabela_registros[VALOR],tabela_registros[MÊS],$AE$1,tabela_registros[DIA],novtotal3059718395107119131143155[[#Headers],[2]],tabela_registros[REGISTRO],DADOS!$N$4,tabela_registros[TIPO],DADOS!$P$3,tabela_registros[CATEGORIA],despesafixaconsolidadonov[[#This Row],[DESPESA FIXA]])</f>
        <v>0</v>
      </c>
      <c r="G41" s="91">
        <f>SUMIFS(tabela_registros[VALOR],tabela_registros[MÊS],$AE$1,tabela_registros[DIA],novtotal3059718395107119131143155[[#Headers],[3]],tabela_registros[REGISTRO],DADOS!$N$4,tabela_registros[TIPO],DADOS!$P$3,tabela_registros[CATEGORIA],despesafixaconsolidadonov[[#This Row],[DESPESA FIXA]])</f>
        <v>0</v>
      </c>
      <c r="H41" s="91">
        <f>SUMIFS(tabela_registros[VALOR],tabela_registros[MÊS],$AE$1,tabela_registros[DIA],novtotal3059718395107119131143155[[#Headers],[4]],tabela_registros[REGISTRO],DADOS!$N$4,tabela_registros[TIPO],DADOS!$P$3,tabela_registros[CATEGORIA],despesafixaconsolidadonov[[#This Row],[DESPESA FIXA]])</f>
        <v>0</v>
      </c>
      <c r="I41" s="91">
        <f>SUMIFS(tabela_registros[VALOR],tabela_registros[MÊS],$AE$1,tabela_registros[DIA],novtotal3059718395107119131143155[[#Headers],[5]],tabela_registros[REGISTRO],DADOS!$N$4,tabela_registros[TIPO],DADOS!$P$3,tabela_registros[CATEGORIA],despesafixaconsolidadonov[[#This Row],[DESPESA FIXA]])</f>
        <v>0</v>
      </c>
      <c r="J41" s="91">
        <f>SUMIFS(tabela_registros[VALOR],tabela_registros[MÊS],$AE$1,tabela_registros[DIA],novtotal3059718395107119131143155[[#Headers],[6]],tabela_registros[REGISTRO],DADOS!$N$4,tabela_registros[TIPO],DADOS!$P$3,tabela_registros[CATEGORIA],despesafixaconsolidadonov[[#This Row],[DESPESA FIXA]])</f>
        <v>0</v>
      </c>
      <c r="K41" s="91">
        <f>SUMIFS(tabela_registros[VALOR],tabela_registros[MÊS],$AE$1,tabela_registros[DIA],novtotal3059718395107119131143155[[#Headers],[7]],tabela_registros[REGISTRO],DADOS!$N$4,tabela_registros[TIPO],DADOS!$P$3,tabela_registros[CATEGORIA],despesafixaconsolidadonov[[#This Row],[DESPESA FIXA]])</f>
        <v>0</v>
      </c>
      <c r="L41" s="91">
        <f>SUMIFS(tabela_registros[VALOR],tabela_registros[MÊS],$AE$1,tabela_registros[DIA],novtotal3059718395107119131143155[[#Headers],[8]],tabela_registros[REGISTRO],DADOS!$N$4,tabela_registros[TIPO],DADOS!$P$3,tabela_registros[CATEGORIA],despesafixaconsolidadonov[[#This Row],[DESPESA FIXA]])</f>
        <v>0</v>
      </c>
      <c r="M41" s="91">
        <f>SUMIFS(tabela_registros[VALOR],tabela_registros[MÊS],$AE$1,tabela_registros[DIA],novtotal3059718395107119131143155[[#Headers],[9]],tabela_registros[REGISTRO],DADOS!$N$4,tabela_registros[TIPO],DADOS!$P$3,tabela_registros[CATEGORIA],despesafixaconsolidadonov[[#This Row],[DESPESA FIXA]])</f>
        <v>0</v>
      </c>
      <c r="N41" s="91">
        <f>SUMIFS(tabela_registros[VALOR],tabela_registros[MÊS],$AE$1,tabela_registros[DIA],novtotal3059718395107119131143155[[#Headers],[10]],tabela_registros[REGISTRO],DADOS!$N$4,tabela_registros[TIPO],DADOS!$P$3,tabela_registros[CATEGORIA],despesafixaconsolidadonov[[#This Row],[DESPESA FIXA]])</f>
        <v>0</v>
      </c>
      <c r="O41" s="91">
        <f>SUMIFS(tabela_registros[VALOR],tabela_registros[MÊS],$AE$1,tabela_registros[DIA],novtotal3059718395107119131143155[[#Headers],[11]],tabela_registros[REGISTRO],DADOS!$N$4,tabela_registros[TIPO],DADOS!$P$3,tabela_registros[CATEGORIA],despesafixaconsolidadonov[[#This Row],[DESPESA FIXA]])</f>
        <v>0</v>
      </c>
      <c r="P41" s="91">
        <f>SUMIFS(tabela_registros[VALOR],tabela_registros[MÊS],$AE$1,tabela_registros[DIA],novtotal3059718395107119131143155[[#Headers],[12]],tabela_registros[REGISTRO],DADOS!$N$4,tabela_registros[TIPO],DADOS!$P$3,tabela_registros[CATEGORIA],despesafixaconsolidadonov[[#This Row],[DESPESA FIXA]])</f>
        <v>0</v>
      </c>
      <c r="Q41" s="91">
        <f>SUMIFS(tabela_registros[VALOR],tabela_registros[MÊS],$AE$1,tabela_registros[DIA],novtotal3059718395107119131143155[[#Headers],[13]],tabela_registros[REGISTRO],DADOS!$N$4,tabela_registros[TIPO],DADOS!$P$3,tabela_registros[CATEGORIA],despesafixaconsolidadonov[[#This Row],[DESPESA FIXA]])</f>
        <v>0</v>
      </c>
      <c r="R41" s="91">
        <f>SUMIFS(tabela_registros[VALOR],tabela_registros[MÊS],$AE$1,tabela_registros[DIA],novtotal3059718395107119131143155[[#Headers],[14]],tabela_registros[REGISTRO],DADOS!$N$4,tabela_registros[TIPO],DADOS!$P$3,tabela_registros[CATEGORIA],despesafixaconsolidadonov[[#This Row],[DESPESA FIXA]])</f>
        <v>0</v>
      </c>
      <c r="S41" s="91">
        <f>SUMIFS(tabela_registros[VALOR],tabela_registros[MÊS],$AE$1,tabela_registros[DIA],novtotal3059718395107119131143155[[#Headers],[15]],tabela_registros[REGISTRO],DADOS!$N$4,tabela_registros[TIPO],DADOS!$P$3,tabela_registros[CATEGORIA],despesafixaconsolidadonov[[#This Row],[DESPESA FIXA]])</f>
        <v>0</v>
      </c>
      <c r="T41" s="91">
        <f>SUMIFS(tabela_registros[VALOR],tabela_registros[MÊS],$AE$1,tabela_registros[DIA],novtotal3059718395107119131143155[[#Headers],[16]],tabela_registros[REGISTRO],DADOS!$N$4,tabela_registros[TIPO],DADOS!$P$3,tabela_registros[CATEGORIA],despesafixaconsolidadonov[[#This Row],[DESPESA FIXA]])</f>
        <v>0</v>
      </c>
      <c r="U41" s="91">
        <f>SUMIFS(tabela_registros[VALOR],tabela_registros[MÊS],$AE$1,tabela_registros[DIA],novtotal3059718395107119131143155[[#Headers],[17]],tabela_registros[REGISTRO],DADOS!$N$4,tabela_registros[TIPO],DADOS!$P$3,tabela_registros[CATEGORIA],despesafixaconsolidadonov[[#This Row],[DESPESA FIXA]])</f>
        <v>0</v>
      </c>
      <c r="V41" s="91">
        <f>SUMIFS(tabela_registros[VALOR],tabela_registros[MÊS],$AE$1,tabela_registros[DIA],novtotal3059718395107119131143155[[#Headers],[18]],tabela_registros[REGISTRO],DADOS!$N$4,tabela_registros[TIPO],DADOS!$P$3,tabela_registros[CATEGORIA],despesafixaconsolidadonov[[#This Row],[DESPESA FIXA]])</f>
        <v>0</v>
      </c>
      <c r="W41" s="91">
        <f>SUMIFS(tabela_registros[VALOR],tabela_registros[MÊS],$AE$1,tabela_registros[DIA],novtotal3059718395107119131143155[[#Headers],[19]],tabela_registros[REGISTRO],DADOS!$N$4,tabela_registros[TIPO],DADOS!$P$3,tabela_registros[CATEGORIA],despesafixaconsolidadonov[[#This Row],[DESPESA FIXA]])</f>
        <v>0</v>
      </c>
      <c r="X41" s="91">
        <f>SUMIFS(tabela_registros[VALOR],tabela_registros[MÊS],$AE$1,tabela_registros[DIA],novtotal3059718395107119131143155[[#Headers],[20]],tabela_registros[REGISTRO],DADOS!$N$4,tabela_registros[TIPO],DADOS!$P$3,tabela_registros[CATEGORIA],despesafixaconsolidadonov[[#This Row],[DESPESA FIXA]])</f>
        <v>0</v>
      </c>
      <c r="Y41" s="91">
        <f>SUMIFS(tabela_registros[VALOR],tabela_registros[MÊS],$AE$1,tabela_registros[DIA],novtotal3059718395107119131143155[[#Headers],[21]],tabela_registros[REGISTRO],DADOS!$N$4,tabela_registros[TIPO],DADOS!$P$3,tabela_registros[CATEGORIA],despesafixaconsolidadonov[[#This Row],[DESPESA FIXA]])</f>
        <v>0</v>
      </c>
      <c r="Z41" s="91">
        <f>SUMIFS(tabela_registros[VALOR],tabela_registros[MÊS],$AE$1,tabela_registros[DIA],novtotal3059718395107119131143155[[#Headers],[22]],tabela_registros[REGISTRO],DADOS!$N$4,tabela_registros[TIPO],DADOS!$P$3,tabela_registros[CATEGORIA],despesafixaconsolidadonov[[#This Row],[DESPESA FIXA]])</f>
        <v>0</v>
      </c>
      <c r="AA41" s="91">
        <f>SUMIFS(tabela_registros[VALOR],tabela_registros[MÊS],$AE$1,tabela_registros[DIA],novtotal3059718395107119131143155[[#Headers],[23]],tabela_registros[REGISTRO],DADOS!$N$4,tabela_registros[TIPO],DADOS!$P$3,tabela_registros[CATEGORIA],despesafixaconsolidadonov[[#This Row],[DESPESA FIXA]])</f>
        <v>0</v>
      </c>
      <c r="AB41" s="91">
        <f>SUMIFS(tabela_registros[VALOR],tabela_registros[MÊS],$AE$1,tabela_registros[DIA],novtotal3059718395107119131143155[[#Headers],[24]],tabela_registros[REGISTRO],DADOS!$N$4,tabela_registros[TIPO],DADOS!$P$3,tabela_registros[CATEGORIA],despesafixaconsolidadonov[[#This Row],[DESPESA FIXA]])</f>
        <v>0</v>
      </c>
      <c r="AC41" s="91">
        <f>SUMIFS(tabela_registros[VALOR],tabela_registros[MÊS],$AE$1,tabela_registros[DIA],novtotal3059718395107119131143155[[#Headers],[25]],tabela_registros[REGISTRO],DADOS!$N$4,tabela_registros[TIPO],DADOS!$P$3,tabela_registros[CATEGORIA],despesafixaconsolidadonov[[#This Row],[DESPESA FIXA]])</f>
        <v>0</v>
      </c>
      <c r="AD41" s="91">
        <f>SUMIFS(tabela_registros[VALOR],tabela_registros[MÊS],$AE$1,tabela_registros[DIA],novtotal3059718395107119131143155[[#Headers],[26]],tabela_registros[REGISTRO],DADOS!$N$4,tabela_registros[TIPO],DADOS!$P$3,tabela_registros[CATEGORIA],despesafixaconsolidadonov[[#This Row],[DESPESA FIXA]])</f>
        <v>0</v>
      </c>
      <c r="AE41" s="91">
        <f>SUMIFS(tabela_registros[VALOR],tabela_registros[MÊS],$AE$1,tabela_registros[DIA],novtotal3059718395107119131143155[[#Headers],[27]],tabela_registros[REGISTRO],DADOS!$N$4,tabela_registros[TIPO],DADOS!$P$3,tabela_registros[CATEGORIA],despesafixaconsolidadonov[[#This Row],[DESPESA FIXA]])</f>
        <v>0</v>
      </c>
      <c r="AF41" s="91">
        <f>SUMIFS(tabela_registros[VALOR],tabela_registros[MÊS],$AE$1,tabela_registros[DIA],novtotal3059718395107119131143155[[#Headers],[28]],tabela_registros[REGISTRO],DADOS!$N$4,tabela_registros[TIPO],DADOS!$P$3,tabela_registros[CATEGORIA],despesafixaconsolidadonov[[#This Row],[DESPESA FIXA]])</f>
        <v>0</v>
      </c>
      <c r="AG41" s="91">
        <f>SUMIFS(tabela_registros[VALOR],tabela_registros[MÊS],$AE$1,tabela_registros[DIA],novtotal3059718395107119131143155[[#Headers],[29]],tabela_registros[REGISTRO],DADOS!$N$4,tabela_registros[TIPO],DADOS!$P$3,tabela_registros[CATEGORIA],despesafixaconsolidadonov[[#This Row],[DESPESA FIXA]])</f>
        <v>0</v>
      </c>
      <c r="AH41" s="91">
        <f>SUMIFS(tabela_registros[VALOR],tabela_registros[MÊS],$AE$1,tabela_registros[DIA],novtotal3059718395107119131143155[[#Headers],[30]],tabela_registros[REGISTRO],DADOS!$N$4,tabela_registros[TIPO],DADOS!$P$3,tabela_registros[CATEGORIA],despesafixaconsolidadonov[[#This Row],[DESPESA FIXA]])</f>
        <v>0</v>
      </c>
      <c r="AI41" s="101">
        <f>SUMIFS(tabela_registros[VALOR],tabela_registros[MÊS],$AE$1,tabela_registros[DIA],novtotal3059718395107119131143155[[#Headers],[31]],tabela_registros[REGISTRO],DADOS!$N$4,tabela_registros[TIPO],DADOS!$P$3,tabela_registros[CATEGORIA],despesafixaconsolidadonov[[#This Row],[DESPESA FIXA]])</f>
        <v>0</v>
      </c>
      <c r="AJ41" s="97">
        <f>SUM(despesafixaconsolidadonov[[#This Row],[1]:[31]])</f>
        <v>0</v>
      </c>
      <c r="AK41" s="28"/>
    </row>
    <row r="42" spans="2:37" ht="18" customHeight="1" thickTop="1" thickBot="1" x14ac:dyDescent="0.3">
      <c r="B42" s="28"/>
      <c r="C42" s="27" t="str">
        <f>DADOS!$R$8</f>
        <v>🏦 EMPRÉSTIMO</v>
      </c>
      <c r="D42" s="26" t="str">
        <f>IF(despesafixaconsolidadonov[[#This Row],[TOTAL]]=0,"",IF(OR(despesafixaconsolidadonov[[#This Row],[TOTAL]]=LARGE($AJ$37:$AJ$50,1),despesafixaconsolidadonov[[#This Row],[TOTAL]]=LARGE($AJ$37:$AJ$50,2),despesafixaconsolidadonov[[#This Row],[TOTAL]]=LARGE($AJ$37:$AJ$50,3),despesafixaconsolidadonov[[#This Row],[TOTAL]]=LARGE($AJ$37:$AJ$50,4),despesafixaconsolidadonov[[#This Row],[TOTAL]]=LARGE($AJ$37:$AJ$50,5)),DADOS!$I$8,""))</f>
        <v/>
      </c>
      <c r="E42" s="96">
        <f>SUMIFS(tabela_registros[VALOR],tabela_registros[MÊS],$AE$1,tabela_registros[DIA],novtotal3059718395107119131143155[[#Headers],[1]],tabela_registros[REGISTRO],DADOS!$N$4,tabela_registros[TIPO],DADOS!$P$3,tabela_registros[CATEGORIA],despesafixaconsolidadonov[[#This Row],[DESPESA FIXA]])</f>
        <v>0</v>
      </c>
      <c r="F42" s="91">
        <f>SUMIFS(tabela_registros[VALOR],tabela_registros[MÊS],$AE$1,tabela_registros[DIA],novtotal3059718395107119131143155[[#Headers],[2]],tabela_registros[REGISTRO],DADOS!$N$4,tabela_registros[TIPO],DADOS!$P$3,tabela_registros[CATEGORIA],despesafixaconsolidadonov[[#This Row],[DESPESA FIXA]])</f>
        <v>0</v>
      </c>
      <c r="G42" s="91">
        <f>SUMIFS(tabela_registros[VALOR],tabela_registros[MÊS],$AE$1,tabela_registros[DIA],novtotal3059718395107119131143155[[#Headers],[3]],tabela_registros[REGISTRO],DADOS!$N$4,tabela_registros[TIPO],DADOS!$P$3,tabela_registros[CATEGORIA],despesafixaconsolidadonov[[#This Row],[DESPESA FIXA]])</f>
        <v>0</v>
      </c>
      <c r="H42" s="91">
        <f>SUMIFS(tabela_registros[VALOR],tabela_registros[MÊS],$AE$1,tabela_registros[DIA],novtotal3059718395107119131143155[[#Headers],[4]],tabela_registros[REGISTRO],DADOS!$N$4,tabela_registros[TIPO],DADOS!$P$3,tabela_registros[CATEGORIA],despesafixaconsolidadonov[[#This Row],[DESPESA FIXA]])</f>
        <v>0</v>
      </c>
      <c r="I42" s="91">
        <f>SUMIFS(tabela_registros[VALOR],tabela_registros[MÊS],$AE$1,tabela_registros[DIA],novtotal3059718395107119131143155[[#Headers],[5]],tabela_registros[REGISTRO],DADOS!$N$4,tabela_registros[TIPO],DADOS!$P$3,tabela_registros[CATEGORIA],despesafixaconsolidadonov[[#This Row],[DESPESA FIXA]])</f>
        <v>0</v>
      </c>
      <c r="J42" s="91">
        <f>SUMIFS(tabela_registros[VALOR],tabela_registros[MÊS],$AE$1,tabela_registros[DIA],novtotal3059718395107119131143155[[#Headers],[6]],tabela_registros[REGISTRO],DADOS!$N$4,tabela_registros[TIPO],DADOS!$P$3,tabela_registros[CATEGORIA],despesafixaconsolidadonov[[#This Row],[DESPESA FIXA]])</f>
        <v>0</v>
      </c>
      <c r="K42" s="91">
        <f>SUMIFS(tabela_registros[VALOR],tabela_registros[MÊS],$AE$1,tabela_registros[DIA],novtotal3059718395107119131143155[[#Headers],[7]],tabela_registros[REGISTRO],DADOS!$N$4,tabela_registros[TIPO],DADOS!$P$3,tabela_registros[CATEGORIA],despesafixaconsolidadonov[[#This Row],[DESPESA FIXA]])</f>
        <v>0</v>
      </c>
      <c r="L42" s="91">
        <f>SUMIFS(tabela_registros[VALOR],tabela_registros[MÊS],$AE$1,tabela_registros[DIA],novtotal3059718395107119131143155[[#Headers],[8]],tabela_registros[REGISTRO],DADOS!$N$4,tabela_registros[TIPO],DADOS!$P$3,tabela_registros[CATEGORIA],despesafixaconsolidadonov[[#This Row],[DESPESA FIXA]])</f>
        <v>0</v>
      </c>
      <c r="M42" s="91">
        <f>SUMIFS(tabela_registros[VALOR],tabela_registros[MÊS],$AE$1,tabela_registros[DIA],novtotal3059718395107119131143155[[#Headers],[9]],tabela_registros[REGISTRO],DADOS!$N$4,tabela_registros[TIPO],DADOS!$P$3,tabela_registros[CATEGORIA],despesafixaconsolidadonov[[#This Row],[DESPESA FIXA]])</f>
        <v>0</v>
      </c>
      <c r="N42" s="91">
        <f>SUMIFS(tabela_registros[VALOR],tabela_registros[MÊS],$AE$1,tabela_registros[DIA],novtotal3059718395107119131143155[[#Headers],[10]],tabela_registros[REGISTRO],DADOS!$N$4,tabela_registros[TIPO],DADOS!$P$3,tabela_registros[CATEGORIA],despesafixaconsolidadonov[[#This Row],[DESPESA FIXA]])</f>
        <v>0</v>
      </c>
      <c r="O42" s="91">
        <f>SUMIFS(tabela_registros[VALOR],tabela_registros[MÊS],$AE$1,tabela_registros[DIA],novtotal3059718395107119131143155[[#Headers],[11]],tabela_registros[REGISTRO],DADOS!$N$4,tabela_registros[TIPO],DADOS!$P$3,tabela_registros[CATEGORIA],despesafixaconsolidadonov[[#This Row],[DESPESA FIXA]])</f>
        <v>0</v>
      </c>
      <c r="P42" s="91">
        <f>SUMIFS(tabela_registros[VALOR],tabela_registros[MÊS],$AE$1,tabela_registros[DIA],novtotal3059718395107119131143155[[#Headers],[12]],tabela_registros[REGISTRO],DADOS!$N$4,tabela_registros[TIPO],DADOS!$P$3,tabela_registros[CATEGORIA],despesafixaconsolidadonov[[#This Row],[DESPESA FIXA]])</f>
        <v>0</v>
      </c>
      <c r="Q42" s="91">
        <f>SUMIFS(tabela_registros[VALOR],tabela_registros[MÊS],$AE$1,tabela_registros[DIA],novtotal3059718395107119131143155[[#Headers],[13]],tabela_registros[REGISTRO],DADOS!$N$4,tabela_registros[TIPO],DADOS!$P$3,tabela_registros[CATEGORIA],despesafixaconsolidadonov[[#This Row],[DESPESA FIXA]])</f>
        <v>0</v>
      </c>
      <c r="R42" s="91">
        <f>SUMIFS(tabela_registros[VALOR],tabela_registros[MÊS],$AE$1,tabela_registros[DIA],novtotal3059718395107119131143155[[#Headers],[14]],tabela_registros[REGISTRO],DADOS!$N$4,tabela_registros[TIPO],DADOS!$P$3,tabela_registros[CATEGORIA],despesafixaconsolidadonov[[#This Row],[DESPESA FIXA]])</f>
        <v>0</v>
      </c>
      <c r="S42" s="91">
        <f>SUMIFS(tabela_registros[VALOR],tabela_registros[MÊS],$AE$1,tabela_registros[DIA],novtotal3059718395107119131143155[[#Headers],[15]],tabela_registros[REGISTRO],DADOS!$N$4,tabela_registros[TIPO],DADOS!$P$3,tabela_registros[CATEGORIA],despesafixaconsolidadonov[[#This Row],[DESPESA FIXA]])</f>
        <v>0</v>
      </c>
      <c r="T42" s="91">
        <f>SUMIFS(tabela_registros[VALOR],tabela_registros[MÊS],$AE$1,tabela_registros[DIA],novtotal3059718395107119131143155[[#Headers],[16]],tabela_registros[REGISTRO],DADOS!$N$4,tabela_registros[TIPO],DADOS!$P$3,tabela_registros[CATEGORIA],despesafixaconsolidadonov[[#This Row],[DESPESA FIXA]])</f>
        <v>0</v>
      </c>
      <c r="U42" s="91">
        <f>SUMIFS(tabela_registros[VALOR],tabela_registros[MÊS],$AE$1,tabela_registros[DIA],novtotal3059718395107119131143155[[#Headers],[17]],tabela_registros[REGISTRO],DADOS!$N$4,tabela_registros[TIPO],DADOS!$P$3,tabela_registros[CATEGORIA],despesafixaconsolidadonov[[#This Row],[DESPESA FIXA]])</f>
        <v>0</v>
      </c>
      <c r="V42" s="91">
        <f>SUMIFS(tabela_registros[VALOR],tabela_registros[MÊS],$AE$1,tabela_registros[DIA],novtotal3059718395107119131143155[[#Headers],[18]],tabela_registros[REGISTRO],DADOS!$N$4,tabela_registros[TIPO],DADOS!$P$3,tabela_registros[CATEGORIA],despesafixaconsolidadonov[[#This Row],[DESPESA FIXA]])</f>
        <v>0</v>
      </c>
      <c r="W42" s="91">
        <f>SUMIFS(tabela_registros[VALOR],tabela_registros[MÊS],$AE$1,tabela_registros[DIA],novtotal3059718395107119131143155[[#Headers],[19]],tabela_registros[REGISTRO],DADOS!$N$4,tabela_registros[TIPO],DADOS!$P$3,tabela_registros[CATEGORIA],despesafixaconsolidadonov[[#This Row],[DESPESA FIXA]])</f>
        <v>0</v>
      </c>
      <c r="X42" s="91">
        <f>SUMIFS(tabela_registros[VALOR],tabela_registros[MÊS],$AE$1,tabela_registros[DIA],novtotal3059718395107119131143155[[#Headers],[20]],tabela_registros[REGISTRO],DADOS!$N$4,tabela_registros[TIPO],DADOS!$P$3,tabela_registros[CATEGORIA],despesafixaconsolidadonov[[#This Row],[DESPESA FIXA]])</f>
        <v>0</v>
      </c>
      <c r="Y42" s="91">
        <f>SUMIFS(tabela_registros[VALOR],tabela_registros[MÊS],$AE$1,tabela_registros[DIA],novtotal3059718395107119131143155[[#Headers],[21]],tabela_registros[REGISTRO],DADOS!$N$4,tabela_registros[TIPO],DADOS!$P$3,tabela_registros[CATEGORIA],despesafixaconsolidadonov[[#This Row],[DESPESA FIXA]])</f>
        <v>0</v>
      </c>
      <c r="Z42" s="91">
        <f>SUMIFS(tabela_registros[VALOR],tabela_registros[MÊS],$AE$1,tabela_registros[DIA],novtotal3059718395107119131143155[[#Headers],[22]],tabela_registros[REGISTRO],DADOS!$N$4,tabela_registros[TIPO],DADOS!$P$3,tabela_registros[CATEGORIA],despesafixaconsolidadonov[[#This Row],[DESPESA FIXA]])</f>
        <v>0</v>
      </c>
      <c r="AA42" s="91">
        <f>SUMIFS(tabela_registros[VALOR],tabela_registros[MÊS],$AE$1,tabela_registros[DIA],novtotal3059718395107119131143155[[#Headers],[23]],tabela_registros[REGISTRO],DADOS!$N$4,tabela_registros[TIPO],DADOS!$P$3,tabela_registros[CATEGORIA],despesafixaconsolidadonov[[#This Row],[DESPESA FIXA]])</f>
        <v>0</v>
      </c>
      <c r="AB42" s="91">
        <f>SUMIFS(tabela_registros[VALOR],tabela_registros[MÊS],$AE$1,tabela_registros[DIA],novtotal3059718395107119131143155[[#Headers],[24]],tabela_registros[REGISTRO],DADOS!$N$4,tabela_registros[TIPO],DADOS!$P$3,tabela_registros[CATEGORIA],despesafixaconsolidadonov[[#This Row],[DESPESA FIXA]])</f>
        <v>0</v>
      </c>
      <c r="AC42" s="91">
        <f>SUMIFS(tabela_registros[VALOR],tabela_registros[MÊS],$AE$1,tabela_registros[DIA],novtotal3059718395107119131143155[[#Headers],[25]],tabela_registros[REGISTRO],DADOS!$N$4,tabela_registros[TIPO],DADOS!$P$3,tabela_registros[CATEGORIA],despesafixaconsolidadonov[[#This Row],[DESPESA FIXA]])</f>
        <v>0</v>
      </c>
      <c r="AD42" s="91">
        <f>SUMIFS(tabela_registros[VALOR],tabela_registros[MÊS],$AE$1,tabela_registros[DIA],novtotal3059718395107119131143155[[#Headers],[26]],tabela_registros[REGISTRO],DADOS!$N$4,tabela_registros[TIPO],DADOS!$P$3,tabela_registros[CATEGORIA],despesafixaconsolidadonov[[#This Row],[DESPESA FIXA]])</f>
        <v>0</v>
      </c>
      <c r="AE42" s="91">
        <f>SUMIFS(tabela_registros[VALOR],tabela_registros[MÊS],$AE$1,tabela_registros[DIA],novtotal3059718395107119131143155[[#Headers],[27]],tabela_registros[REGISTRO],DADOS!$N$4,tabela_registros[TIPO],DADOS!$P$3,tabela_registros[CATEGORIA],despesafixaconsolidadonov[[#This Row],[DESPESA FIXA]])</f>
        <v>0</v>
      </c>
      <c r="AF42" s="91">
        <f>SUMIFS(tabela_registros[VALOR],tabela_registros[MÊS],$AE$1,tabela_registros[DIA],novtotal3059718395107119131143155[[#Headers],[28]],tabela_registros[REGISTRO],DADOS!$N$4,tabela_registros[TIPO],DADOS!$P$3,tabela_registros[CATEGORIA],despesafixaconsolidadonov[[#This Row],[DESPESA FIXA]])</f>
        <v>0</v>
      </c>
      <c r="AG42" s="91">
        <f>SUMIFS(tabela_registros[VALOR],tabela_registros[MÊS],$AE$1,tabela_registros[DIA],novtotal3059718395107119131143155[[#Headers],[29]],tabela_registros[REGISTRO],DADOS!$N$4,tabela_registros[TIPO],DADOS!$P$3,tabela_registros[CATEGORIA],despesafixaconsolidadonov[[#This Row],[DESPESA FIXA]])</f>
        <v>0</v>
      </c>
      <c r="AH42" s="91">
        <f>SUMIFS(tabela_registros[VALOR],tabela_registros[MÊS],$AE$1,tabela_registros[DIA],novtotal3059718395107119131143155[[#Headers],[30]],tabela_registros[REGISTRO],DADOS!$N$4,tabela_registros[TIPO],DADOS!$P$3,tabela_registros[CATEGORIA],despesafixaconsolidadonov[[#This Row],[DESPESA FIXA]])</f>
        <v>0</v>
      </c>
      <c r="AI42" s="101">
        <f>SUMIFS(tabela_registros[VALOR],tabela_registros[MÊS],$AE$1,tabela_registros[DIA],novtotal3059718395107119131143155[[#Headers],[31]],tabela_registros[REGISTRO],DADOS!$N$4,tabela_registros[TIPO],DADOS!$P$3,tabela_registros[CATEGORIA],despesafixaconsolidadonov[[#This Row],[DESPESA FIXA]])</f>
        <v>0</v>
      </c>
      <c r="AJ42" s="97">
        <f>SUM(despesafixaconsolidadonov[[#This Row],[1]:[31]])</f>
        <v>0</v>
      </c>
      <c r="AK42" s="28"/>
    </row>
    <row r="43" spans="2:37" ht="18" customHeight="1" thickTop="1" thickBot="1" x14ac:dyDescent="0.3">
      <c r="B43" s="28"/>
      <c r="C43" s="27" t="str">
        <f>DADOS!$R$9</f>
        <v>💡 ENERGIA</v>
      </c>
      <c r="D43" s="26" t="str">
        <f>IF(despesafixaconsolidadonov[[#This Row],[TOTAL]]=0,"",IF(OR(despesafixaconsolidadonov[[#This Row],[TOTAL]]=LARGE($AJ$37:$AJ$50,1),despesafixaconsolidadonov[[#This Row],[TOTAL]]=LARGE($AJ$37:$AJ$50,2),despesafixaconsolidadonov[[#This Row],[TOTAL]]=LARGE($AJ$37:$AJ$50,3),despesafixaconsolidadonov[[#This Row],[TOTAL]]=LARGE($AJ$37:$AJ$50,4),despesafixaconsolidadonov[[#This Row],[TOTAL]]=LARGE($AJ$37:$AJ$50,5)),DADOS!$I$8,""))</f>
        <v>💣</v>
      </c>
      <c r="E43" s="96">
        <f>SUMIFS(tabela_registros[VALOR],tabela_registros[MÊS],$AE$1,tabela_registros[DIA],novtotal3059718395107119131143155[[#Headers],[1]],tabela_registros[REGISTRO],DADOS!$N$4,tabela_registros[TIPO],DADOS!$P$3,tabela_registros[CATEGORIA],despesafixaconsolidadonov[[#This Row],[DESPESA FIXA]])</f>
        <v>0</v>
      </c>
      <c r="F43" s="91">
        <f>SUMIFS(tabela_registros[VALOR],tabela_registros[MÊS],$AE$1,tabela_registros[DIA],novtotal3059718395107119131143155[[#Headers],[2]],tabela_registros[REGISTRO],DADOS!$N$4,tabela_registros[TIPO],DADOS!$P$3,tabela_registros[CATEGORIA],despesafixaconsolidadonov[[#This Row],[DESPESA FIXA]])</f>
        <v>0</v>
      </c>
      <c r="G43" s="91">
        <f>SUMIFS(tabela_registros[VALOR],tabela_registros[MÊS],$AE$1,tabela_registros[DIA],novtotal3059718395107119131143155[[#Headers],[3]],tabela_registros[REGISTRO],DADOS!$N$4,tabela_registros[TIPO],DADOS!$P$3,tabela_registros[CATEGORIA],despesafixaconsolidadonov[[#This Row],[DESPESA FIXA]])</f>
        <v>0</v>
      </c>
      <c r="H43" s="91">
        <f>SUMIFS(tabela_registros[VALOR],tabela_registros[MÊS],$AE$1,tabela_registros[DIA],novtotal3059718395107119131143155[[#Headers],[4]],tabela_registros[REGISTRO],DADOS!$N$4,tabela_registros[TIPO],DADOS!$P$3,tabela_registros[CATEGORIA],despesafixaconsolidadonov[[#This Row],[DESPESA FIXA]])</f>
        <v>0</v>
      </c>
      <c r="I43" s="91">
        <f>SUMIFS(tabela_registros[VALOR],tabela_registros[MÊS],$AE$1,tabela_registros[DIA],novtotal3059718395107119131143155[[#Headers],[5]],tabela_registros[REGISTRO],DADOS!$N$4,tabela_registros[TIPO],DADOS!$P$3,tabela_registros[CATEGORIA],despesafixaconsolidadonov[[#This Row],[DESPESA FIXA]])</f>
        <v>0</v>
      </c>
      <c r="J43" s="91">
        <f>SUMIFS(tabela_registros[VALOR],tabela_registros[MÊS],$AE$1,tabela_registros[DIA],novtotal3059718395107119131143155[[#Headers],[6]],tabela_registros[REGISTRO],DADOS!$N$4,tabela_registros[TIPO],DADOS!$P$3,tabela_registros[CATEGORIA],despesafixaconsolidadonov[[#This Row],[DESPESA FIXA]])</f>
        <v>0</v>
      </c>
      <c r="K43" s="91">
        <f>SUMIFS(tabela_registros[VALOR],tabela_registros[MÊS],$AE$1,tabela_registros[DIA],novtotal3059718395107119131143155[[#Headers],[7]],tabela_registros[REGISTRO],DADOS!$N$4,tabela_registros[TIPO],DADOS!$P$3,tabela_registros[CATEGORIA],despesafixaconsolidadonov[[#This Row],[DESPESA FIXA]])</f>
        <v>0</v>
      </c>
      <c r="L43" s="91">
        <f>SUMIFS(tabela_registros[VALOR],tabela_registros[MÊS],$AE$1,tabela_registros[DIA],novtotal3059718395107119131143155[[#Headers],[8]],tabela_registros[REGISTRO],DADOS!$N$4,tabela_registros[TIPO],DADOS!$P$3,tabela_registros[CATEGORIA],despesafixaconsolidadonov[[#This Row],[DESPESA FIXA]])</f>
        <v>0</v>
      </c>
      <c r="M43" s="91">
        <f>SUMIFS(tabela_registros[VALOR],tabela_registros[MÊS],$AE$1,tabela_registros[DIA],novtotal3059718395107119131143155[[#Headers],[9]],tabela_registros[REGISTRO],DADOS!$N$4,tabela_registros[TIPO],DADOS!$P$3,tabela_registros[CATEGORIA],despesafixaconsolidadonov[[#This Row],[DESPESA FIXA]])</f>
        <v>0</v>
      </c>
      <c r="N43" s="91">
        <f>SUMIFS(tabela_registros[VALOR],tabela_registros[MÊS],$AE$1,tabela_registros[DIA],novtotal3059718395107119131143155[[#Headers],[10]],tabela_registros[REGISTRO],DADOS!$N$4,tabela_registros[TIPO],DADOS!$P$3,tabela_registros[CATEGORIA],despesafixaconsolidadonov[[#This Row],[DESPESA FIXA]])</f>
        <v>0</v>
      </c>
      <c r="O43" s="91">
        <f>SUMIFS(tabela_registros[VALOR],tabela_registros[MÊS],$AE$1,tabela_registros[DIA],novtotal3059718395107119131143155[[#Headers],[11]],tabela_registros[REGISTRO],DADOS!$N$4,tabela_registros[TIPO],DADOS!$P$3,tabela_registros[CATEGORIA],despesafixaconsolidadonov[[#This Row],[DESPESA FIXA]])</f>
        <v>0</v>
      </c>
      <c r="P43" s="91">
        <f>SUMIFS(tabela_registros[VALOR],tabela_registros[MÊS],$AE$1,tabela_registros[DIA],novtotal3059718395107119131143155[[#Headers],[12]],tabela_registros[REGISTRO],DADOS!$N$4,tabela_registros[TIPO],DADOS!$P$3,tabela_registros[CATEGORIA],despesafixaconsolidadonov[[#This Row],[DESPESA FIXA]])</f>
        <v>0</v>
      </c>
      <c r="Q43" s="91">
        <f>SUMIFS(tabela_registros[VALOR],tabela_registros[MÊS],$AE$1,tabela_registros[DIA],novtotal3059718395107119131143155[[#Headers],[13]],tabela_registros[REGISTRO],DADOS!$N$4,tabela_registros[TIPO],DADOS!$P$3,tabela_registros[CATEGORIA],despesafixaconsolidadonov[[#This Row],[DESPESA FIXA]])</f>
        <v>0</v>
      </c>
      <c r="R43" s="91">
        <f>SUMIFS(tabela_registros[VALOR],tabela_registros[MÊS],$AE$1,tabela_registros[DIA],novtotal3059718395107119131143155[[#Headers],[14]],tabela_registros[REGISTRO],DADOS!$N$4,tabela_registros[TIPO],DADOS!$P$3,tabela_registros[CATEGORIA],despesafixaconsolidadonov[[#This Row],[DESPESA FIXA]])</f>
        <v>0</v>
      </c>
      <c r="S43" s="91">
        <f>SUMIFS(tabela_registros[VALOR],tabela_registros[MÊS],$AE$1,tabela_registros[DIA],novtotal3059718395107119131143155[[#Headers],[15]],tabela_registros[REGISTRO],DADOS!$N$4,tabela_registros[TIPO],DADOS!$P$3,tabela_registros[CATEGORIA],despesafixaconsolidadonov[[#This Row],[DESPESA FIXA]])</f>
        <v>0</v>
      </c>
      <c r="T43" s="91">
        <f>SUMIFS(tabela_registros[VALOR],tabela_registros[MÊS],$AE$1,tabela_registros[DIA],novtotal3059718395107119131143155[[#Headers],[16]],tabela_registros[REGISTRO],DADOS!$N$4,tabela_registros[TIPO],DADOS!$P$3,tabela_registros[CATEGORIA],despesafixaconsolidadonov[[#This Row],[DESPESA FIXA]])</f>
        <v>0</v>
      </c>
      <c r="U43" s="91">
        <f>SUMIFS(tabela_registros[VALOR],tabela_registros[MÊS],$AE$1,tabela_registros[DIA],novtotal3059718395107119131143155[[#Headers],[17]],tabela_registros[REGISTRO],DADOS!$N$4,tabela_registros[TIPO],DADOS!$P$3,tabela_registros[CATEGORIA],despesafixaconsolidadonov[[#This Row],[DESPESA FIXA]])</f>
        <v>0</v>
      </c>
      <c r="V43" s="91">
        <f>SUMIFS(tabela_registros[VALOR],tabela_registros[MÊS],$AE$1,tabela_registros[DIA],novtotal3059718395107119131143155[[#Headers],[18]],tabela_registros[REGISTRO],DADOS!$N$4,tabela_registros[TIPO],DADOS!$P$3,tabela_registros[CATEGORIA],despesafixaconsolidadonov[[#This Row],[DESPESA FIXA]])</f>
        <v>0</v>
      </c>
      <c r="W43" s="91">
        <f>SUMIFS(tabela_registros[VALOR],tabela_registros[MÊS],$AE$1,tabela_registros[DIA],novtotal3059718395107119131143155[[#Headers],[19]],tabela_registros[REGISTRO],DADOS!$N$4,tabela_registros[TIPO],DADOS!$P$3,tabela_registros[CATEGORIA],despesafixaconsolidadonov[[#This Row],[DESPESA FIXA]])</f>
        <v>0</v>
      </c>
      <c r="X43" s="91">
        <f>SUMIFS(tabela_registros[VALOR],tabela_registros[MÊS],$AE$1,tabela_registros[DIA],novtotal3059718395107119131143155[[#Headers],[20]],tabela_registros[REGISTRO],DADOS!$N$4,tabela_registros[TIPO],DADOS!$P$3,tabela_registros[CATEGORIA],despesafixaconsolidadonov[[#This Row],[DESPESA FIXA]])</f>
        <v>0</v>
      </c>
      <c r="Y43" s="91">
        <f>SUMIFS(tabela_registros[VALOR],tabela_registros[MÊS],$AE$1,tabela_registros[DIA],novtotal3059718395107119131143155[[#Headers],[21]],tabela_registros[REGISTRO],DADOS!$N$4,tabela_registros[TIPO],DADOS!$P$3,tabela_registros[CATEGORIA],despesafixaconsolidadonov[[#This Row],[DESPESA FIXA]])</f>
        <v>0</v>
      </c>
      <c r="Z43" s="91">
        <f>SUMIFS(tabela_registros[VALOR],tabela_registros[MÊS],$AE$1,tabela_registros[DIA],novtotal3059718395107119131143155[[#Headers],[22]],tabela_registros[REGISTRO],DADOS!$N$4,tabela_registros[TIPO],DADOS!$P$3,tabela_registros[CATEGORIA],despesafixaconsolidadonov[[#This Row],[DESPESA FIXA]])</f>
        <v>0</v>
      </c>
      <c r="AA43" s="91">
        <f>SUMIFS(tabela_registros[VALOR],tabela_registros[MÊS],$AE$1,tabela_registros[DIA],novtotal3059718395107119131143155[[#Headers],[23]],tabela_registros[REGISTRO],DADOS!$N$4,tabela_registros[TIPO],DADOS!$P$3,tabela_registros[CATEGORIA],despesafixaconsolidadonov[[#This Row],[DESPESA FIXA]])</f>
        <v>0</v>
      </c>
      <c r="AB43" s="91">
        <f>SUMIFS(tabela_registros[VALOR],tabela_registros[MÊS],$AE$1,tabela_registros[DIA],novtotal3059718395107119131143155[[#Headers],[24]],tabela_registros[REGISTRO],DADOS!$N$4,tabela_registros[TIPO],DADOS!$P$3,tabela_registros[CATEGORIA],despesafixaconsolidadonov[[#This Row],[DESPESA FIXA]])</f>
        <v>0</v>
      </c>
      <c r="AC43" s="91">
        <f>SUMIFS(tabela_registros[VALOR],tabela_registros[MÊS],$AE$1,tabela_registros[DIA],novtotal3059718395107119131143155[[#Headers],[25]],tabela_registros[REGISTRO],DADOS!$N$4,tabela_registros[TIPO],DADOS!$P$3,tabela_registros[CATEGORIA],despesafixaconsolidadonov[[#This Row],[DESPESA FIXA]])</f>
        <v>0</v>
      </c>
      <c r="AD43" s="91">
        <f>SUMIFS(tabela_registros[VALOR],tabela_registros[MÊS],$AE$1,tabela_registros[DIA],novtotal3059718395107119131143155[[#Headers],[26]],tabela_registros[REGISTRO],DADOS!$N$4,tabela_registros[TIPO],DADOS!$P$3,tabela_registros[CATEGORIA],despesafixaconsolidadonov[[#This Row],[DESPESA FIXA]])</f>
        <v>0</v>
      </c>
      <c r="AE43" s="91">
        <f>SUMIFS(tabela_registros[VALOR],tabela_registros[MÊS],$AE$1,tabela_registros[DIA],novtotal3059718395107119131143155[[#Headers],[27]],tabela_registros[REGISTRO],DADOS!$N$4,tabela_registros[TIPO],DADOS!$P$3,tabela_registros[CATEGORIA],despesafixaconsolidadonov[[#This Row],[DESPESA FIXA]])</f>
        <v>0</v>
      </c>
      <c r="AF43" s="91">
        <f>SUMIFS(tabela_registros[VALOR],tabela_registros[MÊS],$AE$1,tabela_registros[DIA],novtotal3059718395107119131143155[[#Headers],[28]],tabela_registros[REGISTRO],DADOS!$N$4,tabela_registros[TIPO],DADOS!$P$3,tabela_registros[CATEGORIA],despesafixaconsolidadonov[[#This Row],[DESPESA FIXA]])</f>
        <v>0</v>
      </c>
      <c r="AG43" s="91">
        <f>SUMIFS(tabela_registros[VALOR],tabela_registros[MÊS],$AE$1,tabela_registros[DIA],novtotal3059718395107119131143155[[#Headers],[29]],tabela_registros[REGISTRO],DADOS!$N$4,tabela_registros[TIPO],DADOS!$P$3,tabela_registros[CATEGORIA],despesafixaconsolidadonov[[#This Row],[DESPESA FIXA]])</f>
        <v>140</v>
      </c>
      <c r="AH43" s="91">
        <f>SUMIFS(tabela_registros[VALOR],tabela_registros[MÊS],$AE$1,tabela_registros[DIA],novtotal3059718395107119131143155[[#Headers],[30]],tabela_registros[REGISTRO],DADOS!$N$4,tabela_registros[TIPO],DADOS!$P$3,tabela_registros[CATEGORIA],despesafixaconsolidadonov[[#This Row],[DESPESA FIXA]])</f>
        <v>0</v>
      </c>
      <c r="AI43" s="101">
        <f>SUMIFS(tabela_registros[VALOR],tabela_registros[MÊS],$AE$1,tabela_registros[DIA],novtotal3059718395107119131143155[[#Headers],[31]],tabela_registros[REGISTRO],DADOS!$N$4,tabela_registros[TIPO],DADOS!$P$3,tabela_registros[CATEGORIA],despesafixaconsolidadonov[[#This Row],[DESPESA FIXA]])</f>
        <v>0</v>
      </c>
      <c r="AJ43" s="97">
        <f>SUM(despesafixaconsolidadonov[[#This Row],[1]:[31]])</f>
        <v>140</v>
      </c>
      <c r="AK43" s="28"/>
    </row>
    <row r="44" spans="2:37" ht="18" customHeight="1" thickTop="1" thickBot="1" x14ac:dyDescent="0.3">
      <c r="B44" s="28"/>
      <c r="C44" s="27" t="str">
        <f>DADOS!$R$10</f>
        <v>👨‍👩‍👧 FAMÍLIA</v>
      </c>
      <c r="D44" s="26" t="str">
        <f>IF(despesafixaconsolidadonov[[#This Row],[TOTAL]]=0,"",IF(OR(despesafixaconsolidadonov[[#This Row],[TOTAL]]=LARGE($AJ$37:$AJ$50,1),despesafixaconsolidadonov[[#This Row],[TOTAL]]=LARGE($AJ$37:$AJ$50,2),despesafixaconsolidadonov[[#This Row],[TOTAL]]=LARGE($AJ$37:$AJ$50,3),despesafixaconsolidadonov[[#This Row],[TOTAL]]=LARGE($AJ$37:$AJ$50,4),despesafixaconsolidadonov[[#This Row],[TOTAL]]=LARGE($AJ$37:$AJ$50,5)),DADOS!$I$8,""))</f>
        <v/>
      </c>
      <c r="E44" s="96">
        <f>SUMIFS(tabela_registros[VALOR],tabela_registros[MÊS],$AE$1,tabela_registros[DIA],novtotal3059718395107119131143155[[#Headers],[1]],tabela_registros[REGISTRO],DADOS!$N$4,tabela_registros[TIPO],DADOS!$P$3,tabela_registros[CATEGORIA],despesafixaconsolidadonov[[#This Row],[DESPESA FIXA]])</f>
        <v>0</v>
      </c>
      <c r="F44" s="91">
        <f>SUMIFS(tabela_registros[VALOR],tabela_registros[MÊS],$AE$1,tabela_registros[DIA],novtotal3059718395107119131143155[[#Headers],[2]],tabela_registros[REGISTRO],DADOS!$N$4,tabela_registros[TIPO],DADOS!$P$3,tabela_registros[CATEGORIA],despesafixaconsolidadonov[[#This Row],[DESPESA FIXA]])</f>
        <v>0</v>
      </c>
      <c r="G44" s="91">
        <f>SUMIFS(tabela_registros[VALOR],tabela_registros[MÊS],$AE$1,tabela_registros[DIA],novtotal3059718395107119131143155[[#Headers],[3]],tabela_registros[REGISTRO],DADOS!$N$4,tabela_registros[TIPO],DADOS!$P$3,tabela_registros[CATEGORIA],despesafixaconsolidadonov[[#This Row],[DESPESA FIXA]])</f>
        <v>0</v>
      </c>
      <c r="H44" s="91">
        <f>SUMIFS(tabela_registros[VALOR],tabela_registros[MÊS],$AE$1,tabela_registros[DIA],novtotal3059718395107119131143155[[#Headers],[4]],tabela_registros[REGISTRO],DADOS!$N$4,tabela_registros[TIPO],DADOS!$P$3,tabela_registros[CATEGORIA],despesafixaconsolidadonov[[#This Row],[DESPESA FIXA]])</f>
        <v>0</v>
      </c>
      <c r="I44" s="91">
        <f>SUMIFS(tabela_registros[VALOR],tabela_registros[MÊS],$AE$1,tabela_registros[DIA],novtotal3059718395107119131143155[[#Headers],[5]],tabela_registros[REGISTRO],DADOS!$N$4,tabela_registros[TIPO],DADOS!$P$3,tabela_registros[CATEGORIA],despesafixaconsolidadonov[[#This Row],[DESPESA FIXA]])</f>
        <v>0</v>
      </c>
      <c r="J44" s="91">
        <f>SUMIFS(tabela_registros[VALOR],tabela_registros[MÊS],$AE$1,tabela_registros[DIA],novtotal3059718395107119131143155[[#Headers],[6]],tabela_registros[REGISTRO],DADOS!$N$4,tabela_registros[TIPO],DADOS!$P$3,tabela_registros[CATEGORIA],despesafixaconsolidadonov[[#This Row],[DESPESA FIXA]])</f>
        <v>0</v>
      </c>
      <c r="K44" s="91">
        <f>SUMIFS(tabela_registros[VALOR],tabela_registros[MÊS],$AE$1,tabela_registros[DIA],novtotal3059718395107119131143155[[#Headers],[7]],tabela_registros[REGISTRO],DADOS!$N$4,tabela_registros[TIPO],DADOS!$P$3,tabela_registros[CATEGORIA],despesafixaconsolidadonov[[#This Row],[DESPESA FIXA]])</f>
        <v>0</v>
      </c>
      <c r="L44" s="91">
        <f>SUMIFS(tabela_registros[VALOR],tabela_registros[MÊS],$AE$1,tabela_registros[DIA],novtotal3059718395107119131143155[[#Headers],[8]],tabela_registros[REGISTRO],DADOS!$N$4,tabela_registros[TIPO],DADOS!$P$3,tabela_registros[CATEGORIA],despesafixaconsolidadonov[[#This Row],[DESPESA FIXA]])</f>
        <v>0</v>
      </c>
      <c r="M44" s="91">
        <f>SUMIFS(tabela_registros[VALOR],tabela_registros[MÊS],$AE$1,tabela_registros[DIA],novtotal3059718395107119131143155[[#Headers],[9]],tabela_registros[REGISTRO],DADOS!$N$4,tabela_registros[TIPO],DADOS!$P$3,tabela_registros[CATEGORIA],despesafixaconsolidadonov[[#This Row],[DESPESA FIXA]])</f>
        <v>0</v>
      </c>
      <c r="N44" s="91">
        <f>SUMIFS(tabela_registros[VALOR],tabela_registros[MÊS],$AE$1,tabela_registros[DIA],novtotal3059718395107119131143155[[#Headers],[10]],tabela_registros[REGISTRO],DADOS!$N$4,tabela_registros[TIPO],DADOS!$P$3,tabela_registros[CATEGORIA],despesafixaconsolidadonov[[#This Row],[DESPESA FIXA]])</f>
        <v>0</v>
      </c>
      <c r="O44" s="91">
        <f>SUMIFS(tabela_registros[VALOR],tabela_registros[MÊS],$AE$1,tabela_registros[DIA],novtotal3059718395107119131143155[[#Headers],[11]],tabela_registros[REGISTRO],DADOS!$N$4,tabela_registros[TIPO],DADOS!$P$3,tabela_registros[CATEGORIA],despesafixaconsolidadonov[[#This Row],[DESPESA FIXA]])</f>
        <v>0</v>
      </c>
      <c r="P44" s="91">
        <f>SUMIFS(tabela_registros[VALOR],tabela_registros[MÊS],$AE$1,tabela_registros[DIA],novtotal3059718395107119131143155[[#Headers],[12]],tabela_registros[REGISTRO],DADOS!$N$4,tabela_registros[TIPO],DADOS!$P$3,tabela_registros[CATEGORIA],despesafixaconsolidadonov[[#This Row],[DESPESA FIXA]])</f>
        <v>0</v>
      </c>
      <c r="Q44" s="91">
        <f>SUMIFS(tabela_registros[VALOR],tabela_registros[MÊS],$AE$1,tabela_registros[DIA],novtotal3059718395107119131143155[[#Headers],[13]],tabela_registros[REGISTRO],DADOS!$N$4,tabela_registros[TIPO],DADOS!$P$3,tabela_registros[CATEGORIA],despesafixaconsolidadonov[[#This Row],[DESPESA FIXA]])</f>
        <v>0</v>
      </c>
      <c r="R44" s="91">
        <f>SUMIFS(tabela_registros[VALOR],tabela_registros[MÊS],$AE$1,tabela_registros[DIA],novtotal3059718395107119131143155[[#Headers],[14]],tabela_registros[REGISTRO],DADOS!$N$4,tabela_registros[TIPO],DADOS!$P$3,tabela_registros[CATEGORIA],despesafixaconsolidadonov[[#This Row],[DESPESA FIXA]])</f>
        <v>0</v>
      </c>
      <c r="S44" s="91">
        <f>SUMIFS(tabela_registros[VALOR],tabela_registros[MÊS],$AE$1,tabela_registros[DIA],novtotal3059718395107119131143155[[#Headers],[15]],tabela_registros[REGISTRO],DADOS!$N$4,tabela_registros[TIPO],DADOS!$P$3,tabela_registros[CATEGORIA],despesafixaconsolidadonov[[#This Row],[DESPESA FIXA]])</f>
        <v>0</v>
      </c>
      <c r="T44" s="91">
        <f>SUMIFS(tabela_registros[VALOR],tabela_registros[MÊS],$AE$1,tabela_registros[DIA],novtotal3059718395107119131143155[[#Headers],[16]],tabela_registros[REGISTRO],DADOS!$N$4,tabela_registros[TIPO],DADOS!$P$3,tabela_registros[CATEGORIA],despesafixaconsolidadonov[[#This Row],[DESPESA FIXA]])</f>
        <v>0</v>
      </c>
      <c r="U44" s="91">
        <f>SUMIFS(tabela_registros[VALOR],tabela_registros[MÊS],$AE$1,tabela_registros[DIA],novtotal3059718395107119131143155[[#Headers],[17]],tabela_registros[REGISTRO],DADOS!$N$4,tabela_registros[TIPO],DADOS!$P$3,tabela_registros[CATEGORIA],despesafixaconsolidadonov[[#This Row],[DESPESA FIXA]])</f>
        <v>0</v>
      </c>
      <c r="V44" s="91">
        <f>SUMIFS(tabela_registros[VALOR],tabela_registros[MÊS],$AE$1,tabela_registros[DIA],novtotal3059718395107119131143155[[#Headers],[18]],tabela_registros[REGISTRO],DADOS!$N$4,tabela_registros[TIPO],DADOS!$P$3,tabela_registros[CATEGORIA],despesafixaconsolidadonov[[#This Row],[DESPESA FIXA]])</f>
        <v>0</v>
      </c>
      <c r="W44" s="91">
        <f>SUMIFS(tabela_registros[VALOR],tabela_registros[MÊS],$AE$1,tabela_registros[DIA],novtotal3059718395107119131143155[[#Headers],[19]],tabela_registros[REGISTRO],DADOS!$N$4,tabela_registros[TIPO],DADOS!$P$3,tabela_registros[CATEGORIA],despesafixaconsolidadonov[[#This Row],[DESPESA FIXA]])</f>
        <v>0</v>
      </c>
      <c r="X44" s="91">
        <f>SUMIFS(tabela_registros[VALOR],tabela_registros[MÊS],$AE$1,tabela_registros[DIA],novtotal3059718395107119131143155[[#Headers],[20]],tabela_registros[REGISTRO],DADOS!$N$4,tabela_registros[TIPO],DADOS!$P$3,tabela_registros[CATEGORIA],despesafixaconsolidadonov[[#This Row],[DESPESA FIXA]])</f>
        <v>0</v>
      </c>
      <c r="Y44" s="91">
        <f>SUMIFS(tabela_registros[VALOR],tabela_registros[MÊS],$AE$1,tabela_registros[DIA],novtotal3059718395107119131143155[[#Headers],[21]],tabela_registros[REGISTRO],DADOS!$N$4,tabela_registros[TIPO],DADOS!$P$3,tabela_registros[CATEGORIA],despesafixaconsolidadonov[[#This Row],[DESPESA FIXA]])</f>
        <v>0</v>
      </c>
      <c r="Z44" s="91">
        <f>SUMIFS(tabela_registros[VALOR],tabela_registros[MÊS],$AE$1,tabela_registros[DIA],novtotal3059718395107119131143155[[#Headers],[22]],tabela_registros[REGISTRO],DADOS!$N$4,tabela_registros[TIPO],DADOS!$P$3,tabela_registros[CATEGORIA],despesafixaconsolidadonov[[#This Row],[DESPESA FIXA]])</f>
        <v>0</v>
      </c>
      <c r="AA44" s="91">
        <f>SUMIFS(tabela_registros[VALOR],tabela_registros[MÊS],$AE$1,tabela_registros[DIA],novtotal3059718395107119131143155[[#Headers],[23]],tabela_registros[REGISTRO],DADOS!$N$4,tabela_registros[TIPO],DADOS!$P$3,tabela_registros[CATEGORIA],despesafixaconsolidadonov[[#This Row],[DESPESA FIXA]])</f>
        <v>0</v>
      </c>
      <c r="AB44" s="91">
        <f>SUMIFS(tabela_registros[VALOR],tabela_registros[MÊS],$AE$1,tabela_registros[DIA],novtotal3059718395107119131143155[[#Headers],[24]],tabela_registros[REGISTRO],DADOS!$N$4,tabela_registros[TIPO],DADOS!$P$3,tabela_registros[CATEGORIA],despesafixaconsolidadonov[[#This Row],[DESPESA FIXA]])</f>
        <v>0</v>
      </c>
      <c r="AC44" s="91">
        <f>SUMIFS(tabela_registros[VALOR],tabela_registros[MÊS],$AE$1,tabela_registros[DIA],novtotal3059718395107119131143155[[#Headers],[25]],tabela_registros[REGISTRO],DADOS!$N$4,tabela_registros[TIPO],DADOS!$P$3,tabela_registros[CATEGORIA],despesafixaconsolidadonov[[#This Row],[DESPESA FIXA]])</f>
        <v>0</v>
      </c>
      <c r="AD44" s="91">
        <f>SUMIFS(tabela_registros[VALOR],tabela_registros[MÊS],$AE$1,tabela_registros[DIA],novtotal3059718395107119131143155[[#Headers],[26]],tabela_registros[REGISTRO],DADOS!$N$4,tabela_registros[TIPO],DADOS!$P$3,tabela_registros[CATEGORIA],despesafixaconsolidadonov[[#This Row],[DESPESA FIXA]])</f>
        <v>0</v>
      </c>
      <c r="AE44" s="91">
        <f>SUMIFS(tabela_registros[VALOR],tabela_registros[MÊS],$AE$1,tabela_registros[DIA],novtotal3059718395107119131143155[[#Headers],[27]],tabela_registros[REGISTRO],DADOS!$N$4,tabela_registros[TIPO],DADOS!$P$3,tabela_registros[CATEGORIA],despesafixaconsolidadonov[[#This Row],[DESPESA FIXA]])</f>
        <v>0</v>
      </c>
      <c r="AF44" s="91">
        <f>SUMIFS(tabela_registros[VALOR],tabela_registros[MÊS],$AE$1,tabela_registros[DIA],novtotal3059718395107119131143155[[#Headers],[28]],tabela_registros[REGISTRO],DADOS!$N$4,tabela_registros[TIPO],DADOS!$P$3,tabela_registros[CATEGORIA],despesafixaconsolidadonov[[#This Row],[DESPESA FIXA]])</f>
        <v>0</v>
      </c>
      <c r="AG44" s="91">
        <f>SUMIFS(tabela_registros[VALOR],tabela_registros[MÊS],$AE$1,tabela_registros[DIA],novtotal3059718395107119131143155[[#Headers],[29]],tabela_registros[REGISTRO],DADOS!$N$4,tabela_registros[TIPO],DADOS!$P$3,tabela_registros[CATEGORIA],despesafixaconsolidadonov[[#This Row],[DESPESA FIXA]])</f>
        <v>0</v>
      </c>
      <c r="AH44" s="91">
        <f>SUMIFS(tabela_registros[VALOR],tabela_registros[MÊS],$AE$1,tabela_registros[DIA],novtotal3059718395107119131143155[[#Headers],[30]],tabela_registros[REGISTRO],DADOS!$N$4,tabela_registros[TIPO],DADOS!$P$3,tabela_registros[CATEGORIA],despesafixaconsolidadonov[[#This Row],[DESPESA FIXA]])</f>
        <v>0</v>
      </c>
      <c r="AI44" s="101">
        <f>SUMIFS(tabela_registros[VALOR],tabela_registros[MÊS],$AE$1,tabela_registros[DIA],novtotal3059718395107119131143155[[#Headers],[31]],tabela_registros[REGISTRO],DADOS!$N$4,tabela_registros[TIPO],DADOS!$P$3,tabela_registros[CATEGORIA],despesafixaconsolidadonov[[#This Row],[DESPESA FIXA]])</f>
        <v>0</v>
      </c>
      <c r="AJ44" s="97">
        <f>SUM(despesafixaconsolidadonov[[#This Row],[1]:[31]])</f>
        <v>0</v>
      </c>
      <c r="AK44" s="28"/>
    </row>
    <row r="45" spans="2:37" ht="18" customHeight="1" thickTop="1" thickBot="1" x14ac:dyDescent="0.3">
      <c r="B45" s="28"/>
      <c r="C45" s="27" t="str">
        <f>DADOS!$R$11</f>
        <v>🔢 IMPOSTOS</v>
      </c>
      <c r="D45" s="26" t="str">
        <f>IF(despesafixaconsolidadonov[[#This Row],[TOTAL]]=0,"",IF(OR(despesafixaconsolidadonov[[#This Row],[TOTAL]]=LARGE($AJ$37:$AJ$50,1),despesafixaconsolidadonov[[#This Row],[TOTAL]]=LARGE($AJ$37:$AJ$50,2),despesafixaconsolidadonov[[#This Row],[TOTAL]]=LARGE($AJ$37:$AJ$50,3),despesafixaconsolidadonov[[#This Row],[TOTAL]]=LARGE($AJ$37:$AJ$50,4),despesafixaconsolidadonov[[#This Row],[TOTAL]]=LARGE($AJ$37:$AJ$50,5)),DADOS!$I$8,""))</f>
        <v/>
      </c>
      <c r="E45" s="96">
        <f>SUMIFS(tabela_registros[VALOR],tabela_registros[MÊS],$AE$1,tabela_registros[DIA],novtotal3059718395107119131143155[[#Headers],[1]],tabela_registros[REGISTRO],DADOS!$N$4,tabela_registros[TIPO],DADOS!$P$3,tabela_registros[CATEGORIA],despesafixaconsolidadonov[[#This Row],[DESPESA FIXA]])</f>
        <v>0</v>
      </c>
      <c r="F45" s="91">
        <f>SUMIFS(tabela_registros[VALOR],tabela_registros[MÊS],$AE$1,tabela_registros[DIA],novtotal3059718395107119131143155[[#Headers],[2]],tabela_registros[REGISTRO],DADOS!$N$4,tabela_registros[TIPO],DADOS!$P$3,tabela_registros[CATEGORIA],despesafixaconsolidadonov[[#This Row],[DESPESA FIXA]])</f>
        <v>0</v>
      </c>
      <c r="G45" s="91">
        <f>SUMIFS(tabela_registros[VALOR],tabela_registros[MÊS],$AE$1,tabela_registros[DIA],novtotal3059718395107119131143155[[#Headers],[3]],tabela_registros[REGISTRO],DADOS!$N$4,tabela_registros[TIPO],DADOS!$P$3,tabela_registros[CATEGORIA],despesafixaconsolidadonov[[#This Row],[DESPESA FIXA]])</f>
        <v>0</v>
      </c>
      <c r="H45" s="91">
        <f>SUMIFS(tabela_registros[VALOR],tabela_registros[MÊS],$AE$1,tabela_registros[DIA],novtotal3059718395107119131143155[[#Headers],[4]],tabela_registros[REGISTRO],DADOS!$N$4,tabela_registros[TIPO],DADOS!$P$3,tabela_registros[CATEGORIA],despesafixaconsolidadonov[[#This Row],[DESPESA FIXA]])</f>
        <v>0</v>
      </c>
      <c r="I45" s="91">
        <f>SUMIFS(tabela_registros[VALOR],tabela_registros[MÊS],$AE$1,tabela_registros[DIA],novtotal3059718395107119131143155[[#Headers],[5]],tabela_registros[REGISTRO],DADOS!$N$4,tabela_registros[TIPO],DADOS!$P$3,tabela_registros[CATEGORIA],despesafixaconsolidadonov[[#This Row],[DESPESA FIXA]])</f>
        <v>0</v>
      </c>
      <c r="J45" s="91">
        <f>SUMIFS(tabela_registros[VALOR],tabela_registros[MÊS],$AE$1,tabela_registros[DIA],novtotal3059718395107119131143155[[#Headers],[6]],tabela_registros[REGISTRO],DADOS!$N$4,tabela_registros[TIPO],DADOS!$P$3,tabela_registros[CATEGORIA],despesafixaconsolidadonov[[#This Row],[DESPESA FIXA]])</f>
        <v>0</v>
      </c>
      <c r="K45" s="91">
        <f>SUMIFS(tabela_registros[VALOR],tabela_registros[MÊS],$AE$1,tabela_registros[DIA],novtotal3059718395107119131143155[[#Headers],[7]],tabela_registros[REGISTRO],DADOS!$N$4,tabela_registros[TIPO],DADOS!$P$3,tabela_registros[CATEGORIA],despesafixaconsolidadonov[[#This Row],[DESPESA FIXA]])</f>
        <v>0</v>
      </c>
      <c r="L45" s="91">
        <f>SUMIFS(tabela_registros[VALOR],tabela_registros[MÊS],$AE$1,tabela_registros[DIA],novtotal3059718395107119131143155[[#Headers],[8]],tabela_registros[REGISTRO],DADOS!$N$4,tabela_registros[TIPO],DADOS!$P$3,tabela_registros[CATEGORIA],despesafixaconsolidadonov[[#This Row],[DESPESA FIXA]])</f>
        <v>0</v>
      </c>
      <c r="M45" s="91">
        <f>SUMIFS(tabela_registros[VALOR],tabela_registros[MÊS],$AE$1,tabela_registros[DIA],novtotal3059718395107119131143155[[#Headers],[9]],tabela_registros[REGISTRO],DADOS!$N$4,tabela_registros[TIPO],DADOS!$P$3,tabela_registros[CATEGORIA],despesafixaconsolidadonov[[#This Row],[DESPESA FIXA]])</f>
        <v>0</v>
      </c>
      <c r="N45" s="91">
        <f>SUMIFS(tabela_registros[VALOR],tabela_registros[MÊS],$AE$1,tabela_registros[DIA],novtotal3059718395107119131143155[[#Headers],[10]],tabela_registros[REGISTRO],DADOS!$N$4,tabela_registros[TIPO],DADOS!$P$3,tabela_registros[CATEGORIA],despesafixaconsolidadonov[[#This Row],[DESPESA FIXA]])</f>
        <v>0</v>
      </c>
      <c r="O45" s="91">
        <f>SUMIFS(tabela_registros[VALOR],tabela_registros[MÊS],$AE$1,tabela_registros[DIA],novtotal3059718395107119131143155[[#Headers],[11]],tabela_registros[REGISTRO],DADOS!$N$4,tabela_registros[TIPO],DADOS!$P$3,tabela_registros[CATEGORIA],despesafixaconsolidadonov[[#This Row],[DESPESA FIXA]])</f>
        <v>0</v>
      </c>
      <c r="P45" s="91">
        <f>SUMIFS(tabela_registros[VALOR],tabela_registros[MÊS],$AE$1,tabela_registros[DIA],novtotal3059718395107119131143155[[#Headers],[12]],tabela_registros[REGISTRO],DADOS!$N$4,tabela_registros[TIPO],DADOS!$P$3,tabela_registros[CATEGORIA],despesafixaconsolidadonov[[#This Row],[DESPESA FIXA]])</f>
        <v>0</v>
      </c>
      <c r="Q45" s="91">
        <f>SUMIFS(tabela_registros[VALOR],tabela_registros[MÊS],$AE$1,tabela_registros[DIA],novtotal3059718395107119131143155[[#Headers],[13]],tabela_registros[REGISTRO],DADOS!$N$4,tabela_registros[TIPO],DADOS!$P$3,tabela_registros[CATEGORIA],despesafixaconsolidadonov[[#This Row],[DESPESA FIXA]])</f>
        <v>0</v>
      </c>
      <c r="R45" s="91">
        <f>SUMIFS(tabela_registros[VALOR],tabela_registros[MÊS],$AE$1,tabela_registros[DIA],novtotal3059718395107119131143155[[#Headers],[14]],tabela_registros[REGISTRO],DADOS!$N$4,tabela_registros[TIPO],DADOS!$P$3,tabela_registros[CATEGORIA],despesafixaconsolidadonov[[#This Row],[DESPESA FIXA]])</f>
        <v>0</v>
      </c>
      <c r="S45" s="91">
        <f>SUMIFS(tabela_registros[VALOR],tabela_registros[MÊS],$AE$1,tabela_registros[DIA],novtotal3059718395107119131143155[[#Headers],[15]],tabela_registros[REGISTRO],DADOS!$N$4,tabela_registros[TIPO],DADOS!$P$3,tabela_registros[CATEGORIA],despesafixaconsolidadonov[[#This Row],[DESPESA FIXA]])</f>
        <v>0</v>
      </c>
      <c r="T45" s="91">
        <f>SUMIFS(tabela_registros[VALOR],tabela_registros[MÊS],$AE$1,tabela_registros[DIA],novtotal3059718395107119131143155[[#Headers],[16]],tabela_registros[REGISTRO],DADOS!$N$4,tabela_registros[TIPO],DADOS!$P$3,tabela_registros[CATEGORIA],despesafixaconsolidadonov[[#This Row],[DESPESA FIXA]])</f>
        <v>0</v>
      </c>
      <c r="U45" s="91">
        <f>SUMIFS(tabela_registros[VALOR],tabela_registros[MÊS],$AE$1,tabela_registros[DIA],novtotal3059718395107119131143155[[#Headers],[17]],tabela_registros[REGISTRO],DADOS!$N$4,tabela_registros[TIPO],DADOS!$P$3,tabela_registros[CATEGORIA],despesafixaconsolidadonov[[#This Row],[DESPESA FIXA]])</f>
        <v>0</v>
      </c>
      <c r="V45" s="91">
        <f>SUMIFS(tabela_registros[VALOR],tabela_registros[MÊS],$AE$1,tabela_registros[DIA],novtotal3059718395107119131143155[[#Headers],[18]],tabela_registros[REGISTRO],DADOS!$N$4,tabela_registros[TIPO],DADOS!$P$3,tabela_registros[CATEGORIA],despesafixaconsolidadonov[[#This Row],[DESPESA FIXA]])</f>
        <v>0</v>
      </c>
      <c r="W45" s="91">
        <f>SUMIFS(tabela_registros[VALOR],tabela_registros[MÊS],$AE$1,tabela_registros[DIA],novtotal3059718395107119131143155[[#Headers],[19]],tabela_registros[REGISTRO],DADOS!$N$4,tabela_registros[TIPO],DADOS!$P$3,tabela_registros[CATEGORIA],despesafixaconsolidadonov[[#This Row],[DESPESA FIXA]])</f>
        <v>0</v>
      </c>
      <c r="X45" s="91">
        <f>SUMIFS(tabela_registros[VALOR],tabela_registros[MÊS],$AE$1,tabela_registros[DIA],novtotal3059718395107119131143155[[#Headers],[20]],tabela_registros[REGISTRO],DADOS!$N$4,tabela_registros[TIPO],DADOS!$P$3,tabela_registros[CATEGORIA],despesafixaconsolidadonov[[#This Row],[DESPESA FIXA]])</f>
        <v>0</v>
      </c>
      <c r="Y45" s="91">
        <f>SUMIFS(tabela_registros[VALOR],tabela_registros[MÊS],$AE$1,tabela_registros[DIA],novtotal3059718395107119131143155[[#Headers],[21]],tabela_registros[REGISTRO],DADOS!$N$4,tabela_registros[TIPO],DADOS!$P$3,tabela_registros[CATEGORIA],despesafixaconsolidadonov[[#This Row],[DESPESA FIXA]])</f>
        <v>0</v>
      </c>
      <c r="Z45" s="91">
        <f>SUMIFS(tabela_registros[VALOR],tabela_registros[MÊS],$AE$1,tabela_registros[DIA],novtotal3059718395107119131143155[[#Headers],[22]],tabela_registros[REGISTRO],DADOS!$N$4,tabela_registros[TIPO],DADOS!$P$3,tabela_registros[CATEGORIA],despesafixaconsolidadonov[[#This Row],[DESPESA FIXA]])</f>
        <v>0</v>
      </c>
      <c r="AA45" s="91">
        <f>SUMIFS(tabela_registros[VALOR],tabela_registros[MÊS],$AE$1,tabela_registros[DIA],novtotal3059718395107119131143155[[#Headers],[23]],tabela_registros[REGISTRO],DADOS!$N$4,tabela_registros[TIPO],DADOS!$P$3,tabela_registros[CATEGORIA],despesafixaconsolidadonov[[#This Row],[DESPESA FIXA]])</f>
        <v>0</v>
      </c>
      <c r="AB45" s="91">
        <f>SUMIFS(tabela_registros[VALOR],tabela_registros[MÊS],$AE$1,tabela_registros[DIA],novtotal3059718395107119131143155[[#Headers],[24]],tabela_registros[REGISTRO],DADOS!$N$4,tabela_registros[TIPO],DADOS!$P$3,tabela_registros[CATEGORIA],despesafixaconsolidadonov[[#This Row],[DESPESA FIXA]])</f>
        <v>0</v>
      </c>
      <c r="AC45" s="91">
        <f>SUMIFS(tabela_registros[VALOR],tabela_registros[MÊS],$AE$1,tabela_registros[DIA],novtotal3059718395107119131143155[[#Headers],[25]],tabela_registros[REGISTRO],DADOS!$N$4,tabela_registros[TIPO],DADOS!$P$3,tabela_registros[CATEGORIA],despesafixaconsolidadonov[[#This Row],[DESPESA FIXA]])</f>
        <v>0</v>
      </c>
      <c r="AD45" s="91">
        <f>SUMIFS(tabela_registros[VALOR],tabela_registros[MÊS],$AE$1,tabela_registros[DIA],novtotal3059718395107119131143155[[#Headers],[26]],tabela_registros[REGISTRO],DADOS!$N$4,tabela_registros[TIPO],DADOS!$P$3,tabela_registros[CATEGORIA],despesafixaconsolidadonov[[#This Row],[DESPESA FIXA]])</f>
        <v>0</v>
      </c>
      <c r="AE45" s="91">
        <f>SUMIFS(tabela_registros[VALOR],tabela_registros[MÊS],$AE$1,tabela_registros[DIA],novtotal3059718395107119131143155[[#Headers],[27]],tabela_registros[REGISTRO],DADOS!$N$4,tabela_registros[TIPO],DADOS!$P$3,tabela_registros[CATEGORIA],despesafixaconsolidadonov[[#This Row],[DESPESA FIXA]])</f>
        <v>0</v>
      </c>
      <c r="AF45" s="91">
        <f>SUMIFS(tabela_registros[VALOR],tabela_registros[MÊS],$AE$1,tabela_registros[DIA],novtotal3059718395107119131143155[[#Headers],[28]],tabela_registros[REGISTRO],DADOS!$N$4,tabela_registros[TIPO],DADOS!$P$3,tabela_registros[CATEGORIA],despesafixaconsolidadonov[[#This Row],[DESPESA FIXA]])</f>
        <v>0</v>
      </c>
      <c r="AG45" s="91">
        <f>SUMIFS(tabela_registros[VALOR],tabela_registros[MÊS],$AE$1,tabela_registros[DIA],novtotal3059718395107119131143155[[#Headers],[29]],tabela_registros[REGISTRO],DADOS!$N$4,tabela_registros[TIPO],DADOS!$P$3,tabela_registros[CATEGORIA],despesafixaconsolidadonov[[#This Row],[DESPESA FIXA]])</f>
        <v>0</v>
      </c>
      <c r="AH45" s="91">
        <f>SUMIFS(tabela_registros[VALOR],tabela_registros[MÊS],$AE$1,tabela_registros[DIA],novtotal3059718395107119131143155[[#Headers],[30]],tabela_registros[REGISTRO],DADOS!$N$4,tabela_registros[TIPO],DADOS!$P$3,tabela_registros[CATEGORIA],despesafixaconsolidadonov[[#This Row],[DESPESA FIXA]])</f>
        <v>0</v>
      </c>
      <c r="AI45" s="101">
        <f>SUMIFS(tabela_registros[VALOR],tabela_registros[MÊS],$AE$1,tabela_registros[DIA],novtotal3059718395107119131143155[[#Headers],[31]],tabela_registros[REGISTRO],DADOS!$N$4,tabela_registros[TIPO],DADOS!$P$3,tabela_registros[CATEGORIA],despesafixaconsolidadonov[[#This Row],[DESPESA FIXA]])</f>
        <v>0</v>
      </c>
      <c r="AJ45" s="97">
        <f>SUM(despesafixaconsolidadonov[[#This Row],[1]:[31]])</f>
        <v>0</v>
      </c>
      <c r="AK45" s="28"/>
    </row>
    <row r="46" spans="2:37" ht="18" customHeight="1" thickTop="1" thickBot="1" x14ac:dyDescent="0.3">
      <c r="B46" s="28"/>
      <c r="C46" s="27" t="str">
        <f>DADOS!$R$12</f>
        <v>🖱️ INTERNET</v>
      </c>
      <c r="D46" s="26" t="str">
        <f>IF(despesafixaconsolidadonov[[#This Row],[TOTAL]]=0,"",IF(OR(despesafixaconsolidadonov[[#This Row],[TOTAL]]=LARGE($AJ$37:$AJ$50,1),despesafixaconsolidadonov[[#This Row],[TOTAL]]=LARGE($AJ$37:$AJ$50,2),despesafixaconsolidadonov[[#This Row],[TOTAL]]=LARGE($AJ$37:$AJ$50,3),despesafixaconsolidadonov[[#This Row],[TOTAL]]=LARGE($AJ$37:$AJ$50,4),despesafixaconsolidadonov[[#This Row],[TOTAL]]=LARGE($AJ$37:$AJ$50,5)),DADOS!$I$8,""))</f>
        <v/>
      </c>
      <c r="E46" s="96">
        <f>SUMIFS(tabela_registros[VALOR],tabela_registros[MÊS],$AE$1,tabela_registros[DIA],novtotal3059718395107119131143155[[#Headers],[1]],tabela_registros[REGISTRO],DADOS!$N$4,tabela_registros[TIPO],DADOS!$P$3,tabela_registros[CATEGORIA],despesafixaconsolidadonov[[#This Row],[DESPESA FIXA]])</f>
        <v>0</v>
      </c>
      <c r="F46" s="91">
        <f>SUMIFS(tabela_registros[VALOR],tabela_registros[MÊS],$AE$1,tabela_registros[DIA],novtotal3059718395107119131143155[[#Headers],[2]],tabela_registros[REGISTRO],DADOS!$N$4,tabela_registros[TIPO],DADOS!$P$3,tabela_registros[CATEGORIA],despesafixaconsolidadonov[[#This Row],[DESPESA FIXA]])</f>
        <v>0</v>
      </c>
      <c r="G46" s="91">
        <f>SUMIFS(tabela_registros[VALOR],tabela_registros[MÊS],$AE$1,tabela_registros[DIA],novtotal3059718395107119131143155[[#Headers],[3]],tabela_registros[REGISTRO],DADOS!$N$4,tabela_registros[TIPO],DADOS!$P$3,tabela_registros[CATEGORIA],despesafixaconsolidadonov[[#This Row],[DESPESA FIXA]])</f>
        <v>0</v>
      </c>
      <c r="H46" s="91">
        <f>SUMIFS(tabela_registros[VALOR],tabela_registros[MÊS],$AE$1,tabela_registros[DIA],novtotal3059718395107119131143155[[#Headers],[4]],tabela_registros[REGISTRO],DADOS!$N$4,tabela_registros[TIPO],DADOS!$P$3,tabela_registros[CATEGORIA],despesafixaconsolidadonov[[#This Row],[DESPESA FIXA]])</f>
        <v>0</v>
      </c>
      <c r="I46" s="91">
        <f>SUMIFS(tabela_registros[VALOR],tabela_registros[MÊS],$AE$1,tabela_registros[DIA],novtotal3059718395107119131143155[[#Headers],[5]],tabela_registros[REGISTRO],DADOS!$N$4,tabela_registros[TIPO],DADOS!$P$3,tabela_registros[CATEGORIA],despesafixaconsolidadonov[[#This Row],[DESPESA FIXA]])</f>
        <v>0</v>
      </c>
      <c r="J46" s="91">
        <f>SUMIFS(tabela_registros[VALOR],tabela_registros[MÊS],$AE$1,tabela_registros[DIA],novtotal3059718395107119131143155[[#Headers],[6]],tabela_registros[REGISTRO],DADOS!$N$4,tabela_registros[TIPO],DADOS!$P$3,tabela_registros[CATEGORIA],despesafixaconsolidadonov[[#This Row],[DESPESA FIXA]])</f>
        <v>0</v>
      </c>
      <c r="K46" s="91">
        <f>SUMIFS(tabela_registros[VALOR],tabela_registros[MÊS],$AE$1,tabela_registros[DIA],novtotal3059718395107119131143155[[#Headers],[7]],tabela_registros[REGISTRO],DADOS!$N$4,tabela_registros[TIPO],DADOS!$P$3,tabela_registros[CATEGORIA],despesafixaconsolidadonov[[#This Row],[DESPESA FIXA]])</f>
        <v>0</v>
      </c>
      <c r="L46" s="91">
        <f>SUMIFS(tabela_registros[VALOR],tabela_registros[MÊS],$AE$1,tabela_registros[DIA],novtotal3059718395107119131143155[[#Headers],[8]],tabela_registros[REGISTRO],DADOS!$N$4,tabela_registros[TIPO],DADOS!$P$3,tabela_registros[CATEGORIA],despesafixaconsolidadonov[[#This Row],[DESPESA FIXA]])</f>
        <v>0</v>
      </c>
      <c r="M46" s="91">
        <f>SUMIFS(tabela_registros[VALOR],tabela_registros[MÊS],$AE$1,tabela_registros[DIA],novtotal3059718395107119131143155[[#Headers],[9]],tabela_registros[REGISTRO],DADOS!$N$4,tabela_registros[TIPO],DADOS!$P$3,tabela_registros[CATEGORIA],despesafixaconsolidadonov[[#This Row],[DESPESA FIXA]])</f>
        <v>0</v>
      </c>
      <c r="N46" s="91">
        <f>SUMIFS(tabela_registros[VALOR],tabela_registros[MÊS],$AE$1,tabela_registros[DIA],novtotal3059718395107119131143155[[#Headers],[10]],tabela_registros[REGISTRO],DADOS!$N$4,tabela_registros[TIPO],DADOS!$P$3,tabela_registros[CATEGORIA],despesafixaconsolidadonov[[#This Row],[DESPESA FIXA]])</f>
        <v>0</v>
      </c>
      <c r="O46" s="91">
        <f>SUMIFS(tabela_registros[VALOR],tabela_registros[MÊS],$AE$1,tabela_registros[DIA],novtotal3059718395107119131143155[[#Headers],[11]],tabela_registros[REGISTRO],DADOS!$N$4,tabela_registros[TIPO],DADOS!$P$3,tabela_registros[CATEGORIA],despesafixaconsolidadonov[[#This Row],[DESPESA FIXA]])</f>
        <v>0</v>
      </c>
      <c r="P46" s="91">
        <f>SUMIFS(tabela_registros[VALOR],tabela_registros[MÊS],$AE$1,tabela_registros[DIA],novtotal3059718395107119131143155[[#Headers],[12]],tabela_registros[REGISTRO],DADOS!$N$4,tabela_registros[TIPO],DADOS!$P$3,tabela_registros[CATEGORIA],despesafixaconsolidadonov[[#This Row],[DESPESA FIXA]])</f>
        <v>0</v>
      </c>
      <c r="Q46" s="91">
        <f>SUMIFS(tabela_registros[VALOR],tabela_registros[MÊS],$AE$1,tabela_registros[DIA],novtotal3059718395107119131143155[[#Headers],[13]],tabela_registros[REGISTRO],DADOS!$N$4,tabela_registros[TIPO],DADOS!$P$3,tabela_registros[CATEGORIA],despesafixaconsolidadonov[[#This Row],[DESPESA FIXA]])</f>
        <v>0</v>
      </c>
      <c r="R46" s="91">
        <f>SUMIFS(tabela_registros[VALOR],tabela_registros[MÊS],$AE$1,tabela_registros[DIA],novtotal3059718395107119131143155[[#Headers],[14]],tabela_registros[REGISTRO],DADOS!$N$4,tabela_registros[TIPO],DADOS!$P$3,tabela_registros[CATEGORIA],despesafixaconsolidadonov[[#This Row],[DESPESA FIXA]])</f>
        <v>0</v>
      </c>
      <c r="S46" s="91">
        <f>SUMIFS(tabela_registros[VALOR],tabela_registros[MÊS],$AE$1,tabela_registros[DIA],novtotal3059718395107119131143155[[#Headers],[15]],tabela_registros[REGISTRO],DADOS!$N$4,tabela_registros[TIPO],DADOS!$P$3,tabela_registros[CATEGORIA],despesafixaconsolidadonov[[#This Row],[DESPESA FIXA]])</f>
        <v>0</v>
      </c>
      <c r="T46" s="91">
        <f>SUMIFS(tabela_registros[VALOR],tabela_registros[MÊS],$AE$1,tabela_registros[DIA],novtotal3059718395107119131143155[[#Headers],[16]],tabela_registros[REGISTRO],DADOS!$N$4,tabela_registros[TIPO],DADOS!$P$3,tabela_registros[CATEGORIA],despesafixaconsolidadonov[[#This Row],[DESPESA FIXA]])</f>
        <v>0</v>
      </c>
      <c r="U46" s="91">
        <f>SUMIFS(tabela_registros[VALOR],tabela_registros[MÊS],$AE$1,tabela_registros[DIA],novtotal3059718395107119131143155[[#Headers],[17]],tabela_registros[REGISTRO],DADOS!$N$4,tabela_registros[TIPO],DADOS!$P$3,tabela_registros[CATEGORIA],despesafixaconsolidadonov[[#This Row],[DESPESA FIXA]])</f>
        <v>0</v>
      </c>
      <c r="V46" s="91">
        <f>SUMIFS(tabela_registros[VALOR],tabela_registros[MÊS],$AE$1,tabela_registros[DIA],novtotal3059718395107119131143155[[#Headers],[18]],tabela_registros[REGISTRO],DADOS!$N$4,tabela_registros[TIPO],DADOS!$P$3,tabela_registros[CATEGORIA],despesafixaconsolidadonov[[#This Row],[DESPESA FIXA]])</f>
        <v>0</v>
      </c>
      <c r="W46" s="91">
        <f>SUMIFS(tabela_registros[VALOR],tabela_registros[MÊS],$AE$1,tabela_registros[DIA],novtotal3059718395107119131143155[[#Headers],[19]],tabela_registros[REGISTRO],DADOS!$N$4,tabela_registros[TIPO],DADOS!$P$3,tabela_registros[CATEGORIA],despesafixaconsolidadonov[[#This Row],[DESPESA FIXA]])</f>
        <v>0</v>
      </c>
      <c r="X46" s="91">
        <f>SUMIFS(tabela_registros[VALOR],tabela_registros[MÊS],$AE$1,tabela_registros[DIA],novtotal3059718395107119131143155[[#Headers],[20]],tabela_registros[REGISTRO],DADOS!$N$4,tabela_registros[TIPO],DADOS!$P$3,tabela_registros[CATEGORIA],despesafixaconsolidadonov[[#This Row],[DESPESA FIXA]])</f>
        <v>0</v>
      </c>
      <c r="Y46" s="91">
        <f>SUMIFS(tabela_registros[VALOR],tabela_registros[MÊS],$AE$1,tabela_registros[DIA],novtotal3059718395107119131143155[[#Headers],[21]],tabela_registros[REGISTRO],DADOS!$N$4,tabela_registros[TIPO],DADOS!$P$3,tabela_registros[CATEGORIA],despesafixaconsolidadonov[[#This Row],[DESPESA FIXA]])</f>
        <v>0</v>
      </c>
      <c r="Z46" s="91">
        <f>SUMIFS(tabela_registros[VALOR],tabela_registros[MÊS],$AE$1,tabela_registros[DIA],novtotal3059718395107119131143155[[#Headers],[22]],tabela_registros[REGISTRO],DADOS!$N$4,tabela_registros[TIPO],DADOS!$P$3,tabela_registros[CATEGORIA],despesafixaconsolidadonov[[#This Row],[DESPESA FIXA]])</f>
        <v>0</v>
      </c>
      <c r="AA46" s="91">
        <f>SUMIFS(tabela_registros[VALOR],tabela_registros[MÊS],$AE$1,tabela_registros[DIA],novtotal3059718395107119131143155[[#Headers],[23]],tabela_registros[REGISTRO],DADOS!$N$4,tabela_registros[TIPO],DADOS!$P$3,tabela_registros[CATEGORIA],despesafixaconsolidadonov[[#This Row],[DESPESA FIXA]])</f>
        <v>0</v>
      </c>
      <c r="AB46" s="91">
        <f>SUMIFS(tabela_registros[VALOR],tabela_registros[MÊS],$AE$1,tabela_registros[DIA],novtotal3059718395107119131143155[[#Headers],[24]],tabela_registros[REGISTRO],DADOS!$N$4,tabela_registros[TIPO],DADOS!$P$3,tabela_registros[CATEGORIA],despesafixaconsolidadonov[[#This Row],[DESPESA FIXA]])</f>
        <v>0</v>
      </c>
      <c r="AC46" s="91">
        <f>SUMIFS(tabela_registros[VALOR],tabela_registros[MÊS],$AE$1,tabela_registros[DIA],novtotal3059718395107119131143155[[#Headers],[25]],tabela_registros[REGISTRO],DADOS!$N$4,tabela_registros[TIPO],DADOS!$P$3,tabela_registros[CATEGORIA],despesafixaconsolidadonov[[#This Row],[DESPESA FIXA]])</f>
        <v>0</v>
      </c>
      <c r="AD46" s="91">
        <f>SUMIFS(tabela_registros[VALOR],tabela_registros[MÊS],$AE$1,tabela_registros[DIA],novtotal3059718395107119131143155[[#Headers],[26]],tabela_registros[REGISTRO],DADOS!$N$4,tabela_registros[TIPO],DADOS!$P$3,tabela_registros[CATEGORIA],despesafixaconsolidadonov[[#This Row],[DESPESA FIXA]])</f>
        <v>0</v>
      </c>
      <c r="AE46" s="91">
        <f>SUMIFS(tabela_registros[VALOR],tabela_registros[MÊS],$AE$1,tabela_registros[DIA],novtotal3059718395107119131143155[[#Headers],[27]],tabela_registros[REGISTRO],DADOS!$N$4,tabela_registros[TIPO],DADOS!$P$3,tabela_registros[CATEGORIA],despesafixaconsolidadonov[[#This Row],[DESPESA FIXA]])</f>
        <v>0</v>
      </c>
      <c r="AF46" s="91">
        <f>SUMIFS(tabela_registros[VALOR],tabela_registros[MÊS],$AE$1,tabela_registros[DIA],novtotal3059718395107119131143155[[#Headers],[28]],tabela_registros[REGISTRO],DADOS!$N$4,tabela_registros[TIPO],DADOS!$P$3,tabela_registros[CATEGORIA],despesafixaconsolidadonov[[#This Row],[DESPESA FIXA]])</f>
        <v>0</v>
      </c>
      <c r="AG46" s="91">
        <f>SUMIFS(tabela_registros[VALOR],tabela_registros[MÊS],$AE$1,tabela_registros[DIA],novtotal3059718395107119131143155[[#Headers],[29]],tabela_registros[REGISTRO],DADOS!$N$4,tabela_registros[TIPO],DADOS!$P$3,tabela_registros[CATEGORIA],despesafixaconsolidadonov[[#This Row],[DESPESA FIXA]])</f>
        <v>0</v>
      </c>
      <c r="AH46" s="91">
        <f>SUMIFS(tabela_registros[VALOR],tabela_registros[MÊS],$AE$1,tabela_registros[DIA],novtotal3059718395107119131143155[[#Headers],[30]],tabela_registros[REGISTRO],DADOS!$N$4,tabela_registros[TIPO],DADOS!$P$3,tabela_registros[CATEGORIA],despesafixaconsolidadonov[[#This Row],[DESPESA FIXA]])</f>
        <v>0</v>
      </c>
      <c r="AI46" s="101">
        <f>SUMIFS(tabela_registros[VALOR],tabela_registros[MÊS],$AE$1,tabela_registros[DIA],novtotal3059718395107119131143155[[#Headers],[31]],tabela_registros[REGISTRO],DADOS!$N$4,tabela_registros[TIPO],DADOS!$P$3,tabela_registros[CATEGORIA],despesafixaconsolidadonov[[#This Row],[DESPESA FIXA]])</f>
        <v>0</v>
      </c>
      <c r="AJ46" s="97">
        <f>SUM(despesafixaconsolidadonov[[#This Row],[1]:[31]])</f>
        <v>0</v>
      </c>
      <c r="AK46" s="28"/>
    </row>
    <row r="47" spans="2:37" ht="18" customHeight="1" thickTop="1" thickBot="1" x14ac:dyDescent="0.3">
      <c r="B47" s="28"/>
      <c r="C47" s="27" t="str">
        <f>DADOS!$R$13</f>
        <v>🏠 MORADIA</v>
      </c>
      <c r="D47" s="26" t="str">
        <f>IF(despesafixaconsolidadonov[[#This Row],[TOTAL]]=0,"",IF(OR(despesafixaconsolidadonov[[#This Row],[TOTAL]]=LARGE($AJ$37:$AJ$50,1),despesafixaconsolidadonov[[#This Row],[TOTAL]]=LARGE($AJ$37:$AJ$50,2),despesafixaconsolidadonov[[#This Row],[TOTAL]]=LARGE($AJ$37:$AJ$50,3),despesafixaconsolidadonov[[#This Row],[TOTAL]]=LARGE($AJ$37:$AJ$50,4),despesafixaconsolidadonov[[#This Row],[TOTAL]]=LARGE($AJ$37:$AJ$50,5)),DADOS!$I$8,""))</f>
        <v/>
      </c>
      <c r="E47" s="96">
        <f>SUMIFS(tabela_registros[VALOR],tabela_registros[MÊS],$AE$1,tabela_registros[DIA],novtotal3059718395107119131143155[[#Headers],[1]],tabela_registros[REGISTRO],DADOS!$N$4,tabela_registros[TIPO],DADOS!$P$3,tabela_registros[CATEGORIA],despesafixaconsolidadonov[[#This Row],[DESPESA FIXA]])</f>
        <v>0</v>
      </c>
      <c r="F47" s="91">
        <f>SUMIFS(tabela_registros[VALOR],tabela_registros[MÊS],$AE$1,tabela_registros[DIA],novtotal3059718395107119131143155[[#Headers],[2]],tabela_registros[REGISTRO],DADOS!$N$4,tabela_registros[TIPO],DADOS!$P$3,tabela_registros[CATEGORIA],despesafixaconsolidadonov[[#This Row],[DESPESA FIXA]])</f>
        <v>0</v>
      </c>
      <c r="G47" s="91">
        <f>SUMIFS(tabela_registros[VALOR],tabela_registros[MÊS],$AE$1,tabela_registros[DIA],novtotal3059718395107119131143155[[#Headers],[3]],tabela_registros[REGISTRO],DADOS!$N$4,tabela_registros[TIPO],DADOS!$P$3,tabela_registros[CATEGORIA],despesafixaconsolidadonov[[#This Row],[DESPESA FIXA]])</f>
        <v>0</v>
      </c>
      <c r="H47" s="91">
        <f>SUMIFS(tabela_registros[VALOR],tabela_registros[MÊS],$AE$1,tabela_registros[DIA],novtotal3059718395107119131143155[[#Headers],[4]],tabela_registros[REGISTRO],DADOS!$N$4,tabela_registros[TIPO],DADOS!$P$3,tabela_registros[CATEGORIA],despesafixaconsolidadonov[[#This Row],[DESPESA FIXA]])</f>
        <v>0</v>
      </c>
      <c r="I47" s="91">
        <f>SUMIFS(tabela_registros[VALOR],tabela_registros[MÊS],$AE$1,tabela_registros[DIA],novtotal3059718395107119131143155[[#Headers],[5]],tabela_registros[REGISTRO],DADOS!$N$4,tabela_registros[TIPO],DADOS!$P$3,tabela_registros[CATEGORIA],despesafixaconsolidadonov[[#This Row],[DESPESA FIXA]])</f>
        <v>0</v>
      </c>
      <c r="J47" s="91">
        <f>SUMIFS(tabela_registros[VALOR],tabela_registros[MÊS],$AE$1,tabela_registros[DIA],novtotal3059718395107119131143155[[#Headers],[6]],tabela_registros[REGISTRO],DADOS!$N$4,tabela_registros[TIPO],DADOS!$P$3,tabela_registros[CATEGORIA],despesafixaconsolidadonov[[#This Row],[DESPESA FIXA]])</f>
        <v>0</v>
      </c>
      <c r="K47" s="91">
        <f>SUMIFS(tabela_registros[VALOR],tabela_registros[MÊS],$AE$1,tabela_registros[DIA],novtotal3059718395107119131143155[[#Headers],[7]],tabela_registros[REGISTRO],DADOS!$N$4,tabela_registros[TIPO],DADOS!$P$3,tabela_registros[CATEGORIA],despesafixaconsolidadonov[[#This Row],[DESPESA FIXA]])</f>
        <v>0</v>
      </c>
      <c r="L47" s="91">
        <f>SUMIFS(tabela_registros[VALOR],tabela_registros[MÊS],$AE$1,tabela_registros[DIA],novtotal3059718395107119131143155[[#Headers],[8]],tabela_registros[REGISTRO],DADOS!$N$4,tabela_registros[TIPO],DADOS!$P$3,tabela_registros[CATEGORIA],despesafixaconsolidadonov[[#This Row],[DESPESA FIXA]])</f>
        <v>0</v>
      </c>
      <c r="M47" s="91">
        <f>SUMIFS(tabela_registros[VALOR],tabela_registros[MÊS],$AE$1,tabela_registros[DIA],novtotal3059718395107119131143155[[#Headers],[9]],tabela_registros[REGISTRO],DADOS!$N$4,tabela_registros[TIPO],DADOS!$P$3,tabela_registros[CATEGORIA],despesafixaconsolidadonov[[#This Row],[DESPESA FIXA]])</f>
        <v>0</v>
      </c>
      <c r="N47" s="91">
        <f>SUMIFS(tabela_registros[VALOR],tabela_registros[MÊS],$AE$1,tabela_registros[DIA],novtotal3059718395107119131143155[[#Headers],[10]],tabela_registros[REGISTRO],DADOS!$N$4,tabela_registros[TIPO],DADOS!$P$3,tabela_registros[CATEGORIA],despesafixaconsolidadonov[[#This Row],[DESPESA FIXA]])</f>
        <v>0</v>
      </c>
      <c r="O47" s="91">
        <f>SUMIFS(tabela_registros[VALOR],tabela_registros[MÊS],$AE$1,tabela_registros[DIA],novtotal3059718395107119131143155[[#Headers],[11]],tabela_registros[REGISTRO],DADOS!$N$4,tabela_registros[TIPO],DADOS!$P$3,tabela_registros[CATEGORIA],despesafixaconsolidadonov[[#This Row],[DESPESA FIXA]])</f>
        <v>0</v>
      </c>
      <c r="P47" s="91">
        <f>SUMIFS(tabela_registros[VALOR],tabela_registros[MÊS],$AE$1,tabela_registros[DIA],novtotal3059718395107119131143155[[#Headers],[12]],tabela_registros[REGISTRO],DADOS!$N$4,tabela_registros[TIPO],DADOS!$P$3,tabela_registros[CATEGORIA],despesafixaconsolidadonov[[#This Row],[DESPESA FIXA]])</f>
        <v>0</v>
      </c>
      <c r="Q47" s="91">
        <f>SUMIFS(tabela_registros[VALOR],tabela_registros[MÊS],$AE$1,tabela_registros[DIA],novtotal3059718395107119131143155[[#Headers],[13]],tabela_registros[REGISTRO],DADOS!$N$4,tabela_registros[TIPO],DADOS!$P$3,tabela_registros[CATEGORIA],despesafixaconsolidadonov[[#This Row],[DESPESA FIXA]])</f>
        <v>0</v>
      </c>
      <c r="R47" s="91">
        <f>SUMIFS(tabela_registros[VALOR],tabela_registros[MÊS],$AE$1,tabela_registros[DIA],novtotal3059718395107119131143155[[#Headers],[14]],tabela_registros[REGISTRO],DADOS!$N$4,tabela_registros[TIPO],DADOS!$P$3,tabela_registros[CATEGORIA],despesafixaconsolidadonov[[#This Row],[DESPESA FIXA]])</f>
        <v>0</v>
      </c>
      <c r="S47" s="91">
        <f>SUMIFS(tabela_registros[VALOR],tabela_registros[MÊS],$AE$1,tabela_registros[DIA],novtotal3059718395107119131143155[[#Headers],[15]],tabela_registros[REGISTRO],DADOS!$N$4,tabela_registros[TIPO],DADOS!$P$3,tabela_registros[CATEGORIA],despesafixaconsolidadonov[[#This Row],[DESPESA FIXA]])</f>
        <v>0</v>
      </c>
      <c r="T47" s="91">
        <f>SUMIFS(tabela_registros[VALOR],tabela_registros[MÊS],$AE$1,tabela_registros[DIA],novtotal3059718395107119131143155[[#Headers],[16]],tabela_registros[REGISTRO],DADOS!$N$4,tabela_registros[TIPO],DADOS!$P$3,tabela_registros[CATEGORIA],despesafixaconsolidadonov[[#This Row],[DESPESA FIXA]])</f>
        <v>0</v>
      </c>
      <c r="U47" s="91">
        <f>SUMIFS(tabela_registros[VALOR],tabela_registros[MÊS],$AE$1,tabela_registros[DIA],novtotal3059718395107119131143155[[#Headers],[17]],tabela_registros[REGISTRO],DADOS!$N$4,tabela_registros[TIPO],DADOS!$P$3,tabela_registros[CATEGORIA],despesafixaconsolidadonov[[#This Row],[DESPESA FIXA]])</f>
        <v>0</v>
      </c>
      <c r="V47" s="91">
        <f>SUMIFS(tabela_registros[VALOR],tabela_registros[MÊS],$AE$1,tabela_registros[DIA],novtotal3059718395107119131143155[[#Headers],[18]],tabela_registros[REGISTRO],DADOS!$N$4,tabela_registros[TIPO],DADOS!$P$3,tabela_registros[CATEGORIA],despesafixaconsolidadonov[[#This Row],[DESPESA FIXA]])</f>
        <v>0</v>
      </c>
      <c r="W47" s="91">
        <f>SUMIFS(tabela_registros[VALOR],tabela_registros[MÊS],$AE$1,tabela_registros[DIA],novtotal3059718395107119131143155[[#Headers],[19]],tabela_registros[REGISTRO],DADOS!$N$4,tabela_registros[TIPO],DADOS!$P$3,tabela_registros[CATEGORIA],despesafixaconsolidadonov[[#This Row],[DESPESA FIXA]])</f>
        <v>0</v>
      </c>
      <c r="X47" s="91">
        <f>SUMIFS(tabela_registros[VALOR],tabela_registros[MÊS],$AE$1,tabela_registros[DIA],novtotal3059718395107119131143155[[#Headers],[20]],tabela_registros[REGISTRO],DADOS!$N$4,tabela_registros[TIPO],DADOS!$P$3,tabela_registros[CATEGORIA],despesafixaconsolidadonov[[#This Row],[DESPESA FIXA]])</f>
        <v>0</v>
      </c>
      <c r="Y47" s="91">
        <f>SUMIFS(tabela_registros[VALOR],tabela_registros[MÊS],$AE$1,tabela_registros[DIA],novtotal3059718395107119131143155[[#Headers],[21]],tabela_registros[REGISTRO],DADOS!$N$4,tabela_registros[TIPO],DADOS!$P$3,tabela_registros[CATEGORIA],despesafixaconsolidadonov[[#This Row],[DESPESA FIXA]])</f>
        <v>0</v>
      </c>
      <c r="Z47" s="91">
        <f>SUMIFS(tabela_registros[VALOR],tabela_registros[MÊS],$AE$1,tabela_registros[DIA],novtotal3059718395107119131143155[[#Headers],[22]],tabela_registros[REGISTRO],DADOS!$N$4,tabela_registros[TIPO],DADOS!$P$3,tabela_registros[CATEGORIA],despesafixaconsolidadonov[[#This Row],[DESPESA FIXA]])</f>
        <v>0</v>
      </c>
      <c r="AA47" s="91">
        <f>SUMIFS(tabela_registros[VALOR],tabela_registros[MÊS],$AE$1,tabela_registros[DIA],novtotal3059718395107119131143155[[#Headers],[23]],tabela_registros[REGISTRO],DADOS!$N$4,tabela_registros[TIPO],DADOS!$P$3,tabela_registros[CATEGORIA],despesafixaconsolidadonov[[#This Row],[DESPESA FIXA]])</f>
        <v>0</v>
      </c>
      <c r="AB47" s="91">
        <f>SUMIFS(tabela_registros[VALOR],tabela_registros[MÊS],$AE$1,tabela_registros[DIA],novtotal3059718395107119131143155[[#Headers],[24]],tabela_registros[REGISTRO],DADOS!$N$4,tabela_registros[TIPO],DADOS!$P$3,tabela_registros[CATEGORIA],despesafixaconsolidadonov[[#This Row],[DESPESA FIXA]])</f>
        <v>0</v>
      </c>
      <c r="AC47" s="91">
        <f>SUMIFS(tabela_registros[VALOR],tabela_registros[MÊS],$AE$1,tabela_registros[DIA],novtotal3059718395107119131143155[[#Headers],[25]],tabela_registros[REGISTRO],DADOS!$N$4,tabela_registros[TIPO],DADOS!$P$3,tabela_registros[CATEGORIA],despesafixaconsolidadonov[[#This Row],[DESPESA FIXA]])</f>
        <v>0</v>
      </c>
      <c r="AD47" s="91">
        <f>SUMIFS(tabela_registros[VALOR],tabela_registros[MÊS],$AE$1,tabela_registros[DIA],novtotal3059718395107119131143155[[#Headers],[26]],tabela_registros[REGISTRO],DADOS!$N$4,tabela_registros[TIPO],DADOS!$P$3,tabela_registros[CATEGORIA],despesafixaconsolidadonov[[#This Row],[DESPESA FIXA]])</f>
        <v>0</v>
      </c>
      <c r="AE47" s="91">
        <f>SUMIFS(tabela_registros[VALOR],tabela_registros[MÊS],$AE$1,tabela_registros[DIA],novtotal3059718395107119131143155[[#Headers],[27]],tabela_registros[REGISTRO],DADOS!$N$4,tabela_registros[TIPO],DADOS!$P$3,tabela_registros[CATEGORIA],despesafixaconsolidadonov[[#This Row],[DESPESA FIXA]])</f>
        <v>0</v>
      </c>
      <c r="AF47" s="91">
        <f>SUMIFS(tabela_registros[VALOR],tabela_registros[MÊS],$AE$1,tabela_registros[DIA],novtotal3059718395107119131143155[[#Headers],[28]],tabela_registros[REGISTRO],DADOS!$N$4,tabela_registros[TIPO],DADOS!$P$3,tabela_registros[CATEGORIA],despesafixaconsolidadonov[[#This Row],[DESPESA FIXA]])</f>
        <v>0</v>
      </c>
      <c r="AG47" s="91">
        <f>SUMIFS(tabela_registros[VALOR],tabela_registros[MÊS],$AE$1,tabela_registros[DIA],novtotal3059718395107119131143155[[#Headers],[29]],tabela_registros[REGISTRO],DADOS!$N$4,tabela_registros[TIPO],DADOS!$P$3,tabela_registros[CATEGORIA],despesafixaconsolidadonov[[#This Row],[DESPESA FIXA]])</f>
        <v>0</v>
      </c>
      <c r="AH47" s="91">
        <f>SUMIFS(tabela_registros[VALOR],tabela_registros[MÊS],$AE$1,tabela_registros[DIA],novtotal3059718395107119131143155[[#Headers],[30]],tabela_registros[REGISTRO],DADOS!$N$4,tabela_registros[TIPO],DADOS!$P$3,tabela_registros[CATEGORIA],despesafixaconsolidadonov[[#This Row],[DESPESA FIXA]])</f>
        <v>0</v>
      </c>
      <c r="AI47" s="101">
        <f>SUMIFS(tabela_registros[VALOR],tabela_registros[MÊS],$AE$1,tabela_registros[DIA],novtotal3059718395107119131143155[[#Headers],[31]],tabela_registros[REGISTRO],DADOS!$N$4,tabela_registros[TIPO],DADOS!$P$3,tabela_registros[CATEGORIA],despesafixaconsolidadonov[[#This Row],[DESPESA FIXA]])</f>
        <v>0</v>
      </c>
      <c r="AJ47" s="97">
        <f>SUM(despesafixaconsolidadonov[[#This Row],[1]:[31]])</f>
        <v>0</v>
      </c>
      <c r="AK47" s="28"/>
    </row>
    <row r="48" spans="2:37" ht="18" customHeight="1" thickTop="1" thickBot="1" x14ac:dyDescent="0.3">
      <c r="B48" s="28"/>
      <c r="C48" s="27" t="str">
        <f>DADOS!$R$14</f>
        <v>💊 SAÚDE</v>
      </c>
      <c r="D48" s="26" t="str">
        <f>IF(despesafixaconsolidadonov[[#This Row],[TOTAL]]=0,"",IF(OR(despesafixaconsolidadonov[[#This Row],[TOTAL]]=LARGE($AJ$37:$AJ$50,1),despesafixaconsolidadonov[[#This Row],[TOTAL]]=LARGE($AJ$37:$AJ$50,2),despesafixaconsolidadonov[[#This Row],[TOTAL]]=LARGE($AJ$37:$AJ$50,3),despesafixaconsolidadonov[[#This Row],[TOTAL]]=LARGE($AJ$37:$AJ$50,4),despesafixaconsolidadonov[[#This Row],[TOTAL]]=LARGE($AJ$37:$AJ$50,5)),DADOS!$I$8,""))</f>
        <v/>
      </c>
      <c r="E48" s="96">
        <f>SUMIFS(tabela_registros[VALOR],tabela_registros[MÊS],$AE$1,tabela_registros[DIA],novtotal3059718395107119131143155[[#Headers],[1]],tabela_registros[REGISTRO],DADOS!$N$4,tabela_registros[TIPO],DADOS!$P$3,tabela_registros[CATEGORIA],despesafixaconsolidadonov[[#This Row],[DESPESA FIXA]])</f>
        <v>0</v>
      </c>
      <c r="F48" s="91">
        <f>SUMIFS(tabela_registros[VALOR],tabela_registros[MÊS],$AE$1,tabela_registros[DIA],novtotal3059718395107119131143155[[#Headers],[2]],tabela_registros[REGISTRO],DADOS!$N$4,tabela_registros[TIPO],DADOS!$P$3,tabela_registros[CATEGORIA],despesafixaconsolidadonov[[#This Row],[DESPESA FIXA]])</f>
        <v>0</v>
      </c>
      <c r="G48" s="91">
        <f>SUMIFS(tabela_registros[VALOR],tabela_registros[MÊS],$AE$1,tabela_registros[DIA],novtotal3059718395107119131143155[[#Headers],[3]],tabela_registros[REGISTRO],DADOS!$N$4,tabela_registros[TIPO],DADOS!$P$3,tabela_registros[CATEGORIA],despesafixaconsolidadonov[[#This Row],[DESPESA FIXA]])</f>
        <v>0</v>
      </c>
      <c r="H48" s="91">
        <f>SUMIFS(tabela_registros[VALOR],tabela_registros[MÊS],$AE$1,tabela_registros[DIA],novtotal3059718395107119131143155[[#Headers],[4]],tabela_registros[REGISTRO],DADOS!$N$4,tabela_registros[TIPO],DADOS!$P$3,tabela_registros[CATEGORIA],despesafixaconsolidadonov[[#This Row],[DESPESA FIXA]])</f>
        <v>0</v>
      </c>
      <c r="I48" s="91">
        <f>SUMIFS(tabela_registros[VALOR],tabela_registros[MÊS],$AE$1,tabela_registros[DIA],novtotal3059718395107119131143155[[#Headers],[5]],tabela_registros[REGISTRO],DADOS!$N$4,tabela_registros[TIPO],DADOS!$P$3,tabela_registros[CATEGORIA],despesafixaconsolidadonov[[#This Row],[DESPESA FIXA]])</f>
        <v>0</v>
      </c>
      <c r="J48" s="91">
        <f>SUMIFS(tabela_registros[VALOR],tabela_registros[MÊS],$AE$1,tabela_registros[DIA],novtotal3059718395107119131143155[[#Headers],[6]],tabela_registros[REGISTRO],DADOS!$N$4,tabela_registros[TIPO],DADOS!$P$3,tabela_registros[CATEGORIA],despesafixaconsolidadonov[[#This Row],[DESPESA FIXA]])</f>
        <v>0</v>
      </c>
      <c r="K48" s="91">
        <f>SUMIFS(tabela_registros[VALOR],tabela_registros[MÊS],$AE$1,tabela_registros[DIA],novtotal3059718395107119131143155[[#Headers],[7]],tabela_registros[REGISTRO],DADOS!$N$4,tabela_registros[TIPO],DADOS!$P$3,tabela_registros[CATEGORIA],despesafixaconsolidadonov[[#This Row],[DESPESA FIXA]])</f>
        <v>0</v>
      </c>
      <c r="L48" s="91">
        <f>SUMIFS(tabela_registros[VALOR],tabela_registros[MÊS],$AE$1,tabela_registros[DIA],novtotal3059718395107119131143155[[#Headers],[8]],tabela_registros[REGISTRO],DADOS!$N$4,tabela_registros[TIPO],DADOS!$P$3,tabela_registros[CATEGORIA],despesafixaconsolidadonov[[#This Row],[DESPESA FIXA]])</f>
        <v>0</v>
      </c>
      <c r="M48" s="91">
        <f>SUMIFS(tabela_registros[VALOR],tabela_registros[MÊS],$AE$1,tabela_registros[DIA],novtotal3059718395107119131143155[[#Headers],[9]],tabela_registros[REGISTRO],DADOS!$N$4,tabela_registros[TIPO],DADOS!$P$3,tabela_registros[CATEGORIA],despesafixaconsolidadonov[[#This Row],[DESPESA FIXA]])</f>
        <v>0</v>
      </c>
      <c r="N48" s="91">
        <f>SUMIFS(tabela_registros[VALOR],tabela_registros[MÊS],$AE$1,tabela_registros[DIA],novtotal3059718395107119131143155[[#Headers],[10]],tabela_registros[REGISTRO],DADOS!$N$4,tabela_registros[TIPO],DADOS!$P$3,tabela_registros[CATEGORIA],despesafixaconsolidadonov[[#This Row],[DESPESA FIXA]])</f>
        <v>0</v>
      </c>
      <c r="O48" s="91">
        <f>SUMIFS(tabela_registros[VALOR],tabela_registros[MÊS],$AE$1,tabela_registros[DIA],novtotal3059718395107119131143155[[#Headers],[11]],tabela_registros[REGISTRO],DADOS!$N$4,tabela_registros[TIPO],DADOS!$P$3,tabela_registros[CATEGORIA],despesafixaconsolidadonov[[#This Row],[DESPESA FIXA]])</f>
        <v>0</v>
      </c>
      <c r="P48" s="91">
        <f>SUMIFS(tabela_registros[VALOR],tabela_registros[MÊS],$AE$1,tabela_registros[DIA],novtotal3059718395107119131143155[[#Headers],[12]],tabela_registros[REGISTRO],DADOS!$N$4,tabela_registros[TIPO],DADOS!$P$3,tabela_registros[CATEGORIA],despesafixaconsolidadonov[[#This Row],[DESPESA FIXA]])</f>
        <v>0</v>
      </c>
      <c r="Q48" s="91">
        <f>SUMIFS(tabela_registros[VALOR],tabela_registros[MÊS],$AE$1,tabela_registros[DIA],novtotal3059718395107119131143155[[#Headers],[13]],tabela_registros[REGISTRO],DADOS!$N$4,tabela_registros[TIPO],DADOS!$P$3,tabela_registros[CATEGORIA],despesafixaconsolidadonov[[#This Row],[DESPESA FIXA]])</f>
        <v>0</v>
      </c>
      <c r="R48" s="91">
        <f>SUMIFS(tabela_registros[VALOR],tabela_registros[MÊS],$AE$1,tabela_registros[DIA],novtotal3059718395107119131143155[[#Headers],[14]],tabela_registros[REGISTRO],DADOS!$N$4,tabela_registros[TIPO],DADOS!$P$3,tabela_registros[CATEGORIA],despesafixaconsolidadonov[[#This Row],[DESPESA FIXA]])</f>
        <v>0</v>
      </c>
      <c r="S48" s="91">
        <f>SUMIFS(tabela_registros[VALOR],tabela_registros[MÊS],$AE$1,tabela_registros[DIA],novtotal3059718395107119131143155[[#Headers],[15]],tabela_registros[REGISTRO],DADOS!$N$4,tabela_registros[TIPO],DADOS!$P$3,tabela_registros[CATEGORIA],despesafixaconsolidadonov[[#This Row],[DESPESA FIXA]])</f>
        <v>0</v>
      </c>
      <c r="T48" s="91">
        <f>SUMIFS(tabela_registros[VALOR],tabela_registros[MÊS],$AE$1,tabela_registros[DIA],novtotal3059718395107119131143155[[#Headers],[16]],tabela_registros[REGISTRO],DADOS!$N$4,tabela_registros[TIPO],DADOS!$P$3,tabela_registros[CATEGORIA],despesafixaconsolidadonov[[#This Row],[DESPESA FIXA]])</f>
        <v>0</v>
      </c>
      <c r="U48" s="91">
        <f>SUMIFS(tabela_registros[VALOR],tabela_registros[MÊS],$AE$1,tabela_registros[DIA],novtotal3059718395107119131143155[[#Headers],[17]],tabela_registros[REGISTRO],DADOS!$N$4,tabela_registros[TIPO],DADOS!$P$3,tabela_registros[CATEGORIA],despesafixaconsolidadonov[[#This Row],[DESPESA FIXA]])</f>
        <v>0</v>
      </c>
      <c r="V48" s="91">
        <f>SUMIFS(tabela_registros[VALOR],tabela_registros[MÊS],$AE$1,tabela_registros[DIA],novtotal3059718395107119131143155[[#Headers],[18]],tabela_registros[REGISTRO],DADOS!$N$4,tabela_registros[TIPO],DADOS!$P$3,tabela_registros[CATEGORIA],despesafixaconsolidadonov[[#This Row],[DESPESA FIXA]])</f>
        <v>0</v>
      </c>
      <c r="W48" s="91">
        <f>SUMIFS(tabela_registros[VALOR],tabela_registros[MÊS],$AE$1,tabela_registros[DIA],novtotal3059718395107119131143155[[#Headers],[19]],tabela_registros[REGISTRO],DADOS!$N$4,tabela_registros[TIPO],DADOS!$P$3,tabela_registros[CATEGORIA],despesafixaconsolidadonov[[#This Row],[DESPESA FIXA]])</f>
        <v>0</v>
      </c>
      <c r="X48" s="91">
        <f>SUMIFS(tabela_registros[VALOR],tabela_registros[MÊS],$AE$1,tabela_registros[DIA],novtotal3059718395107119131143155[[#Headers],[20]],tabela_registros[REGISTRO],DADOS!$N$4,tabela_registros[TIPO],DADOS!$P$3,tabela_registros[CATEGORIA],despesafixaconsolidadonov[[#This Row],[DESPESA FIXA]])</f>
        <v>0</v>
      </c>
      <c r="Y48" s="91">
        <f>SUMIFS(tabela_registros[VALOR],tabela_registros[MÊS],$AE$1,tabela_registros[DIA],novtotal3059718395107119131143155[[#Headers],[21]],tabela_registros[REGISTRO],DADOS!$N$4,tabela_registros[TIPO],DADOS!$P$3,tabela_registros[CATEGORIA],despesafixaconsolidadonov[[#This Row],[DESPESA FIXA]])</f>
        <v>0</v>
      </c>
      <c r="Z48" s="91">
        <f>SUMIFS(tabela_registros[VALOR],tabela_registros[MÊS],$AE$1,tabela_registros[DIA],novtotal3059718395107119131143155[[#Headers],[22]],tabela_registros[REGISTRO],DADOS!$N$4,tabela_registros[TIPO],DADOS!$P$3,tabela_registros[CATEGORIA],despesafixaconsolidadonov[[#This Row],[DESPESA FIXA]])</f>
        <v>0</v>
      </c>
      <c r="AA48" s="91">
        <f>SUMIFS(tabela_registros[VALOR],tabela_registros[MÊS],$AE$1,tabela_registros[DIA],novtotal3059718395107119131143155[[#Headers],[23]],tabela_registros[REGISTRO],DADOS!$N$4,tabela_registros[TIPO],DADOS!$P$3,tabela_registros[CATEGORIA],despesafixaconsolidadonov[[#This Row],[DESPESA FIXA]])</f>
        <v>0</v>
      </c>
      <c r="AB48" s="91">
        <f>SUMIFS(tabela_registros[VALOR],tabela_registros[MÊS],$AE$1,tabela_registros[DIA],novtotal3059718395107119131143155[[#Headers],[24]],tabela_registros[REGISTRO],DADOS!$N$4,tabela_registros[TIPO],DADOS!$P$3,tabela_registros[CATEGORIA],despesafixaconsolidadonov[[#This Row],[DESPESA FIXA]])</f>
        <v>0</v>
      </c>
      <c r="AC48" s="91">
        <f>SUMIFS(tabela_registros[VALOR],tabela_registros[MÊS],$AE$1,tabela_registros[DIA],novtotal3059718395107119131143155[[#Headers],[25]],tabela_registros[REGISTRO],DADOS!$N$4,tabela_registros[TIPO],DADOS!$P$3,tabela_registros[CATEGORIA],despesafixaconsolidadonov[[#This Row],[DESPESA FIXA]])</f>
        <v>0</v>
      </c>
      <c r="AD48" s="91">
        <f>SUMIFS(tabela_registros[VALOR],tabela_registros[MÊS],$AE$1,tabela_registros[DIA],novtotal3059718395107119131143155[[#Headers],[26]],tabela_registros[REGISTRO],DADOS!$N$4,tabela_registros[TIPO],DADOS!$P$3,tabela_registros[CATEGORIA],despesafixaconsolidadonov[[#This Row],[DESPESA FIXA]])</f>
        <v>0</v>
      </c>
      <c r="AE48" s="91">
        <f>SUMIFS(tabela_registros[VALOR],tabela_registros[MÊS],$AE$1,tabela_registros[DIA],novtotal3059718395107119131143155[[#Headers],[27]],tabela_registros[REGISTRO],DADOS!$N$4,tabela_registros[TIPO],DADOS!$P$3,tabela_registros[CATEGORIA],despesafixaconsolidadonov[[#This Row],[DESPESA FIXA]])</f>
        <v>0</v>
      </c>
      <c r="AF48" s="91">
        <f>SUMIFS(tabela_registros[VALOR],tabela_registros[MÊS],$AE$1,tabela_registros[DIA],novtotal3059718395107119131143155[[#Headers],[28]],tabela_registros[REGISTRO],DADOS!$N$4,tabela_registros[TIPO],DADOS!$P$3,tabela_registros[CATEGORIA],despesafixaconsolidadonov[[#This Row],[DESPESA FIXA]])</f>
        <v>0</v>
      </c>
      <c r="AG48" s="91">
        <f>SUMIFS(tabela_registros[VALOR],tabela_registros[MÊS],$AE$1,tabela_registros[DIA],novtotal3059718395107119131143155[[#Headers],[29]],tabela_registros[REGISTRO],DADOS!$N$4,tabela_registros[TIPO],DADOS!$P$3,tabela_registros[CATEGORIA],despesafixaconsolidadonov[[#This Row],[DESPESA FIXA]])</f>
        <v>0</v>
      </c>
      <c r="AH48" s="91">
        <f>SUMIFS(tabela_registros[VALOR],tabela_registros[MÊS],$AE$1,tabela_registros[DIA],novtotal3059718395107119131143155[[#Headers],[30]],tabela_registros[REGISTRO],DADOS!$N$4,tabela_registros[TIPO],DADOS!$P$3,tabela_registros[CATEGORIA],despesafixaconsolidadonov[[#This Row],[DESPESA FIXA]])</f>
        <v>0</v>
      </c>
      <c r="AI48" s="101">
        <f>SUMIFS(tabela_registros[VALOR],tabela_registros[MÊS],$AE$1,tabela_registros[DIA],novtotal3059718395107119131143155[[#Headers],[31]],tabela_registros[REGISTRO],DADOS!$N$4,tabela_registros[TIPO],DADOS!$P$3,tabela_registros[CATEGORIA],despesafixaconsolidadonov[[#This Row],[DESPESA FIXA]])</f>
        <v>0</v>
      </c>
      <c r="AJ48" s="97">
        <f>SUM(despesafixaconsolidadonov[[#This Row],[1]:[31]])</f>
        <v>0</v>
      </c>
      <c r="AK48" s="28"/>
    </row>
    <row r="49" spans="2:37" ht="18" customHeight="1" thickTop="1" thickBot="1" x14ac:dyDescent="0.3">
      <c r="B49" s="28"/>
      <c r="C49" s="27" t="str">
        <f>DADOS!$R$15</f>
        <v>📞 TELEFONE</v>
      </c>
      <c r="D49" s="26" t="str">
        <f>IF(despesafixaconsolidadonov[[#This Row],[TOTAL]]=0,"",IF(OR(despesafixaconsolidadonov[[#This Row],[TOTAL]]=LARGE($AJ$37:$AJ$50,1),despesafixaconsolidadonov[[#This Row],[TOTAL]]=LARGE($AJ$37:$AJ$50,2),despesafixaconsolidadonov[[#This Row],[TOTAL]]=LARGE($AJ$37:$AJ$50,3),despesafixaconsolidadonov[[#This Row],[TOTAL]]=LARGE($AJ$37:$AJ$50,4),despesafixaconsolidadonov[[#This Row],[TOTAL]]=LARGE($AJ$37:$AJ$50,5)),DADOS!$I$8,""))</f>
        <v/>
      </c>
      <c r="E49" s="96">
        <f>SUMIFS(tabela_registros[VALOR],tabela_registros[MÊS],$AE$1,tabela_registros[DIA],novtotal3059718395107119131143155[[#Headers],[1]],tabela_registros[REGISTRO],DADOS!$N$4,tabela_registros[TIPO],DADOS!$P$3,tabela_registros[CATEGORIA],despesafixaconsolidadonov[[#This Row],[DESPESA FIXA]])</f>
        <v>0</v>
      </c>
      <c r="F49" s="91">
        <f>SUMIFS(tabela_registros[VALOR],tabela_registros[MÊS],$AE$1,tabela_registros[DIA],novtotal3059718395107119131143155[[#Headers],[2]],tabela_registros[REGISTRO],DADOS!$N$4,tabela_registros[TIPO],DADOS!$P$3,tabela_registros[CATEGORIA],despesafixaconsolidadonov[[#This Row],[DESPESA FIXA]])</f>
        <v>0</v>
      </c>
      <c r="G49" s="91">
        <f>SUMIFS(tabela_registros[VALOR],tabela_registros[MÊS],$AE$1,tabela_registros[DIA],novtotal3059718395107119131143155[[#Headers],[3]],tabela_registros[REGISTRO],DADOS!$N$4,tabela_registros[TIPO],DADOS!$P$3,tabela_registros[CATEGORIA],despesafixaconsolidadonov[[#This Row],[DESPESA FIXA]])</f>
        <v>0</v>
      </c>
      <c r="H49" s="91">
        <f>SUMIFS(tabela_registros[VALOR],tabela_registros[MÊS],$AE$1,tabela_registros[DIA],novtotal3059718395107119131143155[[#Headers],[4]],tabela_registros[REGISTRO],DADOS!$N$4,tabela_registros[TIPO],DADOS!$P$3,tabela_registros[CATEGORIA],despesafixaconsolidadonov[[#This Row],[DESPESA FIXA]])</f>
        <v>0</v>
      </c>
      <c r="I49" s="91">
        <f>SUMIFS(tabela_registros[VALOR],tabela_registros[MÊS],$AE$1,tabela_registros[DIA],novtotal3059718395107119131143155[[#Headers],[5]],tabela_registros[REGISTRO],DADOS!$N$4,tabela_registros[TIPO],DADOS!$P$3,tabela_registros[CATEGORIA],despesafixaconsolidadonov[[#This Row],[DESPESA FIXA]])</f>
        <v>0</v>
      </c>
      <c r="J49" s="91">
        <f>SUMIFS(tabela_registros[VALOR],tabela_registros[MÊS],$AE$1,tabela_registros[DIA],novtotal3059718395107119131143155[[#Headers],[6]],tabela_registros[REGISTRO],DADOS!$N$4,tabela_registros[TIPO],DADOS!$P$3,tabela_registros[CATEGORIA],despesafixaconsolidadonov[[#This Row],[DESPESA FIXA]])</f>
        <v>0</v>
      </c>
      <c r="K49" s="91">
        <f>SUMIFS(tabela_registros[VALOR],tabela_registros[MÊS],$AE$1,tabela_registros[DIA],novtotal3059718395107119131143155[[#Headers],[7]],tabela_registros[REGISTRO],DADOS!$N$4,tabela_registros[TIPO],DADOS!$P$3,tabela_registros[CATEGORIA],despesafixaconsolidadonov[[#This Row],[DESPESA FIXA]])</f>
        <v>0</v>
      </c>
      <c r="L49" s="91">
        <f>SUMIFS(tabela_registros[VALOR],tabela_registros[MÊS],$AE$1,tabela_registros[DIA],novtotal3059718395107119131143155[[#Headers],[8]],tabela_registros[REGISTRO],DADOS!$N$4,tabela_registros[TIPO],DADOS!$P$3,tabela_registros[CATEGORIA],despesafixaconsolidadonov[[#This Row],[DESPESA FIXA]])</f>
        <v>0</v>
      </c>
      <c r="M49" s="91">
        <f>SUMIFS(tabela_registros[VALOR],tabela_registros[MÊS],$AE$1,tabela_registros[DIA],novtotal3059718395107119131143155[[#Headers],[9]],tabela_registros[REGISTRO],DADOS!$N$4,tabela_registros[TIPO],DADOS!$P$3,tabela_registros[CATEGORIA],despesafixaconsolidadonov[[#This Row],[DESPESA FIXA]])</f>
        <v>0</v>
      </c>
      <c r="N49" s="91">
        <f>SUMIFS(tabela_registros[VALOR],tabela_registros[MÊS],$AE$1,tabela_registros[DIA],novtotal3059718395107119131143155[[#Headers],[10]],tabela_registros[REGISTRO],DADOS!$N$4,tabela_registros[TIPO],DADOS!$P$3,tabela_registros[CATEGORIA],despesafixaconsolidadonov[[#This Row],[DESPESA FIXA]])</f>
        <v>0</v>
      </c>
      <c r="O49" s="91">
        <f>SUMIFS(tabela_registros[VALOR],tabela_registros[MÊS],$AE$1,tabela_registros[DIA],novtotal3059718395107119131143155[[#Headers],[11]],tabela_registros[REGISTRO],DADOS!$N$4,tabela_registros[TIPO],DADOS!$P$3,tabela_registros[CATEGORIA],despesafixaconsolidadonov[[#This Row],[DESPESA FIXA]])</f>
        <v>0</v>
      </c>
      <c r="P49" s="91">
        <f>SUMIFS(tabela_registros[VALOR],tabela_registros[MÊS],$AE$1,tabela_registros[DIA],novtotal3059718395107119131143155[[#Headers],[12]],tabela_registros[REGISTRO],DADOS!$N$4,tabela_registros[TIPO],DADOS!$P$3,tabela_registros[CATEGORIA],despesafixaconsolidadonov[[#This Row],[DESPESA FIXA]])</f>
        <v>0</v>
      </c>
      <c r="Q49" s="91">
        <f>SUMIFS(tabela_registros[VALOR],tabela_registros[MÊS],$AE$1,tabela_registros[DIA],novtotal3059718395107119131143155[[#Headers],[13]],tabela_registros[REGISTRO],DADOS!$N$4,tabela_registros[TIPO],DADOS!$P$3,tabela_registros[CATEGORIA],despesafixaconsolidadonov[[#This Row],[DESPESA FIXA]])</f>
        <v>0</v>
      </c>
      <c r="R49" s="91">
        <f>SUMIFS(tabela_registros[VALOR],tabela_registros[MÊS],$AE$1,tabela_registros[DIA],novtotal3059718395107119131143155[[#Headers],[14]],tabela_registros[REGISTRO],DADOS!$N$4,tabela_registros[TIPO],DADOS!$P$3,tabela_registros[CATEGORIA],despesafixaconsolidadonov[[#This Row],[DESPESA FIXA]])</f>
        <v>0</v>
      </c>
      <c r="S49" s="91">
        <f>SUMIFS(tabela_registros[VALOR],tabela_registros[MÊS],$AE$1,tabela_registros[DIA],novtotal3059718395107119131143155[[#Headers],[15]],tabela_registros[REGISTRO],DADOS!$N$4,tabela_registros[TIPO],DADOS!$P$3,tabela_registros[CATEGORIA],despesafixaconsolidadonov[[#This Row],[DESPESA FIXA]])</f>
        <v>0</v>
      </c>
      <c r="T49" s="91">
        <f>SUMIFS(tabela_registros[VALOR],tabela_registros[MÊS],$AE$1,tabela_registros[DIA],novtotal3059718395107119131143155[[#Headers],[16]],tabela_registros[REGISTRO],DADOS!$N$4,tabela_registros[TIPO],DADOS!$P$3,tabela_registros[CATEGORIA],despesafixaconsolidadonov[[#This Row],[DESPESA FIXA]])</f>
        <v>0</v>
      </c>
      <c r="U49" s="91">
        <f>SUMIFS(tabela_registros[VALOR],tabela_registros[MÊS],$AE$1,tabela_registros[DIA],novtotal3059718395107119131143155[[#Headers],[17]],tabela_registros[REGISTRO],DADOS!$N$4,tabela_registros[TIPO],DADOS!$P$3,tabela_registros[CATEGORIA],despesafixaconsolidadonov[[#This Row],[DESPESA FIXA]])</f>
        <v>0</v>
      </c>
      <c r="V49" s="91">
        <f>SUMIFS(tabela_registros[VALOR],tabela_registros[MÊS],$AE$1,tabela_registros[DIA],novtotal3059718395107119131143155[[#Headers],[18]],tabela_registros[REGISTRO],DADOS!$N$4,tabela_registros[TIPO],DADOS!$P$3,tabela_registros[CATEGORIA],despesafixaconsolidadonov[[#This Row],[DESPESA FIXA]])</f>
        <v>0</v>
      </c>
      <c r="W49" s="91">
        <f>SUMIFS(tabela_registros[VALOR],tabela_registros[MÊS],$AE$1,tabela_registros[DIA],novtotal3059718395107119131143155[[#Headers],[19]],tabela_registros[REGISTRO],DADOS!$N$4,tabela_registros[TIPO],DADOS!$P$3,tabela_registros[CATEGORIA],despesafixaconsolidadonov[[#This Row],[DESPESA FIXA]])</f>
        <v>0</v>
      </c>
      <c r="X49" s="91">
        <f>SUMIFS(tabela_registros[VALOR],tabela_registros[MÊS],$AE$1,tabela_registros[DIA],novtotal3059718395107119131143155[[#Headers],[20]],tabela_registros[REGISTRO],DADOS!$N$4,tabela_registros[TIPO],DADOS!$P$3,tabela_registros[CATEGORIA],despesafixaconsolidadonov[[#This Row],[DESPESA FIXA]])</f>
        <v>0</v>
      </c>
      <c r="Y49" s="91">
        <f>SUMIFS(tabela_registros[VALOR],tabela_registros[MÊS],$AE$1,tabela_registros[DIA],novtotal3059718395107119131143155[[#Headers],[21]],tabela_registros[REGISTRO],DADOS!$N$4,tabela_registros[TIPO],DADOS!$P$3,tabela_registros[CATEGORIA],despesafixaconsolidadonov[[#This Row],[DESPESA FIXA]])</f>
        <v>0</v>
      </c>
      <c r="Z49" s="91">
        <f>SUMIFS(tabela_registros[VALOR],tabela_registros[MÊS],$AE$1,tabela_registros[DIA],novtotal3059718395107119131143155[[#Headers],[22]],tabela_registros[REGISTRO],DADOS!$N$4,tabela_registros[TIPO],DADOS!$P$3,tabela_registros[CATEGORIA],despesafixaconsolidadonov[[#This Row],[DESPESA FIXA]])</f>
        <v>0</v>
      </c>
      <c r="AA49" s="91">
        <f>SUMIFS(tabela_registros[VALOR],tabela_registros[MÊS],$AE$1,tabela_registros[DIA],novtotal3059718395107119131143155[[#Headers],[23]],tabela_registros[REGISTRO],DADOS!$N$4,tabela_registros[TIPO],DADOS!$P$3,tabela_registros[CATEGORIA],despesafixaconsolidadonov[[#This Row],[DESPESA FIXA]])</f>
        <v>0</v>
      </c>
      <c r="AB49" s="91">
        <f>SUMIFS(tabela_registros[VALOR],tabela_registros[MÊS],$AE$1,tabela_registros[DIA],novtotal3059718395107119131143155[[#Headers],[24]],tabela_registros[REGISTRO],DADOS!$N$4,tabela_registros[TIPO],DADOS!$P$3,tabela_registros[CATEGORIA],despesafixaconsolidadonov[[#This Row],[DESPESA FIXA]])</f>
        <v>0</v>
      </c>
      <c r="AC49" s="91">
        <f>SUMIFS(tabela_registros[VALOR],tabela_registros[MÊS],$AE$1,tabela_registros[DIA],novtotal3059718395107119131143155[[#Headers],[25]],tabela_registros[REGISTRO],DADOS!$N$4,tabela_registros[TIPO],DADOS!$P$3,tabela_registros[CATEGORIA],despesafixaconsolidadonov[[#This Row],[DESPESA FIXA]])</f>
        <v>0</v>
      </c>
      <c r="AD49" s="91">
        <f>SUMIFS(tabela_registros[VALOR],tabela_registros[MÊS],$AE$1,tabela_registros[DIA],novtotal3059718395107119131143155[[#Headers],[26]],tabela_registros[REGISTRO],DADOS!$N$4,tabela_registros[TIPO],DADOS!$P$3,tabela_registros[CATEGORIA],despesafixaconsolidadonov[[#This Row],[DESPESA FIXA]])</f>
        <v>0</v>
      </c>
      <c r="AE49" s="91">
        <f>SUMIFS(tabela_registros[VALOR],tabela_registros[MÊS],$AE$1,tabela_registros[DIA],novtotal3059718395107119131143155[[#Headers],[27]],tabela_registros[REGISTRO],DADOS!$N$4,tabela_registros[TIPO],DADOS!$P$3,tabela_registros[CATEGORIA],despesafixaconsolidadonov[[#This Row],[DESPESA FIXA]])</f>
        <v>0</v>
      </c>
      <c r="AF49" s="91">
        <f>SUMIFS(tabela_registros[VALOR],tabela_registros[MÊS],$AE$1,tabela_registros[DIA],novtotal3059718395107119131143155[[#Headers],[28]],tabela_registros[REGISTRO],DADOS!$N$4,tabela_registros[TIPO],DADOS!$P$3,tabela_registros[CATEGORIA],despesafixaconsolidadonov[[#This Row],[DESPESA FIXA]])</f>
        <v>0</v>
      </c>
      <c r="AG49" s="91">
        <f>SUMIFS(tabela_registros[VALOR],tabela_registros[MÊS],$AE$1,tabela_registros[DIA],novtotal3059718395107119131143155[[#Headers],[29]],tabela_registros[REGISTRO],DADOS!$N$4,tabela_registros[TIPO],DADOS!$P$3,tabela_registros[CATEGORIA],despesafixaconsolidadonov[[#This Row],[DESPESA FIXA]])</f>
        <v>0</v>
      </c>
      <c r="AH49" s="91">
        <f>SUMIFS(tabela_registros[VALOR],tabela_registros[MÊS],$AE$1,tabela_registros[DIA],novtotal3059718395107119131143155[[#Headers],[30]],tabela_registros[REGISTRO],DADOS!$N$4,tabela_registros[TIPO],DADOS!$P$3,tabela_registros[CATEGORIA],despesafixaconsolidadonov[[#This Row],[DESPESA FIXA]])</f>
        <v>0</v>
      </c>
      <c r="AI49" s="101">
        <f>SUMIFS(tabela_registros[VALOR],tabela_registros[MÊS],$AE$1,tabela_registros[DIA],novtotal3059718395107119131143155[[#Headers],[31]],tabela_registros[REGISTRO],DADOS!$N$4,tabela_registros[TIPO],DADOS!$P$3,tabela_registros[CATEGORIA],despesafixaconsolidadonov[[#This Row],[DESPESA FIXA]])</f>
        <v>0</v>
      </c>
      <c r="AJ49" s="97">
        <f>SUM(despesafixaconsolidadonov[[#This Row],[1]:[31]])</f>
        <v>0</v>
      </c>
      <c r="AK49" s="28"/>
    </row>
    <row r="50" spans="2:37" ht="18" customHeight="1" thickTop="1" thickBot="1" x14ac:dyDescent="0.3">
      <c r="B50" s="28"/>
      <c r="C50" s="27" t="str">
        <f>DADOS!$R$16</f>
        <v>📎 OUTROS</v>
      </c>
      <c r="D50" s="26" t="str">
        <f>IF(despesafixaconsolidadonov[[#This Row],[TOTAL]]=0,"",IF(OR(despesafixaconsolidadonov[[#This Row],[TOTAL]]=LARGE($AJ$37:$AJ$50,1),despesafixaconsolidadonov[[#This Row],[TOTAL]]=LARGE($AJ$37:$AJ$50,2),despesafixaconsolidadonov[[#This Row],[TOTAL]]=LARGE($AJ$37:$AJ$50,3),despesafixaconsolidadonov[[#This Row],[TOTAL]]=LARGE($AJ$37:$AJ$50,4),despesafixaconsolidadonov[[#This Row],[TOTAL]]=LARGE($AJ$37:$AJ$50,5)),DADOS!$I$8,""))</f>
        <v/>
      </c>
      <c r="E50" s="98">
        <f>SUMIFS(tabela_registros[VALOR],tabela_registros[MÊS],$AE$1,tabela_registros[DIA],novtotal3059718395107119131143155[[#Headers],[1]],tabela_registros[REGISTRO],DADOS!$N$4,tabela_registros[TIPO],DADOS!$P$3,tabela_registros[CATEGORIA],despesafixaconsolidadonov[[#This Row],[DESPESA FIXA]])</f>
        <v>0</v>
      </c>
      <c r="F50" s="99">
        <f>SUMIFS(tabela_registros[VALOR],tabela_registros[MÊS],$AE$1,tabela_registros[DIA],novtotal3059718395107119131143155[[#Headers],[2]],tabela_registros[REGISTRO],DADOS!$N$4,tabela_registros[TIPO],DADOS!$P$3,tabela_registros[CATEGORIA],despesafixaconsolidadonov[[#This Row],[DESPESA FIXA]])</f>
        <v>0</v>
      </c>
      <c r="G50" s="99">
        <f>SUMIFS(tabela_registros[VALOR],tabela_registros[MÊS],$AE$1,tabela_registros[DIA],novtotal3059718395107119131143155[[#Headers],[3]],tabela_registros[REGISTRO],DADOS!$N$4,tabela_registros[TIPO],DADOS!$P$3,tabela_registros[CATEGORIA],despesafixaconsolidadonov[[#This Row],[DESPESA FIXA]])</f>
        <v>0</v>
      </c>
      <c r="H50" s="99">
        <f>SUMIFS(tabela_registros[VALOR],tabela_registros[MÊS],$AE$1,tabela_registros[DIA],novtotal3059718395107119131143155[[#Headers],[4]],tabela_registros[REGISTRO],DADOS!$N$4,tabela_registros[TIPO],DADOS!$P$3,tabela_registros[CATEGORIA],despesafixaconsolidadonov[[#This Row],[DESPESA FIXA]])</f>
        <v>0</v>
      </c>
      <c r="I50" s="99">
        <f>SUMIFS(tabela_registros[VALOR],tabela_registros[MÊS],$AE$1,tabela_registros[DIA],novtotal3059718395107119131143155[[#Headers],[5]],tabela_registros[REGISTRO],DADOS!$N$4,tabela_registros[TIPO],DADOS!$P$3,tabela_registros[CATEGORIA],despesafixaconsolidadonov[[#This Row],[DESPESA FIXA]])</f>
        <v>0</v>
      </c>
      <c r="J50" s="99">
        <f>SUMIFS(tabela_registros[VALOR],tabela_registros[MÊS],$AE$1,tabela_registros[DIA],novtotal3059718395107119131143155[[#Headers],[6]],tabela_registros[REGISTRO],DADOS!$N$4,tabela_registros[TIPO],DADOS!$P$3,tabela_registros[CATEGORIA],despesafixaconsolidadonov[[#This Row],[DESPESA FIXA]])</f>
        <v>0</v>
      </c>
      <c r="K50" s="99">
        <f>SUMIFS(tabela_registros[VALOR],tabela_registros[MÊS],$AE$1,tabela_registros[DIA],novtotal3059718395107119131143155[[#Headers],[7]],tabela_registros[REGISTRO],DADOS!$N$4,tabela_registros[TIPO],DADOS!$P$3,tabela_registros[CATEGORIA],despesafixaconsolidadonov[[#This Row],[DESPESA FIXA]])</f>
        <v>0</v>
      </c>
      <c r="L50" s="99">
        <f>SUMIFS(tabela_registros[VALOR],tabela_registros[MÊS],$AE$1,tabela_registros[DIA],novtotal3059718395107119131143155[[#Headers],[8]],tabela_registros[REGISTRO],DADOS!$N$4,tabela_registros[TIPO],DADOS!$P$3,tabela_registros[CATEGORIA],despesafixaconsolidadonov[[#This Row],[DESPESA FIXA]])</f>
        <v>0</v>
      </c>
      <c r="M50" s="99">
        <f>SUMIFS(tabela_registros[VALOR],tabela_registros[MÊS],$AE$1,tabela_registros[DIA],novtotal3059718395107119131143155[[#Headers],[9]],tabela_registros[REGISTRO],DADOS!$N$4,tabela_registros[TIPO],DADOS!$P$3,tabela_registros[CATEGORIA],despesafixaconsolidadonov[[#This Row],[DESPESA FIXA]])</f>
        <v>0</v>
      </c>
      <c r="N50" s="99">
        <f>SUMIFS(tabela_registros[VALOR],tabela_registros[MÊS],$AE$1,tabela_registros[DIA],novtotal3059718395107119131143155[[#Headers],[10]],tabela_registros[REGISTRO],DADOS!$N$4,tabela_registros[TIPO],DADOS!$P$3,tabela_registros[CATEGORIA],despesafixaconsolidadonov[[#This Row],[DESPESA FIXA]])</f>
        <v>0</v>
      </c>
      <c r="O50" s="99">
        <f>SUMIFS(tabela_registros[VALOR],tabela_registros[MÊS],$AE$1,tabela_registros[DIA],novtotal3059718395107119131143155[[#Headers],[11]],tabela_registros[REGISTRO],DADOS!$N$4,tabela_registros[TIPO],DADOS!$P$3,tabela_registros[CATEGORIA],despesafixaconsolidadonov[[#This Row],[DESPESA FIXA]])</f>
        <v>0</v>
      </c>
      <c r="P50" s="99">
        <f>SUMIFS(tabela_registros[VALOR],tabela_registros[MÊS],$AE$1,tabela_registros[DIA],novtotal3059718395107119131143155[[#Headers],[12]],tabela_registros[REGISTRO],DADOS!$N$4,tabela_registros[TIPO],DADOS!$P$3,tabela_registros[CATEGORIA],despesafixaconsolidadonov[[#This Row],[DESPESA FIXA]])</f>
        <v>0</v>
      </c>
      <c r="Q50" s="99">
        <f>SUMIFS(tabela_registros[VALOR],tabela_registros[MÊS],$AE$1,tabela_registros[DIA],novtotal3059718395107119131143155[[#Headers],[13]],tabela_registros[REGISTRO],DADOS!$N$4,tabela_registros[TIPO],DADOS!$P$3,tabela_registros[CATEGORIA],despesafixaconsolidadonov[[#This Row],[DESPESA FIXA]])</f>
        <v>0</v>
      </c>
      <c r="R50" s="99">
        <f>SUMIFS(tabela_registros[VALOR],tabela_registros[MÊS],$AE$1,tabela_registros[DIA],novtotal3059718395107119131143155[[#Headers],[14]],tabela_registros[REGISTRO],DADOS!$N$4,tabela_registros[TIPO],DADOS!$P$3,tabela_registros[CATEGORIA],despesafixaconsolidadonov[[#This Row],[DESPESA FIXA]])</f>
        <v>0</v>
      </c>
      <c r="S50" s="99">
        <f>SUMIFS(tabela_registros[VALOR],tabela_registros[MÊS],$AE$1,tabela_registros[DIA],novtotal3059718395107119131143155[[#Headers],[15]],tabela_registros[REGISTRO],DADOS!$N$4,tabela_registros[TIPO],DADOS!$P$3,tabela_registros[CATEGORIA],despesafixaconsolidadonov[[#This Row],[DESPESA FIXA]])</f>
        <v>0</v>
      </c>
      <c r="T50" s="99">
        <f>SUMIFS(tabela_registros[VALOR],tabela_registros[MÊS],$AE$1,tabela_registros[DIA],novtotal3059718395107119131143155[[#Headers],[16]],tabela_registros[REGISTRO],DADOS!$N$4,tabela_registros[TIPO],DADOS!$P$3,tabela_registros[CATEGORIA],despesafixaconsolidadonov[[#This Row],[DESPESA FIXA]])</f>
        <v>0</v>
      </c>
      <c r="U50" s="99">
        <f>SUMIFS(tabela_registros[VALOR],tabela_registros[MÊS],$AE$1,tabela_registros[DIA],novtotal3059718395107119131143155[[#Headers],[17]],tabela_registros[REGISTRO],DADOS!$N$4,tabela_registros[TIPO],DADOS!$P$3,tabela_registros[CATEGORIA],despesafixaconsolidadonov[[#This Row],[DESPESA FIXA]])</f>
        <v>0</v>
      </c>
      <c r="V50" s="99">
        <f>SUMIFS(tabela_registros[VALOR],tabela_registros[MÊS],$AE$1,tabela_registros[DIA],novtotal3059718395107119131143155[[#Headers],[18]],tabela_registros[REGISTRO],DADOS!$N$4,tabela_registros[TIPO],DADOS!$P$3,tabela_registros[CATEGORIA],despesafixaconsolidadonov[[#This Row],[DESPESA FIXA]])</f>
        <v>0</v>
      </c>
      <c r="W50" s="99">
        <f>SUMIFS(tabela_registros[VALOR],tabela_registros[MÊS],$AE$1,tabela_registros[DIA],novtotal3059718395107119131143155[[#Headers],[19]],tabela_registros[REGISTRO],DADOS!$N$4,tabela_registros[TIPO],DADOS!$P$3,tabela_registros[CATEGORIA],despesafixaconsolidadonov[[#This Row],[DESPESA FIXA]])</f>
        <v>0</v>
      </c>
      <c r="X50" s="99">
        <f>SUMIFS(tabela_registros[VALOR],tabela_registros[MÊS],$AE$1,tabela_registros[DIA],novtotal3059718395107119131143155[[#Headers],[20]],tabela_registros[REGISTRO],DADOS!$N$4,tabela_registros[TIPO],DADOS!$P$3,tabela_registros[CATEGORIA],despesafixaconsolidadonov[[#This Row],[DESPESA FIXA]])</f>
        <v>0</v>
      </c>
      <c r="Y50" s="99">
        <f>SUMIFS(tabela_registros[VALOR],tabela_registros[MÊS],$AE$1,tabela_registros[DIA],novtotal3059718395107119131143155[[#Headers],[21]],tabela_registros[REGISTRO],DADOS!$N$4,tabela_registros[TIPO],DADOS!$P$3,tabela_registros[CATEGORIA],despesafixaconsolidadonov[[#This Row],[DESPESA FIXA]])</f>
        <v>0</v>
      </c>
      <c r="Z50" s="99">
        <f>SUMIFS(tabela_registros[VALOR],tabela_registros[MÊS],$AE$1,tabela_registros[DIA],novtotal3059718395107119131143155[[#Headers],[22]],tabela_registros[REGISTRO],DADOS!$N$4,tabela_registros[TIPO],DADOS!$P$3,tabela_registros[CATEGORIA],despesafixaconsolidadonov[[#This Row],[DESPESA FIXA]])</f>
        <v>0</v>
      </c>
      <c r="AA50" s="99">
        <f>SUMIFS(tabela_registros[VALOR],tabela_registros[MÊS],$AE$1,tabela_registros[DIA],novtotal3059718395107119131143155[[#Headers],[23]],tabela_registros[REGISTRO],DADOS!$N$4,tabela_registros[TIPO],DADOS!$P$3,tabela_registros[CATEGORIA],despesafixaconsolidadonov[[#This Row],[DESPESA FIXA]])</f>
        <v>0</v>
      </c>
      <c r="AB50" s="99">
        <f>SUMIFS(tabela_registros[VALOR],tabela_registros[MÊS],$AE$1,tabela_registros[DIA],novtotal3059718395107119131143155[[#Headers],[24]],tabela_registros[REGISTRO],DADOS!$N$4,tabela_registros[TIPO],DADOS!$P$3,tabela_registros[CATEGORIA],despesafixaconsolidadonov[[#This Row],[DESPESA FIXA]])</f>
        <v>0</v>
      </c>
      <c r="AC50" s="99">
        <f>SUMIFS(tabela_registros[VALOR],tabela_registros[MÊS],$AE$1,tabela_registros[DIA],novtotal3059718395107119131143155[[#Headers],[25]],tabela_registros[REGISTRO],DADOS!$N$4,tabela_registros[TIPO],DADOS!$P$3,tabela_registros[CATEGORIA],despesafixaconsolidadonov[[#This Row],[DESPESA FIXA]])</f>
        <v>0</v>
      </c>
      <c r="AD50" s="99">
        <f>SUMIFS(tabela_registros[VALOR],tabela_registros[MÊS],$AE$1,tabela_registros[DIA],novtotal3059718395107119131143155[[#Headers],[26]],tabela_registros[REGISTRO],DADOS!$N$4,tabela_registros[TIPO],DADOS!$P$3,tabela_registros[CATEGORIA],despesafixaconsolidadonov[[#This Row],[DESPESA FIXA]])</f>
        <v>0</v>
      </c>
      <c r="AE50" s="99">
        <f>SUMIFS(tabela_registros[VALOR],tabela_registros[MÊS],$AE$1,tabela_registros[DIA],novtotal3059718395107119131143155[[#Headers],[27]],tabela_registros[REGISTRO],DADOS!$N$4,tabela_registros[TIPO],DADOS!$P$3,tabela_registros[CATEGORIA],despesafixaconsolidadonov[[#This Row],[DESPESA FIXA]])</f>
        <v>0</v>
      </c>
      <c r="AF50" s="99">
        <f>SUMIFS(tabela_registros[VALOR],tabela_registros[MÊS],$AE$1,tabela_registros[DIA],novtotal3059718395107119131143155[[#Headers],[28]],tabela_registros[REGISTRO],DADOS!$N$4,tabela_registros[TIPO],DADOS!$P$3,tabela_registros[CATEGORIA],despesafixaconsolidadonov[[#This Row],[DESPESA FIXA]])</f>
        <v>0</v>
      </c>
      <c r="AG50" s="99">
        <f>SUMIFS(tabela_registros[VALOR],tabela_registros[MÊS],$AE$1,tabela_registros[DIA],novtotal3059718395107119131143155[[#Headers],[29]],tabela_registros[REGISTRO],DADOS!$N$4,tabela_registros[TIPO],DADOS!$P$3,tabela_registros[CATEGORIA],despesafixaconsolidadonov[[#This Row],[DESPESA FIXA]])</f>
        <v>0</v>
      </c>
      <c r="AH50" s="99">
        <f>SUMIFS(tabela_registros[VALOR],tabela_registros[MÊS],$AE$1,tabela_registros[DIA],novtotal3059718395107119131143155[[#Headers],[30]],tabela_registros[REGISTRO],DADOS!$N$4,tabela_registros[TIPO],DADOS!$P$3,tabela_registros[CATEGORIA],despesafixaconsolidadonov[[#This Row],[DESPESA FIXA]])</f>
        <v>0</v>
      </c>
      <c r="AI50" s="102">
        <f>SUMIFS(tabela_registros[VALOR],tabela_registros[MÊS],$AE$1,tabela_registros[DIA],novtotal3059718395107119131143155[[#Headers],[31]],tabela_registros[REGISTRO],DADOS!$N$4,tabela_registros[TIPO],DADOS!$P$3,tabela_registros[CATEGORIA],despesafixaconsolidadonov[[#This Row],[DESPESA FIXA]])</f>
        <v>0</v>
      </c>
      <c r="AJ50" s="103">
        <f>SUM(despesafixaconsolidadonov[[#This Row],[1]:[31]])</f>
        <v>0</v>
      </c>
      <c r="AK50" s="28"/>
    </row>
    <row r="51" spans="2:37" s="16" customFormat="1" ht="21" customHeight="1" thickTop="1" thickBot="1" x14ac:dyDescent="0.35">
      <c r="B51" s="24"/>
      <c r="C51" s="23" t="s">
        <v>19</v>
      </c>
      <c r="D51" s="41" t="str">
        <f>IF(despesafixaconsolidadonov[[#This Row],[TOTAL]]=0,"",IF(OR(despesafixaconsolidadonov[[#This Row],[TOTAL]]=SMALL($AJ$37:$AJ$50,1),despesafixaconsolidadonov[[#This Row],[TOTAL]]=SMALL($AJ$37:$AJ$50,2),despesafixaconsolidadonov[[#This Row],[TOTAL]]=SMALL($AJ$37:$AJ$50,3),despesafixaconsolidadonov[[#This Row],[TOTAL]]=SMALL($AJ$37:$AJ$50,4),despesafixaconsolidadonov[[#This Row],[TOTAL]]=SMALL($AJ$37:$AJ$50,5)),DADOS!$I$8,""))</f>
        <v/>
      </c>
      <c r="E51" s="21">
        <f>SUM(E37:E50)</f>
        <v>0</v>
      </c>
      <c r="F51" s="20">
        <f>SUM(F37:F50)+despesafixaconsolidadonov[[#This Row],[1]]</f>
        <v>0</v>
      </c>
      <c r="G51" s="20">
        <f>SUM(G37:G50)+despesafixaconsolidadonov[[#This Row],[2]]</f>
        <v>0</v>
      </c>
      <c r="H51" s="20">
        <f>SUM(H37:H50)+despesafixaconsolidadonov[[#This Row],[3]]</f>
        <v>0</v>
      </c>
      <c r="I51" s="20">
        <f>SUM(I37:I50)+despesafixaconsolidadonov[[#This Row],[4]]</f>
        <v>0</v>
      </c>
      <c r="J51" s="20">
        <f>SUM(J37:J50)+despesafixaconsolidadonov[[#This Row],[5]]</f>
        <v>0</v>
      </c>
      <c r="K51" s="20">
        <f>SUM(K37:K50)+despesafixaconsolidadonov[[#This Row],[6]]</f>
        <v>0</v>
      </c>
      <c r="L51" s="20">
        <f>SUM(L37:L50)+despesafixaconsolidadonov[[#This Row],[7]]</f>
        <v>0</v>
      </c>
      <c r="M51" s="20">
        <f>SUM(M37:M50)+despesafixaconsolidadonov[[#This Row],[8]]</f>
        <v>0</v>
      </c>
      <c r="N51" s="20">
        <f>SUM(N37:N50)+despesafixaconsolidadonov[[#This Row],[9]]</f>
        <v>0</v>
      </c>
      <c r="O51" s="20">
        <f>SUM(O37:O50)+despesafixaconsolidadonov[[#This Row],[10]]</f>
        <v>0</v>
      </c>
      <c r="P51" s="20">
        <f>SUM(P37:P50)+despesafixaconsolidadonov[[#This Row],[11]]</f>
        <v>0</v>
      </c>
      <c r="Q51" s="20">
        <f>SUM(Q37:Q50)+despesafixaconsolidadonov[[#This Row],[12]]</f>
        <v>0</v>
      </c>
      <c r="R51" s="20">
        <f>SUM(R37:R50)+despesafixaconsolidadonov[[#This Row],[13]]</f>
        <v>0</v>
      </c>
      <c r="S51" s="20">
        <f>SUM(S37:S50)+despesafixaconsolidadonov[[#This Row],[14]]</f>
        <v>0</v>
      </c>
      <c r="T51" s="20">
        <f>SUM(T37:T50)+despesafixaconsolidadonov[[#This Row],[15]]</f>
        <v>0</v>
      </c>
      <c r="U51" s="20">
        <f>SUM(U37:U50)+despesafixaconsolidadonov[[#This Row],[16]]</f>
        <v>0</v>
      </c>
      <c r="V51" s="20">
        <f>SUM(V37:V50)+despesafixaconsolidadonov[[#This Row],[17]]</f>
        <v>0</v>
      </c>
      <c r="W51" s="20">
        <f>SUM(W37:W50)+despesafixaconsolidadonov[[#This Row],[18]]</f>
        <v>0</v>
      </c>
      <c r="X51" s="20">
        <f>SUM(X37:X50)+despesafixaconsolidadonov[[#This Row],[19]]</f>
        <v>0</v>
      </c>
      <c r="Y51" s="20">
        <f>SUM(Y37:Y50)+despesafixaconsolidadonov[[#This Row],[20]]</f>
        <v>0</v>
      </c>
      <c r="Z51" s="20">
        <f>SUM(Z37:Z50)+despesafixaconsolidadonov[[#This Row],[21]]</f>
        <v>0</v>
      </c>
      <c r="AA51" s="20">
        <f>SUM(AA37:AA50)+despesafixaconsolidadonov[[#This Row],[22]]</f>
        <v>0</v>
      </c>
      <c r="AB51" s="20">
        <f>SUM(AB37:AB50)+despesafixaconsolidadonov[[#This Row],[23]]</f>
        <v>0</v>
      </c>
      <c r="AC51" s="20">
        <f>SUM(AC37:AC50)+despesafixaconsolidadonov[[#This Row],[24]]</f>
        <v>0</v>
      </c>
      <c r="AD51" s="20">
        <f>SUM(AD37:AD50)+despesafixaconsolidadonov[[#This Row],[25]]</f>
        <v>0</v>
      </c>
      <c r="AE51" s="20">
        <f>SUM(AE37:AE50)+despesafixaconsolidadonov[[#This Row],[26]]</f>
        <v>0</v>
      </c>
      <c r="AF51" s="20">
        <f>SUM(AF37:AF50)+despesafixaconsolidadonov[[#This Row],[27]]</f>
        <v>0</v>
      </c>
      <c r="AG51" s="20">
        <f>SUM(AG37:AG50)+despesafixaconsolidadonov[[#This Row],[28]]</f>
        <v>140</v>
      </c>
      <c r="AH51" s="20">
        <f>SUM(AH37:AH50)+despesafixaconsolidadonov[[#This Row],[29]]</f>
        <v>140</v>
      </c>
      <c r="AI51" s="19">
        <f>SUM(AI37:AI50)+despesafixaconsolidadonov[[#This Row],[30]]</f>
        <v>140</v>
      </c>
      <c r="AJ51" s="18">
        <f>despesafixaconsolidadonov[[#This Row],[31]]</f>
        <v>140</v>
      </c>
      <c r="AK51" s="17"/>
    </row>
    <row r="52" spans="2:37" ht="6.75" customHeight="1" thickTop="1" thickBot="1" x14ac:dyDescent="0.3">
      <c r="B52" s="15"/>
      <c r="C52" s="40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39"/>
      <c r="AG52" s="39"/>
      <c r="AH52" s="39"/>
      <c r="AI52" s="48"/>
      <c r="AJ52" s="15"/>
      <c r="AK52" s="10"/>
    </row>
    <row r="53" spans="2:37" ht="12.6" thickTop="1" x14ac:dyDescent="0.25">
      <c r="C53" s="46"/>
      <c r="D53" s="47"/>
      <c r="E53" s="47"/>
      <c r="F53" s="47"/>
      <c r="G53" s="47"/>
      <c r="H53" s="47"/>
      <c r="I53" s="47"/>
      <c r="J53" s="47"/>
      <c r="K53" s="47"/>
      <c r="L53" s="47"/>
      <c r="M53" s="47"/>
      <c r="N53" s="47"/>
      <c r="O53" s="47"/>
      <c r="P53" s="47"/>
      <c r="Q53" s="47"/>
      <c r="R53" s="47"/>
      <c r="S53" s="47"/>
      <c r="T53" s="47"/>
      <c r="U53" s="47"/>
      <c r="V53" s="47"/>
      <c r="W53" s="47"/>
      <c r="X53" s="47"/>
      <c r="Y53" s="47"/>
      <c r="Z53" s="47"/>
      <c r="AA53" s="47"/>
      <c r="AB53" s="47"/>
      <c r="AC53" s="47"/>
      <c r="AD53" s="47"/>
      <c r="AE53" s="47"/>
      <c r="AF53" s="47"/>
      <c r="AG53" s="47"/>
      <c r="AH53" s="47"/>
      <c r="AI53" s="47"/>
      <c r="AK53" s="37"/>
    </row>
    <row r="54" spans="2:37" x14ac:dyDescent="0.25">
      <c r="C54" s="46"/>
      <c r="D54" s="47"/>
      <c r="E54" s="47"/>
      <c r="F54" s="47"/>
      <c r="G54" s="47"/>
      <c r="H54" s="47"/>
      <c r="I54" s="47"/>
      <c r="J54" s="47"/>
      <c r="K54" s="47"/>
      <c r="L54" s="47"/>
      <c r="M54" s="47"/>
      <c r="N54" s="47"/>
      <c r="O54" s="47"/>
      <c r="P54" s="47"/>
      <c r="Q54" s="47"/>
      <c r="R54" s="47"/>
      <c r="S54" s="47"/>
      <c r="T54" s="47"/>
      <c r="U54" s="47"/>
      <c r="V54" s="47"/>
      <c r="W54" s="47"/>
      <c r="X54" s="47"/>
      <c r="Y54" s="47"/>
      <c r="Z54" s="47"/>
      <c r="AA54" s="47"/>
      <c r="AB54" s="47"/>
      <c r="AC54" s="47"/>
      <c r="AD54" s="47"/>
      <c r="AE54" s="47"/>
      <c r="AF54" s="47"/>
      <c r="AG54" s="47"/>
      <c r="AH54" s="47"/>
      <c r="AI54" s="47"/>
    </row>
    <row r="55" spans="2:37" x14ac:dyDescent="0.25">
      <c r="C55" s="46"/>
      <c r="D55" s="47"/>
      <c r="E55" s="47"/>
      <c r="F55" s="47"/>
      <c r="G55" s="47"/>
      <c r="H55" s="47"/>
      <c r="I55" s="47"/>
      <c r="J55" s="47"/>
      <c r="K55" s="47"/>
      <c r="L55" s="47"/>
      <c r="M55" s="47"/>
      <c r="N55" s="47"/>
      <c r="O55" s="47"/>
      <c r="P55" s="47"/>
      <c r="Q55" s="47"/>
      <c r="R55" s="47"/>
      <c r="S55" s="47"/>
      <c r="T55" s="47"/>
      <c r="U55" s="47"/>
      <c r="V55" s="47"/>
      <c r="W55" s="47"/>
      <c r="X55" s="47"/>
      <c r="Y55" s="47"/>
      <c r="Z55" s="47"/>
      <c r="AA55" s="47"/>
      <c r="AB55" s="47"/>
      <c r="AC55" s="47"/>
      <c r="AD55" s="47"/>
      <c r="AE55" s="47"/>
      <c r="AF55" s="47"/>
      <c r="AG55" s="47"/>
      <c r="AH55" s="47"/>
      <c r="AI55" s="47"/>
    </row>
    <row r="56" spans="2:37" ht="39.75" customHeight="1" x14ac:dyDescent="0.25">
      <c r="C56" s="46"/>
      <c r="E56" s="240"/>
      <c r="F56" s="240"/>
      <c r="G56" s="240"/>
      <c r="H56" s="240"/>
      <c r="I56" s="240"/>
      <c r="J56" s="240"/>
      <c r="K56" s="240"/>
      <c r="L56" s="240"/>
      <c r="M56" s="240"/>
      <c r="N56" s="240"/>
      <c r="O56" s="240"/>
      <c r="P56" s="240"/>
      <c r="Q56" s="240"/>
      <c r="R56" s="240"/>
      <c r="S56" s="240"/>
      <c r="T56" s="240"/>
      <c r="U56" s="240"/>
      <c r="V56" s="240"/>
      <c r="W56" s="240"/>
      <c r="X56" s="240"/>
      <c r="Y56" s="240"/>
      <c r="Z56" s="240"/>
      <c r="AA56" s="240"/>
      <c r="AB56" s="240"/>
      <c r="AC56" s="240"/>
      <c r="AD56" s="240"/>
      <c r="AE56" s="240"/>
      <c r="AF56" s="240"/>
      <c r="AG56" s="240"/>
      <c r="AH56" s="240"/>
      <c r="AI56" s="240"/>
      <c r="AJ56" s="32" t="s">
        <v>19</v>
      </c>
    </row>
    <row r="57" spans="2:37" ht="11.25" customHeight="1" thickBot="1" x14ac:dyDescent="0.75">
      <c r="C57" s="36"/>
      <c r="AI57" s="4"/>
      <c r="AJ57" s="34" t="s">
        <v>202</v>
      </c>
    </row>
    <row r="58" spans="2:37" ht="6.75" customHeight="1" thickTop="1" thickBot="1" x14ac:dyDescent="0.3">
      <c r="B58" s="33"/>
      <c r="C58" s="45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44"/>
      <c r="AH58" s="44"/>
      <c r="AI58" s="44"/>
      <c r="AJ58" s="43"/>
      <c r="AK58" s="33"/>
    </row>
    <row r="59" spans="2:37" ht="12.6" hidden="1" thickBot="1" x14ac:dyDescent="0.3">
      <c r="B59" s="2"/>
      <c r="C59" s="31" t="s">
        <v>116</v>
      </c>
      <c r="D59" s="30" t="s">
        <v>198</v>
      </c>
      <c r="E59" s="30" t="s">
        <v>197</v>
      </c>
      <c r="F59" s="30" t="s">
        <v>196</v>
      </c>
      <c r="G59" s="30" t="s">
        <v>195</v>
      </c>
      <c r="H59" s="30" t="s">
        <v>194</v>
      </c>
      <c r="I59" s="30" t="s">
        <v>193</v>
      </c>
      <c r="J59" s="30" t="s">
        <v>192</v>
      </c>
      <c r="K59" s="30" t="s">
        <v>191</v>
      </c>
      <c r="L59" s="30" t="s">
        <v>190</v>
      </c>
      <c r="M59" s="30" t="s">
        <v>189</v>
      </c>
      <c r="N59" s="30" t="s">
        <v>188</v>
      </c>
      <c r="O59" s="30" t="s">
        <v>187</v>
      </c>
      <c r="P59" s="30" t="s">
        <v>186</v>
      </c>
      <c r="Q59" s="30" t="s">
        <v>185</v>
      </c>
      <c r="R59" s="30" t="s">
        <v>184</v>
      </c>
      <c r="S59" s="30" t="s">
        <v>183</v>
      </c>
      <c r="T59" s="30" t="s">
        <v>182</v>
      </c>
      <c r="U59" s="30" t="s">
        <v>181</v>
      </c>
      <c r="V59" s="30" t="s">
        <v>180</v>
      </c>
      <c r="W59" s="30" t="s">
        <v>179</v>
      </c>
      <c r="X59" s="30" t="s">
        <v>178</v>
      </c>
      <c r="Y59" s="30" t="s">
        <v>177</v>
      </c>
      <c r="Z59" s="30" t="s">
        <v>176</v>
      </c>
      <c r="AA59" s="30" t="s">
        <v>175</v>
      </c>
      <c r="AB59" s="30" t="s">
        <v>174</v>
      </c>
      <c r="AC59" s="30" t="s">
        <v>173</v>
      </c>
      <c r="AD59" s="30" t="s">
        <v>172</v>
      </c>
      <c r="AE59" s="30" t="s">
        <v>171</v>
      </c>
      <c r="AF59" s="30" t="s">
        <v>170</v>
      </c>
      <c r="AG59" s="30" t="s">
        <v>169</v>
      </c>
      <c r="AH59" s="30" t="s">
        <v>168</v>
      </c>
      <c r="AI59" s="30" t="s">
        <v>167</v>
      </c>
      <c r="AJ59" s="42" t="s">
        <v>19</v>
      </c>
      <c r="AK59" s="2" t="s">
        <v>203</v>
      </c>
    </row>
    <row r="60" spans="2:37" ht="19.5" customHeight="1" thickTop="1" thickBot="1" x14ac:dyDescent="0.3">
      <c r="B60" s="28"/>
      <c r="C60" s="27" t="str">
        <f>DADOS!$T$3</f>
        <v>🍕 ALIMENTAÇÃO</v>
      </c>
      <c r="D60" s="26" t="str">
        <f>IF(despesavariávelconsolidadonov[[#This Row],[TOTAL]]=0,"",IF(OR(despesavariávelconsolidadonov[[#This Row],[TOTAL]]=LARGE($AJ$60:$AJ$72,1),despesavariávelconsolidadonov[[#This Row],[TOTAL]]=LARGE($AJ$60:$AJ$72,2),despesavariávelconsolidadonov[[#This Row],[TOTAL]]=LARGE($AJ$60:$AJ$72,3),despesavariávelconsolidadonov[[#This Row],[TOTAL]]=LARGE($AJ$60:$AJ$72,4),despesavariávelconsolidadonov[[#This Row],[TOTAL]]=LARGE($AJ$60:$AJ$72,5)),DADOS!$I$8,""))</f>
        <v/>
      </c>
      <c r="E60" s="94">
        <f>SUMIFS(tabela_registros[VALOR],tabela_registros[MÊS],$AE$1,tabela_registros[DIA],novtotal3059718395107119131143155[[#Headers],[1]],tabela_registros[REGISTRO],DADOS!$N$4,tabela_registros[TIPO],DADOS!$P$4,tabela_registros[CATEGORIA],despesavariávelconsolidadonov[[#This Row],[DESPESA VARIÁVEL]])</f>
        <v>0</v>
      </c>
      <c r="F60" s="88">
        <f>SUMIFS(tabela_registros[VALOR],tabela_registros[MÊS],$AE$1,tabela_registros[DIA],novtotal3059718395107119131143155[[#Headers],[2]],tabela_registros[REGISTRO],DADOS!$N$4,tabela_registros[TIPO],DADOS!$P$4,tabela_registros[CATEGORIA],despesavariávelconsolidadonov[[#This Row],[DESPESA VARIÁVEL]])</f>
        <v>0</v>
      </c>
      <c r="G60" s="88">
        <f>SUMIFS(tabela_registros[VALOR],tabela_registros[MÊS],$AE$1,tabela_registros[DIA],novtotal3059718395107119131143155[[#Headers],[3]],tabela_registros[REGISTRO],DADOS!$N$4,tabela_registros[TIPO],DADOS!$P$4,tabela_registros[CATEGORIA],despesavariávelconsolidadonov[[#This Row],[DESPESA VARIÁVEL]])</f>
        <v>0</v>
      </c>
      <c r="H60" s="88">
        <f>SUMIFS(tabela_registros[VALOR],tabela_registros[MÊS],$AE$1,tabela_registros[DIA],novtotal3059718395107119131143155[[#Headers],[4]],tabela_registros[REGISTRO],DADOS!$N$4,tabela_registros[TIPO],DADOS!$P$4,tabela_registros[CATEGORIA],despesavariávelconsolidadonov[[#This Row],[DESPESA VARIÁVEL]])</f>
        <v>0</v>
      </c>
      <c r="I60" s="88">
        <f>SUMIFS(tabela_registros[VALOR],tabela_registros[MÊS],$AE$1,tabela_registros[DIA],novtotal3059718395107119131143155[[#Headers],[5]],tabela_registros[REGISTRO],DADOS!$N$4,tabela_registros[TIPO],DADOS!$P$4,tabela_registros[CATEGORIA],despesavariávelconsolidadonov[[#This Row],[DESPESA VARIÁVEL]])</f>
        <v>0</v>
      </c>
      <c r="J60" s="88">
        <f>SUMIFS(tabela_registros[VALOR],tabela_registros[MÊS],$AE$1,tabela_registros[DIA],novtotal3059718395107119131143155[[#Headers],[6]],tabela_registros[REGISTRO],DADOS!$N$4,tabela_registros[TIPO],DADOS!$P$4,tabela_registros[CATEGORIA],despesavariávelconsolidadonov[[#This Row],[DESPESA VARIÁVEL]])</f>
        <v>0</v>
      </c>
      <c r="K60" s="88">
        <f>SUMIFS(tabela_registros[VALOR],tabela_registros[MÊS],$AE$1,tabela_registros[DIA],novtotal3059718395107119131143155[[#Headers],[7]],tabela_registros[REGISTRO],DADOS!$N$4,tabela_registros[TIPO],DADOS!$P$4,tabela_registros[CATEGORIA],despesavariávelconsolidadonov[[#This Row],[DESPESA VARIÁVEL]])</f>
        <v>0</v>
      </c>
      <c r="L60" s="88">
        <f>SUMIFS(tabela_registros[VALOR],tabela_registros[MÊS],$AE$1,tabela_registros[DIA],novtotal3059718395107119131143155[[#Headers],[8]],tabela_registros[REGISTRO],DADOS!$N$4,tabela_registros[TIPO],DADOS!$P$4,tabela_registros[CATEGORIA],despesavariávelconsolidadonov[[#This Row],[DESPESA VARIÁVEL]])</f>
        <v>0</v>
      </c>
      <c r="M60" s="88">
        <f>SUMIFS(tabela_registros[VALOR],tabela_registros[MÊS],$AE$1,tabela_registros[DIA],novtotal3059718395107119131143155[[#Headers],[9]],tabela_registros[REGISTRO],DADOS!$N$4,tabela_registros[TIPO],DADOS!$P$4,tabela_registros[CATEGORIA],despesavariávelconsolidadonov[[#This Row],[DESPESA VARIÁVEL]])</f>
        <v>0</v>
      </c>
      <c r="N60" s="88">
        <f>SUMIFS(tabela_registros[VALOR],tabela_registros[MÊS],$AE$1,tabela_registros[DIA],novtotal3059718395107119131143155[[#Headers],[10]],tabela_registros[REGISTRO],DADOS!$N$4,tabela_registros[TIPO],DADOS!$P$4,tabela_registros[CATEGORIA],despesavariávelconsolidadonov[[#This Row],[DESPESA VARIÁVEL]])</f>
        <v>0</v>
      </c>
      <c r="O60" s="88">
        <f>SUMIFS(tabela_registros[VALOR],tabela_registros[MÊS],$AE$1,tabela_registros[DIA],novtotal3059718395107119131143155[[#Headers],[11]],tabela_registros[REGISTRO],DADOS!$N$4,tabela_registros[TIPO],DADOS!$P$4,tabela_registros[CATEGORIA],despesavariávelconsolidadonov[[#This Row],[DESPESA VARIÁVEL]])</f>
        <v>0</v>
      </c>
      <c r="P60" s="88">
        <f>SUMIFS(tabela_registros[VALOR],tabela_registros[MÊS],$AE$1,tabela_registros[DIA],novtotal3059718395107119131143155[[#Headers],[12]],tabela_registros[REGISTRO],DADOS!$N$4,tabela_registros[TIPO],DADOS!$P$4,tabela_registros[CATEGORIA],despesavariávelconsolidadonov[[#This Row],[DESPESA VARIÁVEL]])</f>
        <v>0</v>
      </c>
      <c r="Q60" s="88">
        <f>SUMIFS(tabela_registros[VALOR],tabela_registros[MÊS],$AE$1,tabela_registros[DIA],novtotal3059718395107119131143155[[#Headers],[13]],tabela_registros[REGISTRO],DADOS!$N$4,tabela_registros[TIPO],DADOS!$P$4,tabela_registros[CATEGORIA],despesavariávelconsolidadonov[[#This Row],[DESPESA VARIÁVEL]])</f>
        <v>0</v>
      </c>
      <c r="R60" s="88">
        <f>SUMIFS(tabela_registros[VALOR],tabela_registros[MÊS],$AE$1,tabela_registros[DIA],novtotal3059718395107119131143155[[#Headers],[14]],tabela_registros[REGISTRO],DADOS!$N$4,tabela_registros[TIPO],DADOS!$P$4,tabela_registros[CATEGORIA],despesavariávelconsolidadonov[[#This Row],[DESPESA VARIÁVEL]])</f>
        <v>0</v>
      </c>
      <c r="S60" s="88">
        <f>SUMIFS(tabela_registros[VALOR],tabela_registros[MÊS],$AE$1,tabela_registros[DIA],novtotal3059718395107119131143155[[#Headers],[15]],tabela_registros[REGISTRO],DADOS!$N$4,tabela_registros[TIPO],DADOS!$P$4,tabela_registros[CATEGORIA],despesavariávelconsolidadonov[[#This Row],[DESPESA VARIÁVEL]])</f>
        <v>0</v>
      </c>
      <c r="T60" s="88">
        <f>SUMIFS(tabela_registros[VALOR],tabela_registros[MÊS],$AE$1,tabela_registros[DIA],novtotal3059718395107119131143155[[#Headers],[16]],tabela_registros[REGISTRO],DADOS!$N$4,tabela_registros[TIPO],DADOS!$P$4,tabela_registros[CATEGORIA],despesavariávelconsolidadonov[[#This Row],[DESPESA VARIÁVEL]])</f>
        <v>0</v>
      </c>
      <c r="U60" s="88">
        <f>SUMIFS(tabela_registros[VALOR],tabela_registros[MÊS],$AE$1,tabela_registros[DIA],novtotal3059718395107119131143155[[#Headers],[17]],tabela_registros[REGISTRO],DADOS!$N$4,tabela_registros[TIPO],DADOS!$P$4,tabela_registros[CATEGORIA],despesavariávelconsolidadonov[[#This Row],[DESPESA VARIÁVEL]])</f>
        <v>0</v>
      </c>
      <c r="V60" s="88">
        <f>SUMIFS(tabela_registros[VALOR],tabela_registros[MÊS],$AE$1,tabela_registros[DIA],novtotal3059718395107119131143155[[#Headers],[18]],tabela_registros[REGISTRO],DADOS!$N$4,tabela_registros[TIPO],DADOS!$P$4,tabela_registros[CATEGORIA],despesavariávelconsolidadonov[[#This Row],[DESPESA VARIÁVEL]])</f>
        <v>0</v>
      </c>
      <c r="W60" s="88">
        <f>SUMIFS(tabela_registros[VALOR],tabela_registros[MÊS],$AE$1,tabela_registros[DIA],novtotal3059718395107119131143155[[#Headers],[19]],tabela_registros[REGISTRO],DADOS!$N$4,tabela_registros[TIPO],DADOS!$P$4,tabela_registros[CATEGORIA],despesavariávelconsolidadonov[[#This Row],[DESPESA VARIÁVEL]])</f>
        <v>0</v>
      </c>
      <c r="X60" s="88">
        <f>SUMIFS(tabela_registros[VALOR],tabela_registros[MÊS],$AE$1,tabela_registros[DIA],novtotal3059718395107119131143155[[#Headers],[20]],tabela_registros[REGISTRO],DADOS!$N$4,tabela_registros[TIPO],DADOS!$P$4,tabela_registros[CATEGORIA],despesavariávelconsolidadonov[[#This Row],[DESPESA VARIÁVEL]])</f>
        <v>0</v>
      </c>
      <c r="Y60" s="88">
        <f>SUMIFS(tabela_registros[VALOR],tabela_registros[MÊS],$AE$1,tabela_registros[DIA],novtotal3059718395107119131143155[[#Headers],[21]],tabela_registros[REGISTRO],DADOS!$N$4,tabela_registros[TIPO],DADOS!$P$4,tabela_registros[CATEGORIA],despesavariávelconsolidadonov[[#This Row],[DESPESA VARIÁVEL]])</f>
        <v>0</v>
      </c>
      <c r="Z60" s="88">
        <f>SUMIFS(tabela_registros[VALOR],tabela_registros[MÊS],$AE$1,tabela_registros[DIA],novtotal3059718395107119131143155[[#Headers],[22]],tabela_registros[REGISTRO],DADOS!$N$4,tabela_registros[TIPO],DADOS!$P$4,tabela_registros[CATEGORIA],despesavariávelconsolidadonov[[#This Row],[DESPESA VARIÁVEL]])</f>
        <v>0</v>
      </c>
      <c r="AA60" s="88">
        <f>SUMIFS(tabela_registros[VALOR],tabela_registros[MÊS],$AE$1,tabela_registros[DIA],novtotal3059718395107119131143155[[#Headers],[23]],tabela_registros[REGISTRO],DADOS!$N$4,tabela_registros[TIPO],DADOS!$P$4,tabela_registros[CATEGORIA],despesavariávelconsolidadonov[[#This Row],[DESPESA VARIÁVEL]])</f>
        <v>0</v>
      </c>
      <c r="AB60" s="88">
        <f>SUMIFS(tabela_registros[VALOR],tabela_registros[MÊS],$AE$1,tabela_registros[DIA],novtotal3059718395107119131143155[[#Headers],[24]],tabela_registros[REGISTRO],DADOS!$N$4,tabela_registros[TIPO],DADOS!$P$4,tabela_registros[CATEGORIA],despesavariávelconsolidadonov[[#This Row],[DESPESA VARIÁVEL]])</f>
        <v>0</v>
      </c>
      <c r="AC60" s="88">
        <f>SUMIFS(tabela_registros[VALOR],tabela_registros[MÊS],$AE$1,tabela_registros[DIA],novtotal3059718395107119131143155[[#Headers],[25]],tabela_registros[REGISTRO],DADOS!$N$4,tabela_registros[TIPO],DADOS!$P$4,tabela_registros[CATEGORIA],despesavariávelconsolidadonov[[#This Row],[DESPESA VARIÁVEL]])</f>
        <v>0</v>
      </c>
      <c r="AD60" s="88">
        <f>SUMIFS(tabela_registros[VALOR],tabela_registros[MÊS],$AE$1,tabela_registros[DIA],novtotal3059718395107119131143155[[#Headers],[26]],tabela_registros[REGISTRO],DADOS!$N$4,tabela_registros[TIPO],DADOS!$P$4,tabela_registros[CATEGORIA],despesavariávelconsolidadonov[[#This Row],[DESPESA VARIÁVEL]])</f>
        <v>0</v>
      </c>
      <c r="AE60" s="88">
        <f>SUMIFS(tabela_registros[VALOR],tabela_registros[MÊS],$AE$1,tabela_registros[DIA],novtotal3059718395107119131143155[[#Headers],[27]],tabela_registros[REGISTRO],DADOS!$N$4,tabela_registros[TIPO],DADOS!$P$4,tabela_registros[CATEGORIA],despesavariávelconsolidadonov[[#This Row],[DESPESA VARIÁVEL]])</f>
        <v>0</v>
      </c>
      <c r="AF60" s="88">
        <f>SUMIFS(tabela_registros[VALOR],tabela_registros[MÊS],$AE$1,tabela_registros[DIA],novtotal3059718395107119131143155[[#Headers],[28]],tabela_registros[REGISTRO],DADOS!$N$4,tabela_registros[TIPO],DADOS!$P$4,tabela_registros[CATEGORIA],despesavariávelconsolidadonov[[#This Row],[DESPESA VARIÁVEL]])</f>
        <v>0</v>
      </c>
      <c r="AG60" s="88">
        <f>SUMIFS(tabela_registros[VALOR],tabela_registros[MÊS],$AE$1,tabela_registros[DIA],novtotal3059718395107119131143155[[#Headers],[29]],tabela_registros[REGISTRO],DADOS!$N$4,tabela_registros[TIPO],DADOS!$P$4,tabela_registros[CATEGORIA],despesavariávelconsolidadonov[[#This Row],[DESPESA VARIÁVEL]])</f>
        <v>0</v>
      </c>
      <c r="AH60" s="88">
        <f>SUMIFS(tabela_registros[VALOR],tabela_registros[MÊS],$AE$1,tabela_registros[DIA],novtotal3059718395107119131143155[[#Headers],[30]],tabela_registros[REGISTRO],DADOS!$N$4,tabela_registros[TIPO],DADOS!$P$4,tabela_registros[CATEGORIA],despesavariávelconsolidadonov[[#This Row],[DESPESA VARIÁVEL]])</f>
        <v>0</v>
      </c>
      <c r="AI60" s="100">
        <f>SUMIFS(tabela_registros[VALOR],tabela_registros[MÊS],$AE$1,tabela_registros[DIA],novtotal3059718395107119131143155[[#Headers],[31]],tabela_registros[REGISTRO],DADOS!$N$4,tabela_registros[TIPO],DADOS!$P$4,tabela_registros[CATEGORIA],despesavariávelconsolidadonov[[#This Row],[DESPESA VARIÁVEL]])</f>
        <v>0</v>
      </c>
      <c r="AJ60" s="95">
        <f>SUM(despesavariávelconsolidadonov[[#This Row],[1]:[31]])</f>
        <v>0</v>
      </c>
      <c r="AK60" s="28"/>
    </row>
    <row r="61" spans="2:37" ht="18" customHeight="1" thickTop="1" thickBot="1" x14ac:dyDescent="0.3">
      <c r="B61" s="28"/>
      <c r="C61" s="27" t="str">
        <f>DADOS!$T$4</f>
        <v>💳 CARTÃO DE CRÉDITO</v>
      </c>
      <c r="D61" s="26" t="str">
        <f>IF(despesavariávelconsolidadonov[[#This Row],[TOTAL]]=0,"",IF(OR(despesavariávelconsolidadonov[[#This Row],[TOTAL]]=LARGE($AJ$60:$AJ$72,1),despesavariávelconsolidadonov[[#This Row],[TOTAL]]=LARGE($AJ$60:$AJ$72,2),despesavariávelconsolidadonov[[#This Row],[TOTAL]]=LARGE($AJ$60:$AJ$72,3),despesavariávelconsolidadonov[[#This Row],[TOTAL]]=LARGE($AJ$60:$AJ$72,4),despesavariávelconsolidadonov[[#This Row],[TOTAL]]=LARGE($AJ$60:$AJ$72,5)),DADOS!$I$8,""))</f>
        <v/>
      </c>
      <c r="E61" s="96">
        <f>SUMIFS(tabela_registros[VALOR],tabela_registros[MÊS],$AE$1,tabela_registros[DIA],novtotal3059718395107119131143155[[#Headers],[1]],tabela_registros[REGISTRO],DADOS!$N$4,tabela_registros[TIPO],DADOS!$P$4,tabela_registros[CATEGORIA],despesavariávelconsolidadonov[[#This Row],[DESPESA VARIÁVEL]])</f>
        <v>0</v>
      </c>
      <c r="F61" s="91">
        <f>SUMIFS(tabela_registros[VALOR],tabela_registros[MÊS],$AE$1,tabela_registros[DIA],novtotal3059718395107119131143155[[#Headers],[2]],tabela_registros[REGISTRO],DADOS!$N$4,tabela_registros[TIPO],DADOS!$P$4,tabela_registros[CATEGORIA],despesavariávelconsolidadonov[[#This Row],[DESPESA VARIÁVEL]])</f>
        <v>0</v>
      </c>
      <c r="G61" s="91">
        <f>SUMIFS(tabela_registros[VALOR],tabela_registros[MÊS],$AE$1,tabela_registros[DIA],novtotal3059718395107119131143155[[#Headers],[3]],tabela_registros[REGISTRO],DADOS!$N$4,tabela_registros[TIPO],DADOS!$P$4,tabela_registros[CATEGORIA],despesavariávelconsolidadonov[[#This Row],[DESPESA VARIÁVEL]])</f>
        <v>0</v>
      </c>
      <c r="H61" s="91">
        <f>SUMIFS(tabela_registros[VALOR],tabela_registros[MÊS],$AE$1,tabela_registros[DIA],novtotal3059718395107119131143155[[#Headers],[4]],tabela_registros[REGISTRO],DADOS!$N$4,tabela_registros[TIPO],DADOS!$P$4,tabela_registros[CATEGORIA],despesavariávelconsolidadonov[[#This Row],[DESPESA VARIÁVEL]])</f>
        <v>0</v>
      </c>
      <c r="I61" s="91">
        <f>SUMIFS(tabela_registros[VALOR],tabela_registros[MÊS],$AE$1,tabela_registros[DIA],novtotal3059718395107119131143155[[#Headers],[5]],tabela_registros[REGISTRO],DADOS!$N$4,tabela_registros[TIPO],DADOS!$P$4,tabela_registros[CATEGORIA],despesavariávelconsolidadonov[[#This Row],[DESPESA VARIÁVEL]])</f>
        <v>0</v>
      </c>
      <c r="J61" s="91">
        <f>SUMIFS(tabela_registros[VALOR],tabela_registros[MÊS],$AE$1,tabela_registros[DIA],novtotal3059718395107119131143155[[#Headers],[6]],tabela_registros[REGISTRO],DADOS!$N$4,tabela_registros[TIPO],DADOS!$P$4,tabela_registros[CATEGORIA],despesavariávelconsolidadonov[[#This Row],[DESPESA VARIÁVEL]])</f>
        <v>0</v>
      </c>
      <c r="K61" s="91">
        <f>SUMIFS(tabela_registros[VALOR],tabela_registros[MÊS],$AE$1,tabela_registros[DIA],novtotal3059718395107119131143155[[#Headers],[7]],tabela_registros[REGISTRO],DADOS!$N$4,tabela_registros[TIPO],DADOS!$P$4,tabela_registros[CATEGORIA],despesavariávelconsolidadonov[[#This Row],[DESPESA VARIÁVEL]])</f>
        <v>0</v>
      </c>
      <c r="L61" s="91">
        <f>SUMIFS(tabela_registros[VALOR],tabela_registros[MÊS],$AE$1,tabela_registros[DIA],novtotal3059718395107119131143155[[#Headers],[8]],tabela_registros[REGISTRO],DADOS!$N$4,tabela_registros[TIPO],DADOS!$P$4,tabela_registros[CATEGORIA],despesavariávelconsolidadonov[[#This Row],[DESPESA VARIÁVEL]])</f>
        <v>0</v>
      </c>
      <c r="M61" s="91">
        <f>SUMIFS(tabela_registros[VALOR],tabela_registros[MÊS],$AE$1,tabela_registros[DIA],novtotal3059718395107119131143155[[#Headers],[9]],tabela_registros[REGISTRO],DADOS!$N$4,tabela_registros[TIPO],DADOS!$P$4,tabela_registros[CATEGORIA],despesavariávelconsolidadonov[[#This Row],[DESPESA VARIÁVEL]])</f>
        <v>0</v>
      </c>
      <c r="N61" s="91">
        <f>SUMIFS(tabela_registros[VALOR],tabela_registros[MÊS],$AE$1,tabela_registros[DIA],novtotal3059718395107119131143155[[#Headers],[10]],tabela_registros[REGISTRO],DADOS!$N$4,tabela_registros[TIPO],DADOS!$P$4,tabela_registros[CATEGORIA],despesavariávelconsolidadonov[[#This Row],[DESPESA VARIÁVEL]])</f>
        <v>0</v>
      </c>
      <c r="O61" s="91">
        <f>SUMIFS(tabela_registros[VALOR],tabela_registros[MÊS],$AE$1,tabela_registros[DIA],novtotal3059718395107119131143155[[#Headers],[11]],tabela_registros[REGISTRO],DADOS!$N$4,tabela_registros[TIPO],DADOS!$P$4,tabela_registros[CATEGORIA],despesavariávelconsolidadonov[[#This Row],[DESPESA VARIÁVEL]])</f>
        <v>0</v>
      </c>
      <c r="P61" s="91">
        <f>SUMIFS(tabela_registros[VALOR],tabela_registros[MÊS],$AE$1,tabela_registros[DIA],novtotal3059718395107119131143155[[#Headers],[12]],tabela_registros[REGISTRO],DADOS!$N$4,tabela_registros[TIPO],DADOS!$P$4,tabela_registros[CATEGORIA],despesavariávelconsolidadonov[[#This Row],[DESPESA VARIÁVEL]])</f>
        <v>0</v>
      </c>
      <c r="Q61" s="91">
        <f>SUMIFS(tabela_registros[VALOR],tabela_registros[MÊS],$AE$1,tabela_registros[DIA],novtotal3059718395107119131143155[[#Headers],[13]],tabela_registros[REGISTRO],DADOS!$N$4,tabela_registros[TIPO],DADOS!$P$4,tabela_registros[CATEGORIA],despesavariávelconsolidadonov[[#This Row],[DESPESA VARIÁVEL]])</f>
        <v>0</v>
      </c>
      <c r="R61" s="91">
        <f>SUMIFS(tabela_registros[VALOR],tabela_registros[MÊS],$AE$1,tabela_registros[DIA],novtotal3059718395107119131143155[[#Headers],[14]],tabela_registros[REGISTRO],DADOS!$N$4,tabela_registros[TIPO],DADOS!$P$4,tabela_registros[CATEGORIA],despesavariávelconsolidadonov[[#This Row],[DESPESA VARIÁVEL]])</f>
        <v>0</v>
      </c>
      <c r="S61" s="91">
        <f>SUMIFS(tabela_registros[VALOR],tabela_registros[MÊS],$AE$1,tabela_registros[DIA],novtotal3059718395107119131143155[[#Headers],[15]],tabela_registros[REGISTRO],DADOS!$N$4,tabela_registros[TIPO],DADOS!$P$4,tabela_registros[CATEGORIA],despesavariávelconsolidadonov[[#This Row],[DESPESA VARIÁVEL]])</f>
        <v>0</v>
      </c>
      <c r="T61" s="91">
        <f>SUMIFS(tabela_registros[VALOR],tabela_registros[MÊS],$AE$1,tabela_registros[DIA],novtotal3059718395107119131143155[[#Headers],[16]],tabela_registros[REGISTRO],DADOS!$N$4,tabela_registros[TIPO],DADOS!$P$4,tabela_registros[CATEGORIA],despesavariávelconsolidadonov[[#This Row],[DESPESA VARIÁVEL]])</f>
        <v>0</v>
      </c>
      <c r="U61" s="91">
        <f>SUMIFS(tabela_registros[VALOR],tabela_registros[MÊS],$AE$1,tabela_registros[DIA],novtotal3059718395107119131143155[[#Headers],[17]],tabela_registros[REGISTRO],DADOS!$N$4,tabela_registros[TIPO],DADOS!$P$4,tabela_registros[CATEGORIA],despesavariávelconsolidadonov[[#This Row],[DESPESA VARIÁVEL]])</f>
        <v>0</v>
      </c>
      <c r="V61" s="91">
        <f>SUMIFS(tabela_registros[VALOR],tabela_registros[MÊS],$AE$1,tabela_registros[DIA],novtotal3059718395107119131143155[[#Headers],[18]],tabela_registros[REGISTRO],DADOS!$N$4,tabela_registros[TIPO],DADOS!$P$4,tabela_registros[CATEGORIA],despesavariávelconsolidadonov[[#This Row],[DESPESA VARIÁVEL]])</f>
        <v>0</v>
      </c>
      <c r="W61" s="91">
        <f>SUMIFS(tabela_registros[VALOR],tabela_registros[MÊS],$AE$1,tabela_registros[DIA],novtotal3059718395107119131143155[[#Headers],[19]],tabela_registros[REGISTRO],DADOS!$N$4,tabela_registros[TIPO],DADOS!$P$4,tabela_registros[CATEGORIA],despesavariávelconsolidadonov[[#This Row],[DESPESA VARIÁVEL]])</f>
        <v>0</v>
      </c>
      <c r="X61" s="91">
        <f>SUMIFS(tabela_registros[VALOR],tabela_registros[MÊS],$AE$1,tabela_registros[DIA],novtotal3059718395107119131143155[[#Headers],[20]],tabela_registros[REGISTRO],DADOS!$N$4,tabela_registros[TIPO],DADOS!$P$4,tabela_registros[CATEGORIA],despesavariávelconsolidadonov[[#This Row],[DESPESA VARIÁVEL]])</f>
        <v>0</v>
      </c>
      <c r="Y61" s="91">
        <f>SUMIFS(tabela_registros[VALOR],tabela_registros[MÊS],$AE$1,tabela_registros[DIA],novtotal3059718395107119131143155[[#Headers],[21]],tabela_registros[REGISTRO],DADOS!$N$4,tabela_registros[TIPO],DADOS!$P$4,tabela_registros[CATEGORIA],despesavariávelconsolidadonov[[#This Row],[DESPESA VARIÁVEL]])</f>
        <v>0</v>
      </c>
      <c r="Z61" s="91">
        <f>SUMIFS(tabela_registros[VALOR],tabela_registros[MÊS],$AE$1,tabela_registros[DIA],novtotal3059718395107119131143155[[#Headers],[22]],tabela_registros[REGISTRO],DADOS!$N$4,tabela_registros[TIPO],DADOS!$P$4,tabela_registros[CATEGORIA],despesavariávelconsolidadonov[[#This Row],[DESPESA VARIÁVEL]])</f>
        <v>0</v>
      </c>
      <c r="AA61" s="91">
        <f>SUMIFS(tabela_registros[VALOR],tabela_registros[MÊS],$AE$1,tabela_registros[DIA],novtotal3059718395107119131143155[[#Headers],[23]],tabela_registros[REGISTRO],DADOS!$N$4,tabela_registros[TIPO],DADOS!$P$4,tabela_registros[CATEGORIA],despesavariávelconsolidadonov[[#This Row],[DESPESA VARIÁVEL]])</f>
        <v>0</v>
      </c>
      <c r="AB61" s="91">
        <f>SUMIFS(tabela_registros[VALOR],tabela_registros[MÊS],$AE$1,tabela_registros[DIA],novtotal3059718395107119131143155[[#Headers],[24]],tabela_registros[REGISTRO],DADOS!$N$4,tabela_registros[TIPO],DADOS!$P$4,tabela_registros[CATEGORIA],despesavariávelconsolidadonov[[#This Row],[DESPESA VARIÁVEL]])</f>
        <v>0</v>
      </c>
      <c r="AC61" s="91">
        <f>SUMIFS(tabela_registros[VALOR],tabela_registros[MÊS],$AE$1,tabela_registros[DIA],novtotal3059718395107119131143155[[#Headers],[25]],tabela_registros[REGISTRO],DADOS!$N$4,tabela_registros[TIPO],DADOS!$P$4,tabela_registros[CATEGORIA],despesavariávelconsolidadonov[[#This Row],[DESPESA VARIÁVEL]])</f>
        <v>0</v>
      </c>
      <c r="AD61" s="91">
        <f>SUMIFS(tabela_registros[VALOR],tabela_registros[MÊS],$AE$1,tabela_registros[DIA],novtotal3059718395107119131143155[[#Headers],[26]],tabela_registros[REGISTRO],DADOS!$N$4,tabela_registros[TIPO],DADOS!$P$4,tabela_registros[CATEGORIA],despesavariávelconsolidadonov[[#This Row],[DESPESA VARIÁVEL]])</f>
        <v>0</v>
      </c>
      <c r="AE61" s="91">
        <f>SUMIFS(tabela_registros[VALOR],tabela_registros[MÊS],$AE$1,tabela_registros[DIA],novtotal3059718395107119131143155[[#Headers],[27]],tabela_registros[REGISTRO],DADOS!$N$4,tabela_registros[TIPO],DADOS!$P$4,tabela_registros[CATEGORIA],despesavariávelconsolidadonov[[#This Row],[DESPESA VARIÁVEL]])</f>
        <v>0</v>
      </c>
      <c r="AF61" s="91">
        <f>SUMIFS(tabela_registros[VALOR],tabela_registros[MÊS],$AE$1,tabela_registros[DIA],novtotal3059718395107119131143155[[#Headers],[28]],tabela_registros[REGISTRO],DADOS!$N$4,tabela_registros[TIPO],DADOS!$P$4,tabela_registros[CATEGORIA],despesavariávelconsolidadonov[[#This Row],[DESPESA VARIÁVEL]])</f>
        <v>0</v>
      </c>
      <c r="AG61" s="91">
        <f>SUMIFS(tabela_registros[VALOR],tabela_registros[MÊS],$AE$1,tabela_registros[DIA],novtotal3059718395107119131143155[[#Headers],[29]],tabela_registros[REGISTRO],DADOS!$N$4,tabela_registros[TIPO],DADOS!$P$4,tabela_registros[CATEGORIA],despesavariávelconsolidadonov[[#This Row],[DESPESA VARIÁVEL]])</f>
        <v>0</v>
      </c>
      <c r="AH61" s="91">
        <f>SUMIFS(tabela_registros[VALOR],tabela_registros[MÊS],$AE$1,tabela_registros[DIA],novtotal3059718395107119131143155[[#Headers],[30]],tabela_registros[REGISTRO],DADOS!$N$4,tabela_registros[TIPO],DADOS!$P$4,tabela_registros[CATEGORIA],despesavariávelconsolidadonov[[#This Row],[DESPESA VARIÁVEL]])</f>
        <v>0</v>
      </c>
      <c r="AI61" s="101">
        <f>SUMIFS(tabela_registros[VALOR],tabela_registros[MÊS],$AE$1,tabela_registros[DIA],novtotal3059718395107119131143155[[#Headers],[31]],tabela_registros[REGISTRO],DADOS!$N$4,tabela_registros[TIPO],DADOS!$P$4,tabela_registros[CATEGORIA],despesavariávelconsolidadonov[[#This Row],[DESPESA VARIÁVEL]])</f>
        <v>0</v>
      </c>
      <c r="AJ61" s="97">
        <f>SUM(despesavariávelconsolidadonov[[#This Row],[1]:[31]])</f>
        <v>0</v>
      </c>
      <c r="AK61" s="28"/>
    </row>
    <row r="62" spans="2:37" ht="18" customHeight="1" thickTop="1" thickBot="1" x14ac:dyDescent="0.3">
      <c r="B62" s="28"/>
      <c r="C62" s="27" t="str">
        <f>DADOS!$T$5</f>
        <v>✍️ CHEQUE ESPECIAL</v>
      </c>
      <c r="D62" s="26" t="str">
        <f>IF(despesavariávelconsolidadonov[[#This Row],[TOTAL]]=0,"",IF(OR(despesavariávelconsolidadonov[[#This Row],[TOTAL]]=LARGE($AJ$60:$AJ$72,1),despesavariávelconsolidadonov[[#This Row],[TOTAL]]=LARGE($AJ$60:$AJ$72,2),despesavariávelconsolidadonov[[#This Row],[TOTAL]]=LARGE($AJ$60:$AJ$72,3),despesavariávelconsolidadonov[[#This Row],[TOTAL]]=LARGE($AJ$60:$AJ$72,4),despesavariávelconsolidadonov[[#This Row],[TOTAL]]=LARGE($AJ$60:$AJ$72,5)),DADOS!$I$8,""))</f>
        <v/>
      </c>
      <c r="E62" s="96">
        <f>SUMIFS(tabela_registros[VALOR],tabela_registros[MÊS],$AE$1,tabela_registros[DIA],novtotal3059718395107119131143155[[#Headers],[1]],tabela_registros[REGISTRO],DADOS!$N$4,tabela_registros[TIPO],DADOS!$P$4,tabela_registros[CATEGORIA],despesavariávelconsolidadonov[[#This Row],[DESPESA VARIÁVEL]])</f>
        <v>0</v>
      </c>
      <c r="F62" s="91">
        <f>SUMIFS(tabela_registros[VALOR],tabela_registros[MÊS],$AE$1,tabela_registros[DIA],novtotal3059718395107119131143155[[#Headers],[2]],tabela_registros[REGISTRO],DADOS!$N$4,tabela_registros[TIPO],DADOS!$P$4,tabela_registros[CATEGORIA],despesavariávelconsolidadonov[[#This Row],[DESPESA VARIÁVEL]])</f>
        <v>0</v>
      </c>
      <c r="G62" s="91">
        <f>SUMIFS(tabela_registros[VALOR],tabela_registros[MÊS],$AE$1,tabela_registros[DIA],novtotal3059718395107119131143155[[#Headers],[3]],tabela_registros[REGISTRO],DADOS!$N$4,tabela_registros[TIPO],DADOS!$P$4,tabela_registros[CATEGORIA],despesavariávelconsolidadonov[[#This Row],[DESPESA VARIÁVEL]])</f>
        <v>0</v>
      </c>
      <c r="H62" s="91">
        <f>SUMIFS(tabela_registros[VALOR],tabela_registros[MÊS],$AE$1,tabela_registros[DIA],novtotal3059718395107119131143155[[#Headers],[4]],tabela_registros[REGISTRO],DADOS!$N$4,tabela_registros[TIPO],DADOS!$P$4,tabela_registros[CATEGORIA],despesavariávelconsolidadonov[[#This Row],[DESPESA VARIÁVEL]])</f>
        <v>0</v>
      </c>
      <c r="I62" s="91">
        <f>SUMIFS(tabela_registros[VALOR],tabela_registros[MÊS],$AE$1,tabela_registros[DIA],novtotal3059718395107119131143155[[#Headers],[5]],tabela_registros[REGISTRO],DADOS!$N$4,tabela_registros[TIPO],DADOS!$P$4,tabela_registros[CATEGORIA],despesavariávelconsolidadonov[[#This Row],[DESPESA VARIÁVEL]])</f>
        <v>0</v>
      </c>
      <c r="J62" s="91">
        <f>SUMIFS(tabela_registros[VALOR],tabela_registros[MÊS],$AE$1,tabela_registros[DIA],novtotal3059718395107119131143155[[#Headers],[6]],tabela_registros[REGISTRO],DADOS!$N$4,tabela_registros[TIPO],DADOS!$P$4,tabela_registros[CATEGORIA],despesavariávelconsolidadonov[[#This Row],[DESPESA VARIÁVEL]])</f>
        <v>0</v>
      </c>
      <c r="K62" s="91">
        <f>SUMIFS(tabela_registros[VALOR],tabela_registros[MÊS],$AE$1,tabela_registros[DIA],novtotal3059718395107119131143155[[#Headers],[7]],tabela_registros[REGISTRO],DADOS!$N$4,tabela_registros[TIPO],DADOS!$P$4,tabela_registros[CATEGORIA],despesavariávelconsolidadonov[[#This Row],[DESPESA VARIÁVEL]])</f>
        <v>0</v>
      </c>
      <c r="L62" s="91">
        <f>SUMIFS(tabela_registros[VALOR],tabela_registros[MÊS],$AE$1,tabela_registros[DIA],novtotal3059718395107119131143155[[#Headers],[8]],tabela_registros[REGISTRO],DADOS!$N$4,tabela_registros[TIPO],DADOS!$P$4,tabela_registros[CATEGORIA],despesavariávelconsolidadonov[[#This Row],[DESPESA VARIÁVEL]])</f>
        <v>0</v>
      </c>
      <c r="M62" s="91">
        <f>SUMIFS(tabela_registros[VALOR],tabela_registros[MÊS],$AE$1,tabela_registros[DIA],novtotal3059718395107119131143155[[#Headers],[9]],tabela_registros[REGISTRO],DADOS!$N$4,tabela_registros[TIPO],DADOS!$P$4,tabela_registros[CATEGORIA],despesavariávelconsolidadonov[[#This Row],[DESPESA VARIÁVEL]])</f>
        <v>0</v>
      </c>
      <c r="N62" s="91">
        <f>SUMIFS(tabela_registros[VALOR],tabela_registros[MÊS],$AE$1,tabela_registros[DIA],novtotal3059718395107119131143155[[#Headers],[10]],tabela_registros[REGISTRO],DADOS!$N$4,tabela_registros[TIPO],DADOS!$P$4,tabela_registros[CATEGORIA],despesavariávelconsolidadonov[[#This Row],[DESPESA VARIÁVEL]])</f>
        <v>0</v>
      </c>
      <c r="O62" s="91">
        <f>SUMIFS(tabela_registros[VALOR],tabela_registros[MÊS],$AE$1,tabela_registros[DIA],novtotal3059718395107119131143155[[#Headers],[11]],tabela_registros[REGISTRO],DADOS!$N$4,tabela_registros[TIPO],DADOS!$P$4,tabela_registros[CATEGORIA],despesavariávelconsolidadonov[[#This Row],[DESPESA VARIÁVEL]])</f>
        <v>0</v>
      </c>
      <c r="P62" s="91">
        <f>SUMIFS(tabela_registros[VALOR],tabela_registros[MÊS],$AE$1,tabela_registros[DIA],novtotal3059718395107119131143155[[#Headers],[12]],tabela_registros[REGISTRO],DADOS!$N$4,tabela_registros[TIPO],DADOS!$P$4,tabela_registros[CATEGORIA],despesavariávelconsolidadonov[[#This Row],[DESPESA VARIÁVEL]])</f>
        <v>0</v>
      </c>
      <c r="Q62" s="91">
        <f>SUMIFS(tabela_registros[VALOR],tabela_registros[MÊS],$AE$1,tabela_registros[DIA],novtotal3059718395107119131143155[[#Headers],[13]],tabela_registros[REGISTRO],DADOS!$N$4,tabela_registros[TIPO],DADOS!$P$4,tabela_registros[CATEGORIA],despesavariávelconsolidadonov[[#This Row],[DESPESA VARIÁVEL]])</f>
        <v>0</v>
      </c>
      <c r="R62" s="91">
        <f>SUMIFS(tabela_registros[VALOR],tabela_registros[MÊS],$AE$1,tabela_registros[DIA],novtotal3059718395107119131143155[[#Headers],[14]],tabela_registros[REGISTRO],DADOS!$N$4,tabela_registros[TIPO],DADOS!$P$4,tabela_registros[CATEGORIA],despesavariávelconsolidadonov[[#This Row],[DESPESA VARIÁVEL]])</f>
        <v>0</v>
      </c>
      <c r="S62" s="91">
        <f>SUMIFS(tabela_registros[VALOR],tabela_registros[MÊS],$AE$1,tabela_registros[DIA],novtotal3059718395107119131143155[[#Headers],[15]],tabela_registros[REGISTRO],DADOS!$N$4,tabela_registros[TIPO],DADOS!$P$4,tabela_registros[CATEGORIA],despesavariávelconsolidadonov[[#This Row],[DESPESA VARIÁVEL]])</f>
        <v>0</v>
      </c>
      <c r="T62" s="91">
        <f>SUMIFS(tabela_registros[VALOR],tabela_registros[MÊS],$AE$1,tabela_registros[DIA],novtotal3059718395107119131143155[[#Headers],[16]],tabela_registros[REGISTRO],DADOS!$N$4,tabela_registros[TIPO],DADOS!$P$4,tabela_registros[CATEGORIA],despesavariávelconsolidadonov[[#This Row],[DESPESA VARIÁVEL]])</f>
        <v>0</v>
      </c>
      <c r="U62" s="91">
        <f>SUMIFS(tabela_registros[VALOR],tabela_registros[MÊS],$AE$1,tabela_registros[DIA],novtotal3059718395107119131143155[[#Headers],[17]],tabela_registros[REGISTRO],DADOS!$N$4,tabela_registros[TIPO],DADOS!$P$4,tabela_registros[CATEGORIA],despesavariávelconsolidadonov[[#This Row],[DESPESA VARIÁVEL]])</f>
        <v>0</v>
      </c>
      <c r="V62" s="91">
        <f>SUMIFS(tabela_registros[VALOR],tabela_registros[MÊS],$AE$1,tabela_registros[DIA],novtotal3059718395107119131143155[[#Headers],[18]],tabela_registros[REGISTRO],DADOS!$N$4,tabela_registros[TIPO],DADOS!$P$4,tabela_registros[CATEGORIA],despesavariávelconsolidadonov[[#This Row],[DESPESA VARIÁVEL]])</f>
        <v>0</v>
      </c>
      <c r="W62" s="91">
        <f>SUMIFS(tabela_registros[VALOR],tabela_registros[MÊS],$AE$1,tabela_registros[DIA],novtotal3059718395107119131143155[[#Headers],[19]],tabela_registros[REGISTRO],DADOS!$N$4,tabela_registros[TIPO],DADOS!$P$4,tabela_registros[CATEGORIA],despesavariávelconsolidadonov[[#This Row],[DESPESA VARIÁVEL]])</f>
        <v>0</v>
      </c>
      <c r="X62" s="91">
        <f>SUMIFS(tabela_registros[VALOR],tabela_registros[MÊS],$AE$1,tabela_registros[DIA],novtotal3059718395107119131143155[[#Headers],[20]],tabela_registros[REGISTRO],DADOS!$N$4,tabela_registros[TIPO],DADOS!$P$4,tabela_registros[CATEGORIA],despesavariávelconsolidadonov[[#This Row],[DESPESA VARIÁVEL]])</f>
        <v>0</v>
      </c>
      <c r="Y62" s="91">
        <f>SUMIFS(tabela_registros[VALOR],tabela_registros[MÊS],$AE$1,tabela_registros[DIA],novtotal3059718395107119131143155[[#Headers],[21]],tabela_registros[REGISTRO],DADOS!$N$4,tabela_registros[TIPO],DADOS!$P$4,tabela_registros[CATEGORIA],despesavariávelconsolidadonov[[#This Row],[DESPESA VARIÁVEL]])</f>
        <v>0</v>
      </c>
      <c r="Z62" s="91">
        <f>SUMIFS(tabela_registros[VALOR],tabela_registros[MÊS],$AE$1,tabela_registros[DIA],novtotal3059718395107119131143155[[#Headers],[22]],tabela_registros[REGISTRO],DADOS!$N$4,tabela_registros[TIPO],DADOS!$P$4,tabela_registros[CATEGORIA],despesavariávelconsolidadonov[[#This Row],[DESPESA VARIÁVEL]])</f>
        <v>0</v>
      </c>
      <c r="AA62" s="91">
        <f>SUMIFS(tabela_registros[VALOR],tabela_registros[MÊS],$AE$1,tabela_registros[DIA],novtotal3059718395107119131143155[[#Headers],[23]],tabela_registros[REGISTRO],DADOS!$N$4,tabela_registros[TIPO],DADOS!$P$4,tabela_registros[CATEGORIA],despesavariávelconsolidadonov[[#This Row],[DESPESA VARIÁVEL]])</f>
        <v>0</v>
      </c>
      <c r="AB62" s="91">
        <f>SUMIFS(tabela_registros[VALOR],tabela_registros[MÊS],$AE$1,tabela_registros[DIA],novtotal3059718395107119131143155[[#Headers],[24]],tabela_registros[REGISTRO],DADOS!$N$4,tabela_registros[TIPO],DADOS!$P$4,tabela_registros[CATEGORIA],despesavariávelconsolidadonov[[#This Row],[DESPESA VARIÁVEL]])</f>
        <v>0</v>
      </c>
      <c r="AC62" s="91">
        <f>SUMIFS(tabela_registros[VALOR],tabela_registros[MÊS],$AE$1,tabela_registros[DIA],novtotal3059718395107119131143155[[#Headers],[25]],tabela_registros[REGISTRO],DADOS!$N$4,tabela_registros[TIPO],DADOS!$P$4,tabela_registros[CATEGORIA],despesavariávelconsolidadonov[[#This Row],[DESPESA VARIÁVEL]])</f>
        <v>0</v>
      </c>
      <c r="AD62" s="91">
        <f>SUMIFS(tabela_registros[VALOR],tabela_registros[MÊS],$AE$1,tabela_registros[DIA],novtotal3059718395107119131143155[[#Headers],[26]],tabela_registros[REGISTRO],DADOS!$N$4,tabela_registros[TIPO],DADOS!$P$4,tabela_registros[CATEGORIA],despesavariávelconsolidadonov[[#This Row],[DESPESA VARIÁVEL]])</f>
        <v>0</v>
      </c>
      <c r="AE62" s="91">
        <f>SUMIFS(tabela_registros[VALOR],tabela_registros[MÊS],$AE$1,tabela_registros[DIA],novtotal3059718395107119131143155[[#Headers],[27]],tabela_registros[REGISTRO],DADOS!$N$4,tabela_registros[TIPO],DADOS!$P$4,tabela_registros[CATEGORIA],despesavariávelconsolidadonov[[#This Row],[DESPESA VARIÁVEL]])</f>
        <v>0</v>
      </c>
      <c r="AF62" s="91">
        <f>SUMIFS(tabela_registros[VALOR],tabela_registros[MÊS],$AE$1,tabela_registros[DIA],novtotal3059718395107119131143155[[#Headers],[28]],tabela_registros[REGISTRO],DADOS!$N$4,tabela_registros[TIPO],DADOS!$P$4,tabela_registros[CATEGORIA],despesavariávelconsolidadonov[[#This Row],[DESPESA VARIÁVEL]])</f>
        <v>0</v>
      </c>
      <c r="AG62" s="91">
        <f>SUMIFS(tabela_registros[VALOR],tabela_registros[MÊS],$AE$1,tabela_registros[DIA],novtotal3059718395107119131143155[[#Headers],[29]],tabela_registros[REGISTRO],DADOS!$N$4,tabela_registros[TIPO],DADOS!$P$4,tabela_registros[CATEGORIA],despesavariávelconsolidadonov[[#This Row],[DESPESA VARIÁVEL]])</f>
        <v>0</v>
      </c>
      <c r="AH62" s="91">
        <f>SUMIFS(tabela_registros[VALOR],tabela_registros[MÊS],$AE$1,tabela_registros[DIA],novtotal3059718395107119131143155[[#Headers],[30]],tabela_registros[REGISTRO],DADOS!$N$4,tabela_registros[TIPO],DADOS!$P$4,tabela_registros[CATEGORIA],despesavariávelconsolidadonov[[#This Row],[DESPESA VARIÁVEL]])</f>
        <v>0</v>
      </c>
      <c r="AI62" s="101">
        <f>SUMIFS(tabela_registros[VALOR],tabela_registros[MÊS],$AE$1,tabela_registros[DIA],novtotal3059718395107119131143155[[#Headers],[31]],tabela_registros[REGISTRO],DADOS!$N$4,tabela_registros[TIPO],DADOS!$P$4,tabela_registros[CATEGORIA],despesavariávelconsolidadonov[[#This Row],[DESPESA VARIÁVEL]])</f>
        <v>0</v>
      </c>
      <c r="AJ62" s="97">
        <f>SUM(despesavariávelconsolidadonov[[#This Row],[1]:[31]])</f>
        <v>0</v>
      </c>
      <c r="AK62" s="28"/>
    </row>
    <row r="63" spans="2:37" ht="18" customHeight="1" thickTop="1" thickBot="1" x14ac:dyDescent="0.3">
      <c r="B63" s="28"/>
      <c r="C63" s="27" t="str">
        <f>DADOS!$T$6</f>
        <v>💄 CUIDADOS PESSOAIS</v>
      </c>
      <c r="D63" s="26" t="str">
        <f>IF(despesavariávelconsolidadonov[[#This Row],[TOTAL]]=0,"",IF(OR(despesavariávelconsolidadonov[[#This Row],[TOTAL]]=LARGE($AJ$60:$AJ$72,1),despesavariávelconsolidadonov[[#This Row],[TOTAL]]=LARGE($AJ$60:$AJ$72,2),despesavariávelconsolidadonov[[#This Row],[TOTAL]]=LARGE($AJ$60:$AJ$72,3),despesavariávelconsolidadonov[[#This Row],[TOTAL]]=LARGE($AJ$60:$AJ$72,4),despesavariávelconsolidadonov[[#This Row],[TOTAL]]=LARGE($AJ$60:$AJ$72,5)),DADOS!$I$8,""))</f>
        <v/>
      </c>
      <c r="E63" s="96">
        <f>SUMIFS(tabela_registros[VALOR],tabela_registros[MÊS],$AE$1,tabela_registros[DIA],novtotal3059718395107119131143155[[#Headers],[1]],tabela_registros[REGISTRO],DADOS!$N$4,tabela_registros[TIPO],DADOS!$P$4,tabela_registros[CATEGORIA],despesavariávelconsolidadonov[[#This Row],[DESPESA VARIÁVEL]])</f>
        <v>0</v>
      </c>
      <c r="F63" s="91">
        <f>SUMIFS(tabela_registros[VALOR],tabela_registros[MÊS],$AE$1,tabela_registros[DIA],novtotal3059718395107119131143155[[#Headers],[2]],tabela_registros[REGISTRO],DADOS!$N$4,tabela_registros[TIPO],DADOS!$P$4,tabela_registros[CATEGORIA],despesavariávelconsolidadonov[[#This Row],[DESPESA VARIÁVEL]])</f>
        <v>0</v>
      </c>
      <c r="G63" s="91">
        <f>SUMIFS(tabela_registros[VALOR],tabela_registros[MÊS],$AE$1,tabela_registros[DIA],novtotal3059718395107119131143155[[#Headers],[3]],tabela_registros[REGISTRO],DADOS!$N$4,tabela_registros[TIPO],DADOS!$P$4,tabela_registros[CATEGORIA],despesavariávelconsolidadonov[[#This Row],[DESPESA VARIÁVEL]])</f>
        <v>0</v>
      </c>
      <c r="H63" s="91">
        <f>SUMIFS(tabela_registros[VALOR],tabela_registros[MÊS],$AE$1,tabela_registros[DIA],novtotal3059718395107119131143155[[#Headers],[4]],tabela_registros[REGISTRO],DADOS!$N$4,tabela_registros[TIPO],DADOS!$P$4,tabela_registros[CATEGORIA],despesavariávelconsolidadonov[[#This Row],[DESPESA VARIÁVEL]])</f>
        <v>0</v>
      </c>
      <c r="I63" s="91">
        <f>SUMIFS(tabela_registros[VALOR],tabela_registros[MÊS],$AE$1,tabela_registros[DIA],novtotal3059718395107119131143155[[#Headers],[5]],tabela_registros[REGISTRO],DADOS!$N$4,tabela_registros[TIPO],DADOS!$P$4,tabela_registros[CATEGORIA],despesavariávelconsolidadonov[[#This Row],[DESPESA VARIÁVEL]])</f>
        <v>0</v>
      </c>
      <c r="J63" s="91">
        <f>SUMIFS(tabela_registros[VALOR],tabela_registros[MÊS],$AE$1,tabela_registros[DIA],novtotal3059718395107119131143155[[#Headers],[6]],tabela_registros[REGISTRO],DADOS!$N$4,tabela_registros[TIPO],DADOS!$P$4,tabela_registros[CATEGORIA],despesavariávelconsolidadonov[[#This Row],[DESPESA VARIÁVEL]])</f>
        <v>0</v>
      </c>
      <c r="K63" s="91">
        <f>SUMIFS(tabela_registros[VALOR],tabela_registros[MÊS],$AE$1,tabela_registros[DIA],novtotal3059718395107119131143155[[#Headers],[7]],tabela_registros[REGISTRO],DADOS!$N$4,tabela_registros[TIPO],DADOS!$P$4,tabela_registros[CATEGORIA],despesavariávelconsolidadonov[[#This Row],[DESPESA VARIÁVEL]])</f>
        <v>0</v>
      </c>
      <c r="L63" s="91">
        <f>SUMIFS(tabela_registros[VALOR],tabela_registros[MÊS],$AE$1,tabela_registros[DIA],novtotal3059718395107119131143155[[#Headers],[8]],tabela_registros[REGISTRO],DADOS!$N$4,tabela_registros[TIPO],DADOS!$P$4,tabela_registros[CATEGORIA],despesavariávelconsolidadonov[[#This Row],[DESPESA VARIÁVEL]])</f>
        <v>0</v>
      </c>
      <c r="M63" s="91">
        <f>SUMIFS(tabela_registros[VALOR],tabela_registros[MÊS],$AE$1,tabela_registros[DIA],novtotal3059718395107119131143155[[#Headers],[9]],tabela_registros[REGISTRO],DADOS!$N$4,tabela_registros[TIPO],DADOS!$P$4,tabela_registros[CATEGORIA],despesavariávelconsolidadonov[[#This Row],[DESPESA VARIÁVEL]])</f>
        <v>0</v>
      </c>
      <c r="N63" s="91">
        <f>SUMIFS(tabela_registros[VALOR],tabela_registros[MÊS],$AE$1,tabela_registros[DIA],novtotal3059718395107119131143155[[#Headers],[10]],tabela_registros[REGISTRO],DADOS!$N$4,tabela_registros[TIPO],DADOS!$P$4,tabela_registros[CATEGORIA],despesavariávelconsolidadonov[[#This Row],[DESPESA VARIÁVEL]])</f>
        <v>0</v>
      </c>
      <c r="O63" s="91">
        <f>SUMIFS(tabela_registros[VALOR],tabela_registros[MÊS],$AE$1,tabela_registros[DIA],novtotal3059718395107119131143155[[#Headers],[11]],tabela_registros[REGISTRO],DADOS!$N$4,tabela_registros[TIPO],DADOS!$P$4,tabela_registros[CATEGORIA],despesavariávelconsolidadonov[[#This Row],[DESPESA VARIÁVEL]])</f>
        <v>0</v>
      </c>
      <c r="P63" s="91">
        <f>SUMIFS(tabela_registros[VALOR],tabela_registros[MÊS],$AE$1,tabela_registros[DIA],novtotal3059718395107119131143155[[#Headers],[12]],tabela_registros[REGISTRO],DADOS!$N$4,tabela_registros[TIPO],DADOS!$P$4,tabela_registros[CATEGORIA],despesavariávelconsolidadonov[[#This Row],[DESPESA VARIÁVEL]])</f>
        <v>0</v>
      </c>
      <c r="Q63" s="91">
        <f>SUMIFS(tabela_registros[VALOR],tabela_registros[MÊS],$AE$1,tabela_registros[DIA],novtotal3059718395107119131143155[[#Headers],[13]],tabela_registros[REGISTRO],DADOS!$N$4,tabela_registros[TIPO],DADOS!$P$4,tabela_registros[CATEGORIA],despesavariávelconsolidadonov[[#This Row],[DESPESA VARIÁVEL]])</f>
        <v>0</v>
      </c>
      <c r="R63" s="91">
        <f>SUMIFS(tabela_registros[VALOR],tabela_registros[MÊS],$AE$1,tabela_registros[DIA],novtotal3059718395107119131143155[[#Headers],[14]],tabela_registros[REGISTRO],DADOS!$N$4,tabela_registros[TIPO],DADOS!$P$4,tabela_registros[CATEGORIA],despesavariávelconsolidadonov[[#This Row],[DESPESA VARIÁVEL]])</f>
        <v>0</v>
      </c>
      <c r="S63" s="91">
        <f>SUMIFS(tabela_registros[VALOR],tabela_registros[MÊS],$AE$1,tabela_registros[DIA],novtotal3059718395107119131143155[[#Headers],[15]],tabela_registros[REGISTRO],DADOS!$N$4,tabela_registros[TIPO],DADOS!$P$4,tabela_registros[CATEGORIA],despesavariávelconsolidadonov[[#This Row],[DESPESA VARIÁVEL]])</f>
        <v>0</v>
      </c>
      <c r="T63" s="91">
        <f>SUMIFS(tabela_registros[VALOR],tabela_registros[MÊS],$AE$1,tabela_registros[DIA],novtotal3059718395107119131143155[[#Headers],[16]],tabela_registros[REGISTRO],DADOS!$N$4,tabela_registros[TIPO],DADOS!$P$4,tabela_registros[CATEGORIA],despesavariávelconsolidadonov[[#This Row],[DESPESA VARIÁVEL]])</f>
        <v>0</v>
      </c>
      <c r="U63" s="91">
        <f>SUMIFS(tabela_registros[VALOR],tabela_registros[MÊS],$AE$1,tabela_registros[DIA],novtotal3059718395107119131143155[[#Headers],[17]],tabela_registros[REGISTRO],DADOS!$N$4,tabela_registros[TIPO],DADOS!$P$4,tabela_registros[CATEGORIA],despesavariávelconsolidadonov[[#This Row],[DESPESA VARIÁVEL]])</f>
        <v>0</v>
      </c>
      <c r="V63" s="91">
        <f>SUMIFS(tabela_registros[VALOR],tabela_registros[MÊS],$AE$1,tabela_registros[DIA],novtotal3059718395107119131143155[[#Headers],[18]],tabela_registros[REGISTRO],DADOS!$N$4,tabela_registros[TIPO],DADOS!$P$4,tabela_registros[CATEGORIA],despesavariávelconsolidadonov[[#This Row],[DESPESA VARIÁVEL]])</f>
        <v>0</v>
      </c>
      <c r="W63" s="91">
        <f>SUMIFS(tabela_registros[VALOR],tabela_registros[MÊS],$AE$1,tabela_registros[DIA],novtotal3059718395107119131143155[[#Headers],[19]],tabela_registros[REGISTRO],DADOS!$N$4,tabela_registros[TIPO],DADOS!$P$4,tabela_registros[CATEGORIA],despesavariávelconsolidadonov[[#This Row],[DESPESA VARIÁVEL]])</f>
        <v>0</v>
      </c>
      <c r="X63" s="91">
        <f>SUMIFS(tabela_registros[VALOR],tabela_registros[MÊS],$AE$1,tabela_registros[DIA],novtotal3059718395107119131143155[[#Headers],[20]],tabela_registros[REGISTRO],DADOS!$N$4,tabela_registros[TIPO],DADOS!$P$4,tabela_registros[CATEGORIA],despesavariávelconsolidadonov[[#This Row],[DESPESA VARIÁVEL]])</f>
        <v>0</v>
      </c>
      <c r="Y63" s="91">
        <f>SUMIFS(tabela_registros[VALOR],tabela_registros[MÊS],$AE$1,tabela_registros[DIA],novtotal3059718395107119131143155[[#Headers],[21]],tabela_registros[REGISTRO],DADOS!$N$4,tabela_registros[TIPO],DADOS!$P$4,tabela_registros[CATEGORIA],despesavariávelconsolidadonov[[#This Row],[DESPESA VARIÁVEL]])</f>
        <v>0</v>
      </c>
      <c r="Z63" s="91">
        <f>SUMIFS(tabela_registros[VALOR],tabela_registros[MÊS],$AE$1,tabela_registros[DIA],novtotal3059718395107119131143155[[#Headers],[22]],tabela_registros[REGISTRO],DADOS!$N$4,tabela_registros[TIPO],DADOS!$P$4,tabela_registros[CATEGORIA],despesavariávelconsolidadonov[[#This Row],[DESPESA VARIÁVEL]])</f>
        <v>0</v>
      </c>
      <c r="AA63" s="91">
        <f>SUMIFS(tabela_registros[VALOR],tabela_registros[MÊS],$AE$1,tabela_registros[DIA],novtotal3059718395107119131143155[[#Headers],[23]],tabela_registros[REGISTRO],DADOS!$N$4,tabela_registros[TIPO],DADOS!$P$4,tabela_registros[CATEGORIA],despesavariávelconsolidadonov[[#This Row],[DESPESA VARIÁVEL]])</f>
        <v>0</v>
      </c>
      <c r="AB63" s="91">
        <f>SUMIFS(tabela_registros[VALOR],tabela_registros[MÊS],$AE$1,tabela_registros[DIA],novtotal3059718395107119131143155[[#Headers],[24]],tabela_registros[REGISTRO],DADOS!$N$4,tabela_registros[TIPO],DADOS!$P$4,tabela_registros[CATEGORIA],despesavariávelconsolidadonov[[#This Row],[DESPESA VARIÁVEL]])</f>
        <v>0</v>
      </c>
      <c r="AC63" s="91">
        <f>SUMIFS(tabela_registros[VALOR],tabela_registros[MÊS],$AE$1,tabela_registros[DIA],novtotal3059718395107119131143155[[#Headers],[25]],tabela_registros[REGISTRO],DADOS!$N$4,tabela_registros[TIPO],DADOS!$P$4,tabela_registros[CATEGORIA],despesavariávelconsolidadonov[[#This Row],[DESPESA VARIÁVEL]])</f>
        <v>0</v>
      </c>
      <c r="AD63" s="91">
        <f>SUMIFS(tabela_registros[VALOR],tabela_registros[MÊS],$AE$1,tabela_registros[DIA],novtotal3059718395107119131143155[[#Headers],[26]],tabela_registros[REGISTRO],DADOS!$N$4,tabela_registros[TIPO],DADOS!$P$4,tabela_registros[CATEGORIA],despesavariávelconsolidadonov[[#This Row],[DESPESA VARIÁVEL]])</f>
        <v>0</v>
      </c>
      <c r="AE63" s="91">
        <f>SUMIFS(tabela_registros[VALOR],tabela_registros[MÊS],$AE$1,tabela_registros[DIA],novtotal3059718395107119131143155[[#Headers],[27]],tabela_registros[REGISTRO],DADOS!$N$4,tabela_registros[TIPO],DADOS!$P$4,tabela_registros[CATEGORIA],despesavariávelconsolidadonov[[#This Row],[DESPESA VARIÁVEL]])</f>
        <v>0</v>
      </c>
      <c r="AF63" s="91">
        <f>SUMIFS(tabela_registros[VALOR],tabela_registros[MÊS],$AE$1,tabela_registros[DIA],novtotal3059718395107119131143155[[#Headers],[28]],tabela_registros[REGISTRO],DADOS!$N$4,tabela_registros[TIPO],DADOS!$P$4,tabela_registros[CATEGORIA],despesavariávelconsolidadonov[[#This Row],[DESPESA VARIÁVEL]])</f>
        <v>0</v>
      </c>
      <c r="AG63" s="91">
        <f>SUMIFS(tabela_registros[VALOR],tabela_registros[MÊS],$AE$1,tabela_registros[DIA],novtotal3059718395107119131143155[[#Headers],[29]],tabela_registros[REGISTRO],DADOS!$N$4,tabela_registros[TIPO],DADOS!$P$4,tabela_registros[CATEGORIA],despesavariávelconsolidadonov[[#This Row],[DESPESA VARIÁVEL]])</f>
        <v>0</v>
      </c>
      <c r="AH63" s="91">
        <f>SUMIFS(tabela_registros[VALOR],tabela_registros[MÊS],$AE$1,tabela_registros[DIA],novtotal3059718395107119131143155[[#Headers],[30]],tabela_registros[REGISTRO],DADOS!$N$4,tabela_registros[TIPO],DADOS!$P$4,tabela_registros[CATEGORIA],despesavariávelconsolidadonov[[#This Row],[DESPESA VARIÁVEL]])</f>
        <v>0</v>
      </c>
      <c r="AI63" s="101">
        <f>SUMIFS(tabela_registros[VALOR],tabela_registros[MÊS],$AE$1,tabela_registros[DIA],novtotal3059718395107119131143155[[#Headers],[31]],tabela_registros[REGISTRO],DADOS!$N$4,tabela_registros[TIPO],DADOS!$P$4,tabela_registros[CATEGORIA],despesavariávelconsolidadonov[[#This Row],[DESPESA VARIÁVEL]])</f>
        <v>0</v>
      </c>
      <c r="AJ63" s="97">
        <f>SUM(despesavariávelconsolidadonov[[#This Row],[1]:[31]])</f>
        <v>0</v>
      </c>
      <c r="AK63" s="28"/>
    </row>
    <row r="64" spans="2:37" ht="18" customHeight="1" thickTop="1" thickBot="1" x14ac:dyDescent="0.3">
      <c r="B64" s="28"/>
      <c r="C64" s="27" t="str">
        <f>DADOS!$T$7</f>
        <v>🤝 DOAÇÃO</v>
      </c>
      <c r="D64" s="26" t="str">
        <f>IF(despesavariávelconsolidadonov[[#This Row],[TOTAL]]=0,"",IF(OR(despesavariávelconsolidadonov[[#This Row],[TOTAL]]=LARGE($AJ$60:$AJ$72,1),despesavariávelconsolidadonov[[#This Row],[TOTAL]]=LARGE($AJ$60:$AJ$72,2),despesavariávelconsolidadonov[[#This Row],[TOTAL]]=LARGE($AJ$60:$AJ$72,3),despesavariávelconsolidadonov[[#This Row],[TOTAL]]=LARGE($AJ$60:$AJ$72,4),despesavariávelconsolidadonov[[#This Row],[TOTAL]]=LARGE($AJ$60:$AJ$72,5)),DADOS!$I$8,""))</f>
        <v/>
      </c>
      <c r="E64" s="96">
        <f>SUMIFS(tabela_registros[VALOR],tabela_registros[MÊS],$AE$1,tabela_registros[DIA],novtotal3059718395107119131143155[[#Headers],[1]],tabela_registros[REGISTRO],DADOS!$N$4,tabela_registros[TIPO],DADOS!$P$4,tabela_registros[CATEGORIA],despesavariávelconsolidadonov[[#This Row],[DESPESA VARIÁVEL]])</f>
        <v>0</v>
      </c>
      <c r="F64" s="91">
        <f>SUMIFS(tabela_registros[VALOR],tabela_registros[MÊS],$AE$1,tabela_registros[DIA],novtotal3059718395107119131143155[[#Headers],[2]],tabela_registros[REGISTRO],DADOS!$N$4,tabela_registros[TIPO],DADOS!$P$4,tabela_registros[CATEGORIA],despesavariávelconsolidadonov[[#This Row],[DESPESA VARIÁVEL]])</f>
        <v>0</v>
      </c>
      <c r="G64" s="91">
        <f>SUMIFS(tabela_registros[VALOR],tabela_registros[MÊS],$AE$1,tabela_registros[DIA],novtotal3059718395107119131143155[[#Headers],[3]],tabela_registros[REGISTRO],DADOS!$N$4,tabela_registros[TIPO],DADOS!$P$4,tabela_registros[CATEGORIA],despesavariávelconsolidadonov[[#This Row],[DESPESA VARIÁVEL]])</f>
        <v>0</v>
      </c>
      <c r="H64" s="91">
        <f>SUMIFS(tabela_registros[VALOR],tabela_registros[MÊS],$AE$1,tabela_registros[DIA],novtotal3059718395107119131143155[[#Headers],[4]],tabela_registros[REGISTRO],DADOS!$N$4,tabela_registros[TIPO],DADOS!$P$4,tabela_registros[CATEGORIA],despesavariávelconsolidadonov[[#This Row],[DESPESA VARIÁVEL]])</f>
        <v>0</v>
      </c>
      <c r="I64" s="91">
        <f>SUMIFS(tabela_registros[VALOR],tabela_registros[MÊS],$AE$1,tabela_registros[DIA],novtotal3059718395107119131143155[[#Headers],[5]],tabela_registros[REGISTRO],DADOS!$N$4,tabela_registros[TIPO],DADOS!$P$4,tabela_registros[CATEGORIA],despesavariávelconsolidadonov[[#This Row],[DESPESA VARIÁVEL]])</f>
        <v>0</v>
      </c>
      <c r="J64" s="91">
        <f>SUMIFS(tabela_registros[VALOR],tabela_registros[MÊS],$AE$1,tabela_registros[DIA],novtotal3059718395107119131143155[[#Headers],[6]],tabela_registros[REGISTRO],DADOS!$N$4,tabela_registros[TIPO],DADOS!$P$4,tabela_registros[CATEGORIA],despesavariávelconsolidadonov[[#This Row],[DESPESA VARIÁVEL]])</f>
        <v>0</v>
      </c>
      <c r="K64" s="91">
        <f>SUMIFS(tabela_registros[VALOR],tabela_registros[MÊS],$AE$1,tabela_registros[DIA],novtotal3059718395107119131143155[[#Headers],[7]],tabela_registros[REGISTRO],DADOS!$N$4,tabela_registros[TIPO],DADOS!$P$4,tabela_registros[CATEGORIA],despesavariávelconsolidadonov[[#This Row],[DESPESA VARIÁVEL]])</f>
        <v>0</v>
      </c>
      <c r="L64" s="91">
        <f>SUMIFS(tabela_registros[VALOR],tabela_registros[MÊS],$AE$1,tabela_registros[DIA],novtotal3059718395107119131143155[[#Headers],[8]],tabela_registros[REGISTRO],DADOS!$N$4,tabela_registros[TIPO],DADOS!$P$4,tabela_registros[CATEGORIA],despesavariávelconsolidadonov[[#This Row],[DESPESA VARIÁVEL]])</f>
        <v>0</v>
      </c>
      <c r="M64" s="91">
        <f>SUMIFS(tabela_registros[VALOR],tabela_registros[MÊS],$AE$1,tabela_registros[DIA],novtotal3059718395107119131143155[[#Headers],[9]],tabela_registros[REGISTRO],DADOS!$N$4,tabela_registros[TIPO],DADOS!$P$4,tabela_registros[CATEGORIA],despesavariávelconsolidadonov[[#This Row],[DESPESA VARIÁVEL]])</f>
        <v>0</v>
      </c>
      <c r="N64" s="91">
        <f>SUMIFS(tabela_registros[VALOR],tabela_registros[MÊS],$AE$1,tabela_registros[DIA],novtotal3059718395107119131143155[[#Headers],[10]],tabela_registros[REGISTRO],DADOS!$N$4,tabela_registros[TIPO],DADOS!$P$4,tabela_registros[CATEGORIA],despesavariávelconsolidadonov[[#This Row],[DESPESA VARIÁVEL]])</f>
        <v>0</v>
      </c>
      <c r="O64" s="91">
        <f>SUMIFS(tabela_registros[VALOR],tabela_registros[MÊS],$AE$1,tabela_registros[DIA],novtotal3059718395107119131143155[[#Headers],[11]],tabela_registros[REGISTRO],DADOS!$N$4,tabela_registros[TIPO],DADOS!$P$4,tabela_registros[CATEGORIA],despesavariávelconsolidadonov[[#This Row],[DESPESA VARIÁVEL]])</f>
        <v>0</v>
      </c>
      <c r="P64" s="91">
        <f>SUMIFS(tabela_registros[VALOR],tabela_registros[MÊS],$AE$1,tabela_registros[DIA],novtotal3059718395107119131143155[[#Headers],[12]],tabela_registros[REGISTRO],DADOS!$N$4,tabela_registros[TIPO],DADOS!$P$4,tabela_registros[CATEGORIA],despesavariávelconsolidadonov[[#This Row],[DESPESA VARIÁVEL]])</f>
        <v>0</v>
      </c>
      <c r="Q64" s="91">
        <f>SUMIFS(tabela_registros[VALOR],tabela_registros[MÊS],$AE$1,tabela_registros[DIA],novtotal3059718395107119131143155[[#Headers],[13]],tabela_registros[REGISTRO],DADOS!$N$4,tabela_registros[TIPO],DADOS!$P$4,tabela_registros[CATEGORIA],despesavariávelconsolidadonov[[#This Row],[DESPESA VARIÁVEL]])</f>
        <v>0</v>
      </c>
      <c r="R64" s="91">
        <f>SUMIFS(tabela_registros[VALOR],tabela_registros[MÊS],$AE$1,tabela_registros[DIA],novtotal3059718395107119131143155[[#Headers],[14]],tabela_registros[REGISTRO],DADOS!$N$4,tabela_registros[TIPO],DADOS!$P$4,tabela_registros[CATEGORIA],despesavariávelconsolidadonov[[#This Row],[DESPESA VARIÁVEL]])</f>
        <v>0</v>
      </c>
      <c r="S64" s="91">
        <f>SUMIFS(tabela_registros[VALOR],tabela_registros[MÊS],$AE$1,tabela_registros[DIA],novtotal3059718395107119131143155[[#Headers],[15]],tabela_registros[REGISTRO],DADOS!$N$4,tabela_registros[TIPO],DADOS!$P$4,tabela_registros[CATEGORIA],despesavariávelconsolidadonov[[#This Row],[DESPESA VARIÁVEL]])</f>
        <v>0</v>
      </c>
      <c r="T64" s="91">
        <f>SUMIFS(tabela_registros[VALOR],tabela_registros[MÊS],$AE$1,tabela_registros[DIA],novtotal3059718395107119131143155[[#Headers],[16]],tabela_registros[REGISTRO],DADOS!$N$4,tabela_registros[TIPO],DADOS!$P$4,tabela_registros[CATEGORIA],despesavariávelconsolidadonov[[#This Row],[DESPESA VARIÁVEL]])</f>
        <v>0</v>
      </c>
      <c r="U64" s="91">
        <f>SUMIFS(tabela_registros[VALOR],tabela_registros[MÊS],$AE$1,tabela_registros[DIA],novtotal3059718395107119131143155[[#Headers],[17]],tabela_registros[REGISTRO],DADOS!$N$4,tabela_registros[TIPO],DADOS!$P$4,tabela_registros[CATEGORIA],despesavariávelconsolidadonov[[#This Row],[DESPESA VARIÁVEL]])</f>
        <v>0</v>
      </c>
      <c r="V64" s="91">
        <f>SUMIFS(tabela_registros[VALOR],tabela_registros[MÊS],$AE$1,tabela_registros[DIA],novtotal3059718395107119131143155[[#Headers],[18]],tabela_registros[REGISTRO],DADOS!$N$4,tabela_registros[TIPO],DADOS!$P$4,tabela_registros[CATEGORIA],despesavariávelconsolidadonov[[#This Row],[DESPESA VARIÁVEL]])</f>
        <v>0</v>
      </c>
      <c r="W64" s="91">
        <f>SUMIFS(tabela_registros[VALOR],tabela_registros[MÊS],$AE$1,tabela_registros[DIA],novtotal3059718395107119131143155[[#Headers],[19]],tabela_registros[REGISTRO],DADOS!$N$4,tabela_registros[TIPO],DADOS!$P$4,tabela_registros[CATEGORIA],despesavariávelconsolidadonov[[#This Row],[DESPESA VARIÁVEL]])</f>
        <v>0</v>
      </c>
      <c r="X64" s="91">
        <f>SUMIFS(tabela_registros[VALOR],tabela_registros[MÊS],$AE$1,tabela_registros[DIA],novtotal3059718395107119131143155[[#Headers],[20]],tabela_registros[REGISTRO],DADOS!$N$4,tabela_registros[TIPO],DADOS!$P$4,tabela_registros[CATEGORIA],despesavariávelconsolidadonov[[#This Row],[DESPESA VARIÁVEL]])</f>
        <v>0</v>
      </c>
      <c r="Y64" s="91">
        <f>SUMIFS(tabela_registros[VALOR],tabela_registros[MÊS],$AE$1,tabela_registros[DIA],novtotal3059718395107119131143155[[#Headers],[21]],tabela_registros[REGISTRO],DADOS!$N$4,tabela_registros[TIPO],DADOS!$P$4,tabela_registros[CATEGORIA],despesavariávelconsolidadonov[[#This Row],[DESPESA VARIÁVEL]])</f>
        <v>0</v>
      </c>
      <c r="Z64" s="91">
        <f>SUMIFS(tabela_registros[VALOR],tabela_registros[MÊS],$AE$1,tabela_registros[DIA],novtotal3059718395107119131143155[[#Headers],[22]],tabela_registros[REGISTRO],DADOS!$N$4,tabela_registros[TIPO],DADOS!$P$4,tabela_registros[CATEGORIA],despesavariávelconsolidadonov[[#This Row],[DESPESA VARIÁVEL]])</f>
        <v>0</v>
      </c>
      <c r="AA64" s="91">
        <f>SUMIFS(tabela_registros[VALOR],tabela_registros[MÊS],$AE$1,tabela_registros[DIA],novtotal3059718395107119131143155[[#Headers],[23]],tabela_registros[REGISTRO],DADOS!$N$4,tabela_registros[TIPO],DADOS!$P$4,tabela_registros[CATEGORIA],despesavariávelconsolidadonov[[#This Row],[DESPESA VARIÁVEL]])</f>
        <v>0</v>
      </c>
      <c r="AB64" s="91">
        <f>SUMIFS(tabela_registros[VALOR],tabela_registros[MÊS],$AE$1,tabela_registros[DIA],novtotal3059718395107119131143155[[#Headers],[24]],tabela_registros[REGISTRO],DADOS!$N$4,tabela_registros[TIPO],DADOS!$P$4,tabela_registros[CATEGORIA],despesavariávelconsolidadonov[[#This Row],[DESPESA VARIÁVEL]])</f>
        <v>0</v>
      </c>
      <c r="AC64" s="91">
        <f>SUMIFS(tabela_registros[VALOR],tabela_registros[MÊS],$AE$1,tabela_registros[DIA],novtotal3059718395107119131143155[[#Headers],[25]],tabela_registros[REGISTRO],DADOS!$N$4,tabela_registros[TIPO],DADOS!$P$4,tabela_registros[CATEGORIA],despesavariávelconsolidadonov[[#This Row],[DESPESA VARIÁVEL]])</f>
        <v>0</v>
      </c>
      <c r="AD64" s="91">
        <f>SUMIFS(tabela_registros[VALOR],tabela_registros[MÊS],$AE$1,tabela_registros[DIA],novtotal3059718395107119131143155[[#Headers],[26]],tabela_registros[REGISTRO],DADOS!$N$4,tabela_registros[TIPO],DADOS!$P$4,tabela_registros[CATEGORIA],despesavariávelconsolidadonov[[#This Row],[DESPESA VARIÁVEL]])</f>
        <v>0</v>
      </c>
      <c r="AE64" s="91">
        <f>SUMIFS(tabela_registros[VALOR],tabela_registros[MÊS],$AE$1,tabela_registros[DIA],novtotal3059718395107119131143155[[#Headers],[27]],tabela_registros[REGISTRO],DADOS!$N$4,tabela_registros[TIPO],DADOS!$P$4,tabela_registros[CATEGORIA],despesavariávelconsolidadonov[[#This Row],[DESPESA VARIÁVEL]])</f>
        <v>0</v>
      </c>
      <c r="AF64" s="91">
        <f>SUMIFS(tabela_registros[VALOR],tabela_registros[MÊS],$AE$1,tabela_registros[DIA],novtotal3059718395107119131143155[[#Headers],[28]],tabela_registros[REGISTRO],DADOS!$N$4,tabela_registros[TIPO],DADOS!$P$4,tabela_registros[CATEGORIA],despesavariávelconsolidadonov[[#This Row],[DESPESA VARIÁVEL]])</f>
        <v>0</v>
      </c>
      <c r="AG64" s="91">
        <f>SUMIFS(tabela_registros[VALOR],tabela_registros[MÊS],$AE$1,tabela_registros[DIA],novtotal3059718395107119131143155[[#Headers],[29]],tabela_registros[REGISTRO],DADOS!$N$4,tabela_registros[TIPO],DADOS!$P$4,tabela_registros[CATEGORIA],despesavariávelconsolidadonov[[#This Row],[DESPESA VARIÁVEL]])</f>
        <v>0</v>
      </c>
      <c r="AH64" s="91">
        <f>SUMIFS(tabela_registros[VALOR],tabela_registros[MÊS],$AE$1,tabela_registros[DIA],novtotal3059718395107119131143155[[#Headers],[30]],tabela_registros[REGISTRO],DADOS!$N$4,tabela_registros[TIPO],DADOS!$P$4,tabela_registros[CATEGORIA],despesavariávelconsolidadonov[[#This Row],[DESPESA VARIÁVEL]])</f>
        <v>0</v>
      </c>
      <c r="AI64" s="101">
        <f>SUMIFS(tabela_registros[VALOR],tabela_registros[MÊS],$AE$1,tabela_registros[DIA],novtotal3059718395107119131143155[[#Headers],[31]],tabela_registros[REGISTRO],DADOS!$N$4,tabela_registros[TIPO],DADOS!$P$4,tabela_registros[CATEGORIA],despesavariávelconsolidadonov[[#This Row],[DESPESA VARIÁVEL]])</f>
        <v>0</v>
      </c>
      <c r="AJ64" s="97">
        <f>SUM(despesavariávelconsolidadonov[[#This Row],[1]:[31]])</f>
        <v>0</v>
      </c>
      <c r="AK64" s="28"/>
    </row>
    <row r="65" spans="2:37" ht="18" customHeight="1" thickTop="1" thickBot="1" x14ac:dyDescent="0.3">
      <c r="B65" s="28"/>
      <c r="C65" s="27" t="str">
        <f>DADOS!$T$8</f>
        <v>📖 EDUCAÇÃO</v>
      </c>
      <c r="D65" s="26" t="str">
        <f>IF(despesavariávelconsolidadonov[[#This Row],[TOTAL]]=0,"",IF(OR(despesavariávelconsolidadonov[[#This Row],[TOTAL]]=LARGE($AJ$60:$AJ$72,1),despesavariávelconsolidadonov[[#This Row],[TOTAL]]=LARGE($AJ$60:$AJ$72,2),despesavariávelconsolidadonov[[#This Row],[TOTAL]]=LARGE($AJ$60:$AJ$72,3),despesavariávelconsolidadonov[[#This Row],[TOTAL]]=LARGE($AJ$60:$AJ$72,4),despesavariávelconsolidadonov[[#This Row],[TOTAL]]=LARGE($AJ$60:$AJ$72,5)),DADOS!$I$8,""))</f>
        <v/>
      </c>
      <c r="E65" s="96">
        <f>SUMIFS(tabela_registros[VALOR],tabela_registros[MÊS],$AE$1,tabela_registros[DIA],novtotal3059718395107119131143155[[#Headers],[1]],tabela_registros[REGISTRO],DADOS!$N$4,tabela_registros[TIPO],DADOS!$P$4,tabela_registros[CATEGORIA],despesavariávelconsolidadonov[[#This Row],[DESPESA VARIÁVEL]])</f>
        <v>0</v>
      </c>
      <c r="F65" s="91">
        <f>SUMIFS(tabela_registros[VALOR],tabela_registros[MÊS],$AE$1,tabela_registros[DIA],novtotal3059718395107119131143155[[#Headers],[2]],tabela_registros[REGISTRO],DADOS!$N$4,tabela_registros[TIPO],DADOS!$P$4,tabela_registros[CATEGORIA],despesavariávelconsolidadonov[[#This Row],[DESPESA VARIÁVEL]])</f>
        <v>0</v>
      </c>
      <c r="G65" s="91">
        <f>SUMIFS(tabela_registros[VALOR],tabela_registros[MÊS],$AE$1,tabela_registros[DIA],novtotal3059718395107119131143155[[#Headers],[3]],tabela_registros[REGISTRO],DADOS!$N$4,tabela_registros[TIPO],DADOS!$P$4,tabela_registros[CATEGORIA],despesavariávelconsolidadonov[[#This Row],[DESPESA VARIÁVEL]])</f>
        <v>0</v>
      </c>
      <c r="H65" s="91">
        <f>SUMIFS(tabela_registros[VALOR],tabela_registros[MÊS],$AE$1,tabela_registros[DIA],novtotal3059718395107119131143155[[#Headers],[4]],tabela_registros[REGISTRO],DADOS!$N$4,tabela_registros[TIPO],DADOS!$P$4,tabela_registros[CATEGORIA],despesavariávelconsolidadonov[[#This Row],[DESPESA VARIÁVEL]])</f>
        <v>0</v>
      </c>
      <c r="I65" s="91">
        <f>SUMIFS(tabela_registros[VALOR],tabela_registros[MÊS],$AE$1,tabela_registros[DIA],novtotal3059718395107119131143155[[#Headers],[5]],tabela_registros[REGISTRO],DADOS!$N$4,tabela_registros[TIPO],DADOS!$P$4,tabela_registros[CATEGORIA],despesavariávelconsolidadonov[[#This Row],[DESPESA VARIÁVEL]])</f>
        <v>0</v>
      </c>
      <c r="J65" s="91">
        <f>SUMIFS(tabela_registros[VALOR],tabela_registros[MÊS],$AE$1,tabela_registros[DIA],novtotal3059718395107119131143155[[#Headers],[6]],tabela_registros[REGISTRO],DADOS!$N$4,tabela_registros[TIPO],DADOS!$P$4,tabela_registros[CATEGORIA],despesavariávelconsolidadonov[[#This Row],[DESPESA VARIÁVEL]])</f>
        <v>0</v>
      </c>
      <c r="K65" s="91">
        <f>SUMIFS(tabela_registros[VALOR],tabela_registros[MÊS],$AE$1,tabela_registros[DIA],novtotal3059718395107119131143155[[#Headers],[7]],tabela_registros[REGISTRO],DADOS!$N$4,tabela_registros[TIPO],DADOS!$P$4,tabela_registros[CATEGORIA],despesavariávelconsolidadonov[[#This Row],[DESPESA VARIÁVEL]])</f>
        <v>0</v>
      </c>
      <c r="L65" s="91">
        <f>SUMIFS(tabela_registros[VALOR],tabela_registros[MÊS],$AE$1,tabela_registros[DIA],novtotal3059718395107119131143155[[#Headers],[8]],tabela_registros[REGISTRO],DADOS!$N$4,tabela_registros[TIPO],DADOS!$P$4,tabela_registros[CATEGORIA],despesavariávelconsolidadonov[[#This Row],[DESPESA VARIÁVEL]])</f>
        <v>0</v>
      </c>
      <c r="M65" s="91">
        <f>SUMIFS(tabela_registros[VALOR],tabela_registros[MÊS],$AE$1,tabela_registros[DIA],novtotal3059718395107119131143155[[#Headers],[9]],tabela_registros[REGISTRO],DADOS!$N$4,tabela_registros[TIPO],DADOS!$P$4,tabela_registros[CATEGORIA],despesavariávelconsolidadonov[[#This Row],[DESPESA VARIÁVEL]])</f>
        <v>0</v>
      </c>
      <c r="N65" s="91">
        <f>SUMIFS(tabela_registros[VALOR],tabela_registros[MÊS],$AE$1,tabela_registros[DIA],novtotal3059718395107119131143155[[#Headers],[10]],tabela_registros[REGISTRO],DADOS!$N$4,tabela_registros[TIPO],DADOS!$P$4,tabela_registros[CATEGORIA],despesavariávelconsolidadonov[[#This Row],[DESPESA VARIÁVEL]])</f>
        <v>0</v>
      </c>
      <c r="O65" s="91">
        <f>SUMIFS(tabela_registros[VALOR],tabela_registros[MÊS],$AE$1,tabela_registros[DIA],novtotal3059718395107119131143155[[#Headers],[11]],tabela_registros[REGISTRO],DADOS!$N$4,tabela_registros[TIPO],DADOS!$P$4,tabela_registros[CATEGORIA],despesavariávelconsolidadonov[[#This Row],[DESPESA VARIÁVEL]])</f>
        <v>0</v>
      </c>
      <c r="P65" s="91">
        <f>SUMIFS(tabela_registros[VALOR],tabela_registros[MÊS],$AE$1,tabela_registros[DIA],novtotal3059718395107119131143155[[#Headers],[12]],tabela_registros[REGISTRO],DADOS!$N$4,tabela_registros[TIPO],DADOS!$P$4,tabela_registros[CATEGORIA],despesavariávelconsolidadonov[[#This Row],[DESPESA VARIÁVEL]])</f>
        <v>0</v>
      </c>
      <c r="Q65" s="91">
        <f>SUMIFS(tabela_registros[VALOR],tabela_registros[MÊS],$AE$1,tabela_registros[DIA],novtotal3059718395107119131143155[[#Headers],[13]],tabela_registros[REGISTRO],DADOS!$N$4,tabela_registros[TIPO],DADOS!$P$4,tabela_registros[CATEGORIA],despesavariávelconsolidadonov[[#This Row],[DESPESA VARIÁVEL]])</f>
        <v>0</v>
      </c>
      <c r="R65" s="91">
        <f>SUMIFS(tabela_registros[VALOR],tabela_registros[MÊS],$AE$1,tabela_registros[DIA],novtotal3059718395107119131143155[[#Headers],[14]],tabela_registros[REGISTRO],DADOS!$N$4,tabela_registros[TIPO],DADOS!$P$4,tabela_registros[CATEGORIA],despesavariávelconsolidadonov[[#This Row],[DESPESA VARIÁVEL]])</f>
        <v>0</v>
      </c>
      <c r="S65" s="91">
        <f>SUMIFS(tabela_registros[VALOR],tabela_registros[MÊS],$AE$1,tabela_registros[DIA],novtotal3059718395107119131143155[[#Headers],[15]],tabela_registros[REGISTRO],DADOS!$N$4,tabela_registros[TIPO],DADOS!$P$4,tabela_registros[CATEGORIA],despesavariávelconsolidadonov[[#This Row],[DESPESA VARIÁVEL]])</f>
        <v>0</v>
      </c>
      <c r="T65" s="91">
        <f>SUMIFS(tabela_registros[VALOR],tabela_registros[MÊS],$AE$1,tabela_registros[DIA],novtotal3059718395107119131143155[[#Headers],[16]],tabela_registros[REGISTRO],DADOS!$N$4,tabela_registros[TIPO],DADOS!$P$4,tabela_registros[CATEGORIA],despesavariávelconsolidadonov[[#This Row],[DESPESA VARIÁVEL]])</f>
        <v>0</v>
      </c>
      <c r="U65" s="91">
        <f>SUMIFS(tabela_registros[VALOR],tabela_registros[MÊS],$AE$1,tabela_registros[DIA],novtotal3059718395107119131143155[[#Headers],[17]],tabela_registros[REGISTRO],DADOS!$N$4,tabela_registros[TIPO],DADOS!$P$4,tabela_registros[CATEGORIA],despesavariávelconsolidadonov[[#This Row],[DESPESA VARIÁVEL]])</f>
        <v>0</v>
      </c>
      <c r="V65" s="91">
        <f>SUMIFS(tabela_registros[VALOR],tabela_registros[MÊS],$AE$1,tabela_registros[DIA],novtotal3059718395107119131143155[[#Headers],[18]],tabela_registros[REGISTRO],DADOS!$N$4,tabela_registros[TIPO],DADOS!$P$4,tabela_registros[CATEGORIA],despesavariávelconsolidadonov[[#This Row],[DESPESA VARIÁVEL]])</f>
        <v>0</v>
      </c>
      <c r="W65" s="91">
        <f>SUMIFS(tabela_registros[VALOR],tabela_registros[MÊS],$AE$1,tabela_registros[DIA],novtotal3059718395107119131143155[[#Headers],[19]],tabela_registros[REGISTRO],DADOS!$N$4,tabela_registros[TIPO],DADOS!$P$4,tabela_registros[CATEGORIA],despesavariávelconsolidadonov[[#This Row],[DESPESA VARIÁVEL]])</f>
        <v>0</v>
      </c>
      <c r="X65" s="91">
        <f>SUMIFS(tabela_registros[VALOR],tabela_registros[MÊS],$AE$1,tabela_registros[DIA],novtotal3059718395107119131143155[[#Headers],[20]],tabela_registros[REGISTRO],DADOS!$N$4,tabela_registros[TIPO],DADOS!$P$4,tabela_registros[CATEGORIA],despesavariávelconsolidadonov[[#This Row],[DESPESA VARIÁVEL]])</f>
        <v>0</v>
      </c>
      <c r="Y65" s="91">
        <f>SUMIFS(tabela_registros[VALOR],tabela_registros[MÊS],$AE$1,tabela_registros[DIA],novtotal3059718395107119131143155[[#Headers],[21]],tabela_registros[REGISTRO],DADOS!$N$4,tabela_registros[TIPO],DADOS!$P$4,tabela_registros[CATEGORIA],despesavariávelconsolidadonov[[#This Row],[DESPESA VARIÁVEL]])</f>
        <v>0</v>
      </c>
      <c r="Z65" s="91">
        <f>SUMIFS(tabela_registros[VALOR],tabela_registros[MÊS],$AE$1,tabela_registros[DIA],novtotal3059718395107119131143155[[#Headers],[22]],tabela_registros[REGISTRO],DADOS!$N$4,tabela_registros[TIPO],DADOS!$P$4,tabela_registros[CATEGORIA],despesavariávelconsolidadonov[[#This Row],[DESPESA VARIÁVEL]])</f>
        <v>0</v>
      </c>
      <c r="AA65" s="91">
        <f>SUMIFS(tabela_registros[VALOR],tabela_registros[MÊS],$AE$1,tabela_registros[DIA],novtotal3059718395107119131143155[[#Headers],[23]],tabela_registros[REGISTRO],DADOS!$N$4,tabela_registros[TIPO],DADOS!$P$4,tabela_registros[CATEGORIA],despesavariávelconsolidadonov[[#This Row],[DESPESA VARIÁVEL]])</f>
        <v>0</v>
      </c>
      <c r="AB65" s="91">
        <f>SUMIFS(tabela_registros[VALOR],tabela_registros[MÊS],$AE$1,tabela_registros[DIA],novtotal3059718395107119131143155[[#Headers],[24]],tabela_registros[REGISTRO],DADOS!$N$4,tabela_registros[TIPO],DADOS!$P$4,tabela_registros[CATEGORIA],despesavariávelconsolidadonov[[#This Row],[DESPESA VARIÁVEL]])</f>
        <v>0</v>
      </c>
      <c r="AC65" s="91">
        <f>SUMIFS(tabela_registros[VALOR],tabela_registros[MÊS],$AE$1,tabela_registros[DIA],novtotal3059718395107119131143155[[#Headers],[25]],tabela_registros[REGISTRO],DADOS!$N$4,tabela_registros[TIPO],DADOS!$P$4,tabela_registros[CATEGORIA],despesavariávelconsolidadonov[[#This Row],[DESPESA VARIÁVEL]])</f>
        <v>0</v>
      </c>
      <c r="AD65" s="91">
        <f>SUMIFS(tabela_registros[VALOR],tabela_registros[MÊS],$AE$1,tabela_registros[DIA],novtotal3059718395107119131143155[[#Headers],[26]],tabela_registros[REGISTRO],DADOS!$N$4,tabela_registros[TIPO],DADOS!$P$4,tabela_registros[CATEGORIA],despesavariávelconsolidadonov[[#This Row],[DESPESA VARIÁVEL]])</f>
        <v>0</v>
      </c>
      <c r="AE65" s="91">
        <f>SUMIFS(tabela_registros[VALOR],tabela_registros[MÊS],$AE$1,tabela_registros[DIA],novtotal3059718395107119131143155[[#Headers],[27]],tabela_registros[REGISTRO],DADOS!$N$4,tabela_registros[TIPO],DADOS!$P$4,tabela_registros[CATEGORIA],despesavariávelconsolidadonov[[#This Row],[DESPESA VARIÁVEL]])</f>
        <v>0</v>
      </c>
      <c r="AF65" s="91">
        <f>SUMIFS(tabela_registros[VALOR],tabela_registros[MÊS],$AE$1,tabela_registros[DIA],novtotal3059718395107119131143155[[#Headers],[28]],tabela_registros[REGISTRO],DADOS!$N$4,tabela_registros[TIPO],DADOS!$P$4,tabela_registros[CATEGORIA],despesavariávelconsolidadonov[[#This Row],[DESPESA VARIÁVEL]])</f>
        <v>0</v>
      </c>
      <c r="AG65" s="91">
        <f>SUMIFS(tabela_registros[VALOR],tabela_registros[MÊS],$AE$1,tabela_registros[DIA],novtotal3059718395107119131143155[[#Headers],[29]],tabela_registros[REGISTRO],DADOS!$N$4,tabela_registros[TIPO],DADOS!$P$4,tabela_registros[CATEGORIA],despesavariávelconsolidadonov[[#This Row],[DESPESA VARIÁVEL]])</f>
        <v>0</v>
      </c>
      <c r="AH65" s="91">
        <f>SUMIFS(tabela_registros[VALOR],tabela_registros[MÊS],$AE$1,tabela_registros[DIA],novtotal3059718395107119131143155[[#Headers],[30]],tabela_registros[REGISTRO],DADOS!$N$4,tabela_registros[TIPO],DADOS!$P$4,tabela_registros[CATEGORIA],despesavariávelconsolidadonov[[#This Row],[DESPESA VARIÁVEL]])</f>
        <v>0</v>
      </c>
      <c r="AI65" s="101">
        <f>SUMIFS(tabela_registros[VALOR],tabela_registros[MÊS],$AE$1,tabela_registros[DIA],novtotal3059718395107119131143155[[#Headers],[31]],tabela_registros[REGISTRO],DADOS!$N$4,tabela_registros[TIPO],DADOS!$P$4,tabela_registros[CATEGORIA],despesavariávelconsolidadonov[[#This Row],[DESPESA VARIÁVEL]])</f>
        <v>0</v>
      </c>
      <c r="AJ65" s="97">
        <f>SUM(despesavariávelconsolidadonov[[#This Row],[1]:[31]])</f>
        <v>0</v>
      </c>
      <c r="AK65" s="28"/>
    </row>
    <row r="66" spans="2:37" ht="18" customHeight="1" thickTop="1" thickBot="1" x14ac:dyDescent="0.3">
      <c r="B66" s="28"/>
      <c r="C66" s="27" t="str">
        <f>DADOS!$T$9</f>
        <v>🎭 LAZER</v>
      </c>
      <c r="D66" s="26" t="str">
        <f>IF(despesavariávelconsolidadonov[[#This Row],[TOTAL]]=0,"",IF(OR(despesavariávelconsolidadonov[[#This Row],[TOTAL]]=LARGE($AJ$60:$AJ$72,1),despesavariávelconsolidadonov[[#This Row],[TOTAL]]=LARGE($AJ$60:$AJ$72,2),despesavariávelconsolidadonov[[#This Row],[TOTAL]]=LARGE($AJ$60:$AJ$72,3),despesavariávelconsolidadonov[[#This Row],[TOTAL]]=LARGE($AJ$60:$AJ$72,4),despesavariávelconsolidadonov[[#This Row],[TOTAL]]=LARGE($AJ$60:$AJ$72,5)),DADOS!$I$8,""))</f>
        <v/>
      </c>
      <c r="E66" s="96">
        <f>SUMIFS(tabela_registros[VALOR],tabela_registros[MÊS],$AE$1,tabela_registros[DIA],novtotal3059718395107119131143155[[#Headers],[1]],tabela_registros[REGISTRO],DADOS!$N$4,tabela_registros[TIPO],DADOS!$P$4,tabela_registros[CATEGORIA],despesavariávelconsolidadonov[[#This Row],[DESPESA VARIÁVEL]])</f>
        <v>0</v>
      </c>
      <c r="F66" s="91">
        <f>SUMIFS(tabela_registros[VALOR],tabela_registros[MÊS],$AE$1,tabela_registros[DIA],novtotal3059718395107119131143155[[#Headers],[2]],tabela_registros[REGISTRO],DADOS!$N$4,tabela_registros[TIPO],DADOS!$P$4,tabela_registros[CATEGORIA],despesavariávelconsolidadonov[[#This Row],[DESPESA VARIÁVEL]])</f>
        <v>0</v>
      </c>
      <c r="G66" s="91">
        <f>SUMIFS(tabela_registros[VALOR],tabela_registros[MÊS],$AE$1,tabela_registros[DIA],novtotal3059718395107119131143155[[#Headers],[3]],tabela_registros[REGISTRO],DADOS!$N$4,tabela_registros[TIPO],DADOS!$P$4,tabela_registros[CATEGORIA],despesavariávelconsolidadonov[[#This Row],[DESPESA VARIÁVEL]])</f>
        <v>0</v>
      </c>
      <c r="H66" s="91">
        <f>SUMIFS(tabela_registros[VALOR],tabela_registros[MÊS],$AE$1,tabela_registros[DIA],novtotal3059718395107119131143155[[#Headers],[4]],tabela_registros[REGISTRO],DADOS!$N$4,tabela_registros[TIPO],DADOS!$P$4,tabela_registros[CATEGORIA],despesavariávelconsolidadonov[[#This Row],[DESPESA VARIÁVEL]])</f>
        <v>0</v>
      </c>
      <c r="I66" s="91">
        <f>SUMIFS(tabela_registros[VALOR],tabela_registros[MÊS],$AE$1,tabela_registros[DIA],novtotal3059718395107119131143155[[#Headers],[5]],tabela_registros[REGISTRO],DADOS!$N$4,tabela_registros[TIPO],DADOS!$P$4,tabela_registros[CATEGORIA],despesavariávelconsolidadonov[[#This Row],[DESPESA VARIÁVEL]])</f>
        <v>0</v>
      </c>
      <c r="J66" s="91">
        <f>SUMIFS(tabela_registros[VALOR],tabela_registros[MÊS],$AE$1,tabela_registros[DIA],novtotal3059718395107119131143155[[#Headers],[6]],tabela_registros[REGISTRO],DADOS!$N$4,tabela_registros[TIPO],DADOS!$P$4,tabela_registros[CATEGORIA],despesavariávelconsolidadonov[[#This Row],[DESPESA VARIÁVEL]])</f>
        <v>0</v>
      </c>
      <c r="K66" s="91">
        <f>SUMIFS(tabela_registros[VALOR],tabela_registros[MÊS],$AE$1,tabela_registros[DIA],novtotal3059718395107119131143155[[#Headers],[7]],tabela_registros[REGISTRO],DADOS!$N$4,tabela_registros[TIPO],DADOS!$P$4,tabela_registros[CATEGORIA],despesavariávelconsolidadonov[[#This Row],[DESPESA VARIÁVEL]])</f>
        <v>0</v>
      </c>
      <c r="L66" s="91">
        <f>SUMIFS(tabela_registros[VALOR],tabela_registros[MÊS],$AE$1,tabela_registros[DIA],novtotal3059718395107119131143155[[#Headers],[8]],tabela_registros[REGISTRO],DADOS!$N$4,tabela_registros[TIPO],DADOS!$P$4,tabela_registros[CATEGORIA],despesavariávelconsolidadonov[[#This Row],[DESPESA VARIÁVEL]])</f>
        <v>0</v>
      </c>
      <c r="M66" s="91">
        <f>SUMIFS(tabela_registros[VALOR],tabela_registros[MÊS],$AE$1,tabela_registros[DIA],novtotal3059718395107119131143155[[#Headers],[9]],tabela_registros[REGISTRO],DADOS!$N$4,tabela_registros[TIPO],DADOS!$P$4,tabela_registros[CATEGORIA],despesavariávelconsolidadonov[[#This Row],[DESPESA VARIÁVEL]])</f>
        <v>0</v>
      </c>
      <c r="N66" s="91">
        <f>SUMIFS(tabela_registros[VALOR],tabela_registros[MÊS],$AE$1,tabela_registros[DIA],novtotal3059718395107119131143155[[#Headers],[10]],tabela_registros[REGISTRO],DADOS!$N$4,tabela_registros[TIPO],DADOS!$P$4,tabela_registros[CATEGORIA],despesavariávelconsolidadonov[[#This Row],[DESPESA VARIÁVEL]])</f>
        <v>0</v>
      </c>
      <c r="O66" s="91">
        <f>SUMIFS(tabela_registros[VALOR],tabela_registros[MÊS],$AE$1,tabela_registros[DIA],novtotal3059718395107119131143155[[#Headers],[11]],tabela_registros[REGISTRO],DADOS!$N$4,tabela_registros[TIPO],DADOS!$P$4,tabela_registros[CATEGORIA],despesavariávelconsolidadonov[[#This Row],[DESPESA VARIÁVEL]])</f>
        <v>0</v>
      </c>
      <c r="P66" s="91">
        <f>SUMIFS(tabela_registros[VALOR],tabela_registros[MÊS],$AE$1,tabela_registros[DIA],novtotal3059718395107119131143155[[#Headers],[12]],tabela_registros[REGISTRO],DADOS!$N$4,tabela_registros[TIPO],DADOS!$P$4,tabela_registros[CATEGORIA],despesavariávelconsolidadonov[[#This Row],[DESPESA VARIÁVEL]])</f>
        <v>0</v>
      </c>
      <c r="Q66" s="91">
        <f>SUMIFS(tabela_registros[VALOR],tabela_registros[MÊS],$AE$1,tabela_registros[DIA],novtotal3059718395107119131143155[[#Headers],[13]],tabela_registros[REGISTRO],DADOS!$N$4,tabela_registros[TIPO],DADOS!$P$4,tabela_registros[CATEGORIA],despesavariávelconsolidadonov[[#This Row],[DESPESA VARIÁVEL]])</f>
        <v>0</v>
      </c>
      <c r="R66" s="91">
        <f>SUMIFS(tabela_registros[VALOR],tabela_registros[MÊS],$AE$1,tabela_registros[DIA],novtotal3059718395107119131143155[[#Headers],[14]],tabela_registros[REGISTRO],DADOS!$N$4,tabela_registros[TIPO],DADOS!$P$4,tabela_registros[CATEGORIA],despesavariávelconsolidadonov[[#This Row],[DESPESA VARIÁVEL]])</f>
        <v>0</v>
      </c>
      <c r="S66" s="91">
        <f>SUMIFS(tabela_registros[VALOR],tabela_registros[MÊS],$AE$1,tabela_registros[DIA],novtotal3059718395107119131143155[[#Headers],[15]],tabela_registros[REGISTRO],DADOS!$N$4,tabela_registros[TIPO],DADOS!$P$4,tabela_registros[CATEGORIA],despesavariávelconsolidadonov[[#This Row],[DESPESA VARIÁVEL]])</f>
        <v>0</v>
      </c>
      <c r="T66" s="91">
        <f>SUMIFS(tabela_registros[VALOR],tabela_registros[MÊS],$AE$1,tabela_registros[DIA],novtotal3059718395107119131143155[[#Headers],[16]],tabela_registros[REGISTRO],DADOS!$N$4,tabela_registros[TIPO],DADOS!$P$4,tabela_registros[CATEGORIA],despesavariávelconsolidadonov[[#This Row],[DESPESA VARIÁVEL]])</f>
        <v>0</v>
      </c>
      <c r="U66" s="91">
        <f>SUMIFS(tabela_registros[VALOR],tabela_registros[MÊS],$AE$1,tabela_registros[DIA],novtotal3059718395107119131143155[[#Headers],[17]],tabela_registros[REGISTRO],DADOS!$N$4,tabela_registros[TIPO],DADOS!$P$4,tabela_registros[CATEGORIA],despesavariávelconsolidadonov[[#This Row],[DESPESA VARIÁVEL]])</f>
        <v>0</v>
      </c>
      <c r="V66" s="91">
        <f>SUMIFS(tabela_registros[VALOR],tabela_registros[MÊS],$AE$1,tabela_registros[DIA],novtotal3059718395107119131143155[[#Headers],[18]],tabela_registros[REGISTRO],DADOS!$N$4,tabela_registros[TIPO],DADOS!$P$4,tabela_registros[CATEGORIA],despesavariávelconsolidadonov[[#This Row],[DESPESA VARIÁVEL]])</f>
        <v>0</v>
      </c>
      <c r="W66" s="91">
        <f>SUMIFS(tabela_registros[VALOR],tabela_registros[MÊS],$AE$1,tabela_registros[DIA],novtotal3059718395107119131143155[[#Headers],[19]],tabela_registros[REGISTRO],DADOS!$N$4,tabela_registros[TIPO],DADOS!$P$4,tabela_registros[CATEGORIA],despesavariávelconsolidadonov[[#This Row],[DESPESA VARIÁVEL]])</f>
        <v>0</v>
      </c>
      <c r="X66" s="91">
        <f>SUMIFS(tabela_registros[VALOR],tabela_registros[MÊS],$AE$1,tabela_registros[DIA],novtotal3059718395107119131143155[[#Headers],[20]],tabela_registros[REGISTRO],DADOS!$N$4,tabela_registros[TIPO],DADOS!$P$4,tabela_registros[CATEGORIA],despesavariávelconsolidadonov[[#This Row],[DESPESA VARIÁVEL]])</f>
        <v>0</v>
      </c>
      <c r="Y66" s="91">
        <f>SUMIFS(tabela_registros[VALOR],tabela_registros[MÊS],$AE$1,tabela_registros[DIA],novtotal3059718395107119131143155[[#Headers],[21]],tabela_registros[REGISTRO],DADOS!$N$4,tabela_registros[TIPO],DADOS!$P$4,tabela_registros[CATEGORIA],despesavariávelconsolidadonov[[#This Row],[DESPESA VARIÁVEL]])</f>
        <v>0</v>
      </c>
      <c r="Z66" s="91">
        <f>SUMIFS(tabela_registros[VALOR],tabela_registros[MÊS],$AE$1,tabela_registros[DIA],novtotal3059718395107119131143155[[#Headers],[22]],tabela_registros[REGISTRO],DADOS!$N$4,tabela_registros[TIPO],DADOS!$P$4,tabela_registros[CATEGORIA],despesavariávelconsolidadonov[[#This Row],[DESPESA VARIÁVEL]])</f>
        <v>0</v>
      </c>
      <c r="AA66" s="91">
        <f>SUMIFS(tabela_registros[VALOR],tabela_registros[MÊS],$AE$1,tabela_registros[DIA],novtotal3059718395107119131143155[[#Headers],[23]],tabela_registros[REGISTRO],DADOS!$N$4,tabela_registros[TIPO],DADOS!$P$4,tabela_registros[CATEGORIA],despesavariávelconsolidadonov[[#This Row],[DESPESA VARIÁVEL]])</f>
        <v>0</v>
      </c>
      <c r="AB66" s="91">
        <f>SUMIFS(tabela_registros[VALOR],tabela_registros[MÊS],$AE$1,tabela_registros[DIA],novtotal3059718395107119131143155[[#Headers],[24]],tabela_registros[REGISTRO],DADOS!$N$4,tabela_registros[TIPO],DADOS!$P$4,tabela_registros[CATEGORIA],despesavariávelconsolidadonov[[#This Row],[DESPESA VARIÁVEL]])</f>
        <v>0</v>
      </c>
      <c r="AC66" s="91">
        <f>SUMIFS(tabela_registros[VALOR],tabela_registros[MÊS],$AE$1,tabela_registros[DIA],novtotal3059718395107119131143155[[#Headers],[25]],tabela_registros[REGISTRO],DADOS!$N$4,tabela_registros[TIPO],DADOS!$P$4,tabela_registros[CATEGORIA],despesavariávelconsolidadonov[[#This Row],[DESPESA VARIÁVEL]])</f>
        <v>0</v>
      </c>
      <c r="AD66" s="91">
        <f>SUMIFS(tabela_registros[VALOR],tabela_registros[MÊS],$AE$1,tabela_registros[DIA],novtotal3059718395107119131143155[[#Headers],[26]],tabela_registros[REGISTRO],DADOS!$N$4,tabela_registros[TIPO],DADOS!$P$4,tabela_registros[CATEGORIA],despesavariávelconsolidadonov[[#This Row],[DESPESA VARIÁVEL]])</f>
        <v>0</v>
      </c>
      <c r="AE66" s="91">
        <f>SUMIFS(tabela_registros[VALOR],tabela_registros[MÊS],$AE$1,tabela_registros[DIA],novtotal3059718395107119131143155[[#Headers],[27]],tabela_registros[REGISTRO],DADOS!$N$4,tabela_registros[TIPO],DADOS!$P$4,tabela_registros[CATEGORIA],despesavariávelconsolidadonov[[#This Row],[DESPESA VARIÁVEL]])</f>
        <v>0</v>
      </c>
      <c r="AF66" s="91">
        <f>SUMIFS(tabela_registros[VALOR],tabela_registros[MÊS],$AE$1,tabela_registros[DIA],novtotal3059718395107119131143155[[#Headers],[28]],tabela_registros[REGISTRO],DADOS!$N$4,tabela_registros[TIPO],DADOS!$P$4,tabela_registros[CATEGORIA],despesavariávelconsolidadonov[[#This Row],[DESPESA VARIÁVEL]])</f>
        <v>0</v>
      </c>
      <c r="AG66" s="91">
        <f>SUMIFS(tabela_registros[VALOR],tabela_registros[MÊS],$AE$1,tabela_registros[DIA],novtotal3059718395107119131143155[[#Headers],[29]],tabela_registros[REGISTRO],DADOS!$N$4,tabela_registros[TIPO],DADOS!$P$4,tabela_registros[CATEGORIA],despesavariávelconsolidadonov[[#This Row],[DESPESA VARIÁVEL]])</f>
        <v>0</v>
      </c>
      <c r="AH66" s="91">
        <f>SUMIFS(tabela_registros[VALOR],tabela_registros[MÊS],$AE$1,tabela_registros[DIA],novtotal3059718395107119131143155[[#Headers],[30]],tabela_registros[REGISTRO],DADOS!$N$4,tabela_registros[TIPO],DADOS!$P$4,tabela_registros[CATEGORIA],despesavariávelconsolidadonov[[#This Row],[DESPESA VARIÁVEL]])</f>
        <v>0</v>
      </c>
      <c r="AI66" s="101">
        <f>SUMIFS(tabela_registros[VALOR],tabela_registros[MÊS],$AE$1,tabela_registros[DIA],novtotal3059718395107119131143155[[#Headers],[31]],tabela_registros[REGISTRO],DADOS!$N$4,tabela_registros[TIPO],DADOS!$P$4,tabela_registros[CATEGORIA],despesavariávelconsolidadonov[[#This Row],[DESPESA VARIÁVEL]])</f>
        <v>0</v>
      </c>
      <c r="AJ66" s="97">
        <f>SUM(despesavariávelconsolidadonov[[#This Row],[1]:[31]])</f>
        <v>0</v>
      </c>
      <c r="AK66" s="28"/>
    </row>
    <row r="67" spans="2:37" ht="18" customHeight="1" thickTop="1" thickBot="1" x14ac:dyDescent="0.3">
      <c r="B67" s="28"/>
      <c r="C67" s="27" t="str">
        <f>DADOS!$T$10</f>
        <v>🛒 MERCADO</v>
      </c>
      <c r="D67" s="26" t="str">
        <f>IF(despesavariávelconsolidadonov[[#This Row],[TOTAL]]=0,"",IF(OR(despesavariávelconsolidadonov[[#This Row],[TOTAL]]=LARGE($AJ$60:$AJ$72,1),despesavariávelconsolidadonov[[#This Row],[TOTAL]]=LARGE($AJ$60:$AJ$72,2),despesavariávelconsolidadonov[[#This Row],[TOTAL]]=LARGE($AJ$60:$AJ$72,3),despesavariávelconsolidadonov[[#This Row],[TOTAL]]=LARGE($AJ$60:$AJ$72,4),despesavariávelconsolidadonov[[#This Row],[TOTAL]]=LARGE($AJ$60:$AJ$72,5)),DADOS!$I$8,""))</f>
        <v/>
      </c>
      <c r="E67" s="96">
        <f>SUMIFS(tabela_registros[VALOR],tabela_registros[MÊS],$AE$1,tabela_registros[DIA],novtotal3059718395107119131143155[[#Headers],[1]],tabela_registros[REGISTRO],DADOS!$N$4,tabela_registros[TIPO],DADOS!$P$4,tabela_registros[CATEGORIA],despesavariávelconsolidadonov[[#This Row],[DESPESA VARIÁVEL]])</f>
        <v>0</v>
      </c>
      <c r="F67" s="91">
        <f>SUMIFS(tabela_registros[VALOR],tabela_registros[MÊS],$AE$1,tabela_registros[DIA],novtotal3059718395107119131143155[[#Headers],[2]],tabela_registros[REGISTRO],DADOS!$N$4,tabela_registros[TIPO],DADOS!$P$4,tabela_registros[CATEGORIA],despesavariávelconsolidadonov[[#This Row],[DESPESA VARIÁVEL]])</f>
        <v>0</v>
      </c>
      <c r="G67" s="91">
        <f>SUMIFS(tabela_registros[VALOR],tabela_registros[MÊS],$AE$1,tabela_registros[DIA],novtotal3059718395107119131143155[[#Headers],[3]],tabela_registros[REGISTRO],DADOS!$N$4,tabela_registros[TIPO],DADOS!$P$4,tabela_registros[CATEGORIA],despesavariávelconsolidadonov[[#This Row],[DESPESA VARIÁVEL]])</f>
        <v>0</v>
      </c>
      <c r="H67" s="91">
        <f>SUMIFS(tabela_registros[VALOR],tabela_registros[MÊS],$AE$1,tabela_registros[DIA],novtotal3059718395107119131143155[[#Headers],[4]],tabela_registros[REGISTRO],DADOS!$N$4,tabela_registros[TIPO],DADOS!$P$4,tabela_registros[CATEGORIA],despesavariávelconsolidadonov[[#This Row],[DESPESA VARIÁVEL]])</f>
        <v>0</v>
      </c>
      <c r="I67" s="91">
        <f>SUMIFS(tabela_registros[VALOR],tabela_registros[MÊS],$AE$1,tabela_registros[DIA],novtotal3059718395107119131143155[[#Headers],[5]],tabela_registros[REGISTRO],DADOS!$N$4,tabela_registros[TIPO],DADOS!$P$4,tabela_registros[CATEGORIA],despesavariávelconsolidadonov[[#This Row],[DESPESA VARIÁVEL]])</f>
        <v>0</v>
      </c>
      <c r="J67" s="91">
        <f>SUMIFS(tabela_registros[VALOR],tabela_registros[MÊS],$AE$1,tabela_registros[DIA],novtotal3059718395107119131143155[[#Headers],[6]],tabela_registros[REGISTRO],DADOS!$N$4,tabela_registros[TIPO],DADOS!$P$4,tabela_registros[CATEGORIA],despesavariávelconsolidadonov[[#This Row],[DESPESA VARIÁVEL]])</f>
        <v>0</v>
      </c>
      <c r="K67" s="91">
        <f>SUMIFS(tabela_registros[VALOR],tabela_registros[MÊS],$AE$1,tabela_registros[DIA],novtotal3059718395107119131143155[[#Headers],[7]],tabela_registros[REGISTRO],DADOS!$N$4,tabela_registros[TIPO],DADOS!$P$4,tabela_registros[CATEGORIA],despesavariávelconsolidadonov[[#This Row],[DESPESA VARIÁVEL]])</f>
        <v>0</v>
      </c>
      <c r="L67" s="91">
        <f>SUMIFS(tabela_registros[VALOR],tabela_registros[MÊS],$AE$1,tabela_registros[DIA],novtotal3059718395107119131143155[[#Headers],[8]],tabela_registros[REGISTRO],DADOS!$N$4,tabela_registros[TIPO],DADOS!$P$4,tabela_registros[CATEGORIA],despesavariávelconsolidadonov[[#This Row],[DESPESA VARIÁVEL]])</f>
        <v>0</v>
      </c>
      <c r="M67" s="91">
        <f>SUMIFS(tabela_registros[VALOR],tabela_registros[MÊS],$AE$1,tabela_registros[DIA],novtotal3059718395107119131143155[[#Headers],[9]],tabela_registros[REGISTRO],DADOS!$N$4,tabela_registros[TIPO],DADOS!$P$4,tabela_registros[CATEGORIA],despesavariávelconsolidadonov[[#This Row],[DESPESA VARIÁVEL]])</f>
        <v>0</v>
      </c>
      <c r="N67" s="91">
        <f>SUMIFS(tabela_registros[VALOR],tabela_registros[MÊS],$AE$1,tabela_registros[DIA],novtotal3059718395107119131143155[[#Headers],[10]],tabela_registros[REGISTRO],DADOS!$N$4,tabela_registros[TIPO],DADOS!$P$4,tabela_registros[CATEGORIA],despesavariávelconsolidadonov[[#This Row],[DESPESA VARIÁVEL]])</f>
        <v>0</v>
      </c>
      <c r="O67" s="91">
        <f>SUMIFS(tabela_registros[VALOR],tabela_registros[MÊS],$AE$1,tabela_registros[DIA],novtotal3059718395107119131143155[[#Headers],[11]],tabela_registros[REGISTRO],DADOS!$N$4,tabela_registros[TIPO],DADOS!$P$4,tabela_registros[CATEGORIA],despesavariávelconsolidadonov[[#This Row],[DESPESA VARIÁVEL]])</f>
        <v>0</v>
      </c>
      <c r="P67" s="91">
        <f>SUMIFS(tabela_registros[VALOR],tabela_registros[MÊS],$AE$1,tabela_registros[DIA],novtotal3059718395107119131143155[[#Headers],[12]],tabela_registros[REGISTRO],DADOS!$N$4,tabela_registros[TIPO],DADOS!$P$4,tabela_registros[CATEGORIA],despesavariávelconsolidadonov[[#This Row],[DESPESA VARIÁVEL]])</f>
        <v>0</v>
      </c>
      <c r="Q67" s="91">
        <f>SUMIFS(tabela_registros[VALOR],tabela_registros[MÊS],$AE$1,tabela_registros[DIA],novtotal3059718395107119131143155[[#Headers],[13]],tabela_registros[REGISTRO],DADOS!$N$4,tabela_registros[TIPO],DADOS!$P$4,tabela_registros[CATEGORIA],despesavariávelconsolidadonov[[#This Row],[DESPESA VARIÁVEL]])</f>
        <v>0</v>
      </c>
      <c r="R67" s="91">
        <f>SUMIFS(tabela_registros[VALOR],tabela_registros[MÊS],$AE$1,tabela_registros[DIA],novtotal3059718395107119131143155[[#Headers],[14]],tabela_registros[REGISTRO],DADOS!$N$4,tabela_registros[TIPO],DADOS!$P$4,tabela_registros[CATEGORIA],despesavariávelconsolidadonov[[#This Row],[DESPESA VARIÁVEL]])</f>
        <v>0</v>
      </c>
      <c r="S67" s="91">
        <f>SUMIFS(tabela_registros[VALOR],tabela_registros[MÊS],$AE$1,tabela_registros[DIA],novtotal3059718395107119131143155[[#Headers],[15]],tabela_registros[REGISTRO],DADOS!$N$4,tabela_registros[TIPO],DADOS!$P$4,tabela_registros[CATEGORIA],despesavariávelconsolidadonov[[#This Row],[DESPESA VARIÁVEL]])</f>
        <v>0</v>
      </c>
      <c r="T67" s="91">
        <f>SUMIFS(tabela_registros[VALOR],tabela_registros[MÊS],$AE$1,tabela_registros[DIA],novtotal3059718395107119131143155[[#Headers],[16]],tabela_registros[REGISTRO],DADOS!$N$4,tabela_registros[TIPO],DADOS!$P$4,tabela_registros[CATEGORIA],despesavariávelconsolidadonov[[#This Row],[DESPESA VARIÁVEL]])</f>
        <v>0</v>
      </c>
      <c r="U67" s="91">
        <f>SUMIFS(tabela_registros[VALOR],tabela_registros[MÊS],$AE$1,tabela_registros[DIA],novtotal3059718395107119131143155[[#Headers],[17]],tabela_registros[REGISTRO],DADOS!$N$4,tabela_registros[TIPO],DADOS!$P$4,tabela_registros[CATEGORIA],despesavariávelconsolidadonov[[#This Row],[DESPESA VARIÁVEL]])</f>
        <v>0</v>
      </c>
      <c r="V67" s="91">
        <f>SUMIFS(tabela_registros[VALOR],tabela_registros[MÊS],$AE$1,tabela_registros[DIA],novtotal3059718395107119131143155[[#Headers],[18]],tabela_registros[REGISTRO],DADOS!$N$4,tabela_registros[TIPO],DADOS!$P$4,tabela_registros[CATEGORIA],despesavariávelconsolidadonov[[#This Row],[DESPESA VARIÁVEL]])</f>
        <v>0</v>
      </c>
      <c r="W67" s="91">
        <f>SUMIFS(tabela_registros[VALOR],tabela_registros[MÊS],$AE$1,tabela_registros[DIA],novtotal3059718395107119131143155[[#Headers],[19]],tabela_registros[REGISTRO],DADOS!$N$4,tabela_registros[TIPO],DADOS!$P$4,tabela_registros[CATEGORIA],despesavariávelconsolidadonov[[#This Row],[DESPESA VARIÁVEL]])</f>
        <v>0</v>
      </c>
      <c r="X67" s="91">
        <f>SUMIFS(tabela_registros[VALOR],tabela_registros[MÊS],$AE$1,tabela_registros[DIA],novtotal3059718395107119131143155[[#Headers],[20]],tabela_registros[REGISTRO],DADOS!$N$4,tabela_registros[TIPO],DADOS!$P$4,tabela_registros[CATEGORIA],despesavariávelconsolidadonov[[#This Row],[DESPESA VARIÁVEL]])</f>
        <v>0</v>
      </c>
      <c r="Y67" s="91">
        <f>SUMIFS(tabela_registros[VALOR],tabela_registros[MÊS],$AE$1,tabela_registros[DIA],novtotal3059718395107119131143155[[#Headers],[21]],tabela_registros[REGISTRO],DADOS!$N$4,tabela_registros[TIPO],DADOS!$P$4,tabela_registros[CATEGORIA],despesavariávelconsolidadonov[[#This Row],[DESPESA VARIÁVEL]])</f>
        <v>0</v>
      </c>
      <c r="Z67" s="91">
        <f>SUMIFS(tabela_registros[VALOR],tabela_registros[MÊS],$AE$1,tabela_registros[DIA],novtotal3059718395107119131143155[[#Headers],[22]],tabela_registros[REGISTRO],DADOS!$N$4,tabela_registros[TIPO],DADOS!$P$4,tabela_registros[CATEGORIA],despesavariávelconsolidadonov[[#This Row],[DESPESA VARIÁVEL]])</f>
        <v>0</v>
      </c>
      <c r="AA67" s="91">
        <f>SUMIFS(tabela_registros[VALOR],tabela_registros[MÊS],$AE$1,tabela_registros[DIA],novtotal3059718395107119131143155[[#Headers],[23]],tabela_registros[REGISTRO],DADOS!$N$4,tabela_registros[TIPO],DADOS!$P$4,tabela_registros[CATEGORIA],despesavariávelconsolidadonov[[#This Row],[DESPESA VARIÁVEL]])</f>
        <v>0</v>
      </c>
      <c r="AB67" s="91">
        <f>SUMIFS(tabela_registros[VALOR],tabela_registros[MÊS],$AE$1,tabela_registros[DIA],novtotal3059718395107119131143155[[#Headers],[24]],tabela_registros[REGISTRO],DADOS!$N$4,tabela_registros[TIPO],DADOS!$P$4,tabela_registros[CATEGORIA],despesavariávelconsolidadonov[[#This Row],[DESPESA VARIÁVEL]])</f>
        <v>0</v>
      </c>
      <c r="AC67" s="91">
        <f>SUMIFS(tabela_registros[VALOR],tabela_registros[MÊS],$AE$1,tabela_registros[DIA],novtotal3059718395107119131143155[[#Headers],[25]],tabela_registros[REGISTRO],DADOS!$N$4,tabela_registros[TIPO],DADOS!$P$4,tabela_registros[CATEGORIA],despesavariávelconsolidadonov[[#This Row],[DESPESA VARIÁVEL]])</f>
        <v>0</v>
      </c>
      <c r="AD67" s="91">
        <f>SUMIFS(tabela_registros[VALOR],tabela_registros[MÊS],$AE$1,tabela_registros[DIA],novtotal3059718395107119131143155[[#Headers],[26]],tabela_registros[REGISTRO],DADOS!$N$4,tabela_registros[TIPO],DADOS!$P$4,tabela_registros[CATEGORIA],despesavariávelconsolidadonov[[#This Row],[DESPESA VARIÁVEL]])</f>
        <v>0</v>
      </c>
      <c r="AE67" s="91">
        <f>SUMIFS(tabela_registros[VALOR],tabela_registros[MÊS],$AE$1,tabela_registros[DIA],novtotal3059718395107119131143155[[#Headers],[27]],tabela_registros[REGISTRO],DADOS!$N$4,tabela_registros[TIPO],DADOS!$P$4,tabela_registros[CATEGORIA],despesavariávelconsolidadonov[[#This Row],[DESPESA VARIÁVEL]])</f>
        <v>0</v>
      </c>
      <c r="AF67" s="91">
        <f>SUMIFS(tabela_registros[VALOR],tabela_registros[MÊS],$AE$1,tabela_registros[DIA],novtotal3059718395107119131143155[[#Headers],[28]],tabela_registros[REGISTRO],DADOS!$N$4,tabela_registros[TIPO],DADOS!$P$4,tabela_registros[CATEGORIA],despesavariávelconsolidadonov[[#This Row],[DESPESA VARIÁVEL]])</f>
        <v>0</v>
      </c>
      <c r="AG67" s="91">
        <f>SUMIFS(tabela_registros[VALOR],tabela_registros[MÊS],$AE$1,tabela_registros[DIA],novtotal3059718395107119131143155[[#Headers],[29]],tabela_registros[REGISTRO],DADOS!$N$4,tabela_registros[TIPO],DADOS!$P$4,tabela_registros[CATEGORIA],despesavariávelconsolidadonov[[#This Row],[DESPESA VARIÁVEL]])</f>
        <v>0</v>
      </c>
      <c r="AH67" s="91">
        <f>SUMIFS(tabela_registros[VALOR],tabela_registros[MÊS],$AE$1,tabela_registros[DIA],novtotal3059718395107119131143155[[#Headers],[30]],tabela_registros[REGISTRO],DADOS!$N$4,tabela_registros[TIPO],DADOS!$P$4,tabela_registros[CATEGORIA],despesavariávelconsolidadonov[[#This Row],[DESPESA VARIÁVEL]])</f>
        <v>0</v>
      </c>
      <c r="AI67" s="101">
        <f>SUMIFS(tabela_registros[VALOR],tabela_registros[MÊS],$AE$1,tabela_registros[DIA],novtotal3059718395107119131143155[[#Headers],[31]],tabela_registros[REGISTRO],DADOS!$N$4,tabela_registros[TIPO],DADOS!$P$4,tabela_registros[CATEGORIA],despesavariávelconsolidadonov[[#This Row],[DESPESA VARIÁVEL]])</f>
        <v>0</v>
      </c>
      <c r="AJ67" s="97">
        <f>SUM(despesavariávelconsolidadonov[[#This Row],[1]:[31]])</f>
        <v>0</v>
      </c>
      <c r="AK67" s="28"/>
    </row>
    <row r="68" spans="2:37" ht="18" customHeight="1" thickTop="1" thickBot="1" x14ac:dyDescent="0.3">
      <c r="B68" s="28"/>
      <c r="C68" s="27" t="str">
        <f>DADOS!$T$11</f>
        <v>🎁 PRESENTES</v>
      </c>
      <c r="D68" s="26" t="str">
        <f>IF(despesavariávelconsolidadonov[[#This Row],[TOTAL]]=0,"",IF(OR(despesavariávelconsolidadonov[[#This Row],[TOTAL]]=LARGE($AJ$60:$AJ$72,1),despesavariávelconsolidadonov[[#This Row],[TOTAL]]=LARGE($AJ$60:$AJ$72,2),despesavariávelconsolidadonov[[#This Row],[TOTAL]]=LARGE($AJ$60:$AJ$72,3),despesavariávelconsolidadonov[[#This Row],[TOTAL]]=LARGE($AJ$60:$AJ$72,4),despesavariávelconsolidadonov[[#This Row],[TOTAL]]=LARGE($AJ$60:$AJ$72,5)),DADOS!$I$8,""))</f>
        <v/>
      </c>
      <c r="E68" s="96">
        <f>SUMIFS(tabela_registros[VALOR],tabela_registros[MÊS],$AE$1,tabela_registros[DIA],novtotal3059718395107119131143155[[#Headers],[1]],tabela_registros[REGISTRO],DADOS!$N$4,tabela_registros[TIPO],DADOS!$P$4,tabela_registros[CATEGORIA],despesavariávelconsolidadonov[[#This Row],[DESPESA VARIÁVEL]])</f>
        <v>0</v>
      </c>
      <c r="F68" s="91">
        <f>SUMIFS(tabela_registros[VALOR],tabela_registros[MÊS],$AE$1,tabela_registros[DIA],novtotal3059718395107119131143155[[#Headers],[2]],tabela_registros[REGISTRO],DADOS!$N$4,tabela_registros[TIPO],DADOS!$P$4,tabela_registros[CATEGORIA],despesavariávelconsolidadonov[[#This Row],[DESPESA VARIÁVEL]])</f>
        <v>0</v>
      </c>
      <c r="G68" s="91">
        <f>SUMIFS(tabela_registros[VALOR],tabela_registros[MÊS],$AE$1,tabela_registros[DIA],novtotal3059718395107119131143155[[#Headers],[3]],tabela_registros[REGISTRO],DADOS!$N$4,tabela_registros[TIPO],DADOS!$P$4,tabela_registros[CATEGORIA],despesavariávelconsolidadonov[[#This Row],[DESPESA VARIÁVEL]])</f>
        <v>0</v>
      </c>
      <c r="H68" s="91">
        <f>SUMIFS(tabela_registros[VALOR],tabela_registros[MÊS],$AE$1,tabela_registros[DIA],novtotal3059718395107119131143155[[#Headers],[4]],tabela_registros[REGISTRO],DADOS!$N$4,tabela_registros[TIPO],DADOS!$P$4,tabela_registros[CATEGORIA],despesavariávelconsolidadonov[[#This Row],[DESPESA VARIÁVEL]])</f>
        <v>0</v>
      </c>
      <c r="I68" s="91">
        <f>SUMIFS(tabela_registros[VALOR],tabela_registros[MÊS],$AE$1,tabela_registros[DIA],novtotal3059718395107119131143155[[#Headers],[5]],tabela_registros[REGISTRO],DADOS!$N$4,tabela_registros[TIPO],DADOS!$P$4,tabela_registros[CATEGORIA],despesavariávelconsolidadonov[[#This Row],[DESPESA VARIÁVEL]])</f>
        <v>0</v>
      </c>
      <c r="J68" s="91">
        <f>SUMIFS(tabela_registros[VALOR],tabela_registros[MÊS],$AE$1,tabela_registros[DIA],novtotal3059718395107119131143155[[#Headers],[6]],tabela_registros[REGISTRO],DADOS!$N$4,tabela_registros[TIPO],DADOS!$P$4,tabela_registros[CATEGORIA],despesavariávelconsolidadonov[[#This Row],[DESPESA VARIÁVEL]])</f>
        <v>0</v>
      </c>
      <c r="K68" s="91">
        <f>SUMIFS(tabela_registros[VALOR],tabela_registros[MÊS],$AE$1,tabela_registros[DIA],novtotal3059718395107119131143155[[#Headers],[7]],tabela_registros[REGISTRO],DADOS!$N$4,tabela_registros[TIPO],DADOS!$P$4,tabela_registros[CATEGORIA],despesavariávelconsolidadonov[[#This Row],[DESPESA VARIÁVEL]])</f>
        <v>0</v>
      </c>
      <c r="L68" s="91">
        <f>SUMIFS(tabela_registros[VALOR],tabela_registros[MÊS],$AE$1,tabela_registros[DIA],novtotal3059718395107119131143155[[#Headers],[8]],tabela_registros[REGISTRO],DADOS!$N$4,tabela_registros[TIPO],DADOS!$P$4,tabela_registros[CATEGORIA],despesavariávelconsolidadonov[[#This Row],[DESPESA VARIÁVEL]])</f>
        <v>0</v>
      </c>
      <c r="M68" s="91">
        <f>SUMIFS(tabela_registros[VALOR],tabela_registros[MÊS],$AE$1,tabela_registros[DIA],novtotal3059718395107119131143155[[#Headers],[9]],tabela_registros[REGISTRO],DADOS!$N$4,tabela_registros[TIPO],DADOS!$P$4,tabela_registros[CATEGORIA],despesavariávelconsolidadonov[[#This Row],[DESPESA VARIÁVEL]])</f>
        <v>0</v>
      </c>
      <c r="N68" s="91">
        <f>SUMIFS(tabela_registros[VALOR],tabela_registros[MÊS],$AE$1,tabela_registros[DIA],novtotal3059718395107119131143155[[#Headers],[10]],tabela_registros[REGISTRO],DADOS!$N$4,tabela_registros[TIPO],DADOS!$P$4,tabela_registros[CATEGORIA],despesavariávelconsolidadonov[[#This Row],[DESPESA VARIÁVEL]])</f>
        <v>0</v>
      </c>
      <c r="O68" s="91">
        <f>SUMIFS(tabela_registros[VALOR],tabela_registros[MÊS],$AE$1,tabela_registros[DIA],novtotal3059718395107119131143155[[#Headers],[11]],tabela_registros[REGISTRO],DADOS!$N$4,tabela_registros[TIPO],DADOS!$P$4,tabela_registros[CATEGORIA],despesavariávelconsolidadonov[[#This Row],[DESPESA VARIÁVEL]])</f>
        <v>0</v>
      </c>
      <c r="P68" s="91">
        <f>SUMIFS(tabela_registros[VALOR],tabela_registros[MÊS],$AE$1,tabela_registros[DIA],novtotal3059718395107119131143155[[#Headers],[12]],tabela_registros[REGISTRO],DADOS!$N$4,tabela_registros[TIPO],DADOS!$P$4,tabela_registros[CATEGORIA],despesavariávelconsolidadonov[[#This Row],[DESPESA VARIÁVEL]])</f>
        <v>0</v>
      </c>
      <c r="Q68" s="91">
        <f>SUMIFS(tabela_registros[VALOR],tabela_registros[MÊS],$AE$1,tabela_registros[DIA],novtotal3059718395107119131143155[[#Headers],[13]],tabela_registros[REGISTRO],DADOS!$N$4,tabela_registros[TIPO],DADOS!$P$4,tabela_registros[CATEGORIA],despesavariávelconsolidadonov[[#This Row],[DESPESA VARIÁVEL]])</f>
        <v>0</v>
      </c>
      <c r="R68" s="91">
        <f>SUMIFS(tabela_registros[VALOR],tabela_registros[MÊS],$AE$1,tabela_registros[DIA],novtotal3059718395107119131143155[[#Headers],[14]],tabela_registros[REGISTRO],DADOS!$N$4,tabela_registros[TIPO],DADOS!$P$4,tabela_registros[CATEGORIA],despesavariávelconsolidadonov[[#This Row],[DESPESA VARIÁVEL]])</f>
        <v>0</v>
      </c>
      <c r="S68" s="91">
        <f>SUMIFS(tabela_registros[VALOR],tabela_registros[MÊS],$AE$1,tabela_registros[DIA],novtotal3059718395107119131143155[[#Headers],[15]],tabela_registros[REGISTRO],DADOS!$N$4,tabela_registros[TIPO],DADOS!$P$4,tabela_registros[CATEGORIA],despesavariávelconsolidadonov[[#This Row],[DESPESA VARIÁVEL]])</f>
        <v>0</v>
      </c>
      <c r="T68" s="91">
        <f>SUMIFS(tabela_registros[VALOR],tabela_registros[MÊS],$AE$1,tabela_registros[DIA],novtotal3059718395107119131143155[[#Headers],[16]],tabela_registros[REGISTRO],DADOS!$N$4,tabela_registros[TIPO],DADOS!$P$4,tabela_registros[CATEGORIA],despesavariávelconsolidadonov[[#This Row],[DESPESA VARIÁVEL]])</f>
        <v>0</v>
      </c>
      <c r="U68" s="91">
        <f>SUMIFS(tabela_registros[VALOR],tabela_registros[MÊS],$AE$1,tabela_registros[DIA],novtotal3059718395107119131143155[[#Headers],[17]],tabela_registros[REGISTRO],DADOS!$N$4,tabela_registros[TIPO],DADOS!$P$4,tabela_registros[CATEGORIA],despesavariávelconsolidadonov[[#This Row],[DESPESA VARIÁVEL]])</f>
        <v>0</v>
      </c>
      <c r="V68" s="91">
        <f>SUMIFS(tabela_registros[VALOR],tabela_registros[MÊS],$AE$1,tabela_registros[DIA],novtotal3059718395107119131143155[[#Headers],[18]],tabela_registros[REGISTRO],DADOS!$N$4,tabela_registros[TIPO],DADOS!$P$4,tabela_registros[CATEGORIA],despesavariávelconsolidadonov[[#This Row],[DESPESA VARIÁVEL]])</f>
        <v>0</v>
      </c>
      <c r="W68" s="91">
        <f>SUMIFS(tabela_registros[VALOR],tabela_registros[MÊS],$AE$1,tabela_registros[DIA],novtotal3059718395107119131143155[[#Headers],[19]],tabela_registros[REGISTRO],DADOS!$N$4,tabela_registros[TIPO],DADOS!$P$4,tabela_registros[CATEGORIA],despesavariávelconsolidadonov[[#This Row],[DESPESA VARIÁVEL]])</f>
        <v>0</v>
      </c>
      <c r="X68" s="91">
        <f>SUMIFS(tabela_registros[VALOR],tabela_registros[MÊS],$AE$1,tabela_registros[DIA],novtotal3059718395107119131143155[[#Headers],[20]],tabela_registros[REGISTRO],DADOS!$N$4,tabela_registros[TIPO],DADOS!$P$4,tabela_registros[CATEGORIA],despesavariávelconsolidadonov[[#This Row],[DESPESA VARIÁVEL]])</f>
        <v>0</v>
      </c>
      <c r="Y68" s="91">
        <f>SUMIFS(tabela_registros[VALOR],tabela_registros[MÊS],$AE$1,tabela_registros[DIA],novtotal3059718395107119131143155[[#Headers],[21]],tabela_registros[REGISTRO],DADOS!$N$4,tabela_registros[TIPO],DADOS!$P$4,tabela_registros[CATEGORIA],despesavariávelconsolidadonov[[#This Row],[DESPESA VARIÁVEL]])</f>
        <v>0</v>
      </c>
      <c r="Z68" s="91">
        <f>SUMIFS(tabela_registros[VALOR],tabela_registros[MÊS],$AE$1,tabela_registros[DIA],novtotal3059718395107119131143155[[#Headers],[22]],tabela_registros[REGISTRO],DADOS!$N$4,tabela_registros[TIPO],DADOS!$P$4,tabela_registros[CATEGORIA],despesavariávelconsolidadonov[[#This Row],[DESPESA VARIÁVEL]])</f>
        <v>0</v>
      </c>
      <c r="AA68" s="91">
        <f>SUMIFS(tabela_registros[VALOR],tabela_registros[MÊS],$AE$1,tabela_registros[DIA],novtotal3059718395107119131143155[[#Headers],[23]],tabela_registros[REGISTRO],DADOS!$N$4,tabela_registros[TIPO],DADOS!$P$4,tabela_registros[CATEGORIA],despesavariávelconsolidadonov[[#This Row],[DESPESA VARIÁVEL]])</f>
        <v>0</v>
      </c>
      <c r="AB68" s="91">
        <f>SUMIFS(tabela_registros[VALOR],tabela_registros[MÊS],$AE$1,tabela_registros[DIA],novtotal3059718395107119131143155[[#Headers],[24]],tabela_registros[REGISTRO],DADOS!$N$4,tabela_registros[TIPO],DADOS!$P$4,tabela_registros[CATEGORIA],despesavariávelconsolidadonov[[#This Row],[DESPESA VARIÁVEL]])</f>
        <v>0</v>
      </c>
      <c r="AC68" s="91">
        <f>SUMIFS(tabela_registros[VALOR],tabela_registros[MÊS],$AE$1,tabela_registros[DIA],novtotal3059718395107119131143155[[#Headers],[25]],tabela_registros[REGISTRO],DADOS!$N$4,tabela_registros[TIPO],DADOS!$P$4,tabela_registros[CATEGORIA],despesavariávelconsolidadonov[[#This Row],[DESPESA VARIÁVEL]])</f>
        <v>0</v>
      </c>
      <c r="AD68" s="91">
        <f>SUMIFS(tabela_registros[VALOR],tabela_registros[MÊS],$AE$1,tabela_registros[DIA],novtotal3059718395107119131143155[[#Headers],[26]],tabela_registros[REGISTRO],DADOS!$N$4,tabela_registros[TIPO],DADOS!$P$4,tabela_registros[CATEGORIA],despesavariávelconsolidadonov[[#This Row],[DESPESA VARIÁVEL]])</f>
        <v>0</v>
      </c>
      <c r="AE68" s="91">
        <f>SUMIFS(tabela_registros[VALOR],tabela_registros[MÊS],$AE$1,tabela_registros[DIA],novtotal3059718395107119131143155[[#Headers],[27]],tabela_registros[REGISTRO],DADOS!$N$4,tabela_registros[TIPO],DADOS!$P$4,tabela_registros[CATEGORIA],despesavariávelconsolidadonov[[#This Row],[DESPESA VARIÁVEL]])</f>
        <v>0</v>
      </c>
      <c r="AF68" s="91">
        <f>SUMIFS(tabela_registros[VALOR],tabela_registros[MÊS],$AE$1,tabela_registros[DIA],novtotal3059718395107119131143155[[#Headers],[28]],tabela_registros[REGISTRO],DADOS!$N$4,tabela_registros[TIPO],DADOS!$P$4,tabela_registros[CATEGORIA],despesavariávelconsolidadonov[[#This Row],[DESPESA VARIÁVEL]])</f>
        <v>0</v>
      </c>
      <c r="AG68" s="91">
        <f>SUMIFS(tabela_registros[VALOR],tabela_registros[MÊS],$AE$1,tabela_registros[DIA],novtotal3059718395107119131143155[[#Headers],[29]],tabela_registros[REGISTRO],DADOS!$N$4,tabela_registros[TIPO],DADOS!$P$4,tabela_registros[CATEGORIA],despesavariávelconsolidadonov[[#This Row],[DESPESA VARIÁVEL]])</f>
        <v>0</v>
      </c>
      <c r="AH68" s="91">
        <f>SUMIFS(tabela_registros[VALOR],tabela_registros[MÊS],$AE$1,tabela_registros[DIA],novtotal3059718395107119131143155[[#Headers],[30]],tabela_registros[REGISTRO],DADOS!$N$4,tabela_registros[TIPO],DADOS!$P$4,tabela_registros[CATEGORIA],despesavariávelconsolidadonov[[#This Row],[DESPESA VARIÁVEL]])</f>
        <v>0</v>
      </c>
      <c r="AI68" s="101">
        <f>SUMIFS(tabela_registros[VALOR],tabela_registros[MÊS],$AE$1,tabela_registros[DIA],novtotal3059718395107119131143155[[#Headers],[31]],tabela_registros[REGISTRO],DADOS!$N$4,tabela_registros[TIPO],DADOS!$P$4,tabela_registros[CATEGORIA],despesavariávelconsolidadonov[[#This Row],[DESPESA VARIÁVEL]])</f>
        <v>0</v>
      </c>
      <c r="AJ68" s="97">
        <f>SUM(despesavariávelconsolidadonov[[#This Row],[1]:[31]])</f>
        <v>0</v>
      </c>
      <c r="AK68" s="28"/>
    </row>
    <row r="69" spans="2:37" ht="18" customHeight="1" thickTop="1" thickBot="1" x14ac:dyDescent="0.3">
      <c r="B69" s="28"/>
      <c r="C69" s="27" t="str">
        <f>DADOS!$T$12</f>
        <v>💊 SAÚDE</v>
      </c>
      <c r="D69" s="26" t="str">
        <f>IF(despesavariávelconsolidadonov[[#This Row],[TOTAL]]=0,"",IF(OR(despesavariávelconsolidadonov[[#This Row],[TOTAL]]=LARGE($AJ$60:$AJ$72,1),despesavariávelconsolidadonov[[#This Row],[TOTAL]]=LARGE($AJ$60:$AJ$72,2),despesavariávelconsolidadonov[[#This Row],[TOTAL]]=LARGE($AJ$60:$AJ$72,3),despesavariávelconsolidadonov[[#This Row],[TOTAL]]=LARGE($AJ$60:$AJ$72,4),despesavariávelconsolidadonov[[#This Row],[TOTAL]]=LARGE($AJ$60:$AJ$72,5)),DADOS!$I$8,""))</f>
        <v/>
      </c>
      <c r="E69" s="96">
        <f>SUMIFS(tabela_registros[VALOR],tabela_registros[MÊS],$AE$1,tabela_registros[DIA],novtotal3059718395107119131143155[[#Headers],[1]],tabela_registros[REGISTRO],DADOS!$N$4,tabela_registros[TIPO],DADOS!$P$4,tabela_registros[CATEGORIA],despesavariávelconsolidadonov[[#This Row],[DESPESA VARIÁVEL]])</f>
        <v>0</v>
      </c>
      <c r="F69" s="91">
        <f>SUMIFS(tabela_registros[VALOR],tabela_registros[MÊS],$AE$1,tabela_registros[DIA],novtotal3059718395107119131143155[[#Headers],[2]],tabela_registros[REGISTRO],DADOS!$N$4,tabela_registros[TIPO],DADOS!$P$4,tabela_registros[CATEGORIA],despesavariávelconsolidadonov[[#This Row],[DESPESA VARIÁVEL]])</f>
        <v>0</v>
      </c>
      <c r="G69" s="91">
        <f>SUMIFS(tabela_registros[VALOR],tabela_registros[MÊS],$AE$1,tabela_registros[DIA],novtotal3059718395107119131143155[[#Headers],[3]],tabela_registros[REGISTRO],DADOS!$N$4,tabela_registros[TIPO],DADOS!$P$4,tabela_registros[CATEGORIA],despesavariávelconsolidadonov[[#This Row],[DESPESA VARIÁVEL]])</f>
        <v>0</v>
      </c>
      <c r="H69" s="91">
        <f>SUMIFS(tabela_registros[VALOR],tabela_registros[MÊS],$AE$1,tabela_registros[DIA],novtotal3059718395107119131143155[[#Headers],[4]],tabela_registros[REGISTRO],DADOS!$N$4,tabela_registros[TIPO],DADOS!$P$4,tabela_registros[CATEGORIA],despesavariávelconsolidadonov[[#This Row],[DESPESA VARIÁVEL]])</f>
        <v>0</v>
      </c>
      <c r="I69" s="91">
        <f>SUMIFS(tabela_registros[VALOR],tabela_registros[MÊS],$AE$1,tabela_registros[DIA],novtotal3059718395107119131143155[[#Headers],[5]],tabela_registros[REGISTRO],DADOS!$N$4,tabela_registros[TIPO],DADOS!$P$4,tabela_registros[CATEGORIA],despesavariávelconsolidadonov[[#This Row],[DESPESA VARIÁVEL]])</f>
        <v>0</v>
      </c>
      <c r="J69" s="91">
        <f>SUMIFS(tabela_registros[VALOR],tabela_registros[MÊS],$AE$1,tabela_registros[DIA],novtotal3059718395107119131143155[[#Headers],[6]],tabela_registros[REGISTRO],DADOS!$N$4,tabela_registros[TIPO],DADOS!$P$4,tabela_registros[CATEGORIA],despesavariávelconsolidadonov[[#This Row],[DESPESA VARIÁVEL]])</f>
        <v>0</v>
      </c>
      <c r="K69" s="91">
        <f>SUMIFS(tabela_registros[VALOR],tabela_registros[MÊS],$AE$1,tabela_registros[DIA],novtotal3059718395107119131143155[[#Headers],[7]],tabela_registros[REGISTRO],DADOS!$N$4,tabela_registros[TIPO],DADOS!$P$4,tabela_registros[CATEGORIA],despesavariávelconsolidadonov[[#This Row],[DESPESA VARIÁVEL]])</f>
        <v>0</v>
      </c>
      <c r="L69" s="91">
        <f>SUMIFS(tabela_registros[VALOR],tabela_registros[MÊS],$AE$1,tabela_registros[DIA],novtotal3059718395107119131143155[[#Headers],[8]],tabela_registros[REGISTRO],DADOS!$N$4,tabela_registros[TIPO],DADOS!$P$4,tabela_registros[CATEGORIA],despesavariávelconsolidadonov[[#This Row],[DESPESA VARIÁVEL]])</f>
        <v>0</v>
      </c>
      <c r="M69" s="91">
        <f>SUMIFS(tabela_registros[VALOR],tabela_registros[MÊS],$AE$1,tabela_registros[DIA],novtotal3059718395107119131143155[[#Headers],[9]],tabela_registros[REGISTRO],DADOS!$N$4,tabela_registros[TIPO],DADOS!$P$4,tabela_registros[CATEGORIA],despesavariávelconsolidadonov[[#This Row],[DESPESA VARIÁVEL]])</f>
        <v>0</v>
      </c>
      <c r="N69" s="91">
        <f>SUMIFS(tabela_registros[VALOR],tabela_registros[MÊS],$AE$1,tabela_registros[DIA],novtotal3059718395107119131143155[[#Headers],[10]],tabela_registros[REGISTRO],DADOS!$N$4,tabela_registros[TIPO],DADOS!$P$4,tabela_registros[CATEGORIA],despesavariávelconsolidadonov[[#This Row],[DESPESA VARIÁVEL]])</f>
        <v>0</v>
      </c>
      <c r="O69" s="91">
        <f>SUMIFS(tabela_registros[VALOR],tabela_registros[MÊS],$AE$1,tabela_registros[DIA],novtotal3059718395107119131143155[[#Headers],[11]],tabela_registros[REGISTRO],DADOS!$N$4,tabela_registros[TIPO],DADOS!$P$4,tabela_registros[CATEGORIA],despesavariávelconsolidadonov[[#This Row],[DESPESA VARIÁVEL]])</f>
        <v>0</v>
      </c>
      <c r="P69" s="91">
        <f>SUMIFS(tabela_registros[VALOR],tabela_registros[MÊS],$AE$1,tabela_registros[DIA],novtotal3059718395107119131143155[[#Headers],[12]],tabela_registros[REGISTRO],DADOS!$N$4,tabela_registros[TIPO],DADOS!$P$4,tabela_registros[CATEGORIA],despesavariávelconsolidadonov[[#This Row],[DESPESA VARIÁVEL]])</f>
        <v>0</v>
      </c>
      <c r="Q69" s="91">
        <f>SUMIFS(tabela_registros[VALOR],tabela_registros[MÊS],$AE$1,tabela_registros[DIA],novtotal3059718395107119131143155[[#Headers],[13]],tabela_registros[REGISTRO],DADOS!$N$4,tabela_registros[TIPO],DADOS!$P$4,tabela_registros[CATEGORIA],despesavariávelconsolidadonov[[#This Row],[DESPESA VARIÁVEL]])</f>
        <v>0</v>
      </c>
      <c r="R69" s="91">
        <f>SUMIFS(tabela_registros[VALOR],tabela_registros[MÊS],$AE$1,tabela_registros[DIA],novtotal3059718395107119131143155[[#Headers],[14]],tabela_registros[REGISTRO],DADOS!$N$4,tabela_registros[TIPO],DADOS!$P$4,tabela_registros[CATEGORIA],despesavariávelconsolidadonov[[#This Row],[DESPESA VARIÁVEL]])</f>
        <v>0</v>
      </c>
      <c r="S69" s="91">
        <f>SUMIFS(tabela_registros[VALOR],tabela_registros[MÊS],$AE$1,tabela_registros[DIA],novtotal3059718395107119131143155[[#Headers],[15]],tabela_registros[REGISTRO],DADOS!$N$4,tabela_registros[TIPO],DADOS!$P$4,tabela_registros[CATEGORIA],despesavariávelconsolidadonov[[#This Row],[DESPESA VARIÁVEL]])</f>
        <v>0</v>
      </c>
      <c r="T69" s="91">
        <f>SUMIFS(tabela_registros[VALOR],tabela_registros[MÊS],$AE$1,tabela_registros[DIA],novtotal3059718395107119131143155[[#Headers],[16]],tabela_registros[REGISTRO],DADOS!$N$4,tabela_registros[TIPO],DADOS!$P$4,tabela_registros[CATEGORIA],despesavariávelconsolidadonov[[#This Row],[DESPESA VARIÁVEL]])</f>
        <v>0</v>
      </c>
      <c r="U69" s="91">
        <f>SUMIFS(tabela_registros[VALOR],tabela_registros[MÊS],$AE$1,tabela_registros[DIA],novtotal3059718395107119131143155[[#Headers],[17]],tabela_registros[REGISTRO],DADOS!$N$4,tabela_registros[TIPO],DADOS!$P$4,tabela_registros[CATEGORIA],despesavariávelconsolidadonov[[#This Row],[DESPESA VARIÁVEL]])</f>
        <v>0</v>
      </c>
      <c r="V69" s="91">
        <f>SUMIFS(tabela_registros[VALOR],tabela_registros[MÊS],$AE$1,tabela_registros[DIA],novtotal3059718395107119131143155[[#Headers],[18]],tabela_registros[REGISTRO],DADOS!$N$4,tabela_registros[TIPO],DADOS!$P$4,tabela_registros[CATEGORIA],despesavariávelconsolidadonov[[#This Row],[DESPESA VARIÁVEL]])</f>
        <v>0</v>
      </c>
      <c r="W69" s="91">
        <f>SUMIFS(tabela_registros[VALOR],tabela_registros[MÊS],$AE$1,tabela_registros[DIA],novtotal3059718395107119131143155[[#Headers],[19]],tabela_registros[REGISTRO],DADOS!$N$4,tabela_registros[TIPO],DADOS!$P$4,tabela_registros[CATEGORIA],despesavariávelconsolidadonov[[#This Row],[DESPESA VARIÁVEL]])</f>
        <v>0</v>
      </c>
      <c r="X69" s="91">
        <f>SUMIFS(tabela_registros[VALOR],tabela_registros[MÊS],$AE$1,tabela_registros[DIA],novtotal3059718395107119131143155[[#Headers],[20]],tabela_registros[REGISTRO],DADOS!$N$4,tabela_registros[TIPO],DADOS!$P$4,tabela_registros[CATEGORIA],despesavariávelconsolidadonov[[#This Row],[DESPESA VARIÁVEL]])</f>
        <v>0</v>
      </c>
      <c r="Y69" s="91">
        <f>SUMIFS(tabela_registros[VALOR],tabela_registros[MÊS],$AE$1,tabela_registros[DIA],novtotal3059718395107119131143155[[#Headers],[21]],tabela_registros[REGISTRO],DADOS!$N$4,tabela_registros[TIPO],DADOS!$P$4,tabela_registros[CATEGORIA],despesavariávelconsolidadonov[[#This Row],[DESPESA VARIÁVEL]])</f>
        <v>0</v>
      </c>
      <c r="Z69" s="91">
        <f>SUMIFS(tabela_registros[VALOR],tabela_registros[MÊS],$AE$1,tabela_registros[DIA],novtotal3059718395107119131143155[[#Headers],[22]],tabela_registros[REGISTRO],DADOS!$N$4,tabela_registros[TIPO],DADOS!$P$4,tabela_registros[CATEGORIA],despesavariávelconsolidadonov[[#This Row],[DESPESA VARIÁVEL]])</f>
        <v>0</v>
      </c>
      <c r="AA69" s="91">
        <f>SUMIFS(tabela_registros[VALOR],tabela_registros[MÊS],$AE$1,tabela_registros[DIA],novtotal3059718395107119131143155[[#Headers],[23]],tabela_registros[REGISTRO],DADOS!$N$4,tabela_registros[TIPO],DADOS!$P$4,tabela_registros[CATEGORIA],despesavariávelconsolidadonov[[#This Row],[DESPESA VARIÁVEL]])</f>
        <v>0</v>
      </c>
      <c r="AB69" s="91">
        <f>SUMIFS(tabela_registros[VALOR],tabela_registros[MÊS],$AE$1,tabela_registros[DIA],novtotal3059718395107119131143155[[#Headers],[24]],tabela_registros[REGISTRO],DADOS!$N$4,tabela_registros[TIPO],DADOS!$P$4,tabela_registros[CATEGORIA],despesavariávelconsolidadonov[[#This Row],[DESPESA VARIÁVEL]])</f>
        <v>0</v>
      </c>
      <c r="AC69" s="91">
        <f>SUMIFS(tabela_registros[VALOR],tabela_registros[MÊS],$AE$1,tabela_registros[DIA],novtotal3059718395107119131143155[[#Headers],[25]],tabela_registros[REGISTRO],DADOS!$N$4,tabela_registros[TIPO],DADOS!$P$4,tabela_registros[CATEGORIA],despesavariávelconsolidadonov[[#This Row],[DESPESA VARIÁVEL]])</f>
        <v>0</v>
      </c>
      <c r="AD69" s="91">
        <f>SUMIFS(tabela_registros[VALOR],tabela_registros[MÊS],$AE$1,tabela_registros[DIA],novtotal3059718395107119131143155[[#Headers],[26]],tabela_registros[REGISTRO],DADOS!$N$4,tabela_registros[TIPO],DADOS!$P$4,tabela_registros[CATEGORIA],despesavariávelconsolidadonov[[#This Row],[DESPESA VARIÁVEL]])</f>
        <v>0</v>
      </c>
      <c r="AE69" s="91">
        <f>SUMIFS(tabela_registros[VALOR],tabela_registros[MÊS],$AE$1,tabela_registros[DIA],novtotal3059718395107119131143155[[#Headers],[27]],tabela_registros[REGISTRO],DADOS!$N$4,tabela_registros[TIPO],DADOS!$P$4,tabela_registros[CATEGORIA],despesavariávelconsolidadonov[[#This Row],[DESPESA VARIÁVEL]])</f>
        <v>0</v>
      </c>
      <c r="AF69" s="91">
        <f>SUMIFS(tabela_registros[VALOR],tabela_registros[MÊS],$AE$1,tabela_registros[DIA],novtotal3059718395107119131143155[[#Headers],[28]],tabela_registros[REGISTRO],DADOS!$N$4,tabela_registros[TIPO],DADOS!$P$4,tabela_registros[CATEGORIA],despesavariávelconsolidadonov[[#This Row],[DESPESA VARIÁVEL]])</f>
        <v>0</v>
      </c>
      <c r="AG69" s="91">
        <f>SUMIFS(tabela_registros[VALOR],tabela_registros[MÊS],$AE$1,tabela_registros[DIA],novtotal3059718395107119131143155[[#Headers],[29]],tabela_registros[REGISTRO],DADOS!$N$4,tabela_registros[TIPO],DADOS!$P$4,tabela_registros[CATEGORIA],despesavariávelconsolidadonov[[#This Row],[DESPESA VARIÁVEL]])</f>
        <v>0</v>
      </c>
      <c r="AH69" s="91">
        <f>SUMIFS(tabela_registros[VALOR],tabela_registros[MÊS],$AE$1,tabela_registros[DIA],novtotal3059718395107119131143155[[#Headers],[30]],tabela_registros[REGISTRO],DADOS!$N$4,tabela_registros[TIPO],DADOS!$P$4,tabela_registros[CATEGORIA],despesavariávelconsolidadonov[[#This Row],[DESPESA VARIÁVEL]])</f>
        <v>0</v>
      </c>
      <c r="AI69" s="101">
        <f>SUMIFS(tabela_registros[VALOR],tabela_registros[MÊS],$AE$1,tabela_registros[DIA],novtotal3059718395107119131143155[[#Headers],[31]],tabela_registros[REGISTRO],DADOS!$N$4,tabela_registros[TIPO],DADOS!$P$4,tabela_registros[CATEGORIA],despesavariávelconsolidadonov[[#This Row],[DESPESA VARIÁVEL]])</f>
        <v>0</v>
      </c>
      <c r="AJ69" s="97">
        <f>SUM(despesavariávelconsolidadonov[[#This Row],[1]:[31]])</f>
        <v>0</v>
      </c>
      <c r="AK69" s="28"/>
    </row>
    <row r="70" spans="2:37" ht="18" customHeight="1" thickTop="1" thickBot="1" x14ac:dyDescent="0.3">
      <c r="B70" s="28"/>
      <c r="C70" s="27" t="str">
        <f>DADOS!$T$13</f>
        <v>🚍 TRANSPORTE</v>
      </c>
      <c r="D70" s="26" t="str">
        <f>IF(despesavariávelconsolidadonov[[#This Row],[TOTAL]]=0,"",IF(OR(despesavariávelconsolidadonov[[#This Row],[TOTAL]]=LARGE($AJ$60:$AJ$72,1),despesavariávelconsolidadonov[[#This Row],[TOTAL]]=LARGE($AJ$60:$AJ$72,2),despesavariávelconsolidadonov[[#This Row],[TOTAL]]=LARGE($AJ$60:$AJ$72,3),despesavariávelconsolidadonov[[#This Row],[TOTAL]]=LARGE($AJ$60:$AJ$72,4),despesavariávelconsolidadonov[[#This Row],[TOTAL]]=LARGE($AJ$60:$AJ$72,5)),DADOS!$I$8,""))</f>
        <v/>
      </c>
      <c r="E70" s="96">
        <f>SUMIFS(tabela_registros[VALOR],tabela_registros[MÊS],$AE$1,tabela_registros[DIA],novtotal3059718395107119131143155[[#Headers],[1]],tabela_registros[REGISTRO],DADOS!$N$4,tabela_registros[TIPO],DADOS!$P$4,tabela_registros[CATEGORIA],despesavariávelconsolidadonov[[#This Row],[DESPESA VARIÁVEL]])</f>
        <v>0</v>
      </c>
      <c r="F70" s="91">
        <f>SUMIFS(tabela_registros[VALOR],tabela_registros[MÊS],$AE$1,tabela_registros[DIA],novtotal3059718395107119131143155[[#Headers],[2]],tabela_registros[REGISTRO],DADOS!$N$4,tabela_registros[TIPO],DADOS!$P$4,tabela_registros[CATEGORIA],despesavariávelconsolidadonov[[#This Row],[DESPESA VARIÁVEL]])</f>
        <v>0</v>
      </c>
      <c r="G70" s="91">
        <f>SUMIFS(tabela_registros[VALOR],tabela_registros[MÊS],$AE$1,tabela_registros[DIA],novtotal3059718395107119131143155[[#Headers],[3]],tabela_registros[REGISTRO],DADOS!$N$4,tabela_registros[TIPO],DADOS!$P$4,tabela_registros[CATEGORIA],despesavariávelconsolidadonov[[#This Row],[DESPESA VARIÁVEL]])</f>
        <v>0</v>
      </c>
      <c r="H70" s="91">
        <f>SUMIFS(tabela_registros[VALOR],tabela_registros[MÊS],$AE$1,tabela_registros[DIA],novtotal3059718395107119131143155[[#Headers],[4]],tabela_registros[REGISTRO],DADOS!$N$4,tabela_registros[TIPO],DADOS!$P$4,tabela_registros[CATEGORIA],despesavariávelconsolidadonov[[#This Row],[DESPESA VARIÁVEL]])</f>
        <v>0</v>
      </c>
      <c r="I70" s="91">
        <f>SUMIFS(tabela_registros[VALOR],tabela_registros[MÊS],$AE$1,tabela_registros[DIA],novtotal3059718395107119131143155[[#Headers],[5]],tabela_registros[REGISTRO],DADOS!$N$4,tabela_registros[TIPO],DADOS!$P$4,tabela_registros[CATEGORIA],despesavariávelconsolidadonov[[#This Row],[DESPESA VARIÁVEL]])</f>
        <v>0</v>
      </c>
      <c r="J70" s="91">
        <f>SUMIFS(tabela_registros[VALOR],tabela_registros[MÊS],$AE$1,tabela_registros[DIA],novtotal3059718395107119131143155[[#Headers],[6]],tabela_registros[REGISTRO],DADOS!$N$4,tabela_registros[TIPO],DADOS!$P$4,tabela_registros[CATEGORIA],despesavariávelconsolidadonov[[#This Row],[DESPESA VARIÁVEL]])</f>
        <v>0</v>
      </c>
      <c r="K70" s="91">
        <f>SUMIFS(tabela_registros[VALOR],tabela_registros[MÊS],$AE$1,tabela_registros[DIA],novtotal3059718395107119131143155[[#Headers],[7]],tabela_registros[REGISTRO],DADOS!$N$4,tabela_registros[TIPO],DADOS!$P$4,tabela_registros[CATEGORIA],despesavariávelconsolidadonov[[#This Row],[DESPESA VARIÁVEL]])</f>
        <v>0</v>
      </c>
      <c r="L70" s="91">
        <f>SUMIFS(tabela_registros[VALOR],tabela_registros[MÊS],$AE$1,tabela_registros[DIA],novtotal3059718395107119131143155[[#Headers],[8]],tabela_registros[REGISTRO],DADOS!$N$4,tabela_registros[TIPO],DADOS!$P$4,tabela_registros[CATEGORIA],despesavariávelconsolidadonov[[#This Row],[DESPESA VARIÁVEL]])</f>
        <v>0</v>
      </c>
      <c r="M70" s="91">
        <f>SUMIFS(tabela_registros[VALOR],tabela_registros[MÊS],$AE$1,tabela_registros[DIA],novtotal3059718395107119131143155[[#Headers],[9]],tabela_registros[REGISTRO],DADOS!$N$4,tabela_registros[TIPO],DADOS!$P$4,tabela_registros[CATEGORIA],despesavariávelconsolidadonov[[#This Row],[DESPESA VARIÁVEL]])</f>
        <v>0</v>
      </c>
      <c r="N70" s="91">
        <f>SUMIFS(tabela_registros[VALOR],tabela_registros[MÊS],$AE$1,tabela_registros[DIA],novtotal3059718395107119131143155[[#Headers],[10]],tabela_registros[REGISTRO],DADOS!$N$4,tabela_registros[TIPO],DADOS!$P$4,tabela_registros[CATEGORIA],despesavariávelconsolidadonov[[#This Row],[DESPESA VARIÁVEL]])</f>
        <v>0</v>
      </c>
      <c r="O70" s="91">
        <f>SUMIFS(tabela_registros[VALOR],tabela_registros[MÊS],$AE$1,tabela_registros[DIA],novtotal3059718395107119131143155[[#Headers],[11]],tabela_registros[REGISTRO],DADOS!$N$4,tabela_registros[TIPO],DADOS!$P$4,tabela_registros[CATEGORIA],despesavariávelconsolidadonov[[#This Row],[DESPESA VARIÁVEL]])</f>
        <v>0</v>
      </c>
      <c r="P70" s="91">
        <f>SUMIFS(tabela_registros[VALOR],tabela_registros[MÊS],$AE$1,tabela_registros[DIA],novtotal3059718395107119131143155[[#Headers],[12]],tabela_registros[REGISTRO],DADOS!$N$4,tabela_registros[TIPO],DADOS!$P$4,tabela_registros[CATEGORIA],despesavariávelconsolidadonov[[#This Row],[DESPESA VARIÁVEL]])</f>
        <v>0</v>
      </c>
      <c r="Q70" s="91">
        <f>SUMIFS(tabela_registros[VALOR],tabela_registros[MÊS],$AE$1,tabela_registros[DIA],novtotal3059718395107119131143155[[#Headers],[13]],tabela_registros[REGISTRO],DADOS!$N$4,tabela_registros[TIPO],DADOS!$P$4,tabela_registros[CATEGORIA],despesavariávelconsolidadonov[[#This Row],[DESPESA VARIÁVEL]])</f>
        <v>0</v>
      </c>
      <c r="R70" s="91">
        <f>SUMIFS(tabela_registros[VALOR],tabela_registros[MÊS],$AE$1,tabela_registros[DIA],novtotal3059718395107119131143155[[#Headers],[14]],tabela_registros[REGISTRO],DADOS!$N$4,tabela_registros[TIPO],DADOS!$P$4,tabela_registros[CATEGORIA],despesavariávelconsolidadonov[[#This Row],[DESPESA VARIÁVEL]])</f>
        <v>0</v>
      </c>
      <c r="S70" s="91">
        <f>SUMIFS(tabela_registros[VALOR],tabela_registros[MÊS],$AE$1,tabela_registros[DIA],novtotal3059718395107119131143155[[#Headers],[15]],tabela_registros[REGISTRO],DADOS!$N$4,tabela_registros[TIPO],DADOS!$P$4,tabela_registros[CATEGORIA],despesavariávelconsolidadonov[[#This Row],[DESPESA VARIÁVEL]])</f>
        <v>0</v>
      </c>
      <c r="T70" s="91">
        <f>SUMIFS(tabela_registros[VALOR],tabela_registros[MÊS],$AE$1,tabela_registros[DIA],novtotal3059718395107119131143155[[#Headers],[16]],tabela_registros[REGISTRO],DADOS!$N$4,tabela_registros[TIPO],DADOS!$P$4,tabela_registros[CATEGORIA],despesavariávelconsolidadonov[[#This Row],[DESPESA VARIÁVEL]])</f>
        <v>0</v>
      </c>
      <c r="U70" s="91">
        <f>SUMIFS(tabela_registros[VALOR],tabela_registros[MÊS],$AE$1,tabela_registros[DIA],novtotal3059718395107119131143155[[#Headers],[17]],tabela_registros[REGISTRO],DADOS!$N$4,tabela_registros[TIPO],DADOS!$P$4,tabela_registros[CATEGORIA],despesavariávelconsolidadonov[[#This Row],[DESPESA VARIÁVEL]])</f>
        <v>0</v>
      </c>
      <c r="V70" s="91">
        <f>SUMIFS(tabela_registros[VALOR],tabela_registros[MÊS],$AE$1,tabela_registros[DIA],novtotal3059718395107119131143155[[#Headers],[18]],tabela_registros[REGISTRO],DADOS!$N$4,tabela_registros[TIPO],DADOS!$P$4,tabela_registros[CATEGORIA],despesavariávelconsolidadonov[[#This Row],[DESPESA VARIÁVEL]])</f>
        <v>0</v>
      </c>
      <c r="W70" s="91">
        <f>SUMIFS(tabela_registros[VALOR],tabela_registros[MÊS],$AE$1,tabela_registros[DIA],novtotal3059718395107119131143155[[#Headers],[19]],tabela_registros[REGISTRO],DADOS!$N$4,tabela_registros[TIPO],DADOS!$P$4,tabela_registros[CATEGORIA],despesavariávelconsolidadonov[[#This Row],[DESPESA VARIÁVEL]])</f>
        <v>0</v>
      </c>
      <c r="X70" s="91">
        <f>SUMIFS(tabela_registros[VALOR],tabela_registros[MÊS],$AE$1,tabela_registros[DIA],novtotal3059718395107119131143155[[#Headers],[20]],tabela_registros[REGISTRO],DADOS!$N$4,tabela_registros[TIPO],DADOS!$P$4,tabela_registros[CATEGORIA],despesavariávelconsolidadonov[[#This Row],[DESPESA VARIÁVEL]])</f>
        <v>0</v>
      </c>
      <c r="Y70" s="91">
        <f>SUMIFS(tabela_registros[VALOR],tabela_registros[MÊS],$AE$1,tabela_registros[DIA],novtotal3059718395107119131143155[[#Headers],[21]],tabela_registros[REGISTRO],DADOS!$N$4,tabela_registros[TIPO],DADOS!$P$4,tabela_registros[CATEGORIA],despesavariávelconsolidadonov[[#This Row],[DESPESA VARIÁVEL]])</f>
        <v>0</v>
      </c>
      <c r="Z70" s="91">
        <f>SUMIFS(tabela_registros[VALOR],tabela_registros[MÊS],$AE$1,tabela_registros[DIA],novtotal3059718395107119131143155[[#Headers],[22]],tabela_registros[REGISTRO],DADOS!$N$4,tabela_registros[TIPO],DADOS!$P$4,tabela_registros[CATEGORIA],despesavariávelconsolidadonov[[#This Row],[DESPESA VARIÁVEL]])</f>
        <v>0</v>
      </c>
      <c r="AA70" s="91">
        <f>SUMIFS(tabela_registros[VALOR],tabela_registros[MÊS],$AE$1,tabela_registros[DIA],novtotal3059718395107119131143155[[#Headers],[23]],tabela_registros[REGISTRO],DADOS!$N$4,tabela_registros[TIPO],DADOS!$P$4,tabela_registros[CATEGORIA],despesavariávelconsolidadonov[[#This Row],[DESPESA VARIÁVEL]])</f>
        <v>0</v>
      </c>
      <c r="AB70" s="91">
        <f>SUMIFS(tabela_registros[VALOR],tabela_registros[MÊS],$AE$1,tabela_registros[DIA],novtotal3059718395107119131143155[[#Headers],[24]],tabela_registros[REGISTRO],DADOS!$N$4,tabela_registros[TIPO],DADOS!$P$4,tabela_registros[CATEGORIA],despesavariávelconsolidadonov[[#This Row],[DESPESA VARIÁVEL]])</f>
        <v>0</v>
      </c>
      <c r="AC70" s="91">
        <f>SUMIFS(tabela_registros[VALOR],tabela_registros[MÊS],$AE$1,tabela_registros[DIA],novtotal3059718395107119131143155[[#Headers],[25]],tabela_registros[REGISTRO],DADOS!$N$4,tabela_registros[TIPO],DADOS!$P$4,tabela_registros[CATEGORIA],despesavariávelconsolidadonov[[#This Row],[DESPESA VARIÁVEL]])</f>
        <v>0</v>
      </c>
      <c r="AD70" s="91">
        <f>SUMIFS(tabela_registros[VALOR],tabela_registros[MÊS],$AE$1,tabela_registros[DIA],novtotal3059718395107119131143155[[#Headers],[26]],tabela_registros[REGISTRO],DADOS!$N$4,tabela_registros[TIPO],DADOS!$P$4,tabela_registros[CATEGORIA],despesavariávelconsolidadonov[[#This Row],[DESPESA VARIÁVEL]])</f>
        <v>0</v>
      </c>
      <c r="AE70" s="91">
        <f>SUMIFS(tabela_registros[VALOR],tabela_registros[MÊS],$AE$1,tabela_registros[DIA],novtotal3059718395107119131143155[[#Headers],[27]],tabela_registros[REGISTRO],DADOS!$N$4,tabela_registros[TIPO],DADOS!$P$4,tabela_registros[CATEGORIA],despesavariávelconsolidadonov[[#This Row],[DESPESA VARIÁVEL]])</f>
        <v>0</v>
      </c>
      <c r="AF70" s="91">
        <f>SUMIFS(tabela_registros[VALOR],tabela_registros[MÊS],$AE$1,tabela_registros[DIA],novtotal3059718395107119131143155[[#Headers],[28]],tabela_registros[REGISTRO],DADOS!$N$4,tabela_registros[TIPO],DADOS!$P$4,tabela_registros[CATEGORIA],despesavariávelconsolidadonov[[#This Row],[DESPESA VARIÁVEL]])</f>
        <v>0</v>
      </c>
      <c r="AG70" s="91">
        <f>SUMIFS(tabela_registros[VALOR],tabela_registros[MÊS],$AE$1,tabela_registros[DIA],novtotal3059718395107119131143155[[#Headers],[29]],tabela_registros[REGISTRO],DADOS!$N$4,tabela_registros[TIPO],DADOS!$P$4,tabela_registros[CATEGORIA],despesavariávelconsolidadonov[[#This Row],[DESPESA VARIÁVEL]])</f>
        <v>0</v>
      </c>
      <c r="AH70" s="91">
        <f>SUMIFS(tabela_registros[VALOR],tabela_registros[MÊS],$AE$1,tabela_registros[DIA],novtotal3059718395107119131143155[[#Headers],[30]],tabela_registros[REGISTRO],DADOS!$N$4,tabela_registros[TIPO],DADOS!$P$4,tabela_registros[CATEGORIA],despesavariávelconsolidadonov[[#This Row],[DESPESA VARIÁVEL]])</f>
        <v>0</v>
      </c>
      <c r="AI70" s="101">
        <f>SUMIFS(tabela_registros[VALOR],tabela_registros[MÊS],$AE$1,tabela_registros[DIA],novtotal3059718395107119131143155[[#Headers],[31]],tabela_registros[REGISTRO],DADOS!$N$4,tabela_registros[TIPO],DADOS!$P$4,tabela_registros[CATEGORIA],despesavariávelconsolidadonov[[#This Row],[DESPESA VARIÁVEL]])</f>
        <v>0</v>
      </c>
      <c r="AJ70" s="97">
        <f>SUM(despesavariávelconsolidadonov[[#This Row],[1]:[31]])</f>
        <v>0</v>
      </c>
      <c r="AK70" s="28"/>
    </row>
    <row r="71" spans="2:37" ht="18" customHeight="1" thickTop="1" thickBot="1" x14ac:dyDescent="0.3">
      <c r="B71" s="28"/>
      <c r="C71" s="27" t="str">
        <f>DADOS!$T$14</f>
        <v>🛍️ VESTUÁRIO</v>
      </c>
      <c r="D71" s="26" t="str">
        <f>IF(despesavariávelconsolidadonov[[#This Row],[TOTAL]]=0,"",IF(OR(despesavariávelconsolidadonov[[#This Row],[TOTAL]]=LARGE($AJ$60:$AJ$72,1),despesavariávelconsolidadonov[[#This Row],[TOTAL]]=LARGE($AJ$60:$AJ$72,2),despesavariávelconsolidadonov[[#This Row],[TOTAL]]=LARGE($AJ$60:$AJ$72,3),despesavariávelconsolidadonov[[#This Row],[TOTAL]]=LARGE($AJ$60:$AJ$72,4),despesavariávelconsolidadonov[[#This Row],[TOTAL]]=LARGE($AJ$60:$AJ$72,5)),DADOS!$I$8,""))</f>
        <v/>
      </c>
      <c r="E71" s="96">
        <f>SUMIFS(tabela_registros[VALOR],tabela_registros[MÊS],$AE$1,tabela_registros[DIA],novtotal3059718395107119131143155[[#Headers],[1]],tabela_registros[REGISTRO],DADOS!$N$4,tabela_registros[TIPO],DADOS!$P$4,tabela_registros[CATEGORIA],despesavariávelconsolidadonov[[#This Row],[DESPESA VARIÁVEL]])</f>
        <v>0</v>
      </c>
      <c r="F71" s="91">
        <f>SUMIFS(tabela_registros[VALOR],tabela_registros[MÊS],$AE$1,tabela_registros[DIA],novtotal3059718395107119131143155[[#Headers],[2]],tabela_registros[REGISTRO],DADOS!$N$4,tabela_registros[TIPO],DADOS!$P$4,tabela_registros[CATEGORIA],despesavariávelconsolidadonov[[#This Row],[DESPESA VARIÁVEL]])</f>
        <v>0</v>
      </c>
      <c r="G71" s="91">
        <f>SUMIFS(tabela_registros[VALOR],tabela_registros[MÊS],$AE$1,tabela_registros[DIA],novtotal3059718395107119131143155[[#Headers],[3]],tabela_registros[REGISTRO],DADOS!$N$4,tabela_registros[TIPO],DADOS!$P$4,tabela_registros[CATEGORIA],despesavariávelconsolidadonov[[#This Row],[DESPESA VARIÁVEL]])</f>
        <v>0</v>
      </c>
      <c r="H71" s="91">
        <f>SUMIFS(tabela_registros[VALOR],tabela_registros[MÊS],$AE$1,tabela_registros[DIA],novtotal3059718395107119131143155[[#Headers],[4]],tabela_registros[REGISTRO],DADOS!$N$4,tabela_registros[TIPO],DADOS!$P$4,tabela_registros[CATEGORIA],despesavariávelconsolidadonov[[#This Row],[DESPESA VARIÁVEL]])</f>
        <v>0</v>
      </c>
      <c r="I71" s="91">
        <f>SUMIFS(tabela_registros[VALOR],tabela_registros[MÊS],$AE$1,tabela_registros[DIA],novtotal3059718395107119131143155[[#Headers],[5]],tabela_registros[REGISTRO],DADOS!$N$4,tabela_registros[TIPO],DADOS!$P$4,tabela_registros[CATEGORIA],despesavariávelconsolidadonov[[#This Row],[DESPESA VARIÁVEL]])</f>
        <v>0</v>
      </c>
      <c r="J71" s="91">
        <f>SUMIFS(tabela_registros[VALOR],tabela_registros[MÊS],$AE$1,tabela_registros[DIA],novtotal3059718395107119131143155[[#Headers],[6]],tabela_registros[REGISTRO],DADOS!$N$4,tabela_registros[TIPO],DADOS!$P$4,tabela_registros[CATEGORIA],despesavariávelconsolidadonov[[#This Row],[DESPESA VARIÁVEL]])</f>
        <v>0</v>
      </c>
      <c r="K71" s="91">
        <f>SUMIFS(tabela_registros[VALOR],tabela_registros[MÊS],$AE$1,tabela_registros[DIA],novtotal3059718395107119131143155[[#Headers],[7]],tabela_registros[REGISTRO],DADOS!$N$4,tabela_registros[TIPO],DADOS!$P$4,tabela_registros[CATEGORIA],despesavariávelconsolidadonov[[#This Row],[DESPESA VARIÁVEL]])</f>
        <v>0</v>
      </c>
      <c r="L71" s="91">
        <f>SUMIFS(tabela_registros[VALOR],tabela_registros[MÊS],$AE$1,tabela_registros[DIA],novtotal3059718395107119131143155[[#Headers],[8]],tabela_registros[REGISTRO],DADOS!$N$4,tabela_registros[TIPO],DADOS!$P$4,tabela_registros[CATEGORIA],despesavariávelconsolidadonov[[#This Row],[DESPESA VARIÁVEL]])</f>
        <v>0</v>
      </c>
      <c r="M71" s="91">
        <f>SUMIFS(tabela_registros[VALOR],tabela_registros[MÊS],$AE$1,tabela_registros[DIA],novtotal3059718395107119131143155[[#Headers],[9]],tabela_registros[REGISTRO],DADOS!$N$4,tabela_registros[TIPO],DADOS!$P$4,tabela_registros[CATEGORIA],despesavariávelconsolidadonov[[#This Row],[DESPESA VARIÁVEL]])</f>
        <v>0</v>
      </c>
      <c r="N71" s="91">
        <f>SUMIFS(tabela_registros[VALOR],tabela_registros[MÊS],$AE$1,tabela_registros[DIA],novtotal3059718395107119131143155[[#Headers],[10]],tabela_registros[REGISTRO],DADOS!$N$4,tabela_registros[TIPO],DADOS!$P$4,tabela_registros[CATEGORIA],despesavariávelconsolidadonov[[#This Row],[DESPESA VARIÁVEL]])</f>
        <v>0</v>
      </c>
      <c r="O71" s="91">
        <f>SUMIFS(tabela_registros[VALOR],tabela_registros[MÊS],$AE$1,tabela_registros[DIA],novtotal3059718395107119131143155[[#Headers],[11]],tabela_registros[REGISTRO],DADOS!$N$4,tabela_registros[TIPO],DADOS!$P$4,tabela_registros[CATEGORIA],despesavariávelconsolidadonov[[#This Row],[DESPESA VARIÁVEL]])</f>
        <v>0</v>
      </c>
      <c r="P71" s="91">
        <f>SUMIFS(tabela_registros[VALOR],tabela_registros[MÊS],$AE$1,tabela_registros[DIA],novtotal3059718395107119131143155[[#Headers],[12]],tabela_registros[REGISTRO],DADOS!$N$4,tabela_registros[TIPO],DADOS!$P$4,tabela_registros[CATEGORIA],despesavariávelconsolidadonov[[#This Row],[DESPESA VARIÁVEL]])</f>
        <v>0</v>
      </c>
      <c r="Q71" s="91">
        <f>SUMIFS(tabela_registros[VALOR],tabela_registros[MÊS],$AE$1,tabela_registros[DIA],novtotal3059718395107119131143155[[#Headers],[13]],tabela_registros[REGISTRO],DADOS!$N$4,tabela_registros[TIPO],DADOS!$P$4,tabela_registros[CATEGORIA],despesavariávelconsolidadonov[[#This Row],[DESPESA VARIÁVEL]])</f>
        <v>0</v>
      </c>
      <c r="R71" s="91">
        <f>SUMIFS(tabela_registros[VALOR],tabela_registros[MÊS],$AE$1,tabela_registros[DIA],novtotal3059718395107119131143155[[#Headers],[14]],tabela_registros[REGISTRO],DADOS!$N$4,tabela_registros[TIPO],DADOS!$P$4,tabela_registros[CATEGORIA],despesavariávelconsolidadonov[[#This Row],[DESPESA VARIÁVEL]])</f>
        <v>0</v>
      </c>
      <c r="S71" s="91">
        <f>SUMIFS(tabela_registros[VALOR],tabela_registros[MÊS],$AE$1,tabela_registros[DIA],novtotal3059718395107119131143155[[#Headers],[15]],tabela_registros[REGISTRO],DADOS!$N$4,tabela_registros[TIPO],DADOS!$P$4,tabela_registros[CATEGORIA],despesavariávelconsolidadonov[[#This Row],[DESPESA VARIÁVEL]])</f>
        <v>0</v>
      </c>
      <c r="T71" s="91">
        <f>SUMIFS(tabela_registros[VALOR],tabela_registros[MÊS],$AE$1,tabela_registros[DIA],novtotal3059718395107119131143155[[#Headers],[16]],tabela_registros[REGISTRO],DADOS!$N$4,tabela_registros[TIPO],DADOS!$P$4,tabela_registros[CATEGORIA],despesavariávelconsolidadonov[[#This Row],[DESPESA VARIÁVEL]])</f>
        <v>0</v>
      </c>
      <c r="U71" s="91">
        <f>SUMIFS(tabela_registros[VALOR],tabela_registros[MÊS],$AE$1,tabela_registros[DIA],novtotal3059718395107119131143155[[#Headers],[17]],tabela_registros[REGISTRO],DADOS!$N$4,tabela_registros[TIPO],DADOS!$P$4,tabela_registros[CATEGORIA],despesavariávelconsolidadonov[[#This Row],[DESPESA VARIÁVEL]])</f>
        <v>0</v>
      </c>
      <c r="V71" s="91">
        <f>SUMIFS(tabela_registros[VALOR],tabela_registros[MÊS],$AE$1,tabela_registros[DIA],novtotal3059718395107119131143155[[#Headers],[18]],tabela_registros[REGISTRO],DADOS!$N$4,tabela_registros[TIPO],DADOS!$P$4,tabela_registros[CATEGORIA],despesavariávelconsolidadonov[[#This Row],[DESPESA VARIÁVEL]])</f>
        <v>0</v>
      </c>
      <c r="W71" s="91">
        <f>SUMIFS(tabela_registros[VALOR],tabela_registros[MÊS],$AE$1,tabela_registros[DIA],novtotal3059718395107119131143155[[#Headers],[19]],tabela_registros[REGISTRO],DADOS!$N$4,tabela_registros[TIPO],DADOS!$P$4,tabela_registros[CATEGORIA],despesavariávelconsolidadonov[[#This Row],[DESPESA VARIÁVEL]])</f>
        <v>0</v>
      </c>
      <c r="X71" s="91">
        <f>SUMIFS(tabela_registros[VALOR],tabela_registros[MÊS],$AE$1,tabela_registros[DIA],novtotal3059718395107119131143155[[#Headers],[20]],tabela_registros[REGISTRO],DADOS!$N$4,tabela_registros[TIPO],DADOS!$P$4,tabela_registros[CATEGORIA],despesavariávelconsolidadonov[[#This Row],[DESPESA VARIÁVEL]])</f>
        <v>0</v>
      </c>
      <c r="Y71" s="91">
        <f>SUMIFS(tabela_registros[VALOR],tabela_registros[MÊS],$AE$1,tabela_registros[DIA],novtotal3059718395107119131143155[[#Headers],[21]],tabela_registros[REGISTRO],DADOS!$N$4,tabela_registros[TIPO],DADOS!$P$4,tabela_registros[CATEGORIA],despesavariávelconsolidadonov[[#This Row],[DESPESA VARIÁVEL]])</f>
        <v>0</v>
      </c>
      <c r="Z71" s="91">
        <f>SUMIFS(tabela_registros[VALOR],tabela_registros[MÊS],$AE$1,tabela_registros[DIA],novtotal3059718395107119131143155[[#Headers],[22]],tabela_registros[REGISTRO],DADOS!$N$4,tabela_registros[TIPO],DADOS!$P$4,tabela_registros[CATEGORIA],despesavariávelconsolidadonov[[#This Row],[DESPESA VARIÁVEL]])</f>
        <v>0</v>
      </c>
      <c r="AA71" s="91">
        <f>SUMIFS(tabela_registros[VALOR],tabela_registros[MÊS],$AE$1,tabela_registros[DIA],novtotal3059718395107119131143155[[#Headers],[23]],tabela_registros[REGISTRO],DADOS!$N$4,tabela_registros[TIPO],DADOS!$P$4,tabela_registros[CATEGORIA],despesavariávelconsolidadonov[[#This Row],[DESPESA VARIÁVEL]])</f>
        <v>0</v>
      </c>
      <c r="AB71" s="91">
        <f>SUMIFS(tabela_registros[VALOR],tabela_registros[MÊS],$AE$1,tabela_registros[DIA],novtotal3059718395107119131143155[[#Headers],[24]],tabela_registros[REGISTRO],DADOS!$N$4,tabela_registros[TIPO],DADOS!$P$4,tabela_registros[CATEGORIA],despesavariávelconsolidadonov[[#This Row],[DESPESA VARIÁVEL]])</f>
        <v>0</v>
      </c>
      <c r="AC71" s="91">
        <f>SUMIFS(tabela_registros[VALOR],tabela_registros[MÊS],$AE$1,tabela_registros[DIA],novtotal3059718395107119131143155[[#Headers],[25]],tabela_registros[REGISTRO],DADOS!$N$4,tabela_registros[TIPO],DADOS!$P$4,tabela_registros[CATEGORIA],despesavariávelconsolidadonov[[#This Row],[DESPESA VARIÁVEL]])</f>
        <v>0</v>
      </c>
      <c r="AD71" s="91">
        <f>SUMIFS(tabela_registros[VALOR],tabela_registros[MÊS],$AE$1,tabela_registros[DIA],novtotal3059718395107119131143155[[#Headers],[26]],tabela_registros[REGISTRO],DADOS!$N$4,tabela_registros[TIPO],DADOS!$P$4,tabela_registros[CATEGORIA],despesavariávelconsolidadonov[[#This Row],[DESPESA VARIÁVEL]])</f>
        <v>0</v>
      </c>
      <c r="AE71" s="91">
        <f>SUMIFS(tabela_registros[VALOR],tabela_registros[MÊS],$AE$1,tabela_registros[DIA],novtotal3059718395107119131143155[[#Headers],[27]],tabela_registros[REGISTRO],DADOS!$N$4,tabela_registros[TIPO],DADOS!$P$4,tabela_registros[CATEGORIA],despesavariávelconsolidadonov[[#This Row],[DESPESA VARIÁVEL]])</f>
        <v>0</v>
      </c>
      <c r="AF71" s="91">
        <f>SUMIFS(tabela_registros[VALOR],tabela_registros[MÊS],$AE$1,tabela_registros[DIA],novtotal3059718395107119131143155[[#Headers],[28]],tabela_registros[REGISTRO],DADOS!$N$4,tabela_registros[TIPO],DADOS!$P$4,tabela_registros[CATEGORIA],despesavariávelconsolidadonov[[#This Row],[DESPESA VARIÁVEL]])</f>
        <v>0</v>
      </c>
      <c r="AG71" s="91">
        <f>SUMIFS(tabela_registros[VALOR],tabela_registros[MÊS],$AE$1,tabela_registros[DIA],novtotal3059718395107119131143155[[#Headers],[29]],tabela_registros[REGISTRO],DADOS!$N$4,tabela_registros[TIPO],DADOS!$P$4,tabela_registros[CATEGORIA],despesavariávelconsolidadonov[[#This Row],[DESPESA VARIÁVEL]])</f>
        <v>0</v>
      </c>
      <c r="AH71" s="91">
        <f>SUMIFS(tabela_registros[VALOR],tabela_registros[MÊS],$AE$1,tabela_registros[DIA],novtotal3059718395107119131143155[[#Headers],[30]],tabela_registros[REGISTRO],DADOS!$N$4,tabela_registros[TIPO],DADOS!$P$4,tabela_registros[CATEGORIA],despesavariávelconsolidadonov[[#This Row],[DESPESA VARIÁVEL]])</f>
        <v>0</v>
      </c>
      <c r="AI71" s="101">
        <f>SUMIFS(tabela_registros[VALOR],tabela_registros[MÊS],$AE$1,tabela_registros[DIA],novtotal3059718395107119131143155[[#Headers],[31]],tabela_registros[REGISTRO],DADOS!$N$4,tabela_registros[TIPO],DADOS!$P$4,tabela_registros[CATEGORIA],despesavariávelconsolidadonov[[#This Row],[DESPESA VARIÁVEL]])</f>
        <v>0</v>
      </c>
      <c r="AJ71" s="97">
        <f>SUM(despesavariávelconsolidadonov[[#This Row],[1]:[31]])</f>
        <v>0</v>
      </c>
      <c r="AK71" s="28"/>
    </row>
    <row r="72" spans="2:37" ht="18" customHeight="1" thickTop="1" thickBot="1" x14ac:dyDescent="0.3">
      <c r="B72" s="28"/>
      <c r="C72" s="27" t="str">
        <f>DADOS!$T$15</f>
        <v>📎 OUTROS</v>
      </c>
      <c r="D72" s="26" t="str">
        <f>IF(despesavariávelconsolidadonov[[#This Row],[TOTAL]]=0,"",IF(OR(despesavariávelconsolidadonov[[#This Row],[TOTAL]]=LARGE($AJ$60:$AJ$72,1),despesavariávelconsolidadonov[[#This Row],[TOTAL]]=LARGE($AJ$60:$AJ$72,2),despesavariávelconsolidadonov[[#This Row],[TOTAL]]=LARGE($AJ$60:$AJ$72,3),despesavariávelconsolidadonov[[#This Row],[TOTAL]]=LARGE($AJ$60:$AJ$72,4),despesavariávelconsolidadonov[[#This Row],[TOTAL]]=LARGE($AJ$60:$AJ$72,5)),DADOS!$I$8,""))</f>
        <v/>
      </c>
      <c r="E72" s="96">
        <f>SUMIFS(tabela_registros[VALOR],tabela_registros[MÊS],$AE$1,tabela_registros[DIA],novtotal3059718395107119131143155[[#Headers],[1]],tabela_registros[REGISTRO],DADOS!$N$4,tabela_registros[TIPO],DADOS!$P$4,tabela_registros[CATEGORIA],despesavariávelconsolidadonov[[#This Row],[DESPESA VARIÁVEL]])</f>
        <v>0</v>
      </c>
      <c r="F72" s="91">
        <f>SUMIFS(tabela_registros[VALOR],tabela_registros[MÊS],$AE$1,tabela_registros[DIA],novtotal3059718395107119131143155[[#Headers],[2]],tabela_registros[REGISTRO],DADOS!$N$4,tabela_registros[TIPO],DADOS!$P$4,tabela_registros[CATEGORIA],despesavariávelconsolidadonov[[#This Row],[DESPESA VARIÁVEL]])</f>
        <v>0</v>
      </c>
      <c r="G72" s="91">
        <f>SUMIFS(tabela_registros[VALOR],tabela_registros[MÊS],$AE$1,tabela_registros[DIA],novtotal3059718395107119131143155[[#Headers],[3]],tabela_registros[REGISTRO],DADOS!$N$4,tabela_registros[TIPO],DADOS!$P$4,tabela_registros[CATEGORIA],despesavariávelconsolidadonov[[#This Row],[DESPESA VARIÁVEL]])</f>
        <v>0</v>
      </c>
      <c r="H72" s="91">
        <f>SUMIFS(tabela_registros[VALOR],tabela_registros[MÊS],$AE$1,tabela_registros[DIA],novtotal3059718395107119131143155[[#Headers],[4]],tabela_registros[REGISTRO],DADOS!$N$4,tabela_registros[TIPO],DADOS!$P$4,tabela_registros[CATEGORIA],despesavariávelconsolidadonov[[#This Row],[DESPESA VARIÁVEL]])</f>
        <v>0</v>
      </c>
      <c r="I72" s="91">
        <f>SUMIFS(tabela_registros[VALOR],tabela_registros[MÊS],$AE$1,tabela_registros[DIA],novtotal3059718395107119131143155[[#Headers],[5]],tabela_registros[REGISTRO],DADOS!$N$4,tabela_registros[TIPO],DADOS!$P$4,tabela_registros[CATEGORIA],despesavariávelconsolidadonov[[#This Row],[DESPESA VARIÁVEL]])</f>
        <v>0</v>
      </c>
      <c r="J72" s="91">
        <f>SUMIFS(tabela_registros[VALOR],tabela_registros[MÊS],$AE$1,tabela_registros[DIA],novtotal3059718395107119131143155[[#Headers],[6]],tabela_registros[REGISTRO],DADOS!$N$4,tabela_registros[TIPO],DADOS!$P$4,tabela_registros[CATEGORIA],despesavariávelconsolidadonov[[#This Row],[DESPESA VARIÁVEL]])</f>
        <v>0</v>
      </c>
      <c r="K72" s="91">
        <f>SUMIFS(tabela_registros[VALOR],tabela_registros[MÊS],$AE$1,tabela_registros[DIA],novtotal3059718395107119131143155[[#Headers],[7]],tabela_registros[REGISTRO],DADOS!$N$4,tabela_registros[TIPO],DADOS!$P$4,tabela_registros[CATEGORIA],despesavariávelconsolidadonov[[#This Row],[DESPESA VARIÁVEL]])</f>
        <v>0</v>
      </c>
      <c r="L72" s="91">
        <f>SUMIFS(tabela_registros[VALOR],tabela_registros[MÊS],$AE$1,tabela_registros[DIA],novtotal3059718395107119131143155[[#Headers],[8]],tabela_registros[REGISTRO],DADOS!$N$4,tabela_registros[TIPO],DADOS!$P$4,tabela_registros[CATEGORIA],despesavariávelconsolidadonov[[#This Row],[DESPESA VARIÁVEL]])</f>
        <v>0</v>
      </c>
      <c r="M72" s="91">
        <f>SUMIFS(tabela_registros[VALOR],tabela_registros[MÊS],$AE$1,tabela_registros[DIA],novtotal3059718395107119131143155[[#Headers],[9]],tabela_registros[REGISTRO],DADOS!$N$4,tabela_registros[TIPO],DADOS!$P$4,tabela_registros[CATEGORIA],despesavariávelconsolidadonov[[#This Row],[DESPESA VARIÁVEL]])</f>
        <v>0</v>
      </c>
      <c r="N72" s="91">
        <f>SUMIFS(tabela_registros[VALOR],tabela_registros[MÊS],$AE$1,tabela_registros[DIA],novtotal3059718395107119131143155[[#Headers],[10]],tabela_registros[REGISTRO],DADOS!$N$4,tabela_registros[TIPO],DADOS!$P$4,tabela_registros[CATEGORIA],despesavariávelconsolidadonov[[#This Row],[DESPESA VARIÁVEL]])</f>
        <v>0</v>
      </c>
      <c r="O72" s="91">
        <f>SUMIFS(tabela_registros[VALOR],tabela_registros[MÊS],$AE$1,tabela_registros[DIA],novtotal3059718395107119131143155[[#Headers],[11]],tabela_registros[REGISTRO],DADOS!$N$4,tabela_registros[TIPO],DADOS!$P$4,tabela_registros[CATEGORIA],despesavariávelconsolidadonov[[#This Row],[DESPESA VARIÁVEL]])</f>
        <v>0</v>
      </c>
      <c r="P72" s="91">
        <f>SUMIFS(tabela_registros[VALOR],tabela_registros[MÊS],$AE$1,tabela_registros[DIA],novtotal3059718395107119131143155[[#Headers],[12]],tabela_registros[REGISTRO],DADOS!$N$4,tabela_registros[TIPO],DADOS!$P$4,tabela_registros[CATEGORIA],despesavariávelconsolidadonov[[#This Row],[DESPESA VARIÁVEL]])</f>
        <v>0</v>
      </c>
      <c r="Q72" s="91">
        <f>SUMIFS(tabela_registros[VALOR],tabela_registros[MÊS],$AE$1,tabela_registros[DIA],novtotal3059718395107119131143155[[#Headers],[13]],tabela_registros[REGISTRO],DADOS!$N$4,tabela_registros[TIPO],DADOS!$P$4,tabela_registros[CATEGORIA],despesavariávelconsolidadonov[[#This Row],[DESPESA VARIÁVEL]])</f>
        <v>0</v>
      </c>
      <c r="R72" s="91">
        <f>SUMIFS(tabela_registros[VALOR],tabela_registros[MÊS],$AE$1,tabela_registros[DIA],novtotal3059718395107119131143155[[#Headers],[14]],tabela_registros[REGISTRO],DADOS!$N$4,tabela_registros[TIPO],DADOS!$P$4,tabela_registros[CATEGORIA],despesavariávelconsolidadonov[[#This Row],[DESPESA VARIÁVEL]])</f>
        <v>0</v>
      </c>
      <c r="S72" s="91">
        <f>SUMIFS(tabela_registros[VALOR],tabela_registros[MÊS],$AE$1,tabela_registros[DIA],novtotal3059718395107119131143155[[#Headers],[15]],tabela_registros[REGISTRO],DADOS!$N$4,tabela_registros[TIPO],DADOS!$P$4,tabela_registros[CATEGORIA],despesavariávelconsolidadonov[[#This Row],[DESPESA VARIÁVEL]])</f>
        <v>0</v>
      </c>
      <c r="T72" s="91">
        <f>SUMIFS(tabela_registros[VALOR],tabela_registros[MÊS],$AE$1,tabela_registros[DIA],novtotal3059718395107119131143155[[#Headers],[16]],tabela_registros[REGISTRO],DADOS!$N$4,tabela_registros[TIPO],DADOS!$P$4,tabela_registros[CATEGORIA],despesavariávelconsolidadonov[[#This Row],[DESPESA VARIÁVEL]])</f>
        <v>0</v>
      </c>
      <c r="U72" s="91">
        <f>SUMIFS(tabela_registros[VALOR],tabela_registros[MÊS],$AE$1,tabela_registros[DIA],novtotal3059718395107119131143155[[#Headers],[17]],tabela_registros[REGISTRO],DADOS!$N$4,tabela_registros[TIPO],DADOS!$P$4,tabela_registros[CATEGORIA],despesavariávelconsolidadonov[[#This Row],[DESPESA VARIÁVEL]])</f>
        <v>0</v>
      </c>
      <c r="V72" s="91">
        <f>SUMIFS(tabela_registros[VALOR],tabela_registros[MÊS],$AE$1,tabela_registros[DIA],novtotal3059718395107119131143155[[#Headers],[18]],tabela_registros[REGISTRO],DADOS!$N$4,tabela_registros[TIPO],DADOS!$P$4,tabela_registros[CATEGORIA],despesavariávelconsolidadonov[[#This Row],[DESPESA VARIÁVEL]])</f>
        <v>0</v>
      </c>
      <c r="W72" s="91">
        <f>SUMIFS(tabela_registros[VALOR],tabela_registros[MÊS],$AE$1,tabela_registros[DIA],novtotal3059718395107119131143155[[#Headers],[19]],tabela_registros[REGISTRO],DADOS!$N$4,tabela_registros[TIPO],DADOS!$P$4,tabela_registros[CATEGORIA],despesavariávelconsolidadonov[[#This Row],[DESPESA VARIÁVEL]])</f>
        <v>0</v>
      </c>
      <c r="X72" s="91">
        <f>SUMIFS(tabela_registros[VALOR],tabela_registros[MÊS],$AE$1,tabela_registros[DIA],novtotal3059718395107119131143155[[#Headers],[20]],tabela_registros[REGISTRO],DADOS!$N$4,tabela_registros[TIPO],DADOS!$P$4,tabela_registros[CATEGORIA],despesavariávelconsolidadonov[[#This Row],[DESPESA VARIÁVEL]])</f>
        <v>0</v>
      </c>
      <c r="Y72" s="91">
        <f>SUMIFS(tabela_registros[VALOR],tabela_registros[MÊS],$AE$1,tabela_registros[DIA],novtotal3059718395107119131143155[[#Headers],[21]],tabela_registros[REGISTRO],DADOS!$N$4,tabela_registros[TIPO],DADOS!$P$4,tabela_registros[CATEGORIA],despesavariávelconsolidadonov[[#This Row],[DESPESA VARIÁVEL]])</f>
        <v>0</v>
      </c>
      <c r="Z72" s="91">
        <f>SUMIFS(tabela_registros[VALOR],tabela_registros[MÊS],$AE$1,tabela_registros[DIA],novtotal3059718395107119131143155[[#Headers],[22]],tabela_registros[REGISTRO],DADOS!$N$4,tabela_registros[TIPO],DADOS!$P$4,tabela_registros[CATEGORIA],despesavariávelconsolidadonov[[#This Row],[DESPESA VARIÁVEL]])</f>
        <v>0</v>
      </c>
      <c r="AA72" s="91">
        <f>SUMIFS(tabela_registros[VALOR],tabela_registros[MÊS],$AE$1,tabela_registros[DIA],novtotal3059718395107119131143155[[#Headers],[23]],tabela_registros[REGISTRO],DADOS!$N$4,tabela_registros[TIPO],DADOS!$P$4,tabela_registros[CATEGORIA],despesavariávelconsolidadonov[[#This Row],[DESPESA VARIÁVEL]])</f>
        <v>0</v>
      </c>
      <c r="AB72" s="91">
        <f>SUMIFS(tabela_registros[VALOR],tabela_registros[MÊS],$AE$1,tabela_registros[DIA],novtotal3059718395107119131143155[[#Headers],[24]],tabela_registros[REGISTRO],DADOS!$N$4,tabela_registros[TIPO],DADOS!$P$4,tabela_registros[CATEGORIA],despesavariávelconsolidadonov[[#This Row],[DESPESA VARIÁVEL]])</f>
        <v>0</v>
      </c>
      <c r="AC72" s="91">
        <f>SUMIFS(tabela_registros[VALOR],tabela_registros[MÊS],$AE$1,tabela_registros[DIA],novtotal3059718395107119131143155[[#Headers],[25]],tabela_registros[REGISTRO],DADOS!$N$4,tabela_registros[TIPO],DADOS!$P$4,tabela_registros[CATEGORIA],despesavariávelconsolidadonov[[#This Row],[DESPESA VARIÁVEL]])</f>
        <v>0</v>
      </c>
      <c r="AD72" s="91">
        <f>SUMIFS(tabela_registros[VALOR],tabela_registros[MÊS],$AE$1,tabela_registros[DIA],novtotal3059718395107119131143155[[#Headers],[26]],tabela_registros[REGISTRO],DADOS!$N$4,tabela_registros[TIPO],DADOS!$P$4,tabela_registros[CATEGORIA],despesavariávelconsolidadonov[[#This Row],[DESPESA VARIÁVEL]])</f>
        <v>0</v>
      </c>
      <c r="AE72" s="91">
        <f>SUMIFS(tabela_registros[VALOR],tabela_registros[MÊS],$AE$1,tabela_registros[DIA],novtotal3059718395107119131143155[[#Headers],[27]],tabela_registros[REGISTRO],DADOS!$N$4,tabela_registros[TIPO],DADOS!$P$4,tabela_registros[CATEGORIA],despesavariávelconsolidadonov[[#This Row],[DESPESA VARIÁVEL]])</f>
        <v>0</v>
      </c>
      <c r="AF72" s="91">
        <f>SUMIFS(tabela_registros[VALOR],tabela_registros[MÊS],$AE$1,tabela_registros[DIA],novtotal3059718395107119131143155[[#Headers],[28]],tabela_registros[REGISTRO],DADOS!$N$4,tabela_registros[TIPO],DADOS!$P$4,tabela_registros[CATEGORIA],despesavariávelconsolidadonov[[#This Row],[DESPESA VARIÁVEL]])</f>
        <v>0</v>
      </c>
      <c r="AG72" s="91">
        <f>SUMIFS(tabela_registros[VALOR],tabela_registros[MÊS],$AE$1,tabela_registros[DIA],novtotal3059718395107119131143155[[#Headers],[29]],tabela_registros[REGISTRO],DADOS!$N$4,tabela_registros[TIPO],DADOS!$P$4,tabela_registros[CATEGORIA],despesavariávelconsolidadonov[[#This Row],[DESPESA VARIÁVEL]])</f>
        <v>0</v>
      </c>
      <c r="AH72" s="91">
        <f>SUMIFS(tabela_registros[VALOR],tabela_registros[MÊS],$AE$1,tabela_registros[DIA],novtotal3059718395107119131143155[[#Headers],[30]],tabela_registros[REGISTRO],DADOS!$N$4,tabela_registros[TIPO],DADOS!$P$4,tabela_registros[CATEGORIA],despesavariávelconsolidadonov[[#This Row],[DESPESA VARIÁVEL]])</f>
        <v>0</v>
      </c>
      <c r="AI72" s="102">
        <f>SUMIFS(tabela_registros[VALOR],tabela_registros[MÊS],$AE$1,tabela_registros[DIA],novtotal3059718395107119131143155[[#Headers],[31]],tabela_registros[REGISTRO],DADOS!$N$4,tabela_registros[TIPO],DADOS!$P$4,tabela_registros[CATEGORIA],despesavariávelconsolidadonov[[#This Row],[DESPESA VARIÁVEL]])</f>
        <v>0</v>
      </c>
      <c r="AJ72" s="97">
        <f>SUM(despesavariávelconsolidadonov[[#This Row],[1]:[31]])</f>
        <v>0</v>
      </c>
      <c r="AK72" s="28"/>
    </row>
    <row r="73" spans="2:37" s="16" customFormat="1" ht="21" customHeight="1" thickTop="1" thickBot="1" x14ac:dyDescent="0.35">
      <c r="B73" s="24"/>
      <c r="C73" s="23" t="s">
        <v>19</v>
      </c>
      <c r="D73" s="41" t="str">
        <f>IF(despesavariávelconsolidadonov[[#This Row],[TOTAL]]=0,"",IF(OR(despesavariávelconsolidadonov[[#This Row],[TOTAL]]=SMALL(despesavariávelconsolidadonov[TOTAL],1),despesavariávelconsolidadonov[[#This Row],[TOTAL]]=SMALL(despesavariávelconsolidadonov[TOTAL],2),despesavariávelconsolidadonov[[#This Row],[TOTAL]]=SMALL(despesavariávelconsolidadonov[TOTAL],3),despesavariávelconsolidadonov[[#This Row],[TOTAL]]=SMALL(despesavariávelconsolidadonov[TOTAL],4),despesavariávelconsolidadonov[[#This Row],[TOTAL]]=SMALL(despesavariávelconsolidadonov[TOTAL],5)),DADOS!$I$8,""))</f>
        <v/>
      </c>
      <c r="E73" s="21">
        <f>SUM(E60:E72)</f>
        <v>0</v>
      </c>
      <c r="F73" s="20">
        <f>SUM(F60:F72)+despesavariávelconsolidadonov[[#This Row],[1]]</f>
        <v>0</v>
      </c>
      <c r="G73" s="20">
        <f>SUM(G60:G72)+despesavariávelconsolidadonov[[#This Row],[2]]</f>
        <v>0</v>
      </c>
      <c r="H73" s="20">
        <f>SUM(H60:H72)+despesavariávelconsolidadonov[[#This Row],[3]]</f>
        <v>0</v>
      </c>
      <c r="I73" s="20">
        <f>SUM(I60:I72)+despesavariávelconsolidadonov[[#This Row],[4]]</f>
        <v>0</v>
      </c>
      <c r="J73" s="20">
        <f>SUM(J60:J72)+despesavariávelconsolidadonov[[#This Row],[5]]</f>
        <v>0</v>
      </c>
      <c r="K73" s="20">
        <f>SUM(K60:K72)+despesavariávelconsolidadonov[[#This Row],[6]]</f>
        <v>0</v>
      </c>
      <c r="L73" s="20">
        <f>SUM(L60:L72)+despesavariávelconsolidadonov[[#This Row],[7]]</f>
        <v>0</v>
      </c>
      <c r="M73" s="20">
        <f>SUM(M60:M72)+despesavariávelconsolidadonov[[#This Row],[8]]</f>
        <v>0</v>
      </c>
      <c r="N73" s="20">
        <f>SUM(N60:N72)+despesavariávelconsolidadonov[[#This Row],[9]]</f>
        <v>0</v>
      </c>
      <c r="O73" s="20">
        <f>SUM(O60:O72)+despesavariávelconsolidadonov[[#This Row],[10]]</f>
        <v>0</v>
      </c>
      <c r="P73" s="20">
        <f>SUM(P60:P72)+despesavariávelconsolidadonov[[#This Row],[11]]</f>
        <v>0</v>
      </c>
      <c r="Q73" s="20">
        <f>SUM(Q60:Q72)+despesavariávelconsolidadonov[[#This Row],[12]]</f>
        <v>0</v>
      </c>
      <c r="R73" s="20">
        <f>SUM(R60:R72)+despesavariávelconsolidadonov[[#This Row],[13]]</f>
        <v>0</v>
      </c>
      <c r="S73" s="20">
        <f>SUM(S60:S72)+despesavariávelconsolidadonov[[#This Row],[14]]</f>
        <v>0</v>
      </c>
      <c r="T73" s="20">
        <f>SUM(T60:T72)+despesavariávelconsolidadonov[[#This Row],[15]]</f>
        <v>0</v>
      </c>
      <c r="U73" s="20">
        <f>SUM(U60:U72)+despesavariávelconsolidadonov[[#This Row],[16]]</f>
        <v>0</v>
      </c>
      <c r="V73" s="20">
        <f>SUM(V60:V72)+despesavariávelconsolidadonov[[#This Row],[17]]</f>
        <v>0</v>
      </c>
      <c r="W73" s="20">
        <f>SUM(W60:W72)+despesavariávelconsolidadonov[[#This Row],[18]]</f>
        <v>0</v>
      </c>
      <c r="X73" s="20">
        <f>SUM(X60:X72)+despesavariávelconsolidadonov[[#This Row],[19]]</f>
        <v>0</v>
      </c>
      <c r="Y73" s="20">
        <f>SUM(Y60:Y72)+despesavariávelconsolidadonov[[#This Row],[20]]</f>
        <v>0</v>
      </c>
      <c r="Z73" s="20">
        <f>SUM(Z60:Z72)+despesavariávelconsolidadonov[[#This Row],[21]]</f>
        <v>0</v>
      </c>
      <c r="AA73" s="20">
        <f>SUM(AA60:AA72)+despesavariávelconsolidadonov[[#This Row],[22]]</f>
        <v>0</v>
      </c>
      <c r="AB73" s="20">
        <f>SUM(AB60:AB72)+despesavariávelconsolidadonov[[#This Row],[23]]</f>
        <v>0</v>
      </c>
      <c r="AC73" s="20">
        <f>SUM(AC60:AC72)+despesavariávelconsolidadonov[[#This Row],[24]]</f>
        <v>0</v>
      </c>
      <c r="AD73" s="20">
        <f>SUM(AD60:AD72)+despesavariávelconsolidadonov[[#This Row],[25]]</f>
        <v>0</v>
      </c>
      <c r="AE73" s="20">
        <f>SUM(AE60:AE72)+despesavariávelconsolidadonov[[#This Row],[26]]</f>
        <v>0</v>
      </c>
      <c r="AF73" s="20">
        <f>SUM(AF60:AF72)+despesavariávelconsolidadonov[[#This Row],[27]]</f>
        <v>0</v>
      </c>
      <c r="AG73" s="20">
        <f>SUM(AG60:AG72)+despesavariávelconsolidadonov[[#This Row],[28]]</f>
        <v>0</v>
      </c>
      <c r="AH73" s="20">
        <f>SUM(AH60:AH72)+despesavariávelconsolidadonov[[#This Row],[29]]</f>
        <v>0</v>
      </c>
      <c r="AI73" s="19">
        <f>SUM(AI60:AI72)+despesavariávelconsolidadonov[[#This Row],[30]]</f>
        <v>0</v>
      </c>
      <c r="AJ73" s="18">
        <f>despesavariávelconsolidadonov[[#This Row],[31]]</f>
        <v>0</v>
      </c>
      <c r="AK73" s="17"/>
    </row>
    <row r="74" spans="2:37" ht="6.75" customHeight="1" thickTop="1" thickBot="1" x14ac:dyDescent="0.3">
      <c r="B74" s="15"/>
      <c r="C74" s="40"/>
      <c r="D74" s="39"/>
      <c r="E74" s="39"/>
      <c r="F74" s="39"/>
      <c r="G74" s="39"/>
      <c r="H74" s="39"/>
      <c r="I74" s="39"/>
      <c r="J74" s="39"/>
      <c r="K74" s="39"/>
      <c r="L74" s="39"/>
      <c r="M74" s="39"/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  <c r="AG74" s="39"/>
      <c r="AH74" s="39"/>
      <c r="AI74" s="38"/>
      <c r="AJ74" s="15"/>
      <c r="AK74" s="10"/>
    </row>
    <row r="75" spans="2:37" ht="12.6" thickTop="1" x14ac:dyDescent="0.25">
      <c r="E75" s="37"/>
      <c r="AI75" s="4"/>
    </row>
    <row r="76" spans="2:37" x14ac:dyDescent="0.25">
      <c r="AI76" s="4"/>
    </row>
    <row r="77" spans="2:37" x14ac:dyDescent="0.25">
      <c r="AI77" s="4"/>
    </row>
    <row r="78" spans="2:37" ht="39.75" customHeight="1" x14ac:dyDescent="0.7">
      <c r="C78" s="36"/>
      <c r="E78" s="240"/>
      <c r="F78" s="240"/>
      <c r="G78" s="240"/>
      <c r="H78" s="240"/>
      <c r="I78" s="240"/>
      <c r="J78" s="240"/>
      <c r="K78" s="240"/>
      <c r="L78" s="240"/>
      <c r="M78" s="240"/>
      <c r="N78" s="240"/>
      <c r="O78" s="240"/>
      <c r="P78" s="240"/>
      <c r="Q78" s="240"/>
      <c r="R78" s="240"/>
      <c r="S78" s="240"/>
      <c r="T78" s="240"/>
      <c r="U78" s="240"/>
      <c r="V78" s="240"/>
      <c r="W78" s="240"/>
      <c r="X78" s="240"/>
      <c r="Y78" s="240"/>
      <c r="Z78" s="240"/>
      <c r="AA78" s="240"/>
      <c r="AB78" s="240"/>
      <c r="AC78" s="240"/>
      <c r="AD78" s="240"/>
      <c r="AE78" s="240"/>
      <c r="AF78" s="240"/>
      <c r="AG78" s="240"/>
      <c r="AH78" s="240"/>
      <c r="AI78" s="240"/>
      <c r="AJ78" s="32" t="s">
        <v>19</v>
      </c>
    </row>
    <row r="79" spans="2:37" ht="12.6" thickBot="1" x14ac:dyDescent="0.3">
      <c r="B79" s="35"/>
      <c r="AI79" s="4"/>
      <c r="AJ79" s="34" t="s">
        <v>202</v>
      </c>
    </row>
    <row r="80" spans="2:37" ht="6.75" customHeight="1" thickTop="1" thickBot="1" x14ac:dyDescent="0.3">
      <c r="B80" s="2"/>
      <c r="C80" s="14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I80" s="13"/>
      <c r="AJ80" s="12"/>
      <c r="AK80" s="33"/>
    </row>
    <row r="81" spans="2:37" ht="13.2" hidden="1" thickTop="1" thickBot="1" x14ac:dyDescent="0.3">
      <c r="B81" s="2"/>
      <c r="C81" s="31" t="s">
        <v>199</v>
      </c>
      <c r="D81" s="30" t="s">
        <v>198</v>
      </c>
      <c r="E81" s="30" t="s">
        <v>197</v>
      </c>
      <c r="F81" s="30" t="s">
        <v>196</v>
      </c>
      <c r="G81" s="30" t="s">
        <v>195</v>
      </c>
      <c r="H81" s="30" t="s">
        <v>194</v>
      </c>
      <c r="I81" s="30" t="s">
        <v>193</v>
      </c>
      <c r="J81" s="30" t="s">
        <v>192</v>
      </c>
      <c r="K81" s="30" t="s">
        <v>191</v>
      </c>
      <c r="L81" s="30" t="s">
        <v>190</v>
      </c>
      <c r="M81" s="30" t="s">
        <v>189</v>
      </c>
      <c r="N81" s="30" t="s">
        <v>188</v>
      </c>
      <c r="O81" s="30" t="s">
        <v>187</v>
      </c>
      <c r="P81" s="30" t="s">
        <v>186</v>
      </c>
      <c r="Q81" s="30" t="s">
        <v>185</v>
      </c>
      <c r="R81" s="30" t="s">
        <v>184</v>
      </c>
      <c r="S81" s="30" t="s">
        <v>183</v>
      </c>
      <c r="T81" s="30" t="s">
        <v>182</v>
      </c>
      <c r="U81" s="30" t="s">
        <v>181</v>
      </c>
      <c r="V81" s="30" t="s">
        <v>180</v>
      </c>
      <c r="W81" s="30" t="s">
        <v>179</v>
      </c>
      <c r="X81" s="30" t="s">
        <v>178</v>
      </c>
      <c r="Y81" s="30" t="s">
        <v>177</v>
      </c>
      <c r="Z81" s="30" t="s">
        <v>176</v>
      </c>
      <c r="AA81" s="30" t="s">
        <v>175</v>
      </c>
      <c r="AB81" s="30" t="s">
        <v>174</v>
      </c>
      <c r="AC81" s="30" t="s">
        <v>173</v>
      </c>
      <c r="AD81" s="30" t="s">
        <v>172</v>
      </c>
      <c r="AE81" s="30" t="s">
        <v>171</v>
      </c>
      <c r="AF81" s="30" t="s">
        <v>170</v>
      </c>
      <c r="AG81" s="30" t="s">
        <v>169</v>
      </c>
      <c r="AH81" s="30" t="s">
        <v>168</v>
      </c>
      <c r="AI81" s="30" t="s">
        <v>167</v>
      </c>
      <c r="AJ81" s="29" t="s">
        <v>166</v>
      </c>
      <c r="AK81" s="2"/>
    </row>
    <row r="82" spans="2:37" ht="19.5" customHeight="1" thickTop="1" thickBot="1" x14ac:dyDescent="0.3">
      <c r="B82" s="28"/>
      <c r="C82" s="27" t="str">
        <f>DADOS!$X$3</f>
        <v>💵 ALUGUEL</v>
      </c>
      <c r="D82" s="26" t="str">
        <f>IF(receitasfixasconsolidadonov[[#This Row],[TOTAL (R$)]]=0,"",IF(OR(receitasfixasconsolidadonov[[#This Row],[TOTAL (R$)]]=LARGE($AJ$82:$AJ$86,1),receitasfixasconsolidadonov[[#This Row],[TOTAL (R$)]]=LARGE($AJ$82:$AJ$86,2)),DADOS!$I$9,""))</f>
        <v/>
      </c>
      <c r="E82" s="94">
        <f>SUMIFS(tabela_registros[VALOR],tabela_registros[MÊS],$AE$1,tabela_registros[DIA],receitasfixasconsolidadonov[[#Headers],[1]],tabela_registros[REGISTRO],DADOS!$N$3,tabela_registros[TIPO],DADOS!$V$3,tabela_registros[CATEGORIA],receitasfixasconsolidadonov[[#This Row],[ATUAL]])</f>
        <v>0</v>
      </c>
      <c r="F82" s="88">
        <f>SUMIFS(tabela_registros[VALOR],tabela_registros[MÊS],$AE$1,tabela_registros[DIA],receitasfixasconsolidadonov[[#Headers],[2]],tabela_registros[REGISTRO],DADOS!$N$3,tabela_registros[TIPO],DADOS!$V$3,tabela_registros[CATEGORIA],receitasfixasconsolidadonov[[#This Row],[ATUAL]])</f>
        <v>0</v>
      </c>
      <c r="G82" s="88">
        <f>SUMIFS(tabela_registros[VALOR],tabela_registros[MÊS],$AE$1,tabela_registros[DIA],receitasfixasconsolidadonov[[#Headers],[3]],tabela_registros[REGISTRO],DADOS!$N$3,tabela_registros[TIPO],DADOS!$V$3,tabela_registros[CATEGORIA],receitasfixasconsolidadonov[[#This Row],[ATUAL]])</f>
        <v>0</v>
      </c>
      <c r="H82" s="88">
        <f>SUMIFS(tabela_registros[VALOR],tabela_registros[MÊS],$AE$1,tabela_registros[DIA],receitasfixasconsolidadonov[[#Headers],[4]],tabela_registros[REGISTRO],DADOS!$N$3,tabela_registros[TIPO],DADOS!$V$3,tabela_registros[CATEGORIA],receitasfixasconsolidadonov[[#This Row],[ATUAL]])</f>
        <v>0</v>
      </c>
      <c r="I82" s="88">
        <f>SUMIFS(tabela_registros[VALOR],tabela_registros[MÊS],$AE$1,tabela_registros[DIA],receitasfixasconsolidadonov[[#Headers],[5]],tabela_registros[REGISTRO],DADOS!$N$3,tabela_registros[TIPO],DADOS!$V$3,tabela_registros[CATEGORIA],receitasfixasconsolidadonov[[#This Row],[ATUAL]])</f>
        <v>0</v>
      </c>
      <c r="J82" s="88">
        <f>SUMIFS(tabela_registros[VALOR],tabela_registros[MÊS],$AE$1,tabela_registros[DIA],receitasfixasconsolidadonov[[#Headers],[6]],tabela_registros[REGISTRO],DADOS!$N$3,tabela_registros[TIPO],DADOS!$V$3,tabela_registros[CATEGORIA],receitasfixasconsolidadonov[[#This Row],[ATUAL]])</f>
        <v>0</v>
      </c>
      <c r="K82" s="88">
        <f>SUMIFS(tabela_registros[VALOR],tabela_registros[MÊS],$AE$1,tabela_registros[DIA],receitasfixasconsolidadonov[[#Headers],[7]],tabela_registros[REGISTRO],DADOS!$N$3,tabela_registros[TIPO],DADOS!$V$3,tabela_registros[CATEGORIA],receitasfixasconsolidadonov[[#This Row],[ATUAL]])</f>
        <v>0</v>
      </c>
      <c r="L82" s="88">
        <f>SUMIFS(tabela_registros[VALOR],tabela_registros[MÊS],$AE$1,tabela_registros[DIA],receitasfixasconsolidadonov[[#Headers],[8]],tabela_registros[REGISTRO],DADOS!$N$3,tabela_registros[TIPO],DADOS!$V$3,tabela_registros[CATEGORIA],receitasfixasconsolidadonov[[#This Row],[ATUAL]])</f>
        <v>0</v>
      </c>
      <c r="M82" s="88">
        <f>SUMIFS(tabela_registros[VALOR],tabela_registros[MÊS],$AE$1,tabela_registros[DIA],receitasfixasconsolidadonov[[#Headers],[9]],tabela_registros[REGISTRO],DADOS!$N$3,tabela_registros[TIPO],DADOS!$V$3,tabela_registros[CATEGORIA],receitasfixasconsolidadonov[[#This Row],[ATUAL]])</f>
        <v>0</v>
      </c>
      <c r="N82" s="88">
        <f>SUMIFS(tabela_registros[VALOR],tabela_registros[MÊS],$AE$1,tabela_registros[DIA],receitasfixasconsolidadonov[[#Headers],[10]],tabela_registros[REGISTRO],DADOS!$N$3,tabela_registros[TIPO],DADOS!$V$3,tabela_registros[CATEGORIA],receitasfixasconsolidadonov[[#This Row],[ATUAL]])</f>
        <v>0</v>
      </c>
      <c r="O82" s="88">
        <f>SUMIFS(tabela_registros[VALOR],tabela_registros[MÊS],$AE$1,tabela_registros[DIA],receitasfixasconsolidadonov[[#Headers],[11]],tabela_registros[REGISTRO],DADOS!$N$3,tabela_registros[TIPO],DADOS!$V$3,tabela_registros[CATEGORIA],receitasfixasconsolidadonov[[#This Row],[ATUAL]])</f>
        <v>0</v>
      </c>
      <c r="P82" s="88">
        <f>SUMIFS(tabela_registros[VALOR],tabela_registros[MÊS],$AE$1,tabela_registros[DIA],receitasfixasconsolidadonov[[#Headers],[12]],tabela_registros[REGISTRO],DADOS!$N$3,tabela_registros[TIPO],DADOS!$V$3,tabela_registros[CATEGORIA],receitasfixasconsolidadonov[[#This Row],[ATUAL]])</f>
        <v>0</v>
      </c>
      <c r="Q82" s="88">
        <f>SUMIFS(tabela_registros[VALOR],tabela_registros[MÊS],$AE$1,tabela_registros[DIA],receitasfixasconsolidadonov[[#Headers],[13]],tabela_registros[REGISTRO],DADOS!$N$3,tabela_registros[TIPO],DADOS!$V$3,tabela_registros[CATEGORIA],receitasfixasconsolidadonov[[#This Row],[ATUAL]])</f>
        <v>0</v>
      </c>
      <c r="R82" s="88">
        <f>SUMIFS(tabela_registros[VALOR],tabela_registros[MÊS],$AE$1,tabela_registros[DIA],receitasfixasconsolidadonov[[#Headers],[14]],tabela_registros[REGISTRO],DADOS!$N$3,tabela_registros[TIPO],DADOS!$V$3,tabela_registros[CATEGORIA],receitasfixasconsolidadonov[[#This Row],[ATUAL]])</f>
        <v>0</v>
      </c>
      <c r="S82" s="88">
        <f>SUMIFS(tabela_registros[VALOR],tabela_registros[MÊS],$AE$1,tabela_registros[DIA],receitasfixasconsolidadonov[[#Headers],[15]],tabela_registros[REGISTRO],DADOS!$N$3,tabela_registros[TIPO],DADOS!$V$3,tabela_registros[CATEGORIA],receitasfixasconsolidadonov[[#This Row],[ATUAL]])</f>
        <v>0</v>
      </c>
      <c r="T82" s="88">
        <f>SUMIFS(tabela_registros[VALOR],tabela_registros[MÊS],$AE$1,tabela_registros[DIA],receitasfixasconsolidadonov[[#Headers],[16]],tabela_registros[REGISTRO],DADOS!$N$3,tabela_registros[TIPO],DADOS!$V$3,tabela_registros[CATEGORIA],receitasfixasconsolidadonov[[#This Row],[ATUAL]])</f>
        <v>0</v>
      </c>
      <c r="U82" s="88">
        <f>SUMIFS(tabela_registros[VALOR],tabela_registros[MÊS],$AE$1,tabela_registros[DIA],receitasfixasconsolidadonov[[#Headers],[17]],tabela_registros[REGISTRO],DADOS!$N$3,tabela_registros[TIPO],DADOS!$V$3,tabela_registros[CATEGORIA],receitasfixasconsolidadonov[[#This Row],[ATUAL]])</f>
        <v>0</v>
      </c>
      <c r="V82" s="88">
        <f>SUMIFS(tabela_registros[VALOR],tabela_registros[MÊS],$AE$1,tabela_registros[DIA],receitasfixasconsolidadonov[[#Headers],[18]],tabela_registros[REGISTRO],DADOS!$N$3,tabela_registros[TIPO],DADOS!$V$3,tabela_registros[CATEGORIA],receitasfixasconsolidadonov[[#This Row],[ATUAL]])</f>
        <v>0</v>
      </c>
      <c r="W82" s="88">
        <f>SUMIFS(tabela_registros[VALOR],tabela_registros[MÊS],$AE$1,tabela_registros[DIA],receitasfixasconsolidadonov[[#Headers],[19]],tabela_registros[REGISTRO],DADOS!$N$3,tabela_registros[TIPO],DADOS!$V$3,tabela_registros[CATEGORIA],receitasfixasconsolidadonov[[#This Row],[ATUAL]])</f>
        <v>0</v>
      </c>
      <c r="X82" s="88">
        <f>SUMIFS(tabela_registros[VALOR],tabela_registros[MÊS],$AE$1,tabela_registros[DIA],receitasfixasconsolidadonov[[#Headers],[20]],tabela_registros[REGISTRO],DADOS!$N$3,tabela_registros[TIPO],DADOS!$V$3,tabela_registros[CATEGORIA],receitasfixasconsolidadonov[[#This Row],[ATUAL]])</f>
        <v>0</v>
      </c>
      <c r="Y82" s="88">
        <f>SUMIFS(tabela_registros[VALOR],tabela_registros[MÊS],$AE$1,tabela_registros[DIA],receitasfixasconsolidadonov[[#Headers],[21]],tabela_registros[REGISTRO],DADOS!$N$3,tabela_registros[TIPO],DADOS!$V$3,tabela_registros[CATEGORIA],receitasfixasconsolidadonov[[#This Row],[ATUAL]])</f>
        <v>0</v>
      </c>
      <c r="Z82" s="88">
        <f>SUMIFS(tabela_registros[VALOR],tabela_registros[MÊS],$AE$1,tabela_registros[DIA],receitasfixasconsolidadonov[[#Headers],[22]],tabela_registros[REGISTRO],DADOS!$N$3,tabela_registros[TIPO],DADOS!$V$3,tabela_registros[CATEGORIA],receitasfixasconsolidadonov[[#This Row],[ATUAL]])</f>
        <v>0</v>
      </c>
      <c r="AA82" s="88">
        <f>SUMIFS(tabela_registros[VALOR],tabela_registros[MÊS],$AE$1,tabela_registros[DIA],receitasfixasconsolidadonov[[#Headers],[23]],tabela_registros[REGISTRO],DADOS!$N$3,tabela_registros[TIPO],DADOS!$V$3,tabela_registros[CATEGORIA],receitasfixasconsolidadonov[[#This Row],[ATUAL]])</f>
        <v>0</v>
      </c>
      <c r="AB82" s="88">
        <f>SUMIFS(tabela_registros[VALOR],tabela_registros[MÊS],$AE$1,tabela_registros[DIA],receitasfixasconsolidadonov[[#Headers],[24]],tabela_registros[REGISTRO],DADOS!$N$3,tabela_registros[TIPO],DADOS!$V$3,tabela_registros[CATEGORIA],receitasfixasconsolidadonov[[#This Row],[ATUAL]])</f>
        <v>0</v>
      </c>
      <c r="AC82" s="88">
        <f>SUMIFS(tabela_registros[VALOR],tabela_registros[MÊS],$AE$1,tabela_registros[DIA],receitasfixasconsolidadonov[[#Headers],[25]],tabela_registros[REGISTRO],DADOS!$N$3,tabela_registros[TIPO],DADOS!$V$3,tabela_registros[CATEGORIA],receitasfixasconsolidadonov[[#This Row],[ATUAL]])</f>
        <v>0</v>
      </c>
      <c r="AD82" s="88">
        <f>SUMIFS(tabela_registros[VALOR],tabela_registros[MÊS],$AE$1,tabela_registros[DIA],receitasfixasconsolidadonov[[#Headers],[26]],tabela_registros[REGISTRO],DADOS!$N$3,tabela_registros[TIPO],DADOS!$V$3,tabela_registros[CATEGORIA],receitasfixasconsolidadonov[[#This Row],[ATUAL]])</f>
        <v>0</v>
      </c>
      <c r="AE82" s="88">
        <f>SUMIFS(tabela_registros[VALOR],tabela_registros[MÊS],$AE$1,tabela_registros[DIA],receitasfixasconsolidadonov[[#Headers],[27]],tabela_registros[REGISTRO],DADOS!$N$3,tabela_registros[TIPO],DADOS!$V$3,tabela_registros[CATEGORIA],receitasfixasconsolidadonov[[#This Row],[ATUAL]])</f>
        <v>0</v>
      </c>
      <c r="AF82" s="88">
        <f>SUMIFS(tabela_registros[VALOR],tabela_registros[MÊS],$AE$1,tabela_registros[DIA],receitasfixasconsolidadonov[[#Headers],[28]],tabela_registros[REGISTRO],DADOS!$N$3,tabela_registros[TIPO],DADOS!$V$3,tabela_registros[CATEGORIA],receitasfixasconsolidadonov[[#This Row],[ATUAL]])</f>
        <v>0</v>
      </c>
      <c r="AG82" s="88">
        <f>SUMIFS(tabela_registros[VALOR],tabela_registros[MÊS],$AE$1,tabela_registros[DIA],receitasfixasconsolidadonov[[#Headers],[29]],tabela_registros[REGISTRO],DADOS!$N$3,tabela_registros[TIPO],DADOS!$V$3,tabela_registros[CATEGORIA],receitasfixasconsolidadonov[[#This Row],[ATUAL]])</f>
        <v>0</v>
      </c>
      <c r="AH82" s="88">
        <f>SUMIFS(tabela_registros[VALOR],tabela_registros[MÊS],$AE$1,tabela_registros[DIA],receitasfixasconsolidadonov[[#Headers],[30]],tabela_registros[REGISTRO],DADOS!$N$3,tabela_registros[TIPO],DADOS!$V$3,tabela_registros[CATEGORIA],receitasfixasconsolidadonov[[#This Row],[ATUAL]])</f>
        <v>0</v>
      </c>
      <c r="AI82" s="100">
        <f>SUMIFS(tabela_registros[VALOR],tabela_registros[MÊS],$AE$1,tabela_registros[DIA],receitasfixasconsolidadonov[[#Headers],[31]],tabela_registros[REGISTRO],DADOS!$N$3,tabela_registros[TIPO],DADOS!$V$3,tabela_registros[CATEGORIA],receitasfixasconsolidadonov[[#This Row],[ATUAL]])</f>
        <v>0</v>
      </c>
      <c r="AJ82" s="97">
        <f>SUM(receitasfixasconsolidadonov[[#This Row],[1]:[31]])</f>
        <v>0</v>
      </c>
      <c r="AK82" s="25"/>
    </row>
    <row r="83" spans="2:37" ht="19.5" customHeight="1" thickTop="1" thickBot="1" x14ac:dyDescent="0.3">
      <c r="B83" s="28"/>
      <c r="C83" s="27" t="str">
        <f>DADOS!$X$4</f>
        <v>💸APOSENTADORIA</v>
      </c>
      <c r="D83" s="26" t="str">
        <f>IF(receitasfixasconsolidadonov[[#This Row],[TOTAL (R$)]]=0,"",IF(OR(receitasfixasconsolidadonov[[#This Row],[TOTAL (R$)]]=LARGE($AJ$82:$AJ$86,1),receitasfixasconsolidadonov[[#This Row],[TOTAL (R$)]]=LARGE($AJ$82:$AJ$86,2)),DADOS!$I$9,""))</f>
        <v/>
      </c>
      <c r="E83" s="96">
        <f>SUMIFS(tabela_registros[VALOR],tabela_registros[MÊS],$AE$1,tabela_registros[DIA],receitasfixasconsolidadonov[[#Headers],[1]],tabela_registros[REGISTRO],DADOS!$N$3,tabela_registros[TIPO],DADOS!$V$3,tabela_registros[CATEGORIA],receitasfixasconsolidadonov[[#This Row],[ATUAL]])</f>
        <v>0</v>
      </c>
      <c r="F83" s="91">
        <f>SUMIFS(tabela_registros[VALOR],tabela_registros[MÊS],$AE$1,tabela_registros[DIA],receitasfixasconsolidadonov[[#Headers],[2]],tabela_registros[REGISTRO],DADOS!$N$3,tabela_registros[TIPO],DADOS!$V$3,tabela_registros[CATEGORIA],receitasfixasconsolidadonov[[#This Row],[ATUAL]])</f>
        <v>0</v>
      </c>
      <c r="G83" s="91">
        <f>SUMIFS(tabela_registros[VALOR],tabela_registros[MÊS],$AE$1,tabela_registros[DIA],receitasfixasconsolidadonov[[#Headers],[3]],tabela_registros[REGISTRO],DADOS!$N$3,tabela_registros[TIPO],DADOS!$V$3,tabela_registros[CATEGORIA],receitasfixasconsolidadonov[[#This Row],[ATUAL]])</f>
        <v>0</v>
      </c>
      <c r="H83" s="91">
        <f>SUMIFS(tabela_registros[VALOR],tabela_registros[MÊS],$AE$1,tabela_registros[DIA],receitasfixasconsolidadonov[[#Headers],[4]],tabela_registros[REGISTRO],DADOS!$N$3,tabela_registros[TIPO],DADOS!$V$3,tabela_registros[CATEGORIA],receitasfixasconsolidadonov[[#This Row],[ATUAL]])</f>
        <v>0</v>
      </c>
      <c r="I83" s="91">
        <f>SUMIFS(tabela_registros[VALOR],tabela_registros[MÊS],$AE$1,tabela_registros[DIA],receitasfixasconsolidadonov[[#Headers],[5]],tabela_registros[REGISTRO],DADOS!$N$3,tabela_registros[TIPO],DADOS!$V$3,tabela_registros[CATEGORIA],receitasfixasconsolidadonov[[#This Row],[ATUAL]])</f>
        <v>0</v>
      </c>
      <c r="J83" s="91">
        <f>SUMIFS(tabela_registros[VALOR],tabela_registros[MÊS],$AE$1,tabela_registros[DIA],receitasfixasconsolidadonov[[#Headers],[6]],tabela_registros[REGISTRO],DADOS!$N$3,tabela_registros[TIPO],DADOS!$V$3,tabela_registros[CATEGORIA],receitasfixasconsolidadonov[[#This Row],[ATUAL]])</f>
        <v>0</v>
      </c>
      <c r="K83" s="91">
        <f>SUMIFS(tabela_registros[VALOR],tabela_registros[MÊS],$AE$1,tabela_registros[DIA],receitasfixasconsolidadonov[[#Headers],[7]],tabela_registros[REGISTRO],DADOS!$N$3,tabela_registros[TIPO],DADOS!$V$3,tabela_registros[CATEGORIA],receitasfixasconsolidadonov[[#This Row],[ATUAL]])</f>
        <v>0</v>
      </c>
      <c r="L83" s="91">
        <f>SUMIFS(tabela_registros[VALOR],tabela_registros[MÊS],$AE$1,tabela_registros[DIA],receitasfixasconsolidadonov[[#Headers],[8]],tabela_registros[REGISTRO],DADOS!$N$3,tabela_registros[TIPO],DADOS!$V$3,tabela_registros[CATEGORIA],receitasfixasconsolidadonov[[#This Row],[ATUAL]])</f>
        <v>0</v>
      </c>
      <c r="M83" s="91">
        <f>SUMIFS(tabela_registros[VALOR],tabela_registros[MÊS],$AE$1,tabela_registros[DIA],receitasfixasconsolidadonov[[#Headers],[9]],tabela_registros[REGISTRO],DADOS!$N$3,tabela_registros[TIPO],DADOS!$V$3,tabela_registros[CATEGORIA],receitasfixasconsolidadonov[[#This Row],[ATUAL]])</f>
        <v>0</v>
      </c>
      <c r="N83" s="91">
        <f>SUMIFS(tabela_registros[VALOR],tabela_registros[MÊS],$AE$1,tabela_registros[DIA],receitasfixasconsolidadonov[[#Headers],[10]],tabela_registros[REGISTRO],DADOS!$N$3,tabela_registros[TIPO],DADOS!$V$3,tabela_registros[CATEGORIA],receitasfixasconsolidadonov[[#This Row],[ATUAL]])</f>
        <v>0</v>
      </c>
      <c r="O83" s="91">
        <f>SUMIFS(tabela_registros[VALOR],tabela_registros[MÊS],$AE$1,tabela_registros[DIA],receitasfixasconsolidadonov[[#Headers],[11]],tabela_registros[REGISTRO],DADOS!$N$3,tabela_registros[TIPO],DADOS!$V$3,tabela_registros[CATEGORIA],receitasfixasconsolidadonov[[#This Row],[ATUAL]])</f>
        <v>0</v>
      </c>
      <c r="P83" s="91">
        <f>SUMIFS(tabela_registros[VALOR],tabela_registros[MÊS],$AE$1,tabela_registros[DIA],receitasfixasconsolidadonov[[#Headers],[12]],tabela_registros[REGISTRO],DADOS!$N$3,tabela_registros[TIPO],DADOS!$V$3,tabela_registros[CATEGORIA],receitasfixasconsolidadonov[[#This Row],[ATUAL]])</f>
        <v>0</v>
      </c>
      <c r="Q83" s="91">
        <f>SUMIFS(tabela_registros[VALOR],tabela_registros[MÊS],$AE$1,tabela_registros[DIA],receitasfixasconsolidadonov[[#Headers],[13]],tabela_registros[REGISTRO],DADOS!$N$3,tabela_registros[TIPO],DADOS!$V$3,tabela_registros[CATEGORIA],receitasfixasconsolidadonov[[#This Row],[ATUAL]])</f>
        <v>0</v>
      </c>
      <c r="R83" s="91">
        <f>SUMIFS(tabela_registros[VALOR],tabela_registros[MÊS],$AE$1,tabela_registros[DIA],receitasfixasconsolidadonov[[#Headers],[14]],tabela_registros[REGISTRO],DADOS!$N$3,tabela_registros[TIPO],DADOS!$V$3,tabela_registros[CATEGORIA],receitasfixasconsolidadonov[[#This Row],[ATUAL]])</f>
        <v>0</v>
      </c>
      <c r="S83" s="91">
        <f>SUMIFS(tabela_registros[VALOR],tabela_registros[MÊS],$AE$1,tabela_registros[DIA],receitasfixasconsolidadonov[[#Headers],[15]],tabela_registros[REGISTRO],DADOS!$N$3,tabela_registros[TIPO],DADOS!$V$3,tabela_registros[CATEGORIA],receitasfixasconsolidadonov[[#This Row],[ATUAL]])</f>
        <v>0</v>
      </c>
      <c r="T83" s="91">
        <f>SUMIFS(tabela_registros[VALOR],tabela_registros[MÊS],$AE$1,tabela_registros[DIA],receitasfixasconsolidadonov[[#Headers],[16]],tabela_registros[REGISTRO],DADOS!$N$3,tabela_registros[TIPO],DADOS!$V$3,tabela_registros[CATEGORIA],receitasfixasconsolidadonov[[#This Row],[ATUAL]])</f>
        <v>0</v>
      </c>
      <c r="U83" s="91">
        <f>SUMIFS(tabela_registros[VALOR],tabela_registros[MÊS],$AE$1,tabela_registros[DIA],receitasfixasconsolidadonov[[#Headers],[17]],tabela_registros[REGISTRO],DADOS!$N$3,tabela_registros[TIPO],DADOS!$V$3,tabela_registros[CATEGORIA],receitasfixasconsolidadonov[[#This Row],[ATUAL]])</f>
        <v>0</v>
      </c>
      <c r="V83" s="91">
        <f>SUMIFS(tabela_registros[VALOR],tabela_registros[MÊS],$AE$1,tabela_registros[DIA],receitasfixasconsolidadonov[[#Headers],[18]],tabela_registros[REGISTRO],DADOS!$N$3,tabela_registros[TIPO],DADOS!$V$3,tabela_registros[CATEGORIA],receitasfixasconsolidadonov[[#This Row],[ATUAL]])</f>
        <v>0</v>
      </c>
      <c r="W83" s="91">
        <f>SUMIFS(tabela_registros[VALOR],tabela_registros[MÊS],$AE$1,tabela_registros[DIA],receitasfixasconsolidadonov[[#Headers],[19]],tabela_registros[REGISTRO],DADOS!$N$3,tabela_registros[TIPO],DADOS!$V$3,tabela_registros[CATEGORIA],receitasfixasconsolidadonov[[#This Row],[ATUAL]])</f>
        <v>0</v>
      </c>
      <c r="X83" s="91">
        <f>SUMIFS(tabela_registros[VALOR],tabela_registros[MÊS],$AE$1,tabela_registros[DIA],receitasfixasconsolidadonov[[#Headers],[20]],tabela_registros[REGISTRO],DADOS!$N$3,tabela_registros[TIPO],DADOS!$V$3,tabela_registros[CATEGORIA],receitasfixasconsolidadonov[[#This Row],[ATUAL]])</f>
        <v>0</v>
      </c>
      <c r="Y83" s="91">
        <f>SUMIFS(tabela_registros[VALOR],tabela_registros[MÊS],$AE$1,tabela_registros[DIA],receitasfixasconsolidadonov[[#Headers],[21]],tabela_registros[REGISTRO],DADOS!$N$3,tabela_registros[TIPO],DADOS!$V$3,tabela_registros[CATEGORIA],receitasfixasconsolidadonov[[#This Row],[ATUAL]])</f>
        <v>0</v>
      </c>
      <c r="Z83" s="91">
        <f>SUMIFS(tabela_registros[VALOR],tabela_registros[MÊS],$AE$1,tabela_registros[DIA],receitasfixasconsolidadonov[[#Headers],[22]],tabela_registros[REGISTRO],DADOS!$N$3,tabela_registros[TIPO],DADOS!$V$3,tabela_registros[CATEGORIA],receitasfixasconsolidadonov[[#This Row],[ATUAL]])</f>
        <v>0</v>
      </c>
      <c r="AA83" s="91">
        <f>SUMIFS(tabela_registros[VALOR],tabela_registros[MÊS],$AE$1,tabela_registros[DIA],receitasfixasconsolidadonov[[#Headers],[23]],tabela_registros[REGISTRO],DADOS!$N$3,tabela_registros[TIPO],DADOS!$V$3,tabela_registros[CATEGORIA],receitasfixasconsolidadonov[[#This Row],[ATUAL]])</f>
        <v>0</v>
      </c>
      <c r="AB83" s="91">
        <f>SUMIFS(tabela_registros[VALOR],tabela_registros[MÊS],$AE$1,tabela_registros[DIA],receitasfixasconsolidadonov[[#Headers],[24]],tabela_registros[REGISTRO],DADOS!$N$3,tabela_registros[TIPO],DADOS!$V$3,tabela_registros[CATEGORIA],receitasfixasconsolidadonov[[#This Row],[ATUAL]])</f>
        <v>0</v>
      </c>
      <c r="AC83" s="91">
        <f>SUMIFS(tabela_registros[VALOR],tabela_registros[MÊS],$AE$1,tabela_registros[DIA],receitasfixasconsolidadonov[[#Headers],[25]],tabela_registros[REGISTRO],DADOS!$N$3,tabela_registros[TIPO],DADOS!$V$3,tabela_registros[CATEGORIA],receitasfixasconsolidadonov[[#This Row],[ATUAL]])</f>
        <v>0</v>
      </c>
      <c r="AD83" s="91">
        <f>SUMIFS(tabela_registros[VALOR],tabela_registros[MÊS],$AE$1,tabela_registros[DIA],receitasfixasconsolidadonov[[#Headers],[26]],tabela_registros[REGISTRO],DADOS!$N$3,tabela_registros[TIPO],DADOS!$V$3,tabela_registros[CATEGORIA],receitasfixasconsolidadonov[[#This Row],[ATUAL]])</f>
        <v>0</v>
      </c>
      <c r="AE83" s="91">
        <f>SUMIFS(tabela_registros[VALOR],tabela_registros[MÊS],$AE$1,tabela_registros[DIA],receitasfixasconsolidadonov[[#Headers],[27]],tabela_registros[REGISTRO],DADOS!$N$3,tabela_registros[TIPO],DADOS!$V$3,tabela_registros[CATEGORIA],receitasfixasconsolidadonov[[#This Row],[ATUAL]])</f>
        <v>0</v>
      </c>
      <c r="AF83" s="91">
        <f>SUMIFS(tabela_registros[VALOR],tabela_registros[MÊS],$AE$1,tabela_registros[DIA],receitasfixasconsolidadonov[[#Headers],[28]],tabela_registros[REGISTRO],DADOS!$N$3,tabela_registros[TIPO],DADOS!$V$3,tabela_registros[CATEGORIA],receitasfixasconsolidadonov[[#This Row],[ATUAL]])</f>
        <v>0</v>
      </c>
      <c r="AG83" s="91">
        <f>SUMIFS(tabela_registros[VALOR],tabela_registros[MÊS],$AE$1,tabela_registros[DIA],receitasfixasconsolidadonov[[#Headers],[29]],tabela_registros[REGISTRO],DADOS!$N$3,tabela_registros[TIPO],DADOS!$V$3,tabela_registros[CATEGORIA],receitasfixasconsolidadonov[[#This Row],[ATUAL]])</f>
        <v>0</v>
      </c>
      <c r="AH83" s="91">
        <f>SUMIFS(tabela_registros[VALOR],tabela_registros[MÊS],$AE$1,tabela_registros[DIA],receitasfixasconsolidadonov[[#Headers],[30]],tabela_registros[REGISTRO],DADOS!$N$3,tabela_registros[TIPO],DADOS!$V$3,tabela_registros[CATEGORIA],receitasfixasconsolidadonov[[#This Row],[ATUAL]])</f>
        <v>0</v>
      </c>
      <c r="AI83" s="101">
        <f>SUMIFS(tabela_registros[VALOR],tabela_registros[MÊS],$AE$1,tabela_registros[DIA],receitasfixasconsolidadonov[[#Headers],[31]],tabela_registros[REGISTRO],DADOS!$N$3,tabela_registros[TIPO],DADOS!$V$3,tabela_registros[CATEGORIA],receitasfixasconsolidadonov[[#This Row],[ATUAL]])</f>
        <v>0</v>
      </c>
      <c r="AJ83" s="97">
        <f>SUM(receitasfixasconsolidadonov[[#This Row],[1]:[31]])</f>
        <v>0</v>
      </c>
      <c r="AK83" s="25"/>
    </row>
    <row r="84" spans="2:37" ht="19.5" customHeight="1" thickTop="1" thickBot="1" x14ac:dyDescent="0.3">
      <c r="B84" s="28"/>
      <c r="C84" s="27" t="str">
        <f>DADOS!$X$5</f>
        <v>🎀 MESADA</v>
      </c>
      <c r="D84" s="26" t="str">
        <f>IF(receitasfixasconsolidadonov[[#This Row],[TOTAL (R$)]]=0,"",IF(OR(receitasfixasconsolidadonov[[#This Row],[TOTAL (R$)]]=LARGE($AJ$82:$AJ$86,1),receitasfixasconsolidadonov[[#This Row],[TOTAL (R$)]]=LARGE($AJ$82:$AJ$86,2)),DADOS!$I$9,""))</f>
        <v/>
      </c>
      <c r="E84" s="96">
        <f>SUMIFS(tabela_registros[VALOR],tabela_registros[MÊS],$AE$1,tabela_registros[DIA],receitasfixasconsolidadonov[[#Headers],[1]],tabela_registros[REGISTRO],DADOS!$N$3,tabela_registros[TIPO],DADOS!$V$3,tabela_registros[CATEGORIA],receitasfixasconsolidadonov[[#This Row],[ATUAL]])</f>
        <v>0</v>
      </c>
      <c r="F84" s="91">
        <f>SUMIFS(tabela_registros[VALOR],tabela_registros[MÊS],$AE$1,tabela_registros[DIA],receitasfixasconsolidadonov[[#Headers],[2]],tabela_registros[REGISTRO],DADOS!$N$3,tabela_registros[TIPO],DADOS!$V$3,tabela_registros[CATEGORIA],receitasfixasconsolidadonov[[#This Row],[ATUAL]])</f>
        <v>0</v>
      </c>
      <c r="G84" s="91">
        <f>SUMIFS(tabela_registros[VALOR],tabela_registros[MÊS],$AE$1,tabela_registros[DIA],receitasfixasconsolidadonov[[#Headers],[3]],tabela_registros[REGISTRO],DADOS!$N$3,tabela_registros[TIPO],DADOS!$V$3,tabela_registros[CATEGORIA],receitasfixasconsolidadonov[[#This Row],[ATUAL]])</f>
        <v>0</v>
      </c>
      <c r="H84" s="91">
        <f>SUMIFS(tabela_registros[VALOR],tabela_registros[MÊS],$AE$1,tabela_registros[DIA],receitasfixasconsolidadonov[[#Headers],[4]],tabela_registros[REGISTRO],DADOS!$N$3,tabela_registros[TIPO],DADOS!$V$3,tabela_registros[CATEGORIA],receitasfixasconsolidadonov[[#This Row],[ATUAL]])</f>
        <v>0</v>
      </c>
      <c r="I84" s="91">
        <f>SUMIFS(tabela_registros[VALOR],tabela_registros[MÊS],$AE$1,tabela_registros[DIA],receitasfixasconsolidadonov[[#Headers],[5]],tabela_registros[REGISTRO],DADOS!$N$3,tabela_registros[TIPO],DADOS!$V$3,tabela_registros[CATEGORIA],receitasfixasconsolidadonov[[#This Row],[ATUAL]])</f>
        <v>0</v>
      </c>
      <c r="J84" s="91">
        <f>SUMIFS(tabela_registros[VALOR],tabela_registros[MÊS],$AE$1,tabela_registros[DIA],receitasfixasconsolidadonov[[#Headers],[6]],tabela_registros[REGISTRO],DADOS!$N$3,tabela_registros[TIPO],DADOS!$V$3,tabela_registros[CATEGORIA],receitasfixasconsolidadonov[[#This Row],[ATUAL]])</f>
        <v>0</v>
      </c>
      <c r="K84" s="91">
        <f>SUMIFS(tabela_registros[VALOR],tabela_registros[MÊS],$AE$1,tabela_registros[DIA],receitasfixasconsolidadonov[[#Headers],[7]],tabela_registros[REGISTRO],DADOS!$N$3,tabela_registros[TIPO],DADOS!$V$3,tabela_registros[CATEGORIA],receitasfixasconsolidadonov[[#This Row],[ATUAL]])</f>
        <v>0</v>
      </c>
      <c r="L84" s="91">
        <f>SUMIFS(tabela_registros[VALOR],tabela_registros[MÊS],$AE$1,tabela_registros[DIA],receitasfixasconsolidadonov[[#Headers],[8]],tabela_registros[REGISTRO],DADOS!$N$3,tabela_registros[TIPO],DADOS!$V$3,tabela_registros[CATEGORIA],receitasfixasconsolidadonov[[#This Row],[ATUAL]])</f>
        <v>0</v>
      </c>
      <c r="M84" s="91">
        <f>SUMIFS(tabela_registros[VALOR],tabela_registros[MÊS],$AE$1,tabela_registros[DIA],receitasfixasconsolidadonov[[#Headers],[9]],tabela_registros[REGISTRO],DADOS!$N$3,tabela_registros[TIPO],DADOS!$V$3,tabela_registros[CATEGORIA],receitasfixasconsolidadonov[[#This Row],[ATUAL]])</f>
        <v>0</v>
      </c>
      <c r="N84" s="91">
        <f>SUMIFS(tabela_registros[VALOR],tabela_registros[MÊS],$AE$1,tabela_registros[DIA],receitasfixasconsolidadonov[[#Headers],[10]],tabela_registros[REGISTRO],DADOS!$N$3,tabela_registros[TIPO],DADOS!$V$3,tabela_registros[CATEGORIA],receitasfixasconsolidadonov[[#This Row],[ATUAL]])</f>
        <v>0</v>
      </c>
      <c r="O84" s="91">
        <f>SUMIFS(tabela_registros[VALOR],tabela_registros[MÊS],$AE$1,tabela_registros[DIA],receitasfixasconsolidadonov[[#Headers],[11]],tabela_registros[REGISTRO],DADOS!$N$3,tabela_registros[TIPO],DADOS!$V$3,tabela_registros[CATEGORIA],receitasfixasconsolidadonov[[#This Row],[ATUAL]])</f>
        <v>0</v>
      </c>
      <c r="P84" s="91">
        <f>SUMIFS(tabela_registros[VALOR],tabela_registros[MÊS],$AE$1,tabela_registros[DIA],receitasfixasconsolidadonov[[#Headers],[12]],tabela_registros[REGISTRO],DADOS!$N$3,tabela_registros[TIPO],DADOS!$V$3,tabela_registros[CATEGORIA],receitasfixasconsolidadonov[[#This Row],[ATUAL]])</f>
        <v>0</v>
      </c>
      <c r="Q84" s="91">
        <f>SUMIFS(tabela_registros[VALOR],tabela_registros[MÊS],$AE$1,tabela_registros[DIA],receitasfixasconsolidadonov[[#Headers],[13]],tabela_registros[REGISTRO],DADOS!$N$3,tabela_registros[TIPO],DADOS!$V$3,tabela_registros[CATEGORIA],receitasfixasconsolidadonov[[#This Row],[ATUAL]])</f>
        <v>0</v>
      </c>
      <c r="R84" s="91">
        <f>SUMIFS(tabela_registros[VALOR],tabela_registros[MÊS],$AE$1,tabela_registros[DIA],receitasfixasconsolidadonov[[#Headers],[14]],tabela_registros[REGISTRO],DADOS!$N$3,tabela_registros[TIPO],DADOS!$V$3,tabela_registros[CATEGORIA],receitasfixasconsolidadonov[[#This Row],[ATUAL]])</f>
        <v>0</v>
      </c>
      <c r="S84" s="91">
        <f>SUMIFS(tabela_registros[VALOR],tabela_registros[MÊS],$AE$1,tabela_registros[DIA],receitasfixasconsolidadonov[[#Headers],[15]],tabela_registros[REGISTRO],DADOS!$N$3,tabela_registros[TIPO],DADOS!$V$3,tabela_registros[CATEGORIA],receitasfixasconsolidadonov[[#This Row],[ATUAL]])</f>
        <v>0</v>
      </c>
      <c r="T84" s="91">
        <f>SUMIFS(tabela_registros[VALOR],tabela_registros[MÊS],$AE$1,tabela_registros[DIA],receitasfixasconsolidadonov[[#Headers],[16]],tabela_registros[REGISTRO],DADOS!$N$3,tabela_registros[TIPO],DADOS!$V$3,tabela_registros[CATEGORIA],receitasfixasconsolidadonov[[#This Row],[ATUAL]])</f>
        <v>0</v>
      </c>
      <c r="U84" s="91">
        <f>SUMIFS(tabela_registros[VALOR],tabela_registros[MÊS],$AE$1,tabela_registros[DIA],receitasfixasconsolidadonov[[#Headers],[17]],tabela_registros[REGISTRO],DADOS!$N$3,tabela_registros[TIPO],DADOS!$V$3,tabela_registros[CATEGORIA],receitasfixasconsolidadonov[[#This Row],[ATUAL]])</f>
        <v>0</v>
      </c>
      <c r="V84" s="91">
        <f>SUMIFS(tabela_registros[VALOR],tabela_registros[MÊS],$AE$1,tabela_registros[DIA],receitasfixasconsolidadonov[[#Headers],[18]],tabela_registros[REGISTRO],DADOS!$N$3,tabela_registros[TIPO],DADOS!$V$3,tabela_registros[CATEGORIA],receitasfixasconsolidadonov[[#This Row],[ATUAL]])</f>
        <v>0</v>
      </c>
      <c r="W84" s="91">
        <f>SUMIFS(tabela_registros[VALOR],tabela_registros[MÊS],$AE$1,tabela_registros[DIA],receitasfixasconsolidadonov[[#Headers],[19]],tabela_registros[REGISTRO],DADOS!$N$3,tabela_registros[TIPO],DADOS!$V$3,tabela_registros[CATEGORIA],receitasfixasconsolidadonov[[#This Row],[ATUAL]])</f>
        <v>0</v>
      </c>
      <c r="X84" s="91">
        <f>SUMIFS(tabela_registros[VALOR],tabela_registros[MÊS],$AE$1,tabela_registros[DIA],receitasfixasconsolidadonov[[#Headers],[20]],tabela_registros[REGISTRO],DADOS!$N$3,tabela_registros[TIPO],DADOS!$V$3,tabela_registros[CATEGORIA],receitasfixasconsolidadonov[[#This Row],[ATUAL]])</f>
        <v>0</v>
      </c>
      <c r="Y84" s="91">
        <f>SUMIFS(tabela_registros[VALOR],tabela_registros[MÊS],$AE$1,tabela_registros[DIA],receitasfixasconsolidadonov[[#Headers],[21]],tabela_registros[REGISTRO],DADOS!$N$3,tabela_registros[TIPO],DADOS!$V$3,tabela_registros[CATEGORIA],receitasfixasconsolidadonov[[#This Row],[ATUAL]])</f>
        <v>0</v>
      </c>
      <c r="Z84" s="91">
        <f>SUMIFS(tabela_registros[VALOR],tabela_registros[MÊS],$AE$1,tabela_registros[DIA],receitasfixasconsolidadonov[[#Headers],[22]],tabela_registros[REGISTRO],DADOS!$N$3,tabela_registros[TIPO],DADOS!$V$3,tabela_registros[CATEGORIA],receitasfixasconsolidadonov[[#This Row],[ATUAL]])</f>
        <v>0</v>
      </c>
      <c r="AA84" s="91">
        <f>SUMIFS(tabela_registros[VALOR],tabela_registros[MÊS],$AE$1,tabela_registros[DIA],receitasfixasconsolidadonov[[#Headers],[23]],tabela_registros[REGISTRO],DADOS!$N$3,tabela_registros[TIPO],DADOS!$V$3,tabela_registros[CATEGORIA],receitasfixasconsolidadonov[[#This Row],[ATUAL]])</f>
        <v>0</v>
      </c>
      <c r="AB84" s="91">
        <f>SUMIFS(tabela_registros[VALOR],tabela_registros[MÊS],$AE$1,tabela_registros[DIA],receitasfixasconsolidadonov[[#Headers],[24]],tabela_registros[REGISTRO],DADOS!$N$3,tabela_registros[TIPO],DADOS!$V$3,tabela_registros[CATEGORIA],receitasfixasconsolidadonov[[#This Row],[ATUAL]])</f>
        <v>0</v>
      </c>
      <c r="AC84" s="91">
        <f>SUMIFS(tabela_registros[VALOR],tabela_registros[MÊS],$AE$1,tabela_registros[DIA],receitasfixasconsolidadonov[[#Headers],[25]],tabela_registros[REGISTRO],DADOS!$N$3,tabela_registros[TIPO],DADOS!$V$3,tabela_registros[CATEGORIA],receitasfixasconsolidadonov[[#This Row],[ATUAL]])</f>
        <v>0</v>
      </c>
      <c r="AD84" s="91">
        <f>SUMIFS(tabela_registros[VALOR],tabela_registros[MÊS],$AE$1,tabela_registros[DIA],receitasfixasconsolidadonov[[#Headers],[26]],tabela_registros[REGISTRO],DADOS!$N$3,tabela_registros[TIPO],DADOS!$V$3,tabela_registros[CATEGORIA],receitasfixasconsolidadonov[[#This Row],[ATUAL]])</f>
        <v>0</v>
      </c>
      <c r="AE84" s="91">
        <f>SUMIFS(tabela_registros[VALOR],tabela_registros[MÊS],$AE$1,tabela_registros[DIA],receitasfixasconsolidadonov[[#Headers],[27]],tabela_registros[REGISTRO],DADOS!$N$3,tabela_registros[TIPO],DADOS!$V$3,tabela_registros[CATEGORIA],receitasfixasconsolidadonov[[#This Row],[ATUAL]])</f>
        <v>0</v>
      </c>
      <c r="AF84" s="91">
        <f>SUMIFS(tabela_registros[VALOR],tabela_registros[MÊS],$AE$1,tabela_registros[DIA],receitasfixasconsolidadonov[[#Headers],[28]],tabela_registros[REGISTRO],DADOS!$N$3,tabela_registros[TIPO],DADOS!$V$3,tabela_registros[CATEGORIA],receitasfixasconsolidadonov[[#This Row],[ATUAL]])</f>
        <v>0</v>
      </c>
      <c r="AG84" s="91">
        <f>SUMIFS(tabela_registros[VALOR],tabela_registros[MÊS],$AE$1,tabela_registros[DIA],receitasfixasconsolidadonov[[#Headers],[29]],tabela_registros[REGISTRO],DADOS!$N$3,tabela_registros[TIPO],DADOS!$V$3,tabela_registros[CATEGORIA],receitasfixasconsolidadonov[[#This Row],[ATUAL]])</f>
        <v>0</v>
      </c>
      <c r="AH84" s="91">
        <f>SUMIFS(tabela_registros[VALOR],tabela_registros[MÊS],$AE$1,tabela_registros[DIA],receitasfixasconsolidadonov[[#Headers],[30]],tabela_registros[REGISTRO],DADOS!$N$3,tabela_registros[TIPO],DADOS!$V$3,tabela_registros[CATEGORIA],receitasfixasconsolidadonov[[#This Row],[ATUAL]])</f>
        <v>0</v>
      </c>
      <c r="AI84" s="101">
        <f>SUMIFS(tabela_registros[VALOR],tabela_registros[MÊS],$AE$1,tabela_registros[DIA],receitasfixasconsolidadonov[[#Headers],[31]],tabela_registros[REGISTRO],DADOS!$N$3,tabela_registros[TIPO],DADOS!$V$3,tabela_registros[CATEGORIA],receitasfixasconsolidadonov[[#This Row],[ATUAL]])</f>
        <v>0</v>
      </c>
      <c r="AJ84" s="97">
        <f>SUM(receitasfixasconsolidadonov[[#This Row],[1]:[31]])</f>
        <v>0</v>
      </c>
      <c r="AK84" s="25"/>
    </row>
    <row r="85" spans="2:37" ht="19.5" customHeight="1" thickTop="1" thickBot="1" x14ac:dyDescent="0.3">
      <c r="B85" s="28"/>
      <c r="C85" s="27" t="str">
        <f>DADOS!$X$6</f>
        <v>💰 SALÁRIO</v>
      </c>
      <c r="D85" s="26" t="str">
        <f>IF(receitasfixasconsolidadonov[[#This Row],[TOTAL (R$)]]=0,"",IF(OR(receitasfixasconsolidadonov[[#This Row],[TOTAL (R$)]]=LARGE($AJ$82:$AJ$86,1),receitasfixasconsolidadonov[[#This Row],[TOTAL (R$)]]=LARGE($AJ$82:$AJ$86,2)),DADOS!$I$9,""))</f>
        <v/>
      </c>
      <c r="E85" s="96">
        <f>SUMIFS(tabela_registros[VALOR],tabela_registros[MÊS],$AE$1,tabela_registros[DIA],receitasfixasconsolidadonov[[#Headers],[1]],tabela_registros[REGISTRO],DADOS!$N$3,tabela_registros[TIPO],DADOS!$V$3,tabela_registros[CATEGORIA],receitasfixasconsolidadonov[[#This Row],[ATUAL]])</f>
        <v>0</v>
      </c>
      <c r="F85" s="91">
        <f>SUMIFS(tabela_registros[VALOR],tabela_registros[MÊS],$AE$1,tabela_registros[DIA],receitasfixasconsolidadonov[[#Headers],[2]],tabela_registros[REGISTRO],DADOS!$N$3,tabela_registros[TIPO],DADOS!$V$3,tabela_registros[CATEGORIA],receitasfixasconsolidadonov[[#This Row],[ATUAL]])</f>
        <v>0</v>
      </c>
      <c r="G85" s="91">
        <f>SUMIFS(tabela_registros[VALOR],tabela_registros[MÊS],$AE$1,tabela_registros[DIA],receitasfixasconsolidadonov[[#Headers],[3]],tabela_registros[REGISTRO],DADOS!$N$3,tabela_registros[TIPO],DADOS!$V$3,tabela_registros[CATEGORIA],receitasfixasconsolidadonov[[#This Row],[ATUAL]])</f>
        <v>0</v>
      </c>
      <c r="H85" s="91">
        <f>SUMIFS(tabela_registros[VALOR],tabela_registros[MÊS],$AE$1,tabela_registros[DIA],receitasfixasconsolidadonov[[#Headers],[4]],tabela_registros[REGISTRO],DADOS!$N$3,tabela_registros[TIPO],DADOS!$V$3,tabela_registros[CATEGORIA],receitasfixasconsolidadonov[[#This Row],[ATUAL]])</f>
        <v>0</v>
      </c>
      <c r="I85" s="91">
        <f>SUMIFS(tabela_registros[VALOR],tabela_registros[MÊS],$AE$1,tabela_registros[DIA],receitasfixasconsolidadonov[[#Headers],[5]],tabela_registros[REGISTRO],DADOS!$N$3,tabela_registros[TIPO],DADOS!$V$3,tabela_registros[CATEGORIA],receitasfixasconsolidadonov[[#This Row],[ATUAL]])</f>
        <v>0</v>
      </c>
      <c r="J85" s="91">
        <f>SUMIFS(tabela_registros[VALOR],tabela_registros[MÊS],$AE$1,tabela_registros[DIA],receitasfixasconsolidadonov[[#Headers],[6]],tabela_registros[REGISTRO],DADOS!$N$3,tabela_registros[TIPO],DADOS!$V$3,tabela_registros[CATEGORIA],receitasfixasconsolidadonov[[#This Row],[ATUAL]])</f>
        <v>0</v>
      </c>
      <c r="K85" s="91">
        <f>SUMIFS(tabela_registros[VALOR],tabela_registros[MÊS],$AE$1,tabela_registros[DIA],receitasfixasconsolidadonov[[#Headers],[7]],tabela_registros[REGISTRO],DADOS!$N$3,tabela_registros[TIPO],DADOS!$V$3,tabela_registros[CATEGORIA],receitasfixasconsolidadonov[[#This Row],[ATUAL]])</f>
        <v>0</v>
      </c>
      <c r="L85" s="91">
        <f>SUMIFS(tabela_registros[VALOR],tabela_registros[MÊS],$AE$1,tabela_registros[DIA],receitasfixasconsolidadonov[[#Headers],[8]],tabela_registros[REGISTRO],DADOS!$N$3,tabela_registros[TIPO],DADOS!$V$3,tabela_registros[CATEGORIA],receitasfixasconsolidadonov[[#This Row],[ATUAL]])</f>
        <v>0</v>
      </c>
      <c r="M85" s="91">
        <f>SUMIFS(tabela_registros[VALOR],tabela_registros[MÊS],$AE$1,tabela_registros[DIA],receitasfixasconsolidadonov[[#Headers],[9]],tabela_registros[REGISTRO],DADOS!$N$3,tabela_registros[TIPO],DADOS!$V$3,tabela_registros[CATEGORIA],receitasfixasconsolidadonov[[#This Row],[ATUAL]])</f>
        <v>0</v>
      </c>
      <c r="N85" s="91">
        <f>SUMIFS(tabela_registros[VALOR],tabela_registros[MÊS],$AE$1,tabela_registros[DIA],receitasfixasconsolidadonov[[#Headers],[10]],tabela_registros[REGISTRO],DADOS!$N$3,tabela_registros[TIPO],DADOS!$V$3,tabela_registros[CATEGORIA],receitasfixasconsolidadonov[[#This Row],[ATUAL]])</f>
        <v>0</v>
      </c>
      <c r="O85" s="91">
        <f>SUMIFS(tabela_registros[VALOR],tabela_registros[MÊS],$AE$1,tabela_registros[DIA],receitasfixasconsolidadonov[[#Headers],[11]],tabela_registros[REGISTRO],DADOS!$N$3,tabela_registros[TIPO],DADOS!$V$3,tabela_registros[CATEGORIA],receitasfixasconsolidadonov[[#This Row],[ATUAL]])</f>
        <v>0</v>
      </c>
      <c r="P85" s="91">
        <f>SUMIFS(tabela_registros[VALOR],tabela_registros[MÊS],$AE$1,tabela_registros[DIA],receitasfixasconsolidadonov[[#Headers],[12]],tabela_registros[REGISTRO],DADOS!$N$3,tabela_registros[TIPO],DADOS!$V$3,tabela_registros[CATEGORIA],receitasfixasconsolidadonov[[#This Row],[ATUAL]])</f>
        <v>0</v>
      </c>
      <c r="Q85" s="91">
        <f>SUMIFS(tabela_registros[VALOR],tabela_registros[MÊS],$AE$1,tabela_registros[DIA],receitasfixasconsolidadonov[[#Headers],[13]],tabela_registros[REGISTRO],DADOS!$N$3,tabela_registros[TIPO],DADOS!$V$3,tabela_registros[CATEGORIA],receitasfixasconsolidadonov[[#This Row],[ATUAL]])</f>
        <v>0</v>
      </c>
      <c r="R85" s="91">
        <f>SUMIFS(tabela_registros[VALOR],tabela_registros[MÊS],$AE$1,tabela_registros[DIA],receitasfixasconsolidadonov[[#Headers],[14]],tabela_registros[REGISTRO],DADOS!$N$3,tabela_registros[TIPO],DADOS!$V$3,tabela_registros[CATEGORIA],receitasfixasconsolidadonov[[#This Row],[ATUAL]])</f>
        <v>0</v>
      </c>
      <c r="S85" s="91">
        <f>SUMIFS(tabela_registros[VALOR],tabela_registros[MÊS],$AE$1,tabela_registros[DIA],receitasfixasconsolidadonov[[#Headers],[15]],tabela_registros[REGISTRO],DADOS!$N$3,tabela_registros[TIPO],DADOS!$V$3,tabela_registros[CATEGORIA],receitasfixasconsolidadonov[[#This Row],[ATUAL]])</f>
        <v>0</v>
      </c>
      <c r="T85" s="91">
        <f>SUMIFS(tabela_registros[VALOR],tabela_registros[MÊS],$AE$1,tabela_registros[DIA],receitasfixasconsolidadonov[[#Headers],[16]],tabela_registros[REGISTRO],DADOS!$N$3,tabela_registros[TIPO],DADOS!$V$3,tabela_registros[CATEGORIA],receitasfixasconsolidadonov[[#This Row],[ATUAL]])</f>
        <v>0</v>
      </c>
      <c r="U85" s="91">
        <f>SUMIFS(tabela_registros[VALOR],tabela_registros[MÊS],$AE$1,tabela_registros[DIA],receitasfixasconsolidadonov[[#Headers],[17]],tabela_registros[REGISTRO],DADOS!$N$3,tabela_registros[TIPO],DADOS!$V$3,tabela_registros[CATEGORIA],receitasfixasconsolidadonov[[#This Row],[ATUAL]])</f>
        <v>0</v>
      </c>
      <c r="V85" s="91">
        <f>SUMIFS(tabela_registros[VALOR],tabela_registros[MÊS],$AE$1,tabela_registros[DIA],receitasfixasconsolidadonov[[#Headers],[18]],tabela_registros[REGISTRO],DADOS!$N$3,tabela_registros[TIPO],DADOS!$V$3,tabela_registros[CATEGORIA],receitasfixasconsolidadonov[[#This Row],[ATUAL]])</f>
        <v>0</v>
      </c>
      <c r="W85" s="91">
        <f>SUMIFS(tabela_registros[VALOR],tabela_registros[MÊS],$AE$1,tabela_registros[DIA],receitasfixasconsolidadonov[[#Headers],[19]],tabela_registros[REGISTRO],DADOS!$N$3,tabela_registros[TIPO],DADOS!$V$3,tabela_registros[CATEGORIA],receitasfixasconsolidadonov[[#This Row],[ATUAL]])</f>
        <v>0</v>
      </c>
      <c r="X85" s="91">
        <f>SUMIFS(tabela_registros[VALOR],tabela_registros[MÊS],$AE$1,tabela_registros[DIA],receitasfixasconsolidadonov[[#Headers],[20]],tabela_registros[REGISTRO],DADOS!$N$3,tabela_registros[TIPO],DADOS!$V$3,tabela_registros[CATEGORIA],receitasfixasconsolidadonov[[#This Row],[ATUAL]])</f>
        <v>0</v>
      </c>
      <c r="Y85" s="91">
        <f>SUMIFS(tabela_registros[VALOR],tabela_registros[MÊS],$AE$1,tabela_registros[DIA],receitasfixasconsolidadonov[[#Headers],[21]],tabela_registros[REGISTRO],DADOS!$N$3,tabela_registros[TIPO],DADOS!$V$3,tabela_registros[CATEGORIA],receitasfixasconsolidadonov[[#This Row],[ATUAL]])</f>
        <v>0</v>
      </c>
      <c r="Z85" s="91">
        <f>SUMIFS(tabela_registros[VALOR],tabela_registros[MÊS],$AE$1,tabela_registros[DIA],receitasfixasconsolidadonov[[#Headers],[22]],tabela_registros[REGISTRO],DADOS!$N$3,tabela_registros[TIPO],DADOS!$V$3,tabela_registros[CATEGORIA],receitasfixasconsolidadonov[[#This Row],[ATUAL]])</f>
        <v>0</v>
      </c>
      <c r="AA85" s="91">
        <f>SUMIFS(tabela_registros[VALOR],tabela_registros[MÊS],$AE$1,tabela_registros[DIA],receitasfixasconsolidadonov[[#Headers],[23]],tabela_registros[REGISTRO],DADOS!$N$3,tabela_registros[TIPO],DADOS!$V$3,tabela_registros[CATEGORIA],receitasfixasconsolidadonov[[#This Row],[ATUAL]])</f>
        <v>0</v>
      </c>
      <c r="AB85" s="91">
        <f>SUMIFS(tabela_registros[VALOR],tabela_registros[MÊS],$AE$1,tabela_registros[DIA],receitasfixasconsolidadonov[[#Headers],[24]],tabela_registros[REGISTRO],DADOS!$N$3,tabela_registros[TIPO],DADOS!$V$3,tabela_registros[CATEGORIA],receitasfixasconsolidadonov[[#This Row],[ATUAL]])</f>
        <v>0</v>
      </c>
      <c r="AC85" s="91">
        <f>SUMIFS(tabela_registros[VALOR],tabela_registros[MÊS],$AE$1,tabela_registros[DIA],receitasfixasconsolidadonov[[#Headers],[25]],tabela_registros[REGISTRO],DADOS!$N$3,tabela_registros[TIPO],DADOS!$V$3,tabela_registros[CATEGORIA],receitasfixasconsolidadonov[[#This Row],[ATUAL]])</f>
        <v>0</v>
      </c>
      <c r="AD85" s="91">
        <f>SUMIFS(tabela_registros[VALOR],tabela_registros[MÊS],$AE$1,tabela_registros[DIA],receitasfixasconsolidadonov[[#Headers],[26]],tabela_registros[REGISTRO],DADOS!$N$3,tabela_registros[TIPO],DADOS!$V$3,tabela_registros[CATEGORIA],receitasfixasconsolidadonov[[#This Row],[ATUAL]])</f>
        <v>0</v>
      </c>
      <c r="AE85" s="91">
        <f>SUMIFS(tabela_registros[VALOR],tabela_registros[MÊS],$AE$1,tabela_registros[DIA],receitasfixasconsolidadonov[[#Headers],[27]],tabela_registros[REGISTRO],DADOS!$N$3,tabela_registros[TIPO],DADOS!$V$3,tabela_registros[CATEGORIA],receitasfixasconsolidadonov[[#This Row],[ATUAL]])</f>
        <v>0</v>
      </c>
      <c r="AF85" s="91">
        <f>SUMIFS(tabela_registros[VALOR],tabela_registros[MÊS],$AE$1,tabela_registros[DIA],receitasfixasconsolidadonov[[#Headers],[28]],tabela_registros[REGISTRO],DADOS!$N$3,tabela_registros[TIPO],DADOS!$V$3,tabela_registros[CATEGORIA],receitasfixasconsolidadonov[[#This Row],[ATUAL]])</f>
        <v>0</v>
      </c>
      <c r="AG85" s="91">
        <f>SUMIFS(tabela_registros[VALOR],tabela_registros[MÊS],$AE$1,tabela_registros[DIA],receitasfixasconsolidadonov[[#Headers],[29]],tabela_registros[REGISTRO],DADOS!$N$3,tabela_registros[TIPO],DADOS!$V$3,tabela_registros[CATEGORIA],receitasfixasconsolidadonov[[#This Row],[ATUAL]])</f>
        <v>0</v>
      </c>
      <c r="AH85" s="91">
        <f>SUMIFS(tabela_registros[VALOR],tabela_registros[MÊS],$AE$1,tabela_registros[DIA],receitasfixasconsolidadonov[[#Headers],[30]],tabela_registros[REGISTRO],DADOS!$N$3,tabela_registros[TIPO],DADOS!$V$3,tabela_registros[CATEGORIA],receitasfixasconsolidadonov[[#This Row],[ATUAL]])</f>
        <v>0</v>
      </c>
      <c r="AI85" s="101">
        <f>SUMIFS(tabela_registros[VALOR],tabela_registros[MÊS],$AE$1,tabela_registros[DIA],receitasfixasconsolidadonov[[#Headers],[31]],tabela_registros[REGISTRO],DADOS!$N$3,tabela_registros[TIPO],DADOS!$V$3,tabela_registros[CATEGORIA],receitasfixasconsolidadonov[[#This Row],[ATUAL]])</f>
        <v>0</v>
      </c>
      <c r="AJ85" s="97">
        <f>SUM(receitasfixasconsolidadonov[[#This Row],[1]:[31]])</f>
        <v>0</v>
      </c>
      <c r="AK85" s="25"/>
    </row>
    <row r="86" spans="2:37" ht="18" customHeight="1" thickTop="1" thickBot="1" x14ac:dyDescent="0.3">
      <c r="B86" s="28"/>
      <c r="C86" s="27" t="str">
        <f>DADOS!$X$7</f>
        <v>📎 OUTROS</v>
      </c>
      <c r="D86" s="26" t="str">
        <f>IF(receitasfixasconsolidadonov[[#This Row],[TOTAL (R$)]]=0,"",IF(OR(receitasfixasconsolidadonov[[#This Row],[TOTAL (R$)]]=LARGE($AJ$82:$AJ$86,1),receitasfixasconsolidadonov[[#This Row],[TOTAL (R$)]]=LARGE($AJ$82:$AJ$86,2)),DADOS!$I$9,""))</f>
        <v/>
      </c>
      <c r="E86" s="96">
        <f>SUMIFS(tabela_registros[VALOR],tabela_registros[MÊS],$AE$1,tabela_registros[DIA],receitasfixasconsolidadonov[[#Headers],[1]],tabela_registros[REGISTRO],DADOS!$N$3,tabela_registros[TIPO],DADOS!$V$3,tabela_registros[CATEGORIA],receitasfixasconsolidadonov[[#This Row],[ATUAL]])</f>
        <v>0</v>
      </c>
      <c r="F86" s="91">
        <f>SUMIFS(tabela_registros[VALOR],tabela_registros[MÊS],$AE$1,tabela_registros[DIA],receitasfixasconsolidadonov[[#Headers],[2]],tabela_registros[REGISTRO],DADOS!$N$3,tabela_registros[TIPO],DADOS!$V$3,tabela_registros[CATEGORIA],receitasfixasconsolidadonov[[#This Row],[ATUAL]])</f>
        <v>0</v>
      </c>
      <c r="G86" s="91">
        <f>SUMIFS(tabela_registros[VALOR],tabela_registros[MÊS],$AE$1,tabela_registros[DIA],receitasfixasconsolidadonov[[#Headers],[3]],tabela_registros[REGISTRO],DADOS!$N$3,tabela_registros[TIPO],DADOS!$V$3,tabela_registros[CATEGORIA],receitasfixasconsolidadonov[[#This Row],[ATUAL]])</f>
        <v>0</v>
      </c>
      <c r="H86" s="91">
        <f>SUMIFS(tabela_registros[VALOR],tabela_registros[MÊS],$AE$1,tabela_registros[DIA],receitasfixasconsolidadonov[[#Headers],[4]],tabela_registros[REGISTRO],DADOS!$N$3,tabela_registros[TIPO],DADOS!$V$3,tabela_registros[CATEGORIA],receitasfixasconsolidadonov[[#This Row],[ATUAL]])</f>
        <v>0</v>
      </c>
      <c r="I86" s="91">
        <f>SUMIFS(tabela_registros[VALOR],tabela_registros[MÊS],$AE$1,tabela_registros[DIA],receitasfixasconsolidadonov[[#Headers],[5]],tabela_registros[REGISTRO],DADOS!$N$3,tabela_registros[TIPO],DADOS!$V$3,tabela_registros[CATEGORIA],receitasfixasconsolidadonov[[#This Row],[ATUAL]])</f>
        <v>0</v>
      </c>
      <c r="J86" s="91">
        <f>SUMIFS(tabela_registros[VALOR],tabela_registros[MÊS],$AE$1,tabela_registros[DIA],receitasfixasconsolidadonov[[#Headers],[6]],tabela_registros[REGISTRO],DADOS!$N$3,tabela_registros[TIPO],DADOS!$V$3,tabela_registros[CATEGORIA],receitasfixasconsolidadonov[[#This Row],[ATUAL]])</f>
        <v>0</v>
      </c>
      <c r="K86" s="91">
        <f>SUMIFS(tabela_registros[VALOR],tabela_registros[MÊS],$AE$1,tabela_registros[DIA],receitasfixasconsolidadonov[[#Headers],[7]],tabela_registros[REGISTRO],DADOS!$N$3,tabela_registros[TIPO],DADOS!$V$3,tabela_registros[CATEGORIA],receitasfixasconsolidadonov[[#This Row],[ATUAL]])</f>
        <v>0</v>
      </c>
      <c r="L86" s="91">
        <f>SUMIFS(tabela_registros[VALOR],tabela_registros[MÊS],$AE$1,tabela_registros[DIA],receitasfixasconsolidadonov[[#Headers],[8]],tabela_registros[REGISTRO],DADOS!$N$3,tabela_registros[TIPO],DADOS!$V$3,tabela_registros[CATEGORIA],receitasfixasconsolidadonov[[#This Row],[ATUAL]])</f>
        <v>0</v>
      </c>
      <c r="M86" s="91">
        <f>SUMIFS(tabela_registros[VALOR],tabela_registros[MÊS],$AE$1,tabela_registros[DIA],receitasfixasconsolidadonov[[#Headers],[9]],tabela_registros[REGISTRO],DADOS!$N$3,tabela_registros[TIPO],DADOS!$V$3,tabela_registros[CATEGORIA],receitasfixasconsolidadonov[[#This Row],[ATUAL]])</f>
        <v>0</v>
      </c>
      <c r="N86" s="91">
        <f>SUMIFS(tabela_registros[VALOR],tabela_registros[MÊS],$AE$1,tabela_registros[DIA],receitasfixasconsolidadonov[[#Headers],[10]],tabela_registros[REGISTRO],DADOS!$N$3,tabela_registros[TIPO],DADOS!$V$3,tabela_registros[CATEGORIA],receitasfixasconsolidadonov[[#This Row],[ATUAL]])</f>
        <v>0</v>
      </c>
      <c r="O86" s="91">
        <f>SUMIFS(tabela_registros[VALOR],tabela_registros[MÊS],$AE$1,tabela_registros[DIA],receitasfixasconsolidadonov[[#Headers],[11]],tabela_registros[REGISTRO],DADOS!$N$3,tabela_registros[TIPO],DADOS!$V$3,tabela_registros[CATEGORIA],receitasfixasconsolidadonov[[#This Row],[ATUAL]])</f>
        <v>0</v>
      </c>
      <c r="P86" s="91">
        <f>SUMIFS(tabela_registros[VALOR],tabela_registros[MÊS],$AE$1,tabela_registros[DIA],receitasfixasconsolidadonov[[#Headers],[12]],tabela_registros[REGISTRO],DADOS!$N$3,tabela_registros[TIPO],DADOS!$V$3,tabela_registros[CATEGORIA],receitasfixasconsolidadonov[[#This Row],[ATUAL]])</f>
        <v>0</v>
      </c>
      <c r="Q86" s="91">
        <f>SUMIFS(tabela_registros[VALOR],tabela_registros[MÊS],$AE$1,tabela_registros[DIA],receitasfixasconsolidadonov[[#Headers],[13]],tabela_registros[REGISTRO],DADOS!$N$3,tabela_registros[TIPO],DADOS!$V$3,tabela_registros[CATEGORIA],receitasfixasconsolidadonov[[#This Row],[ATUAL]])</f>
        <v>0</v>
      </c>
      <c r="R86" s="91">
        <f>SUMIFS(tabela_registros[VALOR],tabela_registros[MÊS],$AE$1,tabela_registros[DIA],receitasfixasconsolidadonov[[#Headers],[14]],tabela_registros[REGISTRO],DADOS!$N$3,tabela_registros[TIPO],DADOS!$V$3,tabela_registros[CATEGORIA],receitasfixasconsolidadonov[[#This Row],[ATUAL]])</f>
        <v>0</v>
      </c>
      <c r="S86" s="91">
        <f>SUMIFS(tabela_registros[VALOR],tabela_registros[MÊS],$AE$1,tabela_registros[DIA],receitasfixasconsolidadonov[[#Headers],[15]],tabela_registros[REGISTRO],DADOS!$N$3,tabela_registros[TIPO],DADOS!$V$3,tabela_registros[CATEGORIA],receitasfixasconsolidadonov[[#This Row],[ATUAL]])</f>
        <v>0</v>
      </c>
      <c r="T86" s="91">
        <f>SUMIFS(tabela_registros[VALOR],tabela_registros[MÊS],$AE$1,tabela_registros[DIA],receitasfixasconsolidadonov[[#Headers],[16]],tabela_registros[REGISTRO],DADOS!$N$3,tabela_registros[TIPO],DADOS!$V$3,tabela_registros[CATEGORIA],receitasfixasconsolidadonov[[#This Row],[ATUAL]])</f>
        <v>0</v>
      </c>
      <c r="U86" s="91">
        <f>SUMIFS(tabela_registros[VALOR],tabela_registros[MÊS],$AE$1,tabela_registros[DIA],receitasfixasconsolidadonov[[#Headers],[17]],tabela_registros[REGISTRO],DADOS!$N$3,tabela_registros[TIPO],DADOS!$V$3,tabela_registros[CATEGORIA],receitasfixasconsolidadonov[[#This Row],[ATUAL]])</f>
        <v>0</v>
      </c>
      <c r="V86" s="91">
        <f>SUMIFS(tabela_registros[VALOR],tabela_registros[MÊS],$AE$1,tabela_registros[DIA],receitasfixasconsolidadonov[[#Headers],[18]],tabela_registros[REGISTRO],DADOS!$N$3,tabela_registros[TIPO],DADOS!$V$3,tabela_registros[CATEGORIA],receitasfixasconsolidadonov[[#This Row],[ATUAL]])</f>
        <v>0</v>
      </c>
      <c r="W86" s="91">
        <f>SUMIFS(tabela_registros[VALOR],tabela_registros[MÊS],$AE$1,tabela_registros[DIA],receitasfixasconsolidadonov[[#Headers],[19]],tabela_registros[REGISTRO],DADOS!$N$3,tabela_registros[TIPO],DADOS!$V$3,tabela_registros[CATEGORIA],receitasfixasconsolidadonov[[#This Row],[ATUAL]])</f>
        <v>0</v>
      </c>
      <c r="X86" s="91">
        <f>SUMIFS(tabela_registros[VALOR],tabela_registros[MÊS],$AE$1,tabela_registros[DIA],receitasfixasconsolidadonov[[#Headers],[20]],tabela_registros[REGISTRO],DADOS!$N$3,tabela_registros[TIPO],DADOS!$V$3,tabela_registros[CATEGORIA],receitasfixasconsolidadonov[[#This Row],[ATUAL]])</f>
        <v>0</v>
      </c>
      <c r="Y86" s="91">
        <f>SUMIFS(tabela_registros[VALOR],tabela_registros[MÊS],$AE$1,tabela_registros[DIA],receitasfixasconsolidadonov[[#Headers],[21]],tabela_registros[REGISTRO],DADOS!$N$3,tabela_registros[TIPO],DADOS!$V$3,tabela_registros[CATEGORIA],receitasfixasconsolidadonov[[#This Row],[ATUAL]])</f>
        <v>0</v>
      </c>
      <c r="Z86" s="91">
        <f>SUMIFS(tabela_registros[VALOR],tabela_registros[MÊS],$AE$1,tabela_registros[DIA],receitasfixasconsolidadonov[[#Headers],[22]],tabela_registros[REGISTRO],DADOS!$N$3,tabela_registros[TIPO],DADOS!$V$3,tabela_registros[CATEGORIA],receitasfixasconsolidadonov[[#This Row],[ATUAL]])</f>
        <v>0</v>
      </c>
      <c r="AA86" s="91">
        <f>SUMIFS(tabela_registros[VALOR],tabela_registros[MÊS],$AE$1,tabela_registros[DIA],receitasfixasconsolidadonov[[#Headers],[23]],tabela_registros[REGISTRO],DADOS!$N$3,tabela_registros[TIPO],DADOS!$V$3,tabela_registros[CATEGORIA],receitasfixasconsolidadonov[[#This Row],[ATUAL]])</f>
        <v>0</v>
      </c>
      <c r="AB86" s="91">
        <f>SUMIFS(tabela_registros[VALOR],tabela_registros[MÊS],$AE$1,tabela_registros[DIA],receitasfixasconsolidadonov[[#Headers],[24]],tabela_registros[REGISTRO],DADOS!$N$3,tabela_registros[TIPO],DADOS!$V$3,tabela_registros[CATEGORIA],receitasfixasconsolidadonov[[#This Row],[ATUAL]])</f>
        <v>0</v>
      </c>
      <c r="AC86" s="91">
        <f>SUMIFS(tabela_registros[VALOR],tabela_registros[MÊS],$AE$1,tabela_registros[DIA],receitasfixasconsolidadonov[[#Headers],[25]],tabela_registros[REGISTRO],DADOS!$N$3,tabela_registros[TIPO],DADOS!$V$3,tabela_registros[CATEGORIA],receitasfixasconsolidadonov[[#This Row],[ATUAL]])</f>
        <v>0</v>
      </c>
      <c r="AD86" s="91">
        <f>SUMIFS(tabela_registros[VALOR],tabela_registros[MÊS],$AE$1,tabela_registros[DIA],receitasfixasconsolidadonov[[#Headers],[26]],tabela_registros[REGISTRO],DADOS!$N$3,tabela_registros[TIPO],DADOS!$V$3,tabela_registros[CATEGORIA],receitasfixasconsolidadonov[[#This Row],[ATUAL]])</f>
        <v>0</v>
      </c>
      <c r="AE86" s="91">
        <f>SUMIFS(tabela_registros[VALOR],tabela_registros[MÊS],$AE$1,tabela_registros[DIA],receitasfixasconsolidadonov[[#Headers],[27]],tabela_registros[REGISTRO],DADOS!$N$3,tabela_registros[TIPO],DADOS!$V$3,tabela_registros[CATEGORIA],receitasfixasconsolidadonov[[#This Row],[ATUAL]])</f>
        <v>0</v>
      </c>
      <c r="AF86" s="91">
        <f>SUMIFS(tabela_registros[VALOR],tabela_registros[MÊS],$AE$1,tabela_registros[DIA],receitasfixasconsolidadonov[[#Headers],[28]],tabela_registros[REGISTRO],DADOS!$N$3,tabela_registros[TIPO],DADOS!$V$3,tabela_registros[CATEGORIA],receitasfixasconsolidadonov[[#This Row],[ATUAL]])</f>
        <v>0</v>
      </c>
      <c r="AG86" s="91">
        <f>SUMIFS(tabela_registros[VALOR],tabela_registros[MÊS],$AE$1,tabela_registros[DIA],receitasfixasconsolidadonov[[#Headers],[29]],tabela_registros[REGISTRO],DADOS!$N$3,tabela_registros[TIPO],DADOS!$V$3,tabela_registros[CATEGORIA],receitasfixasconsolidadonov[[#This Row],[ATUAL]])</f>
        <v>0</v>
      </c>
      <c r="AH86" s="99">
        <f>SUMIFS(tabela_registros[VALOR],tabela_registros[MÊS],$AE$1,tabela_registros[DIA],receitasfixasconsolidadonov[[#Headers],[30]],tabela_registros[REGISTRO],DADOS!$N$3,tabela_registros[TIPO],DADOS!$V$3,tabela_registros[CATEGORIA],receitasfixasconsolidadonov[[#This Row],[ATUAL]])</f>
        <v>0</v>
      </c>
      <c r="AI86" s="102">
        <f>SUMIFS(tabela_registros[VALOR],tabela_registros[MÊS],$AE$1,tabela_registros[DIA],receitasfixasconsolidadonov[[#Headers],[31]],tabela_registros[REGISTRO],DADOS!$N$3,tabela_registros[TIPO],DADOS!$V$3,tabela_registros[CATEGORIA],receitasfixasconsolidadonov[[#This Row],[ATUAL]])</f>
        <v>0</v>
      </c>
      <c r="AJ86" s="103">
        <f>SUM(receitasfixasconsolidadonov[[#This Row],[1]:[31]])</f>
        <v>0</v>
      </c>
      <c r="AK86" s="25"/>
    </row>
    <row r="87" spans="2:37" s="16" customFormat="1" ht="21" customHeight="1" thickTop="1" thickBot="1" x14ac:dyDescent="0.35">
      <c r="B87" s="24"/>
      <c r="C87" s="23" t="s">
        <v>19</v>
      </c>
      <c r="D87" s="22"/>
      <c r="E87" s="21">
        <f>SUM(E82:E86)</f>
        <v>0</v>
      </c>
      <c r="F87" s="20">
        <f>SUM(F82:F86)+receitasfixasconsolidadonov[[#This Row],[1]]</f>
        <v>0</v>
      </c>
      <c r="G87" s="20">
        <f>SUM(G82:G86)+receitasfixasconsolidadonov[[#This Row],[2]]</f>
        <v>0</v>
      </c>
      <c r="H87" s="20">
        <f>SUM(H82:H86)+receitasfixasconsolidadonov[[#This Row],[3]]</f>
        <v>0</v>
      </c>
      <c r="I87" s="20">
        <f>SUM(I82:I86)+receitasfixasconsolidadonov[[#This Row],[4]]</f>
        <v>0</v>
      </c>
      <c r="J87" s="20">
        <f>SUM(J82:J86)+receitasfixasconsolidadonov[[#This Row],[5]]</f>
        <v>0</v>
      </c>
      <c r="K87" s="20">
        <f>SUM(K82:K86)+receitasfixasconsolidadonov[[#This Row],[6]]</f>
        <v>0</v>
      </c>
      <c r="L87" s="20">
        <f>SUM(L82:L86)+receitasfixasconsolidadonov[[#This Row],[7]]</f>
        <v>0</v>
      </c>
      <c r="M87" s="20">
        <f>SUM(M82:M86)+receitasfixasconsolidadonov[[#This Row],[8]]</f>
        <v>0</v>
      </c>
      <c r="N87" s="20">
        <f>SUM(N82:N86)+receitasfixasconsolidadonov[[#This Row],[9]]</f>
        <v>0</v>
      </c>
      <c r="O87" s="20">
        <f>SUM(O82:O86)+receitasfixasconsolidadonov[[#This Row],[10]]</f>
        <v>0</v>
      </c>
      <c r="P87" s="20">
        <f>SUM(P82:P86)+receitasfixasconsolidadonov[[#This Row],[11]]</f>
        <v>0</v>
      </c>
      <c r="Q87" s="20">
        <f>SUM(Q82:Q86)+receitasfixasconsolidadonov[[#This Row],[12]]</f>
        <v>0</v>
      </c>
      <c r="R87" s="20">
        <f>SUM(R82:R86)+receitasfixasconsolidadonov[[#This Row],[13]]</f>
        <v>0</v>
      </c>
      <c r="S87" s="20">
        <f>SUM(S82:S86)+receitasfixasconsolidadonov[[#This Row],[14]]</f>
        <v>0</v>
      </c>
      <c r="T87" s="20">
        <f>SUM(T82:T86)+receitasfixasconsolidadonov[[#This Row],[15]]</f>
        <v>0</v>
      </c>
      <c r="U87" s="20">
        <f>SUM(U82:U86)+receitasfixasconsolidadonov[[#This Row],[16]]</f>
        <v>0</v>
      </c>
      <c r="V87" s="20">
        <f>SUM(V82:V86)+receitasfixasconsolidadonov[[#This Row],[17]]</f>
        <v>0</v>
      </c>
      <c r="W87" s="20">
        <f>SUM(W82:W86)+receitasfixasconsolidadonov[[#This Row],[18]]</f>
        <v>0</v>
      </c>
      <c r="X87" s="20">
        <f>SUM(X82:X86)+receitasfixasconsolidadonov[[#This Row],[19]]</f>
        <v>0</v>
      </c>
      <c r="Y87" s="20">
        <f>SUM(Y82:Y86)+receitasfixasconsolidadonov[[#This Row],[20]]</f>
        <v>0</v>
      </c>
      <c r="Z87" s="20">
        <f>SUM(Z82:Z86)+receitasfixasconsolidadonov[[#This Row],[21]]</f>
        <v>0</v>
      </c>
      <c r="AA87" s="20">
        <f>SUM(AA82:AA86)+receitasfixasconsolidadonov[[#This Row],[22]]</f>
        <v>0</v>
      </c>
      <c r="AB87" s="20">
        <f>SUM(AB82:AB86)+receitasfixasconsolidadonov[[#This Row],[23]]</f>
        <v>0</v>
      </c>
      <c r="AC87" s="20">
        <f>SUM(AC82:AC86)+receitasfixasconsolidadonov[[#This Row],[24]]</f>
        <v>0</v>
      </c>
      <c r="AD87" s="20">
        <f>SUM(AD82:AD86)+receitasfixasconsolidadonov[[#This Row],[25]]</f>
        <v>0</v>
      </c>
      <c r="AE87" s="20">
        <f>SUM(AE82:AE86)+receitasfixasconsolidadonov[[#This Row],[26]]</f>
        <v>0</v>
      </c>
      <c r="AF87" s="20">
        <f>SUM(AF82:AF86)+receitasfixasconsolidadonov[[#This Row],[27]]</f>
        <v>0</v>
      </c>
      <c r="AG87" s="20">
        <f>SUM(AG82:AG86)+receitasfixasconsolidadonov[[#This Row],[28]]</f>
        <v>0</v>
      </c>
      <c r="AH87" s="20">
        <f>SUM(AH82:AH86)+receitasfixasconsolidadonov[[#This Row],[29]]</f>
        <v>0</v>
      </c>
      <c r="AI87" s="19">
        <f>SUM(AI82:AI86)+receitasfixasconsolidadonov[[#This Row],[30]]</f>
        <v>0</v>
      </c>
      <c r="AJ87" s="18">
        <f>receitasfixasconsolidadonov[[#This Row],[31]]</f>
        <v>0</v>
      </c>
      <c r="AK87" s="17"/>
    </row>
    <row r="88" spans="2:37" ht="6.75" customHeight="1" thickTop="1" thickBot="1" x14ac:dyDescent="0.3">
      <c r="B88" s="15"/>
      <c r="C88" s="14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2"/>
      <c r="AJ88" s="11"/>
      <c r="AK88" s="10"/>
    </row>
    <row r="89" spans="2:37" ht="12.6" thickTop="1" x14ac:dyDescent="0.25">
      <c r="E89" s="37"/>
      <c r="AI89" s="4"/>
    </row>
    <row r="90" spans="2:37" x14ac:dyDescent="0.25">
      <c r="AI90" s="4"/>
    </row>
    <row r="91" spans="2:37" x14ac:dyDescent="0.25">
      <c r="AI91" s="4"/>
    </row>
    <row r="92" spans="2:37" ht="39.75" customHeight="1" x14ac:dyDescent="0.7">
      <c r="C92" s="36"/>
      <c r="E92" s="240"/>
      <c r="F92" s="240"/>
      <c r="G92" s="240"/>
      <c r="H92" s="240"/>
      <c r="I92" s="240"/>
      <c r="J92" s="240"/>
      <c r="K92" s="240"/>
      <c r="L92" s="240"/>
      <c r="M92" s="240"/>
      <c r="N92" s="240"/>
      <c r="O92" s="240"/>
      <c r="P92" s="240"/>
      <c r="Q92" s="240"/>
      <c r="R92" s="240"/>
      <c r="S92" s="240"/>
      <c r="T92" s="240"/>
      <c r="U92" s="240"/>
      <c r="V92" s="240"/>
      <c r="W92" s="240"/>
      <c r="X92" s="240"/>
      <c r="Y92" s="240"/>
      <c r="Z92" s="240"/>
      <c r="AA92" s="240"/>
      <c r="AB92" s="240"/>
      <c r="AC92" s="240"/>
      <c r="AD92" s="240"/>
      <c r="AE92" s="240"/>
      <c r="AF92" s="240"/>
      <c r="AG92" s="240"/>
      <c r="AH92" s="240"/>
      <c r="AI92" s="240"/>
      <c r="AJ92" s="32" t="s">
        <v>19</v>
      </c>
    </row>
    <row r="93" spans="2:37" ht="12.6" thickBot="1" x14ac:dyDescent="0.3">
      <c r="B93" s="35"/>
      <c r="AI93" s="4"/>
      <c r="AJ93" s="34" t="s">
        <v>202</v>
      </c>
    </row>
    <row r="94" spans="2:37" ht="6.75" customHeight="1" thickTop="1" thickBot="1" x14ac:dyDescent="0.3">
      <c r="B94" s="2"/>
      <c r="C94" s="14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2"/>
      <c r="AK94" s="33"/>
    </row>
    <row r="95" spans="2:37" ht="13.2" hidden="1" thickTop="1" thickBot="1" x14ac:dyDescent="0.3">
      <c r="B95" s="2"/>
      <c r="C95" s="31" t="s">
        <v>199</v>
      </c>
      <c r="D95" s="30" t="s">
        <v>198</v>
      </c>
      <c r="E95" s="30" t="s">
        <v>197</v>
      </c>
      <c r="F95" s="30" t="s">
        <v>196</v>
      </c>
      <c r="G95" s="30" t="s">
        <v>195</v>
      </c>
      <c r="H95" s="30" t="s">
        <v>194</v>
      </c>
      <c r="I95" s="30" t="s">
        <v>193</v>
      </c>
      <c r="J95" s="30" t="s">
        <v>192</v>
      </c>
      <c r="K95" s="30" t="s">
        <v>191</v>
      </c>
      <c r="L95" s="30" t="s">
        <v>190</v>
      </c>
      <c r="M95" s="30" t="s">
        <v>189</v>
      </c>
      <c r="N95" s="30" t="s">
        <v>188</v>
      </c>
      <c r="O95" s="30" t="s">
        <v>187</v>
      </c>
      <c r="P95" s="30" t="s">
        <v>186</v>
      </c>
      <c r="Q95" s="30" t="s">
        <v>185</v>
      </c>
      <c r="R95" s="30" t="s">
        <v>184</v>
      </c>
      <c r="S95" s="30" t="s">
        <v>183</v>
      </c>
      <c r="T95" s="30" t="s">
        <v>182</v>
      </c>
      <c r="U95" s="30" t="s">
        <v>181</v>
      </c>
      <c r="V95" s="30" t="s">
        <v>180</v>
      </c>
      <c r="W95" s="30" t="s">
        <v>179</v>
      </c>
      <c r="X95" s="30" t="s">
        <v>178</v>
      </c>
      <c r="Y95" s="30" t="s">
        <v>177</v>
      </c>
      <c r="Z95" s="30" t="s">
        <v>176</v>
      </c>
      <c r="AA95" s="30" t="s">
        <v>175</v>
      </c>
      <c r="AB95" s="30" t="s">
        <v>174</v>
      </c>
      <c r="AC95" s="30" t="s">
        <v>173</v>
      </c>
      <c r="AD95" s="30" t="s">
        <v>172</v>
      </c>
      <c r="AE95" s="30" t="s">
        <v>171</v>
      </c>
      <c r="AF95" s="30" t="s">
        <v>170</v>
      </c>
      <c r="AG95" s="30" t="s">
        <v>169</v>
      </c>
      <c r="AH95" s="30" t="s">
        <v>168</v>
      </c>
      <c r="AI95" s="30" t="s">
        <v>167</v>
      </c>
      <c r="AJ95" s="29" t="s">
        <v>166</v>
      </c>
      <c r="AK95" s="2"/>
    </row>
    <row r="96" spans="2:37" ht="19.5" customHeight="1" thickTop="1" thickBot="1" x14ac:dyDescent="0.3">
      <c r="B96" s="28"/>
      <c r="C96" s="27" t="str">
        <f>DADOS!$Z$3</f>
        <v>🏅 BÔNUS</v>
      </c>
      <c r="D96" s="26" t="str">
        <f>IF(receitasvariáveisconsolidadonov[[#This Row],[TOTAL (R$)]]=0,"",IF(OR(receitasvariáveisconsolidadonov[[#This Row],[TOTAL (R$)]]=LARGE($AJ$96:$AJ$103,1),receitasvariáveisconsolidadonov[[#This Row],[TOTAL (R$)]]=LARGE($AJ$96:$AJ$103,2)),DADOS!$I$9,""))</f>
        <v/>
      </c>
      <c r="E96" s="96">
        <f>SUMIFS(tabela_registros[VALOR],tabela_registros[MÊS],$AE$1,tabela_registros[DIA],receitasvariáveisconsolidadonov[[#Headers],[1]],tabela_registros[REGISTRO],DADOS!$N$3,tabela_registros[TIPO],DADOS!$V$4,tabela_registros[CATEGORIA],receitasvariáveisconsolidadonov[[#This Row],[ATUAL]])</f>
        <v>0</v>
      </c>
      <c r="F96" s="91">
        <f>SUMIFS(tabela_registros[VALOR],tabela_registros[MÊS],$AE$1,tabela_registros[DIA],receitasvariáveisconsolidadonov[[#Headers],[2]],tabela_registros[REGISTRO],DADOS!$N$3,tabela_registros[TIPO],DADOS!$V$4,tabela_registros[CATEGORIA],receitasvariáveisconsolidadonov[[#This Row],[ATUAL]])</f>
        <v>0</v>
      </c>
      <c r="G96" s="91">
        <f>SUMIFS(tabela_registros[VALOR],tabela_registros[MÊS],$AE$1,tabela_registros[DIA],receitasvariáveisconsolidadonov[[#Headers],[3]],tabela_registros[REGISTRO],DADOS!$N$3,tabela_registros[TIPO],DADOS!$V$4,tabela_registros[CATEGORIA],receitasvariáveisconsolidadonov[[#This Row],[ATUAL]])</f>
        <v>0</v>
      </c>
      <c r="H96" s="91">
        <f>SUMIFS(tabela_registros[VALOR],tabela_registros[MÊS],$AE$1,tabela_registros[DIA],receitasvariáveisconsolidadonov[[#Headers],[4]],tabela_registros[REGISTRO],DADOS!$N$3,tabela_registros[TIPO],DADOS!$V$4,tabela_registros[CATEGORIA],receitasvariáveisconsolidadonov[[#This Row],[ATUAL]])</f>
        <v>0</v>
      </c>
      <c r="I96" s="91">
        <f>SUMIFS(tabela_registros[VALOR],tabela_registros[MÊS],$AE$1,tabela_registros[DIA],receitasvariáveisconsolidadonov[[#Headers],[5]],tabela_registros[REGISTRO],DADOS!$N$3,tabela_registros[TIPO],DADOS!$V$4,tabela_registros[CATEGORIA],receitasvariáveisconsolidadonov[[#This Row],[ATUAL]])</f>
        <v>0</v>
      </c>
      <c r="J96" s="91">
        <f>SUMIFS(tabela_registros[VALOR],tabela_registros[MÊS],$AE$1,tabela_registros[DIA],receitasvariáveisconsolidadonov[[#Headers],[6]],tabela_registros[REGISTRO],DADOS!$N$3,tabela_registros[TIPO],DADOS!$V$4,tabela_registros[CATEGORIA],receitasvariáveisconsolidadonov[[#This Row],[ATUAL]])</f>
        <v>0</v>
      </c>
      <c r="K96" s="91">
        <f>SUMIFS(tabela_registros[VALOR],tabela_registros[MÊS],$AE$1,tabela_registros[DIA],receitasvariáveisconsolidadonov[[#Headers],[7]],tabela_registros[REGISTRO],DADOS!$N$3,tabela_registros[TIPO],DADOS!$V$4,tabela_registros[CATEGORIA],receitasvariáveisconsolidadonov[[#This Row],[ATUAL]])</f>
        <v>0</v>
      </c>
      <c r="L96" s="91">
        <f>SUMIFS(tabela_registros[VALOR],tabela_registros[MÊS],$AE$1,tabela_registros[DIA],receitasvariáveisconsolidadonov[[#Headers],[8]],tabela_registros[REGISTRO],DADOS!$N$3,tabela_registros[TIPO],DADOS!$V$4,tabela_registros[CATEGORIA],receitasvariáveisconsolidadonov[[#This Row],[ATUAL]])</f>
        <v>0</v>
      </c>
      <c r="M96" s="91">
        <f>SUMIFS(tabela_registros[VALOR],tabela_registros[MÊS],$AE$1,tabela_registros[DIA],receitasvariáveisconsolidadonov[[#Headers],[9]],tabela_registros[REGISTRO],DADOS!$N$3,tabela_registros[TIPO],DADOS!$V$4,tabela_registros[CATEGORIA],receitasvariáveisconsolidadonov[[#This Row],[ATUAL]])</f>
        <v>0</v>
      </c>
      <c r="N96" s="91">
        <f>SUMIFS(tabela_registros[VALOR],tabela_registros[MÊS],$AE$1,tabela_registros[DIA],receitasvariáveisconsolidadonov[[#Headers],[10]],tabela_registros[REGISTRO],DADOS!$N$3,tabela_registros[TIPO],DADOS!$V$4,tabela_registros[CATEGORIA],receitasvariáveisconsolidadonov[[#This Row],[ATUAL]])</f>
        <v>0</v>
      </c>
      <c r="O96" s="91">
        <f>SUMIFS(tabela_registros[VALOR],tabela_registros[MÊS],$AE$1,tabela_registros[DIA],receitasvariáveisconsolidadonov[[#Headers],[11]],tabela_registros[REGISTRO],DADOS!$N$3,tabela_registros[TIPO],DADOS!$V$4,tabela_registros[CATEGORIA],receitasvariáveisconsolidadonov[[#This Row],[ATUAL]])</f>
        <v>0</v>
      </c>
      <c r="P96" s="91">
        <f>SUMIFS(tabela_registros[VALOR],tabela_registros[MÊS],$AE$1,tabela_registros[DIA],receitasvariáveisconsolidadonov[[#Headers],[12]],tabela_registros[REGISTRO],DADOS!$N$3,tabela_registros[TIPO],DADOS!$V$4,tabela_registros[CATEGORIA],receitasvariáveisconsolidadonov[[#This Row],[ATUAL]])</f>
        <v>0</v>
      </c>
      <c r="Q96" s="91">
        <f>SUMIFS(tabela_registros[VALOR],tabela_registros[MÊS],$AE$1,tabela_registros[DIA],receitasvariáveisconsolidadonov[[#Headers],[13]],tabela_registros[REGISTRO],DADOS!$N$3,tabela_registros[TIPO],DADOS!$V$4,tabela_registros[CATEGORIA],receitasvariáveisconsolidadonov[[#This Row],[ATUAL]])</f>
        <v>0</v>
      </c>
      <c r="R96" s="91">
        <f>SUMIFS(tabela_registros[VALOR],tabela_registros[MÊS],$AE$1,tabela_registros[DIA],receitasvariáveisconsolidadonov[[#Headers],[14]],tabela_registros[REGISTRO],DADOS!$N$3,tabela_registros[TIPO],DADOS!$V$4,tabela_registros[CATEGORIA],receitasvariáveisconsolidadonov[[#This Row],[ATUAL]])</f>
        <v>0</v>
      </c>
      <c r="S96" s="91">
        <f>SUMIFS(tabela_registros[VALOR],tabela_registros[MÊS],$AE$1,tabela_registros[DIA],receitasvariáveisconsolidadonov[[#Headers],[15]],tabela_registros[REGISTRO],DADOS!$N$3,tabela_registros[TIPO],DADOS!$V$4,tabela_registros[CATEGORIA],receitasvariáveisconsolidadonov[[#This Row],[ATUAL]])</f>
        <v>0</v>
      </c>
      <c r="T96" s="91">
        <f>SUMIFS(tabela_registros[VALOR],tabela_registros[MÊS],$AE$1,tabela_registros[DIA],receitasvariáveisconsolidadonov[[#Headers],[16]],tabela_registros[REGISTRO],DADOS!$N$3,tabela_registros[TIPO],DADOS!$V$4,tabela_registros[CATEGORIA],receitasvariáveisconsolidadonov[[#This Row],[ATUAL]])</f>
        <v>0</v>
      </c>
      <c r="U96" s="91">
        <f>SUMIFS(tabela_registros[VALOR],tabela_registros[MÊS],$AE$1,tabela_registros[DIA],receitasvariáveisconsolidadonov[[#Headers],[17]],tabela_registros[REGISTRO],DADOS!$N$3,tabela_registros[TIPO],DADOS!$V$4,tabela_registros[CATEGORIA],receitasvariáveisconsolidadonov[[#This Row],[ATUAL]])</f>
        <v>0</v>
      </c>
      <c r="V96" s="91">
        <f>SUMIFS(tabela_registros[VALOR],tabela_registros[MÊS],$AE$1,tabela_registros[DIA],receitasvariáveisconsolidadonov[[#Headers],[18]],tabela_registros[REGISTRO],DADOS!$N$3,tabela_registros[TIPO],DADOS!$V$4,tabela_registros[CATEGORIA],receitasvariáveisconsolidadonov[[#This Row],[ATUAL]])</f>
        <v>0</v>
      </c>
      <c r="W96" s="91">
        <f>SUMIFS(tabela_registros[VALOR],tabela_registros[MÊS],$AE$1,tabela_registros[DIA],receitasvariáveisconsolidadonov[[#Headers],[19]],tabela_registros[REGISTRO],DADOS!$N$3,tabela_registros[TIPO],DADOS!$V$4,tabela_registros[CATEGORIA],receitasvariáveisconsolidadonov[[#This Row],[ATUAL]])</f>
        <v>0</v>
      </c>
      <c r="X96" s="91">
        <f>SUMIFS(tabela_registros[VALOR],tabela_registros[MÊS],$AE$1,tabela_registros[DIA],receitasvariáveisconsolidadonov[[#Headers],[20]],tabela_registros[REGISTRO],DADOS!$N$3,tabela_registros[TIPO],DADOS!$V$4,tabela_registros[CATEGORIA],receitasvariáveisconsolidadonov[[#This Row],[ATUAL]])</f>
        <v>0</v>
      </c>
      <c r="Y96" s="91">
        <f>SUMIFS(tabela_registros[VALOR],tabela_registros[MÊS],$AE$1,tabela_registros[DIA],receitasvariáveisconsolidadonov[[#Headers],[21]],tabela_registros[REGISTRO],DADOS!$N$3,tabela_registros[TIPO],DADOS!$V$4,tabela_registros[CATEGORIA],receitasvariáveisconsolidadonov[[#This Row],[ATUAL]])</f>
        <v>0</v>
      </c>
      <c r="Z96" s="91">
        <f>SUMIFS(tabela_registros[VALOR],tabela_registros[MÊS],$AE$1,tabela_registros[DIA],receitasvariáveisconsolidadonov[[#Headers],[22]],tabela_registros[REGISTRO],DADOS!$N$3,tabela_registros[TIPO],DADOS!$V$4,tabela_registros[CATEGORIA],receitasvariáveisconsolidadonov[[#This Row],[ATUAL]])</f>
        <v>0</v>
      </c>
      <c r="AA96" s="91">
        <f>SUMIFS(tabela_registros[VALOR],tabela_registros[MÊS],$AE$1,tabela_registros[DIA],receitasvariáveisconsolidadonov[[#Headers],[23]],tabela_registros[REGISTRO],DADOS!$N$3,tabela_registros[TIPO],DADOS!$V$4,tabela_registros[CATEGORIA],receitasvariáveisconsolidadonov[[#This Row],[ATUAL]])</f>
        <v>0</v>
      </c>
      <c r="AB96" s="91">
        <f>SUMIFS(tabela_registros[VALOR],tabela_registros[MÊS],$AE$1,tabela_registros[DIA],receitasvariáveisconsolidadonov[[#Headers],[24]],tabela_registros[REGISTRO],DADOS!$N$3,tabela_registros[TIPO],DADOS!$V$4,tabela_registros[CATEGORIA],receitasvariáveisconsolidadonov[[#This Row],[ATUAL]])</f>
        <v>0</v>
      </c>
      <c r="AC96" s="91">
        <f>SUMIFS(tabela_registros[VALOR],tabela_registros[MÊS],$AE$1,tabela_registros[DIA],receitasvariáveisconsolidadonov[[#Headers],[25]],tabela_registros[REGISTRO],DADOS!$N$3,tabela_registros[TIPO],DADOS!$V$4,tabela_registros[CATEGORIA],receitasvariáveisconsolidadonov[[#This Row],[ATUAL]])</f>
        <v>0</v>
      </c>
      <c r="AD96" s="91">
        <f>SUMIFS(tabela_registros[VALOR],tabela_registros[MÊS],$AE$1,tabela_registros[DIA],receitasvariáveisconsolidadonov[[#Headers],[26]],tabela_registros[REGISTRO],DADOS!$N$3,tabela_registros[TIPO],DADOS!$V$4,tabela_registros[CATEGORIA],receitasvariáveisconsolidadonov[[#This Row],[ATUAL]])</f>
        <v>0</v>
      </c>
      <c r="AE96" s="91">
        <f>SUMIFS(tabela_registros[VALOR],tabela_registros[MÊS],$AE$1,tabela_registros[DIA],receitasvariáveisconsolidadonov[[#Headers],[27]],tabela_registros[REGISTRO],DADOS!$N$3,tabela_registros[TIPO],DADOS!$V$4,tabela_registros[CATEGORIA],receitasvariáveisconsolidadonov[[#This Row],[ATUAL]])</f>
        <v>0</v>
      </c>
      <c r="AF96" s="91">
        <f>SUMIFS(tabela_registros[VALOR],tabela_registros[MÊS],$AE$1,tabela_registros[DIA],receitasvariáveisconsolidadonov[[#Headers],[28]],tabela_registros[REGISTRO],DADOS!$N$3,tabela_registros[TIPO],DADOS!$V$4,tabela_registros[CATEGORIA],receitasvariáveisconsolidadonov[[#This Row],[ATUAL]])</f>
        <v>0</v>
      </c>
      <c r="AG96" s="91">
        <f>SUMIFS(tabela_registros[VALOR],tabela_registros[MÊS],$AE$1,tabela_registros[DIA],receitasvariáveisconsolidadonov[[#Headers],[29]],tabela_registros[REGISTRO],DADOS!$N$3,tabela_registros[TIPO],DADOS!$V$4,tabela_registros[CATEGORIA],receitasvariáveisconsolidadonov[[#This Row],[ATUAL]])</f>
        <v>0</v>
      </c>
      <c r="AH96" s="91">
        <f>SUMIFS(tabela_registros[VALOR],tabela_registros[MÊS],$AE$1,tabela_registros[DIA],receitasvariáveisconsolidadonov[[#Headers],[30]],tabela_registros[REGISTRO],DADOS!$N$3,tabela_registros[TIPO],DADOS!$V$4,tabela_registros[CATEGORIA],receitasvariáveisconsolidadonov[[#This Row],[ATUAL]])</f>
        <v>0</v>
      </c>
      <c r="AI96" s="101">
        <f>SUMIFS(tabela_registros[VALOR],tabela_registros[MÊS],$AE$1,tabela_registros[DIA],receitasvariáveisconsolidadonov[[#Headers],[31]],tabela_registros[REGISTRO],DADOS!$N$3,tabela_registros[TIPO],DADOS!$V$4,tabela_registros[CATEGORIA],receitasvariáveisconsolidadonov[[#This Row],[ATUAL]])</f>
        <v>0</v>
      </c>
      <c r="AJ96" s="97">
        <f>SUM(receitasvariáveisconsolidadonov[[#This Row],[1]:[31]])</f>
        <v>0</v>
      </c>
      <c r="AK96" s="25"/>
    </row>
    <row r="97" spans="2:37" ht="19.5" customHeight="1" thickTop="1" thickBot="1" x14ac:dyDescent="0.3">
      <c r="B97" s="28"/>
      <c r="C97" s="27" t="str">
        <f>DADOS!$Z$4</f>
        <v>🤑 COMISSÃO</v>
      </c>
      <c r="D97" s="26" t="str">
        <f>IF(receitasvariáveisconsolidadonov[[#This Row],[TOTAL (R$)]]=0,"",IF(OR(receitasvariáveisconsolidadonov[[#This Row],[TOTAL (R$)]]=LARGE($AJ$96:$AJ$103,1),receitasvariáveisconsolidadonov[[#This Row],[TOTAL (R$)]]=LARGE($AJ$96:$AJ$103,2)),DADOS!$I$9,""))</f>
        <v/>
      </c>
      <c r="E97" s="96">
        <f>SUMIFS(tabela_registros[VALOR],tabela_registros[MÊS],$AE$1,tabela_registros[DIA],receitasvariáveisconsolidadonov[[#Headers],[1]],tabela_registros[REGISTRO],DADOS!$N$3,tabela_registros[TIPO],DADOS!$V$4,tabela_registros[CATEGORIA],receitasvariáveisconsolidadonov[[#This Row],[ATUAL]])</f>
        <v>0</v>
      </c>
      <c r="F97" s="91">
        <f>SUMIFS(tabela_registros[VALOR],tabela_registros[MÊS],$AE$1,tabela_registros[DIA],receitasvariáveisconsolidadonov[[#Headers],[2]],tabela_registros[REGISTRO],DADOS!$N$3,tabela_registros[TIPO],DADOS!$V$4,tabela_registros[CATEGORIA],receitasvariáveisconsolidadonov[[#This Row],[ATUAL]])</f>
        <v>0</v>
      </c>
      <c r="G97" s="91">
        <f>SUMIFS(tabela_registros[VALOR],tabela_registros[MÊS],$AE$1,tabela_registros[DIA],receitasvariáveisconsolidadonov[[#Headers],[3]],tabela_registros[REGISTRO],DADOS!$N$3,tabela_registros[TIPO],DADOS!$V$4,tabela_registros[CATEGORIA],receitasvariáveisconsolidadonov[[#This Row],[ATUAL]])</f>
        <v>0</v>
      </c>
      <c r="H97" s="91">
        <f>SUMIFS(tabela_registros[VALOR],tabela_registros[MÊS],$AE$1,tabela_registros[DIA],receitasvariáveisconsolidadonov[[#Headers],[4]],tabela_registros[REGISTRO],DADOS!$N$3,tabela_registros[TIPO],DADOS!$V$4,tabela_registros[CATEGORIA],receitasvariáveisconsolidadonov[[#This Row],[ATUAL]])</f>
        <v>0</v>
      </c>
      <c r="I97" s="91">
        <f>SUMIFS(tabela_registros[VALOR],tabela_registros[MÊS],$AE$1,tabela_registros[DIA],receitasvariáveisconsolidadonov[[#Headers],[5]],tabela_registros[REGISTRO],DADOS!$N$3,tabela_registros[TIPO],DADOS!$V$4,tabela_registros[CATEGORIA],receitasvariáveisconsolidadonov[[#This Row],[ATUAL]])</f>
        <v>0</v>
      </c>
      <c r="J97" s="91">
        <f>SUMIFS(tabela_registros[VALOR],tabela_registros[MÊS],$AE$1,tabela_registros[DIA],receitasvariáveisconsolidadonov[[#Headers],[6]],tabela_registros[REGISTRO],DADOS!$N$3,tabela_registros[TIPO],DADOS!$V$4,tabela_registros[CATEGORIA],receitasvariáveisconsolidadonov[[#This Row],[ATUAL]])</f>
        <v>0</v>
      </c>
      <c r="K97" s="91">
        <f>SUMIFS(tabela_registros[VALOR],tabela_registros[MÊS],$AE$1,tabela_registros[DIA],receitasvariáveisconsolidadonov[[#Headers],[7]],tabela_registros[REGISTRO],DADOS!$N$3,tabela_registros[TIPO],DADOS!$V$4,tabela_registros[CATEGORIA],receitasvariáveisconsolidadonov[[#This Row],[ATUAL]])</f>
        <v>0</v>
      </c>
      <c r="L97" s="91">
        <f>SUMIFS(tabela_registros[VALOR],tabela_registros[MÊS],$AE$1,tabela_registros[DIA],receitasvariáveisconsolidadonov[[#Headers],[8]],tabela_registros[REGISTRO],DADOS!$N$3,tabela_registros[TIPO],DADOS!$V$4,tabela_registros[CATEGORIA],receitasvariáveisconsolidadonov[[#This Row],[ATUAL]])</f>
        <v>0</v>
      </c>
      <c r="M97" s="91">
        <f>SUMIFS(tabela_registros[VALOR],tabela_registros[MÊS],$AE$1,tabela_registros[DIA],receitasvariáveisconsolidadonov[[#Headers],[9]],tabela_registros[REGISTRO],DADOS!$N$3,tabela_registros[TIPO],DADOS!$V$4,tabela_registros[CATEGORIA],receitasvariáveisconsolidadonov[[#This Row],[ATUAL]])</f>
        <v>0</v>
      </c>
      <c r="N97" s="91">
        <f>SUMIFS(tabela_registros[VALOR],tabela_registros[MÊS],$AE$1,tabela_registros[DIA],receitasvariáveisconsolidadonov[[#Headers],[10]],tabela_registros[REGISTRO],DADOS!$N$3,tabela_registros[TIPO],DADOS!$V$4,tabela_registros[CATEGORIA],receitasvariáveisconsolidadonov[[#This Row],[ATUAL]])</f>
        <v>0</v>
      </c>
      <c r="O97" s="91">
        <f>SUMIFS(tabela_registros[VALOR],tabela_registros[MÊS],$AE$1,tabela_registros[DIA],receitasvariáveisconsolidadonov[[#Headers],[11]],tabela_registros[REGISTRO],DADOS!$N$3,tabela_registros[TIPO],DADOS!$V$4,tabela_registros[CATEGORIA],receitasvariáveisconsolidadonov[[#This Row],[ATUAL]])</f>
        <v>0</v>
      </c>
      <c r="P97" s="91">
        <f>SUMIFS(tabela_registros[VALOR],tabela_registros[MÊS],$AE$1,tabela_registros[DIA],receitasvariáveisconsolidadonov[[#Headers],[12]],tabela_registros[REGISTRO],DADOS!$N$3,tabela_registros[TIPO],DADOS!$V$4,tabela_registros[CATEGORIA],receitasvariáveisconsolidadonov[[#This Row],[ATUAL]])</f>
        <v>0</v>
      </c>
      <c r="Q97" s="91">
        <f>SUMIFS(tabela_registros[VALOR],tabela_registros[MÊS],$AE$1,tabela_registros[DIA],receitasvariáveisconsolidadonov[[#Headers],[13]],tabela_registros[REGISTRO],DADOS!$N$3,tabela_registros[TIPO],DADOS!$V$4,tabela_registros[CATEGORIA],receitasvariáveisconsolidadonov[[#This Row],[ATUAL]])</f>
        <v>0</v>
      </c>
      <c r="R97" s="91">
        <f>SUMIFS(tabela_registros[VALOR],tabela_registros[MÊS],$AE$1,tabela_registros[DIA],receitasvariáveisconsolidadonov[[#Headers],[14]],tabela_registros[REGISTRO],DADOS!$N$3,tabela_registros[TIPO],DADOS!$V$4,tabela_registros[CATEGORIA],receitasvariáveisconsolidadonov[[#This Row],[ATUAL]])</f>
        <v>0</v>
      </c>
      <c r="S97" s="91">
        <f>SUMIFS(tabela_registros[VALOR],tabela_registros[MÊS],$AE$1,tabela_registros[DIA],receitasvariáveisconsolidadonov[[#Headers],[15]],tabela_registros[REGISTRO],DADOS!$N$3,tabela_registros[TIPO],DADOS!$V$4,tabela_registros[CATEGORIA],receitasvariáveisconsolidadonov[[#This Row],[ATUAL]])</f>
        <v>0</v>
      </c>
      <c r="T97" s="91">
        <f>SUMIFS(tabela_registros[VALOR],tabela_registros[MÊS],$AE$1,tabela_registros[DIA],receitasvariáveisconsolidadonov[[#Headers],[16]],tabela_registros[REGISTRO],DADOS!$N$3,tabela_registros[TIPO],DADOS!$V$4,tabela_registros[CATEGORIA],receitasvariáveisconsolidadonov[[#This Row],[ATUAL]])</f>
        <v>0</v>
      </c>
      <c r="U97" s="91">
        <f>SUMIFS(tabela_registros[VALOR],tabela_registros[MÊS],$AE$1,tabela_registros[DIA],receitasvariáveisconsolidadonov[[#Headers],[17]],tabela_registros[REGISTRO],DADOS!$N$3,tabela_registros[TIPO],DADOS!$V$4,tabela_registros[CATEGORIA],receitasvariáveisconsolidadonov[[#This Row],[ATUAL]])</f>
        <v>0</v>
      </c>
      <c r="V97" s="91">
        <f>SUMIFS(tabela_registros[VALOR],tabela_registros[MÊS],$AE$1,tabela_registros[DIA],receitasvariáveisconsolidadonov[[#Headers],[18]],tabela_registros[REGISTRO],DADOS!$N$3,tabela_registros[TIPO],DADOS!$V$4,tabela_registros[CATEGORIA],receitasvariáveisconsolidadonov[[#This Row],[ATUAL]])</f>
        <v>0</v>
      </c>
      <c r="W97" s="91">
        <f>SUMIFS(tabela_registros[VALOR],tabela_registros[MÊS],$AE$1,tabela_registros[DIA],receitasvariáveisconsolidadonov[[#Headers],[19]],tabela_registros[REGISTRO],DADOS!$N$3,tabela_registros[TIPO],DADOS!$V$4,tabela_registros[CATEGORIA],receitasvariáveisconsolidadonov[[#This Row],[ATUAL]])</f>
        <v>0</v>
      </c>
      <c r="X97" s="91">
        <f>SUMIFS(tabela_registros[VALOR],tabela_registros[MÊS],$AE$1,tabela_registros[DIA],receitasvariáveisconsolidadonov[[#Headers],[20]],tabela_registros[REGISTRO],DADOS!$N$3,tabela_registros[TIPO],DADOS!$V$4,tabela_registros[CATEGORIA],receitasvariáveisconsolidadonov[[#This Row],[ATUAL]])</f>
        <v>0</v>
      </c>
      <c r="Y97" s="91">
        <f>SUMIFS(tabela_registros[VALOR],tabela_registros[MÊS],$AE$1,tabela_registros[DIA],receitasvariáveisconsolidadonov[[#Headers],[21]],tabela_registros[REGISTRO],DADOS!$N$3,tabela_registros[TIPO],DADOS!$V$4,tabela_registros[CATEGORIA],receitasvariáveisconsolidadonov[[#This Row],[ATUAL]])</f>
        <v>0</v>
      </c>
      <c r="Z97" s="91">
        <f>SUMIFS(tabela_registros[VALOR],tabela_registros[MÊS],$AE$1,tabela_registros[DIA],receitasvariáveisconsolidadonov[[#Headers],[22]],tabela_registros[REGISTRO],DADOS!$N$3,tabela_registros[TIPO],DADOS!$V$4,tabela_registros[CATEGORIA],receitasvariáveisconsolidadonov[[#This Row],[ATUAL]])</f>
        <v>0</v>
      </c>
      <c r="AA97" s="91">
        <f>SUMIFS(tabela_registros[VALOR],tabela_registros[MÊS],$AE$1,tabela_registros[DIA],receitasvariáveisconsolidadonov[[#Headers],[23]],tabela_registros[REGISTRO],DADOS!$N$3,tabela_registros[TIPO],DADOS!$V$4,tabela_registros[CATEGORIA],receitasvariáveisconsolidadonov[[#This Row],[ATUAL]])</f>
        <v>0</v>
      </c>
      <c r="AB97" s="91">
        <f>SUMIFS(tabela_registros[VALOR],tabela_registros[MÊS],$AE$1,tabela_registros[DIA],receitasvariáveisconsolidadonov[[#Headers],[24]],tabela_registros[REGISTRO],DADOS!$N$3,tabela_registros[TIPO],DADOS!$V$4,tabela_registros[CATEGORIA],receitasvariáveisconsolidadonov[[#This Row],[ATUAL]])</f>
        <v>0</v>
      </c>
      <c r="AC97" s="91">
        <f>SUMIFS(tabela_registros[VALOR],tabela_registros[MÊS],$AE$1,tabela_registros[DIA],receitasvariáveisconsolidadonov[[#Headers],[25]],tabela_registros[REGISTRO],DADOS!$N$3,tabela_registros[TIPO],DADOS!$V$4,tabela_registros[CATEGORIA],receitasvariáveisconsolidadonov[[#This Row],[ATUAL]])</f>
        <v>0</v>
      </c>
      <c r="AD97" s="91">
        <f>SUMIFS(tabela_registros[VALOR],tabela_registros[MÊS],$AE$1,tabela_registros[DIA],receitasvariáveisconsolidadonov[[#Headers],[26]],tabela_registros[REGISTRO],DADOS!$N$3,tabela_registros[TIPO],DADOS!$V$4,tabela_registros[CATEGORIA],receitasvariáveisconsolidadonov[[#This Row],[ATUAL]])</f>
        <v>0</v>
      </c>
      <c r="AE97" s="91">
        <f>SUMIFS(tabela_registros[VALOR],tabela_registros[MÊS],$AE$1,tabela_registros[DIA],receitasvariáveisconsolidadonov[[#Headers],[27]],tabela_registros[REGISTRO],DADOS!$N$3,tabela_registros[TIPO],DADOS!$V$4,tabela_registros[CATEGORIA],receitasvariáveisconsolidadonov[[#This Row],[ATUAL]])</f>
        <v>0</v>
      </c>
      <c r="AF97" s="91">
        <f>SUMIFS(tabela_registros[VALOR],tabela_registros[MÊS],$AE$1,tabela_registros[DIA],receitasvariáveisconsolidadonov[[#Headers],[28]],tabela_registros[REGISTRO],DADOS!$N$3,tabela_registros[TIPO],DADOS!$V$4,tabela_registros[CATEGORIA],receitasvariáveisconsolidadonov[[#This Row],[ATUAL]])</f>
        <v>0</v>
      </c>
      <c r="AG97" s="91">
        <f>SUMIFS(tabela_registros[VALOR],tabela_registros[MÊS],$AE$1,tabela_registros[DIA],receitasvariáveisconsolidadonov[[#Headers],[29]],tabela_registros[REGISTRO],DADOS!$N$3,tabela_registros[TIPO],DADOS!$V$4,tabela_registros[CATEGORIA],receitasvariáveisconsolidadonov[[#This Row],[ATUAL]])</f>
        <v>0</v>
      </c>
      <c r="AH97" s="91">
        <f>SUMIFS(tabela_registros[VALOR],tabela_registros[MÊS],$AE$1,tabela_registros[DIA],receitasvariáveisconsolidadonov[[#Headers],[30]],tabela_registros[REGISTRO],DADOS!$N$3,tabela_registros[TIPO],DADOS!$V$4,tabela_registros[CATEGORIA],receitasvariáveisconsolidadonov[[#This Row],[ATUAL]])</f>
        <v>0</v>
      </c>
      <c r="AI97" s="101">
        <f>SUMIFS(tabela_registros[VALOR],tabela_registros[MÊS],$AE$1,tabela_registros[DIA],receitasvariáveisconsolidadonov[[#Headers],[31]],tabela_registros[REGISTRO],DADOS!$N$3,tabela_registros[TIPO],DADOS!$V$4,tabela_registros[CATEGORIA],receitasvariáveisconsolidadonov[[#This Row],[ATUAL]])</f>
        <v>0</v>
      </c>
      <c r="AJ97" s="97">
        <f>SUM(receitasvariáveisconsolidadonov[[#This Row],[1]:[31]])</f>
        <v>0</v>
      </c>
      <c r="AK97" s="25"/>
    </row>
    <row r="98" spans="2:37" ht="19.5" customHeight="1" thickTop="1" thickBot="1" x14ac:dyDescent="0.3">
      <c r="B98" s="28"/>
      <c r="C98" s="27" t="str">
        <f>DADOS!$Z$5</f>
        <v>🎗️ HERANÇA</v>
      </c>
      <c r="D98" s="26" t="str">
        <f>IF(receitasvariáveisconsolidadonov[[#This Row],[TOTAL (R$)]]=0,"",IF(OR(receitasvariáveisconsolidadonov[[#This Row],[TOTAL (R$)]]=LARGE($AJ$96:$AJ$103,1),receitasvariáveisconsolidadonov[[#This Row],[TOTAL (R$)]]=LARGE($AJ$96:$AJ$103,2)),DADOS!$I$9,""))</f>
        <v/>
      </c>
      <c r="E98" s="96">
        <f>SUMIFS(tabela_registros[VALOR],tabela_registros[MÊS],$AE$1,tabela_registros[DIA],receitasvariáveisconsolidadonov[[#Headers],[1]],tabela_registros[REGISTRO],DADOS!$N$3,tabela_registros[TIPO],DADOS!$V$4,tabela_registros[CATEGORIA],receitasvariáveisconsolidadonov[[#This Row],[ATUAL]])</f>
        <v>0</v>
      </c>
      <c r="F98" s="91">
        <f>SUMIFS(tabela_registros[VALOR],tabela_registros[MÊS],$AE$1,tabela_registros[DIA],receitasvariáveisconsolidadonov[[#Headers],[2]],tabela_registros[REGISTRO],DADOS!$N$3,tabela_registros[TIPO],DADOS!$V$4,tabela_registros[CATEGORIA],receitasvariáveisconsolidadonov[[#This Row],[ATUAL]])</f>
        <v>0</v>
      </c>
      <c r="G98" s="91">
        <f>SUMIFS(tabela_registros[VALOR],tabela_registros[MÊS],$AE$1,tabela_registros[DIA],receitasvariáveisconsolidadonov[[#Headers],[3]],tabela_registros[REGISTRO],DADOS!$N$3,tabela_registros[TIPO],DADOS!$V$4,tabela_registros[CATEGORIA],receitasvariáveisconsolidadonov[[#This Row],[ATUAL]])</f>
        <v>0</v>
      </c>
      <c r="H98" s="91">
        <f>SUMIFS(tabela_registros[VALOR],tabela_registros[MÊS],$AE$1,tabela_registros[DIA],receitasvariáveisconsolidadonov[[#Headers],[4]],tabela_registros[REGISTRO],DADOS!$N$3,tabela_registros[TIPO],DADOS!$V$4,tabela_registros[CATEGORIA],receitasvariáveisconsolidadonov[[#This Row],[ATUAL]])</f>
        <v>0</v>
      </c>
      <c r="I98" s="91">
        <f>SUMIFS(tabela_registros[VALOR],tabela_registros[MÊS],$AE$1,tabela_registros[DIA],receitasvariáveisconsolidadonov[[#Headers],[5]],tabela_registros[REGISTRO],DADOS!$N$3,tabela_registros[TIPO],DADOS!$V$4,tabela_registros[CATEGORIA],receitasvariáveisconsolidadonov[[#This Row],[ATUAL]])</f>
        <v>0</v>
      </c>
      <c r="J98" s="91">
        <f>SUMIFS(tabela_registros[VALOR],tabela_registros[MÊS],$AE$1,tabela_registros[DIA],receitasvariáveisconsolidadonov[[#Headers],[6]],tabela_registros[REGISTRO],DADOS!$N$3,tabela_registros[TIPO],DADOS!$V$4,tabela_registros[CATEGORIA],receitasvariáveisconsolidadonov[[#This Row],[ATUAL]])</f>
        <v>0</v>
      </c>
      <c r="K98" s="91">
        <f>SUMIFS(tabela_registros[VALOR],tabela_registros[MÊS],$AE$1,tabela_registros[DIA],receitasvariáveisconsolidadonov[[#Headers],[7]],tabela_registros[REGISTRO],DADOS!$N$3,tabela_registros[TIPO],DADOS!$V$4,tabela_registros[CATEGORIA],receitasvariáveisconsolidadonov[[#This Row],[ATUAL]])</f>
        <v>0</v>
      </c>
      <c r="L98" s="91">
        <f>SUMIFS(tabela_registros[VALOR],tabela_registros[MÊS],$AE$1,tabela_registros[DIA],receitasvariáveisconsolidadonov[[#Headers],[8]],tabela_registros[REGISTRO],DADOS!$N$3,tabela_registros[TIPO],DADOS!$V$4,tabela_registros[CATEGORIA],receitasvariáveisconsolidadonov[[#This Row],[ATUAL]])</f>
        <v>0</v>
      </c>
      <c r="M98" s="91">
        <f>SUMIFS(tabela_registros[VALOR],tabela_registros[MÊS],$AE$1,tabela_registros[DIA],receitasvariáveisconsolidadonov[[#Headers],[9]],tabela_registros[REGISTRO],DADOS!$N$3,tabela_registros[TIPO],DADOS!$V$4,tabela_registros[CATEGORIA],receitasvariáveisconsolidadonov[[#This Row],[ATUAL]])</f>
        <v>0</v>
      </c>
      <c r="N98" s="91">
        <f>SUMIFS(tabela_registros[VALOR],tabela_registros[MÊS],$AE$1,tabela_registros[DIA],receitasvariáveisconsolidadonov[[#Headers],[10]],tabela_registros[REGISTRO],DADOS!$N$3,tabela_registros[TIPO],DADOS!$V$4,tabela_registros[CATEGORIA],receitasvariáveisconsolidadonov[[#This Row],[ATUAL]])</f>
        <v>0</v>
      </c>
      <c r="O98" s="91">
        <f>SUMIFS(tabela_registros[VALOR],tabela_registros[MÊS],$AE$1,tabela_registros[DIA],receitasvariáveisconsolidadonov[[#Headers],[11]],tabela_registros[REGISTRO],DADOS!$N$3,tabela_registros[TIPO],DADOS!$V$4,tabela_registros[CATEGORIA],receitasvariáveisconsolidadonov[[#This Row],[ATUAL]])</f>
        <v>0</v>
      </c>
      <c r="P98" s="91">
        <f>SUMIFS(tabela_registros[VALOR],tabela_registros[MÊS],$AE$1,tabela_registros[DIA],receitasvariáveisconsolidadonov[[#Headers],[12]],tabela_registros[REGISTRO],DADOS!$N$3,tabela_registros[TIPO],DADOS!$V$4,tabela_registros[CATEGORIA],receitasvariáveisconsolidadonov[[#This Row],[ATUAL]])</f>
        <v>0</v>
      </c>
      <c r="Q98" s="91">
        <f>SUMIFS(tabela_registros[VALOR],tabela_registros[MÊS],$AE$1,tabela_registros[DIA],receitasvariáveisconsolidadonov[[#Headers],[13]],tabela_registros[REGISTRO],DADOS!$N$3,tabela_registros[TIPO],DADOS!$V$4,tabela_registros[CATEGORIA],receitasvariáveisconsolidadonov[[#This Row],[ATUAL]])</f>
        <v>0</v>
      </c>
      <c r="R98" s="91">
        <f>SUMIFS(tabela_registros[VALOR],tabela_registros[MÊS],$AE$1,tabela_registros[DIA],receitasvariáveisconsolidadonov[[#Headers],[14]],tabela_registros[REGISTRO],DADOS!$N$3,tabela_registros[TIPO],DADOS!$V$4,tabela_registros[CATEGORIA],receitasvariáveisconsolidadonov[[#This Row],[ATUAL]])</f>
        <v>0</v>
      </c>
      <c r="S98" s="91">
        <f>SUMIFS(tabela_registros[VALOR],tabela_registros[MÊS],$AE$1,tabela_registros[DIA],receitasvariáveisconsolidadonov[[#Headers],[15]],tabela_registros[REGISTRO],DADOS!$N$3,tabela_registros[TIPO],DADOS!$V$4,tabela_registros[CATEGORIA],receitasvariáveisconsolidadonov[[#This Row],[ATUAL]])</f>
        <v>0</v>
      </c>
      <c r="T98" s="91">
        <f>SUMIFS(tabela_registros[VALOR],tabela_registros[MÊS],$AE$1,tabela_registros[DIA],receitasvariáveisconsolidadonov[[#Headers],[16]],tabela_registros[REGISTRO],DADOS!$N$3,tabela_registros[TIPO],DADOS!$V$4,tabela_registros[CATEGORIA],receitasvariáveisconsolidadonov[[#This Row],[ATUAL]])</f>
        <v>0</v>
      </c>
      <c r="U98" s="91">
        <f>SUMIFS(tabela_registros[VALOR],tabela_registros[MÊS],$AE$1,tabela_registros[DIA],receitasvariáveisconsolidadonov[[#Headers],[17]],tabela_registros[REGISTRO],DADOS!$N$3,tabela_registros[TIPO],DADOS!$V$4,tabela_registros[CATEGORIA],receitasvariáveisconsolidadonov[[#This Row],[ATUAL]])</f>
        <v>0</v>
      </c>
      <c r="V98" s="91">
        <f>SUMIFS(tabela_registros[VALOR],tabela_registros[MÊS],$AE$1,tabela_registros[DIA],receitasvariáveisconsolidadonov[[#Headers],[18]],tabela_registros[REGISTRO],DADOS!$N$3,tabela_registros[TIPO],DADOS!$V$4,tabela_registros[CATEGORIA],receitasvariáveisconsolidadonov[[#This Row],[ATUAL]])</f>
        <v>0</v>
      </c>
      <c r="W98" s="91">
        <f>SUMIFS(tabela_registros[VALOR],tabela_registros[MÊS],$AE$1,tabela_registros[DIA],receitasvariáveisconsolidadonov[[#Headers],[19]],tabela_registros[REGISTRO],DADOS!$N$3,tabela_registros[TIPO],DADOS!$V$4,tabela_registros[CATEGORIA],receitasvariáveisconsolidadonov[[#This Row],[ATUAL]])</f>
        <v>0</v>
      </c>
      <c r="X98" s="91">
        <f>SUMIFS(tabela_registros[VALOR],tabela_registros[MÊS],$AE$1,tabela_registros[DIA],receitasvariáveisconsolidadonov[[#Headers],[20]],tabela_registros[REGISTRO],DADOS!$N$3,tabela_registros[TIPO],DADOS!$V$4,tabela_registros[CATEGORIA],receitasvariáveisconsolidadonov[[#This Row],[ATUAL]])</f>
        <v>0</v>
      </c>
      <c r="Y98" s="91">
        <f>SUMIFS(tabela_registros[VALOR],tabela_registros[MÊS],$AE$1,tabela_registros[DIA],receitasvariáveisconsolidadonov[[#Headers],[21]],tabela_registros[REGISTRO],DADOS!$N$3,tabela_registros[TIPO],DADOS!$V$4,tabela_registros[CATEGORIA],receitasvariáveisconsolidadonov[[#This Row],[ATUAL]])</f>
        <v>0</v>
      </c>
      <c r="Z98" s="91">
        <f>SUMIFS(tabela_registros[VALOR],tabela_registros[MÊS],$AE$1,tabela_registros[DIA],receitasvariáveisconsolidadonov[[#Headers],[22]],tabela_registros[REGISTRO],DADOS!$N$3,tabela_registros[TIPO],DADOS!$V$4,tabela_registros[CATEGORIA],receitasvariáveisconsolidadonov[[#This Row],[ATUAL]])</f>
        <v>0</v>
      </c>
      <c r="AA98" s="91">
        <f>SUMIFS(tabela_registros[VALOR],tabela_registros[MÊS],$AE$1,tabela_registros[DIA],receitasvariáveisconsolidadonov[[#Headers],[23]],tabela_registros[REGISTRO],DADOS!$N$3,tabela_registros[TIPO],DADOS!$V$4,tabela_registros[CATEGORIA],receitasvariáveisconsolidadonov[[#This Row],[ATUAL]])</f>
        <v>0</v>
      </c>
      <c r="AB98" s="91">
        <f>SUMIFS(tabela_registros[VALOR],tabela_registros[MÊS],$AE$1,tabela_registros[DIA],receitasvariáveisconsolidadonov[[#Headers],[24]],tabela_registros[REGISTRO],DADOS!$N$3,tabela_registros[TIPO],DADOS!$V$4,tabela_registros[CATEGORIA],receitasvariáveisconsolidadonov[[#This Row],[ATUAL]])</f>
        <v>0</v>
      </c>
      <c r="AC98" s="91">
        <f>SUMIFS(tabela_registros[VALOR],tabela_registros[MÊS],$AE$1,tabela_registros[DIA],receitasvariáveisconsolidadonov[[#Headers],[25]],tabela_registros[REGISTRO],DADOS!$N$3,tabela_registros[TIPO],DADOS!$V$4,tabela_registros[CATEGORIA],receitasvariáveisconsolidadonov[[#This Row],[ATUAL]])</f>
        <v>0</v>
      </c>
      <c r="AD98" s="91">
        <f>SUMIFS(tabela_registros[VALOR],tabela_registros[MÊS],$AE$1,tabela_registros[DIA],receitasvariáveisconsolidadonov[[#Headers],[26]],tabela_registros[REGISTRO],DADOS!$N$3,tabela_registros[TIPO],DADOS!$V$4,tabela_registros[CATEGORIA],receitasvariáveisconsolidadonov[[#This Row],[ATUAL]])</f>
        <v>0</v>
      </c>
      <c r="AE98" s="91">
        <f>SUMIFS(tabela_registros[VALOR],tabela_registros[MÊS],$AE$1,tabela_registros[DIA],receitasvariáveisconsolidadonov[[#Headers],[27]],tabela_registros[REGISTRO],DADOS!$N$3,tabela_registros[TIPO],DADOS!$V$4,tabela_registros[CATEGORIA],receitasvariáveisconsolidadonov[[#This Row],[ATUAL]])</f>
        <v>0</v>
      </c>
      <c r="AF98" s="91">
        <f>SUMIFS(tabela_registros[VALOR],tabela_registros[MÊS],$AE$1,tabela_registros[DIA],receitasvariáveisconsolidadonov[[#Headers],[28]],tabela_registros[REGISTRO],DADOS!$N$3,tabela_registros[TIPO],DADOS!$V$4,tabela_registros[CATEGORIA],receitasvariáveisconsolidadonov[[#This Row],[ATUAL]])</f>
        <v>0</v>
      </c>
      <c r="AG98" s="91">
        <f>SUMIFS(tabela_registros[VALOR],tabela_registros[MÊS],$AE$1,tabela_registros[DIA],receitasvariáveisconsolidadonov[[#Headers],[29]],tabela_registros[REGISTRO],DADOS!$N$3,tabela_registros[TIPO],DADOS!$V$4,tabela_registros[CATEGORIA],receitasvariáveisconsolidadonov[[#This Row],[ATUAL]])</f>
        <v>0</v>
      </c>
      <c r="AH98" s="91">
        <f>SUMIFS(tabela_registros[VALOR],tabela_registros[MÊS],$AE$1,tabela_registros[DIA],receitasvariáveisconsolidadonov[[#Headers],[30]],tabela_registros[REGISTRO],DADOS!$N$3,tabela_registros[TIPO],DADOS!$V$4,tabela_registros[CATEGORIA],receitasvariáveisconsolidadonov[[#This Row],[ATUAL]])</f>
        <v>0</v>
      </c>
      <c r="AI98" s="101">
        <f>SUMIFS(tabela_registros[VALOR],tabela_registros[MÊS],$AE$1,tabela_registros[DIA],receitasvariáveisconsolidadonov[[#Headers],[31]],tabela_registros[REGISTRO],DADOS!$N$3,tabela_registros[TIPO],DADOS!$V$4,tabela_registros[CATEGORIA],receitasvariáveisconsolidadonov[[#This Row],[ATUAL]])</f>
        <v>0</v>
      </c>
      <c r="AJ98" s="97">
        <f>SUM(receitasvariáveisconsolidadonov[[#This Row],[1]:[31]])</f>
        <v>0</v>
      </c>
      <c r="AK98" s="25"/>
    </row>
    <row r="99" spans="2:37" ht="19.5" customHeight="1" thickTop="1" thickBot="1" x14ac:dyDescent="0.3">
      <c r="B99" s="28"/>
      <c r="C99" s="27" t="str">
        <f>DADOS!$Z$6</f>
        <v>💲 INVESTIMENTOS</v>
      </c>
      <c r="D99" s="26" t="str">
        <f>IF(receitasvariáveisconsolidadonov[[#This Row],[TOTAL (R$)]]=0,"",IF(OR(receitasvariáveisconsolidadonov[[#This Row],[TOTAL (R$)]]=LARGE($AJ$96:$AJ$103,1),receitasvariáveisconsolidadonov[[#This Row],[TOTAL (R$)]]=LARGE($AJ$96:$AJ$103,2)),DADOS!$I$9,""))</f>
        <v/>
      </c>
      <c r="E99" s="96">
        <f>SUMIFS(tabela_registros[VALOR],tabela_registros[MÊS],$AE$1,tabela_registros[DIA],receitasvariáveisconsolidadonov[[#Headers],[1]],tabela_registros[REGISTRO],DADOS!$N$3,tabela_registros[TIPO],DADOS!$V$4,tabela_registros[CATEGORIA],receitasvariáveisconsolidadonov[[#This Row],[ATUAL]])</f>
        <v>0</v>
      </c>
      <c r="F99" s="91">
        <f>SUMIFS(tabela_registros[VALOR],tabela_registros[MÊS],$AE$1,tabela_registros[DIA],receitasvariáveisconsolidadonov[[#Headers],[2]],tabela_registros[REGISTRO],DADOS!$N$3,tabela_registros[TIPO],DADOS!$V$4,tabela_registros[CATEGORIA],receitasvariáveisconsolidadonov[[#This Row],[ATUAL]])</f>
        <v>0</v>
      </c>
      <c r="G99" s="91">
        <f>SUMIFS(tabela_registros[VALOR],tabela_registros[MÊS],$AE$1,tabela_registros[DIA],receitasvariáveisconsolidadonov[[#Headers],[3]],tabela_registros[REGISTRO],DADOS!$N$3,tabela_registros[TIPO],DADOS!$V$4,tabela_registros[CATEGORIA],receitasvariáveisconsolidadonov[[#This Row],[ATUAL]])</f>
        <v>0</v>
      </c>
      <c r="H99" s="91">
        <f>SUMIFS(tabela_registros[VALOR],tabela_registros[MÊS],$AE$1,tabela_registros[DIA],receitasvariáveisconsolidadonov[[#Headers],[4]],tabela_registros[REGISTRO],DADOS!$N$3,tabela_registros[TIPO],DADOS!$V$4,tabela_registros[CATEGORIA],receitasvariáveisconsolidadonov[[#This Row],[ATUAL]])</f>
        <v>0</v>
      </c>
      <c r="I99" s="91">
        <f>SUMIFS(tabela_registros[VALOR],tabela_registros[MÊS],$AE$1,tabela_registros[DIA],receitasvariáveisconsolidadonov[[#Headers],[5]],tabela_registros[REGISTRO],DADOS!$N$3,tabela_registros[TIPO],DADOS!$V$4,tabela_registros[CATEGORIA],receitasvariáveisconsolidadonov[[#This Row],[ATUAL]])</f>
        <v>0</v>
      </c>
      <c r="J99" s="91">
        <f>SUMIFS(tabela_registros[VALOR],tabela_registros[MÊS],$AE$1,tabela_registros[DIA],receitasvariáveisconsolidadonov[[#Headers],[6]],tabela_registros[REGISTRO],DADOS!$N$3,tabela_registros[TIPO],DADOS!$V$4,tabela_registros[CATEGORIA],receitasvariáveisconsolidadonov[[#This Row],[ATUAL]])</f>
        <v>0</v>
      </c>
      <c r="K99" s="91">
        <f>SUMIFS(tabela_registros[VALOR],tabela_registros[MÊS],$AE$1,tabela_registros[DIA],receitasvariáveisconsolidadonov[[#Headers],[7]],tabela_registros[REGISTRO],DADOS!$N$3,tabela_registros[TIPO],DADOS!$V$4,tabela_registros[CATEGORIA],receitasvariáveisconsolidadonov[[#This Row],[ATUAL]])</f>
        <v>0</v>
      </c>
      <c r="L99" s="91">
        <f>SUMIFS(tabela_registros[VALOR],tabela_registros[MÊS],$AE$1,tabela_registros[DIA],receitasvariáveisconsolidadonov[[#Headers],[8]],tabela_registros[REGISTRO],DADOS!$N$3,tabela_registros[TIPO],DADOS!$V$4,tabela_registros[CATEGORIA],receitasvariáveisconsolidadonov[[#This Row],[ATUAL]])</f>
        <v>0</v>
      </c>
      <c r="M99" s="91">
        <f>SUMIFS(tabela_registros[VALOR],tabela_registros[MÊS],$AE$1,tabela_registros[DIA],receitasvariáveisconsolidadonov[[#Headers],[9]],tabela_registros[REGISTRO],DADOS!$N$3,tabela_registros[TIPO],DADOS!$V$4,tabela_registros[CATEGORIA],receitasvariáveisconsolidadonov[[#This Row],[ATUAL]])</f>
        <v>0</v>
      </c>
      <c r="N99" s="91">
        <f>SUMIFS(tabela_registros[VALOR],tabela_registros[MÊS],$AE$1,tabela_registros[DIA],receitasvariáveisconsolidadonov[[#Headers],[10]],tabela_registros[REGISTRO],DADOS!$N$3,tabela_registros[TIPO],DADOS!$V$4,tabela_registros[CATEGORIA],receitasvariáveisconsolidadonov[[#This Row],[ATUAL]])</f>
        <v>0</v>
      </c>
      <c r="O99" s="91">
        <f>SUMIFS(tabela_registros[VALOR],tabela_registros[MÊS],$AE$1,tabela_registros[DIA],receitasvariáveisconsolidadonov[[#Headers],[11]],tabela_registros[REGISTRO],DADOS!$N$3,tabela_registros[TIPO],DADOS!$V$4,tabela_registros[CATEGORIA],receitasvariáveisconsolidadonov[[#This Row],[ATUAL]])</f>
        <v>0</v>
      </c>
      <c r="P99" s="91">
        <f>SUMIFS(tabela_registros[VALOR],tabela_registros[MÊS],$AE$1,tabela_registros[DIA],receitasvariáveisconsolidadonov[[#Headers],[12]],tabela_registros[REGISTRO],DADOS!$N$3,tabela_registros[TIPO],DADOS!$V$4,tabela_registros[CATEGORIA],receitasvariáveisconsolidadonov[[#This Row],[ATUAL]])</f>
        <v>0</v>
      </c>
      <c r="Q99" s="91">
        <f>SUMIFS(tabela_registros[VALOR],tabela_registros[MÊS],$AE$1,tabela_registros[DIA],receitasvariáveisconsolidadonov[[#Headers],[13]],tabela_registros[REGISTRO],DADOS!$N$3,tabela_registros[TIPO],DADOS!$V$4,tabela_registros[CATEGORIA],receitasvariáveisconsolidadonov[[#This Row],[ATUAL]])</f>
        <v>0</v>
      </c>
      <c r="R99" s="91">
        <f>SUMIFS(tabela_registros[VALOR],tabela_registros[MÊS],$AE$1,tabela_registros[DIA],receitasvariáveisconsolidadonov[[#Headers],[14]],tabela_registros[REGISTRO],DADOS!$N$3,tabela_registros[TIPO],DADOS!$V$4,tabela_registros[CATEGORIA],receitasvariáveisconsolidadonov[[#This Row],[ATUAL]])</f>
        <v>0</v>
      </c>
      <c r="S99" s="91">
        <f>SUMIFS(tabela_registros[VALOR],tabela_registros[MÊS],$AE$1,tabela_registros[DIA],receitasvariáveisconsolidadonov[[#Headers],[15]],tabela_registros[REGISTRO],DADOS!$N$3,tabela_registros[TIPO],DADOS!$V$4,tabela_registros[CATEGORIA],receitasvariáveisconsolidadonov[[#This Row],[ATUAL]])</f>
        <v>0</v>
      </c>
      <c r="T99" s="91">
        <f>SUMIFS(tabela_registros[VALOR],tabela_registros[MÊS],$AE$1,tabela_registros[DIA],receitasvariáveisconsolidadonov[[#Headers],[16]],tabela_registros[REGISTRO],DADOS!$N$3,tabela_registros[TIPO],DADOS!$V$4,tabela_registros[CATEGORIA],receitasvariáveisconsolidadonov[[#This Row],[ATUAL]])</f>
        <v>0</v>
      </c>
      <c r="U99" s="91">
        <f>SUMIFS(tabela_registros[VALOR],tabela_registros[MÊS],$AE$1,tabela_registros[DIA],receitasvariáveisconsolidadonov[[#Headers],[17]],tabela_registros[REGISTRO],DADOS!$N$3,tabela_registros[TIPO],DADOS!$V$4,tabela_registros[CATEGORIA],receitasvariáveisconsolidadonov[[#This Row],[ATUAL]])</f>
        <v>0</v>
      </c>
      <c r="V99" s="91">
        <f>SUMIFS(tabela_registros[VALOR],tabela_registros[MÊS],$AE$1,tabela_registros[DIA],receitasvariáveisconsolidadonov[[#Headers],[18]],tabela_registros[REGISTRO],DADOS!$N$3,tabela_registros[TIPO],DADOS!$V$4,tabela_registros[CATEGORIA],receitasvariáveisconsolidadonov[[#This Row],[ATUAL]])</f>
        <v>0</v>
      </c>
      <c r="W99" s="91">
        <f>SUMIFS(tabela_registros[VALOR],tabela_registros[MÊS],$AE$1,tabela_registros[DIA],receitasvariáveisconsolidadonov[[#Headers],[19]],tabela_registros[REGISTRO],DADOS!$N$3,tabela_registros[TIPO],DADOS!$V$4,tabela_registros[CATEGORIA],receitasvariáveisconsolidadonov[[#This Row],[ATUAL]])</f>
        <v>0</v>
      </c>
      <c r="X99" s="91">
        <f>SUMIFS(tabela_registros[VALOR],tabela_registros[MÊS],$AE$1,tabela_registros[DIA],receitasvariáveisconsolidadonov[[#Headers],[20]],tabela_registros[REGISTRO],DADOS!$N$3,tabela_registros[TIPO],DADOS!$V$4,tabela_registros[CATEGORIA],receitasvariáveisconsolidadonov[[#This Row],[ATUAL]])</f>
        <v>0</v>
      </c>
      <c r="Y99" s="91">
        <f>SUMIFS(tabela_registros[VALOR],tabela_registros[MÊS],$AE$1,tabela_registros[DIA],receitasvariáveisconsolidadonov[[#Headers],[21]],tabela_registros[REGISTRO],DADOS!$N$3,tabela_registros[TIPO],DADOS!$V$4,tabela_registros[CATEGORIA],receitasvariáveisconsolidadonov[[#This Row],[ATUAL]])</f>
        <v>0</v>
      </c>
      <c r="Z99" s="91">
        <f>SUMIFS(tabela_registros[VALOR],tabela_registros[MÊS],$AE$1,tabela_registros[DIA],receitasvariáveisconsolidadonov[[#Headers],[22]],tabela_registros[REGISTRO],DADOS!$N$3,tabela_registros[TIPO],DADOS!$V$4,tabela_registros[CATEGORIA],receitasvariáveisconsolidadonov[[#This Row],[ATUAL]])</f>
        <v>0</v>
      </c>
      <c r="AA99" s="91">
        <f>SUMIFS(tabela_registros[VALOR],tabela_registros[MÊS],$AE$1,tabela_registros[DIA],receitasvariáveisconsolidadonov[[#Headers],[23]],tabela_registros[REGISTRO],DADOS!$N$3,tabela_registros[TIPO],DADOS!$V$4,tabela_registros[CATEGORIA],receitasvariáveisconsolidadonov[[#This Row],[ATUAL]])</f>
        <v>0</v>
      </c>
      <c r="AB99" s="91">
        <f>SUMIFS(tabela_registros[VALOR],tabela_registros[MÊS],$AE$1,tabela_registros[DIA],receitasvariáveisconsolidadonov[[#Headers],[24]],tabela_registros[REGISTRO],DADOS!$N$3,tabela_registros[TIPO],DADOS!$V$4,tabela_registros[CATEGORIA],receitasvariáveisconsolidadonov[[#This Row],[ATUAL]])</f>
        <v>0</v>
      </c>
      <c r="AC99" s="91">
        <f>SUMIFS(tabela_registros[VALOR],tabela_registros[MÊS],$AE$1,tabela_registros[DIA],receitasvariáveisconsolidadonov[[#Headers],[25]],tabela_registros[REGISTRO],DADOS!$N$3,tabela_registros[TIPO],DADOS!$V$4,tabela_registros[CATEGORIA],receitasvariáveisconsolidadonov[[#This Row],[ATUAL]])</f>
        <v>0</v>
      </c>
      <c r="AD99" s="91">
        <f>SUMIFS(tabela_registros[VALOR],tabela_registros[MÊS],$AE$1,tabela_registros[DIA],receitasvariáveisconsolidadonov[[#Headers],[26]],tabela_registros[REGISTRO],DADOS!$N$3,tabela_registros[TIPO],DADOS!$V$4,tabela_registros[CATEGORIA],receitasvariáveisconsolidadonov[[#This Row],[ATUAL]])</f>
        <v>0</v>
      </c>
      <c r="AE99" s="91">
        <f>SUMIFS(tabela_registros[VALOR],tabela_registros[MÊS],$AE$1,tabela_registros[DIA],receitasvariáveisconsolidadonov[[#Headers],[27]],tabela_registros[REGISTRO],DADOS!$N$3,tabela_registros[TIPO],DADOS!$V$4,tabela_registros[CATEGORIA],receitasvariáveisconsolidadonov[[#This Row],[ATUAL]])</f>
        <v>0</v>
      </c>
      <c r="AF99" s="91">
        <f>SUMIFS(tabela_registros[VALOR],tabela_registros[MÊS],$AE$1,tabela_registros[DIA],receitasvariáveisconsolidadonov[[#Headers],[28]],tabela_registros[REGISTRO],DADOS!$N$3,tabela_registros[TIPO],DADOS!$V$4,tabela_registros[CATEGORIA],receitasvariáveisconsolidadonov[[#This Row],[ATUAL]])</f>
        <v>0</v>
      </c>
      <c r="AG99" s="91">
        <f>SUMIFS(tabela_registros[VALOR],tabela_registros[MÊS],$AE$1,tabela_registros[DIA],receitasvariáveisconsolidadonov[[#Headers],[29]],tabela_registros[REGISTRO],DADOS!$N$3,tabela_registros[TIPO],DADOS!$V$4,tabela_registros[CATEGORIA],receitasvariáveisconsolidadonov[[#This Row],[ATUAL]])</f>
        <v>0</v>
      </c>
      <c r="AH99" s="91">
        <f>SUMIFS(tabela_registros[VALOR],tabela_registros[MÊS],$AE$1,tabela_registros[DIA],receitasvariáveisconsolidadonov[[#Headers],[30]],tabela_registros[REGISTRO],DADOS!$N$3,tabela_registros[TIPO],DADOS!$V$4,tabela_registros[CATEGORIA],receitasvariáveisconsolidadonov[[#This Row],[ATUAL]])</f>
        <v>0</v>
      </c>
      <c r="AI99" s="101">
        <f>SUMIFS(tabela_registros[VALOR],tabela_registros[MÊS],$AE$1,tabela_registros[DIA],receitasvariáveisconsolidadonov[[#Headers],[31]],tabela_registros[REGISTRO],DADOS!$N$3,tabela_registros[TIPO],DADOS!$V$4,tabela_registros[CATEGORIA],receitasvariáveisconsolidadonov[[#This Row],[ATUAL]])</f>
        <v>0</v>
      </c>
      <c r="AJ99" s="97">
        <f>SUM(receitasvariáveisconsolidadonov[[#This Row],[1]:[31]])</f>
        <v>0</v>
      </c>
      <c r="AK99" s="25"/>
    </row>
    <row r="100" spans="2:37" ht="19.5" customHeight="1" thickTop="1" thickBot="1" x14ac:dyDescent="0.3">
      <c r="B100" s="28"/>
      <c r="C100" s="27" t="str">
        <f>DADOS!$Z$7</f>
        <v>🧾 NOTA DE SERVIÇO</v>
      </c>
      <c r="D100" s="26" t="str">
        <f>IF(receitasvariáveisconsolidadonov[[#This Row],[TOTAL (R$)]]=0,"",IF(OR(receitasvariáveisconsolidadonov[[#This Row],[TOTAL (R$)]]=LARGE($AJ$96:$AJ$103,1),receitasvariáveisconsolidadonov[[#This Row],[TOTAL (R$)]]=LARGE($AJ$96:$AJ$103,2)),DADOS!$I$9,""))</f>
        <v/>
      </c>
      <c r="E100" s="96">
        <f>SUMIFS(tabela_registros[VALOR],tabela_registros[MÊS],$AE$1,tabela_registros[DIA],receitasvariáveisconsolidadonov[[#Headers],[1]],tabela_registros[REGISTRO],DADOS!$N$3,tabela_registros[TIPO],DADOS!$V$4,tabela_registros[CATEGORIA],receitasvariáveisconsolidadonov[[#This Row],[ATUAL]])</f>
        <v>0</v>
      </c>
      <c r="F100" s="91">
        <f>SUMIFS(tabela_registros[VALOR],tabela_registros[MÊS],$AE$1,tabela_registros[DIA],receitasvariáveisconsolidadonov[[#Headers],[2]],tabela_registros[REGISTRO],DADOS!$N$3,tabela_registros[TIPO],DADOS!$V$4,tabela_registros[CATEGORIA],receitasvariáveisconsolidadonov[[#This Row],[ATUAL]])</f>
        <v>0</v>
      </c>
      <c r="G100" s="91">
        <f>SUMIFS(tabela_registros[VALOR],tabela_registros[MÊS],$AE$1,tabela_registros[DIA],receitasvariáveisconsolidadonov[[#Headers],[3]],tabela_registros[REGISTRO],DADOS!$N$3,tabela_registros[TIPO],DADOS!$V$4,tabela_registros[CATEGORIA],receitasvariáveisconsolidadonov[[#This Row],[ATUAL]])</f>
        <v>0</v>
      </c>
      <c r="H100" s="91">
        <f>SUMIFS(tabela_registros[VALOR],tabela_registros[MÊS],$AE$1,tabela_registros[DIA],receitasvariáveisconsolidadonov[[#Headers],[4]],tabela_registros[REGISTRO],DADOS!$N$3,tabela_registros[TIPO],DADOS!$V$4,tabela_registros[CATEGORIA],receitasvariáveisconsolidadonov[[#This Row],[ATUAL]])</f>
        <v>0</v>
      </c>
      <c r="I100" s="91">
        <f>SUMIFS(tabela_registros[VALOR],tabela_registros[MÊS],$AE$1,tabela_registros[DIA],receitasvariáveisconsolidadonov[[#Headers],[5]],tabela_registros[REGISTRO],DADOS!$N$3,tabela_registros[TIPO],DADOS!$V$4,tabela_registros[CATEGORIA],receitasvariáveisconsolidadonov[[#This Row],[ATUAL]])</f>
        <v>0</v>
      </c>
      <c r="J100" s="91">
        <f>SUMIFS(tabela_registros[VALOR],tabela_registros[MÊS],$AE$1,tabela_registros[DIA],receitasvariáveisconsolidadonov[[#Headers],[6]],tabela_registros[REGISTRO],DADOS!$N$3,tabela_registros[TIPO],DADOS!$V$4,tabela_registros[CATEGORIA],receitasvariáveisconsolidadonov[[#This Row],[ATUAL]])</f>
        <v>0</v>
      </c>
      <c r="K100" s="91">
        <f>SUMIFS(tabela_registros[VALOR],tabela_registros[MÊS],$AE$1,tabela_registros[DIA],receitasvariáveisconsolidadonov[[#Headers],[7]],tabela_registros[REGISTRO],DADOS!$N$3,tabela_registros[TIPO],DADOS!$V$4,tabela_registros[CATEGORIA],receitasvariáveisconsolidadonov[[#This Row],[ATUAL]])</f>
        <v>0</v>
      </c>
      <c r="L100" s="91">
        <f>SUMIFS(tabela_registros[VALOR],tabela_registros[MÊS],$AE$1,tabela_registros[DIA],receitasvariáveisconsolidadonov[[#Headers],[8]],tabela_registros[REGISTRO],DADOS!$N$3,tabela_registros[TIPO],DADOS!$V$4,tabela_registros[CATEGORIA],receitasvariáveisconsolidadonov[[#This Row],[ATUAL]])</f>
        <v>0</v>
      </c>
      <c r="M100" s="91">
        <f>SUMIFS(tabela_registros[VALOR],tabela_registros[MÊS],$AE$1,tabela_registros[DIA],receitasvariáveisconsolidadonov[[#Headers],[9]],tabela_registros[REGISTRO],DADOS!$N$3,tabela_registros[TIPO],DADOS!$V$4,tabela_registros[CATEGORIA],receitasvariáveisconsolidadonov[[#This Row],[ATUAL]])</f>
        <v>0</v>
      </c>
      <c r="N100" s="91">
        <f>SUMIFS(tabela_registros[VALOR],tabela_registros[MÊS],$AE$1,tabela_registros[DIA],receitasvariáveisconsolidadonov[[#Headers],[10]],tabela_registros[REGISTRO],DADOS!$N$3,tabela_registros[TIPO],DADOS!$V$4,tabela_registros[CATEGORIA],receitasvariáveisconsolidadonov[[#This Row],[ATUAL]])</f>
        <v>0</v>
      </c>
      <c r="O100" s="91">
        <f>SUMIFS(tabela_registros[VALOR],tabela_registros[MÊS],$AE$1,tabela_registros[DIA],receitasvariáveisconsolidadonov[[#Headers],[11]],tabela_registros[REGISTRO],DADOS!$N$3,tabela_registros[TIPO],DADOS!$V$4,tabela_registros[CATEGORIA],receitasvariáveisconsolidadonov[[#This Row],[ATUAL]])</f>
        <v>0</v>
      </c>
      <c r="P100" s="91">
        <f>SUMIFS(tabela_registros[VALOR],tabela_registros[MÊS],$AE$1,tabela_registros[DIA],receitasvariáveisconsolidadonov[[#Headers],[12]],tabela_registros[REGISTRO],DADOS!$N$3,tabela_registros[TIPO],DADOS!$V$4,tabela_registros[CATEGORIA],receitasvariáveisconsolidadonov[[#This Row],[ATUAL]])</f>
        <v>0</v>
      </c>
      <c r="Q100" s="91">
        <f>SUMIFS(tabela_registros[VALOR],tabela_registros[MÊS],$AE$1,tabela_registros[DIA],receitasvariáveisconsolidadonov[[#Headers],[13]],tabela_registros[REGISTRO],DADOS!$N$3,tabela_registros[TIPO],DADOS!$V$4,tabela_registros[CATEGORIA],receitasvariáveisconsolidadonov[[#This Row],[ATUAL]])</f>
        <v>0</v>
      </c>
      <c r="R100" s="91">
        <f>SUMIFS(tabela_registros[VALOR],tabela_registros[MÊS],$AE$1,tabela_registros[DIA],receitasvariáveisconsolidadonov[[#Headers],[14]],tabela_registros[REGISTRO],DADOS!$N$3,tabela_registros[TIPO],DADOS!$V$4,tabela_registros[CATEGORIA],receitasvariáveisconsolidadonov[[#This Row],[ATUAL]])</f>
        <v>0</v>
      </c>
      <c r="S100" s="91">
        <f>SUMIFS(tabela_registros[VALOR],tabela_registros[MÊS],$AE$1,tabela_registros[DIA],receitasvariáveisconsolidadonov[[#Headers],[15]],tabela_registros[REGISTRO],DADOS!$N$3,tabela_registros[TIPO],DADOS!$V$4,tabela_registros[CATEGORIA],receitasvariáveisconsolidadonov[[#This Row],[ATUAL]])</f>
        <v>0</v>
      </c>
      <c r="T100" s="91">
        <f>SUMIFS(tabela_registros[VALOR],tabela_registros[MÊS],$AE$1,tabela_registros[DIA],receitasvariáveisconsolidadonov[[#Headers],[16]],tabela_registros[REGISTRO],DADOS!$N$3,tabela_registros[TIPO],DADOS!$V$4,tabela_registros[CATEGORIA],receitasvariáveisconsolidadonov[[#This Row],[ATUAL]])</f>
        <v>0</v>
      </c>
      <c r="U100" s="91">
        <f>SUMIFS(tabela_registros[VALOR],tabela_registros[MÊS],$AE$1,tabela_registros[DIA],receitasvariáveisconsolidadonov[[#Headers],[17]],tabela_registros[REGISTRO],DADOS!$N$3,tabela_registros[TIPO],DADOS!$V$4,tabela_registros[CATEGORIA],receitasvariáveisconsolidadonov[[#This Row],[ATUAL]])</f>
        <v>0</v>
      </c>
      <c r="V100" s="91">
        <f>SUMIFS(tabela_registros[VALOR],tabela_registros[MÊS],$AE$1,tabela_registros[DIA],receitasvariáveisconsolidadonov[[#Headers],[18]],tabela_registros[REGISTRO],DADOS!$N$3,tabela_registros[TIPO],DADOS!$V$4,tabela_registros[CATEGORIA],receitasvariáveisconsolidadonov[[#This Row],[ATUAL]])</f>
        <v>0</v>
      </c>
      <c r="W100" s="91">
        <f>SUMIFS(tabela_registros[VALOR],tabela_registros[MÊS],$AE$1,tabela_registros[DIA],receitasvariáveisconsolidadonov[[#Headers],[19]],tabela_registros[REGISTRO],DADOS!$N$3,tabela_registros[TIPO],DADOS!$V$4,tabela_registros[CATEGORIA],receitasvariáveisconsolidadonov[[#This Row],[ATUAL]])</f>
        <v>0</v>
      </c>
      <c r="X100" s="91">
        <f>SUMIFS(tabela_registros[VALOR],tabela_registros[MÊS],$AE$1,tabela_registros[DIA],receitasvariáveisconsolidadonov[[#Headers],[20]],tabela_registros[REGISTRO],DADOS!$N$3,tabela_registros[TIPO],DADOS!$V$4,tabela_registros[CATEGORIA],receitasvariáveisconsolidadonov[[#This Row],[ATUAL]])</f>
        <v>0</v>
      </c>
      <c r="Y100" s="91">
        <f>SUMIFS(tabela_registros[VALOR],tabela_registros[MÊS],$AE$1,tabela_registros[DIA],receitasvariáveisconsolidadonov[[#Headers],[21]],tabela_registros[REGISTRO],DADOS!$N$3,tabela_registros[TIPO],DADOS!$V$4,tabela_registros[CATEGORIA],receitasvariáveisconsolidadonov[[#This Row],[ATUAL]])</f>
        <v>0</v>
      </c>
      <c r="Z100" s="91">
        <f>SUMIFS(tabela_registros[VALOR],tabela_registros[MÊS],$AE$1,tabela_registros[DIA],receitasvariáveisconsolidadonov[[#Headers],[22]],tabela_registros[REGISTRO],DADOS!$N$3,tabela_registros[TIPO],DADOS!$V$4,tabela_registros[CATEGORIA],receitasvariáveisconsolidadonov[[#This Row],[ATUAL]])</f>
        <v>0</v>
      </c>
      <c r="AA100" s="91">
        <f>SUMIFS(tabela_registros[VALOR],tabela_registros[MÊS],$AE$1,tabela_registros[DIA],receitasvariáveisconsolidadonov[[#Headers],[23]],tabela_registros[REGISTRO],DADOS!$N$3,tabela_registros[TIPO],DADOS!$V$4,tabela_registros[CATEGORIA],receitasvariáveisconsolidadonov[[#This Row],[ATUAL]])</f>
        <v>0</v>
      </c>
      <c r="AB100" s="91">
        <f>SUMIFS(tabela_registros[VALOR],tabela_registros[MÊS],$AE$1,tabela_registros[DIA],receitasvariáveisconsolidadonov[[#Headers],[24]],tabela_registros[REGISTRO],DADOS!$N$3,tabela_registros[TIPO],DADOS!$V$4,tabela_registros[CATEGORIA],receitasvariáveisconsolidadonov[[#This Row],[ATUAL]])</f>
        <v>0</v>
      </c>
      <c r="AC100" s="91">
        <f>SUMIFS(tabela_registros[VALOR],tabela_registros[MÊS],$AE$1,tabela_registros[DIA],receitasvariáveisconsolidadonov[[#Headers],[25]],tabela_registros[REGISTRO],DADOS!$N$3,tabela_registros[TIPO],DADOS!$V$4,tabela_registros[CATEGORIA],receitasvariáveisconsolidadonov[[#This Row],[ATUAL]])</f>
        <v>0</v>
      </c>
      <c r="AD100" s="91">
        <f>SUMIFS(tabela_registros[VALOR],tabela_registros[MÊS],$AE$1,tabela_registros[DIA],receitasvariáveisconsolidadonov[[#Headers],[26]],tabela_registros[REGISTRO],DADOS!$N$3,tabela_registros[TIPO],DADOS!$V$4,tabela_registros[CATEGORIA],receitasvariáveisconsolidadonov[[#This Row],[ATUAL]])</f>
        <v>0</v>
      </c>
      <c r="AE100" s="91">
        <f>SUMIFS(tabela_registros[VALOR],tabela_registros[MÊS],$AE$1,tabela_registros[DIA],receitasvariáveisconsolidadonov[[#Headers],[27]],tabela_registros[REGISTRO],DADOS!$N$3,tabela_registros[TIPO],DADOS!$V$4,tabela_registros[CATEGORIA],receitasvariáveisconsolidadonov[[#This Row],[ATUAL]])</f>
        <v>0</v>
      </c>
      <c r="AF100" s="91">
        <f>SUMIFS(tabela_registros[VALOR],tabela_registros[MÊS],$AE$1,tabela_registros[DIA],receitasvariáveisconsolidadonov[[#Headers],[28]],tabela_registros[REGISTRO],DADOS!$N$3,tabela_registros[TIPO],DADOS!$V$4,tabela_registros[CATEGORIA],receitasvariáveisconsolidadonov[[#This Row],[ATUAL]])</f>
        <v>0</v>
      </c>
      <c r="AG100" s="91">
        <f>SUMIFS(tabela_registros[VALOR],tabela_registros[MÊS],$AE$1,tabela_registros[DIA],receitasvariáveisconsolidadonov[[#Headers],[29]],tabela_registros[REGISTRO],DADOS!$N$3,tabela_registros[TIPO],DADOS!$V$4,tabela_registros[CATEGORIA],receitasvariáveisconsolidadonov[[#This Row],[ATUAL]])</f>
        <v>0</v>
      </c>
      <c r="AH100" s="91">
        <f>SUMIFS(tabela_registros[VALOR],tabela_registros[MÊS],$AE$1,tabela_registros[DIA],receitasvariáveisconsolidadonov[[#Headers],[30]],tabela_registros[REGISTRO],DADOS!$N$3,tabela_registros[TIPO],DADOS!$V$4,tabela_registros[CATEGORIA],receitasvariáveisconsolidadonov[[#This Row],[ATUAL]])</f>
        <v>0</v>
      </c>
      <c r="AI100" s="101">
        <f>SUMIFS(tabela_registros[VALOR],tabela_registros[MÊS],$AE$1,tabela_registros[DIA],receitasvariáveisconsolidadonov[[#Headers],[31]],tabela_registros[REGISTRO],DADOS!$N$3,tabela_registros[TIPO],DADOS!$V$4,tabela_registros[CATEGORIA],receitasvariáveisconsolidadonov[[#This Row],[ATUAL]])</f>
        <v>0</v>
      </c>
      <c r="AJ100" s="97">
        <f>SUM(receitasvariáveisconsolidadonov[[#This Row],[1]:[31]])</f>
        <v>0</v>
      </c>
      <c r="AK100" s="25"/>
    </row>
    <row r="101" spans="2:37" ht="19.5" customHeight="1" thickTop="1" thickBot="1" x14ac:dyDescent="0.3">
      <c r="B101" s="28"/>
      <c r="C101" s="27" t="str">
        <f>DADOS!$Z$8</f>
        <v>🎁 PRESENTE</v>
      </c>
      <c r="D101" s="26" t="str">
        <f>IF(receitasvariáveisconsolidadonov[[#This Row],[TOTAL (R$)]]=0,"",IF(OR(receitasvariáveisconsolidadonov[[#This Row],[TOTAL (R$)]]=LARGE($AJ$96:$AJ$103,1),receitasvariáveisconsolidadonov[[#This Row],[TOTAL (R$)]]=LARGE($AJ$96:$AJ$103,2)),DADOS!$I$9,""))</f>
        <v/>
      </c>
      <c r="E101" s="96">
        <f>SUMIFS(tabela_registros[VALOR],tabela_registros[MÊS],$AE$1,tabela_registros[DIA],receitasvariáveisconsolidadonov[[#Headers],[1]],tabela_registros[REGISTRO],DADOS!$N$3,tabela_registros[TIPO],DADOS!$V$4,tabela_registros[CATEGORIA],receitasvariáveisconsolidadonov[[#This Row],[ATUAL]])</f>
        <v>0</v>
      </c>
      <c r="F101" s="91">
        <f>SUMIFS(tabela_registros[VALOR],tabela_registros[MÊS],$AE$1,tabela_registros[DIA],receitasvariáveisconsolidadonov[[#Headers],[2]],tabela_registros[REGISTRO],DADOS!$N$3,tabela_registros[TIPO],DADOS!$V$4,tabela_registros[CATEGORIA],receitasvariáveisconsolidadonov[[#This Row],[ATUAL]])</f>
        <v>0</v>
      </c>
      <c r="G101" s="91">
        <f>SUMIFS(tabela_registros[VALOR],tabela_registros[MÊS],$AE$1,tabela_registros[DIA],receitasvariáveisconsolidadonov[[#Headers],[3]],tabela_registros[REGISTRO],DADOS!$N$3,tabela_registros[TIPO],DADOS!$V$4,tabela_registros[CATEGORIA],receitasvariáveisconsolidadonov[[#This Row],[ATUAL]])</f>
        <v>0</v>
      </c>
      <c r="H101" s="91">
        <f>SUMIFS(tabela_registros[VALOR],tabela_registros[MÊS],$AE$1,tabela_registros[DIA],receitasvariáveisconsolidadonov[[#Headers],[4]],tabela_registros[REGISTRO],DADOS!$N$3,tabela_registros[TIPO],DADOS!$V$4,tabela_registros[CATEGORIA],receitasvariáveisconsolidadonov[[#This Row],[ATUAL]])</f>
        <v>0</v>
      </c>
      <c r="I101" s="91">
        <f>SUMIFS(tabela_registros[VALOR],tabela_registros[MÊS],$AE$1,tabela_registros[DIA],receitasvariáveisconsolidadonov[[#Headers],[5]],tabela_registros[REGISTRO],DADOS!$N$3,tabela_registros[TIPO],DADOS!$V$4,tabela_registros[CATEGORIA],receitasvariáveisconsolidadonov[[#This Row],[ATUAL]])</f>
        <v>0</v>
      </c>
      <c r="J101" s="91">
        <f>SUMIFS(tabela_registros[VALOR],tabela_registros[MÊS],$AE$1,tabela_registros[DIA],receitasvariáveisconsolidadonov[[#Headers],[6]],tabela_registros[REGISTRO],DADOS!$N$3,tabela_registros[TIPO],DADOS!$V$4,tabela_registros[CATEGORIA],receitasvariáveisconsolidadonov[[#This Row],[ATUAL]])</f>
        <v>0</v>
      </c>
      <c r="K101" s="91">
        <f>SUMIFS(tabela_registros[VALOR],tabela_registros[MÊS],$AE$1,tabela_registros[DIA],receitasvariáveisconsolidadonov[[#Headers],[7]],tabela_registros[REGISTRO],DADOS!$N$3,tabela_registros[TIPO],DADOS!$V$4,tabela_registros[CATEGORIA],receitasvariáveisconsolidadonov[[#This Row],[ATUAL]])</f>
        <v>0</v>
      </c>
      <c r="L101" s="91">
        <f>SUMIFS(tabela_registros[VALOR],tabela_registros[MÊS],$AE$1,tabela_registros[DIA],receitasvariáveisconsolidadonov[[#Headers],[8]],tabela_registros[REGISTRO],DADOS!$N$3,tabela_registros[TIPO],DADOS!$V$4,tabela_registros[CATEGORIA],receitasvariáveisconsolidadonov[[#This Row],[ATUAL]])</f>
        <v>0</v>
      </c>
      <c r="M101" s="91">
        <f>SUMIFS(tabela_registros[VALOR],tabela_registros[MÊS],$AE$1,tabela_registros[DIA],receitasvariáveisconsolidadonov[[#Headers],[9]],tabela_registros[REGISTRO],DADOS!$N$3,tabela_registros[TIPO],DADOS!$V$4,tabela_registros[CATEGORIA],receitasvariáveisconsolidadonov[[#This Row],[ATUAL]])</f>
        <v>0</v>
      </c>
      <c r="N101" s="91">
        <f>SUMIFS(tabela_registros[VALOR],tabela_registros[MÊS],$AE$1,tabela_registros[DIA],receitasvariáveisconsolidadonov[[#Headers],[10]],tabela_registros[REGISTRO],DADOS!$N$3,tabela_registros[TIPO],DADOS!$V$4,tabela_registros[CATEGORIA],receitasvariáveisconsolidadonov[[#This Row],[ATUAL]])</f>
        <v>0</v>
      </c>
      <c r="O101" s="91">
        <f>SUMIFS(tabela_registros[VALOR],tabela_registros[MÊS],$AE$1,tabela_registros[DIA],receitasvariáveisconsolidadonov[[#Headers],[11]],tabela_registros[REGISTRO],DADOS!$N$3,tabela_registros[TIPO],DADOS!$V$4,tabela_registros[CATEGORIA],receitasvariáveisconsolidadonov[[#This Row],[ATUAL]])</f>
        <v>0</v>
      </c>
      <c r="P101" s="91">
        <f>SUMIFS(tabela_registros[VALOR],tabela_registros[MÊS],$AE$1,tabela_registros[DIA],receitasvariáveisconsolidadonov[[#Headers],[12]],tabela_registros[REGISTRO],DADOS!$N$3,tabela_registros[TIPO],DADOS!$V$4,tabela_registros[CATEGORIA],receitasvariáveisconsolidadonov[[#This Row],[ATUAL]])</f>
        <v>0</v>
      </c>
      <c r="Q101" s="91">
        <f>SUMIFS(tabela_registros[VALOR],tabela_registros[MÊS],$AE$1,tabela_registros[DIA],receitasvariáveisconsolidadonov[[#Headers],[13]],tabela_registros[REGISTRO],DADOS!$N$3,tabela_registros[TIPO],DADOS!$V$4,tabela_registros[CATEGORIA],receitasvariáveisconsolidadonov[[#This Row],[ATUAL]])</f>
        <v>0</v>
      </c>
      <c r="R101" s="91">
        <f>SUMIFS(tabela_registros[VALOR],tabela_registros[MÊS],$AE$1,tabela_registros[DIA],receitasvariáveisconsolidadonov[[#Headers],[14]],tabela_registros[REGISTRO],DADOS!$N$3,tabela_registros[TIPO],DADOS!$V$4,tabela_registros[CATEGORIA],receitasvariáveisconsolidadonov[[#This Row],[ATUAL]])</f>
        <v>0</v>
      </c>
      <c r="S101" s="91">
        <f>SUMIFS(tabela_registros[VALOR],tabela_registros[MÊS],$AE$1,tabela_registros[DIA],receitasvariáveisconsolidadonov[[#Headers],[15]],tabela_registros[REGISTRO],DADOS!$N$3,tabela_registros[TIPO],DADOS!$V$4,tabela_registros[CATEGORIA],receitasvariáveisconsolidadonov[[#This Row],[ATUAL]])</f>
        <v>0</v>
      </c>
      <c r="T101" s="91">
        <f>SUMIFS(tabela_registros[VALOR],tabela_registros[MÊS],$AE$1,tabela_registros[DIA],receitasvariáveisconsolidadonov[[#Headers],[16]],tabela_registros[REGISTRO],DADOS!$N$3,tabela_registros[TIPO],DADOS!$V$4,tabela_registros[CATEGORIA],receitasvariáveisconsolidadonov[[#This Row],[ATUAL]])</f>
        <v>0</v>
      </c>
      <c r="U101" s="91">
        <f>SUMIFS(tabela_registros[VALOR],tabela_registros[MÊS],$AE$1,tabela_registros[DIA],receitasvariáveisconsolidadonov[[#Headers],[17]],tabela_registros[REGISTRO],DADOS!$N$3,tabela_registros[TIPO],DADOS!$V$4,tabela_registros[CATEGORIA],receitasvariáveisconsolidadonov[[#This Row],[ATUAL]])</f>
        <v>0</v>
      </c>
      <c r="V101" s="91">
        <f>SUMIFS(tabela_registros[VALOR],tabela_registros[MÊS],$AE$1,tabela_registros[DIA],receitasvariáveisconsolidadonov[[#Headers],[18]],tabela_registros[REGISTRO],DADOS!$N$3,tabela_registros[TIPO],DADOS!$V$4,tabela_registros[CATEGORIA],receitasvariáveisconsolidadonov[[#This Row],[ATUAL]])</f>
        <v>0</v>
      </c>
      <c r="W101" s="91">
        <f>SUMIFS(tabela_registros[VALOR],tabela_registros[MÊS],$AE$1,tabela_registros[DIA],receitasvariáveisconsolidadonov[[#Headers],[19]],tabela_registros[REGISTRO],DADOS!$N$3,tabela_registros[TIPO],DADOS!$V$4,tabela_registros[CATEGORIA],receitasvariáveisconsolidadonov[[#This Row],[ATUAL]])</f>
        <v>0</v>
      </c>
      <c r="X101" s="91">
        <f>SUMIFS(tabela_registros[VALOR],tabela_registros[MÊS],$AE$1,tabela_registros[DIA],receitasvariáveisconsolidadonov[[#Headers],[20]],tabela_registros[REGISTRO],DADOS!$N$3,tabela_registros[TIPO],DADOS!$V$4,tabela_registros[CATEGORIA],receitasvariáveisconsolidadonov[[#This Row],[ATUAL]])</f>
        <v>0</v>
      </c>
      <c r="Y101" s="91">
        <f>SUMIFS(tabela_registros[VALOR],tabela_registros[MÊS],$AE$1,tabela_registros[DIA],receitasvariáveisconsolidadonov[[#Headers],[21]],tabela_registros[REGISTRO],DADOS!$N$3,tabela_registros[TIPO],DADOS!$V$4,tabela_registros[CATEGORIA],receitasvariáveisconsolidadonov[[#This Row],[ATUAL]])</f>
        <v>0</v>
      </c>
      <c r="Z101" s="91">
        <f>SUMIFS(tabela_registros[VALOR],tabela_registros[MÊS],$AE$1,tabela_registros[DIA],receitasvariáveisconsolidadonov[[#Headers],[22]],tabela_registros[REGISTRO],DADOS!$N$3,tabela_registros[TIPO],DADOS!$V$4,tabela_registros[CATEGORIA],receitasvariáveisconsolidadonov[[#This Row],[ATUAL]])</f>
        <v>0</v>
      </c>
      <c r="AA101" s="91">
        <f>SUMIFS(tabela_registros[VALOR],tabela_registros[MÊS],$AE$1,tabela_registros[DIA],receitasvariáveisconsolidadonov[[#Headers],[23]],tabela_registros[REGISTRO],DADOS!$N$3,tabela_registros[TIPO],DADOS!$V$4,tabela_registros[CATEGORIA],receitasvariáveisconsolidadonov[[#This Row],[ATUAL]])</f>
        <v>0</v>
      </c>
      <c r="AB101" s="91">
        <f>SUMIFS(tabela_registros[VALOR],tabela_registros[MÊS],$AE$1,tabela_registros[DIA],receitasvariáveisconsolidadonov[[#Headers],[24]],tabela_registros[REGISTRO],DADOS!$N$3,tabela_registros[TIPO],DADOS!$V$4,tabela_registros[CATEGORIA],receitasvariáveisconsolidadonov[[#This Row],[ATUAL]])</f>
        <v>0</v>
      </c>
      <c r="AC101" s="91">
        <f>SUMIFS(tabela_registros[VALOR],tabela_registros[MÊS],$AE$1,tabela_registros[DIA],receitasvariáveisconsolidadonov[[#Headers],[25]],tabela_registros[REGISTRO],DADOS!$N$3,tabela_registros[TIPO],DADOS!$V$4,tabela_registros[CATEGORIA],receitasvariáveisconsolidadonov[[#This Row],[ATUAL]])</f>
        <v>0</v>
      </c>
      <c r="AD101" s="91">
        <f>SUMIFS(tabela_registros[VALOR],tabela_registros[MÊS],$AE$1,tabela_registros[DIA],receitasvariáveisconsolidadonov[[#Headers],[26]],tabela_registros[REGISTRO],DADOS!$N$3,tabela_registros[TIPO],DADOS!$V$4,tabela_registros[CATEGORIA],receitasvariáveisconsolidadonov[[#This Row],[ATUAL]])</f>
        <v>0</v>
      </c>
      <c r="AE101" s="91">
        <f>SUMIFS(tabela_registros[VALOR],tabela_registros[MÊS],$AE$1,tabela_registros[DIA],receitasvariáveisconsolidadonov[[#Headers],[27]],tabela_registros[REGISTRO],DADOS!$N$3,tabela_registros[TIPO],DADOS!$V$4,tabela_registros[CATEGORIA],receitasvariáveisconsolidadonov[[#This Row],[ATUAL]])</f>
        <v>0</v>
      </c>
      <c r="AF101" s="91">
        <f>SUMIFS(tabela_registros[VALOR],tabela_registros[MÊS],$AE$1,tabela_registros[DIA],receitasvariáveisconsolidadonov[[#Headers],[28]],tabela_registros[REGISTRO],DADOS!$N$3,tabela_registros[TIPO],DADOS!$V$4,tabela_registros[CATEGORIA],receitasvariáveisconsolidadonov[[#This Row],[ATUAL]])</f>
        <v>0</v>
      </c>
      <c r="AG101" s="91">
        <f>SUMIFS(tabela_registros[VALOR],tabela_registros[MÊS],$AE$1,tabela_registros[DIA],receitasvariáveisconsolidadonov[[#Headers],[29]],tabela_registros[REGISTRO],DADOS!$N$3,tabela_registros[TIPO],DADOS!$V$4,tabela_registros[CATEGORIA],receitasvariáveisconsolidadonov[[#This Row],[ATUAL]])</f>
        <v>0</v>
      </c>
      <c r="AH101" s="91">
        <f>SUMIFS(tabela_registros[VALOR],tabela_registros[MÊS],$AE$1,tabela_registros[DIA],receitasvariáveisconsolidadonov[[#Headers],[30]],tabela_registros[REGISTRO],DADOS!$N$3,tabela_registros[TIPO],DADOS!$V$4,tabela_registros[CATEGORIA],receitasvariáveisconsolidadonov[[#This Row],[ATUAL]])</f>
        <v>0</v>
      </c>
      <c r="AI101" s="101">
        <f>SUMIFS(tabela_registros[VALOR],tabela_registros[MÊS],$AE$1,tabela_registros[DIA],receitasvariáveisconsolidadonov[[#Headers],[31]],tabela_registros[REGISTRO],DADOS!$N$3,tabela_registros[TIPO],DADOS!$V$4,tabela_registros[CATEGORIA],receitasvariáveisconsolidadonov[[#This Row],[ATUAL]])</f>
        <v>0</v>
      </c>
      <c r="AJ101" s="97">
        <f>SUM(receitasvariáveisconsolidadonov[[#This Row],[1]:[31]])</f>
        <v>0</v>
      </c>
      <c r="AK101" s="25"/>
    </row>
    <row r="102" spans="2:37" ht="19.5" customHeight="1" thickTop="1" thickBot="1" x14ac:dyDescent="0.3">
      <c r="B102" s="28"/>
      <c r="C102" s="27" t="str">
        <f>DADOS!$Z$9</f>
        <v>👷‍♀️ TRABALHO TEMPORÁRIO</v>
      </c>
      <c r="D102" s="26" t="str">
        <f>IF(receitasvariáveisconsolidadonov[[#This Row],[TOTAL (R$)]]=0,"",IF(OR(receitasvariáveisconsolidadonov[[#This Row],[TOTAL (R$)]]=LARGE($AJ$96:$AJ$103,1),receitasvariáveisconsolidadonov[[#This Row],[TOTAL (R$)]]=LARGE($AJ$96:$AJ$103,2)),DADOS!$I$9,""))</f>
        <v/>
      </c>
      <c r="E102" s="96">
        <f>SUMIFS(tabela_registros[VALOR],tabela_registros[MÊS],$AE$1,tabela_registros[DIA],receitasvariáveisconsolidadonov[[#Headers],[1]],tabela_registros[REGISTRO],DADOS!$N$3,tabela_registros[TIPO],DADOS!$V$4,tabela_registros[CATEGORIA],receitasvariáveisconsolidadonov[[#This Row],[ATUAL]])</f>
        <v>0</v>
      </c>
      <c r="F102" s="91">
        <f>SUMIFS(tabela_registros[VALOR],tabela_registros[MÊS],$AE$1,tabela_registros[DIA],receitasvariáveisconsolidadonov[[#Headers],[2]],tabela_registros[REGISTRO],DADOS!$N$3,tabela_registros[TIPO],DADOS!$V$4,tabela_registros[CATEGORIA],receitasvariáveisconsolidadonov[[#This Row],[ATUAL]])</f>
        <v>0</v>
      </c>
      <c r="G102" s="91">
        <f>SUMIFS(tabela_registros[VALOR],tabela_registros[MÊS],$AE$1,tabela_registros[DIA],receitasvariáveisconsolidadonov[[#Headers],[3]],tabela_registros[REGISTRO],DADOS!$N$3,tabela_registros[TIPO],DADOS!$V$4,tabela_registros[CATEGORIA],receitasvariáveisconsolidadonov[[#This Row],[ATUAL]])</f>
        <v>0</v>
      </c>
      <c r="H102" s="91">
        <f>SUMIFS(tabela_registros[VALOR],tabela_registros[MÊS],$AE$1,tabela_registros[DIA],receitasvariáveisconsolidadonov[[#Headers],[4]],tabela_registros[REGISTRO],DADOS!$N$3,tabela_registros[TIPO],DADOS!$V$4,tabela_registros[CATEGORIA],receitasvariáveisconsolidadonov[[#This Row],[ATUAL]])</f>
        <v>0</v>
      </c>
      <c r="I102" s="91">
        <f>SUMIFS(tabela_registros[VALOR],tabela_registros[MÊS],$AE$1,tabela_registros[DIA],receitasvariáveisconsolidadonov[[#Headers],[5]],tabela_registros[REGISTRO],DADOS!$N$3,tabela_registros[TIPO],DADOS!$V$4,tabela_registros[CATEGORIA],receitasvariáveisconsolidadonov[[#This Row],[ATUAL]])</f>
        <v>0</v>
      </c>
      <c r="J102" s="91">
        <f>SUMIFS(tabela_registros[VALOR],tabela_registros[MÊS],$AE$1,tabela_registros[DIA],receitasvariáveisconsolidadonov[[#Headers],[6]],tabela_registros[REGISTRO],DADOS!$N$3,tabela_registros[TIPO],DADOS!$V$4,tabela_registros[CATEGORIA],receitasvariáveisconsolidadonov[[#This Row],[ATUAL]])</f>
        <v>0</v>
      </c>
      <c r="K102" s="91">
        <f>SUMIFS(tabela_registros[VALOR],tabela_registros[MÊS],$AE$1,tabela_registros[DIA],receitasvariáveisconsolidadonov[[#Headers],[7]],tabela_registros[REGISTRO],DADOS!$N$3,tabela_registros[TIPO],DADOS!$V$4,tabela_registros[CATEGORIA],receitasvariáveisconsolidadonov[[#This Row],[ATUAL]])</f>
        <v>0</v>
      </c>
      <c r="L102" s="91">
        <f>SUMIFS(tabela_registros[VALOR],tabela_registros[MÊS],$AE$1,tabela_registros[DIA],receitasvariáveisconsolidadonov[[#Headers],[8]],tabela_registros[REGISTRO],DADOS!$N$3,tabela_registros[TIPO],DADOS!$V$4,tabela_registros[CATEGORIA],receitasvariáveisconsolidadonov[[#This Row],[ATUAL]])</f>
        <v>0</v>
      </c>
      <c r="M102" s="91">
        <f>SUMIFS(tabela_registros[VALOR],tabela_registros[MÊS],$AE$1,tabela_registros[DIA],receitasvariáveisconsolidadonov[[#Headers],[9]],tabela_registros[REGISTRO],DADOS!$N$3,tabela_registros[TIPO],DADOS!$V$4,tabela_registros[CATEGORIA],receitasvariáveisconsolidadonov[[#This Row],[ATUAL]])</f>
        <v>0</v>
      </c>
      <c r="N102" s="91">
        <f>SUMIFS(tabela_registros[VALOR],tabela_registros[MÊS],$AE$1,tabela_registros[DIA],receitasvariáveisconsolidadonov[[#Headers],[10]],tabela_registros[REGISTRO],DADOS!$N$3,tabela_registros[TIPO],DADOS!$V$4,tabela_registros[CATEGORIA],receitasvariáveisconsolidadonov[[#This Row],[ATUAL]])</f>
        <v>0</v>
      </c>
      <c r="O102" s="91">
        <f>SUMIFS(tabela_registros[VALOR],tabela_registros[MÊS],$AE$1,tabela_registros[DIA],receitasvariáveisconsolidadonov[[#Headers],[11]],tabela_registros[REGISTRO],DADOS!$N$3,tabela_registros[TIPO],DADOS!$V$4,tabela_registros[CATEGORIA],receitasvariáveisconsolidadonov[[#This Row],[ATUAL]])</f>
        <v>0</v>
      </c>
      <c r="P102" s="91">
        <f>SUMIFS(tabela_registros[VALOR],tabela_registros[MÊS],$AE$1,tabela_registros[DIA],receitasvariáveisconsolidadonov[[#Headers],[12]],tabela_registros[REGISTRO],DADOS!$N$3,tabela_registros[TIPO],DADOS!$V$4,tabela_registros[CATEGORIA],receitasvariáveisconsolidadonov[[#This Row],[ATUAL]])</f>
        <v>0</v>
      </c>
      <c r="Q102" s="91">
        <f>SUMIFS(tabela_registros[VALOR],tabela_registros[MÊS],$AE$1,tabela_registros[DIA],receitasvariáveisconsolidadonov[[#Headers],[13]],tabela_registros[REGISTRO],DADOS!$N$3,tabela_registros[TIPO],DADOS!$V$4,tabela_registros[CATEGORIA],receitasvariáveisconsolidadonov[[#This Row],[ATUAL]])</f>
        <v>0</v>
      </c>
      <c r="R102" s="91">
        <f>SUMIFS(tabela_registros[VALOR],tabela_registros[MÊS],$AE$1,tabela_registros[DIA],receitasvariáveisconsolidadonov[[#Headers],[14]],tabela_registros[REGISTRO],DADOS!$N$3,tabela_registros[TIPO],DADOS!$V$4,tabela_registros[CATEGORIA],receitasvariáveisconsolidadonov[[#This Row],[ATUAL]])</f>
        <v>0</v>
      </c>
      <c r="S102" s="91">
        <f>SUMIFS(tabela_registros[VALOR],tabela_registros[MÊS],$AE$1,tabela_registros[DIA],receitasvariáveisconsolidadonov[[#Headers],[15]],tabela_registros[REGISTRO],DADOS!$N$3,tabela_registros[TIPO],DADOS!$V$4,tabela_registros[CATEGORIA],receitasvariáveisconsolidadonov[[#This Row],[ATUAL]])</f>
        <v>0</v>
      </c>
      <c r="T102" s="91">
        <f>SUMIFS(tabela_registros[VALOR],tabela_registros[MÊS],$AE$1,tabela_registros[DIA],receitasvariáveisconsolidadonov[[#Headers],[16]],tabela_registros[REGISTRO],DADOS!$N$3,tabela_registros[TIPO],DADOS!$V$4,tabela_registros[CATEGORIA],receitasvariáveisconsolidadonov[[#This Row],[ATUAL]])</f>
        <v>0</v>
      </c>
      <c r="U102" s="91">
        <f>SUMIFS(tabela_registros[VALOR],tabela_registros[MÊS],$AE$1,tabela_registros[DIA],receitasvariáveisconsolidadonov[[#Headers],[17]],tabela_registros[REGISTRO],DADOS!$N$3,tabela_registros[TIPO],DADOS!$V$4,tabela_registros[CATEGORIA],receitasvariáveisconsolidadonov[[#This Row],[ATUAL]])</f>
        <v>0</v>
      </c>
      <c r="V102" s="91">
        <f>SUMIFS(tabela_registros[VALOR],tabela_registros[MÊS],$AE$1,tabela_registros[DIA],receitasvariáveisconsolidadonov[[#Headers],[18]],tabela_registros[REGISTRO],DADOS!$N$3,tabela_registros[TIPO],DADOS!$V$4,tabela_registros[CATEGORIA],receitasvariáveisconsolidadonov[[#This Row],[ATUAL]])</f>
        <v>0</v>
      </c>
      <c r="W102" s="91">
        <f>SUMIFS(tabela_registros[VALOR],tabela_registros[MÊS],$AE$1,tabela_registros[DIA],receitasvariáveisconsolidadonov[[#Headers],[19]],tabela_registros[REGISTRO],DADOS!$N$3,tabela_registros[TIPO],DADOS!$V$4,tabela_registros[CATEGORIA],receitasvariáveisconsolidadonov[[#This Row],[ATUAL]])</f>
        <v>0</v>
      </c>
      <c r="X102" s="91">
        <f>SUMIFS(tabela_registros[VALOR],tabela_registros[MÊS],$AE$1,tabela_registros[DIA],receitasvariáveisconsolidadonov[[#Headers],[20]],tabela_registros[REGISTRO],DADOS!$N$3,tabela_registros[TIPO],DADOS!$V$4,tabela_registros[CATEGORIA],receitasvariáveisconsolidadonov[[#This Row],[ATUAL]])</f>
        <v>0</v>
      </c>
      <c r="Y102" s="91">
        <f>SUMIFS(tabela_registros[VALOR],tabela_registros[MÊS],$AE$1,tabela_registros[DIA],receitasvariáveisconsolidadonov[[#Headers],[21]],tabela_registros[REGISTRO],DADOS!$N$3,tabela_registros[TIPO],DADOS!$V$4,tabela_registros[CATEGORIA],receitasvariáveisconsolidadonov[[#This Row],[ATUAL]])</f>
        <v>0</v>
      </c>
      <c r="Z102" s="91">
        <f>SUMIFS(tabela_registros[VALOR],tabela_registros[MÊS],$AE$1,tabela_registros[DIA],receitasvariáveisconsolidadonov[[#Headers],[22]],tabela_registros[REGISTRO],DADOS!$N$3,tabela_registros[TIPO],DADOS!$V$4,tabela_registros[CATEGORIA],receitasvariáveisconsolidadonov[[#This Row],[ATUAL]])</f>
        <v>0</v>
      </c>
      <c r="AA102" s="91">
        <f>SUMIFS(tabela_registros[VALOR],tabela_registros[MÊS],$AE$1,tabela_registros[DIA],receitasvariáveisconsolidadonov[[#Headers],[23]],tabela_registros[REGISTRO],DADOS!$N$3,tabela_registros[TIPO],DADOS!$V$4,tabela_registros[CATEGORIA],receitasvariáveisconsolidadonov[[#This Row],[ATUAL]])</f>
        <v>0</v>
      </c>
      <c r="AB102" s="91">
        <f>SUMIFS(tabela_registros[VALOR],tabela_registros[MÊS],$AE$1,tabela_registros[DIA],receitasvariáveisconsolidadonov[[#Headers],[24]],tabela_registros[REGISTRO],DADOS!$N$3,tabela_registros[TIPO],DADOS!$V$4,tabela_registros[CATEGORIA],receitasvariáveisconsolidadonov[[#This Row],[ATUAL]])</f>
        <v>0</v>
      </c>
      <c r="AC102" s="91">
        <f>SUMIFS(tabela_registros[VALOR],tabela_registros[MÊS],$AE$1,tabela_registros[DIA],receitasvariáveisconsolidadonov[[#Headers],[25]],tabela_registros[REGISTRO],DADOS!$N$3,tabela_registros[TIPO],DADOS!$V$4,tabela_registros[CATEGORIA],receitasvariáveisconsolidadonov[[#This Row],[ATUAL]])</f>
        <v>0</v>
      </c>
      <c r="AD102" s="91">
        <f>SUMIFS(tabela_registros[VALOR],tabela_registros[MÊS],$AE$1,tabela_registros[DIA],receitasvariáveisconsolidadonov[[#Headers],[26]],tabela_registros[REGISTRO],DADOS!$N$3,tabela_registros[TIPO],DADOS!$V$4,tabela_registros[CATEGORIA],receitasvariáveisconsolidadonov[[#This Row],[ATUAL]])</f>
        <v>0</v>
      </c>
      <c r="AE102" s="91">
        <f>SUMIFS(tabela_registros[VALOR],tabela_registros[MÊS],$AE$1,tabela_registros[DIA],receitasvariáveisconsolidadonov[[#Headers],[27]],tabela_registros[REGISTRO],DADOS!$N$3,tabela_registros[TIPO],DADOS!$V$4,tabela_registros[CATEGORIA],receitasvariáveisconsolidadonov[[#This Row],[ATUAL]])</f>
        <v>0</v>
      </c>
      <c r="AF102" s="91">
        <f>SUMIFS(tabela_registros[VALOR],tabela_registros[MÊS],$AE$1,tabela_registros[DIA],receitasvariáveisconsolidadonov[[#Headers],[28]],tabela_registros[REGISTRO],DADOS!$N$3,tabela_registros[TIPO],DADOS!$V$4,tabela_registros[CATEGORIA],receitasvariáveisconsolidadonov[[#This Row],[ATUAL]])</f>
        <v>0</v>
      </c>
      <c r="AG102" s="91">
        <f>SUMIFS(tabela_registros[VALOR],tabela_registros[MÊS],$AE$1,tabela_registros[DIA],receitasvariáveisconsolidadonov[[#Headers],[29]],tabela_registros[REGISTRO],DADOS!$N$3,tabela_registros[TIPO],DADOS!$V$4,tabela_registros[CATEGORIA],receitasvariáveisconsolidadonov[[#This Row],[ATUAL]])</f>
        <v>0</v>
      </c>
      <c r="AH102" s="91">
        <f>SUMIFS(tabela_registros[VALOR],tabela_registros[MÊS],$AE$1,tabela_registros[DIA],receitasvariáveisconsolidadonov[[#Headers],[30]],tabela_registros[REGISTRO],DADOS!$N$3,tabela_registros[TIPO],DADOS!$V$4,tabela_registros[CATEGORIA],receitasvariáveisconsolidadonov[[#This Row],[ATUAL]])</f>
        <v>0</v>
      </c>
      <c r="AI102" s="101">
        <f>SUMIFS(tabela_registros[VALOR],tabela_registros[MÊS],$AE$1,tabela_registros[DIA],receitasvariáveisconsolidadonov[[#Headers],[31]],tabela_registros[REGISTRO],DADOS!$N$3,tabela_registros[TIPO],DADOS!$V$4,tabela_registros[CATEGORIA],receitasvariáveisconsolidadonov[[#This Row],[ATUAL]])</f>
        <v>0</v>
      </c>
      <c r="AJ102" s="97">
        <f>SUM(receitasvariáveisconsolidadonov[[#This Row],[1]:[31]])</f>
        <v>0</v>
      </c>
      <c r="AK102" s="25"/>
    </row>
    <row r="103" spans="2:37" ht="18" customHeight="1" thickTop="1" thickBot="1" x14ac:dyDescent="0.3">
      <c r="B103" s="28"/>
      <c r="C103" s="27" t="str">
        <f>DADOS!$Z$10</f>
        <v>📎 OUTROS</v>
      </c>
      <c r="D103" s="26" t="str">
        <f>IF(receitasvariáveisconsolidadonov[[#This Row],[TOTAL (R$)]]=0,"",IF(OR(receitasvariáveisconsolidadonov[[#This Row],[TOTAL (R$)]]=LARGE($AJ$96:$AJ$103,1),receitasvariáveisconsolidadonov[[#This Row],[TOTAL (R$)]]=LARGE($AJ$96:$AJ$103,2)),DADOS!$I$9,""))</f>
        <v/>
      </c>
      <c r="E103" s="96">
        <f>SUMIFS(tabela_registros[VALOR],tabela_registros[MÊS],$AE$1,tabela_registros[DIA],receitasvariáveisconsolidadonov[[#Headers],[1]],tabela_registros[REGISTRO],DADOS!$N$3,tabela_registros[TIPO],DADOS!$V$4,tabela_registros[CATEGORIA],receitasvariáveisconsolidadonov[[#This Row],[ATUAL]])</f>
        <v>0</v>
      </c>
      <c r="F103" s="91">
        <f>SUMIFS(tabela_registros[VALOR],tabela_registros[MÊS],$AE$1,tabela_registros[DIA],receitasvariáveisconsolidadonov[[#Headers],[2]],tabela_registros[REGISTRO],DADOS!$N$3,tabela_registros[TIPO],DADOS!$V$4,tabela_registros[CATEGORIA],receitasvariáveisconsolidadonov[[#This Row],[ATUAL]])</f>
        <v>0</v>
      </c>
      <c r="G103" s="91">
        <f>SUMIFS(tabela_registros[VALOR],tabela_registros[MÊS],$AE$1,tabela_registros[DIA],receitasvariáveisconsolidadonov[[#Headers],[3]],tabela_registros[REGISTRO],DADOS!$N$3,tabela_registros[TIPO],DADOS!$V$4,tabela_registros[CATEGORIA],receitasvariáveisconsolidadonov[[#This Row],[ATUAL]])</f>
        <v>0</v>
      </c>
      <c r="H103" s="91">
        <f>SUMIFS(tabela_registros[VALOR],tabela_registros[MÊS],$AE$1,tabela_registros[DIA],receitasvariáveisconsolidadonov[[#Headers],[4]],tabela_registros[REGISTRO],DADOS!$N$3,tabela_registros[TIPO],DADOS!$V$4,tabela_registros[CATEGORIA],receitasvariáveisconsolidadonov[[#This Row],[ATUAL]])</f>
        <v>0</v>
      </c>
      <c r="I103" s="91">
        <f>SUMIFS(tabela_registros[VALOR],tabela_registros[MÊS],$AE$1,tabela_registros[DIA],receitasvariáveisconsolidadonov[[#Headers],[5]],tabela_registros[REGISTRO],DADOS!$N$3,tabela_registros[TIPO],DADOS!$V$4,tabela_registros[CATEGORIA],receitasvariáveisconsolidadonov[[#This Row],[ATUAL]])</f>
        <v>0</v>
      </c>
      <c r="J103" s="91">
        <f>SUMIFS(tabela_registros[VALOR],tabela_registros[MÊS],$AE$1,tabela_registros[DIA],receitasvariáveisconsolidadonov[[#Headers],[6]],tabela_registros[REGISTRO],DADOS!$N$3,tabela_registros[TIPO],DADOS!$V$4,tabela_registros[CATEGORIA],receitasvariáveisconsolidadonov[[#This Row],[ATUAL]])</f>
        <v>0</v>
      </c>
      <c r="K103" s="91">
        <f>SUMIFS(tabela_registros[VALOR],tabela_registros[MÊS],$AE$1,tabela_registros[DIA],receitasvariáveisconsolidadonov[[#Headers],[7]],tabela_registros[REGISTRO],DADOS!$N$3,tabela_registros[TIPO],DADOS!$V$4,tabela_registros[CATEGORIA],receitasvariáveisconsolidadonov[[#This Row],[ATUAL]])</f>
        <v>0</v>
      </c>
      <c r="L103" s="91">
        <f>SUMIFS(tabela_registros[VALOR],tabela_registros[MÊS],$AE$1,tabela_registros[DIA],receitasvariáveisconsolidadonov[[#Headers],[8]],tabela_registros[REGISTRO],DADOS!$N$3,tabela_registros[TIPO],DADOS!$V$4,tabela_registros[CATEGORIA],receitasvariáveisconsolidadonov[[#This Row],[ATUAL]])</f>
        <v>0</v>
      </c>
      <c r="M103" s="91">
        <f>SUMIFS(tabela_registros[VALOR],tabela_registros[MÊS],$AE$1,tabela_registros[DIA],receitasvariáveisconsolidadonov[[#Headers],[9]],tabela_registros[REGISTRO],DADOS!$N$3,tabela_registros[TIPO],DADOS!$V$4,tabela_registros[CATEGORIA],receitasvariáveisconsolidadonov[[#This Row],[ATUAL]])</f>
        <v>0</v>
      </c>
      <c r="N103" s="91">
        <f>SUMIFS(tabela_registros[VALOR],tabela_registros[MÊS],$AE$1,tabela_registros[DIA],receitasvariáveisconsolidadonov[[#Headers],[10]],tabela_registros[REGISTRO],DADOS!$N$3,tabela_registros[TIPO],DADOS!$V$4,tabela_registros[CATEGORIA],receitasvariáveisconsolidadonov[[#This Row],[ATUAL]])</f>
        <v>0</v>
      </c>
      <c r="O103" s="91">
        <f>SUMIFS(tabela_registros[VALOR],tabela_registros[MÊS],$AE$1,tabela_registros[DIA],receitasvariáveisconsolidadonov[[#Headers],[11]],tabela_registros[REGISTRO],DADOS!$N$3,tabela_registros[TIPO],DADOS!$V$4,tabela_registros[CATEGORIA],receitasvariáveisconsolidadonov[[#This Row],[ATUAL]])</f>
        <v>0</v>
      </c>
      <c r="P103" s="91">
        <f>SUMIFS(tabela_registros[VALOR],tabela_registros[MÊS],$AE$1,tabela_registros[DIA],receitasvariáveisconsolidadonov[[#Headers],[12]],tabela_registros[REGISTRO],DADOS!$N$3,tabela_registros[TIPO],DADOS!$V$4,tabela_registros[CATEGORIA],receitasvariáveisconsolidadonov[[#This Row],[ATUAL]])</f>
        <v>0</v>
      </c>
      <c r="Q103" s="91">
        <f>SUMIFS(tabela_registros[VALOR],tabela_registros[MÊS],$AE$1,tabela_registros[DIA],receitasvariáveisconsolidadonov[[#Headers],[13]],tabela_registros[REGISTRO],DADOS!$N$3,tabela_registros[TIPO],DADOS!$V$4,tabela_registros[CATEGORIA],receitasvariáveisconsolidadonov[[#This Row],[ATUAL]])</f>
        <v>0</v>
      </c>
      <c r="R103" s="91">
        <f>SUMIFS(tabela_registros[VALOR],tabela_registros[MÊS],$AE$1,tabela_registros[DIA],receitasvariáveisconsolidadonov[[#Headers],[14]],tabela_registros[REGISTRO],DADOS!$N$3,tabela_registros[TIPO],DADOS!$V$4,tabela_registros[CATEGORIA],receitasvariáveisconsolidadonov[[#This Row],[ATUAL]])</f>
        <v>0</v>
      </c>
      <c r="S103" s="91">
        <f>SUMIFS(tabela_registros[VALOR],tabela_registros[MÊS],$AE$1,tabela_registros[DIA],receitasvariáveisconsolidadonov[[#Headers],[15]],tabela_registros[REGISTRO],DADOS!$N$3,tabela_registros[TIPO],DADOS!$V$4,tabela_registros[CATEGORIA],receitasvariáveisconsolidadonov[[#This Row],[ATUAL]])</f>
        <v>0</v>
      </c>
      <c r="T103" s="91">
        <f>SUMIFS(tabela_registros[VALOR],tabela_registros[MÊS],$AE$1,tabela_registros[DIA],receitasvariáveisconsolidadonov[[#Headers],[16]],tabela_registros[REGISTRO],DADOS!$N$3,tabela_registros[TIPO],DADOS!$V$4,tabela_registros[CATEGORIA],receitasvariáveisconsolidadonov[[#This Row],[ATUAL]])</f>
        <v>0</v>
      </c>
      <c r="U103" s="91">
        <f>SUMIFS(tabela_registros[VALOR],tabela_registros[MÊS],$AE$1,tabela_registros[DIA],receitasvariáveisconsolidadonov[[#Headers],[17]],tabela_registros[REGISTRO],DADOS!$N$3,tabela_registros[TIPO],DADOS!$V$4,tabela_registros[CATEGORIA],receitasvariáveisconsolidadonov[[#This Row],[ATUAL]])</f>
        <v>0</v>
      </c>
      <c r="V103" s="91">
        <f>SUMIFS(tabela_registros[VALOR],tabela_registros[MÊS],$AE$1,tabela_registros[DIA],receitasvariáveisconsolidadonov[[#Headers],[18]],tabela_registros[REGISTRO],DADOS!$N$3,tabela_registros[TIPO],DADOS!$V$4,tabela_registros[CATEGORIA],receitasvariáveisconsolidadonov[[#This Row],[ATUAL]])</f>
        <v>0</v>
      </c>
      <c r="W103" s="91">
        <f>SUMIFS(tabela_registros[VALOR],tabela_registros[MÊS],$AE$1,tabela_registros[DIA],receitasvariáveisconsolidadonov[[#Headers],[19]],tabela_registros[REGISTRO],DADOS!$N$3,tabela_registros[TIPO],DADOS!$V$4,tabela_registros[CATEGORIA],receitasvariáveisconsolidadonov[[#This Row],[ATUAL]])</f>
        <v>0</v>
      </c>
      <c r="X103" s="91">
        <f>SUMIFS(tabela_registros[VALOR],tabela_registros[MÊS],$AE$1,tabela_registros[DIA],receitasvariáveisconsolidadonov[[#Headers],[20]],tabela_registros[REGISTRO],DADOS!$N$3,tabela_registros[TIPO],DADOS!$V$4,tabela_registros[CATEGORIA],receitasvariáveisconsolidadonov[[#This Row],[ATUAL]])</f>
        <v>0</v>
      </c>
      <c r="Y103" s="91">
        <f>SUMIFS(tabela_registros[VALOR],tabela_registros[MÊS],$AE$1,tabela_registros[DIA],receitasvariáveisconsolidadonov[[#Headers],[21]],tabela_registros[REGISTRO],DADOS!$N$3,tabela_registros[TIPO],DADOS!$V$4,tabela_registros[CATEGORIA],receitasvariáveisconsolidadonov[[#This Row],[ATUAL]])</f>
        <v>0</v>
      </c>
      <c r="Z103" s="91">
        <f>SUMIFS(tabela_registros[VALOR],tabela_registros[MÊS],$AE$1,tabela_registros[DIA],receitasvariáveisconsolidadonov[[#Headers],[22]],tabela_registros[REGISTRO],DADOS!$N$3,tabela_registros[TIPO],DADOS!$V$4,tabela_registros[CATEGORIA],receitasvariáveisconsolidadonov[[#This Row],[ATUAL]])</f>
        <v>0</v>
      </c>
      <c r="AA103" s="91">
        <f>SUMIFS(tabela_registros[VALOR],tabela_registros[MÊS],$AE$1,tabela_registros[DIA],receitasvariáveisconsolidadonov[[#Headers],[23]],tabela_registros[REGISTRO],DADOS!$N$3,tabela_registros[TIPO],DADOS!$V$4,tabela_registros[CATEGORIA],receitasvariáveisconsolidadonov[[#This Row],[ATUAL]])</f>
        <v>0</v>
      </c>
      <c r="AB103" s="91">
        <f>SUMIFS(tabela_registros[VALOR],tabela_registros[MÊS],$AE$1,tabela_registros[DIA],receitasvariáveisconsolidadonov[[#Headers],[24]],tabela_registros[REGISTRO],DADOS!$N$3,tabela_registros[TIPO],DADOS!$V$4,tabela_registros[CATEGORIA],receitasvariáveisconsolidadonov[[#This Row],[ATUAL]])</f>
        <v>0</v>
      </c>
      <c r="AC103" s="91">
        <f>SUMIFS(tabela_registros[VALOR],tabela_registros[MÊS],$AE$1,tabela_registros[DIA],receitasvariáveisconsolidadonov[[#Headers],[25]],tabela_registros[REGISTRO],DADOS!$N$3,tabela_registros[TIPO],DADOS!$V$4,tabela_registros[CATEGORIA],receitasvariáveisconsolidadonov[[#This Row],[ATUAL]])</f>
        <v>0</v>
      </c>
      <c r="AD103" s="91">
        <f>SUMIFS(tabela_registros[VALOR],tabela_registros[MÊS],$AE$1,tabela_registros[DIA],receitasvariáveisconsolidadonov[[#Headers],[26]],tabela_registros[REGISTRO],DADOS!$N$3,tabela_registros[TIPO],DADOS!$V$4,tabela_registros[CATEGORIA],receitasvariáveisconsolidadonov[[#This Row],[ATUAL]])</f>
        <v>0</v>
      </c>
      <c r="AE103" s="91">
        <f>SUMIFS(tabela_registros[VALOR],tabela_registros[MÊS],$AE$1,tabela_registros[DIA],receitasvariáveisconsolidadonov[[#Headers],[27]],tabela_registros[REGISTRO],DADOS!$N$3,tabela_registros[TIPO],DADOS!$V$4,tabela_registros[CATEGORIA],receitasvariáveisconsolidadonov[[#This Row],[ATUAL]])</f>
        <v>0</v>
      </c>
      <c r="AF103" s="91">
        <f>SUMIFS(tabela_registros[VALOR],tabela_registros[MÊS],$AE$1,tabela_registros[DIA],receitasvariáveisconsolidadonov[[#Headers],[28]],tabela_registros[REGISTRO],DADOS!$N$3,tabela_registros[TIPO],DADOS!$V$4,tabela_registros[CATEGORIA],receitasvariáveisconsolidadonov[[#This Row],[ATUAL]])</f>
        <v>0</v>
      </c>
      <c r="AG103" s="91">
        <f>SUMIFS(tabela_registros[VALOR],tabela_registros[MÊS],$AE$1,tabela_registros[DIA],receitasvariáveisconsolidadonov[[#Headers],[29]],tabela_registros[REGISTRO],DADOS!$N$3,tabela_registros[TIPO],DADOS!$V$4,tabela_registros[CATEGORIA],receitasvariáveisconsolidadonov[[#This Row],[ATUAL]])</f>
        <v>0</v>
      </c>
      <c r="AH103" s="99">
        <f>SUMIFS(tabela_registros[VALOR],tabela_registros[MÊS],$AE$1,tabela_registros[DIA],receitasvariáveisconsolidadonov[[#Headers],[30]],tabela_registros[REGISTRO],DADOS!$N$3,tabela_registros[TIPO],DADOS!$V$4,tabela_registros[CATEGORIA],receitasvariáveisconsolidadonov[[#This Row],[ATUAL]])</f>
        <v>0</v>
      </c>
      <c r="AI103" s="102">
        <f>SUMIFS(tabela_registros[VALOR],tabela_registros[MÊS],$AE$1,tabela_registros[DIA],receitasvariáveisconsolidadonov[[#Headers],[31]],tabela_registros[REGISTRO],DADOS!$N$3,tabela_registros[TIPO],DADOS!$V$4,tabela_registros[CATEGORIA],receitasvariáveisconsolidadonov[[#This Row],[ATUAL]])</f>
        <v>0</v>
      </c>
      <c r="AJ103" s="103">
        <f>SUM(receitasvariáveisconsolidadonov[[#This Row],[1]:[31]])</f>
        <v>0</v>
      </c>
      <c r="AK103" s="25"/>
    </row>
    <row r="104" spans="2:37" s="16" customFormat="1" ht="21" customHeight="1" thickTop="1" thickBot="1" x14ac:dyDescent="0.35">
      <c r="B104" s="24"/>
      <c r="C104" s="23" t="s">
        <v>19</v>
      </c>
      <c r="D104" s="22"/>
      <c r="E104" s="21">
        <f>SUM(E96:E103)</f>
        <v>0</v>
      </c>
      <c r="F104" s="20">
        <f>SUM(F96:F103)+receitasvariáveisconsolidadonov[[#This Row],[1]]</f>
        <v>0</v>
      </c>
      <c r="G104" s="20">
        <f>SUM(G96:G103)+receitasvariáveisconsolidadonov[[#This Row],[2]]</f>
        <v>0</v>
      </c>
      <c r="H104" s="20">
        <f>SUM(H96:H103)+receitasvariáveisconsolidadonov[[#This Row],[3]]</f>
        <v>0</v>
      </c>
      <c r="I104" s="20">
        <f>SUM(I96:I103)+receitasvariáveisconsolidadonov[[#This Row],[4]]</f>
        <v>0</v>
      </c>
      <c r="J104" s="20">
        <f>SUM(J96:J103)+receitasvariáveisconsolidadonov[[#This Row],[5]]</f>
        <v>0</v>
      </c>
      <c r="K104" s="20">
        <f>SUM(K96:K103)+receitasvariáveisconsolidadonov[[#This Row],[6]]</f>
        <v>0</v>
      </c>
      <c r="L104" s="20">
        <f>SUM(L96:L103)+receitasvariáveisconsolidadonov[[#This Row],[7]]</f>
        <v>0</v>
      </c>
      <c r="M104" s="20">
        <f>SUM(M96:M103)+receitasvariáveisconsolidadonov[[#This Row],[8]]</f>
        <v>0</v>
      </c>
      <c r="N104" s="20">
        <f>SUM(N96:N103)+receitasvariáveisconsolidadonov[[#This Row],[9]]</f>
        <v>0</v>
      </c>
      <c r="O104" s="20">
        <f>SUM(O96:O103)+receitasvariáveisconsolidadonov[[#This Row],[10]]</f>
        <v>0</v>
      </c>
      <c r="P104" s="20">
        <f>SUM(P96:P103)+receitasvariáveisconsolidadonov[[#This Row],[11]]</f>
        <v>0</v>
      </c>
      <c r="Q104" s="20">
        <f>SUM(Q96:Q103)+receitasvariáveisconsolidadonov[[#This Row],[12]]</f>
        <v>0</v>
      </c>
      <c r="R104" s="20">
        <f>SUM(R96:R103)+receitasvariáveisconsolidadonov[[#This Row],[13]]</f>
        <v>0</v>
      </c>
      <c r="S104" s="20">
        <f>SUM(S96:S103)+receitasvariáveisconsolidadonov[[#This Row],[14]]</f>
        <v>0</v>
      </c>
      <c r="T104" s="20">
        <f>SUM(T96:T103)+receitasvariáveisconsolidadonov[[#This Row],[15]]</f>
        <v>0</v>
      </c>
      <c r="U104" s="20">
        <f>SUM(U96:U103)+receitasvariáveisconsolidadonov[[#This Row],[16]]</f>
        <v>0</v>
      </c>
      <c r="V104" s="20">
        <f>SUM(V96:V103)+receitasvariáveisconsolidadonov[[#This Row],[17]]</f>
        <v>0</v>
      </c>
      <c r="W104" s="20">
        <f>SUM(W96:W103)+receitasvariáveisconsolidadonov[[#This Row],[18]]</f>
        <v>0</v>
      </c>
      <c r="X104" s="20">
        <f>SUM(X96:X103)+receitasvariáveisconsolidadonov[[#This Row],[19]]</f>
        <v>0</v>
      </c>
      <c r="Y104" s="20">
        <f>SUM(Y96:Y103)+receitasvariáveisconsolidadonov[[#This Row],[20]]</f>
        <v>0</v>
      </c>
      <c r="Z104" s="20">
        <f>SUM(Z96:Z103)+receitasvariáveisconsolidadonov[[#This Row],[21]]</f>
        <v>0</v>
      </c>
      <c r="AA104" s="20">
        <f>SUM(AA96:AA103)+receitasvariáveisconsolidadonov[[#This Row],[22]]</f>
        <v>0</v>
      </c>
      <c r="AB104" s="20">
        <f>SUM(AB96:AB103)+receitasvariáveisconsolidadonov[[#This Row],[23]]</f>
        <v>0</v>
      </c>
      <c r="AC104" s="20">
        <f>SUM(AC96:AC103)+receitasvariáveisconsolidadonov[[#This Row],[24]]</f>
        <v>0</v>
      </c>
      <c r="AD104" s="20">
        <f>SUM(AD96:AD103)+receitasvariáveisconsolidadonov[[#This Row],[25]]</f>
        <v>0</v>
      </c>
      <c r="AE104" s="20">
        <f>SUM(AE96:AE103)+receitasvariáveisconsolidadonov[[#This Row],[26]]</f>
        <v>0</v>
      </c>
      <c r="AF104" s="20">
        <f>SUM(AF96:AF103)+receitasvariáveisconsolidadonov[[#This Row],[27]]</f>
        <v>0</v>
      </c>
      <c r="AG104" s="20">
        <f>SUM(AG96:AG103)+receitasvariáveisconsolidadonov[[#This Row],[28]]</f>
        <v>0</v>
      </c>
      <c r="AH104" s="20">
        <f>SUM(AH96:AH103)+receitasvariáveisconsolidadonov[[#This Row],[29]]</f>
        <v>0</v>
      </c>
      <c r="AI104" s="19">
        <f>SUM(AI96:AI103)+receitasvariáveisconsolidadonov[[#This Row],[30]]</f>
        <v>0</v>
      </c>
      <c r="AJ104" s="18">
        <f>receitasvariáveisconsolidadonov[[#This Row],[31]]</f>
        <v>0</v>
      </c>
      <c r="AK104" s="17"/>
    </row>
    <row r="105" spans="2:37" ht="6.75" customHeight="1" thickTop="1" thickBot="1" x14ac:dyDescent="0.3">
      <c r="B105" s="15"/>
      <c r="C105" s="14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2"/>
      <c r="AJ105" s="11"/>
      <c r="AK105" s="10"/>
    </row>
    <row r="106" spans="2:37" ht="12.6" thickTop="1" x14ac:dyDescent="0.25">
      <c r="E106" s="37"/>
      <c r="AI106" s="4"/>
    </row>
    <row r="107" spans="2:37" x14ac:dyDescent="0.25">
      <c r="AI107" s="4"/>
    </row>
    <row r="108" spans="2:37" x14ac:dyDescent="0.25">
      <c r="AI108" s="4"/>
    </row>
    <row r="109" spans="2:37" ht="39.75" customHeight="1" x14ac:dyDescent="0.7">
      <c r="C109" s="36"/>
      <c r="E109" s="240"/>
      <c r="F109" s="240"/>
      <c r="G109" s="240"/>
      <c r="H109" s="240"/>
      <c r="I109" s="240"/>
      <c r="J109" s="240"/>
      <c r="K109" s="240"/>
      <c r="L109" s="240"/>
      <c r="M109" s="240"/>
      <c r="N109" s="240"/>
      <c r="O109" s="240"/>
      <c r="P109" s="240"/>
      <c r="Q109" s="240"/>
      <c r="R109" s="240"/>
      <c r="S109" s="240"/>
      <c r="T109" s="240"/>
      <c r="U109" s="240"/>
      <c r="V109" s="240"/>
      <c r="W109" s="240"/>
      <c r="X109" s="240"/>
      <c r="Y109" s="240"/>
      <c r="Z109" s="240"/>
      <c r="AA109" s="240"/>
      <c r="AB109" s="240"/>
      <c r="AC109" s="240"/>
      <c r="AD109" s="240"/>
      <c r="AE109" s="240"/>
      <c r="AF109" s="240"/>
      <c r="AG109" s="240"/>
      <c r="AH109" s="240"/>
      <c r="AI109" s="240"/>
      <c r="AJ109" s="32" t="s">
        <v>19</v>
      </c>
    </row>
    <row r="110" spans="2:37" ht="12.6" thickBot="1" x14ac:dyDescent="0.3">
      <c r="B110" s="35"/>
      <c r="AI110" s="4"/>
      <c r="AJ110" s="34" t="s">
        <v>202</v>
      </c>
    </row>
    <row r="111" spans="2:37" ht="6.75" customHeight="1" thickTop="1" thickBot="1" x14ac:dyDescent="0.3">
      <c r="B111" s="2"/>
      <c r="C111" s="14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2"/>
      <c r="AK111" s="33"/>
    </row>
    <row r="112" spans="2:37" ht="13.2" hidden="1" thickTop="1" thickBot="1" x14ac:dyDescent="0.3">
      <c r="B112" s="2"/>
      <c r="C112" s="31" t="s">
        <v>199</v>
      </c>
      <c r="D112" s="30" t="s">
        <v>198</v>
      </c>
      <c r="E112" s="30" t="s">
        <v>197</v>
      </c>
      <c r="F112" s="30" t="s">
        <v>196</v>
      </c>
      <c r="G112" s="30" t="s">
        <v>195</v>
      </c>
      <c r="H112" s="30" t="s">
        <v>194</v>
      </c>
      <c r="I112" s="30" t="s">
        <v>193</v>
      </c>
      <c r="J112" s="30" t="s">
        <v>192</v>
      </c>
      <c r="K112" s="30" t="s">
        <v>191</v>
      </c>
      <c r="L112" s="30" t="s">
        <v>190</v>
      </c>
      <c r="M112" s="30" t="s">
        <v>189</v>
      </c>
      <c r="N112" s="30" t="s">
        <v>188</v>
      </c>
      <c r="O112" s="30" t="s">
        <v>187</v>
      </c>
      <c r="P112" s="30" t="s">
        <v>186</v>
      </c>
      <c r="Q112" s="30" t="s">
        <v>185</v>
      </c>
      <c r="R112" s="30" t="s">
        <v>184</v>
      </c>
      <c r="S112" s="30" t="s">
        <v>183</v>
      </c>
      <c r="T112" s="30" t="s">
        <v>182</v>
      </c>
      <c r="U112" s="30" t="s">
        <v>181</v>
      </c>
      <c r="V112" s="30" t="s">
        <v>180</v>
      </c>
      <c r="W112" s="30" t="s">
        <v>179</v>
      </c>
      <c r="X112" s="30" t="s">
        <v>178</v>
      </c>
      <c r="Y112" s="30" t="s">
        <v>177</v>
      </c>
      <c r="Z112" s="30" t="s">
        <v>176</v>
      </c>
      <c r="AA112" s="30" t="s">
        <v>175</v>
      </c>
      <c r="AB112" s="30" t="s">
        <v>174</v>
      </c>
      <c r="AC112" s="30" t="s">
        <v>173</v>
      </c>
      <c r="AD112" s="30" t="s">
        <v>172</v>
      </c>
      <c r="AE112" s="30" t="s">
        <v>171</v>
      </c>
      <c r="AF112" s="30" t="s">
        <v>170</v>
      </c>
      <c r="AG112" s="30" t="s">
        <v>169</v>
      </c>
      <c r="AH112" s="30" t="s">
        <v>168</v>
      </c>
      <c r="AI112" s="30" t="s">
        <v>167</v>
      </c>
      <c r="AJ112" s="29" t="s">
        <v>166</v>
      </c>
      <c r="AK112" s="2"/>
    </row>
    <row r="113" spans="2:37" ht="19.5" customHeight="1" thickTop="1" thickBot="1" x14ac:dyDescent="0.3">
      <c r="B113" s="28"/>
      <c r="C113" s="27" t="str">
        <f>DADOS!$AD$3</f>
        <v>📝 CDB</v>
      </c>
      <c r="D113" s="26" t="str">
        <f>IF(investirrendafixaconsolidadonov[[#This Row],[TOTAL (R$)]]=0,"",IF(OR(investirrendafixaconsolidadonov[[#This Row],[TOTAL (R$)]]=LARGE($AJ$113:$AJ$122,1),investirrendafixaconsolidadonov[[#This Row],[TOTAL (R$)]]=LARGE($AJ$113:$AJ$122,2)),DADOS!$I$10,""))</f>
        <v/>
      </c>
      <c r="E113" s="96">
        <f>SUMIFS(tabela_registros[VALOR],tabela_registros[MÊS],$AE$1,tabela_registros[DIA],investirrendafixaconsolidadonov[[#Headers],[1]],tabela_registros[REGISTRO],DADOS!$N$5,tabela_registros[TIPO],DADOS!$AB$3,tabela_registros[CATEGORIA],investirrendafixaconsolidadonov[[#This Row],[ATUAL]])</f>
        <v>0</v>
      </c>
      <c r="F113" s="91">
        <f>SUMIFS(tabela_registros[VALOR],tabela_registros[MÊS],$AE$1,tabela_registros[DIA],investirrendafixaconsolidadonov[[#Headers],[2]],tabela_registros[REGISTRO],DADOS!$N$5,tabela_registros[TIPO],DADOS!$AB$3,tabela_registros[CATEGORIA],investirrendafixaconsolidadonov[[#This Row],[ATUAL]])</f>
        <v>0</v>
      </c>
      <c r="G113" s="91">
        <f>SUMIFS(tabela_registros[VALOR],tabela_registros[MÊS],$AE$1,tabela_registros[DIA],investirrendafixaconsolidadonov[[#Headers],[3]],tabela_registros[REGISTRO],DADOS!$N$5,tabela_registros[TIPO],DADOS!$AB$3,tabela_registros[CATEGORIA],investirrendafixaconsolidadonov[[#This Row],[ATUAL]])</f>
        <v>0</v>
      </c>
      <c r="H113" s="91">
        <f>SUMIFS(tabela_registros[VALOR],tabela_registros[MÊS],$AE$1,tabela_registros[DIA],investirrendafixaconsolidadonov[[#Headers],[4]],tabela_registros[REGISTRO],DADOS!$N$5,tabela_registros[TIPO],DADOS!$AB$3,tabela_registros[CATEGORIA],investirrendafixaconsolidadonov[[#This Row],[ATUAL]])</f>
        <v>0</v>
      </c>
      <c r="I113" s="91">
        <f>SUMIFS(tabela_registros[VALOR],tabela_registros[MÊS],$AE$1,tabela_registros[DIA],investirrendafixaconsolidadonov[[#Headers],[5]],tabela_registros[REGISTRO],DADOS!$N$5,tabela_registros[TIPO],DADOS!$AB$3,tabela_registros[CATEGORIA],investirrendafixaconsolidadonov[[#This Row],[ATUAL]])</f>
        <v>0</v>
      </c>
      <c r="J113" s="91">
        <f>SUMIFS(tabela_registros[VALOR],tabela_registros[MÊS],$AE$1,tabela_registros[DIA],investirrendafixaconsolidadonov[[#Headers],[6]],tabela_registros[REGISTRO],DADOS!$N$5,tabela_registros[TIPO],DADOS!$AB$3,tabela_registros[CATEGORIA],investirrendafixaconsolidadonov[[#This Row],[ATUAL]])</f>
        <v>0</v>
      </c>
      <c r="K113" s="91">
        <f>SUMIFS(tabela_registros[VALOR],tabela_registros[MÊS],$AE$1,tabela_registros[DIA],investirrendafixaconsolidadonov[[#Headers],[7]],tabela_registros[REGISTRO],DADOS!$N$5,tabela_registros[TIPO],DADOS!$AB$3,tabela_registros[CATEGORIA],investirrendafixaconsolidadonov[[#This Row],[ATUAL]])</f>
        <v>0</v>
      </c>
      <c r="L113" s="91">
        <f>SUMIFS(tabela_registros[VALOR],tabela_registros[MÊS],$AE$1,tabela_registros[DIA],investirrendafixaconsolidadonov[[#Headers],[8]],tabela_registros[REGISTRO],DADOS!$N$5,tabela_registros[TIPO],DADOS!$AB$3,tabela_registros[CATEGORIA],investirrendafixaconsolidadonov[[#This Row],[ATUAL]])</f>
        <v>0</v>
      </c>
      <c r="M113" s="91">
        <f>SUMIFS(tabela_registros[VALOR],tabela_registros[MÊS],$AE$1,tabela_registros[DIA],investirrendafixaconsolidadonov[[#Headers],[9]],tabela_registros[REGISTRO],DADOS!$N$5,tabela_registros[TIPO],DADOS!$AB$3,tabela_registros[CATEGORIA],investirrendafixaconsolidadonov[[#This Row],[ATUAL]])</f>
        <v>0</v>
      </c>
      <c r="N113" s="91">
        <f>SUMIFS(tabela_registros[VALOR],tabela_registros[MÊS],$AE$1,tabela_registros[DIA],investirrendafixaconsolidadonov[[#Headers],[10]],tabela_registros[REGISTRO],DADOS!$N$5,tabela_registros[TIPO],DADOS!$AB$3,tabela_registros[CATEGORIA],investirrendafixaconsolidadonov[[#This Row],[ATUAL]])</f>
        <v>0</v>
      </c>
      <c r="O113" s="91">
        <f>SUMIFS(tabela_registros[VALOR],tabela_registros[MÊS],$AE$1,tabela_registros[DIA],investirrendafixaconsolidadonov[[#Headers],[11]],tabela_registros[REGISTRO],DADOS!$N$5,tabela_registros[TIPO],DADOS!$AB$3,tabela_registros[CATEGORIA],investirrendafixaconsolidadonov[[#This Row],[ATUAL]])</f>
        <v>0</v>
      </c>
      <c r="P113" s="91">
        <f>SUMIFS(tabela_registros[VALOR],tabela_registros[MÊS],$AE$1,tabela_registros[DIA],investirrendafixaconsolidadonov[[#Headers],[12]],tabela_registros[REGISTRO],DADOS!$N$5,tabela_registros[TIPO],DADOS!$AB$3,tabela_registros[CATEGORIA],investirrendafixaconsolidadonov[[#This Row],[ATUAL]])</f>
        <v>0</v>
      </c>
      <c r="Q113" s="91">
        <f>SUMIFS(tabela_registros[VALOR],tabela_registros[MÊS],$AE$1,tabela_registros[DIA],investirrendafixaconsolidadonov[[#Headers],[13]],tabela_registros[REGISTRO],DADOS!$N$5,tabela_registros[TIPO],DADOS!$AB$3,tabela_registros[CATEGORIA],investirrendafixaconsolidadonov[[#This Row],[ATUAL]])</f>
        <v>0</v>
      </c>
      <c r="R113" s="91">
        <f>SUMIFS(tabela_registros[VALOR],tabela_registros[MÊS],$AE$1,tabela_registros[DIA],investirrendafixaconsolidadonov[[#Headers],[14]],tabela_registros[REGISTRO],DADOS!$N$5,tabela_registros[TIPO],DADOS!$AB$3,tabela_registros[CATEGORIA],investirrendafixaconsolidadonov[[#This Row],[ATUAL]])</f>
        <v>0</v>
      </c>
      <c r="S113" s="91">
        <f>SUMIFS(tabela_registros[VALOR],tabela_registros[MÊS],$AE$1,tabela_registros[DIA],investirrendafixaconsolidadonov[[#Headers],[15]],tabela_registros[REGISTRO],DADOS!$N$5,tabela_registros[TIPO],DADOS!$AB$3,tabela_registros[CATEGORIA],investirrendafixaconsolidadonov[[#This Row],[ATUAL]])</f>
        <v>0</v>
      </c>
      <c r="T113" s="91">
        <f>SUMIFS(tabela_registros[VALOR],tabela_registros[MÊS],$AE$1,tabela_registros[DIA],investirrendafixaconsolidadonov[[#Headers],[16]],tabela_registros[REGISTRO],DADOS!$N$5,tabela_registros[TIPO],DADOS!$AB$3,tabela_registros[CATEGORIA],investirrendafixaconsolidadonov[[#This Row],[ATUAL]])</f>
        <v>0</v>
      </c>
      <c r="U113" s="91">
        <f>SUMIFS(tabela_registros[VALOR],tabela_registros[MÊS],$AE$1,tabela_registros[DIA],investirrendafixaconsolidadonov[[#Headers],[17]],tabela_registros[REGISTRO],DADOS!$N$5,tabela_registros[TIPO],DADOS!$AB$3,tabela_registros[CATEGORIA],investirrendafixaconsolidadonov[[#This Row],[ATUAL]])</f>
        <v>0</v>
      </c>
      <c r="V113" s="91">
        <f>SUMIFS(tabela_registros[VALOR],tabela_registros[MÊS],$AE$1,tabela_registros[DIA],investirrendafixaconsolidadonov[[#Headers],[18]],tabela_registros[REGISTRO],DADOS!$N$5,tabela_registros[TIPO],DADOS!$AB$3,tabela_registros[CATEGORIA],investirrendafixaconsolidadonov[[#This Row],[ATUAL]])</f>
        <v>0</v>
      </c>
      <c r="W113" s="91">
        <f>SUMIFS(tabela_registros[VALOR],tabela_registros[MÊS],$AE$1,tabela_registros[DIA],investirrendafixaconsolidadonov[[#Headers],[19]],tabela_registros[REGISTRO],DADOS!$N$5,tabela_registros[TIPO],DADOS!$AB$3,tabela_registros[CATEGORIA],investirrendafixaconsolidadonov[[#This Row],[ATUAL]])</f>
        <v>0</v>
      </c>
      <c r="X113" s="91">
        <f>SUMIFS(tabela_registros[VALOR],tabela_registros[MÊS],$AE$1,tabela_registros[DIA],investirrendafixaconsolidadonov[[#Headers],[20]],tabela_registros[REGISTRO],DADOS!$N$5,tabela_registros[TIPO],DADOS!$AB$3,tabela_registros[CATEGORIA],investirrendafixaconsolidadonov[[#This Row],[ATUAL]])</f>
        <v>0</v>
      </c>
      <c r="Y113" s="91">
        <f>SUMIFS(tabela_registros[VALOR],tabela_registros[MÊS],$AE$1,tabela_registros[DIA],investirrendafixaconsolidadonov[[#Headers],[21]],tabela_registros[REGISTRO],DADOS!$N$5,tabela_registros[TIPO],DADOS!$AB$3,tabela_registros[CATEGORIA],investirrendafixaconsolidadonov[[#This Row],[ATUAL]])</f>
        <v>0</v>
      </c>
      <c r="Z113" s="91">
        <f>SUMIFS(tabela_registros[VALOR],tabela_registros[MÊS],$AE$1,tabela_registros[DIA],investirrendafixaconsolidadonov[[#Headers],[22]],tabela_registros[REGISTRO],DADOS!$N$5,tabela_registros[TIPO],DADOS!$AB$3,tabela_registros[CATEGORIA],investirrendafixaconsolidadonov[[#This Row],[ATUAL]])</f>
        <v>0</v>
      </c>
      <c r="AA113" s="91">
        <f>SUMIFS(tabela_registros[VALOR],tabela_registros[MÊS],$AE$1,tabela_registros[DIA],investirrendafixaconsolidadonov[[#Headers],[23]],tabela_registros[REGISTRO],DADOS!$N$5,tabela_registros[TIPO],DADOS!$AB$3,tabela_registros[CATEGORIA],investirrendafixaconsolidadonov[[#This Row],[ATUAL]])</f>
        <v>0</v>
      </c>
      <c r="AB113" s="91">
        <f>SUMIFS(tabela_registros[VALOR],tabela_registros[MÊS],$AE$1,tabela_registros[DIA],investirrendafixaconsolidadonov[[#Headers],[24]],tabela_registros[REGISTRO],DADOS!$N$5,tabela_registros[TIPO],DADOS!$AB$3,tabela_registros[CATEGORIA],investirrendafixaconsolidadonov[[#This Row],[ATUAL]])</f>
        <v>0</v>
      </c>
      <c r="AC113" s="91">
        <f>SUMIFS(tabela_registros[VALOR],tabela_registros[MÊS],$AE$1,tabela_registros[DIA],investirrendafixaconsolidadonov[[#Headers],[25]],tabela_registros[REGISTRO],DADOS!$N$5,tabela_registros[TIPO],DADOS!$AB$3,tabela_registros[CATEGORIA],investirrendafixaconsolidadonov[[#This Row],[ATUAL]])</f>
        <v>0</v>
      </c>
      <c r="AD113" s="91">
        <f>SUMIFS(tabela_registros[VALOR],tabela_registros[MÊS],$AE$1,tabela_registros[DIA],investirrendafixaconsolidadonov[[#Headers],[26]],tabela_registros[REGISTRO],DADOS!$N$5,tabela_registros[TIPO],DADOS!$AB$3,tabela_registros[CATEGORIA],investirrendafixaconsolidadonov[[#This Row],[ATUAL]])</f>
        <v>0</v>
      </c>
      <c r="AE113" s="91">
        <f>SUMIFS(tabela_registros[VALOR],tabela_registros[MÊS],$AE$1,tabela_registros[DIA],investirrendafixaconsolidadonov[[#Headers],[27]],tabela_registros[REGISTRO],DADOS!$N$5,tabela_registros[TIPO],DADOS!$AB$3,tabela_registros[CATEGORIA],investirrendafixaconsolidadonov[[#This Row],[ATUAL]])</f>
        <v>0</v>
      </c>
      <c r="AF113" s="91">
        <f>SUMIFS(tabela_registros[VALOR],tabela_registros[MÊS],$AE$1,tabela_registros[DIA],investirrendafixaconsolidadonov[[#Headers],[28]],tabela_registros[REGISTRO],DADOS!$N$5,tabela_registros[TIPO],DADOS!$AB$3,tabela_registros[CATEGORIA],investirrendafixaconsolidadonov[[#This Row],[ATUAL]])</f>
        <v>0</v>
      </c>
      <c r="AG113" s="91">
        <f>SUMIFS(tabela_registros[VALOR],tabela_registros[MÊS],$AE$1,tabela_registros[DIA],investirrendafixaconsolidadonov[[#Headers],[29]],tabela_registros[REGISTRO],DADOS!$N$5,tabela_registros[TIPO],DADOS!$AB$3,tabela_registros[CATEGORIA],investirrendafixaconsolidadonov[[#This Row],[ATUAL]])</f>
        <v>0</v>
      </c>
      <c r="AH113" s="91">
        <f>SUMIFS(tabela_registros[VALOR],tabela_registros[MÊS],$AE$1,tabela_registros[DIA],investirrendafixaconsolidadonov[[#Headers],[30]],tabela_registros[REGISTRO],DADOS!$N$5,tabela_registros[TIPO],DADOS!$AB$3,tabela_registros[CATEGORIA],investirrendafixaconsolidadonov[[#This Row],[ATUAL]])</f>
        <v>0</v>
      </c>
      <c r="AI113" s="101">
        <f>SUMIFS(tabela_registros[VALOR],tabela_registros[MÊS],$AE$1,tabela_registros[DIA],investirrendafixaconsolidadonov[[#Headers],[31]],tabela_registros[REGISTRO],DADOS!$N$5,tabela_registros[TIPO],DADOS!$AB$3,tabela_registros[CATEGORIA],investirrendafixaconsolidadonov[[#This Row],[ATUAL]])</f>
        <v>0</v>
      </c>
      <c r="AJ113" s="97">
        <f>SUM(investirrendafixaconsolidadonov[[#This Row],[1]:[31]])</f>
        <v>0</v>
      </c>
      <c r="AK113" s="25"/>
    </row>
    <row r="114" spans="2:37" ht="19.5" customHeight="1" thickTop="1" thickBot="1" x14ac:dyDescent="0.3">
      <c r="B114" s="28"/>
      <c r="C114" s="27" t="str">
        <f>DADOS!$AD$4</f>
        <v>📝 CRA</v>
      </c>
      <c r="D114" s="26" t="str">
        <f>IF(investirrendafixaconsolidadonov[[#This Row],[TOTAL (R$)]]=0,"",IF(OR(investirrendafixaconsolidadonov[[#This Row],[TOTAL (R$)]]=LARGE($AJ$113:$AJ$122,1),investirrendafixaconsolidadonov[[#This Row],[TOTAL (R$)]]=LARGE($AJ$113:$AJ$122,2)),DADOS!$I$10,""))</f>
        <v/>
      </c>
      <c r="E114" s="96">
        <f>SUMIFS(tabela_registros[VALOR],tabela_registros[MÊS],$AE$1,tabela_registros[DIA],investirrendafixaconsolidadonov[[#Headers],[1]],tabela_registros[REGISTRO],DADOS!$N$5,tabela_registros[TIPO],DADOS!$AB$3,tabela_registros[CATEGORIA],investirrendafixaconsolidadonov[[#This Row],[ATUAL]])</f>
        <v>0</v>
      </c>
      <c r="F114" s="91">
        <f>SUMIFS(tabela_registros[VALOR],tabela_registros[MÊS],$AE$1,tabela_registros[DIA],investirrendafixaconsolidadonov[[#Headers],[2]],tabela_registros[REGISTRO],DADOS!$N$5,tabela_registros[TIPO],DADOS!$AB$3,tabela_registros[CATEGORIA],investirrendafixaconsolidadonov[[#This Row],[ATUAL]])</f>
        <v>0</v>
      </c>
      <c r="G114" s="91">
        <f>SUMIFS(tabela_registros[VALOR],tabela_registros[MÊS],$AE$1,tabela_registros[DIA],investirrendafixaconsolidadonov[[#Headers],[3]],tabela_registros[REGISTRO],DADOS!$N$5,tabela_registros[TIPO],DADOS!$AB$3,tabela_registros[CATEGORIA],investirrendafixaconsolidadonov[[#This Row],[ATUAL]])</f>
        <v>0</v>
      </c>
      <c r="H114" s="91">
        <f>SUMIFS(tabela_registros[VALOR],tabela_registros[MÊS],$AE$1,tabela_registros[DIA],investirrendafixaconsolidadonov[[#Headers],[4]],tabela_registros[REGISTRO],DADOS!$N$5,tabela_registros[TIPO],DADOS!$AB$3,tabela_registros[CATEGORIA],investirrendafixaconsolidadonov[[#This Row],[ATUAL]])</f>
        <v>0</v>
      </c>
      <c r="I114" s="91">
        <f>SUMIFS(tabela_registros[VALOR],tabela_registros[MÊS],$AE$1,tabela_registros[DIA],investirrendafixaconsolidadonov[[#Headers],[5]],tabela_registros[REGISTRO],DADOS!$N$5,tabela_registros[TIPO],DADOS!$AB$3,tabela_registros[CATEGORIA],investirrendafixaconsolidadonov[[#This Row],[ATUAL]])</f>
        <v>0</v>
      </c>
      <c r="J114" s="91">
        <f>SUMIFS(tabela_registros[VALOR],tabela_registros[MÊS],$AE$1,tabela_registros[DIA],investirrendafixaconsolidadonov[[#Headers],[6]],tabela_registros[REGISTRO],DADOS!$N$5,tabela_registros[TIPO],DADOS!$AB$3,tabela_registros[CATEGORIA],investirrendafixaconsolidadonov[[#This Row],[ATUAL]])</f>
        <v>0</v>
      </c>
      <c r="K114" s="91">
        <f>SUMIFS(tabela_registros[VALOR],tabela_registros[MÊS],$AE$1,tabela_registros[DIA],investirrendafixaconsolidadonov[[#Headers],[7]],tabela_registros[REGISTRO],DADOS!$N$5,tabela_registros[TIPO],DADOS!$AB$3,tabela_registros[CATEGORIA],investirrendafixaconsolidadonov[[#This Row],[ATUAL]])</f>
        <v>0</v>
      </c>
      <c r="L114" s="91">
        <f>SUMIFS(tabela_registros[VALOR],tabela_registros[MÊS],$AE$1,tabela_registros[DIA],investirrendafixaconsolidadonov[[#Headers],[8]],tabela_registros[REGISTRO],DADOS!$N$5,tabela_registros[TIPO],DADOS!$AB$3,tabela_registros[CATEGORIA],investirrendafixaconsolidadonov[[#This Row],[ATUAL]])</f>
        <v>0</v>
      </c>
      <c r="M114" s="91">
        <f>SUMIFS(tabela_registros[VALOR],tabela_registros[MÊS],$AE$1,tabela_registros[DIA],investirrendafixaconsolidadonov[[#Headers],[9]],tabela_registros[REGISTRO],DADOS!$N$5,tabela_registros[TIPO],DADOS!$AB$3,tabela_registros[CATEGORIA],investirrendafixaconsolidadonov[[#This Row],[ATUAL]])</f>
        <v>0</v>
      </c>
      <c r="N114" s="91">
        <f>SUMIFS(tabela_registros[VALOR],tabela_registros[MÊS],$AE$1,tabela_registros[DIA],investirrendafixaconsolidadonov[[#Headers],[10]],tabela_registros[REGISTRO],DADOS!$N$5,tabela_registros[TIPO],DADOS!$AB$3,tabela_registros[CATEGORIA],investirrendafixaconsolidadonov[[#This Row],[ATUAL]])</f>
        <v>0</v>
      </c>
      <c r="O114" s="91">
        <f>SUMIFS(tabela_registros[VALOR],tabela_registros[MÊS],$AE$1,tabela_registros[DIA],investirrendafixaconsolidadonov[[#Headers],[11]],tabela_registros[REGISTRO],DADOS!$N$5,tabela_registros[TIPO],DADOS!$AB$3,tabela_registros[CATEGORIA],investirrendafixaconsolidadonov[[#This Row],[ATUAL]])</f>
        <v>0</v>
      </c>
      <c r="P114" s="91">
        <f>SUMIFS(tabela_registros[VALOR],tabela_registros[MÊS],$AE$1,tabela_registros[DIA],investirrendafixaconsolidadonov[[#Headers],[12]],tabela_registros[REGISTRO],DADOS!$N$5,tabela_registros[TIPO],DADOS!$AB$3,tabela_registros[CATEGORIA],investirrendafixaconsolidadonov[[#This Row],[ATUAL]])</f>
        <v>0</v>
      </c>
      <c r="Q114" s="91">
        <f>SUMIFS(tabela_registros[VALOR],tabela_registros[MÊS],$AE$1,tabela_registros[DIA],investirrendafixaconsolidadonov[[#Headers],[13]],tabela_registros[REGISTRO],DADOS!$N$5,tabela_registros[TIPO],DADOS!$AB$3,tabela_registros[CATEGORIA],investirrendafixaconsolidadonov[[#This Row],[ATUAL]])</f>
        <v>0</v>
      </c>
      <c r="R114" s="91">
        <f>SUMIFS(tabela_registros[VALOR],tabela_registros[MÊS],$AE$1,tabela_registros[DIA],investirrendafixaconsolidadonov[[#Headers],[14]],tabela_registros[REGISTRO],DADOS!$N$5,tabela_registros[TIPO],DADOS!$AB$3,tabela_registros[CATEGORIA],investirrendafixaconsolidadonov[[#This Row],[ATUAL]])</f>
        <v>0</v>
      </c>
      <c r="S114" s="91">
        <f>SUMIFS(tabela_registros[VALOR],tabela_registros[MÊS],$AE$1,tabela_registros[DIA],investirrendafixaconsolidadonov[[#Headers],[15]],tabela_registros[REGISTRO],DADOS!$N$5,tabela_registros[TIPO],DADOS!$AB$3,tabela_registros[CATEGORIA],investirrendafixaconsolidadonov[[#This Row],[ATUAL]])</f>
        <v>0</v>
      </c>
      <c r="T114" s="91">
        <f>SUMIFS(tabela_registros[VALOR],tabela_registros[MÊS],$AE$1,tabela_registros[DIA],investirrendafixaconsolidadonov[[#Headers],[16]],tabela_registros[REGISTRO],DADOS!$N$5,tabela_registros[TIPO],DADOS!$AB$3,tabela_registros[CATEGORIA],investirrendafixaconsolidadonov[[#This Row],[ATUAL]])</f>
        <v>0</v>
      </c>
      <c r="U114" s="91">
        <f>SUMIFS(tabela_registros[VALOR],tabela_registros[MÊS],$AE$1,tabela_registros[DIA],investirrendafixaconsolidadonov[[#Headers],[17]],tabela_registros[REGISTRO],DADOS!$N$5,tabela_registros[TIPO],DADOS!$AB$3,tabela_registros[CATEGORIA],investirrendafixaconsolidadonov[[#This Row],[ATUAL]])</f>
        <v>0</v>
      </c>
      <c r="V114" s="91">
        <f>SUMIFS(tabela_registros[VALOR],tabela_registros[MÊS],$AE$1,tabela_registros[DIA],investirrendafixaconsolidadonov[[#Headers],[18]],tabela_registros[REGISTRO],DADOS!$N$5,tabela_registros[TIPO],DADOS!$AB$3,tabela_registros[CATEGORIA],investirrendafixaconsolidadonov[[#This Row],[ATUAL]])</f>
        <v>0</v>
      </c>
      <c r="W114" s="91">
        <f>SUMIFS(tabela_registros[VALOR],tabela_registros[MÊS],$AE$1,tabela_registros[DIA],investirrendafixaconsolidadonov[[#Headers],[19]],tabela_registros[REGISTRO],DADOS!$N$5,tabela_registros[TIPO],DADOS!$AB$3,tabela_registros[CATEGORIA],investirrendafixaconsolidadonov[[#This Row],[ATUAL]])</f>
        <v>0</v>
      </c>
      <c r="X114" s="91">
        <f>SUMIFS(tabela_registros[VALOR],tabela_registros[MÊS],$AE$1,tabela_registros[DIA],investirrendafixaconsolidadonov[[#Headers],[20]],tabela_registros[REGISTRO],DADOS!$N$5,tabela_registros[TIPO],DADOS!$AB$3,tabela_registros[CATEGORIA],investirrendafixaconsolidadonov[[#This Row],[ATUAL]])</f>
        <v>0</v>
      </c>
      <c r="Y114" s="91">
        <f>SUMIFS(tabela_registros[VALOR],tabela_registros[MÊS],$AE$1,tabela_registros[DIA],investirrendafixaconsolidadonov[[#Headers],[21]],tabela_registros[REGISTRO],DADOS!$N$5,tabela_registros[TIPO],DADOS!$AB$3,tabela_registros[CATEGORIA],investirrendafixaconsolidadonov[[#This Row],[ATUAL]])</f>
        <v>0</v>
      </c>
      <c r="Z114" s="91">
        <f>SUMIFS(tabela_registros[VALOR],tabela_registros[MÊS],$AE$1,tabela_registros[DIA],investirrendafixaconsolidadonov[[#Headers],[22]],tabela_registros[REGISTRO],DADOS!$N$5,tabela_registros[TIPO],DADOS!$AB$3,tabela_registros[CATEGORIA],investirrendafixaconsolidadonov[[#This Row],[ATUAL]])</f>
        <v>0</v>
      </c>
      <c r="AA114" s="91">
        <f>SUMIFS(tabela_registros[VALOR],tabela_registros[MÊS],$AE$1,tabela_registros[DIA],investirrendafixaconsolidadonov[[#Headers],[23]],tabela_registros[REGISTRO],DADOS!$N$5,tabela_registros[TIPO],DADOS!$AB$3,tabela_registros[CATEGORIA],investirrendafixaconsolidadonov[[#This Row],[ATUAL]])</f>
        <v>0</v>
      </c>
      <c r="AB114" s="91">
        <f>SUMIFS(tabela_registros[VALOR],tabela_registros[MÊS],$AE$1,tabela_registros[DIA],investirrendafixaconsolidadonov[[#Headers],[24]],tabela_registros[REGISTRO],DADOS!$N$5,tabela_registros[TIPO],DADOS!$AB$3,tabela_registros[CATEGORIA],investirrendafixaconsolidadonov[[#This Row],[ATUAL]])</f>
        <v>0</v>
      </c>
      <c r="AC114" s="91">
        <f>SUMIFS(tabela_registros[VALOR],tabela_registros[MÊS],$AE$1,tabela_registros[DIA],investirrendafixaconsolidadonov[[#Headers],[25]],tabela_registros[REGISTRO],DADOS!$N$5,tabela_registros[TIPO],DADOS!$AB$3,tabela_registros[CATEGORIA],investirrendafixaconsolidadonov[[#This Row],[ATUAL]])</f>
        <v>0</v>
      </c>
      <c r="AD114" s="91">
        <f>SUMIFS(tabela_registros[VALOR],tabela_registros[MÊS],$AE$1,tabela_registros[DIA],investirrendafixaconsolidadonov[[#Headers],[26]],tabela_registros[REGISTRO],DADOS!$N$5,tabela_registros[TIPO],DADOS!$AB$3,tabela_registros[CATEGORIA],investirrendafixaconsolidadonov[[#This Row],[ATUAL]])</f>
        <v>0</v>
      </c>
      <c r="AE114" s="91">
        <f>SUMIFS(tabela_registros[VALOR],tabela_registros[MÊS],$AE$1,tabela_registros[DIA],investirrendafixaconsolidadonov[[#Headers],[27]],tabela_registros[REGISTRO],DADOS!$N$5,tabela_registros[TIPO],DADOS!$AB$3,tabela_registros[CATEGORIA],investirrendafixaconsolidadonov[[#This Row],[ATUAL]])</f>
        <v>0</v>
      </c>
      <c r="AF114" s="91">
        <f>SUMIFS(tabela_registros[VALOR],tabela_registros[MÊS],$AE$1,tabela_registros[DIA],investirrendafixaconsolidadonov[[#Headers],[28]],tabela_registros[REGISTRO],DADOS!$N$5,tabela_registros[TIPO],DADOS!$AB$3,tabela_registros[CATEGORIA],investirrendafixaconsolidadonov[[#This Row],[ATUAL]])</f>
        <v>0</v>
      </c>
      <c r="AG114" s="91">
        <f>SUMIFS(tabela_registros[VALOR],tabela_registros[MÊS],$AE$1,tabela_registros[DIA],investirrendafixaconsolidadonov[[#Headers],[29]],tabela_registros[REGISTRO],DADOS!$N$5,tabela_registros[TIPO],DADOS!$AB$3,tabela_registros[CATEGORIA],investirrendafixaconsolidadonov[[#This Row],[ATUAL]])</f>
        <v>0</v>
      </c>
      <c r="AH114" s="91">
        <f>SUMIFS(tabela_registros[VALOR],tabela_registros[MÊS],$AE$1,tabela_registros[DIA],investirrendafixaconsolidadonov[[#Headers],[30]],tabela_registros[REGISTRO],DADOS!$N$5,tabela_registros[TIPO],DADOS!$AB$3,tabela_registros[CATEGORIA],investirrendafixaconsolidadonov[[#This Row],[ATUAL]])</f>
        <v>0</v>
      </c>
      <c r="AI114" s="101">
        <f>SUMIFS(tabela_registros[VALOR],tabela_registros[MÊS],$AE$1,tabela_registros[DIA],investirrendafixaconsolidadonov[[#Headers],[31]],tabela_registros[REGISTRO],DADOS!$N$5,tabela_registros[TIPO],DADOS!$AB$3,tabela_registros[CATEGORIA],investirrendafixaconsolidadonov[[#This Row],[ATUAL]])</f>
        <v>0</v>
      </c>
      <c r="AJ114" s="97">
        <f>SUM(investirrendafixaconsolidadonov[[#This Row],[1]:[31]])</f>
        <v>0</v>
      </c>
      <c r="AK114" s="25"/>
    </row>
    <row r="115" spans="2:37" ht="19.5" customHeight="1" thickTop="1" thickBot="1" x14ac:dyDescent="0.3">
      <c r="B115" s="28"/>
      <c r="C115" s="27" t="str">
        <f>DADOS!$AD$5</f>
        <v>📝 CRI</v>
      </c>
      <c r="D115" s="26" t="str">
        <f>IF(investirrendafixaconsolidadonov[[#This Row],[TOTAL (R$)]]=0,"",IF(OR(investirrendafixaconsolidadonov[[#This Row],[TOTAL (R$)]]=LARGE($AJ$113:$AJ$122,1),investirrendafixaconsolidadonov[[#This Row],[TOTAL (R$)]]=LARGE($AJ$113:$AJ$122,2)),DADOS!$I$10,""))</f>
        <v/>
      </c>
      <c r="E115" s="96">
        <f>SUMIFS(tabela_registros[VALOR],tabela_registros[MÊS],$AE$1,tabela_registros[DIA],investirrendafixaconsolidadonov[[#Headers],[1]],tabela_registros[REGISTRO],DADOS!$N$5,tabela_registros[TIPO],DADOS!$AB$3,tabela_registros[CATEGORIA],investirrendafixaconsolidadonov[[#This Row],[ATUAL]])</f>
        <v>0</v>
      </c>
      <c r="F115" s="91">
        <f>SUMIFS(tabela_registros[VALOR],tabela_registros[MÊS],$AE$1,tabela_registros[DIA],investirrendafixaconsolidadonov[[#Headers],[2]],tabela_registros[REGISTRO],DADOS!$N$5,tabela_registros[TIPO],DADOS!$AB$3,tabela_registros[CATEGORIA],investirrendafixaconsolidadonov[[#This Row],[ATUAL]])</f>
        <v>0</v>
      </c>
      <c r="G115" s="91">
        <f>SUMIFS(tabela_registros[VALOR],tabela_registros[MÊS],$AE$1,tabela_registros[DIA],investirrendafixaconsolidadonov[[#Headers],[3]],tabela_registros[REGISTRO],DADOS!$N$5,tabela_registros[TIPO],DADOS!$AB$3,tabela_registros[CATEGORIA],investirrendafixaconsolidadonov[[#This Row],[ATUAL]])</f>
        <v>0</v>
      </c>
      <c r="H115" s="91">
        <f>SUMIFS(tabela_registros[VALOR],tabela_registros[MÊS],$AE$1,tabela_registros[DIA],investirrendafixaconsolidadonov[[#Headers],[4]],tabela_registros[REGISTRO],DADOS!$N$5,tabela_registros[TIPO],DADOS!$AB$3,tabela_registros[CATEGORIA],investirrendafixaconsolidadonov[[#This Row],[ATUAL]])</f>
        <v>0</v>
      </c>
      <c r="I115" s="91">
        <f>SUMIFS(tabela_registros[VALOR],tabela_registros[MÊS],$AE$1,tabela_registros[DIA],investirrendafixaconsolidadonov[[#Headers],[5]],tabela_registros[REGISTRO],DADOS!$N$5,tabela_registros[TIPO],DADOS!$AB$3,tabela_registros[CATEGORIA],investirrendafixaconsolidadonov[[#This Row],[ATUAL]])</f>
        <v>0</v>
      </c>
      <c r="J115" s="91">
        <f>SUMIFS(tabela_registros[VALOR],tabela_registros[MÊS],$AE$1,tabela_registros[DIA],investirrendafixaconsolidadonov[[#Headers],[6]],tabela_registros[REGISTRO],DADOS!$N$5,tabela_registros[TIPO],DADOS!$AB$3,tabela_registros[CATEGORIA],investirrendafixaconsolidadonov[[#This Row],[ATUAL]])</f>
        <v>0</v>
      </c>
      <c r="K115" s="91">
        <f>SUMIFS(tabela_registros[VALOR],tabela_registros[MÊS],$AE$1,tabela_registros[DIA],investirrendafixaconsolidadonov[[#Headers],[7]],tabela_registros[REGISTRO],DADOS!$N$5,tabela_registros[TIPO],DADOS!$AB$3,tabela_registros[CATEGORIA],investirrendafixaconsolidadonov[[#This Row],[ATUAL]])</f>
        <v>0</v>
      </c>
      <c r="L115" s="91">
        <f>SUMIFS(tabela_registros[VALOR],tabela_registros[MÊS],$AE$1,tabela_registros[DIA],investirrendafixaconsolidadonov[[#Headers],[8]],tabela_registros[REGISTRO],DADOS!$N$5,tabela_registros[TIPO],DADOS!$AB$3,tabela_registros[CATEGORIA],investirrendafixaconsolidadonov[[#This Row],[ATUAL]])</f>
        <v>0</v>
      </c>
      <c r="M115" s="91">
        <f>SUMIFS(tabela_registros[VALOR],tabela_registros[MÊS],$AE$1,tabela_registros[DIA],investirrendafixaconsolidadonov[[#Headers],[9]],tabela_registros[REGISTRO],DADOS!$N$5,tabela_registros[TIPO],DADOS!$AB$3,tabela_registros[CATEGORIA],investirrendafixaconsolidadonov[[#This Row],[ATUAL]])</f>
        <v>0</v>
      </c>
      <c r="N115" s="91">
        <f>SUMIFS(tabela_registros[VALOR],tabela_registros[MÊS],$AE$1,tabela_registros[DIA],investirrendafixaconsolidadonov[[#Headers],[10]],tabela_registros[REGISTRO],DADOS!$N$5,tabela_registros[TIPO],DADOS!$AB$3,tabela_registros[CATEGORIA],investirrendafixaconsolidadonov[[#This Row],[ATUAL]])</f>
        <v>0</v>
      </c>
      <c r="O115" s="91">
        <f>SUMIFS(tabela_registros[VALOR],tabela_registros[MÊS],$AE$1,tabela_registros[DIA],investirrendafixaconsolidadonov[[#Headers],[11]],tabela_registros[REGISTRO],DADOS!$N$5,tabela_registros[TIPO],DADOS!$AB$3,tabela_registros[CATEGORIA],investirrendafixaconsolidadonov[[#This Row],[ATUAL]])</f>
        <v>0</v>
      </c>
      <c r="P115" s="91">
        <f>SUMIFS(tabela_registros[VALOR],tabela_registros[MÊS],$AE$1,tabela_registros[DIA],investirrendafixaconsolidadonov[[#Headers],[12]],tabela_registros[REGISTRO],DADOS!$N$5,tabela_registros[TIPO],DADOS!$AB$3,tabela_registros[CATEGORIA],investirrendafixaconsolidadonov[[#This Row],[ATUAL]])</f>
        <v>0</v>
      </c>
      <c r="Q115" s="91">
        <f>SUMIFS(tabela_registros[VALOR],tabela_registros[MÊS],$AE$1,tabela_registros[DIA],investirrendafixaconsolidadonov[[#Headers],[13]],tabela_registros[REGISTRO],DADOS!$N$5,tabela_registros[TIPO],DADOS!$AB$3,tabela_registros[CATEGORIA],investirrendafixaconsolidadonov[[#This Row],[ATUAL]])</f>
        <v>0</v>
      </c>
      <c r="R115" s="91">
        <f>SUMIFS(tabela_registros[VALOR],tabela_registros[MÊS],$AE$1,tabela_registros[DIA],investirrendafixaconsolidadonov[[#Headers],[14]],tabela_registros[REGISTRO],DADOS!$N$5,tabela_registros[TIPO],DADOS!$AB$3,tabela_registros[CATEGORIA],investirrendafixaconsolidadonov[[#This Row],[ATUAL]])</f>
        <v>0</v>
      </c>
      <c r="S115" s="91">
        <f>SUMIFS(tabela_registros[VALOR],tabela_registros[MÊS],$AE$1,tabela_registros[DIA],investirrendafixaconsolidadonov[[#Headers],[15]],tabela_registros[REGISTRO],DADOS!$N$5,tabela_registros[TIPO],DADOS!$AB$3,tabela_registros[CATEGORIA],investirrendafixaconsolidadonov[[#This Row],[ATUAL]])</f>
        <v>0</v>
      </c>
      <c r="T115" s="91">
        <f>SUMIFS(tabela_registros[VALOR],tabela_registros[MÊS],$AE$1,tabela_registros[DIA],investirrendafixaconsolidadonov[[#Headers],[16]],tabela_registros[REGISTRO],DADOS!$N$5,tabela_registros[TIPO],DADOS!$AB$3,tabela_registros[CATEGORIA],investirrendafixaconsolidadonov[[#This Row],[ATUAL]])</f>
        <v>0</v>
      </c>
      <c r="U115" s="91">
        <f>SUMIFS(tabela_registros[VALOR],tabela_registros[MÊS],$AE$1,tabela_registros[DIA],investirrendafixaconsolidadonov[[#Headers],[17]],tabela_registros[REGISTRO],DADOS!$N$5,tabela_registros[TIPO],DADOS!$AB$3,tabela_registros[CATEGORIA],investirrendafixaconsolidadonov[[#This Row],[ATUAL]])</f>
        <v>0</v>
      </c>
      <c r="V115" s="91">
        <f>SUMIFS(tabela_registros[VALOR],tabela_registros[MÊS],$AE$1,tabela_registros[DIA],investirrendafixaconsolidadonov[[#Headers],[18]],tabela_registros[REGISTRO],DADOS!$N$5,tabela_registros[TIPO],DADOS!$AB$3,tabela_registros[CATEGORIA],investirrendafixaconsolidadonov[[#This Row],[ATUAL]])</f>
        <v>0</v>
      </c>
      <c r="W115" s="91">
        <f>SUMIFS(tabela_registros[VALOR],tabela_registros[MÊS],$AE$1,tabela_registros[DIA],investirrendafixaconsolidadonov[[#Headers],[19]],tabela_registros[REGISTRO],DADOS!$N$5,tabela_registros[TIPO],DADOS!$AB$3,tabela_registros[CATEGORIA],investirrendafixaconsolidadonov[[#This Row],[ATUAL]])</f>
        <v>0</v>
      </c>
      <c r="X115" s="91">
        <f>SUMIFS(tabela_registros[VALOR],tabela_registros[MÊS],$AE$1,tabela_registros[DIA],investirrendafixaconsolidadonov[[#Headers],[20]],tabela_registros[REGISTRO],DADOS!$N$5,tabela_registros[TIPO],DADOS!$AB$3,tabela_registros[CATEGORIA],investirrendafixaconsolidadonov[[#This Row],[ATUAL]])</f>
        <v>0</v>
      </c>
      <c r="Y115" s="91">
        <f>SUMIFS(tabela_registros[VALOR],tabela_registros[MÊS],$AE$1,tabela_registros[DIA],investirrendafixaconsolidadonov[[#Headers],[21]],tabela_registros[REGISTRO],DADOS!$N$5,tabela_registros[TIPO],DADOS!$AB$3,tabela_registros[CATEGORIA],investirrendafixaconsolidadonov[[#This Row],[ATUAL]])</f>
        <v>0</v>
      </c>
      <c r="Z115" s="91">
        <f>SUMIFS(tabela_registros[VALOR],tabela_registros[MÊS],$AE$1,tabela_registros[DIA],investirrendafixaconsolidadonov[[#Headers],[22]],tabela_registros[REGISTRO],DADOS!$N$5,tabela_registros[TIPO],DADOS!$AB$3,tabela_registros[CATEGORIA],investirrendafixaconsolidadonov[[#This Row],[ATUAL]])</f>
        <v>0</v>
      </c>
      <c r="AA115" s="91">
        <f>SUMIFS(tabela_registros[VALOR],tabela_registros[MÊS],$AE$1,tabela_registros[DIA],investirrendafixaconsolidadonov[[#Headers],[23]],tabela_registros[REGISTRO],DADOS!$N$5,tabela_registros[TIPO],DADOS!$AB$3,tabela_registros[CATEGORIA],investirrendafixaconsolidadonov[[#This Row],[ATUAL]])</f>
        <v>0</v>
      </c>
      <c r="AB115" s="91">
        <f>SUMIFS(tabela_registros[VALOR],tabela_registros[MÊS],$AE$1,tabela_registros[DIA],investirrendafixaconsolidadonov[[#Headers],[24]],tabela_registros[REGISTRO],DADOS!$N$5,tabela_registros[TIPO],DADOS!$AB$3,tabela_registros[CATEGORIA],investirrendafixaconsolidadonov[[#This Row],[ATUAL]])</f>
        <v>0</v>
      </c>
      <c r="AC115" s="91">
        <f>SUMIFS(tabela_registros[VALOR],tabela_registros[MÊS],$AE$1,tabela_registros[DIA],investirrendafixaconsolidadonov[[#Headers],[25]],tabela_registros[REGISTRO],DADOS!$N$5,tabela_registros[TIPO],DADOS!$AB$3,tabela_registros[CATEGORIA],investirrendafixaconsolidadonov[[#This Row],[ATUAL]])</f>
        <v>0</v>
      </c>
      <c r="AD115" s="91">
        <f>SUMIFS(tabela_registros[VALOR],tabela_registros[MÊS],$AE$1,tabela_registros[DIA],investirrendafixaconsolidadonov[[#Headers],[26]],tabela_registros[REGISTRO],DADOS!$N$5,tabela_registros[TIPO],DADOS!$AB$3,tabela_registros[CATEGORIA],investirrendafixaconsolidadonov[[#This Row],[ATUAL]])</f>
        <v>0</v>
      </c>
      <c r="AE115" s="91">
        <f>SUMIFS(tabela_registros[VALOR],tabela_registros[MÊS],$AE$1,tabela_registros[DIA],investirrendafixaconsolidadonov[[#Headers],[27]],tabela_registros[REGISTRO],DADOS!$N$5,tabela_registros[TIPO],DADOS!$AB$3,tabela_registros[CATEGORIA],investirrendafixaconsolidadonov[[#This Row],[ATUAL]])</f>
        <v>0</v>
      </c>
      <c r="AF115" s="91">
        <f>SUMIFS(tabela_registros[VALOR],tabela_registros[MÊS],$AE$1,tabela_registros[DIA],investirrendafixaconsolidadonov[[#Headers],[28]],tabela_registros[REGISTRO],DADOS!$N$5,tabela_registros[TIPO],DADOS!$AB$3,tabela_registros[CATEGORIA],investirrendafixaconsolidadonov[[#This Row],[ATUAL]])</f>
        <v>0</v>
      </c>
      <c r="AG115" s="91">
        <f>SUMIFS(tabela_registros[VALOR],tabela_registros[MÊS],$AE$1,tabela_registros[DIA],investirrendafixaconsolidadonov[[#Headers],[29]],tabela_registros[REGISTRO],DADOS!$N$5,tabela_registros[TIPO],DADOS!$AB$3,tabela_registros[CATEGORIA],investirrendafixaconsolidadonov[[#This Row],[ATUAL]])</f>
        <v>0</v>
      </c>
      <c r="AH115" s="91">
        <f>SUMIFS(tabela_registros[VALOR],tabela_registros[MÊS],$AE$1,tabela_registros[DIA],investirrendafixaconsolidadonov[[#Headers],[30]],tabela_registros[REGISTRO],DADOS!$N$5,tabela_registros[TIPO],DADOS!$AB$3,tabela_registros[CATEGORIA],investirrendafixaconsolidadonov[[#This Row],[ATUAL]])</f>
        <v>0</v>
      </c>
      <c r="AI115" s="101">
        <f>SUMIFS(tabela_registros[VALOR],tabela_registros[MÊS],$AE$1,tabela_registros[DIA],investirrendafixaconsolidadonov[[#Headers],[31]],tabela_registros[REGISTRO],DADOS!$N$5,tabela_registros[TIPO],DADOS!$AB$3,tabela_registros[CATEGORIA],investirrendafixaconsolidadonov[[#This Row],[ATUAL]])</f>
        <v>0</v>
      </c>
      <c r="AJ115" s="97">
        <f>SUM(investirrendafixaconsolidadonov[[#This Row],[1]:[31]])</f>
        <v>0</v>
      </c>
      <c r="AK115" s="25"/>
    </row>
    <row r="116" spans="2:37" ht="19.5" customHeight="1" thickTop="1" thickBot="1" x14ac:dyDescent="0.3">
      <c r="B116" s="28"/>
      <c r="C116" s="27" t="str">
        <f>DADOS!$AD$6</f>
        <v>📝 DEBÊNTURE</v>
      </c>
      <c r="D116" s="26" t="str">
        <f>IF(investirrendafixaconsolidadonov[[#This Row],[TOTAL (R$)]]=0,"",IF(OR(investirrendafixaconsolidadonov[[#This Row],[TOTAL (R$)]]=LARGE($AJ$113:$AJ$122,1),investirrendafixaconsolidadonov[[#This Row],[TOTAL (R$)]]=LARGE($AJ$113:$AJ$122,2)),DADOS!$I$10,""))</f>
        <v/>
      </c>
      <c r="E116" s="96">
        <f>SUMIFS(tabela_registros[VALOR],tabela_registros[MÊS],$AE$1,tabela_registros[DIA],investirrendafixaconsolidadonov[[#Headers],[1]],tabela_registros[REGISTRO],DADOS!$N$5,tabela_registros[TIPO],DADOS!$AB$3,tabela_registros[CATEGORIA],investirrendafixaconsolidadonov[[#This Row],[ATUAL]])</f>
        <v>0</v>
      </c>
      <c r="F116" s="91">
        <f>SUMIFS(tabela_registros[VALOR],tabela_registros[MÊS],$AE$1,tabela_registros[DIA],investirrendafixaconsolidadonov[[#Headers],[2]],tabela_registros[REGISTRO],DADOS!$N$5,tabela_registros[TIPO],DADOS!$AB$3,tabela_registros[CATEGORIA],investirrendafixaconsolidadonov[[#This Row],[ATUAL]])</f>
        <v>0</v>
      </c>
      <c r="G116" s="91">
        <f>SUMIFS(tabela_registros[VALOR],tabela_registros[MÊS],$AE$1,tabela_registros[DIA],investirrendafixaconsolidadonov[[#Headers],[3]],tabela_registros[REGISTRO],DADOS!$N$5,tabela_registros[TIPO],DADOS!$AB$3,tabela_registros[CATEGORIA],investirrendafixaconsolidadonov[[#This Row],[ATUAL]])</f>
        <v>0</v>
      </c>
      <c r="H116" s="91">
        <f>SUMIFS(tabela_registros[VALOR],tabela_registros[MÊS],$AE$1,tabela_registros[DIA],investirrendafixaconsolidadonov[[#Headers],[4]],tabela_registros[REGISTRO],DADOS!$N$5,tabela_registros[TIPO],DADOS!$AB$3,tabela_registros[CATEGORIA],investirrendafixaconsolidadonov[[#This Row],[ATUAL]])</f>
        <v>0</v>
      </c>
      <c r="I116" s="91">
        <f>SUMIFS(tabela_registros[VALOR],tabela_registros[MÊS],$AE$1,tabela_registros[DIA],investirrendafixaconsolidadonov[[#Headers],[5]],tabela_registros[REGISTRO],DADOS!$N$5,tabela_registros[TIPO],DADOS!$AB$3,tabela_registros[CATEGORIA],investirrendafixaconsolidadonov[[#This Row],[ATUAL]])</f>
        <v>0</v>
      </c>
      <c r="J116" s="91">
        <f>SUMIFS(tabela_registros[VALOR],tabela_registros[MÊS],$AE$1,tabela_registros[DIA],investirrendafixaconsolidadonov[[#Headers],[6]],tabela_registros[REGISTRO],DADOS!$N$5,tabela_registros[TIPO],DADOS!$AB$3,tabela_registros[CATEGORIA],investirrendafixaconsolidadonov[[#This Row],[ATUAL]])</f>
        <v>0</v>
      </c>
      <c r="K116" s="91">
        <f>SUMIFS(tabela_registros[VALOR],tabela_registros[MÊS],$AE$1,tabela_registros[DIA],investirrendafixaconsolidadonov[[#Headers],[7]],tabela_registros[REGISTRO],DADOS!$N$5,tabela_registros[TIPO],DADOS!$AB$3,tabela_registros[CATEGORIA],investirrendafixaconsolidadonov[[#This Row],[ATUAL]])</f>
        <v>0</v>
      </c>
      <c r="L116" s="91">
        <f>SUMIFS(tabela_registros[VALOR],tabela_registros[MÊS],$AE$1,tabela_registros[DIA],investirrendafixaconsolidadonov[[#Headers],[8]],tabela_registros[REGISTRO],DADOS!$N$5,tabela_registros[TIPO],DADOS!$AB$3,tabela_registros[CATEGORIA],investirrendafixaconsolidadonov[[#This Row],[ATUAL]])</f>
        <v>0</v>
      </c>
      <c r="M116" s="91">
        <f>SUMIFS(tabela_registros[VALOR],tabela_registros[MÊS],$AE$1,tabela_registros[DIA],investirrendafixaconsolidadonov[[#Headers],[9]],tabela_registros[REGISTRO],DADOS!$N$5,tabela_registros[TIPO],DADOS!$AB$3,tabela_registros[CATEGORIA],investirrendafixaconsolidadonov[[#This Row],[ATUAL]])</f>
        <v>0</v>
      </c>
      <c r="N116" s="91">
        <f>SUMIFS(tabela_registros[VALOR],tabela_registros[MÊS],$AE$1,tabela_registros[DIA],investirrendafixaconsolidadonov[[#Headers],[10]],tabela_registros[REGISTRO],DADOS!$N$5,tabela_registros[TIPO],DADOS!$AB$3,tabela_registros[CATEGORIA],investirrendafixaconsolidadonov[[#This Row],[ATUAL]])</f>
        <v>0</v>
      </c>
      <c r="O116" s="91">
        <f>SUMIFS(tabela_registros[VALOR],tabela_registros[MÊS],$AE$1,tabela_registros[DIA],investirrendafixaconsolidadonov[[#Headers],[11]],tabela_registros[REGISTRO],DADOS!$N$5,tabela_registros[TIPO],DADOS!$AB$3,tabela_registros[CATEGORIA],investirrendafixaconsolidadonov[[#This Row],[ATUAL]])</f>
        <v>0</v>
      </c>
      <c r="P116" s="91">
        <f>SUMIFS(tabela_registros[VALOR],tabela_registros[MÊS],$AE$1,tabela_registros[DIA],investirrendafixaconsolidadonov[[#Headers],[12]],tabela_registros[REGISTRO],DADOS!$N$5,tabela_registros[TIPO],DADOS!$AB$3,tabela_registros[CATEGORIA],investirrendafixaconsolidadonov[[#This Row],[ATUAL]])</f>
        <v>0</v>
      </c>
      <c r="Q116" s="91">
        <f>SUMIFS(tabela_registros[VALOR],tabela_registros[MÊS],$AE$1,tabela_registros[DIA],investirrendafixaconsolidadonov[[#Headers],[13]],tabela_registros[REGISTRO],DADOS!$N$5,tabela_registros[TIPO],DADOS!$AB$3,tabela_registros[CATEGORIA],investirrendafixaconsolidadonov[[#This Row],[ATUAL]])</f>
        <v>0</v>
      </c>
      <c r="R116" s="91">
        <f>SUMIFS(tabela_registros[VALOR],tabela_registros[MÊS],$AE$1,tabela_registros[DIA],investirrendafixaconsolidadonov[[#Headers],[14]],tabela_registros[REGISTRO],DADOS!$N$5,tabela_registros[TIPO],DADOS!$AB$3,tabela_registros[CATEGORIA],investirrendafixaconsolidadonov[[#This Row],[ATUAL]])</f>
        <v>0</v>
      </c>
      <c r="S116" s="91">
        <f>SUMIFS(tabela_registros[VALOR],tabela_registros[MÊS],$AE$1,tabela_registros[DIA],investirrendafixaconsolidadonov[[#Headers],[15]],tabela_registros[REGISTRO],DADOS!$N$5,tabela_registros[TIPO],DADOS!$AB$3,tabela_registros[CATEGORIA],investirrendafixaconsolidadonov[[#This Row],[ATUAL]])</f>
        <v>0</v>
      </c>
      <c r="T116" s="91">
        <f>SUMIFS(tabela_registros[VALOR],tabela_registros[MÊS],$AE$1,tabela_registros[DIA],investirrendafixaconsolidadonov[[#Headers],[16]],tabela_registros[REGISTRO],DADOS!$N$5,tabela_registros[TIPO],DADOS!$AB$3,tabela_registros[CATEGORIA],investirrendafixaconsolidadonov[[#This Row],[ATUAL]])</f>
        <v>0</v>
      </c>
      <c r="U116" s="91">
        <f>SUMIFS(tabela_registros[VALOR],tabela_registros[MÊS],$AE$1,tabela_registros[DIA],investirrendafixaconsolidadonov[[#Headers],[17]],tabela_registros[REGISTRO],DADOS!$N$5,tabela_registros[TIPO],DADOS!$AB$3,tabela_registros[CATEGORIA],investirrendafixaconsolidadonov[[#This Row],[ATUAL]])</f>
        <v>0</v>
      </c>
      <c r="V116" s="91">
        <f>SUMIFS(tabela_registros[VALOR],tabela_registros[MÊS],$AE$1,tabela_registros[DIA],investirrendafixaconsolidadonov[[#Headers],[18]],tabela_registros[REGISTRO],DADOS!$N$5,tabela_registros[TIPO],DADOS!$AB$3,tabela_registros[CATEGORIA],investirrendafixaconsolidadonov[[#This Row],[ATUAL]])</f>
        <v>0</v>
      </c>
      <c r="W116" s="91">
        <f>SUMIFS(tabela_registros[VALOR],tabela_registros[MÊS],$AE$1,tabela_registros[DIA],investirrendafixaconsolidadonov[[#Headers],[19]],tabela_registros[REGISTRO],DADOS!$N$5,tabela_registros[TIPO],DADOS!$AB$3,tabela_registros[CATEGORIA],investirrendafixaconsolidadonov[[#This Row],[ATUAL]])</f>
        <v>0</v>
      </c>
      <c r="X116" s="91">
        <f>SUMIFS(tabela_registros[VALOR],tabela_registros[MÊS],$AE$1,tabela_registros[DIA],investirrendafixaconsolidadonov[[#Headers],[20]],tabela_registros[REGISTRO],DADOS!$N$5,tabela_registros[TIPO],DADOS!$AB$3,tabela_registros[CATEGORIA],investirrendafixaconsolidadonov[[#This Row],[ATUAL]])</f>
        <v>0</v>
      </c>
      <c r="Y116" s="91">
        <f>SUMIFS(tabela_registros[VALOR],tabela_registros[MÊS],$AE$1,tabela_registros[DIA],investirrendafixaconsolidadonov[[#Headers],[21]],tabela_registros[REGISTRO],DADOS!$N$5,tabela_registros[TIPO],DADOS!$AB$3,tabela_registros[CATEGORIA],investirrendafixaconsolidadonov[[#This Row],[ATUAL]])</f>
        <v>0</v>
      </c>
      <c r="Z116" s="91">
        <f>SUMIFS(tabela_registros[VALOR],tabela_registros[MÊS],$AE$1,tabela_registros[DIA],investirrendafixaconsolidadonov[[#Headers],[22]],tabela_registros[REGISTRO],DADOS!$N$5,tabela_registros[TIPO],DADOS!$AB$3,tabela_registros[CATEGORIA],investirrendafixaconsolidadonov[[#This Row],[ATUAL]])</f>
        <v>0</v>
      </c>
      <c r="AA116" s="91">
        <f>SUMIFS(tabela_registros[VALOR],tabela_registros[MÊS],$AE$1,tabela_registros[DIA],investirrendafixaconsolidadonov[[#Headers],[23]],tabela_registros[REGISTRO],DADOS!$N$5,tabela_registros[TIPO],DADOS!$AB$3,tabela_registros[CATEGORIA],investirrendafixaconsolidadonov[[#This Row],[ATUAL]])</f>
        <v>0</v>
      </c>
      <c r="AB116" s="91">
        <f>SUMIFS(tabela_registros[VALOR],tabela_registros[MÊS],$AE$1,tabela_registros[DIA],investirrendafixaconsolidadonov[[#Headers],[24]],tabela_registros[REGISTRO],DADOS!$N$5,tabela_registros[TIPO],DADOS!$AB$3,tabela_registros[CATEGORIA],investirrendafixaconsolidadonov[[#This Row],[ATUAL]])</f>
        <v>0</v>
      </c>
      <c r="AC116" s="91">
        <f>SUMIFS(tabela_registros[VALOR],tabela_registros[MÊS],$AE$1,tabela_registros[DIA],investirrendafixaconsolidadonov[[#Headers],[25]],tabela_registros[REGISTRO],DADOS!$N$5,tabela_registros[TIPO],DADOS!$AB$3,tabela_registros[CATEGORIA],investirrendafixaconsolidadonov[[#This Row],[ATUAL]])</f>
        <v>0</v>
      </c>
      <c r="AD116" s="91">
        <f>SUMIFS(tabela_registros[VALOR],tabela_registros[MÊS],$AE$1,tabela_registros[DIA],investirrendafixaconsolidadonov[[#Headers],[26]],tabela_registros[REGISTRO],DADOS!$N$5,tabela_registros[TIPO],DADOS!$AB$3,tabela_registros[CATEGORIA],investirrendafixaconsolidadonov[[#This Row],[ATUAL]])</f>
        <v>0</v>
      </c>
      <c r="AE116" s="91">
        <f>SUMIFS(tabela_registros[VALOR],tabela_registros[MÊS],$AE$1,tabela_registros[DIA],investirrendafixaconsolidadonov[[#Headers],[27]],tabela_registros[REGISTRO],DADOS!$N$5,tabela_registros[TIPO],DADOS!$AB$3,tabela_registros[CATEGORIA],investirrendafixaconsolidadonov[[#This Row],[ATUAL]])</f>
        <v>0</v>
      </c>
      <c r="AF116" s="91">
        <f>SUMIFS(tabela_registros[VALOR],tabela_registros[MÊS],$AE$1,tabela_registros[DIA],investirrendafixaconsolidadonov[[#Headers],[28]],tabela_registros[REGISTRO],DADOS!$N$5,tabela_registros[TIPO],DADOS!$AB$3,tabela_registros[CATEGORIA],investirrendafixaconsolidadonov[[#This Row],[ATUAL]])</f>
        <v>0</v>
      </c>
      <c r="AG116" s="91">
        <f>SUMIFS(tabela_registros[VALOR],tabela_registros[MÊS],$AE$1,tabela_registros[DIA],investirrendafixaconsolidadonov[[#Headers],[29]],tabela_registros[REGISTRO],DADOS!$N$5,tabela_registros[TIPO],DADOS!$AB$3,tabela_registros[CATEGORIA],investirrendafixaconsolidadonov[[#This Row],[ATUAL]])</f>
        <v>0</v>
      </c>
      <c r="AH116" s="91">
        <f>SUMIFS(tabela_registros[VALOR],tabela_registros[MÊS],$AE$1,tabela_registros[DIA],investirrendafixaconsolidadonov[[#Headers],[30]],tabela_registros[REGISTRO],DADOS!$N$5,tabela_registros[TIPO],DADOS!$AB$3,tabela_registros[CATEGORIA],investirrendafixaconsolidadonov[[#This Row],[ATUAL]])</f>
        <v>0</v>
      </c>
      <c r="AI116" s="101">
        <f>SUMIFS(tabela_registros[VALOR],tabela_registros[MÊS],$AE$1,tabela_registros[DIA],investirrendafixaconsolidadonov[[#Headers],[31]],tabela_registros[REGISTRO],DADOS!$N$5,tabela_registros[TIPO],DADOS!$AB$3,tabela_registros[CATEGORIA],investirrendafixaconsolidadonov[[#This Row],[ATUAL]])</f>
        <v>0</v>
      </c>
      <c r="AJ116" s="97">
        <f>SUM(investirrendafixaconsolidadonov[[#This Row],[1]:[31]])</f>
        <v>0</v>
      </c>
      <c r="AK116" s="25"/>
    </row>
    <row r="117" spans="2:37" ht="19.5" customHeight="1" thickTop="1" thickBot="1" x14ac:dyDescent="0.3">
      <c r="B117" s="28"/>
      <c r="C117" s="27" t="str">
        <f>DADOS!$AD$7</f>
        <v>📝 EXTERIOR</v>
      </c>
      <c r="D117" s="26" t="str">
        <f>IF(investirrendafixaconsolidadonov[[#This Row],[TOTAL (R$)]]=0,"",IF(OR(investirrendafixaconsolidadonov[[#This Row],[TOTAL (R$)]]=LARGE($AJ$113:$AJ$122,1),investirrendafixaconsolidadonov[[#This Row],[TOTAL (R$)]]=LARGE($AJ$113:$AJ$122,2)),DADOS!$I$10,""))</f>
        <v/>
      </c>
      <c r="E117" s="96">
        <f>SUMIFS(tabela_registros[VALOR],tabela_registros[MÊS],$AE$1,tabela_registros[DIA],investirrendafixaconsolidadonov[[#Headers],[1]],tabela_registros[REGISTRO],DADOS!$N$5,tabela_registros[TIPO],DADOS!$AB$3,tabela_registros[CATEGORIA],investirrendafixaconsolidadonov[[#This Row],[ATUAL]])</f>
        <v>0</v>
      </c>
      <c r="F117" s="91">
        <f>SUMIFS(tabela_registros[VALOR],tabela_registros[MÊS],$AE$1,tabela_registros[DIA],investirrendafixaconsolidadonov[[#Headers],[2]],tabela_registros[REGISTRO],DADOS!$N$5,tabela_registros[TIPO],DADOS!$AB$3,tabela_registros[CATEGORIA],investirrendafixaconsolidadonov[[#This Row],[ATUAL]])</f>
        <v>0</v>
      </c>
      <c r="G117" s="91">
        <f>SUMIFS(tabela_registros[VALOR],tabela_registros[MÊS],$AE$1,tabela_registros[DIA],investirrendafixaconsolidadonov[[#Headers],[3]],tabela_registros[REGISTRO],DADOS!$N$5,tabela_registros[TIPO],DADOS!$AB$3,tabela_registros[CATEGORIA],investirrendafixaconsolidadonov[[#This Row],[ATUAL]])</f>
        <v>0</v>
      </c>
      <c r="H117" s="91">
        <f>SUMIFS(tabela_registros[VALOR],tabela_registros[MÊS],$AE$1,tabela_registros[DIA],investirrendafixaconsolidadonov[[#Headers],[4]],tabela_registros[REGISTRO],DADOS!$N$5,tabela_registros[TIPO],DADOS!$AB$3,tabela_registros[CATEGORIA],investirrendafixaconsolidadonov[[#This Row],[ATUAL]])</f>
        <v>0</v>
      </c>
      <c r="I117" s="91">
        <f>SUMIFS(tabela_registros[VALOR],tabela_registros[MÊS],$AE$1,tabela_registros[DIA],investirrendafixaconsolidadonov[[#Headers],[5]],tabela_registros[REGISTRO],DADOS!$N$5,tabela_registros[TIPO],DADOS!$AB$3,tabela_registros[CATEGORIA],investirrendafixaconsolidadonov[[#This Row],[ATUAL]])</f>
        <v>0</v>
      </c>
      <c r="J117" s="91">
        <f>SUMIFS(tabela_registros[VALOR],tabela_registros[MÊS],$AE$1,tabela_registros[DIA],investirrendafixaconsolidadonov[[#Headers],[6]],tabela_registros[REGISTRO],DADOS!$N$5,tabela_registros[TIPO],DADOS!$AB$3,tabela_registros[CATEGORIA],investirrendafixaconsolidadonov[[#This Row],[ATUAL]])</f>
        <v>0</v>
      </c>
      <c r="K117" s="91">
        <f>SUMIFS(tabela_registros[VALOR],tabela_registros[MÊS],$AE$1,tabela_registros[DIA],investirrendafixaconsolidadonov[[#Headers],[7]],tabela_registros[REGISTRO],DADOS!$N$5,tabela_registros[TIPO],DADOS!$AB$3,tabela_registros[CATEGORIA],investirrendafixaconsolidadonov[[#This Row],[ATUAL]])</f>
        <v>0</v>
      </c>
      <c r="L117" s="91">
        <f>SUMIFS(tabela_registros[VALOR],tabela_registros[MÊS],$AE$1,tabela_registros[DIA],investirrendafixaconsolidadonov[[#Headers],[8]],tabela_registros[REGISTRO],DADOS!$N$5,tabela_registros[TIPO],DADOS!$AB$3,tabela_registros[CATEGORIA],investirrendafixaconsolidadonov[[#This Row],[ATUAL]])</f>
        <v>0</v>
      </c>
      <c r="M117" s="91">
        <f>SUMIFS(tabela_registros[VALOR],tabela_registros[MÊS],$AE$1,tabela_registros[DIA],investirrendafixaconsolidadonov[[#Headers],[9]],tabela_registros[REGISTRO],DADOS!$N$5,tabela_registros[TIPO],DADOS!$AB$3,tabela_registros[CATEGORIA],investirrendafixaconsolidadonov[[#This Row],[ATUAL]])</f>
        <v>0</v>
      </c>
      <c r="N117" s="91">
        <f>SUMIFS(tabela_registros[VALOR],tabela_registros[MÊS],$AE$1,tabela_registros[DIA],investirrendafixaconsolidadonov[[#Headers],[10]],tabela_registros[REGISTRO],DADOS!$N$5,tabela_registros[TIPO],DADOS!$AB$3,tabela_registros[CATEGORIA],investirrendafixaconsolidadonov[[#This Row],[ATUAL]])</f>
        <v>0</v>
      </c>
      <c r="O117" s="91">
        <f>SUMIFS(tabela_registros[VALOR],tabela_registros[MÊS],$AE$1,tabela_registros[DIA],investirrendafixaconsolidadonov[[#Headers],[11]],tabela_registros[REGISTRO],DADOS!$N$5,tabela_registros[TIPO],DADOS!$AB$3,tabela_registros[CATEGORIA],investirrendafixaconsolidadonov[[#This Row],[ATUAL]])</f>
        <v>0</v>
      </c>
      <c r="P117" s="91">
        <f>SUMIFS(tabela_registros[VALOR],tabela_registros[MÊS],$AE$1,tabela_registros[DIA],investirrendafixaconsolidadonov[[#Headers],[12]],tabela_registros[REGISTRO],DADOS!$N$5,tabela_registros[TIPO],DADOS!$AB$3,tabela_registros[CATEGORIA],investirrendafixaconsolidadonov[[#This Row],[ATUAL]])</f>
        <v>0</v>
      </c>
      <c r="Q117" s="91">
        <f>SUMIFS(tabela_registros[VALOR],tabela_registros[MÊS],$AE$1,tabela_registros[DIA],investirrendafixaconsolidadonov[[#Headers],[13]],tabela_registros[REGISTRO],DADOS!$N$5,tabela_registros[TIPO],DADOS!$AB$3,tabela_registros[CATEGORIA],investirrendafixaconsolidadonov[[#This Row],[ATUAL]])</f>
        <v>0</v>
      </c>
      <c r="R117" s="91">
        <f>SUMIFS(tabela_registros[VALOR],tabela_registros[MÊS],$AE$1,tabela_registros[DIA],investirrendafixaconsolidadonov[[#Headers],[14]],tabela_registros[REGISTRO],DADOS!$N$5,tabela_registros[TIPO],DADOS!$AB$3,tabela_registros[CATEGORIA],investirrendafixaconsolidadonov[[#This Row],[ATUAL]])</f>
        <v>0</v>
      </c>
      <c r="S117" s="91">
        <f>SUMIFS(tabela_registros[VALOR],tabela_registros[MÊS],$AE$1,tabela_registros[DIA],investirrendafixaconsolidadonov[[#Headers],[15]],tabela_registros[REGISTRO],DADOS!$N$5,tabela_registros[TIPO],DADOS!$AB$3,tabela_registros[CATEGORIA],investirrendafixaconsolidadonov[[#This Row],[ATUAL]])</f>
        <v>0</v>
      </c>
      <c r="T117" s="91">
        <f>SUMIFS(tabela_registros[VALOR],tabela_registros[MÊS],$AE$1,tabela_registros[DIA],investirrendafixaconsolidadonov[[#Headers],[16]],tabela_registros[REGISTRO],DADOS!$N$5,tabela_registros[TIPO],DADOS!$AB$3,tabela_registros[CATEGORIA],investirrendafixaconsolidadonov[[#This Row],[ATUAL]])</f>
        <v>0</v>
      </c>
      <c r="U117" s="91">
        <f>SUMIFS(tabela_registros[VALOR],tabela_registros[MÊS],$AE$1,tabela_registros[DIA],investirrendafixaconsolidadonov[[#Headers],[17]],tabela_registros[REGISTRO],DADOS!$N$5,tabela_registros[TIPO],DADOS!$AB$3,tabela_registros[CATEGORIA],investirrendafixaconsolidadonov[[#This Row],[ATUAL]])</f>
        <v>0</v>
      </c>
      <c r="V117" s="91">
        <f>SUMIFS(tabela_registros[VALOR],tabela_registros[MÊS],$AE$1,tabela_registros[DIA],investirrendafixaconsolidadonov[[#Headers],[18]],tabela_registros[REGISTRO],DADOS!$N$5,tabela_registros[TIPO],DADOS!$AB$3,tabela_registros[CATEGORIA],investirrendafixaconsolidadonov[[#This Row],[ATUAL]])</f>
        <v>0</v>
      </c>
      <c r="W117" s="91">
        <f>SUMIFS(tabela_registros[VALOR],tabela_registros[MÊS],$AE$1,tabela_registros[DIA],investirrendafixaconsolidadonov[[#Headers],[19]],tabela_registros[REGISTRO],DADOS!$N$5,tabela_registros[TIPO],DADOS!$AB$3,tabela_registros[CATEGORIA],investirrendafixaconsolidadonov[[#This Row],[ATUAL]])</f>
        <v>0</v>
      </c>
      <c r="X117" s="91">
        <f>SUMIFS(tabela_registros[VALOR],tabela_registros[MÊS],$AE$1,tabela_registros[DIA],investirrendafixaconsolidadonov[[#Headers],[20]],tabela_registros[REGISTRO],DADOS!$N$5,tabela_registros[TIPO],DADOS!$AB$3,tabela_registros[CATEGORIA],investirrendafixaconsolidadonov[[#This Row],[ATUAL]])</f>
        <v>0</v>
      </c>
      <c r="Y117" s="91">
        <f>SUMIFS(tabela_registros[VALOR],tabela_registros[MÊS],$AE$1,tabela_registros[DIA],investirrendafixaconsolidadonov[[#Headers],[21]],tabela_registros[REGISTRO],DADOS!$N$5,tabela_registros[TIPO],DADOS!$AB$3,tabela_registros[CATEGORIA],investirrendafixaconsolidadonov[[#This Row],[ATUAL]])</f>
        <v>0</v>
      </c>
      <c r="Z117" s="91">
        <f>SUMIFS(tabela_registros[VALOR],tabela_registros[MÊS],$AE$1,tabela_registros[DIA],investirrendafixaconsolidadonov[[#Headers],[22]],tabela_registros[REGISTRO],DADOS!$N$5,tabela_registros[TIPO],DADOS!$AB$3,tabela_registros[CATEGORIA],investirrendafixaconsolidadonov[[#This Row],[ATUAL]])</f>
        <v>0</v>
      </c>
      <c r="AA117" s="91">
        <f>SUMIFS(tabela_registros[VALOR],tabela_registros[MÊS],$AE$1,tabela_registros[DIA],investirrendafixaconsolidadonov[[#Headers],[23]],tabela_registros[REGISTRO],DADOS!$N$5,tabela_registros[TIPO],DADOS!$AB$3,tabela_registros[CATEGORIA],investirrendafixaconsolidadonov[[#This Row],[ATUAL]])</f>
        <v>0</v>
      </c>
      <c r="AB117" s="91">
        <f>SUMIFS(tabela_registros[VALOR],tabela_registros[MÊS],$AE$1,tabela_registros[DIA],investirrendafixaconsolidadonov[[#Headers],[24]],tabela_registros[REGISTRO],DADOS!$N$5,tabela_registros[TIPO],DADOS!$AB$3,tabela_registros[CATEGORIA],investirrendafixaconsolidadonov[[#This Row],[ATUAL]])</f>
        <v>0</v>
      </c>
      <c r="AC117" s="91">
        <f>SUMIFS(tabela_registros[VALOR],tabela_registros[MÊS],$AE$1,tabela_registros[DIA],investirrendafixaconsolidadonov[[#Headers],[25]],tabela_registros[REGISTRO],DADOS!$N$5,tabela_registros[TIPO],DADOS!$AB$3,tabela_registros[CATEGORIA],investirrendafixaconsolidadonov[[#This Row],[ATUAL]])</f>
        <v>0</v>
      </c>
      <c r="AD117" s="91">
        <f>SUMIFS(tabela_registros[VALOR],tabela_registros[MÊS],$AE$1,tabela_registros[DIA],investirrendafixaconsolidadonov[[#Headers],[26]],tabela_registros[REGISTRO],DADOS!$N$5,tabela_registros[TIPO],DADOS!$AB$3,tabela_registros[CATEGORIA],investirrendafixaconsolidadonov[[#This Row],[ATUAL]])</f>
        <v>0</v>
      </c>
      <c r="AE117" s="91">
        <f>SUMIFS(tabela_registros[VALOR],tabela_registros[MÊS],$AE$1,tabela_registros[DIA],investirrendafixaconsolidadonov[[#Headers],[27]],tabela_registros[REGISTRO],DADOS!$N$5,tabela_registros[TIPO],DADOS!$AB$3,tabela_registros[CATEGORIA],investirrendafixaconsolidadonov[[#This Row],[ATUAL]])</f>
        <v>0</v>
      </c>
      <c r="AF117" s="91">
        <f>SUMIFS(tabela_registros[VALOR],tabela_registros[MÊS],$AE$1,tabela_registros[DIA],investirrendafixaconsolidadonov[[#Headers],[28]],tabela_registros[REGISTRO],DADOS!$N$5,tabela_registros[TIPO],DADOS!$AB$3,tabela_registros[CATEGORIA],investirrendafixaconsolidadonov[[#This Row],[ATUAL]])</f>
        <v>0</v>
      </c>
      <c r="AG117" s="91">
        <f>SUMIFS(tabela_registros[VALOR],tabela_registros[MÊS],$AE$1,tabela_registros[DIA],investirrendafixaconsolidadonov[[#Headers],[29]],tabela_registros[REGISTRO],DADOS!$N$5,tabela_registros[TIPO],DADOS!$AB$3,tabela_registros[CATEGORIA],investirrendafixaconsolidadonov[[#This Row],[ATUAL]])</f>
        <v>0</v>
      </c>
      <c r="AH117" s="91">
        <f>SUMIFS(tabela_registros[VALOR],tabela_registros[MÊS],$AE$1,tabela_registros[DIA],investirrendafixaconsolidadonov[[#Headers],[30]],tabela_registros[REGISTRO],DADOS!$N$5,tabela_registros[TIPO],DADOS!$AB$3,tabela_registros[CATEGORIA],investirrendafixaconsolidadonov[[#This Row],[ATUAL]])</f>
        <v>0</v>
      </c>
      <c r="AI117" s="101">
        <f>SUMIFS(tabela_registros[VALOR],tabela_registros[MÊS],$AE$1,tabela_registros[DIA],investirrendafixaconsolidadonov[[#Headers],[31]],tabela_registros[REGISTRO],DADOS!$N$5,tabela_registros[TIPO],DADOS!$AB$3,tabela_registros[CATEGORIA],investirrendafixaconsolidadonov[[#This Row],[ATUAL]])</f>
        <v>0</v>
      </c>
      <c r="AJ117" s="97">
        <f>SUM(investirrendafixaconsolidadonov[[#This Row],[1]:[31]])</f>
        <v>0</v>
      </c>
      <c r="AK117" s="25"/>
    </row>
    <row r="118" spans="2:37" ht="19.5" customHeight="1" thickTop="1" thickBot="1" x14ac:dyDescent="0.3">
      <c r="B118" s="28"/>
      <c r="C118" s="27" t="str">
        <f>DADOS!$AD$8</f>
        <v>📝 LC</v>
      </c>
      <c r="D118" s="26" t="str">
        <f>IF(investirrendafixaconsolidadonov[[#This Row],[TOTAL (R$)]]=0,"",IF(OR(investirrendafixaconsolidadonov[[#This Row],[TOTAL (R$)]]=LARGE($AJ$113:$AJ$122,1),investirrendafixaconsolidadonov[[#This Row],[TOTAL (R$)]]=LARGE($AJ$113:$AJ$122,2)),DADOS!$I$10,""))</f>
        <v/>
      </c>
      <c r="E118" s="96">
        <f>SUMIFS(tabela_registros[VALOR],tabela_registros[MÊS],$AE$1,tabela_registros[DIA],investirrendafixaconsolidadonov[[#Headers],[1]],tabela_registros[REGISTRO],DADOS!$N$5,tabela_registros[TIPO],DADOS!$AB$3,tabela_registros[CATEGORIA],investirrendafixaconsolidadonov[[#This Row],[ATUAL]])</f>
        <v>0</v>
      </c>
      <c r="F118" s="91">
        <f>SUMIFS(tabela_registros[VALOR],tabela_registros[MÊS],$AE$1,tabela_registros[DIA],investirrendafixaconsolidadonov[[#Headers],[2]],tabela_registros[REGISTRO],DADOS!$N$5,tabela_registros[TIPO],DADOS!$AB$3,tabela_registros[CATEGORIA],investirrendafixaconsolidadonov[[#This Row],[ATUAL]])</f>
        <v>0</v>
      </c>
      <c r="G118" s="91">
        <f>SUMIFS(tabela_registros[VALOR],tabela_registros[MÊS],$AE$1,tabela_registros[DIA],investirrendafixaconsolidadonov[[#Headers],[3]],tabela_registros[REGISTRO],DADOS!$N$5,tabela_registros[TIPO],DADOS!$AB$3,tabela_registros[CATEGORIA],investirrendafixaconsolidadonov[[#This Row],[ATUAL]])</f>
        <v>0</v>
      </c>
      <c r="H118" s="91">
        <f>SUMIFS(tabela_registros[VALOR],tabela_registros[MÊS],$AE$1,tabela_registros[DIA],investirrendafixaconsolidadonov[[#Headers],[4]],tabela_registros[REGISTRO],DADOS!$N$5,tabela_registros[TIPO],DADOS!$AB$3,tabela_registros[CATEGORIA],investirrendafixaconsolidadonov[[#This Row],[ATUAL]])</f>
        <v>0</v>
      </c>
      <c r="I118" s="91">
        <f>SUMIFS(tabela_registros[VALOR],tabela_registros[MÊS],$AE$1,tabela_registros[DIA],investirrendafixaconsolidadonov[[#Headers],[5]],tabela_registros[REGISTRO],DADOS!$N$5,tabela_registros[TIPO],DADOS!$AB$3,tabela_registros[CATEGORIA],investirrendafixaconsolidadonov[[#This Row],[ATUAL]])</f>
        <v>0</v>
      </c>
      <c r="J118" s="91">
        <f>SUMIFS(tabela_registros[VALOR],tabela_registros[MÊS],$AE$1,tabela_registros[DIA],investirrendafixaconsolidadonov[[#Headers],[6]],tabela_registros[REGISTRO],DADOS!$N$5,tabela_registros[TIPO],DADOS!$AB$3,tabela_registros[CATEGORIA],investirrendafixaconsolidadonov[[#This Row],[ATUAL]])</f>
        <v>0</v>
      </c>
      <c r="K118" s="91">
        <f>SUMIFS(tabela_registros[VALOR],tabela_registros[MÊS],$AE$1,tabela_registros[DIA],investirrendafixaconsolidadonov[[#Headers],[7]],tabela_registros[REGISTRO],DADOS!$N$5,tabela_registros[TIPO],DADOS!$AB$3,tabela_registros[CATEGORIA],investirrendafixaconsolidadonov[[#This Row],[ATUAL]])</f>
        <v>0</v>
      </c>
      <c r="L118" s="91">
        <f>SUMIFS(tabela_registros[VALOR],tabela_registros[MÊS],$AE$1,tabela_registros[DIA],investirrendafixaconsolidadonov[[#Headers],[8]],tabela_registros[REGISTRO],DADOS!$N$5,tabela_registros[TIPO],DADOS!$AB$3,tabela_registros[CATEGORIA],investirrendafixaconsolidadonov[[#This Row],[ATUAL]])</f>
        <v>0</v>
      </c>
      <c r="M118" s="91">
        <f>SUMIFS(tabela_registros[VALOR],tabela_registros[MÊS],$AE$1,tabela_registros[DIA],investirrendafixaconsolidadonov[[#Headers],[9]],tabela_registros[REGISTRO],DADOS!$N$5,tabela_registros[TIPO],DADOS!$AB$3,tabela_registros[CATEGORIA],investirrendafixaconsolidadonov[[#This Row],[ATUAL]])</f>
        <v>0</v>
      </c>
      <c r="N118" s="91">
        <f>SUMIFS(tabela_registros[VALOR],tabela_registros[MÊS],$AE$1,tabela_registros[DIA],investirrendafixaconsolidadonov[[#Headers],[10]],tabela_registros[REGISTRO],DADOS!$N$5,tabela_registros[TIPO],DADOS!$AB$3,tabela_registros[CATEGORIA],investirrendafixaconsolidadonov[[#This Row],[ATUAL]])</f>
        <v>0</v>
      </c>
      <c r="O118" s="91">
        <f>SUMIFS(tabela_registros[VALOR],tabela_registros[MÊS],$AE$1,tabela_registros[DIA],investirrendafixaconsolidadonov[[#Headers],[11]],tabela_registros[REGISTRO],DADOS!$N$5,tabela_registros[TIPO],DADOS!$AB$3,tabela_registros[CATEGORIA],investirrendafixaconsolidadonov[[#This Row],[ATUAL]])</f>
        <v>0</v>
      </c>
      <c r="P118" s="91">
        <f>SUMIFS(tabela_registros[VALOR],tabela_registros[MÊS],$AE$1,tabela_registros[DIA],investirrendafixaconsolidadonov[[#Headers],[12]],tabela_registros[REGISTRO],DADOS!$N$5,tabela_registros[TIPO],DADOS!$AB$3,tabela_registros[CATEGORIA],investirrendafixaconsolidadonov[[#This Row],[ATUAL]])</f>
        <v>0</v>
      </c>
      <c r="Q118" s="91">
        <f>SUMIFS(tabela_registros[VALOR],tabela_registros[MÊS],$AE$1,tabela_registros[DIA],investirrendafixaconsolidadonov[[#Headers],[13]],tabela_registros[REGISTRO],DADOS!$N$5,tabela_registros[TIPO],DADOS!$AB$3,tabela_registros[CATEGORIA],investirrendafixaconsolidadonov[[#This Row],[ATUAL]])</f>
        <v>0</v>
      </c>
      <c r="R118" s="91">
        <f>SUMIFS(tabela_registros[VALOR],tabela_registros[MÊS],$AE$1,tabela_registros[DIA],investirrendafixaconsolidadonov[[#Headers],[14]],tabela_registros[REGISTRO],DADOS!$N$5,tabela_registros[TIPO],DADOS!$AB$3,tabela_registros[CATEGORIA],investirrendafixaconsolidadonov[[#This Row],[ATUAL]])</f>
        <v>0</v>
      </c>
      <c r="S118" s="91">
        <f>SUMIFS(tabela_registros[VALOR],tabela_registros[MÊS],$AE$1,tabela_registros[DIA],investirrendafixaconsolidadonov[[#Headers],[15]],tabela_registros[REGISTRO],DADOS!$N$5,tabela_registros[TIPO],DADOS!$AB$3,tabela_registros[CATEGORIA],investirrendafixaconsolidadonov[[#This Row],[ATUAL]])</f>
        <v>0</v>
      </c>
      <c r="T118" s="91">
        <f>SUMIFS(tabela_registros[VALOR],tabela_registros[MÊS],$AE$1,tabela_registros[DIA],investirrendafixaconsolidadonov[[#Headers],[16]],tabela_registros[REGISTRO],DADOS!$N$5,tabela_registros[TIPO],DADOS!$AB$3,tabela_registros[CATEGORIA],investirrendafixaconsolidadonov[[#This Row],[ATUAL]])</f>
        <v>0</v>
      </c>
      <c r="U118" s="91">
        <f>SUMIFS(tabela_registros[VALOR],tabela_registros[MÊS],$AE$1,tabela_registros[DIA],investirrendafixaconsolidadonov[[#Headers],[17]],tabela_registros[REGISTRO],DADOS!$N$5,tabela_registros[TIPO],DADOS!$AB$3,tabela_registros[CATEGORIA],investirrendafixaconsolidadonov[[#This Row],[ATUAL]])</f>
        <v>0</v>
      </c>
      <c r="V118" s="91">
        <f>SUMIFS(tabela_registros[VALOR],tabela_registros[MÊS],$AE$1,tabela_registros[DIA],investirrendafixaconsolidadonov[[#Headers],[18]],tabela_registros[REGISTRO],DADOS!$N$5,tabela_registros[TIPO],DADOS!$AB$3,tabela_registros[CATEGORIA],investirrendafixaconsolidadonov[[#This Row],[ATUAL]])</f>
        <v>0</v>
      </c>
      <c r="W118" s="91">
        <f>SUMIFS(tabela_registros[VALOR],tabela_registros[MÊS],$AE$1,tabela_registros[DIA],investirrendafixaconsolidadonov[[#Headers],[19]],tabela_registros[REGISTRO],DADOS!$N$5,tabela_registros[TIPO],DADOS!$AB$3,tabela_registros[CATEGORIA],investirrendafixaconsolidadonov[[#This Row],[ATUAL]])</f>
        <v>0</v>
      </c>
      <c r="X118" s="91">
        <f>SUMIFS(tabela_registros[VALOR],tabela_registros[MÊS],$AE$1,tabela_registros[DIA],investirrendafixaconsolidadonov[[#Headers],[20]],tabela_registros[REGISTRO],DADOS!$N$5,tabela_registros[TIPO],DADOS!$AB$3,tabela_registros[CATEGORIA],investirrendafixaconsolidadonov[[#This Row],[ATUAL]])</f>
        <v>0</v>
      </c>
      <c r="Y118" s="91">
        <f>SUMIFS(tabela_registros[VALOR],tabela_registros[MÊS],$AE$1,tabela_registros[DIA],investirrendafixaconsolidadonov[[#Headers],[21]],tabela_registros[REGISTRO],DADOS!$N$5,tabela_registros[TIPO],DADOS!$AB$3,tabela_registros[CATEGORIA],investirrendafixaconsolidadonov[[#This Row],[ATUAL]])</f>
        <v>0</v>
      </c>
      <c r="Z118" s="91">
        <f>SUMIFS(tabela_registros[VALOR],tabela_registros[MÊS],$AE$1,tabela_registros[DIA],investirrendafixaconsolidadonov[[#Headers],[22]],tabela_registros[REGISTRO],DADOS!$N$5,tabela_registros[TIPO],DADOS!$AB$3,tabela_registros[CATEGORIA],investirrendafixaconsolidadonov[[#This Row],[ATUAL]])</f>
        <v>0</v>
      </c>
      <c r="AA118" s="91">
        <f>SUMIFS(tabela_registros[VALOR],tabela_registros[MÊS],$AE$1,tabela_registros[DIA],investirrendafixaconsolidadonov[[#Headers],[23]],tabela_registros[REGISTRO],DADOS!$N$5,tabela_registros[TIPO],DADOS!$AB$3,tabela_registros[CATEGORIA],investirrendafixaconsolidadonov[[#This Row],[ATUAL]])</f>
        <v>0</v>
      </c>
      <c r="AB118" s="91">
        <f>SUMIFS(tabela_registros[VALOR],tabela_registros[MÊS],$AE$1,tabela_registros[DIA],investirrendafixaconsolidadonov[[#Headers],[24]],tabela_registros[REGISTRO],DADOS!$N$5,tabela_registros[TIPO],DADOS!$AB$3,tabela_registros[CATEGORIA],investirrendafixaconsolidadonov[[#This Row],[ATUAL]])</f>
        <v>0</v>
      </c>
      <c r="AC118" s="91">
        <f>SUMIFS(tabela_registros[VALOR],tabela_registros[MÊS],$AE$1,tabela_registros[DIA],investirrendafixaconsolidadonov[[#Headers],[25]],tabela_registros[REGISTRO],DADOS!$N$5,tabela_registros[TIPO],DADOS!$AB$3,tabela_registros[CATEGORIA],investirrendafixaconsolidadonov[[#This Row],[ATUAL]])</f>
        <v>0</v>
      </c>
      <c r="AD118" s="91">
        <f>SUMIFS(tabela_registros[VALOR],tabela_registros[MÊS],$AE$1,tabela_registros[DIA],investirrendafixaconsolidadonov[[#Headers],[26]],tabela_registros[REGISTRO],DADOS!$N$5,tabela_registros[TIPO],DADOS!$AB$3,tabela_registros[CATEGORIA],investirrendafixaconsolidadonov[[#This Row],[ATUAL]])</f>
        <v>0</v>
      </c>
      <c r="AE118" s="91">
        <f>SUMIFS(tabela_registros[VALOR],tabela_registros[MÊS],$AE$1,tabela_registros[DIA],investirrendafixaconsolidadonov[[#Headers],[27]],tabela_registros[REGISTRO],DADOS!$N$5,tabela_registros[TIPO],DADOS!$AB$3,tabela_registros[CATEGORIA],investirrendafixaconsolidadonov[[#This Row],[ATUAL]])</f>
        <v>0</v>
      </c>
      <c r="AF118" s="91">
        <f>SUMIFS(tabela_registros[VALOR],tabela_registros[MÊS],$AE$1,tabela_registros[DIA],investirrendafixaconsolidadonov[[#Headers],[28]],tabela_registros[REGISTRO],DADOS!$N$5,tabela_registros[TIPO],DADOS!$AB$3,tabela_registros[CATEGORIA],investirrendafixaconsolidadonov[[#This Row],[ATUAL]])</f>
        <v>0</v>
      </c>
      <c r="AG118" s="91">
        <f>SUMIFS(tabela_registros[VALOR],tabela_registros[MÊS],$AE$1,tabela_registros[DIA],investirrendafixaconsolidadonov[[#Headers],[29]],tabela_registros[REGISTRO],DADOS!$N$5,tabela_registros[TIPO],DADOS!$AB$3,tabela_registros[CATEGORIA],investirrendafixaconsolidadonov[[#This Row],[ATUAL]])</f>
        <v>0</v>
      </c>
      <c r="AH118" s="91">
        <f>SUMIFS(tabela_registros[VALOR],tabela_registros[MÊS],$AE$1,tabela_registros[DIA],investirrendafixaconsolidadonov[[#Headers],[30]],tabela_registros[REGISTRO],DADOS!$N$5,tabela_registros[TIPO],DADOS!$AB$3,tabela_registros[CATEGORIA],investirrendafixaconsolidadonov[[#This Row],[ATUAL]])</f>
        <v>0</v>
      </c>
      <c r="AI118" s="101">
        <f>SUMIFS(tabela_registros[VALOR],tabela_registros[MÊS],$AE$1,tabela_registros[DIA],investirrendafixaconsolidadonov[[#Headers],[31]],tabela_registros[REGISTRO],DADOS!$N$5,tabela_registros[TIPO],DADOS!$AB$3,tabela_registros[CATEGORIA],investirrendafixaconsolidadonov[[#This Row],[ATUAL]])</f>
        <v>0</v>
      </c>
      <c r="AJ118" s="97">
        <f>SUM(investirrendafixaconsolidadonov[[#This Row],[1]:[31]])</f>
        <v>0</v>
      </c>
      <c r="AK118" s="25"/>
    </row>
    <row r="119" spans="2:37" ht="19.5" customHeight="1" thickTop="1" thickBot="1" x14ac:dyDescent="0.3">
      <c r="B119" s="28"/>
      <c r="C119" s="27" t="str">
        <f>DADOS!$AD$9</f>
        <v>📝 LCA</v>
      </c>
      <c r="D119" s="26" t="str">
        <f>IF(investirrendafixaconsolidadonov[[#This Row],[TOTAL (R$)]]=0,"",IF(OR(investirrendafixaconsolidadonov[[#This Row],[TOTAL (R$)]]=LARGE($AJ$113:$AJ$122,1),investirrendafixaconsolidadonov[[#This Row],[TOTAL (R$)]]=LARGE($AJ$113:$AJ$122,2)),DADOS!$I$10,""))</f>
        <v/>
      </c>
      <c r="E119" s="96">
        <f>SUMIFS(tabela_registros[VALOR],tabela_registros[MÊS],$AE$1,tabela_registros[DIA],investirrendafixaconsolidadonov[[#Headers],[1]],tabela_registros[REGISTRO],DADOS!$N$5,tabela_registros[TIPO],DADOS!$AB$3,tabela_registros[CATEGORIA],investirrendafixaconsolidadonov[[#This Row],[ATUAL]])</f>
        <v>0</v>
      </c>
      <c r="F119" s="91">
        <f>SUMIFS(tabela_registros[VALOR],tabela_registros[MÊS],$AE$1,tabela_registros[DIA],investirrendafixaconsolidadonov[[#Headers],[2]],tabela_registros[REGISTRO],DADOS!$N$5,tabela_registros[TIPO],DADOS!$AB$3,tabela_registros[CATEGORIA],investirrendafixaconsolidadonov[[#This Row],[ATUAL]])</f>
        <v>0</v>
      </c>
      <c r="G119" s="91">
        <f>SUMIFS(tabela_registros[VALOR],tabela_registros[MÊS],$AE$1,tabela_registros[DIA],investirrendafixaconsolidadonov[[#Headers],[3]],tabela_registros[REGISTRO],DADOS!$N$5,tabela_registros[TIPO],DADOS!$AB$3,tabela_registros[CATEGORIA],investirrendafixaconsolidadonov[[#This Row],[ATUAL]])</f>
        <v>0</v>
      </c>
      <c r="H119" s="91">
        <f>SUMIFS(tabela_registros[VALOR],tabela_registros[MÊS],$AE$1,tabela_registros[DIA],investirrendafixaconsolidadonov[[#Headers],[4]],tabela_registros[REGISTRO],DADOS!$N$5,tabela_registros[TIPO],DADOS!$AB$3,tabela_registros[CATEGORIA],investirrendafixaconsolidadonov[[#This Row],[ATUAL]])</f>
        <v>0</v>
      </c>
      <c r="I119" s="91">
        <f>SUMIFS(tabela_registros[VALOR],tabela_registros[MÊS],$AE$1,tabela_registros[DIA],investirrendafixaconsolidadonov[[#Headers],[5]],tabela_registros[REGISTRO],DADOS!$N$5,tabela_registros[TIPO],DADOS!$AB$3,tabela_registros[CATEGORIA],investirrendafixaconsolidadonov[[#This Row],[ATUAL]])</f>
        <v>0</v>
      </c>
      <c r="J119" s="91">
        <f>SUMIFS(tabela_registros[VALOR],tabela_registros[MÊS],$AE$1,tabela_registros[DIA],investirrendafixaconsolidadonov[[#Headers],[6]],tabela_registros[REGISTRO],DADOS!$N$5,tabela_registros[TIPO],DADOS!$AB$3,tabela_registros[CATEGORIA],investirrendafixaconsolidadonov[[#This Row],[ATUAL]])</f>
        <v>0</v>
      </c>
      <c r="K119" s="91">
        <f>SUMIFS(tabela_registros[VALOR],tabela_registros[MÊS],$AE$1,tabela_registros[DIA],investirrendafixaconsolidadonov[[#Headers],[7]],tabela_registros[REGISTRO],DADOS!$N$5,tabela_registros[TIPO],DADOS!$AB$3,tabela_registros[CATEGORIA],investirrendafixaconsolidadonov[[#This Row],[ATUAL]])</f>
        <v>0</v>
      </c>
      <c r="L119" s="91">
        <f>SUMIFS(tabela_registros[VALOR],tabela_registros[MÊS],$AE$1,tabela_registros[DIA],investirrendafixaconsolidadonov[[#Headers],[8]],tabela_registros[REGISTRO],DADOS!$N$5,tabela_registros[TIPO],DADOS!$AB$3,tabela_registros[CATEGORIA],investirrendafixaconsolidadonov[[#This Row],[ATUAL]])</f>
        <v>0</v>
      </c>
      <c r="M119" s="91">
        <f>SUMIFS(tabela_registros[VALOR],tabela_registros[MÊS],$AE$1,tabela_registros[DIA],investirrendafixaconsolidadonov[[#Headers],[9]],tabela_registros[REGISTRO],DADOS!$N$5,tabela_registros[TIPO],DADOS!$AB$3,tabela_registros[CATEGORIA],investirrendafixaconsolidadonov[[#This Row],[ATUAL]])</f>
        <v>0</v>
      </c>
      <c r="N119" s="91">
        <f>SUMIFS(tabela_registros[VALOR],tabela_registros[MÊS],$AE$1,tabela_registros[DIA],investirrendafixaconsolidadonov[[#Headers],[10]],tabela_registros[REGISTRO],DADOS!$N$5,tabela_registros[TIPO],DADOS!$AB$3,tabela_registros[CATEGORIA],investirrendafixaconsolidadonov[[#This Row],[ATUAL]])</f>
        <v>0</v>
      </c>
      <c r="O119" s="91">
        <f>SUMIFS(tabela_registros[VALOR],tabela_registros[MÊS],$AE$1,tabela_registros[DIA],investirrendafixaconsolidadonov[[#Headers],[11]],tabela_registros[REGISTRO],DADOS!$N$5,tabela_registros[TIPO],DADOS!$AB$3,tabela_registros[CATEGORIA],investirrendafixaconsolidadonov[[#This Row],[ATUAL]])</f>
        <v>0</v>
      </c>
      <c r="P119" s="91">
        <f>SUMIFS(tabela_registros[VALOR],tabela_registros[MÊS],$AE$1,tabela_registros[DIA],investirrendafixaconsolidadonov[[#Headers],[12]],tabela_registros[REGISTRO],DADOS!$N$5,tabela_registros[TIPO],DADOS!$AB$3,tabela_registros[CATEGORIA],investirrendafixaconsolidadonov[[#This Row],[ATUAL]])</f>
        <v>0</v>
      </c>
      <c r="Q119" s="91">
        <f>SUMIFS(tabela_registros[VALOR],tabela_registros[MÊS],$AE$1,tabela_registros[DIA],investirrendafixaconsolidadonov[[#Headers],[13]],tabela_registros[REGISTRO],DADOS!$N$5,tabela_registros[TIPO],DADOS!$AB$3,tabela_registros[CATEGORIA],investirrendafixaconsolidadonov[[#This Row],[ATUAL]])</f>
        <v>0</v>
      </c>
      <c r="R119" s="91">
        <f>SUMIFS(tabela_registros[VALOR],tabela_registros[MÊS],$AE$1,tabela_registros[DIA],investirrendafixaconsolidadonov[[#Headers],[14]],tabela_registros[REGISTRO],DADOS!$N$5,tabela_registros[TIPO],DADOS!$AB$3,tabela_registros[CATEGORIA],investirrendafixaconsolidadonov[[#This Row],[ATUAL]])</f>
        <v>0</v>
      </c>
      <c r="S119" s="91">
        <f>SUMIFS(tabela_registros[VALOR],tabela_registros[MÊS],$AE$1,tabela_registros[DIA],investirrendafixaconsolidadonov[[#Headers],[15]],tabela_registros[REGISTRO],DADOS!$N$5,tabela_registros[TIPO],DADOS!$AB$3,tabela_registros[CATEGORIA],investirrendafixaconsolidadonov[[#This Row],[ATUAL]])</f>
        <v>0</v>
      </c>
      <c r="T119" s="91">
        <f>SUMIFS(tabela_registros[VALOR],tabela_registros[MÊS],$AE$1,tabela_registros[DIA],investirrendafixaconsolidadonov[[#Headers],[16]],tabela_registros[REGISTRO],DADOS!$N$5,tabela_registros[TIPO],DADOS!$AB$3,tabela_registros[CATEGORIA],investirrendafixaconsolidadonov[[#This Row],[ATUAL]])</f>
        <v>0</v>
      </c>
      <c r="U119" s="91">
        <f>SUMIFS(tabela_registros[VALOR],tabela_registros[MÊS],$AE$1,tabela_registros[DIA],investirrendafixaconsolidadonov[[#Headers],[17]],tabela_registros[REGISTRO],DADOS!$N$5,tabela_registros[TIPO],DADOS!$AB$3,tabela_registros[CATEGORIA],investirrendafixaconsolidadonov[[#This Row],[ATUAL]])</f>
        <v>0</v>
      </c>
      <c r="V119" s="91">
        <f>SUMIFS(tabela_registros[VALOR],tabela_registros[MÊS],$AE$1,tabela_registros[DIA],investirrendafixaconsolidadonov[[#Headers],[18]],tabela_registros[REGISTRO],DADOS!$N$5,tabela_registros[TIPO],DADOS!$AB$3,tabela_registros[CATEGORIA],investirrendafixaconsolidadonov[[#This Row],[ATUAL]])</f>
        <v>0</v>
      </c>
      <c r="W119" s="91">
        <f>SUMIFS(tabela_registros[VALOR],tabela_registros[MÊS],$AE$1,tabela_registros[DIA],investirrendafixaconsolidadonov[[#Headers],[19]],tabela_registros[REGISTRO],DADOS!$N$5,tabela_registros[TIPO],DADOS!$AB$3,tabela_registros[CATEGORIA],investirrendafixaconsolidadonov[[#This Row],[ATUAL]])</f>
        <v>0</v>
      </c>
      <c r="X119" s="91">
        <f>SUMIFS(tabela_registros[VALOR],tabela_registros[MÊS],$AE$1,tabela_registros[DIA],investirrendafixaconsolidadonov[[#Headers],[20]],tabela_registros[REGISTRO],DADOS!$N$5,tabela_registros[TIPO],DADOS!$AB$3,tabela_registros[CATEGORIA],investirrendafixaconsolidadonov[[#This Row],[ATUAL]])</f>
        <v>0</v>
      </c>
      <c r="Y119" s="91">
        <f>SUMIFS(tabela_registros[VALOR],tabela_registros[MÊS],$AE$1,tabela_registros[DIA],investirrendafixaconsolidadonov[[#Headers],[21]],tabela_registros[REGISTRO],DADOS!$N$5,tabela_registros[TIPO],DADOS!$AB$3,tabela_registros[CATEGORIA],investirrendafixaconsolidadonov[[#This Row],[ATUAL]])</f>
        <v>0</v>
      </c>
      <c r="Z119" s="91">
        <f>SUMIFS(tabela_registros[VALOR],tabela_registros[MÊS],$AE$1,tabela_registros[DIA],investirrendafixaconsolidadonov[[#Headers],[22]],tabela_registros[REGISTRO],DADOS!$N$5,tabela_registros[TIPO],DADOS!$AB$3,tabela_registros[CATEGORIA],investirrendafixaconsolidadonov[[#This Row],[ATUAL]])</f>
        <v>0</v>
      </c>
      <c r="AA119" s="91">
        <f>SUMIFS(tabela_registros[VALOR],tabela_registros[MÊS],$AE$1,tabela_registros[DIA],investirrendafixaconsolidadonov[[#Headers],[23]],tabela_registros[REGISTRO],DADOS!$N$5,tabela_registros[TIPO],DADOS!$AB$3,tabela_registros[CATEGORIA],investirrendafixaconsolidadonov[[#This Row],[ATUAL]])</f>
        <v>0</v>
      </c>
      <c r="AB119" s="91">
        <f>SUMIFS(tabela_registros[VALOR],tabela_registros[MÊS],$AE$1,tabela_registros[DIA],investirrendafixaconsolidadonov[[#Headers],[24]],tabela_registros[REGISTRO],DADOS!$N$5,tabela_registros[TIPO],DADOS!$AB$3,tabela_registros[CATEGORIA],investirrendafixaconsolidadonov[[#This Row],[ATUAL]])</f>
        <v>0</v>
      </c>
      <c r="AC119" s="91">
        <f>SUMIFS(tabela_registros[VALOR],tabela_registros[MÊS],$AE$1,tabela_registros[DIA],investirrendafixaconsolidadonov[[#Headers],[25]],tabela_registros[REGISTRO],DADOS!$N$5,tabela_registros[TIPO],DADOS!$AB$3,tabela_registros[CATEGORIA],investirrendafixaconsolidadonov[[#This Row],[ATUAL]])</f>
        <v>0</v>
      </c>
      <c r="AD119" s="91">
        <f>SUMIFS(tabela_registros[VALOR],tabela_registros[MÊS],$AE$1,tabela_registros[DIA],investirrendafixaconsolidadonov[[#Headers],[26]],tabela_registros[REGISTRO],DADOS!$N$5,tabela_registros[TIPO],DADOS!$AB$3,tabela_registros[CATEGORIA],investirrendafixaconsolidadonov[[#This Row],[ATUAL]])</f>
        <v>0</v>
      </c>
      <c r="AE119" s="91">
        <f>SUMIFS(tabela_registros[VALOR],tabela_registros[MÊS],$AE$1,tabela_registros[DIA],investirrendafixaconsolidadonov[[#Headers],[27]],tabela_registros[REGISTRO],DADOS!$N$5,tabela_registros[TIPO],DADOS!$AB$3,tabela_registros[CATEGORIA],investirrendafixaconsolidadonov[[#This Row],[ATUAL]])</f>
        <v>0</v>
      </c>
      <c r="AF119" s="91">
        <f>SUMIFS(tabela_registros[VALOR],tabela_registros[MÊS],$AE$1,tabela_registros[DIA],investirrendafixaconsolidadonov[[#Headers],[28]],tabela_registros[REGISTRO],DADOS!$N$5,tabela_registros[TIPO],DADOS!$AB$3,tabela_registros[CATEGORIA],investirrendafixaconsolidadonov[[#This Row],[ATUAL]])</f>
        <v>0</v>
      </c>
      <c r="AG119" s="91">
        <f>SUMIFS(tabela_registros[VALOR],tabela_registros[MÊS],$AE$1,tabela_registros[DIA],investirrendafixaconsolidadonov[[#Headers],[29]],tabela_registros[REGISTRO],DADOS!$N$5,tabela_registros[TIPO],DADOS!$AB$3,tabela_registros[CATEGORIA],investirrendafixaconsolidadonov[[#This Row],[ATUAL]])</f>
        <v>0</v>
      </c>
      <c r="AH119" s="91">
        <f>SUMIFS(tabela_registros[VALOR],tabela_registros[MÊS],$AE$1,tabela_registros[DIA],investirrendafixaconsolidadonov[[#Headers],[30]],tabela_registros[REGISTRO],DADOS!$N$5,tabela_registros[TIPO],DADOS!$AB$3,tabela_registros[CATEGORIA],investirrendafixaconsolidadonov[[#This Row],[ATUAL]])</f>
        <v>0</v>
      </c>
      <c r="AI119" s="101">
        <f>SUMIFS(tabela_registros[VALOR],tabela_registros[MÊS],$AE$1,tabela_registros[DIA],investirrendafixaconsolidadonov[[#Headers],[31]],tabela_registros[REGISTRO],DADOS!$N$5,tabela_registros[TIPO],DADOS!$AB$3,tabela_registros[CATEGORIA],investirrendafixaconsolidadonov[[#This Row],[ATUAL]])</f>
        <v>0</v>
      </c>
      <c r="AJ119" s="97">
        <f>SUM(investirrendafixaconsolidadonov[[#This Row],[1]:[31]])</f>
        <v>0</v>
      </c>
      <c r="AK119" s="25"/>
    </row>
    <row r="120" spans="2:37" ht="19.5" customHeight="1" thickTop="1" thickBot="1" x14ac:dyDescent="0.3">
      <c r="B120" s="28"/>
      <c r="C120" s="27" t="str">
        <f>DADOS!$AD$10</f>
        <v>📝 LCI</v>
      </c>
      <c r="D120" s="26" t="str">
        <f>IF(investirrendafixaconsolidadonov[[#This Row],[TOTAL (R$)]]=0,"",IF(OR(investirrendafixaconsolidadonov[[#This Row],[TOTAL (R$)]]=LARGE($AJ$113:$AJ$122,1),investirrendafixaconsolidadonov[[#This Row],[TOTAL (R$)]]=LARGE($AJ$113:$AJ$122,2)),DADOS!$I$10,""))</f>
        <v/>
      </c>
      <c r="E120" s="96">
        <f>SUMIFS(tabela_registros[VALOR],tabela_registros[MÊS],$AE$1,tabela_registros[DIA],investirrendafixaconsolidadonov[[#Headers],[1]],tabela_registros[REGISTRO],DADOS!$N$5,tabela_registros[TIPO],DADOS!$AB$3,tabela_registros[CATEGORIA],investirrendafixaconsolidadonov[[#This Row],[ATUAL]])</f>
        <v>0</v>
      </c>
      <c r="F120" s="91">
        <f>SUMIFS(tabela_registros[VALOR],tabela_registros[MÊS],$AE$1,tabela_registros[DIA],investirrendafixaconsolidadonov[[#Headers],[2]],tabela_registros[REGISTRO],DADOS!$N$5,tabela_registros[TIPO],DADOS!$AB$3,tabela_registros[CATEGORIA],investirrendafixaconsolidadonov[[#This Row],[ATUAL]])</f>
        <v>0</v>
      </c>
      <c r="G120" s="91">
        <f>SUMIFS(tabela_registros[VALOR],tabela_registros[MÊS],$AE$1,tabela_registros[DIA],investirrendafixaconsolidadonov[[#Headers],[3]],tabela_registros[REGISTRO],DADOS!$N$5,tabela_registros[TIPO],DADOS!$AB$3,tabela_registros[CATEGORIA],investirrendafixaconsolidadonov[[#This Row],[ATUAL]])</f>
        <v>0</v>
      </c>
      <c r="H120" s="91">
        <f>SUMIFS(tabela_registros[VALOR],tabela_registros[MÊS],$AE$1,tabela_registros[DIA],investirrendafixaconsolidadonov[[#Headers],[4]],tabela_registros[REGISTRO],DADOS!$N$5,tabela_registros[TIPO],DADOS!$AB$3,tabela_registros[CATEGORIA],investirrendafixaconsolidadonov[[#This Row],[ATUAL]])</f>
        <v>0</v>
      </c>
      <c r="I120" s="91">
        <f>SUMIFS(tabela_registros[VALOR],tabela_registros[MÊS],$AE$1,tabela_registros[DIA],investirrendafixaconsolidadonov[[#Headers],[5]],tabela_registros[REGISTRO],DADOS!$N$5,tabela_registros[TIPO],DADOS!$AB$3,tabela_registros[CATEGORIA],investirrendafixaconsolidadonov[[#This Row],[ATUAL]])</f>
        <v>0</v>
      </c>
      <c r="J120" s="91">
        <f>SUMIFS(tabela_registros[VALOR],tabela_registros[MÊS],$AE$1,tabela_registros[DIA],investirrendafixaconsolidadonov[[#Headers],[6]],tabela_registros[REGISTRO],DADOS!$N$5,tabela_registros[TIPO],DADOS!$AB$3,tabela_registros[CATEGORIA],investirrendafixaconsolidadonov[[#This Row],[ATUAL]])</f>
        <v>0</v>
      </c>
      <c r="K120" s="91">
        <f>SUMIFS(tabela_registros[VALOR],tabela_registros[MÊS],$AE$1,tabela_registros[DIA],investirrendafixaconsolidadonov[[#Headers],[7]],tabela_registros[REGISTRO],DADOS!$N$5,tabela_registros[TIPO],DADOS!$AB$3,tabela_registros[CATEGORIA],investirrendafixaconsolidadonov[[#This Row],[ATUAL]])</f>
        <v>0</v>
      </c>
      <c r="L120" s="91">
        <f>SUMIFS(tabela_registros[VALOR],tabela_registros[MÊS],$AE$1,tabela_registros[DIA],investirrendafixaconsolidadonov[[#Headers],[8]],tabela_registros[REGISTRO],DADOS!$N$5,tabela_registros[TIPO],DADOS!$AB$3,tabela_registros[CATEGORIA],investirrendafixaconsolidadonov[[#This Row],[ATUAL]])</f>
        <v>0</v>
      </c>
      <c r="M120" s="91">
        <f>SUMIFS(tabela_registros[VALOR],tabela_registros[MÊS],$AE$1,tabela_registros[DIA],investirrendafixaconsolidadonov[[#Headers],[9]],tabela_registros[REGISTRO],DADOS!$N$5,tabela_registros[TIPO],DADOS!$AB$3,tabela_registros[CATEGORIA],investirrendafixaconsolidadonov[[#This Row],[ATUAL]])</f>
        <v>0</v>
      </c>
      <c r="N120" s="91">
        <f>SUMIFS(tabela_registros[VALOR],tabela_registros[MÊS],$AE$1,tabela_registros[DIA],investirrendafixaconsolidadonov[[#Headers],[10]],tabela_registros[REGISTRO],DADOS!$N$5,tabela_registros[TIPO],DADOS!$AB$3,tabela_registros[CATEGORIA],investirrendafixaconsolidadonov[[#This Row],[ATUAL]])</f>
        <v>0</v>
      </c>
      <c r="O120" s="91">
        <f>SUMIFS(tabela_registros[VALOR],tabela_registros[MÊS],$AE$1,tabela_registros[DIA],investirrendafixaconsolidadonov[[#Headers],[11]],tabela_registros[REGISTRO],DADOS!$N$5,tabela_registros[TIPO],DADOS!$AB$3,tabela_registros[CATEGORIA],investirrendafixaconsolidadonov[[#This Row],[ATUAL]])</f>
        <v>0</v>
      </c>
      <c r="P120" s="91">
        <f>SUMIFS(tabela_registros[VALOR],tabela_registros[MÊS],$AE$1,tabela_registros[DIA],investirrendafixaconsolidadonov[[#Headers],[12]],tabela_registros[REGISTRO],DADOS!$N$5,tabela_registros[TIPO],DADOS!$AB$3,tabela_registros[CATEGORIA],investirrendafixaconsolidadonov[[#This Row],[ATUAL]])</f>
        <v>0</v>
      </c>
      <c r="Q120" s="91">
        <f>SUMIFS(tabela_registros[VALOR],tabela_registros[MÊS],$AE$1,tabela_registros[DIA],investirrendafixaconsolidadonov[[#Headers],[13]],tabela_registros[REGISTRO],DADOS!$N$5,tabela_registros[TIPO],DADOS!$AB$3,tabela_registros[CATEGORIA],investirrendafixaconsolidadonov[[#This Row],[ATUAL]])</f>
        <v>0</v>
      </c>
      <c r="R120" s="91">
        <f>SUMIFS(tabela_registros[VALOR],tabela_registros[MÊS],$AE$1,tabela_registros[DIA],investirrendafixaconsolidadonov[[#Headers],[14]],tabela_registros[REGISTRO],DADOS!$N$5,tabela_registros[TIPO],DADOS!$AB$3,tabela_registros[CATEGORIA],investirrendafixaconsolidadonov[[#This Row],[ATUAL]])</f>
        <v>0</v>
      </c>
      <c r="S120" s="91">
        <f>SUMIFS(tabela_registros[VALOR],tabela_registros[MÊS],$AE$1,tabela_registros[DIA],investirrendafixaconsolidadonov[[#Headers],[15]],tabela_registros[REGISTRO],DADOS!$N$5,tabela_registros[TIPO],DADOS!$AB$3,tabela_registros[CATEGORIA],investirrendafixaconsolidadonov[[#This Row],[ATUAL]])</f>
        <v>0</v>
      </c>
      <c r="T120" s="91">
        <f>SUMIFS(tabela_registros[VALOR],tabela_registros[MÊS],$AE$1,tabela_registros[DIA],investirrendafixaconsolidadonov[[#Headers],[16]],tabela_registros[REGISTRO],DADOS!$N$5,tabela_registros[TIPO],DADOS!$AB$3,tabela_registros[CATEGORIA],investirrendafixaconsolidadonov[[#This Row],[ATUAL]])</f>
        <v>0</v>
      </c>
      <c r="U120" s="91">
        <f>SUMIFS(tabela_registros[VALOR],tabela_registros[MÊS],$AE$1,tabela_registros[DIA],investirrendafixaconsolidadonov[[#Headers],[17]],tabela_registros[REGISTRO],DADOS!$N$5,tabela_registros[TIPO],DADOS!$AB$3,tabela_registros[CATEGORIA],investirrendafixaconsolidadonov[[#This Row],[ATUAL]])</f>
        <v>0</v>
      </c>
      <c r="V120" s="91">
        <f>SUMIFS(tabela_registros[VALOR],tabela_registros[MÊS],$AE$1,tabela_registros[DIA],investirrendafixaconsolidadonov[[#Headers],[18]],tabela_registros[REGISTRO],DADOS!$N$5,tabela_registros[TIPO],DADOS!$AB$3,tabela_registros[CATEGORIA],investirrendafixaconsolidadonov[[#This Row],[ATUAL]])</f>
        <v>0</v>
      </c>
      <c r="W120" s="91">
        <f>SUMIFS(tabela_registros[VALOR],tabela_registros[MÊS],$AE$1,tabela_registros[DIA],investirrendafixaconsolidadonov[[#Headers],[19]],tabela_registros[REGISTRO],DADOS!$N$5,tabela_registros[TIPO],DADOS!$AB$3,tabela_registros[CATEGORIA],investirrendafixaconsolidadonov[[#This Row],[ATUAL]])</f>
        <v>0</v>
      </c>
      <c r="X120" s="91">
        <f>SUMIFS(tabela_registros[VALOR],tabela_registros[MÊS],$AE$1,tabela_registros[DIA],investirrendafixaconsolidadonov[[#Headers],[20]],tabela_registros[REGISTRO],DADOS!$N$5,tabela_registros[TIPO],DADOS!$AB$3,tabela_registros[CATEGORIA],investirrendafixaconsolidadonov[[#This Row],[ATUAL]])</f>
        <v>0</v>
      </c>
      <c r="Y120" s="91">
        <f>SUMIFS(tabela_registros[VALOR],tabela_registros[MÊS],$AE$1,tabela_registros[DIA],investirrendafixaconsolidadonov[[#Headers],[21]],tabela_registros[REGISTRO],DADOS!$N$5,tabela_registros[TIPO],DADOS!$AB$3,tabela_registros[CATEGORIA],investirrendafixaconsolidadonov[[#This Row],[ATUAL]])</f>
        <v>0</v>
      </c>
      <c r="Z120" s="91">
        <f>SUMIFS(tabela_registros[VALOR],tabela_registros[MÊS],$AE$1,tabela_registros[DIA],investirrendafixaconsolidadonov[[#Headers],[22]],tabela_registros[REGISTRO],DADOS!$N$5,tabela_registros[TIPO],DADOS!$AB$3,tabela_registros[CATEGORIA],investirrendafixaconsolidadonov[[#This Row],[ATUAL]])</f>
        <v>0</v>
      </c>
      <c r="AA120" s="91">
        <f>SUMIFS(tabela_registros[VALOR],tabela_registros[MÊS],$AE$1,tabela_registros[DIA],investirrendafixaconsolidadonov[[#Headers],[23]],tabela_registros[REGISTRO],DADOS!$N$5,tabela_registros[TIPO],DADOS!$AB$3,tabela_registros[CATEGORIA],investirrendafixaconsolidadonov[[#This Row],[ATUAL]])</f>
        <v>0</v>
      </c>
      <c r="AB120" s="91">
        <f>SUMIFS(tabela_registros[VALOR],tabela_registros[MÊS],$AE$1,tabela_registros[DIA],investirrendafixaconsolidadonov[[#Headers],[24]],tabela_registros[REGISTRO],DADOS!$N$5,tabela_registros[TIPO],DADOS!$AB$3,tabela_registros[CATEGORIA],investirrendafixaconsolidadonov[[#This Row],[ATUAL]])</f>
        <v>0</v>
      </c>
      <c r="AC120" s="91">
        <f>SUMIFS(tabela_registros[VALOR],tabela_registros[MÊS],$AE$1,tabela_registros[DIA],investirrendafixaconsolidadonov[[#Headers],[25]],tabela_registros[REGISTRO],DADOS!$N$5,tabela_registros[TIPO],DADOS!$AB$3,tabela_registros[CATEGORIA],investirrendafixaconsolidadonov[[#This Row],[ATUAL]])</f>
        <v>0</v>
      </c>
      <c r="AD120" s="91">
        <f>SUMIFS(tabela_registros[VALOR],tabela_registros[MÊS],$AE$1,tabela_registros[DIA],investirrendafixaconsolidadonov[[#Headers],[26]],tabela_registros[REGISTRO],DADOS!$N$5,tabela_registros[TIPO],DADOS!$AB$3,tabela_registros[CATEGORIA],investirrendafixaconsolidadonov[[#This Row],[ATUAL]])</f>
        <v>0</v>
      </c>
      <c r="AE120" s="91">
        <f>SUMIFS(tabela_registros[VALOR],tabela_registros[MÊS],$AE$1,tabela_registros[DIA],investirrendafixaconsolidadonov[[#Headers],[27]],tabela_registros[REGISTRO],DADOS!$N$5,tabela_registros[TIPO],DADOS!$AB$3,tabela_registros[CATEGORIA],investirrendafixaconsolidadonov[[#This Row],[ATUAL]])</f>
        <v>0</v>
      </c>
      <c r="AF120" s="91">
        <f>SUMIFS(tabela_registros[VALOR],tabela_registros[MÊS],$AE$1,tabela_registros[DIA],investirrendafixaconsolidadonov[[#Headers],[28]],tabela_registros[REGISTRO],DADOS!$N$5,tabela_registros[TIPO],DADOS!$AB$3,tabela_registros[CATEGORIA],investirrendafixaconsolidadonov[[#This Row],[ATUAL]])</f>
        <v>0</v>
      </c>
      <c r="AG120" s="91">
        <f>SUMIFS(tabela_registros[VALOR],tabela_registros[MÊS],$AE$1,tabela_registros[DIA],investirrendafixaconsolidadonov[[#Headers],[29]],tabela_registros[REGISTRO],DADOS!$N$5,tabela_registros[TIPO],DADOS!$AB$3,tabela_registros[CATEGORIA],investirrendafixaconsolidadonov[[#This Row],[ATUAL]])</f>
        <v>0</v>
      </c>
      <c r="AH120" s="91">
        <f>SUMIFS(tabela_registros[VALOR],tabela_registros[MÊS],$AE$1,tabela_registros[DIA],investirrendafixaconsolidadonov[[#Headers],[30]],tabela_registros[REGISTRO],DADOS!$N$5,tabela_registros[TIPO],DADOS!$AB$3,tabela_registros[CATEGORIA],investirrendafixaconsolidadonov[[#This Row],[ATUAL]])</f>
        <v>0</v>
      </c>
      <c r="AI120" s="101">
        <f>SUMIFS(tabela_registros[VALOR],tabela_registros[MÊS],$AE$1,tabela_registros[DIA],investirrendafixaconsolidadonov[[#Headers],[31]],tabela_registros[REGISTRO],DADOS!$N$5,tabela_registros[TIPO],DADOS!$AB$3,tabela_registros[CATEGORIA],investirrendafixaconsolidadonov[[#This Row],[ATUAL]])</f>
        <v>0</v>
      </c>
      <c r="AJ120" s="97">
        <f>SUM(investirrendafixaconsolidadonov[[#This Row],[1]:[31]])</f>
        <v>0</v>
      </c>
      <c r="AK120" s="25"/>
    </row>
    <row r="121" spans="2:37" ht="19.5" customHeight="1" thickTop="1" thickBot="1" x14ac:dyDescent="0.3">
      <c r="B121" s="28"/>
      <c r="C121" s="27" t="str">
        <f>DADOS!$AD$11</f>
        <v>📝 TESOURO DIRETO</v>
      </c>
      <c r="D121" s="26" t="str">
        <f>IF(investirrendafixaconsolidadonov[[#This Row],[TOTAL (R$)]]=0,"",IF(OR(investirrendafixaconsolidadonov[[#This Row],[TOTAL (R$)]]=LARGE($AJ$113:$AJ$122,1),investirrendafixaconsolidadonov[[#This Row],[TOTAL (R$)]]=LARGE($AJ$113:$AJ$122,2)),DADOS!$I$10,""))</f>
        <v/>
      </c>
      <c r="E121" s="96">
        <f>SUMIFS(tabela_registros[VALOR],tabela_registros[MÊS],$AE$1,tabela_registros[DIA],investirrendafixaconsolidadonov[[#Headers],[1]],tabela_registros[REGISTRO],DADOS!$N$5,tabela_registros[TIPO],DADOS!$AB$3,tabela_registros[CATEGORIA],investirrendafixaconsolidadonov[[#This Row],[ATUAL]])</f>
        <v>0</v>
      </c>
      <c r="F121" s="91">
        <f>SUMIFS(tabela_registros[VALOR],tabela_registros[MÊS],$AE$1,tabela_registros[DIA],investirrendafixaconsolidadonov[[#Headers],[2]],tabela_registros[REGISTRO],DADOS!$N$5,tabela_registros[TIPO],DADOS!$AB$3,tabela_registros[CATEGORIA],investirrendafixaconsolidadonov[[#This Row],[ATUAL]])</f>
        <v>0</v>
      </c>
      <c r="G121" s="91">
        <f>SUMIFS(tabela_registros[VALOR],tabela_registros[MÊS],$AE$1,tabela_registros[DIA],investirrendafixaconsolidadonov[[#Headers],[3]],tabela_registros[REGISTRO],DADOS!$N$5,tabela_registros[TIPO],DADOS!$AB$3,tabela_registros[CATEGORIA],investirrendafixaconsolidadonov[[#This Row],[ATUAL]])</f>
        <v>0</v>
      </c>
      <c r="H121" s="91">
        <f>SUMIFS(tabela_registros[VALOR],tabela_registros[MÊS],$AE$1,tabela_registros[DIA],investirrendafixaconsolidadonov[[#Headers],[4]],tabela_registros[REGISTRO],DADOS!$N$5,tabela_registros[TIPO],DADOS!$AB$3,tabela_registros[CATEGORIA],investirrendafixaconsolidadonov[[#This Row],[ATUAL]])</f>
        <v>0</v>
      </c>
      <c r="I121" s="91">
        <f>SUMIFS(tabela_registros[VALOR],tabela_registros[MÊS],$AE$1,tabela_registros[DIA],investirrendafixaconsolidadonov[[#Headers],[5]],tabela_registros[REGISTRO],DADOS!$N$5,tabela_registros[TIPO],DADOS!$AB$3,tabela_registros[CATEGORIA],investirrendafixaconsolidadonov[[#This Row],[ATUAL]])</f>
        <v>0</v>
      </c>
      <c r="J121" s="91">
        <f>SUMIFS(tabela_registros[VALOR],tabela_registros[MÊS],$AE$1,tabela_registros[DIA],investirrendafixaconsolidadonov[[#Headers],[6]],tabela_registros[REGISTRO],DADOS!$N$5,tabela_registros[TIPO],DADOS!$AB$3,tabela_registros[CATEGORIA],investirrendafixaconsolidadonov[[#This Row],[ATUAL]])</f>
        <v>0</v>
      </c>
      <c r="K121" s="91">
        <f>SUMIFS(tabela_registros[VALOR],tabela_registros[MÊS],$AE$1,tabela_registros[DIA],investirrendafixaconsolidadonov[[#Headers],[7]],tabela_registros[REGISTRO],DADOS!$N$5,tabela_registros[TIPO],DADOS!$AB$3,tabela_registros[CATEGORIA],investirrendafixaconsolidadonov[[#This Row],[ATUAL]])</f>
        <v>0</v>
      </c>
      <c r="L121" s="91">
        <f>SUMIFS(tabela_registros[VALOR],tabela_registros[MÊS],$AE$1,tabela_registros[DIA],investirrendafixaconsolidadonov[[#Headers],[8]],tabela_registros[REGISTRO],DADOS!$N$5,tabela_registros[TIPO],DADOS!$AB$3,tabela_registros[CATEGORIA],investirrendafixaconsolidadonov[[#This Row],[ATUAL]])</f>
        <v>0</v>
      </c>
      <c r="M121" s="91">
        <f>SUMIFS(tabela_registros[VALOR],tabela_registros[MÊS],$AE$1,tabela_registros[DIA],investirrendafixaconsolidadonov[[#Headers],[9]],tabela_registros[REGISTRO],DADOS!$N$5,tabela_registros[TIPO],DADOS!$AB$3,tabela_registros[CATEGORIA],investirrendafixaconsolidadonov[[#This Row],[ATUAL]])</f>
        <v>0</v>
      </c>
      <c r="N121" s="91">
        <f>SUMIFS(tabela_registros[VALOR],tabela_registros[MÊS],$AE$1,tabela_registros[DIA],investirrendafixaconsolidadonov[[#Headers],[10]],tabela_registros[REGISTRO],DADOS!$N$5,tabela_registros[TIPO],DADOS!$AB$3,tabela_registros[CATEGORIA],investirrendafixaconsolidadonov[[#This Row],[ATUAL]])</f>
        <v>0</v>
      </c>
      <c r="O121" s="91">
        <f>SUMIFS(tabela_registros[VALOR],tabela_registros[MÊS],$AE$1,tabela_registros[DIA],investirrendafixaconsolidadonov[[#Headers],[11]],tabela_registros[REGISTRO],DADOS!$N$5,tabela_registros[TIPO],DADOS!$AB$3,tabela_registros[CATEGORIA],investirrendafixaconsolidadonov[[#This Row],[ATUAL]])</f>
        <v>0</v>
      </c>
      <c r="P121" s="91">
        <f>SUMIFS(tabela_registros[VALOR],tabela_registros[MÊS],$AE$1,tabela_registros[DIA],investirrendafixaconsolidadonov[[#Headers],[12]],tabela_registros[REGISTRO],DADOS!$N$5,tabela_registros[TIPO],DADOS!$AB$3,tabela_registros[CATEGORIA],investirrendafixaconsolidadonov[[#This Row],[ATUAL]])</f>
        <v>0</v>
      </c>
      <c r="Q121" s="91">
        <f>SUMIFS(tabela_registros[VALOR],tabela_registros[MÊS],$AE$1,tabela_registros[DIA],investirrendafixaconsolidadonov[[#Headers],[13]],tabela_registros[REGISTRO],DADOS!$N$5,tabela_registros[TIPO],DADOS!$AB$3,tabela_registros[CATEGORIA],investirrendafixaconsolidadonov[[#This Row],[ATUAL]])</f>
        <v>0</v>
      </c>
      <c r="R121" s="91">
        <f>SUMIFS(tabela_registros[VALOR],tabela_registros[MÊS],$AE$1,tabela_registros[DIA],investirrendafixaconsolidadonov[[#Headers],[14]],tabela_registros[REGISTRO],DADOS!$N$5,tabela_registros[TIPO],DADOS!$AB$3,tabela_registros[CATEGORIA],investirrendafixaconsolidadonov[[#This Row],[ATUAL]])</f>
        <v>0</v>
      </c>
      <c r="S121" s="91">
        <f>SUMIFS(tabela_registros[VALOR],tabela_registros[MÊS],$AE$1,tabela_registros[DIA],investirrendafixaconsolidadonov[[#Headers],[15]],tabela_registros[REGISTRO],DADOS!$N$5,tabela_registros[TIPO],DADOS!$AB$3,tabela_registros[CATEGORIA],investirrendafixaconsolidadonov[[#This Row],[ATUAL]])</f>
        <v>0</v>
      </c>
      <c r="T121" s="91">
        <f>SUMIFS(tabela_registros[VALOR],tabela_registros[MÊS],$AE$1,tabela_registros[DIA],investirrendafixaconsolidadonov[[#Headers],[16]],tabela_registros[REGISTRO],DADOS!$N$5,tabela_registros[TIPO],DADOS!$AB$3,tabela_registros[CATEGORIA],investirrendafixaconsolidadonov[[#This Row],[ATUAL]])</f>
        <v>0</v>
      </c>
      <c r="U121" s="91">
        <f>SUMIFS(tabela_registros[VALOR],tabela_registros[MÊS],$AE$1,tabela_registros[DIA],investirrendafixaconsolidadonov[[#Headers],[17]],tabela_registros[REGISTRO],DADOS!$N$5,tabela_registros[TIPO],DADOS!$AB$3,tabela_registros[CATEGORIA],investirrendafixaconsolidadonov[[#This Row],[ATUAL]])</f>
        <v>0</v>
      </c>
      <c r="V121" s="91">
        <f>SUMIFS(tabela_registros[VALOR],tabela_registros[MÊS],$AE$1,tabela_registros[DIA],investirrendafixaconsolidadonov[[#Headers],[18]],tabela_registros[REGISTRO],DADOS!$N$5,tabela_registros[TIPO],DADOS!$AB$3,tabela_registros[CATEGORIA],investirrendafixaconsolidadonov[[#This Row],[ATUAL]])</f>
        <v>0</v>
      </c>
      <c r="W121" s="91">
        <f>SUMIFS(tabela_registros[VALOR],tabela_registros[MÊS],$AE$1,tabela_registros[DIA],investirrendafixaconsolidadonov[[#Headers],[19]],tabela_registros[REGISTRO],DADOS!$N$5,tabela_registros[TIPO],DADOS!$AB$3,tabela_registros[CATEGORIA],investirrendafixaconsolidadonov[[#This Row],[ATUAL]])</f>
        <v>0</v>
      </c>
      <c r="X121" s="91">
        <f>SUMIFS(tabela_registros[VALOR],tabela_registros[MÊS],$AE$1,tabela_registros[DIA],investirrendafixaconsolidadonov[[#Headers],[20]],tabela_registros[REGISTRO],DADOS!$N$5,tabela_registros[TIPO],DADOS!$AB$3,tabela_registros[CATEGORIA],investirrendafixaconsolidadonov[[#This Row],[ATUAL]])</f>
        <v>0</v>
      </c>
      <c r="Y121" s="91">
        <f>SUMIFS(tabela_registros[VALOR],tabela_registros[MÊS],$AE$1,tabela_registros[DIA],investirrendafixaconsolidadonov[[#Headers],[21]],tabela_registros[REGISTRO],DADOS!$N$5,tabela_registros[TIPO],DADOS!$AB$3,tabela_registros[CATEGORIA],investirrendafixaconsolidadonov[[#This Row],[ATUAL]])</f>
        <v>0</v>
      </c>
      <c r="Z121" s="91">
        <f>SUMIFS(tabela_registros[VALOR],tabela_registros[MÊS],$AE$1,tabela_registros[DIA],investirrendafixaconsolidadonov[[#Headers],[22]],tabela_registros[REGISTRO],DADOS!$N$5,tabela_registros[TIPO],DADOS!$AB$3,tabela_registros[CATEGORIA],investirrendafixaconsolidadonov[[#This Row],[ATUAL]])</f>
        <v>0</v>
      </c>
      <c r="AA121" s="91">
        <f>SUMIFS(tabela_registros[VALOR],tabela_registros[MÊS],$AE$1,tabela_registros[DIA],investirrendafixaconsolidadonov[[#Headers],[23]],tabela_registros[REGISTRO],DADOS!$N$5,tabela_registros[TIPO],DADOS!$AB$3,tabela_registros[CATEGORIA],investirrendafixaconsolidadonov[[#This Row],[ATUAL]])</f>
        <v>0</v>
      </c>
      <c r="AB121" s="91">
        <f>SUMIFS(tabela_registros[VALOR],tabela_registros[MÊS],$AE$1,tabela_registros[DIA],investirrendafixaconsolidadonov[[#Headers],[24]],tabela_registros[REGISTRO],DADOS!$N$5,tabela_registros[TIPO],DADOS!$AB$3,tabela_registros[CATEGORIA],investirrendafixaconsolidadonov[[#This Row],[ATUAL]])</f>
        <v>0</v>
      </c>
      <c r="AC121" s="91">
        <f>SUMIFS(tabela_registros[VALOR],tabela_registros[MÊS],$AE$1,tabela_registros[DIA],investirrendafixaconsolidadonov[[#Headers],[25]],tabela_registros[REGISTRO],DADOS!$N$5,tabela_registros[TIPO],DADOS!$AB$3,tabela_registros[CATEGORIA],investirrendafixaconsolidadonov[[#This Row],[ATUAL]])</f>
        <v>0</v>
      </c>
      <c r="AD121" s="91">
        <f>SUMIFS(tabela_registros[VALOR],tabela_registros[MÊS],$AE$1,tabela_registros[DIA],investirrendafixaconsolidadonov[[#Headers],[26]],tabela_registros[REGISTRO],DADOS!$N$5,tabela_registros[TIPO],DADOS!$AB$3,tabela_registros[CATEGORIA],investirrendafixaconsolidadonov[[#This Row],[ATUAL]])</f>
        <v>0</v>
      </c>
      <c r="AE121" s="91">
        <f>SUMIFS(tabela_registros[VALOR],tabela_registros[MÊS],$AE$1,tabela_registros[DIA],investirrendafixaconsolidadonov[[#Headers],[27]],tabela_registros[REGISTRO],DADOS!$N$5,tabela_registros[TIPO],DADOS!$AB$3,tabela_registros[CATEGORIA],investirrendafixaconsolidadonov[[#This Row],[ATUAL]])</f>
        <v>0</v>
      </c>
      <c r="AF121" s="91">
        <f>SUMIFS(tabela_registros[VALOR],tabela_registros[MÊS],$AE$1,tabela_registros[DIA],investirrendafixaconsolidadonov[[#Headers],[28]],tabela_registros[REGISTRO],DADOS!$N$5,tabela_registros[TIPO],DADOS!$AB$3,tabela_registros[CATEGORIA],investirrendafixaconsolidadonov[[#This Row],[ATUAL]])</f>
        <v>0</v>
      </c>
      <c r="AG121" s="91">
        <f>SUMIFS(tabela_registros[VALOR],tabela_registros[MÊS],$AE$1,tabela_registros[DIA],investirrendafixaconsolidadonov[[#Headers],[29]],tabela_registros[REGISTRO],DADOS!$N$5,tabela_registros[TIPO],DADOS!$AB$3,tabela_registros[CATEGORIA],investirrendafixaconsolidadonov[[#This Row],[ATUAL]])</f>
        <v>0</v>
      </c>
      <c r="AH121" s="91">
        <f>SUMIFS(tabela_registros[VALOR],tabela_registros[MÊS],$AE$1,tabela_registros[DIA],investirrendafixaconsolidadonov[[#Headers],[30]],tabela_registros[REGISTRO],DADOS!$N$5,tabela_registros[TIPO],DADOS!$AB$3,tabela_registros[CATEGORIA],investirrendafixaconsolidadonov[[#This Row],[ATUAL]])</f>
        <v>0</v>
      </c>
      <c r="AI121" s="101">
        <f>SUMIFS(tabela_registros[VALOR],tabela_registros[MÊS],$AE$1,tabela_registros[DIA],investirrendafixaconsolidadonov[[#Headers],[31]],tabela_registros[REGISTRO],DADOS!$N$5,tabela_registros[TIPO],DADOS!$AB$3,tabela_registros[CATEGORIA],investirrendafixaconsolidadonov[[#This Row],[ATUAL]])</f>
        <v>0</v>
      </c>
      <c r="AJ121" s="97">
        <f>SUM(investirrendafixaconsolidadonov[[#This Row],[1]:[31]])</f>
        <v>0</v>
      </c>
      <c r="AK121" s="25"/>
    </row>
    <row r="122" spans="2:37" ht="19.5" customHeight="1" thickTop="1" thickBot="1" x14ac:dyDescent="0.3">
      <c r="B122" s="28"/>
      <c r="C122" s="27" t="str">
        <f>DADOS!$AD$12</f>
        <v>📎 OUTROS</v>
      </c>
      <c r="D122" s="26" t="str">
        <f>IF(investirrendafixaconsolidadonov[[#This Row],[TOTAL (R$)]]=0,"",IF(OR(investirrendafixaconsolidadonov[[#This Row],[TOTAL (R$)]]=LARGE($AJ$113:$AJ$122,1),investirrendafixaconsolidadonov[[#This Row],[TOTAL (R$)]]=LARGE($AJ$113:$AJ$122,2)),DADOS!$I$10,""))</f>
        <v/>
      </c>
      <c r="E122" s="96">
        <f>SUMIFS(tabela_registros[VALOR],tabela_registros[MÊS],$AE$1,tabela_registros[DIA],investirrendafixaconsolidadonov[[#Headers],[1]],tabela_registros[REGISTRO],DADOS!$N$5,tabela_registros[TIPO],DADOS!$AB$3,tabela_registros[CATEGORIA],investirrendafixaconsolidadonov[[#This Row],[ATUAL]])</f>
        <v>0</v>
      </c>
      <c r="F122" s="91">
        <f>SUMIFS(tabela_registros[VALOR],tabela_registros[MÊS],$AE$1,tabela_registros[DIA],investirrendafixaconsolidadonov[[#Headers],[2]],tabela_registros[REGISTRO],DADOS!$N$5,tabela_registros[TIPO],DADOS!$AB$3,tabela_registros[CATEGORIA],investirrendafixaconsolidadonov[[#This Row],[ATUAL]])</f>
        <v>0</v>
      </c>
      <c r="G122" s="91">
        <f>SUMIFS(tabela_registros[VALOR],tabela_registros[MÊS],$AE$1,tabela_registros[DIA],investirrendafixaconsolidadonov[[#Headers],[3]],tabela_registros[REGISTRO],DADOS!$N$5,tabela_registros[TIPO],DADOS!$AB$3,tabela_registros[CATEGORIA],investirrendafixaconsolidadonov[[#This Row],[ATUAL]])</f>
        <v>0</v>
      </c>
      <c r="H122" s="91">
        <f>SUMIFS(tabela_registros[VALOR],tabela_registros[MÊS],$AE$1,tabela_registros[DIA],investirrendafixaconsolidadonov[[#Headers],[4]],tabela_registros[REGISTRO],DADOS!$N$5,tabela_registros[TIPO],DADOS!$AB$3,tabela_registros[CATEGORIA],investirrendafixaconsolidadonov[[#This Row],[ATUAL]])</f>
        <v>0</v>
      </c>
      <c r="I122" s="91">
        <f>SUMIFS(tabela_registros[VALOR],tabela_registros[MÊS],$AE$1,tabela_registros[DIA],investirrendafixaconsolidadonov[[#Headers],[5]],tabela_registros[REGISTRO],DADOS!$N$5,tabela_registros[TIPO],DADOS!$AB$3,tabela_registros[CATEGORIA],investirrendafixaconsolidadonov[[#This Row],[ATUAL]])</f>
        <v>0</v>
      </c>
      <c r="J122" s="91">
        <f>SUMIFS(tabela_registros[VALOR],tabela_registros[MÊS],$AE$1,tabela_registros[DIA],investirrendafixaconsolidadonov[[#Headers],[6]],tabela_registros[REGISTRO],DADOS!$N$5,tabela_registros[TIPO],DADOS!$AB$3,tabela_registros[CATEGORIA],investirrendafixaconsolidadonov[[#This Row],[ATUAL]])</f>
        <v>0</v>
      </c>
      <c r="K122" s="91">
        <f>SUMIFS(tabela_registros[VALOR],tabela_registros[MÊS],$AE$1,tabela_registros[DIA],investirrendafixaconsolidadonov[[#Headers],[7]],tabela_registros[REGISTRO],DADOS!$N$5,tabela_registros[TIPO],DADOS!$AB$3,tabela_registros[CATEGORIA],investirrendafixaconsolidadonov[[#This Row],[ATUAL]])</f>
        <v>0</v>
      </c>
      <c r="L122" s="91">
        <f>SUMIFS(tabela_registros[VALOR],tabela_registros[MÊS],$AE$1,tabela_registros[DIA],investirrendafixaconsolidadonov[[#Headers],[8]],tabela_registros[REGISTRO],DADOS!$N$5,tabela_registros[TIPO],DADOS!$AB$3,tabela_registros[CATEGORIA],investirrendafixaconsolidadonov[[#This Row],[ATUAL]])</f>
        <v>0</v>
      </c>
      <c r="M122" s="91">
        <f>SUMIFS(tabela_registros[VALOR],tabela_registros[MÊS],$AE$1,tabela_registros[DIA],investirrendafixaconsolidadonov[[#Headers],[9]],tabela_registros[REGISTRO],DADOS!$N$5,tabela_registros[TIPO],DADOS!$AB$3,tabela_registros[CATEGORIA],investirrendafixaconsolidadonov[[#This Row],[ATUAL]])</f>
        <v>0</v>
      </c>
      <c r="N122" s="91">
        <f>SUMIFS(tabela_registros[VALOR],tabela_registros[MÊS],$AE$1,tabela_registros[DIA],investirrendafixaconsolidadonov[[#Headers],[10]],tabela_registros[REGISTRO],DADOS!$N$5,tabela_registros[TIPO],DADOS!$AB$3,tabela_registros[CATEGORIA],investirrendafixaconsolidadonov[[#This Row],[ATUAL]])</f>
        <v>0</v>
      </c>
      <c r="O122" s="91">
        <f>SUMIFS(tabela_registros[VALOR],tabela_registros[MÊS],$AE$1,tabela_registros[DIA],investirrendafixaconsolidadonov[[#Headers],[11]],tabela_registros[REGISTRO],DADOS!$N$5,tabela_registros[TIPO],DADOS!$AB$3,tabela_registros[CATEGORIA],investirrendafixaconsolidadonov[[#This Row],[ATUAL]])</f>
        <v>0</v>
      </c>
      <c r="P122" s="91">
        <f>SUMIFS(tabela_registros[VALOR],tabela_registros[MÊS],$AE$1,tabela_registros[DIA],investirrendafixaconsolidadonov[[#Headers],[12]],tabela_registros[REGISTRO],DADOS!$N$5,tabela_registros[TIPO],DADOS!$AB$3,tabela_registros[CATEGORIA],investirrendafixaconsolidadonov[[#This Row],[ATUAL]])</f>
        <v>0</v>
      </c>
      <c r="Q122" s="91">
        <f>SUMIFS(tabela_registros[VALOR],tabela_registros[MÊS],$AE$1,tabela_registros[DIA],investirrendafixaconsolidadonov[[#Headers],[13]],tabela_registros[REGISTRO],DADOS!$N$5,tabela_registros[TIPO],DADOS!$AB$3,tabela_registros[CATEGORIA],investirrendafixaconsolidadonov[[#This Row],[ATUAL]])</f>
        <v>0</v>
      </c>
      <c r="R122" s="91">
        <f>SUMIFS(tabela_registros[VALOR],tabela_registros[MÊS],$AE$1,tabela_registros[DIA],investirrendafixaconsolidadonov[[#Headers],[14]],tabela_registros[REGISTRO],DADOS!$N$5,tabela_registros[TIPO],DADOS!$AB$3,tabela_registros[CATEGORIA],investirrendafixaconsolidadonov[[#This Row],[ATUAL]])</f>
        <v>0</v>
      </c>
      <c r="S122" s="91">
        <f>SUMIFS(tabela_registros[VALOR],tabela_registros[MÊS],$AE$1,tabela_registros[DIA],investirrendafixaconsolidadonov[[#Headers],[15]],tabela_registros[REGISTRO],DADOS!$N$5,tabela_registros[TIPO],DADOS!$AB$3,tabela_registros[CATEGORIA],investirrendafixaconsolidadonov[[#This Row],[ATUAL]])</f>
        <v>0</v>
      </c>
      <c r="T122" s="91">
        <f>SUMIFS(tabela_registros[VALOR],tabela_registros[MÊS],$AE$1,tabela_registros[DIA],investirrendafixaconsolidadonov[[#Headers],[16]],tabela_registros[REGISTRO],DADOS!$N$5,tabela_registros[TIPO],DADOS!$AB$3,tabela_registros[CATEGORIA],investirrendafixaconsolidadonov[[#This Row],[ATUAL]])</f>
        <v>0</v>
      </c>
      <c r="U122" s="91">
        <f>SUMIFS(tabela_registros[VALOR],tabela_registros[MÊS],$AE$1,tabela_registros[DIA],investirrendafixaconsolidadonov[[#Headers],[17]],tabela_registros[REGISTRO],DADOS!$N$5,tabela_registros[TIPO],DADOS!$AB$3,tabela_registros[CATEGORIA],investirrendafixaconsolidadonov[[#This Row],[ATUAL]])</f>
        <v>0</v>
      </c>
      <c r="V122" s="91">
        <f>SUMIFS(tabela_registros[VALOR],tabela_registros[MÊS],$AE$1,tabela_registros[DIA],investirrendafixaconsolidadonov[[#Headers],[18]],tabela_registros[REGISTRO],DADOS!$N$5,tabela_registros[TIPO],DADOS!$AB$3,tabela_registros[CATEGORIA],investirrendafixaconsolidadonov[[#This Row],[ATUAL]])</f>
        <v>0</v>
      </c>
      <c r="W122" s="91">
        <f>SUMIFS(tabela_registros[VALOR],tabela_registros[MÊS],$AE$1,tabela_registros[DIA],investirrendafixaconsolidadonov[[#Headers],[19]],tabela_registros[REGISTRO],DADOS!$N$5,tabela_registros[TIPO],DADOS!$AB$3,tabela_registros[CATEGORIA],investirrendafixaconsolidadonov[[#This Row],[ATUAL]])</f>
        <v>0</v>
      </c>
      <c r="X122" s="91">
        <f>SUMIFS(tabela_registros[VALOR],tabela_registros[MÊS],$AE$1,tabela_registros[DIA],investirrendafixaconsolidadonov[[#Headers],[20]],tabela_registros[REGISTRO],DADOS!$N$5,tabela_registros[TIPO],DADOS!$AB$3,tabela_registros[CATEGORIA],investirrendafixaconsolidadonov[[#This Row],[ATUAL]])</f>
        <v>0</v>
      </c>
      <c r="Y122" s="91">
        <f>SUMIFS(tabela_registros[VALOR],tabela_registros[MÊS],$AE$1,tabela_registros[DIA],investirrendafixaconsolidadonov[[#Headers],[21]],tabela_registros[REGISTRO],DADOS!$N$5,tabela_registros[TIPO],DADOS!$AB$3,tabela_registros[CATEGORIA],investirrendafixaconsolidadonov[[#This Row],[ATUAL]])</f>
        <v>0</v>
      </c>
      <c r="Z122" s="91">
        <f>SUMIFS(tabela_registros[VALOR],tabela_registros[MÊS],$AE$1,tabela_registros[DIA],investirrendafixaconsolidadonov[[#Headers],[22]],tabela_registros[REGISTRO],DADOS!$N$5,tabela_registros[TIPO],DADOS!$AB$3,tabela_registros[CATEGORIA],investirrendafixaconsolidadonov[[#This Row],[ATUAL]])</f>
        <v>0</v>
      </c>
      <c r="AA122" s="91">
        <f>SUMIFS(tabela_registros[VALOR],tabela_registros[MÊS],$AE$1,tabela_registros[DIA],investirrendafixaconsolidadonov[[#Headers],[23]],tabela_registros[REGISTRO],DADOS!$N$5,tabela_registros[TIPO],DADOS!$AB$3,tabela_registros[CATEGORIA],investirrendafixaconsolidadonov[[#This Row],[ATUAL]])</f>
        <v>0</v>
      </c>
      <c r="AB122" s="91">
        <f>SUMIFS(tabela_registros[VALOR],tabela_registros[MÊS],$AE$1,tabela_registros[DIA],investirrendafixaconsolidadonov[[#Headers],[24]],tabela_registros[REGISTRO],DADOS!$N$5,tabela_registros[TIPO],DADOS!$AB$3,tabela_registros[CATEGORIA],investirrendafixaconsolidadonov[[#This Row],[ATUAL]])</f>
        <v>0</v>
      </c>
      <c r="AC122" s="91">
        <f>SUMIFS(tabela_registros[VALOR],tabela_registros[MÊS],$AE$1,tabela_registros[DIA],investirrendafixaconsolidadonov[[#Headers],[25]],tabela_registros[REGISTRO],DADOS!$N$5,tabela_registros[TIPO],DADOS!$AB$3,tabela_registros[CATEGORIA],investirrendafixaconsolidadonov[[#This Row],[ATUAL]])</f>
        <v>0</v>
      </c>
      <c r="AD122" s="91">
        <f>SUMIFS(tabela_registros[VALOR],tabela_registros[MÊS],$AE$1,tabela_registros[DIA],investirrendafixaconsolidadonov[[#Headers],[26]],tabela_registros[REGISTRO],DADOS!$N$5,tabela_registros[TIPO],DADOS!$AB$3,tabela_registros[CATEGORIA],investirrendafixaconsolidadonov[[#This Row],[ATUAL]])</f>
        <v>0</v>
      </c>
      <c r="AE122" s="91">
        <f>SUMIFS(tabela_registros[VALOR],tabela_registros[MÊS],$AE$1,tabela_registros[DIA],investirrendafixaconsolidadonov[[#Headers],[27]],tabela_registros[REGISTRO],DADOS!$N$5,tabela_registros[TIPO],DADOS!$AB$3,tabela_registros[CATEGORIA],investirrendafixaconsolidadonov[[#This Row],[ATUAL]])</f>
        <v>0</v>
      </c>
      <c r="AF122" s="91">
        <f>SUMIFS(tabela_registros[VALOR],tabela_registros[MÊS],$AE$1,tabela_registros[DIA],investirrendafixaconsolidadonov[[#Headers],[28]],tabela_registros[REGISTRO],DADOS!$N$5,tabela_registros[TIPO],DADOS!$AB$3,tabela_registros[CATEGORIA],investirrendafixaconsolidadonov[[#This Row],[ATUAL]])</f>
        <v>0</v>
      </c>
      <c r="AG122" s="91">
        <f>SUMIFS(tabela_registros[VALOR],tabela_registros[MÊS],$AE$1,tabela_registros[DIA],investirrendafixaconsolidadonov[[#Headers],[29]],tabela_registros[REGISTRO],DADOS!$N$5,tabela_registros[TIPO],DADOS!$AB$3,tabela_registros[CATEGORIA],investirrendafixaconsolidadonov[[#This Row],[ATUAL]])</f>
        <v>0</v>
      </c>
      <c r="AH122" s="99">
        <f>SUMIFS(tabela_registros[VALOR],tabela_registros[MÊS],$AE$1,tabela_registros[DIA],investirrendafixaconsolidadonov[[#Headers],[30]],tabela_registros[REGISTRO],DADOS!$N$5,tabela_registros[TIPO],DADOS!$AB$3,tabela_registros[CATEGORIA],investirrendafixaconsolidadonov[[#This Row],[ATUAL]])</f>
        <v>0</v>
      </c>
      <c r="AI122" s="102">
        <f>SUMIFS(tabela_registros[VALOR],tabela_registros[MÊS],$AE$1,tabela_registros[DIA],investirrendafixaconsolidadonov[[#Headers],[31]],tabela_registros[REGISTRO],DADOS!$N$5,tabela_registros[TIPO],DADOS!$AB$3,tabela_registros[CATEGORIA],investirrendafixaconsolidadonov[[#This Row],[ATUAL]])</f>
        <v>0</v>
      </c>
      <c r="AJ122" s="103">
        <f>SUM(investirrendafixaconsolidadonov[[#This Row],[1]:[31]])</f>
        <v>0</v>
      </c>
      <c r="AK122" s="25"/>
    </row>
    <row r="123" spans="2:37" s="16" customFormat="1" ht="21" customHeight="1" thickTop="1" thickBot="1" x14ac:dyDescent="0.35">
      <c r="B123" s="24"/>
      <c r="C123" s="23" t="s">
        <v>19</v>
      </c>
      <c r="D123" s="22"/>
      <c r="E123" s="21">
        <f>SUM(E113:E122)</f>
        <v>0</v>
      </c>
      <c r="F123" s="20">
        <f>SUM(F113:F122)+investirrendafixaconsolidadonov[[#This Row],[1]]</f>
        <v>0</v>
      </c>
      <c r="G123" s="20">
        <f>SUM(G113:G122)+investirrendafixaconsolidadonov[[#This Row],[2]]</f>
        <v>0</v>
      </c>
      <c r="H123" s="20">
        <f>SUM(H113:H122)+investirrendafixaconsolidadonov[[#This Row],[3]]</f>
        <v>0</v>
      </c>
      <c r="I123" s="20">
        <f>SUM(I113:I122)+investirrendafixaconsolidadonov[[#This Row],[4]]</f>
        <v>0</v>
      </c>
      <c r="J123" s="20">
        <f>SUM(J113:J122)+investirrendafixaconsolidadonov[[#This Row],[5]]</f>
        <v>0</v>
      </c>
      <c r="K123" s="20">
        <f>SUM(K113:K122)+investirrendafixaconsolidadonov[[#This Row],[6]]</f>
        <v>0</v>
      </c>
      <c r="L123" s="20">
        <f>SUM(L113:L122)+investirrendafixaconsolidadonov[[#This Row],[7]]</f>
        <v>0</v>
      </c>
      <c r="M123" s="20">
        <f>SUM(M113:M122)+investirrendafixaconsolidadonov[[#This Row],[8]]</f>
        <v>0</v>
      </c>
      <c r="N123" s="20">
        <f>SUM(N113:N122)+investirrendafixaconsolidadonov[[#This Row],[9]]</f>
        <v>0</v>
      </c>
      <c r="O123" s="20">
        <f>SUM(O113:O122)+investirrendafixaconsolidadonov[[#This Row],[10]]</f>
        <v>0</v>
      </c>
      <c r="P123" s="20">
        <f>SUM(P113:P122)+investirrendafixaconsolidadonov[[#This Row],[11]]</f>
        <v>0</v>
      </c>
      <c r="Q123" s="20">
        <f>SUM(Q113:Q122)+investirrendafixaconsolidadonov[[#This Row],[12]]</f>
        <v>0</v>
      </c>
      <c r="R123" s="20">
        <f>SUM(R113:R122)+investirrendafixaconsolidadonov[[#This Row],[13]]</f>
        <v>0</v>
      </c>
      <c r="S123" s="20">
        <f>SUM(S113:S122)+investirrendafixaconsolidadonov[[#This Row],[14]]</f>
        <v>0</v>
      </c>
      <c r="T123" s="20">
        <f>SUM(T113:T122)+investirrendafixaconsolidadonov[[#This Row],[15]]</f>
        <v>0</v>
      </c>
      <c r="U123" s="20">
        <f>SUM(U113:U122)+investirrendafixaconsolidadonov[[#This Row],[16]]</f>
        <v>0</v>
      </c>
      <c r="V123" s="20">
        <f>SUM(V113:V122)+investirrendafixaconsolidadonov[[#This Row],[17]]</f>
        <v>0</v>
      </c>
      <c r="W123" s="20">
        <f>SUM(W113:W122)+investirrendafixaconsolidadonov[[#This Row],[18]]</f>
        <v>0</v>
      </c>
      <c r="X123" s="20">
        <f>SUM(X113:X122)+investirrendafixaconsolidadonov[[#This Row],[19]]</f>
        <v>0</v>
      </c>
      <c r="Y123" s="20">
        <f>SUM(Y113:Y122)+investirrendafixaconsolidadonov[[#This Row],[20]]</f>
        <v>0</v>
      </c>
      <c r="Z123" s="20">
        <f>SUM(Z113:Z122)+investirrendafixaconsolidadonov[[#This Row],[21]]</f>
        <v>0</v>
      </c>
      <c r="AA123" s="20">
        <f>SUM(AA113:AA122)+investirrendafixaconsolidadonov[[#This Row],[22]]</f>
        <v>0</v>
      </c>
      <c r="AB123" s="20">
        <f>SUM(AB113:AB122)+investirrendafixaconsolidadonov[[#This Row],[23]]</f>
        <v>0</v>
      </c>
      <c r="AC123" s="20">
        <f>SUM(AC113:AC122)+investirrendafixaconsolidadonov[[#This Row],[24]]</f>
        <v>0</v>
      </c>
      <c r="AD123" s="20">
        <f>SUM(AD113:AD122)+investirrendafixaconsolidadonov[[#This Row],[25]]</f>
        <v>0</v>
      </c>
      <c r="AE123" s="20">
        <f>SUM(AE113:AE122)+investirrendafixaconsolidadonov[[#This Row],[26]]</f>
        <v>0</v>
      </c>
      <c r="AF123" s="20">
        <f>SUM(AF113:AF122)+investirrendafixaconsolidadonov[[#This Row],[27]]</f>
        <v>0</v>
      </c>
      <c r="AG123" s="20">
        <f>SUM(AG113:AG122)+investirrendafixaconsolidadonov[[#This Row],[28]]</f>
        <v>0</v>
      </c>
      <c r="AH123" s="20">
        <f>SUM(AH113:AH122)+investirrendafixaconsolidadonov[[#This Row],[29]]</f>
        <v>0</v>
      </c>
      <c r="AI123" s="19">
        <f>SUM(AI113:AI122)+investirrendafixaconsolidadonov[[#This Row],[30]]</f>
        <v>0</v>
      </c>
      <c r="AJ123" s="18">
        <f>investirrendafixaconsolidadonov[[#This Row],[31]]</f>
        <v>0</v>
      </c>
      <c r="AK123" s="17"/>
    </row>
    <row r="124" spans="2:37" ht="6.75" customHeight="1" thickTop="1" thickBot="1" x14ac:dyDescent="0.3">
      <c r="B124" s="15"/>
      <c r="C124" s="14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  <c r="AI124" s="12"/>
      <c r="AJ124" s="11"/>
      <c r="AK124" s="10"/>
    </row>
    <row r="125" spans="2:37" ht="12.6" thickTop="1" x14ac:dyDescent="0.25">
      <c r="E125" s="37"/>
      <c r="AI125" s="4"/>
    </row>
    <row r="126" spans="2:37" x14ac:dyDescent="0.25">
      <c r="AI126" s="4"/>
    </row>
    <row r="127" spans="2:37" x14ac:dyDescent="0.25">
      <c r="AI127" s="4"/>
    </row>
    <row r="128" spans="2:37" ht="39.75" customHeight="1" x14ac:dyDescent="0.7">
      <c r="C128" s="36"/>
      <c r="E128" s="240"/>
      <c r="F128" s="240"/>
      <c r="G128" s="240"/>
      <c r="H128" s="240"/>
      <c r="I128" s="240"/>
      <c r="J128" s="240"/>
      <c r="K128" s="240"/>
      <c r="L128" s="240"/>
      <c r="M128" s="240"/>
      <c r="N128" s="240"/>
      <c r="O128" s="240"/>
      <c r="P128" s="240"/>
      <c r="Q128" s="240"/>
      <c r="R128" s="240"/>
      <c r="S128" s="240"/>
      <c r="T128" s="240"/>
      <c r="U128" s="240"/>
      <c r="V128" s="240"/>
      <c r="W128" s="240"/>
      <c r="X128" s="240"/>
      <c r="Y128" s="240"/>
      <c r="Z128" s="240"/>
      <c r="AA128" s="240"/>
      <c r="AB128" s="240"/>
      <c r="AC128" s="240"/>
      <c r="AD128" s="240"/>
      <c r="AE128" s="240"/>
      <c r="AF128" s="240"/>
      <c r="AG128" s="240"/>
      <c r="AH128" s="240"/>
      <c r="AI128" s="240"/>
      <c r="AJ128" s="32" t="s">
        <v>19</v>
      </c>
    </row>
    <row r="129" spans="2:37" ht="12.6" thickBot="1" x14ac:dyDescent="0.3">
      <c r="B129" s="35"/>
      <c r="AI129" s="4"/>
      <c r="AJ129" s="34" t="s">
        <v>202</v>
      </c>
    </row>
    <row r="130" spans="2:37" ht="6.75" customHeight="1" thickTop="1" thickBot="1" x14ac:dyDescent="0.3">
      <c r="B130" s="2"/>
      <c r="C130" s="14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  <c r="AA130" s="13"/>
      <c r="AB130" s="13"/>
      <c r="AC130" s="13"/>
      <c r="AD130" s="13"/>
      <c r="AE130" s="13"/>
      <c r="AF130" s="13"/>
      <c r="AG130" s="13"/>
      <c r="AH130" s="13"/>
      <c r="AI130" s="13"/>
      <c r="AJ130" s="12"/>
      <c r="AK130" s="33"/>
    </row>
    <row r="131" spans="2:37" ht="13.2" hidden="1" thickTop="1" thickBot="1" x14ac:dyDescent="0.3">
      <c r="B131" s="2"/>
      <c r="C131" s="31" t="s">
        <v>199</v>
      </c>
      <c r="D131" s="30" t="s">
        <v>198</v>
      </c>
      <c r="E131" s="30" t="s">
        <v>197</v>
      </c>
      <c r="F131" s="30" t="s">
        <v>196</v>
      </c>
      <c r="G131" s="30" t="s">
        <v>195</v>
      </c>
      <c r="H131" s="30" t="s">
        <v>194</v>
      </c>
      <c r="I131" s="30" t="s">
        <v>193</v>
      </c>
      <c r="J131" s="30" t="s">
        <v>192</v>
      </c>
      <c r="K131" s="30" t="s">
        <v>191</v>
      </c>
      <c r="L131" s="30" t="s">
        <v>190</v>
      </c>
      <c r="M131" s="30" t="s">
        <v>189</v>
      </c>
      <c r="N131" s="30" t="s">
        <v>188</v>
      </c>
      <c r="O131" s="30" t="s">
        <v>187</v>
      </c>
      <c r="P131" s="30" t="s">
        <v>186</v>
      </c>
      <c r="Q131" s="30" t="s">
        <v>185</v>
      </c>
      <c r="R131" s="30" t="s">
        <v>184</v>
      </c>
      <c r="S131" s="30" t="s">
        <v>183</v>
      </c>
      <c r="T131" s="30" t="s">
        <v>182</v>
      </c>
      <c r="U131" s="30" t="s">
        <v>181</v>
      </c>
      <c r="V131" s="30" t="s">
        <v>180</v>
      </c>
      <c r="W131" s="30" t="s">
        <v>179</v>
      </c>
      <c r="X131" s="30" t="s">
        <v>178</v>
      </c>
      <c r="Y131" s="30" t="s">
        <v>177</v>
      </c>
      <c r="Z131" s="30" t="s">
        <v>176</v>
      </c>
      <c r="AA131" s="30" t="s">
        <v>175</v>
      </c>
      <c r="AB131" s="30" t="s">
        <v>174</v>
      </c>
      <c r="AC131" s="30" t="s">
        <v>173</v>
      </c>
      <c r="AD131" s="30" t="s">
        <v>172</v>
      </c>
      <c r="AE131" s="30" t="s">
        <v>171</v>
      </c>
      <c r="AF131" s="30" t="s">
        <v>170</v>
      </c>
      <c r="AG131" s="30" t="s">
        <v>169</v>
      </c>
      <c r="AH131" s="30" t="s">
        <v>168</v>
      </c>
      <c r="AI131" s="30" t="s">
        <v>167</v>
      </c>
      <c r="AJ131" s="29" t="s">
        <v>166</v>
      </c>
      <c r="AK131" s="2"/>
    </row>
    <row r="132" spans="2:37" ht="19.5" customHeight="1" thickTop="1" thickBot="1" x14ac:dyDescent="0.3">
      <c r="B132" s="28"/>
      <c r="C132" s="27" t="str">
        <f>DADOS!$AF$3</f>
        <v>📝 AÇÃO</v>
      </c>
      <c r="D132" s="26" t="str">
        <f>IF(investirrendavariávelconsolidadonov[[#This Row],[TOTAL (R$)]]=0,"",IF(OR(investirrendavariávelconsolidadonov[[#This Row],[TOTAL (R$)]]=LARGE($AJ$132:$AJ$141,1),investirrendavariávelconsolidadonov[[#This Row],[TOTAL (R$)]]=LARGE($AJ$132:$AJ$141,2)),DADOS!$I$10,""))</f>
        <v/>
      </c>
      <c r="E132" s="96">
        <f>SUMIFS(tabela_registros[VALOR],tabela_registros[MÊS],$AE$1,tabela_registros[DIA],investirrendavariávelconsolidadonov[[#Headers],[1]],tabela_registros[REGISTRO],DADOS!$N$5,tabela_registros[TIPO],DADOS!$AB$4,tabela_registros[CATEGORIA],investirrendavariávelconsolidadonov[[#This Row],[ATUAL]])</f>
        <v>0</v>
      </c>
      <c r="F132" s="91">
        <f>SUMIFS(tabela_registros[VALOR],tabela_registros[MÊS],$AE$1,tabela_registros[DIA],investirrendavariávelconsolidadonov[[#Headers],[2]],tabela_registros[REGISTRO],DADOS!$N$5,tabela_registros[TIPO],DADOS!$AB$4,tabela_registros[CATEGORIA],investirrendavariávelconsolidadonov[[#This Row],[ATUAL]])</f>
        <v>0</v>
      </c>
      <c r="G132" s="91">
        <f>SUMIFS(tabela_registros[VALOR],tabela_registros[MÊS],$AE$1,tabela_registros[DIA],investirrendavariávelconsolidadonov[[#Headers],[3]],tabela_registros[REGISTRO],DADOS!$N$5,tabela_registros[TIPO],DADOS!$AB$4,tabela_registros[CATEGORIA],investirrendavariávelconsolidadonov[[#This Row],[ATUAL]])</f>
        <v>0</v>
      </c>
      <c r="H132" s="91">
        <f>SUMIFS(tabela_registros[VALOR],tabela_registros[MÊS],$AE$1,tabela_registros[DIA],investirrendavariávelconsolidadonov[[#Headers],[4]],tabela_registros[REGISTRO],DADOS!$N$5,tabela_registros[TIPO],DADOS!$AB$4,tabela_registros[CATEGORIA],investirrendavariávelconsolidadonov[[#This Row],[ATUAL]])</f>
        <v>0</v>
      </c>
      <c r="I132" s="91">
        <f>SUMIFS(tabela_registros[VALOR],tabela_registros[MÊS],$AE$1,tabela_registros[DIA],investirrendavariávelconsolidadonov[[#Headers],[5]],tabela_registros[REGISTRO],DADOS!$N$5,tabela_registros[TIPO],DADOS!$AB$4,tabela_registros[CATEGORIA],investirrendavariávelconsolidadonov[[#This Row],[ATUAL]])</f>
        <v>0</v>
      </c>
      <c r="J132" s="91">
        <f>SUMIFS(tabela_registros[VALOR],tabela_registros[MÊS],$AE$1,tabela_registros[DIA],investirrendavariávelconsolidadonov[[#Headers],[6]],tabela_registros[REGISTRO],DADOS!$N$5,tabela_registros[TIPO],DADOS!$AB$4,tabela_registros[CATEGORIA],investirrendavariávelconsolidadonov[[#This Row],[ATUAL]])</f>
        <v>0</v>
      </c>
      <c r="K132" s="91">
        <f>SUMIFS(tabela_registros[VALOR],tabela_registros[MÊS],$AE$1,tabela_registros[DIA],investirrendavariávelconsolidadonov[[#Headers],[7]],tabela_registros[REGISTRO],DADOS!$N$5,tabela_registros[TIPO],DADOS!$AB$4,tabela_registros[CATEGORIA],investirrendavariávelconsolidadonov[[#This Row],[ATUAL]])</f>
        <v>0</v>
      </c>
      <c r="L132" s="91">
        <f>SUMIFS(tabela_registros[VALOR],tabela_registros[MÊS],$AE$1,tabela_registros[DIA],investirrendavariávelconsolidadonov[[#Headers],[8]],tabela_registros[REGISTRO],DADOS!$N$5,tabela_registros[TIPO],DADOS!$AB$4,tabela_registros[CATEGORIA],investirrendavariávelconsolidadonov[[#This Row],[ATUAL]])</f>
        <v>0</v>
      </c>
      <c r="M132" s="91">
        <f>SUMIFS(tabela_registros[VALOR],tabela_registros[MÊS],$AE$1,tabela_registros[DIA],investirrendavariávelconsolidadonov[[#Headers],[9]],tabela_registros[REGISTRO],DADOS!$N$5,tabela_registros[TIPO],DADOS!$AB$4,tabela_registros[CATEGORIA],investirrendavariávelconsolidadonov[[#This Row],[ATUAL]])</f>
        <v>0</v>
      </c>
      <c r="N132" s="91">
        <f>SUMIFS(tabela_registros[VALOR],tabela_registros[MÊS],$AE$1,tabela_registros[DIA],investirrendavariávelconsolidadonov[[#Headers],[10]],tabela_registros[REGISTRO],DADOS!$N$5,tabela_registros[TIPO],DADOS!$AB$4,tabela_registros[CATEGORIA],investirrendavariávelconsolidadonov[[#This Row],[ATUAL]])</f>
        <v>0</v>
      </c>
      <c r="O132" s="91">
        <f>SUMIFS(tabela_registros[VALOR],tabela_registros[MÊS],$AE$1,tabela_registros[DIA],investirrendavariávelconsolidadonov[[#Headers],[11]],tabela_registros[REGISTRO],DADOS!$N$5,tabela_registros[TIPO],DADOS!$AB$4,tabela_registros[CATEGORIA],investirrendavariávelconsolidadonov[[#This Row],[ATUAL]])</f>
        <v>0</v>
      </c>
      <c r="P132" s="91">
        <f>SUMIFS(tabela_registros[VALOR],tabela_registros[MÊS],$AE$1,tabela_registros[DIA],investirrendavariávelconsolidadonov[[#Headers],[12]],tabela_registros[REGISTRO],DADOS!$N$5,tabela_registros[TIPO],DADOS!$AB$4,tabela_registros[CATEGORIA],investirrendavariávelconsolidadonov[[#This Row],[ATUAL]])</f>
        <v>0</v>
      </c>
      <c r="Q132" s="91">
        <f>SUMIFS(tabela_registros[VALOR],tabela_registros[MÊS],$AE$1,tabela_registros[DIA],investirrendavariávelconsolidadonov[[#Headers],[13]],tabela_registros[REGISTRO],DADOS!$N$5,tabela_registros[TIPO],DADOS!$AB$4,tabela_registros[CATEGORIA],investirrendavariávelconsolidadonov[[#This Row],[ATUAL]])</f>
        <v>0</v>
      </c>
      <c r="R132" s="91">
        <f>SUMIFS(tabela_registros[VALOR],tabela_registros[MÊS],$AE$1,tabela_registros[DIA],investirrendavariávelconsolidadonov[[#Headers],[14]],tabela_registros[REGISTRO],DADOS!$N$5,tabela_registros[TIPO],DADOS!$AB$4,tabela_registros[CATEGORIA],investirrendavariávelconsolidadonov[[#This Row],[ATUAL]])</f>
        <v>0</v>
      </c>
      <c r="S132" s="91">
        <f>SUMIFS(tabela_registros[VALOR],tabela_registros[MÊS],$AE$1,tabela_registros[DIA],investirrendavariávelconsolidadonov[[#Headers],[15]],tabela_registros[REGISTRO],DADOS!$N$5,tabela_registros[TIPO],DADOS!$AB$4,tabela_registros[CATEGORIA],investirrendavariávelconsolidadonov[[#This Row],[ATUAL]])</f>
        <v>0</v>
      </c>
      <c r="T132" s="91">
        <f>SUMIFS(tabela_registros[VALOR],tabela_registros[MÊS],$AE$1,tabela_registros[DIA],investirrendavariávelconsolidadonov[[#Headers],[16]],tabela_registros[REGISTRO],DADOS!$N$5,tabela_registros[TIPO],DADOS!$AB$4,tabela_registros[CATEGORIA],investirrendavariávelconsolidadonov[[#This Row],[ATUAL]])</f>
        <v>0</v>
      </c>
      <c r="U132" s="91">
        <f>SUMIFS(tabela_registros[VALOR],tabela_registros[MÊS],$AE$1,tabela_registros[DIA],investirrendavariávelconsolidadonov[[#Headers],[17]],tabela_registros[REGISTRO],DADOS!$N$5,tabela_registros[TIPO],DADOS!$AB$4,tabela_registros[CATEGORIA],investirrendavariávelconsolidadonov[[#This Row],[ATUAL]])</f>
        <v>0</v>
      </c>
      <c r="V132" s="91">
        <f>SUMIFS(tabela_registros[VALOR],tabela_registros[MÊS],$AE$1,tabela_registros[DIA],investirrendavariávelconsolidadonov[[#Headers],[18]],tabela_registros[REGISTRO],DADOS!$N$5,tabela_registros[TIPO],DADOS!$AB$4,tabela_registros[CATEGORIA],investirrendavariávelconsolidadonov[[#This Row],[ATUAL]])</f>
        <v>0</v>
      </c>
      <c r="W132" s="91">
        <f>SUMIFS(tabela_registros[VALOR],tabela_registros[MÊS],$AE$1,tabela_registros[DIA],investirrendavariávelconsolidadonov[[#Headers],[19]],tabela_registros[REGISTRO],DADOS!$N$5,tabela_registros[TIPO],DADOS!$AB$4,tabela_registros[CATEGORIA],investirrendavariávelconsolidadonov[[#This Row],[ATUAL]])</f>
        <v>0</v>
      </c>
      <c r="X132" s="91">
        <f>SUMIFS(tabela_registros[VALOR],tabela_registros[MÊS],$AE$1,tabela_registros[DIA],investirrendavariávelconsolidadonov[[#Headers],[20]],tabela_registros[REGISTRO],DADOS!$N$5,tabela_registros[TIPO],DADOS!$AB$4,tabela_registros[CATEGORIA],investirrendavariávelconsolidadonov[[#This Row],[ATUAL]])</f>
        <v>0</v>
      </c>
      <c r="Y132" s="91">
        <f>SUMIFS(tabela_registros[VALOR],tabela_registros[MÊS],$AE$1,tabela_registros[DIA],investirrendavariávelconsolidadonov[[#Headers],[21]],tabela_registros[REGISTRO],DADOS!$N$5,tabela_registros[TIPO],DADOS!$AB$4,tabela_registros[CATEGORIA],investirrendavariávelconsolidadonov[[#This Row],[ATUAL]])</f>
        <v>0</v>
      </c>
      <c r="Z132" s="91">
        <f>SUMIFS(tabela_registros[VALOR],tabela_registros[MÊS],$AE$1,tabela_registros[DIA],investirrendavariávelconsolidadonov[[#Headers],[22]],tabela_registros[REGISTRO],DADOS!$N$5,tabela_registros[TIPO],DADOS!$AB$4,tabela_registros[CATEGORIA],investirrendavariávelconsolidadonov[[#This Row],[ATUAL]])</f>
        <v>0</v>
      </c>
      <c r="AA132" s="91">
        <f>SUMIFS(tabela_registros[VALOR],tabela_registros[MÊS],$AE$1,tabela_registros[DIA],investirrendavariávelconsolidadonov[[#Headers],[23]],tabela_registros[REGISTRO],DADOS!$N$5,tabela_registros[TIPO],DADOS!$AB$4,tabela_registros[CATEGORIA],investirrendavariávelconsolidadonov[[#This Row],[ATUAL]])</f>
        <v>0</v>
      </c>
      <c r="AB132" s="91">
        <f>SUMIFS(tabela_registros[VALOR],tabela_registros[MÊS],$AE$1,tabela_registros[DIA],investirrendavariávelconsolidadonov[[#Headers],[24]],tabela_registros[REGISTRO],DADOS!$N$5,tabela_registros[TIPO],DADOS!$AB$4,tabela_registros[CATEGORIA],investirrendavariávelconsolidadonov[[#This Row],[ATUAL]])</f>
        <v>0</v>
      </c>
      <c r="AC132" s="91">
        <f>SUMIFS(tabela_registros[VALOR],tabela_registros[MÊS],$AE$1,tabela_registros[DIA],investirrendavariávelconsolidadonov[[#Headers],[25]],tabela_registros[REGISTRO],DADOS!$N$5,tabela_registros[TIPO],DADOS!$AB$4,tabela_registros[CATEGORIA],investirrendavariávelconsolidadonov[[#This Row],[ATUAL]])</f>
        <v>0</v>
      </c>
      <c r="AD132" s="91">
        <f>SUMIFS(tabela_registros[VALOR],tabela_registros[MÊS],$AE$1,tabela_registros[DIA],investirrendavariávelconsolidadonov[[#Headers],[26]],tabela_registros[REGISTRO],DADOS!$N$5,tabela_registros[TIPO],DADOS!$AB$4,tabela_registros[CATEGORIA],investirrendavariávelconsolidadonov[[#This Row],[ATUAL]])</f>
        <v>0</v>
      </c>
      <c r="AE132" s="91">
        <f>SUMIFS(tabela_registros[VALOR],tabela_registros[MÊS],$AE$1,tabela_registros[DIA],investirrendavariávelconsolidadonov[[#Headers],[27]],tabela_registros[REGISTRO],DADOS!$N$5,tabela_registros[TIPO],DADOS!$AB$4,tabela_registros[CATEGORIA],investirrendavariávelconsolidadonov[[#This Row],[ATUAL]])</f>
        <v>0</v>
      </c>
      <c r="AF132" s="91">
        <f>SUMIFS(tabela_registros[VALOR],tabela_registros[MÊS],$AE$1,tabela_registros[DIA],investirrendavariávelconsolidadonov[[#Headers],[28]],tabela_registros[REGISTRO],DADOS!$N$5,tabela_registros[TIPO],DADOS!$AB$4,tabela_registros[CATEGORIA],investirrendavariávelconsolidadonov[[#This Row],[ATUAL]])</f>
        <v>0</v>
      </c>
      <c r="AG132" s="91">
        <f>SUMIFS(tabela_registros[VALOR],tabela_registros[MÊS],$AE$1,tabela_registros[DIA],investirrendavariávelconsolidadonov[[#Headers],[29]],tabela_registros[REGISTRO],DADOS!$N$5,tabela_registros[TIPO],DADOS!$AB$4,tabela_registros[CATEGORIA],investirrendavariávelconsolidadonov[[#This Row],[ATUAL]])</f>
        <v>0</v>
      </c>
      <c r="AH132" s="91">
        <f>SUMIFS(tabela_registros[VALOR],tabela_registros[MÊS],$AE$1,tabela_registros[DIA],investirrendavariávelconsolidadonov[[#Headers],[30]],tabela_registros[REGISTRO],DADOS!$N$5,tabela_registros[TIPO],DADOS!$AB$4,tabela_registros[CATEGORIA],investirrendavariávelconsolidadonov[[#This Row],[ATUAL]])</f>
        <v>0</v>
      </c>
      <c r="AI132" s="101">
        <f>SUMIFS(tabela_registros[VALOR],tabela_registros[MÊS],$AE$1,tabela_registros[DIA],investirrendavariávelconsolidadonov[[#Headers],[31]],tabela_registros[REGISTRO],DADOS!$N$5,tabela_registros[TIPO],DADOS!$AB$4,tabela_registros[CATEGORIA],investirrendavariávelconsolidadonov[[#This Row],[ATUAL]])</f>
        <v>0</v>
      </c>
      <c r="AJ132" s="97">
        <f>SUM(investirrendavariávelconsolidadonov[[#This Row],[1]:[31]])</f>
        <v>0</v>
      </c>
      <c r="AK132" s="25"/>
    </row>
    <row r="133" spans="2:37" ht="19.5" customHeight="1" thickTop="1" thickBot="1" x14ac:dyDescent="0.3">
      <c r="B133" s="28"/>
      <c r="C133" s="27" t="str">
        <f>DADOS!$AF$4</f>
        <v>📝 COMÓDITE</v>
      </c>
      <c r="D133" s="26" t="str">
        <f>IF(investirrendavariávelconsolidadonov[[#This Row],[TOTAL (R$)]]=0,"",IF(OR(investirrendavariávelconsolidadonov[[#This Row],[TOTAL (R$)]]=LARGE($AJ$132:$AJ$141,1),investirrendavariávelconsolidadonov[[#This Row],[TOTAL (R$)]]=LARGE($AJ$132:$AJ$141,2)),DADOS!$I$10,""))</f>
        <v/>
      </c>
      <c r="E133" s="96">
        <f>SUMIFS(tabela_registros[VALOR],tabela_registros[MÊS],$AE$1,tabela_registros[DIA],investirrendavariávelconsolidadonov[[#Headers],[1]],tabela_registros[REGISTRO],DADOS!$N$5,tabela_registros[TIPO],DADOS!$AB$4,tabela_registros[CATEGORIA],investirrendavariávelconsolidadonov[[#This Row],[ATUAL]])</f>
        <v>0</v>
      </c>
      <c r="F133" s="91">
        <f>SUMIFS(tabela_registros[VALOR],tabela_registros[MÊS],$AE$1,tabela_registros[DIA],investirrendavariávelconsolidadonov[[#Headers],[2]],tabela_registros[REGISTRO],DADOS!$N$5,tabela_registros[TIPO],DADOS!$AB$4,tabela_registros[CATEGORIA],investirrendavariávelconsolidadonov[[#This Row],[ATUAL]])</f>
        <v>0</v>
      </c>
      <c r="G133" s="91">
        <f>SUMIFS(tabela_registros[VALOR],tabela_registros[MÊS],$AE$1,tabela_registros[DIA],investirrendavariávelconsolidadonov[[#Headers],[3]],tabela_registros[REGISTRO],DADOS!$N$5,tabela_registros[TIPO],DADOS!$AB$4,tabela_registros[CATEGORIA],investirrendavariávelconsolidadonov[[#This Row],[ATUAL]])</f>
        <v>0</v>
      </c>
      <c r="H133" s="91">
        <f>SUMIFS(tabela_registros[VALOR],tabela_registros[MÊS],$AE$1,tabela_registros[DIA],investirrendavariávelconsolidadonov[[#Headers],[4]],tabela_registros[REGISTRO],DADOS!$N$5,tabela_registros[TIPO],DADOS!$AB$4,tabela_registros[CATEGORIA],investirrendavariávelconsolidadonov[[#This Row],[ATUAL]])</f>
        <v>0</v>
      </c>
      <c r="I133" s="91">
        <f>SUMIFS(tabela_registros[VALOR],tabela_registros[MÊS],$AE$1,tabela_registros[DIA],investirrendavariávelconsolidadonov[[#Headers],[5]],tabela_registros[REGISTRO],DADOS!$N$5,tabela_registros[TIPO],DADOS!$AB$4,tabela_registros[CATEGORIA],investirrendavariávelconsolidadonov[[#This Row],[ATUAL]])</f>
        <v>0</v>
      </c>
      <c r="J133" s="91">
        <f>SUMIFS(tabela_registros[VALOR],tabela_registros[MÊS],$AE$1,tabela_registros[DIA],investirrendavariávelconsolidadonov[[#Headers],[6]],tabela_registros[REGISTRO],DADOS!$N$5,tabela_registros[TIPO],DADOS!$AB$4,tabela_registros[CATEGORIA],investirrendavariávelconsolidadonov[[#This Row],[ATUAL]])</f>
        <v>0</v>
      </c>
      <c r="K133" s="91">
        <f>SUMIFS(tabela_registros[VALOR],tabela_registros[MÊS],$AE$1,tabela_registros[DIA],investirrendavariávelconsolidadonov[[#Headers],[7]],tabela_registros[REGISTRO],DADOS!$N$5,tabela_registros[TIPO],DADOS!$AB$4,tabela_registros[CATEGORIA],investirrendavariávelconsolidadonov[[#This Row],[ATUAL]])</f>
        <v>0</v>
      </c>
      <c r="L133" s="91">
        <f>SUMIFS(tabela_registros[VALOR],tabela_registros[MÊS],$AE$1,tabela_registros[DIA],investirrendavariávelconsolidadonov[[#Headers],[8]],tabela_registros[REGISTRO],DADOS!$N$5,tabela_registros[TIPO],DADOS!$AB$4,tabela_registros[CATEGORIA],investirrendavariávelconsolidadonov[[#This Row],[ATUAL]])</f>
        <v>0</v>
      </c>
      <c r="M133" s="91">
        <f>SUMIFS(tabela_registros[VALOR],tabela_registros[MÊS],$AE$1,tabela_registros[DIA],investirrendavariávelconsolidadonov[[#Headers],[9]],tabela_registros[REGISTRO],DADOS!$N$5,tabela_registros[TIPO],DADOS!$AB$4,tabela_registros[CATEGORIA],investirrendavariávelconsolidadonov[[#This Row],[ATUAL]])</f>
        <v>0</v>
      </c>
      <c r="N133" s="91">
        <f>SUMIFS(tabela_registros[VALOR],tabela_registros[MÊS],$AE$1,tabela_registros[DIA],investirrendavariávelconsolidadonov[[#Headers],[10]],tabela_registros[REGISTRO],DADOS!$N$5,tabela_registros[TIPO],DADOS!$AB$4,tabela_registros[CATEGORIA],investirrendavariávelconsolidadonov[[#This Row],[ATUAL]])</f>
        <v>0</v>
      </c>
      <c r="O133" s="91">
        <f>SUMIFS(tabela_registros[VALOR],tabela_registros[MÊS],$AE$1,tabela_registros[DIA],investirrendavariávelconsolidadonov[[#Headers],[11]],tabela_registros[REGISTRO],DADOS!$N$5,tabela_registros[TIPO],DADOS!$AB$4,tabela_registros[CATEGORIA],investirrendavariávelconsolidadonov[[#This Row],[ATUAL]])</f>
        <v>0</v>
      </c>
      <c r="P133" s="91">
        <f>SUMIFS(tabela_registros[VALOR],tabela_registros[MÊS],$AE$1,tabela_registros[DIA],investirrendavariávelconsolidadonov[[#Headers],[12]],tabela_registros[REGISTRO],DADOS!$N$5,tabela_registros[TIPO],DADOS!$AB$4,tabela_registros[CATEGORIA],investirrendavariávelconsolidadonov[[#This Row],[ATUAL]])</f>
        <v>0</v>
      </c>
      <c r="Q133" s="91">
        <f>SUMIFS(tabela_registros[VALOR],tabela_registros[MÊS],$AE$1,tabela_registros[DIA],investirrendavariávelconsolidadonov[[#Headers],[13]],tabela_registros[REGISTRO],DADOS!$N$5,tabela_registros[TIPO],DADOS!$AB$4,tabela_registros[CATEGORIA],investirrendavariávelconsolidadonov[[#This Row],[ATUAL]])</f>
        <v>0</v>
      </c>
      <c r="R133" s="91">
        <f>SUMIFS(tabela_registros[VALOR],tabela_registros[MÊS],$AE$1,tabela_registros[DIA],investirrendavariávelconsolidadonov[[#Headers],[14]],tabela_registros[REGISTRO],DADOS!$N$5,tabela_registros[TIPO],DADOS!$AB$4,tabela_registros[CATEGORIA],investirrendavariávelconsolidadonov[[#This Row],[ATUAL]])</f>
        <v>0</v>
      </c>
      <c r="S133" s="91">
        <f>SUMIFS(tabela_registros[VALOR],tabela_registros[MÊS],$AE$1,tabela_registros[DIA],investirrendavariávelconsolidadonov[[#Headers],[15]],tabela_registros[REGISTRO],DADOS!$N$5,tabela_registros[TIPO],DADOS!$AB$4,tabela_registros[CATEGORIA],investirrendavariávelconsolidadonov[[#This Row],[ATUAL]])</f>
        <v>0</v>
      </c>
      <c r="T133" s="91">
        <f>SUMIFS(tabela_registros[VALOR],tabela_registros[MÊS],$AE$1,tabela_registros[DIA],investirrendavariávelconsolidadonov[[#Headers],[16]],tabela_registros[REGISTRO],DADOS!$N$5,tabela_registros[TIPO],DADOS!$AB$4,tabela_registros[CATEGORIA],investirrendavariávelconsolidadonov[[#This Row],[ATUAL]])</f>
        <v>0</v>
      </c>
      <c r="U133" s="91">
        <f>SUMIFS(tabela_registros[VALOR],tabela_registros[MÊS],$AE$1,tabela_registros[DIA],investirrendavariávelconsolidadonov[[#Headers],[17]],tabela_registros[REGISTRO],DADOS!$N$5,tabela_registros[TIPO],DADOS!$AB$4,tabela_registros[CATEGORIA],investirrendavariávelconsolidadonov[[#This Row],[ATUAL]])</f>
        <v>0</v>
      </c>
      <c r="V133" s="91">
        <f>SUMIFS(tabela_registros[VALOR],tabela_registros[MÊS],$AE$1,tabela_registros[DIA],investirrendavariávelconsolidadonov[[#Headers],[18]],tabela_registros[REGISTRO],DADOS!$N$5,tabela_registros[TIPO],DADOS!$AB$4,tabela_registros[CATEGORIA],investirrendavariávelconsolidadonov[[#This Row],[ATUAL]])</f>
        <v>0</v>
      </c>
      <c r="W133" s="91">
        <f>SUMIFS(tabela_registros[VALOR],tabela_registros[MÊS],$AE$1,tabela_registros[DIA],investirrendavariávelconsolidadonov[[#Headers],[19]],tabela_registros[REGISTRO],DADOS!$N$5,tabela_registros[TIPO],DADOS!$AB$4,tabela_registros[CATEGORIA],investirrendavariávelconsolidadonov[[#This Row],[ATUAL]])</f>
        <v>0</v>
      </c>
      <c r="X133" s="91">
        <f>SUMIFS(tabela_registros[VALOR],tabela_registros[MÊS],$AE$1,tabela_registros[DIA],investirrendavariávelconsolidadonov[[#Headers],[20]],tabela_registros[REGISTRO],DADOS!$N$5,tabela_registros[TIPO],DADOS!$AB$4,tabela_registros[CATEGORIA],investirrendavariávelconsolidadonov[[#This Row],[ATUAL]])</f>
        <v>0</v>
      </c>
      <c r="Y133" s="91">
        <f>SUMIFS(tabela_registros[VALOR],tabela_registros[MÊS],$AE$1,tabela_registros[DIA],investirrendavariávelconsolidadonov[[#Headers],[21]],tabela_registros[REGISTRO],DADOS!$N$5,tabela_registros[TIPO],DADOS!$AB$4,tabela_registros[CATEGORIA],investirrendavariávelconsolidadonov[[#This Row],[ATUAL]])</f>
        <v>0</v>
      </c>
      <c r="Z133" s="91">
        <f>SUMIFS(tabela_registros[VALOR],tabela_registros[MÊS],$AE$1,tabela_registros[DIA],investirrendavariávelconsolidadonov[[#Headers],[22]],tabela_registros[REGISTRO],DADOS!$N$5,tabela_registros[TIPO],DADOS!$AB$4,tabela_registros[CATEGORIA],investirrendavariávelconsolidadonov[[#This Row],[ATUAL]])</f>
        <v>0</v>
      </c>
      <c r="AA133" s="91">
        <f>SUMIFS(tabela_registros[VALOR],tabela_registros[MÊS],$AE$1,tabela_registros[DIA],investirrendavariávelconsolidadonov[[#Headers],[23]],tabela_registros[REGISTRO],DADOS!$N$5,tabela_registros[TIPO],DADOS!$AB$4,tabela_registros[CATEGORIA],investirrendavariávelconsolidadonov[[#This Row],[ATUAL]])</f>
        <v>0</v>
      </c>
      <c r="AB133" s="91">
        <f>SUMIFS(tabela_registros[VALOR],tabela_registros[MÊS],$AE$1,tabela_registros[DIA],investirrendavariávelconsolidadonov[[#Headers],[24]],tabela_registros[REGISTRO],DADOS!$N$5,tabela_registros[TIPO],DADOS!$AB$4,tabela_registros[CATEGORIA],investirrendavariávelconsolidadonov[[#This Row],[ATUAL]])</f>
        <v>0</v>
      </c>
      <c r="AC133" s="91">
        <f>SUMIFS(tabela_registros[VALOR],tabela_registros[MÊS],$AE$1,tabela_registros[DIA],investirrendavariávelconsolidadonov[[#Headers],[25]],tabela_registros[REGISTRO],DADOS!$N$5,tabela_registros[TIPO],DADOS!$AB$4,tabela_registros[CATEGORIA],investirrendavariávelconsolidadonov[[#This Row],[ATUAL]])</f>
        <v>0</v>
      </c>
      <c r="AD133" s="91">
        <f>SUMIFS(tabela_registros[VALOR],tabela_registros[MÊS],$AE$1,tabela_registros[DIA],investirrendavariávelconsolidadonov[[#Headers],[26]],tabela_registros[REGISTRO],DADOS!$N$5,tabela_registros[TIPO],DADOS!$AB$4,tabela_registros[CATEGORIA],investirrendavariávelconsolidadonov[[#This Row],[ATUAL]])</f>
        <v>0</v>
      </c>
      <c r="AE133" s="91">
        <f>SUMIFS(tabela_registros[VALOR],tabela_registros[MÊS],$AE$1,tabela_registros[DIA],investirrendavariávelconsolidadonov[[#Headers],[27]],tabela_registros[REGISTRO],DADOS!$N$5,tabela_registros[TIPO],DADOS!$AB$4,tabela_registros[CATEGORIA],investirrendavariávelconsolidadonov[[#This Row],[ATUAL]])</f>
        <v>0</v>
      </c>
      <c r="AF133" s="91">
        <f>SUMIFS(tabela_registros[VALOR],tabela_registros[MÊS],$AE$1,tabela_registros[DIA],investirrendavariávelconsolidadonov[[#Headers],[28]],tabela_registros[REGISTRO],DADOS!$N$5,tabela_registros[TIPO],DADOS!$AB$4,tabela_registros[CATEGORIA],investirrendavariávelconsolidadonov[[#This Row],[ATUAL]])</f>
        <v>0</v>
      </c>
      <c r="AG133" s="91">
        <f>SUMIFS(tabela_registros[VALOR],tabela_registros[MÊS],$AE$1,tabela_registros[DIA],investirrendavariávelconsolidadonov[[#Headers],[29]],tabela_registros[REGISTRO],DADOS!$N$5,tabela_registros[TIPO],DADOS!$AB$4,tabela_registros[CATEGORIA],investirrendavariávelconsolidadonov[[#This Row],[ATUAL]])</f>
        <v>0</v>
      </c>
      <c r="AH133" s="91">
        <f>SUMIFS(tabela_registros[VALOR],tabela_registros[MÊS],$AE$1,tabela_registros[DIA],investirrendavariávelconsolidadonov[[#Headers],[30]],tabela_registros[REGISTRO],DADOS!$N$5,tabela_registros[TIPO],DADOS!$AB$4,tabela_registros[CATEGORIA],investirrendavariávelconsolidadonov[[#This Row],[ATUAL]])</f>
        <v>0</v>
      </c>
      <c r="AI133" s="101">
        <f>SUMIFS(tabela_registros[VALOR],tabela_registros[MÊS],$AE$1,tabela_registros[DIA],investirrendavariávelconsolidadonov[[#Headers],[31]],tabela_registros[REGISTRO],DADOS!$N$5,tabela_registros[TIPO],DADOS!$AB$4,tabela_registros[CATEGORIA],investirrendavariávelconsolidadonov[[#This Row],[ATUAL]])</f>
        <v>0</v>
      </c>
      <c r="AJ133" s="97">
        <f>SUM(investirrendavariávelconsolidadonov[[#This Row],[1]:[31]])</f>
        <v>0</v>
      </c>
      <c r="AK133" s="25"/>
    </row>
    <row r="134" spans="2:37" ht="19.5" customHeight="1" thickTop="1" thickBot="1" x14ac:dyDescent="0.3">
      <c r="B134" s="28"/>
      <c r="C134" s="27" t="str">
        <f>DADOS!$AF$5</f>
        <v>📝 CONTRATO DE FUTUROS</v>
      </c>
      <c r="D134" s="26" t="str">
        <f>IF(investirrendavariávelconsolidadonov[[#This Row],[TOTAL (R$)]]=0,"",IF(OR(investirrendavariávelconsolidadonov[[#This Row],[TOTAL (R$)]]=LARGE($AJ$132:$AJ$141,1),investirrendavariávelconsolidadonov[[#This Row],[TOTAL (R$)]]=LARGE($AJ$132:$AJ$141,2)),DADOS!$I$10,""))</f>
        <v/>
      </c>
      <c r="E134" s="96">
        <f>SUMIFS(tabela_registros[VALOR],tabela_registros[MÊS],$AE$1,tabela_registros[DIA],investirrendavariávelconsolidadonov[[#Headers],[1]],tabela_registros[REGISTRO],DADOS!$N$5,tabela_registros[TIPO],DADOS!$AB$4,tabela_registros[CATEGORIA],investirrendavariávelconsolidadonov[[#This Row],[ATUAL]])</f>
        <v>0</v>
      </c>
      <c r="F134" s="91">
        <f>SUMIFS(tabela_registros[VALOR],tabela_registros[MÊS],$AE$1,tabela_registros[DIA],investirrendavariávelconsolidadonov[[#Headers],[2]],tabela_registros[REGISTRO],DADOS!$N$5,tabela_registros[TIPO],DADOS!$AB$4,tabela_registros[CATEGORIA],investirrendavariávelconsolidadonov[[#This Row],[ATUAL]])</f>
        <v>0</v>
      </c>
      <c r="G134" s="91">
        <f>SUMIFS(tabela_registros[VALOR],tabela_registros[MÊS],$AE$1,tabela_registros[DIA],investirrendavariávelconsolidadonov[[#Headers],[3]],tabela_registros[REGISTRO],DADOS!$N$5,tabela_registros[TIPO],DADOS!$AB$4,tabela_registros[CATEGORIA],investirrendavariávelconsolidadonov[[#This Row],[ATUAL]])</f>
        <v>0</v>
      </c>
      <c r="H134" s="91">
        <f>SUMIFS(tabela_registros[VALOR],tabela_registros[MÊS],$AE$1,tabela_registros[DIA],investirrendavariávelconsolidadonov[[#Headers],[4]],tabela_registros[REGISTRO],DADOS!$N$5,tabela_registros[TIPO],DADOS!$AB$4,tabela_registros[CATEGORIA],investirrendavariávelconsolidadonov[[#This Row],[ATUAL]])</f>
        <v>0</v>
      </c>
      <c r="I134" s="91">
        <f>SUMIFS(tabela_registros[VALOR],tabela_registros[MÊS],$AE$1,tabela_registros[DIA],investirrendavariávelconsolidadonov[[#Headers],[5]],tabela_registros[REGISTRO],DADOS!$N$5,tabela_registros[TIPO],DADOS!$AB$4,tabela_registros[CATEGORIA],investirrendavariávelconsolidadonov[[#This Row],[ATUAL]])</f>
        <v>0</v>
      </c>
      <c r="J134" s="91">
        <f>SUMIFS(tabela_registros[VALOR],tabela_registros[MÊS],$AE$1,tabela_registros[DIA],investirrendavariávelconsolidadonov[[#Headers],[6]],tabela_registros[REGISTRO],DADOS!$N$5,tabela_registros[TIPO],DADOS!$AB$4,tabela_registros[CATEGORIA],investirrendavariávelconsolidadonov[[#This Row],[ATUAL]])</f>
        <v>0</v>
      </c>
      <c r="K134" s="91">
        <f>SUMIFS(tabela_registros[VALOR],tabela_registros[MÊS],$AE$1,tabela_registros[DIA],investirrendavariávelconsolidadonov[[#Headers],[7]],tabela_registros[REGISTRO],DADOS!$N$5,tabela_registros[TIPO],DADOS!$AB$4,tabela_registros[CATEGORIA],investirrendavariávelconsolidadonov[[#This Row],[ATUAL]])</f>
        <v>0</v>
      </c>
      <c r="L134" s="91">
        <f>SUMIFS(tabela_registros[VALOR],tabela_registros[MÊS],$AE$1,tabela_registros[DIA],investirrendavariávelconsolidadonov[[#Headers],[8]],tabela_registros[REGISTRO],DADOS!$N$5,tabela_registros[TIPO],DADOS!$AB$4,tabela_registros[CATEGORIA],investirrendavariávelconsolidadonov[[#This Row],[ATUAL]])</f>
        <v>0</v>
      </c>
      <c r="M134" s="91">
        <f>SUMIFS(tabela_registros[VALOR],tabela_registros[MÊS],$AE$1,tabela_registros[DIA],investirrendavariávelconsolidadonov[[#Headers],[9]],tabela_registros[REGISTRO],DADOS!$N$5,tabela_registros[TIPO],DADOS!$AB$4,tabela_registros[CATEGORIA],investirrendavariávelconsolidadonov[[#This Row],[ATUAL]])</f>
        <v>0</v>
      </c>
      <c r="N134" s="91">
        <f>SUMIFS(tabela_registros[VALOR],tabela_registros[MÊS],$AE$1,tabela_registros[DIA],investirrendavariávelconsolidadonov[[#Headers],[10]],tabela_registros[REGISTRO],DADOS!$N$5,tabela_registros[TIPO],DADOS!$AB$4,tabela_registros[CATEGORIA],investirrendavariávelconsolidadonov[[#This Row],[ATUAL]])</f>
        <v>0</v>
      </c>
      <c r="O134" s="91">
        <f>SUMIFS(tabela_registros[VALOR],tabela_registros[MÊS],$AE$1,tabela_registros[DIA],investirrendavariávelconsolidadonov[[#Headers],[11]],tabela_registros[REGISTRO],DADOS!$N$5,tabela_registros[TIPO],DADOS!$AB$4,tabela_registros[CATEGORIA],investirrendavariávelconsolidadonov[[#This Row],[ATUAL]])</f>
        <v>0</v>
      </c>
      <c r="P134" s="91">
        <f>SUMIFS(tabela_registros[VALOR],tabela_registros[MÊS],$AE$1,tabela_registros[DIA],investirrendavariávelconsolidadonov[[#Headers],[12]],tabela_registros[REGISTRO],DADOS!$N$5,tabela_registros[TIPO],DADOS!$AB$4,tabela_registros[CATEGORIA],investirrendavariávelconsolidadonov[[#This Row],[ATUAL]])</f>
        <v>0</v>
      </c>
      <c r="Q134" s="91">
        <f>SUMIFS(tabela_registros[VALOR],tabela_registros[MÊS],$AE$1,tabela_registros[DIA],investirrendavariávelconsolidadonov[[#Headers],[13]],tabela_registros[REGISTRO],DADOS!$N$5,tabela_registros[TIPO],DADOS!$AB$4,tabela_registros[CATEGORIA],investirrendavariávelconsolidadonov[[#This Row],[ATUAL]])</f>
        <v>0</v>
      </c>
      <c r="R134" s="91">
        <f>SUMIFS(tabela_registros[VALOR],tabela_registros[MÊS],$AE$1,tabela_registros[DIA],investirrendavariávelconsolidadonov[[#Headers],[14]],tabela_registros[REGISTRO],DADOS!$N$5,tabela_registros[TIPO],DADOS!$AB$4,tabela_registros[CATEGORIA],investirrendavariávelconsolidadonov[[#This Row],[ATUAL]])</f>
        <v>0</v>
      </c>
      <c r="S134" s="91">
        <f>SUMIFS(tabela_registros[VALOR],tabela_registros[MÊS],$AE$1,tabela_registros[DIA],investirrendavariávelconsolidadonov[[#Headers],[15]],tabela_registros[REGISTRO],DADOS!$N$5,tabela_registros[TIPO],DADOS!$AB$4,tabela_registros[CATEGORIA],investirrendavariávelconsolidadonov[[#This Row],[ATUAL]])</f>
        <v>0</v>
      </c>
      <c r="T134" s="91">
        <f>SUMIFS(tabela_registros[VALOR],tabela_registros[MÊS],$AE$1,tabela_registros[DIA],investirrendavariávelconsolidadonov[[#Headers],[16]],tabela_registros[REGISTRO],DADOS!$N$5,tabela_registros[TIPO],DADOS!$AB$4,tabela_registros[CATEGORIA],investirrendavariávelconsolidadonov[[#This Row],[ATUAL]])</f>
        <v>0</v>
      </c>
      <c r="U134" s="91">
        <f>SUMIFS(tabela_registros[VALOR],tabela_registros[MÊS],$AE$1,tabela_registros[DIA],investirrendavariávelconsolidadonov[[#Headers],[17]],tabela_registros[REGISTRO],DADOS!$N$5,tabela_registros[TIPO],DADOS!$AB$4,tabela_registros[CATEGORIA],investirrendavariávelconsolidadonov[[#This Row],[ATUAL]])</f>
        <v>0</v>
      </c>
      <c r="V134" s="91">
        <f>SUMIFS(tabela_registros[VALOR],tabela_registros[MÊS],$AE$1,tabela_registros[DIA],investirrendavariávelconsolidadonov[[#Headers],[18]],tabela_registros[REGISTRO],DADOS!$N$5,tabela_registros[TIPO],DADOS!$AB$4,tabela_registros[CATEGORIA],investirrendavariávelconsolidadonov[[#This Row],[ATUAL]])</f>
        <v>0</v>
      </c>
      <c r="W134" s="91">
        <f>SUMIFS(tabela_registros[VALOR],tabela_registros[MÊS],$AE$1,tabela_registros[DIA],investirrendavariávelconsolidadonov[[#Headers],[19]],tabela_registros[REGISTRO],DADOS!$N$5,tabela_registros[TIPO],DADOS!$AB$4,tabela_registros[CATEGORIA],investirrendavariávelconsolidadonov[[#This Row],[ATUAL]])</f>
        <v>0</v>
      </c>
      <c r="X134" s="91">
        <f>SUMIFS(tabela_registros[VALOR],tabela_registros[MÊS],$AE$1,tabela_registros[DIA],investirrendavariávelconsolidadonov[[#Headers],[20]],tabela_registros[REGISTRO],DADOS!$N$5,tabela_registros[TIPO],DADOS!$AB$4,tabela_registros[CATEGORIA],investirrendavariávelconsolidadonov[[#This Row],[ATUAL]])</f>
        <v>0</v>
      </c>
      <c r="Y134" s="91">
        <f>SUMIFS(tabela_registros[VALOR],tabela_registros[MÊS],$AE$1,tabela_registros[DIA],investirrendavariávelconsolidadonov[[#Headers],[21]],tabela_registros[REGISTRO],DADOS!$N$5,tabela_registros[TIPO],DADOS!$AB$4,tabela_registros[CATEGORIA],investirrendavariávelconsolidadonov[[#This Row],[ATUAL]])</f>
        <v>0</v>
      </c>
      <c r="Z134" s="91">
        <f>SUMIFS(tabela_registros[VALOR],tabela_registros[MÊS],$AE$1,tabela_registros[DIA],investirrendavariávelconsolidadonov[[#Headers],[22]],tabela_registros[REGISTRO],DADOS!$N$5,tabela_registros[TIPO],DADOS!$AB$4,tabela_registros[CATEGORIA],investirrendavariávelconsolidadonov[[#This Row],[ATUAL]])</f>
        <v>0</v>
      </c>
      <c r="AA134" s="91">
        <f>SUMIFS(tabela_registros[VALOR],tabela_registros[MÊS],$AE$1,tabela_registros[DIA],investirrendavariávelconsolidadonov[[#Headers],[23]],tabela_registros[REGISTRO],DADOS!$N$5,tabela_registros[TIPO],DADOS!$AB$4,tabela_registros[CATEGORIA],investirrendavariávelconsolidadonov[[#This Row],[ATUAL]])</f>
        <v>0</v>
      </c>
      <c r="AB134" s="91">
        <f>SUMIFS(tabela_registros[VALOR],tabela_registros[MÊS],$AE$1,tabela_registros[DIA],investirrendavariávelconsolidadonov[[#Headers],[24]],tabela_registros[REGISTRO],DADOS!$N$5,tabela_registros[TIPO],DADOS!$AB$4,tabela_registros[CATEGORIA],investirrendavariávelconsolidadonov[[#This Row],[ATUAL]])</f>
        <v>0</v>
      </c>
      <c r="AC134" s="91">
        <f>SUMIFS(tabela_registros[VALOR],tabela_registros[MÊS],$AE$1,tabela_registros[DIA],investirrendavariávelconsolidadonov[[#Headers],[25]],tabela_registros[REGISTRO],DADOS!$N$5,tabela_registros[TIPO],DADOS!$AB$4,tabela_registros[CATEGORIA],investirrendavariávelconsolidadonov[[#This Row],[ATUAL]])</f>
        <v>0</v>
      </c>
      <c r="AD134" s="91">
        <f>SUMIFS(tabela_registros[VALOR],tabela_registros[MÊS],$AE$1,tabela_registros[DIA],investirrendavariávelconsolidadonov[[#Headers],[26]],tabela_registros[REGISTRO],DADOS!$N$5,tabela_registros[TIPO],DADOS!$AB$4,tabela_registros[CATEGORIA],investirrendavariávelconsolidadonov[[#This Row],[ATUAL]])</f>
        <v>0</v>
      </c>
      <c r="AE134" s="91">
        <f>SUMIFS(tabela_registros[VALOR],tabela_registros[MÊS],$AE$1,tabela_registros[DIA],investirrendavariávelconsolidadonov[[#Headers],[27]],tabela_registros[REGISTRO],DADOS!$N$5,tabela_registros[TIPO],DADOS!$AB$4,tabela_registros[CATEGORIA],investirrendavariávelconsolidadonov[[#This Row],[ATUAL]])</f>
        <v>0</v>
      </c>
      <c r="AF134" s="91">
        <f>SUMIFS(tabela_registros[VALOR],tabela_registros[MÊS],$AE$1,tabela_registros[DIA],investirrendavariávelconsolidadonov[[#Headers],[28]],tabela_registros[REGISTRO],DADOS!$N$5,tabela_registros[TIPO],DADOS!$AB$4,tabela_registros[CATEGORIA],investirrendavariávelconsolidadonov[[#This Row],[ATUAL]])</f>
        <v>0</v>
      </c>
      <c r="AG134" s="91">
        <f>SUMIFS(tabela_registros[VALOR],tabela_registros[MÊS],$AE$1,tabela_registros[DIA],investirrendavariávelconsolidadonov[[#Headers],[29]],tabela_registros[REGISTRO],DADOS!$N$5,tabela_registros[TIPO],DADOS!$AB$4,tabela_registros[CATEGORIA],investirrendavariávelconsolidadonov[[#This Row],[ATUAL]])</f>
        <v>0</v>
      </c>
      <c r="AH134" s="91">
        <f>SUMIFS(tabela_registros[VALOR],tabela_registros[MÊS],$AE$1,tabela_registros[DIA],investirrendavariávelconsolidadonov[[#Headers],[30]],tabela_registros[REGISTRO],DADOS!$N$5,tabela_registros[TIPO],DADOS!$AB$4,tabela_registros[CATEGORIA],investirrendavariávelconsolidadonov[[#This Row],[ATUAL]])</f>
        <v>0</v>
      </c>
      <c r="AI134" s="101">
        <f>SUMIFS(tabela_registros[VALOR],tabela_registros[MÊS],$AE$1,tabela_registros[DIA],investirrendavariávelconsolidadonov[[#Headers],[31]],tabela_registros[REGISTRO],DADOS!$N$5,tabela_registros[TIPO],DADOS!$AB$4,tabela_registros[CATEGORIA],investirrendavariávelconsolidadonov[[#This Row],[ATUAL]])</f>
        <v>0</v>
      </c>
      <c r="AJ134" s="97">
        <f>SUM(investirrendavariávelconsolidadonov[[#This Row],[1]:[31]])</f>
        <v>0</v>
      </c>
      <c r="AK134" s="25"/>
    </row>
    <row r="135" spans="2:37" ht="19.5" customHeight="1" thickTop="1" thickBot="1" x14ac:dyDescent="0.3">
      <c r="B135" s="28"/>
      <c r="C135" s="27" t="str">
        <f>DADOS!$AF$6</f>
        <v>📝 CONTRATO DE OPÇÕES</v>
      </c>
      <c r="D135" s="26" t="str">
        <f>IF(investirrendavariávelconsolidadonov[[#This Row],[TOTAL (R$)]]=0,"",IF(OR(investirrendavariávelconsolidadonov[[#This Row],[TOTAL (R$)]]=LARGE($AJ$132:$AJ$141,1),investirrendavariávelconsolidadonov[[#This Row],[TOTAL (R$)]]=LARGE($AJ$132:$AJ$141,2)),DADOS!$I$10,""))</f>
        <v/>
      </c>
      <c r="E135" s="96">
        <f>SUMIFS(tabela_registros[VALOR],tabela_registros[MÊS],$AE$1,tabela_registros[DIA],investirrendavariávelconsolidadonov[[#Headers],[1]],tabela_registros[REGISTRO],DADOS!$N$5,tabela_registros[TIPO],DADOS!$AB$4,tabela_registros[CATEGORIA],investirrendavariávelconsolidadonov[[#This Row],[ATUAL]])</f>
        <v>0</v>
      </c>
      <c r="F135" s="91">
        <f>SUMIFS(tabela_registros[VALOR],tabela_registros[MÊS],$AE$1,tabela_registros[DIA],investirrendavariávelconsolidadonov[[#Headers],[2]],tabela_registros[REGISTRO],DADOS!$N$5,tabela_registros[TIPO],DADOS!$AB$4,tabela_registros[CATEGORIA],investirrendavariávelconsolidadonov[[#This Row],[ATUAL]])</f>
        <v>0</v>
      </c>
      <c r="G135" s="91">
        <f>SUMIFS(tabela_registros[VALOR],tabela_registros[MÊS],$AE$1,tabela_registros[DIA],investirrendavariávelconsolidadonov[[#Headers],[3]],tabela_registros[REGISTRO],DADOS!$N$5,tabela_registros[TIPO],DADOS!$AB$4,tabela_registros[CATEGORIA],investirrendavariávelconsolidadonov[[#This Row],[ATUAL]])</f>
        <v>0</v>
      </c>
      <c r="H135" s="91">
        <f>SUMIFS(tabela_registros[VALOR],tabela_registros[MÊS],$AE$1,tabela_registros[DIA],investirrendavariávelconsolidadonov[[#Headers],[4]],tabela_registros[REGISTRO],DADOS!$N$5,tabela_registros[TIPO],DADOS!$AB$4,tabela_registros[CATEGORIA],investirrendavariávelconsolidadonov[[#This Row],[ATUAL]])</f>
        <v>0</v>
      </c>
      <c r="I135" s="91">
        <f>SUMIFS(tabela_registros[VALOR],tabela_registros[MÊS],$AE$1,tabela_registros[DIA],investirrendavariávelconsolidadonov[[#Headers],[5]],tabela_registros[REGISTRO],DADOS!$N$5,tabela_registros[TIPO],DADOS!$AB$4,tabela_registros[CATEGORIA],investirrendavariávelconsolidadonov[[#This Row],[ATUAL]])</f>
        <v>0</v>
      </c>
      <c r="J135" s="91">
        <f>SUMIFS(tabela_registros[VALOR],tabela_registros[MÊS],$AE$1,tabela_registros[DIA],investirrendavariávelconsolidadonov[[#Headers],[6]],tabela_registros[REGISTRO],DADOS!$N$5,tabela_registros[TIPO],DADOS!$AB$4,tabela_registros[CATEGORIA],investirrendavariávelconsolidadonov[[#This Row],[ATUAL]])</f>
        <v>0</v>
      </c>
      <c r="K135" s="91">
        <f>SUMIFS(tabela_registros[VALOR],tabela_registros[MÊS],$AE$1,tabela_registros[DIA],investirrendavariávelconsolidadonov[[#Headers],[7]],tabela_registros[REGISTRO],DADOS!$N$5,tabela_registros[TIPO],DADOS!$AB$4,tabela_registros[CATEGORIA],investirrendavariávelconsolidadonov[[#This Row],[ATUAL]])</f>
        <v>0</v>
      </c>
      <c r="L135" s="91">
        <f>SUMIFS(tabela_registros[VALOR],tabela_registros[MÊS],$AE$1,tabela_registros[DIA],investirrendavariávelconsolidadonov[[#Headers],[8]],tabela_registros[REGISTRO],DADOS!$N$5,tabela_registros[TIPO],DADOS!$AB$4,tabela_registros[CATEGORIA],investirrendavariávelconsolidadonov[[#This Row],[ATUAL]])</f>
        <v>0</v>
      </c>
      <c r="M135" s="91">
        <f>SUMIFS(tabela_registros[VALOR],tabela_registros[MÊS],$AE$1,tabela_registros[DIA],investirrendavariávelconsolidadonov[[#Headers],[9]],tabela_registros[REGISTRO],DADOS!$N$5,tabela_registros[TIPO],DADOS!$AB$4,tabela_registros[CATEGORIA],investirrendavariávelconsolidadonov[[#This Row],[ATUAL]])</f>
        <v>0</v>
      </c>
      <c r="N135" s="91">
        <f>SUMIFS(tabela_registros[VALOR],tabela_registros[MÊS],$AE$1,tabela_registros[DIA],investirrendavariávelconsolidadonov[[#Headers],[10]],tabela_registros[REGISTRO],DADOS!$N$5,tabela_registros[TIPO],DADOS!$AB$4,tabela_registros[CATEGORIA],investirrendavariávelconsolidadonov[[#This Row],[ATUAL]])</f>
        <v>0</v>
      </c>
      <c r="O135" s="91">
        <f>SUMIFS(tabela_registros[VALOR],tabela_registros[MÊS],$AE$1,tabela_registros[DIA],investirrendavariávelconsolidadonov[[#Headers],[11]],tabela_registros[REGISTRO],DADOS!$N$5,tabela_registros[TIPO],DADOS!$AB$4,tabela_registros[CATEGORIA],investirrendavariávelconsolidadonov[[#This Row],[ATUAL]])</f>
        <v>0</v>
      </c>
      <c r="P135" s="91">
        <f>SUMIFS(tabela_registros[VALOR],tabela_registros[MÊS],$AE$1,tabela_registros[DIA],investirrendavariávelconsolidadonov[[#Headers],[12]],tabela_registros[REGISTRO],DADOS!$N$5,tabela_registros[TIPO],DADOS!$AB$4,tabela_registros[CATEGORIA],investirrendavariávelconsolidadonov[[#This Row],[ATUAL]])</f>
        <v>0</v>
      </c>
      <c r="Q135" s="91">
        <f>SUMIFS(tabela_registros[VALOR],tabela_registros[MÊS],$AE$1,tabela_registros[DIA],investirrendavariávelconsolidadonov[[#Headers],[13]],tabela_registros[REGISTRO],DADOS!$N$5,tabela_registros[TIPO],DADOS!$AB$4,tabela_registros[CATEGORIA],investirrendavariávelconsolidadonov[[#This Row],[ATUAL]])</f>
        <v>0</v>
      </c>
      <c r="R135" s="91">
        <f>SUMIFS(tabela_registros[VALOR],tabela_registros[MÊS],$AE$1,tabela_registros[DIA],investirrendavariávelconsolidadonov[[#Headers],[14]],tabela_registros[REGISTRO],DADOS!$N$5,tabela_registros[TIPO],DADOS!$AB$4,tabela_registros[CATEGORIA],investirrendavariávelconsolidadonov[[#This Row],[ATUAL]])</f>
        <v>0</v>
      </c>
      <c r="S135" s="91">
        <f>SUMIFS(tabela_registros[VALOR],tabela_registros[MÊS],$AE$1,tabela_registros[DIA],investirrendavariávelconsolidadonov[[#Headers],[15]],tabela_registros[REGISTRO],DADOS!$N$5,tabela_registros[TIPO],DADOS!$AB$4,tabela_registros[CATEGORIA],investirrendavariávelconsolidadonov[[#This Row],[ATUAL]])</f>
        <v>0</v>
      </c>
      <c r="T135" s="91">
        <f>SUMIFS(tabela_registros[VALOR],tabela_registros[MÊS],$AE$1,tabela_registros[DIA],investirrendavariávelconsolidadonov[[#Headers],[16]],tabela_registros[REGISTRO],DADOS!$N$5,tabela_registros[TIPO],DADOS!$AB$4,tabela_registros[CATEGORIA],investirrendavariávelconsolidadonov[[#This Row],[ATUAL]])</f>
        <v>0</v>
      </c>
      <c r="U135" s="91">
        <f>SUMIFS(tabela_registros[VALOR],tabela_registros[MÊS],$AE$1,tabela_registros[DIA],investirrendavariávelconsolidadonov[[#Headers],[17]],tabela_registros[REGISTRO],DADOS!$N$5,tabela_registros[TIPO],DADOS!$AB$4,tabela_registros[CATEGORIA],investirrendavariávelconsolidadonov[[#This Row],[ATUAL]])</f>
        <v>0</v>
      </c>
      <c r="V135" s="91">
        <f>SUMIFS(tabela_registros[VALOR],tabela_registros[MÊS],$AE$1,tabela_registros[DIA],investirrendavariávelconsolidadonov[[#Headers],[18]],tabela_registros[REGISTRO],DADOS!$N$5,tabela_registros[TIPO],DADOS!$AB$4,tabela_registros[CATEGORIA],investirrendavariávelconsolidadonov[[#This Row],[ATUAL]])</f>
        <v>0</v>
      </c>
      <c r="W135" s="91">
        <f>SUMIFS(tabela_registros[VALOR],tabela_registros[MÊS],$AE$1,tabela_registros[DIA],investirrendavariávelconsolidadonov[[#Headers],[19]],tabela_registros[REGISTRO],DADOS!$N$5,tabela_registros[TIPO],DADOS!$AB$4,tabela_registros[CATEGORIA],investirrendavariávelconsolidadonov[[#This Row],[ATUAL]])</f>
        <v>0</v>
      </c>
      <c r="X135" s="91">
        <f>SUMIFS(tabela_registros[VALOR],tabela_registros[MÊS],$AE$1,tabela_registros[DIA],investirrendavariávelconsolidadonov[[#Headers],[20]],tabela_registros[REGISTRO],DADOS!$N$5,tabela_registros[TIPO],DADOS!$AB$4,tabela_registros[CATEGORIA],investirrendavariávelconsolidadonov[[#This Row],[ATUAL]])</f>
        <v>0</v>
      </c>
      <c r="Y135" s="91">
        <f>SUMIFS(tabela_registros[VALOR],tabela_registros[MÊS],$AE$1,tabela_registros[DIA],investirrendavariávelconsolidadonov[[#Headers],[21]],tabela_registros[REGISTRO],DADOS!$N$5,tabela_registros[TIPO],DADOS!$AB$4,tabela_registros[CATEGORIA],investirrendavariávelconsolidadonov[[#This Row],[ATUAL]])</f>
        <v>0</v>
      </c>
      <c r="Z135" s="91">
        <f>SUMIFS(tabela_registros[VALOR],tabela_registros[MÊS],$AE$1,tabela_registros[DIA],investirrendavariávelconsolidadonov[[#Headers],[22]],tabela_registros[REGISTRO],DADOS!$N$5,tabela_registros[TIPO],DADOS!$AB$4,tabela_registros[CATEGORIA],investirrendavariávelconsolidadonov[[#This Row],[ATUAL]])</f>
        <v>0</v>
      </c>
      <c r="AA135" s="91">
        <f>SUMIFS(tabela_registros[VALOR],tabela_registros[MÊS],$AE$1,tabela_registros[DIA],investirrendavariávelconsolidadonov[[#Headers],[23]],tabela_registros[REGISTRO],DADOS!$N$5,tabela_registros[TIPO],DADOS!$AB$4,tabela_registros[CATEGORIA],investirrendavariávelconsolidadonov[[#This Row],[ATUAL]])</f>
        <v>0</v>
      </c>
      <c r="AB135" s="91">
        <f>SUMIFS(tabela_registros[VALOR],tabela_registros[MÊS],$AE$1,tabela_registros[DIA],investirrendavariávelconsolidadonov[[#Headers],[24]],tabela_registros[REGISTRO],DADOS!$N$5,tabela_registros[TIPO],DADOS!$AB$4,tabela_registros[CATEGORIA],investirrendavariávelconsolidadonov[[#This Row],[ATUAL]])</f>
        <v>0</v>
      </c>
      <c r="AC135" s="91">
        <f>SUMIFS(tabela_registros[VALOR],tabela_registros[MÊS],$AE$1,tabela_registros[DIA],investirrendavariávelconsolidadonov[[#Headers],[25]],tabela_registros[REGISTRO],DADOS!$N$5,tabela_registros[TIPO],DADOS!$AB$4,tabela_registros[CATEGORIA],investirrendavariávelconsolidadonov[[#This Row],[ATUAL]])</f>
        <v>0</v>
      </c>
      <c r="AD135" s="91">
        <f>SUMIFS(tabela_registros[VALOR],tabela_registros[MÊS],$AE$1,tabela_registros[DIA],investirrendavariávelconsolidadonov[[#Headers],[26]],tabela_registros[REGISTRO],DADOS!$N$5,tabela_registros[TIPO],DADOS!$AB$4,tabela_registros[CATEGORIA],investirrendavariávelconsolidadonov[[#This Row],[ATUAL]])</f>
        <v>0</v>
      </c>
      <c r="AE135" s="91">
        <f>SUMIFS(tabela_registros[VALOR],tabela_registros[MÊS],$AE$1,tabela_registros[DIA],investirrendavariávelconsolidadonov[[#Headers],[27]],tabela_registros[REGISTRO],DADOS!$N$5,tabela_registros[TIPO],DADOS!$AB$4,tabela_registros[CATEGORIA],investirrendavariávelconsolidadonov[[#This Row],[ATUAL]])</f>
        <v>0</v>
      </c>
      <c r="AF135" s="91">
        <f>SUMIFS(tabela_registros[VALOR],tabela_registros[MÊS],$AE$1,tabela_registros[DIA],investirrendavariávelconsolidadonov[[#Headers],[28]],tabela_registros[REGISTRO],DADOS!$N$5,tabela_registros[TIPO],DADOS!$AB$4,tabela_registros[CATEGORIA],investirrendavariávelconsolidadonov[[#This Row],[ATUAL]])</f>
        <v>0</v>
      </c>
      <c r="AG135" s="91">
        <f>SUMIFS(tabela_registros[VALOR],tabela_registros[MÊS],$AE$1,tabela_registros[DIA],investirrendavariávelconsolidadonov[[#Headers],[29]],tabela_registros[REGISTRO],DADOS!$N$5,tabela_registros[TIPO],DADOS!$AB$4,tabela_registros[CATEGORIA],investirrendavariávelconsolidadonov[[#This Row],[ATUAL]])</f>
        <v>0</v>
      </c>
      <c r="AH135" s="91">
        <f>SUMIFS(tabela_registros[VALOR],tabela_registros[MÊS],$AE$1,tabela_registros[DIA],investirrendavariávelconsolidadonov[[#Headers],[30]],tabela_registros[REGISTRO],DADOS!$N$5,tabela_registros[TIPO],DADOS!$AB$4,tabela_registros[CATEGORIA],investirrendavariávelconsolidadonov[[#This Row],[ATUAL]])</f>
        <v>0</v>
      </c>
      <c r="AI135" s="101">
        <f>SUMIFS(tabela_registros[VALOR],tabela_registros[MÊS],$AE$1,tabela_registros[DIA],investirrendavariávelconsolidadonov[[#Headers],[31]],tabela_registros[REGISTRO],DADOS!$N$5,tabela_registros[TIPO],DADOS!$AB$4,tabela_registros[CATEGORIA],investirrendavariávelconsolidadonov[[#This Row],[ATUAL]])</f>
        <v>0</v>
      </c>
      <c r="AJ135" s="97">
        <f>SUM(investirrendavariávelconsolidadonov[[#This Row],[1]:[31]])</f>
        <v>0</v>
      </c>
      <c r="AK135" s="25"/>
    </row>
    <row r="136" spans="2:37" ht="19.5" customHeight="1" thickTop="1" thickBot="1" x14ac:dyDescent="0.3">
      <c r="B136" s="28"/>
      <c r="C136" s="27" t="str">
        <f>DADOS!$AF$7</f>
        <v>📝 CRIPTOMOEDA</v>
      </c>
      <c r="D136" s="26" t="str">
        <f>IF(investirrendavariávelconsolidadonov[[#This Row],[TOTAL (R$)]]=0,"",IF(OR(investirrendavariávelconsolidadonov[[#This Row],[TOTAL (R$)]]=LARGE($AJ$132:$AJ$141,1),investirrendavariávelconsolidadonov[[#This Row],[TOTAL (R$)]]=LARGE($AJ$132:$AJ$141,2)),DADOS!$I$10,""))</f>
        <v/>
      </c>
      <c r="E136" s="96">
        <f>SUMIFS(tabela_registros[VALOR],tabela_registros[MÊS],$AE$1,tabela_registros[DIA],investirrendavariávelconsolidadonov[[#Headers],[1]],tabela_registros[REGISTRO],DADOS!$N$5,tabela_registros[TIPO],DADOS!$AB$4,tabela_registros[CATEGORIA],investirrendavariávelconsolidadonov[[#This Row],[ATUAL]])</f>
        <v>0</v>
      </c>
      <c r="F136" s="91">
        <f>SUMIFS(tabela_registros[VALOR],tabela_registros[MÊS],$AE$1,tabela_registros[DIA],investirrendavariávelconsolidadonov[[#Headers],[2]],tabela_registros[REGISTRO],DADOS!$N$5,tabela_registros[TIPO],DADOS!$AB$4,tabela_registros[CATEGORIA],investirrendavariávelconsolidadonov[[#This Row],[ATUAL]])</f>
        <v>0</v>
      </c>
      <c r="G136" s="91">
        <f>SUMIFS(tabela_registros[VALOR],tabela_registros[MÊS],$AE$1,tabela_registros[DIA],investirrendavariávelconsolidadonov[[#Headers],[3]],tabela_registros[REGISTRO],DADOS!$N$5,tabela_registros[TIPO],DADOS!$AB$4,tabela_registros[CATEGORIA],investirrendavariávelconsolidadonov[[#This Row],[ATUAL]])</f>
        <v>0</v>
      </c>
      <c r="H136" s="91">
        <f>SUMIFS(tabela_registros[VALOR],tabela_registros[MÊS],$AE$1,tabela_registros[DIA],investirrendavariávelconsolidadonov[[#Headers],[4]],tabela_registros[REGISTRO],DADOS!$N$5,tabela_registros[TIPO],DADOS!$AB$4,tabela_registros[CATEGORIA],investirrendavariávelconsolidadonov[[#This Row],[ATUAL]])</f>
        <v>0</v>
      </c>
      <c r="I136" s="91">
        <f>SUMIFS(tabela_registros[VALOR],tabela_registros[MÊS],$AE$1,tabela_registros[DIA],investirrendavariávelconsolidadonov[[#Headers],[5]],tabela_registros[REGISTRO],DADOS!$N$5,tabela_registros[TIPO],DADOS!$AB$4,tabela_registros[CATEGORIA],investirrendavariávelconsolidadonov[[#This Row],[ATUAL]])</f>
        <v>0</v>
      </c>
      <c r="J136" s="91">
        <f>SUMIFS(tabela_registros[VALOR],tabela_registros[MÊS],$AE$1,tabela_registros[DIA],investirrendavariávelconsolidadonov[[#Headers],[6]],tabela_registros[REGISTRO],DADOS!$N$5,tabela_registros[TIPO],DADOS!$AB$4,tabela_registros[CATEGORIA],investirrendavariávelconsolidadonov[[#This Row],[ATUAL]])</f>
        <v>0</v>
      </c>
      <c r="K136" s="91">
        <f>SUMIFS(tabela_registros[VALOR],tabela_registros[MÊS],$AE$1,tabela_registros[DIA],investirrendavariávelconsolidadonov[[#Headers],[7]],tabela_registros[REGISTRO],DADOS!$N$5,tabela_registros[TIPO],DADOS!$AB$4,tabela_registros[CATEGORIA],investirrendavariávelconsolidadonov[[#This Row],[ATUAL]])</f>
        <v>0</v>
      </c>
      <c r="L136" s="91">
        <f>SUMIFS(tabela_registros[VALOR],tabela_registros[MÊS],$AE$1,tabela_registros[DIA],investirrendavariávelconsolidadonov[[#Headers],[8]],tabela_registros[REGISTRO],DADOS!$N$5,tabela_registros[TIPO],DADOS!$AB$4,tabela_registros[CATEGORIA],investirrendavariávelconsolidadonov[[#This Row],[ATUAL]])</f>
        <v>0</v>
      </c>
      <c r="M136" s="91">
        <f>SUMIFS(tabela_registros[VALOR],tabela_registros[MÊS],$AE$1,tabela_registros[DIA],investirrendavariávelconsolidadonov[[#Headers],[9]],tabela_registros[REGISTRO],DADOS!$N$5,tabela_registros[TIPO],DADOS!$AB$4,tabela_registros[CATEGORIA],investirrendavariávelconsolidadonov[[#This Row],[ATUAL]])</f>
        <v>0</v>
      </c>
      <c r="N136" s="91">
        <f>SUMIFS(tabela_registros[VALOR],tabela_registros[MÊS],$AE$1,tabela_registros[DIA],investirrendavariávelconsolidadonov[[#Headers],[10]],tabela_registros[REGISTRO],DADOS!$N$5,tabela_registros[TIPO],DADOS!$AB$4,tabela_registros[CATEGORIA],investirrendavariávelconsolidadonov[[#This Row],[ATUAL]])</f>
        <v>0</v>
      </c>
      <c r="O136" s="91">
        <f>SUMIFS(tabela_registros[VALOR],tabela_registros[MÊS],$AE$1,tabela_registros[DIA],investirrendavariávelconsolidadonov[[#Headers],[11]],tabela_registros[REGISTRO],DADOS!$N$5,tabela_registros[TIPO],DADOS!$AB$4,tabela_registros[CATEGORIA],investirrendavariávelconsolidadonov[[#This Row],[ATUAL]])</f>
        <v>0</v>
      </c>
      <c r="P136" s="91">
        <f>SUMIFS(tabela_registros[VALOR],tabela_registros[MÊS],$AE$1,tabela_registros[DIA],investirrendavariávelconsolidadonov[[#Headers],[12]],tabela_registros[REGISTRO],DADOS!$N$5,tabela_registros[TIPO],DADOS!$AB$4,tabela_registros[CATEGORIA],investirrendavariávelconsolidadonov[[#This Row],[ATUAL]])</f>
        <v>0</v>
      </c>
      <c r="Q136" s="91">
        <f>SUMIFS(tabela_registros[VALOR],tabela_registros[MÊS],$AE$1,tabela_registros[DIA],investirrendavariávelconsolidadonov[[#Headers],[13]],tabela_registros[REGISTRO],DADOS!$N$5,tabela_registros[TIPO],DADOS!$AB$4,tabela_registros[CATEGORIA],investirrendavariávelconsolidadonov[[#This Row],[ATUAL]])</f>
        <v>0</v>
      </c>
      <c r="R136" s="91">
        <f>SUMIFS(tabela_registros[VALOR],tabela_registros[MÊS],$AE$1,tabela_registros[DIA],investirrendavariávelconsolidadonov[[#Headers],[14]],tabela_registros[REGISTRO],DADOS!$N$5,tabela_registros[TIPO],DADOS!$AB$4,tabela_registros[CATEGORIA],investirrendavariávelconsolidadonov[[#This Row],[ATUAL]])</f>
        <v>0</v>
      </c>
      <c r="S136" s="91">
        <f>SUMIFS(tabela_registros[VALOR],tabela_registros[MÊS],$AE$1,tabela_registros[DIA],investirrendavariávelconsolidadonov[[#Headers],[15]],tabela_registros[REGISTRO],DADOS!$N$5,tabela_registros[TIPO],DADOS!$AB$4,tabela_registros[CATEGORIA],investirrendavariávelconsolidadonov[[#This Row],[ATUAL]])</f>
        <v>0</v>
      </c>
      <c r="T136" s="91">
        <f>SUMIFS(tabela_registros[VALOR],tabela_registros[MÊS],$AE$1,tabela_registros[DIA],investirrendavariávelconsolidadonov[[#Headers],[16]],tabela_registros[REGISTRO],DADOS!$N$5,tabela_registros[TIPO],DADOS!$AB$4,tabela_registros[CATEGORIA],investirrendavariávelconsolidadonov[[#This Row],[ATUAL]])</f>
        <v>0</v>
      </c>
      <c r="U136" s="91">
        <f>SUMIFS(tabela_registros[VALOR],tabela_registros[MÊS],$AE$1,tabela_registros[DIA],investirrendavariávelconsolidadonov[[#Headers],[17]],tabela_registros[REGISTRO],DADOS!$N$5,tabela_registros[TIPO],DADOS!$AB$4,tabela_registros[CATEGORIA],investirrendavariávelconsolidadonov[[#This Row],[ATUAL]])</f>
        <v>0</v>
      </c>
      <c r="V136" s="91">
        <f>SUMIFS(tabela_registros[VALOR],tabela_registros[MÊS],$AE$1,tabela_registros[DIA],investirrendavariávelconsolidadonov[[#Headers],[18]],tabela_registros[REGISTRO],DADOS!$N$5,tabela_registros[TIPO],DADOS!$AB$4,tabela_registros[CATEGORIA],investirrendavariávelconsolidadonov[[#This Row],[ATUAL]])</f>
        <v>0</v>
      </c>
      <c r="W136" s="91">
        <f>SUMIFS(tabela_registros[VALOR],tabela_registros[MÊS],$AE$1,tabela_registros[DIA],investirrendavariávelconsolidadonov[[#Headers],[19]],tabela_registros[REGISTRO],DADOS!$N$5,tabela_registros[TIPO],DADOS!$AB$4,tabela_registros[CATEGORIA],investirrendavariávelconsolidadonov[[#This Row],[ATUAL]])</f>
        <v>0</v>
      </c>
      <c r="X136" s="91">
        <f>SUMIFS(tabela_registros[VALOR],tabela_registros[MÊS],$AE$1,tabela_registros[DIA],investirrendavariávelconsolidadonov[[#Headers],[20]],tabela_registros[REGISTRO],DADOS!$N$5,tabela_registros[TIPO],DADOS!$AB$4,tabela_registros[CATEGORIA],investirrendavariávelconsolidadonov[[#This Row],[ATUAL]])</f>
        <v>0</v>
      </c>
      <c r="Y136" s="91">
        <f>SUMIFS(tabela_registros[VALOR],tabela_registros[MÊS],$AE$1,tabela_registros[DIA],investirrendavariávelconsolidadonov[[#Headers],[21]],tabela_registros[REGISTRO],DADOS!$N$5,tabela_registros[TIPO],DADOS!$AB$4,tabela_registros[CATEGORIA],investirrendavariávelconsolidadonov[[#This Row],[ATUAL]])</f>
        <v>0</v>
      </c>
      <c r="Z136" s="91">
        <f>SUMIFS(tabela_registros[VALOR],tabela_registros[MÊS],$AE$1,tabela_registros[DIA],investirrendavariávelconsolidadonov[[#Headers],[22]],tabela_registros[REGISTRO],DADOS!$N$5,tabela_registros[TIPO],DADOS!$AB$4,tabela_registros[CATEGORIA],investirrendavariávelconsolidadonov[[#This Row],[ATUAL]])</f>
        <v>0</v>
      </c>
      <c r="AA136" s="91">
        <f>SUMIFS(tabela_registros[VALOR],tabela_registros[MÊS],$AE$1,tabela_registros[DIA],investirrendavariávelconsolidadonov[[#Headers],[23]],tabela_registros[REGISTRO],DADOS!$N$5,tabela_registros[TIPO],DADOS!$AB$4,tabela_registros[CATEGORIA],investirrendavariávelconsolidadonov[[#This Row],[ATUAL]])</f>
        <v>0</v>
      </c>
      <c r="AB136" s="91">
        <f>SUMIFS(tabela_registros[VALOR],tabela_registros[MÊS],$AE$1,tabela_registros[DIA],investirrendavariávelconsolidadonov[[#Headers],[24]],tabela_registros[REGISTRO],DADOS!$N$5,tabela_registros[TIPO],DADOS!$AB$4,tabela_registros[CATEGORIA],investirrendavariávelconsolidadonov[[#This Row],[ATUAL]])</f>
        <v>0</v>
      </c>
      <c r="AC136" s="91">
        <f>SUMIFS(tabela_registros[VALOR],tabela_registros[MÊS],$AE$1,tabela_registros[DIA],investirrendavariávelconsolidadonov[[#Headers],[25]],tabela_registros[REGISTRO],DADOS!$N$5,tabela_registros[TIPO],DADOS!$AB$4,tabela_registros[CATEGORIA],investirrendavariávelconsolidadonov[[#This Row],[ATUAL]])</f>
        <v>0</v>
      </c>
      <c r="AD136" s="91">
        <f>SUMIFS(tabela_registros[VALOR],tabela_registros[MÊS],$AE$1,tabela_registros[DIA],investirrendavariávelconsolidadonov[[#Headers],[26]],tabela_registros[REGISTRO],DADOS!$N$5,tabela_registros[TIPO],DADOS!$AB$4,tabela_registros[CATEGORIA],investirrendavariávelconsolidadonov[[#This Row],[ATUAL]])</f>
        <v>0</v>
      </c>
      <c r="AE136" s="91">
        <f>SUMIFS(tabela_registros[VALOR],tabela_registros[MÊS],$AE$1,tabela_registros[DIA],investirrendavariávelconsolidadonov[[#Headers],[27]],tabela_registros[REGISTRO],DADOS!$N$5,tabela_registros[TIPO],DADOS!$AB$4,tabela_registros[CATEGORIA],investirrendavariávelconsolidadonov[[#This Row],[ATUAL]])</f>
        <v>0</v>
      </c>
      <c r="AF136" s="91">
        <f>SUMIFS(tabela_registros[VALOR],tabela_registros[MÊS],$AE$1,tabela_registros[DIA],investirrendavariávelconsolidadonov[[#Headers],[28]],tabela_registros[REGISTRO],DADOS!$N$5,tabela_registros[TIPO],DADOS!$AB$4,tabela_registros[CATEGORIA],investirrendavariávelconsolidadonov[[#This Row],[ATUAL]])</f>
        <v>0</v>
      </c>
      <c r="AG136" s="91">
        <f>SUMIFS(tabela_registros[VALOR],tabela_registros[MÊS],$AE$1,tabela_registros[DIA],investirrendavariávelconsolidadonov[[#Headers],[29]],tabela_registros[REGISTRO],DADOS!$N$5,tabela_registros[TIPO],DADOS!$AB$4,tabela_registros[CATEGORIA],investirrendavariávelconsolidadonov[[#This Row],[ATUAL]])</f>
        <v>0</v>
      </c>
      <c r="AH136" s="91">
        <f>SUMIFS(tabela_registros[VALOR],tabela_registros[MÊS],$AE$1,tabela_registros[DIA],investirrendavariávelconsolidadonov[[#Headers],[30]],tabela_registros[REGISTRO],DADOS!$N$5,tabela_registros[TIPO],DADOS!$AB$4,tabela_registros[CATEGORIA],investirrendavariávelconsolidadonov[[#This Row],[ATUAL]])</f>
        <v>0</v>
      </c>
      <c r="AI136" s="101">
        <f>SUMIFS(tabela_registros[VALOR],tabela_registros[MÊS],$AE$1,tabela_registros[DIA],investirrendavariávelconsolidadonov[[#Headers],[31]],tabela_registros[REGISTRO],DADOS!$N$5,tabela_registros[TIPO],DADOS!$AB$4,tabela_registros[CATEGORIA],investirrendavariávelconsolidadonov[[#This Row],[ATUAL]])</f>
        <v>0</v>
      </c>
      <c r="AJ136" s="97">
        <f>SUM(investirrendavariávelconsolidadonov[[#This Row],[1]:[31]])</f>
        <v>0</v>
      </c>
      <c r="AK136" s="25"/>
    </row>
    <row r="137" spans="2:37" ht="19.5" customHeight="1" thickTop="1" thickBot="1" x14ac:dyDescent="0.3">
      <c r="B137" s="28"/>
      <c r="C137" s="27" t="str">
        <f>DADOS!$AF$8</f>
        <v>📝 ETF</v>
      </c>
      <c r="D137" s="26" t="str">
        <f>IF(investirrendavariávelconsolidadonov[[#This Row],[TOTAL (R$)]]=0,"",IF(OR(investirrendavariávelconsolidadonov[[#This Row],[TOTAL (R$)]]=LARGE($AJ$132:$AJ$141,1),investirrendavariávelconsolidadonov[[#This Row],[TOTAL (R$)]]=LARGE($AJ$132:$AJ$141,2)),DADOS!$I$10,""))</f>
        <v/>
      </c>
      <c r="E137" s="96">
        <f>SUMIFS(tabela_registros[VALOR],tabela_registros[MÊS],$AE$1,tabela_registros[DIA],investirrendavariávelconsolidadonov[[#Headers],[1]],tabela_registros[REGISTRO],DADOS!$N$5,tabela_registros[TIPO],DADOS!$AB$4,tabela_registros[CATEGORIA],investirrendavariávelconsolidadonov[[#This Row],[ATUAL]])</f>
        <v>0</v>
      </c>
      <c r="F137" s="91">
        <f>SUMIFS(tabela_registros[VALOR],tabela_registros[MÊS],$AE$1,tabela_registros[DIA],investirrendavariávelconsolidadonov[[#Headers],[2]],tabela_registros[REGISTRO],DADOS!$N$5,tabela_registros[TIPO],DADOS!$AB$4,tabela_registros[CATEGORIA],investirrendavariávelconsolidadonov[[#This Row],[ATUAL]])</f>
        <v>0</v>
      </c>
      <c r="G137" s="91">
        <f>SUMIFS(tabela_registros[VALOR],tabela_registros[MÊS],$AE$1,tabela_registros[DIA],investirrendavariávelconsolidadonov[[#Headers],[3]],tabela_registros[REGISTRO],DADOS!$N$5,tabela_registros[TIPO],DADOS!$AB$4,tabela_registros[CATEGORIA],investirrendavariávelconsolidadonov[[#This Row],[ATUAL]])</f>
        <v>0</v>
      </c>
      <c r="H137" s="91">
        <f>SUMIFS(tabela_registros[VALOR],tabela_registros[MÊS],$AE$1,tabela_registros[DIA],investirrendavariávelconsolidadonov[[#Headers],[4]],tabela_registros[REGISTRO],DADOS!$N$5,tabela_registros[TIPO],DADOS!$AB$4,tabela_registros[CATEGORIA],investirrendavariávelconsolidadonov[[#This Row],[ATUAL]])</f>
        <v>0</v>
      </c>
      <c r="I137" s="91">
        <f>SUMIFS(tabela_registros[VALOR],tabela_registros[MÊS],$AE$1,tabela_registros[DIA],investirrendavariávelconsolidadonov[[#Headers],[5]],tabela_registros[REGISTRO],DADOS!$N$5,tabela_registros[TIPO],DADOS!$AB$4,tabela_registros[CATEGORIA],investirrendavariávelconsolidadonov[[#This Row],[ATUAL]])</f>
        <v>0</v>
      </c>
      <c r="J137" s="91">
        <f>SUMIFS(tabela_registros[VALOR],tabela_registros[MÊS],$AE$1,tabela_registros[DIA],investirrendavariávelconsolidadonov[[#Headers],[6]],tabela_registros[REGISTRO],DADOS!$N$5,tabela_registros[TIPO],DADOS!$AB$4,tabela_registros[CATEGORIA],investirrendavariávelconsolidadonov[[#This Row],[ATUAL]])</f>
        <v>0</v>
      </c>
      <c r="K137" s="91">
        <f>SUMIFS(tabela_registros[VALOR],tabela_registros[MÊS],$AE$1,tabela_registros[DIA],investirrendavariávelconsolidadonov[[#Headers],[7]],tabela_registros[REGISTRO],DADOS!$N$5,tabela_registros[TIPO],DADOS!$AB$4,tabela_registros[CATEGORIA],investirrendavariávelconsolidadonov[[#This Row],[ATUAL]])</f>
        <v>0</v>
      </c>
      <c r="L137" s="91">
        <f>SUMIFS(tabela_registros[VALOR],tabela_registros[MÊS],$AE$1,tabela_registros[DIA],investirrendavariávelconsolidadonov[[#Headers],[8]],tabela_registros[REGISTRO],DADOS!$N$5,tabela_registros[TIPO],DADOS!$AB$4,tabela_registros[CATEGORIA],investirrendavariávelconsolidadonov[[#This Row],[ATUAL]])</f>
        <v>0</v>
      </c>
      <c r="M137" s="91">
        <f>SUMIFS(tabela_registros[VALOR],tabela_registros[MÊS],$AE$1,tabela_registros[DIA],investirrendavariávelconsolidadonov[[#Headers],[9]],tabela_registros[REGISTRO],DADOS!$N$5,tabela_registros[TIPO],DADOS!$AB$4,tabela_registros[CATEGORIA],investirrendavariávelconsolidadonov[[#This Row],[ATUAL]])</f>
        <v>0</v>
      </c>
      <c r="N137" s="91">
        <f>SUMIFS(tabela_registros[VALOR],tabela_registros[MÊS],$AE$1,tabela_registros[DIA],investirrendavariávelconsolidadonov[[#Headers],[10]],tabela_registros[REGISTRO],DADOS!$N$5,tabela_registros[TIPO],DADOS!$AB$4,tabela_registros[CATEGORIA],investirrendavariávelconsolidadonov[[#This Row],[ATUAL]])</f>
        <v>0</v>
      </c>
      <c r="O137" s="91">
        <f>SUMIFS(tabela_registros[VALOR],tabela_registros[MÊS],$AE$1,tabela_registros[DIA],investirrendavariávelconsolidadonov[[#Headers],[11]],tabela_registros[REGISTRO],DADOS!$N$5,tabela_registros[TIPO],DADOS!$AB$4,tabela_registros[CATEGORIA],investirrendavariávelconsolidadonov[[#This Row],[ATUAL]])</f>
        <v>0</v>
      </c>
      <c r="P137" s="91">
        <f>SUMIFS(tabela_registros[VALOR],tabela_registros[MÊS],$AE$1,tabela_registros[DIA],investirrendavariávelconsolidadonov[[#Headers],[12]],tabela_registros[REGISTRO],DADOS!$N$5,tabela_registros[TIPO],DADOS!$AB$4,tabela_registros[CATEGORIA],investirrendavariávelconsolidadonov[[#This Row],[ATUAL]])</f>
        <v>0</v>
      </c>
      <c r="Q137" s="91">
        <f>SUMIFS(tabela_registros[VALOR],tabela_registros[MÊS],$AE$1,tabela_registros[DIA],investirrendavariávelconsolidadonov[[#Headers],[13]],tabela_registros[REGISTRO],DADOS!$N$5,tabela_registros[TIPO],DADOS!$AB$4,tabela_registros[CATEGORIA],investirrendavariávelconsolidadonov[[#This Row],[ATUAL]])</f>
        <v>0</v>
      </c>
      <c r="R137" s="91">
        <f>SUMIFS(tabela_registros[VALOR],tabela_registros[MÊS],$AE$1,tabela_registros[DIA],investirrendavariávelconsolidadonov[[#Headers],[14]],tabela_registros[REGISTRO],DADOS!$N$5,tabela_registros[TIPO],DADOS!$AB$4,tabela_registros[CATEGORIA],investirrendavariávelconsolidadonov[[#This Row],[ATUAL]])</f>
        <v>0</v>
      </c>
      <c r="S137" s="91">
        <f>SUMIFS(tabela_registros[VALOR],tabela_registros[MÊS],$AE$1,tabela_registros[DIA],investirrendavariávelconsolidadonov[[#Headers],[15]],tabela_registros[REGISTRO],DADOS!$N$5,tabela_registros[TIPO],DADOS!$AB$4,tabela_registros[CATEGORIA],investirrendavariávelconsolidadonov[[#This Row],[ATUAL]])</f>
        <v>0</v>
      </c>
      <c r="T137" s="91">
        <f>SUMIFS(tabela_registros[VALOR],tabela_registros[MÊS],$AE$1,tabela_registros[DIA],investirrendavariávelconsolidadonov[[#Headers],[16]],tabela_registros[REGISTRO],DADOS!$N$5,tabela_registros[TIPO],DADOS!$AB$4,tabela_registros[CATEGORIA],investirrendavariávelconsolidadonov[[#This Row],[ATUAL]])</f>
        <v>0</v>
      </c>
      <c r="U137" s="91">
        <f>SUMIFS(tabela_registros[VALOR],tabela_registros[MÊS],$AE$1,tabela_registros[DIA],investirrendavariávelconsolidadonov[[#Headers],[17]],tabela_registros[REGISTRO],DADOS!$N$5,tabela_registros[TIPO],DADOS!$AB$4,tabela_registros[CATEGORIA],investirrendavariávelconsolidadonov[[#This Row],[ATUAL]])</f>
        <v>0</v>
      </c>
      <c r="V137" s="91">
        <f>SUMIFS(tabela_registros[VALOR],tabela_registros[MÊS],$AE$1,tabela_registros[DIA],investirrendavariávelconsolidadonov[[#Headers],[18]],tabela_registros[REGISTRO],DADOS!$N$5,tabela_registros[TIPO],DADOS!$AB$4,tabela_registros[CATEGORIA],investirrendavariávelconsolidadonov[[#This Row],[ATUAL]])</f>
        <v>0</v>
      </c>
      <c r="W137" s="91">
        <f>SUMIFS(tabela_registros[VALOR],tabela_registros[MÊS],$AE$1,tabela_registros[DIA],investirrendavariávelconsolidadonov[[#Headers],[19]],tabela_registros[REGISTRO],DADOS!$N$5,tabela_registros[TIPO],DADOS!$AB$4,tabela_registros[CATEGORIA],investirrendavariávelconsolidadonov[[#This Row],[ATUAL]])</f>
        <v>0</v>
      </c>
      <c r="X137" s="91">
        <f>SUMIFS(tabela_registros[VALOR],tabela_registros[MÊS],$AE$1,tabela_registros[DIA],investirrendavariávelconsolidadonov[[#Headers],[20]],tabela_registros[REGISTRO],DADOS!$N$5,tabela_registros[TIPO],DADOS!$AB$4,tabela_registros[CATEGORIA],investirrendavariávelconsolidadonov[[#This Row],[ATUAL]])</f>
        <v>0</v>
      </c>
      <c r="Y137" s="91">
        <f>SUMIFS(tabela_registros[VALOR],tabela_registros[MÊS],$AE$1,tabela_registros[DIA],investirrendavariávelconsolidadonov[[#Headers],[21]],tabela_registros[REGISTRO],DADOS!$N$5,tabela_registros[TIPO],DADOS!$AB$4,tabela_registros[CATEGORIA],investirrendavariávelconsolidadonov[[#This Row],[ATUAL]])</f>
        <v>0</v>
      </c>
      <c r="Z137" s="91">
        <f>SUMIFS(tabela_registros[VALOR],tabela_registros[MÊS],$AE$1,tabela_registros[DIA],investirrendavariávelconsolidadonov[[#Headers],[22]],tabela_registros[REGISTRO],DADOS!$N$5,tabela_registros[TIPO],DADOS!$AB$4,tabela_registros[CATEGORIA],investirrendavariávelconsolidadonov[[#This Row],[ATUAL]])</f>
        <v>0</v>
      </c>
      <c r="AA137" s="91">
        <f>SUMIFS(tabela_registros[VALOR],tabela_registros[MÊS],$AE$1,tabela_registros[DIA],investirrendavariávelconsolidadonov[[#Headers],[23]],tabela_registros[REGISTRO],DADOS!$N$5,tabela_registros[TIPO],DADOS!$AB$4,tabela_registros[CATEGORIA],investirrendavariávelconsolidadonov[[#This Row],[ATUAL]])</f>
        <v>0</v>
      </c>
      <c r="AB137" s="91">
        <f>SUMIFS(tabela_registros[VALOR],tabela_registros[MÊS],$AE$1,tabela_registros[DIA],investirrendavariávelconsolidadonov[[#Headers],[24]],tabela_registros[REGISTRO],DADOS!$N$5,tabela_registros[TIPO],DADOS!$AB$4,tabela_registros[CATEGORIA],investirrendavariávelconsolidadonov[[#This Row],[ATUAL]])</f>
        <v>0</v>
      </c>
      <c r="AC137" s="91">
        <f>SUMIFS(tabela_registros[VALOR],tabela_registros[MÊS],$AE$1,tabela_registros[DIA],investirrendavariávelconsolidadonov[[#Headers],[25]],tabela_registros[REGISTRO],DADOS!$N$5,tabela_registros[TIPO],DADOS!$AB$4,tabela_registros[CATEGORIA],investirrendavariávelconsolidadonov[[#This Row],[ATUAL]])</f>
        <v>0</v>
      </c>
      <c r="AD137" s="91">
        <f>SUMIFS(tabela_registros[VALOR],tabela_registros[MÊS],$AE$1,tabela_registros[DIA],investirrendavariávelconsolidadonov[[#Headers],[26]],tabela_registros[REGISTRO],DADOS!$N$5,tabela_registros[TIPO],DADOS!$AB$4,tabela_registros[CATEGORIA],investirrendavariávelconsolidadonov[[#This Row],[ATUAL]])</f>
        <v>0</v>
      </c>
      <c r="AE137" s="91">
        <f>SUMIFS(tabela_registros[VALOR],tabela_registros[MÊS],$AE$1,tabela_registros[DIA],investirrendavariávelconsolidadonov[[#Headers],[27]],tabela_registros[REGISTRO],DADOS!$N$5,tabela_registros[TIPO],DADOS!$AB$4,tabela_registros[CATEGORIA],investirrendavariávelconsolidadonov[[#This Row],[ATUAL]])</f>
        <v>0</v>
      </c>
      <c r="AF137" s="91">
        <f>SUMIFS(tabela_registros[VALOR],tabela_registros[MÊS],$AE$1,tabela_registros[DIA],investirrendavariávelconsolidadonov[[#Headers],[28]],tabela_registros[REGISTRO],DADOS!$N$5,tabela_registros[TIPO],DADOS!$AB$4,tabela_registros[CATEGORIA],investirrendavariávelconsolidadonov[[#This Row],[ATUAL]])</f>
        <v>0</v>
      </c>
      <c r="AG137" s="91">
        <f>SUMIFS(tabela_registros[VALOR],tabela_registros[MÊS],$AE$1,tabela_registros[DIA],investirrendavariávelconsolidadonov[[#Headers],[29]],tabela_registros[REGISTRO],DADOS!$N$5,tabela_registros[TIPO],DADOS!$AB$4,tabela_registros[CATEGORIA],investirrendavariávelconsolidadonov[[#This Row],[ATUAL]])</f>
        <v>0</v>
      </c>
      <c r="AH137" s="91">
        <f>SUMIFS(tabela_registros[VALOR],tabela_registros[MÊS],$AE$1,tabela_registros[DIA],investirrendavariávelconsolidadonov[[#Headers],[30]],tabela_registros[REGISTRO],DADOS!$N$5,tabela_registros[TIPO],DADOS!$AB$4,tabela_registros[CATEGORIA],investirrendavariávelconsolidadonov[[#This Row],[ATUAL]])</f>
        <v>0</v>
      </c>
      <c r="AI137" s="101">
        <f>SUMIFS(tabela_registros[VALOR],tabela_registros[MÊS],$AE$1,tabela_registros[DIA],investirrendavariávelconsolidadonov[[#Headers],[31]],tabela_registros[REGISTRO],DADOS!$N$5,tabela_registros[TIPO],DADOS!$AB$4,tabela_registros[CATEGORIA],investirrendavariávelconsolidadonov[[#This Row],[ATUAL]])</f>
        <v>0</v>
      </c>
      <c r="AJ137" s="97">
        <f>SUM(investirrendavariávelconsolidadonov[[#This Row],[1]:[31]])</f>
        <v>0</v>
      </c>
      <c r="AK137" s="25"/>
    </row>
    <row r="138" spans="2:37" ht="19.5" customHeight="1" thickTop="1" thickBot="1" x14ac:dyDescent="0.3">
      <c r="B138" s="28"/>
      <c r="C138" s="27" t="str">
        <f>DADOS!$AF$9</f>
        <v>📝 EXTERIOR</v>
      </c>
      <c r="D138" s="26" t="str">
        <f>IF(investirrendavariávelconsolidadonov[[#This Row],[TOTAL (R$)]]=0,"",IF(OR(investirrendavariávelconsolidadonov[[#This Row],[TOTAL (R$)]]=LARGE($AJ$132:$AJ$141,1),investirrendavariávelconsolidadonov[[#This Row],[TOTAL (R$)]]=LARGE($AJ$132:$AJ$141,2)),DADOS!$I$10,""))</f>
        <v/>
      </c>
      <c r="E138" s="96">
        <f>SUMIFS(tabela_registros[VALOR],tabela_registros[MÊS],$AE$1,tabela_registros[DIA],investirrendavariávelconsolidadonov[[#Headers],[1]],tabela_registros[REGISTRO],DADOS!$N$5,tabela_registros[TIPO],DADOS!$AB$4,tabela_registros[CATEGORIA],investirrendavariávelconsolidadonov[[#This Row],[ATUAL]])</f>
        <v>0</v>
      </c>
      <c r="F138" s="91">
        <f>SUMIFS(tabela_registros[VALOR],tabela_registros[MÊS],$AE$1,tabela_registros[DIA],investirrendavariávelconsolidadonov[[#Headers],[2]],tabela_registros[REGISTRO],DADOS!$N$5,tabela_registros[TIPO],DADOS!$AB$4,tabela_registros[CATEGORIA],investirrendavariávelconsolidadonov[[#This Row],[ATUAL]])</f>
        <v>0</v>
      </c>
      <c r="G138" s="91">
        <f>SUMIFS(tabela_registros[VALOR],tabela_registros[MÊS],$AE$1,tabela_registros[DIA],investirrendavariávelconsolidadonov[[#Headers],[3]],tabela_registros[REGISTRO],DADOS!$N$5,tabela_registros[TIPO],DADOS!$AB$4,tabela_registros[CATEGORIA],investirrendavariávelconsolidadonov[[#This Row],[ATUAL]])</f>
        <v>0</v>
      </c>
      <c r="H138" s="91">
        <f>SUMIFS(tabela_registros[VALOR],tabela_registros[MÊS],$AE$1,tabela_registros[DIA],investirrendavariávelconsolidadonov[[#Headers],[4]],tabela_registros[REGISTRO],DADOS!$N$5,tabela_registros[TIPO],DADOS!$AB$4,tabela_registros[CATEGORIA],investirrendavariávelconsolidadonov[[#This Row],[ATUAL]])</f>
        <v>0</v>
      </c>
      <c r="I138" s="91">
        <f>SUMIFS(tabela_registros[VALOR],tabela_registros[MÊS],$AE$1,tabela_registros[DIA],investirrendavariávelconsolidadonov[[#Headers],[5]],tabela_registros[REGISTRO],DADOS!$N$5,tabela_registros[TIPO],DADOS!$AB$4,tabela_registros[CATEGORIA],investirrendavariávelconsolidadonov[[#This Row],[ATUAL]])</f>
        <v>0</v>
      </c>
      <c r="J138" s="91">
        <f>SUMIFS(tabela_registros[VALOR],tabela_registros[MÊS],$AE$1,tabela_registros[DIA],investirrendavariávelconsolidadonov[[#Headers],[6]],tabela_registros[REGISTRO],DADOS!$N$5,tabela_registros[TIPO],DADOS!$AB$4,tabela_registros[CATEGORIA],investirrendavariávelconsolidadonov[[#This Row],[ATUAL]])</f>
        <v>0</v>
      </c>
      <c r="K138" s="91">
        <f>SUMIFS(tabela_registros[VALOR],tabela_registros[MÊS],$AE$1,tabela_registros[DIA],investirrendavariávelconsolidadonov[[#Headers],[7]],tabela_registros[REGISTRO],DADOS!$N$5,tabela_registros[TIPO],DADOS!$AB$4,tabela_registros[CATEGORIA],investirrendavariávelconsolidadonov[[#This Row],[ATUAL]])</f>
        <v>0</v>
      </c>
      <c r="L138" s="91">
        <f>SUMIFS(tabela_registros[VALOR],tabela_registros[MÊS],$AE$1,tabela_registros[DIA],investirrendavariávelconsolidadonov[[#Headers],[8]],tabela_registros[REGISTRO],DADOS!$N$5,tabela_registros[TIPO],DADOS!$AB$4,tabela_registros[CATEGORIA],investirrendavariávelconsolidadonov[[#This Row],[ATUAL]])</f>
        <v>0</v>
      </c>
      <c r="M138" s="91">
        <f>SUMIFS(tabela_registros[VALOR],tabela_registros[MÊS],$AE$1,tabela_registros[DIA],investirrendavariávelconsolidadonov[[#Headers],[9]],tabela_registros[REGISTRO],DADOS!$N$5,tabela_registros[TIPO],DADOS!$AB$4,tabela_registros[CATEGORIA],investirrendavariávelconsolidadonov[[#This Row],[ATUAL]])</f>
        <v>0</v>
      </c>
      <c r="N138" s="91">
        <f>SUMIFS(tabela_registros[VALOR],tabela_registros[MÊS],$AE$1,tabela_registros[DIA],investirrendavariávelconsolidadonov[[#Headers],[10]],tabela_registros[REGISTRO],DADOS!$N$5,tabela_registros[TIPO],DADOS!$AB$4,tabela_registros[CATEGORIA],investirrendavariávelconsolidadonov[[#This Row],[ATUAL]])</f>
        <v>0</v>
      </c>
      <c r="O138" s="91">
        <f>SUMIFS(tabela_registros[VALOR],tabela_registros[MÊS],$AE$1,tabela_registros[DIA],investirrendavariávelconsolidadonov[[#Headers],[11]],tabela_registros[REGISTRO],DADOS!$N$5,tabela_registros[TIPO],DADOS!$AB$4,tabela_registros[CATEGORIA],investirrendavariávelconsolidadonov[[#This Row],[ATUAL]])</f>
        <v>0</v>
      </c>
      <c r="P138" s="91">
        <f>SUMIFS(tabela_registros[VALOR],tabela_registros[MÊS],$AE$1,tabela_registros[DIA],investirrendavariávelconsolidadonov[[#Headers],[12]],tabela_registros[REGISTRO],DADOS!$N$5,tabela_registros[TIPO],DADOS!$AB$4,tabela_registros[CATEGORIA],investirrendavariávelconsolidadonov[[#This Row],[ATUAL]])</f>
        <v>0</v>
      </c>
      <c r="Q138" s="91">
        <f>SUMIFS(tabela_registros[VALOR],tabela_registros[MÊS],$AE$1,tabela_registros[DIA],investirrendavariávelconsolidadonov[[#Headers],[13]],tabela_registros[REGISTRO],DADOS!$N$5,tabela_registros[TIPO],DADOS!$AB$4,tabela_registros[CATEGORIA],investirrendavariávelconsolidadonov[[#This Row],[ATUAL]])</f>
        <v>0</v>
      </c>
      <c r="R138" s="91">
        <f>SUMIFS(tabela_registros[VALOR],tabela_registros[MÊS],$AE$1,tabela_registros[DIA],investirrendavariávelconsolidadonov[[#Headers],[14]],tabela_registros[REGISTRO],DADOS!$N$5,tabela_registros[TIPO],DADOS!$AB$4,tabela_registros[CATEGORIA],investirrendavariávelconsolidadonov[[#This Row],[ATUAL]])</f>
        <v>0</v>
      </c>
      <c r="S138" s="91">
        <f>SUMIFS(tabela_registros[VALOR],tabela_registros[MÊS],$AE$1,tabela_registros[DIA],investirrendavariávelconsolidadonov[[#Headers],[15]],tabela_registros[REGISTRO],DADOS!$N$5,tabela_registros[TIPO],DADOS!$AB$4,tabela_registros[CATEGORIA],investirrendavariávelconsolidadonov[[#This Row],[ATUAL]])</f>
        <v>0</v>
      </c>
      <c r="T138" s="91">
        <f>SUMIFS(tabela_registros[VALOR],tabela_registros[MÊS],$AE$1,tabela_registros[DIA],investirrendavariávelconsolidadonov[[#Headers],[16]],tabela_registros[REGISTRO],DADOS!$N$5,tabela_registros[TIPO],DADOS!$AB$4,tabela_registros[CATEGORIA],investirrendavariávelconsolidadonov[[#This Row],[ATUAL]])</f>
        <v>0</v>
      </c>
      <c r="U138" s="91">
        <f>SUMIFS(tabela_registros[VALOR],tabela_registros[MÊS],$AE$1,tabela_registros[DIA],investirrendavariávelconsolidadonov[[#Headers],[17]],tabela_registros[REGISTRO],DADOS!$N$5,tabela_registros[TIPO],DADOS!$AB$4,tabela_registros[CATEGORIA],investirrendavariávelconsolidadonov[[#This Row],[ATUAL]])</f>
        <v>0</v>
      </c>
      <c r="V138" s="91">
        <f>SUMIFS(tabela_registros[VALOR],tabela_registros[MÊS],$AE$1,tabela_registros[DIA],investirrendavariávelconsolidadonov[[#Headers],[18]],tabela_registros[REGISTRO],DADOS!$N$5,tabela_registros[TIPO],DADOS!$AB$4,tabela_registros[CATEGORIA],investirrendavariávelconsolidadonov[[#This Row],[ATUAL]])</f>
        <v>0</v>
      </c>
      <c r="W138" s="91">
        <f>SUMIFS(tabela_registros[VALOR],tabela_registros[MÊS],$AE$1,tabela_registros[DIA],investirrendavariávelconsolidadonov[[#Headers],[19]],tabela_registros[REGISTRO],DADOS!$N$5,tabela_registros[TIPO],DADOS!$AB$4,tabela_registros[CATEGORIA],investirrendavariávelconsolidadonov[[#This Row],[ATUAL]])</f>
        <v>0</v>
      </c>
      <c r="X138" s="91">
        <f>SUMIFS(tabela_registros[VALOR],tabela_registros[MÊS],$AE$1,tabela_registros[DIA],investirrendavariávelconsolidadonov[[#Headers],[20]],tabela_registros[REGISTRO],DADOS!$N$5,tabela_registros[TIPO],DADOS!$AB$4,tabela_registros[CATEGORIA],investirrendavariávelconsolidadonov[[#This Row],[ATUAL]])</f>
        <v>0</v>
      </c>
      <c r="Y138" s="91">
        <f>SUMIFS(tabela_registros[VALOR],tabela_registros[MÊS],$AE$1,tabela_registros[DIA],investirrendavariávelconsolidadonov[[#Headers],[21]],tabela_registros[REGISTRO],DADOS!$N$5,tabela_registros[TIPO],DADOS!$AB$4,tabela_registros[CATEGORIA],investirrendavariávelconsolidadonov[[#This Row],[ATUAL]])</f>
        <v>0</v>
      </c>
      <c r="Z138" s="91">
        <f>SUMIFS(tabela_registros[VALOR],tabela_registros[MÊS],$AE$1,tabela_registros[DIA],investirrendavariávelconsolidadonov[[#Headers],[22]],tabela_registros[REGISTRO],DADOS!$N$5,tabela_registros[TIPO],DADOS!$AB$4,tabela_registros[CATEGORIA],investirrendavariávelconsolidadonov[[#This Row],[ATUAL]])</f>
        <v>0</v>
      </c>
      <c r="AA138" s="91">
        <f>SUMIFS(tabela_registros[VALOR],tabela_registros[MÊS],$AE$1,tabela_registros[DIA],investirrendavariávelconsolidadonov[[#Headers],[23]],tabela_registros[REGISTRO],DADOS!$N$5,tabela_registros[TIPO],DADOS!$AB$4,tabela_registros[CATEGORIA],investirrendavariávelconsolidadonov[[#This Row],[ATUAL]])</f>
        <v>0</v>
      </c>
      <c r="AB138" s="91">
        <f>SUMIFS(tabela_registros[VALOR],tabela_registros[MÊS],$AE$1,tabela_registros[DIA],investirrendavariávelconsolidadonov[[#Headers],[24]],tabela_registros[REGISTRO],DADOS!$N$5,tabela_registros[TIPO],DADOS!$AB$4,tabela_registros[CATEGORIA],investirrendavariávelconsolidadonov[[#This Row],[ATUAL]])</f>
        <v>0</v>
      </c>
      <c r="AC138" s="91">
        <f>SUMIFS(tabela_registros[VALOR],tabela_registros[MÊS],$AE$1,tabela_registros[DIA],investirrendavariávelconsolidadonov[[#Headers],[25]],tabela_registros[REGISTRO],DADOS!$N$5,tabela_registros[TIPO],DADOS!$AB$4,tabela_registros[CATEGORIA],investirrendavariávelconsolidadonov[[#This Row],[ATUAL]])</f>
        <v>0</v>
      </c>
      <c r="AD138" s="91">
        <f>SUMIFS(tabela_registros[VALOR],tabela_registros[MÊS],$AE$1,tabela_registros[DIA],investirrendavariávelconsolidadonov[[#Headers],[26]],tabela_registros[REGISTRO],DADOS!$N$5,tabela_registros[TIPO],DADOS!$AB$4,tabela_registros[CATEGORIA],investirrendavariávelconsolidadonov[[#This Row],[ATUAL]])</f>
        <v>0</v>
      </c>
      <c r="AE138" s="91">
        <f>SUMIFS(tabela_registros[VALOR],tabela_registros[MÊS],$AE$1,tabela_registros[DIA],investirrendavariávelconsolidadonov[[#Headers],[27]],tabela_registros[REGISTRO],DADOS!$N$5,tabela_registros[TIPO],DADOS!$AB$4,tabela_registros[CATEGORIA],investirrendavariávelconsolidadonov[[#This Row],[ATUAL]])</f>
        <v>0</v>
      </c>
      <c r="AF138" s="91">
        <f>SUMIFS(tabela_registros[VALOR],tabela_registros[MÊS],$AE$1,tabela_registros[DIA],investirrendavariávelconsolidadonov[[#Headers],[28]],tabela_registros[REGISTRO],DADOS!$N$5,tabela_registros[TIPO],DADOS!$AB$4,tabela_registros[CATEGORIA],investirrendavariávelconsolidadonov[[#This Row],[ATUAL]])</f>
        <v>0</v>
      </c>
      <c r="AG138" s="91">
        <f>SUMIFS(tabela_registros[VALOR],tabela_registros[MÊS],$AE$1,tabela_registros[DIA],investirrendavariávelconsolidadonov[[#Headers],[29]],tabela_registros[REGISTRO],DADOS!$N$5,tabela_registros[TIPO],DADOS!$AB$4,tabela_registros[CATEGORIA],investirrendavariávelconsolidadonov[[#This Row],[ATUAL]])</f>
        <v>0</v>
      </c>
      <c r="AH138" s="91">
        <f>SUMIFS(tabela_registros[VALOR],tabela_registros[MÊS],$AE$1,tabela_registros[DIA],investirrendavariávelconsolidadonov[[#Headers],[30]],tabela_registros[REGISTRO],DADOS!$N$5,tabela_registros[TIPO],DADOS!$AB$4,tabela_registros[CATEGORIA],investirrendavariávelconsolidadonov[[#This Row],[ATUAL]])</f>
        <v>0</v>
      </c>
      <c r="AI138" s="101">
        <f>SUMIFS(tabela_registros[VALOR],tabela_registros[MÊS],$AE$1,tabela_registros[DIA],investirrendavariávelconsolidadonov[[#Headers],[31]],tabela_registros[REGISTRO],DADOS!$N$5,tabela_registros[TIPO],DADOS!$AB$4,tabela_registros[CATEGORIA],investirrendavariávelconsolidadonov[[#This Row],[ATUAL]])</f>
        <v>0</v>
      </c>
      <c r="AJ138" s="97">
        <f>SUM(investirrendavariávelconsolidadonov[[#This Row],[1]:[31]])</f>
        <v>0</v>
      </c>
      <c r="AK138" s="25"/>
    </row>
    <row r="139" spans="2:37" ht="19.5" customHeight="1" thickTop="1" thickBot="1" x14ac:dyDescent="0.3">
      <c r="B139" s="28"/>
      <c r="C139" s="27" t="str">
        <f>DADOS!$AF$10</f>
        <v>📝 FII</v>
      </c>
      <c r="D139" s="26" t="str">
        <f>IF(investirrendavariávelconsolidadonov[[#This Row],[TOTAL (R$)]]=0,"",IF(OR(investirrendavariávelconsolidadonov[[#This Row],[TOTAL (R$)]]=LARGE($AJ$132:$AJ$141,1),investirrendavariávelconsolidadonov[[#This Row],[TOTAL (R$)]]=LARGE($AJ$132:$AJ$141,2)),DADOS!$I$10,""))</f>
        <v/>
      </c>
      <c r="E139" s="96">
        <f>SUMIFS(tabela_registros[VALOR],tabela_registros[MÊS],$AE$1,tabela_registros[DIA],investirrendavariávelconsolidadonov[[#Headers],[1]],tabela_registros[REGISTRO],DADOS!$N$5,tabela_registros[TIPO],DADOS!$AB$4,tabela_registros[CATEGORIA],investirrendavariávelconsolidadonov[[#This Row],[ATUAL]])</f>
        <v>0</v>
      </c>
      <c r="F139" s="91">
        <f>SUMIFS(tabela_registros[VALOR],tabela_registros[MÊS],$AE$1,tabela_registros[DIA],investirrendavariávelconsolidadonov[[#Headers],[2]],tabela_registros[REGISTRO],DADOS!$N$5,tabela_registros[TIPO],DADOS!$AB$4,tabela_registros[CATEGORIA],investirrendavariávelconsolidadonov[[#This Row],[ATUAL]])</f>
        <v>0</v>
      </c>
      <c r="G139" s="91">
        <f>SUMIFS(tabela_registros[VALOR],tabela_registros[MÊS],$AE$1,tabela_registros[DIA],investirrendavariávelconsolidadonov[[#Headers],[3]],tabela_registros[REGISTRO],DADOS!$N$5,tabela_registros[TIPO],DADOS!$AB$4,tabela_registros[CATEGORIA],investirrendavariávelconsolidadonov[[#This Row],[ATUAL]])</f>
        <v>0</v>
      </c>
      <c r="H139" s="91">
        <f>SUMIFS(tabela_registros[VALOR],tabela_registros[MÊS],$AE$1,tabela_registros[DIA],investirrendavariávelconsolidadonov[[#Headers],[4]],tabela_registros[REGISTRO],DADOS!$N$5,tabela_registros[TIPO],DADOS!$AB$4,tabela_registros[CATEGORIA],investirrendavariávelconsolidadonov[[#This Row],[ATUAL]])</f>
        <v>0</v>
      </c>
      <c r="I139" s="91">
        <f>SUMIFS(tabela_registros[VALOR],tabela_registros[MÊS],$AE$1,tabela_registros[DIA],investirrendavariávelconsolidadonov[[#Headers],[5]],tabela_registros[REGISTRO],DADOS!$N$5,tabela_registros[TIPO],DADOS!$AB$4,tabela_registros[CATEGORIA],investirrendavariávelconsolidadonov[[#This Row],[ATUAL]])</f>
        <v>0</v>
      </c>
      <c r="J139" s="91">
        <f>SUMIFS(tabela_registros[VALOR],tabela_registros[MÊS],$AE$1,tabela_registros[DIA],investirrendavariávelconsolidadonov[[#Headers],[6]],tabela_registros[REGISTRO],DADOS!$N$5,tabela_registros[TIPO],DADOS!$AB$4,tabela_registros[CATEGORIA],investirrendavariávelconsolidadonov[[#This Row],[ATUAL]])</f>
        <v>0</v>
      </c>
      <c r="K139" s="91">
        <f>SUMIFS(tabela_registros[VALOR],tabela_registros[MÊS],$AE$1,tabela_registros[DIA],investirrendavariávelconsolidadonov[[#Headers],[7]],tabela_registros[REGISTRO],DADOS!$N$5,tabela_registros[TIPO],DADOS!$AB$4,tabela_registros[CATEGORIA],investirrendavariávelconsolidadonov[[#This Row],[ATUAL]])</f>
        <v>0</v>
      </c>
      <c r="L139" s="91">
        <f>SUMIFS(tabela_registros[VALOR],tabela_registros[MÊS],$AE$1,tabela_registros[DIA],investirrendavariávelconsolidadonov[[#Headers],[8]],tabela_registros[REGISTRO],DADOS!$N$5,tabela_registros[TIPO],DADOS!$AB$4,tabela_registros[CATEGORIA],investirrendavariávelconsolidadonov[[#This Row],[ATUAL]])</f>
        <v>0</v>
      </c>
      <c r="M139" s="91">
        <f>SUMIFS(tabela_registros[VALOR],tabela_registros[MÊS],$AE$1,tabela_registros[DIA],investirrendavariávelconsolidadonov[[#Headers],[9]],tabela_registros[REGISTRO],DADOS!$N$5,tabela_registros[TIPO],DADOS!$AB$4,tabela_registros[CATEGORIA],investirrendavariávelconsolidadonov[[#This Row],[ATUAL]])</f>
        <v>0</v>
      </c>
      <c r="N139" s="91">
        <f>SUMIFS(tabela_registros[VALOR],tabela_registros[MÊS],$AE$1,tabela_registros[DIA],investirrendavariávelconsolidadonov[[#Headers],[10]],tabela_registros[REGISTRO],DADOS!$N$5,tabela_registros[TIPO],DADOS!$AB$4,tabela_registros[CATEGORIA],investirrendavariávelconsolidadonov[[#This Row],[ATUAL]])</f>
        <v>0</v>
      </c>
      <c r="O139" s="91">
        <f>SUMIFS(tabela_registros[VALOR],tabela_registros[MÊS],$AE$1,tabela_registros[DIA],investirrendavariávelconsolidadonov[[#Headers],[11]],tabela_registros[REGISTRO],DADOS!$N$5,tabela_registros[TIPO],DADOS!$AB$4,tabela_registros[CATEGORIA],investirrendavariávelconsolidadonov[[#This Row],[ATUAL]])</f>
        <v>0</v>
      </c>
      <c r="P139" s="91">
        <f>SUMIFS(tabela_registros[VALOR],tabela_registros[MÊS],$AE$1,tabela_registros[DIA],investirrendavariávelconsolidadonov[[#Headers],[12]],tabela_registros[REGISTRO],DADOS!$N$5,tabela_registros[TIPO],DADOS!$AB$4,tabela_registros[CATEGORIA],investirrendavariávelconsolidadonov[[#This Row],[ATUAL]])</f>
        <v>0</v>
      </c>
      <c r="Q139" s="91">
        <f>SUMIFS(tabela_registros[VALOR],tabela_registros[MÊS],$AE$1,tabela_registros[DIA],investirrendavariávelconsolidadonov[[#Headers],[13]],tabela_registros[REGISTRO],DADOS!$N$5,tabela_registros[TIPO],DADOS!$AB$4,tabela_registros[CATEGORIA],investirrendavariávelconsolidadonov[[#This Row],[ATUAL]])</f>
        <v>0</v>
      </c>
      <c r="R139" s="91">
        <f>SUMIFS(tabela_registros[VALOR],tabela_registros[MÊS],$AE$1,tabela_registros[DIA],investirrendavariávelconsolidadonov[[#Headers],[14]],tabela_registros[REGISTRO],DADOS!$N$5,tabela_registros[TIPO],DADOS!$AB$4,tabela_registros[CATEGORIA],investirrendavariávelconsolidadonov[[#This Row],[ATUAL]])</f>
        <v>0</v>
      </c>
      <c r="S139" s="91">
        <f>SUMIFS(tabela_registros[VALOR],tabela_registros[MÊS],$AE$1,tabela_registros[DIA],investirrendavariávelconsolidadonov[[#Headers],[15]],tabela_registros[REGISTRO],DADOS!$N$5,tabela_registros[TIPO],DADOS!$AB$4,tabela_registros[CATEGORIA],investirrendavariávelconsolidadonov[[#This Row],[ATUAL]])</f>
        <v>0</v>
      </c>
      <c r="T139" s="91">
        <f>SUMIFS(tabela_registros[VALOR],tabela_registros[MÊS],$AE$1,tabela_registros[DIA],investirrendavariávelconsolidadonov[[#Headers],[16]],tabela_registros[REGISTRO],DADOS!$N$5,tabela_registros[TIPO],DADOS!$AB$4,tabela_registros[CATEGORIA],investirrendavariávelconsolidadonov[[#This Row],[ATUAL]])</f>
        <v>0</v>
      </c>
      <c r="U139" s="91">
        <f>SUMIFS(tabela_registros[VALOR],tabela_registros[MÊS],$AE$1,tabela_registros[DIA],investirrendavariávelconsolidadonov[[#Headers],[17]],tabela_registros[REGISTRO],DADOS!$N$5,tabela_registros[TIPO],DADOS!$AB$4,tabela_registros[CATEGORIA],investirrendavariávelconsolidadonov[[#This Row],[ATUAL]])</f>
        <v>0</v>
      </c>
      <c r="V139" s="91">
        <f>SUMIFS(tabela_registros[VALOR],tabela_registros[MÊS],$AE$1,tabela_registros[DIA],investirrendavariávelconsolidadonov[[#Headers],[18]],tabela_registros[REGISTRO],DADOS!$N$5,tabela_registros[TIPO],DADOS!$AB$4,tabela_registros[CATEGORIA],investirrendavariávelconsolidadonov[[#This Row],[ATUAL]])</f>
        <v>0</v>
      </c>
      <c r="W139" s="91">
        <f>SUMIFS(tabela_registros[VALOR],tabela_registros[MÊS],$AE$1,tabela_registros[DIA],investirrendavariávelconsolidadonov[[#Headers],[19]],tabela_registros[REGISTRO],DADOS!$N$5,tabela_registros[TIPO],DADOS!$AB$4,tabela_registros[CATEGORIA],investirrendavariávelconsolidadonov[[#This Row],[ATUAL]])</f>
        <v>0</v>
      </c>
      <c r="X139" s="91">
        <f>SUMIFS(tabela_registros[VALOR],tabela_registros[MÊS],$AE$1,tabela_registros[DIA],investirrendavariávelconsolidadonov[[#Headers],[20]],tabela_registros[REGISTRO],DADOS!$N$5,tabela_registros[TIPO],DADOS!$AB$4,tabela_registros[CATEGORIA],investirrendavariávelconsolidadonov[[#This Row],[ATUAL]])</f>
        <v>0</v>
      </c>
      <c r="Y139" s="91">
        <f>SUMIFS(tabela_registros[VALOR],tabela_registros[MÊS],$AE$1,tabela_registros[DIA],investirrendavariávelconsolidadonov[[#Headers],[21]],tabela_registros[REGISTRO],DADOS!$N$5,tabela_registros[TIPO],DADOS!$AB$4,tabela_registros[CATEGORIA],investirrendavariávelconsolidadonov[[#This Row],[ATUAL]])</f>
        <v>0</v>
      </c>
      <c r="Z139" s="91">
        <f>SUMIFS(tabela_registros[VALOR],tabela_registros[MÊS],$AE$1,tabela_registros[DIA],investirrendavariávelconsolidadonov[[#Headers],[22]],tabela_registros[REGISTRO],DADOS!$N$5,tabela_registros[TIPO],DADOS!$AB$4,tabela_registros[CATEGORIA],investirrendavariávelconsolidadonov[[#This Row],[ATUAL]])</f>
        <v>0</v>
      </c>
      <c r="AA139" s="91">
        <f>SUMIFS(tabela_registros[VALOR],tabela_registros[MÊS],$AE$1,tabela_registros[DIA],investirrendavariávelconsolidadonov[[#Headers],[23]],tabela_registros[REGISTRO],DADOS!$N$5,tabela_registros[TIPO],DADOS!$AB$4,tabela_registros[CATEGORIA],investirrendavariávelconsolidadonov[[#This Row],[ATUAL]])</f>
        <v>0</v>
      </c>
      <c r="AB139" s="91">
        <f>SUMIFS(tabela_registros[VALOR],tabela_registros[MÊS],$AE$1,tabela_registros[DIA],investirrendavariávelconsolidadonov[[#Headers],[24]],tabela_registros[REGISTRO],DADOS!$N$5,tabela_registros[TIPO],DADOS!$AB$4,tabela_registros[CATEGORIA],investirrendavariávelconsolidadonov[[#This Row],[ATUAL]])</f>
        <v>0</v>
      </c>
      <c r="AC139" s="91">
        <f>SUMIFS(tabela_registros[VALOR],tabela_registros[MÊS],$AE$1,tabela_registros[DIA],investirrendavariávelconsolidadonov[[#Headers],[25]],tabela_registros[REGISTRO],DADOS!$N$5,tabela_registros[TIPO],DADOS!$AB$4,tabela_registros[CATEGORIA],investirrendavariávelconsolidadonov[[#This Row],[ATUAL]])</f>
        <v>0</v>
      </c>
      <c r="AD139" s="91">
        <f>SUMIFS(tabela_registros[VALOR],tabela_registros[MÊS],$AE$1,tabela_registros[DIA],investirrendavariávelconsolidadonov[[#Headers],[26]],tabela_registros[REGISTRO],DADOS!$N$5,tabela_registros[TIPO],DADOS!$AB$4,tabela_registros[CATEGORIA],investirrendavariávelconsolidadonov[[#This Row],[ATUAL]])</f>
        <v>0</v>
      </c>
      <c r="AE139" s="91">
        <f>SUMIFS(tabela_registros[VALOR],tabela_registros[MÊS],$AE$1,tabela_registros[DIA],investirrendavariávelconsolidadonov[[#Headers],[27]],tabela_registros[REGISTRO],DADOS!$N$5,tabela_registros[TIPO],DADOS!$AB$4,tabela_registros[CATEGORIA],investirrendavariávelconsolidadonov[[#This Row],[ATUAL]])</f>
        <v>0</v>
      </c>
      <c r="AF139" s="91">
        <f>SUMIFS(tabela_registros[VALOR],tabela_registros[MÊS],$AE$1,tabela_registros[DIA],investirrendavariávelconsolidadonov[[#Headers],[28]],tabela_registros[REGISTRO],DADOS!$N$5,tabela_registros[TIPO],DADOS!$AB$4,tabela_registros[CATEGORIA],investirrendavariávelconsolidadonov[[#This Row],[ATUAL]])</f>
        <v>0</v>
      </c>
      <c r="AG139" s="91">
        <f>SUMIFS(tabela_registros[VALOR],tabela_registros[MÊS],$AE$1,tabela_registros[DIA],investirrendavariávelconsolidadonov[[#Headers],[29]],tabela_registros[REGISTRO],DADOS!$N$5,tabela_registros[TIPO],DADOS!$AB$4,tabela_registros[CATEGORIA],investirrendavariávelconsolidadonov[[#This Row],[ATUAL]])</f>
        <v>0</v>
      </c>
      <c r="AH139" s="91">
        <f>SUMIFS(tabela_registros[VALOR],tabela_registros[MÊS],$AE$1,tabela_registros[DIA],investirrendavariávelconsolidadonov[[#Headers],[30]],tabela_registros[REGISTRO],DADOS!$N$5,tabela_registros[TIPO],DADOS!$AB$4,tabela_registros[CATEGORIA],investirrendavariávelconsolidadonov[[#This Row],[ATUAL]])</f>
        <v>0</v>
      </c>
      <c r="AI139" s="101">
        <f>SUMIFS(tabela_registros[VALOR],tabela_registros[MÊS],$AE$1,tabela_registros[DIA],investirrendavariávelconsolidadonov[[#Headers],[31]],tabela_registros[REGISTRO],DADOS!$N$5,tabela_registros[TIPO],DADOS!$AB$4,tabela_registros[CATEGORIA],investirrendavariávelconsolidadonov[[#This Row],[ATUAL]])</f>
        <v>0</v>
      </c>
      <c r="AJ139" s="97">
        <f>SUM(investirrendavariávelconsolidadonov[[#This Row],[1]:[31]])</f>
        <v>0</v>
      </c>
      <c r="AK139" s="25"/>
    </row>
    <row r="140" spans="2:37" ht="19.5" customHeight="1" thickTop="1" thickBot="1" x14ac:dyDescent="0.3">
      <c r="B140" s="28"/>
      <c r="C140" s="27" t="str">
        <f>DADOS!$AF$11</f>
        <v>📝 MOEDA</v>
      </c>
      <c r="D140" s="26" t="str">
        <f>IF(investirrendavariávelconsolidadonov[[#This Row],[TOTAL (R$)]]=0,"",IF(OR(investirrendavariávelconsolidadonov[[#This Row],[TOTAL (R$)]]=LARGE($AJ$132:$AJ$141,1),investirrendavariávelconsolidadonov[[#This Row],[TOTAL (R$)]]=LARGE($AJ$132:$AJ$141,2)),DADOS!$I$10,""))</f>
        <v/>
      </c>
      <c r="E140" s="96">
        <f>SUMIFS(tabela_registros[VALOR],tabela_registros[MÊS],$AE$1,tabela_registros[DIA],investirrendavariávelconsolidadonov[[#Headers],[1]],tabela_registros[REGISTRO],DADOS!$N$5,tabela_registros[TIPO],DADOS!$AB$4,tabela_registros[CATEGORIA],investirrendavariávelconsolidadonov[[#This Row],[ATUAL]])</f>
        <v>0</v>
      </c>
      <c r="F140" s="91">
        <f>SUMIFS(tabela_registros[VALOR],tabela_registros[MÊS],$AE$1,tabela_registros[DIA],investirrendavariávelconsolidadonov[[#Headers],[2]],tabela_registros[REGISTRO],DADOS!$N$5,tabela_registros[TIPO],DADOS!$AB$4,tabela_registros[CATEGORIA],investirrendavariávelconsolidadonov[[#This Row],[ATUAL]])</f>
        <v>0</v>
      </c>
      <c r="G140" s="91">
        <f>SUMIFS(tabela_registros[VALOR],tabela_registros[MÊS],$AE$1,tabela_registros[DIA],investirrendavariávelconsolidadonov[[#Headers],[3]],tabela_registros[REGISTRO],DADOS!$N$5,tabela_registros[TIPO],DADOS!$AB$4,tabela_registros[CATEGORIA],investirrendavariávelconsolidadonov[[#This Row],[ATUAL]])</f>
        <v>0</v>
      </c>
      <c r="H140" s="91">
        <f>SUMIFS(tabela_registros[VALOR],tabela_registros[MÊS],$AE$1,tabela_registros[DIA],investirrendavariávelconsolidadonov[[#Headers],[4]],tabela_registros[REGISTRO],DADOS!$N$5,tabela_registros[TIPO],DADOS!$AB$4,tabela_registros[CATEGORIA],investirrendavariávelconsolidadonov[[#This Row],[ATUAL]])</f>
        <v>0</v>
      </c>
      <c r="I140" s="91">
        <f>SUMIFS(tabela_registros[VALOR],tabela_registros[MÊS],$AE$1,tabela_registros[DIA],investirrendavariávelconsolidadonov[[#Headers],[5]],tabela_registros[REGISTRO],DADOS!$N$5,tabela_registros[TIPO],DADOS!$AB$4,tabela_registros[CATEGORIA],investirrendavariávelconsolidadonov[[#This Row],[ATUAL]])</f>
        <v>0</v>
      </c>
      <c r="J140" s="91">
        <f>SUMIFS(tabela_registros[VALOR],tabela_registros[MÊS],$AE$1,tabela_registros[DIA],investirrendavariávelconsolidadonov[[#Headers],[6]],tabela_registros[REGISTRO],DADOS!$N$5,tabela_registros[TIPO],DADOS!$AB$4,tabela_registros[CATEGORIA],investirrendavariávelconsolidadonov[[#This Row],[ATUAL]])</f>
        <v>0</v>
      </c>
      <c r="K140" s="91">
        <f>SUMIFS(tabela_registros[VALOR],tabela_registros[MÊS],$AE$1,tabela_registros[DIA],investirrendavariávelconsolidadonov[[#Headers],[7]],tabela_registros[REGISTRO],DADOS!$N$5,tabela_registros[TIPO],DADOS!$AB$4,tabela_registros[CATEGORIA],investirrendavariávelconsolidadonov[[#This Row],[ATUAL]])</f>
        <v>0</v>
      </c>
      <c r="L140" s="91">
        <f>SUMIFS(tabela_registros[VALOR],tabela_registros[MÊS],$AE$1,tabela_registros[DIA],investirrendavariávelconsolidadonov[[#Headers],[8]],tabela_registros[REGISTRO],DADOS!$N$5,tabela_registros[TIPO],DADOS!$AB$4,tabela_registros[CATEGORIA],investirrendavariávelconsolidadonov[[#This Row],[ATUAL]])</f>
        <v>0</v>
      </c>
      <c r="M140" s="91">
        <f>SUMIFS(tabela_registros[VALOR],tabela_registros[MÊS],$AE$1,tabela_registros[DIA],investirrendavariávelconsolidadonov[[#Headers],[9]],tabela_registros[REGISTRO],DADOS!$N$5,tabela_registros[TIPO],DADOS!$AB$4,tabela_registros[CATEGORIA],investirrendavariávelconsolidadonov[[#This Row],[ATUAL]])</f>
        <v>0</v>
      </c>
      <c r="N140" s="91">
        <f>SUMIFS(tabela_registros[VALOR],tabela_registros[MÊS],$AE$1,tabela_registros[DIA],investirrendavariávelconsolidadonov[[#Headers],[10]],tabela_registros[REGISTRO],DADOS!$N$5,tabela_registros[TIPO],DADOS!$AB$4,tabela_registros[CATEGORIA],investirrendavariávelconsolidadonov[[#This Row],[ATUAL]])</f>
        <v>0</v>
      </c>
      <c r="O140" s="91">
        <f>SUMIFS(tabela_registros[VALOR],tabela_registros[MÊS],$AE$1,tabela_registros[DIA],investirrendavariávelconsolidadonov[[#Headers],[11]],tabela_registros[REGISTRO],DADOS!$N$5,tabela_registros[TIPO],DADOS!$AB$4,tabela_registros[CATEGORIA],investirrendavariávelconsolidadonov[[#This Row],[ATUAL]])</f>
        <v>0</v>
      </c>
      <c r="P140" s="91">
        <f>SUMIFS(tabela_registros[VALOR],tabela_registros[MÊS],$AE$1,tabela_registros[DIA],investirrendavariávelconsolidadonov[[#Headers],[12]],tabela_registros[REGISTRO],DADOS!$N$5,tabela_registros[TIPO],DADOS!$AB$4,tabela_registros[CATEGORIA],investirrendavariávelconsolidadonov[[#This Row],[ATUAL]])</f>
        <v>0</v>
      </c>
      <c r="Q140" s="91">
        <f>SUMIFS(tabela_registros[VALOR],tabela_registros[MÊS],$AE$1,tabela_registros[DIA],investirrendavariávelconsolidadonov[[#Headers],[13]],tabela_registros[REGISTRO],DADOS!$N$5,tabela_registros[TIPO],DADOS!$AB$4,tabela_registros[CATEGORIA],investirrendavariávelconsolidadonov[[#This Row],[ATUAL]])</f>
        <v>0</v>
      </c>
      <c r="R140" s="91">
        <f>SUMIFS(tabela_registros[VALOR],tabela_registros[MÊS],$AE$1,tabela_registros[DIA],investirrendavariávelconsolidadonov[[#Headers],[14]],tabela_registros[REGISTRO],DADOS!$N$5,tabela_registros[TIPO],DADOS!$AB$4,tabela_registros[CATEGORIA],investirrendavariávelconsolidadonov[[#This Row],[ATUAL]])</f>
        <v>0</v>
      </c>
      <c r="S140" s="91">
        <f>SUMIFS(tabela_registros[VALOR],tabela_registros[MÊS],$AE$1,tabela_registros[DIA],investirrendavariávelconsolidadonov[[#Headers],[15]],tabela_registros[REGISTRO],DADOS!$N$5,tabela_registros[TIPO],DADOS!$AB$4,tabela_registros[CATEGORIA],investirrendavariávelconsolidadonov[[#This Row],[ATUAL]])</f>
        <v>0</v>
      </c>
      <c r="T140" s="91">
        <f>SUMIFS(tabela_registros[VALOR],tabela_registros[MÊS],$AE$1,tabela_registros[DIA],investirrendavariávelconsolidadonov[[#Headers],[16]],tabela_registros[REGISTRO],DADOS!$N$5,tabela_registros[TIPO],DADOS!$AB$4,tabela_registros[CATEGORIA],investirrendavariávelconsolidadonov[[#This Row],[ATUAL]])</f>
        <v>0</v>
      </c>
      <c r="U140" s="91">
        <f>SUMIFS(tabela_registros[VALOR],tabela_registros[MÊS],$AE$1,tabela_registros[DIA],investirrendavariávelconsolidadonov[[#Headers],[17]],tabela_registros[REGISTRO],DADOS!$N$5,tabela_registros[TIPO],DADOS!$AB$4,tabela_registros[CATEGORIA],investirrendavariávelconsolidadonov[[#This Row],[ATUAL]])</f>
        <v>0</v>
      </c>
      <c r="V140" s="91">
        <f>SUMIFS(tabela_registros[VALOR],tabela_registros[MÊS],$AE$1,tabela_registros[DIA],investirrendavariávelconsolidadonov[[#Headers],[18]],tabela_registros[REGISTRO],DADOS!$N$5,tabela_registros[TIPO],DADOS!$AB$4,tabela_registros[CATEGORIA],investirrendavariávelconsolidadonov[[#This Row],[ATUAL]])</f>
        <v>0</v>
      </c>
      <c r="W140" s="91">
        <f>SUMIFS(tabela_registros[VALOR],tabela_registros[MÊS],$AE$1,tabela_registros[DIA],investirrendavariávelconsolidadonov[[#Headers],[19]],tabela_registros[REGISTRO],DADOS!$N$5,tabela_registros[TIPO],DADOS!$AB$4,tabela_registros[CATEGORIA],investirrendavariávelconsolidadonov[[#This Row],[ATUAL]])</f>
        <v>0</v>
      </c>
      <c r="X140" s="91">
        <f>SUMIFS(tabela_registros[VALOR],tabela_registros[MÊS],$AE$1,tabela_registros[DIA],investirrendavariávelconsolidadonov[[#Headers],[20]],tabela_registros[REGISTRO],DADOS!$N$5,tabela_registros[TIPO],DADOS!$AB$4,tabela_registros[CATEGORIA],investirrendavariávelconsolidadonov[[#This Row],[ATUAL]])</f>
        <v>0</v>
      </c>
      <c r="Y140" s="91">
        <f>SUMIFS(tabela_registros[VALOR],tabela_registros[MÊS],$AE$1,tabela_registros[DIA],investirrendavariávelconsolidadonov[[#Headers],[21]],tabela_registros[REGISTRO],DADOS!$N$5,tabela_registros[TIPO],DADOS!$AB$4,tabela_registros[CATEGORIA],investirrendavariávelconsolidadonov[[#This Row],[ATUAL]])</f>
        <v>0</v>
      </c>
      <c r="Z140" s="91">
        <f>SUMIFS(tabela_registros[VALOR],tabela_registros[MÊS],$AE$1,tabela_registros[DIA],investirrendavariávelconsolidadonov[[#Headers],[22]],tabela_registros[REGISTRO],DADOS!$N$5,tabela_registros[TIPO],DADOS!$AB$4,tabela_registros[CATEGORIA],investirrendavariávelconsolidadonov[[#This Row],[ATUAL]])</f>
        <v>0</v>
      </c>
      <c r="AA140" s="91">
        <f>SUMIFS(tabela_registros[VALOR],tabela_registros[MÊS],$AE$1,tabela_registros[DIA],investirrendavariávelconsolidadonov[[#Headers],[23]],tabela_registros[REGISTRO],DADOS!$N$5,tabela_registros[TIPO],DADOS!$AB$4,tabela_registros[CATEGORIA],investirrendavariávelconsolidadonov[[#This Row],[ATUAL]])</f>
        <v>0</v>
      </c>
      <c r="AB140" s="91">
        <f>SUMIFS(tabela_registros[VALOR],tabela_registros[MÊS],$AE$1,tabela_registros[DIA],investirrendavariávelconsolidadonov[[#Headers],[24]],tabela_registros[REGISTRO],DADOS!$N$5,tabela_registros[TIPO],DADOS!$AB$4,tabela_registros[CATEGORIA],investirrendavariávelconsolidadonov[[#This Row],[ATUAL]])</f>
        <v>0</v>
      </c>
      <c r="AC140" s="91">
        <f>SUMIFS(tabela_registros[VALOR],tabela_registros[MÊS],$AE$1,tabela_registros[DIA],investirrendavariávelconsolidadonov[[#Headers],[25]],tabela_registros[REGISTRO],DADOS!$N$5,tabela_registros[TIPO],DADOS!$AB$4,tabela_registros[CATEGORIA],investirrendavariávelconsolidadonov[[#This Row],[ATUAL]])</f>
        <v>0</v>
      </c>
      <c r="AD140" s="91">
        <f>SUMIFS(tabela_registros[VALOR],tabela_registros[MÊS],$AE$1,tabela_registros[DIA],investirrendavariávelconsolidadonov[[#Headers],[26]],tabela_registros[REGISTRO],DADOS!$N$5,tabela_registros[TIPO],DADOS!$AB$4,tabela_registros[CATEGORIA],investirrendavariávelconsolidadonov[[#This Row],[ATUAL]])</f>
        <v>0</v>
      </c>
      <c r="AE140" s="91">
        <f>SUMIFS(tabela_registros[VALOR],tabela_registros[MÊS],$AE$1,tabela_registros[DIA],investirrendavariávelconsolidadonov[[#Headers],[27]],tabela_registros[REGISTRO],DADOS!$N$5,tabela_registros[TIPO],DADOS!$AB$4,tabela_registros[CATEGORIA],investirrendavariávelconsolidadonov[[#This Row],[ATUAL]])</f>
        <v>0</v>
      </c>
      <c r="AF140" s="91">
        <f>SUMIFS(tabela_registros[VALOR],tabela_registros[MÊS],$AE$1,tabela_registros[DIA],investirrendavariávelconsolidadonov[[#Headers],[28]],tabela_registros[REGISTRO],DADOS!$N$5,tabela_registros[TIPO],DADOS!$AB$4,tabela_registros[CATEGORIA],investirrendavariávelconsolidadonov[[#This Row],[ATUAL]])</f>
        <v>0</v>
      </c>
      <c r="AG140" s="91">
        <f>SUMIFS(tabela_registros[VALOR],tabela_registros[MÊS],$AE$1,tabela_registros[DIA],investirrendavariávelconsolidadonov[[#Headers],[29]],tabela_registros[REGISTRO],DADOS!$N$5,tabela_registros[TIPO],DADOS!$AB$4,tabela_registros[CATEGORIA],investirrendavariávelconsolidadonov[[#This Row],[ATUAL]])</f>
        <v>0</v>
      </c>
      <c r="AH140" s="91">
        <f>SUMIFS(tabela_registros[VALOR],tabela_registros[MÊS],$AE$1,tabela_registros[DIA],investirrendavariávelconsolidadonov[[#Headers],[30]],tabela_registros[REGISTRO],DADOS!$N$5,tabela_registros[TIPO],DADOS!$AB$4,tabela_registros[CATEGORIA],investirrendavariávelconsolidadonov[[#This Row],[ATUAL]])</f>
        <v>0</v>
      </c>
      <c r="AI140" s="101">
        <f>SUMIFS(tabela_registros[VALOR],tabela_registros[MÊS],$AE$1,tabela_registros[DIA],investirrendavariávelconsolidadonov[[#Headers],[31]],tabela_registros[REGISTRO],DADOS!$N$5,tabela_registros[TIPO],DADOS!$AB$4,tabela_registros[CATEGORIA],investirrendavariávelconsolidadonov[[#This Row],[ATUAL]])</f>
        <v>0</v>
      </c>
      <c r="AJ140" s="97">
        <f>SUM(investirrendavariávelconsolidadonov[[#This Row],[1]:[31]])</f>
        <v>0</v>
      </c>
      <c r="AK140" s="25"/>
    </row>
    <row r="141" spans="2:37" ht="19.5" customHeight="1" thickTop="1" thickBot="1" x14ac:dyDescent="0.3">
      <c r="B141" s="28"/>
      <c r="C141" s="27" t="str">
        <f>DADOS!$AF$12</f>
        <v>📎 OUTROS</v>
      </c>
      <c r="D141" s="26" t="str">
        <f>IF(investirrendavariávelconsolidadonov[[#This Row],[TOTAL (R$)]]=0,"",IF(OR(investirrendavariávelconsolidadonov[[#This Row],[TOTAL (R$)]]=LARGE($AJ$132:$AJ$141,1),investirrendavariávelconsolidadonov[[#This Row],[TOTAL (R$)]]=LARGE($AJ$132:$AJ$141,2)),DADOS!$I$10,""))</f>
        <v/>
      </c>
      <c r="E141" s="96">
        <f>SUMIFS(tabela_registros[VALOR],tabela_registros[MÊS],$AE$1,tabela_registros[DIA],investirrendavariávelconsolidadonov[[#Headers],[1]],tabela_registros[REGISTRO],DADOS!$N$5,tabela_registros[TIPO],DADOS!$AB$4,tabela_registros[CATEGORIA],investirrendavariávelconsolidadonov[[#This Row],[ATUAL]])</f>
        <v>0</v>
      </c>
      <c r="F141" s="91">
        <f>SUMIFS(tabela_registros[VALOR],tabela_registros[MÊS],$AE$1,tabela_registros[DIA],investirrendavariávelconsolidadonov[[#Headers],[2]],tabela_registros[REGISTRO],DADOS!$N$5,tabela_registros[TIPO],DADOS!$AB$4,tabela_registros[CATEGORIA],investirrendavariávelconsolidadonov[[#This Row],[ATUAL]])</f>
        <v>0</v>
      </c>
      <c r="G141" s="91">
        <f>SUMIFS(tabela_registros[VALOR],tabela_registros[MÊS],$AE$1,tabela_registros[DIA],investirrendavariávelconsolidadonov[[#Headers],[3]],tabela_registros[REGISTRO],DADOS!$N$5,tabela_registros[TIPO],DADOS!$AB$4,tabela_registros[CATEGORIA],investirrendavariávelconsolidadonov[[#This Row],[ATUAL]])</f>
        <v>0</v>
      </c>
      <c r="H141" s="91">
        <f>SUMIFS(tabela_registros[VALOR],tabela_registros[MÊS],$AE$1,tabela_registros[DIA],investirrendavariávelconsolidadonov[[#Headers],[4]],tabela_registros[REGISTRO],DADOS!$N$5,tabela_registros[TIPO],DADOS!$AB$4,tabela_registros[CATEGORIA],investirrendavariávelconsolidadonov[[#This Row],[ATUAL]])</f>
        <v>0</v>
      </c>
      <c r="I141" s="91">
        <f>SUMIFS(tabela_registros[VALOR],tabela_registros[MÊS],$AE$1,tabela_registros[DIA],investirrendavariávelconsolidadonov[[#Headers],[5]],tabela_registros[REGISTRO],DADOS!$N$5,tabela_registros[TIPO],DADOS!$AB$4,tabela_registros[CATEGORIA],investirrendavariávelconsolidadonov[[#This Row],[ATUAL]])</f>
        <v>0</v>
      </c>
      <c r="J141" s="91">
        <f>SUMIFS(tabela_registros[VALOR],tabela_registros[MÊS],$AE$1,tabela_registros[DIA],investirrendavariávelconsolidadonov[[#Headers],[6]],tabela_registros[REGISTRO],DADOS!$N$5,tabela_registros[TIPO],DADOS!$AB$4,tabela_registros[CATEGORIA],investirrendavariávelconsolidadonov[[#This Row],[ATUAL]])</f>
        <v>0</v>
      </c>
      <c r="K141" s="91">
        <f>SUMIFS(tabela_registros[VALOR],tabela_registros[MÊS],$AE$1,tabela_registros[DIA],investirrendavariávelconsolidadonov[[#Headers],[7]],tabela_registros[REGISTRO],DADOS!$N$5,tabela_registros[TIPO],DADOS!$AB$4,tabela_registros[CATEGORIA],investirrendavariávelconsolidadonov[[#This Row],[ATUAL]])</f>
        <v>0</v>
      </c>
      <c r="L141" s="91">
        <f>SUMIFS(tabela_registros[VALOR],tabela_registros[MÊS],$AE$1,tabela_registros[DIA],investirrendavariávelconsolidadonov[[#Headers],[8]],tabela_registros[REGISTRO],DADOS!$N$5,tabela_registros[TIPO],DADOS!$AB$4,tabela_registros[CATEGORIA],investirrendavariávelconsolidadonov[[#This Row],[ATUAL]])</f>
        <v>0</v>
      </c>
      <c r="M141" s="91">
        <f>SUMIFS(tabela_registros[VALOR],tabela_registros[MÊS],$AE$1,tabela_registros[DIA],investirrendavariávelconsolidadonov[[#Headers],[9]],tabela_registros[REGISTRO],DADOS!$N$5,tabela_registros[TIPO],DADOS!$AB$4,tabela_registros[CATEGORIA],investirrendavariávelconsolidadonov[[#This Row],[ATUAL]])</f>
        <v>0</v>
      </c>
      <c r="N141" s="91">
        <f>SUMIFS(tabela_registros[VALOR],tabela_registros[MÊS],$AE$1,tabela_registros[DIA],investirrendavariávelconsolidadonov[[#Headers],[10]],tabela_registros[REGISTRO],DADOS!$N$5,tabela_registros[TIPO],DADOS!$AB$4,tabela_registros[CATEGORIA],investirrendavariávelconsolidadonov[[#This Row],[ATUAL]])</f>
        <v>0</v>
      </c>
      <c r="O141" s="91">
        <f>SUMIFS(tabela_registros[VALOR],tabela_registros[MÊS],$AE$1,tabela_registros[DIA],investirrendavariávelconsolidadonov[[#Headers],[11]],tabela_registros[REGISTRO],DADOS!$N$5,tabela_registros[TIPO],DADOS!$AB$4,tabela_registros[CATEGORIA],investirrendavariávelconsolidadonov[[#This Row],[ATUAL]])</f>
        <v>0</v>
      </c>
      <c r="P141" s="91">
        <f>SUMIFS(tabela_registros[VALOR],tabela_registros[MÊS],$AE$1,tabela_registros[DIA],investirrendavariávelconsolidadonov[[#Headers],[12]],tabela_registros[REGISTRO],DADOS!$N$5,tabela_registros[TIPO],DADOS!$AB$4,tabela_registros[CATEGORIA],investirrendavariávelconsolidadonov[[#This Row],[ATUAL]])</f>
        <v>0</v>
      </c>
      <c r="Q141" s="91">
        <f>SUMIFS(tabela_registros[VALOR],tabela_registros[MÊS],$AE$1,tabela_registros[DIA],investirrendavariávelconsolidadonov[[#Headers],[13]],tabela_registros[REGISTRO],DADOS!$N$5,tabela_registros[TIPO],DADOS!$AB$4,tabela_registros[CATEGORIA],investirrendavariávelconsolidadonov[[#This Row],[ATUAL]])</f>
        <v>0</v>
      </c>
      <c r="R141" s="91">
        <f>SUMIFS(tabela_registros[VALOR],tabela_registros[MÊS],$AE$1,tabela_registros[DIA],investirrendavariávelconsolidadonov[[#Headers],[14]],tabela_registros[REGISTRO],DADOS!$N$5,tabela_registros[TIPO],DADOS!$AB$4,tabela_registros[CATEGORIA],investirrendavariávelconsolidadonov[[#This Row],[ATUAL]])</f>
        <v>0</v>
      </c>
      <c r="S141" s="91">
        <f>SUMIFS(tabela_registros[VALOR],tabela_registros[MÊS],$AE$1,tabela_registros[DIA],investirrendavariávelconsolidadonov[[#Headers],[15]],tabela_registros[REGISTRO],DADOS!$N$5,tabela_registros[TIPO],DADOS!$AB$4,tabela_registros[CATEGORIA],investirrendavariávelconsolidadonov[[#This Row],[ATUAL]])</f>
        <v>0</v>
      </c>
      <c r="T141" s="91">
        <f>SUMIFS(tabela_registros[VALOR],tabela_registros[MÊS],$AE$1,tabela_registros[DIA],investirrendavariávelconsolidadonov[[#Headers],[16]],tabela_registros[REGISTRO],DADOS!$N$5,tabela_registros[TIPO],DADOS!$AB$4,tabela_registros[CATEGORIA],investirrendavariávelconsolidadonov[[#This Row],[ATUAL]])</f>
        <v>0</v>
      </c>
      <c r="U141" s="91">
        <f>SUMIFS(tabela_registros[VALOR],tabela_registros[MÊS],$AE$1,tabela_registros[DIA],investirrendavariávelconsolidadonov[[#Headers],[17]],tabela_registros[REGISTRO],DADOS!$N$5,tabela_registros[TIPO],DADOS!$AB$4,tabela_registros[CATEGORIA],investirrendavariávelconsolidadonov[[#This Row],[ATUAL]])</f>
        <v>0</v>
      </c>
      <c r="V141" s="91">
        <f>SUMIFS(tabela_registros[VALOR],tabela_registros[MÊS],$AE$1,tabela_registros[DIA],investirrendavariávelconsolidadonov[[#Headers],[18]],tabela_registros[REGISTRO],DADOS!$N$5,tabela_registros[TIPO],DADOS!$AB$4,tabela_registros[CATEGORIA],investirrendavariávelconsolidadonov[[#This Row],[ATUAL]])</f>
        <v>0</v>
      </c>
      <c r="W141" s="91">
        <f>SUMIFS(tabela_registros[VALOR],tabela_registros[MÊS],$AE$1,tabela_registros[DIA],investirrendavariávelconsolidadonov[[#Headers],[19]],tabela_registros[REGISTRO],DADOS!$N$5,tabela_registros[TIPO],DADOS!$AB$4,tabela_registros[CATEGORIA],investirrendavariávelconsolidadonov[[#This Row],[ATUAL]])</f>
        <v>0</v>
      </c>
      <c r="X141" s="91">
        <f>SUMIFS(tabela_registros[VALOR],tabela_registros[MÊS],$AE$1,tabela_registros[DIA],investirrendavariávelconsolidadonov[[#Headers],[20]],tabela_registros[REGISTRO],DADOS!$N$5,tabela_registros[TIPO],DADOS!$AB$4,tabela_registros[CATEGORIA],investirrendavariávelconsolidadonov[[#This Row],[ATUAL]])</f>
        <v>0</v>
      </c>
      <c r="Y141" s="91">
        <f>SUMIFS(tabela_registros[VALOR],tabela_registros[MÊS],$AE$1,tabela_registros[DIA],investirrendavariávelconsolidadonov[[#Headers],[21]],tabela_registros[REGISTRO],DADOS!$N$5,tabela_registros[TIPO],DADOS!$AB$4,tabela_registros[CATEGORIA],investirrendavariávelconsolidadonov[[#This Row],[ATUAL]])</f>
        <v>0</v>
      </c>
      <c r="Z141" s="91">
        <f>SUMIFS(tabela_registros[VALOR],tabela_registros[MÊS],$AE$1,tabela_registros[DIA],investirrendavariávelconsolidadonov[[#Headers],[22]],tabela_registros[REGISTRO],DADOS!$N$5,tabela_registros[TIPO],DADOS!$AB$4,tabela_registros[CATEGORIA],investirrendavariávelconsolidadonov[[#This Row],[ATUAL]])</f>
        <v>0</v>
      </c>
      <c r="AA141" s="91">
        <f>SUMIFS(tabela_registros[VALOR],tabela_registros[MÊS],$AE$1,tabela_registros[DIA],investirrendavariávelconsolidadonov[[#Headers],[23]],tabela_registros[REGISTRO],DADOS!$N$5,tabela_registros[TIPO],DADOS!$AB$4,tabela_registros[CATEGORIA],investirrendavariávelconsolidadonov[[#This Row],[ATUAL]])</f>
        <v>0</v>
      </c>
      <c r="AB141" s="91">
        <f>SUMIFS(tabela_registros[VALOR],tabela_registros[MÊS],$AE$1,tabela_registros[DIA],investirrendavariávelconsolidadonov[[#Headers],[24]],tabela_registros[REGISTRO],DADOS!$N$5,tabela_registros[TIPO],DADOS!$AB$4,tabela_registros[CATEGORIA],investirrendavariávelconsolidadonov[[#This Row],[ATUAL]])</f>
        <v>0</v>
      </c>
      <c r="AC141" s="91">
        <f>SUMIFS(tabela_registros[VALOR],tabela_registros[MÊS],$AE$1,tabela_registros[DIA],investirrendavariávelconsolidadonov[[#Headers],[25]],tabela_registros[REGISTRO],DADOS!$N$5,tabela_registros[TIPO],DADOS!$AB$4,tabela_registros[CATEGORIA],investirrendavariávelconsolidadonov[[#This Row],[ATUAL]])</f>
        <v>0</v>
      </c>
      <c r="AD141" s="91">
        <f>SUMIFS(tabela_registros[VALOR],tabela_registros[MÊS],$AE$1,tabela_registros[DIA],investirrendavariávelconsolidadonov[[#Headers],[26]],tabela_registros[REGISTRO],DADOS!$N$5,tabela_registros[TIPO],DADOS!$AB$4,tabela_registros[CATEGORIA],investirrendavariávelconsolidadonov[[#This Row],[ATUAL]])</f>
        <v>0</v>
      </c>
      <c r="AE141" s="91">
        <f>SUMIFS(tabela_registros[VALOR],tabela_registros[MÊS],$AE$1,tabela_registros[DIA],investirrendavariávelconsolidadonov[[#Headers],[27]],tabela_registros[REGISTRO],DADOS!$N$5,tabela_registros[TIPO],DADOS!$AB$4,tabela_registros[CATEGORIA],investirrendavariávelconsolidadonov[[#This Row],[ATUAL]])</f>
        <v>0</v>
      </c>
      <c r="AF141" s="91">
        <f>SUMIFS(tabela_registros[VALOR],tabela_registros[MÊS],$AE$1,tabela_registros[DIA],investirrendavariávelconsolidadonov[[#Headers],[28]],tabela_registros[REGISTRO],DADOS!$N$5,tabela_registros[TIPO],DADOS!$AB$4,tabela_registros[CATEGORIA],investirrendavariávelconsolidadonov[[#This Row],[ATUAL]])</f>
        <v>0</v>
      </c>
      <c r="AG141" s="91">
        <f>SUMIFS(tabela_registros[VALOR],tabela_registros[MÊS],$AE$1,tabela_registros[DIA],investirrendavariávelconsolidadonov[[#Headers],[29]],tabela_registros[REGISTRO],DADOS!$N$5,tabela_registros[TIPO],DADOS!$AB$4,tabela_registros[CATEGORIA],investirrendavariávelconsolidadonov[[#This Row],[ATUAL]])</f>
        <v>0</v>
      </c>
      <c r="AH141" s="99">
        <f>SUMIFS(tabela_registros[VALOR],tabela_registros[MÊS],$AE$1,tabela_registros[DIA],investirrendavariávelconsolidadonov[[#Headers],[30]],tabela_registros[REGISTRO],DADOS!$N$5,tabela_registros[TIPO],DADOS!$AB$4,tabela_registros[CATEGORIA],investirrendavariávelconsolidadonov[[#This Row],[ATUAL]])</f>
        <v>0</v>
      </c>
      <c r="AI141" s="102">
        <f>SUMIFS(tabela_registros[VALOR],tabela_registros[MÊS],$AE$1,tabela_registros[DIA],investirrendavariávelconsolidadonov[[#Headers],[31]],tabela_registros[REGISTRO],DADOS!$N$5,tabela_registros[TIPO],DADOS!$AB$4,tabela_registros[CATEGORIA],investirrendavariávelconsolidadonov[[#This Row],[ATUAL]])</f>
        <v>0</v>
      </c>
      <c r="AJ141" s="103">
        <f>SUM(investirrendavariávelconsolidadonov[[#This Row],[1]:[31]])</f>
        <v>0</v>
      </c>
      <c r="AK141" s="25"/>
    </row>
    <row r="142" spans="2:37" s="16" customFormat="1" ht="21" customHeight="1" thickTop="1" thickBot="1" x14ac:dyDescent="0.35">
      <c r="B142" s="24"/>
      <c r="C142" s="23" t="s">
        <v>19</v>
      </c>
      <c r="D142" s="22"/>
      <c r="E142" s="21">
        <f>SUM(E132:E141)</f>
        <v>0</v>
      </c>
      <c r="F142" s="20">
        <f>SUM(F132:F141)+investirrendavariávelconsolidadonov[[#This Row],[1]]</f>
        <v>0</v>
      </c>
      <c r="G142" s="20">
        <f>SUM(G132:G141)+investirrendavariávelconsolidadonov[[#This Row],[2]]</f>
        <v>0</v>
      </c>
      <c r="H142" s="20">
        <f>SUM(H132:H141)+investirrendavariávelconsolidadonov[[#This Row],[3]]</f>
        <v>0</v>
      </c>
      <c r="I142" s="20">
        <f>SUM(I132:I141)+investirrendavariávelconsolidadonov[[#This Row],[4]]</f>
        <v>0</v>
      </c>
      <c r="J142" s="20">
        <f>SUM(J132:J141)+investirrendavariávelconsolidadonov[[#This Row],[5]]</f>
        <v>0</v>
      </c>
      <c r="K142" s="20">
        <f>SUM(K132:K141)+investirrendavariávelconsolidadonov[[#This Row],[6]]</f>
        <v>0</v>
      </c>
      <c r="L142" s="20">
        <f>SUM(L132:L141)+investirrendavariávelconsolidadonov[[#This Row],[7]]</f>
        <v>0</v>
      </c>
      <c r="M142" s="20">
        <f>SUM(M132:M141)+investirrendavariávelconsolidadonov[[#This Row],[8]]</f>
        <v>0</v>
      </c>
      <c r="N142" s="20">
        <f>SUM(N132:N141)+investirrendavariávelconsolidadonov[[#This Row],[9]]</f>
        <v>0</v>
      </c>
      <c r="O142" s="20">
        <f>SUM(O132:O141)+investirrendavariávelconsolidadonov[[#This Row],[10]]</f>
        <v>0</v>
      </c>
      <c r="P142" s="20">
        <f>SUM(P132:P141)+investirrendavariávelconsolidadonov[[#This Row],[11]]</f>
        <v>0</v>
      </c>
      <c r="Q142" s="20">
        <f>SUM(Q132:Q141)+investirrendavariávelconsolidadonov[[#This Row],[12]]</f>
        <v>0</v>
      </c>
      <c r="R142" s="20">
        <f>SUM(R132:R141)+investirrendavariávelconsolidadonov[[#This Row],[13]]</f>
        <v>0</v>
      </c>
      <c r="S142" s="20">
        <f>SUM(S132:S141)+investirrendavariávelconsolidadonov[[#This Row],[14]]</f>
        <v>0</v>
      </c>
      <c r="T142" s="20">
        <f>SUM(T132:T141)+investirrendavariávelconsolidadonov[[#This Row],[15]]</f>
        <v>0</v>
      </c>
      <c r="U142" s="20">
        <f>SUM(U132:U141)+investirrendavariávelconsolidadonov[[#This Row],[16]]</f>
        <v>0</v>
      </c>
      <c r="V142" s="20">
        <f>SUM(V132:V141)+investirrendavariávelconsolidadonov[[#This Row],[17]]</f>
        <v>0</v>
      </c>
      <c r="W142" s="20">
        <f>SUM(W132:W141)+investirrendavariávelconsolidadonov[[#This Row],[18]]</f>
        <v>0</v>
      </c>
      <c r="X142" s="20">
        <f>SUM(X132:X141)+investirrendavariávelconsolidadonov[[#This Row],[19]]</f>
        <v>0</v>
      </c>
      <c r="Y142" s="20">
        <f>SUM(Y132:Y141)+investirrendavariávelconsolidadonov[[#This Row],[20]]</f>
        <v>0</v>
      </c>
      <c r="Z142" s="20">
        <f>SUM(Z132:Z141)+investirrendavariávelconsolidadonov[[#This Row],[21]]</f>
        <v>0</v>
      </c>
      <c r="AA142" s="20">
        <f>SUM(AA132:AA141)+investirrendavariávelconsolidadonov[[#This Row],[22]]</f>
        <v>0</v>
      </c>
      <c r="AB142" s="20">
        <f>SUM(AB132:AB141)+investirrendavariávelconsolidadonov[[#This Row],[23]]</f>
        <v>0</v>
      </c>
      <c r="AC142" s="20">
        <f>SUM(AC132:AC141)+investirrendavariávelconsolidadonov[[#This Row],[24]]</f>
        <v>0</v>
      </c>
      <c r="AD142" s="20">
        <f>SUM(AD132:AD141)+investirrendavariávelconsolidadonov[[#This Row],[25]]</f>
        <v>0</v>
      </c>
      <c r="AE142" s="20">
        <f>SUM(AE132:AE141)+investirrendavariávelconsolidadonov[[#This Row],[26]]</f>
        <v>0</v>
      </c>
      <c r="AF142" s="20">
        <f>SUM(AF132:AF141)+investirrendavariávelconsolidadonov[[#This Row],[27]]</f>
        <v>0</v>
      </c>
      <c r="AG142" s="20">
        <f>SUM(AG132:AG141)+investirrendavariávelconsolidadonov[[#This Row],[28]]</f>
        <v>0</v>
      </c>
      <c r="AH142" s="20">
        <f>SUM(AH132:AH141)+investirrendavariávelconsolidadonov[[#This Row],[29]]</f>
        <v>0</v>
      </c>
      <c r="AI142" s="19">
        <f>SUM(AI132:AI141)+investirrendavariávelconsolidadonov[[#This Row],[30]]</f>
        <v>0</v>
      </c>
      <c r="AJ142" s="18">
        <f>investirrendavariávelconsolidadonov[[#This Row],[31]]</f>
        <v>0</v>
      </c>
      <c r="AK142" s="17"/>
    </row>
    <row r="143" spans="2:37" ht="6.75" customHeight="1" thickTop="1" thickBot="1" x14ac:dyDescent="0.3">
      <c r="B143" s="15"/>
      <c r="C143" s="14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  <c r="AE143" s="13"/>
      <c r="AF143" s="13"/>
      <c r="AG143" s="13"/>
      <c r="AH143" s="13"/>
      <c r="AI143" s="12"/>
      <c r="AJ143" s="11"/>
      <c r="AK143" s="10"/>
    </row>
    <row r="144" spans="2:37" ht="12.6" thickTop="1" x14ac:dyDescent="0.25">
      <c r="E144" s="37"/>
      <c r="AI144" s="4"/>
    </row>
    <row r="145" spans="2:37" x14ac:dyDescent="0.25">
      <c r="AI145" s="4"/>
    </row>
    <row r="146" spans="2:37" x14ac:dyDescent="0.25">
      <c r="AI146" s="4"/>
    </row>
    <row r="147" spans="2:37" ht="39.75" customHeight="1" x14ac:dyDescent="0.7">
      <c r="C147" s="36"/>
      <c r="E147" s="240"/>
      <c r="F147" s="240"/>
      <c r="G147" s="240"/>
      <c r="H147" s="240"/>
      <c r="I147" s="240"/>
      <c r="J147" s="240"/>
      <c r="K147" s="240"/>
      <c r="L147" s="240"/>
      <c r="M147" s="240"/>
      <c r="N147" s="240"/>
      <c r="O147" s="240"/>
      <c r="P147" s="240"/>
      <c r="Q147" s="240"/>
      <c r="R147" s="240"/>
      <c r="S147" s="240"/>
      <c r="T147" s="240"/>
      <c r="U147" s="240"/>
      <c r="V147" s="240"/>
      <c r="W147" s="240"/>
      <c r="X147" s="240"/>
      <c r="Y147" s="240"/>
      <c r="Z147" s="240"/>
      <c r="AA147" s="240"/>
      <c r="AB147" s="240"/>
      <c r="AC147" s="240"/>
      <c r="AD147" s="240"/>
      <c r="AE147" s="240"/>
      <c r="AF147" s="240"/>
      <c r="AG147" s="240"/>
      <c r="AH147" s="240"/>
      <c r="AI147" s="240"/>
      <c r="AJ147" s="32" t="s">
        <v>19</v>
      </c>
    </row>
    <row r="148" spans="2:37" ht="12.6" thickBot="1" x14ac:dyDescent="0.3">
      <c r="B148" s="35"/>
      <c r="AI148" s="4"/>
      <c r="AJ148" s="34" t="s">
        <v>202</v>
      </c>
    </row>
    <row r="149" spans="2:37" ht="6.75" customHeight="1" thickTop="1" thickBot="1" x14ac:dyDescent="0.3">
      <c r="B149" s="2"/>
      <c r="C149" s="14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F149" s="13"/>
      <c r="AG149" s="13"/>
      <c r="AH149" s="13"/>
      <c r="AI149" s="13"/>
      <c r="AJ149" s="12"/>
      <c r="AK149" s="33"/>
    </row>
    <row r="150" spans="2:37" ht="13.2" hidden="1" thickTop="1" thickBot="1" x14ac:dyDescent="0.3">
      <c r="B150" s="2"/>
      <c r="C150" s="31" t="s">
        <v>199</v>
      </c>
      <c r="D150" s="30" t="s">
        <v>198</v>
      </c>
      <c r="E150" s="30" t="s">
        <v>197</v>
      </c>
      <c r="F150" s="30" t="s">
        <v>196</v>
      </c>
      <c r="G150" s="30" t="s">
        <v>195</v>
      </c>
      <c r="H150" s="30" t="s">
        <v>194</v>
      </c>
      <c r="I150" s="30" t="s">
        <v>193</v>
      </c>
      <c r="J150" s="30" t="s">
        <v>192</v>
      </c>
      <c r="K150" s="30" t="s">
        <v>191</v>
      </c>
      <c r="L150" s="30" t="s">
        <v>190</v>
      </c>
      <c r="M150" s="30" t="s">
        <v>189</v>
      </c>
      <c r="N150" s="30" t="s">
        <v>188</v>
      </c>
      <c r="O150" s="30" t="s">
        <v>187</v>
      </c>
      <c r="P150" s="30" t="s">
        <v>186</v>
      </c>
      <c r="Q150" s="30" t="s">
        <v>185</v>
      </c>
      <c r="R150" s="30" t="s">
        <v>184</v>
      </c>
      <c r="S150" s="30" t="s">
        <v>183</v>
      </c>
      <c r="T150" s="30" t="s">
        <v>182</v>
      </c>
      <c r="U150" s="30" t="s">
        <v>181</v>
      </c>
      <c r="V150" s="30" t="s">
        <v>180</v>
      </c>
      <c r="W150" s="30" t="s">
        <v>179</v>
      </c>
      <c r="X150" s="30" t="s">
        <v>178</v>
      </c>
      <c r="Y150" s="30" t="s">
        <v>177</v>
      </c>
      <c r="Z150" s="30" t="s">
        <v>176</v>
      </c>
      <c r="AA150" s="30" t="s">
        <v>175</v>
      </c>
      <c r="AB150" s="30" t="s">
        <v>174</v>
      </c>
      <c r="AC150" s="30" t="s">
        <v>173</v>
      </c>
      <c r="AD150" s="30" t="s">
        <v>172</v>
      </c>
      <c r="AE150" s="30" t="s">
        <v>171</v>
      </c>
      <c r="AF150" s="30" t="s">
        <v>170</v>
      </c>
      <c r="AG150" s="30" t="s">
        <v>169</v>
      </c>
      <c r="AH150" s="30" t="s">
        <v>168</v>
      </c>
      <c r="AI150" s="30" t="s">
        <v>167</v>
      </c>
      <c r="AJ150" s="29" t="s">
        <v>166</v>
      </c>
      <c r="AK150" s="2"/>
    </row>
    <row r="151" spans="2:37" ht="19.5" customHeight="1" thickTop="1" thickBot="1" x14ac:dyDescent="0.3">
      <c r="B151" s="28"/>
      <c r="C151" s="27" t="str">
        <f>DADOS!$AH$3</f>
        <v>📝 COE</v>
      </c>
      <c r="D151" s="26" t="str">
        <f>IF(investiroutrosconsolidadonov[[#This Row],[TOTAL (R$)]]=0,"",IF(OR(investiroutrosconsolidadonov[[#This Row],[TOTAL (R$)]]=LARGE($AJ$151:$AJ$158,1),investiroutrosconsolidadonov[[#This Row],[TOTAL (R$)]]=LARGE($AJ$151:$AJ$158,2)),DADOS!$I$10,""))</f>
        <v/>
      </c>
      <c r="E151" s="96">
        <f>SUMIFS(tabela_registros[VALOR],tabela_registros[MÊS],$AE$1,tabela_registros[DIA],investiroutrosconsolidadonov[[#Headers],[1]],tabela_registros[REGISTRO],DADOS!$N$5,tabela_registros[TIPO],DADOS!$AB$5,tabela_registros[CATEGORIA],investiroutrosconsolidadonov[[#This Row],[ATUAL]])</f>
        <v>0</v>
      </c>
      <c r="F151" s="91">
        <f>SUMIFS(tabela_registros[VALOR],tabela_registros[MÊS],$AE$1,tabela_registros[DIA],investiroutrosconsolidadonov[[#Headers],[2]],tabela_registros[REGISTRO],DADOS!$N$5,tabela_registros[TIPO],DADOS!$AB$5,tabela_registros[CATEGORIA],investiroutrosconsolidadonov[[#This Row],[ATUAL]])</f>
        <v>0</v>
      </c>
      <c r="G151" s="91">
        <f>SUMIFS(tabela_registros[VALOR],tabela_registros[MÊS],$AE$1,tabela_registros[DIA],investiroutrosconsolidadonov[[#Headers],[3]],tabela_registros[REGISTRO],DADOS!$N$5,tabela_registros[TIPO],DADOS!$AB$5,tabela_registros[CATEGORIA],investiroutrosconsolidadonov[[#This Row],[ATUAL]])</f>
        <v>0</v>
      </c>
      <c r="H151" s="91">
        <f>SUMIFS(tabela_registros[VALOR],tabela_registros[MÊS],$AE$1,tabela_registros[DIA],investiroutrosconsolidadonov[[#Headers],[4]],tabela_registros[REGISTRO],DADOS!$N$5,tabela_registros[TIPO],DADOS!$AB$5,tabela_registros[CATEGORIA],investiroutrosconsolidadonov[[#This Row],[ATUAL]])</f>
        <v>0</v>
      </c>
      <c r="I151" s="91">
        <f>SUMIFS(tabela_registros[VALOR],tabela_registros[MÊS],$AE$1,tabela_registros[DIA],investiroutrosconsolidadonov[[#Headers],[5]],tabela_registros[REGISTRO],DADOS!$N$5,tabela_registros[TIPO],DADOS!$AB$5,tabela_registros[CATEGORIA],investiroutrosconsolidadonov[[#This Row],[ATUAL]])</f>
        <v>0</v>
      </c>
      <c r="J151" s="91">
        <f>SUMIFS(tabela_registros[VALOR],tabela_registros[MÊS],$AE$1,tabela_registros[DIA],investiroutrosconsolidadonov[[#Headers],[6]],tabela_registros[REGISTRO],DADOS!$N$5,tabela_registros[TIPO],DADOS!$AB$5,tabela_registros[CATEGORIA],investiroutrosconsolidadonov[[#This Row],[ATUAL]])</f>
        <v>0</v>
      </c>
      <c r="K151" s="91">
        <f>SUMIFS(tabela_registros[VALOR],tabela_registros[MÊS],$AE$1,tabela_registros[DIA],investiroutrosconsolidadonov[[#Headers],[7]],tabela_registros[REGISTRO],DADOS!$N$5,tabela_registros[TIPO],DADOS!$AB$5,tabela_registros[CATEGORIA],investiroutrosconsolidadonov[[#This Row],[ATUAL]])</f>
        <v>0</v>
      </c>
      <c r="L151" s="91">
        <f>SUMIFS(tabela_registros[VALOR],tabela_registros[MÊS],$AE$1,tabela_registros[DIA],investiroutrosconsolidadonov[[#Headers],[8]],tabela_registros[REGISTRO],DADOS!$N$5,tabela_registros[TIPO],DADOS!$AB$5,tabela_registros[CATEGORIA],investiroutrosconsolidadonov[[#This Row],[ATUAL]])</f>
        <v>0</v>
      </c>
      <c r="M151" s="91">
        <f>SUMIFS(tabela_registros[VALOR],tabela_registros[MÊS],$AE$1,tabela_registros[DIA],investiroutrosconsolidadonov[[#Headers],[9]],tabela_registros[REGISTRO],DADOS!$N$5,tabela_registros[TIPO],DADOS!$AB$5,tabela_registros[CATEGORIA],investiroutrosconsolidadonov[[#This Row],[ATUAL]])</f>
        <v>0</v>
      </c>
      <c r="N151" s="91">
        <f>SUMIFS(tabela_registros[VALOR],tabela_registros[MÊS],$AE$1,tabela_registros[DIA],investiroutrosconsolidadonov[[#Headers],[10]],tabela_registros[REGISTRO],DADOS!$N$5,tabela_registros[TIPO],DADOS!$AB$5,tabela_registros[CATEGORIA],investiroutrosconsolidadonov[[#This Row],[ATUAL]])</f>
        <v>0</v>
      </c>
      <c r="O151" s="91">
        <f>SUMIFS(tabela_registros[VALOR],tabela_registros[MÊS],$AE$1,tabela_registros[DIA],investiroutrosconsolidadonov[[#Headers],[11]],tabela_registros[REGISTRO],DADOS!$N$5,tabela_registros[TIPO],DADOS!$AB$5,tabela_registros[CATEGORIA],investiroutrosconsolidadonov[[#This Row],[ATUAL]])</f>
        <v>0</v>
      </c>
      <c r="P151" s="91">
        <f>SUMIFS(tabela_registros[VALOR],tabela_registros[MÊS],$AE$1,tabela_registros[DIA],investiroutrosconsolidadonov[[#Headers],[12]],tabela_registros[REGISTRO],DADOS!$N$5,tabela_registros[TIPO],DADOS!$AB$5,tabela_registros[CATEGORIA],investiroutrosconsolidadonov[[#This Row],[ATUAL]])</f>
        <v>0</v>
      </c>
      <c r="Q151" s="91">
        <f>SUMIFS(tabela_registros[VALOR],tabela_registros[MÊS],$AE$1,tabela_registros[DIA],investiroutrosconsolidadonov[[#Headers],[13]],tabela_registros[REGISTRO],DADOS!$N$5,tabela_registros[TIPO],DADOS!$AB$5,tabela_registros[CATEGORIA],investiroutrosconsolidadonov[[#This Row],[ATUAL]])</f>
        <v>0</v>
      </c>
      <c r="R151" s="91">
        <f>SUMIFS(tabela_registros[VALOR],tabela_registros[MÊS],$AE$1,tabela_registros[DIA],investiroutrosconsolidadonov[[#Headers],[14]],tabela_registros[REGISTRO],DADOS!$N$5,tabela_registros[TIPO],DADOS!$AB$5,tabela_registros[CATEGORIA],investiroutrosconsolidadonov[[#This Row],[ATUAL]])</f>
        <v>0</v>
      </c>
      <c r="S151" s="91">
        <f>SUMIFS(tabela_registros[VALOR],tabela_registros[MÊS],$AE$1,tabela_registros[DIA],investiroutrosconsolidadonov[[#Headers],[15]],tabela_registros[REGISTRO],DADOS!$N$5,tabela_registros[TIPO],DADOS!$AB$5,tabela_registros[CATEGORIA],investiroutrosconsolidadonov[[#This Row],[ATUAL]])</f>
        <v>0</v>
      </c>
      <c r="T151" s="91">
        <f>SUMIFS(tabela_registros[VALOR],tabela_registros[MÊS],$AE$1,tabela_registros[DIA],investiroutrosconsolidadonov[[#Headers],[16]],tabela_registros[REGISTRO],DADOS!$N$5,tabela_registros[TIPO],DADOS!$AB$5,tabela_registros[CATEGORIA],investiroutrosconsolidadonov[[#This Row],[ATUAL]])</f>
        <v>0</v>
      </c>
      <c r="U151" s="91">
        <f>SUMIFS(tabela_registros[VALOR],tabela_registros[MÊS],$AE$1,tabela_registros[DIA],investiroutrosconsolidadonov[[#Headers],[17]],tabela_registros[REGISTRO],DADOS!$N$5,tabela_registros[TIPO],DADOS!$AB$5,tabela_registros[CATEGORIA],investiroutrosconsolidadonov[[#This Row],[ATUAL]])</f>
        <v>0</v>
      </c>
      <c r="V151" s="91">
        <f>SUMIFS(tabela_registros[VALOR],tabela_registros[MÊS],$AE$1,tabela_registros[DIA],investiroutrosconsolidadonov[[#Headers],[18]],tabela_registros[REGISTRO],DADOS!$N$5,tabela_registros[TIPO],DADOS!$AB$5,tabela_registros[CATEGORIA],investiroutrosconsolidadonov[[#This Row],[ATUAL]])</f>
        <v>0</v>
      </c>
      <c r="W151" s="91">
        <f>SUMIFS(tabela_registros[VALOR],tabela_registros[MÊS],$AE$1,tabela_registros[DIA],investiroutrosconsolidadonov[[#Headers],[19]],tabela_registros[REGISTRO],DADOS!$N$5,tabela_registros[TIPO],DADOS!$AB$5,tabela_registros[CATEGORIA],investiroutrosconsolidadonov[[#This Row],[ATUAL]])</f>
        <v>0</v>
      </c>
      <c r="X151" s="91">
        <f>SUMIFS(tabela_registros[VALOR],tabela_registros[MÊS],$AE$1,tabela_registros[DIA],investiroutrosconsolidadonov[[#Headers],[20]],tabela_registros[REGISTRO],DADOS!$N$5,tabela_registros[TIPO],DADOS!$AB$5,tabela_registros[CATEGORIA],investiroutrosconsolidadonov[[#This Row],[ATUAL]])</f>
        <v>0</v>
      </c>
      <c r="Y151" s="91">
        <f>SUMIFS(tabela_registros[VALOR],tabela_registros[MÊS],$AE$1,tabela_registros[DIA],investiroutrosconsolidadonov[[#Headers],[21]],tabela_registros[REGISTRO],DADOS!$N$5,tabela_registros[TIPO],DADOS!$AB$5,tabela_registros[CATEGORIA],investiroutrosconsolidadonov[[#This Row],[ATUAL]])</f>
        <v>0</v>
      </c>
      <c r="Z151" s="91">
        <f>SUMIFS(tabela_registros[VALOR],tabela_registros[MÊS],$AE$1,tabela_registros[DIA],investiroutrosconsolidadonov[[#Headers],[22]],tabela_registros[REGISTRO],DADOS!$N$5,tabela_registros[TIPO],DADOS!$AB$5,tabela_registros[CATEGORIA],investiroutrosconsolidadonov[[#This Row],[ATUAL]])</f>
        <v>0</v>
      </c>
      <c r="AA151" s="91">
        <f>SUMIFS(tabela_registros[VALOR],tabela_registros[MÊS],$AE$1,tabela_registros[DIA],investiroutrosconsolidadonov[[#Headers],[23]],tabela_registros[REGISTRO],DADOS!$N$5,tabela_registros[TIPO],DADOS!$AB$5,tabela_registros[CATEGORIA],investiroutrosconsolidadonov[[#This Row],[ATUAL]])</f>
        <v>0</v>
      </c>
      <c r="AB151" s="91">
        <f>SUMIFS(tabela_registros[VALOR],tabela_registros[MÊS],$AE$1,tabela_registros[DIA],investiroutrosconsolidadonov[[#Headers],[24]],tabela_registros[REGISTRO],DADOS!$N$5,tabela_registros[TIPO],DADOS!$AB$5,tabela_registros[CATEGORIA],investiroutrosconsolidadonov[[#This Row],[ATUAL]])</f>
        <v>0</v>
      </c>
      <c r="AC151" s="91">
        <f>SUMIFS(tabela_registros[VALOR],tabela_registros[MÊS],$AE$1,tabela_registros[DIA],investiroutrosconsolidadonov[[#Headers],[25]],tabela_registros[REGISTRO],DADOS!$N$5,tabela_registros[TIPO],DADOS!$AB$5,tabela_registros[CATEGORIA],investiroutrosconsolidadonov[[#This Row],[ATUAL]])</f>
        <v>0</v>
      </c>
      <c r="AD151" s="91">
        <f>SUMIFS(tabela_registros[VALOR],tabela_registros[MÊS],$AE$1,tabela_registros[DIA],investiroutrosconsolidadonov[[#Headers],[26]],tabela_registros[REGISTRO],DADOS!$N$5,tabela_registros[TIPO],DADOS!$AB$5,tabela_registros[CATEGORIA],investiroutrosconsolidadonov[[#This Row],[ATUAL]])</f>
        <v>0</v>
      </c>
      <c r="AE151" s="91">
        <f>SUMIFS(tabela_registros[VALOR],tabela_registros[MÊS],$AE$1,tabela_registros[DIA],investiroutrosconsolidadonov[[#Headers],[27]],tabela_registros[REGISTRO],DADOS!$N$5,tabela_registros[TIPO],DADOS!$AB$5,tabela_registros[CATEGORIA],investiroutrosconsolidadonov[[#This Row],[ATUAL]])</f>
        <v>0</v>
      </c>
      <c r="AF151" s="91">
        <f>SUMIFS(tabela_registros[VALOR],tabela_registros[MÊS],$AE$1,tabela_registros[DIA],investiroutrosconsolidadonov[[#Headers],[28]],tabela_registros[REGISTRO],DADOS!$N$5,tabela_registros[TIPO],DADOS!$AB$5,tabela_registros[CATEGORIA],investiroutrosconsolidadonov[[#This Row],[ATUAL]])</f>
        <v>0</v>
      </c>
      <c r="AG151" s="91">
        <f>SUMIFS(tabela_registros[VALOR],tabela_registros[MÊS],$AE$1,tabela_registros[DIA],investiroutrosconsolidadonov[[#Headers],[29]],tabela_registros[REGISTRO],DADOS!$N$5,tabela_registros[TIPO],DADOS!$AB$5,tabela_registros[CATEGORIA],investiroutrosconsolidadonov[[#This Row],[ATUAL]])</f>
        <v>0</v>
      </c>
      <c r="AH151" s="91">
        <f>SUMIFS(tabela_registros[VALOR],tabela_registros[MÊS],$AE$1,tabela_registros[DIA],investiroutrosconsolidadonov[[#Headers],[30]],tabela_registros[REGISTRO],DADOS!$N$5,tabela_registros[TIPO],DADOS!$AB$5,tabela_registros[CATEGORIA],investiroutrosconsolidadonov[[#This Row],[ATUAL]])</f>
        <v>0</v>
      </c>
      <c r="AI151" s="101">
        <f>SUMIFS(tabela_registros[VALOR],tabela_registros[MÊS],$AE$1,tabela_registros[DIA],investiroutrosconsolidadonov[[#Headers],[31]],tabela_registros[REGISTRO],DADOS!$N$5,tabela_registros[TIPO],DADOS!$AB$5,tabela_registros[CATEGORIA],investiroutrosconsolidadonov[[#This Row],[ATUAL]])</f>
        <v>0</v>
      </c>
      <c r="AJ151" s="97">
        <f>SUM(investiroutrosconsolidadonov[[#This Row],[1]:[31]])</f>
        <v>0</v>
      </c>
      <c r="AK151" s="25"/>
    </row>
    <row r="152" spans="2:37" ht="19.5" customHeight="1" thickTop="1" thickBot="1" x14ac:dyDescent="0.3">
      <c r="B152" s="28"/>
      <c r="C152" s="27" t="str">
        <f>DADOS!$AH$4</f>
        <v>📝 FOREX</v>
      </c>
      <c r="D152" s="26" t="str">
        <f>IF(investiroutrosconsolidadonov[[#This Row],[TOTAL (R$)]]=0,"",IF(OR(investiroutrosconsolidadonov[[#This Row],[TOTAL (R$)]]=LARGE($AJ$151:$AJ$158,1),investiroutrosconsolidadonov[[#This Row],[TOTAL (R$)]]=LARGE($AJ$151:$AJ$158,2)),DADOS!$I$10,""))</f>
        <v/>
      </c>
      <c r="E152" s="96">
        <f>SUMIFS(tabela_registros[VALOR],tabela_registros[MÊS],$AE$1,tabela_registros[DIA],investiroutrosconsolidadonov[[#Headers],[1]],tabela_registros[REGISTRO],DADOS!$N$5,tabela_registros[TIPO],DADOS!$AB$5,tabela_registros[CATEGORIA],investiroutrosconsolidadonov[[#This Row],[ATUAL]])</f>
        <v>0</v>
      </c>
      <c r="F152" s="91">
        <f>SUMIFS(tabela_registros[VALOR],tabela_registros[MÊS],$AE$1,tabela_registros[DIA],investiroutrosconsolidadonov[[#Headers],[2]],tabela_registros[REGISTRO],DADOS!$N$5,tabela_registros[TIPO],DADOS!$AB$5,tabela_registros[CATEGORIA],investiroutrosconsolidadonov[[#This Row],[ATUAL]])</f>
        <v>0</v>
      </c>
      <c r="G152" s="91">
        <f>SUMIFS(tabela_registros[VALOR],tabela_registros[MÊS],$AE$1,tabela_registros[DIA],investiroutrosconsolidadonov[[#Headers],[3]],tabela_registros[REGISTRO],DADOS!$N$5,tabela_registros[TIPO],DADOS!$AB$5,tabela_registros[CATEGORIA],investiroutrosconsolidadonov[[#This Row],[ATUAL]])</f>
        <v>0</v>
      </c>
      <c r="H152" s="91">
        <f>SUMIFS(tabela_registros[VALOR],tabela_registros[MÊS],$AE$1,tabela_registros[DIA],investiroutrosconsolidadonov[[#Headers],[4]],tabela_registros[REGISTRO],DADOS!$N$5,tabela_registros[TIPO],DADOS!$AB$5,tabela_registros[CATEGORIA],investiroutrosconsolidadonov[[#This Row],[ATUAL]])</f>
        <v>0</v>
      </c>
      <c r="I152" s="91">
        <f>SUMIFS(tabela_registros[VALOR],tabela_registros[MÊS],$AE$1,tabela_registros[DIA],investiroutrosconsolidadonov[[#Headers],[5]],tabela_registros[REGISTRO],DADOS!$N$5,tabela_registros[TIPO],DADOS!$AB$5,tabela_registros[CATEGORIA],investiroutrosconsolidadonov[[#This Row],[ATUAL]])</f>
        <v>0</v>
      </c>
      <c r="J152" s="91">
        <f>SUMIFS(tabela_registros[VALOR],tabela_registros[MÊS],$AE$1,tabela_registros[DIA],investiroutrosconsolidadonov[[#Headers],[6]],tabela_registros[REGISTRO],DADOS!$N$5,tabela_registros[TIPO],DADOS!$AB$5,tabela_registros[CATEGORIA],investiroutrosconsolidadonov[[#This Row],[ATUAL]])</f>
        <v>0</v>
      </c>
      <c r="K152" s="91">
        <f>SUMIFS(tabela_registros[VALOR],tabela_registros[MÊS],$AE$1,tabela_registros[DIA],investiroutrosconsolidadonov[[#Headers],[7]],tabela_registros[REGISTRO],DADOS!$N$5,tabela_registros[TIPO],DADOS!$AB$5,tabela_registros[CATEGORIA],investiroutrosconsolidadonov[[#This Row],[ATUAL]])</f>
        <v>0</v>
      </c>
      <c r="L152" s="91">
        <f>SUMIFS(tabela_registros[VALOR],tabela_registros[MÊS],$AE$1,tabela_registros[DIA],investiroutrosconsolidadonov[[#Headers],[8]],tabela_registros[REGISTRO],DADOS!$N$5,tabela_registros[TIPO],DADOS!$AB$5,tabela_registros[CATEGORIA],investiroutrosconsolidadonov[[#This Row],[ATUAL]])</f>
        <v>0</v>
      </c>
      <c r="M152" s="91">
        <f>SUMIFS(tabela_registros[VALOR],tabela_registros[MÊS],$AE$1,tabela_registros[DIA],investiroutrosconsolidadonov[[#Headers],[9]],tabela_registros[REGISTRO],DADOS!$N$5,tabela_registros[TIPO],DADOS!$AB$5,tabela_registros[CATEGORIA],investiroutrosconsolidadonov[[#This Row],[ATUAL]])</f>
        <v>0</v>
      </c>
      <c r="N152" s="91">
        <f>SUMIFS(tabela_registros[VALOR],tabela_registros[MÊS],$AE$1,tabela_registros[DIA],investiroutrosconsolidadonov[[#Headers],[10]],tabela_registros[REGISTRO],DADOS!$N$5,tabela_registros[TIPO],DADOS!$AB$5,tabela_registros[CATEGORIA],investiroutrosconsolidadonov[[#This Row],[ATUAL]])</f>
        <v>0</v>
      </c>
      <c r="O152" s="91">
        <f>SUMIFS(tabela_registros[VALOR],tabela_registros[MÊS],$AE$1,tabela_registros[DIA],investiroutrosconsolidadonov[[#Headers],[11]],tabela_registros[REGISTRO],DADOS!$N$5,tabela_registros[TIPO],DADOS!$AB$5,tabela_registros[CATEGORIA],investiroutrosconsolidadonov[[#This Row],[ATUAL]])</f>
        <v>0</v>
      </c>
      <c r="P152" s="91">
        <f>SUMIFS(tabela_registros[VALOR],tabela_registros[MÊS],$AE$1,tabela_registros[DIA],investiroutrosconsolidadonov[[#Headers],[12]],tabela_registros[REGISTRO],DADOS!$N$5,tabela_registros[TIPO],DADOS!$AB$5,tabela_registros[CATEGORIA],investiroutrosconsolidadonov[[#This Row],[ATUAL]])</f>
        <v>0</v>
      </c>
      <c r="Q152" s="91">
        <f>SUMIFS(tabela_registros[VALOR],tabela_registros[MÊS],$AE$1,tabela_registros[DIA],investiroutrosconsolidadonov[[#Headers],[13]],tabela_registros[REGISTRO],DADOS!$N$5,tabela_registros[TIPO],DADOS!$AB$5,tabela_registros[CATEGORIA],investiroutrosconsolidadonov[[#This Row],[ATUAL]])</f>
        <v>0</v>
      </c>
      <c r="R152" s="91">
        <f>SUMIFS(tabela_registros[VALOR],tabela_registros[MÊS],$AE$1,tabela_registros[DIA],investiroutrosconsolidadonov[[#Headers],[14]],tabela_registros[REGISTRO],DADOS!$N$5,tabela_registros[TIPO],DADOS!$AB$5,tabela_registros[CATEGORIA],investiroutrosconsolidadonov[[#This Row],[ATUAL]])</f>
        <v>0</v>
      </c>
      <c r="S152" s="91">
        <f>SUMIFS(tabela_registros[VALOR],tabela_registros[MÊS],$AE$1,tabela_registros[DIA],investiroutrosconsolidadonov[[#Headers],[15]],tabela_registros[REGISTRO],DADOS!$N$5,tabela_registros[TIPO],DADOS!$AB$5,tabela_registros[CATEGORIA],investiroutrosconsolidadonov[[#This Row],[ATUAL]])</f>
        <v>0</v>
      </c>
      <c r="T152" s="91">
        <f>SUMIFS(tabela_registros[VALOR],tabela_registros[MÊS],$AE$1,tabela_registros[DIA],investiroutrosconsolidadonov[[#Headers],[16]],tabela_registros[REGISTRO],DADOS!$N$5,tabela_registros[TIPO],DADOS!$AB$5,tabela_registros[CATEGORIA],investiroutrosconsolidadonov[[#This Row],[ATUAL]])</f>
        <v>0</v>
      </c>
      <c r="U152" s="91">
        <f>SUMIFS(tabela_registros[VALOR],tabela_registros[MÊS],$AE$1,tabela_registros[DIA],investiroutrosconsolidadonov[[#Headers],[17]],tabela_registros[REGISTRO],DADOS!$N$5,tabela_registros[TIPO],DADOS!$AB$5,tabela_registros[CATEGORIA],investiroutrosconsolidadonov[[#This Row],[ATUAL]])</f>
        <v>0</v>
      </c>
      <c r="V152" s="91">
        <f>SUMIFS(tabela_registros[VALOR],tabela_registros[MÊS],$AE$1,tabela_registros[DIA],investiroutrosconsolidadonov[[#Headers],[18]],tabela_registros[REGISTRO],DADOS!$N$5,tabela_registros[TIPO],DADOS!$AB$5,tabela_registros[CATEGORIA],investiroutrosconsolidadonov[[#This Row],[ATUAL]])</f>
        <v>0</v>
      </c>
      <c r="W152" s="91">
        <f>SUMIFS(tabela_registros[VALOR],tabela_registros[MÊS],$AE$1,tabela_registros[DIA],investiroutrosconsolidadonov[[#Headers],[19]],tabela_registros[REGISTRO],DADOS!$N$5,tabela_registros[TIPO],DADOS!$AB$5,tabela_registros[CATEGORIA],investiroutrosconsolidadonov[[#This Row],[ATUAL]])</f>
        <v>0</v>
      </c>
      <c r="X152" s="91">
        <f>SUMIFS(tabela_registros[VALOR],tabela_registros[MÊS],$AE$1,tabela_registros[DIA],investiroutrosconsolidadonov[[#Headers],[20]],tabela_registros[REGISTRO],DADOS!$N$5,tabela_registros[TIPO],DADOS!$AB$5,tabela_registros[CATEGORIA],investiroutrosconsolidadonov[[#This Row],[ATUAL]])</f>
        <v>0</v>
      </c>
      <c r="Y152" s="91">
        <f>SUMIFS(tabela_registros[VALOR],tabela_registros[MÊS],$AE$1,tabela_registros[DIA],investiroutrosconsolidadonov[[#Headers],[21]],tabela_registros[REGISTRO],DADOS!$N$5,tabela_registros[TIPO],DADOS!$AB$5,tabela_registros[CATEGORIA],investiroutrosconsolidadonov[[#This Row],[ATUAL]])</f>
        <v>0</v>
      </c>
      <c r="Z152" s="91">
        <f>SUMIFS(tabela_registros[VALOR],tabela_registros[MÊS],$AE$1,tabela_registros[DIA],investiroutrosconsolidadonov[[#Headers],[22]],tabela_registros[REGISTRO],DADOS!$N$5,tabela_registros[TIPO],DADOS!$AB$5,tabela_registros[CATEGORIA],investiroutrosconsolidadonov[[#This Row],[ATUAL]])</f>
        <v>0</v>
      </c>
      <c r="AA152" s="91">
        <f>SUMIFS(tabela_registros[VALOR],tabela_registros[MÊS],$AE$1,tabela_registros[DIA],investiroutrosconsolidadonov[[#Headers],[23]],tabela_registros[REGISTRO],DADOS!$N$5,tabela_registros[TIPO],DADOS!$AB$5,tabela_registros[CATEGORIA],investiroutrosconsolidadonov[[#This Row],[ATUAL]])</f>
        <v>0</v>
      </c>
      <c r="AB152" s="91">
        <f>SUMIFS(tabela_registros[VALOR],tabela_registros[MÊS],$AE$1,tabela_registros[DIA],investiroutrosconsolidadonov[[#Headers],[24]],tabela_registros[REGISTRO],DADOS!$N$5,tabela_registros[TIPO],DADOS!$AB$5,tabela_registros[CATEGORIA],investiroutrosconsolidadonov[[#This Row],[ATUAL]])</f>
        <v>0</v>
      </c>
      <c r="AC152" s="91">
        <f>SUMIFS(tabela_registros[VALOR],tabela_registros[MÊS],$AE$1,tabela_registros[DIA],investiroutrosconsolidadonov[[#Headers],[25]],tabela_registros[REGISTRO],DADOS!$N$5,tabela_registros[TIPO],DADOS!$AB$5,tabela_registros[CATEGORIA],investiroutrosconsolidadonov[[#This Row],[ATUAL]])</f>
        <v>0</v>
      </c>
      <c r="AD152" s="91">
        <f>SUMIFS(tabela_registros[VALOR],tabela_registros[MÊS],$AE$1,tabela_registros[DIA],investiroutrosconsolidadonov[[#Headers],[26]],tabela_registros[REGISTRO],DADOS!$N$5,tabela_registros[TIPO],DADOS!$AB$5,tabela_registros[CATEGORIA],investiroutrosconsolidadonov[[#This Row],[ATUAL]])</f>
        <v>0</v>
      </c>
      <c r="AE152" s="91">
        <f>SUMIFS(tabela_registros[VALOR],tabela_registros[MÊS],$AE$1,tabela_registros[DIA],investiroutrosconsolidadonov[[#Headers],[27]],tabela_registros[REGISTRO],DADOS!$N$5,tabela_registros[TIPO],DADOS!$AB$5,tabela_registros[CATEGORIA],investiroutrosconsolidadonov[[#This Row],[ATUAL]])</f>
        <v>0</v>
      </c>
      <c r="AF152" s="91">
        <f>SUMIFS(tabela_registros[VALOR],tabela_registros[MÊS],$AE$1,tabela_registros[DIA],investiroutrosconsolidadonov[[#Headers],[28]],tabela_registros[REGISTRO],DADOS!$N$5,tabela_registros[TIPO],DADOS!$AB$5,tabela_registros[CATEGORIA],investiroutrosconsolidadonov[[#This Row],[ATUAL]])</f>
        <v>0</v>
      </c>
      <c r="AG152" s="91">
        <f>SUMIFS(tabela_registros[VALOR],tabela_registros[MÊS],$AE$1,tabela_registros[DIA],investiroutrosconsolidadonov[[#Headers],[29]],tabela_registros[REGISTRO],DADOS!$N$5,tabela_registros[TIPO],DADOS!$AB$5,tabela_registros[CATEGORIA],investiroutrosconsolidadonov[[#This Row],[ATUAL]])</f>
        <v>0</v>
      </c>
      <c r="AH152" s="91">
        <f>SUMIFS(tabela_registros[VALOR],tabela_registros[MÊS],$AE$1,tabela_registros[DIA],investiroutrosconsolidadonov[[#Headers],[30]],tabela_registros[REGISTRO],DADOS!$N$5,tabela_registros[TIPO],DADOS!$AB$5,tabela_registros[CATEGORIA],investiroutrosconsolidadonov[[#This Row],[ATUAL]])</f>
        <v>0</v>
      </c>
      <c r="AI152" s="101">
        <f>SUMIFS(tabela_registros[VALOR],tabela_registros[MÊS],$AE$1,tabela_registros[DIA],investiroutrosconsolidadonov[[#Headers],[31]],tabela_registros[REGISTRO],DADOS!$N$5,tabela_registros[TIPO],DADOS!$AB$5,tabela_registros[CATEGORIA],investiroutrosconsolidadonov[[#This Row],[ATUAL]])</f>
        <v>0</v>
      </c>
      <c r="AJ152" s="97">
        <f>SUM(investiroutrosconsolidadonov[[#This Row],[1]:[31]])</f>
        <v>0</v>
      </c>
      <c r="AK152" s="25"/>
    </row>
    <row r="153" spans="2:37" ht="19.5" customHeight="1" thickTop="1" thickBot="1" x14ac:dyDescent="0.3">
      <c r="B153" s="28"/>
      <c r="C153" s="27" t="str">
        <f>DADOS!$AH$5</f>
        <v>📝 FUNDO DE INVESTIMENTO</v>
      </c>
      <c r="D153" s="26" t="str">
        <f>IF(investiroutrosconsolidadonov[[#This Row],[TOTAL (R$)]]=0,"",IF(OR(investiroutrosconsolidadonov[[#This Row],[TOTAL (R$)]]=LARGE($AJ$151:$AJ$158,1),investiroutrosconsolidadonov[[#This Row],[TOTAL (R$)]]=LARGE($AJ$151:$AJ$158,2)),DADOS!$I$10,""))</f>
        <v/>
      </c>
      <c r="E153" s="96">
        <f>SUMIFS(tabela_registros[VALOR],tabela_registros[MÊS],$AE$1,tabela_registros[DIA],investiroutrosconsolidadonov[[#Headers],[1]],tabela_registros[REGISTRO],DADOS!$N$5,tabela_registros[TIPO],DADOS!$AB$5,tabela_registros[CATEGORIA],investiroutrosconsolidadonov[[#This Row],[ATUAL]])</f>
        <v>0</v>
      </c>
      <c r="F153" s="91">
        <f>SUMIFS(tabela_registros[VALOR],tabela_registros[MÊS],$AE$1,tabela_registros[DIA],investiroutrosconsolidadonov[[#Headers],[2]],tabela_registros[REGISTRO],DADOS!$N$5,tabela_registros[TIPO],DADOS!$AB$5,tabela_registros[CATEGORIA],investiroutrosconsolidadonov[[#This Row],[ATUAL]])</f>
        <v>0</v>
      </c>
      <c r="G153" s="91">
        <f>SUMIFS(tabela_registros[VALOR],tabela_registros[MÊS],$AE$1,tabela_registros[DIA],investiroutrosconsolidadonov[[#Headers],[3]],tabela_registros[REGISTRO],DADOS!$N$5,tabela_registros[TIPO],DADOS!$AB$5,tabela_registros[CATEGORIA],investiroutrosconsolidadonov[[#This Row],[ATUAL]])</f>
        <v>0</v>
      </c>
      <c r="H153" s="91">
        <f>SUMIFS(tabela_registros[VALOR],tabela_registros[MÊS],$AE$1,tabela_registros[DIA],investiroutrosconsolidadonov[[#Headers],[4]],tabela_registros[REGISTRO],DADOS!$N$5,tabela_registros[TIPO],DADOS!$AB$5,tabela_registros[CATEGORIA],investiroutrosconsolidadonov[[#This Row],[ATUAL]])</f>
        <v>0</v>
      </c>
      <c r="I153" s="91">
        <f>SUMIFS(tabela_registros[VALOR],tabela_registros[MÊS],$AE$1,tabela_registros[DIA],investiroutrosconsolidadonov[[#Headers],[5]],tabela_registros[REGISTRO],DADOS!$N$5,tabela_registros[TIPO],DADOS!$AB$5,tabela_registros[CATEGORIA],investiroutrosconsolidadonov[[#This Row],[ATUAL]])</f>
        <v>0</v>
      </c>
      <c r="J153" s="91">
        <f>SUMIFS(tabela_registros[VALOR],tabela_registros[MÊS],$AE$1,tabela_registros[DIA],investiroutrosconsolidadonov[[#Headers],[6]],tabela_registros[REGISTRO],DADOS!$N$5,tabela_registros[TIPO],DADOS!$AB$5,tabela_registros[CATEGORIA],investiroutrosconsolidadonov[[#This Row],[ATUAL]])</f>
        <v>0</v>
      </c>
      <c r="K153" s="91">
        <f>SUMIFS(tabela_registros[VALOR],tabela_registros[MÊS],$AE$1,tabela_registros[DIA],investiroutrosconsolidadonov[[#Headers],[7]],tabela_registros[REGISTRO],DADOS!$N$5,tabela_registros[TIPO],DADOS!$AB$5,tabela_registros[CATEGORIA],investiroutrosconsolidadonov[[#This Row],[ATUAL]])</f>
        <v>0</v>
      </c>
      <c r="L153" s="91">
        <f>SUMIFS(tabela_registros[VALOR],tabela_registros[MÊS],$AE$1,tabela_registros[DIA],investiroutrosconsolidadonov[[#Headers],[8]],tabela_registros[REGISTRO],DADOS!$N$5,tabela_registros[TIPO],DADOS!$AB$5,tabela_registros[CATEGORIA],investiroutrosconsolidadonov[[#This Row],[ATUAL]])</f>
        <v>0</v>
      </c>
      <c r="M153" s="91">
        <f>SUMIFS(tabela_registros[VALOR],tabela_registros[MÊS],$AE$1,tabela_registros[DIA],investiroutrosconsolidadonov[[#Headers],[9]],tabela_registros[REGISTRO],DADOS!$N$5,tabela_registros[TIPO],DADOS!$AB$5,tabela_registros[CATEGORIA],investiroutrosconsolidadonov[[#This Row],[ATUAL]])</f>
        <v>0</v>
      </c>
      <c r="N153" s="91">
        <f>SUMIFS(tabela_registros[VALOR],tabela_registros[MÊS],$AE$1,tabela_registros[DIA],investiroutrosconsolidadonov[[#Headers],[10]],tabela_registros[REGISTRO],DADOS!$N$5,tabela_registros[TIPO],DADOS!$AB$5,tabela_registros[CATEGORIA],investiroutrosconsolidadonov[[#This Row],[ATUAL]])</f>
        <v>0</v>
      </c>
      <c r="O153" s="91">
        <f>SUMIFS(tabela_registros[VALOR],tabela_registros[MÊS],$AE$1,tabela_registros[DIA],investiroutrosconsolidadonov[[#Headers],[11]],tabela_registros[REGISTRO],DADOS!$N$5,tabela_registros[TIPO],DADOS!$AB$5,tabela_registros[CATEGORIA],investiroutrosconsolidadonov[[#This Row],[ATUAL]])</f>
        <v>0</v>
      </c>
      <c r="P153" s="91">
        <f>SUMIFS(tabela_registros[VALOR],tabela_registros[MÊS],$AE$1,tabela_registros[DIA],investiroutrosconsolidadonov[[#Headers],[12]],tabela_registros[REGISTRO],DADOS!$N$5,tabela_registros[TIPO],DADOS!$AB$5,tabela_registros[CATEGORIA],investiroutrosconsolidadonov[[#This Row],[ATUAL]])</f>
        <v>0</v>
      </c>
      <c r="Q153" s="91">
        <f>SUMIFS(tabela_registros[VALOR],tabela_registros[MÊS],$AE$1,tabela_registros[DIA],investiroutrosconsolidadonov[[#Headers],[13]],tabela_registros[REGISTRO],DADOS!$N$5,tabela_registros[TIPO],DADOS!$AB$5,tabela_registros[CATEGORIA],investiroutrosconsolidadonov[[#This Row],[ATUAL]])</f>
        <v>0</v>
      </c>
      <c r="R153" s="91">
        <f>SUMIFS(tabela_registros[VALOR],tabela_registros[MÊS],$AE$1,tabela_registros[DIA],investiroutrosconsolidadonov[[#Headers],[14]],tabela_registros[REGISTRO],DADOS!$N$5,tabela_registros[TIPO],DADOS!$AB$5,tabela_registros[CATEGORIA],investiroutrosconsolidadonov[[#This Row],[ATUAL]])</f>
        <v>0</v>
      </c>
      <c r="S153" s="91">
        <f>SUMIFS(tabela_registros[VALOR],tabela_registros[MÊS],$AE$1,tabela_registros[DIA],investiroutrosconsolidadonov[[#Headers],[15]],tabela_registros[REGISTRO],DADOS!$N$5,tabela_registros[TIPO],DADOS!$AB$5,tabela_registros[CATEGORIA],investiroutrosconsolidadonov[[#This Row],[ATUAL]])</f>
        <v>0</v>
      </c>
      <c r="T153" s="91">
        <f>SUMIFS(tabela_registros[VALOR],tabela_registros[MÊS],$AE$1,tabela_registros[DIA],investiroutrosconsolidadonov[[#Headers],[16]],tabela_registros[REGISTRO],DADOS!$N$5,tabela_registros[TIPO],DADOS!$AB$5,tabela_registros[CATEGORIA],investiroutrosconsolidadonov[[#This Row],[ATUAL]])</f>
        <v>0</v>
      </c>
      <c r="U153" s="91">
        <f>SUMIFS(tabela_registros[VALOR],tabela_registros[MÊS],$AE$1,tabela_registros[DIA],investiroutrosconsolidadonov[[#Headers],[17]],tabela_registros[REGISTRO],DADOS!$N$5,tabela_registros[TIPO],DADOS!$AB$5,tabela_registros[CATEGORIA],investiroutrosconsolidadonov[[#This Row],[ATUAL]])</f>
        <v>0</v>
      </c>
      <c r="V153" s="91">
        <f>SUMIFS(tabela_registros[VALOR],tabela_registros[MÊS],$AE$1,tabela_registros[DIA],investiroutrosconsolidadonov[[#Headers],[18]],tabela_registros[REGISTRO],DADOS!$N$5,tabela_registros[TIPO],DADOS!$AB$5,tabela_registros[CATEGORIA],investiroutrosconsolidadonov[[#This Row],[ATUAL]])</f>
        <v>0</v>
      </c>
      <c r="W153" s="91">
        <f>SUMIFS(tabela_registros[VALOR],tabela_registros[MÊS],$AE$1,tabela_registros[DIA],investiroutrosconsolidadonov[[#Headers],[19]],tabela_registros[REGISTRO],DADOS!$N$5,tabela_registros[TIPO],DADOS!$AB$5,tabela_registros[CATEGORIA],investiroutrosconsolidadonov[[#This Row],[ATUAL]])</f>
        <v>0</v>
      </c>
      <c r="X153" s="91">
        <f>SUMIFS(tabela_registros[VALOR],tabela_registros[MÊS],$AE$1,tabela_registros[DIA],investiroutrosconsolidadonov[[#Headers],[20]],tabela_registros[REGISTRO],DADOS!$N$5,tabela_registros[TIPO],DADOS!$AB$5,tabela_registros[CATEGORIA],investiroutrosconsolidadonov[[#This Row],[ATUAL]])</f>
        <v>0</v>
      </c>
      <c r="Y153" s="91">
        <f>SUMIFS(tabela_registros[VALOR],tabela_registros[MÊS],$AE$1,tabela_registros[DIA],investiroutrosconsolidadonov[[#Headers],[21]],tabela_registros[REGISTRO],DADOS!$N$5,tabela_registros[TIPO],DADOS!$AB$5,tabela_registros[CATEGORIA],investiroutrosconsolidadonov[[#This Row],[ATUAL]])</f>
        <v>0</v>
      </c>
      <c r="Z153" s="91">
        <f>SUMIFS(tabela_registros[VALOR],tabela_registros[MÊS],$AE$1,tabela_registros[DIA],investiroutrosconsolidadonov[[#Headers],[22]],tabela_registros[REGISTRO],DADOS!$N$5,tabela_registros[TIPO],DADOS!$AB$5,tabela_registros[CATEGORIA],investiroutrosconsolidadonov[[#This Row],[ATUAL]])</f>
        <v>0</v>
      </c>
      <c r="AA153" s="91">
        <f>SUMIFS(tabela_registros[VALOR],tabela_registros[MÊS],$AE$1,tabela_registros[DIA],investiroutrosconsolidadonov[[#Headers],[23]],tabela_registros[REGISTRO],DADOS!$N$5,tabela_registros[TIPO],DADOS!$AB$5,tabela_registros[CATEGORIA],investiroutrosconsolidadonov[[#This Row],[ATUAL]])</f>
        <v>0</v>
      </c>
      <c r="AB153" s="91">
        <f>SUMIFS(tabela_registros[VALOR],tabela_registros[MÊS],$AE$1,tabela_registros[DIA],investiroutrosconsolidadonov[[#Headers],[24]],tabela_registros[REGISTRO],DADOS!$N$5,tabela_registros[TIPO],DADOS!$AB$5,tabela_registros[CATEGORIA],investiroutrosconsolidadonov[[#This Row],[ATUAL]])</f>
        <v>0</v>
      </c>
      <c r="AC153" s="91">
        <f>SUMIFS(tabela_registros[VALOR],tabela_registros[MÊS],$AE$1,tabela_registros[DIA],investiroutrosconsolidadonov[[#Headers],[25]],tabela_registros[REGISTRO],DADOS!$N$5,tabela_registros[TIPO],DADOS!$AB$5,tabela_registros[CATEGORIA],investiroutrosconsolidadonov[[#This Row],[ATUAL]])</f>
        <v>0</v>
      </c>
      <c r="AD153" s="91">
        <f>SUMIFS(tabela_registros[VALOR],tabela_registros[MÊS],$AE$1,tabela_registros[DIA],investiroutrosconsolidadonov[[#Headers],[26]],tabela_registros[REGISTRO],DADOS!$N$5,tabela_registros[TIPO],DADOS!$AB$5,tabela_registros[CATEGORIA],investiroutrosconsolidadonov[[#This Row],[ATUAL]])</f>
        <v>0</v>
      </c>
      <c r="AE153" s="91">
        <f>SUMIFS(tabela_registros[VALOR],tabela_registros[MÊS],$AE$1,tabela_registros[DIA],investiroutrosconsolidadonov[[#Headers],[27]],tabela_registros[REGISTRO],DADOS!$N$5,tabela_registros[TIPO],DADOS!$AB$5,tabela_registros[CATEGORIA],investiroutrosconsolidadonov[[#This Row],[ATUAL]])</f>
        <v>0</v>
      </c>
      <c r="AF153" s="91">
        <f>SUMIFS(tabela_registros[VALOR],tabela_registros[MÊS],$AE$1,tabela_registros[DIA],investiroutrosconsolidadonov[[#Headers],[28]],tabela_registros[REGISTRO],DADOS!$N$5,tabela_registros[TIPO],DADOS!$AB$5,tabela_registros[CATEGORIA],investiroutrosconsolidadonov[[#This Row],[ATUAL]])</f>
        <v>0</v>
      </c>
      <c r="AG153" s="91">
        <f>SUMIFS(tabela_registros[VALOR],tabela_registros[MÊS],$AE$1,tabela_registros[DIA],investiroutrosconsolidadonov[[#Headers],[29]],tabela_registros[REGISTRO],DADOS!$N$5,tabela_registros[TIPO],DADOS!$AB$5,tabela_registros[CATEGORIA],investiroutrosconsolidadonov[[#This Row],[ATUAL]])</f>
        <v>0</v>
      </c>
      <c r="AH153" s="91">
        <f>SUMIFS(tabela_registros[VALOR],tabela_registros[MÊS],$AE$1,tabela_registros[DIA],investiroutrosconsolidadonov[[#Headers],[30]],tabela_registros[REGISTRO],DADOS!$N$5,tabela_registros[TIPO],DADOS!$AB$5,tabela_registros[CATEGORIA],investiroutrosconsolidadonov[[#This Row],[ATUAL]])</f>
        <v>0</v>
      </c>
      <c r="AI153" s="101">
        <f>SUMIFS(tabela_registros[VALOR],tabela_registros[MÊS],$AE$1,tabela_registros[DIA],investiroutrosconsolidadonov[[#Headers],[31]],tabela_registros[REGISTRO],DADOS!$N$5,tabela_registros[TIPO],DADOS!$AB$5,tabela_registros[CATEGORIA],investiroutrosconsolidadonov[[#This Row],[ATUAL]])</f>
        <v>0</v>
      </c>
      <c r="AJ153" s="97">
        <f>SUM(investiroutrosconsolidadonov[[#This Row],[1]:[31]])</f>
        <v>0</v>
      </c>
      <c r="AK153" s="25"/>
    </row>
    <row r="154" spans="2:37" ht="19.5" customHeight="1" thickTop="1" thickBot="1" x14ac:dyDescent="0.3">
      <c r="B154" s="28"/>
      <c r="C154" s="27" t="str">
        <f>DADOS!$AH$6</f>
        <v>📝 NOVA EMPRESA</v>
      </c>
      <c r="D154" s="26" t="str">
        <f>IF(investiroutrosconsolidadonov[[#This Row],[TOTAL (R$)]]=0,"",IF(OR(investiroutrosconsolidadonov[[#This Row],[TOTAL (R$)]]=LARGE($AJ$151:$AJ$158,1),investiroutrosconsolidadonov[[#This Row],[TOTAL (R$)]]=LARGE($AJ$151:$AJ$158,2)),DADOS!$I$10,""))</f>
        <v/>
      </c>
      <c r="E154" s="96">
        <f>SUMIFS(tabela_registros[VALOR],tabela_registros[MÊS],$AE$1,tabela_registros[DIA],investiroutrosconsolidadonov[[#Headers],[1]],tabela_registros[REGISTRO],DADOS!$N$5,tabela_registros[TIPO],DADOS!$AB$5,tabela_registros[CATEGORIA],investiroutrosconsolidadonov[[#This Row],[ATUAL]])</f>
        <v>0</v>
      </c>
      <c r="F154" s="91">
        <f>SUMIFS(tabela_registros[VALOR],tabela_registros[MÊS],$AE$1,tabela_registros[DIA],investiroutrosconsolidadonov[[#Headers],[2]],tabela_registros[REGISTRO],DADOS!$N$5,tabela_registros[TIPO],DADOS!$AB$5,tabela_registros[CATEGORIA],investiroutrosconsolidadonov[[#This Row],[ATUAL]])</f>
        <v>0</v>
      </c>
      <c r="G154" s="91">
        <f>SUMIFS(tabela_registros[VALOR],tabela_registros[MÊS],$AE$1,tabela_registros[DIA],investiroutrosconsolidadonov[[#Headers],[3]],tabela_registros[REGISTRO],DADOS!$N$5,tabela_registros[TIPO],DADOS!$AB$5,tabela_registros[CATEGORIA],investiroutrosconsolidadonov[[#This Row],[ATUAL]])</f>
        <v>0</v>
      </c>
      <c r="H154" s="91">
        <f>SUMIFS(tabela_registros[VALOR],tabela_registros[MÊS],$AE$1,tabela_registros[DIA],investiroutrosconsolidadonov[[#Headers],[4]],tabela_registros[REGISTRO],DADOS!$N$5,tabela_registros[TIPO],DADOS!$AB$5,tabela_registros[CATEGORIA],investiroutrosconsolidadonov[[#This Row],[ATUAL]])</f>
        <v>0</v>
      </c>
      <c r="I154" s="91">
        <f>SUMIFS(tabela_registros[VALOR],tabela_registros[MÊS],$AE$1,tabela_registros[DIA],investiroutrosconsolidadonov[[#Headers],[5]],tabela_registros[REGISTRO],DADOS!$N$5,tabela_registros[TIPO],DADOS!$AB$5,tabela_registros[CATEGORIA],investiroutrosconsolidadonov[[#This Row],[ATUAL]])</f>
        <v>0</v>
      </c>
      <c r="J154" s="91">
        <f>SUMIFS(tabela_registros[VALOR],tabela_registros[MÊS],$AE$1,tabela_registros[DIA],investiroutrosconsolidadonov[[#Headers],[6]],tabela_registros[REGISTRO],DADOS!$N$5,tabela_registros[TIPO],DADOS!$AB$5,tabela_registros[CATEGORIA],investiroutrosconsolidadonov[[#This Row],[ATUAL]])</f>
        <v>0</v>
      </c>
      <c r="K154" s="91">
        <f>SUMIFS(tabela_registros[VALOR],tabela_registros[MÊS],$AE$1,tabela_registros[DIA],investiroutrosconsolidadonov[[#Headers],[7]],tabela_registros[REGISTRO],DADOS!$N$5,tabela_registros[TIPO],DADOS!$AB$5,tabela_registros[CATEGORIA],investiroutrosconsolidadonov[[#This Row],[ATUAL]])</f>
        <v>0</v>
      </c>
      <c r="L154" s="91">
        <f>SUMIFS(tabela_registros[VALOR],tabela_registros[MÊS],$AE$1,tabela_registros[DIA],investiroutrosconsolidadonov[[#Headers],[8]],tabela_registros[REGISTRO],DADOS!$N$5,tabela_registros[TIPO],DADOS!$AB$5,tabela_registros[CATEGORIA],investiroutrosconsolidadonov[[#This Row],[ATUAL]])</f>
        <v>0</v>
      </c>
      <c r="M154" s="91">
        <f>SUMIFS(tabela_registros[VALOR],tabela_registros[MÊS],$AE$1,tabela_registros[DIA],investiroutrosconsolidadonov[[#Headers],[9]],tabela_registros[REGISTRO],DADOS!$N$5,tabela_registros[TIPO],DADOS!$AB$5,tabela_registros[CATEGORIA],investiroutrosconsolidadonov[[#This Row],[ATUAL]])</f>
        <v>0</v>
      </c>
      <c r="N154" s="91">
        <f>SUMIFS(tabela_registros[VALOR],tabela_registros[MÊS],$AE$1,tabela_registros[DIA],investiroutrosconsolidadonov[[#Headers],[10]],tabela_registros[REGISTRO],DADOS!$N$5,tabela_registros[TIPO],DADOS!$AB$5,tabela_registros[CATEGORIA],investiroutrosconsolidadonov[[#This Row],[ATUAL]])</f>
        <v>0</v>
      </c>
      <c r="O154" s="91">
        <f>SUMIFS(tabela_registros[VALOR],tabela_registros[MÊS],$AE$1,tabela_registros[DIA],investiroutrosconsolidadonov[[#Headers],[11]],tabela_registros[REGISTRO],DADOS!$N$5,tabela_registros[TIPO],DADOS!$AB$5,tabela_registros[CATEGORIA],investiroutrosconsolidadonov[[#This Row],[ATUAL]])</f>
        <v>0</v>
      </c>
      <c r="P154" s="91">
        <f>SUMIFS(tabela_registros[VALOR],tabela_registros[MÊS],$AE$1,tabela_registros[DIA],investiroutrosconsolidadonov[[#Headers],[12]],tabela_registros[REGISTRO],DADOS!$N$5,tabela_registros[TIPO],DADOS!$AB$5,tabela_registros[CATEGORIA],investiroutrosconsolidadonov[[#This Row],[ATUAL]])</f>
        <v>0</v>
      </c>
      <c r="Q154" s="91">
        <f>SUMIFS(tabela_registros[VALOR],tabela_registros[MÊS],$AE$1,tabela_registros[DIA],investiroutrosconsolidadonov[[#Headers],[13]],tabela_registros[REGISTRO],DADOS!$N$5,tabela_registros[TIPO],DADOS!$AB$5,tabela_registros[CATEGORIA],investiroutrosconsolidadonov[[#This Row],[ATUAL]])</f>
        <v>0</v>
      </c>
      <c r="R154" s="91">
        <f>SUMIFS(tabela_registros[VALOR],tabela_registros[MÊS],$AE$1,tabela_registros[DIA],investiroutrosconsolidadonov[[#Headers],[14]],tabela_registros[REGISTRO],DADOS!$N$5,tabela_registros[TIPO],DADOS!$AB$5,tabela_registros[CATEGORIA],investiroutrosconsolidadonov[[#This Row],[ATUAL]])</f>
        <v>0</v>
      </c>
      <c r="S154" s="91">
        <f>SUMIFS(tabela_registros[VALOR],tabela_registros[MÊS],$AE$1,tabela_registros[DIA],investiroutrosconsolidadonov[[#Headers],[15]],tabela_registros[REGISTRO],DADOS!$N$5,tabela_registros[TIPO],DADOS!$AB$5,tabela_registros[CATEGORIA],investiroutrosconsolidadonov[[#This Row],[ATUAL]])</f>
        <v>0</v>
      </c>
      <c r="T154" s="91">
        <f>SUMIFS(tabela_registros[VALOR],tabela_registros[MÊS],$AE$1,tabela_registros[DIA],investiroutrosconsolidadonov[[#Headers],[16]],tabela_registros[REGISTRO],DADOS!$N$5,tabela_registros[TIPO],DADOS!$AB$5,tabela_registros[CATEGORIA],investiroutrosconsolidadonov[[#This Row],[ATUAL]])</f>
        <v>0</v>
      </c>
      <c r="U154" s="91">
        <f>SUMIFS(tabela_registros[VALOR],tabela_registros[MÊS],$AE$1,tabela_registros[DIA],investiroutrosconsolidadonov[[#Headers],[17]],tabela_registros[REGISTRO],DADOS!$N$5,tabela_registros[TIPO],DADOS!$AB$5,tabela_registros[CATEGORIA],investiroutrosconsolidadonov[[#This Row],[ATUAL]])</f>
        <v>0</v>
      </c>
      <c r="V154" s="91">
        <f>SUMIFS(tabela_registros[VALOR],tabela_registros[MÊS],$AE$1,tabela_registros[DIA],investiroutrosconsolidadonov[[#Headers],[18]],tabela_registros[REGISTRO],DADOS!$N$5,tabela_registros[TIPO],DADOS!$AB$5,tabela_registros[CATEGORIA],investiroutrosconsolidadonov[[#This Row],[ATUAL]])</f>
        <v>0</v>
      </c>
      <c r="W154" s="91">
        <f>SUMIFS(tabela_registros[VALOR],tabela_registros[MÊS],$AE$1,tabela_registros[DIA],investiroutrosconsolidadonov[[#Headers],[19]],tabela_registros[REGISTRO],DADOS!$N$5,tabela_registros[TIPO],DADOS!$AB$5,tabela_registros[CATEGORIA],investiroutrosconsolidadonov[[#This Row],[ATUAL]])</f>
        <v>0</v>
      </c>
      <c r="X154" s="91">
        <f>SUMIFS(tabela_registros[VALOR],tabela_registros[MÊS],$AE$1,tabela_registros[DIA],investiroutrosconsolidadonov[[#Headers],[20]],tabela_registros[REGISTRO],DADOS!$N$5,tabela_registros[TIPO],DADOS!$AB$5,tabela_registros[CATEGORIA],investiroutrosconsolidadonov[[#This Row],[ATUAL]])</f>
        <v>0</v>
      </c>
      <c r="Y154" s="91">
        <f>SUMIFS(tabela_registros[VALOR],tabela_registros[MÊS],$AE$1,tabela_registros[DIA],investiroutrosconsolidadonov[[#Headers],[21]],tabela_registros[REGISTRO],DADOS!$N$5,tabela_registros[TIPO],DADOS!$AB$5,tabela_registros[CATEGORIA],investiroutrosconsolidadonov[[#This Row],[ATUAL]])</f>
        <v>0</v>
      </c>
      <c r="Z154" s="91">
        <f>SUMIFS(tabela_registros[VALOR],tabela_registros[MÊS],$AE$1,tabela_registros[DIA],investiroutrosconsolidadonov[[#Headers],[22]],tabela_registros[REGISTRO],DADOS!$N$5,tabela_registros[TIPO],DADOS!$AB$5,tabela_registros[CATEGORIA],investiroutrosconsolidadonov[[#This Row],[ATUAL]])</f>
        <v>0</v>
      </c>
      <c r="AA154" s="91">
        <f>SUMIFS(tabela_registros[VALOR],tabela_registros[MÊS],$AE$1,tabela_registros[DIA],investiroutrosconsolidadonov[[#Headers],[23]],tabela_registros[REGISTRO],DADOS!$N$5,tabela_registros[TIPO],DADOS!$AB$5,tabela_registros[CATEGORIA],investiroutrosconsolidadonov[[#This Row],[ATUAL]])</f>
        <v>0</v>
      </c>
      <c r="AB154" s="91">
        <f>SUMIFS(tabela_registros[VALOR],tabela_registros[MÊS],$AE$1,tabela_registros[DIA],investiroutrosconsolidadonov[[#Headers],[24]],tabela_registros[REGISTRO],DADOS!$N$5,tabela_registros[TIPO],DADOS!$AB$5,tabela_registros[CATEGORIA],investiroutrosconsolidadonov[[#This Row],[ATUAL]])</f>
        <v>0</v>
      </c>
      <c r="AC154" s="91">
        <f>SUMIFS(tabela_registros[VALOR],tabela_registros[MÊS],$AE$1,tabela_registros[DIA],investiroutrosconsolidadonov[[#Headers],[25]],tabela_registros[REGISTRO],DADOS!$N$5,tabela_registros[TIPO],DADOS!$AB$5,tabela_registros[CATEGORIA],investiroutrosconsolidadonov[[#This Row],[ATUAL]])</f>
        <v>0</v>
      </c>
      <c r="AD154" s="91">
        <f>SUMIFS(tabela_registros[VALOR],tabela_registros[MÊS],$AE$1,tabela_registros[DIA],investiroutrosconsolidadonov[[#Headers],[26]],tabela_registros[REGISTRO],DADOS!$N$5,tabela_registros[TIPO],DADOS!$AB$5,tabela_registros[CATEGORIA],investiroutrosconsolidadonov[[#This Row],[ATUAL]])</f>
        <v>0</v>
      </c>
      <c r="AE154" s="91">
        <f>SUMIFS(tabela_registros[VALOR],tabela_registros[MÊS],$AE$1,tabela_registros[DIA],investiroutrosconsolidadonov[[#Headers],[27]],tabela_registros[REGISTRO],DADOS!$N$5,tabela_registros[TIPO],DADOS!$AB$5,tabela_registros[CATEGORIA],investiroutrosconsolidadonov[[#This Row],[ATUAL]])</f>
        <v>0</v>
      </c>
      <c r="AF154" s="91">
        <f>SUMIFS(tabela_registros[VALOR],tabela_registros[MÊS],$AE$1,tabela_registros[DIA],investiroutrosconsolidadonov[[#Headers],[28]],tabela_registros[REGISTRO],DADOS!$N$5,tabela_registros[TIPO],DADOS!$AB$5,tabela_registros[CATEGORIA],investiroutrosconsolidadonov[[#This Row],[ATUAL]])</f>
        <v>0</v>
      </c>
      <c r="AG154" s="91">
        <f>SUMIFS(tabela_registros[VALOR],tabela_registros[MÊS],$AE$1,tabela_registros[DIA],investiroutrosconsolidadonov[[#Headers],[29]],tabela_registros[REGISTRO],DADOS!$N$5,tabela_registros[TIPO],DADOS!$AB$5,tabela_registros[CATEGORIA],investiroutrosconsolidadonov[[#This Row],[ATUAL]])</f>
        <v>0</v>
      </c>
      <c r="AH154" s="91">
        <f>SUMIFS(tabela_registros[VALOR],tabela_registros[MÊS],$AE$1,tabela_registros[DIA],investiroutrosconsolidadonov[[#Headers],[30]],tabela_registros[REGISTRO],DADOS!$N$5,tabela_registros[TIPO],DADOS!$AB$5,tabela_registros[CATEGORIA],investiroutrosconsolidadonov[[#This Row],[ATUAL]])</f>
        <v>0</v>
      </c>
      <c r="AI154" s="101">
        <f>SUMIFS(tabela_registros[VALOR],tabela_registros[MÊS],$AE$1,tabela_registros[DIA],investiroutrosconsolidadonov[[#Headers],[31]],tabela_registros[REGISTRO],DADOS!$N$5,tabela_registros[TIPO],DADOS!$AB$5,tabela_registros[CATEGORIA],investiroutrosconsolidadonov[[#This Row],[ATUAL]])</f>
        <v>0</v>
      </c>
      <c r="AJ154" s="97">
        <f>SUM(investiroutrosconsolidadonov[[#This Row],[1]:[31]])</f>
        <v>0</v>
      </c>
      <c r="AK154" s="25"/>
    </row>
    <row r="155" spans="2:37" ht="19.5" customHeight="1" thickTop="1" thickBot="1" x14ac:dyDescent="0.3">
      <c r="B155" s="28"/>
      <c r="C155" s="27" t="str">
        <f>DADOS!$AH$7</f>
        <v>📝 PEER TO COMPANY</v>
      </c>
      <c r="D155" s="26" t="str">
        <f>IF(investiroutrosconsolidadonov[[#This Row],[TOTAL (R$)]]=0,"",IF(OR(investiroutrosconsolidadonov[[#This Row],[TOTAL (R$)]]=LARGE($AJ$151:$AJ$158,1),investiroutrosconsolidadonov[[#This Row],[TOTAL (R$)]]=LARGE($AJ$151:$AJ$158,2)),DADOS!$I$10,""))</f>
        <v/>
      </c>
      <c r="E155" s="96">
        <f>SUMIFS(tabela_registros[VALOR],tabela_registros[MÊS],$AE$1,tabela_registros[DIA],investiroutrosconsolidadonov[[#Headers],[1]],tabela_registros[REGISTRO],DADOS!$N$5,tabela_registros[TIPO],DADOS!$AB$5,tabela_registros[CATEGORIA],investiroutrosconsolidadonov[[#This Row],[ATUAL]])</f>
        <v>0</v>
      </c>
      <c r="F155" s="91">
        <f>SUMIFS(tabela_registros[VALOR],tabela_registros[MÊS],$AE$1,tabela_registros[DIA],investiroutrosconsolidadonov[[#Headers],[2]],tabela_registros[REGISTRO],DADOS!$N$5,tabela_registros[TIPO],DADOS!$AB$5,tabela_registros[CATEGORIA],investiroutrosconsolidadonov[[#This Row],[ATUAL]])</f>
        <v>0</v>
      </c>
      <c r="G155" s="91">
        <f>SUMIFS(tabela_registros[VALOR],tabela_registros[MÊS],$AE$1,tabela_registros[DIA],investiroutrosconsolidadonov[[#Headers],[3]],tabela_registros[REGISTRO],DADOS!$N$5,tabela_registros[TIPO],DADOS!$AB$5,tabela_registros[CATEGORIA],investiroutrosconsolidadonov[[#This Row],[ATUAL]])</f>
        <v>0</v>
      </c>
      <c r="H155" s="91">
        <f>SUMIFS(tabela_registros[VALOR],tabela_registros[MÊS],$AE$1,tabela_registros[DIA],investiroutrosconsolidadonov[[#Headers],[4]],tabela_registros[REGISTRO],DADOS!$N$5,tabela_registros[TIPO],DADOS!$AB$5,tabela_registros[CATEGORIA],investiroutrosconsolidadonov[[#This Row],[ATUAL]])</f>
        <v>0</v>
      </c>
      <c r="I155" s="91">
        <f>SUMIFS(tabela_registros[VALOR],tabela_registros[MÊS],$AE$1,tabela_registros[DIA],investiroutrosconsolidadonov[[#Headers],[5]],tabela_registros[REGISTRO],DADOS!$N$5,tabela_registros[TIPO],DADOS!$AB$5,tabela_registros[CATEGORIA],investiroutrosconsolidadonov[[#This Row],[ATUAL]])</f>
        <v>0</v>
      </c>
      <c r="J155" s="91">
        <f>SUMIFS(tabela_registros[VALOR],tabela_registros[MÊS],$AE$1,tabela_registros[DIA],investiroutrosconsolidadonov[[#Headers],[6]],tabela_registros[REGISTRO],DADOS!$N$5,tabela_registros[TIPO],DADOS!$AB$5,tabela_registros[CATEGORIA],investiroutrosconsolidadonov[[#This Row],[ATUAL]])</f>
        <v>0</v>
      </c>
      <c r="K155" s="91">
        <f>SUMIFS(tabela_registros[VALOR],tabela_registros[MÊS],$AE$1,tabela_registros[DIA],investiroutrosconsolidadonov[[#Headers],[7]],tabela_registros[REGISTRO],DADOS!$N$5,tabela_registros[TIPO],DADOS!$AB$5,tabela_registros[CATEGORIA],investiroutrosconsolidadonov[[#This Row],[ATUAL]])</f>
        <v>0</v>
      </c>
      <c r="L155" s="91">
        <f>SUMIFS(tabela_registros[VALOR],tabela_registros[MÊS],$AE$1,tabela_registros[DIA],investiroutrosconsolidadonov[[#Headers],[8]],tabela_registros[REGISTRO],DADOS!$N$5,tabela_registros[TIPO],DADOS!$AB$5,tabela_registros[CATEGORIA],investiroutrosconsolidadonov[[#This Row],[ATUAL]])</f>
        <v>0</v>
      </c>
      <c r="M155" s="91">
        <f>SUMIFS(tabela_registros[VALOR],tabela_registros[MÊS],$AE$1,tabela_registros[DIA],investiroutrosconsolidadonov[[#Headers],[9]],tabela_registros[REGISTRO],DADOS!$N$5,tabela_registros[TIPO],DADOS!$AB$5,tabela_registros[CATEGORIA],investiroutrosconsolidadonov[[#This Row],[ATUAL]])</f>
        <v>0</v>
      </c>
      <c r="N155" s="91">
        <f>SUMIFS(tabela_registros[VALOR],tabela_registros[MÊS],$AE$1,tabela_registros[DIA],investiroutrosconsolidadonov[[#Headers],[10]],tabela_registros[REGISTRO],DADOS!$N$5,tabela_registros[TIPO],DADOS!$AB$5,tabela_registros[CATEGORIA],investiroutrosconsolidadonov[[#This Row],[ATUAL]])</f>
        <v>0</v>
      </c>
      <c r="O155" s="91">
        <f>SUMIFS(tabela_registros[VALOR],tabela_registros[MÊS],$AE$1,tabela_registros[DIA],investiroutrosconsolidadonov[[#Headers],[11]],tabela_registros[REGISTRO],DADOS!$N$5,tabela_registros[TIPO],DADOS!$AB$5,tabela_registros[CATEGORIA],investiroutrosconsolidadonov[[#This Row],[ATUAL]])</f>
        <v>0</v>
      </c>
      <c r="P155" s="91">
        <f>SUMIFS(tabela_registros[VALOR],tabela_registros[MÊS],$AE$1,tabela_registros[DIA],investiroutrosconsolidadonov[[#Headers],[12]],tabela_registros[REGISTRO],DADOS!$N$5,tabela_registros[TIPO],DADOS!$AB$5,tabela_registros[CATEGORIA],investiroutrosconsolidadonov[[#This Row],[ATUAL]])</f>
        <v>0</v>
      </c>
      <c r="Q155" s="91">
        <f>SUMIFS(tabela_registros[VALOR],tabela_registros[MÊS],$AE$1,tabela_registros[DIA],investiroutrosconsolidadonov[[#Headers],[13]],tabela_registros[REGISTRO],DADOS!$N$5,tabela_registros[TIPO],DADOS!$AB$5,tabela_registros[CATEGORIA],investiroutrosconsolidadonov[[#This Row],[ATUAL]])</f>
        <v>0</v>
      </c>
      <c r="R155" s="91">
        <f>SUMIFS(tabela_registros[VALOR],tabela_registros[MÊS],$AE$1,tabela_registros[DIA],investiroutrosconsolidadonov[[#Headers],[14]],tabela_registros[REGISTRO],DADOS!$N$5,tabela_registros[TIPO],DADOS!$AB$5,tabela_registros[CATEGORIA],investiroutrosconsolidadonov[[#This Row],[ATUAL]])</f>
        <v>0</v>
      </c>
      <c r="S155" s="91">
        <f>SUMIFS(tabela_registros[VALOR],tabela_registros[MÊS],$AE$1,tabela_registros[DIA],investiroutrosconsolidadonov[[#Headers],[15]],tabela_registros[REGISTRO],DADOS!$N$5,tabela_registros[TIPO],DADOS!$AB$5,tabela_registros[CATEGORIA],investiroutrosconsolidadonov[[#This Row],[ATUAL]])</f>
        <v>0</v>
      </c>
      <c r="T155" s="91">
        <f>SUMIFS(tabela_registros[VALOR],tabela_registros[MÊS],$AE$1,tabela_registros[DIA],investiroutrosconsolidadonov[[#Headers],[16]],tabela_registros[REGISTRO],DADOS!$N$5,tabela_registros[TIPO],DADOS!$AB$5,tabela_registros[CATEGORIA],investiroutrosconsolidadonov[[#This Row],[ATUAL]])</f>
        <v>0</v>
      </c>
      <c r="U155" s="91">
        <f>SUMIFS(tabela_registros[VALOR],tabela_registros[MÊS],$AE$1,tabela_registros[DIA],investiroutrosconsolidadonov[[#Headers],[17]],tabela_registros[REGISTRO],DADOS!$N$5,tabela_registros[TIPO],DADOS!$AB$5,tabela_registros[CATEGORIA],investiroutrosconsolidadonov[[#This Row],[ATUAL]])</f>
        <v>0</v>
      </c>
      <c r="V155" s="91">
        <f>SUMIFS(tabela_registros[VALOR],tabela_registros[MÊS],$AE$1,tabela_registros[DIA],investiroutrosconsolidadonov[[#Headers],[18]],tabela_registros[REGISTRO],DADOS!$N$5,tabela_registros[TIPO],DADOS!$AB$5,tabela_registros[CATEGORIA],investiroutrosconsolidadonov[[#This Row],[ATUAL]])</f>
        <v>0</v>
      </c>
      <c r="W155" s="91">
        <f>SUMIFS(tabela_registros[VALOR],tabela_registros[MÊS],$AE$1,tabela_registros[DIA],investiroutrosconsolidadonov[[#Headers],[19]],tabela_registros[REGISTRO],DADOS!$N$5,tabela_registros[TIPO],DADOS!$AB$5,tabela_registros[CATEGORIA],investiroutrosconsolidadonov[[#This Row],[ATUAL]])</f>
        <v>0</v>
      </c>
      <c r="X155" s="91">
        <f>SUMIFS(tabela_registros[VALOR],tabela_registros[MÊS],$AE$1,tabela_registros[DIA],investiroutrosconsolidadonov[[#Headers],[20]],tabela_registros[REGISTRO],DADOS!$N$5,tabela_registros[TIPO],DADOS!$AB$5,tabela_registros[CATEGORIA],investiroutrosconsolidadonov[[#This Row],[ATUAL]])</f>
        <v>0</v>
      </c>
      <c r="Y155" s="91">
        <f>SUMIFS(tabela_registros[VALOR],tabela_registros[MÊS],$AE$1,tabela_registros[DIA],investiroutrosconsolidadonov[[#Headers],[21]],tabela_registros[REGISTRO],DADOS!$N$5,tabela_registros[TIPO],DADOS!$AB$5,tabela_registros[CATEGORIA],investiroutrosconsolidadonov[[#This Row],[ATUAL]])</f>
        <v>0</v>
      </c>
      <c r="Z155" s="91">
        <f>SUMIFS(tabela_registros[VALOR],tabela_registros[MÊS],$AE$1,tabela_registros[DIA],investiroutrosconsolidadonov[[#Headers],[22]],tabela_registros[REGISTRO],DADOS!$N$5,tabela_registros[TIPO],DADOS!$AB$5,tabela_registros[CATEGORIA],investiroutrosconsolidadonov[[#This Row],[ATUAL]])</f>
        <v>0</v>
      </c>
      <c r="AA155" s="91">
        <f>SUMIFS(tabela_registros[VALOR],tabela_registros[MÊS],$AE$1,tabela_registros[DIA],investiroutrosconsolidadonov[[#Headers],[23]],tabela_registros[REGISTRO],DADOS!$N$5,tabela_registros[TIPO],DADOS!$AB$5,tabela_registros[CATEGORIA],investiroutrosconsolidadonov[[#This Row],[ATUAL]])</f>
        <v>0</v>
      </c>
      <c r="AB155" s="91">
        <f>SUMIFS(tabela_registros[VALOR],tabela_registros[MÊS],$AE$1,tabela_registros[DIA],investiroutrosconsolidadonov[[#Headers],[24]],tabela_registros[REGISTRO],DADOS!$N$5,tabela_registros[TIPO],DADOS!$AB$5,tabela_registros[CATEGORIA],investiroutrosconsolidadonov[[#This Row],[ATUAL]])</f>
        <v>0</v>
      </c>
      <c r="AC155" s="91">
        <f>SUMIFS(tabela_registros[VALOR],tabela_registros[MÊS],$AE$1,tabela_registros[DIA],investiroutrosconsolidadonov[[#Headers],[25]],tabela_registros[REGISTRO],DADOS!$N$5,tabela_registros[TIPO],DADOS!$AB$5,tabela_registros[CATEGORIA],investiroutrosconsolidadonov[[#This Row],[ATUAL]])</f>
        <v>0</v>
      </c>
      <c r="AD155" s="91">
        <f>SUMIFS(tabela_registros[VALOR],tabela_registros[MÊS],$AE$1,tabela_registros[DIA],investiroutrosconsolidadonov[[#Headers],[26]],tabela_registros[REGISTRO],DADOS!$N$5,tabela_registros[TIPO],DADOS!$AB$5,tabela_registros[CATEGORIA],investiroutrosconsolidadonov[[#This Row],[ATUAL]])</f>
        <v>0</v>
      </c>
      <c r="AE155" s="91">
        <f>SUMIFS(tabela_registros[VALOR],tabela_registros[MÊS],$AE$1,tabela_registros[DIA],investiroutrosconsolidadonov[[#Headers],[27]],tabela_registros[REGISTRO],DADOS!$N$5,tabela_registros[TIPO],DADOS!$AB$5,tabela_registros[CATEGORIA],investiroutrosconsolidadonov[[#This Row],[ATUAL]])</f>
        <v>0</v>
      </c>
      <c r="AF155" s="91">
        <f>SUMIFS(tabela_registros[VALOR],tabela_registros[MÊS],$AE$1,tabela_registros[DIA],investiroutrosconsolidadonov[[#Headers],[28]],tabela_registros[REGISTRO],DADOS!$N$5,tabela_registros[TIPO],DADOS!$AB$5,tabela_registros[CATEGORIA],investiroutrosconsolidadonov[[#This Row],[ATUAL]])</f>
        <v>0</v>
      </c>
      <c r="AG155" s="91">
        <f>SUMIFS(tabela_registros[VALOR],tabela_registros[MÊS],$AE$1,tabela_registros[DIA],investiroutrosconsolidadonov[[#Headers],[29]],tabela_registros[REGISTRO],DADOS!$N$5,tabela_registros[TIPO],DADOS!$AB$5,tabela_registros[CATEGORIA],investiroutrosconsolidadonov[[#This Row],[ATUAL]])</f>
        <v>0</v>
      </c>
      <c r="AH155" s="91">
        <f>SUMIFS(tabela_registros[VALOR],tabela_registros[MÊS],$AE$1,tabela_registros[DIA],investiroutrosconsolidadonov[[#Headers],[30]],tabela_registros[REGISTRO],DADOS!$N$5,tabela_registros[TIPO],DADOS!$AB$5,tabela_registros[CATEGORIA],investiroutrosconsolidadonov[[#This Row],[ATUAL]])</f>
        <v>0</v>
      </c>
      <c r="AI155" s="101">
        <f>SUMIFS(tabela_registros[VALOR],tabela_registros[MÊS],$AE$1,tabela_registros[DIA],investiroutrosconsolidadonov[[#Headers],[31]],tabela_registros[REGISTRO],DADOS!$N$5,tabela_registros[TIPO],DADOS!$AB$5,tabela_registros[CATEGORIA],investiroutrosconsolidadonov[[#This Row],[ATUAL]])</f>
        <v>0</v>
      </c>
      <c r="AJ155" s="97">
        <f>SUM(investiroutrosconsolidadonov[[#This Row],[1]:[31]])</f>
        <v>0</v>
      </c>
      <c r="AK155" s="25"/>
    </row>
    <row r="156" spans="2:37" ht="19.5" customHeight="1" thickTop="1" thickBot="1" x14ac:dyDescent="0.3">
      <c r="B156" s="28"/>
      <c r="C156" s="27" t="str">
        <f>DADOS!$AH$8</f>
        <v>📝 PEER TO PEER</v>
      </c>
      <c r="D156" s="26" t="str">
        <f>IF(investiroutrosconsolidadonov[[#This Row],[TOTAL (R$)]]=0,"",IF(OR(investiroutrosconsolidadonov[[#This Row],[TOTAL (R$)]]=LARGE($AJ$151:$AJ$158,1),investiroutrosconsolidadonov[[#This Row],[TOTAL (R$)]]=LARGE($AJ$151:$AJ$158,2)),DADOS!$I$10,""))</f>
        <v/>
      </c>
      <c r="E156" s="96">
        <f>SUMIFS(tabela_registros[VALOR],tabela_registros[MÊS],$AE$1,tabela_registros[DIA],investiroutrosconsolidadonov[[#Headers],[1]],tabela_registros[REGISTRO],DADOS!$N$5,tabela_registros[TIPO],DADOS!$AB$5,tabela_registros[CATEGORIA],investiroutrosconsolidadonov[[#This Row],[ATUAL]])</f>
        <v>0</v>
      </c>
      <c r="F156" s="91">
        <f>SUMIFS(tabela_registros[VALOR],tabela_registros[MÊS],$AE$1,tabela_registros[DIA],investiroutrosconsolidadonov[[#Headers],[2]],tabela_registros[REGISTRO],DADOS!$N$5,tabela_registros[TIPO],DADOS!$AB$5,tabela_registros[CATEGORIA],investiroutrosconsolidadonov[[#This Row],[ATUAL]])</f>
        <v>0</v>
      </c>
      <c r="G156" s="91">
        <f>SUMIFS(tabela_registros[VALOR],tabela_registros[MÊS],$AE$1,tabela_registros[DIA],investiroutrosconsolidadonov[[#Headers],[3]],tabela_registros[REGISTRO],DADOS!$N$5,tabela_registros[TIPO],DADOS!$AB$5,tabela_registros[CATEGORIA],investiroutrosconsolidadonov[[#This Row],[ATUAL]])</f>
        <v>0</v>
      </c>
      <c r="H156" s="91">
        <f>SUMIFS(tabela_registros[VALOR],tabela_registros[MÊS],$AE$1,tabela_registros[DIA],investiroutrosconsolidadonov[[#Headers],[4]],tabela_registros[REGISTRO],DADOS!$N$5,tabela_registros[TIPO],DADOS!$AB$5,tabela_registros[CATEGORIA],investiroutrosconsolidadonov[[#This Row],[ATUAL]])</f>
        <v>0</v>
      </c>
      <c r="I156" s="91">
        <f>SUMIFS(tabela_registros[VALOR],tabela_registros[MÊS],$AE$1,tabela_registros[DIA],investiroutrosconsolidadonov[[#Headers],[5]],tabela_registros[REGISTRO],DADOS!$N$5,tabela_registros[TIPO],DADOS!$AB$5,tabela_registros[CATEGORIA],investiroutrosconsolidadonov[[#This Row],[ATUAL]])</f>
        <v>0</v>
      </c>
      <c r="J156" s="91">
        <f>SUMIFS(tabela_registros[VALOR],tabela_registros[MÊS],$AE$1,tabela_registros[DIA],investiroutrosconsolidadonov[[#Headers],[6]],tabela_registros[REGISTRO],DADOS!$N$5,tabela_registros[TIPO],DADOS!$AB$5,tabela_registros[CATEGORIA],investiroutrosconsolidadonov[[#This Row],[ATUAL]])</f>
        <v>0</v>
      </c>
      <c r="K156" s="91">
        <f>SUMIFS(tabela_registros[VALOR],tabela_registros[MÊS],$AE$1,tabela_registros[DIA],investiroutrosconsolidadonov[[#Headers],[7]],tabela_registros[REGISTRO],DADOS!$N$5,tabela_registros[TIPO],DADOS!$AB$5,tabela_registros[CATEGORIA],investiroutrosconsolidadonov[[#This Row],[ATUAL]])</f>
        <v>0</v>
      </c>
      <c r="L156" s="91">
        <f>SUMIFS(tabela_registros[VALOR],tabela_registros[MÊS],$AE$1,tabela_registros[DIA],investiroutrosconsolidadonov[[#Headers],[8]],tabela_registros[REGISTRO],DADOS!$N$5,tabela_registros[TIPO],DADOS!$AB$5,tabela_registros[CATEGORIA],investiroutrosconsolidadonov[[#This Row],[ATUAL]])</f>
        <v>0</v>
      </c>
      <c r="M156" s="91">
        <f>SUMIFS(tabela_registros[VALOR],tabela_registros[MÊS],$AE$1,tabela_registros[DIA],investiroutrosconsolidadonov[[#Headers],[9]],tabela_registros[REGISTRO],DADOS!$N$5,tabela_registros[TIPO],DADOS!$AB$5,tabela_registros[CATEGORIA],investiroutrosconsolidadonov[[#This Row],[ATUAL]])</f>
        <v>0</v>
      </c>
      <c r="N156" s="91">
        <f>SUMIFS(tabela_registros[VALOR],tabela_registros[MÊS],$AE$1,tabela_registros[DIA],investiroutrosconsolidadonov[[#Headers],[10]],tabela_registros[REGISTRO],DADOS!$N$5,tabela_registros[TIPO],DADOS!$AB$5,tabela_registros[CATEGORIA],investiroutrosconsolidadonov[[#This Row],[ATUAL]])</f>
        <v>0</v>
      </c>
      <c r="O156" s="91">
        <f>SUMIFS(tabela_registros[VALOR],tabela_registros[MÊS],$AE$1,tabela_registros[DIA],investiroutrosconsolidadonov[[#Headers],[11]],tabela_registros[REGISTRO],DADOS!$N$5,tabela_registros[TIPO],DADOS!$AB$5,tabela_registros[CATEGORIA],investiroutrosconsolidadonov[[#This Row],[ATUAL]])</f>
        <v>0</v>
      </c>
      <c r="P156" s="91">
        <f>SUMIFS(tabela_registros[VALOR],tabela_registros[MÊS],$AE$1,tabela_registros[DIA],investiroutrosconsolidadonov[[#Headers],[12]],tabela_registros[REGISTRO],DADOS!$N$5,tabela_registros[TIPO],DADOS!$AB$5,tabela_registros[CATEGORIA],investiroutrosconsolidadonov[[#This Row],[ATUAL]])</f>
        <v>0</v>
      </c>
      <c r="Q156" s="91">
        <f>SUMIFS(tabela_registros[VALOR],tabela_registros[MÊS],$AE$1,tabela_registros[DIA],investiroutrosconsolidadonov[[#Headers],[13]],tabela_registros[REGISTRO],DADOS!$N$5,tabela_registros[TIPO],DADOS!$AB$5,tabela_registros[CATEGORIA],investiroutrosconsolidadonov[[#This Row],[ATUAL]])</f>
        <v>0</v>
      </c>
      <c r="R156" s="91">
        <f>SUMIFS(tabela_registros[VALOR],tabela_registros[MÊS],$AE$1,tabela_registros[DIA],investiroutrosconsolidadonov[[#Headers],[14]],tabela_registros[REGISTRO],DADOS!$N$5,tabela_registros[TIPO],DADOS!$AB$5,tabela_registros[CATEGORIA],investiroutrosconsolidadonov[[#This Row],[ATUAL]])</f>
        <v>0</v>
      </c>
      <c r="S156" s="91">
        <f>SUMIFS(tabela_registros[VALOR],tabela_registros[MÊS],$AE$1,tabela_registros[DIA],investiroutrosconsolidadonov[[#Headers],[15]],tabela_registros[REGISTRO],DADOS!$N$5,tabela_registros[TIPO],DADOS!$AB$5,tabela_registros[CATEGORIA],investiroutrosconsolidadonov[[#This Row],[ATUAL]])</f>
        <v>0</v>
      </c>
      <c r="T156" s="91">
        <f>SUMIFS(tabela_registros[VALOR],tabela_registros[MÊS],$AE$1,tabela_registros[DIA],investiroutrosconsolidadonov[[#Headers],[16]],tabela_registros[REGISTRO],DADOS!$N$5,tabela_registros[TIPO],DADOS!$AB$5,tabela_registros[CATEGORIA],investiroutrosconsolidadonov[[#This Row],[ATUAL]])</f>
        <v>0</v>
      </c>
      <c r="U156" s="91">
        <f>SUMIFS(tabela_registros[VALOR],tabela_registros[MÊS],$AE$1,tabela_registros[DIA],investiroutrosconsolidadonov[[#Headers],[17]],tabela_registros[REGISTRO],DADOS!$N$5,tabela_registros[TIPO],DADOS!$AB$5,tabela_registros[CATEGORIA],investiroutrosconsolidadonov[[#This Row],[ATUAL]])</f>
        <v>0</v>
      </c>
      <c r="V156" s="91">
        <f>SUMIFS(tabela_registros[VALOR],tabela_registros[MÊS],$AE$1,tabela_registros[DIA],investiroutrosconsolidadonov[[#Headers],[18]],tabela_registros[REGISTRO],DADOS!$N$5,tabela_registros[TIPO],DADOS!$AB$5,tabela_registros[CATEGORIA],investiroutrosconsolidadonov[[#This Row],[ATUAL]])</f>
        <v>0</v>
      </c>
      <c r="W156" s="91">
        <f>SUMIFS(tabela_registros[VALOR],tabela_registros[MÊS],$AE$1,tabela_registros[DIA],investiroutrosconsolidadonov[[#Headers],[19]],tabela_registros[REGISTRO],DADOS!$N$5,tabela_registros[TIPO],DADOS!$AB$5,tabela_registros[CATEGORIA],investiroutrosconsolidadonov[[#This Row],[ATUAL]])</f>
        <v>0</v>
      </c>
      <c r="X156" s="91">
        <f>SUMIFS(tabela_registros[VALOR],tabela_registros[MÊS],$AE$1,tabela_registros[DIA],investiroutrosconsolidadonov[[#Headers],[20]],tabela_registros[REGISTRO],DADOS!$N$5,tabela_registros[TIPO],DADOS!$AB$5,tabela_registros[CATEGORIA],investiroutrosconsolidadonov[[#This Row],[ATUAL]])</f>
        <v>0</v>
      </c>
      <c r="Y156" s="91">
        <f>SUMIFS(tabela_registros[VALOR],tabela_registros[MÊS],$AE$1,tabela_registros[DIA],investiroutrosconsolidadonov[[#Headers],[21]],tabela_registros[REGISTRO],DADOS!$N$5,tabela_registros[TIPO],DADOS!$AB$5,tabela_registros[CATEGORIA],investiroutrosconsolidadonov[[#This Row],[ATUAL]])</f>
        <v>0</v>
      </c>
      <c r="Z156" s="91">
        <f>SUMIFS(tabela_registros[VALOR],tabela_registros[MÊS],$AE$1,tabela_registros[DIA],investiroutrosconsolidadonov[[#Headers],[22]],tabela_registros[REGISTRO],DADOS!$N$5,tabela_registros[TIPO],DADOS!$AB$5,tabela_registros[CATEGORIA],investiroutrosconsolidadonov[[#This Row],[ATUAL]])</f>
        <v>0</v>
      </c>
      <c r="AA156" s="91">
        <f>SUMIFS(tabela_registros[VALOR],tabela_registros[MÊS],$AE$1,tabela_registros[DIA],investiroutrosconsolidadonov[[#Headers],[23]],tabela_registros[REGISTRO],DADOS!$N$5,tabela_registros[TIPO],DADOS!$AB$5,tabela_registros[CATEGORIA],investiroutrosconsolidadonov[[#This Row],[ATUAL]])</f>
        <v>0</v>
      </c>
      <c r="AB156" s="91">
        <f>SUMIFS(tabela_registros[VALOR],tabela_registros[MÊS],$AE$1,tabela_registros[DIA],investiroutrosconsolidadonov[[#Headers],[24]],tabela_registros[REGISTRO],DADOS!$N$5,tabela_registros[TIPO],DADOS!$AB$5,tabela_registros[CATEGORIA],investiroutrosconsolidadonov[[#This Row],[ATUAL]])</f>
        <v>0</v>
      </c>
      <c r="AC156" s="91">
        <f>SUMIFS(tabela_registros[VALOR],tabela_registros[MÊS],$AE$1,tabela_registros[DIA],investiroutrosconsolidadonov[[#Headers],[25]],tabela_registros[REGISTRO],DADOS!$N$5,tabela_registros[TIPO],DADOS!$AB$5,tabela_registros[CATEGORIA],investiroutrosconsolidadonov[[#This Row],[ATUAL]])</f>
        <v>0</v>
      </c>
      <c r="AD156" s="91">
        <f>SUMIFS(tabela_registros[VALOR],tabela_registros[MÊS],$AE$1,tabela_registros[DIA],investiroutrosconsolidadonov[[#Headers],[26]],tabela_registros[REGISTRO],DADOS!$N$5,tabela_registros[TIPO],DADOS!$AB$5,tabela_registros[CATEGORIA],investiroutrosconsolidadonov[[#This Row],[ATUAL]])</f>
        <v>0</v>
      </c>
      <c r="AE156" s="91">
        <f>SUMIFS(tabela_registros[VALOR],tabela_registros[MÊS],$AE$1,tabela_registros[DIA],investiroutrosconsolidadonov[[#Headers],[27]],tabela_registros[REGISTRO],DADOS!$N$5,tabela_registros[TIPO],DADOS!$AB$5,tabela_registros[CATEGORIA],investiroutrosconsolidadonov[[#This Row],[ATUAL]])</f>
        <v>0</v>
      </c>
      <c r="AF156" s="91">
        <f>SUMIFS(tabela_registros[VALOR],tabela_registros[MÊS],$AE$1,tabela_registros[DIA],investiroutrosconsolidadonov[[#Headers],[28]],tabela_registros[REGISTRO],DADOS!$N$5,tabela_registros[TIPO],DADOS!$AB$5,tabela_registros[CATEGORIA],investiroutrosconsolidadonov[[#This Row],[ATUAL]])</f>
        <v>0</v>
      </c>
      <c r="AG156" s="91">
        <f>SUMIFS(tabela_registros[VALOR],tabela_registros[MÊS],$AE$1,tabela_registros[DIA],investiroutrosconsolidadonov[[#Headers],[29]],tabela_registros[REGISTRO],DADOS!$N$5,tabela_registros[TIPO],DADOS!$AB$5,tabela_registros[CATEGORIA],investiroutrosconsolidadonov[[#This Row],[ATUAL]])</f>
        <v>0</v>
      </c>
      <c r="AH156" s="91">
        <f>SUMIFS(tabela_registros[VALOR],tabela_registros[MÊS],$AE$1,tabela_registros[DIA],investiroutrosconsolidadonov[[#Headers],[30]],tabela_registros[REGISTRO],DADOS!$N$5,tabela_registros[TIPO],DADOS!$AB$5,tabela_registros[CATEGORIA],investiroutrosconsolidadonov[[#This Row],[ATUAL]])</f>
        <v>0</v>
      </c>
      <c r="AI156" s="101">
        <f>SUMIFS(tabela_registros[VALOR],tabela_registros[MÊS],$AE$1,tabela_registros[DIA],investiroutrosconsolidadonov[[#Headers],[31]],tabela_registros[REGISTRO],DADOS!$N$5,tabela_registros[TIPO],DADOS!$AB$5,tabela_registros[CATEGORIA],investiroutrosconsolidadonov[[#This Row],[ATUAL]])</f>
        <v>0</v>
      </c>
      <c r="AJ156" s="97">
        <f>SUM(investiroutrosconsolidadonov[[#This Row],[1]:[31]])</f>
        <v>0</v>
      </c>
      <c r="AK156" s="25"/>
    </row>
    <row r="157" spans="2:37" ht="19.5" customHeight="1" thickTop="1" thickBot="1" x14ac:dyDescent="0.3">
      <c r="B157" s="28"/>
      <c r="C157" s="27" t="str">
        <f>DADOS!$AH$9</f>
        <v>📝 PREVIDÊNCIA PRIVADA</v>
      </c>
      <c r="D157" s="26" t="str">
        <f>IF(investiroutrosconsolidadonov[[#This Row],[TOTAL (R$)]]=0,"",IF(OR(investiroutrosconsolidadonov[[#This Row],[TOTAL (R$)]]=LARGE($AJ$151:$AJ$158,1),investiroutrosconsolidadonov[[#This Row],[TOTAL (R$)]]=LARGE($AJ$151:$AJ$158,2)),DADOS!$I$10,""))</f>
        <v/>
      </c>
      <c r="E157" s="96">
        <f>SUMIFS(tabela_registros[VALOR],tabela_registros[MÊS],$AE$1,tabela_registros[DIA],investiroutrosconsolidadonov[[#Headers],[1]],tabela_registros[REGISTRO],DADOS!$N$5,tabela_registros[TIPO],DADOS!$AB$5,tabela_registros[CATEGORIA],investiroutrosconsolidadonov[[#This Row],[ATUAL]])</f>
        <v>0</v>
      </c>
      <c r="F157" s="91">
        <f>SUMIFS(tabela_registros[VALOR],tabela_registros[MÊS],$AE$1,tabela_registros[DIA],investiroutrosconsolidadonov[[#Headers],[2]],tabela_registros[REGISTRO],DADOS!$N$5,tabela_registros[TIPO],DADOS!$AB$5,tabela_registros[CATEGORIA],investiroutrosconsolidadonov[[#This Row],[ATUAL]])</f>
        <v>0</v>
      </c>
      <c r="G157" s="91">
        <f>SUMIFS(tabela_registros[VALOR],tabela_registros[MÊS],$AE$1,tabela_registros[DIA],investiroutrosconsolidadonov[[#Headers],[3]],tabela_registros[REGISTRO],DADOS!$N$5,tabela_registros[TIPO],DADOS!$AB$5,tabela_registros[CATEGORIA],investiroutrosconsolidadonov[[#This Row],[ATUAL]])</f>
        <v>0</v>
      </c>
      <c r="H157" s="91">
        <f>SUMIFS(tabela_registros[VALOR],tabela_registros[MÊS],$AE$1,tabela_registros[DIA],investiroutrosconsolidadonov[[#Headers],[4]],tabela_registros[REGISTRO],DADOS!$N$5,tabela_registros[TIPO],DADOS!$AB$5,tabela_registros[CATEGORIA],investiroutrosconsolidadonov[[#This Row],[ATUAL]])</f>
        <v>0</v>
      </c>
      <c r="I157" s="91">
        <f>SUMIFS(tabela_registros[VALOR],tabela_registros[MÊS],$AE$1,tabela_registros[DIA],investiroutrosconsolidadonov[[#Headers],[5]],tabela_registros[REGISTRO],DADOS!$N$5,tabela_registros[TIPO],DADOS!$AB$5,tabela_registros[CATEGORIA],investiroutrosconsolidadonov[[#This Row],[ATUAL]])</f>
        <v>0</v>
      </c>
      <c r="J157" s="91">
        <f>SUMIFS(tabela_registros[VALOR],tabela_registros[MÊS],$AE$1,tabela_registros[DIA],investiroutrosconsolidadonov[[#Headers],[6]],tabela_registros[REGISTRO],DADOS!$N$5,tabela_registros[TIPO],DADOS!$AB$5,tabela_registros[CATEGORIA],investiroutrosconsolidadonov[[#This Row],[ATUAL]])</f>
        <v>0</v>
      </c>
      <c r="K157" s="91">
        <f>SUMIFS(tabela_registros[VALOR],tabela_registros[MÊS],$AE$1,tabela_registros[DIA],investiroutrosconsolidadonov[[#Headers],[7]],tabela_registros[REGISTRO],DADOS!$N$5,tabela_registros[TIPO],DADOS!$AB$5,tabela_registros[CATEGORIA],investiroutrosconsolidadonov[[#This Row],[ATUAL]])</f>
        <v>0</v>
      </c>
      <c r="L157" s="91">
        <f>SUMIFS(tabela_registros[VALOR],tabela_registros[MÊS],$AE$1,tabela_registros[DIA],investiroutrosconsolidadonov[[#Headers],[8]],tabela_registros[REGISTRO],DADOS!$N$5,tabela_registros[TIPO],DADOS!$AB$5,tabela_registros[CATEGORIA],investiroutrosconsolidadonov[[#This Row],[ATUAL]])</f>
        <v>0</v>
      </c>
      <c r="M157" s="91">
        <f>SUMIFS(tabela_registros[VALOR],tabela_registros[MÊS],$AE$1,tabela_registros[DIA],investiroutrosconsolidadonov[[#Headers],[9]],tabela_registros[REGISTRO],DADOS!$N$5,tabela_registros[TIPO],DADOS!$AB$5,tabela_registros[CATEGORIA],investiroutrosconsolidadonov[[#This Row],[ATUAL]])</f>
        <v>0</v>
      </c>
      <c r="N157" s="91">
        <f>SUMIFS(tabela_registros[VALOR],tabela_registros[MÊS],$AE$1,tabela_registros[DIA],investiroutrosconsolidadonov[[#Headers],[10]],tabela_registros[REGISTRO],DADOS!$N$5,tabela_registros[TIPO],DADOS!$AB$5,tabela_registros[CATEGORIA],investiroutrosconsolidadonov[[#This Row],[ATUAL]])</f>
        <v>0</v>
      </c>
      <c r="O157" s="91">
        <f>SUMIFS(tabela_registros[VALOR],tabela_registros[MÊS],$AE$1,tabela_registros[DIA],investiroutrosconsolidadonov[[#Headers],[11]],tabela_registros[REGISTRO],DADOS!$N$5,tabela_registros[TIPO],DADOS!$AB$5,tabela_registros[CATEGORIA],investiroutrosconsolidadonov[[#This Row],[ATUAL]])</f>
        <v>0</v>
      </c>
      <c r="P157" s="91">
        <f>SUMIFS(tabela_registros[VALOR],tabela_registros[MÊS],$AE$1,tabela_registros[DIA],investiroutrosconsolidadonov[[#Headers],[12]],tabela_registros[REGISTRO],DADOS!$N$5,tabela_registros[TIPO],DADOS!$AB$5,tabela_registros[CATEGORIA],investiroutrosconsolidadonov[[#This Row],[ATUAL]])</f>
        <v>0</v>
      </c>
      <c r="Q157" s="91">
        <f>SUMIFS(tabela_registros[VALOR],tabela_registros[MÊS],$AE$1,tabela_registros[DIA],investiroutrosconsolidadonov[[#Headers],[13]],tabela_registros[REGISTRO],DADOS!$N$5,tabela_registros[TIPO],DADOS!$AB$5,tabela_registros[CATEGORIA],investiroutrosconsolidadonov[[#This Row],[ATUAL]])</f>
        <v>0</v>
      </c>
      <c r="R157" s="91">
        <f>SUMIFS(tabela_registros[VALOR],tabela_registros[MÊS],$AE$1,tabela_registros[DIA],investiroutrosconsolidadonov[[#Headers],[14]],tabela_registros[REGISTRO],DADOS!$N$5,tabela_registros[TIPO],DADOS!$AB$5,tabela_registros[CATEGORIA],investiroutrosconsolidadonov[[#This Row],[ATUAL]])</f>
        <v>0</v>
      </c>
      <c r="S157" s="91">
        <f>SUMIFS(tabela_registros[VALOR],tabela_registros[MÊS],$AE$1,tabela_registros[DIA],investiroutrosconsolidadonov[[#Headers],[15]],tabela_registros[REGISTRO],DADOS!$N$5,tabela_registros[TIPO],DADOS!$AB$5,tabela_registros[CATEGORIA],investiroutrosconsolidadonov[[#This Row],[ATUAL]])</f>
        <v>0</v>
      </c>
      <c r="T157" s="91">
        <f>SUMIFS(tabela_registros[VALOR],tabela_registros[MÊS],$AE$1,tabela_registros[DIA],investiroutrosconsolidadonov[[#Headers],[16]],tabela_registros[REGISTRO],DADOS!$N$5,tabela_registros[TIPO],DADOS!$AB$5,tabela_registros[CATEGORIA],investiroutrosconsolidadonov[[#This Row],[ATUAL]])</f>
        <v>0</v>
      </c>
      <c r="U157" s="91">
        <f>SUMIFS(tabela_registros[VALOR],tabela_registros[MÊS],$AE$1,tabela_registros[DIA],investiroutrosconsolidadonov[[#Headers],[17]],tabela_registros[REGISTRO],DADOS!$N$5,tabela_registros[TIPO],DADOS!$AB$5,tabela_registros[CATEGORIA],investiroutrosconsolidadonov[[#This Row],[ATUAL]])</f>
        <v>0</v>
      </c>
      <c r="V157" s="91">
        <f>SUMIFS(tabela_registros[VALOR],tabela_registros[MÊS],$AE$1,tabela_registros[DIA],investiroutrosconsolidadonov[[#Headers],[18]],tabela_registros[REGISTRO],DADOS!$N$5,tabela_registros[TIPO],DADOS!$AB$5,tabela_registros[CATEGORIA],investiroutrosconsolidadonov[[#This Row],[ATUAL]])</f>
        <v>0</v>
      </c>
      <c r="W157" s="91">
        <f>SUMIFS(tabela_registros[VALOR],tabela_registros[MÊS],$AE$1,tabela_registros[DIA],investiroutrosconsolidadonov[[#Headers],[19]],tabela_registros[REGISTRO],DADOS!$N$5,tabela_registros[TIPO],DADOS!$AB$5,tabela_registros[CATEGORIA],investiroutrosconsolidadonov[[#This Row],[ATUAL]])</f>
        <v>0</v>
      </c>
      <c r="X157" s="91">
        <f>SUMIFS(tabela_registros[VALOR],tabela_registros[MÊS],$AE$1,tabela_registros[DIA],investiroutrosconsolidadonov[[#Headers],[20]],tabela_registros[REGISTRO],DADOS!$N$5,tabela_registros[TIPO],DADOS!$AB$5,tabela_registros[CATEGORIA],investiroutrosconsolidadonov[[#This Row],[ATUAL]])</f>
        <v>0</v>
      </c>
      <c r="Y157" s="91">
        <f>SUMIFS(tabela_registros[VALOR],tabela_registros[MÊS],$AE$1,tabela_registros[DIA],investiroutrosconsolidadonov[[#Headers],[21]],tabela_registros[REGISTRO],DADOS!$N$5,tabela_registros[TIPO],DADOS!$AB$5,tabela_registros[CATEGORIA],investiroutrosconsolidadonov[[#This Row],[ATUAL]])</f>
        <v>0</v>
      </c>
      <c r="Z157" s="91">
        <f>SUMIFS(tabela_registros[VALOR],tabela_registros[MÊS],$AE$1,tabela_registros[DIA],investiroutrosconsolidadonov[[#Headers],[22]],tabela_registros[REGISTRO],DADOS!$N$5,tabela_registros[TIPO],DADOS!$AB$5,tabela_registros[CATEGORIA],investiroutrosconsolidadonov[[#This Row],[ATUAL]])</f>
        <v>0</v>
      </c>
      <c r="AA157" s="91">
        <f>SUMIFS(tabela_registros[VALOR],tabela_registros[MÊS],$AE$1,tabela_registros[DIA],investiroutrosconsolidadonov[[#Headers],[23]],tabela_registros[REGISTRO],DADOS!$N$5,tabela_registros[TIPO],DADOS!$AB$5,tabela_registros[CATEGORIA],investiroutrosconsolidadonov[[#This Row],[ATUAL]])</f>
        <v>0</v>
      </c>
      <c r="AB157" s="91">
        <f>SUMIFS(tabela_registros[VALOR],tabela_registros[MÊS],$AE$1,tabela_registros[DIA],investiroutrosconsolidadonov[[#Headers],[24]],tabela_registros[REGISTRO],DADOS!$N$5,tabela_registros[TIPO],DADOS!$AB$5,tabela_registros[CATEGORIA],investiroutrosconsolidadonov[[#This Row],[ATUAL]])</f>
        <v>0</v>
      </c>
      <c r="AC157" s="91">
        <f>SUMIFS(tabela_registros[VALOR],tabela_registros[MÊS],$AE$1,tabela_registros[DIA],investiroutrosconsolidadonov[[#Headers],[25]],tabela_registros[REGISTRO],DADOS!$N$5,tabela_registros[TIPO],DADOS!$AB$5,tabela_registros[CATEGORIA],investiroutrosconsolidadonov[[#This Row],[ATUAL]])</f>
        <v>0</v>
      </c>
      <c r="AD157" s="91">
        <f>SUMIFS(tabela_registros[VALOR],tabela_registros[MÊS],$AE$1,tabela_registros[DIA],investiroutrosconsolidadonov[[#Headers],[26]],tabela_registros[REGISTRO],DADOS!$N$5,tabela_registros[TIPO],DADOS!$AB$5,tabela_registros[CATEGORIA],investiroutrosconsolidadonov[[#This Row],[ATUAL]])</f>
        <v>0</v>
      </c>
      <c r="AE157" s="91">
        <f>SUMIFS(tabela_registros[VALOR],tabela_registros[MÊS],$AE$1,tabela_registros[DIA],investiroutrosconsolidadonov[[#Headers],[27]],tabela_registros[REGISTRO],DADOS!$N$5,tabela_registros[TIPO],DADOS!$AB$5,tabela_registros[CATEGORIA],investiroutrosconsolidadonov[[#This Row],[ATUAL]])</f>
        <v>0</v>
      </c>
      <c r="AF157" s="91">
        <f>SUMIFS(tabela_registros[VALOR],tabela_registros[MÊS],$AE$1,tabela_registros[DIA],investiroutrosconsolidadonov[[#Headers],[28]],tabela_registros[REGISTRO],DADOS!$N$5,tabela_registros[TIPO],DADOS!$AB$5,tabela_registros[CATEGORIA],investiroutrosconsolidadonov[[#This Row],[ATUAL]])</f>
        <v>0</v>
      </c>
      <c r="AG157" s="91">
        <f>SUMIFS(tabela_registros[VALOR],tabela_registros[MÊS],$AE$1,tabela_registros[DIA],investiroutrosconsolidadonov[[#Headers],[29]],tabela_registros[REGISTRO],DADOS!$N$5,tabela_registros[TIPO],DADOS!$AB$5,tabela_registros[CATEGORIA],investiroutrosconsolidadonov[[#This Row],[ATUAL]])</f>
        <v>0</v>
      </c>
      <c r="AH157" s="91">
        <f>SUMIFS(tabela_registros[VALOR],tabela_registros[MÊS],$AE$1,tabela_registros[DIA],investiroutrosconsolidadonov[[#Headers],[30]],tabela_registros[REGISTRO],DADOS!$N$5,tabela_registros[TIPO],DADOS!$AB$5,tabela_registros[CATEGORIA],investiroutrosconsolidadonov[[#This Row],[ATUAL]])</f>
        <v>0</v>
      </c>
      <c r="AI157" s="101">
        <f>SUMIFS(tabela_registros[VALOR],tabela_registros[MÊS],$AE$1,tabela_registros[DIA],investiroutrosconsolidadonov[[#Headers],[31]],tabela_registros[REGISTRO],DADOS!$N$5,tabela_registros[TIPO],DADOS!$AB$5,tabela_registros[CATEGORIA],investiroutrosconsolidadonov[[#This Row],[ATUAL]])</f>
        <v>0</v>
      </c>
      <c r="AJ157" s="97">
        <f>SUM(investiroutrosconsolidadonov[[#This Row],[1]:[31]])</f>
        <v>0</v>
      </c>
      <c r="AK157" s="25"/>
    </row>
    <row r="158" spans="2:37" ht="19.5" customHeight="1" thickTop="1" thickBot="1" x14ac:dyDescent="0.3">
      <c r="B158" s="28"/>
      <c r="C158" s="27" t="str">
        <f>DADOS!$AH$10</f>
        <v>📎 OUTROS</v>
      </c>
      <c r="D158" s="26" t="str">
        <f>IF(investiroutrosconsolidadonov[[#This Row],[TOTAL (R$)]]=0,"",IF(OR(investiroutrosconsolidadonov[[#This Row],[TOTAL (R$)]]=LARGE($AJ$151:$AJ$158,1),investiroutrosconsolidadonov[[#This Row],[TOTAL (R$)]]=LARGE($AJ$151:$AJ$158,2)),DADOS!$I$10,""))</f>
        <v/>
      </c>
      <c r="E158" s="96">
        <f>SUMIFS(tabela_registros[VALOR],tabela_registros[MÊS],$AE$1,tabela_registros[DIA],investiroutrosconsolidadonov[[#Headers],[1]],tabela_registros[REGISTRO],DADOS!$N$5,tabela_registros[TIPO],DADOS!$AB$5,tabela_registros[CATEGORIA],investiroutrosconsolidadonov[[#This Row],[ATUAL]])</f>
        <v>0</v>
      </c>
      <c r="F158" s="91">
        <f>SUMIFS(tabela_registros[VALOR],tabela_registros[MÊS],$AE$1,tabela_registros[DIA],investiroutrosconsolidadonov[[#Headers],[2]],tabela_registros[REGISTRO],DADOS!$N$5,tabela_registros[TIPO],DADOS!$AB$5,tabela_registros[CATEGORIA],investiroutrosconsolidadonov[[#This Row],[ATUAL]])</f>
        <v>0</v>
      </c>
      <c r="G158" s="91">
        <f>SUMIFS(tabela_registros[VALOR],tabela_registros[MÊS],$AE$1,tabela_registros[DIA],investiroutrosconsolidadonov[[#Headers],[3]],tabela_registros[REGISTRO],DADOS!$N$5,tabela_registros[TIPO],DADOS!$AB$5,tabela_registros[CATEGORIA],investiroutrosconsolidadonov[[#This Row],[ATUAL]])</f>
        <v>0</v>
      </c>
      <c r="H158" s="91">
        <f>SUMIFS(tabela_registros[VALOR],tabela_registros[MÊS],$AE$1,tabela_registros[DIA],investiroutrosconsolidadonov[[#Headers],[4]],tabela_registros[REGISTRO],DADOS!$N$5,tabela_registros[TIPO],DADOS!$AB$5,tabela_registros[CATEGORIA],investiroutrosconsolidadonov[[#This Row],[ATUAL]])</f>
        <v>0</v>
      </c>
      <c r="I158" s="91">
        <f>SUMIFS(tabela_registros[VALOR],tabela_registros[MÊS],$AE$1,tabela_registros[DIA],investiroutrosconsolidadonov[[#Headers],[5]],tabela_registros[REGISTRO],DADOS!$N$5,tabela_registros[TIPO],DADOS!$AB$5,tabela_registros[CATEGORIA],investiroutrosconsolidadonov[[#This Row],[ATUAL]])</f>
        <v>0</v>
      </c>
      <c r="J158" s="91">
        <f>SUMIFS(tabela_registros[VALOR],tabela_registros[MÊS],$AE$1,tabela_registros[DIA],investiroutrosconsolidadonov[[#Headers],[6]],tabela_registros[REGISTRO],DADOS!$N$5,tabela_registros[TIPO],DADOS!$AB$5,tabela_registros[CATEGORIA],investiroutrosconsolidadonov[[#This Row],[ATUAL]])</f>
        <v>0</v>
      </c>
      <c r="K158" s="91">
        <f>SUMIFS(tabela_registros[VALOR],tabela_registros[MÊS],$AE$1,tabela_registros[DIA],investiroutrosconsolidadonov[[#Headers],[7]],tabela_registros[REGISTRO],DADOS!$N$5,tabela_registros[TIPO],DADOS!$AB$5,tabela_registros[CATEGORIA],investiroutrosconsolidadonov[[#This Row],[ATUAL]])</f>
        <v>0</v>
      </c>
      <c r="L158" s="91">
        <f>SUMIFS(tabela_registros[VALOR],tabela_registros[MÊS],$AE$1,tabela_registros[DIA],investiroutrosconsolidadonov[[#Headers],[8]],tabela_registros[REGISTRO],DADOS!$N$5,tabela_registros[TIPO],DADOS!$AB$5,tabela_registros[CATEGORIA],investiroutrosconsolidadonov[[#This Row],[ATUAL]])</f>
        <v>0</v>
      </c>
      <c r="M158" s="91">
        <f>SUMIFS(tabela_registros[VALOR],tabela_registros[MÊS],$AE$1,tabela_registros[DIA],investiroutrosconsolidadonov[[#Headers],[9]],tabela_registros[REGISTRO],DADOS!$N$5,tabela_registros[TIPO],DADOS!$AB$5,tabela_registros[CATEGORIA],investiroutrosconsolidadonov[[#This Row],[ATUAL]])</f>
        <v>0</v>
      </c>
      <c r="N158" s="91">
        <f>SUMIFS(tabela_registros[VALOR],tabela_registros[MÊS],$AE$1,tabela_registros[DIA],investiroutrosconsolidadonov[[#Headers],[10]],tabela_registros[REGISTRO],DADOS!$N$5,tabela_registros[TIPO],DADOS!$AB$5,tabela_registros[CATEGORIA],investiroutrosconsolidadonov[[#This Row],[ATUAL]])</f>
        <v>0</v>
      </c>
      <c r="O158" s="91">
        <f>SUMIFS(tabela_registros[VALOR],tabela_registros[MÊS],$AE$1,tabela_registros[DIA],investiroutrosconsolidadonov[[#Headers],[11]],tabela_registros[REGISTRO],DADOS!$N$5,tabela_registros[TIPO],DADOS!$AB$5,tabela_registros[CATEGORIA],investiroutrosconsolidadonov[[#This Row],[ATUAL]])</f>
        <v>0</v>
      </c>
      <c r="P158" s="91">
        <f>SUMIFS(tabela_registros[VALOR],tabela_registros[MÊS],$AE$1,tabela_registros[DIA],investiroutrosconsolidadonov[[#Headers],[12]],tabela_registros[REGISTRO],DADOS!$N$5,tabela_registros[TIPO],DADOS!$AB$5,tabela_registros[CATEGORIA],investiroutrosconsolidadonov[[#This Row],[ATUAL]])</f>
        <v>0</v>
      </c>
      <c r="Q158" s="91">
        <f>SUMIFS(tabela_registros[VALOR],tabela_registros[MÊS],$AE$1,tabela_registros[DIA],investiroutrosconsolidadonov[[#Headers],[13]],tabela_registros[REGISTRO],DADOS!$N$5,tabela_registros[TIPO],DADOS!$AB$5,tabela_registros[CATEGORIA],investiroutrosconsolidadonov[[#This Row],[ATUAL]])</f>
        <v>0</v>
      </c>
      <c r="R158" s="91">
        <f>SUMIFS(tabela_registros[VALOR],tabela_registros[MÊS],$AE$1,tabela_registros[DIA],investiroutrosconsolidadonov[[#Headers],[14]],tabela_registros[REGISTRO],DADOS!$N$5,tabela_registros[TIPO],DADOS!$AB$5,tabela_registros[CATEGORIA],investiroutrosconsolidadonov[[#This Row],[ATUAL]])</f>
        <v>0</v>
      </c>
      <c r="S158" s="91">
        <f>SUMIFS(tabela_registros[VALOR],tabela_registros[MÊS],$AE$1,tabela_registros[DIA],investiroutrosconsolidadonov[[#Headers],[15]],tabela_registros[REGISTRO],DADOS!$N$5,tabela_registros[TIPO],DADOS!$AB$5,tabela_registros[CATEGORIA],investiroutrosconsolidadonov[[#This Row],[ATUAL]])</f>
        <v>0</v>
      </c>
      <c r="T158" s="91">
        <f>SUMIFS(tabela_registros[VALOR],tabela_registros[MÊS],$AE$1,tabela_registros[DIA],investiroutrosconsolidadonov[[#Headers],[16]],tabela_registros[REGISTRO],DADOS!$N$5,tabela_registros[TIPO],DADOS!$AB$5,tabela_registros[CATEGORIA],investiroutrosconsolidadonov[[#This Row],[ATUAL]])</f>
        <v>0</v>
      </c>
      <c r="U158" s="91">
        <f>SUMIFS(tabela_registros[VALOR],tabela_registros[MÊS],$AE$1,tabela_registros[DIA],investiroutrosconsolidadonov[[#Headers],[17]],tabela_registros[REGISTRO],DADOS!$N$5,tabela_registros[TIPO],DADOS!$AB$5,tabela_registros[CATEGORIA],investiroutrosconsolidadonov[[#This Row],[ATUAL]])</f>
        <v>0</v>
      </c>
      <c r="V158" s="91">
        <f>SUMIFS(tabela_registros[VALOR],tabela_registros[MÊS],$AE$1,tabela_registros[DIA],investiroutrosconsolidadonov[[#Headers],[18]],tabela_registros[REGISTRO],DADOS!$N$5,tabela_registros[TIPO],DADOS!$AB$5,tabela_registros[CATEGORIA],investiroutrosconsolidadonov[[#This Row],[ATUAL]])</f>
        <v>0</v>
      </c>
      <c r="W158" s="91">
        <f>SUMIFS(tabela_registros[VALOR],tabela_registros[MÊS],$AE$1,tabela_registros[DIA],investiroutrosconsolidadonov[[#Headers],[19]],tabela_registros[REGISTRO],DADOS!$N$5,tabela_registros[TIPO],DADOS!$AB$5,tabela_registros[CATEGORIA],investiroutrosconsolidadonov[[#This Row],[ATUAL]])</f>
        <v>0</v>
      </c>
      <c r="X158" s="91">
        <f>SUMIFS(tabela_registros[VALOR],tabela_registros[MÊS],$AE$1,tabela_registros[DIA],investiroutrosconsolidadonov[[#Headers],[20]],tabela_registros[REGISTRO],DADOS!$N$5,tabela_registros[TIPO],DADOS!$AB$5,tabela_registros[CATEGORIA],investiroutrosconsolidadonov[[#This Row],[ATUAL]])</f>
        <v>0</v>
      </c>
      <c r="Y158" s="91">
        <f>SUMIFS(tabela_registros[VALOR],tabela_registros[MÊS],$AE$1,tabela_registros[DIA],investiroutrosconsolidadonov[[#Headers],[21]],tabela_registros[REGISTRO],DADOS!$N$5,tabela_registros[TIPO],DADOS!$AB$5,tabela_registros[CATEGORIA],investiroutrosconsolidadonov[[#This Row],[ATUAL]])</f>
        <v>0</v>
      </c>
      <c r="Z158" s="91">
        <f>SUMIFS(tabela_registros[VALOR],tabela_registros[MÊS],$AE$1,tabela_registros[DIA],investiroutrosconsolidadonov[[#Headers],[22]],tabela_registros[REGISTRO],DADOS!$N$5,tabela_registros[TIPO],DADOS!$AB$5,tabela_registros[CATEGORIA],investiroutrosconsolidadonov[[#This Row],[ATUAL]])</f>
        <v>0</v>
      </c>
      <c r="AA158" s="91">
        <f>SUMIFS(tabela_registros[VALOR],tabela_registros[MÊS],$AE$1,tabela_registros[DIA],investiroutrosconsolidadonov[[#Headers],[23]],tabela_registros[REGISTRO],DADOS!$N$5,tabela_registros[TIPO],DADOS!$AB$5,tabela_registros[CATEGORIA],investiroutrosconsolidadonov[[#This Row],[ATUAL]])</f>
        <v>0</v>
      </c>
      <c r="AB158" s="91">
        <f>SUMIFS(tabela_registros[VALOR],tabela_registros[MÊS],$AE$1,tabela_registros[DIA],investiroutrosconsolidadonov[[#Headers],[24]],tabela_registros[REGISTRO],DADOS!$N$5,tabela_registros[TIPO],DADOS!$AB$5,tabela_registros[CATEGORIA],investiroutrosconsolidadonov[[#This Row],[ATUAL]])</f>
        <v>0</v>
      </c>
      <c r="AC158" s="91">
        <f>SUMIFS(tabela_registros[VALOR],tabela_registros[MÊS],$AE$1,tabela_registros[DIA],investiroutrosconsolidadonov[[#Headers],[25]],tabela_registros[REGISTRO],DADOS!$N$5,tabela_registros[TIPO],DADOS!$AB$5,tabela_registros[CATEGORIA],investiroutrosconsolidadonov[[#This Row],[ATUAL]])</f>
        <v>0</v>
      </c>
      <c r="AD158" s="91">
        <f>SUMIFS(tabela_registros[VALOR],tabela_registros[MÊS],$AE$1,tabela_registros[DIA],investiroutrosconsolidadonov[[#Headers],[26]],tabela_registros[REGISTRO],DADOS!$N$5,tabela_registros[TIPO],DADOS!$AB$5,tabela_registros[CATEGORIA],investiroutrosconsolidadonov[[#This Row],[ATUAL]])</f>
        <v>0</v>
      </c>
      <c r="AE158" s="91">
        <f>SUMIFS(tabela_registros[VALOR],tabela_registros[MÊS],$AE$1,tabela_registros[DIA],investiroutrosconsolidadonov[[#Headers],[27]],tabela_registros[REGISTRO],DADOS!$N$5,tabela_registros[TIPO],DADOS!$AB$5,tabela_registros[CATEGORIA],investiroutrosconsolidadonov[[#This Row],[ATUAL]])</f>
        <v>0</v>
      </c>
      <c r="AF158" s="91">
        <f>SUMIFS(tabela_registros[VALOR],tabela_registros[MÊS],$AE$1,tabela_registros[DIA],investiroutrosconsolidadonov[[#Headers],[28]],tabela_registros[REGISTRO],DADOS!$N$5,tabela_registros[TIPO],DADOS!$AB$5,tabela_registros[CATEGORIA],investiroutrosconsolidadonov[[#This Row],[ATUAL]])</f>
        <v>0</v>
      </c>
      <c r="AG158" s="91">
        <f>SUMIFS(tabela_registros[VALOR],tabela_registros[MÊS],$AE$1,tabela_registros[DIA],investiroutrosconsolidadonov[[#Headers],[29]],tabela_registros[REGISTRO],DADOS!$N$5,tabela_registros[TIPO],DADOS!$AB$5,tabela_registros[CATEGORIA],investiroutrosconsolidadonov[[#This Row],[ATUAL]])</f>
        <v>0</v>
      </c>
      <c r="AH158" s="99">
        <f>SUMIFS(tabela_registros[VALOR],tabela_registros[MÊS],$AE$1,tabela_registros[DIA],investiroutrosconsolidadonov[[#Headers],[30]],tabela_registros[REGISTRO],DADOS!$N$5,tabela_registros[TIPO],DADOS!$AB$5,tabela_registros[CATEGORIA],investiroutrosconsolidadonov[[#This Row],[ATUAL]])</f>
        <v>0</v>
      </c>
      <c r="AI158" s="102">
        <f>SUMIFS(tabela_registros[VALOR],tabela_registros[MÊS],$AE$1,tabela_registros[DIA],investiroutrosconsolidadonov[[#Headers],[31]],tabela_registros[REGISTRO],DADOS!$N$5,tabela_registros[TIPO],DADOS!$AB$5,tabela_registros[CATEGORIA],investiroutrosconsolidadonov[[#This Row],[ATUAL]])</f>
        <v>0</v>
      </c>
      <c r="AJ158" s="103">
        <f>SUM(investiroutrosconsolidadonov[[#This Row],[1]:[31]])</f>
        <v>0</v>
      </c>
      <c r="AK158" s="25"/>
    </row>
    <row r="159" spans="2:37" s="16" customFormat="1" ht="21" customHeight="1" thickTop="1" thickBot="1" x14ac:dyDescent="0.35">
      <c r="B159" s="24"/>
      <c r="C159" s="23" t="s">
        <v>19</v>
      </c>
      <c r="D159" s="22"/>
      <c r="E159" s="21">
        <f>SUM(E151:E158)</f>
        <v>0</v>
      </c>
      <c r="F159" s="20">
        <f>SUM(F151:F158)+investiroutrosconsolidadonov[[#This Row],[1]]</f>
        <v>0</v>
      </c>
      <c r="G159" s="20">
        <f>SUM(G151:G158)+investiroutrosconsolidadonov[[#This Row],[2]]</f>
        <v>0</v>
      </c>
      <c r="H159" s="20">
        <f>SUM(H151:H158)+investiroutrosconsolidadonov[[#This Row],[3]]</f>
        <v>0</v>
      </c>
      <c r="I159" s="20">
        <f>SUM(I151:I158)+investiroutrosconsolidadonov[[#This Row],[4]]</f>
        <v>0</v>
      </c>
      <c r="J159" s="20">
        <f>SUM(J151:J158)+investiroutrosconsolidadonov[[#This Row],[5]]</f>
        <v>0</v>
      </c>
      <c r="K159" s="20">
        <f>SUM(K151:K158)+investiroutrosconsolidadonov[[#This Row],[6]]</f>
        <v>0</v>
      </c>
      <c r="L159" s="20">
        <f>SUM(L151:L158)+investiroutrosconsolidadonov[[#This Row],[7]]</f>
        <v>0</v>
      </c>
      <c r="M159" s="20">
        <f>SUM(M151:M158)+investiroutrosconsolidadonov[[#This Row],[8]]</f>
        <v>0</v>
      </c>
      <c r="N159" s="20">
        <f>SUM(N151:N158)+investiroutrosconsolidadonov[[#This Row],[9]]</f>
        <v>0</v>
      </c>
      <c r="O159" s="20">
        <f>SUM(O151:O158)+investiroutrosconsolidadonov[[#This Row],[10]]</f>
        <v>0</v>
      </c>
      <c r="P159" s="20">
        <f>SUM(P151:P158)+investiroutrosconsolidadonov[[#This Row],[11]]</f>
        <v>0</v>
      </c>
      <c r="Q159" s="20">
        <f>SUM(Q151:Q158)+investiroutrosconsolidadonov[[#This Row],[12]]</f>
        <v>0</v>
      </c>
      <c r="R159" s="20">
        <f>SUM(R151:R158)+investiroutrosconsolidadonov[[#This Row],[13]]</f>
        <v>0</v>
      </c>
      <c r="S159" s="20">
        <f>SUM(S151:S158)+investiroutrosconsolidadonov[[#This Row],[14]]</f>
        <v>0</v>
      </c>
      <c r="T159" s="20">
        <f>SUM(T151:T158)+investiroutrosconsolidadonov[[#This Row],[15]]</f>
        <v>0</v>
      </c>
      <c r="U159" s="20">
        <f>SUM(U151:U158)+investiroutrosconsolidadonov[[#This Row],[16]]</f>
        <v>0</v>
      </c>
      <c r="V159" s="20">
        <f>SUM(V151:V158)+investiroutrosconsolidadonov[[#This Row],[17]]</f>
        <v>0</v>
      </c>
      <c r="W159" s="20">
        <f>SUM(W151:W158)+investiroutrosconsolidadonov[[#This Row],[18]]</f>
        <v>0</v>
      </c>
      <c r="X159" s="20">
        <f>SUM(X151:X158)+investiroutrosconsolidadonov[[#This Row],[19]]</f>
        <v>0</v>
      </c>
      <c r="Y159" s="20">
        <f>SUM(Y151:Y158)+investiroutrosconsolidadonov[[#This Row],[20]]</f>
        <v>0</v>
      </c>
      <c r="Z159" s="20">
        <f>SUM(Z151:Z158)+investiroutrosconsolidadonov[[#This Row],[21]]</f>
        <v>0</v>
      </c>
      <c r="AA159" s="20">
        <f>SUM(AA151:AA158)+investiroutrosconsolidadonov[[#This Row],[22]]</f>
        <v>0</v>
      </c>
      <c r="AB159" s="20">
        <f>SUM(AB151:AB158)+investiroutrosconsolidadonov[[#This Row],[23]]</f>
        <v>0</v>
      </c>
      <c r="AC159" s="20">
        <f>SUM(AC151:AC158)+investiroutrosconsolidadonov[[#This Row],[24]]</f>
        <v>0</v>
      </c>
      <c r="AD159" s="20">
        <f>SUM(AD151:AD158)+investiroutrosconsolidadonov[[#This Row],[25]]</f>
        <v>0</v>
      </c>
      <c r="AE159" s="20">
        <f>SUM(AE151:AE158)+investiroutrosconsolidadonov[[#This Row],[26]]</f>
        <v>0</v>
      </c>
      <c r="AF159" s="20">
        <f>SUM(AF151:AF158)+investiroutrosconsolidadonov[[#This Row],[27]]</f>
        <v>0</v>
      </c>
      <c r="AG159" s="20">
        <f>SUM(AG151:AG158)+investiroutrosconsolidadonov[[#This Row],[28]]</f>
        <v>0</v>
      </c>
      <c r="AH159" s="20">
        <f>SUM(AH151:AH158)+investiroutrosconsolidadonov[[#This Row],[29]]</f>
        <v>0</v>
      </c>
      <c r="AI159" s="19">
        <f>SUM(AI151:AI158)+investiroutrosconsolidadonov[[#This Row],[30]]</f>
        <v>0</v>
      </c>
      <c r="AJ159" s="18">
        <f>investiroutrosconsolidadonov[[#This Row],[31]]</f>
        <v>0</v>
      </c>
      <c r="AK159" s="17"/>
    </row>
    <row r="160" spans="2:37" ht="6.75" customHeight="1" thickTop="1" thickBot="1" x14ac:dyDescent="0.3">
      <c r="B160" s="15"/>
      <c r="C160" s="14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  <c r="AA160" s="13"/>
      <c r="AB160" s="13"/>
      <c r="AC160" s="13"/>
      <c r="AD160" s="13"/>
      <c r="AE160" s="13"/>
      <c r="AF160" s="13"/>
      <c r="AG160" s="13"/>
      <c r="AH160" s="13"/>
      <c r="AI160" s="12"/>
      <c r="AJ160" s="11"/>
      <c r="AK160" s="10"/>
    </row>
    <row r="161" spans="2:37" ht="12.6" thickTop="1" x14ac:dyDescent="0.25">
      <c r="E161" s="37"/>
      <c r="AI161" s="4"/>
    </row>
    <row r="162" spans="2:37" x14ac:dyDescent="0.25">
      <c r="AI162" s="4"/>
    </row>
    <row r="163" spans="2:37" x14ac:dyDescent="0.25">
      <c r="AI163" s="4"/>
    </row>
    <row r="164" spans="2:37" ht="39.75" customHeight="1" x14ac:dyDescent="0.7">
      <c r="C164" s="36"/>
      <c r="E164" s="240"/>
      <c r="F164" s="240"/>
      <c r="G164" s="240"/>
      <c r="H164" s="240"/>
      <c r="I164" s="240"/>
      <c r="J164" s="240"/>
      <c r="K164" s="240"/>
      <c r="L164" s="240"/>
      <c r="M164" s="240"/>
      <c r="N164" s="240"/>
      <c r="O164" s="240"/>
      <c r="P164" s="240"/>
      <c r="Q164" s="240"/>
      <c r="R164" s="240"/>
      <c r="S164" s="240"/>
      <c r="T164" s="240"/>
      <c r="U164" s="240"/>
      <c r="V164" s="240"/>
      <c r="W164" s="240"/>
      <c r="X164" s="240"/>
      <c r="Y164" s="240"/>
      <c r="Z164" s="240"/>
      <c r="AA164" s="240"/>
      <c r="AB164" s="240"/>
      <c r="AC164" s="240"/>
      <c r="AD164" s="240"/>
      <c r="AE164" s="240"/>
      <c r="AF164" s="240"/>
      <c r="AG164" s="240"/>
      <c r="AH164" s="240"/>
      <c r="AI164" s="240"/>
      <c r="AJ164" s="32" t="s">
        <v>19</v>
      </c>
    </row>
    <row r="165" spans="2:37" ht="12.6" thickBot="1" x14ac:dyDescent="0.3">
      <c r="B165" s="35"/>
      <c r="AI165" s="4"/>
      <c r="AJ165" s="34" t="s">
        <v>202</v>
      </c>
    </row>
    <row r="166" spans="2:37" ht="6.75" customHeight="1" thickTop="1" thickBot="1" x14ac:dyDescent="0.3">
      <c r="B166" s="2"/>
      <c r="C166" s="14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F166" s="13"/>
      <c r="AG166" s="13"/>
      <c r="AH166" s="13"/>
      <c r="AI166" s="13"/>
      <c r="AJ166" s="12"/>
      <c r="AK166" s="33"/>
    </row>
    <row r="167" spans="2:37" ht="13.2" hidden="1" thickTop="1" thickBot="1" x14ac:dyDescent="0.3">
      <c r="B167" s="2"/>
      <c r="C167" s="31" t="s">
        <v>199</v>
      </c>
      <c r="D167" s="30" t="s">
        <v>198</v>
      </c>
      <c r="E167" s="30" t="s">
        <v>197</v>
      </c>
      <c r="F167" s="30" t="s">
        <v>196</v>
      </c>
      <c r="G167" s="30" t="s">
        <v>195</v>
      </c>
      <c r="H167" s="30" t="s">
        <v>194</v>
      </c>
      <c r="I167" s="30" t="s">
        <v>193</v>
      </c>
      <c r="J167" s="30" t="s">
        <v>192</v>
      </c>
      <c r="K167" s="30" t="s">
        <v>191</v>
      </c>
      <c r="L167" s="30" t="s">
        <v>190</v>
      </c>
      <c r="M167" s="30" t="s">
        <v>189</v>
      </c>
      <c r="N167" s="30" t="s">
        <v>188</v>
      </c>
      <c r="O167" s="30" t="s">
        <v>187</v>
      </c>
      <c r="P167" s="30" t="s">
        <v>186</v>
      </c>
      <c r="Q167" s="30" t="s">
        <v>185</v>
      </c>
      <c r="R167" s="30" t="s">
        <v>184</v>
      </c>
      <c r="S167" s="30" t="s">
        <v>183</v>
      </c>
      <c r="T167" s="30" t="s">
        <v>182</v>
      </c>
      <c r="U167" s="30" t="s">
        <v>181</v>
      </c>
      <c r="V167" s="30" t="s">
        <v>180</v>
      </c>
      <c r="W167" s="30" t="s">
        <v>179</v>
      </c>
      <c r="X167" s="30" t="s">
        <v>178</v>
      </c>
      <c r="Y167" s="30" t="s">
        <v>177</v>
      </c>
      <c r="Z167" s="30" t="s">
        <v>176</v>
      </c>
      <c r="AA167" s="30" t="s">
        <v>175</v>
      </c>
      <c r="AB167" s="30" t="s">
        <v>174</v>
      </c>
      <c r="AC167" s="30" t="s">
        <v>173</v>
      </c>
      <c r="AD167" s="30" t="s">
        <v>172</v>
      </c>
      <c r="AE167" s="30" t="s">
        <v>171</v>
      </c>
      <c r="AF167" s="30" t="s">
        <v>170</v>
      </c>
      <c r="AG167" s="30" t="s">
        <v>169</v>
      </c>
      <c r="AH167" s="30" t="s">
        <v>168</v>
      </c>
      <c r="AI167" s="30" t="s">
        <v>167</v>
      </c>
      <c r="AJ167" s="29" t="s">
        <v>166</v>
      </c>
      <c r="AK167" s="2"/>
    </row>
    <row r="168" spans="2:37" ht="19.5" customHeight="1" thickTop="1" thickBot="1" x14ac:dyDescent="0.3">
      <c r="B168" s="28"/>
      <c r="C168" s="27" t="str">
        <f>DADOS!$AL$3</f>
        <v>📝 CDB</v>
      </c>
      <c r="D168" s="26" t="str">
        <f>IF(reservafixaconsolidadonov[[#This Row],[TOTAL (R$)]]=0,"",IF(OR(reservafixaconsolidadonov[[#This Row],[TOTAL (R$)]]=LARGE($AJ$168:$AJ$177,1),reservafixaconsolidadonov[[#This Row],[TOTAL (R$)]]=LARGE($AJ$168:$AJ$177,2)),DADOS!$I$11,""))</f>
        <v/>
      </c>
      <c r="E168" s="96">
        <f>SUMIFS(tabela_registros[VALOR],tabela_registros[MÊS],$AE$1,tabela_registros[DIA],reservafixaconsolidadonov[[#Headers],[1]],tabela_registros[REGISTRO],DADOS!$N$6,tabela_registros[TIPO],DADOS!$AJ$3,tabela_registros[CATEGORIA],reservafixaconsolidadonov[[#This Row],[ATUAL]])</f>
        <v>0</v>
      </c>
      <c r="F168" s="91">
        <f>SUMIFS(tabela_registros[VALOR],tabela_registros[MÊS],$AE$1,tabela_registros[DIA],reservafixaconsolidadonov[[#Headers],[2]],tabela_registros[REGISTRO],DADOS!$N$6,tabela_registros[TIPO],DADOS!$AJ$3,tabela_registros[CATEGORIA],reservafixaconsolidadonov[[#This Row],[ATUAL]])</f>
        <v>0</v>
      </c>
      <c r="G168" s="91">
        <f>SUMIFS(tabela_registros[VALOR],tabela_registros[MÊS],$AE$1,tabela_registros[DIA],reservafixaconsolidadonov[[#Headers],[3]],tabela_registros[REGISTRO],DADOS!$N$6,tabela_registros[TIPO],DADOS!$AJ$3,tabela_registros[CATEGORIA],reservafixaconsolidadonov[[#This Row],[ATUAL]])</f>
        <v>0</v>
      </c>
      <c r="H168" s="91">
        <f>SUMIFS(tabela_registros[VALOR],tabela_registros[MÊS],$AE$1,tabela_registros[DIA],reservafixaconsolidadonov[[#Headers],[4]],tabela_registros[REGISTRO],DADOS!$N$6,tabela_registros[TIPO],DADOS!$AJ$3,tabela_registros[CATEGORIA],reservafixaconsolidadonov[[#This Row],[ATUAL]])</f>
        <v>0</v>
      </c>
      <c r="I168" s="91">
        <f>SUMIFS(tabela_registros[VALOR],tabela_registros[MÊS],$AE$1,tabela_registros[DIA],reservafixaconsolidadonov[[#Headers],[5]],tabela_registros[REGISTRO],DADOS!$N$6,tabela_registros[TIPO],DADOS!$AJ$3,tabela_registros[CATEGORIA],reservafixaconsolidadonov[[#This Row],[ATUAL]])</f>
        <v>0</v>
      </c>
      <c r="J168" s="91">
        <f>SUMIFS(tabela_registros[VALOR],tabela_registros[MÊS],$AE$1,tabela_registros[DIA],reservafixaconsolidadonov[[#Headers],[6]],tabela_registros[REGISTRO],DADOS!$N$6,tabela_registros[TIPO],DADOS!$AJ$3,tabela_registros[CATEGORIA],reservafixaconsolidadonov[[#This Row],[ATUAL]])</f>
        <v>0</v>
      </c>
      <c r="K168" s="91">
        <f>SUMIFS(tabela_registros[VALOR],tabela_registros[MÊS],$AE$1,tabela_registros[DIA],reservafixaconsolidadonov[[#Headers],[7]],tabela_registros[REGISTRO],DADOS!$N$6,tabela_registros[TIPO],DADOS!$AJ$3,tabela_registros[CATEGORIA],reservafixaconsolidadonov[[#This Row],[ATUAL]])</f>
        <v>0</v>
      </c>
      <c r="L168" s="91">
        <f>SUMIFS(tabela_registros[VALOR],tabela_registros[MÊS],$AE$1,tabela_registros[DIA],reservafixaconsolidadonov[[#Headers],[8]],tabela_registros[REGISTRO],DADOS!$N$6,tabela_registros[TIPO],DADOS!$AJ$3,tabela_registros[CATEGORIA],reservafixaconsolidadonov[[#This Row],[ATUAL]])</f>
        <v>0</v>
      </c>
      <c r="M168" s="91">
        <f>SUMIFS(tabela_registros[VALOR],tabela_registros[MÊS],$AE$1,tabela_registros[DIA],reservafixaconsolidadonov[[#Headers],[9]],tabela_registros[REGISTRO],DADOS!$N$6,tabela_registros[TIPO],DADOS!$AJ$3,tabela_registros[CATEGORIA],reservafixaconsolidadonov[[#This Row],[ATUAL]])</f>
        <v>0</v>
      </c>
      <c r="N168" s="91">
        <f>SUMIFS(tabela_registros[VALOR],tabela_registros[MÊS],$AE$1,tabela_registros[DIA],reservafixaconsolidadonov[[#Headers],[10]],tabela_registros[REGISTRO],DADOS!$N$6,tabela_registros[TIPO],DADOS!$AJ$3,tabela_registros[CATEGORIA],reservafixaconsolidadonov[[#This Row],[ATUAL]])</f>
        <v>0</v>
      </c>
      <c r="O168" s="91">
        <f>SUMIFS(tabela_registros[VALOR],tabela_registros[MÊS],$AE$1,tabela_registros[DIA],reservafixaconsolidadonov[[#Headers],[11]],tabela_registros[REGISTRO],DADOS!$N$6,tabela_registros[TIPO],DADOS!$AJ$3,tabela_registros[CATEGORIA],reservafixaconsolidadonov[[#This Row],[ATUAL]])</f>
        <v>0</v>
      </c>
      <c r="P168" s="91">
        <f>SUMIFS(tabela_registros[VALOR],tabela_registros[MÊS],$AE$1,tabela_registros[DIA],reservafixaconsolidadonov[[#Headers],[12]],tabela_registros[REGISTRO],DADOS!$N$6,tabela_registros[TIPO],DADOS!$AJ$3,tabela_registros[CATEGORIA],reservafixaconsolidadonov[[#This Row],[ATUAL]])</f>
        <v>0</v>
      </c>
      <c r="Q168" s="91">
        <f>SUMIFS(tabela_registros[VALOR],tabela_registros[MÊS],$AE$1,tabela_registros[DIA],reservafixaconsolidadonov[[#Headers],[13]],tabela_registros[REGISTRO],DADOS!$N$6,tabela_registros[TIPO],DADOS!$AJ$3,tabela_registros[CATEGORIA],reservafixaconsolidadonov[[#This Row],[ATUAL]])</f>
        <v>0</v>
      </c>
      <c r="R168" s="91">
        <f>SUMIFS(tabela_registros[VALOR],tabela_registros[MÊS],$AE$1,tabela_registros[DIA],reservafixaconsolidadonov[[#Headers],[14]],tabela_registros[REGISTRO],DADOS!$N$6,tabela_registros[TIPO],DADOS!$AJ$3,tabela_registros[CATEGORIA],reservafixaconsolidadonov[[#This Row],[ATUAL]])</f>
        <v>0</v>
      </c>
      <c r="S168" s="91">
        <f>SUMIFS(tabela_registros[VALOR],tabela_registros[MÊS],$AE$1,tabela_registros[DIA],reservafixaconsolidadonov[[#Headers],[15]],tabela_registros[REGISTRO],DADOS!$N$6,tabela_registros[TIPO],DADOS!$AJ$3,tabela_registros[CATEGORIA],reservafixaconsolidadonov[[#This Row],[ATUAL]])</f>
        <v>0</v>
      </c>
      <c r="T168" s="91">
        <f>SUMIFS(tabela_registros[VALOR],tabela_registros[MÊS],$AE$1,tabela_registros[DIA],reservafixaconsolidadonov[[#Headers],[16]],tabela_registros[REGISTRO],DADOS!$N$6,tabela_registros[TIPO],DADOS!$AJ$3,tabela_registros[CATEGORIA],reservafixaconsolidadonov[[#This Row],[ATUAL]])</f>
        <v>0</v>
      </c>
      <c r="U168" s="91">
        <f>SUMIFS(tabela_registros[VALOR],tabela_registros[MÊS],$AE$1,tabela_registros[DIA],reservafixaconsolidadonov[[#Headers],[17]],tabela_registros[REGISTRO],DADOS!$N$6,tabela_registros[TIPO],DADOS!$AJ$3,tabela_registros[CATEGORIA],reservafixaconsolidadonov[[#This Row],[ATUAL]])</f>
        <v>0</v>
      </c>
      <c r="V168" s="91">
        <f>SUMIFS(tabela_registros[VALOR],tabela_registros[MÊS],$AE$1,tabela_registros[DIA],reservafixaconsolidadonov[[#Headers],[18]],tabela_registros[REGISTRO],DADOS!$N$6,tabela_registros[TIPO],DADOS!$AJ$3,tabela_registros[CATEGORIA],reservafixaconsolidadonov[[#This Row],[ATUAL]])</f>
        <v>0</v>
      </c>
      <c r="W168" s="91">
        <f>SUMIFS(tabela_registros[VALOR],tabela_registros[MÊS],$AE$1,tabela_registros[DIA],reservafixaconsolidadonov[[#Headers],[19]],tabela_registros[REGISTRO],DADOS!$N$6,tabela_registros[TIPO],DADOS!$AJ$3,tabela_registros[CATEGORIA],reservafixaconsolidadonov[[#This Row],[ATUAL]])</f>
        <v>0</v>
      </c>
      <c r="X168" s="91">
        <f>SUMIFS(tabela_registros[VALOR],tabela_registros[MÊS],$AE$1,tabela_registros[DIA],reservafixaconsolidadonov[[#Headers],[20]],tabela_registros[REGISTRO],DADOS!$N$6,tabela_registros[TIPO],DADOS!$AJ$3,tabela_registros[CATEGORIA],reservafixaconsolidadonov[[#This Row],[ATUAL]])</f>
        <v>0</v>
      </c>
      <c r="Y168" s="91">
        <f>SUMIFS(tabela_registros[VALOR],tabela_registros[MÊS],$AE$1,tabela_registros[DIA],reservafixaconsolidadonov[[#Headers],[21]],tabela_registros[REGISTRO],DADOS!$N$6,tabela_registros[TIPO],DADOS!$AJ$3,tabela_registros[CATEGORIA],reservafixaconsolidadonov[[#This Row],[ATUAL]])</f>
        <v>0</v>
      </c>
      <c r="Z168" s="91">
        <f>SUMIFS(tabela_registros[VALOR],tabela_registros[MÊS],$AE$1,tabela_registros[DIA],reservafixaconsolidadonov[[#Headers],[22]],tabela_registros[REGISTRO],DADOS!$N$6,tabela_registros[TIPO],DADOS!$AJ$3,tabela_registros[CATEGORIA],reservafixaconsolidadonov[[#This Row],[ATUAL]])</f>
        <v>0</v>
      </c>
      <c r="AA168" s="91">
        <f>SUMIFS(tabela_registros[VALOR],tabela_registros[MÊS],$AE$1,tabela_registros[DIA],reservafixaconsolidadonov[[#Headers],[23]],tabela_registros[REGISTRO],DADOS!$N$6,tabela_registros[TIPO],DADOS!$AJ$3,tabela_registros[CATEGORIA],reservafixaconsolidadonov[[#This Row],[ATUAL]])</f>
        <v>0</v>
      </c>
      <c r="AB168" s="91">
        <f>SUMIFS(tabela_registros[VALOR],tabela_registros[MÊS],$AE$1,tabela_registros[DIA],reservafixaconsolidadonov[[#Headers],[24]],tabela_registros[REGISTRO],DADOS!$N$6,tabela_registros[TIPO],DADOS!$AJ$3,tabela_registros[CATEGORIA],reservafixaconsolidadonov[[#This Row],[ATUAL]])</f>
        <v>0</v>
      </c>
      <c r="AC168" s="91">
        <f>SUMIFS(tabela_registros[VALOR],tabela_registros[MÊS],$AE$1,tabela_registros[DIA],reservafixaconsolidadonov[[#Headers],[25]],tabela_registros[REGISTRO],DADOS!$N$6,tabela_registros[TIPO],DADOS!$AJ$3,tabela_registros[CATEGORIA],reservafixaconsolidadonov[[#This Row],[ATUAL]])</f>
        <v>0</v>
      </c>
      <c r="AD168" s="91">
        <f>SUMIFS(tabela_registros[VALOR],tabela_registros[MÊS],$AE$1,tabela_registros[DIA],reservafixaconsolidadonov[[#Headers],[26]],tabela_registros[REGISTRO],DADOS!$N$6,tabela_registros[TIPO],DADOS!$AJ$3,tabela_registros[CATEGORIA],reservafixaconsolidadonov[[#This Row],[ATUAL]])</f>
        <v>0</v>
      </c>
      <c r="AE168" s="91">
        <f>SUMIFS(tabela_registros[VALOR],tabela_registros[MÊS],$AE$1,tabela_registros[DIA],reservafixaconsolidadonov[[#Headers],[27]],tabela_registros[REGISTRO],DADOS!$N$6,tabela_registros[TIPO],DADOS!$AJ$3,tabela_registros[CATEGORIA],reservafixaconsolidadonov[[#This Row],[ATUAL]])</f>
        <v>0</v>
      </c>
      <c r="AF168" s="91">
        <f>SUMIFS(tabela_registros[VALOR],tabela_registros[MÊS],$AE$1,tabela_registros[DIA],reservafixaconsolidadonov[[#Headers],[28]],tabela_registros[REGISTRO],DADOS!$N$6,tabela_registros[TIPO],DADOS!$AJ$3,tabela_registros[CATEGORIA],reservafixaconsolidadonov[[#This Row],[ATUAL]])</f>
        <v>0</v>
      </c>
      <c r="AG168" s="91">
        <f>SUMIFS(tabela_registros[VALOR],tabela_registros[MÊS],$AE$1,tabela_registros[DIA],reservafixaconsolidadonov[[#Headers],[29]],tabela_registros[REGISTRO],DADOS!$N$6,tabela_registros[TIPO],DADOS!$AJ$3,tabela_registros[CATEGORIA],reservafixaconsolidadonov[[#This Row],[ATUAL]])</f>
        <v>0</v>
      </c>
      <c r="AH168" s="91">
        <f>SUMIFS(tabela_registros[VALOR],tabela_registros[MÊS],$AE$1,tabela_registros[DIA],reservafixaconsolidadonov[[#Headers],[30]],tabela_registros[REGISTRO],DADOS!$N$6,tabela_registros[TIPO],DADOS!$AJ$3,tabela_registros[CATEGORIA],reservafixaconsolidadonov[[#This Row],[ATUAL]])</f>
        <v>0</v>
      </c>
      <c r="AI168" s="101">
        <f>SUMIFS(tabela_registros[VALOR],tabela_registros[MÊS],$AE$1,tabela_registros[DIA],reservafixaconsolidadonov[[#Headers],[31]],tabela_registros[REGISTRO],DADOS!$N$6,tabela_registros[TIPO],DADOS!$AJ$3,tabela_registros[CATEGORIA],reservafixaconsolidadonov[[#This Row],[ATUAL]])</f>
        <v>0</v>
      </c>
      <c r="AJ168" s="97">
        <f>SUM(reservafixaconsolidadonov[[#This Row],[1]:[31]])</f>
        <v>0</v>
      </c>
      <c r="AK168" s="25"/>
    </row>
    <row r="169" spans="2:37" ht="19.5" customHeight="1" thickTop="1" thickBot="1" x14ac:dyDescent="0.3">
      <c r="B169" s="28"/>
      <c r="C169" s="27" t="str">
        <f>DADOS!$AL$4</f>
        <v>📝 CRA</v>
      </c>
      <c r="D169" s="26" t="str">
        <f>IF(reservafixaconsolidadonov[[#This Row],[TOTAL (R$)]]=0,"",IF(OR(reservafixaconsolidadonov[[#This Row],[TOTAL (R$)]]=LARGE($AJ$168:$AJ$177,1),reservafixaconsolidadonov[[#This Row],[TOTAL (R$)]]=LARGE($AJ$168:$AJ$177,2)),DADOS!$I$11,""))</f>
        <v/>
      </c>
      <c r="E169" s="96">
        <f>SUMIFS(tabela_registros[VALOR],tabela_registros[MÊS],$AE$1,tabela_registros[DIA],reservafixaconsolidadonov[[#Headers],[1]],tabela_registros[REGISTRO],DADOS!$N$6,tabela_registros[TIPO],DADOS!$AJ$3,tabela_registros[CATEGORIA],reservafixaconsolidadonov[[#This Row],[ATUAL]])</f>
        <v>0</v>
      </c>
      <c r="F169" s="91">
        <f>SUMIFS(tabela_registros[VALOR],tabela_registros[MÊS],$AE$1,tabela_registros[DIA],reservafixaconsolidadonov[[#Headers],[2]],tabela_registros[REGISTRO],DADOS!$N$6,tabela_registros[TIPO],DADOS!$AJ$3,tabela_registros[CATEGORIA],reservafixaconsolidadonov[[#This Row],[ATUAL]])</f>
        <v>0</v>
      </c>
      <c r="G169" s="91">
        <f>SUMIFS(tabela_registros[VALOR],tabela_registros[MÊS],$AE$1,tabela_registros[DIA],reservafixaconsolidadonov[[#Headers],[3]],tabela_registros[REGISTRO],DADOS!$N$6,tabela_registros[TIPO],DADOS!$AJ$3,tabela_registros[CATEGORIA],reservafixaconsolidadonov[[#This Row],[ATUAL]])</f>
        <v>0</v>
      </c>
      <c r="H169" s="91">
        <f>SUMIFS(tabela_registros[VALOR],tabela_registros[MÊS],$AE$1,tabela_registros[DIA],reservafixaconsolidadonov[[#Headers],[4]],tabela_registros[REGISTRO],DADOS!$N$6,tabela_registros[TIPO],DADOS!$AJ$3,tabela_registros[CATEGORIA],reservafixaconsolidadonov[[#This Row],[ATUAL]])</f>
        <v>0</v>
      </c>
      <c r="I169" s="91">
        <f>SUMIFS(tabela_registros[VALOR],tabela_registros[MÊS],$AE$1,tabela_registros[DIA],reservafixaconsolidadonov[[#Headers],[5]],tabela_registros[REGISTRO],DADOS!$N$6,tabela_registros[TIPO],DADOS!$AJ$3,tabela_registros[CATEGORIA],reservafixaconsolidadonov[[#This Row],[ATUAL]])</f>
        <v>0</v>
      </c>
      <c r="J169" s="91">
        <f>SUMIFS(tabela_registros[VALOR],tabela_registros[MÊS],$AE$1,tabela_registros[DIA],reservafixaconsolidadonov[[#Headers],[6]],tabela_registros[REGISTRO],DADOS!$N$6,tabela_registros[TIPO],DADOS!$AJ$3,tabela_registros[CATEGORIA],reservafixaconsolidadonov[[#This Row],[ATUAL]])</f>
        <v>0</v>
      </c>
      <c r="K169" s="91">
        <f>SUMIFS(tabela_registros[VALOR],tabela_registros[MÊS],$AE$1,tabela_registros[DIA],reservafixaconsolidadonov[[#Headers],[7]],tabela_registros[REGISTRO],DADOS!$N$6,tabela_registros[TIPO],DADOS!$AJ$3,tabela_registros[CATEGORIA],reservafixaconsolidadonov[[#This Row],[ATUAL]])</f>
        <v>0</v>
      </c>
      <c r="L169" s="91">
        <f>SUMIFS(tabela_registros[VALOR],tabela_registros[MÊS],$AE$1,tabela_registros[DIA],reservafixaconsolidadonov[[#Headers],[8]],tabela_registros[REGISTRO],DADOS!$N$6,tabela_registros[TIPO],DADOS!$AJ$3,tabela_registros[CATEGORIA],reservafixaconsolidadonov[[#This Row],[ATUAL]])</f>
        <v>0</v>
      </c>
      <c r="M169" s="91">
        <f>SUMIFS(tabela_registros[VALOR],tabela_registros[MÊS],$AE$1,tabela_registros[DIA],reservafixaconsolidadonov[[#Headers],[9]],tabela_registros[REGISTRO],DADOS!$N$6,tabela_registros[TIPO],DADOS!$AJ$3,tabela_registros[CATEGORIA],reservafixaconsolidadonov[[#This Row],[ATUAL]])</f>
        <v>0</v>
      </c>
      <c r="N169" s="91">
        <f>SUMIFS(tabela_registros[VALOR],tabela_registros[MÊS],$AE$1,tabela_registros[DIA],reservafixaconsolidadonov[[#Headers],[10]],tabela_registros[REGISTRO],DADOS!$N$6,tabela_registros[TIPO],DADOS!$AJ$3,tabela_registros[CATEGORIA],reservafixaconsolidadonov[[#This Row],[ATUAL]])</f>
        <v>0</v>
      </c>
      <c r="O169" s="91">
        <f>SUMIFS(tabela_registros[VALOR],tabela_registros[MÊS],$AE$1,tabela_registros[DIA],reservafixaconsolidadonov[[#Headers],[11]],tabela_registros[REGISTRO],DADOS!$N$6,tabela_registros[TIPO],DADOS!$AJ$3,tabela_registros[CATEGORIA],reservafixaconsolidadonov[[#This Row],[ATUAL]])</f>
        <v>0</v>
      </c>
      <c r="P169" s="91">
        <f>SUMIFS(tabela_registros[VALOR],tabela_registros[MÊS],$AE$1,tabela_registros[DIA],reservafixaconsolidadonov[[#Headers],[12]],tabela_registros[REGISTRO],DADOS!$N$6,tabela_registros[TIPO],DADOS!$AJ$3,tabela_registros[CATEGORIA],reservafixaconsolidadonov[[#This Row],[ATUAL]])</f>
        <v>0</v>
      </c>
      <c r="Q169" s="91">
        <f>SUMIFS(tabela_registros[VALOR],tabela_registros[MÊS],$AE$1,tabela_registros[DIA],reservafixaconsolidadonov[[#Headers],[13]],tabela_registros[REGISTRO],DADOS!$N$6,tabela_registros[TIPO],DADOS!$AJ$3,tabela_registros[CATEGORIA],reservafixaconsolidadonov[[#This Row],[ATUAL]])</f>
        <v>0</v>
      </c>
      <c r="R169" s="91">
        <f>SUMIFS(tabela_registros[VALOR],tabela_registros[MÊS],$AE$1,tabela_registros[DIA],reservafixaconsolidadonov[[#Headers],[14]],tabela_registros[REGISTRO],DADOS!$N$6,tabela_registros[TIPO],DADOS!$AJ$3,tabela_registros[CATEGORIA],reservafixaconsolidadonov[[#This Row],[ATUAL]])</f>
        <v>0</v>
      </c>
      <c r="S169" s="91">
        <f>SUMIFS(tabela_registros[VALOR],tabela_registros[MÊS],$AE$1,tabela_registros[DIA],reservafixaconsolidadonov[[#Headers],[15]],tabela_registros[REGISTRO],DADOS!$N$6,tabela_registros[TIPO],DADOS!$AJ$3,tabela_registros[CATEGORIA],reservafixaconsolidadonov[[#This Row],[ATUAL]])</f>
        <v>0</v>
      </c>
      <c r="T169" s="91">
        <f>SUMIFS(tabela_registros[VALOR],tabela_registros[MÊS],$AE$1,tabela_registros[DIA],reservafixaconsolidadonov[[#Headers],[16]],tabela_registros[REGISTRO],DADOS!$N$6,tabela_registros[TIPO],DADOS!$AJ$3,tabela_registros[CATEGORIA],reservafixaconsolidadonov[[#This Row],[ATUAL]])</f>
        <v>0</v>
      </c>
      <c r="U169" s="91">
        <f>SUMIFS(tabela_registros[VALOR],tabela_registros[MÊS],$AE$1,tabela_registros[DIA],reservafixaconsolidadonov[[#Headers],[17]],tabela_registros[REGISTRO],DADOS!$N$6,tabela_registros[TIPO],DADOS!$AJ$3,tabela_registros[CATEGORIA],reservafixaconsolidadonov[[#This Row],[ATUAL]])</f>
        <v>0</v>
      </c>
      <c r="V169" s="91">
        <f>SUMIFS(tabela_registros[VALOR],tabela_registros[MÊS],$AE$1,tabela_registros[DIA],reservafixaconsolidadonov[[#Headers],[18]],tabela_registros[REGISTRO],DADOS!$N$6,tabela_registros[TIPO],DADOS!$AJ$3,tabela_registros[CATEGORIA],reservafixaconsolidadonov[[#This Row],[ATUAL]])</f>
        <v>0</v>
      </c>
      <c r="W169" s="91">
        <f>SUMIFS(tabela_registros[VALOR],tabela_registros[MÊS],$AE$1,tabela_registros[DIA],reservafixaconsolidadonov[[#Headers],[19]],tabela_registros[REGISTRO],DADOS!$N$6,tabela_registros[TIPO],DADOS!$AJ$3,tabela_registros[CATEGORIA],reservafixaconsolidadonov[[#This Row],[ATUAL]])</f>
        <v>0</v>
      </c>
      <c r="X169" s="91">
        <f>SUMIFS(tabela_registros[VALOR],tabela_registros[MÊS],$AE$1,tabela_registros[DIA],reservafixaconsolidadonov[[#Headers],[20]],tabela_registros[REGISTRO],DADOS!$N$6,tabela_registros[TIPO],DADOS!$AJ$3,tabela_registros[CATEGORIA],reservafixaconsolidadonov[[#This Row],[ATUAL]])</f>
        <v>0</v>
      </c>
      <c r="Y169" s="91">
        <f>SUMIFS(tabela_registros[VALOR],tabela_registros[MÊS],$AE$1,tabela_registros[DIA],reservafixaconsolidadonov[[#Headers],[21]],tabela_registros[REGISTRO],DADOS!$N$6,tabela_registros[TIPO],DADOS!$AJ$3,tabela_registros[CATEGORIA],reservafixaconsolidadonov[[#This Row],[ATUAL]])</f>
        <v>0</v>
      </c>
      <c r="Z169" s="91">
        <f>SUMIFS(tabela_registros[VALOR],tabela_registros[MÊS],$AE$1,tabela_registros[DIA],reservafixaconsolidadonov[[#Headers],[22]],tabela_registros[REGISTRO],DADOS!$N$6,tabela_registros[TIPO],DADOS!$AJ$3,tabela_registros[CATEGORIA],reservafixaconsolidadonov[[#This Row],[ATUAL]])</f>
        <v>0</v>
      </c>
      <c r="AA169" s="91">
        <f>SUMIFS(tabela_registros[VALOR],tabela_registros[MÊS],$AE$1,tabela_registros[DIA],reservafixaconsolidadonov[[#Headers],[23]],tabela_registros[REGISTRO],DADOS!$N$6,tabela_registros[TIPO],DADOS!$AJ$3,tabela_registros[CATEGORIA],reservafixaconsolidadonov[[#This Row],[ATUAL]])</f>
        <v>0</v>
      </c>
      <c r="AB169" s="91">
        <f>SUMIFS(tabela_registros[VALOR],tabela_registros[MÊS],$AE$1,tabela_registros[DIA],reservafixaconsolidadonov[[#Headers],[24]],tabela_registros[REGISTRO],DADOS!$N$6,tabela_registros[TIPO],DADOS!$AJ$3,tabela_registros[CATEGORIA],reservafixaconsolidadonov[[#This Row],[ATUAL]])</f>
        <v>0</v>
      </c>
      <c r="AC169" s="91">
        <f>SUMIFS(tabela_registros[VALOR],tabela_registros[MÊS],$AE$1,tabela_registros[DIA],reservafixaconsolidadonov[[#Headers],[25]],tabela_registros[REGISTRO],DADOS!$N$6,tabela_registros[TIPO],DADOS!$AJ$3,tabela_registros[CATEGORIA],reservafixaconsolidadonov[[#This Row],[ATUAL]])</f>
        <v>0</v>
      </c>
      <c r="AD169" s="91">
        <f>SUMIFS(tabela_registros[VALOR],tabela_registros[MÊS],$AE$1,tabela_registros[DIA],reservafixaconsolidadonov[[#Headers],[26]],tabela_registros[REGISTRO],DADOS!$N$6,tabela_registros[TIPO],DADOS!$AJ$3,tabela_registros[CATEGORIA],reservafixaconsolidadonov[[#This Row],[ATUAL]])</f>
        <v>0</v>
      </c>
      <c r="AE169" s="91">
        <f>SUMIFS(tabela_registros[VALOR],tabela_registros[MÊS],$AE$1,tabela_registros[DIA],reservafixaconsolidadonov[[#Headers],[27]],tabela_registros[REGISTRO],DADOS!$N$6,tabela_registros[TIPO],DADOS!$AJ$3,tabela_registros[CATEGORIA],reservafixaconsolidadonov[[#This Row],[ATUAL]])</f>
        <v>0</v>
      </c>
      <c r="AF169" s="91">
        <f>SUMIFS(tabela_registros[VALOR],tabela_registros[MÊS],$AE$1,tabela_registros[DIA],reservafixaconsolidadonov[[#Headers],[28]],tabela_registros[REGISTRO],DADOS!$N$6,tabela_registros[TIPO],DADOS!$AJ$3,tabela_registros[CATEGORIA],reservafixaconsolidadonov[[#This Row],[ATUAL]])</f>
        <v>0</v>
      </c>
      <c r="AG169" s="91">
        <f>SUMIFS(tabela_registros[VALOR],tabela_registros[MÊS],$AE$1,tabela_registros[DIA],reservafixaconsolidadonov[[#Headers],[29]],tabela_registros[REGISTRO],DADOS!$N$6,tabela_registros[TIPO],DADOS!$AJ$3,tabela_registros[CATEGORIA],reservafixaconsolidadonov[[#This Row],[ATUAL]])</f>
        <v>0</v>
      </c>
      <c r="AH169" s="91">
        <f>SUMIFS(tabela_registros[VALOR],tabela_registros[MÊS],$AE$1,tabela_registros[DIA],reservafixaconsolidadonov[[#Headers],[30]],tabela_registros[REGISTRO],DADOS!$N$6,tabela_registros[TIPO],DADOS!$AJ$3,tabela_registros[CATEGORIA],reservafixaconsolidadonov[[#This Row],[ATUAL]])</f>
        <v>0</v>
      </c>
      <c r="AI169" s="101">
        <f>SUMIFS(tabela_registros[VALOR],tabela_registros[MÊS],$AE$1,tabela_registros[DIA],reservafixaconsolidadonov[[#Headers],[31]],tabela_registros[REGISTRO],DADOS!$N$6,tabela_registros[TIPO],DADOS!$AJ$3,tabela_registros[CATEGORIA],reservafixaconsolidadonov[[#This Row],[ATUAL]])</f>
        <v>0</v>
      </c>
      <c r="AJ169" s="97">
        <f>SUM(reservafixaconsolidadonov[[#This Row],[1]:[31]])</f>
        <v>0</v>
      </c>
      <c r="AK169" s="25"/>
    </row>
    <row r="170" spans="2:37" ht="19.5" customHeight="1" thickTop="1" thickBot="1" x14ac:dyDescent="0.3">
      <c r="B170" s="28"/>
      <c r="C170" s="27" t="str">
        <f>DADOS!$AL$5</f>
        <v>📝 CRI</v>
      </c>
      <c r="D170" s="26" t="str">
        <f>IF(reservafixaconsolidadonov[[#This Row],[TOTAL (R$)]]=0,"",IF(OR(reservafixaconsolidadonov[[#This Row],[TOTAL (R$)]]=LARGE($AJ$168:$AJ$177,1),reservafixaconsolidadonov[[#This Row],[TOTAL (R$)]]=LARGE($AJ$168:$AJ$177,2)),DADOS!$I$11,""))</f>
        <v/>
      </c>
      <c r="E170" s="96">
        <f>SUMIFS(tabela_registros[VALOR],tabela_registros[MÊS],$AE$1,tabela_registros[DIA],reservafixaconsolidadonov[[#Headers],[1]],tabela_registros[REGISTRO],DADOS!$N$6,tabela_registros[TIPO],DADOS!$AJ$3,tabela_registros[CATEGORIA],reservafixaconsolidadonov[[#This Row],[ATUAL]])</f>
        <v>0</v>
      </c>
      <c r="F170" s="91">
        <f>SUMIFS(tabela_registros[VALOR],tabela_registros[MÊS],$AE$1,tabela_registros[DIA],reservafixaconsolidadonov[[#Headers],[2]],tabela_registros[REGISTRO],DADOS!$N$6,tabela_registros[TIPO],DADOS!$AJ$3,tabela_registros[CATEGORIA],reservafixaconsolidadonov[[#This Row],[ATUAL]])</f>
        <v>0</v>
      </c>
      <c r="G170" s="91">
        <f>SUMIFS(tabela_registros[VALOR],tabela_registros[MÊS],$AE$1,tabela_registros[DIA],reservafixaconsolidadonov[[#Headers],[3]],tabela_registros[REGISTRO],DADOS!$N$6,tabela_registros[TIPO],DADOS!$AJ$3,tabela_registros[CATEGORIA],reservafixaconsolidadonov[[#This Row],[ATUAL]])</f>
        <v>0</v>
      </c>
      <c r="H170" s="91">
        <f>SUMIFS(tabela_registros[VALOR],tabela_registros[MÊS],$AE$1,tabela_registros[DIA],reservafixaconsolidadonov[[#Headers],[4]],tabela_registros[REGISTRO],DADOS!$N$6,tabela_registros[TIPO],DADOS!$AJ$3,tabela_registros[CATEGORIA],reservafixaconsolidadonov[[#This Row],[ATUAL]])</f>
        <v>0</v>
      </c>
      <c r="I170" s="91">
        <f>SUMIFS(tabela_registros[VALOR],tabela_registros[MÊS],$AE$1,tabela_registros[DIA],reservafixaconsolidadonov[[#Headers],[5]],tabela_registros[REGISTRO],DADOS!$N$6,tabela_registros[TIPO],DADOS!$AJ$3,tabela_registros[CATEGORIA],reservafixaconsolidadonov[[#This Row],[ATUAL]])</f>
        <v>0</v>
      </c>
      <c r="J170" s="91">
        <f>SUMIFS(tabela_registros[VALOR],tabela_registros[MÊS],$AE$1,tabela_registros[DIA],reservafixaconsolidadonov[[#Headers],[6]],tabela_registros[REGISTRO],DADOS!$N$6,tabela_registros[TIPO],DADOS!$AJ$3,tabela_registros[CATEGORIA],reservafixaconsolidadonov[[#This Row],[ATUAL]])</f>
        <v>0</v>
      </c>
      <c r="K170" s="91">
        <f>SUMIFS(tabela_registros[VALOR],tabela_registros[MÊS],$AE$1,tabela_registros[DIA],reservafixaconsolidadonov[[#Headers],[7]],tabela_registros[REGISTRO],DADOS!$N$6,tabela_registros[TIPO],DADOS!$AJ$3,tabela_registros[CATEGORIA],reservafixaconsolidadonov[[#This Row],[ATUAL]])</f>
        <v>0</v>
      </c>
      <c r="L170" s="91">
        <f>SUMIFS(tabela_registros[VALOR],tabela_registros[MÊS],$AE$1,tabela_registros[DIA],reservafixaconsolidadonov[[#Headers],[8]],tabela_registros[REGISTRO],DADOS!$N$6,tabela_registros[TIPO],DADOS!$AJ$3,tabela_registros[CATEGORIA],reservafixaconsolidadonov[[#This Row],[ATUAL]])</f>
        <v>0</v>
      </c>
      <c r="M170" s="91">
        <f>SUMIFS(tabela_registros[VALOR],tabela_registros[MÊS],$AE$1,tabela_registros[DIA],reservafixaconsolidadonov[[#Headers],[9]],tabela_registros[REGISTRO],DADOS!$N$6,tabela_registros[TIPO],DADOS!$AJ$3,tabela_registros[CATEGORIA],reservafixaconsolidadonov[[#This Row],[ATUAL]])</f>
        <v>0</v>
      </c>
      <c r="N170" s="91">
        <f>SUMIFS(tabela_registros[VALOR],tabela_registros[MÊS],$AE$1,tabela_registros[DIA],reservafixaconsolidadonov[[#Headers],[10]],tabela_registros[REGISTRO],DADOS!$N$6,tabela_registros[TIPO],DADOS!$AJ$3,tabela_registros[CATEGORIA],reservafixaconsolidadonov[[#This Row],[ATUAL]])</f>
        <v>0</v>
      </c>
      <c r="O170" s="91">
        <f>SUMIFS(tabela_registros[VALOR],tabela_registros[MÊS],$AE$1,tabela_registros[DIA],reservafixaconsolidadonov[[#Headers],[11]],tabela_registros[REGISTRO],DADOS!$N$6,tabela_registros[TIPO],DADOS!$AJ$3,tabela_registros[CATEGORIA],reservafixaconsolidadonov[[#This Row],[ATUAL]])</f>
        <v>0</v>
      </c>
      <c r="P170" s="91">
        <f>SUMIFS(tabela_registros[VALOR],tabela_registros[MÊS],$AE$1,tabela_registros[DIA],reservafixaconsolidadonov[[#Headers],[12]],tabela_registros[REGISTRO],DADOS!$N$6,tabela_registros[TIPO],DADOS!$AJ$3,tabela_registros[CATEGORIA],reservafixaconsolidadonov[[#This Row],[ATUAL]])</f>
        <v>0</v>
      </c>
      <c r="Q170" s="91">
        <f>SUMIFS(tabela_registros[VALOR],tabela_registros[MÊS],$AE$1,tabela_registros[DIA],reservafixaconsolidadonov[[#Headers],[13]],tabela_registros[REGISTRO],DADOS!$N$6,tabela_registros[TIPO],DADOS!$AJ$3,tabela_registros[CATEGORIA],reservafixaconsolidadonov[[#This Row],[ATUAL]])</f>
        <v>0</v>
      </c>
      <c r="R170" s="91">
        <f>SUMIFS(tabela_registros[VALOR],tabela_registros[MÊS],$AE$1,tabela_registros[DIA],reservafixaconsolidadonov[[#Headers],[14]],tabela_registros[REGISTRO],DADOS!$N$6,tabela_registros[TIPO],DADOS!$AJ$3,tabela_registros[CATEGORIA],reservafixaconsolidadonov[[#This Row],[ATUAL]])</f>
        <v>0</v>
      </c>
      <c r="S170" s="91">
        <f>SUMIFS(tabela_registros[VALOR],tabela_registros[MÊS],$AE$1,tabela_registros[DIA],reservafixaconsolidadonov[[#Headers],[15]],tabela_registros[REGISTRO],DADOS!$N$6,tabela_registros[TIPO],DADOS!$AJ$3,tabela_registros[CATEGORIA],reservafixaconsolidadonov[[#This Row],[ATUAL]])</f>
        <v>0</v>
      </c>
      <c r="T170" s="91">
        <f>SUMIFS(tabela_registros[VALOR],tabela_registros[MÊS],$AE$1,tabela_registros[DIA],reservafixaconsolidadonov[[#Headers],[16]],tabela_registros[REGISTRO],DADOS!$N$6,tabela_registros[TIPO],DADOS!$AJ$3,tabela_registros[CATEGORIA],reservafixaconsolidadonov[[#This Row],[ATUAL]])</f>
        <v>0</v>
      </c>
      <c r="U170" s="91">
        <f>SUMIFS(tabela_registros[VALOR],tabela_registros[MÊS],$AE$1,tabela_registros[DIA],reservafixaconsolidadonov[[#Headers],[17]],tabela_registros[REGISTRO],DADOS!$N$6,tabela_registros[TIPO],DADOS!$AJ$3,tabela_registros[CATEGORIA],reservafixaconsolidadonov[[#This Row],[ATUAL]])</f>
        <v>0</v>
      </c>
      <c r="V170" s="91">
        <f>SUMIFS(tabela_registros[VALOR],tabela_registros[MÊS],$AE$1,tabela_registros[DIA],reservafixaconsolidadonov[[#Headers],[18]],tabela_registros[REGISTRO],DADOS!$N$6,tabela_registros[TIPO],DADOS!$AJ$3,tabela_registros[CATEGORIA],reservafixaconsolidadonov[[#This Row],[ATUAL]])</f>
        <v>0</v>
      </c>
      <c r="W170" s="91">
        <f>SUMIFS(tabela_registros[VALOR],tabela_registros[MÊS],$AE$1,tabela_registros[DIA],reservafixaconsolidadonov[[#Headers],[19]],tabela_registros[REGISTRO],DADOS!$N$6,tabela_registros[TIPO],DADOS!$AJ$3,tabela_registros[CATEGORIA],reservafixaconsolidadonov[[#This Row],[ATUAL]])</f>
        <v>0</v>
      </c>
      <c r="X170" s="91">
        <f>SUMIFS(tabela_registros[VALOR],tabela_registros[MÊS],$AE$1,tabela_registros[DIA],reservafixaconsolidadonov[[#Headers],[20]],tabela_registros[REGISTRO],DADOS!$N$6,tabela_registros[TIPO],DADOS!$AJ$3,tabela_registros[CATEGORIA],reservafixaconsolidadonov[[#This Row],[ATUAL]])</f>
        <v>0</v>
      </c>
      <c r="Y170" s="91">
        <f>SUMIFS(tabela_registros[VALOR],tabela_registros[MÊS],$AE$1,tabela_registros[DIA],reservafixaconsolidadonov[[#Headers],[21]],tabela_registros[REGISTRO],DADOS!$N$6,tabela_registros[TIPO],DADOS!$AJ$3,tabela_registros[CATEGORIA],reservafixaconsolidadonov[[#This Row],[ATUAL]])</f>
        <v>0</v>
      </c>
      <c r="Z170" s="91">
        <f>SUMIFS(tabela_registros[VALOR],tabela_registros[MÊS],$AE$1,tabela_registros[DIA],reservafixaconsolidadonov[[#Headers],[22]],tabela_registros[REGISTRO],DADOS!$N$6,tabela_registros[TIPO],DADOS!$AJ$3,tabela_registros[CATEGORIA],reservafixaconsolidadonov[[#This Row],[ATUAL]])</f>
        <v>0</v>
      </c>
      <c r="AA170" s="91">
        <f>SUMIFS(tabela_registros[VALOR],tabela_registros[MÊS],$AE$1,tabela_registros[DIA],reservafixaconsolidadonov[[#Headers],[23]],tabela_registros[REGISTRO],DADOS!$N$6,tabela_registros[TIPO],DADOS!$AJ$3,tabela_registros[CATEGORIA],reservafixaconsolidadonov[[#This Row],[ATUAL]])</f>
        <v>0</v>
      </c>
      <c r="AB170" s="91">
        <f>SUMIFS(tabela_registros[VALOR],tabela_registros[MÊS],$AE$1,tabela_registros[DIA],reservafixaconsolidadonov[[#Headers],[24]],tabela_registros[REGISTRO],DADOS!$N$6,tabela_registros[TIPO],DADOS!$AJ$3,tabela_registros[CATEGORIA],reservafixaconsolidadonov[[#This Row],[ATUAL]])</f>
        <v>0</v>
      </c>
      <c r="AC170" s="91">
        <f>SUMIFS(tabela_registros[VALOR],tabela_registros[MÊS],$AE$1,tabela_registros[DIA],reservafixaconsolidadonov[[#Headers],[25]],tabela_registros[REGISTRO],DADOS!$N$6,tabela_registros[TIPO],DADOS!$AJ$3,tabela_registros[CATEGORIA],reservafixaconsolidadonov[[#This Row],[ATUAL]])</f>
        <v>0</v>
      </c>
      <c r="AD170" s="91">
        <f>SUMIFS(tabela_registros[VALOR],tabela_registros[MÊS],$AE$1,tabela_registros[DIA],reservafixaconsolidadonov[[#Headers],[26]],tabela_registros[REGISTRO],DADOS!$N$6,tabela_registros[TIPO],DADOS!$AJ$3,tabela_registros[CATEGORIA],reservafixaconsolidadonov[[#This Row],[ATUAL]])</f>
        <v>0</v>
      </c>
      <c r="AE170" s="91">
        <f>SUMIFS(tabela_registros[VALOR],tabela_registros[MÊS],$AE$1,tabela_registros[DIA],reservafixaconsolidadonov[[#Headers],[27]],tabela_registros[REGISTRO],DADOS!$N$6,tabela_registros[TIPO],DADOS!$AJ$3,tabela_registros[CATEGORIA],reservafixaconsolidadonov[[#This Row],[ATUAL]])</f>
        <v>0</v>
      </c>
      <c r="AF170" s="91">
        <f>SUMIFS(tabela_registros[VALOR],tabela_registros[MÊS],$AE$1,tabela_registros[DIA],reservafixaconsolidadonov[[#Headers],[28]],tabela_registros[REGISTRO],DADOS!$N$6,tabela_registros[TIPO],DADOS!$AJ$3,tabela_registros[CATEGORIA],reservafixaconsolidadonov[[#This Row],[ATUAL]])</f>
        <v>0</v>
      </c>
      <c r="AG170" s="91">
        <f>SUMIFS(tabela_registros[VALOR],tabela_registros[MÊS],$AE$1,tabela_registros[DIA],reservafixaconsolidadonov[[#Headers],[29]],tabela_registros[REGISTRO],DADOS!$N$6,tabela_registros[TIPO],DADOS!$AJ$3,tabela_registros[CATEGORIA],reservafixaconsolidadonov[[#This Row],[ATUAL]])</f>
        <v>0</v>
      </c>
      <c r="AH170" s="91">
        <f>SUMIFS(tabela_registros[VALOR],tabela_registros[MÊS],$AE$1,tabela_registros[DIA],reservafixaconsolidadonov[[#Headers],[30]],tabela_registros[REGISTRO],DADOS!$N$6,tabela_registros[TIPO],DADOS!$AJ$3,tabela_registros[CATEGORIA],reservafixaconsolidadonov[[#This Row],[ATUAL]])</f>
        <v>0</v>
      </c>
      <c r="AI170" s="101">
        <f>SUMIFS(tabela_registros[VALOR],tabela_registros[MÊS],$AE$1,tabela_registros[DIA],reservafixaconsolidadonov[[#Headers],[31]],tabela_registros[REGISTRO],DADOS!$N$6,tabela_registros[TIPO],DADOS!$AJ$3,tabela_registros[CATEGORIA],reservafixaconsolidadonov[[#This Row],[ATUAL]])</f>
        <v>0</v>
      </c>
      <c r="AJ170" s="97">
        <f>SUM(reservafixaconsolidadonov[[#This Row],[1]:[31]])</f>
        <v>0</v>
      </c>
      <c r="AK170" s="25"/>
    </row>
    <row r="171" spans="2:37" ht="19.5" customHeight="1" thickTop="1" thickBot="1" x14ac:dyDescent="0.3">
      <c r="B171" s="28"/>
      <c r="C171" s="27" t="str">
        <f>DADOS!$AL$6</f>
        <v>📝 DEBÊNTURE</v>
      </c>
      <c r="D171" s="26" t="str">
        <f>IF(reservafixaconsolidadonov[[#This Row],[TOTAL (R$)]]=0,"",IF(OR(reservafixaconsolidadonov[[#This Row],[TOTAL (R$)]]=LARGE($AJ$168:$AJ$177,1),reservafixaconsolidadonov[[#This Row],[TOTAL (R$)]]=LARGE($AJ$168:$AJ$177,2)),DADOS!$I$11,""))</f>
        <v/>
      </c>
      <c r="E171" s="96">
        <f>SUMIFS(tabela_registros[VALOR],tabela_registros[MÊS],$AE$1,tabela_registros[DIA],reservafixaconsolidadonov[[#Headers],[1]],tabela_registros[REGISTRO],DADOS!$N$6,tabela_registros[TIPO],DADOS!$AJ$3,tabela_registros[CATEGORIA],reservafixaconsolidadonov[[#This Row],[ATUAL]])</f>
        <v>0</v>
      </c>
      <c r="F171" s="91">
        <f>SUMIFS(tabela_registros[VALOR],tabela_registros[MÊS],$AE$1,tabela_registros[DIA],reservafixaconsolidadonov[[#Headers],[2]],tabela_registros[REGISTRO],DADOS!$N$6,tabela_registros[TIPO],DADOS!$AJ$3,tabela_registros[CATEGORIA],reservafixaconsolidadonov[[#This Row],[ATUAL]])</f>
        <v>0</v>
      </c>
      <c r="G171" s="91">
        <f>SUMIFS(tabela_registros[VALOR],tabela_registros[MÊS],$AE$1,tabela_registros[DIA],reservafixaconsolidadonov[[#Headers],[3]],tabela_registros[REGISTRO],DADOS!$N$6,tabela_registros[TIPO],DADOS!$AJ$3,tabela_registros[CATEGORIA],reservafixaconsolidadonov[[#This Row],[ATUAL]])</f>
        <v>0</v>
      </c>
      <c r="H171" s="91">
        <f>SUMIFS(tabela_registros[VALOR],tabela_registros[MÊS],$AE$1,tabela_registros[DIA],reservafixaconsolidadonov[[#Headers],[4]],tabela_registros[REGISTRO],DADOS!$N$6,tabela_registros[TIPO],DADOS!$AJ$3,tabela_registros[CATEGORIA],reservafixaconsolidadonov[[#This Row],[ATUAL]])</f>
        <v>0</v>
      </c>
      <c r="I171" s="91">
        <f>SUMIFS(tabela_registros[VALOR],tabela_registros[MÊS],$AE$1,tabela_registros[DIA],reservafixaconsolidadonov[[#Headers],[5]],tabela_registros[REGISTRO],DADOS!$N$6,tabela_registros[TIPO],DADOS!$AJ$3,tabela_registros[CATEGORIA],reservafixaconsolidadonov[[#This Row],[ATUAL]])</f>
        <v>0</v>
      </c>
      <c r="J171" s="91">
        <f>SUMIFS(tabela_registros[VALOR],tabela_registros[MÊS],$AE$1,tabela_registros[DIA],reservafixaconsolidadonov[[#Headers],[6]],tabela_registros[REGISTRO],DADOS!$N$6,tabela_registros[TIPO],DADOS!$AJ$3,tabela_registros[CATEGORIA],reservafixaconsolidadonov[[#This Row],[ATUAL]])</f>
        <v>0</v>
      </c>
      <c r="K171" s="91">
        <f>SUMIFS(tabela_registros[VALOR],tabela_registros[MÊS],$AE$1,tabela_registros[DIA],reservafixaconsolidadonov[[#Headers],[7]],tabela_registros[REGISTRO],DADOS!$N$6,tabela_registros[TIPO],DADOS!$AJ$3,tabela_registros[CATEGORIA],reservafixaconsolidadonov[[#This Row],[ATUAL]])</f>
        <v>0</v>
      </c>
      <c r="L171" s="91">
        <f>SUMIFS(tabela_registros[VALOR],tabela_registros[MÊS],$AE$1,tabela_registros[DIA],reservafixaconsolidadonov[[#Headers],[8]],tabela_registros[REGISTRO],DADOS!$N$6,tabela_registros[TIPO],DADOS!$AJ$3,tabela_registros[CATEGORIA],reservafixaconsolidadonov[[#This Row],[ATUAL]])</f>
        <v>0</v>
      </c>
      <c r="M171" s="91">
        <f>SUMIFS(tabela_registros[VALOR],tabela_registros[MÊS],$AE$1,tabela_registros[DIA],reservafixaconsolidadonov[[#Headers],[9]],tabela_registros[REGISTRO],DADOS!$N$6,tabela_registros[TIPO],DADOS!$AJ$3,tabela_registros[CATEGORIA],reservafixaconsolidadonov[[#This Row],[ATUAL]])</f>
        <v>0</v>
      </c>
      <c r="N171" s="91">
        <f>SUMIFS(tabela_registros[VALOR],tabela_registros[MÊS],$AE$1,tabela_registros[DIA],reservafixaconsolidadonov[[#Headers],[10]],tabela_registros[REGISTRO],DADOS!$N$6,tabela_registros[TIPO],DADOS!$AJ$3,tabela_registros[CATEGORIA],reservafixaconsolidadonov[[#This Row],[ATUAL]])</f>
        <v>0</v>
      </c>
      <c r="O171" s="91">
        <f>SUMIFS(tabela_registros[VALOR],tabela_registros[MÊS],$AE$1,tabela_registros[DIA],reservafixaconsolidadonov[[#Headers],[11]],tabela_registros[REGISTRO],DADOS!$N$6,tabela_registros[TIPO],DADOS!$AJ$3,tabela_registros[CATEGORIA],reservafixaconsolidadonov[[#This Row],[ATUAL]])</f>
        <v>0</v>
      </c>
      <c r="P171" s="91">
        <f>SUMIFS(tabela_registros[VALOR],tabela_registros[MÊS],$AE$1,tabela_registros[DIA],reservafixaconsolidadonov[[#Headers],[12]],tabela_registros[REGISTRO],DADOS!$N$6,tabela_registros[TIPO],DADOS!$AJ$3,tabela_registros[CATEGORIA],reservafixaconsolidadonov[[#This Row],[ATUAL]])</f>
        <v>0</v>
      </c>
      <c r="Q171" s="91">
        <f>SUMIFS(tabela_registros[VALOR],tabela_registros[MÊS],$AE$1,tabela_registros[DIA],reservafixaconsolidadonov[[#Headers],[13]],tabela_registros[REGISTRO],DADOS!$N$6,tabela_registros[TIPO],DADOS!$AJ$3,tabela_registros[CATEGORIA],reservafixaconsolidadonov[[#This Row],[ATUAL]])</f>
        <v>0</v>
      </c>
      <c r="R171" s="91">
        <f>SUMIFS(tabela_registros[VALOR],tabela_registros[MÊS],$AE$1,tabela_registros[DIA],reservafixaconsolidadonov[[#Headers],[14]],tabela_registros[REGISTRO],DADOS!$N$6,tabela_registros[TIPO],DADOS!$AJ$3,tabela_registros[CATEGORIA],reservafixaconsolidadonov[[#This Row],[ATUAL]])</f>
        <v>0</v>
      </c>
      <c r="S171" s="91">
        <f>SUMIFS(tabela_registros[VALOR],tabela_registros[MÊS],$AE$1,tabela_registros[DIA],reservafixaconsolidadonov[[#Headers],[15]],tabela_registros[REGISTRO],DADOS!$N$6,tabela_registros[TIPO],DADOS!$AJ$3,tabela_registros[CATEGORIA],reservafixaconsolidadonov[[#This Row],[ATUAL]])</f>
        <v>0</v>
      </c>
      <c r="T171" s="91">
        <f>SUMIFS(tabela_registros[VALOR],tabela_registros[MÊS],$AE$1,tabela_registros[DIA],reservafixaconsolidadonov[[#Headers],[16]],tabela_registros[REGISTRO],DADOS!$N$6,tabela_registros[TIPO],DADOS!$AJ$3,tabela_registros[CATEGORIA],reservafixaconsolidadonov[[#This Row],[ATUAL]])</f>
        <v>0</v>
      </c>
      <c r="U171" s="91">
        <f>SUMIFS(tabela_registros[VALOR],tabela_registros[MÊS],$AE$1,tabela_registros[DIA],reservafixaconsolidadonov[[#Headers],[17]],tabela_registros[REGISTRO],DADOS!$N$6,tabela_registros[TIPO],DADOS!$AJ$3,tabela_registros[CATEGORIA],reservafixaconsolidadonov[[#This Row],[ATUAL]])</f>
        <v>0</v>
      </c>
      <c r="V171" s="91">
        <f>SUMIFS(tabela_registros[VALOR],tabela_registros[MÊS],$AE$1,tabela_registros[DIA],reservafixaconsolidadonov[[#Headers],[18]],tabela_registros[REGISTRO],DADOS!$N$6,tabela_registros[TIPO],DADOS!$AJ$3,tabela_registros[CATEGORIA],reservafixaconsolidadonov[[#This Row],[ATUAL]])</f>
        <v>0</v>
      </c>
      <c r="W171" s="91">
        <f>SUMIFS(tabela_registros[VALOR],tabela_registros[MÊS],$AE$1,tabela_registros[DIA],reservafixaconsolidadonov[[#Headers],[19]],tabela_registros[REGISTRO],DADOS!$N$6,tabela_registros[TIPO],DADOS!$AJ$3,tabela_registros[CATEGORIA],reservafixaconsolidadonov[[#This Row],[ATUAL]])</f>
        <v>0</v>
      </c>
      <c r="X171" s="91">
        <f>SUMIFS(tabela_registros[VALOR],tabela_registros[MÊS],$AE$1,tabela_registros[DIA],reservafixaconsolidadonov[[#Headers],[20]],tabela_registros[REGISTRO],DADOS!$N$6,tabela_registros[TIPO],DADOS!$AJ$3,tabela_registros[CATEGORIA],reservafixaconsolidadonov[[#This Row],[ATUAL]])</f>
        <v>0</v>
      </c>
      <c r="Y171" s="91">
        <f>SUMIFS(tabela_registros[VALOR],tabela_registros[MÊS],$AE$1,tabela_registros[DIA],reservafixaconsolidadonov[[#Headers],[21]],tabela_registros[REGISTRO],DADOS!$N$6,tabela_registros[TIPO],DADOS!$AJ$3,tabela_registros[CATEGORIA],reservafixaconsolidadonov[[#This Row],[ATUAL]])</f>
        <v>0</v>
      </c>
      <c r="Z171" s="91">
        <f>SUMIFS(tabela_registros[VALOR],tabela_registros[MÊS],$AE$1,tabela_registros[DIA],reservafixaconsolidadonov[[#Headers],[22]],tabela_registros[REGISTRO],DADOS!$N$6,tabela_registros[TIPO],DADOS!$AJ$3,tabela_registros[CATEGORIA],reservafixaconsolidadonov[[#This Row],[ATUAL]])</f>
        <v>0</v>
      </c>
      <c r="AA171" s="91">
        <f>SUMIFS(tabela_registros[VALOR],tabela_registros[MÊS],$AE$1,tabela_registros[DIA],reservafixaconsolidadonov[[#Headers],[23]],tabela_registros[REGISTRO],DADOS!$N$6,tabela_registros[TIPO],DADOS!$AJ$3,tabela_registros[CATEGORIA],reservafixaconsolidadonov[[#This Row],[ATUAL]])</f>
        <v>0</v>
      </c>
      <c r="AB171" s="91">
        <f>SUMIFS(tabela_registros[VALOR],tabela_registros[MÊS],$AE$1,tabela_registros[DIA],reservafixaconsolidadonov[[#Headers],[24]],tabela_registros[REGISTRO],DADOS!$N$6,tabela_registros[TIPO],DADOS!$AJ$3,tabela_registros[CATEGORIA],reservafixaconsolidadonov[[#This Row],[ATUAL]])</f>
        <v>0</v>
      </c>
      <c r="AC171" s="91">
        <f>SUMIFS(tabela_registros[VALOR],tabela_registros[MÊS],$AE$1,tabela_registros[DIA],reservafixaconsolidadonov[[#Headers],[25]],tabela_registros[REGISTRO],DADOS!$N$6,tabela_registros[TIPO],DADOS!$AJ$3,tabela_registros[CATEGORIA],reservafixaconsolidadonov[[#This Row],[ATUAL]])</f>
        <v>0</v>
      </c>
      <c r="AD171" s="91">
        <f>SUMIFS(tabela_registros[VALOR],tabela_registros[MÊS],$AE$1,tabela_registros[DIA],reservafixaconsolidadonov[[#Headers],[26]],tabela_registros[REGISTRO],DADOS!$N$6,tabela_registros[TIPO],DADOS!$AJ$3,tabela_registros[CATEGORIA],reservafixaconsolidadonov[[#This Row],[ATUAL]])</f>
        <v>0</v>
      </c>
      <c r="AE171" s="91">
        <f>SUMIFS(tabela_registros[VALOR],tabela_registros[MÊS],$AE$1,tabela_registros[DIA],reservafixaconsolidadonov[[#Headers],[27]],tabela_registros[REGISTRO],DADOS!$N$6,tabela_registros[TIPO],DADOS!$AJ$3,tabela_registros[CATEGORIA],reservafixaconsolidadonov[[#This Row],[ATUAL]])</f>
        <v>0</v>
      </c>
      <c r="AF171" s="91">
        <f>SUMIFS(tabela_registros[VALOR],tabela_registros[MÊS],$AE$1,tabela_registros[DIA],reservafixaconsolidadonov[[#Headers],[28]],tabela_registros[REGISTRO],DADOS!$N$6,tabela_registros[TIPO],DADOS!$AJ$3,tabela_registros[CATEGORIA],reservafixaconsolidadonov[[#This Row],[ATUAL]])</f>
        <v>0</v>
      </c>
      <c r="AG171" s="91">
        <f>SUMIFS(tabela_registros[VALOR],tabela_registros[MÊS],$AE$1,tabela_registros[DIA],reservafixaconsolidadonov[[#Headers],[29]],tabela_registros[REGISTRO],DADOS!$N$6,tabela_registros[TIPO],DADOS!$AJ$3,tabela_registros[CATEGORIA],reservafixaconsolidadonov[[#This Row],[ATUAL]])</f>
        <v>0</v>
      </c>
      <c r="AH171" s="91">
        <f>SUMIFS(tabela_registros[VALOR],tabela_registros[MÊS],$AE$1,tabela_registros[DIA],reservafixaconsolidadonov[[#Headers],[30]],tabela_registros[REGISTRO],DADOS!$N$6,tabela_registros[TIPO],DADOS!$AJ$3,tabela_registros[CATEGORIA],reservafixaconsolidadonov[[#This Row],[ATUAL]])</f>
        <v>0</v>
      </c>
      <c r="AI171" s="101">
        <f>SUMIFS(tabela_registros[VALOR],tabela_registros[MÊS],$AE$1,tabela_registros[DIA],reservafixaconsolidadonov[[#Headers],[31]],tabela_registros[REGISTRO],DADOS!$N$6,tabela_registros[TIPO],DADOS!$AJ$3,tabela_registros[CATEGORIA],reservafixaconsolidadonov[[#This Row],[ATUAL]])</f>
        <v>0</v>
      </c>
      <c r="AJ171" s="97">
        <f>SUM(reservafixaconsolidadonov[[#This Row],[1]:[31]])</f>
        <v>0</v>
      </c>
      <c r="AK171" s="25"/>
    </row>
    <row r="172" spans="2:37" ht="19.5" customHeight="1" thickTop="1" thickBot="1" x14ac:dyDescent="0.3">
      <c r="B172" s="28"/>
      <c r="C172" s="27" t="str">
        <f>DADOS!$AL$7</f>
        <v>📝 EXTERIOR</v>
      </c>
      <c r="D172" s="26" t="str">
        <f>IF(reservafixaconsolidadonov[[#This Row],[TOTAL (R$)]]=0,"",IF(OR(reservafixaconsolidadonov[[#This Row],[TOTAL (R$)]]=LARGE($AJ$168:$AJ$177,1),reservafixaconsolidadonov[[#This Row],[TOTAL (R$)]]=LARGE($AJ$168:$AJ$177,2)),DADOS!$I$11,""))</f>
        <v/>
      </c>
      <c r="E172" s="96">
        <f>SUMIFS(tabela_registros[VALOR],tabela_registros[MÊS],$AE$1,tabela_registros[DIA],reservafixaconsolidadonov[[#Headers],[1]],tabela_registros[REGISTRO],DADOS!$N$6,tabela_registros[TIPO],DADOS!$AJ$3,tabela_registros[CATEGORIA],reservafixaconsolidadonov[[#This Row],[ATUAL]])</f>
        <v>0</v>
      </c>
      <c r="F172" s="91">
        <f>SUMIFS(tabela_registros[VALOR],tabela_registros[MÊS],$AE$1,tabela_registros[DIA],reservafixaconsolidadonov[[#Headers],[2]],tabela_registros[REGISTRO],DADOS!$N$6,tabela_registros[TIPO],DADOS!$AJ$3,tabela_registros[CATEGORIA],reservafixaconsolidadonov[[#This Row],[ATUAL]])</f>
        <v>0</v>
      </c>
      <c r="G172" s="91">
        <f>SUMIFS(tabela_registros[VALOR],tabela_registros[MÊS],$AE$1,tabela_registros[DIA],reservafixaconsolidadonov[[#Headers],[3]],tabela_registros[REGISTRO],DADOS!$N$6,tabela_registros[TIPO],DADOS!$AJ$3,tabela_registros[CATEGORIA],reservafixaconsolidadonov[[#This Row],[ATUAL]])</f>
        <v>0</v>
      </c>
      <c r="H172" s="91">
        <f>SUMIFS(tabela_registros[VALOR],tabela_registros[MÊS],$AE$1,tabela_registros[DIA],reservafixaconsolidadonov[[#Headers],[4]],tabela_registros[REGISTRO],DADOS!$N$6,tabela_registros[TIPO],DADOS!$AJ$3,tabela_registros[CATEGORIA],reservafixaconsolidadonov[[#This Row],[ATUAL]])</f>
        <v>0</v>
      </c>
      <c r="I172" s="91">
        <f>SUMIFS(tabela_registros[VALOR],tabela_registros[MÊS],$AE$1,tabela_registros[DIA],reservafixaconsolidadonov[[#Headers],[5]],tabela_registros[REGISTRO],DADOS!$N$6,tabela_registros[TIPO],DADOS!$AJ$3,tabela_registros[CATEGORIA],reservafixaconsolidadonov[[#This Row],[ATUAL]])</f>
        <v>0</v>
      </c>
      <c r="J172" s="91">
        <f>SUMIFS(tabela_registros[VALOR],tabela_registros[MÊS],$AE$1,tabela_registros[DIA],reservafixaconsolidadonov[[#Headers],[6]],tabela_registros[REGISTRO],DADOS!$N$6,tabela_registros[TIPO],DADOS!$AJ$3,tabela_registros[CATEGORIA],reservafixaconsolidadonov[[#This Row],[ATUAL]])</f>
        <v>0</v>
      </c>
      <c r="K172" s="91">
        <f>SUMIFS(tabela_registros[VALOR],tabela_registros[MÊS],$AE$1,tabela_registros[DIA],reservafixaconsolidadonov[[#Headers],[7]],tabela_registros[REGISTRO],DADOS!$N$6,tabela_registros[TIPO],DADOS!$AJ$3,tabela_registros[CATEGORIA],reservafixaconsolidadonov[[#This Row],[ATUAL]])</f>
        <v>0</v>
      </c>
      <c r="L172" s="91">
        <f>SUMIFS(tabela_registros[VALOR],tabela_registros[MÊS],$AE$1,tabela_registros[DIA],reservafixaconsolidadonov[[#Headers],[8]],tabela_registros[REGISTRO],DADOS!$N$6,tabela_registros[TIPO],DADOS!$AJ$3,tabela_registros[CATEGORIA],reservafixaconsolidadonov[[#This Row],[ATUAL]])</f>
        <v>0</v>
      </c>
      <c r="M172" s="91">
        <f>SUMIFS(tabela_registros[VALOR],tabela_registros[MÊS],$AE$1,tabela_registros[DIA],reservafixaconsolidadonov[[#Headers],[9]],tabela_registros[REGISTRO],DADOS!$N$6,tabela_registros[TIPO],DADOS!$AJ$3,tabela_registros[CATEGORIA],reservafixaconsolidadonov[[#This Row],[ATUAL]])</f>
        <v>0</v>
      </c>
      <c r="N172" s="91">
        <f>SUMIFS(tabela_registros[VALOR],tabela_registros[MÊS],$AE$1,tabela_registros[DIA],reservafixaconsolidadonov[[#Headers],[10]],tabela_registros[REGISTRO],DADOS!$N$6,tabela_registros[TIPO],DADOS!$AJ$3,tabela_registros[CATEGORIA],reservafixaconsolidadonov[[#This Row],[ATUAL]])</f>
        <v>0</v>
      </c>
      <c r="O172" s="91">
        <f>SUMIFS(tabela_registros[VALOR],tabela_registros[MÊS],$AE$1,tabela_registros[DIA],reservafixaconsolidadonov[[#Headers],[11]],tabela_registros[REGISTRO],DADOS!$N$6,tabela_registros[TIPO],DADOS!$AJ$3,tabela_registros[CATEGORIA],reservafixaconsolidadonov[[#This Row],[ATUAL]])</f>
        <v>0</v>
      </c>
      <c r="P172" s="91">
        <f>SUMIFS(tabela_registros[VALOR],tabela_registros[MÊS],$AE$1,tabela_registros[DIA],reservafixaconsolidadonov[[#Headers],[12]],tabela_registros[REGISTRO],DADOS!$N$6,tabela_registros[TIPO],DADOS!$AJ$3,tabela_registros[CATEGORIA],reservafixaconsolidadonov[[#This Row],[ATUAL]])</f>
        <v>0</v>
      </c>
      <c r="Q172" s="91">
        <f>SUMIFS(tabela_registros[VALOR],tabela_registros[MÊS],$AE$1,tabela_registros[DIA],reservafixaconsolidadonov[[#Headers],[13]],tabela_registros[REGISTRO],DADOS!$N$6,tabela_registros[TIPO],DADOS!$AJ$3,tabela_registros[CATEGORIA],reservafixaconsolidadonov[[#This Row],[ATUAL]])</f>
        <v>0</v>
      </c>
      <c r="R172" s="91">
        <f>SUMIFS(tabela_registros[VALOR],tabela_registros[MÊS],$AE$1,tabela_registros[DIA],reservafixaconsolidadonov[[#Headers],[14]],tabela_registros[REGISTRO],DADOS!$N$6,tabela_registros[TIPO],DADOS!$AJ$3,tabela_registros[CATEGORIA],reservafixaconsolidadonov[[#This Row],[ATUAL]])</f>
        <v>0</v>
      </c>
      <c r="S172" s="91">
        <f>SUMIFS(tabela_registros[VALOR],tabela_registros[MÊS],$AE$1,tabela_registros[DIA],reservafixaconsolidadonov[[#Headers],[15]],tabela_registros[REGISTRO],DADOS!$N$6,tabela_registros[TIPO],DADOS!$AJ$3,tabela_registros[CATEGORIA],reservafixaconsolidadonov[[#This Row],[ATUAL]])</f>
        <v>0</v>
      </c>
      <c r="T172" s="91">
        <f>SUMIFS(tabela_registros[VALOR],tabela_registros[MÊS],$AE$1,tabela_registros[DIA],reservafixaconsolidadonov[[#Headers],[16]],tabela_registros[REGISTRO],DADOS!$N$6,tabela_registros[TIPO],DADOS!$AJ$3,tabela_registros[CATEGORIA],reservafixaconsolidadonov[[#This Row],[ATUAL]])</f>
        <v>0</v>
      </c>
      <c r="U172" s="91">
        <f>SUMIFS(tabela_registros[VALOR],tabela_registros[MÊS],$AE$1,tabela_registros[DIA],reservafixaconsolidadonov[[#Headers],[17]],tabela_registros[REGISTRO],DADOS!$N$6,tabela_registros[TIPO],DADOS!$AJ$3,tabela_registros[CATEGORIA],reservafixaconsolidadonov[[#This Row],[ATUAL]])</f>
        <v>0</v>
      </c>
      <c r="V172" s="91">
        <f>SUMIFS(tabela_registros[VALOR],tabela_registros[MÊS],$AE$1,tabela_registros[DIA],reservafixaconsolidadonov[[#Headers],[18]],tabela_registros[REGISTRO],DADOS!$N$6,tabela_registros[TIPO],DADOS!$AJ$3,tabela_registros[CATEGORIA],reservafixaconsolidadonov[[#This Row],[ATUAL]])</f>
        <v>0</v>
      </c>
      <c r="W172" s="91">
        <f>SUMIFS(tabela_registros[VALOR],tabela_registros[MÊS],$AE$1,tabela_registros[DIA],reservafixaconsolidadonov[[#Headers],[19]],tabela_registros[REGISTRO],DADOS!$N$6,tabela_registros[TIPO],DADOS!$AJ$3,tabela_registros[CATEGORIA],reservafixaconsolidadonov[[#This Row],[ATUAL]])</f>
        <v>0</v>
      </c>
      <c r="X172" s="91">
        <f>SUMIFS(tabela_registros[VALOR],tabela_registros[MÊS],$AE$1,tabela_registros[DIA],reservafixaconsolidadonov[[#Headers],[20]],tabela_registros[REGISTRO],DADOS!$N$6,tabela_registros[TIPO],DADOS!$AJ$3,tabela_registros[CATEGORIA],reservafixaconsolidadonov[[#This Row],[ATUAL]])</f>
        <v>0</v>
      </c>
      <c r="Y172" s="91">
        <f>SUMIFS(tabela_registros[VALOR],tabela_registros[MÊS],$AE$1,tabela_registros[DIA],reservafixaconsolidadonov[[#Headers],[21]],tabela_registros[REGISTRO],DADOS!$N$6,tabela_registros[TIPO],DADOS!$AJ$3,tabela_registros[CATEGORIA],reservafixaconsolidadonov[[#This Row],[ATUAL]])</f>
        <v>0</v>
      </c>
      <c r="Z172" s="91">
        <f>SUMIFS(tabela_registros[VALOR],tabela_registros[MÊS],$AE$1,tabela_registros[DIA],reservafixaconsolidadonov[[#Headers],[22]],tabela_registros[REGISTRO],DADOS!$N$6,tabela_registros[TIPO],DADOS!$AJ$3,tabela_registros[CATEGORIA],reservafixaconsolidadonov[[#This Row],[ATUAL]])</f>
        <v>0</v>
      </c>
      <c r="AA172" s="91">
        <f>SUMIFS(tabela_registros[VALOR],tabela_registros[MÊS],$AE$1,tabela_registros[DIA],reservafixaconsolidadonov[[#Headers],[23]],tabela_registros[REGISTRO],DADOS!$N$6,tabela_registros[TIPO],DADOS!$AJ$3,tabela_registros[CATEGORIA],reservafixaconsolidadonov[[#This Row],[ATUAL]])</f>
        <v>0</v>
      </c>
      <c r="AB172" s="91">
        <f>SUMIFS(tabela_registros[VALOR],tabela_registros[MÊS],$AE$1,tabela_registros[DIA],reservafixaconsolidadonov[[#Headers],[24]],tabela_registros[REGISTRO],DADOS!$N$6,tabela_registros[TIPO],DADOS!$AJ$3,tabela_registros[CATEGORIA],reservafixaconsolidadonov[[#This Row],[ATUAL]])</f>
        <v>0</v>
      </c>
      <c r="AC172" s="91">
        <f>SUMIFS(tabela_registros[VALOR],tabela_registros[MÊS],$AE$1,tabela_registros[DIA],reservafixaconsolidadonov[[#Headers],[25]],tabela_registros[REGISTRO],DADOS!$N$6,tabela_registros[TIPO],DADOS!$AJ$3,tabela_registros[CATEGORIA],reservafixaconsolidadonov[[#This Row],[ATUAL]])</f>
        <v>0</v>
      </c>
      <c r="AD172" s="91">
        <f>SUMIFS(tabela_registros[VALOR],tabela_registros[MÊS],$AE$1,tabela_registros[DIA],reservafixaconsolidadonov[[#Headers],[26]],tabela_registros[REGISTRO],DADOS!$N$6,tabela_registros[TIPO],DADOS!$AJ$3,tabela_registros[CATEGORIA],reservafixaconsolidadonov[[#This Row],[ATUAL]])</f>
        <v>0</v>
      </c>
      <c r="AE172" s="91">
        <f>SUMIFS(tabela_registros[VALOR],tabela_registros[MÊS],$AE$1,tabela_registros[DIA],reservafixaconsolidadonov[[#Headers],[27]],tabela_registros[REGISTRO],DADOS!$N$6,tabela_registros[TIPO],DADOS!$AJ$3,tabela_registros[CATEGORIA],reservafixaconsolidadonov[[#This Row],[ATUAL]])</f>
        <v>0</v>
      </c>
      <c r="AF172" s="91">
        <f>SUMIFS(tabela_registros[VALOR],tabela_registros[MÊS],$AE$1,tabela_registros[DIA],reservafixaconsolidadonov[[#Headers],[28]],tabela_registros[REGISTRO],DADOS!$N$6,tabela_registros[TIPO],DADOS!$AJ$3,tabela_registros[CATEGORIA],reservafixaconsolidadonov[[#This Row],[ATUAL]])</f>
        <v>0</v>
      </c>
      <c r="AG172" s="91">
        <f>SUMIFS(tabela_registros[VALOR],tabela_registros[MÊS],$AE$1,tabela_registros[DIA],reservafixaconsolidadonov[[#Headers],[29]],tabela_registros[REGISTRO],DADOS!$N$6,tabela_registros[TIPO],DADOS!$AJ$3,tabela_registros[CATEGORIA],reservafixaconsolidadonov[[#This Row],[ATUAL]])</f>
        <v>0</v>
      </c>
      <c r="AH172" s="91">
        <f>SUMIFS(tabela_registros[VALOR],tabela_registros[MÊS],$AE$1,tabela_registros[DIA],reservafixaconsolidadonov[[#Headers],[30]],tabela_registros[REGISTRO],DADOS!$N$6,tabela_registros[TIPO],DADOS!$AJ$3,tabela_registros[CATEGORIA],reservafixaconsolidadonov[[#This Row],[ATUAL]])</f>
        <v>0</v>
      </c>
      <c r="AI172" s="101">
        <f>SUMIFS(tabela_registros[VALOR],tabela_registros[MÊS],$AE$1,tabela_registros[DIA],reservafixaconsolidadonov[[#Headers],[31]],tabela_registros[REGISTRO],DADOS!$N$6,tabela_registros[TIPO],DADOS!$AJ$3,tabela_registros[CATEGORIA],reservafixaconsolidadonov[[#This Row],[ATUAL]])</f>
        <v>0</v>
      </c>
      <c r="AJ172" s="97">
        <f>SUM(reservafixaconsolidadonov[[#This Row],[1]:[31]])</f>
        <v>0</v>
      </c>
      <c r="AK172" s="25"/>
    </row>
    <row r="173" spans="2:37" ht="19.5" customHeight="1" thickTop="1" thickBot="1" x14ac:dyDescent="0.3">
      <c r="B173" s="28"/>
      <c r="C173" s="27" t="str">
        <f>DADOS!$AL$8</f>
        <v>📝 LC</v>
      </c>
      <c r="D173" s="26" t="str">
        <f>IF(reservafixaconsolidadonov[[#This Row],[TOTAL (R$)]]=0,"",IF(OR(reservafixaconsolidadonov[[#This Row],[TOTAL (R$)]]=LARGE($AJ$168:$AJ$177,1),reservafixaconsolidadonov[[#This Row],[TOTAL (R$)]]=LARGE($AJ$168:$AJ$177,2)),DADOS!$I$11,""))</f>
        <v/>
      </c>
      <c r="E173" s="96">
        <f>SUMIFS(tabela_registros[VALOR],tabela_registros[MÊS],$AE$1,tabela_registros[DIA],reservafixaconsolidadonov[[#Headers],[1]],tabela_registros[REGISTRO],DADOS!$N$6,tabela_registros[TIPO],DADOS!$AJ$3,tabela_registros[CATEGORIA],reservafixaconsolidadonov[[#This Row],[ATUAL]])</f>
        <v>0</v>
      </c>
      <c r="F173" s="91">
        <f>SUMIFS(tabela_registros[VALOR],tabela_registros[MÊS],$AE$1,tabela_registros[DIA],reservafixaconsolidadonov[[#Headers],[2]],tabela_registros[REGISTRO],DADOS!$N$6,tabela_registros[TIPO],DADOS!$AJ$3,tabela_registros[CATEGORIA],reservafixaconsolidadonov[[#This Row],[ATUAL]])</f>
        <v>0</v>
      </c>
      <c r="G173" s="91">
        <f>SUMIFS(tabela_registros[VALOR],tabela_registros[MÊS],$AE$1,tabela_registros[DIA],reservafixaconsolidadonov[[#Headers],[3]],tabela_registros[REGISTRO],DADOS!$N$6,tabela_registros[TIPO],DADOS!$AJ$3,tabela_registros[CATEGORIA],reservafixaconsolidadonov[[#This Row],[ATUAL]])</f>
        <v>0</v>
      </c>
      <c r="H173" s="91">
        <f>SUMIFS(tabela_registros[VALOR],tabela_registros[MÊS],$AE$1,tabela_registros[DIA],reservafixaconsolidadonov[[#Headers],[4]],tabela_registros[REGISTRO],DADOS!$N$6,tabela_registros[TIPO],DADOS!$AJ$3,tabela_registros[CATEGORIA],reservafixaconsolidadonov[[#This Row],[ATUAL]])</f>
        <v>0</v>
      </c>
      <c r="I173" s="91">
        <f>SUMIFS(tabela_registros[VALOR],tabela_registros[MÊS],$AE$1,tabela_registros[DIA],reservafixaconsolidadonov[[#Headers],[5]],tabela_registros[REGISTRO],DADOS!$N$6,tabela_registros[TIPO],DADOS!$AJ$3,tabela_registros[CATEGORIA],reservafixaconsolidadonov[[#This Row],[ATUAL]])</f>
        <v>0</v>
      </c>
      <c r="J173" s="91">
        <f>SUMIFS(tabela_registros[VALOR],tabela_registros[MÊS],$AE$1,tabela_registros[DIA],reservafixaconsolidadonov[[#Headers],[6]],tabela_registros[REGISTRO],DADOS!$N$6,tabela_registros[TIPO],DADOS!$AJ$3,tabela_registros[CATEGORIA],reservafixaconsolidadonov[[#This Row],[ATUAL]])</f>
        <v>0</v>
      </c>
      <c r="K173" s="91">
        <f>SUMIFS(tabela_registros[VALOR],tabela_registros[MÊS],$AE$1,tabela_registros[DIA],reservafixaconsolidadonov[[#Headers],[7]],tabela_registros[REGISTRO],DADOS!$N$6,tabela_registros[TIPO],DADOS!$AJ$3,tabela_registros[CATEGORIA],reservafixaconsolidadonov[[#This Row],[ATUAL]])</f>
        <v>0</v>
      </c>
      <c r="L173" s="91">
        <f>SUMIFS(tabela_registros[VALOR],tabela_registros[MÊS],$AE$1,tabela_registros[DIA],reservafixaconsolidadonov[[#Headers],[8]],tabela_registros[REGISTRO],DADOS!$N$6,tabela_registros[TIPO],DADOS!$AJ$3,tabela_registros[CATEGORIA],reservafixaconsolidadonov[[#This Row],[ATUAL]])</f>
        <v>0</v>
      </c>
      <c r="M173" s="91">
        <f>SUMIFS(tabela_registros[VALOR],tabela_registros[MÊS],$AE$1,tabela_registros[DIA],reservafixaconsolidadonov[[#Headers],[9]],tabela_registros[REGISTRO],DADOS!$N$6,tabela_registros[TIPO],DADOS!$AJ$3,tabela_registros[CATEGORIA],reservafixaconsolidadonov[[#This Row],[ATUAL]])</f>
        <v>0</v>
      </c>
      <c r="N173" s="91">
        <f>SUMIFS(tabela_registros[VALOR],tabela_registros[MÊS],$AE$1,tabela_registros[DIA],reservafixaconsolidadonov[[#Headers],[10]],tabela_registros[REGISTRO],DADOS!$N$6,tabela_registros[TIPO],DADOS!$AJ$3,tabela_registros[CATEGORIA],reservafixaconsolidadonov[[#This Row],[ATUAL]])</f>
        <v>0</v>
      </c>
      <c r="O173" s="91">
        <f>SUMIFS(tabela_registros[VALOR],tabela_registros[MÊS],$AE$1,tabela_registros[DIA],reservafixaconsolidadonov[[#Headers],[11]],tabela_registros[REGISTRO],DADOS!$N$6,tabela_registros[TIPO],DADOS!$AJ$3,tabela_registros[CATEGORIA],reservafixaconsolidadonov[[#This Row],[ATUAL]])</f>
        <v>0</v>
      </c>
      <c r="P173" s="91">
        <f>SUMIFS(tabela_registros[VALOR],tabela_registros[MÊS],$AE$1,tabela_registros[DIA],reservafixaconsolidadonov[[#Headers],[12]],tabela_registros[REGISTRO],DADOS!$N$6,tabela_registros[TIPO],DADOS!$AJ$3,tabela_registros[CATEGORIA],reservafixaconsolidadonov[[#This Row],[ATUAL]])</f>
        <v>0</v>
      </c>
      <c r="Q173" s="91">
        <f>SUMIFS(tabela_registros[VALOR],tabela_registros[MÊS],$AE$1,tabela_registros[DIA],reservafixaconsolidadonov[[#Headers],[13]],tabela_registros[REGISTRO],DADOS!$N$6,tabela_registros[TIPO],DADOS!$AJ$3,tabela_registros[CATEGORIA],reservafixaconsolidadonov[[#This Row],[ATUAL]])</f>
        <v>0</v>
      </c>
      <c r="R173" s="91">
        <f>SUMIFS(tabela_registros[VALOR],tabela_registros[MÊS],$AE$1,tabela_registros[DIA],reservafixaconsolidadonov[[#Headers],[14]],tabela_registros[REGISTRO],DADOS!$N$6,tabela_registros[TIPO],DADOS!$AJ$3,tabela_registros[CATEGORIA],reservafixaconsolidadonov[[#This Row],[ATUAL]])</f>
        <v>0</v>
      </c>
      <c r="S173" s="91">
        <f>SUMIFS(tabela_registros[VALOR],tabela_registros[MÊS],$AE$1,tabela_registros[DIA],reservafixaconsolidadonov[[#Headers],[15]],tabela_registros[REGISTRO],DADOS!$N$6,tabela_registros[TIPO],DADOS!$AJ$3,tabela_registros[CATEGORIA],reservafixaconsolidadonov[[#This Row],[ATUAL]])</f>
        <v>0</v>
      </c>
      <c r="T173" s="91">
        <f>SUMIFS(tabela_registros[VALOR],tabela_registros[MÊS],$AE$1,tabela_registros[DIA],reservafixaconsolidadonov[[#Headers],[16]],tabela_registros[REGISTRO],DADOS!$N$6,tabela_registros[TIPO],DADOS!$AJ$3,tabela_registros[CATEGORIA],reservafixaconsolidadonov[[#This Row],[ATUAL]])</f>
        <v>0</v>
      </c>
      <c r="U173" s="91">
        <f>SUMIFS(tabela_registros[VALOR],tabela_registros[MÊS],$AE$1,tabela_registros[DIA],reservafixaconsolidadonov[[#Headers],[17]],tabela_registros[REGISTRO],DADOS!$N$6,tabela_registros[TIPO],DADOS!$AJ$3,tabela_registros[CATEGORIA],reservafixaconsolidadonov[[#This Row],[ATUAL]])</f>
        <v>0</v>
      </c>
      <c r="V173" s="91">
        <f>SUMIFS(tabela_registros[VALOR],tabela_registros[MÊS],$AE$1,tabela_registros[DIA],reservafixaconsolidadonov[[#Headers],[18]],tabela_registros[REGISTRO],DADOS!$N$6,tabela_registros[TIPO],DADOS!$AJ$3,tabela_registros[CATEGORIA],reservafixaconsolidadonov[[#This Row],[ATUAL]])</f>
        <v>0</v>
      </c>
      <c r="W173" s="91">
        <f>SUMIFS(tabela_registros[VALOR],tabela_registros[MÊS],$AE$1,tabela_registros[DIA],reservafixaconsolidadonov[[#Headers],[19]],tabela_registros[REGISTRO],DADOS!$N$6,tabela_registros[TIPO],DADOS!$AJ$3,tabela_registros[CATEGORIA],reservafixaconsolidadonov[[#This Row],[ATUAL]])</f>
        <v>0</v>
      </c>
      <c r="X173" s="91">
        <f>SUMIFS(tabela_registros[VALOR],tabela_registros[MÊS],$AE$1,tabela_registros[DIA],reservafixaconsolidadonov[[#Headers],[20]],tabela_registros[REGISTRO],DADOS!$N$6,tabela_registros[TIPO],DADOS!$AJ$3,tabela_registros[CATEGORIA],reservafixaconsolidadonov[[#This Row],[ATUAL]])</f>
        <v>0</v>
      </c>
      <c r="Y173" s="91">
        <f>SUMIFS(tabela_registros[VALOR],tabela_registros[MÊS],$AE$1,tabela_registros[DIA],reservafixaconsolidadonov[[#Headers],[21]],tabela_registros[REGISTRO],DADOS!$N$6,tabela_registros[TIPO],DADOS!$AJ$3,tabela_registros[CATEGORIA],reservafixaconsolidadonov[[#This Row],[ATUAL]])</f>
        <v>0</v>
      </c>
      <c r="Z173" s="91">
        <f>SUMIFS(tabela_registros[VALOR],tabela_registros[MÊS],$AE$1,tabela_registros[DIA],reservafixaconsolidadonov[[#Headers],[22]],tabela_registros[REGISTRO],DADOS!$N$6,tabela_registros[TIPO],DADOS!$AJ$3,tabela_registros[CATEGORIA],reservafixaconsolidadonov[[#This Row],[ATUAL]])</f>
        <v>0</v>
      </c>
      <c r="AA173" s="91">
        <f>SUMIFS(tabela_registros[VALOR],tabela_registros[MÊS],$AE$1,tabela_registros[DIA],reservafixaconsolidadonov[[#Headers],[23]],tabela_registros[REGISTRO],DADOS!$N$6,tabela_registros[TIPO],DADOS!$AJ$3,tabela_registros[CATEGORIA],reservafixaconsolidadonov[[#This Row],[ATUAL]])</f>
        <v>0</v>
      </c>
      <c r="AB173" s="91">
        <f>SUMIFS(tabela_registros[VALOR],tabela_registros[MÊS],$AE$1,tabela_registros[DIA],reservafixaconsolidadonov[[#Headers],[24]],tabela_registros[REGISTRO],DADOS!$N$6,tabela_registros[TIPO],DADOS!$AJ$3,tabela_registros[CATEGORIA],reservafixaconsolidadonov[[#This Row],[ATUAL]])</f>
        <v>0</v>
      </c>
      <c r="AC173" s="91">
        <f>SUMIFS(tabela_registros[VALOR],tabela_registros[MÊS],$AE$1,tabela_registros[DIA],reservafixaconsolidadonov[[#Headers],[25]],tabela_registros[REGISTRO],DADOS!$N$6,tabela_registros[TIPO],DADOS!$AJ$3,tabela_registros[CATEGORIA],reservafixaconsolidadonov[[#This Row],[ATUAL]])</f>
        <v>0</v>
      </c>
      <c r="AD173" s="91">
        <f>SUMIFS(tabela_registros[VALOR],tabela_registros[MÊS],$AE$1,tabela_registros[DIA],reservafixaconsolidadonov[[#Headers],[26]],tabela_registros[REGISTRO],DADOS!$N$6,tabela_registros[TIPO],DADOS!$AJ$3,tabela_registros[CATEGORIA],reservafixaconsolidadonov[[#This Row],[ATUAL]])</f>
        <v>0</v>
      </c>
      <c r="AE173" s="91">
        <f>SUMIFS(tabela_registros[VALOR],tabela_registros[MÊS],$AE$1,tabela_registros[DIA],reservafixaconsolidadonov[[#Headers],[27]],tabela_registros[REGISTRO],DADOS!$N$6,tabela_registros[TIPO],DADOS!$AJ$3,tabela_registros[CATEGORIA],reservafixaconsolidadonov[[#This Row],[ATUAL]])</f>
        <v>0</v>
      </c>
      <c r="AF173" s="91">
        <f>SUMIFS(tabela_registros[VALOR],tabela_registros[MÊS],$AE$1,tabela_registros[DIA],reservafixaconsolidadonov[[#Headers],[28]],tabela_registros[REGISTRO],DADOS!$N$6,tabela_registros[TIPO],DADOS!$AJ$3,tabela_registros[CATEGORIA],reservafixaconsolidadonov[[#This Row],[ATUAL]])</f>
        <v>0</v>
      </c>
      <c r="AG173" s="91">
        <f>SUMIFS(tabela_registros[VALOR],tabela_registros[MÊS],$AE$1,tabela_registros[DIA],reservafixaconsolidadonov[[#Headers],[29]],tabela_registros[REGISTRO],DADOS!$N$6,tabela_registros[TIPO],DADOS!$AJ$3,tabela_registros[CATEGORIA],reservafixaconsolidadonov[[#This Row],[ATUAL]])</f>
        <v>0</v>
      </c>
      <c r="AH173" s="91">
        <f>SUMIFS(tabela_registros[VALOR],tabela_registros[MÊS],$AE$1,tabela_registros[DIA],reservafixaconsolidadonov[[#Headers],[30]],tabela_registros[REGISTRO],DADOS!$N$6,tabela_registros[TIPO],DADOS!$AJ$3,tabela_registros[CATEGORIA],reservafixaconsolidadonov[[#This Row],[ATUAL]])</f>
        <v>0</v>
      </c>
      <c r="AI173" s="101">
        <f>SUMIFS(tabela_registros[VALOR],tabela_registros[MÊS],$AE$1,tabela_registros[DIA],reservafixaconsolidadonov[[#Headers],[31]],tabela_registros[REGISTRO],DADOS!$N$6,tabela_registros[TIPO],DADOS!$AJ$3,tabela_registros[CATEGORIA],reservafixaconsolidadonov[[#This Row],[ATUAL]])</f>
        <v>0</v>
      </c>
      <c r="AJ173" s="97">
        <f>SUM(reservafixaconsolidadonov[[#This Row],[1]:[31]])</f>
        <v>0</v>
      </c>
      <c r="AK173" s="25"/>
    </row>
    <row r="174" spans="2:37" ht="19.5" customHeight="1" thickTop="1" thickBot="1" x14ac:dyDescent="0.3">
      <c r="B174" s="28"/>
      <c r="C174" s="27" t="str">
        <f>DADOS!$AL$9</f>
        <v>📝 LCA</v>
      </c>
      <c r="D174" s="26" t="str">
        <f>IF(reservafixaconsolidadonov[[#This Row],[TOTAL (R$)]]=0,"",IF(OR(reservafixaconsolidadonov[[#This Row],[TOTAL (R$)]]=LARGE($AJ$168:$AJ$177,1),reservafixaconsolidadonov[[#This Row],[TOTAL (R$)]]=LARGE($AJ$168:$AJ$177,2)),DADOS!$I$11,""))</f>
        <v/>
      </c>
      <c r="E174" s="96">
        <f>SUMIFS(tabela_registros[VALOR],tabela_registros[MÊS],$AE$1,tabela_registros[DIA],reservafixaconsolidadonov[[#Headers],[1]],tabela_registros[REGISTRO],DADOS!$N$6,tabela_registros[TIPO],DADOS!$AJ$3,tabela_registros[CATEGORIA],reservafixaconsolidadonov[[#This Row],[ATUAL]])</f>
        <v>0</v>
      </c>
      <c r="F174" s="91">
        <f>SUMIFS(tabela_registros[VALOR],tabela_registros[MÊS],$AE$1,tabela_registros[DIA],reservafixaconsolidadonov[[#Headers],[2]],tabela_registros[REGISTRO],DADOS!$N$6,tabela_registros[TIPO],DADOS!$AJ$3,tabela_registros[CATEGORIA],reservafixaconsolidadonov[[#This Row],[ATUAL]])</f>
        <v>0</v>
      </c>
      <c r="G174" s="91">
        <f>SUMIFS(tabela_registros[VALOR],tabela_registros[MÊS],$AE$1,tabela_registros[DIA],reservafixaconsolidadonov[[#Headers],[3]],tabela_registros[REGISTRO],DADOS!$N$6,tabela_registros[TIPO],DADOS!$AJ$3,tabela_registros[CATEGORIA],reservafixaconsolidadonov[[#This Row],[ATUAL]])</f>
        <v>0</v>
      </c>
      <c r="H174" s="91">
        <f>SUMIFS(tabela_registros[VALOR],tabela_registros[MÊS],$AE$1,tabela_registros[DIA],reservafixaconsolidadonov[[#Headers],[4]],tabela_registros[REGISTRO],DADOS!$N$6,tabela_registros[TIPO],DADOS!$AJ$3,tabela_registros[CATEGORIA],reservafixaconsolidadonov[[#This Row],[ATUAL]])</f>
        <v>0</v>
      </c>
      <c r="I174" s="91">
        <f>SUMIFS(tabela_registros[VALOR],tabela_registros[MÊS],$AE$1,tabela_registros[DIA],reservafixaconsolidadonov[[#Headers],[5]],tabela_registros[REGISTRO],DADOS!$N$6,tabela_registros[TIPO],DADOS!$AJ$3,tabela_registros[CATEGORIA],reservafixaconsolidadonov[[#This Row],[ATUAL]])</f>
        <v>0</v>
      </c>
      <c r="J174" s="91">
        <f>SUMIFS(tabela_registros[VALOR],tabela_registros[MÊS],$AE$1,tabela_registros[DIA],reservafixaconsolidadonov[[#Headers],[6]],tabela_registros[REGISTRO],DADOS!$N$6,tabela_registros[TIPO],DADOS!$AJ$3,tabela_registros[CATEGORIA],reservafixaconsolidadonov[[#This Row],[ATUAL]])</f>
        <v>0</v>
      </c>
      <c r="K174" s="91">
        <f>SUMIFS(tabela_registros[VALOR],tabela_registros[MÊS],$AE$1,tabela_registros[DIA],reservafixaconsolidadonov[[#Headers],[7]],tabela_registros[REGISTRO],DADOS!$N$6,tabela_registros[TIPO],DADOS!$AJ$3,tabela_registros[CATEGORIA],reservafixaconsolidadonov[[#This Row],[ATUAL]])</f>
        <v>0</v>
      </c>
      <c r="L174" s="91">
        <f>SUMIFS(tabela_registros[VALOR],tabela_registros[MÊS],$AE$1,tabela_registros[DIA],reservafixaconsolidadonov[[#Headers],[8]],tabela_registros[REGISTRO],DADOS!$N$6,tabela_registros[TIPO],DADOS!$AJ$3,tabela_registros[CATEGORIA],reservafixaconsolidadonov[[#This Row],[ATUAL]])</f>
        <v>0</v>
      </c>
      <c r="M174" s="91">
        <f>SUMIFS(tabela_registros[VALOR],tabela_registros[MÊS],$AE$1,tabela_registros[DIA],reservafixaconsolidadonov[[#Headers],[9]],tabela_registros[REGISTRO],DADOS!$N$6,tabela_registros[TIPO],DADOS!$AJ$3,tabela_registros[CATEGORIA],reservafixaconsolidadonov[[#This Row],[ATUAL]])</f>
        <v>0</v>
      </c>
      <c r="N174" s="91">
        <f>SUMIFS(tabela_registros[VALOR],tabela_registros[MÊS],$AE$1,tabela_registros[DIA],reservafixaconsolidadonov[[#Headers],[10]],tabela_registros[REGISTRO],DADOS!$N$6,tabela_registros[TIPO],DADOS!$AJ$3,tabela_registros[CATEGORIA],reservafixaconsolidadonov[[#This Row],[ATUAL]])</f>
        <v>0</v>
      </c>
      <c r="O174" s="91">
        <f>SUMIFS(tabela_registros[VALOR],tabela_registros[MÊS],$AE$1,tabela_registros[DIA],reservafixaconsolidadonov[[#Headers],[11]],tabela_registros[REGISTRO],DADOS!$N$6,tabela_registros[TIPO],DADOS!$AJ$3,tabela_registros[CATEGORIA],reservafixaconsolidadonov[[#This Row],[ATUAL]])</f>
        <v>0</v>
      </c>
      <c r="P174" s="91">
        <f>SUMIFS(tabela_registros[VALOR],tabela_registros[MÊS],$AE$1,tabela_registros[DIA],reservafixaconsolidadonov[[#Headers],[12]],tabela_registros[REGISTRO],DADOS!$N$6,tabela_registros[TIPO],DADOS!$AJ$3,tabela_registros[CATEGORIA],reservafixaconsolidadonov[[#This Row],[ATUAL]])</f>
        <v>0</v>
      </c>
      <c r="Q174" s="91">
        <f>SUMIFS(tabela_registros[VALOR],tabela_registros[MÊS],$AE$1,tabela_registros[DIA],reservafixaconsolidadonov[[#Headers],[13]],tabela_registros[REGISTRO],DADOS!$N$6,tabela_registros[TIPO],DADOS!$AJ$3,tabela_registros[CATEGORIA],reservafixaconsolidadonov[[#This Row],[ATUAL]])</f>
        <v>0</v>
      </c>
      <c r="R174" s="91">
        <f>SUMIFS(tabela_registros[VALOR],tabela_registros[MÊS],$AE$1,tabela_registros[DIA],reservafixaconsolidadonov[[#Headers],[14]],tabela_registros[REGISTRO],DADOS!$N$6,tabela_registros[TIPO],DADOS!$AJ$3,tabela_registros[CATEGORIA],reservafixaconsolidadonov[[#This Row],[ATUAL]])</f>
        <v>0</v>
      </c>
      <c r="S174" s="91">
        <f>SUMIFS(tabela_registros[VALOR],tabela_registros[MÊS],$AE$1,tabela_registros[DIA],reservafixaconsolidadonov[[#Headers],[15]],tabela_registros[REGISTRO],DADOS!$N$6,tabela_registros[TIPO],DADOS!$AJ$3,tabela_registros[CATEGORIA],reservafixaconsolidadonov[[#This Row],[ATUAL]])</f>
        <v>0</v>
      </c>
      <c r="T174" s="91">
        <f>SUMIFS(tabela_registros[VALOR],tabela_registros[MÊS],$AE$1,tabela_registros[DIA],reservafixaconsolidadonov[[#Headers],[16]],tabela_registros[REGISTRO],DADOS!$N$6,tabela_registros[TIPO],DADOS!$AJ$3,tabela_registros[CATEGORIA],reservafixaconsolidadonov[[#This Row],[ATUAL]])</f>
        <v>0</v>
      </c>
      <c r="U174" s="91">
        <f>SUMIFS(tabela_registros[VALOR],tabela_registros[MÊS],$AE$1,tabela_registros[DIA],reservafixaconsolidadonov[[#Headers],[17]],tabela_registros[REGISTRO],DADOS!$N$6,tabela_registros[TIPO],DADOS!$AJ$3,tabela_registros[CATEGORIA],reservafixaconsolidadonov[[#This Row],[ATUAL]])</f>
        <v>0</v>
      </c>
      <c r="V174" s="91">
        <f>SUMIFS(tabela_registros[VALOR],tabela_registros[MÊS],$AE$1,tabela_registros[DIA],reservafixaconsolidadonov[[#Headers],[18]],tabela_registros[REGISTRO],DADOS!$N$6,tabela_registros[TIPO],DADOS!$AJ$3,tabela_registros[CATEGORIA],reservafixaconsolidadonov[[#This Row],[ATUAL]])</f>
        <v>0</v>
      </c>
      <c r="W174" s="91">
        <f>SUMIFS(tabela_registros[VALOR],tabela_registros[MÊS],$AE$1,tabela_registros[DIA],reservafixaconsolidadonov[[#Headers],[19]],tabela_registros[REGISTRO],DADOS!$N$6,tabela_registros[TIPO],DADOS!$AJ$3,tabela_registros[CATEGORIA],reservafixaconsolidadonov[[#This Row],[ATUAL]])</f>
        <v>0</v>
      </c>
      <c r="X174" s="91">
        <f>SUMIFS(tabela_registros[VALOR],tabela_registros[MÊS],$AE$1,tabela_registros[DIA],reservafixaconsolidadonov[[#Headers],[20]],tabela_registros[REGISTRO],DADOS!$N$6,tabela_registros[TIPO],DADOS!$AJ$3,tabela_registros[CATEGORIA],reservafixaconsolidadonov[[#This Row],[ATUAL]])</f>
        <v>0</v>
      </c>
      <c r="Y174" s="91">
        <f>SUMIFS(tabela_registros[VALOR],tabela_registros[MÊS],$AE$1,tabela_registros[DIA],reservafixaconsolidadonov[[#Headers],[21]],tabela_registros[REGISTRO],DADOS!$N$6,tabela_registros[TIPO],DADOS!$AJ$3,tabela_registros[CATEGORIA],reservafixaconsolidadonov[[#This Row],[ATUAL]])</f>
        <v>0</v>
      </c>
      <c r="Z174" s="91">
        <f>SUMIFS(tabela_registros[VALOR],tabela_registros[MÊS],$AE$1,tabela_registros[DIA],reservafixaconsolidadonov[[#Headers],[22]],tabela_registros[REGISTRO],DADOS!$N$6,tabela_registros[TIPO],DADOS!$AJ$3,tabela_registros[CATEGORIA],reservafixaconsolidadonov[[#This Row],[ATUAL]])</f>
        <v>0</v>
      </c>
      <c r="AA174" s="91">
        <f>SUMIFS(tabela_registros[VALOR],tabela_registros[MÊS],$AE$1,tabela_registros[DIA],reservafixaconsolidadonov[[#Headers],[23]],tabela_registros[REGISTRO],DADOS!$N$6,tabela_registros[TIPO],DADOS!$AJ$3,tabela_registros[CATEGORIA],reservafixaconsolidadonov[[#This Row],[ATUAL]])</f>
        <v>0</v>
      </c>
      <c r="AB174" s="91">
        <f>SUMIFS(tabela_registros[VALOR],tabela_registros[MÊS],$AE$1,tabela_registros[DIA],reservafixaconsolidadonov[[#Headers],[24]],tabela_registros[REGISTRO],DADOS!$N$6,tabela_registros[TIPO],DADOS!$AJ$3,tabela_registros[CATEGORIA],reservafixaconsolidadonov[[#This Row],[ATUAL]])</f>
        <v>0</v>
      </c>
      <c r="AC174" s="91">
        <f>SUMIFS(tabela_registros[VALOR],tabela_registros[MÊS],$AE$1,tabela_registros[DIA],reservafixaconsolidadonov[[#Headers],[25]],tabela_registros[REGISTRO],DADOS!$N$6,tabela_registros[TIPO],DADOS!$AJ$3,tabela_registros[CATEGORIA],reservafixaconsolidadonov[[#This Row],[ATUAL]])</f>
        <v>0</v>
      </c>
      <c r="AD174" s="91">
        <f>SUMIFS(tabela_registros[VALOR],tabela_registros[MÊS],$AE$1,tabela_registros[DIA],reservafixaconsolidadonov[[#Headers],[26]],tabela_registros[REGISTRO],DADOS!$N$6,tabela_registros[TIPO],DADOS!$AJ$3,tabela_registros[CATEGORIA],reservafixaconsolidadonov[[#This Row],[ATUAL]])</f>
        <v>0</v>
      </c>
      <c r="AE174" s="91">
        <f>SUMIFS(tabela_registros[VALOR],tabela_registros[MÊS],$AE$1,tabela_registros[DIA],reservafixaconsolidadonov[[#Headers],[27]],tabela_registros[REGISTRO],DADOS!$N$6,tabela_registros[TIPO],DADOS!$AJ$3,tabela_registros[CATEGORIA],reservafixaconsolidadonov[[#This Row],[ATUAL]])</f>
        <v>0</v>
      </c>
      <c r="AF174" s="91">
        <f>SUMIFS(tabela_registros[VALOR],tabela_registros[MÊS],$AE$1,tabela_registros[DIA],reservafixaconsolidadonov[[#Headers],[28]],tabela_registros[REGISTRO],DADOS!$N$6,tabela_registros[TIPO],DADOS!$AJ$3,tabela_registros[CATEGORIA],reservafixaconsolidadonov[[#This Row],[ATUAL]])</f>
        <v>0</v>
      </c>
      <c r="AG174" s="91">
        <f>SUMIFS(tabela_registros[VALOR],tabela_registros[MÊS],$AE$1,tabela_registros[DIA],reservafixaconsolidadonov[[#Headers],[29]],tabela_registros[REGISTRO],DADOS!$N$6,tabela_registros[TIPO],DADOS!$AJ$3,tabela_registros[CATEGORIA],reservafixaconsolidadonov[[#This Row],[ATUAL]])</f>
        <v>0</v>
      </c>
      <c r="AH174" s="91">
        <f>SUMIFS(tabela_registros[VALOR],tabela_registros[MÊS],$AE$1,tabela_registros[DIA],reservafixaconsolidadonov[[#Headers],[30]],tabela_registros[REGISTRO],DADOS!$N$6,tabela_registros[TIPO],DADOS!$AJ$3,tabela_registros[CATEGORIA],reservafixaconsolidadonov[[#This Row],[ATUAL]])</f>
        <v>0</v>
      </c>
      <c r="AI174" s="101">
        <f>SUMIFS(tabela_registros[VALOR],tabela_registros[MÊS],$AE$1,tabela_registros[DIA],reservafixaconsolidadonov[[#Headers],[31]],tabela_registros[REGISTRO],DADOS!$N$6,tabela_registros[TIPO],DADOS!$AJ$3,tabela_registros[CATEGORIA],reservafixaconsolidadonov[[#This Row],[ATUAL]])</f>
        <v>0</v>
      </c>
      <c r="AJ174" s="97">
        <f>SUM(reservafixaconsolidadonov[[#This Row],[1]:[31]])</f>
        <v>0</v>
      </c>
      <c r="AK174" s="25"/>
    </row>
    <row r="175" spans="2:37" ht="19.5" customHeight="1" thickTop="1" thickBot="1" x14ac:dyDescent="0.3">
      <c r="B175" s="28"/>
      <c r="C175" s="27" t="str">
        <f>DADOS!$AL$10</f>
        <v>📝 LCI</v>
      </c>
      <c r="D175" s="26" t="str">
        <f>IF(reservafixaconsolidadonov[[#This Row],[TOTAL (R$)]]=0,"",IF(OR(reservafixaconsolidadonov[[#This Row],[TOTAL (R$)]]=LARGE($AJ$168:$AJ$177,1),reservafixaconsolidadonov[[#This Row],[TOTAL (R$)]]=LARGE($AJ$168:$AJ$177,2)),DADOS!$I$11,""))</f>
        <v/>
      </c>
      <c r="E175" s="96">
        <f>SUMIFS(tabela_registros[VALOR],tabela_registros[MÊS],$AE$1,tabela_registros[DIA],reservafixaconsolidadonov[[#Headers],[1]],tabela_registros[REGISTRO],DADOS!$N$6,tabela_registros[TIPO],DADOS!$AJ$3,tabela_registros[CATEGORIA],reservafixaconsolidadonov[[#This Row],[ATUAL]])</f>
        <v>0</v>
      </c>
      <c r="F175" s="91">
        <f>SUMIFS(tabela_registros[VALOR],tabela_registros[MÊS],$AE$1,tabela_registros[DIA],reservafixaconsolidadonov[[#Headers],[2]],tabela_registros[REGISTRO],DADOS!$N$6,tabela_registros[TIPO],DADOS!$AJ$3,tabela_registros[CATEGORIA],reservafixaconsolidadonov[[#This Row],[ATUAL]])</f>
        <v>0</v>
      </c>
      <c r="G175" s="91">
        <f>SUMIFS(tabela_registros[VALOR],tabela_registros[MÊS],$AE$1,tabela_registros[DIA],reservafixaconsolidadonov[[#Headers],[3]],tabela_registros[REGISTRO],DADOS!$N$6,tabela_registros[TIPO],DADOS!$AJ$3,tabela_registros[CATEGORIA],reservafixaconsolidadonov[[#This Row],[ATUAL]])</f>
        <v>0</v>
      </c>
      <c r="H175" s="91">
        <f>SUMIFS(tabela_registros[VALOR],tabela_registros[MÊS],$AE$1,tabela_registros[DIA],reservafixaconsolidadonov[[#Headers],[4]],tabela_registros[REGISTRO],DADOS!$N$6,tabela_registros[TIPO],DADOS!$AJ$3,tabela_registros[CATEGORIA],reservafixaconsolidadonov[[#This Row],[ATUAL]])</f>
        <v>0</v>
      </c>
      <c r="I175" s="91">
        <f>SUMIFS(tabela_registros[VALOR],tabela_registros[MÊS],$AE$1,tabela_registros[DIA],reservafixaconsolidadonov[[#Headers],[5]],tabela_registros[REGISTRO],DADOS!$N$6,tabela_registros[TIPO],DADOS!$AJ$3,tabela_registros[CATEGORIA],reservafixaconsolidadonov[[#This Row],[ATUAL]])</f>
        <v>0</v>
      </c>
      <c r="J175" s="91">
        <f>SUMIFS(tabela_registros[VALOR],tabela_registros[MÊS],$AE$1,tabela_registros[DIA],reservafixaconsolidadonov[[#Headers],[6]],tabela_registros[REGISTRO],DADOS!$N$6,tabela_registros[TIPO],DADOS!$AJ$3,tabela_registros[CATEGORIA],reservafixaconsolidadonov[[#This Row],[ATUAL]])</f>
        <v>0</v>
      </c>
      <c r="K175" s="91">
        <f>SUMIFS(tabela_registros[VALOR],tabela_registros[MÊS],$AE$1,tabela_registros[DIA],reservafixaconsolidadonov[[#Headers],[7]],tabela_registros[REGISTRO],DADOS!$N$6,tabela_registros[TIPO],DADOS!$AJ$3,tabela_registros[CATEGORIA],reservafixaconsolidadonov[[#This Row],[ATUAL]])</f>
        <v>0</v>
      </c>
      <c r="L175" s="91">
        <f>SUMIFS(tabela_registros[VALOR],tabela_registros[MÊS],$AE$1,tabela_registros[DIA],reservafixaconsolidadonov[[#Headers],[8]],tabela_registros[REGISTRO],DADOS!$N$6,tabela_registros[TIPO],DADOS!$AJ$3,tabela_registros[CATEGORIA],reservafixaconsolidadonov[[#This Row],[ATUAL]])</f>
        <v>0</v>
      </c>
      <c r="M175" s="91">
        <f>SUMIFS(tabela_registros[VALOR],tabela_registros[MÊS],$AE$1,tabela_registros[DIA],reservafixaconsolidadonov[[#Headers],[9]],tabela_registros[REGISTRO],DADOS!$N$6,tabela_registros[TIPO],DADOS!$AJ$3,tabela_registros[CATEGORIA],reservafixaconsolidadonov[[#This Row],[ATUAL]])</f>
        <v>0</v>
      </c>
      <c r="N175" s="91">
        <f>SUMIFS(tabela_registros[VALOR],tabela_registros[MÊS],$AE$1,tabela_registros[DIA],reservafixaconsolidadonov[[#Headers],[10]],tabela_registros[REGISTRO],DADOS!$N$6,tabela_registros[TIPO],DADOS!$AJ$3,tabela_registros[CATEGORIA],reservafixaconsolidadonov[[#This Row],[ATUAL]])</f>
        <v>0</v>
      </c>
      <c r="O175" s="91">
        <f>SUMIFS(tabela_registros[VALOR],tabela_registros[MÊS],$AE$1,tabela_registros[DIA],reservafixaconsolidadonov[[#Headers],[11]],tabela_registros[REGISTRO],DADOS!$N$6,tabela_registros[TIPO],DADOS!$AJ$3,tabela_registros[CATEGORIA],reservafixaconsolidadonov[[#This Row],[ATUAL]])</f>
        <v>0</v>
      </c>
      <c r="P175" s="91">
        <f>SUMIFS(tabela_registros[VALOR],tabela_registros[MÊS],$AE$1,tabela_registros[DIA],reservafixaconsolidadonov[[#Headers],[12]],tabela_registros[REGISTRO],DADOS!$N$6,tabela_registros[TIPO],DADOS!$AJ$3,tabela_registros[CATEGORIA],reservafixaconsolidadonov[[#This Row],[ATUAL]])</f>
        <v>0</v>
      </c>
      <c r="Q175" s="91">
        <f>SUMIFS(tabela_registros[VALOR],tabela_registros[MÊS],$AE$1,tabela_registros[DIA],reservafixaconsolidadonov[[#Headers],[13]],tabela_registros[REGISTRO],DADOS!$N$6,tabela_registros[TIPO],DADOS!$AJ$3,tabela_registros[CATEGORIA],reservafixaconsolidadonov[[#This Row],[ATUAL]])</f>
        <v>0</v>
      </c>
      <c r="R175" s="91">
        <f>SUMIFS(tabela_registros[VALOR],tabela_registros[MÊS],$AE$1,tabela_registros[DIA],reservafixaconsolidadonov[[#Headers],[14]],tabela_registros[REGISTRO],DADOS!$N$6,tabela_registros[TIPO],DADOS!$AJ$3,tabela_registros[CATEGORIA],reservafixaconsolidadonov[[#This Row],[ATUAL]])</f>
        <v>0</v>
      </c>
      <c r="S175" s="91">
        <f>SUMIFS(tabela_registros[VALOR],tabela_registros[MÊS],$AE$1,tabela_registros[DIA],reservafixaconsolidadonov[[#Headers],[15]],tabela_registros[REGISTRO],DADOS!$N$6,tabela_registros[TIPO],DADOS!$AJ$3,tabela_registros[CATEGORIA],reservafixaconsolidadonov[[#This Row],[ATUAL]])</f>
        <v>0</v>
      </c>
      <c r="T175" s="91">
        <f>SUMIFS(tabela_registros[VALOR],tabela_registros[MÊS],$AE$1,tabela_registros[DIA],reservafixaconsolidadonov[[#Headers],[16]],tabela_registros[REGISTRO],DADOS!$N$6,tabela_registros[TIPO],DADOS!$AJ$3,tabela_registros[CATEGORIA],reservafixaconsolidadonov[[#This Row],[ATUAL]])</f>
        <v>0</v>
      </c>
      <c r="U175" s="91">
        <f>SUMIFS(tabela_registros[VALOR],tabela_registros[MÊS],$AE$1,tabela_registros[DIA],reservafixaconsolidadonov[[#Headers],[17]],tabela_registros[REGISTRO],DADOS!$N$6,tabela_registros[TIPO],DADOS!$AJ$3,tabela_registros[CATEGORIA],reservafixaconsolidadonov[[#This Row],[ATUAL]])</f>
        <v>0</v>
      </c>
      <c r="V175" s="91">
        <f>SUMIFS(tabela_registros[VALOR],tabela_registros[MÊS],$AE$1,tabela_registros[DIA],reservafixaconsolidadonov[[#Headers],[18]],tabela_registros[REGISTRO],DADOS!$N$6,tabela_registros[TIPO],DADOS!$AJ$3,tabela_registros[CATEGORIA],reservafixaconsolidadonov[[#This Row],[ATUAL]])</f>
        <v>0</v>
      </c>
      <c r="W175" s="91">
        <f>SUMIFS(tabela_registros[VALOR],tabela_registros[MÊS],$AE$1,tabela_registros[DIA],reservafixaconsolidadonov[[#Headers],[19]],tabela_registros[REGISTRO],DADOS!$N$6,tabela_registros[TIPO],DADOS!$AJ$3,tabela_registros[CATEGORIA],reservafixaconsolidadonov[[#This Row],[ATUAL]])</f>
        <v>0</v>
      </c>
      <c r="X175" s="91">
        <f>SUMIFS(tabela_registros[VALOR],tabela_registros[MÊS],$AE$1,tabela_registros[DIA],reservafixaconsolidadonov[[#Headers],[20]],tabela_registros[REGISTRO],DADOS!$N$6,tabela_registros[TIPO],DADOS!$AJ$3,tabela_registros[CATEGORIA],reservafixaconsolidadonov[[#This Row],[ATUAL]])</f>
        <v>0</v>
      </c>
      <c r="Y175" s="91">
        <f>SUMIFS(tabela_registros[VALOR],tabela_registros[MÊS],$AE$1,tabela_registros[DIA],reservafixaconsolidadonov[[#Headers],[21]],tabela_registros[REGISTRO],DADOS!$N$6,tabela_registros[TIPO],DADOS!$AJ$3,tabela_registros[CATEGORIA],reservafixaconsolidadonov[[#This Row],[ATUAL]])</f>
        <v>0</v>
      </c>
      <c r="Z175" s="91">
        <f>SUMIFS(tabela_registros[VALOR],tabela_registros[MÊS],$AE$1,tabela_registros[DIA],reservafixaconsolidadonov[[#Headers],[22]],tabela_registros[REGISTRO],DADOS!$N$6,tabela_registros[TIPO],DADOS!$AJ$3,tabela_registros[CATEGORIA],reservafixaconsolidadonov[[#This Row],[ATUAL]])</f>
        <v>0</v>
      </c>
      <c r="AA175" s="91">
        <f>SUMIFS(tabela_registros[VALOR],tabela_registros[MÊS],$AE$1,tabela_registros[DIA],reservafixaconsolidadonov[[#Headers],[23]],tabela_registros[REGISTRO],DADOS!$N$6,tabela_registros[TIPO],DADOS!$AJ$3,tabela_registros[CATEGORIA],reservafixaconsolidadonov[[#This Row],[ATUAL]])</f>
        <v>0</v>
      </c>
      <c r="AB175" s="91">
        <f>SUMIFS(tabela_registros[VALOR],tabela_registros[MÊS],$AE$1,tabela_registros[DIA],reservafixaconsolidadonov[[#Headers],[24]],tabela_registros[REGISTRO],DADOS!$N$6,tabela_registros[TIPO],DADOS!$AJ$3,tabela_registros[CATEGORIA],reservafixaconsolidadonov[[#This Row],[ATUAL]])</f>
        <v>0</v>
      </c>
      <c r="AC175" s="91">
        <f>SUMIFS(tabela_registros[VALOR],tabela_registros[MÊS],$AE$1,tabela_registros[DIA],reservafixaconsolidadonov[[#Headers],[25]],tabela_registros[REGISTRO],DADOS!$N$6,tabela_registros[TIPO],DADOS!$AJ$3,tabela_registros[CATEGORIA],reservafixaconsolidadonov[[#This Row],[ATUAL]])</f>
        <v>0</v>
      </c>
      <c r="AD175" s="91">
        <f>SUMIFS(tabela_registros[VALOR],tabela_registros[MÊS],$AE$1,tabela_registros[DIA],reservafixaconsolidadonov[[#Headers],[26]],tabela_registros[REGISTRO],DADOS!$N$6,tabela_registros[TIPO],DADOS!$AJ$3,tabela_registros[CATEGORIA],reservafixaconsolidadonov[[#This Row],[ATUAL]])</f>
        <v>0</v>
      </c>
      <c r="AE175" s="91">
        <f>SUMIFS(tabela_registros[VALOR],tabela_registros[MÊS],$AE$1,tabela_registros[DIA],reservafixaconsolidadonov[[#Headers],[27]],tabela_registros[REGISTRO],DADOS!$N$6,tabela_registros[TIPO],DADOS!$AJ$3,tabela_registros[CATEGORIA],reservafixaconsolidadonov[[#This Row],[ATUAL]])</f>
        <v>0</v>
      </c>
      <c r="AF175" s="91">
        <f>SUMIFS(tabela_registros[VALOR],tabela_registros[MÊS],$AE$1,tabela_registros[DIA],reservafixaconsolidadonov[[#Headers],[28]],tabela_registros[REGISTRO],DADOS!$N$6,tabela_registros[TIPO],DADOS!$AJ$3,tabela_registros[CATEGORIA],reservafixaconsolidadonov[[#This Row],[ATUAL]])</f>
        <v>0</v>
      </c>
      <c r="AG175" s="91">
        <f>SUMIFS(tabela_registros[VALOR],tabela_registros[MÊS],$AE$1,tabela_registros[DIA],reservafixaconsolidadonov[[#Headers],[29]],tabela_registros[REGISTRO],DADOS!$N$6,tabela_registros[TIPO],DADOS!$AJ$3,tabela_registros[CATEGORIA],reservafixaconsolidadonov[[#This Row],[ATUAL]])</f>
        <v>0</v>
      </c>
      <c r="AH175" s="91">
        <f>SUMIFS(tabela_registros[VALOR],tabela_registros[MÊS],$AE$1,tabela_registros[DIA],reservafixaconsolidadonov[[#Headers],[30]],tabela_registros[REGISTRO],DADOS!$N$6,tabela_registros[TIPO],DADOS!$AJ$3,tabela_registros[CATEGORIA],reservafixaconsolidadonov[[#This Row],[ATUAL]])</f>
        <v>0</v>
      </c>
      <c r="AI175" s="101">
        <f>SUMIFS(tabela_registros[VALOR],tabela_registros[MÊS],$AE$1,tabela_registros[DIA],reservafixaconsolidadonov[[#Headers],[31]],tabela_registros[REGISTRO],DADOS!$N$6,tabela_registros[TIPO],DADOS!$AJ$3,tabela_registros[CATEGORIA],reservafixaconsolidadonov[[#This Row],[ATUAL]])</f>
        <v>0</v>
      </c>
      <c r="AJ175" s="97">
        <f>SUM(reservafixaconsolidadonov[[#This Row],[1]:[31]])</f>
        <v>0</v>
      </c>
      <c r="AK175" s="25"/>
    </row>
    <row r="176" spans="2:37" ht="19.5" customHeight="1" thickTop="1" thickBot="1" x14ac:dyDescent="0.3">
      <c r="B176" s="28"/>
      <c r="C176" s="27" t="str">
        <f>DADOS!$AL$11</f>
        <v>📝 TESOURO DIRETO</v>
      </c>
      <c r="D176" s="26" t="str">
        <f>IF(reservafixaconsolidadonov[[#This Row],[TOTAL (R$)]]=0,"",IF(OR(reservafixaconsolidadonov[[#This Row],[TOTAL (R$)]]=LARGE($AJ$168:$AJ$177,1),reservafixaconsolidadonov[[#This Row],[TOTAL (R$)]]=LARGE($AJ$168:$AJ$177,2)),DADOS!$I$11,""))</f>
        <v/>
      </c>
      <c r="E176" s="96">
        <f>SUMIFS(tabela_registros[VALOR],tabela_registros[MÊS],$AE$1,tabela_registros[DIA],reservafixaconsolidadonov[[#Headers],[1]],tabela_registros[REGISTRO],DADOS!$N$6,tabela_registros[TIPO],DADOS!$AJ$3,tabela_registros[CATEGORIA],reservafixaconsolidadonov[[#This Row],[ATUAL]])</f>
        <v>0</v>
      </c>
      <c r="F176" s="91">
        <f>SUMIFS(tabela_registros[VALOR],tabela_registros[MÊS],$AE$1,tabela_registros[DIA],reservafixaconsolidadonov[[#Headers],[2]],tabela_registros[REGISTRO],DADOS!$N$6,tabela_registros[TIPO],DADOS!$AJ$3,tabela_registros[CATEGORIA],reservafixaconsolidadonov[[#This Row],[ATUAL]])</f>
        <v>0</v>
      </c>
      <c r="G176" s="91">
        <f>SUMIFS(tabela_registros[VALOR],tabela_registros[MÊS],$AE$1,tabela_registros[DIA],reservafixaconsolidadonov[[#Headers],[3]],tabela_registros[REGISTRO],DADOS!$N$6,tabela_registros[TIPO],DADOS!$AJ$3,tabela_registros[CATEGORIA],reservafixaconsolidadonov[[#This Row],[ATUAL]])</f>
        <v>0</v>
      </c>
      <c r="H176" s="91">
        <f>SUMIFS(tabela_registros[VALOR],tabela_registros[MÊS],$AE$1,tabela_registros[DIA],reservafixaconsolidadonov[[#Headers],[4]],tabela_registros[REGISTRO],DADOS!$N$6,tabela_registros[TIPO],DADOS!$AJ$3,tabela_registros[CATEGORIA],reservafixaconsolidadonov[[#This Row],[ATUAL]])</f>
        <v>0</v>
      </c>
      <c r="I176" s="91">
        <f>SUMIFS(tabela_registros[VALOR],tabela_registros[MÊS],$AE$1,tabela_registros[DIA],reservafixaconsolidadonov[[#Headers],[5]],tabela_registros[REGISTRO],DADOS!$N$6,tabela_registros[TIPO],DADOS!$AJ$3,tabela_registros[CATEGORIA],reservafixaconsolidadonov[[#This Row],[ATUAL]])</f>
        <v>0</v>
      </c>
      <c r="J176" s="91">
        <f>SUMIFS(tabela_registros[VALOR],tabela_registros[MÊS],$AE$1,tabela_registros[DIA],reservafixaconsolidadonov[[#Headers],[6]],tabela_registros[REGISTRO],DADOS!$N$6,tabela_registros[TIPO],DADOS!$AJ$3,tabela_registros[CATEGORIA],reservafixaconsolidadonov[[#This Row],[ATUAL]])</f>
        <v>0</v>
      </c>
      <c r="K176" s="91">
        <f>SUMIFS(tabela_registros[VALOR],tabela_registros[MÊS],$AE$1,tabela_registros[DIA],reservafixaconsolidadonov[[#Headers],[7]],tabela_registros[REGISTRO],DADOS!$N$6,tabela_registros[TIPO],DADOS!$AJ$3,tabela_registros[CATEGORIA],reservafixaconsolidadonov[[#This Row],[ATUAL]])</f>
        <v>0</v>
      </c>
      <c r="L176" s="91">
        <f>SUMIFS(tabela_registros[VALOR],tabela_registros[MÊS],$AE$1,tabela_registros[DIA],reservafixaconsolidadonov[[#Headers],[8]],tabela_registros[REGISTRO],DADOS!$N$6,tabela_registros[TIPO],DADOS!$AJ$3,tabela_registros[CATEGORIA],reservafixaconsolidadonov[[#This Row],[ATUAL]])</f>
        <v>0</v>
      </c>
      <c r="M176" s="91">
        <f>SUMIFS(tabela_registros[VALOR],tabela_registros[MÊS],$AE$1,tabela_registros[DIA],reservafixaconsolidadonov[[#Headers],[9]],tabela_registros[REGISTRO],DADOS!$N$6,tabela_registros[TIPO],DADOS!$AJ$3,tabela_registros[CATEGORIA],reservafixaconsolidadonov[[#This Row],[ATUAL]])</f>
        <v>0</v>
      </c>
      <c r="N176" s="91">
        <f>SUMIFS(tabela_registros[VALOR],tabela_registros[MÊS],$AE$1,tabela_registros[DIA],reservafixaconsolidadonov[[#Headers],[10]],tabela_registros[REGISTRO],DADOS!$N$6,tabela_registros[TIPO],DADOS!$AJ$3,tabela_registros[CATEGORIA],reservafixaconsolidadonov[[#This Row],[ATUAL]])</f>
        <v>0</v>
      </c>
      <c r="O176" s="91">
        <f>SUMIFS(tabela_registros[VALOR],tabela_registros[MÊS],$AE$1,tabela_registros[DIA],reservafixaconsolidadonov[[#Headers],[11]],tabela_registros[REGISTRO],DADOS!$N$6,tabela_registros[TIPO],DADOS!$AJ$3,tabela_registros[CATEGORIA],reservafixaconsolidadonov[[#This Row],[ATUAL]])</f>
        <v>0</v>
      </c>
      <c r="P176" s="91">
        <f>SUMIFS(tabela_registros[VALOR],tabela_registros[MÊS],$AE$1,tabela_registros[DIA],reservafixaconsolidadonov[[#Headers],[12]],tabela_registros[REGISTRO],DADOS!$N$6,tabela_registros[TIPO],DADOS!$AJ$3,tabela_registros[CATEGORIA],reservafixaconsolidadonov[[#This Row],[ATUAL]])</f>
        <v>0</v>
      </c>
      <c r="Q176" s="91">
        <f>SUMIFS(tabela_registros[VALOR],tabela_registros[MÊS],$AE$1,tabela_registros[DIA],reservafixaconsolidadonov[[#Headers],[13]],tabela_registros[REGISTRO],DADOS!$N$6,tabela_registros[TIPO],DADOS!$AJ$3,tabela_registros[CATEGORIA],reservafixaconsolidadonov[[#This Row],[ATUAL]])</f>
        <v>0</v>
      </c>
      <c r="R176" s="91">
        <f>SUMIFS(tabela_registros[VALOR],tabela_registros[MÊS],$AE$1,tabela_registros[DIA],reservafixaconsolidadonov[[#Headers],[14]],tabela_registros[REGISTRO],DADOS!$N$6,tabela_registros[TIPO],DADOS!$AJ$3,tabela_registros[CATEGORIA],reservafixaconsolidadonov[[#This Row],[ATUAL]])</f>
        <v>0</v>
      </c>
      <c r="S176" s="91">
        <f>SUMIFS(tabela_registros[VALOR],tabela_registros[MÊS],$AE$1,tabela_registros[DIA],reservafixaconsolidadonov[[#Headers],[15]],tabela_registros[REGISTRO],DADOS!$N$6,tabela_registros[TIPO],DADOS!$AJ$3,tabela_registros[CATEGORIA],reservafixaconsolidadonov[[#This Row],[ATUAL]])</f>
        <v>0</v>
      </c>
      <c r="T176" s="91">
        <f>SUMIFS(tabela_registros[VALOR],tabela_registros[MÊS],$AE$1,tabela_registros[DIA],reservafixaconsolidadonov[[#Headers],[16]],tabela_registros[REGISTRO],DADOS!$N$6,tabela_registros[TIPO],DADOS!$AJ$3,tabela_registros[CATEGORIA],reservafixaconsolidadonov[[#This Row],[ATUAL]])</f>
        <v>0</v>
      </c>
      <c r="U176" s="91">
        <f>SUMIFS(tabela_registros[VALOR],tabela_registros[MÊS],$AE$1,tabela_registros[DIA],reservafixaconsolidadonov[[#Headers],[17]],tabela_registros[REGISTRO],DADOS!$N$6,tabela_registros[TIPO],DADOS!$AJ$3,tabela_registros[CATEGORIA],reservafixaconsolidadonov[[#This Row],[ATUAL]])</f>
        <v>0</v>
      </c>
      <c r="V176" s="91">
        <f>SUMIFS(tabela_registros[VALOR],tabela_registros[MÊS],$AE$1,tabela_registros[DIA],reservafixaconsolidadonov[[#Headers],[18]],tabela_registros[REGISTRO],DADOS!$N$6,tabela_registros[TIPO],DADOS!$AJ$3,tabela_registros[CATEGORIA],reservafixaconsolidadonov[[#This Row],[ATUAL]])</f>
        <v>0</v>
      </c>
      <c r="W176" s="91">
        <f>SUMIFS(tabela_registros[VALOR],tabela_registros[MÊS],$AE$1,tabela_registros[DIA],reservafixaconsolidadonov[[#Headers],[19]],tabela_registros[REGISTRO],DADOS!$N$6,tabela_registros[TIPO],DADOS!$AJ$3,tabela_registros[CATEGORIA],reservafixaconsolidadonov[[#This Row],[ATUAL]])</f>
        <v>0</v>
      </c>
      <c r="X176" s="91">
        <f>SUMIFS(tabela_registros[VALOR],tabela_registros[MÊS],$AE$1,tabela_registros[DIA],reservafixaconsolidadonov[[#Headers],[20]],tabela_registros[REGISTRO],DADOS!$N$6,tabela_registros[TIPO],DADOS!$AJ$3,tabela_registros[CATEGORIA],reservafixaconsolidadonov[[#This Row],[ATUAL]])</f>
        <v>0</v>
      </c>
      <c r="Y176" s="91">
        <f>SUMIFS(tabela_registros[VALOR],tabela_registros[MÊS],$AE$1,tabela_registros[DIA],reservafixaconsolidadonov[[#Headers],[21]],tabela_registros[REGISTRO],DADOS!$N$6,tabela_registros[TIPO],DADOS!$AJ$3,tabela_registros[CATEGORIA],reservafixaconsolidadonov[[#This Row],[ATUAL]])</f>
        <v>0</v>
      </c>
      <c r="Z176" s="91">
        <f>SUMIFS(tabela_registros[VALOR],tabela_registros[MÊS],$AE$1,tabela_registros[DIA],reservafixaconsolidadonov[[#Headers],[22]],tabela_registros[REGISTRO],DADOS!$N$6,tabela_registros[TIPO],DADOS!$AJ$3,tabela_registros[CATEGORIA],reservafixaconsolidadonov[[#This Row],[ATUAL]])</f>
        <v>0</v>
      </c>
      <c r="AA176" s="91">
        <f>SUMIFS(tabela_registros[VALOR],tabela_registros[MÊS],$AE$1,tabela_registros[DIA],reservafixaconsolidadonov[[#Headers],[23]],tabela_registros[REGISTRO],DADOS!$N$6,tabela_registros[TIPO],DADOS!$AJ$3,tabela_registros[CATEGORIA],reservafixaconsolidadonov[[#This Row],[ATUAL]])</f>
        <v>0</v>
      </c>
      <c r="AB176" s="91">
        <f>SUMIFS(tabela_registros[VALOR],tabela_registros[MÊS],$AE$1,tabela_registros[DIA],reservafixaconsolidadonov[[#Headers],[24]],tabela_registros[REGISTRO],DADOS!$N$6,tabela_registros[TIPO],DADOS!$AJ$3,tabela_registros[CATEGORIA],reservafixaconsolidadonov[[#This Row],[ATUAL]])</f>
        <v>0</v>
      </c>
      <c r="AC176" s="91">
        <f>SUMIFS(tabela_registros[VALOR],tabela_registros[MÊS],$AE$1,tabela_registros[DIA],reservafixaconsolidadonov[[#Headers],[25]],tabela_registros[REGISTRO],DADOS!$N$6,tabela_registros[TIPO],DADOS!$AJ$3,tabela_registros[CATEGORIA],reservafixaconsolidadonov[[#This Row],[ATUAL]])</f>
        <v>0</v>
      </c>
      <c r="AD176" s="91">
        <f>SUMIFS(tabela_registros[VALOR],tabela_registros[MÊS],$AE$1,tabela_registros[DIA],reservafixaconsolidadonov[[#Headers],[26]],tabela_registros[REGISTRO],DADOS!$N$6,tabela_registros[TIPO],DADOS!$AJ$3,tabela_registros[CATEGORIA],reservafixaconsolidadonov[[#This Row],[ATUAL]])</f>
        <v>0</v>
      </c>
      <c r="AE176" s="91">
        <f>SUMIFS(tabela_registros[VALOR],tabela_registros[MÊS],$AE$1,tabela_registros[DIA],reservafixaconsolidadonov[[#Headers],[27]],tabela_registros[REGISTRO],DADOS!$N$6,tabela_registros[TIPO],DADOS!$AJ$3,tabela_registros[CATEGORIA],reservafixaconsolidadonov[[#This Row],[ATUAL]])</f>
        <v>0</v>
      </c>
      <c r="AF176" s="91">
        <f>SUMIFS(tabela_registros[VALOR],tabela_registros[MÊS],$AE$1,tabela_registros[DIA],reservafixaconsolidadonov[[#Headers],[28]],tabela_registros[REGISTRO],DADOS!$N$6,tabela_registros[TIPO],DADOS!$AJ$3,tabela_registros[CATEGORIA],reservafixaconsolidadonov[[#This Row],[ATUAL]])</f>
        <v>0</v>
      </c>
      <c r="AG176" s="91">
        <f>SUMIFS(tabela_registros[VALOR],tabela_registros[MÊS],$AE$1,tabela_registros[DIA],reservafixaconsolidadonov[[#Headers],[29]],tabela_registros[REGISTRO],DADOS!$N$6,tabela_registros[TIPO],DADOS!$AJ$3,tabela_registros[CATEGORIA],reservafixaconsolidadonov[[#This Row],[ATUAL]])</f>
        <v>0</v>
      </c>
      <c r="AH176" s="91">
        <f>SUMIFS(tabela_registros[VALOR],tabela_registros[MÊS],$AE$1,tabela_registros[DIA],reservafixaconsolidadonov[[#Headers],[30]],tabela_registros[REGISTRO],DADOS!$N$6,tabela_registros[TIPO],DADOS!$AJ$3,tabela_registros[CATEGORIA],reservafixaconsolidadonov[[#This Row],[ATUAL]])</f>
        <v>0</v>
      </c>
      <c r="AI176" s="101">
        <f>SUMIFS(tabela_registros[VALOR],tabela_registros[MÊS],$AE$1,tabela_registros[DIA],reservafixaconsolidadonov[[#Headers],[31]],tabela_registros[REGISTRO],DADOS!$N$6,tabela_registros[TIPO],DADOS!$AJ$3,tabela_registros[CATEGORIA],reservafixaconsolidadonov[[#This Row],[ATUAL]])</f>
        <v>0</v>
      </c>
      <c r="AJ176" s="97">
        <f>SUM(reservafixaconsolidadonov[[#This Row],[1]:[31]])</f>
        <v>0</v>
      </c>
      <c r="AK176" s="25"/>
    </row>
    <row r="177" spans="2:37" ht="19.5" customHeight="1" thickTop="1" thickBot="1" x14ac:dyDescent="0.3">
      <c r="B177" s="28"/>
      <c r="C177" s="27" t="str">
        <f>DADOS!$AL$12</f>
        <v>📎 OUTROS</v>
      </c>
      <c r="D177" s="26" t="str">
        <f>IF(reservafixaconsolidadonov[[#This Row],[TOTAL (R$)]]=0,"",IF(OR(reservafixaconsolidadonov[[#This Row],[TOTAL (R$)]]=LARGE($AJ$168:$AJ$177,1),reservafixaconsolidadonov[[#This Row],[TOTAL (R$)]]=LARGE($AJ$168:$AJ$177,2)),DADOS!$I$11,""))</f>
        <v/>
      </c>
      <c r="E177" s="96">
        <f>SUMIFS(tabela_registros[VALOR],tabela_registros[MÊS],$AE$1,tabela_registros[DIA],reservafixaconsolidadonov[[#Headers],[1]],tabela_registros[REGISTRO],DADOS!$N$6,tabela_registros[TIPO],DADOS!$AJ$3,tabela_registros[CATEGORIA],reservafixaconsolidadonov[[#This Row],[ATUAL]])</f>
        <v>0</v>
      </c>
      <c r="F177" s="91">
        <f>SUMIFS(tabela_registros[VALOR],tabela_registros[MÊS],$AE$1,tabela_registros[DIA],reservafixaconsolidadonov[[#Headers],[2]],tabela_registros[REGISTRO],DADOS!$N$6,tabela_registros[TIPO],DADOS!$AJ$3,tabela_registros[CATEGORIA],reservafixaconsolidadonov[[#This Row],[ATUAL]])</f>
        <v>0</v>
      </c>
      <c r="G177" s="91">
        <f>SUMIFS(tabela_registros[VALOR],tabela_registros[MÊS],$AE$1,tabela_registros[DIA],reservafixaconsolidadonov[[#Headers],[3]],tabela_registros[REGISTRO],DADOS!$N$6,tabela_registros[TIPO],DADOS!$AJ$3,tabela_registros[CATEGORIA],reservafixaconsolidadonov[[#This Row],[ATUAL]])</f>
        <v>0</v>
      </c>
      <c r="H177" s="91">
        <f>SUMIFS(tabela_registros[VALOR],tabela_registros[MÊS],$AE$1,tabela_registros[DIA],reservafixaconsolidadonov[[#Headers],[4]],tabela_registros[REGISTRO],DADOS!$N$6,tabela_registros[TIPO],DADOS!$AJ$3,tabela_registros[CATEGORIA],reservafixaconsolidadonov[[#This Row],[ATUAL]])</f>
        <v>0</v>
      </c>
      <c r="I177" s="91">
        <f>SUMIFS(tabela_registros[VALOR],tabela_registros[MÊS],$AE$1,tabela_registros[DIA],reservafixaconsolidadonov[[#Headers],[5]],tabela_registros[REGISTRO],DADOS!$N$6,tabela_registros[TIPO],DADOS!$AJ$3,tabela_registros[CATEGORIA],reservafixaconsolidadonov[[#This Row],[ATUAL]])</f>
        <v>0</v>
      </c>
      <c r="J177" s="91">
        <f>SUMIFS(tabela_registros[VALOR],tabela_registros[MÊS],$AE$1,tabela_registros[DIA],reservafixaconsolidadonov[[#Headers],[6]],tabela_registros[REGISTRO],DADOS!$N$6,tabela_registros[TIPO],DADOS!$AJ$3,tabela_registros[CATEGORIA],reservafixaconsolidadonov[[#This Row],[ATUAL]])</f>
        <v>0</v>
      </c>
      <c r="K177" s="91">
        <f>SUMIFS(tabela_registros[VALOR],tabela_registros[MÊS],$AE$1,tabela_registros[DIA],reservafixaconsolidadonov[[#Headers],[7]],tabela_registros[REGISTRO],DADOS!$N$6,tabela_registros[TIPO],DADOS!$AJ$3,tabela_registros[CATEGORIA],reservafixaconsolidadonov[[#This Row],[ATUAL]])</f>
        <v>0</v>
      </c>
      <c r="L177" s="91">
        <f>SUMIFS(tabela_registros[VALOR],tabela_registros[MÊS],$AE$1,tabela_registros[DIA],reservafixaconsolidadonov[[#Headers],[8]],tabela_registros[REGISTRO],DADOS!$N$6,tabela_registros[TIPO],DADOS!$AJ$3,tabela_registros[CATEGORIA],reservafixaconsolidadonov[[#This Row],[ATUAL]])</f>
        <v>0</v>
      </c>
      <c r="M177" s="91">
        <f>SUMIFS(tabela_registros[VALOR],tabela_registros[MÊS],$AE$1,tabela_registros[DIA],reservafixaconsolidadonov[[#Headers],[9]],tabela_registros[REGISTRO],DADOS!$N$6,tabela_registros[TIPO],DADOS!$AJ$3,tabela_registros[CATEGORIA],reservafixaconsolidadonov[[#This Row],[ATUAL]])</f>
        <v>0</v>
      </c>
      <c r="N177" s="91">
        <f>SUMIFS(tabela_registros[VALOR],tabela_registros[MÊS],$AE$1,tabela_registros[DIA],reservafixaconsolidadonov[[#Headers],[10]],tabela_registros[REGISTRO],DADOS!$N$6,tabela_registros[TIPO],DADOS!$AJ$3,tabela_registros[CATEGORIA],reservafixaconsolidadonov[[#This Row],[ATUAL]])</f>
        <v>0</v>
      </c>
      <c r="O177" s="91">
        <f>SUMIFS(tabela_registros[VALOR],tabela_registros[MÊS],$AE$1,tabela_registros[DIA],reservafixaconsolidadonov[[#Headers],[11]],tabela_registros[REGISTRO],DADOS!$N$6,tabela_registros[TIPO],DADOS!$AJ$3,tabela_registros[CATEGORIA],reservafixaconsolidadonov[[#This Row],[ATUAL]])</f>
        <v>0</v>
      </c>
      <c r="P177" s="91">
        <f>SUMIFS(tabela_registros[VALOR],tabela_registros[MÊS],$AE$1,tabela_registros[DIA],reservafixaconsolidadonov[[#Headers],[12]],tabela_registros[REGISTRO],DADOS!$N$6,tabela_registros[TIPO],DADOS!$AJ$3,tabela_registros[CATEGORIA],reservafixaconsolidadonov[[#This Row],[ATUAL]])</f>
        <v>0</v>
      </c>
      <c r="Q177" s="91">
        <f>SUMIFS(tabela_registros[VALOR],tabela_registros[MÊS],$AE$1,tabela_registros[DIA],reservafixaconsolidadonov[[#Headers],[13]],tabela_registros[REGISTRO],DADOS!$N$6,tabela_registros[TIPO],DADOS!$AJ$3,tabela_registros[CATEGORIA],reservafixaconsolidadonov[[#This Row],[ATUAL]])</f>
        <v>0</v>
      </c>
      <c r="R177" s="91">
        <f>SUMIFS(tabela_registros[VALOR],tabela_registros[MÊS],$AE$1,tabela_registros[DIA],reservafixaconsolidadonov[[#Headers],[14]],tabela_registros[REGISTRO],DADOS!$N$6,tabela_registros[TIPO],DADOS!$AJ$3,tabela_registros[CATEGORIA],reservafixaconsolidadonov[[#This Row],[ATUAL]])</f>
        <v>0</v>
      </c>
      <c r="S177" s="91">
        <f>SUMIFS(tabela_registros[VALOR],tabela_registros[MÊS],$AE$1,tabela_registros[DIA],reservafixaconsolidadonov[[#Headers],[15]],tabela_registros[REGISTRO],DADOS!$N$6,tabela_registros[TIPO],DADOS!$AJ$3,tabela_registros[CATEGORIA],reservafixaconsolidadonov[[#This Row],[ATUAL]])</f>
        <v>0</v>
      </c>
      <c r="T177" s="91">
        <f>SUMIFS(tabela_registros[VALOR],tabela_registros[MÊS],$AE$1,tabela_registros[DIA],reservafixaconsolidadonov[[#Headers],[16]],tabela_registros[REGISTRO],DADOS!$N$6,tabela_registros[TIPO],DADOS!$AJ$3,tabela_registros[CATEGORIA],reservafixaconsolidadonov[[#This Row],[ATUAL]])</f>
        <v>0</v>
      </c>
      <c r="U177" s="91">
        <f>SUMIFS(tabela_registros[VALOR],tabela_registros[MÊS],$AE$1,tabela_registros[DIA],reservafixaconsolidadonov[[#Headers],[17]],tabela_registros[REGISTRO],DADOS!$N$6,tabela_registros[TIPO],DADOS!$AJ$3,tabela_registros[CATEGORIA],reservafixaconsolidadonov[[#This Row],[ATUAL]])</f>
        <v>0</v>
      </c>
      <c r="V177" s="91">
        <f>SUMIFS(tabela_registros[VALOR],tabela_registros[MÊS],$AE$1,tabela_registros[DIA],reservafixaconsolidadonov[[#Headers],[18]],tabela_registros[REGISTRO],DADOS!$N$6,tabela_registros[TIPO],DADOS!$AJ$3,tabela_registros[CATEGORIA],reservafixaconsolidadonov[[#This Row],[ATUAL]])</f>
        <v>0</v>
      </c>
      <c r="W177" s="91">
        <f>SUMIFS(tabela_registros[VALOR],tabela_registros[MÊS],$AE$1,tabela_registros[DIA],reservafixaconsolidadonov[[#Headers],[19]],tabela_registros[REGISTRO],DADOS!$N$6,tabela_registros[TIPO],DADOS!$AJ$3,tabela_registros[CATEGORIA],reservafixaconsolidadonov[[#This Row],[ATUAL]])</f>
        <v>0</v>
      </c>
      <c r="X177" s="91">
        <f>SUMIFS(tabela_registros[VALOR],tabela_registros[MÊS],$AE$1,tabela_registros[DIA],reservafixaconsolidadonov[[#Headers],[20]],tabela_registros[REGISTRO],DADOS!$N$6,tabela_registros[TIPO],DADOS!$AJ$3,tabela_registros[CATEGORIA],reservafixaconsolidadonov[[#This Row],[ATUAL]])</f>
        <v>0</v>
      </c>
      <c r="Y177" s="91">
        <f>SUMIFS(tabela_registros[VALOR],tabela_registros[MÊS],$AE$1,tabela_registros[DIA],reservafixaconsolidadonov[[#Headers],[21]],tabela_registros[REGISTRO],DADOS!$N$6,tabela_registros[TIPO],DADOS!$AJ$3,tabela_registros[CATEGORIA],reservafixaconsolidadonov[[#This Row],[ATUAL]])</f>
        <v>0</v>
      </c>
      <c r="Z177" s="91">
        <f>SUMIFS(tabela_registros[VALOR],tabela_registros[MÊS],$AE$1,tabela_registros[DIA],reservafixaconsolidadonov[[#Headers],[22]],tabela_registros[REGISTRO],DADOS!$N$6,tabela_registros[TIPO],DADOS!$AJ$3,tabela_registros[CATEGORIA],reservafixaconsolidadonov[[#This Row],[ATUAL]])</f>
        <v>0</v>
      </c>
      <c r="AA177" s="91">
        <f>SUMIFS(tabela_registros[VALOR],tabela_registros[MÊS],$AE$1,tabela_registros[DIA],reservafixaconsolidadonov[[#Headers],[23]],tabela_registros[REGISTRO],DADOS!$N$6,tabela_registros[TIPO],DADOS!$AJ$3,tabela_registros[CATEGORIA],reservafixaconsolidadonov[[#This Row],[ATUAL]])</f>
        <v>0</v>
      </c>
      <c r="AB177" s="91">
        <f>SUMIFS(tabela_registros[VALOR],tabela_registros[MÊS],$AE$1,tabela_registros[DIA],reservafixaconsolidadonov[[#Headers],[24]],tabela_registros[REGISTRO],DADOS!$N$6,tabela_registros[TIPO],DADOS!$AJ$3,tabela_registros[CATEGORIA],reservafixaconsolidadonov[[#This Row],[ATUAL]])</f>
        <v>0</v>
      </c>
      <c r="AC177" s="91">
        <f>SUMIFS(tabela_registros[VALOR],tabela_registros[MÊS],$AE$1,tabela_registros[DIA],reservafixaconsolidadonov[[#Headers],[25]],tabela_registros[REGISTRO],DADOS!$N$6,tabela_registros[TIPO],DADOS!$AJ$3,tabela_registros[CATEGORIA],reservafixaconsolidadonov[[#This Row],[ATUAL]])</f>
        <v>0</v>
      </c>
      <c r="AD177" s="91">
        <f>SUMIFS(tabela_registros[VALOR],tabela_registros[MÊS],$AE$1,tabela_registros[DIA],reservafixaconsolidadonov[[#Headers],[26]],tabela_registros[REGISTRO],DADOS!$N$6,tabela_registros[TIPO],DADOS!$AJ$3,tabela_registros[CATEGORIA],reservafixaconsolidadonov[[#This Row],[ATUAL]])</f>
        <v>0</v>
      </c>
      <c r="AE177" s="91">
        <f>SUMIFS(tabela_registros[VALOR],tabela_registros[MÊS],$AE$1,tabela_registros[DIA],reservafixaconsolidadonov[[#Headers],[27]],tabela_registros[REGISTRO],DADOS!$N$6,tabela_registros[TIPO],DADOS!$AJ$3,tabela_registros[CATEGORIA],reservafixaconsolidadonov[[#This Row],[ATUAL]])</f>
        <v>0</v>
      </c>
      <c r="AF177" s="91">
        <f>SUMIFS(tabela_registros[VALOR],tabela_registros[MÊS],$AE$1,tabela_registros[DIA],reservafixaconsolidadonov[[#Headers],[28]],tabela_registros[REGISTRO],DADOS!$N$6,tabela_registros[TIPO],DADOS!$AJ$3,tabela_registros[CATEGORIA],reservafixaconsolidadonov[[#This Row],[ATUAL]])</f>
        <v>0</v>
      </c>
      <c r="AG177" s="91">
        <f>SUMIFS(tabela_registros[VALOR],tabela_registros[MÊS],$AE$1,tabela_registros[DIA],reservafixaconsolidadonov[[#Headers],[29]],tabela_registros[REGISTRO],DADOS!$N$6,tabela_registros[TIPO],DADOS!$AJ$3,tabela_registros[CATEGORIA],reservafixaconsolidadonov[[#This Row],[ATUAL]])</f>
        <v>0</v>
      </c>
      <c r="AH177" s="99">
        <f>SUMIFS(tabela_registros[VALOR],tabela_registros[MÊS],$AE$1,tabela_registros[DIA],reservafixaconsolidadonov[[#Headers],[30]],tabela_registros[REGISTRO],DADOS!$N$6,tabela_registros[TIPO],DADOS!$AJ$3,tabela_registros[CATEGORIA],reservafixaconsolidadonov[[#This Row],[ATUAL]])</f>
        <v>0</v>
      </c>
      <c r="AI177" s="102">
        <f>SUMIFS(tabela_registros[VALOR],tabela_registros[MÊS],$AE$1,tabela_registros[DIA],reservafixaconsolidadonov[[#Headers],[31]],tabela_registros[REGISTRO],DADOS!$N$6,tabela_registros[TIPO],DADOS!$AJ$3,tabela_registros[CATEGORIA],reservafixaconsolidadonov[[#This Row],[ATUAL]])</f>
        <v>0</v>
      </c>
      <c r="AJ177" s="103">
        <f>SUM(reservafixaconsolidadonov[[#This Row],[1]:[31]])</f>
        <v>0</v>
      </c>
      <c r="AK177" s="25"/>
    </row>
    <row r="178" spans="2:37" s="16" customFormat="1" ht="21" customHeight="1" thickTop="1" thickBot="1" x14ac:dyDescent="0.35">
      <c r="B178" s="24"/>
      <c r="C178" s="23" t="s">
        <v>19</v>
      </c>
      <c r="D178" s="22"/>
      <c r="E178" s="21">
        <f>SUM(E168:E177)</f>
        <v>0</v>
      </c>
      <c r="F178" s="20">
        <f>SUM(F168:F177)+reservafixaconsolidadonov[[#This Row],[1]]</f>
        <v>0</v>
      </c>
      <c r="G178" s="20">
        <f>SUM(G168:G177)+reservafixaconsolidadonov[[#This Row],[2]]</f>
        <v>0</v>
      </c>
      <c r="H178" s="20">
        <f>SUM(H168:H177)+reservafixaconsolidadonov[[#This Row],[3]]</f>
        <v>0</v>
      </c>
      <c r="I178" s="20">
        <f>SUM(I168:I177)+reservafixaconsolidadonov[[#This Row],[4]]</f>
        <v>0</v>
      </c>
      <c r="J178" s="20">
        <f>SUM(J168:J177)+reservafixaconsolidadonov[[#This Row],[5]]</f>
        <v>0</v>
      </c>
      <c r="K178" s="20">
        <f>SUM(K168:K177)+reservafixaconsolidadonov[[#This Row],[6]]</f>
        <v>0</v>
      </c>
      <c r="L178" s="20">
        <f>SUM(L168:L177)+reservafixaconsolidadonov[[#This Row],[7]]</f>
        <v>0</v>
      </c>
      <c r="M178" s="20">
        <f>SUM(M168:M177)+reservafixaconsolidadonov[[#This Row],[8]]</f>
        <v>0</v>
      </c>
      <c r="N178" s="20">
        <f>SUM(N168:N177)+reservafixaconsolidadonov[[#This Row],[9]]</f>
        <v>0</v>
      </c>
      <c r="O178" s="20">
        <f>SUM(O168:O177)+reservafixaconsolidadonov[[#This Row],[10]]</f>
        <v>0</v>
      </c>
      <c r="P178" s="20">
        <f>SUM(P168:P177)+reservafixaconsolidadonov[[#This Row],[11]]</f>
        <v>0</v>
      </c>
      <c r="Q178" s="20">
        <f>SUM(Q168:Q177)+reservafixaconsolidadonov[[#This Row],[12]]</f>
        <v>0</v>
      </c>
      <c r="R178" s="20">
        <f>SUM(R168:R177)+reservafixaconsolidadonov[[#This Row],[13]]</f>
        <v>0</v>
      </c>
      <c r="S178" s="20">
        <f>SUM(S168:S177)+reservafixaconsolidadonov[[#This Row],[14]]</f>
        <v>0</v>
      </c>
      <c r="T178" s="20">
        <f>SUM(T168:T177)+reservafixaconsolidadonov[[#This Row],[15]]</f>
        <v>0</v>
      </c>
      <c r="U178" s="20">
        <f>SUM(U168:U177)+reservafixaconsolidadonov[[#This Row],[16]]</f>
        <v>0</v>
      </c>
      <c r="V178" s="20">
        <f>SUM(V168:V177)+reservafixaconsolidadonov[[#This Row],[17]]</f>
        <v>0</v>
      </c>
      <c r="W178" s="20">
        <f>SUM(W168:W177)+reservafixaconsolidadonov[[#This Row],[18]]</f>
        <v>0</v>
      </c>
      <c r="X178" s="20">
        <f>SUM(X168:X177)+reservafixaconsolidadonov[[#This Row],[19]]</f>
        <v>0</v>
      </c>
      <c r="Y178" s="20">
        <f>SUM(Y168:Y177)+reservafixaconsolidadonov[[#This Row],[20]]</f>
        <v>0</v>
      </c>
      <c r="Z178" s="20">
        <f>SUM(Z168:Z177)+reservafixaconsolidadonov[[#This Row],[21]]</f>
        <v>0</v>
      </c>
      <c r="AA178" s="20">
        <f>SUM(AA168:AA177)+reservafixaconsolidadonov[[#This Row],[22]]</f>
        <v>0</v>
      </c>
      <c r="AB178" s="20">
        <f>SUM(AB168:AB177)+reservafixaconsolidadonov[[#This Row],[23]]</f>
        <v>0</v>
      </c>
      <c r="AC178" s="20">
        <f>SUM(AC168:AC177)+reservafixaconsolidadonov[[#This Row],[24]]</f>
        <v>0</v>
      </c>
      <c r="AD178" s="20">
        <f>SUM(AD168:AD177)+reservafixaconsolidadonov[[#This Row],[25]]</f>
        <v>0</v>
      </c>
      <c r="AE178" s="20">
        <f>SUM(AE168:AE177)+reservafixaconsolidadonov[[#This Row],[26]]</f>
        <v>0</v>
      </c>
      <c r="AF178" s="20">
        <f>SUM(AF168:AF177)+reservafixaconsolidadonov[[#This Row],[27]]</f>
        <v>0</v>
      </c>
      <c r="AG178" s="20">
        <f>SUM(AG168:AG177)+reservafixaconsolidadonov[[#This Row],[28]]</f>
        <v>0</v>
      </c>
      <c r="AH178" s="20">
        <f>SUM(AH168:AH177)+reservafixaconsolidadonov[[#This Row],[29]]</f>
        <v>0</v>
      </c>
      <c r="AI178" s="19">
        <f>SUM(AI168:AI177)+reservafixaconsolidadonov[[#This Row],[30]]</f>
        <v>0</v>
      </c>
      <c r="AJ178" s="18">
        <f>reservafixaconsolidadonov[[#This Row],[31]]</f>
        <v>0</v>
      </c>
      <c r="AK178" s="17"/>
    </row>
    <row r="179" spans="2:37" ht="6.75" customHeight="1" thickTop="1" thickBot="1" x14ac:dyDescent="0.3">
      <c r="B179" s="15"/>
      <c r="C179" s="14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3"/>
      <c r="AF179" s="13"/>
      <c r="AG179" s="13"/>
      <c r="AH179" s="13"/>
      <c r="AI179" s="12"/>
      <c r="AJ179" s="11"/>
      <c r="AK179" s="10"/>
    </row>
    <row r="180" spans="2:37" ht="12.6" thickTop="1" x14ac:dyDescent="0.25">
      <c r="E180" s="37"/>
      <c r="AI180" s="4"/>
    </row>
    <row r="181" spans="2:37" x14ac:dyDescent="0.25">
      <c r="AI181" s="4"/>
    </row>
    <row r="182" spans="2:37" x14ac:dyDescent="0.25">
      <c r="AI182" s="4"/>
    </row>
    <row r="183" spans="2:37" ht="39.75" customHeight="1" x14ac:dyDescent="0.7">
      <c r="C183" s="36"/>
      <c r="E183" s="240"/>
      <c r="F183" s="240"/>
      <c r="G183" s="240"/>
      <c r="H183" s="240"/>
      <c r="I183" s="240"/>
      <c r="J183" s="240"/>
      <c r="K183" s="240"/>
      <c r="L183" s="240"/>
      <c r="M183" s="240"/>
      <c r="N183" s="240"/>
      <c r="O183" s="240"/>
      <c r="P183" s="240"/>
      <c r="Q183" s="240"/>
      <c r="R183" s="240"/>
      <c r="S183" s="240"/>
      <c r="T183" s="240"/>
      <c r="U183" s="240"/>
      <c r="V183" s="240"/>
      <c r="W183" s="240"/>
      <c r="X183" s="240"/>
      <c r="Y183" s="240"/>
      <c r="Z183" s="240"/>
      <c r="AA183" s="240"/>
      <c r="AB183" s="240"/>
      <c r="AC183" s="240"/>
      <c r="AD183" s="240"/>
      <c r="AE183" s="240"/>
      <c r="AF183" s="240"/>
      <c r="AG183" s="240"/>
      <c r="AH183" s="240"/>
      <c r="AI183" s="240"/>
      <c r="AJ183" s="32" t="s">
        <v>19</v>
      </c>
    </row>
    <row r="184" spans="2:37" ht="12.6" thickBot="1" x14ac:dyDescent="0.3">
      <c r="B184" s="35"/>
      <c r="AI184" s="4"/>
      <c r="AJ184" s="34" t="s">
        <v>202</v>
      </c>
    </row>
    <row r="185" spans="2:37" ht="6.75" customHeight="1" thickTop="1" thickBot="1" x14ac:dyDescent="0.3">
      <c r="B185" s="2"/>
      <c r="C185" s="14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  <c r="AF185" s="13"/>
      <c r="AG185" s="13"/>
      <c r="AH185" s="13"/>
      <c r="AI185" s="13"/>
      <c r="AJ185" s="12"/>
      <c r="AK185" s="33"/>
    </row>
    <row r="186" spans="2:37" ht="13.2" hidden="1" thickTop="1" thickBot="1" x14ac:dyDescent="0.3">
      <c r="B186" s="2"/>
      <c r="C186" s="31" t="s">
        <v>199</v>
      </c>
      <c r="D186" s="30" t="s">
        <v>198</v>
      </c>
      <c r="E186" s="30" t="s">
        <v>197</v>
      </c>
      <c r="F186" s="30" t="s">
        <v>196</v>
      </c>
      <c r="G186" s="30" t="s">
        <v>195</v>
      </c>
      <c r="H186" s="30" t="s">
        <v>194</v>
      </c>
      <c r="I186" s="30" t="s">
        <v>193</v>
      </c>
      <c r="J186" s="30" t="s">
        <v>192</v>
      </c>
      <c r="K186" s="30" t="s">
        <v>191</v>
      </c>
      <c r="L186" s="30" t="s">
        <v>190</v>
      </c>
      <c r="M186" s="30" t="s">
        <v>189</v>
      </c>
      <c r="N186" s="30" t="s">
        <v>188</v>
      </c>
      <c r="O186" s="30" t="s">
        <v>187</v>
      </c>
      <c r="P186" s="30" t="s">
        <v>186</v>
      </c>
      <c r="Q186" s="30" t="s">
        <v>185</v>
      </c>
      <c r="R186" s="30" t="s">
        <v>184</v>
      </c>
      <c r="S186" s="30" t="s">
        <v>183</v>
      </c>
      <c r="T186" s="30" t="s">
        <v>182</v>
      </c>
      <c r="U186" s="30" t="s">
        <v>181</v>
      </c>
      <c r="V186" s="30" t="s">
        <v>180</v>
      </c>
      <c r="W186" s="30" t="s">
        <v>179</v>
      </c>
      <c r="X186" s="30" t="s">
        <v>178</v>
      </c>
      <c r="Y186" s="30" t="s">
        <v>177</v>
      </c>
      <c r="Z186" s="30" t="s">
        <v>176</v>
      </c>
      <c r="AA186" s="30" t="s">
        <v>175</v>
      </c>
      <c r="AB186" s="30" t="s">
        <v>174</v>
      </c>
      <c r="AC186" s="30" t="s">
        <v>173</v>
      </c>
      <c r="AD186" s="30" t="s">
        <v>172</v>
      </c>
      <c r="AE186" s="30" t="s">
        <v>171</v>
      </c>
      <c r="AF186" s="30" t="s">
        <v>170</v>
      </c>
      <c r="AG186" s="30" t="s">
        <v>169</v>
      </c>
      <c r="AH186" s="30" t="s">
        <v>168</v>
      </c>
      <c r="AI186" s="30" t="s">
        <v>167</v>
      </c>
      <c r="AJ186" s="29" t="s">
        <v>166</v>
      </c>
      <c r="AK186" s="2"/>
    </row>
    <row r="187" spans="2:37" ht="19.5" customHeight="1" thickTop="1" thickBot="1" x14ac:dyDescent="0.3">
      <c r="B187" s="28"/>
      <c r="C187" s="27" t="str">
        <f>DADOS!$AN$3</f>
        <v>📝 AÇÃO</v>
      </c>
      <c r="D187" s="26" t="str">
        <f>IF(reservavariáveisconsolidadonov[[#This Row],[TOTAL (R$)]]=0,"",IF(OR(reservavariáveisconsolidadonov[[#This Row],[TOTAL (R$)]]=LARGE($AJ$187:$AJ$196,1),reservavariáveisconsolidadonov[[#This Row],[TOTAL (R$)]]=LARGE($AJ$187:$AJ$196,2)),DADOS!$I$11,""))</f>
        <v/>
      </c>
      <c r="E187" s="96">
        <f>SUMIFS(tabela_registros[VALOR],tabela_registros[MÊS],$AE$1,tabela_registros[DIA],reservavariáveisconsolidadonov[[#Headers],[1]],tabela_registros[REGISTRO],DADOS!$N$6,tabela_registros[TIPO],DADOS!$AJ$4,tabela_registros[CATEGORIA],reservavariáveisconsolidadonov[[#This Row],[ATUAL]])</f>
        <v>0</v>
      </c>
      <c r="F187" s="91">
        <f>SUMIFS(tabela_registros[VALOR],tabela_registros[MÊS],$AE$1,tabela_registros[DIA],reservavariáveisconsolidadonov[[#Headers],[2]],tabela_registros[REGISTRO],DADOS!$N$6,tabela_registros[TIPO],DADOS!$AJ$4,tabela_registros[CATEGORIA],reservavariáveisconsolidadonov[[#This Row],[ATUAL]])</f>
        <v>0</v>
      </c>
      <c r="G187" s="91">
        <f>SUMIFS(tabela_registros[VALOR],tabela_registros[MÊS],$AE$1,tabela_registros[DIA],reservavariáveisconsolidadonov[[#Headers],[3]],tabela_registros[REGISTRO],DADOS!$N$6,tabela_registros[TIPO],DADOS!$AJ$4,tabela_registros[CATEGORIA],reservavariáveisconsolidadonov[[#This Row],[ATUAL]])</f>
        <v>0</v>
      </c>
      <c r="H187" s="91">
        <f>SUMIFS(tabela_registros[VALOR],tabela_registros[MÊS],$AE$1,tabela_registros[DIA],reservavariáveisconsolidadonov[[#Headers],[4]],tabela_registros[REGISTRO],DADOS!$N$6,tabela_registros[TIPO],DADOS!$AJ$4,tabela_registros[CATEGORIA],reservavariáveisconsolidadonov[[#This Row],[ATUAL]])</f>
        <v>0</v>
      </c>
      <c r="I187" s="91">
        <f>SUMIFS(tabela_registros[VALOR],tabela_registros[MÊS],$AE$1,tabela_registros[DIA],reservavariáveisconsolidadonov[[#Headers],[5]],tabela_registros[REGISTRO],DADOS!$N$6,tabela_registros[TIPO],DADOS!$AJ$4,tabela_registros[CATEGORIA],reservavariáveisconsolidadonov[[#This Row],[ATUAL]])</f>
        <v>0</v>
      </c>
      <c r="J187" s="91">
        <f>SUMIFS(tabela_registros[VALOR],tabela_registros[MÊS],$AE$1,tabela_registros[DIA],reservavariáveisconsolidadonov[[#Headers],[6]],tabela_registros[REGISTRO],DADOS!$N$6,tabela_registros[TIPO],DADOS!$AJ$4,tabela_registros[CATEGORIA],reservavariáveisconsolidadonov[[#This Row],[ATUAL]])</f>
        <v>0</v>
      </c>
      <c r="K187" s="91">
        <f>SUMIFS(tabela_registros[VALOR],tabela_registros[MÊS],$AE$1,tabela_registros[DIA],reservavariáveisconsolidadonov[[#Headers],[7]],tabela_registros[REGISTRO],DADOS!$N$6,tabela_registros[TIPO],DADOS!$AJ$4,tabela_registros[CATEGORIA],reservavariáveisconsolidadonov[[#This Row],[ATUAL]])</f>
        <v>0</v>
      </c>
      <c r="L187" s="91">
        <f>SUMIFS(tabela_registros[VALOR],tabela_registros[MÊS],$AE$1,tabela_registros[DIA],reservavariáveisconsolidadonov[[#Headers],[8]],tabela_registros[REGISTRO],DADOS!$N$6,tabela_registros[TIPO],DADOS!$AJ$4,tabela_registros[CATEGORIA],reservavariáveisconsolidadonov[[#This Row],[ATUAL]])</f>
        <v>0</v>
      </c>
      <c r="M187" s="91">
        <f>SUMIFS(tabela_registros[VALOR],tabela_registros[MÊS],$AE$1,tabela_registros[DIA],reservavariáveisconsolidadonov[[#Headers],[9]],tabela_registros[REGISTRO],DADOS!$N$6,tabela_registros[TIPO],DADOS!$AJ$4,tabela_registros[CATEGORIA],reservavariáveisconsolidadonov[[#This Row],[ATUAL]])</f>
        <v>0</v>
      </c>
      <c r="N187" s="91">
        <f>SUMIFS(tabela_registros[VALOR],tabela_registros[MÊS],$AE$1,tabela_registros[DIA],reservavariáveisconsolidadonov[[#Headers],[10]],tabela_registros[REGISTRO],DADOS!$N$6,tabela_registros[TIPO],DADOS!$AJ$4,tabela_registros[CATEGORIA],reservavariáveisconsolidadonov[[#This Row],[ATUAL]])</f>
        <v>0</v>
      </c>
      <c r="O187" s="91">
        <f>SUMIFS(tabela_registros[VALOR],tabela_registros[MÊS],$AE$1,tabela_registros[DIA],reservavariáveisconsolidadonov[[#Headers],[11]],tabela_registros[REGISTRO],DADOS!$N$6,tabela_registros[TIPO],DADOS!$AJ$4,tabela_registros[CATEGORIA],reservavariáveisconsolidadonov[[#This Row],[ATUAL]])</f>
        <v>0</v>
      </c>
      <c r="P187" s="91">
        <f>SUMIFS(tabela_registros[VALOR],tabela_registros[MÊS],$AE$1,tabela_registros[DIA],reservavariáveisconsolidadonov[[#Headers],[12]],tabela_registros[REGISTRO],DADOS!$N$6,tabela_registros[TIPO],DADOS!$AJ$4,tabela_registros[CATEGORIA],reservavariáveisconsolidadonov[[#This Row],[ATUAL]])</f>
        <v>0</v>
      </c>
      <c r="Q187" s="91">
        <f>SUMIFS(tabela_registros[VALOR],tabela_registros[MÊS],$AE$1,tabela_registros[DIA],reservavariáveisconsolidadonov[[#Headers],[13]],tabela_registros[REGISTRO],DADOS!$N$6,tabela_registros[TIPO],DADOS!$AJ$4,tabela_registros[CATEGORIA],reservavariáveisconsolidadonov[[#This Row],[ATUAL]])</f>
        <v>0</v>
      </c>
      <c r="R187" s="91">
        <f>SUMIFS(tabela_registros[VALOR],tabela_registros[MÊS],$AE$1,tabela_registros[DIA],reservavariáveisconsolidadonov[[#Headers],[14]],tabela_registros[REGISTRO],DADOS!$N$6,tabela_registros[TIPO],DADOS!$AJ$4,tabela_registros[CATEGORIA],reservavariáveisconsolidadonov[[#This Row],[ATUAL]])</f>
        <v>0</v>
      </c>
      <c r="S187" s="91">
        <f>SUMIFS(tabela_registros[VALOR],tabela_registros[MÊS],$AE$1,tabela_registros[DIA],reservavariáveisconsolidadonov[[#Headers],[15]],tabela_registros[REGISTRO],DADOS!$N$6,tabela_registros[TIPO],DADOS!$AJ$4,tabela_registros[CATEGORIA],reservavariáveisconsolidadonov[[#This Row],[ATUAL]])</f>
        <v>0</v>
      </c>
      <c r="T187" s="91">
        <f>SUMIFS(tabela_registros[VALOR],tabela_registros[MÊS],$AE$1,tabela_registros[DIA],reservavariáveisconsolidadonov[[#Headers],[16]],tabela_registros[REGISTRO],DADOS!$N$6,tabela_registros[TIPO],DADOS!$AJ$4,tabela_registros[CATEGORIA],reservavariáveisconsolidadonov[[#This Row],[ATUAL]])</f>
        <v>0</v>
      </c>
      <c r="U187" s="91">
        <f>SUMIFS(tabela_registros[VALOR],tabela_registros[MÊS],$AE$1,tabela_registros[DIA],reservavariáveisconsolidadonov[[#Headers],[17]],tabela_registros[REGISTRO],DADOS!$N$6,tabela_registros[TIPO],DADOS!$AJ$4,tabela_registros[CATEGORIA],reservavariáveisconsolidadonov[[#This Row],[ATUAL]])</f>
        <v>0</v>
      </c>
      <c r="V187" s="91">
        <f>SUMIFS(tabela_registros[VALOR],tabela_registros[MÊS],$AE$1,tabela_registros[DIA],reservavariáveisconsolidadonov[[#Headers],[18]],tabela_registros[REGISTRO],DADOS!$N$6,tabela_registros[TIPO],DADOS!$AJ$4,tabela_registros[CATEGORIA],reservavariáveisconsolidadonov[[#This Row],[ATUAL]])</f>
        <v>0</v>
      </c>
      <c r="W187" s="91">
        <f>SUMIFS(tabela_registros[VALOR],tabela_registros[MÊS],$AE$1,tabela_registros[DIA],reservavariáveisconsolidadonov[[#Headers],[19]],tabela_registros[REGISTRO],DADOS!$N$6,tabela_registros[TIPO],DADOS!$AJ$4,tabela_registros[CATEGORIA],reservavariáveisconsolidadonov[[#This Row],[ATUAL]])</f>
        <v>0</v>
      </c>
      <c r="X187" s="91">
        <f>SUMIFS(tabela_registros[VALOR],tabela_registros[MÊS],$AE$1,tabela_registros[DIA],reservavariáveisconsolidadonov[[#Headers],[20]],tabela_registros[REGISTRO],DADOS!$N$6,tabela_registros[TIPO],DADOS!$AJ$4,tabela_registros[CATEGORIA],reservavariáveisconsolidadonov[[#This Row],[ATUAL]])</f>
        <v>0</v>
      </c>
      <c r="Y187" s="91">
        <f>SUMIFS(tabela_registros[VALOR],tabela_registros[MÊS],$AE$1,tabela_registros[DIA],reservavariáveisconsolidadonov[[#Headers],[21]],tabela_registros[REGISTRO],DADOS!$N$6,tabela_registros[TIPO],DADOS!$AJ$4,tabela_registros[CATEGORIA],reservavariáveisconsolidadonov[[#This Row],[ATUAL]])</f>
        <v>0</v>
      </c>
      <c r="Z187" s="91">
        <f>SUMIFS(tabela_registros[VALOR],tabela_registros[MÊS],$AE$1,tabela_registros[DIA],reservavariáveisconsolidadonov[[#Headers],[22]],tabela_registros[REGISTRO],DADOS!$N$6,tabela_registros[TIPO],DADOS!$AJ$4,tabela_registros[CATEGORIA],reservavariáveisconsolidadonov[[#This Row],[ATUAL]])</f>
        <v>0</v>
      </c>
      <c r="AA187" s="91">
        <f>SUMIFS(tabela_registros[VALOR],tabela_registros[MÊS],$AE$1,tabela_registros[DIA],reservavariáveisconsolidadonov[[#Headers],[23]],tabela_registros[REGISTRO],DADOS!$N$6,tabela_registros[TIPO],DADOS!$AJ$4,tabela_registros[CATEGORIA],reservavariáveisconsolidadonov[[#This Row],[ATUAL]])</f>
        <v>0</v>
      </c>
      <c r="AB187" s="91">
        <f>SUMIFS(tabela_registros[VALOR],tabela_registros[MÊS],$AE$1,tabela_registros[DIA],reservavariáveisconsolidadonov[[#Headers],[24]],tabela_registros[REGISTRO],DADOS!$N$6,tabela_registros[TIPO],DADOS!$AJ$4,tabela_registros[CATEGORIA],reservavariáveisconsolidadonov[[#This Row],[ATUAL]])</f>
        <v>0</v>
      </c>
      <c r="AC187" s="91">
        <f>SUMIFS(tabela_registros[VALOR],tabela_registros[MÊS],$AE$1,tabela_registros[DIA],reservavariáveisconsolidadonov[[#Headers],[25]],tabela_registros[REGISTRO],DADOS!$N$6,tabela_registros[TIPO],DADOS!$AJ$4,tabela_registros[CATEGORIA],reservavariáveisconsolidadonov[[#This Row],[ATUAL]])</f>
        <v>0</v>
      </c>
      <c r="AD187" s="91">
        <f>SUMIFS(tabela_registros[VALOR],tabela_registros[MÊS],$AE$1,tabela_registros[DIA],reservavariáveisconsolidadonov[[#Headers],[26]],tabela_registros[REGISTRO],DADOS!$N$6,tabela_registros[TIPO],DADOS!$AJ$4,tabela_registros[CATEGORIA],reservavariáveisconsolidadonov[[#This Row],[ATUAL]])</f>
        <v>0</v>
      </c>
      <c r="AE187" s="91">
        <f>SUMIFS(tabela_registros[VALOR],tabela_registros[MÊS],$AE$1,tabela_registros[DIA],reservavariáveisconsolidadonov[[#Headers],[27]],tabela_registros[REGISTRO],DADOS!$N$6,tabela_registros[TIPO],DADOS!$AJ$4,tabela_registros[CATEGORIA],reservavariáveisconsolidadonov[[#This Row],[ATUAL]])</f>
        <v>0</v>
      </c>
      <c r="AF187" s="91">
        <f>SUMIFS(tabela_registros[VALOR],tabela_registros[MÊS],$AE$1,tabela_registros[DIA],reservavariáveisconsolidadonov[[#Headers],[28]],tabela_registros[REGISTRO],DADOS!$N$6,tabela_registros[TIPO],DADOS!$AJ$4,tabela_registros[CATEGORIA],reservavariáveisconsolidadonov[[#This Row],[ATUAL]])</f>
        <v>0</v>
      </c>
      <c r="AG187" s="91">
        <f>SUMIFS(tabela_registros[VALOR],tabela_registros[MÊS],$AE$1,tabela_registros[DIA],reservavariáveisconsolidadonov[[#Headers],[29]],tabela_registros[REGISTRO],DADOS!$N$6,tabela_registros[TIPO],DADOS!$AJ$4,tabela_registros[CATEGORIA],reservavariáveisconsolidadonov[[#This Row],[ATUAL]])</f>
        <v>0</v>
      </c>
      <c r="AH187" s="91">
        <f>SUMIFS(tabela_registros[VALOR],tabela_registros[MÊS],$AE$1,tabela_registros[DIA],reservavariáveisconsolidadonov[[#Headers],[30]],tabela_registros[REGISTRO],DADOS!$N$6,tabela_registros[TIPO],DADOS!$AJ$4,tabela_registros[CATEGORIA],reservavariáveisconsolidadonov[[#This Row],[ATUAL]])</f>
        <v>0</v>
      </c>
      <c r="AI187" s="101">
        <f>SUMIFS(tabela_registros[VALOR],tabela_registros[MÊS],$AE$1,tabela_registros[DIA],reservavariáveisconsolidadonov[[#Headers],[31]],tabela_registros[REGISTRO],DADOS!$N$6,tabela_registros[TIPO],DADOS!$AJ$4,tabela_registros[CATEGORIA],reservavariáveisconsolidadonov[[#This Row],[ATUAL]])</f>
        <v>0</v>
      </c>
      <c r="AJ187" s="97">
        <f>SUM(reservavariáveisconsolidadonov[[#This Row],[1]:[31]])</f>
        <v>0</v>
      </c>
      <c r="AK187" s="25"/>
    </row>
    <row r="188" spans="2:37" ht="19.5" customHeight="1" thickTop="1" thickBot="1" x14ac:dyDescent="0.3">
      <c r="B188" s="28"/>
      <c r="C188" s="27" t="str">
        <f>DADOS!$AN$4</f>
        <v>📝 COMÓDITE</v>
      </c>
      <c r="D188" s="26" t="str">
        <f>IF(reservavariáveisconsolidadonov[[#This Row],[TOTAL (R$)]]=0,"",IF(OR(reservavariáveisconsolidadonov[[#This Row],[TOTAL (R$)]]=LARGE($AJ$187:$AJ$196,1),reservavariáveisconsolidadonov[[#This Row],[TOTAL (R$)]]=LARGE($AJ$187:$AJ$196,2)),DADOS!$I$11,""))</f>
        <v/>
      </c>
      <c r="E188" s="96">
        <f>SUMIFS(tabela_registros[VALOR],tabela_registros[MÊS],$AE$1,tabela_registros[DIA],reservavariáveisconsolidadonov[[#Headers],[1]],tabela_registros[REGISTRO],DADOS!$N$6,tabela_registros[TIPO],DADOS!$AJ$4,tabela_registros[CATEGORIA],reservavariáveisconsolidadonov[[#This Row],[ATUAL]])</f>
        <v>0</v>
      </c>
      <c r="F188" s="91">
        <f>SUMIFS(tabela_registros[VALOR],tabela_registros[MÊS],$AE$1,tabela_registros[DIA],reservavariáveisconsolidadonov[[#Headers],[2]],tabela_registros[REGISTRO],DADOS!$N$6,tabela_registros[TIPO],DADOS!$AJ$4,tabela_registros[CATEGORIA],reservavariáveisconsolidadonov[[#This Row],[ATUAL]])</f>
        <v>0</v>
      </c>
      <c r="G188" s="91">
        <f>SUMIFS(tabela_registros[VALOR],tabela_registros[MÊS],$AE$1,tabela_registros[DIA],reservavariáveisconsolidadonov[[#Headers],[3]],tabela_registros[REGISTRO],DADOS!$N$6,tabela_registros[TIPO],DADOS!$AJ$4,tabela_registros[CATEGORIA],reservavariáveisconsolidadonov[[#This Row],[ATUAL]])</f>
        <v>0</v>
      </c>
      <c r="H188" s="91">
        <f>SUMIFS(tabela_registros[VALOR],tabela_registros[MÊS],$AE$1,tabela_registros[DIA],reservavariáveisconsolidadonov[[#Headers],[4]],tabela_registros[REGISTRO],DADOS!$N$6,tabela_registros[TIPO],DADOS!$AJ$4,tabela_registros[CATEGORIA],reservavariáveisconsolidadonov[[#This Row],[ATUAL]])</f>
        <v>0</v>
      </c>
      <c r="I188" s="91">
        <f>SUMIFS(tabela_registros[VALOR],tabela_registros[MÊS],$AE$1,tabela_registros[DIA],reservavariáveisconsolidadonov[[#Headers],[5]],tabela_registros[REGISTRO],DADOS!$N$6,tabela_registros[TIPO],DADOS!$AJ$4,tabela_registros[CATEGORIA],reservavariáveisconsolidadonov[[#This Row],[ATUAL]])</f>
        <v>0</v>
      </c>
      <c r="J188" s="91">
        <f>SUMIFS(tabela_registros[VALOR],tabela_registros[MÊS],$AE$1,tabela_registros[DIA],reservavariáveisconsolidadonov[[#Headers],[6]],tabela_registros[REGISTRO],DADOS!$N$6,tabela_registros[TIPO],DADOS!$AJ$4,tabela_registros[CATEGORIA],reservavariáveisconsolidadonov[[#This Row],[ATUAL]])</f>
        <v>0</v>
      </c>
      <c r="K188" s="91">
        <f>SUMIFS(tabela_registros[VALOR],tabela_registros[MÊS],$AE$1,tabela_registros[DIA],reservavariáveisconsolidadonov[[#Headers],[7]],tabela_registros[REGISTRO],DADOS!$N$6,tabela_registros[TIPO],DADOS!$AJ$4,tabela_registros[CATEGORIA],reservavariáveisconsolidadonov[[#This Row],[ATUAL]])</f>
        <v>0</v>
      </c>
      <c r="L188" s="91">
        <f>SUMIFS(tabela_registros[VALOR],tabela_registros[MÊS],$AE$1,tabela_registros[DIA],reservavariáveisconsolidadonov[[#Headers],[8]],tabela_registros[REGISTRO],DADOS!$N$6,tabela_registros[TIPO],DADOS!$AJ$4,tabela_registros[CATEGORIA],reservavariáveisconsolidadonov[[#This Row],[ATUAL]])</f>
        <v>0</v>
      </c>
      <c r="M188" s="91">
        <f>SUMIFS(tabela_registros[VALOR],tabela_registros[MÊS],$AE$1,tabela_registros[DIA],reservavariáveisconsolidadonov[[#Headers],[9]],tabela_registros[REGISTRO],DADOS!$N$6,tabela_registros[TIPO],DADOS!$AJ$4,tabela_registros[CATEGORIA],reservavariáveisconsolidadonov[[#This Row],[ATUAL]])</f>
        <v>0</v>
      </c>
      <c r="N188" s="91">
        <f>SUMIFS(tabela_registros[VALOR],tabela_registros[MÊS],$AE$1,tabela_registros[DIA],reservavariáveisconsolidadonov[[#Headers],[10]],tabela_registros[REGISTRO],DADOS!$N$6,tabela_registros[TIPO],DADOS!$AJ$4,tabela_registros[CATEGORIA],reservavariáveisconsolidadonov[[#This Row],[ATUAL]])</f>
        <v>0</v>
      </c>
      <c r="O188" s="91">
        <f>SUMIFS(tabela_registros[VALOR],tabela_registros[MÊS],$AE$1,tabela_registros[DIA],reservavariáveisconsolidadonov[[#Headers],[11]],tabela_registros[REGISTRO],DADOS!$N$6,tabela_registros[TIPO],DADOS!$AJ$4,tabela_registros[CATEGORIA],reservavariáveisconsolidadonov[[#This Row],[ATUAL]])</f>
        <v>0</v>
      </c>
      <c r="P188" s="91">
        <f>SUMIFS(tabela_registros[VALOR],tabela_registros[MÊS],$AE$1,tabela_registros[DIA],reservavariáveisconsolidadonov[[#Headers],[12]],tabela_registros[REGISTRO],DADOS!$N$6,tabela_registros[TIPO],DADOS!$AJ$4,tabela_registros[CATEGORIA],reservavariáveisconsolidadonov[[#This Row],[ATUAL]])</f>
        <v>0</v>
      </c>
      <c r="Q188" s="91">
        <f>SUMIFS(tabela_registros[VALOR],tabela_registros[MÊS],$AE$1,tabela_registros[DIA],reservavariáveisconsolidadonov[[#Headers],[13]],tabela_registros[REGISTRO],DADOS!$N$6,tabela_registros[TIPO],DADOS!$AJ$4,tabela_registros[CATEGORIA],reservavariáveisconsolidadonov[[#This Row],[ATUAL]])</f>
        <v>0</v>
      </c>
      <c r="R188" s="91">
        <f>SUMIFS(tabela_registros[VALOR],tabela_registros[MÊS],$AE$1,tabela_registros[DIA],reservavariáveisconsolidadonov[[#Headers],[14]],tabela_registros[REGISTRO],DADOS!$N$6,tabela_registros[TIPO],DADOS!$AJ$4,tabela_registros[CATEGORIA],reservavariáveisconsolidadonov[[#This Row],[ATUAL]])</f>
        <v>0</v>
      </c>
      <c r="S188" s="91">
        <f>SUMIFS(tabela_registros[VALOR],tabela_registros[MÊS],$AE$1,tabela_registros[DIA],reservavariáveisconsolidadonov[[#Headers],[15]],tabela_registros[REGISTRO],DADOS!$N$6,tabela_registros[TIPO],DADOS!$AJ$4,tabela_registros[CATEGORIA],reservavariáveisconsolidadonov[[#This Row],[ATUAL]])</f>
        <v>0</v>
      </c>
      <c r="T188" s="91">
        <f>SUMIFS(tabela_registros[VALOR],tabela_registros[MÊS],$AE$1,tabela_registros[DIA],reservavariáveisconsolidadonov[[#Headers],[16]],tabela_registros[REGISTRO],DADOS!$N$6,tabela_registros[TIPO],DADOS!$AJ$4,tabela_registros[CATEGORIA],reservavariáveisconsolidadonov[[#This Row],[ATUAL]])</f>
        <v>0</v>
      </c>
      <c r="U188" s="91">
        <f>SUMIFS(tabela_registros[VALOR],tabela_registros[MÊS],$AE$1,tabela_registros[DIA],reservavariáveisconsolidadonov[[#Headers],[17]],tabela_registros[REGISTRO],DADOS!$N$6,tabela_registros[TIPO],DADOS!$AJ$4,tabela_registros[CATEGORIA],reservavariáveisconsolidadonov[[#This Row],[ATUAL]])</f>
        <v>0</v>
      </c>
      <c r="V188" s="91">
        <f>SUMIFS(tabela_registros[VALOR],tabela_registros[MÊS],$AE$1,tabela_registros[DIA],reservavariáveisconsolidadonov[[#Headers],[18]],tabela_registros[REGISTRO],DADOS!$N$6,tabela_registros[TIPO],DADOS!$AJ$4,tabela_registros[CATEGORIA],reservavariáveisconsolidadonov[[#This Row],[ATUAL]])</f>
        <v>0</v>
      </c>
      <c r="W188" s="91">
        <f>SUMIFS(tabela_registros[VALOR],tabela_registros[MÊS],$AE$1,tabela_registros[DIA],reservavariáveisconsolidadonov[[#Headers],[19]],tabela_registros[REGISTRO],DADOS!$N$6,tabela_registros[TIPO],DADOS!$AJ$4,tabela_registros[CATEGORIA],reservavariáveisconsolidadonov[[#This Row],[ATUAL]])</f>
        <v>0</v>
      </c>
      <c r="X188" s="91">
        <f>SUMIFS(tabela_registros[VALOR],tabela_registros[MÊS],$AE$1,tabela_registros[DIA],reservavariáveisconsolidadonov[[#Headers],[20]],tabela_registros[REGISTRO],DADOS!$N$6,tabela_registros[TIPO],DADOS!$AJ$4,tabela_registros[CATEGORIA],reservavariáveisconsolidadonov[[#This Row],[ATUAL]])</f>
        <v>0</v>
      </c>
      <c r="Y188" s="91">
        <f>SUMIFS(tabela_registros[VALOR],tabela_registros[MÊS],$AE$1,tabela_registros[DIA],reservavariáveisconsolidadonov[[#Headers],[21]],tabela_registros[REGISTRO],DADOS!$N$6,tabela_registros[TIPO],DADOS!$AJ$4,tabela_registros[CATEGORIA],reservavariáveisconsolidadonov[[#This Row],[ATUAL]])</f>
        <v>0</v>
      </c>
      <c r="Z188" s="91">
        <f>SUMIFS(tabela_registros[VALOR],tabela_registros[MÊS],$AE$1,tabela_registros[DIA],reservavariáveisconsolidadonov[[#Headers],[22]],tabela_registros[REGISTRO],DADOS!$N$6,tabela_registros[TIPO],DADOS!$AJ$4,tabela_registros[CATEGORIA],reservavariáveisconsolidadonov[[#This Row],[ATUAL]])</f>
        <v>0</v>
      </c>
      <c r="AA188" s="91">
        <f>SUMIFS(tabela_registros[VALOR],tabela_registros[MÊS],$AE$1,tabela_registros[DIA],reservavariáveisconsolidadonov[[#Headers],[23]],tabela_registros[REGISTRO],DADOS!$N$6,tabela_registros[TIPO],DADOS!$AJ$4,tabela_registros[CATEGORIA],reservavariáveisconsolidadonov[[#This Row],[ATUAL]])</f>
        <v>0</v>
      </c>
      <c r="AB188" s="91">
        <f>SUMIFS(tabela_registros[VALOR],tabela_registros[MÊS],$AE$1,tabela_registros[DIA],reservavariáveisconsolidadonov[[#Headers],[24]],tabela_registros[REGISTRO],DADOS!$N$6,tabela_registros[TIPO],DADOS!$AJ$4,tabela_registros[CATEGORIA],reservavariáveisconsolidadonov[[#This Row],[ATUAL]])</f>
        <v>0</v>
      </c>
      <c r="AC188" s="91">
        <f>SUMIFS(tabela_registros[VALOR],tabela_registros[MÊS],$AE$1,tabela_registros[DIA],reservavariáveisconsolidadonov[[#Headers],[25]],tabela_registros[REGISTRO],DADOS!$N$6,tabela_registros[TIPO],DADOS!$AJ$4,tabela_registros[CATEGORIA],reservavariáveisconsolidadonov[[#This Row],[ATUAL]])</f>
        <v>0</v>
      </c>
      <c r="AD188" s="91">
        <f>SUMIFS(tabela_registros[VALOR],tabela_registros[MÊS],$AE$1,tabela_registros[DIA],reservavariáveisconsolidadonov[[#Headers],[26]],tabela_registros[REGISTRO],DADOS!$N$6,tabela_registros[TIPO],DADOS!$AJ$4,tabela_registros[CATEGORIA],reservavariáveisconsolidadonov[[#This Row],[ATUAL]])</f>
        <v>0</v>
      </c>
      <c r="AE188" s="91">
        <f>SUMIFS(tabela_registros[VALOR],tabela_registros[MÊS],$AE$1,tabela_registros[DIA],reservavariáveisconsolidadonov[[#Headers],[27]],tabela_registros[REGISTRO],DADOS!$N$6,tabela_registros[TIPO],DADOS!$AJ$4,tabela_registros[CATEGORIA],reservavariáveisconsolidadonov[[#This Row],[ATUAL]])</f>
        <v>0</v>
      </c>
      <c r="AF188" s="91">
        <f>SUMIFS(tabela_registros[VALOR],tabela_registros[MÊS],$AE$1,tabela_registros[DIA],reservavariáveisconsolidadonov[[#Headers],[28]],tabela_registros[REGISTRO],DADOS!$N$6,tabela_registros[TIPO],DADOS!$AJ$4,tabela_registros[CATEGORIA],reservavariáveisconsolidadonov[[#This Row],[ATUAL]])</f>
        <v>0</v>
      </c>
      <c r="AG188" s="91">
        <f>SUMIFS(tabela_registros[VALOR],tabela_registros[MÊS],$AE$1,tabela_registros[DIA],reservavariáveisconsolidadonov[[#Headers],[29]],tabela_registros[REGISTRO],DADOS!$N$6,tabela_registros[TIPO],DADOS!$AJ$4,tabela_registros[CATEGORIA],reservavariáveisconsolidadonov[[#This Row],[ATUAL]])</f>
        <v>0</v>
      </c>
      <c r="AH188" s="91">
        <f>SUMIFS(tabela_registros[VALOR],tabela_registros[MÊS],$AE$1,tabela_registros[DIA],reservavariáveisconsolidadonov[[#Headers],[30]],tabela_registros[REGISTRO],DADOS!$N$6,tabela_registros[TIPO],DADOS!$AJ$4,tabela_registros[CATEGORIA],reservavariáveisconsolidadonov[[#This Row],[ATUAL]])</f>
        <v>0</v>
      </c>
      <c r="AI188" s="101">
        <f>SUMIFS(tabela_registros[VALOR],tabela_registros[MÊS],$AE$1,tabela_registros[DIA],reservavariáveisconsolidadonov[[#Headers],[31]],tabela_registros[REGISTRO],DADOS!$N$6,tabela_registros[TIPO],DADOS!$AJ$4,tabela_registros[CATEGORIA],reservavariáveisconsolidadonov[[#This Row],[ATUAL]])</f>
        <v>0</v>
      </c>
      <c r="AJ188" s="97">
        <f>SUM(reservavariáveisconsolidadonov[[#This Row],[1]:[31]])</f>
        <v>0</v>
      </c>
      <c r="AK188" s="25"/>
    </row>
    <row r="189" spans="2:37" ht="19.5" customHeight="1" thickTop="1" thickBot="1" x14ac:dyDescent="0.3">
      <c r="B189" s="28"/>
      <c r="C189" s="27" t="str">
        <f>DADOS!$AN$5</f>
        <v>📝 CONTRATO DE FUTUROS</v>
      </c>
      <c r="D189" s="26" t="str">
        <f>IF(reservavariáveisconsolidadonov[[#This Row],[TOTAL (R$)]]=0,"",IF(OR(reservavariáveisconsolidadonov[[#This Row],[TOTAL (R$)]]=LARGE($AJ$187:$AJ$196,1),reservavariáveisconsolidadonov[[#This Row],[TOTAL (R$)]]=LARGE($AJ$187:$AJ$196,2)),DADOS!$I$11,""))</f>
        <v/>
      </c>
      <c r="E189" s="96">
        <f>SUMIFS(tabela_registros[VALOR],tabela_registros[MÊS],$AE$1,tabela_registros[DIA],reservavariáveisconsolidadonov[[#Headers],[1]],tabela_registros[REGISTRO],DADOS!$N$6,tabela_registros[TIPO],DADOS!$AJ$4,tabela_registros[CATEGORIA],reservavariáveisconsolidadonov[[#This Row],[ATUAL]])</f>
        <v>0</v>
      </c>
      <c r="F189" s="91">
        <f>SUMIFS(tabela_registros[VALOR],tabela_registros[MÊS],$AE$1,tabela_registros[DIA],reservavariáveisconsolidadonov[[#Headers],[2]],tabela_registros[REGISTRO],DADOS!$N$6,tabela_registros[TIPO],DADOS!$AJ$4,tabela_registros[CATEGORIA],reservavariáveisconsolidadonov[[#This Row],[ATUAL]])</f>
        <v>0</v>
      </c>
      <c r="G189" s="91">
        <f>SUMIFS(tabela_registros[VALOR],tabela_registros[MÊS],$AE$1,tabela_registros[DIA],reservavariáveisconsolidadonov[[#Headers],[3]],tabela_registros[REGISTRO],DADOS!$N$6,tabela_registros[TIPO],DADOS!$AJ$4,tabela_registros[CATEGORIA],reservavariáveisconsolidadonov[[#This Row],[ATUAL]])</f>
        <v>0</v>
      </c>
      <c r="H189" s="91">
        <f>SUMIFS(tabela_registros[VALOR],tabela_registros[MÊS],$AE$1,tabela_registros[DIA],reservavariáveisconsolidadonov[[#Headers],[4]],tabela_registros[REGISTRO],DADOS!$N$6,tabela_registros[TIPO],DADOS!$AJ$4,tabela_registros[CATEGORIA],reservavariáveisconsolidadonov[[#This Row],[ATUAL]])</f>
        <v>0</v>
      </c>
      <c r="I189" s="91">
        <f>SUMIFS(tabela_registros[VALOR],tabela_registros[MÊS],$AE$1,tabela_registros[DIA],reservavariáveisconsolidadonov[[#Headers],[5]],tabela_registros[REGISTRO],DADOS!$N$6,tabela_registros[TIPO],DADOS!$AJ$4,tabela_registros[CATEGORIA],reservavariáveisconsolidadonov[[#This Row],[ATUAL]])</f>
        <v>0</v>
      </c>
      <c r="J189" s="91">
        <f>SUMIFS(tabela_registros[VALOR],tabela_registros[MÊS],$AE$1,tabela_registros[DIA],reservavariáveisconsolidadonov[[#Headers],[6]],tabela_registros[REGISTRO],DADOS!$N$6,tabela_registros[TIPO],DADOS!$AJ$4,tabela_registros[CATEGORIA],reservavariáveisconsolidadonov[[#This Row],[ATUAL]])</f>
        <v>0</v>
      </c>
      <c r="K189" s="91">
        <f>SUMIFS(tabela_registros[VALOR],tabela_registros[MÊS],$AE$1,tabela_registros[DIA],reservavariáveisconsolidadonov[[#Headers],[7]],tabela_registros[REGISTRO],DADOS!$N$6,tabela_registros[TIPO],DADOS!$AJ$4,tabela_registros[CATEGORIA],reservavariáveisconsolidadonov[[#This Row],[ATUAL]])</f>
        <v>0</v>
      </c>
      <c r="L189" s="91">
        <f>SUMIFS(tabela_registros[VALOR],tabela_registros[MÊS],$AE$1,tabela_registros[DIA],reservavariáveisconsolidadonov[[#Headers],[8]],tabela_registros[REGISTRO],DADOS!$N$6,tabela_registros[TIPO],DADOS!$AJ$4,tabela_registros[CATEGORIA],reservavariáveisconsolidadonov[[#This Row],[ATUAL]])</f>
        <v>0</v>
      </c>
      <c r="M189" s="91">
        <f>SUMIFS(tabela_registros[VALOR],tabela_registros[MÊS],$AE$1,tabela_registros[DIA],reservavariáveisconsolidadonov[[#Headers],[9]],tabela_registros[REGISTRO],DADOS!$N$6,tabela_registros[TIPO],DADOS!$AJ$4,tabela_registros[CATEGORIA],reservavariáveisconsolidadonov[[#This Row],[ATUAL]])</f>
        <v>0</v>
      </c>
      <c r="N189" s="91">
        <f>SUMIFS(tabela_registros[VALOR],tabela_registros[MÊS],$AE$1,tabela_registros[DIA],reservavariáveisconsolidadonov[[#Headers],[10]],tabela_registros[REGISTRO],DADOS!$N$6,tabela_registros[TIPO],DADOS!$AJ$4,tabela_registros[CATEGORIA],reservavariáveisconsolidadonov[[#This Row],[ATUAL]])</f>
        <v>0</v>
      </c>
      <c r="O189" s="91">
        <f>SUMIFS(tabela_registros[VALOR],tabela_registros[MÊS],$AE$1,tabela_registros[DIA],reservavariáveisconsolidadonov[[#Headers],[11]],tabela_registros[REGISTRO],DADOS!$N$6,tabela_registros[TIPO],DADOS!$AJ$4,tabela_registros[CATEGORIA],reservavariáveisconsolidadonov[[#This Row],[ATUAL]])</f>
        <v>0</v>
      </c>
      <c r="P189" s="91">
        <f>SUMIFS(tabela_registros[VALOR],tabela_registros[MÊS],$AE$1,tabela_registros[DIA],reservavariáveisconsolidadonov[[#Headers],[12]],tabela_registros[REGISTRO],DADOS!$N$6,tabela_registros[TIPO],DADOS!$AJ$4,tabela_registros[CATEGORIA],reservavariáveisconsolidadonov[[#This Row],[ATUAL]])</f>
        <v>0</v>
      </c>
      <c r="Q189" s="91">
        <f>SUMIFS(tabela_registros[VALOR],tabela_registros[MÊS],$AE$1,tabela_registros[DIA],reservavariáveisconsolidadonov[[#Headers],[13]],tabela_registros[REGISTRO],DADOS!$N$6,tabela_registros[TIPO],DADOS!$AJ$4,tabela_registros[CATEGORIA],reservavariáveisconsolidadonov[[#This Row],[ATUAL]])</f>
        <v>0</v>
      </c>
      <c r="R189" s="91">
        <f>SUMIFS(tabela_registros[VALOR],tabela_registros[MÊS],$AE$1,tabela_registros[DIA],reservavariáveisconsolidadonov[[#Headers],[14]],tabela_registros[REGISTRO],DADOS!$N$6,tabela_registros[TIPO],DADOS!$AJ$4,tabela_registros[CATEGORIA],reservavariáveisconsolidadonov[[#This Row],[ATUAL]])</f>
        <v>0</v>
      </c>
      <c r="S189" s="91">
        <f>SUMIFS(tabela_registros[VALOR],tabela_registros[MÊS],$AE$1,tabela_registros[DIA],reservavariáveisconsolidadonov[[#Headers],[15]],tabela_registros[REGISTRO],DADOS!$N$6,tabela_registros[TIPO],DADOS!$AJ$4,tabela_registros[CATEGORIA],reservavariáveisconsolidadonov[[#This Row],[ATUAL]])</f>
        <v>0</v>
      </c>
      <c r="T189" s="91">
        <f>SUMIFS(tabela_registros[VALOR],tabela_registros[MÊS],$AE$1,tabela_registros[DIA],reservavariáveisconsolidadonov[[#Headers],[16]],tabela_registros[REGISTRO],DADOS!$N$6,tabela_registros[TIPO],DADOS!$AJ$4,tabela_registros[CATEGORIA],reservavariáveisconsolidadonov[[#This Row],[ATUAL]])</f>
        <v>0</v>
      </c>
      <c r="U189" s="91">
        <f>SUMIFS(tabela_registros[VALOR],tabela_registros[MÊS],$AE$1,tabela_registros[DIA],reservavariáveisconsolidadonov[[#Headers],[17]],tabela_registros[REGISTRO],DADOS!$N$6,tabela_registros[TIPO],DADOS!$AJ$4,tabela_registros[CATEGORIA],reservavariáveisconsolidadonov[[#This Row],[ATUAL]])</f>
        <v>0</v>
      </c>
      <c r="V189" s="91">
        <f>SUMIFS(tabela_registros[VALOR],tabela_registros[MÊS],$AE$1,tabela_registros[DIA],reservavariáveisconsolidadonov[[#Headers],[18]],tabela_registros[REGISTRO],DADOS!$N$6,tabela_registros[TIPO],DADOS!$AJ$4,tabela_registros[CATEGORIA],reservavariáveisconsolidadonov[[#This Row],[ATUAL]])</f>
        <v>0</v>
      </c>
      <c r="W189" s="91">
        <f>SUMIFS(tabela_registros[VALOR],tabela_registros[MÊS],$AE$1,tabela_registros[DIA],reservavariáveisconsolidadonov[[#Headers],[19]],tabela_registros[REGISTRO],DADOS!$N$6,tabela_registros[TIPO],DADOS!$AJ$4,tabela_registros[CATEGORIA],reservavariáveisconsolidadonov[[#This Row],[ATUAL]])</f>
        <v>0</v>
      </c>
      <c r="X189" s="91">
        <f>SUMIFS(tabela_registros[VALOR],tabela_registros[MÊS],$AE$1,tabela_registros[DIA],reservavariáveisconsolidadonov[[#Headers],[20]],tabela_registros[REGISTRO],DADOS!$N$6,tabela_registros[TIPO],DADOS!$AJ$4,tabela_registros[CATEGORIA],reservavariáveisconsolidadonov[[#This Row],[ATUAL]])</f>
        <v>0</v>
      </c>
      <c r="Y189" s="91">
        <f>SUMIFS(tabela_registros[VALOR],tabela_registros[MÊS],$AE$1,tabela_registros[DIA],reservavariáveisconsolidadonov[[#Headers],[21]],tabela_registros[REGISTRO],DADOS!$N$6,tabela_registros[TIPO],DADOS!$AJ$4,tabela_registros[CATEGORIA],reservavariáveisconsolidadonov[[#This Row],[ATUAL]])</f>
        <v>0</v>
      </c>
      <c r="Z189" s="91">
        <f>SUMIFS(tabela_registros[VALOR],tabela_registros[MÊS],$AE$1,tabela_registros[DIA],reservavariáveisconsolidadonov[[#Headers],[22]],tabela_registros[REGISTRO],DADOS!$N$6,tabela_registros[TIPO],DADOS!$AJ$4,tabela_registros[CATEGORIA],reservavariáveisconsolidadonov[[#This Row],[ATUAL]])</f>
        <v>0</v>
      </c>
      <c r="AA189" s="91">
        <f>SUMIFS(tabela_registros[VALOR],tabela_registros[MÊS],$AE$1,tabela_registros[DIA],reservavariáveisconsolidadonov[[#Headers],[23]],tabela_registros[REGISTRO],DADOS!$N$6,tabela_registros[TIPO],DADOS!$AJ$4,tabela_registros[CATEGORIA],reservavariáveisconsolidadonov[[#This Row],[ATUAL]])</f>
        <v>0</v>
      </c>
      <c r="AB189" s="91">
        <f>SUMIFS(tabela_registros[VALOR],tabela_registros[MÊS],$AE$1,tabela_registros[DIA],reservavariáveisconsolidadonov[[#Headers],[24]],tabela_registros[REGISTRO],DADOS!$N$6,tabela_registros[TIPO],DADOS!$AJ$4,tabela_registros[CATEGORIA],reservavariáveisconsolidadonov[[#This Row],[ATUAL]])</f>
        <v>0</v>
      </c>
      <c r="AC189" s="91">
        <f>SUMIFS(tabela_registros[VALOR],tabela_registros[MÊS],$AE$1,tabela_registros[DIA],reservavariáveisconsolidadonov[[#Headers],[25]],tabela_registros[REGISTRO],DADOS!$N$6,tabela_registros[TIPO],DADOS!$AJ$4,tabela_registros[CATEGORIA],reservavariáveisconsolidadonov[[#This Row],[ATUAL]])</f>
        <v>0</v>
      </c>
      <c r="AD189" s="91">
        <f>SUMIFS(tabela_registros[VALOR],tabela_registros[MÊS],$AE$1,tabela_registros[DIA],reservavariáveisconsolidadonov[[#Headers],[26]],tabela_registros[REGISTRO],DADOS!$N$6,tabela_registros[TIPO],DADOS!$AJ$4,tabela_registros[CATEGORIA],reservavariáveisconsolidadonov[[#This Row],[ATUAL]])</f>
        <v>0</v>
      </c>
      <c r="AE189" s="91">
        <f>SUMIFS(tabela_registros[VALOR],tabela_registros[MÊS],$AE$1,tabela_registros[DIA],reservavariáveisconsolidadonov[[#Headers],[27]],tabela_registros[REGISTRO],DADOS!$N$6,tabela_registros[TIPO],DADOS!$AJ$4,tabela_registros[CATEGORIA],reservavariáveisconsolidadonov[[#This Row],[ATUAL]])</f>
        <v>0</v>
      </c>
      <c r="AF189" s="91">
        <f>SUMIFS(tabela_registros[VALOR],tabela_registros[MÊS],$AE$1,tabela_registros[DIA],reservavariáveisconsolidadonov[[#Headers],[28]],tabela_registros[REGISTRO],DADOS!$N$6,tabela_registros[TIPO],DADOS!$AJ$4,tabela_registros[CATEGORIA],reservavariáveisconsolidadonov[[#This Row],[ATUAL]])</f>
        <v>0</v>
      </c>
      <c r="AG189" s="91">
        <f>SUMIFS(tabela_registros[VALOR],tabela_registros[MÊS],$AE$1,tabela_registros[DIA],reservavariáveisconsolidadonov[[#Headers],[29]],tabela_registros[REGISTRO],DADOS!$N$6,tabela_registros[TIPO],DADOS!$AJ$4,tabela_registros[CATEGORIA],reservavariáveisconsolidadonov[[#This Row],[ATUAL]])</f>
        <v>0</v>
      </c>
      <c r="AH189" s="91">
        <f>SUMIFS(tabela_registros[VALOR],tabela_registros[MÊS],$AE$1,tabela_registros[DIA],reservavariáveisconsolidadonov[[#Headers],[30]],tabela_registros[REGISTRO],DADOS!$N$6,tabela_registros[TIPO],DADOS!$AJ$4,tabela_registros[CATEGORIA],reservavariáveisconsolidadonov[[#This Row],[ATUAL]])</f>
        <v>0</v>
      </c>
      <c r="AI189" s="101">
        <f>SUMIFS(tabela_registros[VALOR],tabela_registros[MÊS],$AE$1,tabela_registros[DIA],reservavariáveisconsolidadonov[[#Headers],[31]],tabela_registros[REGISTRO],DADOS!$N$6,tabela_registros[TIPO],DADOS!$AJ$4,tabela_registros[CATEGORIA],reservavariáveisconsolidadonov[[#This Row],[ATUAL]])</f>
        <v>0</v>
      </c>
      <c r="AJ189" s="97">
        <f>SUM(reservavariáveisconsolidadonov[[#This Row],[1]:[31]])</f>
        <v>0</v>
      </c>
      <c r="AK189" s="25"/>
    </row>
    <row r="190" spans="2:37" ht="19.5" customHeight="1" thickTop="1" thickBot="1" x14ac:dyDescent="0.3">
      <c r="B190" s="28"/>
      <c r="C190" s="27" t="str">
        <f>DADOS!$AN$6</f>
        <v>📝 CONTRATO DE OPÇÕES</v>
      </c>
      <c r="D190" s="26" t="str">
        <f>IF(reservavariáveisconsolidadonov[[#This Row],[TOTAL (R$)]]=0,"",IF(OR(reservavariáveisconsolidadonov[[#This Row],[TOTAL (R$)]]=LARGE($AJ$187:$AJ$196,1),reservavariáveisconsolidadonov[[#This Row],[TOTAL (R$)]]=LARGE($AJ$187:$AJ$196,2)),DADOS!$I$11,""))</f>
        <v/>
      </c>
      <c r="E190" s="96">
        <f>SUMIFS(tabela_registros[VALOR],tabela_registros[MÊS],$AE$1,tabela_registros[DIA],reservavariáveisconsolidadonov[[#Headers],[1]],tabela_registros[REGISTRO],DADOS!$N$6,tabela_registros[TIPO],DADOS!$AJ$4,tabela_registros[CATEGORIA],reservavariáveisconsolidadonov[[#This Row],[ATUAL]])</f>
        <v>0</v>
      </c>
      <c r="F190" s="91">
        <f>SUMIFS(tabela_registros[VALOR],tabela_registros[MÊS],$AE$1,tabela_registros[DIA],reservavariáveisconsolidadonov[[#Headers],[2]],tabela_registros[REGISTRO],DADOS!$N$6,tabela_registros[TIPO],DADOS!$AJ$4,tabela_registros[CATEGORIA],reservavariáveisconsolidadonov[[#This Row],[ATUAL]])</f>
        <v>0</v>
      </c>
      <c r="G190" s="91">
        <f>SUMIFS(tabela_registros[VALOR],tabela_registros[MÊS],$AE$1,tabela_registros[DIA],reservavariáveisconsolidadonov[[#Headers],[3]],tabela_registros[REGISTRO],DADOS!$N$6,tabela_registros[TIPO],DADOS!$AJ$4,tabela_registros[CATEGORIA],reservavariáveisconsolidadonov[[#This Row],[ATUAL]])</f>
        <v>0</v>
      </c>
      <c r="H190" s="91">
        <f>SUMIFS(tabela_registros[VALOR],tabela_registros[MÊS],$AE$1,tabela_registros[DIA],reservavariáveisconsolidadonov[[#Headers],[4]],tabela_registros[REGISTRO],DADOS!$N$6,tabela_registros[TIPO],DADOS!$AJ$4,tabela_registros[CATEGORIA],reservavariáveisconsolidadonov[[#This Row],[ATUAL]])</f>
        <v>0</v>
      </c>
      <c r="I190" s="91">
        <f>SUMIFS(tabela_registros[VALOR],tabela_registros[MÊS],$AE$1,tabela_registros[DIA],reservavariáveisconsolidadonov[[#Headers],[5]],tabela_registros[REGISTRO],DADOS!$N$6,tabela_registros[TIPO],DADOS!$AJ$4,tabela_registros[CATEGORIA],reservavariáveisconsolidadonov[[#This Row],[ATUAL]])</f>
        <v>0</v>
      </c>
      <c r="J190" s="91">
        <f>SUMIFS(tabela_registros[VALOR],tabela_registros[MÊS],$AE$1,tabela_registros[DIA],reservavariáveisconsolidadonov[[#Headers],[6]],tabela_registros[REGISTRO],DADOS!$N$6,tabela_registros[TIPO],DADOS!$AJ$4,tabela_registros[CATEGORIA],reservavariáveisconsolidadonov[[#This Row],[ATUAL]])</f>
        <v>0</v>
      </c>
      <c r="K190" s="91">
        <f>SUMIFS(tabela_registros[VALOR],tabela_registros[MÊS],$AE$1,tabela_registros[DIA],reservavariáveisconsolidadonov[[#Headers],[7]],tabela_registros[REGISTRO],DADOS!$N$6,tabela_registros[TIPO],DADOS!$AJ$4,tabela_registros[CATEGORIA],reservavariáveisconsolidadonov[[#This Row],[ATUAL]])</f>
        <v>0</v>
      </c>
      <c r="L190" s="91">
        <f>SUMIFS(tabela_registros[VALOR],tabela_registros[MÊS],$AE$1,tabela_registros[DIA],reservavariáveisconsolidadonov[[#Headers],[8]],tabela_registros[REGISTRO],DADOS!$N$6,tabela_registros[TIPO],DADOS!$AJ$4,tabela_registros[CATEGORIA],reservavariáveisconsolidadonov[[#This Row],[ATUAL]])</f>
        <v>0</v>
      </c>
      <c r="M190" s="91">
        <f>SUMIFS(tabela_registros[VALOR],tabela_registros[MÊS],$AE$1,tabela_registros[DIA],reservavariáveisconsolidadonov[[#Headers],[9]],tabela_registros[REGISTRO],DADOS!$N$6,tabela_registros[TIPO],DADOS!$AJ$4,tabela_registros[CATEGORIA],reservavariáveisconsolidadonov[[#This Row],[ATUAL]])</f>
        <v>0</v>
      </c>
      <c r="N190" s="91">
        <f>SUMIFS(tabela_registros[VALOR],tabela_registros[MÊS],$AE$1,tabela_registros[DIA],reservavariáveisconsolidadonov[[#Headers],[10]],tabela_registros[REGISTRO],DADOS!$N$6,tabela_registros[TIPO],DADOS!$AJ$4,tabela_registros[CATEGORIA],reservavariáveisconsolidadonov[[#This Row],[ATUAL]])</f>
        <v>0</v>
      </c>
      <c r="O190" s="91">
        <f>SUMIFS(tabela_registros[VALOR],tabela_registros[MÊS],$AE$1,tabela_registros[DIA],reservavariáveisconsolidadonov[[#Headers],[11]],tabela_registros[REGISTRO],DADOS!$N$6,tabela_registros[TIPO],DADOS!$AJ$4,tabela_registros[CATEGORIA],reservavariáveisconsolidadonov[[#This Row],[ATUAL]])</f>
        <v>0</v>
      </c>
      <c r="P190" s="91">
        <f>SUMIFS(tabela_registros[VALOR],tabela_registros[MÊS],$AE$1,tabela_registros[DIA],reservavariáveisconsolidadonov[[#Headers],[12]],tabela_registros[REGISTRO],DADOS!$N$6,tabela_registros[TIPO],DADOS!$AJ$4,tabela_registros[CATEGORIA],reservavariáveisconsolidadonov[[#This Row],[ATUAL]])</f>
        <v>0</v>
      </c>
      <c r="Q190" s="91">
        <f>SUMIFS(tabela_registros[VALOR],tabela_registros[MÊS],$AE$1,tabela_registros[DIA],reservavariáveisconsolidadonov[[#Headers],[13]],tabela_registros[REGISTRO],DADOS!$N$6,tabela_registros[TIPO],DADOS!$AJ$4,tabela_registros[CATEGORIA],reservavariáveisconsolidadonov[[#This Row],[ATUAL]])</f>
        <v>0</v>
      </c>
      <c r="R190" s="91">
        <f>SUMIFS(tabela_registros[VALOR],tabela_registros[MÊS],$AE$1,tabela_registros[DIA],reservavariáveisconsolidadonov[[#Headers],[14]],tabela_registros[REGISTRO],DADOS!$N$6,tabela_registros[TIPO],DADOS!$AJ$4,tabela_registros[CATEGORIA],reservavariáveisconsolidadonov[[#This Row],[ATUAL]])</f>
        <v>0</v>
      </c>
      <c r="S190" s="91">
        <f>SUMIFS(tabela_registros[VALOR],tabela_registros[MÊS],$AE$1,tabela_registros[DIA],reservavariáveisconsolidadonov[[#Headers],[15]],tabela_registros[REGISTRO],DADOS!$N$6,tabela_registros[TIPO],DADOS!$AJ$4,tabela_registros[CATEGORIA],reservavariáveisconsolidadonov[[#This Row],[ATUAL]])</f>
        <v>0</v>
      </c>
      <c r="T190" s="91">
        <f>SUMIFS(tabela_registros[VALOR],tabela_registros[MÊS],$AE$1,tabela_registros[DIA],reservavariáveisconsolidadonov[[#Headers],[16]],tabela_registros[REGISTRO],DADOS!$N$6,tabela_registros[TIPO],DADOS!$AJ$4,tabela_registros[CATEGORIA],reservavariáveisconsolidadonov[[#This Row],[ATUAL]])</f>
        <v>0</v>
      </c>
      <c r="U190" s="91">
        <f>SUMIFS(tabela_registros[VALOR],tabela_registros[MÊS],$AE$1,tabela_registros[DIA],reservavariáveisconsolidadonov[[#Headers],[17]],tabela_registros[REGISTRO],DADOS!$N$6,tabela_registros[TIPO],DADOS!$AJ$4,tabela_registros[CATEGORIA],reservavariáveisconsolidadonov[[#This Row],[ATUAL]])</f>
        <v>0</v>
      </c>
      <c r="V190" s="91">
        <f>SUMIFS(tabela_registros[VALOR],tabela_registros[MÊS],$AE$1,tabela_registros[DIA],reservavariáveisconsolidadonov[[#Headers],[18]],tabela_registros[REGISTRO],DADOS!$N$6,tabela_registros[TIPO],DADOS!$AJ$4,tabela_registros[CATEGORIA],reservavariáveisconsolidadonov[[#This Row],[ATUAL]])</f>
        <v>0</v>
      </c>
      <c r="W190" s="91">
        <f>SUMIFS(tabela_registros[VALOR],tabela_registros[MÊS],$AE$1,tabela_registros[DIA],reservavariáveisconsolidadonov[[#Headers],[19]],tabela_registros[REGISTRO],DADOS!$N$6,tabela_registros[TIPO],DADOS!$AJ$4,tabela_registros[CATEGORIA],reservavariáveisconsolidadonov[[#This Row],[ATUAL]])</f>
        <v>0</v>
      </c>
      <c r="X190" s="91">
        <f>SUMIFS(tabela_registros[VALOR],tabela_registros[MÊS],$AE$1,tabela_registros[DIA],reservavariáveisconsolidadonov[[#Headers],[20]],tabela_registros[REGISTRO],DADOS!$N$6,tabela_registros[TIPO],DADOS!$AJ$4,tabela_registros[CATEGORIA],reservavariáveisconsolidadonov[[#This Row],[ATUAL]])</f>
        <v>0</v>
      </c>
      <c r="Y190" s="91">
        <f>SUMIFS(tabela_registros[VALOR],tabela_registros[MÊS],$AE$1,tabela_registros[DIA],reservavariáveisconsolidadonov[[#Headers],[21]],tabela_registros[REGISTRO],DADOS!$N$6,tabela_registros[TIPO],DADOS!$AJ$4,tabela_registros[CATEGORIA],reservavariáveisconsolidadonov[[#This Row],[ATUAL]])</f>
        <v>0</v>
      </c>
      <c r="Z190" s="91">
        <f>SUMIFS(tabela_registros[VALOR],tabela_registros[MÊS],$AE$1,tabela_registros[DIA],reservavariáveisconsolidadonov[[#Headers],[22]],tabela_registros[REGISTRO],DADOS!$N$6,tabela_registros[TIPO],DADOS!$AJ$4,tabela_registros[CATEGORIA],reservavariáveisconsolidadonov[[#This Row],[ATUAL]])</f>
        <v>0</v>
      </c>
      <c r="AA190" s="91">
        <f>SUMIFS(tabela_registros[VALOR],tabela_registros[MÊS],$AE$1,tabela_registros[DIA],reservavariáveisconsolidadonov[[#Headers],[23]],tabela_registros[REGISTRO],DADOS!$N$6,tabela_registros[TIPO],DADOS!$AJ$4,tabela_registros[CATEGORIA],reservavariáveisconsolidadonov[[#This Row],[ATUAL]])</f>
        <v>0</v>
      </c>
      <c r="AB190" s="91">
        <f>SUMIFS(tabela_registros[VALOR],tabela_registros[MÊS],$AE$1,tabela_registros[DIA],reservavariáveisconsolidadonov[[#Headers],[24]],tabela_registros[REGISTRO],DADOS!$N$6,tabela_registros[TIPO],DADOS!$AJ$4,tabela_registros[CATEGORIA],reservavariáveisconsolidadonov[[#This Row],[ATUAL]])</f>
        <v>0</v>
      </c>
      <c r="AC190" s="91">
        <f>SUMIFS(tabela_registros[VALOR],tabela_registros[MÊS],$AE$1,tabela_registros[DIA],reservavariáveisconsolidadonov[[#Headers],[25]],tabela_registros[REGISTRO],DADOS!$N$6,tabela_registros[TIPO],DADOS!$AJ$4,tabela_registros[CATEGORIA],reservavariáveisconsolidadonov[[#This Row],[ATUAL]])</f>
        <v>0</v>
      </c>
      <c r="AD190" s="91">
        <f>SUMIFS(tabela_registros[VALOR],tabela_registros[MÊS],$AE$1,tabela_registros[DIA],reservavariáveisconsolidadonov[[#Headers],[26]],tabela_registros[REGISTRO],DADOS!$N$6,tabela_registros[TIPO],DADOS!$AJ$4,tabela_registros[CATEGORIA],reservavariáveisconsolidadonov[[#This Row],[ATUAL]])</f>
        <v>0</v>
      </c>
      <c r="AE190" s="91">
        <f>SUMIFS(tabela_registros[VALOR],tabela_registros[MÊS],$AE$1,tabela_registros[DIA],reservavariáveisconsolidadonov[[#Headers],[27]],tabela_registros[REGISTRO],DADOS!$N$6,tabela_registros[TIPO],DADOS!$AJ$4,tabela_registros[CATEGORIA],reservavariáveisconsolidadonov[[#This Row],[ATUAL]])</f>
        <v>0</v>
      </c>
      <c r="AF190" s="91">
        <f>SUMIFS(tabela_registros[VALOR],tabela_registros[MÊS],$AE$1,tabela_registros[DIA],reservavariáveisconsolidadonov[[#Headers],[28]],tabela_registros[REGISTRO],DADOS!$N$6,tabela_registros[TIPO],DADOS!$AJ$4,tabela_registros[CATEGORIA],reservavariáveisconsolidadonov[[#This Row],[ATUAL]])</f>
        <v>0</v>
      </c>
      <c r="AG190" s="91">
        <f>SUMIFS(tabela_registros[VALOR],tabela_registros[MÊS],$AE$1,tabela_registros[DIA],reservavariáveisconsolidadonov[[#Headers],[29]],tabela_registros[REGISTRO],DADOS!$N$6,tabela_registros[TIPO],DADOS!$AJ$4,tabela_registros[CATEGORIA],reservavariáveisconsolidadonov[[#This Row],[ATUAL]])</f>
        <v>0</v>
      </c>
      <c r="AH190" s="91">
        <f>SUMIFS(tabela_registros[VALOR],tabela_registros[MÊS],$AE$1,tabela_registros[DIA],reservavariáveisconsolidadonov[[#Headers],[30]],tabela_registros[REGISTRO],DADOS!$N$6,tabela_registros[TIPO],DADOS!$AJ$4,tabela_registros[CATEGORIA],reservavariáveisconsolidadonov[[#This Row],[ATUAL]])</f>
        <v>0</v>
      </c>
      <c r="AI190" s="101">
        <f>SUMIFS(tabela_registros[VALOR],tabela_registros[MÊS],$AE$1,tabela_registros[DIA],reservavariáveisconsolidadonov[[#Headers],[31]],tabela_registros[REGISTRO],DADOS!$N$6,tabela_registros[TIPO],DADOS!$AJ$4,tabela_registros[CATEGORIA],reservavariáveisconsolidadonov[[#This Row],[ATUAL]])</f>
        <v>0</v>
      </c>
      <c r="AJ190" s="97">
        <f>SUM(reservavariáveisconsolidadonov[[#This Row],[1]:[31]])</f>
        <v>0</v>
      </c>
      <c r="AK190" s="25"/>
    </row>
    <row r="191" spans="2:37" ht="19.5" customHeight="1" thickTop="1" thickBot="1" x14ac:dyDescent="0.3">
      <c r="B191" s="28"/>
      <c r="C191" s="27" t="str">
        <f>DADOS!$AN$7</f>
        <v>📝 CRIPTOMOEDA</v>
      </c>
      <c r="D191" s="26" t="str">
        <f>IF(reservavariáveisconsolidadonov[[#This Row],[TOTAL (R$)]]=0,"",IF(OR(reservavariáveisconsolidadonov[[#This Row],[TOTAL (R$)]]=LARGE($AJ$187:$AJ$196,1),reservavariáveisconsolidadonov[[#This Row],[TOTAL (R$)]]=LARGE($AJ$187:$AJ$196,2)),DADOS!$I$11,""))</f>
        <v/>
      </c>
      <c r="E191" s="96">
        <f>SUMIFS(tabela_registros[VALOR],tabela_registros[MÊS],$AE$1,tabela_registros[DIA],reservavariáveisconsolidadonov[[#Headers],[1]],tabela_registros[REGISTRO],DADOS!$N$6,tabela_registros[TIPO],DADOS!$AJ$4,tabela_registros[CATEGORIA],reservavariáveisconsolidadonov[[#This Row],[ATUAL]])</f>
        <v>0</v>
      </c>
      <c r="F191" s="91">
        <f>SUMIFS(tabela_registros[VALOR],tabela_registros[MÊS],$AE$1,tabela_registros[DIA],reservavariáveisconsolidadonov[[#Headers],[2]],tabela_registros[REGISTRO],DADOS!$N$6,tabela_registros[TIPO],DADOS!$AJ$4,tabela_registros[CATEGORIA],reservavariáveisconsolidadonov[[#This Row],[ATUAL]])</f>
        <v>0</v>
      </c>
      <c r="G191" s="91">
        <f>SUMIFS(tabela_registros[VALOR],tabela_registros[MÊS],$AE$1,tabela_registros[DIA],reservavariáveisconsolidadonov[[#Headers],[3]],tabela_registros[REGISTRO],DADOS!$N$6,tabela_registros[TIPO],DADOS!$AJ$4,tabela_registros[CATEGORIA],reservavariáveisconsolidadonov[[#This Row],[ATUAL]])</f>
        <v>0</v>
      </c>
      <c r="H191" s="91">
        <f>SUMIFS(tabela_registros[VALOR],tabela_registros[MÊS],$AE$1,tabela_registros[DIA],reservavariáveisconsolidadonov[[#Headers],[4]],tabela_registros[REGISTRO],DADOS!$N$6,tabela_registros[TIPO],DADOS!$AJ$4,tabela_registros[CATEGORIA],reservavariáveisconsolidadonov[[#This Row],[ATUAL]])</f>
        <v>0</v>
      </c>
      <c r="I191" s="91">
        <f>SUMIFS(tabela_registros[VALOR],tabela_registros[MÊS],$AE$1,tabela_registros[DIA],reservavariáveisconsolidadonov[[#Headers],[5]],tabela_registros[REGISTRO],DADOS!$N$6,tabela_registros[TIPO],DADOS!$AJ$4,tabela_registros[CATEGORIA],reservavariáveisconsolidadonov[[#This Row],[ATUAL]])</f>
        <v>0</v>
      </c>
      <c r="J191" s="91">
        <f>SUMIFS(tabela_registros[VALOR],tabela_registros[MÊS],$AE$1,tabela_registros[DIA],reservavariáveisconsolidadonov[[#Headers],[6]],tabela_registros[REGISTRO],DADOS!$N$6,tabela_registros[TIPO],DADOS!$AJ$4,tabela_registros[CATEGORIA],reservavariáveisconsolidadonov[[#This Row],[ATUAL]])</f>
        <v>0</v>
      </c>
      <c r="K191" s="91">
        <f>SUMIFS(tabela_registros[VALOR],tabela_registros[MÊS],$AE$1,tabela_registros[DIA],reservavariáveisconsolidadonov[[#Headers],[7]],tabela_registros[REGISTRO],DADOS!$N$6,tabela_registros[TIPO],DADOS!$AJ$4,tabela_registros[CATEGORIA],reservavariáveisconsolidadonov[[#This Row],[ATUAL]])</f>
        <v>0</v>
      </c>
      <c r="L191" s="91">
        <f>SUMIFS(tabela_registros[VALOR],tabela_registros[MÊS],$AE$1,tabela_registros[DIA],reservavariáveisconsolidadonov[[#Headers],[8]],tabela_registros[REGISTRO],DADOS!$N$6,tabela_registros[TIPO],DADOS!$AJ$4,tabela_registros[CATEGORIA],reservavariáveisconsolidadonov[[#This Row],[ATUAL]])</f>
        <v>0</v>
      </c>
      <c r="M191" s="91">
        <f>SUMIFS(tabela_registros[VALOR],tabela_registros[MÊS],$AE$1,tabela_registros[DIA],reservavariáveisconsolidadonov[[#Headers],[9]],tabela_registros[REGISTRO],DADOS!$N$6,tabela_registros[TIPO],DADOS!$AJ$4,tabela_registros[CATEGORIA],reservavariáveisconsolidadonov[[#This Row],[ATUAL]])</f>
        <v>0</v>
      </c>
      <c r="N191" s="91">
        <f>SUMIFS(tabela_registros[VALOR],tabela_registros[MÊS],$AE$1,tabela_registros[DIA],reservavariáveisconsolidadonov[[#Headers],[10]],tabela_registros[REGISTRO],DADOS!$N$6,tabela_registros[TIPO],DADOS!$AJ$4,tabela_registros[CATEGORIA],reservavariáveisconsolidadonov[[#This Row],[ATUAL]])</f>
        <v>0</v>
      </c>
      <c r="O191" s="91">
        <f>SUMIFS(tabela_registros[VALOR],tabela_registros[MÊS],$AE$1,tabela_registros[DIA],reservavariáveisconsolidadonov[[#Headers],[11]],tabela_registros[REGISTRO],DADOS!$N$6,tabela_registros[TIPO],DADOS!$AJ$4,tabela_registros[CATEGORIA],reservavariáveisconsolidadonov[[#This Row],[ATUAL]])</f>
        <v>0</v>
      </c>
      <c r="P191" s="91">
        <f>SUMIFS(tabela_registros[VALOR],tabela_registros[MÊS],$AE$1,tabela_registros[DIA],reservavariáveisconsolidadonov[[#Headers],[12]],tabela_registros[REGISTRO],DADOS!$N$6,tabela_registros[TIPO],DADOS!$AJ$4,tabela_registros[CATEGORIA],reservavariáveisconsolidadonov[[#This Row],[ATUAL]])</f>
        <v>0</v>
      </c>
      <c r="Q191" s="91">
        <f>SUMIFS(tabela_registros[VALOR],tabela_registros[MÊS],$AE$1,tabela_registros[DIA],reservavariáveisconsolidadonov[[#Headers],[13]],tabela_registros[REGISTRO],DADOS!$N$6,tabela_registros[TIPO],DADOS!$AJ$4,tabela_registros[CATEGORIA],reservavariáveisconsolidadonov[[#This Row],[ATUAL]])</f>
        <v>0</v>
      </c>
      <c r="R191" s="91">
        <f>SUMIFS(tabela_registros[VALOR],tabela_registros[MÊS],$AE$1,tabela_registros[DIA],reservavariáveisconsolidadonov[[#Headers],[14]],tabela_registros[REGISTRO],DADOS!$N$6,tabela_registros[TIPO],DADOS!$AJ$4,tabela_registros[CATEGORIA],reservavariáveisconsolidadonov[[#This Row],[ATUAL]])</f>
        <v>0</v>
      </c>
      <c r="S191" s="91">
        <f>SUMIFS(tabela_registros[VALOR],tabela_registros[MÊS],$AE$1,tabela_registros[DIA],reservavariáveisconsolidadonov[[#Headers],[15]],tabela_registros[REGISTRO],DADOS!$N$6,tabela_registros[TIPO],DADOS!$AJ$4,tabela_registros[CATEGORIA],reservavariáveisconsolidadonov[[#This Row],[ATUAL]])</f>
        <v>0</v>
      </c>
      <c r="T191" s="91">
        <f>SUMIFS(tabela_registros[VALOR],tabela_registros[MÊS],$AE$1,tabela_registros[DIA],reservavariáveisconsolidadonov[[#Headers],[16]],tabela_registros[REGISTRO],DADOS!$N$6,tabela_registros[TIPO],DADOS!$AJ$4,tabela_registros[CATEGORIA],reservavariáveisconsolidadonov[[#This Row],[ATUAL]])</f>
        <v>0</v>
      </c>
      <c r="U191" s="91">
        <f>SUMIFS(tabela_registros[VALOR],tabela_registros[MÊS],$AE$1,tabela_registros[DIA],reservavariáveisconsolidadonov[[#Headers],[17]],tabela_registros[REGISTRO],DADOS!$N$6,tabela_registros[TIPO],DADOS!$AJ$4,tabela_registros[CATEGORIA],reservavariáveisconsolidadonov[[#This Row],[ATUAL]])</f>
        <v>0</v>
      </c>
      <c r="V191" s="91">
        <f>SUMIFS(tabela_registros[VALOR],tabela_registros[MÊS],$AE$1,tabela_registros[DIA],reservavariáveisconsolidadonov[[#Headers],[18]],tabela_registros[REGISTRO],DADOS!$N$6,tabela_registros[TIPO],DADOS!$AJ$4,tabela_registros[CATEGORIA],reservavariáveisconsolidadonov[[#This Row],[ATUAL]])</f>
        <v>0</v>
      </c>
      <c r="W191" s="91">
        <f>SUMIFS(tabela_registros[VALOR],tabela_registros[MÊS],$AE$1,tabela_registros[DIA],reservavariáveisconsolidadonov[[#Headers],[19]],tabela_registros[REGISTRO],DADOS!$N$6,tabela_registros[TIPO],DADOS!$AJ$4,tabela_registros[CATEGORIA],reservavariáveisconsolidadonov[[#This Row],[ATUAL]])</f>
        <v>0</v>
      </c>
      <c r="X191" s="91">
        <f>SUMIFS(tabela_registros[VALOR],tabela_registros[MÊS],$AE$1,tabela_registros[DIA],reservavariáveisconsolidadonov[[#Headers],[20]],tabela_registros[REGISTRO],DADOS!$N$6,tabela_registros[TIPO],DADOS!$AJ$4,tabela_registros[CATEGORIA],reservavariáveisconsolidadonov[[#This Row],[ATUAL]])</f>
        <v>0</v>
      </c>
      <c r="Y191" s="91">
        <f>SUMIFS(tabela_registros[VALOR],tabela_registros[MÊS],$AE$1,tabela_registros[DIA],reservavariáveisconsolidadonov[[#Headers],[21]],tabela_registros[REGISTRO],DADOS!$N$6,tabela_registros[TIPO],DADOS!$AJ$4,tabela_registros[CATEGORIA],reservavariáveisconsolidadonov[[#This Row],[ATUAL]])</f>
        <v>0</v>
      </c>
      <c r="Z191" s="91">
        <f>SUMIFS(tabela_registros[VALOR],tabela_registros[MÊS],$AE$1,tabela_registros[DIA],reservavariáveisconsolidadonov[[#Headers],[22]],tabela_registros[REGISTRO],DADOS!$N$6,tabela_registros[TIPO],DADOS!$AJ$4,tabela_registros[CATEGORIA],reservavariáveisconsolidadonov[[#This Row],[ATUAL]])</f>
        <v>0</v>
      </c>
      <c r="AA191" s="91">
        <f>SUMIFS(tabela_registros[VALOR],tabela_registros[MÊS],$AE$1,tabela_registros[DIA],reservavariáveisconsolidadonov[[#Headers],[23]],tabela_registros[REGISTRO],DADOS!$N$6,tabela_registros[TIPO],DADOS!$AJ$4,tabela_registros[CATEGORIA],reservavariáveisconsolidadonov[[#This Row],[ATUAL]])</f>
        <v>0</v>
      </c>
      <c r="AB191" s="91">
        <f>SUMIFS(tabela_registros[VALOR],tabela_registros[MÊS],$AE$1,tabela_registros[DIA],reservavariáveisconsolidadonov[[#Headers],[24]],tabela_registros[REGISTRO],DADOS!$N$6,tabela_registros[TIPO],DADOS!$AJ$4,tabela_registros[CATEGORIA],reservavariáveisconsolidadonov[[#This Row],[ATUAL]])</f>
        <v>0</v>
      </c>
      <c r="AC191" s="91">
        <f>SUMIFS(tabela_registros[VALOR],tabela_registros[MÊS],$AE$1,tabela_registros[DIA],reservavariáveisconsolidadonov[[#Headers],[25]],tabela_registros[REGISTRO],DADOS!$N$6,tabela_registros[TIPO],DADOS!$AJ$4,tabela_registros[CATEGORIA],reservavariáveisconsolidadonov[[#This Row],[ATUAL]])</f>
        <v>0</v>
      </c>
      <c r="AD191" s="91">
        <f>SUMIFS(tabela_registros[VALOR],tabela_registros[MÊS],$AE$1,tabela_registros[DIA],reservavariáveisconsolidadonov[[#Headers],[26]],tabela_registros[REGISTRO],DADOS!$N$6,tabela_registros[TIPO],DADOS!$AJ$4,tabela_registros[CATEGORIA],reservavariáveisconsolidadonov[[#This Row],[ATUAL]])</f>
        <v>0</v>
      </c>
      <c r="AE191" s="91">
        <f>SUMIFS(tabela_registros[VALOR],tabela_registros[MÊS],$AE$1,tabela_registros[DIA],reservavariáveisconsolidadonov[[#Headers],[27]],tabela_registros[REGISTRO],DADOS!$N$6,tabela_registros[TIPO],DADOS!$AJ$4,tabela_registros[CATEGORIA],reservavariáveisconsolidadonov[[#This Row],[ATUAL]])</f>
        <v>0</v>
      </c>
      <c r="AF191" s="91">
        <f>SUMIFS(tabela_registros[VALOR],tabela_registros[MÊS],$AE$1,tabela_registros[DIA],reservavariáveisconsolidadonov[[#Headers],[28]],tabela_registros[REGISTRO],DADOS!$N$6,tabela_registros[TIPO],DADOS!$AJ$4,tabela_registros[CATEGORIA],reservavariáveisconsolidadonov[[#This Row],[ATUAL]])</f>
        <v>0</v>
      </c>
      <c r="AG191" s="91">
        <f>SUMIFS(tabela_registros[VALOR],tabela_registros[MÊS],$AE$1,tabela_registros[DIA],reservavariáveisconsolidadonov[[#Headers],[29]],tabela_registros[REGISTRO],DADOS!$N$6,tabela_registros[TIPO],DADOS!$AJ$4,tabela_registros[CATEGORIA],reservavariáveisconsolidadonov[[#This Row],[ATUAL]])</f>
        <v>0</v>
      </c>
      <c r="AH191" s="91">
        <f>SUMIFS(tabela_registros[VALOR],tabela_registros[MÊS],$AE$1,tabela_registros[DIA],reservavariáveisconsolidadonov[[#Headers],[30]],tabela_registros[REGISTRO],DADOS!$N$6,tabela_registros[TIPO],DADOS!$AJ$4,tabela_registros[CATEGORIA],reservavariáveisconsolidadonov[[#This Row],[ATUAL]])</f>
        <v>0</v>
      </c>
      <c r="AI191" s="101">
        <f>SUMIFS(tabela_registros[VALOR],tabela_registros[MÊS],$AE$1,tabela_registros[DIA],reservavariáveisconsolidadonov[[#Headers],[31]],tabela_registros[REGISTRO],DADOS!$N$6,tabela_registros[TIPO],DADOS!$AJ$4,tabela_registros[CATEGORIA],reservavariáveisconsolidadonov[[#This Row],[ATUAL]])</f>
        <v>0</v>
      </c>
      <c r="AJ191" s="97">
        <f>SUM(reservavariáveisconsolidadonov[[#This Row],[1]:[31]])</f>
        <v>0</v>
      </c>
      <c r="AK191" s="25"/>
    </row>
    <row r="192" spans="2:37" ht="19.5" customHeight="1" thickTop="1" thickBot="1" x14ac:dyDescent="0.3">
      <c r="B192" s="28"/>
      <c r="C192" s="27" t="str">
        <f>DADOS!$AN$8</f>
        <v>📝 ETF</v>
      </c>
      <c r="D192" s="26" t="str">
        <f>IF(reservavariáveisconsolidadonov[[#This Row],[TOTAL (R$)]]=0,"",IF(OR(reservavariáveisconsolidadonov[[#This Row],[TOTAL (R$)]]=LARGE($AJ$187:$AJ$196,1),reservavariáveisconsolidadonov[[#This Row],[TOTAL (R$)]]=LARGE($AJ$187:$AJ$196,2)),DADOS!$I$11,""))</f>
        <v/>
      </c>
      <c r="E192" s="96">
        <f>SUMIFS(tabela_registros[VALOR],tabela_registros[MÊS],$AE$1,tabela_registros[DIA],reservavariáveisconsolidadonov[[#Headers],[1]],tabela_registros[REGISTRO],DADOS!$N$6,tabela_registros[TIPO],DADOS!$AJ$4,tabela_registros[CATEGORIA],reservavariáveisconsolidadonov[[#This Row],[ATUAL]])</f>
        <v>0</v>
      </c>
      <c r="F192" s="91">
        <f>SUMIFS(tabela_registros[VALOR],tabela_registros[MÊS],$AE$1,tabela_registros[DIA],reservavariáveisconsolidadonov[[#Headers],[2]],tabela_registros[REGISTRO],DADOS!$N$6,tabela_registros[TIPO],DADOS!$AJ$4,tabela_registros[CATEGORIA],reservavariáveisconsolidadonov[[#This Row],[ATUAL]])</f>
        <v>0</v>
      </c>
      <c r="G192" s="91">
        <f>SUMIFS(tabela_registros[VALOR],tabela_registros[MÊS],$AE$1,tabela_registros[DIA],reservavariáveisconsolidadonov[[#Headers],[3]],tabela_registros[REGISTRO],DADOS!$N$6,tabela_registros[TIPO],DADOS!$AJ$4,tabela_registros[CATEGORIA],reservavariáveisconsolidadonov[[#This Row],[ATUAL]])</f>
        <v>0</v>
      </c>
      <c r="H192" s="91">
        <f>SUMIFS(tabela_registros[VALOR],tabela_registros[MÊS],$AE$1,tabela_registros[DIA],reservavariáveisconsolidadonov[[#Headers],[4]],tabela_registros[REGISTRO],DADOS!$N$6,tabela_registros[TIPO],DADOS!$AJ$4,tabela_registros[CATEGORIA],reservavariáveisconsolidadonov[[#This Row],[ATUAL]])</f>
        <v>0</v>
      </c>
      <c r="I192" s="91">
        <f>SUMIFS(tabela_registros[VALOR],tabela_registros[MÊS],$AE$1,tabela_registros[DIA],reservavariáveisconsolidadonov[[#Headers],[5]],tabela_registros[REGISTRO],DADOS!$N$6,tabela_registros[TIPO],DADOS!$AJ$4,tabela_registros[CATEGORIA],reservavariáveisconsolidadonov[[#This Row],[ATUAL]])</f>
        <v>0</v>
      </c>
      <c r="J192" s="91">
        <f>SUMIFS(tabela_registros[VALOR],tabela_registros[MÊS],$AE$1,tabela_registros[DIA],reservavariáveisconsolidadonov[[#Headers],[6]],tabela_registros[REGISTRO],DADOS!$N$6,tabela_registros[TIPO],DADOS!$AJ$4,tabela_registros[CATEGORIA],reservavariáveisconsolidadonov[[#This Row],[ATUAL]])</f>
        <v>0</v>
      </c>
      <c r="K192" s="91">
        <f>SUMIFS(tabela_registros[VALOR],tabela_registros[MÊS],$AE$1,tabela_registros[DIA],reservavariáveisconsolidadonov[[#Headers],[7]],tabela_registros[REGISTRO],DADOS!$N$6,tabela_registros[TIPO],DADOS!$AJ$4,tabela_registros[CATEGORIA],reservavariáveisconsolidadonov[[#This Row],[ATUAL]])</f>
        <v>0</v>
      </c>
      <c r="L192" s="91">
        <f>SUMIFS(tabela_registros[VALOR],tabela_registros[MÊS],$AE$1,tabela_registros[DIA],reservavariáveisconsolidadonov[[#Headers],[8]],tabela_registros[REGISTRO],DADOS!$N$6,tabela_registros[TIPO],DADOS!$AJ$4,tabela_registros[CATEGORIA],reservavariáveisconsolidadonov[[#This Row],[ATUAL]])</f>
        <v>0</v>
      </c>
      <c r="M192" s="91">
        <f>SUMIFS(tabela_registros[VALOR],tabela_registros[MÊS],$AE$1,tabela_registros[DIA],reservavariáveisconsolidadonov[[#Headers],[9]],tabela_registros[REGISTRO],DADOS!$N$6,tabela_registros[TIPO],DADOS!$AJ$4,tabela_registros[CATEGORIA],reservavariáveisconsolidadonov[[#This Row],[ATUAL]])</f>
        <v>0</v>
      </c>
      <c r="N192" s="91">
        <f>SUMIFS(tabela_registros[VALOR],tabela_registros[MÊS],$AE$1,tabela_registros[DIA],reservavariáveisconsolidadonov[[#Headers],[10]],tabela_registros[REGISTRO],DADOS!$N$6,tabela_registros[TIPO],DADOS!$AJ$4,tabela_registros[CATEGORIA],reservavariáveisconsolidadonov[[#This Row],[ATUAL]])</f>
        <v>0</v>
      </c>
      <c r="O192" s="91">
        <f>SUMIFS(tabela_registros[VALOR],tabela_registros[MÊS],$AE$1,tabela_registros[DIA],reservavariáveisconsolidadonov[[#Headers],[11]],tabela_registros[REGISTRO],DADOS!$N$6,tabela_registros[TIPO],DADOS!$AJ$4,tabela_registros[CATEGORIA],reservavariáveisconsolidadonov[[#This Row],[ATUAL]])</f>
        <v>0</v>
      </c>
      <c r="P192" s="91">
        <f>SUMIFS(tabela_registros[VALOR],tabela_registros[MÊS],$AE$1,tabela_registros[DIA],reservavariáveisconsolidadonov[[#Headers],[12]],tabela_registros[REGISTRO],DADOS!$N$6,tabela_registros[TIPO],DADOS!$AJ$4,tabela_registros[CATEGORIA],reservavariáveisconsolidadonov[[#This Row],[ATUAL]])</f>
        <v>0</v>
      </c>
      <c r="Q192" s="91">
        <f>SUMIFS(tabela_registros[VALOR],tabela_registros[MÊS],$AE$1,tabela_registros[DIA],reservavariáveisconsolidadonov[[#Headers],[13]],tabela_registros[REGISTRO],DADOS!$N$6,tabela_registros[TIPO],DADOS!$AJ$4,tabela_registros[CATEGORIA],reservavariáveisconsolidadonov[[#This Row],[ATUAL]])</f>
        <v>0</v>
      </c>
      <c r="R192" s="91">
        <f>SUMIFS(tabela_registros[VALOR],tabela_registros[MÊS],$AE$1,tabela_registros[DIA],reservavariáveisconsolidadonov[[#Headers],[14]],tabela_registros[REGISTRO],DADOS!$N$6,tabela_registros[TIPO],DADOS!$AJ$4,tabela_registros[CATEGORIA],reservavariáveisconsolidadonov[[#This Row],[ATUAL]])</f>
        <v>0</v>
      </c>
      <c r="S192" s="91">
        <f>SUMIFS(tabela_registros[VALOR],tabela_registros[MÊS],$AE$1,tabela_registros[DIA],reservavariáveisconsolidadonov[[#Headers],[15]],tabela_registros[REGISTRO],DADOS!$N$6,tabela_registros[TIPO],DADOS!$AJ$4,tabela_registros[CATEGORIA],reservavariáveisconsolidadonov[[#This Row],[ATUAL]])</f>
        <v>0</v>
      </c>
      <c r="T192" s="91">
        <f>SUMIFS(tabela_registros[VALOR],tabela_registros[MÊS],$AE$1,tabela_registros[DIA],reservavariáveisconsolidadonov[[#Headers],[16]],tabela_registros[REGISTRO],DADOS!$N$6,tabela_registros[TIPO],DADOS!$AJ$4,tabela_registros[CATEGORIA],reservavariáveisconsolidadonov[[#This Row],[ATUAL]])</f>
        <v>0</v>
      </c>
      <c r="U192" s="91">
        <f>SUMIFS(tabela_registros[VALOR],tabela_registros[MÊS],$AE$1,tabela_registros[DIA],reservavariáveisconsolidadonov[[#Headers],[17]],tabela_registros[REGISTRO],DADOS!$N$6,tabela_registros[TIPO],DADOS!$AJ$4,tabela_registros[CATEGORIA],reservavariáveisconsolidadonov[[#This Row],[ATUAL]])</f>
        <v>0</v>
      </c>
      <c r="V192" s="91">
        <f>SUMIFS(tabela_registros[VALOR],tabela_registros[MÊS],$AE$1,tabela_registros[DIA],reservavariáveisconsolidadonov[[#Headers],[18]],tabela_registros[REGISTRO],DADOS!$N$6,tabela_registros[TIPO],DADOS!$AJ$4,tabela_registros[CATEGORIA],reservavariáveisconsolidadonov[[#This Row],[ATUAL]])</f>
        <v>0</v>
      </c>
      <c r="W192" s="91">
        <f>SUMIFS(tabela_registros[VALOR],tabela_registros[MÊS],$AE$1,tabela_registros[DIA],reservavariáveisconsolidadonov[[#Headers],[19]],tabela_registros[REGISTRO],DADOS!$N$6,tabela_registros[TIPO],DADOS!$AJ$4,tabela_registros[CATEGORIA],reservavariáveisconsolidadonov[[#This Row],[ATUAL]])</f>
        <v>0</v>
      </c>
      <c r="X192" s="91">
        <f>SUMIFS(tabela_registros[VALOR],tabela_registros[MÊS],$AE$1,tabela_registros[DIA],reservavariáveisconsolidadonov[[#Headers],[20]],tabela_registros[REGISTRO],DADOS!$N$6,tabela_registros[TIPO],DADOS!$AJ$4,tabela_registros[CATEGORIA],reservavariáveisconsolidadonov[[#This Row],[ATUAL]])</f>
        <v>0</v>
      </c>
      <c r="Y192" s="91">
        <f>SUMIFS(tabela_registros[VALOR],tabela_registros[MÊS],$AE$1,tabela_registros[DIA],reservavariáveisconsolidadonov[[#Headers],[21]],tabela_registros[REGISTRO],DADOS!$N$6,tabela_registros[TIPO],DADOS!$AJ$4,tabela_registros[CATEGORIA],reservavariáveisconsolidadonov[[#This Row],[ATUAL]])</f>
        <v>0</v>
      </c>
      <c r="Z192" s="91">
        <f>SUMIFS(tabela_registros[VALOR],tabela_registros[MÊS],$AE$1,tabela_registros[DIA],reservavariáveisconsolidadonov[[#Headers],[22]],tabela_registros[REGISTRO],DADOS!$N$6,tabela_registros[TIPO],DADOS!$AJ$4,tabela_registros[CATEGORIA],reservavariáveisconsolidadonov[[#This Row],[ATUAL]])</f>
        <v>0</v>
      </c>
      <c r="AA192" s="91">
        <f>SUMIFS(tabela_registros[VALOR],tabela_registros[MÊS],$AE$1,tabela_registros[DIA],reservavariáveisconsolidadonov[[#Headers],[23]],tabela_registros[REGISTRO],DADOS!$N$6,tabela_registros[TIPO],DADOS!$AJ$4,tabela_registros[CATEGORIA],reservavariáveisconsolidadonov[[#This Row],[ATUAL]])</f>
        <v>0</v>
      </c>
      <c r="AB192" s="91">
        <f>SUMIFS(tabela_registros[VALOR],tabela_registros[MÊS],$AE$1,tabela_registros[DIA],reservavariáveisconsolidadonov[[#Headers],[24]],tabela_registros[REGISTRO],DADOS!$N$6,tabela_registros[TIPO],DADOS!$AJ$4,tabela_registros[CATEGORIA],reservavariáveisconsolidadonov[[#This Row],[ATUAL]])</f>
        <v>0</v>
      </c>
      <c r="AC192" s="91">
        <f>SUMIFS(tabela_registros[VALOR],tabela_registros[MÊS],$AE$1,tabela_registros[DIA],reservavariáveisconsolidadonov[[#Headers],[25]],tabela_registros[REGISTRO],DADOS!$N$6,tabela_registros[TIPO],DADOS!$AJ$4,tabela_registros[CATEGORIA],reservavariáveisconsolidadonov[[#This Row],[ATUAL]])</f>
        <v>0</v>
      </c>
      <c r="AD192" s="91">
        <f>SUMIFS(tabela_registros[VALOR],tabela_registros[MÊS],$AE$1,tabela_registros[DIA],reservavariáveisconsolidadonov[[#Headers],[26]],tabela_registros[REGISTRO],DADOS!$N$6,tabela_registros[TIPO],DADOS!$AJ$4,tabela_registros[CATEGORIA],reservavariáveisconsolidadonov[[#This Row],[ATUAL]])</f>
        <v>0</v>
      </c>
      <c r="AE192" s="91">
        <f>SUMIFS(tabela_registros[VALOR],tabela_registros[MÊS],$AE$1,tabela_registros[DIA],reservavariáveisconsolidadonov[[#Headers],[27]],tabela_registros[REGISTRO],DADOS!$N$6,tabela_registros[TIPO],DADOS!$AJ$4,tabela_registros[CATEGORIA],reservavariáveisconsolidadonov[[#This Row],[ATUAL]])</f>
        <v>0</v>
      </c>
      <c r="AF192" s="91">
        <f>SUMIFS(tabela_registros[VALOR],tabela_registros[MÊS],$AE$1,tabela_registros[DIA],reservavariáveisconsolidadonov[[#Headers],[28]],tabela_registros[REGISTRO],DADOS!$N$6,tabela_registros[TIPO],DADOS!$AJ$4,tabela_registros[CATEGORIA],reservavariáveisconsolidadonov[[#This Row],[ATUAL]])</f>
        <v>0</v>
      </c>
      <c r="AG192" s="91">
        <f>SUMIFS(tabela_registros[VALOR],tabela_registros[MÊS],$AE$1,tabela_registros[DIA],reservavariáveisconsolidadonov[[#Headers],[29]],tabela_registros[REGISTRO],DADOS!$N$6,tabela_registros[TIPO],DADOS!$AJ$4,tabela_registros[CATEGORIA],reservavariáveisconsolidadonov[[#This Row],[ATUAL]])</f>
        <v>0</v>
      </c>
      <c r="AH192" s="91">
        <f>SUMIFS(tabela_registros[VALOR],tabela_registros[MÊS],$AE$1,tabela_registros[DIA],reservavariáveisconsolidadonov[[#Headers],[30]],tabela_registros[REGISTRO],DADOS!$N$6,tabela_registros[TIPO],DADOS!$AJ$4,tabela_registros[CATEGORIA],reservavariáveisconsolidadonov[[#This Row],[ATUAL]])</f>
        <v>0</v>
      </c>
      <c r="AI192" s="101">
        <f>SUMIFS(tabela_registros[VALOR],tabela_registros[MÊS],$AE$1,tabela_registros[DIA],reservavariáveisconsolidadonov[[#Headers],[31]],tabela_registros[REGISTRO],DADOS!$N$6,tabela_registros[TIPO],DADOS!$AJ$4,tabela_registros[CATEGORIA],reservavariáveisconsolidadonov[[#This Row],[ATUAL]])</f>
        <v>0</v>
      </c>
      <c r="AJ192" s="97">
        <f>SUM(reservavariáveisconsolidadonov[[#This Row],[1]:[31]])</f>
        <v>0</v>
      </c>
      <c r="AK192" s="25"/>
    </row>
    <row r="193" spans="2:37" ht="19.5" customHeight="1" thickTop="1" thickBot="1" x14ac:dyDescent="0.3">
      <c r="B193" s="28"/>
      <c r="C193" s="27" t="str">
        <f>DADOS!$AN$9</f>
        <v>📝 EXTERIOR</v>
      </c>
      <c r="D193" s="26" t="str">
        <f>IF(reservavariáveisconsolidadonov[[#This Row],[TOTAL (R$)]]=0,"",IF(OR(reservavariáveisconsolidadonov[[#This Row],[TOTAL (R$)]]=LARGE($AJ$187:$AJ$196,1),reservavariáveisconsolidadonov[[#This Row],[TOTAL (R$)]]=LARGE($AJ$187:$AJ$196,2)),DADOS!$I$11,""))</f>
        <v/>
      </c>
      <c r="E193" s="96">
        <f>SUMIFS(tabela_registros[VALOR],tabela_registros[MÊS],$AE$1,tabela_registros[DIA],reservavariáveisconsolidadonov[[#Headers],[1]],tabela_registros[REGISTRO],DADOS!$N$6,tabela_registros[TIPO],DADOS!$AJ$4,tabela_registros[CATEGORIA],reservavariáveisconsolidadonov[[#This Row],[ATUAL]])</f>
        <v>0</v>
      </c>
      <c r="F193" s="91">
        <f>SUMIFS(tabela_registros[VALOR],tabela_registros[MÊS],$AE$1,tabela_registros[DIA],reservavariáveisconsolidadonov[[#Headers],[2]],tabela_registros[REGISTRO],DADOS!$N$6,tabela_registros[TIPO],DADOS!$AJ$4,tabela_registros[CATEGORIA],reservavariáveisconsolidadonov[[#This Row],[ATUAL]])</f>
        <v>0</v>
      </c>
      <c r="G193" s="91">
        <f>SUMIFS(tabela_registros[VALOR],tabela_registros[MÊS],$AE$1,tabela_registros[DIA],reservavariáveisconsolidadonov[[#Headers],[3]],tabela_registros[REGISTRO],DADOS!$N$6,tabela_registros[TIPO],DADOS!$AJ$4,tabela_registros[CATEGORIA],reservavariáveisconsolidadonov[[#This Row],[ATUAL]])</f>
        <v>0</v>
      </c>
      <c r="H193" s="91">
        <f>SUMIFS(tabela_registros[VALOR],tabela_registros[MÊS],$AE$1,tabela_registros[DIA],reservavariáveisconsolidadonov[[#Headers],[4]],tabela_registros[REGISTRO],DADOS!$N$6,tabela_registros[TIPO],DADOS!$AJ$4,tabela_registros[CATEGORIA],reservavariáveisconsolidadonov[[#This Row],[ATUAL]])</f>
        <v>0</v>
      </c>
      <c r="I193" s="91">
        <f>SUMIFS(tabela_registros[VALOR],tabela_registros[MÊS],$AE$1,tabela_registros[DIA],reservavariáveisconsolidadonov[[#Headers],[5]],tabela_registros[REGISTRO],DADOS!$N$6,tabela_registros[TIPO],DADOS!$AJ$4,tabela_registros[CATEGORIA],reservavariáveisconsolidadonov[[#This Row],[ATUAL]])</f>
        <v>0</v>
      </c>
      <c r="J193" s="91">
        <f>SUMIFS(tabela_registros[VALOR],tabela_registros[MÊS],$AE$1,tabela_registros[DIA],reservavariáveisconsolidadonov[[#Headers],[6]],tabela_registros[REGISTRO],DADOS!$N$6,tabela_registros[TIPO],DADOS!$AJ$4,tabela_registros[CATEGORIA],reservavariáveisconsolidadonov[[#This Row],[ATUAL]])</f>
        <v>0</v>
      </c>
      <c r="K193" s="91">
        <f>SUMIFS(tabela_registros[VALOR],tabela_registros[MÊS],$AE$1,tabela_registros[DIA],reservavariáveisconsolidadonov[[#Headers],[7]],tabela_registros[REGISTRO],DADOS!$N$6,tabela_registros[TIPO],DADOS!$AJ$4,tabela_registros[CATEGORIA],reservavariáveisconsolidadonov[[#This Row],[ATUAL]])</f>
        <v>0</v>
      </c>
      <c r="L193" s="91">
        <f>SUMIFS(tabela_registros[VALOR],tabela_registros[MÊS],$AE$1,tabela_registros[DIA],reservavariáveisconsolidadonov[[#Headers],[8]],tabela_registros[REGISTRO],DADOS!$N$6,tabela_registros[TIPO],DADOS!$AJ$4,tabela_registros[CATEGORIA],reservavariáveisconsolidadonov[[#This Row],[ATUAL]])</f>
        <v>0</v>
      </c>
      <c r="M193" s="91">
        <f>SUMIFS(tabela_registros[VALOR],tabela_registros[MÊS],$AE$1,tabela_registros[DIA],reservavariáveisconsolidadonov[[#Headers],[9]],tabela_registros[REGISTRO],DADOS!$N$6,tabela_registros[TIPO],DADOS!$AJ$4,tabela_registros[CATEGORIA],reservavariáveisconsolidadonov[[#This Row],[ATUAL]])</f>
        <v>0</v>
      </c>
      <c r="N193" s="91">
        <f>SUMIFS(tabela_registros[VALOR],tabela_registros[MÊS],$AE$1,tabela_registros[DIA],reservavariáveisconsolidadonov[[#Headers],[10]],tabela_registros[REGISTRO],DADOS!$N$6,tabela_registros[TIPO],DADOS!$AJ$4,tabela_registros[CATEGORIA],reservavariáveisconsolidadonov[[#This Row],[ATUAL]])</f>
        <v>0</v>
      </c>
      <c r="O193" s="91">
        <f>SUMIFS(tabela_registros[VALOR],tabela_registros[MÊS],$AE$1,tabela_registros[DIA],reservavariáveisconsolidadonov[[#Headers],[11]],tabela_registros[REGISTRO],DADOS!$N$6,tabela_registros[TIPO],DADOS!$AJ$4,tabela_registros[CATEGORIA],reservavariáveisconsolidadonov[[#This Row],[ATUAL]])</f>
        <v>0</v>
      </c>
      <c r="P193" s="91">
        <f>SUMIFS(tabela_registros[VALOR],tabela_registros[MÊS],$AE$1,tabela_registros[DIA],reservavariáveisconsolidadonov[[#Headers],[12]],tabela_registros[REGISTRO],DADOS!$N$6,tabela_registros[TIPO],DADOS!$AJ$4,tabela_registros[CATEGORIA],reservavariáveisconsolidadonov[[#This Row],[ATUAL]])</f>
        <v>0</v>
      </c>
      <c r="Q193" s="91">
        <f>SUMIFS(tabela_registros[VALOR],tabela_registros[MÊS],$AE$1,tabela_registros[DIA],reservavariáveisconsolidadonov[[#Headers],[13]],tabela_registros[REGISTRO],DADOS!$N$6,tabela_registros[TIPO],DADOS!$AJ$4,tabela_registros[CATEGORIA],reservavariáveisconsolidadonov[[#This Row],[ATUAL]])</f>
        <v>0</v>
      </c>
      <c r="R193" s="91">
        <f>SUMIFS(tabela_registros[VALOR],tabela_registros[MÊS],$AE$1,tabela_registros[DIA],reservavariáveisconsolidadonov[[#Headers],[14]],tabela_registros[REGISTRO],DADOS!$N$6,tabela_registros[TIPO],DADOS!$AJ$4,tabela_registros[CATEGORIA],reservavariáveisconsolidadonov[[#This Row],[ATUAL]])</f>
        <v>0</v>
      </c>
      <c r="S193" s="91">
        <f>SUMIFS(tabela_registros[VALOR],tabela_registros[MÊS],$AE$1,tabela_registros[DIA],reservavariáveisconsolidadonov[[#Headers],[15]],tabela_registros[REGISTRO],DADOS!$N$6,tabela_registros[TIPO],DADOS!$AJ$4,tabela_registros[CATEGORIA],reservavariáveisconsolidadonov[[#This Row],[ATUAL]])</f>
        <v>0</v>
      </c>
      <c r="T193" s="91">
        <f>SUMIFS(tabela_registros[VALOR],tabela_registros[MÊS],$AE$1,tabela_registros[DIA],reservavariáveisconsolidadonov[[#Headers],[16]],tabela_registros[REGISTRO],DADOS!$N$6,tabela_registros[TIPO],DADOS!$AJ$4,tabela_registros[CATEGORIA],reservavariáveisconsolidadonov[[#This Row],[ATUAL]])</f>
        <v>0</v>
      </c>
      <c r="U193" s="91">
        <f>SUMIFS(tabela_registros[VALOR],tabela_registros[MÊS],$AE$1,tabela_registros[DIA],reservavariáveisconsolidadonov[[#Headers],[17]],tabela_registros[REGISTRO],DADOS!$N$6,tabela_registros[TIPO],DADOS!$AJ$4,tabela_registros[CATEGORIA],reservavariáveisconsolidadonov[[#This Row],[ATUAL]])</f>
        <v>0</v>
      </c>
      <c r="V193" s="91">
        <f>SUMIFS(tabela_registros[VALOR],tabela_registros[MÊS],$AE$1,tabela_registros[DIA],reservavariáveisconsolidadonov[[#Headers],[18]],tabela_registros[REGISTRO],DADOS!$N$6,tabela_registros[TIPO],DADOS!$AJ$4,tabela_registros[CATEGORIA],reservavariáveisconsolidadonov[[#This Row],[ATUAL]])</f>
        <v>0</v>
      </c>
      <c r="W193" s="91">
        <f>SUMIFS(tabela_registros[VALOR],tabela_registros[MÊS],$AE$1,tabela_registros[DIA],reservavariáveisconsolidadonov[[#Headers],[19]],tabela_registros[REGISTRO],DADOS!$N$6,tabela_registros[TIPO],DADOS!$AJ$4,tabela_registros[CATEGORIA],reservavariáveisconsolidadonov[[#This Row],[ATUAL]])</f>
        <v>0</v>
      </c>
      <c r="X193" s="91">
        <f>SUMIFS(tabela_registros[VALOR],tabela_registros[MÊS],$AE$1,tabela_registros[DIA],reservavariáveisconsolidadonov[[#Headers],[20]],tabela_registros[REGISTRO],DADOS!$N$6,tabela_registros[TIPO],DADOS!$AJ$4,tabela_registros[CATEGORIA],reservavariáveisconsolidadonov[[#This Row],[ATUAL]])</f>
        <v>0</v>
      </c>
      <c r="Y193" s="91">
        <f>SUMIFS(tabela_registros[VALOR],tabela_registros[MÊS],$AE$1,tabela_registros[DIA],reservavariáveisconsolidadonov[[#Headers],[21]],tabela_registros[REGISTRO],DADOS!$N$6,tabela_registros[TIPO],DADOS!$AJ$4,tabela_registros[CATEGORIA],reservavariáveisconsolidadonov[[#This Row],[ATUAL]])</f>
        <v>0</v>
      </c>
      <c r="Z193" s="91">
        <f>SUMIFS(tabela_registros[VALOR],tabela_registros[MÊS],$AE$1,tabela_registros[DIA],reservavariáveisconsolidadonov[[#Headers],[22]],tabela_registros[REGISTRO],DADOS!$N$6,tabela_registros[TIPO],DADOS!$AJ$4,tabela_registros[CATEGORIA],reservavariáveisconsolidadonov[[#This Row],[ATUAL]])</f>
        <v>0</v>
      </c>
      <c r="AA193" s="91">
        <f>SUMIFS(tabela_registros[VALOR],tabela_registros[MÊS],$AE$1,tabela_registros[DIA],reservavariáveisconsolidadonov[[#Headers],[23]],tabela_registros[REGISTRO],DADOS!$N$6,tabela_registros[TIPO],DADOS!$AJ$4,tabela_registros[CATEGORIA],reservavariáveisconsolidadonov[[#This Row],[ATUAL]])</f>
        <v>0</v>
      </c>
      <c r="AB193" s="91">
        <f>SUMIFS(tabela_registros[VALOR],tabela_registros[MÊS],$AE$1,tabela_registros[DIA],reservavariáveisconsolidadonov[[#Headers],[24]],tabela_registros[REGISTRO],DADOS!$N$6,tabela_registros[TIPO],DADOS!$AJ$4,tabela_registros[CATEGORIA],reservavariáveisconsolidadonov[[#This Row],[ATUAL]])</f>
        <v>0</v>
      </c>
      <c r="AC193" s="91">
        <f>SUMIFS(tabela_registros[VALOR],tabela_registros[MÊS],$AE$1,tabela_registros[DIA],reservavariáveisconsolidadonov[[#Headers],[25]],tabela_registros[REGISTRO],DADOS!$N$6,tabela_registros[TIPO],DADOS!$AJ$4,tabela_registros[CATEGORIA],reservavariáveisconsolidadonov[[#This Row],[ATUAL]])</f>
        <v>0</v>
      </c>
      <c r="AD193" s="91">
        <f>SUMIFS(tabela_registros[VALOR],tabela_registros[MÊS],$AE$1,tabela_registros[DIA],reservavariáveisconsolidadonov[[#Headers],[26]],tabela_registros[REGISTRO],DADOS!$N$6,tabela_registros[TIPO],DADOS!$AJ$4,tabela_registros[CATEGORIA],reservavariáveisconsolidadonov[[#This Row],[ATUAL]])</f>
        <v>0</v>
      </c>
      <c r="AE193" s="91">
        <f>SUMIFS(tabela_registros[VALOR],tabela_registros[MÊS],$AE$1,tabela_registros[DIA],reservavariáveisconsolidadonov[[#Headers],[27]],tabela_registros[REGISTRO],DADOS!$N$6,tabela_registros[TIPO],DADOS!$AJ$4,tabela_registros[CATEGORIA],reservavariáveisconsolidadonov[[#This Row],[ATUAL]])</f>
        <v>0</v>
      </c>
      <c r="AF193" s="91">
        <f>SUMIFS(tabela_registros[VALOR],tabela_registros[MÊS],$AE$1,tabela_registros[DIA],reservavariáveisconsolidadonov[[#Headers],[28]],tabela_registros[REGISTRO],DADOS!$N$6,tabela_registros[TIPO],DADOS!$AJ$4,tabela_registros[CATEGORIA],reservavariáveisconsolidadonov[[#This Row],[ATUAL]])</f>
        <v>0</v>
      </c>
      <c r="AG193" s="91">
        <f>SUMIFS(tabela_registros[VALOR],tabela_registros[MÊS],$AE$1,tabela_registros[DIA],reservavariáveisconsolidadonov[[#Headers],[29]],tabela_registros[REGISTRO],DADOS!$N$6,tabela_registros[TIPO],DADOS!$AJ$4,tabela_registros[CATEGORIA],reservavariáveisconsolidadonov[[#This Row],[ATUAL]])</f>
        <v>0</v>
      </c>
      <c r="AH193" s="91">
        <f>SUMIFS(tabela_registros[VALOR],tabela_registros[MÊS],$AE$1,tabela_registros[DIA],reservavariáveisconsolidadonov[[#Headers],[30]],tabela_registros[REGISTRO],DADOS!$N$6,tabela_registros[TIPO],DADOS!$AJ$4,tabela_registros[CATEGORIA],reservavariáveisconsolidadonov[[#This Row],[ATUAL]])</f>
        <v>0</v>
      </c>
      <c r="AI193" s="101">
        <f>SUMIFS(tabela_registros[VALOR],tabela_registros[MÊS],$AE$1,tabela_registros[DIA],reservavariáveisconsolidadonov[[#Headers],[31]],tabela_registros[REGISTRO],DADOS!$N$6,tabela_registros[TIPO],DADOS!$AJ$4,tabela_registros[CATEGORIA],reservavariáveisconsolidadonov[[#This Row],[ATUAL]])</f>
        <v>0</v>
      </c>
      <c r="AJ193" s="97">
        <f>SUM(reservavariáveisconsolidadonov[[#This Row],[1]:[31]])</f>
        <v>0</v>
      </c>
      <c r="AK193" s="25"/>
    </row>
    <row r="194" spans="2:37" ht="19.5" customHeight="1" thickTop="1" thickBot="1" x14ac:dyDescent="0.3">
      <c r="B194" s="28"/>
      <c r="C194" s="27" t="str">
        <f>DADOS!$AN$10</f>
        <v>📝 FII</v>
      </c>
      <c r="D194" s="26" t="str">
        <f>IF(reservavariáveisconsolidadonov[[#This Row],[TOTAL (R$)]]=0,"",IF(OR(reservavariáveisconsolidadonov[[#This Row],[TOTAL (R$)]]=LARGE($AJ$187:$AJ$196,1),reservavariáveisconsolidadonov[[#This Row],[TOTAL (R$)]]=LARGE($AJ$187:$AJ$196,2)),DADOS!$I$11,""))</f>
        <v/>
      </c>
      <c r="E194" s="96">
        <f>SUMIFS(tabela_registros[VALOR],tabela_registros[MÊS],$AE$1,tabela_registros[DIA],reservavariáveisconsolidadonov[[#Headers],[1]],tabela_registros[REGISTRO],DADOS!$N$6,tabela_registros[TIPO],DADOS!$AJ$4,tabela_registros[CATEGORIA],reservavariáveisconsolidadonov[[#This Row],[ATUAL]])</f>
        <v>0</v>
      </c>
      <c r="F194" s="91">
        <f>SUMIFS(tabela_registros[VALOR],tabela_registros[MÊS],$AE$1,tabela_registros[DIA],reservavariáveisconsolidadonov[[#Headers],[2]],tabela_registros[REGISTRO],DADOS!$N$6,tabela_registros[TIPO],DADOS!$AJ$4,tabela_registros[CATEGORIA],reservavariáveisconsolidadonov[[#This Row],[ATUAL]])</f>
        <v>0</v>
      </c>
      <c r="G194" s="91">
        <f>SUMIFS(tabela_registros[VALOR],tabela_registros[MÊS],$AE$1,tabela_registros[DIA],reservavariáveisconsolidadonov[[#Headers],[3]],tabela_registros[REGISTRO],DADOS!$N$6,tabela_registros[TIPO],DADOS!$AJ$4,tabela_registros[CATEGORIA],reservavariáveisconsolidadonov[[#This Row],[ATUAL]])</f>
        <v>0</v>
      </c>
      <c r="H194" s="91">
        <f>SUMIFS(tabela_registros[VALOR],tabela_registros[MÊS],$AE$1,tabela_registros[DIA],reservavariáveisconsolidadonov[[#Headers],[4]],tabela_registros[REGISTRO],DADOS!$N$6,tabela_registros[TIPO],DADOS!$AJ$4,tabela_registros[CATEGORIA],reservavariáveisconsolidadonov[[#This Row],[ATUAL]])</f>
        <v>0</v>
      </c>
      <c r="I194" s="91">
        <f>SUMIFS(tabela_registros[VALOR],tabela_registros[MÊS],$AE$1,tabela_registros[DIA],reservavariáveisconsolidadonov[[#Headers],[5]],tabela_registros[REGISTRO],DADOS!$N$6,tabela_registros[TIPO],DADOS!$AJ$4,tabela_registros[CATEGORIA],reservavariáveisconsolidadonov[[#This Row],[ATUAL]])</f>
        <v>0</v>
      </c>
      <c r="J194" s="91">
        <f>SUMIFS(tabela_registros[VALOR],tabela_registros[MÊS],$AE$1,tabela_registros[DIA],reservavariáveisconsolidadonov[[#Headers],[6]],tabela_registros[REGISTRO],DADOS!$N$6,tabela_registros[TIPO],DADOS!$AJ$4,tabela_registros[CATEGORIA],reservavariáveisconsolidadonov[[#This Row],[ATUAL]])</f>
        <v>0</v>
      </c>
      <c r="K194" s="91">
        <f>SUMIFS(tabela_registros[VALOR],tabela_registros[MÊS],$AE$1,tabela_registros[DIA],reservavariáveisconsolidadonov[[#Headers],[7]],tabela_registros[REGISTRO],DADOS!$N$6,tabela_registros[TIPO],DADOS!$AJ$4,tabela_registros[CATEGORIA],reservavariáveisconsolidadonov[[#This Row],[ATUAL]])</f>
        <v>0</v>
      </c>
      <c r="L194" s="91">
        <f>SUMIFS(tabela_registros[VALOR],tabela_registros[MÊS],$AE$1,tabela_registros[DIA],reservavariáveisconsolidadonov[[#Headers],[8]],tabela_registros[REGISTRO],DADOS!$N$6,tabela_registros[TIPO],DADOS!$AJ$4,tabela_registros[CATEGORIA],reservavariáveisconsolidadonov[[#This Row],[ATUAL]])</f>
        <v>0</v>
      </c>
      <c r="M194" s="91">
        <f>SUMIFS(tabela_registros[VALOR],tabela_registros[MÊS],$AE$1,tabela_registros[DIA],reservavariáveisconsolidadonov[[#Headers],[9]],tabela_registros[REGISTRO],DADOS!$N$6,tabela_registros[TIPO],DADOS!$AJ$4,tabela_registros[CATEGORIA],reservavariáveisconsolidadonov[[#This Row],[ATUAL]])</f>
        <v>0</v>
      </c>
      <c r="N194" s="91">
        <f>SUMIFS(tabela_registros[VALOR],tabela_registros[MÊS],$AE$1,tabela_registros[DIA],reservavariáveisconsolidadonov[[#Headers],[10]],tabela_registros[REGISTRO],DADOS!$N$6,tabela_registros[TIPO],DADOS!$AJ$4,tabela_registros[CATEGORIA],reservavariáveisconsolidadonov[[#This Row],[ATUAL]])</f>
        <v>0</v>
      </c>
      <c r="O194" s="91">
        <f>SUMIFS(tabela_registros[VALOR],tabela_registros[MÊS],$AE$1,tabela_registros[DIA],reservavariáveisconsolidadonov[[#Headers],[11]],tabela_registros[REGISTRO],DADOS!$N$6,tabela_registros[TIPO],DADOS!$AJ$4,tabela_registros[CATEGORIA],reservavariáveisconsolidadonov[[#This Row],[ATUAL]])</f>
        <v>0</v>
      </c>
      <c r="P194" s="91">
        <f>SUMIFS(tabela_registros[VALOR],tabela_registros[MÊS],$AE$1,tabela_registros[DIA],reservavariáveisconsolidadonov[[#Headers],[12]],tabela_registros[REGISTRO],DADOS!$N$6,tabela_registros[TIPO],DADOS!$AJ$4,tabela_registros[CATEGORIA],reservavariáveisconsolidadonov[[#This Row],[ATUAL]])</f>
        <v>0</v>
      </c>
      <c r="Q194" s="91">
        <f>SUMIFS(tabela_registros[VALOR],tabela_registros[MÊS],$AE$1,tabela_registros[DIA],reservavariáveisconsolidadonov[[#Headers],[13]],tabela_registros[REGISTRO],DADOS!$N$6,tabela_registros[TIPO],DADOS!$AJ$4,tabela_registros[CATEGORIA],reservavariáveisconsolidadonov[[#This Row],[ATUAL]])</f>
        <v>0</v>
      </c>
      <c r="R194" s="91">
        <f>SUMIFS(tabela_registros[VALOR],tabela_registros[MÊS],$AE$1,tabela_registros[DIA],reservavariáveisconsolidadonov[[#Headers],[14]],tabela_registros[REGISTRO],DADOS!$N$6,tabela_registros[TIPO],DADOS!$AJ$4,tabela_registros[CATEGORIA],reservavariáveisconsolidadonov[[#This Row],[ATUAL]])</f>
        <v>0</v>
      </c>
      <c r="S194" s="91">
        <f>SUMIFS(tabela_registros[VALOR],tabela_registros[MÊS],$AE$1,tabela_registros[DIA],reservavariáveisconsolidadonov[[#Headers],[15]],tabela_registros[REGISTRO],DADOS!$N$6,tabela_registros[TIPO],DADOS!$AJ$4,tabela_registros[CATEGORIA],reservavariáveisconsolidadonov[[#This Row],[ATUAL]])</f>
        <v>0</v>
      </c>
      <c r="T194" s="91">
        <f>SUMIFS(tabela_registros[VALOR],tabela_registros[MÊS],$AE$1,tabela_registros[DIA],reservavariáveisconsolidadonov[[#Headers],[16]],tabela_registros[REGISTRO],DADOS!$N$6,tabela_registros[TIPO],DADOS!$AJ$4,tabela_registros[CATEGORIA],reservavariáveisconsolidadonov[[#This Row],[ATUAL]])</f>
        <v>0</v>
      </c>
      <c r="U194" s="91">
        <f>SUMIFS(tabela_registros[VALOR],tabela_registros[MÊS],$AE$1,tabela_registros[DIA],reservavariáveisconsolidadonov[[#Headers],[17]],tabela_registros[REGISTRO],DADOS!$N$6,tabela_registros[TIPO],DADOS!$AJ$4,tabela_registros[CATEGORIA],reservavariáveisconsolidadonov[[#This Row],[ATUAL]])</f>
        <v>0</v>
      </c>
      <c r="V194" s="91">
        <f>SUMIFS(tabela_registros[VALOR],tabela_registros[MÊS],$AE$1,tabela_registros[DIA],reservavariáveisconsolidadonov[[#Headers],[18]],tabela_registros[REGISTRO],DADOS!$N$6,tabela_registros[TIPO],DADOS!$AJ$4,tabela_registros[CATEGORIA],reservavariáveisconsolidadonov[[#This Row],[ATUAL]])</f>
        <v>0</v>
      </c>
      <c r="W194" s="91">
        <f>SUMIFS(tabela_registros[VALOR],tabela_registros[MÊS],$AE$1,tabela_registros[DIA],reservavariáveisconsolidadonov[[#Headers],[19]],tabela_registros[REGISTRO],DADOS!$N$6,tabela_registros[TIPO],DADOS!$AJ$4,tabela_registros[CATEGORIA],reservavariáveisconsolidadonov[[#This Row],[ATUAL]])</f>
        <v>0</v>
      </c>
      <c r="X194" s="91">
        <f>SUMIFS(tabela_registros[VALOR],tabela_registros[MÊS],$AE$1,tabela_registros[DIA],reservavariáveisconsolidadonov[[#Headers],[20]],tabela_registros[REGISTRO],DADOS!$N$6,tabela_registros[TIPO],DADOS!$AJ$4,tabela_registros[CATEGORIA],reservavariáveisconsolidadonov[[#This Row],[ATUAL]])</f>
        <v>0</v>
      </c>
      <c r="Y194" s="91">
        <f>SUMIFS(tabela_registros[VALOR],tabela_registros[MÊS],$AE$1,tabela_registros[DIA],reservavariáveisconsolidadonov[[#Headers],[21]],tabela_registros[REGISTRO],DADOS!$N$6,tabela_registros[TIPO],DADOS!$AJ$4,tabela_registros[CATEGORIA],reservavariáveisconsolidadonov[[#This Row],[ATUAL]])</f>
        <v>0</v>
      </c>
      <c r="Z194" s="91">
        <f>SUMIFS(tabela_registros[VALOR],tabela_registros[MÊS],$AE$1,tabela_registros[DIA],reservavariáveisconsolidadonov[[#Headers],[22]],tabela_registros[REGISTRO],DADOS!$N$6,tabela_registros[TIPO],DADOS!$AJ$4,tabela_registros[CATEGORIA],reservavariáveisconsolidadonov[[#This Row],[ATUAL]])</f>
        <v>0</v>
      </c>
      <c r="AA194" s="91">
        <f>SUMIFS(tabela_registros[VALOR],tabela_registros[MÊS],$AE$1,tabela_registros[DIA],reservavariáveisconsolidadonov[[#Headers],[23]],tabela_registros[REGISTRO],DADOS!$N$6,tabela_registros[TIPO],DADOS!$AJ$4,tabela_registros[CATEGORIA],reservavariáveisconsolidadonov[[#This Row],[ATUAL]])</f>
        <v>0</v>
      </c>
      <c r="AB194" s="91">
        <f>SUMIFS(tabela_registros[VALOR],tabela_registros[MÊS],$AE$1,tabela_registros[DIA],reservavariáveisconsolidadonov[[#Headers],[24]],tabela_registros[REGISTRO],DADOS!$N$6,tabela_registros[TIPO],DADOS!$AJ$4,tabela_registros[CATEGORIA],reservavariáveisconsolidadonov[[#This Row],[ATUAL]])</f>
        <v>0</v>
      </c>
      <c r="AC194" s="91">
        <f>SUMIFS(tabela_registros[VALOR],tabela_registros[MÊS],$AE$1,tabela_registros[DIA],reservavariáveisconsolidadonov[[#Headers],[25]],tabela_registros[REGISTRO],DADOS!$N$6,tabela_registros[TIPO],DADOS!$AJ$4,tabela_registros[CATEGORIA],reservavariáveisconsolidadonov[[#This Row],[ATUAL]])</f>
        <v>0</v>
      </c>
      <c r="AD194" s="91">
        <f>SUMIFS(tabela_registros[VALOR],tabela_registros[MÊS],$AE$1,tabela_registros[DIA],reservavariáveisconsolidadonov[[#Headers],[26]],tabela_registros[REGISTRO],DADOS!$N$6,tabela_registros[TIPO],DADOS!$AJ$4,tabela_registros[CATEGORIA],reservavariáveisconsolidadonov[[#This Row],[ATUAL]])</f>
        <v>0</v>
      </c>
      <c r="AE194" s="91">
        <f>SUMIFS(tabela_registros[VALOR],tabela_registros[MÊS],$AE$1,tabela_registros[DIA],reservavariáveisconsolidadonov[[#Headers],[27]],tabela_registros[REGISTRO],DADOS!$N$6,tabela_registros[TIPO],DADOS!$AJ$4,tabela_registros[CATEGORIA],reservavariáveisconsolidadonov[[#This Row],[ATUAL]])</f>
        <v>0</v>
      </c>
      <c r="AF194" s="91">
        <f>SUMIFS(tabela_registros[VALOR],tabela_registros[MÊS],$AE$1,tabela_registros[DIA],reservavariáveisconsolidadonov[[#Headers],[28]],tabela_registros[REGISTRO],DADOS!$N$6,tabela_registros[TIPO],DADOS!$AJ$4,tabela_registros[CATEGORIA],reservavariáveisconsolidadonov[[#This Row],[ATUAL]])</f>
        <v>0</v>
      </c>
      <c r="AG194" s="91">
        <f>SUMIFS(tabela_registros[VALOR],tabela_registros[MÊS],$AE$1,tabela_registros[DIA],reservavariáveisconsolidadonov[[#Headers],[29]],tabela_registros[REGISTRO],DADOS!$N$6,tabela_registros[TIPO],DADOS!$AJ$4,tabela_registros[CATEGORIA],reservavariáveisconsolidadonov[[#This Row],[ATUAL]])</f>
        <v>0</v>
      </c>
      <c r="AH194" s="91">
        <f>SUMIFS(tabela_registros[VALOR],tabela_registros[MÊS],$AE$1,tabela_registros[DIA],reservavariáveisconsolidadonov[[#Headers],[30]],tabela_registros[REGISTRO],DADOS!$N$6,tabela_registros[TIPO],DADOS!$AJ$4,tabela_registros[CATEGORIA],reservavariáveisconsolidadonov[[#This Row],[ATUAL]])</f>
        <v>0</v>
      </c>
      <c r="AI194" s="101">
        <f>SUMIFS(tabela_registros[VALOR],tabela_registros[MÊS],$AE$1,tabela_registros[DIA],reservavariáveisconsolidadonov[[#Headers],[31]],tabela_registros[REGISTRO],DADOS!$N$6,tabela_registros[TIPO],DADOS!$AJ$4,tabela_registros[CATEGORIA],reservavariáveisconsolidadonov[[#This Row],[ATUAL]])</f>
        <v>0</v>
      </c>
      <c r="AJ194" s="97">
        <f>SUM(reservavariáveisconsolidadonov[[#This Row],[1]:[31]])</f>
        <v>0</v>
      </c>
      <c r="AK194" s="25"/>
    </row>
    <row r="195" spans="2:37" ht="19.5" customHeight="1" thickTop="1" thickBot="1" x14ac:dyDescent="0.3">
      <c r="B195" s="28"/>
      <c r="C195" s="27" t="str">
        <f>DADOS!$AN$11</f>
        <v>📝 MOEDA</v>
      </c>
      <c r="D195" s="26" t="str">
        <f>IF(reservavariáveisconsolidadonov[[#This Row],[TOTAL (R$)]]=0,"",IF(OR(reservavariáveisconsolidadonov[[#This Row],[TOTAL (R$)]]=LARGE($AJ$187:$AJ$196,1),reservavariáveisconsolidadonov[[#This Row],[TOTAL (R$)]]=LARGE($AJ$187:$AJ$196,2)),DADOS!$I$11,""))</f>
        <v/>
      </c>
      <c r="E195" s="96">
        <f>SUMIFS(tabela_registros[VALOR],tabela_registros[MÊS],$AE$1,tabela_registros[DIA],reservavariáveisconsolidadonov[[#Headers],[1]],tabela_registros[REGISTRO],DADOS!$N$6,tabela_registros[TIPO],DADOS!$AJ$4,tabela_registros[CATEGORIA],reservavariáveisconsolidadonov[[#This Row],[ATUAL]])</f>
        <v>0</v>
      </c>
      <c r="F195" s="91">
        <f>SUMIFS(tabela_registros[VALOR],tabela_registros[MÊS],$AE$1,tabela_registros[DIA],reservavariáveisconsolidadonov[[#Headers],[2]],tabela_registros[REGISTRO],DADOS!$N$6,tabela_registros[TIPO],DADOS!$AJ$4,tabela_registros[CATEGORIA],reservavariáveisconsolidadonov[[#This Row],[ATUAL]])</f>
        <v>0</v>
      </c>
      <c r="G195" s="91">
        <f>SUMIFS(tabela_registros[VALOR],tabela_registros[MÊS],$AE$1,tabela_registros[DIA],reservavariáveisconsolidadonov[[#Headers],[3]],tabela_registros[REGISTRO],DADOS!$N$6,tabela_registros[TIPO],DADOS!$AJ$4,tabela_registros[CATEGORIA],reservavariáveisconsolidadonov[[#This Row],[ATUAL]])</f>
        <v>0</v>
      </c>
      <c r="H195" s="91">
        <f>SUMIFS(tabela_registros[VALOR],tabela_registros[MÊS],$AE$1,tabela_registros[DIA],reservavariáveisconsolidadonov[[#Headers],[4]],tabela_registros[REGISTRO],DADOS!$N$6,tabela_registros[TIPO],DADOS!$AJ$4,tabela_registros[CATEGORIA],reservavariáveisconsolidadonov[[#This Row],[ATUAL]])</f>
        <v>0</v>
      </c>
      <c r="I195" s="91">
        <f>SUMIFS(tabela_registros[VALOR],tabela_registros[MÊS],$AE$1,tabela_registros[DIA],reservavariáveisconsolidadonov[[#Headers],[5]],tabela_registros[REGISTRO],DADOS!$N$6,tabela_registros[TIPO],DADOS!$AJ$4,tabela_registros[CATEGORIA],reservavariáveisconsolidadonov[[#This Row],[ATUAL]])</f>
        <v>0</v>
      </c>
      <c r="J195" s="91">
        <f>SUMIFS(tabela_registros[VALOR],tabela_registros[MÊS],$AE$1,tabela_registros[DIA],reservavariáveisconsolidadonov[[#Headers],[6]],tabela_registros[REGISTRO],DADOS!$N$6,tabela_registros[TIPO],DADOS!$AJ$4,tabela_registros[CATEGORIA],reservavariáveisconsolidadonov[[#This Row],[ATUAL]])</f>
        <v>0</v>
      </c>
      <c r="K195" s="91">
        <f>SUMIFS(tabela_registros[VALOR],tabela_registros[MÊS],$AE$1,tabela_registros[DIA],reservavariáveisconsolidadonov[[#Headers],[7]],tabela_registros[REGISTRO],DADOS!$N$6,tabela_registros[TIPO],DADOS!$AJ$4,tabela_registros[CATEGORIA],reservavariáveisconsolidadonov[[#This Row],[ATUAL]])</f>
        <v>0</v>
      </c>
      <c r="L195" s="91">
        <f>SUMIFS(tabela_registros[VALOR],tabela_registros[MÊS],$AE$1,tabela_registros[DIA],reservavariáveisconsolidadonov[[#Headers],[8]],tabela_registros[REGISTRO],DADOS!$N$6,tabela_registros[TIPO],DADOS!$AJ$4,tabela_registros[CATEGORIA],reservavariáveisconsolidadonov[[#This Row],[ATUAL]])</f>
        <v>0</v>
      </c>
      <c r="M195" s="91">
        <f>SUMIFS(tabela_registros[VALOR],tabela_registros[MÊS],$AE$1,tabela_registros[DIA],reservavariáveisconsolidadonov[[#Headers],[9]],tabela_registros[REGISTRO],DADOS!$N$6,tabela_registros[TIPO],DADOS!$AJ$4,tabela_registros[CATEGORIA],reservavariáveisconsolidadonov[[#This Row],[ATUAL]])</f>
        <v>0</v>
      </c>
      <c r="N195" s="91">
        <f>SUMIFS(tabela_registros[VALOR],tabela_registros[MÊS],$AE$1,tabela_registros[DIA],reservavariáveisconsolidadonov[[#Headers],[10]],tabela_registros[REGISTRO],DADOS!$N$6,tabela_registros[TIPO],DADOS!$AJ$4,tabela_registros[CATEGORIA],reservavariáveisconsolidadonov[[#This Row],[ATUAL]])</f>
        <v>0</v>
      </c>
      <c r="O195" s="91">
        <f>SUMIFS(tabela_registros[VALOR],tabela_registros[MÊS],$AE$1,tabela_registros[DIA],reservavariáveisconsolidadonov[[#Headers],[11]],tabela_registros[REGISTRO],DADOS!$N$6,tabela_registros[TIPO],DADOS!$AJ$4,tabela_registros[CATEGORIA],reservavariáveisconsolidadonov[[#This Row],[ATUAL]])</f>
        <v>0</v>
      </c>
      <c r="P195" s="91">
        <f>SUMIFS(tabela_registros[VALOR],tabela_registros[MÊS],$AE$1,tabela_registros[DIA],reservavariáveisconsolidadonov[[#Headers],[12]],tabela_registros[REGISTRO],DADOS!$N$6,tabela_registros[TIPO],DADOS!$AJ$4,tabela_registros[CATEGORIA],reservavariáveisconsolidadonov[[#This Row],[ATUAL]])</f>
        <v>0</v>
      </c>
      <c r="Q195" s="91">
        <f>SUMIFS(tabela_registros[VALOR],tabela_registros[MÊS],$AE$1,tabela_registros[DIA],reservavariáveisconsolidadonov[[#Headers],[13]],tabela_registros[REGISTRO],DADOS!$N$6,tabela_registros[TIPO],DADOS!$AJ$4,tabela_registros[CATEGORIA],reservavariáveisconsolidadonov[[#This Row],[ATUAL]])</f>
        <v>0</v>
      </c>
      <c r="R195" s="91">
        <f>SUMIFS(tabela_registros[VALOR],tabela_registros[MÊS],$AE$1,tabela_registros[DIA],reservavariáveisconsolidadonov[[#Headers],[14]],tabela_registros[REGISTRO],DADOS!$N$6,tabela_registros[TIPO],DADOS!$AJ$4,tabela_registros[CATEGORIA],reservavariáveisconsolidadonov[[#This Row],[ATUAL]])</f>
        <v>0</v>
      </c>
      <c r="S195" s="91">
        <f>SUMIFS(tabela_registros[VALOR],tabela_registros[MÊS],$AE$1,tabela_registros[DIA],reservavariáveisconsolidadonov[[#Headers],[15]],tabela_registros[REGISTRO],DADOS!$N$6,tabela_registros[TIPO],DADOS!$AJ$4,tabela_registros[CATEGORIA],reservavariáveisconsolidadonov[[#This Row],[ATUAL]])</f>
        <v>0</v>
      </c>
      <c r="T195" s="91">
        <f>SUMIFS(tabela_registros[VALOR],tabela_registros[MÊS],$AE$1,tabela_registros[DIA],reservavariáveisconsolidadonov[[#Headers],[16]],tabela_registros[REGISTRO],DADOS!$N$6,tabela_registros[TIPO],DADOS!$AJ$4,tabela_registros[CATEGORIA],reservavariáveisconsolidadonov[[#This Row],[ATUAL]])</f>
        <v>0</v>
      </c>
      <c r="U195" s="91">
        <f>SUMIFS(tabela_registros[VALOR],tabela_registros[MÊS],$AE$1,tabela_registros[DIA],reservavariáveisconsolidadonov[[#Headers],[17]],tabela_registros[REGISTRO],DADOS!$N$6,tabela_registros[TIPO],DADOS!$AJ$4,tabela_registros[CATEGORIA],reservavariáveisconsolidadonov[[#This Row],[ATUAL]])</f>
        <v>0</v>
      </c>
      <c r="V195" s="91">
        <f>SUMIFS(tabela_registros[VALOR],tabela_registros[MÊS],$AE$1,tabela_registros[DIA],reservavariáveisconsolidadonov[[#Headers],[18]],tabela_registros[REGISTRO],DADOS!$N$6,tabela_registros[TIPO],DADOS!$AJ$4,tabela_registros[CATEGORIA],reservavariáveisconsolidadonov[[#This Row],[ATUAL]])</f>
        <v>0</v>
      </c>
      <c r="W195" s="91">
        <f>SUMIFS(tabela_registros[VALOR],tabela_registros[MÊS],$AE$1,tabela_registros[DIA],reservavariáveisconsolidadonov[[#Headers],[19]],tabela_registros[REGISTRO],DADOS!$N$6,tabela_registros[TIPO],DADOS!$AJ$4,tabela_registros[CATEGORIA],reservavariáveisconsolidadonov[[#This Row],[ATUAL]])</f>
        <v>0</v>
      </c>
      <c r="X195" s="91">
        <f>SUMIFS(tabela_registros[VALOR],tabela_registros[MÊS],$AE$1,tabela_registros[DIA],reservavariáveisconsolidadonov[[#Headers],[20]],tabela_registros[REGISTRO],DADOS!$N$6,tabela_registros[TIPO],DADOS!$AJ$4,tabela_registros[CATEGORIA],reservavariáveisconsolidadonov[[#This Row],[ATUAL]])</f>
        <v>0</v>
      </c>
      <c r="Y195" s="91">
        <f>SUMIFS(tabela_registros[VALOR],tabela_registros[MÊS],$AE$1,tabela_registros[DIA],reservavariáveisconsolidadonov[[#Headers],[21]],tabela_registros[REGISTRO],DADOS!$N$6,tabela_registros[TIPO],DADOS!$AJ$4,tabela_registros[CATEGORIA],reservavariáveisconsolidadonov[[#This Row],[ATUAL]])</f>
        <v>0</v>
      </c>
      <c r="Z195" s="91">
        <f>SUMIFS(tabela_registros[VALOR],tabela_registros[MÊS],$AE$1,tabela_registros[DIA],reservavariáveisconsolidadonov[[#Headers],[22]],tabela_registros[REGISTRO],DADOS!$N$6,tabela_registros[TIPO],DADOS!$AJ$4,tabela_registros[CATEGORIA],reservavariáveisconsolidadonov[[#This Row],[ATUAL]])</f>
        <v>0</v>
      </c>
      <c r="AA195" s="91">
        <f>SUMIFS(tabela_registros[VALOR],tabela_registros[MÊS],$AE$1,tabela_registros[DIA],reservavariáveisconsolidadonov[[#Headers],[23]],tabela_registros[REGISTRO],DADOS!$N$6,tabela_registros[TIPO],DADOS!$AJ$4,tabela_registros[CATEGORIA],reservavariáveisconsolidadonov[[#This Row],[ATUAL]])</f>
        <v>0</v>
      </c>
      <c r="AB195" s="91">
        <f>SUMIFS(tabela_registros[VALOR],tabela_registros[MÊS],$AE$1,tabela_registros[DIA],reservavariáveisconsolidadonov[[#Headers],[24]],tabela_registros[REGISTRO],DADOS!$N$6,tabela_registros[TIPO],DADOS!$AJ$4,tabela_registros[CATEGORIA],reservavariáveisconsolidadonov[[#This Row],[ATUAL]])</f>
        <v>0</v>
      </c>
      <c r="AC195" s="91">
        <f>SUMIFS(tabela_registros[VALOR],tabela_registros[MÊS],$AE$1,tabela_registros[DIA],reservavariáveisconsolidadonov[[#Headers],[25]],tabela_registros[REGISTRO],DADOS!$N$6,tabela_registros[TIPO],DADOS!$AJ$4,tabela_registros[CATEGORIA],reservavariáveisconsolidadonov[[#This Row],[ATUAL]])</f>
        <v>0</v>
      </c>
      <c r="AD195" s="91">
        <f>SUMIFS(tabela_registros[VALOR],tabela_registros[MÊS],$AE$1,tabela_registros[DIA],reservavariáveisconsolidadonov[[#Headers],[26]],tabela_registros[REGISTRO],DADOS!$N$6,tabela_registros[TIPO],DADOS!$AJ$4,tabela_registros[CATEGORIA],reservavariáveisconsolidadonov[[#This Row],[ATUAL]])</f>
        <v>0</v>
      </c>
      <c r="AE195" s="91">
        <f>SUMIFS(tabela_registros[VALOR],tabela_registros[MÊS],$AE$1,tabela_registros[DIA],reservavariáveisconsolidadonov[[#Headers],[27]],tabela_registros[REGISTRO],DADOS!$N$6,tabela_registros[TIPO],DADOS!$AJ$4,tabela_registros[CATEGORIA],reservavariáveisconsolidadonov[[#This Row],[ATUAL]])</f>
        <v>0</v>
      </c>
      <c r="AF195" s="91">
        <f>SUMIFS(tabela_registros[VALOR],tabela_registros[MÊS],$AE$1,tabela_registros[DIA],reservavariáveisconsolidadonov[[#Headers],[28]],tabela_registros[REGISTRO],DADOS!$N$6,tabela_registros[TIPO],DADOS!$AJ$4,tabela_registros[CATEGORIA],reservavariáveisconsolidadonov[[#This Row],[ATUAL]])</f>
        <v>0</v>
      </c>
      <c r="AG195" s="91">
        <f>SUMIFS(tabela_registros[VALOR],tabela_registros[MÊS],$AE$1,tabela_registros[DIA],reservavariáveisconsolidadonov[[#Headers],[29]],tabela_registros[REGISTRO],DADOS!$N$6,tabela_registros[TIPO],DADOS!$AJ$4,tabela_registros[CATEGORIA],reservavariáveisconsolidadonov[[#This Row],[ATUAL]])</f>
        <v>0</v>
      </c>
      <c r="AH195" s="91">
        <f>SUMIFS(tabela_registros[VALOR],tabela_registros[MÊS],$AE$1,tabela_registros[DIA],reservavariáveisconsolidadonov[[#Headers],[30]],tabela_registros[REGISTRO],DADOS!$N$6,tabela_registros[TIPO],DADOS!$AJ$4,tabela_registros[CATEGORIA],reservavariáveisconsolidadonov[[#This Row],[ATUAL]])</f>
        <v>0</v>
      </c>
      <c r="AI195" s="101">
        <f>SUMIFS(tabela_registros[VALOR],tabela_registros[MÊS],$AE$1,tabela_registros[DIA],reservavariáveisconsolidadonov[[#Headers],[31]],tabela_registros[REGISTRO],DADOS!$N$6,tabela_registros[TIPO],DADOS!$AJ$4,tabela_registros[CATEGORIA],reservavariáveisconsolidadonov[[#This Row],[ATUAL]])</f>
        <v>0</v>
      </c>
      <c r="AJ195" s="97">
        <f>SUM(reservavariáveisconsolidadonov[[#This Row],[1]:[31]])</f>
        <v>0</v>
      </c>
      <c r="AK195" s="25"/>
    </row>
    <row r="196" spans="2:37" ht="19.5" customHeight="1" thickTop="1" thickBot="1" x14ac:dyDescent="0.3">
      <c r="B196" s="28"/>
      <c r="C196" s="27" t="str">
        <f>DADOS!$AN$12</f>
        <v>📎 OUTROS</v>
      </c>
      <c r="D196" s="26" t="str">
        <f>IF(reservavariáveisconsolidadonov[[#This Row],[TOTAL (R$)]]=0,"",IF(OR(reservavariáveisconsolidadonov[[#This Row],[TOTAL (R$)]]=LARGE($AJ$187:$AJ$196,1),reservavariáveisconsolidadonov[[#This Row],[TOTAL (R$)]]=LARGE($AJ$187:$AJ$196,2)),DADOS!$I$11,""))</f>
        <v/>
      </c>
      <c r="E196" s="96">
        <f>SUMIFS(tabela_registros[VALOR],tabela_registros[MÊS],$AE$1,tabela_registros[DIA],reservavariáveisconsolidadonov[[#Headers],[1]],tabela_registros[REGISTRO],DADOS!$N$6,tabela_registros[TIPO],DADOS!$AJ$4,tabela_registros[CATEGORIA],reservavariáveisconsolidadonov[[#This Row],[ATUAL]])</f>
        <v>0</v>
      </c>
      <c r="F196" s="91">
        <f>SUMIFS(tabela_registros[VALOR],tabela_registros[MÊS],$AE$1,tabela_registros[DIA],reservavariáveisconsolidadonov[[#Headers],[2]],tabela_registros[REGISTRO],DADOS!$N$6,tabela_registros[TIPO],DADOS!$AJ$4,tabela_registros[CATEGORIA],reservavariáveisconsolidadonov[[#This Row],[ATUAL]])</f>
        <v>0</v>
      </c>
      <c r="G196" s="91">
        <f>SUMIFS(tabela_registros[VALOR],tabela_registros[MÊS],$AE$1,tabela_registros[DIA],reservavariáveisconsolidadonov[[#Headers],[3]],tabela_registros[REGISTRO],DADOS!$N$6,tabela_registros[TIPO],DADOS!$AJ$4,tabela_registros[CATEGORIA],reservavariáveisconsolidadonov[[#This Row],[ATUAL]])</f>
        <v>0</v>
      </c>
      <c r="H196" s="91">
        <f>SUMIFS(tabela_registros[VALOR],tabela_registros[MÊS],$AE$1,tabela_registros[DIA],reservavariáveisconsolidadonov[[#Headers],[4]],tabela_registros[REGISTRO],DADOS!$N$6,tabela_registros[TIPO],DADOS!$AJ$4,tabela_registros[CATEGORIA],reservavariáveisconsolidadonov[[#This Row],[ATUAL]])</f>
        <v>0</v>
      </c>
      <c r="I196" s="91">
        <f>SUMIFS(tabela_registros[VALOR],tabela_registros[MÊS],$AE$1,tabela_registros[DIA],reservavariáveisconsolidadonov[[#Headers],[5]],tabela_registros[REGISTRO],DADOS!$N$6,tabela_registros[TIPO],DADOS!$AJ$4,tabela_registros[CATEGORIA],reservavariáveisconsolidadonov[[#This Row],[ATUAL]])</f>
        <v>0</v>
      </c>
      <c r="J196" s="91">
        <f>SUMIFS(tabela_registros[VALOR],tabela_registros[MÊS],$AE$1,tabela_registros[DIA],reservavariáveisconsolidadonov[[#Headers],[6]],tabela_registros[REGISTRO],DADOS!$N$6,tabela_registros[TIPO],DADOS!$AJ$4,tabela_registros[CATEGORIA],reservavariáveisconsolidadonov[[#This Row],[ATUAL]])</f>
        <v>0</v>
      </c>
      <c r="K196" s="91">
        <f>SUMIFS(tabela_registros[VALOR],tabela_registros[MÊS],$AE$1,tabela_registros[DIA],reservavariáveisconsolidadonov[[#Headers],[7]],tabela_registros[REGISTRO],DADOS!$N$6,tabela_registros[TIPO],DADOS!$AJ$4,tabela_registros[CATEGORIA],reservavariáveisconsolidadonov[[#This Row],[ATUAL]])</f>
        <v>0</v>
      </c>
      <c r="L196" s="91">
        <f>SUMIFS(tabela_registros[VALOR],tabela_registros[MÊS],$AE$1,tabela_registros[DIA],reservavariáveisconsolidadonov[[#Headers],[8]],tabela_registros[REGISTRO],DADOS!$N$6,tabela_registros[TIPO],DADOS!$AJ$4,tabela_registros[CATEGORIA],reservavariáveisconsolidadonov[[#This Row],[ATUAL]])</f>
        <v>0</v>
      </c>
      <c r="M196" s="91">
        <f>SUMIFS(tabela_registros[VALOR],tabela_registros[MÊS],$AE$1,tabela_registros[DIA],reservavariáveisconsolidadonov[[#Headers],[9]],tabela_registros[REGISTRO],DADOS!$N$6,tabela_registros[TIPO],DADOS!$AJ$4,tabela_registros[CATEGORIA],reservavariáveisconsolidadonov[[#This Row],[ATUAL]])</f>
        <v>0</v>
      </c>
      <c r="N196" s="91">
        <f>SUMIFS(tabela_registros[VALOR],tabela_registros[MÊS],$AE$1,tabela_registros[DIA],reservavariáveisconsolidadonov[[#Headers],[10]],tabela_registros[REGISTRO],DADOS!$N$6,tabela_registros[TIPO],DADOS!$AJ$4,tabela_registros[CATEGORIA],reservavariáveisconsolidadonov[[#This Row],[ATUAL]])</f>
        <v>0</v>
      </c>
      <c r="O196" s="91">
        <f>SUMIFS(tabela_registros[VALOR],tabela_registros[MÊS],$AE$1,tabela_registros[DIA],reservavariáveisconsolidadonov[[#Headers],[11]],tabela_registros[REGISTRO],DADOS!$N$6,tabela_registros[TIPO],DADOS!$AJ$4,tabela_registros[CATEGORIA],reservavariáveisconsolidadonov[[#This Row],[ATUAL]])</f>
        <v>0</v>
      </c>
      <c r="P196" s="91">
        <f>SUMIFS(tabela_registros[VALOR],tabela_registros[MÊS],$AE$1,tabela_registros[DIA],reservavariáveisconsolidadonov[[#Headers],[12]],tabela_registros[REGISTRO],DADOS!$N$6,tabela_registros[TIPO],DADOS!$AJ$4,tabela_registros[CATEGORIA],reservavariáveisconsolidadonov[[#This Row],[ATUAL]])</f>
        <v>0</v>
      </c>
      <c r="Q196" s="91">
        <f>SUMIFS(tabela_registros[VALOR],tabela_registros[MÊS],$AE$1,tabela_registros[DIA],reservavariáveisconsolidadonov[[#Headers],[13]],tabela_registros[REGISTRO],DADOS!$N$6,tabela_registros[TIPO],DADOS!$AJ$4,tabela_registros[CATEGORIA],reservavariáveisconsolidadonov[[#This Row],[ATUAL]])</f>
        <v>0</v>
      </c>
      <c r="R196" s="91">
        <f>SUMIFS(tabela_registros[VALOR],tabela_registros[MÊS],$AE$1,tabela_registros[DIA],reservavariáveisconsolidadonov[[#Headers],[14]],tabela_registros[REGISTRO],DADOS!$N$6,tabela_registros[TIPO],DADOS!$AJ$4,tabela_registros[CATEGORIA],reservavariáveisconsolidadonov[[#This Row],[ATUAL]])</f>
        <v>0</v>
      </c>
      <c r="S196" s="91">
        <f>SUMIFS(tabela_registros[VALOR],tabela_registros[MÊS],$AE$1,tabela_registros[DIA],reservavariáveisconsolidadonov[[#Headers],[15]],tabela_registros[REGISTRO],DADOS!$N$6,tabela_registros[TIPO],DADOS!$AJ$4,tabela_registros[CATEGORIA],reservavariáveisconsolidadonov[[#This Row],[ATUAL]])</f>
        <v>0</v>
      </c>
      <c r="T196" s="91">
        <f>SUMIFS(tabela_registros[VALOR],tabela_registros[MÊS],$AE$1,tabela_registros[DIA],reservavariáveisconsolidadonov[[#Headers],[16]],tabela_registros[REGISTRO],DADOS!$N$6,tabela_registros[TIPO],DADOS!$AJ$4,tabela_registros[CATEGORIA],reservavariáveisconsolidadonov[[#This Row],[ATUAL]])</f>
        <v>0</v>
      </c>
      <c r="U196" s="91">
        <f>SUMIFS(tabela_registros[VALOR],tabela_registros[MÊS],$AE$1,tabela_registros[DIA],reservavariáveisconsolidadonov[[#Headers],[17]],tabela_registros[REGISTRO],DADOS!$N$6,tabela_registros[TIPO],DADOS!$AJ$4,tabela_registros[CATEGORIA],reservavariáveisconsolidadonov[[#This Row],[ATUAL]])</f>
        <v>0</v>
      </c>
      <c r="V196" s="91">
        <f>SUMIFS(tabela_registros[VALOR],tabela_registros[MÊS],$AE$1,tabela_registros[DIA],reservavariáveisconsolidadonov[[#Headers],[18]],tabela_registros[REGISTRO],DADOS!$N$6,tabela_registros[TIPO],DADOS!$AJ$4,tabela_registros[CATEGORIA],reservavariáveisconsolidadonov[[#This Row],[ATUAL]])</f>
        <v>0</v>
      </c>
      <c r="W196" s="91">
        <f>SUMIFS(tabela_registros[VALOR],tabela_registros[MÊS],$AE$1,tabela_registros[DIA],reservavariáveisconsolidadonov[[#Headers],[19]],tabela_registros[REGISTRO],DADOS!$N$6,tabela_registros[TIPO],DADOS!$AJ$4,tabela_registros[CATEGORIA],reservavariáveisconsolidadonov[[#This Row],[ATUAL]])</f>
        <v>0</v>
      </c>
      <c r="X196" s="91">
        <f>SUMIFS(tabela_registros[VALOR],tabela_registros[MÊS],$AE$1,tabela_registros[DIA],reservavariáveisconsolidadonov[[#Headers],[20]],tabela_registros[REGISTRO],DADOS!$N$6,tabela_registros[TIPO],DADOS!$AJ$4,tabela_registros[CATEGORIA],reservavariáveisconsolidadonov[[#This Row],[ATUAL]])</f>
        <v>0</v>
      </c>
      <c r="Y196" s="91">
        <f>SUMIFS(tabela_registros[VALOR],tabela_registros[MÊS],$AE$1,tabela_registros[DIA],reservavariáveisconsolidadonov[[#Headers],[21]],tabela_registros[REGISTRO],DADOS!$N$6,tabela_registros[TIPO],DADOS!$AJ$4,tabela_registros[CATEGORIA],reservavariáveisconsolidadonov[[#This Row],[ATUAL]])</f>
        <v>0</v>
      </c>
      <c r="Z196" s="91">
        <f>SUMIFS(tabela_registros[VALOR],tabela_registros[MÊS],$AE$1,tabela_registros[DIA],reservavariáveisconsolidadonov[[#Headers],[22]],tabela_registros[REGISTRO],DADOS!$N$6,tabela_registros[TIPO],DADOS!$AJ$4,tabela_registros[CATEGORIA],reservavariáveisconsolidadonov[[#This Row],[ATUAL]])</f>
        <v>0</v>
      </c>
      <c r="AA196" s="91">
        <f>SUMIFS(tabela_registros[VALOR],tabela_registros[MÊS],$AE$1,tabela_registros[DIA],reservavariáveisconsolidadonov[[#Headers],[23]],tabela_registros[REGISTRO],DADOS!$N$6,tabela_registros[TIPO],DADOS!$AJ$4,tabela_registros[CATEGORIA],reservavariáveisconsolidadonov[[#This Row],[ATUAL]])</f>
        <v>0</v>
      </c>
      <c r="AB196" s="91">
        <f>SUMIFS(tabela_registros[VALOR],tabela_registros[MÊS],$AE$1,tabela_registros[DIA],reservavariáveisconsolidadonov[[#Headers],[24]],tabela_registros[REGISTRO],DADOS!$N$6,tabela_registros[TIPO],DADOS!$AJ$4,tabela_registros[CATEGORIA],reservavariáveisconsolidadonov[[#This Row],[ATUAL]])</f>
        <v>0</v>
      </c>
      <c r="AC196" s="91">
        <f>SUMIFS(tabela_registros[VALOR],tabela_registros[MÊS],$AE$1,tabela_registros[DIA],reservavariáveisconsolidadonov[[#Headers],[25]],tabela_registros[REGISTRO],DADOS!$N$6,tabela_registros[TIPO],DADOS!$AJ$4,tabela_registros[CATEGORIA],reservavariáveisconsolidadonov[[#This Row],[ATUAL]])</f>
        <v>0</v>
      </c>
      <c r="AD196" s="91">
        <f>SUMIFS(tabela_registros[VALOR],tabela_registros[MÊS],$AE$1,tabela_registros[DIA],reservavariáveisconsolidadonov[[#Headers],[26]],tabela_registros[REGISTRO],DADOS!$N$6,tabela_registros[TIPO],DADOS!$AJ$4,tabela_registros[CATEGORIA],reservavariáveisconsolidadonov[[#This Row],[ATUAL]])</f>
        <v>0</v>
      </c>
      <c r="AE196" s="91">
        <f>SUMIFS(tabela_registros[VALOR],tabela_registros[MÊS],$AE$1,tabela_registros[DIA],reservavariáveisconsolidadonov[[#Headers],[27]],tabela_registros[REGISTRO],DADOS!$N$6,tabela_registros[TIPO],DADOS!$AJ$4,tabela_registros[CATEGORIA],reservavariáveisconsolidadonov[[#This Row],[ATUAL]])</f>
        <v>0</v>
      </c>
      <c r="AF196" s="91">
        <f>SUMIFS(tabela_registros[VALOR],tabela_registros[MÊS],$AE$1,tabela_registros[DIA],reservavariáveisconsolidadonov[[#Headers],[28]],tabela_registros[REGISTRO],DADOS!$N$6,tabela_registros[TIPO],DADOS!$AJ$4,tabela_registros[CATEGORIA],reservavariáveisconsolidadonov[[#This Row],[ATUAL]])</f>
        <v>0</v>
      </c>
      <c r="AG196" s="91">
        <f>SUMIFS(tabela_registros[VALOR],tabela_registros[MÊS],$AE$1,tabela_registros[DIA],reservavariáveisconsolidadonov[[#Headers],[29]],tabela_registros[REGISTRO],DADOS!$N$6,tabela_registros[TIPO],DADOS!$AJ$4,tabela_registros[CATEGORIA],reservavariáveisconsolidadonov[[#This Row],[ATUAL]])</f>
        <v>0</v>
      </c>
      <c r="AH196" s="99">
        <f>SUMIFS(tabela_registros[VALOR],tabela_registros[MÊS],$AE$1,tabela_registros[DIA],reservavariáveisconsolidadonov[[#Headers],[30]],tabela_registros[REGISTRO],DADOS!$N$6,tabela_registros[TIPO],DADOS!$AJ$4,tabela_registros[CATEGORIA],reservavariáveisconsolidadonov[[#This Row],[ATUAL]])</f>
        <v>0</v>
      </c>
      <c r="AI196" s="102">
        <f>SUMIFS(tabela_registros[VALOR],tabela_registros[MÊS],$AE$1,tabela_registros[DIA],reservavariáveisconsolidadonov[[#Headers],[31]],tabela_registros[REGISTRO],DADOS!$N$6,tabela_registros[TIPO],DADOS!$AJ$4,tabela_registros[CATEGORIA],reservavariáveisconsolidadonov[[#This Row],[ATUAL]])</f>
        <v>0</v>
      </c>
      <c r="AJ196" s="103">
        <f>SUM(reservavariáveisconsolidadonov[[#This Row],[1]:[31]])</f>
        <v>0</v>
      </c>
      <c r="AK196" s="25"/>
    </row>
    <row r="197" spans="2:37" s="16" customFormat="1" ht="21" customHeight="1" thickTop="1" thickBot="1" x14ac:dyDescent="0.35">
      <c r="B197" s="24"/>
      <c r="C197" s="23" t="s">
        <v>19</v>
      </c>
      <c r="D197" s="22"/>
      <c r="E197" s="21">
        <f>SUM(E187:E196)</f>
        <v>0</v>
      </c>
      <c r="F197" s="20">
        <f>SUM(F187:F196)+reservavariáveisconsolidadonov[[#This Row],[1]]</f>
        <v>0</v>
      </c>
      <c r="G197" s="20">
        <f>SUM(G187:G196)+reservavariáveisconsolidadonov[[#This Row],[2]]</f>
        <v>0</v>
      </c>
      <c r="H197" s="20">
        <f>SUM(H187:H196)+reservavariáveisconsolidadonov[[#This Row],[3]]</f>
        <v>0</v>
      </c>
      <c r="I197" s="20">
        <f>SUM(I187:I196)+reservavariáveisconsolidadonov[[#This Row],[4]]</f>
        <v>0</v>
      </c>
      <c r="J197" s="20">
        <f>SUM(J187:J196)+reservavariáveisconsolidadonov[[#This Row],[5]]</f>
        <v>0</v>
      </c>
      <c r="K197" s="20">
        <f>SUM(K187:K196)+reservavariáveisconsolidadonov[[#This Row],[6]]</f>
        <v>0</v>
      </c>
      <c r="L197" s="20">
        <f>SUM(L187:L196)+reservavariáveisconsolidadonov[[#This Row],[7]]</f>
        <v>0</v>
      </c>
      <c r="M197" s="20">
        <f>SUM(M187:M196)+reservavariáveisconsolidadonov[[#This Row],[8]]</f>
        <v>0</v>
      </c>
      <c r="N197" s="20">
        <f>SUM(N187:N196)+reservavariáveisconsolidadonov[[#This Row],[9]]</f>
        <v>0</v>
      </c>
      <c r="O197" s="20">
        <f>SUM(O187:O196)+reservavariáveisconsolidadonov[[#This Row],[10]]</f>
        <v>0</v>
      </c>
      <c r="P197" s="20">
        <f>SUM(P187:P196)+reservavariáveisconsolidadonov[[#This Row],[11]]</f>
        <v>0</v>
      </c>
      <c r="Q197" s="20">
        <f>SUM(Q187:Q196)+reservavariáveisconsolidadonov[[#This Row],[12]]</f>
        <v>0</v>
      </c>
      <c r="R197" s="20">
        <f>SUM(R187:R196)+reservavariáveisconsolidadonov[[#This Row],[13]]</f>
        <v>0</v>
      </c>
      <c r="S197" s="20">
        <f>SUM(S187:S196)+reservavariáveisconsolidadonov[[#This Row],[14]]</f>
        <v>0</v>
      </c>
      <c r="T197" s="20">
        <f>SUM(T187:T196)+reservavariáveisconsolidadonov[[#This Row],[15]]</f>
        <v>0</v>
      </c>
      <c r="U197" s="20">
        <f>SUM(U187:U196)+reservavariáveisconsolidadonov[[#This Row],[16]]</f>
        <v>0</v>
      </c>
      <c r="V197" s="20">
        <f>SUM(V187:V196)+reservavariáveisconsolidadonov[[#This Row],[17]]</f>
        <v>0</v>
      </c>
      <c r="W197" s="20">
        <f>SUM(W187:W196)+reservavariáveisconsolidadonov[[#This Row],[18]]</f>
        <v>0</v>
      </c>
      <c r="X197" s="20">
        <f>SUM(X187:X196)+reservavariáveisconsolidadonov[[#This Row],[19]]</f>
        <v>0</v>
      </c>
      <c r="Y197" s="20">
        <f>SUM(Y187:Y196)+reservavariáveisconsolidadonov[[#This Row],[20]]</f>
        <v>0</v>
      </c>
      <c r="Z197" s="20">
        <f>SUM(Z187:Z196)+reservavariáveisconsolidadonov[[#This Row],[21]]</f>
        <v>0</v>
      </c>
      <c r="AA197" s="20">
        <f>SUM(AA187:AA196)+reservavariáveisconsolidadonov[[#This Row],[22]]</f>
        <v>0</v>
      </c>
      <c r="AB197" s="20">
        <f>SUM(AB187:AB196)+reservavariáveisconsolidadonov[[#This Row],[23]]</f>
        <v>0</v>
      </c>
      <c r="AC197" s="20">
        <f>SUM(AC187:AC196)+reservavariáveisconsolidadonov[[#This Row],[24]]</f>
        <v>0</v>
      </c>
      <c r="AD197" s="20">
        <f>SUM(AD187:AD196)+reservavariáveisconsolidadonov[[#This Row],[25]]</f>
        <v>0</v>
      </c>
      <c r="AE197" s="20">
        <f>SUM(AE187:AE196)+reservavariáveisconsolidadonov[[#This Row],[26]]</f>
        <v>0</v>
      </c>
      <c r="AF197" s="20">
        <f>SUM(AF187:AF196)+reservavariáveisconsolidadonov[[#This Row],[27]]</f>
        <v>0</v>
      </c>
      <c r="AG197" s="20">
        <f>SUM(AG187:AG196)+reservavariáveisconsolidadonov[[#This Row],[28]]</f>
        <v>0</v>
      </c>
      <c r="AH197" s="20">
        <f>SUM(AH187:AH196)+reservavariáveisconsolidadonov[[#This Row],[29]]</f>
        <v>0</v>
      </c>
      <c r="AI197" s="19">
        <f>SUM(AI187:AI196)+reservavariáveisconsolidadonov[[#This Row],[30]]</f>
        <v>0</v>
      </c>
      <c r="AJ197" s="18">
        <f>reservavariáveisconsolidadonov[[#This Row],[31]]</f>
        <v>0</v>
      </c>
      <c r="AK197" s="17"/>
    </row>
    <row r="198" spans="2:37" ht="6.75" customHeight="1" thickTop="1" thickBot="1" x14ac:dyDescent="0.3">
      <c r="B198" s="15"/>
      <c r="C198" s="14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  <c r="AC198" s="13"/>
      <c r="AD198" s="13"/>
      <c r="AE198" s="13"/>
      <c r="AF198" s="13"/>
      <c r="AG198" s="13"/>
      <c r="AH198" s="13"/>
      <c r="AI198" s="12"/>
      <c r="AJ198" s="11"/>
      <c r="AK198" s="10"/>
    </row>
    <row r="199" spans="2:37" ht="12.6" thickTop="1" x14ac:dyDescent="0.25">
      <c r="E199" s="37"/>
      <c r="AI199" s="4"/>
    </row>
    <row r="200" spans="2:37" x14ac:dyDescent="0.25">
      <c r="AI200" s="4"/>
    </row>
    <row r="201" spans="2:37" x14ac:dyDescent="0.25">
      <c r="AI201" s="4"/>
    </row>
    <row r="202" spans="2:37" ht="39.75" customHeight="1" x14ac:dyDescent="0.7">
      <c r="C202" s="36"/>
      <c r="E202" s="240"/>
      <c r="F202" s="240"/>
      <c r="G202" s="240"/>
      <c r="H202" s="240"/>
      <c r="I202" s="240"/>
      <c r="J202" s="240"/>
      <c r="K202" s="240"/>
      <c r="L202" s="240"/>
      <c r="M202" s="240"/>
      <c r="N202" s="240"/>
      <c r="O202" s="240"/>
      <c r="P202" s="240"/>
      <c r="Q202" s="240"/>
      <c r="R202" s="240"/>
      <c r="S202" s="240"/>
      <c r="T202" s="240"/>
      <c r="U202" s="240"/>
      <c r="V202" s="240"/>
      <c r="W202" s="240"/>
      <c r="X202" s="240"/>
      <c r="Y202" s="240"/>
      <c r="Z202" s="240"/>
      <c r="AA202" s="240"/>
      <c r="AB202" s="240"/>
      <c r="AC202" s="240"/>
      <c r="AD202" s="240"/>
      <c r="AE202" s="240"/>
      <c r="AF202" s="240"/>
      <c r="AG202" s="240"/>
      <c r="AH202" s="240"/>
      <c r="AI202" s="240"/>
      <c r="AJ202" s="32" t="s">
        <v>19</v>
      </c>
    </row>
    <row r="203" spans="2:37" ht="12.6" thickBot="1" x14ac:dyDescent="0.3">
      <c r="B203" s="35"/>
      <c r="AI203" s="4"/>
      <c r="AJ203" s="34" t="s">
        <v>202</v>
      </c>
    </row>
    <row r="204" spans="2:37" ht="6.75" customHeight="1" thickTop="1" thickBot="1" x14ac:dyDescent="0.3">
      <c r="B204" s="2"/>
      <c r="C204" s="14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3"/>
      <c r="AD204" s="13"/>
      <c r="AE204" s="13"/>
      <c r="AF204" s="13"/>
      <c r="AG204" s="13"/>
      <c r="AH204" s="13"/>
      <c r="AI204" s="13"/>
      <c r="AJ204" s="12"/>
      <c r="AK204" s="33"/>
    </row>
    <row r="205" spans="2:37" ht="13.2" hidden="1" thickTop="1" thickBot="1" x14ac:dyDescent="0.3">
      <c r="B205" s="2"/>
      <c r="C205" s="31" t="s">
        <v>199</v>
      </c>
      <c r="D205" s="30" t="s">
        <v>198</v>
      </c>
      <c r="E205" s="30" t="s">
        <v>197</v>
      </c>
      <c r="F205" s="30" t="s">
        <v>196</v>
      </c>
      <c r="G205" s="30" t="s">
        <v>195</v>
      </c>
      <c r="H205" s="30" t="s">
        <v>194</v>
      </c>
      <c r="I205" s="30" t="s">
        <v>193</v>
      </c>
      <c r="J205" s="30" t="s">
        <v>192</v>
      </c>
      <c r="K205" s="30" t="s">
        <v>191</v>
      </c>
      <c r="L205" s="30" t="s">
        <v>190</v>
      </c>
      <c r="M205" s="30" t="s">
        <v>189</v>
      </c>
      <c r="N205" s="30" t="s">
        <v>188</v>
      </c>
      <c r="O205" s="30" t="s">
        <v>187</v>
      </c>
      <c r="P205" s="30" t="s">
        <v>186</v>
      </c>
      <c r="Q205" s="30" t="s">
        <v>185</v>
      </c>
      <c r="R205" s="30" t="s">
        <v>184</v>
      </c>
      <c r="S205" s="30" t="s">
        <v>183</v>
      </c>
      <c r="T205" s="30" t="s">
        <v>182</v>
      </c>
      <c r="U205" s="30" t="s">
        <v>181</v>
      </c>
      <c r="V205" s="30" t="s">
        <v>180</v>
      </c>
      <c r="W205" s="30" t="s">
        <v>179</v>
      </c>
      <c r="X205" s="30" t="s">
        <v>178</v>
      </c>
      <c r="Y205" s="30" t="s">
        <v>177</v>
      </c>
      <c r="Z205" s="30" t="s">
        <v>176</v>
      </c>
      <c r="AA205" s="30" t="s">
        <v>175</v>
      </c>
      <c r="AB205" s="30" t="s">
        <v>174</v>
      </c>
      <c r="AC205" s="30" t="s">
        <v>173</v>
      </c>
      <c r="AD205" s="30" t="s">
        <v>172</v>
      </c>
      <c r="AE205" s="30" t="s">
        <v>171</v>
      </c>
      <c r="AF205" s="30" t="s">
        <v>170</v>
      </c>
      <c r="AG205" s="30" t="s">
        <v>169</v>
      </c>
      <c r="AH205" s="30" t="s">
        <v>168</v>
      </c>
      <c r="AI205" s="30" t="s">
        <v>167</v>
      </c>
      <c r="AJ205" s="29" t="s">
        <v>166</v>
      </c>
      <c r="AK205" s="2"/>
    </row>
    <row r="206" spans="2:37" ht="19.5" customHeight="1" thickTop="1" thickBot="1" x14ac:dyDescent="0.3">
      <c r="B206" s="28"/>
      <c r="C206" s="27" t="str">
        <f>DADOS!$AP$3</f>
        <v>📝 COE</v>
      </c>
      <c r="D206" s="26" t="str">
        <f>IF(reservaoutrosconsolidadonov[[#This Row],[TOTAL (R$)]]=0,"",IF(OR(reservaoutrosconsolidadonov[[#This Row],[TOTAL (R$)]]=LARGE($AJ$206:$AJ$213,1),reservaoutrosconsolidadonov[[#This Row],[TOTAL (R$)]]=LARGE($AJ$206:$AJ$213,2)),DADOS!$I$11,""))</f>
        <v/>
      </c>
      <c r="E206" s="96">
        <f>SUMIFS(tabela_registros[VALOR],tabela_registros[MÊS],$AE$1,tabela_registros[DIA],reservaoutrosconsolidadonov[[#Headers],[1]],tabela_registros[REGISTRO],DADOS!$N$6,tabela_registros[TIPO],DADOS!$AJ$5,tabela_registros[CATEGORIA],reservaoutrosconsolidadonov[[#This Row],[ATUAL]])</f>
        <v>0</v>
      </c>
      <c r="F206" s="91">
        <f>SUMIFS(tabela_registros[VALOR],tabela_registros[MÊS],$AE$1,tabela_registros[DIA],reservaoutrosconsolidadonov[[#Headers],[2]],tabela_registros[REGISTRO],DADOS!$N$6,tabela_registros[TIPO],DADOS!$AJ$5,tabela_registros[CATEGORIA],reservaoutrosconsolidadonov[[#This Row],[ATUAL]])</f>
        <v>0</v>
      </c>
      <c r="G206" s="91">
        <f>SUMIFS(tabela_registros[VALOR],tabela_registros[MÊS],$AE$1,tabela_registros[DIA],reservaoutrosconsolidadonov[[#Headers],[3]],tabela_registros[REGISTRO],DADOS!$N$6,tabela_registros[TIPO],DADOS!$AJ$5,tabela_registros[CATEGORIA],reservaoutrosconsolidadonov[[#This Row],[ATUAL]])</f>
        <v>0</v>
      </c>
      <c r="H206" s="91">
        <f>SUMIFS(tabela_registros[VALOR],tabela_registros[MÊS],$AE$1,tabela_registros[DIA],reservaoutrosconsolidadonov[[#Headers],[4]],tabela_registros[REGISTRO],DADOS!$N$6,tabela_registros[TIPO],DADOS!$AJ$5,tabela_registros[CATEGORIA],reservaoutrosconsolidadonov[[#This Row],[ATUAL]])</f>
        <v>0</v>
      </c>
      <c r="I206" s="91">
        <f>SUMIFS(tabela_registros[VALOR],tabela_registros[MÊS],$AE$1,tabela_registros[DIA],reservaoutrosconsolidadonov[[#Headers],[5]],tabela_registros[REGISTRO],DADOS!$N$6,tabela_registros[TIPO],DADOS!$AJ$5,tabela_registros[CATEGORIA],reservaoutrosconsolidadonov[[#This Row],[ATUAL]])</f>
        <v>0</v>
      </c>
      <c r="J206" s="91">
        <f>SUMIFS(tabela_registros[VALOR],tabela_registros[MÊS],$AE$1,tabela_registros[DIA],reservaoutrosconsolidadonov[[#Headers],[6]],tabela_registros[REGISTRO],DADOS!$N$6,tabela_registros[TIPO],DADOS!$AJ$5,tabela_registros[CATEGORIA],reservaoutrosconsolidadonov[[#This Row],[ATUAL]])</f>
        <v>0</v>
      </c>
      <c r="K206" s="91">
        <f>SUMIFS(tabela_registros[VALOR],tabela_registros[MÊS],$AE$1,tabela_registros[DIA],reservaoutrosconsolidadonov[[#Headers],[7]],tabela_registros[REGISTRO],DADOS!$N$6,tabela_registros[TIPO],DADOS!$AJ$5,tabela_registros[CATEGORIA],reservaoutrosconsolidadonov[[#This Row],[ATUAL]])</f>
        <v>0</v>
      </c>
      <c r="L206" s="91">
        <f>SUMIFS(tabela_registros[VALOR],tabela_registros[MÊS],$AE$1,tabela_registros[DIA],reservaoutrosconsolidadonov[[#Headers],[8]],tabela_registros[REGISTRO],DADOS!$N$6,tabela_registros[TIPO],DADOS!$AJ$5,tabela_registros[CATEGORIA],reservaoutrosconsolidadonov[[#This Row],[ATUAL]])</f>
        <v>0</v>
      </c>
      <c r="M206" s="91">
        <f>SUMIFS(tabela_registros[VALOR],tabela_registros[MÊS],$AE$1,tabela_registros[DIA],reservaoutrosconsolidadonov[[#Headers],[9]],tabela_registros[REGISTRO],DADOS!$N$6,tabela_registros[TIPO],DADOS!$AJ$5,tabela_registros[CATEGORIA],reservaoutrosconsolidadonov[[#This Row],[ATUAL]])</f>
        <v>0</v>
      </c>
      <c r="N206" s="91">
        <f>SUMIFS(tabela_registros[VALOR],tabela_registros[MÊS],$AE$1,tabela_registros[DIA],reservaoutrosconsolidadonov[[#Headers],[10]],tabela_registros[REGISTRO],DADOS!$N$6,tabela_registros[TIPO],DADOS!$AJ$5,tabela_registros[CATEGORIA],reservaoutrosconsolidadonov[[#This Row],[ATUAL]])</f>
        <v>0</v>
      </c>
      <c r="O206" s="91">
        <f>SUMIFS(tabela_registros[VALOR],tabela_registros[MÊS],$AE$1,tabela_registros[DIA],reservaoutrosconsolidadonov[[#Headers],[11]],tabela_registros[REGISTRO],DADOS!$N$6,tabela_registros[TIPO],DADOS!$AJ$5,tabela_registros[CATEGORIA],reservaoutrosconsolidadonov[[#This Row],[ATUAL]])</f>
        <v>0</v>
      </c>
      <c r="P206" s="91">
        <f>SUMIFS(tabela_registros[VALOR],tabela_registros[MÊS],$AE$1,tabela_registros[DIA],reservaoutrosconsolidadonov[[#Headers],[12]],tabela_registros[REGISTRO],DADOS!$N$6,tabela_registros[TIPO],DADOS!$AJ$5,tabela_registros[CATEGORIA],reservaoutrosconsolidadonov[[#This Row],[ATUAL]])</f>
        <v>0</v>
      </c>
      <c r="Q206" s="91">
        <f>SUMIFS(tabela_registros[VALOR],tabela_registros[MÊS],$AE$1,tabela_registros[DIA],reservaoutrosconsolidadonov[[#Headers],[13]],tabela_registros[REGISTRO],DADOS!$N$6,tabela_registros[TIPO],DADOS!$AJ$5,tabela_registros[CATEGORIA],reservaoutrosconsolidadonov[[#This Row],[ATUAL]])</f>
        <v>0</v>
      </c>
      <c r="R206" s="91">
        <f>SUMIFS(tabela_registros[VALOR],tabela_registros[MÊS],$AE$1,tabela_registros[DIA],reservaoutrosconsolidadonov[[#Headers],[14]],tabela_registros[REGISTRO],DADOS!$N$6,tabela_registros[TIPO],DADOS!$AJ$5,tabela_registros[CATEGORIA],reservaoutrosconsolidadonov[[#This Row],[ATUAL]])</f>
        <v>0</v>
      </c>
      <c r="S206" s="91">
        <f>SUMIFS(tabela_registros[VALOR],tabela_registros[MÊS],$AE$1,tabela_registros[DIA],reservaoutrosconsolidadonov[[#Headers],[15]],tabela_registros[REGISTRO],DADOS!$N$6,tabela_registros[TIPO],DADOS!$AJ$5,tabela_registros[CATEGORIA],reservaoutrosconsolidadonov[[#This Row],[ATUAL]])</f>
        <v>0</v>
      </c>
      <c r="T206" s="91">
        <f>SUMIFS(tabela_registros[VALOR],tabela_registros[MÊS],$AE$1,tabela_registros[DIA],reservaoutrosconsolidadonov[[#Headers],[16]],tabela_registros[REGISTRO],DADOS!$N$6,tabela_registros[TIPO],DADOS!$AJ$5,tabela_registros[CATEGORIA],reservaoutrosconsolidadonov[[#This Row],[ATUAL]])</f>
        <v>0</v>
      </c>
      <c r="U206" s="91">
        <f>SUMIFS(tabela_registros[VALOR],tabela_registros[MÊS],$AE$1,tabela_registros[DIA],reservaoutrosconsolidadonov[[#Headers],[17]],tabela_registros[REGISTRO],DADOS!$N$6,tabela_registros[TIPO],DADOS!$AJ$5,tabela_registros[CATEGORIA],reservaoutrosconsolidadonov[[#This Row],[ATUAL]])</f>
        <v>0</v>
      </c>
      <c r="V206" s="91">
        <f>SUMIFS(tabela_registros[VALOR],tabela_registros[MÊS],$AE$1,tabela_registros[DIA],reservaoutrosconsolidadonov[[#Headers],[18]],tabela_registros[REGISTRO],DADOS!$N$6,tabela_registros[TIPO],DADOS!$AJ$5,tabela_registros[CATEGORIA],reservaoutrosconsolidadonov[[#This Row],[ATUAL]])</f>
        <v>0</v>
      </c>
      <c r="W206" s="91">
        <f>SUMIFS(tabela_registros[VALOR],tabela_registros[MÊS],$AE$1,tabela_registros[DIA],reservaoutrosconsolidadonov[[#Headers],[19]],tabela_registros[REGISTRO],DADOS!$N$6,tabela_registros[TIPO],DADOS!$AJ$5,tabela_registros[CATEGORIA],reservaoutrosconsolidadonov[[#This Row],[ATUAL]])</f>
        <v>0</v>
      </c>
      <c r="X206" s="91">
        <f>SUMIFS(tabela_registros[VALOR],tabela_registros[MÊS],$AE$1,tabela_registros[DIA],reservaoutrosconsolidadonov[[#Headers],[20]],tabela_registros[REGISTRO],DADOS!$N$6,tabela_registros[TIPO],DADOS!$AJ$5,tabela_registros[CATEGORIA],reservaoutrosconsolidadonov[[#This Row],[ATUAL]])</f>
        <v>0</v>
      </c>
      <c r="Y206" s="91">
        <f>SUMIFS(tabela_registros[VALOR],tabela_registros[MÊS],$AE$1,tabela_registros[DIA],reservaoutrosconsolidadonov[[#Headers],[21]],tabela_registros[REGISTRO],DADOS!$N$6,tabela_registros[TIPO],DADOS!$AJ$5,tabela_registros[CATEGORIA],reservaoutrosconsolidadonov[[#This Row],[ATUAL]])</f>
        <v>0</v>
      </c>
      <c r="Z206" s="91">
        <f>SUMIFS(tabela_registros[VALOR],tabela_registros[MÊS],$AE$1,tabela_registros[DIA],reservaoutrosconsolidadonov[[#Headers],[22]],tabela_registros[REGISTRO],DADOS!$N$6,tabela_registros[TIPO],DADOS!$AJ$5,tabela_registros[CATEGORIA],reservaoutrosconsolidadonov[[#This Row],[ATUAL]])</f>
        <v>0</v>
      </c>
      <c r="AA206" s="91">
        <f>SUMIFS(tabela_registros[VALOR],tabela_registros[MÊS],$AE$1,tabela_registros[DIA],reservaoutrosconsolidadonov[[#Headers],[23]],tabela_registros[REGISTRO],DADOS!$N$6,tabela_registros[TIPO],DADOS!$AJ$5,tabela_registros[CATEGORIA],reservaoutrosconsolidadonov[[#This Row],[ATUAL]])</f>
        <v>0</v>
      </c>
      <c r="AB206" s="91">
        <f>SUMIFS(tabela_registros[VALOR],tabela_registros[MÊS],$AE$1,tabela_registros[DIA],reservaoutrosconsolidadonov[[#Headers],[24]],tabela_registros[REGISTRO],DADOS!$N$6,tabela_registros[TIPO],DADOS!$AJ$5,tabela_registros[CATEGORIA],reservaoutrosconsolidadonov[[#This Row],[ATUAL]])</f>
        <v>0</v>
      </c>
      <c r="AC206" s="91">
        <f>SUMIFS(tabela_registros[VALOR],tabela_registros[MÊS],$AE$1,tabela_registros[DIA],reservaoutrosconsolidadonov[[#Headers],[25]],tabela_registros[REGISTRO],DADOS!$N$6,tabela_registros[TIPO],DADOS!$AJ$5,tabela_registros[CATEGORIA],reservaoutrosconsolidadonov[[#This Row],[ATUAL]])</f>
        <v>0</v>
      </c>
      <c r="AD206" s="91">
        <f>SUMIFS(tabela_registros[VALOR],tabela_registros[MÊS],$AE$1,tabela_registros[DIA],reservaoutrosconsolidadonov[[#Headers],[26]],tabela_registros[REGISTRO],DADOS!$N$6,tabela_registros[TIPO],DADOS!$AJ$5,tabela_registros[CATEGORIA],reservaoutrosconsolidadonov[[#This Row],[ATUAL]])</f>
        <v>0</v>
      </c>
      <c r="AE206" s="91">
        <f>SUMIFS(tabela_registros[VALOR],tabela_registros[MÊS],$AE$1,tabela_registros[DIA],reservaoutrosconsolidadonov[[#Headers],[27]],tabela_registros[REGISTRO],DADOS!$N$6,tabela_registros[TIPO],DADOS!$AJ$5,tabela_registros[CATEGORIA],reservaoutrosconsolidadonov[[#This Row],[ATUAL]])</f>
        <v>0</v>
      </c>
      <c r="AF206" s="91">
        <f>SUMIFS(tabela_registros[VALOR],tabela_registros[MÊS],$AE$1,tabela_registros[DIA],reservaoutrosconsolidadonov[[#Headers],[28]],tabela_registros[REGISTRO],DADOS!$N$6,tabela_registros[TIPO],DADOS!$AJ$5,tabela_registros[CATEGORIA],reservaoutrosconsolidadonov[[#This Row],[ATUAL]])</f>
        <v>0</v>
      </c>
      <c r="AG206" s="91">
        <f>SUMIFS(tabela_registros[VALOR],tabela_registros[MÊS],$AE$1,tabela_registros[DIA],reservaoutrosconsolidadonov[[#Headers],[29]],tabela_registros[REGISTRO],DADOS!$N$6,tabela_registros[TIPO],DADOS!$AJ$5,tabela_registros[CATEGORIA],reservaoutrosconsolidadonov[[#This Row],[ATUAL]])</f>
        <v>0</v>
      </c>
      <c r="AH206" s="91">
        <f>SUMIFS(tabela_registros[VALOR],tabela_registros[MÊS],$AE$1,tabela_registros[DIA],reservaoutrosconsolidadonov[[#Headers],[30]],tabela_registros[REGISTRO],DADOS!$N$6,tabela_registros[TIPO],DADOS!$AJ$5,tabela_registros[CATEGORIA],reservaoutrosconsolidadonov[[#This Row],[ATUAL]])</f>
        <v>0</v>
      </c>
      <c r="AI206" s="101">
        <f>SUMIFS(tabela_registros[VALOR],tabela_registros[MÊS],$AE$1,tabela_registros[DIA],reservaoutrosconsolidadonov[[#Headers],[31]],tabela_registros[REGISTRO],DADOS!$N$6,tabela_registros[TIPO],DADOS!$AJ$5,tabela_registros[CATEGORIA],reservaoutrosconsolidadonov[[#This Row],[ATUAL]])</f>
        <v>0</v>
      </c>
      <c r="AJ206" s="97">
        <f>SUM(reservaoutrosconsolidadonov[[#This Row],[1]:[31]])</f>
        <v>0</v>
      </c>
      <c r="AK206" s="25"/>
    </row>
    <row r="207" spans="2:37" ht="19.5" customHeight="1" thickTop="1" thickBot="1" x14ac:dyDescent="0.3">
      <c r="B207" s="28"/>
      <c r="C207" s="27" t="str">
        <f>DADOS!$AP$4</f>
        <v>📝 FOREX</v>
      </c>
      <c r="D207" s="26" t="str">
        <f>IF(reservaoutrosconsolidadonov[[#This Row],[TOTAL (R$)]]=0,"",IF(OR(reservaoutrosconsolidadonov[[#This Row],[TOTAL (R$)]]=LARGE($AJ$206:$AJ$213,1),reservaoutrosconsolidadonov[[#This Row],[TOTAL (R$)]]=LARGE($AJ$206:$AJ$213,2)),DADOS!$I$11,""))</f>
        <v/>
      </c>
      <c r="E207" s="96">
        <f>SUMIFS(tabela_registros[VALOR],tabela_registros[MÊS],$AE$1,tabela_registros[DIA],reservaoutrosconsolidadonov[[#Headers],[1]],tabela_registros[REGISTRO],DADOS!$N$6,tabela_registros[TIPO],DADOS!$AJ$5,tabela_registros[CATEGORIA],reservaoutrosconsolidadonov[[#This Row],[ATUAL]])</f>
        <v>0</v>
      </c>
      <c r="F207" s="91">
        <f>SUMIFS(tabela_registros[VALOR],tabela_registros[MÊS],$AE$1,tabela_registros[DIA],reservaoutrosconsolidadonov[[#Headers],[2]],tabela_registros[REGISTRO],DADOS!$N$6,tabela_registros[TIPO],DADOS!$AJ$5,tabela_registros[CATEGORIA],reservaoutrosconsolidadonov[[#This Row],[ATUAL]])</f>
        <v>0</v>
      </c>
      <c r="G207" s="91">
        <f>SUMIFS(tabela_registros[VALOR],tabela_registros[MÊS],$AE$1,tabela_registros[DIA],reservaoutrosconsolidadonov[[#Headers],[3]],tabela_registros[REGISTRO],DADOS!$N$6,tabela_registros[TIPO],DADOS!$AJ$5,tabela_registros[CATEGORIA],reservaoutrosconsolidadonov[[#This Row],[ATUAL]])</f>
        <v>0</v>
      </c>
      <c r="H207" s="91">
        <f>SUMIFS(tabela_registros[VALOR],tabela_registros[MÊS],$AE$1,tabela_registros[DIA],reservaoutrosconsolidadonov[[#Headers],[4]],tabela_registros[REGISTRO],DADOS!$N$6,tabela_registros[TIPO],DADOS!$AJ$5,tabela_registros[CATEGORIA],reservaoutrosconsolidadonov[[#This Row],[ATUAL]])</f>
        <v>0</v>
      </c>
      <c r="I207" s="91">
        <f>SUMIFS(tabela_registros[VALOR],tabela_registros[MÊS],$AE$1,tabela_registros[DIA],reservaoutrosconsolidadonov[[#Headers],[5]],tabela_registros[REGISTRO],DADOS!$N$6,tabela_registros[TIPO],DADOS!$AJ$5,tabela_registros[CATEGORIA],reservaoutrosconsolidadonov[[#This Row],[ATUAL]])</f>
        <v>0</v>
      </c>
      <c r="J207" s="91">
        <f>SUMIFS(tabela_registros[VALOR],tabela_registros[MÊS],$AE$1,tabela_registros[DIA],reservaoutrosconsolidadonov[[#Headers],[6]],tabela_registros[REGISTRO],DADOS!$N$6,tabela_registros[TIPO],DADOS!$AJ$5,tabela_registros[CATEGORIA],reservaoutrosconsolidadonov[[#This Row],[ATUAL]])</f>
        <v>0</v>
      </c>
      <c r="K207" s="91">
        <f>SUMIFS(tabela_registros[VALOR],tabela_registros[MÊS],$AE$1,tabela_registros[DIA],reservaoutrosconsolidadonov[[#Headers],[7]],tabela_registros[REGISTRO],DADOS!$N$6,tabela_registros[TIPO],DADOS!$AJ$5,tabela_registros[CATEGORIA],reservaoutrosconsolidadonov[[#This Row],[ATUAL]])</f>
        <v>0</v>
      </c>
      <c r="L207" s="91">
        <f>SUMIFS(tabela_registros[VALOR],tabela_registros[MÊS],$AE$1,tabela_registros[DIA],reservaoutrosconsolidadonov[[#Headers],[8]],tabela_registros[REGISTRO],DADOS!$N$6,tabela_registros[TIPO],DADOS!$AJ$5,tabela_registros[CATEGORIA],reservaoutrosconsolidadonov[[#This Row],[ATUAL]])</f>
        <v>0</v>
      </c>
      <c r="M207" s="91">
        <f>SUMIFS(tabela_registros[VALOR],tabela_registros[MÊS],$AE$1,tabela_registros[DIA],reservaoutrosconsolidadonov[[#Headers],[9]],tabela_registros[REGISTRO],DADOS!$N$6,tabela_registros[TIPO],DADOS!$AJ$5,tabela_registros[CATEGORIA],reservaoutrosconsolidadonov[[#This Row],[ATUAL]])</f>
        <v>0</v>
      </c>
      <c r="N207" s="91">
        <f>SUMIFS(tabela_registros[VALOR],tabela_registros[MÊS],$AE$1,tabela_registros[DIA],reservaoutrosconsolidadonov[[#Headers],[10]],tabela_registros[REGISTRO],DADOS!$N$6,tabela_registros[TIPO],DADOS!$AJ$5,tabela_registros[CATEGORIA],reservaoutrosconsolidadonov[[#This Row],[ATUAL]])</f>
        <v>0</v>
      </c>
      <c r="O207" s="91">
        <f>SUMIFS(tabela_registros[VALOR],tabela_registros[MÊS],$AE$1,tabela_registros[DIA],reservaoutrosconsolidadonov[[#Headers],[11]],tabela_registros[REGISTRO],DADOS!$N$6,tabela_registros[TIPO],DADOS!$AJ$5,tabela_registros[CATEGORIA],reservaoutrosconsolidadonov[[#This Row],[ATUAL]])</f>
        <v>0</v>
      </c>
      <c r="P207" s="91">
        <f>SUMIFS(tabela_registros[VALOR],tabela_registros[MÊS],$AE$1,tabela_registros[DIA],reservaoutrosconsolidadonov[[#Headers],[12]],tabela_registros[REGISTRO],DADOS!$N$6,tabela_registros[TIPO],DADOS!$AJ$5,tabela_registros[CATEGORIA],reservaoutrosconsolidadonov[[#This Row],[ATUAL]])</f>
        <v>0</v>
      </c>
      <c r="Q207" s="91">
        <f>SUMIFS(tabela_registros[VALOR],tabela_registros[MÊS],$AE$1,tabela_registros[DIA],reservaoutrosconsolidadonov[[#Headers],[13]],tabela_registros[REGISTRO],DADOS!$N$6,tabela_registros[TIPO],DADOS!$AJ$5,tabela_registros[CATEGORIA],reservaoutrosconsolidadonov[[#This Row],[ATUAL]])</f>
        <v>0</v>
      </c>
      <c r="R207" s="91">
        <f>SUMIFS(tabela_registros[VALOR],tabela_registros[MÊS],$AE$1,tabela_registros[DIA],reservaoutrosconsolidadonov[[#Headers],[14]],tabela_registros[REGISTRO],DADOS!$N$6,tabela_registros[TIPO],DADOS!$AJ$5,tabela_registros[CATEGORIA],reservaoutrosconsolidadonov[[#This Row],[ATUAL]])</f>
        <v>0</v>
      </c>
      <c r="S207" s="91">
        <f>SUMIFS(tabela_registros[VALOR],tabela_registros[MÊS],$AE$1,tabela_registros[DIA],reservaoutrosconsolidadonov[[#Headers],[15]],tabela_registros[REGISTRO],DADOS!$N$6,tabela_registros[TIPO],DADOS!$AJ$5,tabela_registros[CATEGORIA],reservaoutrosconsolidadonov[[#This Row],[ATUAL]])</f>
        <v>0</v>
      </c>
      <c r="T207" s="91">
        <f>SUMIFS(tabela_registros[VALOR],tabela_registros[MÊS],$AE$1,tabela_registros[DIA],reservaoutrosconsolidadonov[[#Headers],[16]],tabela_registros[REGISTRO],DADOS!$N$6,tabela_registros[TIPO],DADOS!$AJ$5,tabela_registros[CATEGORIA],reservaoutrosconsolidadonov[[#This Row],[ATUAL]])</f>
        <v>0</v>
      </c>
      <c r="U207" s="91">
        <f>SUMIFS(tabela_registros[VALOR],tabela_registros[MÊS],$AE$1,tabela_registros[DIA],reservaoutrosconsolidadonov[[#Headers],[17]],tabela_registros[REGISTRO],DADOS!$N$6,tabela_registros[TIPO],DADOS!$AJ$5,tabela_registros[CATEGORIA],reservaoutrosconsolidadonov[[#This Row],[ATUAL]])</f>
        <v>0</v>
      </c>
      <c r="V207" s="91">
        <f>SUMIFS(tabela_registros[VALOR],tabela_registros[MÊS],$AE$1,tabela_registros[DIA],reservaoutrosconsolidadonov[[#Headers],[18]],tabela_registros[REGISTRO],DADOS!$N$6,tabela_registros[TIPO],DADOS!$AJ$5,tabela_registros[CATEGORIA],reservaoutrosconsolidadonov[[#This Row],[ATUAL]])</f>
        <v>0</v>
      </c>
      <c r="W207" s="91">
        <f>SUMIFS(tabela_registros[VALOR],tabela_registros[MÊS],$AE$1,tabela_registros[DIA],reservaoutrosconsolidadonov[[#Headers],[19]],tabela_registros[REGISTRO],DADOS!$N$6,tabela_registros[TIPO],DADOS!$AJ$5,tabela_registros[CATEGORIA],reservaoutrosconsolidadonov[[#This Row],[ATUAL]])</f>
        <v>0</v>
      </c>
      <c r="X207" s="91">
        <f>SUMIFS(tabela_registros[VALOR],tabela_registros[MÊS],$AE$1,tabela_registros[DIA],reservaoutrosconsolidadonov[[#Headers],[20]],tabela_registros[REGISTRO],DADOS!$N$6,tabela_registros[TIPO],DADOS!$AJ$5,tabela_registros[CATEGORIA],reservaoutrosconsolidadonov[[#This Row],[ATUAL]])</f>
        <v>0</v>
      </c>
      <c r="Y207" s="91">
        <f>SUMIFS(tabela_registros[VALOR],tabela_registros[MÊS],$AE$1,tabela_registros[DIA],reservaoutrosconsolidadonov[[#Headers],[21]],tabela_registros[REGISTRO],DADOS!$N$6,tabela_registros[TIPO],DADOS!$AJ$5,tabela_registros[CATEGORIA],reservaoutrosconsolidadonov[[#This Row],[ATUAL]])</f>
        <v>0</v>
      </c>
      <c r="Z207" s="91">
        <f>SUMIFS(tabela_registros[VALOR],tabela_registros[MÊS],$AE$1,tabela_registros[DIA],reservaoutrosconsolidadonov[[#Headers],[22]],tabela_registros[REGISTRO],DADOS!$N$6,tabela_registros[TIPO],DADOS!$AJ$5,tabela_registros[CATEGORIA],reservaoutrosconsolidadonov[[#This Row],[ATUAL]])</f>
        <v>0</v>
      </c>
      <c r="AA207" s="91">
        <f>SUMIFS(tabela_registros[VALOR],tabela_registros[MÊS],$AE$1,tabela_registros[DIA],reservaoutrosconsolidadonov[[#Headers],[23]],tabela_registros[REGISTRO],DADOS!$N$6,tabela_registros[TIPO],DADOS!$AJ$5,tabela_registros[CATEGORIA],reservaoutrosconsolidadonov[[#This Row],[ATUAL]])</f>
        <v>0</v>
      </c>
      <c r="AB207" s="91">
        <f>SUMIFS(tabela_registros[VALOR],tabela_registros[MÊS],$AE$1,tabela_registros[DIA],reservaoutrosconsolidadonov[[#Headers],[24]],tabela_registros[REGISTRO],DADOS!$N$6,tabela_registros[TIPO],DADOS!$AJ$5,tabela_registros[CATEGORIA],reservaoutrosconsolidadonov[[#This Row],[ATUAL]])</f>
        <v>0</v>
      </c>
      <c r="AC207" s="91">
        <f>SUMIFS(tabela_registros[VALOR],tabela_registros[MÊS],$AE$1,tabela_registros[DIA],reservaoutrosconsolidadonov[[#Headers],[25]],tabela_registros[REGISTRO],DADOS!$N$6,tabela_registros[TIPO],DADOS!$AJ$5,tabela_registros[CATEGORIA],reservaoutrosconsolidadonov[[#This Row],[ATUAL]])</f>
        <v>0</v>
      </c>
      <c r="AD207" s="91">
        <f>SUMIFS(tabela_registros[VALOR],tabela_registros[MÊS],$AE$1,tabela_registros[DIA],reservaoutrosconsolidadonov[[#Headers],[26]],tabela_registros[REGISTRO],DADOS!$N$6,tabela_registros[TIPO],DADOS!$AJ$5,tabela_registros[CATEGORIA],reservaoutrosconsolidadonov[[#This Row],[ATUAL]])</f>
        <v>0</v>
      </c>
      <c r="AE207" s="91">
        <f>SUMIFS(tabela_registros[VALOR],tabela_registros[MÊS],$AE$1,tabela_registros[DIA],reservaoutrosconsolidadonov[[#Headers],[27]],tabela_registros[REGISTRO],DADOS!$N$6,tabela_registros[TIPO],DADOS!$AJ$5,tabela_registros[CATEGORIA],reservaoutrosconsolidadonov[[#This Row],[ATUAL]])</f>
        <v>0</v>
      </c>
      <c r="AF207" s="91">
        <f>SUMIFS(tabela_registros[VALOR],tabela_registros[MÊS],$AE$1,tabela_registros[DIA],reservaoutrosconsolidadonov[[#Headers],[28]],tabela_registros[REGISTRO],DADOS!$N$6,tabela_registros[TIPO],DADOS!$AJ$5,tabela_registros[CATEGORIA],reservaoutrosconsolidadonov[[#This Row],[ATUAL]])</f>
        <v>0</v>
      </c>
      <c r="AG207" s="91">
        <f>SUMIFS(tabela_registros[VALOR],tabela_registros[MÊS],$AE$1,tabela_registros[DIA],reservaoutrosconsolidadonov[[#Headers],[29]],tabela_registros[REGISTRO],DADOS!$N$6,tabela_registros[TIPO],DADOS!$AJ$5,tabela_registros[CATEGORIA],reservaoutrosconsolidadonov[[#This Row],[ATUAL]])</f>
        <v>0</v>
      </c>
      <c r="AH207" s="91">
        <f>SUMIFS(tabela_registros[VALOR],tabela_registros[MÊS],$AE$1,tabela_registros[DIA],reservaoutrosconsolidadonov[[#Headers],[30]],tabela_registros[REGISTRO],DADOS!$N$6,tabela_registros[TIPO],DADOS!$AJ$5,tabela_registros[CATEGORIA],reservaoutrosconsolidadonov[[#This Row],[ATUAL]])</f>
        <v>0</v>
      </c>
      <c r="AI207" s="101">
        <f>SUMIFS(tabela_registros[VALOR],tabela_registros[MÊS],$AE$1,tabela_registros[DIA],reservaoutrosconsolidadonov[[#Headers],[31]],tabela_registros[REGISTRO],DADOS!$N$6,tabela_registros[TIPO],DADOS!$AJ$5,tabela_registros[CATEGORIA],reservaoutrosconsolidadonov[[#This Row],[ATUAL]])</f>
        <v>0</v>
      </c>
      <c r="AJ207" s="97">
        <f>SUM(reservaoutrosconsolidadonov[[#This Row],[1]:[31]])</f>
        <v>0</v>
      </c>
      <c r="AK207" s="25"/>
    </row>
    <row r="208" spans="2:37" ht="19.5" customHeight="1" thickTop="1" thickBot="1" x14ac:dyDescent="0.3">
      <c r="B208" s="28"/>
      <c r="C208" s="27" t="str">
        <f>DADOS!$AP$5</f>
        <v>📝 FUNDO DE INVESTIMENTO</v>
      </c>
      <c r="D208" s="26" t="str">
        <f>IF(reservaoutrosconsolidadonov[[#This Row],[TOTAL (R$)]]=0,"",IF(OR(reservaoutrosconsolidadonov[[#This Row],[TOTAL (R$)]]=LARGE($AJ$206:$AJ$213,1),reservaoutrosconsolidadonov[[#This Row],[TOTAL (R$)]]=LARGE($AJ$206:$AJ$213,2)),DADOS!$I$11,""))</f>
        <v/>
      </c>
      <c r="E208" s="96">
        <f>SUMIFS(tabela_registros[VALOR],tabela_registros[MÊS],$AE$1,tabela_registros[DIA],reservaoutrosconsolidadonov[[#Headers],[1]],tabela_registros[REGISTRO],DADOS!$N$6,tabela_registros[TIPO],DADOS!$AJ$5,tabela_registros[CATEGORIA],reservaoutrosconsolidadonov[[#This Row],[ATUAL]])</f>
        <v>0</v>
      </c>
      <c r="F208" s="91">
        <f>SUMIFS(tabela_registros[VALOR],tabela_registros[MÊS],$AE$1,tabela_registros[DIA],reservaoutrosconsolidadonov[[#Headers],[2]],tabela_registros[REGISTRO],DADOS!$N$6,tabela_registros[TIPO],DADOS!$AJ$5,tabela_registros[CATEGORIA],reservaoutrosconsolidadonov[[#This Row],[ATUAL]])</f>
        <v>0</v>
      </c>
      <c r="G208" s="91">
        <f>SUMIFS(tabela_registros[VALOR],tabela_registros[MÊS],$AE$1,tabela_registros[DIA],reservaoutrosconsolidadonov[[#Headers],[3]],tabela_registros[REGISTRO],DADOS!$N$6,tabela_registros[TIPO],DADOS!$AJ$5,tabela_registros[CATEGORIA],reservaoutrosconsolidadonov[[#This Row],[ATUAL]])</f>
        <v>0</v>
      </c>
      <c r="H208" s="91">
        <f>SUMIFS(tabela_registros[VALOR],tabela_registros[MÊS],$AE$1,tabela_registros[DIA],reservaoutrosconsolidadonov[[#Headers],[4]],tabela_registros[REGISTRO],DADOS!$N$6,tabela_registros[TIPO],DADOS!$AJ$5,tabela_registros[CATEGORIA],reservaoutrosconsolidadonov[[#This Row],[ATUAL]])</f>
        <v>0</v>
      </c>
      <c r="I208" s="91">
        <f>SUMIFS(tabela_registros[VALOR],tabela_registros[MÊS],$AE$1,tabela_registros[DIA],reservaoutrosconsolidadonov[[#Headers],[5]],tabela_registros[REGISTRO],DADOS!$N$6,tabela_registros[TIPO],DADOS!$AJ$5,tabela_registros[CATEGORIA],reservaoutrosconsolidadonov[[#This Row],[ATUAL]])</f>
        <v>0</v>
      </c>
      <c r="J208" s="91">
        <f>SUMIFS(tabela_registros[VALOR],tabela_registros[MÊS],$AE$1,tabela_registros[DIA],reservaoutrosconsolidadonov[[#Headers],[6]],tabela_registros[REGISTRO],DADOS!$N$6,tabela_registros[TIPO],DADOS!$AJ$5,tabela_registros[CATEGORIA],reservaoutrosconsolidadonov[[#This Row],[ATUAL]])</f>
        <v>0</v>
      </c>
      <c r="K208" s="91">
        <f>SUMIFS(tabela_registros[VALOR],tabela_registros[MÊS],$AE$1,tabela_registros[DIA],reservaoutrosconsolidadonov[[#Headers],[7]],tabela_registros[REGISTRO],DADOS!$N$6,tabela_registros[TIPO],DADOS!$AJ$5,tabela_registros[CATEGORIA],reservaoutrosconsolidadonov[[#This Row],[ATUAL]])</f>
        <v>0</v>
      </c>
      <c r="L208" s="91">
        <f>SUMIFS(tabela_registros[VALOR],tabela_registros[MÊS],$AE$1,tabela_registros[DIA],reservaoutrosconsolidadonov[[#Headers],[8]],tabela_registros[REGISTRO],DADOS!$N$6,tabela_registros[TIPO],DADOS!$AJ$5,tabela_registros[CATEGORIA],reservaoutrosconsolidadonov[[#This Row],[ATUAL]])</f>
        <v>0</v>
      </c>
      <c r="M208" s="91">
        <f>SUMIFS(tabela_registros[VALOR],tabela_registros[MÊS],$AE$1,tabela_registros[DIA],reservaoutrosconsolidadonov[[#Headers],[9]],tabela_registros[REGISTRO],DADOS!$N$6,tabela_registros[TIPO],DADOS!$AJ$5,tabela_registros[CATEGORIA],reservaoutrosconsolidadonov[[#This Row],[ATUAL]])</f>
        <v>0</v>
      </c>
      <c r="N208" s="91">
        <f>SUMIFS(tabela_registros[VALOR],tabela_registros[MÊS],$AE$1,tabela_registros[DIA],reservaoutrosconsolidadonov[[#Headers],[10]],tabela_registros[REGISTRO],DADOS!$N$6,tabela_registros[TIPO],DADOS!$AJ$5,tabela_registros[CATEGORIA],reservaoutrosconsolidadonov[[#This Row],[ATUAL]])</f>
        <v>0</v>
      </c>
      <c r="O208" s="91">
        <f>SUMIFS(tabela_registros[VALOR],tabela_registros[MÊS],$AE$1,tabela_registros[DIA],reservaoutrosconsolidadonov[[#Headers],[11]],tabela_registros[REGISTRO],DADOS!$N$6,tabela_registros[TIPO],DADOS!$AJ$5,tabela_registros[CATEGORIA],reservaoutrosconsolidadonov[[#This Row],[ATUAL]])</f>
        <v>0</v>
      </c>
      <c r="P208" s="91">
        <f>SUMIFS(tabela_registros[VALOR],tabela_registros[MÊS],$AE$1,tabela_registros[DIA],reservaoutrosconsolidadonov[[#Headers],[12]],tabela_registros[REGISTRO],DADOS!$N$6,tabela_registros[TIPO],DADOS!$AJ$5,tabela_registros[CATEGORIA],reservaoutrosconsolidadonov[[#This Row],[ATUAL]])</f>
        <v>0</v>
      </c>
      <c r="Q208" s="91">
        <f>SUMIFS(tabela_registros[VALOR],tabela_registros[MÊS],$AE$1,tabela_registros[DIA],reservaoutrosconsolidadonov[[#Headers],[13]],tabela_registros[REGISTRO],DADOS!$N$6,tabela_registros[TIPO],DADOS!$AJ$5,tabela_registros[CATEGORIA],reservaoutrosconsolidadonov[[#This Row],[ATUAL]])</f>
        <v>0</v>
      </c>
      <c r="R208" s="91">
        <f>SUMIFS(tabela_registros[VALOR],tabela_registros[MÊS],$AE$1,tabela_registros[DIA],reservaoutrosconsolidadonov[[#Headers],[14]],tabela_registros[REGISTRO],DADOS!$N$6,tabela_registros[TIPO],DADOS!$AJ$5,tabela_registros[CATEGORIA],reservaoutrosconsolidadonov[[#This Row],[ATUAL]])</f>
        <v>0</v>
      </c>
      <c r="S208" s="91">
        <f>SUMIFS(tabela_registros[VALOR],tabela_registros[MÊS],$AE$1,tabela_registros[DIA],reservaoutrosconsolidadonov[[#Headers],[15]],tabela_registros[REGISTRO],DADOS!$N$6,tabela_registros[TIPO],DADOS!$AJ$5,tabela_registros[CATEGORIA],reservaoutrosconsolidadonov[[#This Row],[ATUAL]])</f>
        <v>0</v>
      </c>
      <c r="T208" s="91">
        <f>SUMIFS(tabela_registros[VALOR],tabela_registros[MÊS],$AE$1,tabela_registros[DIA],reservaoutrosconsolidadonov[[#Headers],[16]],tabela_registros[REGISTRO],DADOS!$N$6,tabela_registros[TIPO],DADOS!$AJ$5,tabela_registros[CATEGORIA],reservaoutrosconsolidadonov[[#This Row],[ATUAL]])</f>
        <v>0</v>
      </c>
      <c r="U208" s="91">
        <f>SUMIFS(tabela_registros[VALOR],tabela_registros[MÊS],$AE$1,tabela_registros[DIA],reservaoutrosconsolidadonov[[#Headers],[17]],tabela_registros[REGISTRO],DADOS!$N$6,tabela_registros[TIPO],DADOS!$AJ$5,tabela_registros[CATEGORIA],reservaoutrosconsolidadonov[[#This Row],[ATUAL]])</f>
        <v>0</v>
      </c>
      <c r="V208" s="91">
        <f>SUMIFS(tabela_registros[VALOR],tabela_registros[MÊS],$AE$1,tabela_registros[DIA],reservaoutrosconsolidadonov[[#Headers],[18]],tabela_registros[REGISTRO],DADOS!$N$6,tabela_registros[TIPO],DADOS!$AJ$5,tabela_registros[CATEGORIA],reservaoutrosconsolidadonov[[#This Row],[ATUAL]])</f>
        <v>0</v>
      </c>
      <c r="W208" s="91">
        <f>SUMIFS(tabela_registros[VALOR],tabela_registros[MÊS],$AE$1,tabela_registros[DIA],reservaoutrosconsolidadonov[[#Headers],[19]],tabela_registros[REGISTRO],DADOS!$N$6,tabela_registros[TIPO],DADOS!$AJ$5,tabela_registros[CATEGORIA],reservaoutrosconsolidadonov[[#This Row],[ATUAL]])</f>
        <v>0</v>
      </c>
      <c r="X208" s="91">
        <f>SUMIFS(tabela_registros[VALOR],tabela_registros[MÊS],$AE$1,tabela_registros[DIA],reservaoutrosconsolidadonov[[#Headers],[20]],tabela_registros[REGISTRO],DADOS!$N$6,tabela_registros[TIPO],DADOS!$AJ$5,tabela_registros[CATEGORIA],reservaoutrosconsolidadonov[[#This Row],[ATUAL]])</f>
        <v>0</v>
      </c>
      <c r="Y208" s="91">
        <f>SUMIFS(tabela_registros[VALOR],tabela_registros[MÊS],$AE$1,tabela_registros[DIA],reservaoutrosconsolidadonov[[#Headers],[21]],tabela_registros[REGISTRO],DADOS!$N$6,tabela_registros[TIPO],DADOS!$AJ$5,tabela_registros[CATEGORIA],reservaoutrosconsolidadonov[[#This Row],[ATUAL]])</f>
        <v>0</v>
      </c>
      <c r="Z208" s="91">
        <f>SUMIFS(tabela_registros[VALOR],tabela_registros[MÊS],$AE$1,tabela_registros[DIA],reservaoutrosconsolidadonov[[#Headers],[22]],tabela_registros[REGISTRO],DADOS!$N$6,tabela_registros[TIPO],DADOS!$AJ$5,tabela_registros[CATEGORIA],reservaoutrosconsolidadonov[[#This Row],[ATUAL]])</f>
        <v>0</v>
      </c>
      <c r="AA208" s="91">
        <f>SUMIFS(tabela_registros[VALOR],tabela_registros[MÊS],$AE$1,tabela_registros[DIA],reservaoutrosconsolidadonov[[#Headers],[23]],tabela_registros[REGISTRO],DADOS!$N$6,tabela_registros[TIPO],DADOS!$AJ$5,tabela_registros[CATEGORIA],reservaoutrosconsolidadonov[[#This Row],[ATUAL]])</f>
        <v>0</v>
      </c>
      <c r="AB208" s="91">
        <f>SUMIFS(tabela_registros[VALOR],tabela_registros[MÊS],$AE$1,tabela_registros[DIA],reservaoutrosconsolidadonov[[#Headers],[24]],tabela_registros[REGISTRO],DADOS!$N$6,tabela_registros[TIPO],DADOS!$AJ$5,tabela_registros[CATEGORIA],reservaoutrosconsolidadonov[[#This Row],[ATUAL]])</f>
        <v>0</v>
      </c>
      <c r="AC208" s="91">
        <f>SUMIFS(tabela_registros[VALOR],tabela_registros[MÊS],$AE$1,tabela_registros[DIA],reservaoutrosconsolidadonov[[#Headers],[25]],tabela_registros[REGISTRO],DADOS!$N$6,tabela_registros[TIPO],DADOS!$AJ$5,tabela_registros[CATEGORIA],reservaoutrosconsolidadonov[[#This Row],[ATUAL]])</f>
        <v>0</v>
      </c>
      <c r="AD208" s="91">
        <f>SUMIFS(tabela_registros[VALOR],tabela_registros[MÊS],$AE$1,tabela_registros[DIA],reservaoutrosconsolidadonov[[#Headers],[26]],tabela_registros[REGISTRO],DADOS!$N$6,tabela_registros[TIPO],DADOS!$AJ$5,tabela_registros[CATEGORIA],reservaoutrosconsolidadonov[[#This Row],[ATUAL]])</f>
        <v>0</v>
      </c>
      <c r="AE208" s="91">
        <f>SUMIFS(tabela_registros[VALOR],tabela_registros[MÊS],$AE$1,tabela_registros[DIA],reservaoutrosconsolidadonov[[#Headers],[27]],tabela_registros[REGISTRO],DADOS!$N$6,tabela_registros[TIPO],DADOS!$AJ$5,tabela_registros[CATEGORIA],reservaoutrosconsolidadonov[[#This Row],[ATUAL]])</f>
        <v>0</v>
      </c>
      <c r="AF208" s="91">
        <f>SUMIFS(tabela_registros[VALOR],tabela_registros[MÊS],$AE$1,tabela_registros[DIA],reservaoutrosconsolidadonov[[#Headers],[28]],tabela_registros[REGISTRO],DADOS!$N$6,tabela_registros[TIPO],DADOS!$AJ$5,tabela_registros[CATEGORIA],reservaoutrosconsolidadonov[[#This Row],[ATUAL]])</f>
        <v>0</v>
      </c>
      <c r="AG208" s="91">
        <f>SUMIFS(tabela_registros[VALOR],tabela_registros[MÊS],$AE$1,tabela_registros[DIA],reservaoutrosconsolidadonov[[#Headers],[29]],tabela_registros[REGISTRO],DADOS!$N$6,tabela_registros[TIPO],DADOS!$AJ$5,tabela_registros[CATEGORIA],reservaoutrosconsolidadonov[[#This Row],[ATUAL]])</f>
        <v>0</v>
      </c>
      <c r="AH208" s="91">
        <f>SUMIFS(tabela_registros[VALOR],tabela_registros[MÊS],$AE$1,tabela_registros[DIA],reservaoutrosconsolidadonov[[#Headers],[30]],tabela_registros[REGISTRO],DADOS!$N$6,tabela_registros[TIPO],DADOS!$AJ$5,tabela_registros[CATEGORIA],reservaoutrosconsolidadonov[[#This Row],[ATUAL]])</f>
        <v>0</v>
      </c>
      <c r="AI208" s="101">
        <f>SUMIFS(tabela_registros[VALOR],tabela_registros[MÊS],$AE$1,tabela_registros[DIA],reservaoutrosconsolidadonov[[#Headers],[31]],tabela_registros[REGISTRO],DADOS!$N$6,tabela_registros[TIPO],DADOS!$AJ$5,tabela_registros[CATEGORIA],reservaoutrosconsolidadonov[[#This Row],[ATUAL]])</f>
        <v>0</v>
      </c>
      <c r="AJ208" s="97">
        <f>SUM(reservaoutrosconsolidadonov[[#This Row],[1]:[31]])</f>
        <v>0</v>
      </c>
      <c r="AK208" s="25"/>
    </row>
    <row r="209" spans="2:37" ht="19.5" customHeight="1" thickTop="1" thickBot="1" x14ac:dyDescent="0.3">
      <c r="B209" s="28"/>
      <c r="C209" s="27" t="str">
        <f>DADOS!$AP$6</f>
        <v>📝 NOVA EMPRESA</v>
      </c>
      <c r="D209" s="26" t="str">
        <f>IF(reservaoutrosconsolidadonov[[#This Row],[TOTAL (R$)]]=0,"",IF(OR(reservaoutrosconsolidadonov[[#This Row],[TOTAL (R$)]]=LARGE($AJ$206:$AJ$213,1),reservaoutrosconsolidadonov[[#This Row],[TOTAL (R$)]]=LARGE($AJ$206:$AJ$213,2)),DADOS!$I$11,""))</f>
        <v/>
      </c>
      <c r="E209" s="96">
        <f>SUMIFS(tabela_registros[VALOR],tabela_registros[MÊS],$AE$1,tabela_registros[DIA],reservaoutrosconsolidadonov[[#Headers],[1]],tabela_registros[REGISTRO],DADOS!$N$6,tabela_registros[TIPO],DADOS!$AJ$5,tabela_registros[CATEGORIA],reservaoutrosconsolidadonov[[#This Row],[ATUAL]])</f>
        <v>0</v>
      </c>
      <c r="F209" s="91">
        <f>SUMIFS(tabela_registros[VALOR],tabela_registros[MÊS],$AE$1,tabela_registros[DIA],reservaoutrosconsolidadonov[[#Headers],[2]],tabela_registros[REGISTRO],DADOS!$N$6,tabela_registros[TIPO],DADOS!$AJ$5,tabela_registros[CATEGORIA],reservaoutrosconsolidadonov[[#This Row],[ATUAL]])</f>
        <v>0</v>
      </c>
      <c r="G209" s="91">
        <f>SUMIFS(tabela_registros[VALOR],tabela_registros[MÊS],$AE$1,tabela_registros[DIA],reservaoutrosconsolidadonov[[#Headers],[3]],tabela_registros[REGISTRO],DADOS!$N$6,tabela_registros[TIPO],DADOS!$AJ$5,tabela_registros[CATEGORIA],reservaoutrosconsolidadonov[[#This Row],[ATUAL]])</f>
        <v>0</v>
      </c>
      <c r="H209" s="91">
        <f>SUMIFS(tabela_registros[VALOR],tabela_registros[MÊS],$AE$1,tabela_registros[DIA],reservaoutrosconsolidadonov[[#Headers],[4]],tabela_registros[REGISTRO],DADOS!$N$6,tabela_registros[TIPO],DADOS!$AJ$5,tabela_registros[CATEGORIA],reservaoutrosconsolidadonov[[#This Row],[ATUAL]])</f>
        <v>0</v>
      </c>
      <c r="I209" s="91">
        <f>SUMIFS(tabela_registros[VALOR],tabela_registros[MÊS],$AE$1,tabela_registros[DIA],reservaoutrosconsolidadonov[[#Headers],[5]],tabela_registros[REGISTRO],DADOS!$N$6,tabela_registros[TIPO],DADOS!$AJ$5,tabela_registros[CATEGORIA],reservaoutrosconsolidadonov[[#This Row],[ATUAL]])</f>
        <v>0</v>
      </c>
      <c r="J209" s="91">
        <f>SUMIFS(tabela_registros[VALOR],tabela_registros[MÊS],$AE$1,tabela_registros[DIA],reservaoutrosconsolidadonov[[#Headers],[6]],tabela_registros[REGISTRO],DADOS!$N$6,tabela_registros[TIPO],DADOS!$AJ$5,tabela_registros[CATEGORIA],reservaoutrosconsolidadonov[[#This Row],[ATUAL]])</f>
        <v>0</v>
      </c>
      <c r="K209" s="91">
        <f>SUMIFS(tabela_registros[VALOR],tabela_registros[MÊS],$AE$1,tabela_registros[DIA],reservaoutrosconsolidadonov[[#Headers],[7]],tabela_registros[REGISTRO],DADOS!$N$6,tabela_registros[TIPO],DADOS!$AJ$5,tabela_registros[CATEGORIA],reservaoutrosconsolidadonov[[#This Row],[ATUAL]])</f>
        <v>0</v>
      </c>
      <c r="L209" s="91">
        <f>SUMIFS(tabela_registros[VALOR],tabela_registros[MÊS],$AE$1,tabela_registros[DIA],reservaoutrosconsolidadonov[[#Headers],[8]],tabela_registros[REGISTRO],DADOS!$N$6,tabela_registros[TIPO],DADOS!$AJ$5,tabela_registros[CATEGORIA],reservaoutrosconsolidadonov[[#This Row],[ATUAL]])</f>
        <v>0</v>
      </c>
      <c r="M209" s="91">
        <f>SUMIFS(tabela_registros[VALOR],tabela_registros[MÊS],$AE$1,tabela_registros[DIA],reservaoutrosconsolidadonov[[#Headers],[9]],tabela_registros[REGISTRO],DADOS!$N$6,tabela_registros[TIPO],DADOS!$AJ$5,tabela_registros[CATEGORIA],reservaoutrosconsolidadonov[[#This Row],[ATUAL]])</f>
        <v>0</v>
      </c>
      <c r="N209" s="91">
        <f>SUMIFS(tabela_registros[VALOR],tabela_registros[MÊS],$AE$1,tabela_registros[DIA],reservaoutrosconsolidadonov[[#Headers],[10]],tabela_registros[REGISTRO],DADOS!$N$6,tabela_registros[TIPO],DADOS!$AJ$5,tabela_registros[CATEGORIA],reservaoutrosconsolidadonov[[#This Row],[ATUAL]])</f>
        <v>0</v>
      </c>
      <c r="O209" s="91">
        <f>SUMIFS(tabela_registros[VALOR],tabela_registros[MÊS],$AE$1,tabela_registros[DIA],reservaoutrosconsolidadonov[[#Headers],[11]],tabela_registros[REGISTRO],DADOS!$N$6,tabela_registros[TIPO],DADOS!$AJ$5,tabela_registros[CATEGORIA],reservaoutrosconsolidadonov[[#This Row],[ATUAL]])</f>
        <v>0</v>
      </c>
      <c r="P209" s="91">
        <f>SUMIFS(tabela_registros[VALOR],tabela_registros[MÊS],$AE$1,tabela_registros[DIA],reservaoutrosconsolidadonov[[#Headers],[12]],tabela_registros[REGISTRO],DADOS!$N$6,tabela_registros[TIPO],DADOS!$AJ$5,tabela_registros[CATEGORIA],reservaoutrosconsolidadonov[[#This Row],[ATUAL]])</f>
        <v>0</v>
      </c>
      <c r="Q209" s="91">
        <f>SUMIFS(tabela_registros[VALOR],tabela_registros[MÊS],$AE$1,tabela_registros[DIA],reservaoutrosconsolidadonov[[#Headers],[13]],tabela_registros[REGISTRO],DADOS!$N$6,tabela_registros[TIPO],DADOS!$AJ$5,tabela_registros[CATEGORIA],reservaoutrosconsolidadonov[[#This Row],[ATUAL]])</f>
        <v>0</v>
      </c>
      <c r="R209" s="91">
        <f>SUMIFS(tabela_registros[VALOR],tabela_registros[MÊS],$AE$1,tabela_registros[DIA],reservaoutrosconsolidadonov[[#Headers],[14]],tabela_registros[REGISTRO],DADOS!$N$6,tabela_registros[TIPO],DADOS!$AJ$5,tabela_registros[CATEGORIA],reservaoutrosconsolidadonov[[#This Row],[ATUAL]])</f>
        <v>0</v>
      </c>
      <c r="S209" s="91">
        <f>SUMIFS(tabela_registros[VALOR],tabela_registros[MÊS],$AE$1,tabela_registros[DIA],reservaoutrosconsolidadonov[[#Headers],[15]],tabela_registros[REGISTRO],DADOS!$N$6,tabela_registros[TIPO],DADOS!$AJ$5,tabela_registros[CATEGORIA],reservaoutrosconsolidadonov[[#This Row],[ATUAL]])</f>
        <v>0</v>
      </c>
      <c r="T209" s="91">
        <f>SUMIFS(tabela_registros[VALOR],tabela_registros[MÊS],$AE$1,tabela_registros[DIA],reservaoutrosconsolidadonov[[#Headers],[16]],tabela_registros[REGISTRO],DADOS!$N$6,tabela_registros[TIPO],DADOS!$AJ$5,tabela_registros[CATEGORIA],reservaoutrosconsolidadonov[[#This Row],[ATUAL]])</f>
        <v>0</v>
      </c>
      <c r="U209" s="91">
        <f>SUMIFS(tabela_registros[VALOR],tabela_registros[MÊS],$AE$1,tabela_registros[DIA],reservaoutrosconsolidadonov[[#Headers],[17]],tabela_registros[REGISTRO],DADOS!$N$6,tabela_registros[TIPO],DADOS!$AJ$5,tabela_registros[CATEGORIA],reservaoutrosconsolidadonov[[#This Row],[ATUAL]])</f>
        <v>0</v>
      </c>
      <c r="V209" s="91">
        <f>SUMIFS(tabela_registros[VALOR],tabela_registros[MÊS],$AE$1,tabela_registros[DIA],reservaoutrosconsolidadonov[[#Headers],[18]],tabela_registros[REGISTRO],DADOS!$N$6,tabela_registros[TIPO],DADOS!$AJ$5,tabela_registros[CATEGORIA],reservaoutrosconsolidadonov[[#This Row],[ATUAL]])</f>
        <v>0</v>
      </c>
      <c r="W209" s="91">
        <f>SUMIFS(tabela_registros[VALOR],tabela_registros[MÊS],$AE$1,tabela_registros[DIA],reservaoutrosconsolidadonov[[#Headers],[19]],tabela_registros[REGISTRO],DADOS!$N$6,tabela_registros[TIPO],DADOS!$AJ$5,tabela_registros[CATEGORIA],reservaoutrosconsolidadonov[[#This Row],[ATUAL]])</f>
        <v>0</v>
      </c>
      <c r="X209" s="91">
        <f>SUMIFS(tabela_registros[VALOR],tabela_registros[MÊS],$AE$1,tabela_registros[DIA],reservaoutrosconsolidadonov[[#Headers],[20]],tabela_registros[REGISTRO],DADOS!$N$6,tabela_registros[TIPO],DADOS!$AJ$5,tabela_registros[CATEGORIA],reservaoutrosconsolidadonov[[#This Row],[ATUAL]])</f>
        <v>0</v>
      </c>
      <c r="Y209" s="91">
        <f>SUMIFS(tabela_registros[VALOR],tabela_registros[MÊS],$AE$1,tabela_registros[DIA],reservaoutrosconsolidadonov[[#Headers],[21]],tabela_registros[REGISTRO],DADOS!$N$6,tabela_registros[TIPO],DADOS!$AJ$5,tabela_registros[CATEGORIA],reservaoutrosconsolidadonov[[#This Row],[ATUAL]])</f>
        <v>0</v>
      </c>
      <c r="Z209" s="91">
        <f>SUMIFS(tabela_registros[VALOR],tabela_registros[MÊS],$AE$1,tabela_registros[DIA],reservaoutrosconsolidadonov[[#Headers],[22]],tabela_registros[REGISTRO],DADOS!$N$6,tabela_registros[TIPO],DADOS!$AJ$5,tabela_registros[CATEGORIA],reservaoutrosconsolidadonov[[#This Row],[ATUAL]])</f>
        <v>0</v>
      </c>
      <c r="AA209" s="91">
        <f>SUMIFS(tabela_registros[VALOR],tabela_registros[MÊS],$AE$1,tabela_registros[DIA],reservaoutrosconsolidadonov[[#Headers],[23]],tabela_registros[REGISTRO],DADOS!$N$6,tabela_registros[TIPO],DADOS!$AJ$5,tabela_registros[CATEGORIA],reservaoutrosconsolidadonov[[#This Row],[ATUAL]])</f>
        <v>0</v>
      </c>
      <c r="AB209" s="91">
        <f>SUMIFS(tabela_registros[VALOR],tabela_registros[MÊS],$AE$1,tabela_registros[DIA],reservaoutrosconsolidadonov[[#Headers],[24]],tabela_registros[REGISTRO],DADOS!$N$6,tabela_registros[TIPO],DADOS!$AJ$5,tabela_registros[CATEGORIA],reservaoutrosconsolidadonov[[#This Row],[ATUAL]])</f>
        <v>0</v>
      </c>
      <c r="AC209" s="91">
        <f>SUMIFS(tabela_registros[VALOR],tabela_registros[MÊS],$AE$1,tabela_registros[DIA],reservaoutrosconsolidadonov[[#Headers],[25]],tabela_registros[REGISTRO],DADOS!$N$6,tabela_registros[TIPO],DADOS!$AJ$5,tabela_registros[CATEGORIA],reservaoutrosconsolidadonov[[#This Row],[ATUAL]])</f>
        <v>0</v>
      </c>
      <c r="AD209" s="91">
        <f>SUMIFS(tabela_registros[VALOR],tabela_registros[MÊS],$AE$1,tabela_registros[DIA],reservaoutrosconsolidadonov[[#Headers],[26]],tabela_registros[REGISTRO],DADOS!$N$6,tabela_registros[TIPO],DADOS!$AJ$5,tabela_registros[CATEGORIA],reservaoutrosconsolidadonov[[#This Row],[ATUAL]])</f>
        <v>0</v>
      </c>
      <c r="AE209" s="91">
        <f>SUMIFS(tabela_registros[VALOR],tabela_registros[MÊS],$AE$1,tabela_registros[DIA],reservaoutrosconsolidadonov[[#Headers],[27]],tabela_registros[REGISTRO],DADOS!$N$6,tabela_registros[TIPO],DADOS!$AJ$5,tabela_registros[CATEGORIA],reservaoutrosconsolidadonov[[#This Row],[ATUAL]])</f>
        <v>0</v>
      </c>
      <c r="AF209" s="91">
        <f>SUMIFS(tabela_registros[VALOR],tabela_registros[MÊS],$AE$1,tabela_registros[DIA],reservaoutrosconsolidadonov[[#Headers],[28]],tabela_registros[REGISTRO],DADOS!$N$6,tabela_registros[TIPO],DADOS!$AJ$5,tabela_registros[CATEGORIA],reservaoutrosconsolidadonov[[#This Row],[ATUAL]])</f>
        <v>0</v>
      </c>
      <c r="AG209" s="91">
        <f>SUMIFS(tabela_registros[VALOR],tabela_registros[MÊS],$AE$1,tabela_registros[DIA],reservaoutrosconsolidadonov[[#Headers],[29]],tabela_registros[REGISTRO],DADOS!$N$6,tabela_registros[TIPO],DADOS!$AJ$5,tabela_registros[CATEGORIA],reservaoutrosconsolidadonov[[#This Row],[ATUAL]])</f>
        <v>0</v>
      </c>
      <c r="AH209" s="91">
        <f>SUMIFS(tabela_registros[VALOR],tabela_registros[MÊS],$AE$1,tabela_registros[DIA],reservaoutrosconsolidadonov[[#Headers],[30]],tabela_registros[REGISTRO],DADOS!$N$6,tabela_registros[TIPO],DADOS!$AJ$5,tabela_registros[CATEGORIA],reservaoutrosconsolidadonov[[#This Row],[ATUAL]])</f>
        <v>0</v>
      </c>
      <c r="AI209" s="101">
        <f>SUMIFS(tabela_registros[VALOR],tabela_registros[MÊS],$AE$1,tabela_registros[DIA],reservaoutrosconsolidadonov[[#Headers],[31]],tabela_registros[REGISTRO],DADOS!$N$6,tabela_registros[TIPO],DADOS!$AJ$5,tabela_registros[CATEGORIA],reservaoutrosconsolidadonov[[#This Row],[ATUAL]])</f>
        <v>0</v>
      </c>
      <c r="AJ209" s="97">
        <f>SUM(reservaoutrosconsolidadonov[[#This Row],[1]:[31]])</f>
        <v>0</v>
      </c>
      <c r="AK209" s="25"/>
    </row>
    <row r="210" spans="2:37" ht="19.5" customHeight="1" thickTop="1" thickBot="1" x14ac:dyDescent="0.3">
      <c r="B210" s="28"/>
      <c r="C210" s="27" t="str">
        <f>DADOS!$AP$7</f>
        <v>📝 PEER TO COMPANY</v>
      </c>
      <c r="D210" s="26" t="str">
        <f>IF(reservaoutrosconsolidadonov[[#This Row],[TOTAL (R$)]]=0,"",IF(OR(reservaoutrosconsolidadonov[[#This Row],[TOTAL (R$)]]=LARGE($AJ$206:$AJ$213,1),reservaoutrosconsolidadonov[[#This Row],[TOTAL (R$)]]=LARGE($AJ$206:$AJ$213,2)),DADOS!$I$11,""))</f>
        <v/>
      </c>
      <c r="E210" s="96">
        <f>SUMIFS(tabela_registros[VALOR],tabela_registros[MÊS],$AE$1,tabela_registros[DIA],reservaoutrosconsolidadonov[[#Headers],[1]],tabela_registros[REGISTRO],DADOS!$N$6,tabela_registros[TIPO],DADOS!$AJ$5,tabela_registros[CATEGORIA],reservaoutrosconsolidadonov[[#This Row],[ATUAL]])</f>
        <v>0</v>
      </c>
      <c r="F210" s="91">
        <f>SUMIFS(tabela_registros[VALOR],tabela_registros[MÊS],$AE$1,tabela_registros[DIA],reservaoutrosconsolidadonov[[#Headers],[2]],tabela_registros[REGISTRO],DADOS!$N$6,tabela_registros[TIPO],DADOS!$AJ$5,tabela_registros[CATEGORIA],reservaoutrosconsolidadonov[[#This Row],[ATUAL]])</f>
        <v>0</v>
      </c>
      <c r="G210" s="91">
        <f>SUMIFS(tabela_registros[VALOR],tabela_registros[MÊS],$AE$1,tabela_registros[DIA],reservaoutrosconsolidadonov[[#Headers],[3]],tabela_registros[REGISTRO],DADOS!$N$6,tabela_registros[TIPO],DADOS!$AJ$5,tabela_registros[CATEGORIA],reservaoutrosconsolidadonov[[#This Row],[ATUAL]])</f>
        <v>0</v>
      </c>
      <c r="H210" s="91">
        <f>SUMIFS(tabela_registros[VALOR],tabela_registros[MÊS],$AE$1,tabela_registros[DIA],reservaoutrosconsolidadonov[[#Headers],[4]],tabela_registros[REGISTRO],DADOS!$N$6,tabela_registros[TIPO],DADOS!$AJ$5,tabela_registros[CATEGORIA],reservaoutrosconsolidadonov[[#This Row],[ATUAL]])</f>
        <v>0</v>
      </c>
      <c r="I210" s="91">
        <f>SUMIFS(tabela_registros[VALOR],tabela_registros[MÊS],$AE$1,tabela_registros[DIA],reservaoutrosconsolidadonov[[#Headers],[5]],tabela_registros[REGISTRO],DADOS!$N$6,tabela_registros[TIPO],DADOS!$AJ$5,tabela_registros[CATEGORIA],reservaoutrosconsolidadonov[[#This Row],[ATUAL]])</f>
        <v>0</v>
      </c>
      <c r="J210" s="91">
        <f>SUMIFS(tabela_registros[VALOR],tabela_registros[MÊS],$AE$1,tabela_registros[DIA],reservaoutrosconsolidadonov[[#Headers],[6]],tabela_registros[REGISTRO],DADOS!$N$6,tabela_registros[TIPO],DADOS!$AJ$5,tabela_registros[CATEGORIA],reservaoutrosconsolidadonov[[#This Row],[ATUAL]])</f>
        <v>0</v>
      </c>
      <c r="K210" s="91">
        <f>SUMIFS(tabela_registros[VALOR],tabela_registros[MÊS],$AE$1,tabela_registros[DIA],reservaoutrosconsolidadonov[[#Headers],[7]],tabela_registros[REGISTRO],DADOS!$N$6,tabela_registros[TIPO],DADOS!$AJ$5,tabela_registros[CATEGORIA],reservaoutrosconsolidadonov[[#This Row],[ATUAL]])</f>
        <v>0</v>
      </c>
      <c r="L210" s="91">
        <f>SUMIFS(tabela_registros[VALOR],tabela_registros[MÊS],$AE$1,tabela_registros[DIA],reservaoutrosconsolidadonov[[#Headers],[8]],tabela_registros[REGISTRO],DADOS!$N$6,tabela_registros[TIPO],DADOS!$AJ$5,tabela_registros[CATEGORIA],reservaoutrosconsolidadonov[[#This Row],[ATUAL]])</f>
        <v>0</v>
      </c>
      <c r="M210" s="91">
        <f>SUMIFS(tabela_registros[VALOR],tabela_registros[MÊS],$AE$1,tabela_registros[DIA],reservaoutrosconsolidadonov[[#Headers],[9]],tabela_registros[REGISTRO],DADOS!$N$6,tabela_registros[TIPO],DADOS!$AJ$5,tabela_registros[CATEGORIA],reservaoutrosconsolidadonov[[#This Row],[ATUAL]])</f>
        <v>0</v>
      </c>
      <c r="N210" s="91">
        <f>SUMIFS(tabela_registros[VALOR],tabela_registros[MÊS],$AE$1,tabela_registros[DIA],reservaoutrosconsolidadonov[[#Headers],[10]],tabela_registros[REGISTRO],DADOS!$N$6,tabela_registros[TIPO],DADOS!$AJ$5,tabela_registros[CATEGORIA],reservaoutrosconsolidadonov[[#This Row],[ATUAL]])</f>
        <v>0</v>
      </c>
      <c r="O210" s="91">
        <f>SUMIFS(tabela_registros[VALOR],tabela_registros[MÊS],$AE$1,tabela_registros[DIA],reservaoutrosconsolidadonov[[#Headers],[11]],tabela_registros[REGISTRO],DADOS!$N$6,tabela_registros[TIPO],DADOS!$AJ$5,tabela_registros[CATEGORIA],reservaoutrosconsolidadonov[[#This Row],[ATUAL]])</f>
        <v>0</v>
      </c>
      <c r="P210" s="91">
        <f>SUMIFS(tabela_registros[VALOR],tabela_registros[MÊS],$AE$1,tabela_registros[DIA],reservaoutrosconsolidadonov[[#Headers],[12]],tabela_registros[REGISTRO],DADOS!$N$6,tabela_registros[TIPO],DADOS!$AJ$5,tabela_registros[CATEGORIA],reservaoutrosconsolidadonov[[#This Row],[ATUAL]])</f>
        <v>0</v>
      </c>
      <c r="Q210" s="91">
        <f>SUMIFS(tabela_registros[VALOR],tabela_registros[MÊS],$AE$1,tabela_registros[DIA],reservaoutrosconsolidadonov[[#Headers],[13]],tabela_registros[REGISTRO],DADOS!$N$6,tabela_registros[TIPO],DADOS!$AJ$5,tabela_registros[CATEGORIA],reservaoutrosconsolidadonov[[#This Row],[ATUAL]])</f>
        <v>0</v>
      </c>
      <c r="R210" s="91">
        <f>SUMIFS(tabela_registros[VALOR],tabela_registros[MÊS],$AE$1,tabela_registros[DIA],reservaoutrosconsolidadonov[[#Headers],[14]],tabela_registros[REGISTRO],DADOS!$N$6,tabela_registros[TIPO],DADOS!$AJ$5,tabela_registros[CATEGORIA],reservaoutrosconsolidadonov[[#This Row],[ATUAL]])</f>
        <v>0</v>
      </c>
      <c r="S210" s="91">
        <f>SUMIFS(tabela_registros[VALOR],tabela_registros[MÊS],$AE$1,tabela_registros[DIA],reservaoutrosconsolidadonov[[#Headers],[15]],tabela_registros[REGISTRO],DADOS!$N$6,tabela_registros[TIPO],DADOS!$AJ$5,tabela_registros[CATEGORIA],reservaoutrosconsolidadonov[[#This Row],[ATUAL]])</f>
        <v>0</v>
      </c>
      <c r="T210" s="91">
        <f>SUMIFS(tabela_registros[VALOR],tabela_registros[MÊS],$AE$1,tabela_registros[DIA],reservaoutrosconsolidadonov[[#Headers],[16]],tabela_registros[REGISTRO],DADOS!$N$6,tabela_registros[TIPO],DADOS!$AJ$5,tabela_registros[CATEGORIA],reservaoutrosconsolidadonov[[#This Row],[ATUAL]])</f>
        <v>0</v>
      </c>
      <c r="U210" s="91">
        <f>SUMIFS(tabela_registros[VALOR],tabela_registros[MÊS],$AE$1,tabela_registros[DIA],reservaoutrosconsolidadonov[[#Headers],[17]],tabela_registros[REGISTRO],DADOS!$N$6,tabela_registros[TIPO],DADOS!$AJ$5,tabela_registros[CATEGORIA],reservaoutrosconsolidadonov[[#This Row],[ATUAL]])</f>
        <v>0</v>
      </c>
      <c r="V210" s="91">
        <f>SUMIFS(tabela_registros[VALOR],tabela_registros[MÊS],$AE$1,tabela_registros[DIA],reservaoutrosconsolidadonov[[#Headers],[18]],tabela_registros[REGISTRO],DADOS!$N$6,tabela_registros[TIPO],DADOS!$AJ$5,tabela_registros[CATEGORIA],reservaoutrosconsolidadonov[[#This Row],[ATUAL]])</f>
        <v>0</v>
      </c>
      <c r="W210" s="91">
        <f>SUMIFS(tabela_registros[VALOR],tabela_registros[MÊS],$AE$1,tabela_registros[DIA],reservaoutrosconsolidadonov[[#Headers],[19]],tabela_registros[REGISTRO],DADOS!$N$6,tabela_registros[TIPO],DADOS!$AJ$5,tabela_registros[CATEGORIA],reservaoutrosconsolidadonov[[#This Row],[ATUAL]])</f>
        <v>0</v>
      </c>
      <c r="X210" s="91">
        <f>SUMIFS(tabela_registros[VALOR],tabela_registros[MÊS],$AE$1,tabela_registros[DIA],reservaoutrosconsolidadonov[[#Headers],[20]],tabela_registros[REGISTRO],DADOS!$N$6,tabela_registros[TIPO],DADOS!$AJ$5,tabela_registros[CATEGORIA],reservaoutrosconsolidadonov[[#This Row],[ATUAL]])</f>
        <v>0</v>
      </c>
      <c r="Y210" s="91">
        <f>SUMIFS(tabela_registros[VALOR],tabela_registros[MÊS],$AE$1,tabela_registros[DIA],reservaoutrosconsolidadonov[[#Headers],[21]],tabela_registros[REGISTRO],DADOS!$N$6,tabela_registros[TIPO],DADOS!$AJ$5,tabela_registros[CATEGORIA],reservaoutrosconsolidadonov[[#This Row],[ATUAL]])</f>
        <v>0</v>
      </c>
      <c r="Z210" s="91">
        <f>SUMIFS(tabela_registros[VALOR],tabela_registros[MÊS],$AE$1,tabela_registros[DIA],reservaoutrosconsolidadonov[[#Headers],[22]],tabela_registros[REGISTRO],DADOS!$N$6,tabela_registros[TIPO],DADOS!$AJ$5,tabela_registros[CATEGORIA],reservaoutrosconsolidadonov[[#This Row],[ATUAL]])</f>
        <v>0</v>
      </c>
      <c r="AA210" s="91">
        <f>SUMIFS(tabela_registros[VALOR],tabela_registros[MÊS],$AE$1,tabela_registros[DIA],reservaoutrosconsolidadonov[[#Headers],[23]],tabela_registros[REGISTRO],DADOS!$N$6,tabela_registros[TIPO],DADOS!$AJ$5,tabela_registros[CATEGORIA],reservaoutrosconsolidadonov[[#This Row],[ATUAL]])</f>
        <v>0</v>
      </c>
      <c r="AB210" s="91">
        <f>SUMIFS(tabela_registros[VALOR],tabela_registros[MÊS],$AE$1,tabela_registros[DIA],reservaoutrosconsolidadonov[[#Headers],[24]],tabela_registros[REGISTRO],DADOS!$N$6,tabela_registros[TIPO],DADOS!$AJ$5,tabela_registros[CATEGORIA],reservaoutrosconsolidadonov[[#This Row],[ATUAL]])</f>
        <v>0</v>
      </c>
      <c r="AC210" s="91">
        <f>SUMIFS(tabela_registros[VALOR],tabela_registros[MÊS],$AE$1,tabela_registros[DIA],reservaoutrosconsolidadonov[[#Headers],[25]],tabela_registros[REGISTRO],DADOS!$N$6,tabela_registros[TIPO],DADOS!$AJ$5,tabela_registros[CATEGORIA],reservaoutrosconsolidadonov[[#This Row],[ATUAL]])</f>
        <v>0</v>
      </c>
      <c r="AD210" s="91">
        <f>SUMIFS(tabela_registros[VALOR],tabela_registros[MÊS],$AE$1,tabela_registros[DIA],reservaoutrosconsolidadonov[[#Headers],[26]],tabela_registros[REGISTRO],DADOS!$N$6,tabela_registros[TIPO],DADOS!$AJ$5,tabela_registros[CATEGORIA],reservaoutrosconsolidadonov[[#This Row],[ATUAL]])</f>
        <v>0</v>
      </c>
      <c r="AE210" s="91">
        <f>SUMIFS(tabela_registros[VALOR],tabela_registros[MÊS],$AE$1,tabela_registros[DIA],reservaoutrosconsolidadonov[[#Headers],[27]],tabela_registros[REGISTRO],DADOS!$N$6,tabela_registros[TIPO],DADOS!$AJ$5,tabela_registros[CATEGORIA],reservaoutrosconsolidadonov[[#This Row],[ATUAL]])</f>
        <v>0</v>
      </c>
      <c r="AF210" s="91">
        <f>SUMIFS(tabela_registros[VALOR],tabela_registros[MÊS],$AE$1,tabela_registros[DIA],reservaoutrosconsolidadonov[[#Headers],[28]],tabela_registros[REGISTRO],DADOS!$N$6,tabela_registros[TIPO],DADOS!$AJ$5,tabela_registros[CATEGORIA],reservaoutrosconsolidadonov[[#This Row],[ATUAL]])</f>
        <v>0</v>
      </c>
      <c r="AG210" s="91">
        <f>SUMIFS(tabela_registros[VALOR],tabela_registros[MÊS],$AE$1,tabela_registros[DIA],reservaoutrosconsolidadonov[[#Headers],[29]],tabela_registros[REGISTRO],DADOS!$N$6,tabela_registros[TIPO],DADOS!$AJ$5,tabela_registros[CATEGORIA],reservaoutrosconsolidadonov[[#This Row],[ATUAL]])</f>
        <v>0</v>
      </c>
      <c r="AH210" s="91">
        <f>SUMIFS(tabela_registros[VALOR],tabela_registros[MÊS],$AE$1,tabela_registros[DIA],reservaoutrosconsolidadonov[[#Headers],[30]],tabela_registros[REGISTRO],DADOS!$N$6,tabela_registros[TIPO],DADOS!$AJ$5,tabela_registros[CATEGORIA],reservaoutrosconsolidadonov[[#This Row],[ATUAL]])</f>
        <v>0</v>
      </c>
      <c r="AI210" s="101">
        <f>SUMIFS(tabela_registros[VALOR],tabela_registros[MÊS],$AE$1,tabela_registros[DIA],reservaoutrosconsolidadonov[[#Headers],[31]],tabela_registros[REGISTRO],DADOS!$N$6,tabela_registros[TIPO],DADOS!$AJ$5,tabela_registros[CATEGORIA],reservaoutrosconsolidadonov[[#This Row],[ATUAL]])</f>
        <v>0</v>
      </c>
      <c r="AJ210" s="97">
        <f>SUM(reservaoutrosconsolidadonov[[#This Row],[1]:[31]])</f>
        <v>0</v>
      </c>
      <c r="AK210" s="25"/>
    </row>
    <row r="211" spans="2:37" ht="19.5" customHeight="1" thickTop="1" thickBot="1" x14ac:dyDescent="0.3">
      <c r="B211" s="28"/>
      <c r="C211" s="27" t="str">
        <f>DADOS!$AP$8</f>
        <v>📝 PEER TO PEER</v>
      </c>
      <c r="D211" s="26" t="str">
        <f>IF(reservaoutrosconsolidadonov[[#This Row],[TOTAL (R$)]]=0,"",IF(OR(reservaoutrosconsolidadonov[[#This Row],[TOTAL (R$)]]=LARGE($AJ$206:$AJ$213,1),reservaoutrosconsolidadonov[[#This Row],[TOTAL (R$)]]=LARGE($AJ$206:$AJ$213,2)),DADOS!$I$11,""))</f>
        <v/>
      </c>
      <c r="E211" s="96">
        <f>SUMIFS(tabela_registros[VALOR],tabela_registros[MÊS],$AE$1,tabela_registros[DIA],reservaoutrosconsolidadonov[[#Headers],[1]],tabela_registros[REGISTRO],DADOS!$N$6,tabela_registros[TIPO],DADOS!$AJ$5,tabela_registros[CATEGORIA],reservaoutrosconsolidadonov[[#This Row],[ATUAL]])</f>
        <v>0</v>
      </c>
      <c r="F211" s="91">
        <f>SUMIFS(tabela_registros[VALOR],tabela_registros[MÊS],$AE$1,tabela_registros[DIA],reservaoutrosconsolidadonov[[#Headers],[2]],tabela_registros[REGISTRO],DADOS!$N$6,tabela_registros[TIPO],DADOS!$AJ$5,tabela_registros[CATEGORIA],reservaoutrosconsolidadonov[[#This Row],[ATUAL]])</f>
        <v>0</v>
      </c>
      <c r="G211" s="91">
        <f>SUMIFS(tabela_registros[VALOR],tabela_registros[MÊS],$AE$1,tabela_registros[DIA],reservaoutrosconsolidadonov[[#Headers],[3]],tabela_registros[REGISTRO],DADOS!$N$6,tabela_registros[TIPO],DADOS!$AJ$5,tabela_registros[CATEGORIA],reservaoutrosconsolidadonov[[#This Row],[ATUAL]])</f>
        <v>0</v>
      </c>
      <c r="H211" s="91">
        <f>SUMIFS(tabela_registros[VALOR],tabela_registros[MÊS],$AE$1,tabela_registros[DIA],reservaoutrosconsolidadonov[[#Headers],[4]],tabela_registros[REGISTRO],DADOS!$N$6,tabela_registros[TIPO],DADOS!$AJ$5,tabela_registros[CATEGORIA],reservaoutrosconsolidadonov[[#This Row],[ATUAL]])</f>
        <v>0</v>
      </c>
      <c r="I211" s="91">
        <f>SUMIFS(tabela_registros[VALOR],tabela_registros[MÊS],$AE$1,tabela_registros[DIA],reservaoutrosconsolidadonov[[#Headers],[5]],tabela_registros[REGISTRO],DADOS!$N$6,tabela_registros[TIPO],DADOS!$AJ$5,tabela_registros[CATEGORIA],reservaoutrosconsolidadonov[[#This Row],[ATUAL]])</f>
        <v>0</v>
      </c>
      <c r="J211" s="91">
        <f>SUMIFS(tabela_registros[VALOR],tabela_registros[MÊS],$AE$1,tabela_registros[DIA],reservaoutrosconsolidadonov[[#Headers],[6]],tabela_registros[REGISTRO],DADOS!$N$6,tabela_registros[TIPO],DADOS!$AJ$5,tabela_registros[CATEGORIA],reservaoutrosconsolidadonov[[#This Row],[ATUAL]])</f>
        <v>0</v>
      </c>
      <c r="K211" s="91">
        <f>SUMIFS(tabela_registros[VALOR],tabela_registros[MÊS],$AE$1,tabela_registros[DIA],reservaoutrosconsolidadonov[[#Headers],[7]],tabela_registros[REGISTRO],DADOS!$N$6,tabela_registros[TIPO],DADOS!$AJ$5,tabela_registros[CATEGORIA],reservaoutrosconsolidadonov[[#This Row],[ATUAL]])</f>
        <v>0</v>
      </c>
      <c r="L211" s="91">
        <f>SUMIFS(tabela_registros[VALOR],tabela_registros[MÊS],$AE$1,tabela_registros[DIA],reservaoutrosconsolidadonov[[#Headers],[8]],tabela_registros[REGISTRO],DADOS!$N$6,tabela_registros[TIPO],DADOS!$AJ$5,tabela_registros[CATEGORIA],reservaoutrosconsolidadonov[[#This Row],[ATUAL]])</f>
        <v>0</v>
      </c>
      <c r="M211" s="91">
        <f>SUMIFS(tabela_registros[VALOR],tabela_registros[MÊS],$AE$1,tabela_registros[DIA],reservaoutrosconsolidadonov[[#Headers],[9]],tabela_registros[REGISTRO],DADOS!$N$6,tabela_registros[TIPO],DADOS!$AJ$5,tabela_registros[CATEGORIA],reservaoutrosconsolidadonov[[#This Row],[ATUAL]])</f>
        <v>0</v>
      </c>
      <c r="N211" s="91">
        <f>SUMIFS(tabela_registros[VALOR],tabela_registros[MÊS],$AE$1,tabela_registros[DIA],reservaoutrosconsolidadonov[[#Headers],[10]],tabela_registros[REGISTRO],DADOS!$N$6,tabela_registros[TIPO],DADOS!$AJ$5,tabela_registros[CATEGORIA],reservaoutrosconsolidadonov[[#This Row],[ATUAL]])</f>
        <v>0</v>
      </c>
      <c r="O211" s="91">
        <f>SUMIFS(tabela_registros[VALOR],tabela_registros[MÊS],$AE$1,tabela_registros[DIA],reservaoutrosconsolidadonov[[#Headers],[11]],tabela_registros[REGISTRO],DADOS!$N$6,tabela_registros[TIPO],DADOS!$AJ$5,tabela_registros[CATEGORIA],reservaoutrosconsolidadonov[[#This Row],[ATUAL]])</f>
        <v>0</v>
      </c>
      <c r="P211" s="91">
        <f>SUMIFS(tabela_registros[VALOR],tabela_registros[MÊS],$AE$1,tabela_registros[DIA],reservaoutrosconsolidadonov[[#Headers],[12]],tabela_registros[REGISTRO],DADOS!$N$6,tabela_registros[TIPO],DADOS!$AJ$5,tabela_registros[CATEGORIA],reservaoutrosconsolidadonov[[#This Row],[ATUAL]])</f>
        <v>0</v>
      </c>
      <c r="Q211" s="91">
        <f>SUMIFS(tabela_registros[VALOR],tabela_registros[MÊS],$AE$1,tabela_registros[DIA],reservaoutrosconsolidadonov[[#Headers],[13]],tabela_registros[REGISTRO],DADOS!$N$6,tabela_registros[TIPO],DADOS!$AJ$5,tabela_registros[CATEGORIA],reservaoutrosconsolidadonov[[#This Row],[ATUAL]])</f>
        <v>0</v>
      </c>
      <c r="R211" s="91">
        <f>SUMIFS(tabela_registros[VALOR],tabela_registros[MÊS],$AE$1,tabela_registros[DIA],reservaoutrosconsolidadonov[[#Headers],[14]],tabela_registros[REGISTRO],DADOS!$N$6,tabela_registros[TIPO],DADOS!$AJ$5,tabela_registros[CATEGORIA],reservaoutrosconsolidadonov[[#This Row],[ATUAL]])</f>
        <v>0</v>
      </c>
      <c r="S211" s="91">
        <f>SUMIFS(tabela_registros[VALOR],tabela_registros[MÊS],$AE$1,tabela_registros[DIA],reservaoutrosconsolidadonov[[#Headers],[15]],tabela_registros[REGISTRO],DADOS!$N$6,tabela_registros[TIPO],DADOS!$AJ$5,tabela_registros[CATEGORIA],reservaoutrosconsolidadonov[[#This Row],[ATUAL]])</f>
        <v>0</v>
      </c>
      <c r="T211" s="91">
        <f>SUMIFS(tabela_registros[VALOR],tabela_registros[MÊS],$AE$1,tabela_registros[DIA],reservaoutrosconsolidadonov[[#Headers],[16]],tabela_registros[REGISTRO],DADOS!$N$6,tabela_registros[TIPO],DADOS!$AJ$5,tabela_registros[CATEGORIA],reservaoutrosconsolidadonov[[#This Row],[ATUAL]])</f>
        <v>0</v>
      </c>
      <c r="U211" s="91">
        <f>SUMIFS(tabela_registros[VALOR],tabela_registros[MÊS],$AE$1,tabela_registros[DIA],reservaoutrosconsolidadonov[[#Headers],[17]],tabela_registros[REGISTRO],DADOS!$N$6,tabela_registros[TIPO],DADOS!$AJ$5,tabela_registros[CATEGORIA],reservaoutrosconsolidadonov[[#This Row],[ATUAL]])</f>
        <v>0</v>
      </c>
      <c r="V211" s="91">
        <f>SUMIFS(tabela_registros[VALOR],tabela_registros[MÊS],$AE$1,tabela_registros[DIA],reservaoutrosconsolidadonov[[#Headers],[18]],tabela_registros[REGISTRO],DADOS!$N$6,tabela_registros[TIPO],DADOS!$AJ$5,tabela_registros[CATEGORIA],reservaoutrosconsolidadonov[[#This Row],[ATUAL]])</f>
        <v>0</v>
      </c>
      <c r="W211" s="91">
        <f>SUMIFS(tabela_registros[VALOR],tabela_registros[MÊS],$AE$1,tabela_registros[DIA],reservaoutrosconsolidadonov[[#Headers],[19]],tabela_registros[REGISTRO],DADOS!$N$6,tabela_registros[TIPO],DADOS!$AJ$5,tabela_registros[CATEGORIA],reservaoutrosconsolidadonov[[#This Row],[ATUAL]])</f>
        <v>0</v>
      </c>
      <c r="X211" s="91">
        <f>SUMIFS(tabela_registros[VALOR],tabela_registros[MÊS],$AE$1,tabela_registros[DIA],reservaoutrosconsolidadonov[[#Headers],[20]],tabela_registros[REGISTRO],DADOS!$N$6,tabela_registros[TIPO],DADOS!$AJ$5,tabela_registros[CATEGORIA],reservaoutrosconsolidadonov[[#This Row],[ATUAL]])</f>
        <v>0</v>
      </c>
      <c r="Y211" s="91">
        <f>SUMIFS(tabela_registros[VALOR],tabela_registros[MÊS],$AE$1,tabela_registros[DIA],reservaoutrosconsolidadonov[[#Headers],[21]],tabela_registros[REGISTRO],DADOS!$N$6,tabela_registros[TIPO],DADOS!$AJ$5,tabela_registros[CATEGORIA],reservaoutrosconsolidadonov[[#This Row],[ATUAL]])</f>
        <v>0</v>
      </c>
      <c r="Z211" s="91">
        <f>SUMIFS(tabela_registros[VALOR],tabela_registros[MÊS],$AE$1,tabela_registros[DIA],reservaoutrosconsolidadonov[[#Headers],[22]],tabela_registros[REGISTRO],DADOS!$N$6,tabela_registros[TIPO],DADOS!$AJ$5,tabela_registros[CATEGORIA],reservaoutrosconsolidadonov[[#This Row],[ATUAL]])</f>
        <v>0</v>
      </c>
      <c r="AA211" s="91">
        <f>SUMIFS(tabela_registros[VALOR],tabela_registros[MÊS],$AE$1,tabela_registros[DIA],reservaoutrosconsolidadonov[[#Headers],[23]],tabela_registros[REGISTRO],DADOS!$N$6,tabela_registros[TIPO],DADOS!$AJ$5,tabela_registros[CATEGORIA],reservaoutrosconsolidadonov[[#This Row],[ATUAL]])</f>
        <v>0</v>
      </c>
      <c r="AB211" s="91">
        <f>SUMIFS(tabela_registros[VALOR],tabela_registros[MÊS],$AE$1,tabela_registros[DIA],reservaoutrosconsolidadonov[[#Headers],[24]],tabela_registros[REGISTRO],DADOS!$N$6,tabela_registros[TIPO],DADOS!$AJ$5,tabela_registros[CATEGORIA],reservaoutrosconsolidadonov[[#This Row],[ATUAL]])</f>
        <v>0</v>
      </c>
      <c r="AC211" s="91">
        <f>SUMIFS(tabela_registros[VALOR],tabela_registros[MÊS],$AE$1,tabela_registros[DIA],reservaoutrosconsolidadonov[[#Headers],[25]],tabela_registros[REGISTRO],DADOS!$N$6,tabela_registros[TIPO],DADOS!$AJ$5,tabela_registros[CATEGORIA],reservaoutrosconsolidadonov[[#This Row],[ATUAL]])</f>
        <v>0</v>
      </c>
      <c r="AD211" s="91">
        <f>SUMIFS(tabela_registros[VALOR],tabela_registros[MÊS],$AE$1,tabela_registros[DIA],reservaoutrosconsolidadonov[[#Headers],[26]],tabela_registros[REGISTRO],DADOS!$N$6,tabela_registros[TIPO],DADOS!$AJ$5,tabela_registros[CATEGORIA],reservaoutrosconsolidadonov[[#This Row],[ATUAL]])</f>
        <v>0</v>
      </c>
      <c r="AE211" s="91">
        <f>SUMIFS(tabela_registros[VALOR],tabela_registros[MÊS],$AE$1,tabela_registros[DIA],reservaoutrosconsolidadonov[[#Headers],[27]],tabela_registros[REGISTRO],DADOS!$N$6,tabela_registros[TIPO],DADOS!$AJ$5,tabela_registros[CATEGORIA],reservaoutrosconsolidadonov[[#This Row],[ATUAL]])</f>
        <v>0</v>
      </c>
      <c r="AF211" s="91">
        <f>SUMIFS(tabela_registros[VALOR],tabela_registros[MÊS],$AE$1,tabela_registros[DIA],reservaoutrosconsolidadonov[[#Headers],[28]],tabela_registros[REGISTRO],DADOS!$N$6,tabela_registros[TIPO],DADOS!$AJ$5,tabela_registros[CATEGORIA],reservaoutrosconsolidadonov[[#This Row],[ATUAL]])</f>
        <v>0</v>
      </c>
      <c r="AG211" s="91">
        <f>SUMIFS(tabela_registros[VALOR],tabela_registros[MÊS],$AE$1,tabela_registros[DIA],reservaoutrosconsolidadonov[[#Headers],[29]],tabela_registros[REGISTRO],DADOS!$N$6,tabela_registros[TIPO],DADOS!$AJ$5,tabela_registros[CATEGORIA],reservaoutrosconsolidadonov[[#This Row],[ATUAL]])</f>
        <v>0</v>
      </c>
      <c r="AH211" s="91">
        <f>SUMIFS(tabela_registros[VALOR],tabela_registros[MÊS],$AE$1,tabela_registros[DIA],reservaoutrosconsolidadonov[[#Headers],[30]],tabela_registros[REGISTRO],DADOS!$N$6,tabela_registros[TIPO],DADOS!$AJ$5,tabela_registros[CATEGORIA],reservaoutrosconsolidadonov[[#This Row],[ATUAL]])</f>
        <v>0</v>
      </c>
      <c r="AI211" s="101">
        <f>SUMIFS(tabela_registros[VALOR],tabela_registros[MÊS],$AE$1,tabela_registros[DIA],reservaoutrosconsolidadonov[[#Headers],[31]],tabela_registros[REGISTRO],DADOS!$N$6,tabela_registros[TIPO],DADOS!$AJ$5,tabela_registros[CATEGORIA],reservaoutrosconsolidadonov[[#This Row],[ATUAL]])</f>
        <v>0</v>
      </c>
      <c r="AJ211" s="97">
        <f>SUM(reservaoutrosconsolidadonov[[#This Row],[1]:[31]])</f>
        <v>0</v>
      </c>
      <c r="AK211" s="25"/>
    </row>
    <row r="212" spans="2:37" ht="19.5" customHeight="1" thickTop="1" thickBot="1" x14ac:dyDescent="0.3">
      <c r="B212" s="28"/>
      <c r="C212" s="27" t="str">
        <f>DADOS!$AP$9</f>
        <v>📝 PREVIDÊNCIA PRIVADA</v>
      </c>
      <c r="D212" s="26" t="str">
        <f>IF(reservaoutrosconsolidadonov[[#This Row],[TOTAL (R$)]]=0,"",IF(OR(reservaoutrosconsolidadonov[[#This Row],[TOTAL (R$)]]=LARGE($AJ$206:$AJ$213,1),reservaoutrosconsolidadonov[[#This Row],[TOTAL (R$)]]=LARGE($AJ$206:$AJ$213,2)),DADOS!$I$11,""))</f>
        <v/>
      </c>
      <c r="E212" s="96">
        <f>SUMIFS(tabela_registros[VALOR],tabela_registros[MÊS],$AE$1,tabela_registros[DIA],reservaoutrosconsolidadonov[[#Headers],[1]],tabela_registros[REGISTRO],DADOS!$N$6,tabela_registros[TIPO],DADOS!$AJ$5,tabela_registros[CATEGORIA],reservaoutrosconsolidadonov[[#This Row],[ATUAL]])</f>
        <v>0</v>
      </c>
      <c r="F212" s="91">
        <f>SUMIFS(tabela_registros[VALOR],tabela_registros[MÊS],$AE$1,tabela_registros[DIA],reservaoutrosconsolidadonov[[#Headers],[2]],tabela_registros[REGISTRO],DADOS!$N$6,tabela_registros[TIPO],DADOS!$AJ$5,tabela_registros[CATEGORIA],reservaoutrosconsolidadonov[[#This Row],[ATUAL]])</f>
        <v>0</v>
      </c>
      <c r="G212" s="91">
        <f>SUMIFS(tabela_registros[VALOR],tabela_registros[MÊS],$AE$1,tabela_registros[DIA],reservaoutrosconsolidadonov[[#Headers],[3]],tabela_registros[REGISTRO],DADOS!$N$6,tabela_registros[TIPO],DADOS!$AJ$5,tabela_registros[CATEGORIA],reservaoutrosconsolidadonov[[#This Row],[ATUAL]])</f>
        <v>0</v>
      </c>
      <c r="H212" s="91">
        <f>SUMIFS(tabela_registros[VALOR],tabela_registros[MÊS],$AE$1,tabela_registros[DIA],reservaoutrosconsolidadonov[[#Headers],[4]],tabela_registros[REGISTRO],DADOS!$N$6,tabela_registros[TIPO],DADOS!$AJ$5,tabela_registros[CATEGORIA],reservaoutrosconsolidadonov[[#This Row],[ATUAL]])</f>
        <v>0</v>
      </c>
      <c r="I212" s="91">
        <f>SUMIFS(tabela_registros[VALOR],tabela_registros[MÊS],$AE$1,tabela_registros[DIA],reservaoutrosconsolidadonov[[#Headers],[5]],tabela_registros[REGISTRO],DADOS!$N$6,tabela_registros[TIPO],DADOS!$AJ$5,tabela_registros[CATEGORIA],reservaoutrosconsolidadonov[[#This Row],[ATUAL]])</f>
        <v>0</v>
      </c>
      <c r="J212" s="91">
        <f>SUMIFS(tabela_registros[VALOR],tabela_registros[MÊS],$AE$1,tabela_registros[DIA],reservaoutrosconsolidadonov[[#Headers],[6]],tabela_registros[REGISTRO],DADOS!$N$6,tabela_registros[TIPO],DADOS!$AJ$5,tabela_registros[CATEGORIA],reservaoutrosconsolidadonov[[#This Row],[ATUAL]])</f>
        <v>0</v>
      </c>
      <c r="K212" s="91">
        <f>SUMIFS(tabela_registros[VALOR],tabela_registros[MÊS],$AE$1,tabela_registros[DIA],reservaoutrosconsolidadonov[[#Headers],[7]],tabela_registros[REGISTRO],DADOS!$N$6,tabela_registros[TIPO],DADOS!$AJ$5,tabela_registros[CATEGORIA],reservaoutrosconsolidadonov[[#This Row],[ATUAL]])</f>
        <v>0</v>
      </c>
      <c r="L212" s="91">
        <f>SUMIFS(tabela_registros[VALOR],tabela_registros[MÊS],$AE$1,tabela_registros[DIA],reservaoutrosconsolidadonov[[#Headers],[8]],tabela_registros[REGISTRO],DADOS!$N$6,tabela_registros[TIPO],DADOS!$AJ$5,tabela_registros[CATEGORIA],reservaoutrosconsolidadonov[[#This Row],[ATUAL]])</f>
        <v>0</v>
      </c>
      <c r="M212" s="91">
        <f>SUMIFS(tabela_registros[VALOR],tabela_registros[MÊS],$AE$1,tabela_registros[DIA],reservaoutrosconsolidadonov[[#Headers],[9]],tabela_registros[REGISTRO],DADOS!$N$6,tabela_registros[TIPO],DADOS!$AJ$5,tabela_registros[CATEGORIA],reservaoutrosconsolidadonov[[#This Row],[ATUAL]])</f>
        <v>0</v>
      </c>
      <c r="N212" s="91">
        <f>SUMIFS(tabela_registros[VALOR],tabela_registros[MÊS],$AE$1,tabela_registros[DIA],reservaoutrosconsolidadonov[[#Headers],[10]],tabela_registros[REGISTRO],DADOS!$N$6,tabela_registros[TIPO],DADOS!$AJ$5,tabela_registros[CATEGORIA],reservaoutrosconsolidadonov[[#This Row],[ATUAL]])</f>
        <v>0</v>
      </c>
      <c r="O212" s="91">
        <f>SUMIFS(tabela_registros[VALOR],tabela_registros[MÊS],$AE$1,tabela_registros[DIA],reservaoutrosconsolidadonov[[#Headers],[11]],tabela_registros[REGISTRO],DADOS!$N$6,tabela_registros[TIPO],DADOS!$AJ$5,tabela_registros[CATEGORIA],reservaoutrosconsolidadonov[[#This Row],[ATUAL]])</f>
        <v>0</v>
      </c>
      <c r="P212" s="91">
        <f>SUMIFS(tabela_registros[VALOR],tabela_registros[MÊS],$AE$1,tabela_registros[DIA],reservaoutrosconsolidadonov[[#Headers],[12]],tabela_registros[REGISTRO],DADOS!$N$6,tabela_registros[TIPO],DADOS!$AJ$5,tabela_registros[CATEGORIA],reservaoutrosconsolidadonov[[#This Row],[ATUAL]])</f>
        <v>0</v>
      </c>
      <c r="Q212" s="91">
        <f>SUMIFS(tabela_registros[VALOR],tabela_registros[MÊS],$AE$1,tabela_registros[DIA],reservaoutrosconsolidadonov[[#Headers],[13]],tabela_registros[REGISTRO],DADOS!$N$6,tabela_registros[TIPO],DADOS!$AJ$5,tabela_registros[CATEGORIA],reservaoutrosconsolidadonov[[#This Row],[ATUAL]])</f>
        <v>0</v>
      </c>
      <c r="R212" s="91">
        <f>SUMIFS(tabela_registros[VALOR],tabela_registros[MÊS],$AE$1,tabela_registros[DIA],reservaoutrosconsolidadonov[[#Headers],[14]],tabela_registros[REGISTRO],DADOS!$N$6,tabela_registros[TIPO],DADOS!$AJ$5,tabela_registros[CATEGORIA],reservaoutrosconsolidadonov[[#This Row],[ATUAL]])</f>
        <v>0</v>
      </c>
      <c r="S212" s="91">
        <f>SUMIFS(tabela_registros[VALOR],tabela_registros[MÊS],$AE$1,tabela_registros[DIA],reservaoutrosconsolidadonov[[#Headers],[15]],tabela_registros[REGISTRO],DADOS!$N$6,tabela_registros[TIPO],DADOS!$AJ$5,tabela_registros[CATEGORIA],reservaoutrosconsolidadonov[[#This Row],[ATUAL]])</f>
        <v>0</v>
      </c>
      <c r="T212" s="91">
        <f>SUMIFS(tabela_registros[VALOR],tabela_registros[MÊS],$AE$1,tabela_registros[DIA],reservaoutrosconsolidadonov[[#Headers],[16]],tabela_registros[REGISTRO],DADOS!$N$6,tabela_registros[TIPO],DADOS!$AJ$5,tabela_registros[CATEGORIA],reservaoutrosconsolidadonov[[#This Row],[ATUAL]])</f>
        <v>0</v>
      </c>
      <c r="U212" s="91">
        <f>SUMIFS(tabela_registros[VALOR],tabela_registros[MÊS],$AE$1,tabela_registros[DIA],reservaoutrosconsolidadonov[[#Headers],[17]],tabela_registros[REGISTRO],DADOS!$N$6,tabela_registros[TIPO],DADOS!$AJ$5,tabela_registros[CATEGORIA],reservaoutrosconsolidadonov[[#This Row],[ATUAL]])</f>
        <v>0</v>
      </c>
      <c r="V212" s="91">
        <f>SUMIFS(tabela_registros[VALOR],tabela_registros[MÊS],$AE$1,tabela_registros[DIA],reservaoutrosconsolidadonov[[#Headers],[18]],tabela_registros[REGISTRO],DADOS!$N$6,tabela_registros[TIPO],DADOS!$AJ$5,tabela_registros[CATEGORIA],reservaoutrosconsolidadonov[[#This Row],[ATUAL]])</f>
        <v>0</v>
      </c>
      <c r="W212" s="91">
        <f>SUMIFS(tabela_registros[VALOR],tabela_registros[MÊS],$AE$1,tabela_registros[DIA],reservaoutrosconsolidadonov[[#Headers],[19]],tabela_registros[REGISTRO],DADOS!$N$6,tabela_registros[TIPO],DADOS!$AJ$5,tabela_registros[CATEGORIA],reservaoutrosconsolidadonov[[#This Row],[ATUAL]])</f>
        <v>0</v>
      </c>
      <c r="X212" s="91">
        <f>SUMIFS(tabela_registros[VALOR],tabela_registros[MÊS],$AE$1,tabela_registros[DIA],reservaoutrosconsolidadonov[[#Headers],[20]],tabela_registros[REGISTRO],DADOS!$N$6,tabela_registros[TIPO],DADOS!$AJ$5,tabela_registros[CATEGORIA],reservaoutrosconsolidadonov[[#This Row],[ATUAL]])</f>
        <v>0</v>
      </c>
      <c r="Y212" s="91">
        <f>SUMIFS(tabela_registros[VALOR],tabela_registros[MÊS],$AE$1,tabela_registros[DIA],reservaoutrosconsolidadonov[[#Headers],[21]],tabela_registros[REGISTRO],DADOS!$N$6,tabela_registros[TIPO],DADOS!$AJ$5,tabela_registros[CATEGORIA],reservaoutrosconsolidadonov[[#This Row],[ATUAL]])</f>
        <v>0</v>
      </c>
      <c r="Z212" s="91">
        <f>SUMIFS(tabela_registros[VALOR],tabela_registros[MÊS],$AE$1,tabela_registros[DIA],reservaoutrosconsolidadonov[[#Headers],[22]],tabela_registros[REGISTRO],DADOS!$N$6,tabela_registros[TIPO],DADOS!$AJ$5,tabela_registros[CATEGORIA],reservaoutrosconsolidadonov[[#This Row],[ATUAL]])</f>
        <v>0</v>
      </c>
      <c r="AA212" s="91">
        <f>SUMIFS(tabela_registros[VALOR],tabela_registros[MÊS],$AE$1,tabela_registros[DIA],reservaoutrosconsolidadonov[[#Headers],[23]],tabela_registros[REGISTRO],DADOS!$N$6,tabela_registros[TIPO],DADOS!$AJ$5,tabela_registros[CATEGORIA],reservaoutrosconsolidadonov[[#This Row],[ATUAL]])</f>
        <v>0</v>
      </c>
      <c r="AB212" s="91">
        <f>SUMIFS(tabela_registros[VALOR],tabela_registros[MÊS],$AE$1,tabela_registros[DIA],reservaoutrosconsolidadonov[[#Headers],[24]],tabela_registros[REGISTRO],DADOS!$N$6,tabela_registros[TIPO],DADOS!$AJ$5,tabela_registros[CATEGORIA],reservaoutrosconsolidadonov[[#This Row],[ATUAL]])</f>
        <v>0</v>
      </c>
      <c r="AC212" s="91">
        <f>SUMIFS(tabela_registros[VALOR],tabela_registros[MÊS],$AE$1,tabela_registros[DIA],reservaoutrosconsolidadonov[[#Headers],[25]],tabela_registros[REGISTRO],DADOS!$N$6,tabela_registros[TIPO],DADOS!$AJ$5,tabela_registros[CATEGORIA],reservaoutrosconsolidadonov[[#This Row],[ATUAL]])</f>
        <v>0</v>
      </c>
      <c r="AD212" s="91">
        <f>SUMIFS(tabela_registros[VALOR],tabela_registros[MÊS],$AE$1,tabela_registros[DIA],reservaoutrosconsolidadonov[[#Headers],[26]],tabela_registros[REGISTRO],DADOS!$N$6,tabela_registros[TIPO],DADOS!$AJ$5,tabela_registros[CATEGORIA],reservaoutrosconsolidadonov[[#This Row],[ATUAL]])</f>
        <v>0</v>
      </c>
      <c r="AE212" s="91">
        <f>SUMIFS(tabela_registros[VALOR],tabela_registros[MÊS],$AE$1,tabela_registros[DIA],reservaoutrosconsolidadonov[[#Headers],[27]],tabela_registros[REGISTRO],DADOS!$N$6,tabela_registros[TIPO],DADOS!$AJ$5,tabela_registros[CATEGORIA],reservaoutrosconsolidadonov[[#This Row],[ATUAL]])</f>
        <v>0</v>
      </c>
      <c r="AF212" s="91">
        <f>SUMIFS(tabela_registros[VALOR],tabela_registros[MÊS],$AE$1,tabela_registros[DIA],reservaoutrosconsolidadonov[[#Headers],[28]],tabela_registros[REGISTRO],DADOS!$N$6,tabela_registros[TIPO],DADOS!$AJ$5,tabela_registros[CATEGORIA],reservaoutrosconsolidadonov[[#This Row],[ATUAL]])</f>
        <v>0</v>
      </c>
      <c r="AG212" s="91">
        <f>SUMIFS(tabela_registros[VALOR],tabela_registros[MÊS],$AE$1,tabela_registros[DIA],reservaoutrosconsolidadonov[[#Headers],[29]],tabela_registros[REGISTRO],DADOS!$N$6,tabela_registros[TIPO],DADOS!$AJ$5,tabela_registros[CATEGORIA],reservaoutrosconsolidadonov[[#This Row],[ATUAL]])</f>
        <v>0</v>
      </c>
      <c r="AH212" s="91">
        <f>SUMIFS(tabela_registros[VALOR],tabela_registros[MÊS],$AE$1,tabela_registros[DIA],reservaoutrosconsolidadonov[[#Headers],[30]],tabela_registros[REGISTRO],DADOS!$N$6,tabela_registros[TIPO],DADOS!$AJ$5,tabela_registros[CATEGORIA],reservaoutrosconsolidadonov[[#This Row],[ATUAL]])</f>
        <v>0</v>
      </c>
      <c r="AI212" s="101">
        <f>SUMIFS(tabela_registros[VALOR],tabela_registros[MÊS],$AE$1,tabela_registros[DIA],reservaoutrosconsolidadonov[[#Headers],[31]],tabela_registros[REGISTRO],DADOS!$N$6,tabela_registros[TIPO],DADOS!$AJ$5,tabela_registros[CATEGORIA],reservaoutrosconsolidadonov[[#This Row],[ATUAL]])</f>
        <v>0</v>
      </c>
      <c r="AJ212" s="97">
        <f>SUM(reservaoutrosconsolidadonov[[#This Row],[1]:[31]])</f>
        <v>0</v>
      </c>
      <c r="AK212" s="25"/>
    </row>
    <row r="213" spans="2:37" ht="19.5" customHeight="1" thickTop="1" thickBot="1" x14ac:dyDescent="0.3">
      <c r="B213" s="28"/>
      <c r="C213" s="27" t="str">
        <f>DADOS!$AP$10</f>
        <v>📎 OUTROS</v>
      </c>
      <c r="D213" s="26" t="str">
        <f>IF(reservaoutrosconsolidadonov[[#This Row],[TOTAL (R$)]]=0,"",IF(OR(reservaoutrosconsolidadonov[[#This Row],[TOTAL (R$)]]=LARGE($AJ$206:$AJ$213,1),reservaoutrosconsolidadonov[[#This Row],[TOTAL (R$)]]=LARGE($AJ$206:$AJ$213,2)),DADOS!$I$11,""))</f>
        <v/>
      </c>
      <c r="E213" s="96">
        <f>SUMIFS(tabela_registros[VALOR],tabela_registros[MÊS],$AE$1,tabela_registros[DIA],reservaoutrosconsolidadonov[[#Headers],[1]],tabela_registros[REGISTRO],DADOS!$N$6,tabela_registros[TIPO],DADOS!$AJ$5,tabela_registros[CATEGORIA],reservaoutrosconsolidadonov[[#This Row],[ATUAL]])</f>
        <v>0</v>
      </c>
      <c r="F213" s="91">
        <f>SUMIFS(tabela_registros[VALOR],tabela_registros[MÊS],$AE$1,tabela_registros[DIA],reservaoutrosconsolidadonov[[#Headers],[2]],tabela_registros[REGISTRO],DADOS!$N$6,tabela_registros[TIPO],DADOS!$AJ$5,tabela_registros[CATEGORIA],reservaoutrosconsolidadonov[[#This Row],[ATUAL]])</f>
        <v>0</v>
      </c>
      <c r="G213" s="91">
        <f>SUMIFS(tabela_registros[VALOR],tabela_registros[MÊS],$AE$1,tabela_registros[DIA],reservaoutrosconsolidadonov[[#Headers],[3]],tabela_registros[REGISTRO],DADOS!$N$6,tabela_registros[TIPO],DADOS!$AJ$5,tabela_registros[CATEGORIA],reservaoutrosconsolidadonov[[#This Row],[ATUAL]])</f>
        <v>0</v>
      </c>
      <c r="H213" s="91">
        <f>SUMIFS(tabela_registros[VALOR],tabela_registros[MÊS],$AE$1,tabela_registros[DIA],reservaoutrosconsolidadonov[[#Headers],[4]],tabela_registros[REGISTRO],DADOS!$N$6,tabela_registros[TIPO],DADOS!$AJ$5,tabela_registros[CATEGORIA],reservaoutrosconsolidadonov[[#This Row],[ATUAL]])</f>
        <v>0</v>
      </c>
      <c r="I213" s="91">
        <f>SUMIFS(tabela_registros[VALOR],tabela_registros[MÊS],$AE$1,tabela_registros[DIA],reservaoutrosconsolidadonov[[#Headers],[5]],tabela_registros[REGISTRO],DADOS!$N$6,tabela_registros[TIPO],DADOS!$AJ$5,tabela_registros[CATEGORIA],reservaoutrosconsolidadonov[[#This Row],[ATUAL]])</f>
        <v>0</v>
      </c>
      <c r="J213" s="91">
        <f>SUMIFS(tabela_registros[VALOR],tabela_registros[MÊS],$AE$1,tabela_registros[DIA],reservaoutrosconsolidadonov[[#Headers],[6]],tabela_registros[REGISTRO],DADOS!$N$6,tabela_registros[TIPO],DADOS!$AJ$5,tabela_registros[CATEGORIA],reservaoutrosconsolidadonov[[#This Row],[ATUAL]])</f>
        <v>0</v>
      </c>
      <c r="K213" s="91">
        <f>SUMIFS(tabela_registros[VALOR],tabela_registros[MÊS],$AE$1,tabela_registros[DIA],reservaoutrosconsolidadonov[[#Headers],[7]],tabela_registros[REGISTRO],DADOS!$N$6,tabela_registros[TIPO],DADOS!$AJ$5,tabela_registros[CATEGORIA],reservaoutrosconsolidadonov[[#This Row],[ATUAL]])</f>
        <v>0</v>
      </c>
      <c r="L213" s="91">
        <f>SUMIFS(tabela_registros[VALOR],tabela_registros[MÊS],$AE$1,tabela_registros[DIA],reservaoutrosconsolidadonov[[#Headers],[8]],tabela_registros[REGISTRO],DADOS!$N$6,tabela_registros[TIPO],DADOS!$AJ$5,tabela_registros[CATEGORIA],reservaoutrosconsolidadonov[[#This Row],[ATUAL]])</f>
        <v>0</v>
      </c>
      <c r="M213" s="91">
        <f>SUMIFS(tabela_registros[VALOR],tabela_registros[MÊS],$AE$1,tabela_registros[DIA],reservaoutrosconsolidadonov[[#Headers],[9]],tabela_registros[REGISTRO],DADOS!$N$6,tabela_registros[TIPO],DADOS!$AJ$5,tabela_registros[CATEGORIA],reservaoutrosconsolidadonov[[#This Row],[ATUAL]])</f>
        <v>0</v>
      </c>
      <c r="N213" s="91">
        <f>SUMIFS(tabela_registros[VALOR],tabela_registros[MÊS],$AE$1,tabela_registros[DIA],reservaoutrosconsolidadonov[[#Headers],[10]],tabela_registros[REGISTRO],DADOS!$N$6,tabela_registros[TIPO],DADOS!$AJ$5,tabela_registros[CATEGORIA],reservaoutrosconsolidadonov[[#This Row],[ATUAL]])</f>
        <v>0</v>
      </c>
      <c r="O213" s="91">
        <f>SUMIFS(tabela_registros[VALOR],tabela_registros[MÊS],$AE$1,tabela_registros[DIA],reservaoutrosconsolidadonov[[#Headers],[11]],tabela_registros[REGISTRO],DADOS!$N$6,tabela_registros[TIPO],DADOS!$AJ$5,tabela_registros[CATEGORIA],reservaoutrosconsolidadonov[[#This Row],[ATUAL]])</f>
        <v>0</v>
      </c>
      <c r="P213" s="91">
        <f>SUMIFS(tabela_registros[VALOR],tabela_registros[MÊS],$AE$1,tabela_registros[DIA],reservaoutrosconsolidadonov[[#Headers],[12]],tabela_registros[REGISTRO],DADOS!$N$6,tabela_registros[TIPO],DADOS!$AJ$5,tabela_registros[CATEGORIA],reservaoutrosconsolidadonov[[#This Row],[ATUAL]])</f>
        <v>0</v>
      </c>
      <c r="Q213" s="91">
        <f>SUMIFS(tabela_registros[VALOR],tabela_registros[MÊS],$AE$1,tabela_registros[DIA],reservaoutrosconsolidadonov[[#Headers],[13]],tabela_registros[REGISTRO],DADOS!$N$6,tabela_registros[TIPO],DADOS!$AJ$5,tabela_registros[CATEGORIA],reservaoutrosconsolidadonov[[#This Row],[ATUAL]])</f>
        <v>0</v>
      </c>
      <c r="R213" s="91">
        <f>SUMIFS(tabela_registros[VALOR],tabela_registros[MÊS],$AE$1,tabela_registros[DIA],reservaoutrosconsolidadonov[[#Headers],[14]],tabela_registros[REGISTRO],DADOS!$N$6,tabela_registros[TIPO],DADOS!$AJ$5,tabela_registros[CATEGORIA],reservaoutrosconsolidadonov[[#This Row],[ATUAL]])</f>
        <v>0</v>
      </c>
      <c r="S213" s="91">
        <f>SUMIFS(tabela_registros[VALOR],tabela_registros[MÊS],$AE$1,tabela_registros[DIA],reservaoutrosconsolidadonov[[#Headers],[15]],tabela_registros[REGISTRO],DADOS!$N$6,tabela_registros[TIPO],DADOS!$AJ$5,tabela_registros[CATEGORIA],reservaoutrosconsolidadonov[[#This Row],[ATUAL]])</f>
        <v>0</v>
      </c>
      <c r="T213" s="91">
        <f>SUMIFS(tabela_registros[VALOR],tabela_registros[MÊS],$AE$1,tabela_registros[DIA],reservaoutrosconsolidadonov[[#Headers],[16]],tabela_registros[REGISTRO],DADOS!$N$6,tabela_registros[TIPO],DADOS!$AJ$5,tabela_registros[CATEGORIA],reservaoutrosconsolidadonov[[#This Row],[ATUAL]])</f>
        <v>0</v>
      </c>
      <c r="U213" s="91">
        <f>SUMIFS(tabela_registros[VALOR],tabela_registros[MÊS],$AE$1,tabela_registros[DIA],reservaoutrosconsolidadonov[[#Headers],[17]],tabela_registros[REGISTRO],DADOS!$N$6,tabela_registros[TIPO],DADOS!$AJ$5,tabela_registros[CATEGORIA],reservaoutrosconsolidadonov[[#This Row],[ATUAL]])</f>
        <v>0</v>
      </c>
      <c r="V213" s="91">
        <f>SUMIFS(tabela_registros[VALOR],tabela_registros[MÊS],$AE$1,tabela_registros[DIA],reservaoutrosconsolidadonov[[#Headers],[18]],tabela_registros[REGISTRO],DADOS!$N$6,tabela_registros[TIPO],DADOS!$AJ$5,tabela_registros[CATEGORIA],reservaoutrosconsolidadonov[[#This Row],[ATUAL]])</f>
        <v>0</v>
      </c>
      <c r="W213" s="91">
        <f>SUMIFS(tabela_registros[VALOR],tabela_registros[MÊS],$AE$1,tabela_registros[DIA],reservaoutrosconsolidadonov[[#Headers],[19]],tabela_registros[REGISTRO],DADOS!$N$6,tabela_registros[TIPO],DADOS!$AJ$5,tabela_registros[CATEGORIA],reservaoutrosconsolidadonov[[#This Row],[ATUAL]])</f>
        <v>0</v>
      </c>
      <c r="X213" s="91">
        <f>SUMIFS(tabela_registros[VALOR],tabela_registros[MÊS],$AE$1,tabela_registros[DIA],reservaoutrosconsolidadonov[[#Headers],[20]],tabela_registros[REGISTRO],DADOS!$N$6,tabela_registros[TIPO],DADOS!$AJ$5,tabela_registros[CATEGORIA],reservaoutrosconsolidadonov[[#This Row],[ATUAL]])</f>
        <v>0</v>
      </c>
      <c r="Y213" s="91">
        <f>SUMIFS(tabela_registros[VALOR],tabela_registros[MÊS],$AE$1,tabela_registros[DIA],reservaoutrosconsolidadonov[[#Headers],[21]],tabela_registros[REGISTRO],DADOS!$N$6,tabela_registros[TIPO],DADOS!$AJ$5,tabela_registros[CATEGORIA],reservaoutrosconsolidadonov[[#This Row],[ATUAL]])</f>
        <v>0</v>
      </c>
      <c r="Z213" s="91">
        <f>SUMIFS(tabela_registros[VALOR],tabela_registros[MÊS],$AE$1,tabela_registros[DIA],reservaoutrosconsolidadonov[[#Headers],[22]],tabela_registros[REGISTRO],DADOS!$N$6,tabela_registros[TIPO],DADOS!$AJ$5,tabela_registros[CATEGORIA],reservaoutrosconsolidadonov[[#This Row],[ATUAL]])</f>
        <v>0</v>
      </c>
      <c r="AA213" s="91">
        <f>SUMIFS(tabela_registros[VALOR],tabela_registros[MÊS],$AE$1,tabela_registros[DIA],reservaoutrosconsolidadonov[[#Headers],[23]],tabela_registros[REGISTRO],DADOS!$N$6,tabela_registros[TIPO],DADOS!$AJ$5,tabela_registros[CATEGORIA],reservaoutrosconsolidadonov[[#This Row],[ATUAL]])</f>
        <v>0</v>
      </c>
      <c r="AB213" s="91">
        <f>SUMIFS(tabela_registros[VALOR],tabela_registros[MÊS],$AE$1,tabela_registros[DIA],reservaoutrosconsolidadonov[[#Headers],[24]],tabela_registros[REGISTRO],DADOS!$N$6,tabela_registros[TIPO],DADOS!$AJ$5,tabela_registros[CATEGORIA],reservaoutrosconsolidadonov[[#This Row],[ATUAL]])</f>
        <v>0</v>
      </c>
      <c r="AC213" s="91">
        <f>SUMIFS(tabela_registros[VALOR],tabela_registros[MÊS],$AE$1,tabela_registros[DIA],reservaoutrosconsolidadonov[[#Headers],[25]],tabela_registros[REGISTRO],DADOS!$N$6,tabela_registros[TIPO],DADOS!$AJ$5,tabela_registros[CATEGORIA],reservaoutrosconsolidadonov[[#This Row],[ATUAL]])</f>
        <v>0</v>
      </c>
      <c r="AD213" s="91">
        <f>SUMIFS(tabela_registros[VALOR],tabela_registros[MÊS],$AE$1,tabela_registros[DIA],reservaoutrosconsolidadonov[[#Headers],[26]],tabela_registros[REGISTRO],DADOS!$N$6,tabela_registros[TIPO],DADOS!$AJ$5,tabela_registros[CATEGORIA],reservaoutrosconsolidadonov[[#This Row],[ATUAL]])</f>
        <v>0</v>
      </c>
      <c r="AE213" s="91">
        <f>SUMIFS(tabela_registros[VALOR],tabela_registros[MÊS],$AE$1,tabela_registros[DIA],reservaoutrosconsolidadonov[[#Headers],[27]],tabela_registros[REGISTRO],DADOS!$N$6,tabela_registros[TIPO],DADOS!$AJ$5,tabela_registros[CATEGORIA],reservaoutrosconsolidadonov[[#This Row],[ATUAL]])</f>
        <v>0</v>
      </c>
      <c r="AF213" s="91">
        <f>SUMIFS(tabela_registros[VALOR],tabela_registros[MÊS],$AE$1,tabela_registros[DIA],reservaoutrosconsolidadonov[[#Headers],[28]],tabela_registros[REGISTRO],DADOS!$N$6,tabela_registros[TIPO],DADOS!$AJ$5,tabela_registros[CATEGORIA],reservaoutrosconsolidadonov[[#This Row],[ATUAL]])</f>
        <v>0</v>
      </c>
      <c r="AG213" s="91">
        <f>SUMIFS(tabela_registros[VALOR],tabela_registros[MÊS],$AE$1,tabela_registros[DIA],reservaoutrosconsolidadonov[[#Headers],[29]],tabela_registros[REGISTRO],DADOS!$N$6,tabela_registros[TIPO],DADOS!$AJ$5,tabela_registros[CATEGORIA],reservaoutrosconsolidadonov[[#This Row],[ATUAL]])</f>
        <v>0</v>
      </c>
      <c r="AH213" s="99">
        <f>SUMIFS(tabela_registros[VALOR],tabela_registros[MÊS],$AE$1,tabela_registros[DIA],reservaoutrosconsolidadonov[[#Headers],[30]],tabela_registros[REGISTRO],DADOS!$N$6,tabela_registros[TIPO],DADOS!$AJ$5,tabela_registros[CATEGORIA],reservaoutrosconsolidadonov[[#This Row],[ATUAL]])</f>
        <v>0</v>
      </c>
      <c r="AI213" s="102">
        <f>SUMIFS(tabela_registros[VALOR],tabela_registros[MÊS],$AE$1,tabela_registros[DIA],reservaoutrosconsolidadonov[[#Headers],[31]],tabela_registros[REGISTRO],DADOS!$N$6,tabela_registros[TIPO],DADOS!$AJ$5,tabela_registros[CATEGORIA],reservaoutrosconsolidadonov[[#This Row],[ATUAL]])</f>
        <v>0</v>
      </c>
      <c r="AJ213" s="103">
        <f>SUM(reservaoutrosconsolidadonov[[#This Row],[1]:[31]])</f>
        <v>0</v>
      </c>
      <c r="AK213" s="25"/>
    </row>
    <row r="214" spans="2:37" s="16" customFormat="1" ht="21" customHeight="1" thickTop="1" thickBot="1" x14ac:dyDescent="0.35">
      <c r="B214" s="24"/>
      <c r="C214" s="23" t="s">
        <v>19</v>
      </c>
      <c r="D214" s="22"/>
      <c r="E214" s="21">
        <f>SUM(E206:E213)</f>
        <v>0</v>
      </c>
      <c r="F214" s="20">
        <f>SUM(F206:F213)+reservaoutrosconsolidadonov[[#This Row],[1]]</f>
        <v>0</v>
      </c>
      <c r="G214" s="20">
        <f>SUM(G206:G213)+reservaoutrosconsolidadonov[[#This Row],[2]]</f>
        <v>0</v>
      </c>
      <c r="H214" s="20">
        <f>SUM(H206:H213)+reservaoutrosconsolidadonov[[#This Row],[3]]</f>
        <v>0</v>
      </c>
      <c r="I214" s="20">
        <f>SUM(I206:I213)+reservaoutrosconsolidadonov[[#This Row],[4]]</f>
        <v>0</v>
      </c>
      <c r="J214" s="20">
        <f>SUM(J206:J213)+reservaoutrosconsolidadonov[[#This Row],[5]]</f>
        <v>0</v>
      </c>
      <c r="K214" s="20">
        <f>SUM(K206:K213)+reservaoutrosconsolidadonov[[#This Row],[6]]</f>
        <v>0</v>
      </c>
      <c r="L214" s="20">
        <f>SUM(L206:L213)+reservaoutrosconsolidadonov[[#This Row],[7]]</f>
        <v>0</v>
      </c>
      <c r="M214" s="20">
        <f>SUM(M206:M213)+reservaoutrosconsolidadonov[[#This Row],[8]]</f>
        <v>0</v>
      </c>
      <c r="N214" s="20">
        <f>SUM(N206:N213)+reservaoutrosconsolidadonov[[#This Row],[9]]</f>
        <v>0</v>
      </c>
      <c r="O214" s="20">
        <f>SUM(O206:O213)+reservaoutrosconsolidadonov[[#This Row],[10]]</f>
        <v>0</v>
      </c>
      <c r="P214" s="20">
        <f>SUM(P206:P213)+reservaoutrosconsolidadonov[[#This Row],[11]]</f>
        <v>0</v>
      </c>
      <c r="Q214" s="20">
        <f>SUM(Q206:Q213)+reservaoutrosconsolidadonov[[#This Row],[12]]</f>
        <v>0</v>
      </c>
      <c r="R214" s="20">
        <f>SUM(R206:R213)+reservaoutrosconsolidadonov[[#This Row],[13]]</f>
        <v>0</v>
      </c>
      <c r="S214" s="20">
        <f>SUM(S206:S213)+reservaoutrosconsolidadonov[[#This Row],[14]]</f>
        <v>0</v>
      </c>
      <c r="T214" s="20">
        <f>SUM(T206:T213)+reservaoutrosconsolidadonov[[#This Row],[15]]</f>
        <v>0</v>
      </c>
      <c r="U214" s="20">
        <f>SUM(U206:U213)+reservaoutrosconsolidadonov[[#This Row],[16]]</f>
        <v>0</v>
      </c>
      <c r="V214" s="20">
        <f>SUM(V206:V213)+reservaoutrosconsolidadonov[[#This Row],[17]]</f>
        <v>0</v>
      </c>
      <c r="W214" s="20">
        <f>SUM(W206:W213)+reservaoutrosconsolidadonov[[#This Row],[18]]</f>
        <v>0</v>
      </c>
      <c r="X214" s="20">
        <f>SUM(X206:X213)+reservaoutrosconsolidadonov[[#This Row],[19]]</f>
        <v>0</v>
      </c>
      <c r="Y214" s="20">
        <f>SUM(Y206:Y213)+reservaoutrosconsolidadonov[[#This Row],[20]]</f>
        <v>0</v>
      </c>
      <c r="Z214" s="20">
        <f>SUM(Z206:Z213)+reservaoutrosconsolidadonov[[#This Row],[21]]</f>
        <v>0</v>
      </c>
      <c r="AA214" s="20">
        <f>SUM(AA206:AA213)+reservaoutrosconsolidadonov[[#This Row],[22]]</f>
        <v>0</v>
      </c>
      <c r="AB214" s="20">
        <f>SUM(AB206:AB213)+reservaoutrosconsolidadonov[[#This Row],[23]]</f>
        <v>0</v>
      </c>
      <c r="AC214" s="20">
        <f>SUM(AC206:AC213)+reservaoutrosconsolidadonov[[#This Row],[24]]</f>
        <v>0</v>
      </c>
      <c r="AD214" s="20">
        <f>SUM(AD206:AD213)+reservaoutrosconsolidadonov[[#This Row],[25]]</f>
        <v>0</v>
      </c>
      <c r="AE214" s="20">
        <f>SUM(AE206:AE213)+reservaoutrosconsolidadonov[[#This Row],[26]]</f>
        <v>0</v>
      </c>
      <c r="AF214" s="20">
        <f>SUM(AF206:AF213)+reservaoutrosconsolidadonov[[#This Row],[27]]</f>
        <v>0</v>
      </c>
      <c r="AG214" s="20">
        <f>SUM(AG206:AG213)+reservaoutrosconsolidadonov[[#This Row],[28]]</f>
        <v>0</v>
      </c>
      <c r="AH214" s="20">
        <f>SUM(AH206:AH213)+reservaoutrosconsolidadonov[[#This Row],[29]]</f>
        <v>0</v>
      </c>
      <c r="AI214" s="19">
        <f>SUM(AI206:AI213)+reservaoutrosconsolidadonov[[#This Row],[30]]</f>
        <v>0</v>
      </c>
      <c r="AJ214" s="18">
        <f>reservaoutrosconsolidadonov[[#This Row],[31]]</f>
        <v>0</v>
      </c>
      <c r="AK214" s="17"/>
    </row>
    <row r="215" spans="2:37" ht="6.75" customHeight="1" thickTop="1" thickBot="1" x14ac:dyDescent="0.3">
      <c r="B215" s="15"/>
      <c r="C215" s="14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3"/>
      <c r="AE215" s="13"/>
      <c r="AF215" s="13"/>
      <c r="AG215" s="13"/>
      <c r="AH215" s="13"/>
      <c r="AI215" s="12"/>
      <c r="AJ215" s="11"/>
      <c r="AK215" s="10"/>
    </row>
    <row r="216" spans="2:37" ht="12.6" thickTop="1" x14ac:dyDescent="0.25"/>
    <row r="217" spans="2:37" x14ac:dyDescent="0.25"/>
  </sheetData>
  <sheetProtection algorithmName="SHA-512" hashValue="R7U/Veb7Slx4V1idWmqQfYeZIJmFSnv5VN/+SZbB3MCaIpqaru9HFmgLMyb0kgi5Qlb/LJqOIOlflYUhk1Qcag==" saltValue="sLTBSiCN72bMXMPNkUoAfg==" spinCount="100000" sheet="1" objects="1" scenarios="1" selectLockedCells="1" selectUnlockedCells="1"/>
  <mergeCells count="26">
    <mergeCell ref="E164:AI164"/>
    <mergeCell ref="E183:AI183"/>
    <mergeCell ref="E202:AI202"/>
    <mergeCell ref="E10:AI10"/>
    <mergeCell ref="E21:AI21"/>
    <mergeCell ref="E33:AI33"/>
    <mergeCell ref="E56:AI56"/>
    <mergeCell ref="E78:AI78"/>
    <mergeCell ref="E92:AI92"/>
    <mergeCell ref="E109:AI109"/>
    <mergeCell ref="E128:AI128"/>
    <mergeCell ref="E147:AI147"/>
    <mergeCell ref="AC3:AD4"/>
    <mergeCell ref="AF3:AG4"/>
    <mergeCell ref="E4:G4"/>
    <mergeCell ref="I4:K4"/>
    <mergeCell ref="M4:O4"/>
    <mergeCell ref="Q4:S4"/>
    <mergeCell ref="U4:W4"/>
    <mergeCell ref="U3:W3"/>
    <mergeCell ref="Z3:AA4"/>
    <mergeCell ref="C2:C6"/>
    <mergeCell ref="E3:G3"/>
    <mergeCell ref="I3:K3"/>
    <mergeCell ref="M3:O3"/>
    <mergeCell ref="Q3:S3"/>
  </mergeCells>
  <hyperlinks>
    <hyperlink ref="Z3:AA4" location="'🔒'!A1" display="REGISTROS" xr:uid="{890537F6-D681-4AAB-B008-57A95D4CDCD1}"/>
    <hyperlink ref="AF3:AG4" location="ANUAL!A1" display="ANUAL" xr:uid="{69B6E473-6509-4B4F-8A83-6F7BBF7439A5}"/>
    <hyperlink ref="AC3:AD4" location="'📈'!A1" display="RADAR" xr:uid="{3160EEF5-D476-4DFE-9C19-A3A3ED53848C}"/>
  </hyperlinks>
  <pageMargins left="0.511811024" right="0.511811024" top="0.78740157499999996" bottom="0.78740157499999996" header="0.31496062000000002" footer="0.31496062000000002"/>
  <ignoredErrors>
    <ignoredError sqref="E6:AH6" numberStoredAsText="1"/>
    <ignoredError sqref="AJ16:AJ27 D37:AJ214" calculatedColumn="1"/>
  </ignoredErrors>
  <drawing r:id="rId1"/>
  <tableParts count="12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</tableParts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type="column" displayEmptyCellsAs="gap" high="1" low="1" negative="1" minAxisType="custom" maxAxisType="group" xr2:uid="{E6A2F6BE-EFEC-42CB-B476-99BB97C3371A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'11'!E27:AI27</xm:f>
              <xm:sqref>E21</xm:sqref>
            </x14:sparkline>
          </x14:sparklines>
        </x14:sparklineGroup>
        <x14:sparklineGroup manualMax="0" manualMin="0" type="column" displayEmptyCellsAs="gap" high="1" low="1" negative="1" minAxisType="custom" maxAxisType="group" xr2:uid="{33C7EC12-CEB7-4A74-BB4A-A65E38609589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'11'!E87:AI87</xm:f>
              <xm:sqref>E78</xm:sqref>
            </x14:sparkline>
          </x14:sparklines>
        </x14:sparklineGroup>
        <x14:sparklineGroup manualMax="0" manualMin="0" type="column" displayEmptyCellsAs="gap" high="1" low="1" negative="1" minAxisType="custom" maxAxisType="group" xr2:uid="{AA31C0FB-B3EB-4264-BC0A-6E221E405EEE}">
          <x14:colorSeries rgb="FFC00000"/>
          <x14:colorNegative rgb="FFC00000"/>
          <x14:colorAxis rgb="FF000000"/>
          <x14:colorMarkers rgb="FF0070C0"/>
          <x14:colorFirst rgb="FFFFC000"/>
          <x14:colorLast rgb="FFFFC000"/>
          <x14:colorHigh rgb="FFFF0000"/>
          <x14:colorLow rgb="FFFFC000"/>
          <x14:sparklines>
            <x14:sparkline>
              <xm:f>'11'!E73:AI73</xm:f>
              <xm:sqref>E56</xm:sqref>
            </x14:sparkline>
          </x14:sparklines>
        </x14:sparklineGroup>
        <x14:sparklineGroup manualMax="0" manualMin="0" type="column" displayEmptyCellsAs="gap" high="1" low="1" negative="1" minAxisType="custom" maxAxisType="group" xr2:uid="{80DA8B07-0E21-4998-BB5F-B77AE7AEB664}">
          <x14:colorSeries rgb="FFC00000"/>
          <x14:colorNegative rgb="FFC00000"/>
          <x14:colorAxis rgb="FF000000"/>
          <x14:colorMarkers rgb="FF0070C0"/>
          <x14:colorFirst rgb="FFFFC000"/>
          <x14:colorLast rgb="FFFFC000"/>
          <x14:colorHigh rgb="FFFF0000"/>
          <x14:colorLow rgb="FFFFC000"/>
          <x14:sparklines>
            <x14:sparkline>
              <xm:f>'11'!E51:AI51</xm:f>
              <xm:sqref>E33</xm:sqref>
            </x14:sparkline>
          </x14:sparklines>
        </x14:sparklineGroup>
        <x14:sparklineGroup manualMax="0" manualMin="0" type="column" displayEmptyCellsAs="gap" high="1" low="1" negative="1" minAxisType="custom" maxAxisType="group" xr2:uid="{ECE2EBB6-3CF1-4848-AAF0-5051307F137A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'11'!E104:AI104</xm:f>
              <xm:sqref>E92</xm:sqref>
            </x14:sparkline>
          </x14:sparklines>
        </x14:sparklineGroup>
        <x14:sparklineGroup manualMax="0" manualMin="0" type="column" displayEmptyCellsAs="gap" high="1" low="1" negative="1" minAxisType="custom" maxAxisType="group" xr2:uid="{72FE39F7-37B0-4E12-B9D9-5307453EE90F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'11'!E123:AI123</xm:f>
              <xm:sqref>E109</xm:sqref>
            </x14:sparkline>
          </x14:sparklines>
        </x14:sparklineGroup>
        <x14:sparklineGroup manualMax="0" manualMin="0" type="column" displayEmptyCellsAs="gap" high="1" low="1" negative="1" minAxisType="custom" maxAxisType="group" xr2:uid="{EAA2B892-3EE9-45F0-ACAF-85F4FB9A4F85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'11'!E142:AI142</xm:f>
              <xm:sqref>E128</xm:sqref>
            </x14:sparkline>
          </x14:sparklines>
        </x14:sparklineGroup>
        <x14:sparklineGroup manualMax="0" manualMin="0" type="column" displayEmptyCellsAs="gap" high="1" low="1" negative="1" minAxisType="custom" maxAxisType="group" xr2:uid="{E35DF0CD-3BA2-4379-8331-429873155AAD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'11'!E159:AI159</xm:f>
              <xm:sqref>E147</xm:sqref>
            </x14:sparkline>
          </x14:sparklines>
        </x14:sparklineGroup>
        <x14:sparklineGroup manualMax="0" manualMin="0" type="column" displayEmptyCellsAs="gap" high="1" low="1" negative="1" minAxisType="custom" maxAxisType="group" xr2:uid="{A0DA0EE8-9F43-4927-9A17-C9825F8713AD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'11'!E178:AI178</xm:f>
              <xm:sqref>E164</xm:sqref>
            </x14:sparkline>
          </x14:sparklines>
        </x14:sparklineGroup>
        <x14:sparklineGroup manualMax="0" manualMin="0" type="column" displayEmptyCellsAs="gap" high="1" low="1" negative="1" minAxisType="custom" maxAxisType="group" xr2:uid="{2D0B1B6C-3444-4681-A400-0FEE1AD25C5D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'11'!E197:AI197</xm:f>
              <xm:sqref>E183</xm:sqref>
            </x14:sparkline>
          </x14:sparklines>
        </x14:sparklineGroup>
        <x14:sparklineGroup manualMax="0" manualMin="0" type="column" displayEmptyCellsAs="gap" high="1" low="1" negative="1" minAxisType="custom" maxAxisType="group" xr2:uid="{E5C85185-1A34-47F2-A33A-C12B91CB7AF8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'11'!E214:AI214</xm:f>
              <xm:sqref>E202</xm:sqref>
            </x14:sparkline>
          </x14:sparklines>
        </x14:sparklineGroup>
        <x14:sparklineGroup manualMax="0" type="column" displayEmptyCellsAs="gap" high="1" negative="1" maxAxisType="group" xr2:uid="{172345D2-3D86-48D2-9E27-8AA53FFB5432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'11'!E16:AI16</xm:f>
              <xm:sqref>E10</xm:sqref>
            </x14:sparkline>
          </x14:sparklines>
        </x14:sparklineGroup>
      </x14:sparklineGroups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46B49D-8B80-481A-A697-89682FDC4ED4}">
  <sheetPr codeName="Planilha16">
    <tabColor rgb="FFFFEBAB"/>
  </sheetPr>
  <dimension ref="A1:AL217"/>
  <sheetViews>
    <sheetView showGridLines="0" showRowColHeaders="0" showZeros="0" zoomScale="85" zoomScaleNormal="85" workbookViewId="0">
      <pane xSplit="3" ySplit="6" topLeftCell="D7" activePane="bottomRight" state="frozen"/>
      <selection activeCell="D24" sqref="D24"/>
      <selection pane="topRight" activeCell="D24" sqref="D24"/>
      <selection pane="bottomLeft" activeCell="D24" sqref="D24"/>
      <selection pane="bottomRight" activeCell="D24" sqref="D24"/>
    </sheetView>
  </sheetViews>
  <sheetFormatPr defaultColWidth="0" defaultRowHeight="12" zeroHeight="1" x14ac:dyDescent="0.25"/>
  <cols>
    <col min="1" max="1" width="2.109375" style="4" customWidth="1"/>
    <col min="2" max="2" width="1.5546875" style="4" customWidth="1"/>
    <col min="3" max="3" width="29.33203125" style="4" bestFit="1" customWidth="1"/>
    <col min="4" max="4" width="4.6640625" style="4" customWidth="1"/>
    <col min="5" max="34" width="5.5546875" style="4" customWidth="1"/>
    <col min="35" max="35" width="5.5546875" style="9" customWidth="1"/>
    <col min="36" max="36" width="9.5546875" style="4" customWidth="1"/>
    <col min="37" max="37" width="1.5546875" style="4" customWidth="1"/>
    <col min="38" max="38" width="2" style="4" customWidth="1"/>
    <col min="39" max="16384" width="2.109375" style="4" hidden="1"/>
  </cols>
  <sheetData>
    <row r="1" spans="1:38" ht="29.25" hidden="1" customHeight="1" thickBot="1" x14ac:dyDescent="0.3">
      <c r="A1" s="80"/>
      <c r="B1" s="80"/>
      <c r="C1" s="80"/>
      <c r="D1" s="79"/>
      <c r="AD1" s="4" t="s">
        <v>215</v>
      </c>
      <c r="AE1" s="78">
        <v>12</v>
      </c>
      <c r="AH1" s="4" t="s">
        <v>214</v>
      </c>
      <c r="AI1" s="75">
        <f>IF('⚙️'!$Q$3=$AE$1,'⚙️'!$F$13,0)</f>
        <v>0</v>
      </c>
      <c r="AK1" s="75"/>
    </row>
    <row r="2" spans="1:38" ht="15.75" customHeight="1" thickTop="1" thickBot="1" x14ac:dyDescent="0.3">
      <c r="A2" s="77"/>
      <c r="B2" s="77"/>
      <c r="C2" s="245" t="s">
        <v>30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71"/>
      <c r="U2" s="71"/>
      <c r="V2" s="71"/>
      <c r="W2" s="71"/>
      <c r="X2" s="71"/>
      <c r="Y2" s="71"/>
      <c r="Z2" s="71"/>
      <c r="AA2" s="71"/>
      <c r="AB2" s="71"/>
      <c r="AC2" s="76"/>
      <c r="AD2" s="64"/>
      <c r="AE2" s="64"/>
      <c r="AF2" s="64"/>
      <c r="AG2" s="64"/>
      <c r="AH2" s="64"/>
      <c r="AI2" s="64"/>
      <c r="AJ2" s="64"/>
      <c r="AK2" s="64"/>
      <c r="AL2" s="64"/>
    </row>
    <row r="3" spans="1:38" s="73" customFormat="1" ht="18" customHeight="1" thickTop="1" thickBot="1" x14ac:dyDescent="0.3">
      <c r="A3" s="72"/>
      <c r="B3" s="72"/>
      <c r="C3" s="246"/>
      <c r="D3" s="2"/>
      <c r="E3" s="243" t="s">
        <v>211</v>
      </c>
      <c r="F3" s="243"/>
      <c r="G3" s="243"/>
      <c r="H3" s="71"/>
      <c r="I3" s="243" t="s">
        <v>210</v>
      </c>
      <c r="J3" s="243"/>
      <c r="K3" s="243"/>
      <c r="L3" s="71"/>
      <c r="M3" s="243" t="s">
        <v>209</v>
      </c>
      <c r="N3" s="243"/>
      <c r="O3" s="243"/>
      <c r="P3" s="71"/>
      <c r="Q3" s="243" t="s">
        <v>208</v>
      </c>
      <c r="R3" s="243"/>
      <c r="S3" s="243"/>
      <c r="T3" s="71"/>
      <c r="U3" s="243" t="s">
        <v>207</v>
      </c>
      <c r="V3" s="243"/>
      <c r="W3" s="243"/>
      <c r="X3" s="71"/>
      <c r="Y3" s="71"/>
      <c r="Z3" s="252" t="s">
        <v>23</v>
      </c>
      <c r="AA3" s="253"/>
      <c r="AB3" s="64"/>
      <c r="AC3" s="252" t="s">
        <v>24</v>
      </c>
      <c r="AD3" s="253"/>
      <c r="AE3" s="64"/>
      <c r="AF3" s="252" t="s">
        <v>22</v>
      </c>
      <c r="AG3" s="253"/>
      <c r="AH3" s="74"/>
      <c r="AI3" s="74"/>
      <c r="AJ3" s="74"/>
      <c r="AK3" s="64"/>
      <c r="AL3" s="64"/>
    </row>
    <row r="4" spans="1:38" s="73" customFormat="1" ht="18" customHeight="1" thickTop="1" thickBot="1" x14ac:dyDescent="0.3">
      <c r="A4" s="72"/>
      <c r="B4" s="72"/>
      <c r="C4" s="246"/>
      <c r="D4" s="2"/>
      <c r="E4" s="242">
        <f>$AJ$16</f>
        <v>0</v>
      </c>
      <c r="F4" s="242"/>
      <c r="G4" s="242"/>
      <c r="H4" s="71"/>
      <c r="I4" s="242">
        <f>$AJ$14</f>
        <v>0</v>
      </c>
      <c r="J4" s="242"/>
      <c r="K4" s="242"/>
      <c r="L4" s="71"/>
      <c r="M4" s="242">
        <f>$AJ$15</f>
        <v>0</v>
      </c>
      <c r="N4" s="242"/>
      <c r="O4" s="242"/>
      <c r="P4" s="71"/>
      <c r="Q4" s="242">
        <f>$AJ$25</f>
        <v>0</v>
      </c>
      <c r="R4" s="242"/>
      <c r="S4" s="242"/>
      <c r="T4" s="71"/>
      <c r="U4" s="242">
        <f>$AJ$26</f>
        <v>0</v>
      </c>
      <c r="V4" s="242"/>
      <c r="W4" s="242"/>
      <c r="X4" s="71"/>
      <c r="Y4" s="71"/>
      <c r="Z4" s="254"/>
      <c r="AA4" s="255"/>
      <c r="AB4" s="64"/>
      <c r="AC4" s="254"/>
      <c r="AD4" s="255"/>
      <c r="AE4" s="64"/>
      <c r="AF4" s="254"/>
      <c r="AG4" s="255"/>
      <c r="AH4" s="74"/>
      <c r="AI4" s="74"/>
      <c r="AJ4" s="74"/>
      <c r="AK4" s="64"/>
      <c r="AL4" s="64"/>
    </row>
    <row r="5" spans="1:38" ht="11.25" customHeight="1" thickTop="1" thickBot="1" x14ac:dyDescent="0.3">
      <c r="A5" s="72"/>
      <c r="B5" s="72"/>
      <c r="C5" s="246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71"/>
      <c r="Y5" s="2"/>
      <c r="Z5" s="2"/>
      <c r="AA5" s="71"/>
      <c r="AB5" s="71"/>
      <c r="AC5" s="70"/>
      <c r="AD5" s="69"/>
      <c r="AE5" s="69"/>
      <c r="AF5" s="69"/>
      <c r="AG5" s="69"/>
      <c r="AH5" s="69"/>
      <c r="AI5" s="69"/>
      <c r="AJ5" s="64"/>
      <c r="AK5" s="64"/>
      <c r="AL5" s="64"/>
    </row>
    <row r="6" spans="1:38" ht="13.5" customHeight="1" thickTop="1" thickBot="1" x14ac:dyDescent="0.3">
      <c r="A6" s="68"/>
      <c r="B6" s="68"/>
      <c r="C6" s="247"/>
      <c r="D6" s="15"/>
      <c r="E6" s="67" t="s">
        <v>197</v>
      </c>
      <c r="F6" s="67" t="s">
        <v>196</v>
      </c>
      <c r="G6" s="66" t="s">
        <v>195</v>
      </c>
      <c r="H6" s="66" t="s">
        <v>194</v>
      </c>
      <c r="I6" s="66" t="s">
        <v>193</v>
      </c>
      <c r="J6" s="66" t="s">
        <v>192</v>
      </c>
      <c r="K6" s="66" t="s">
        <v>191</v>
      </c>
      <c r="L6" s="66" t="s">
        <v>190</v>
      </c>
      <c r="M6" s="66" t="s">
        <v>189</v>
      </c>
      <c r="N6" s="66" t="s">
        <v>188</v>
      </c>
      <c r="O6" s="66" t="s">
        <v>187</v>
      </c>
      <c r="P6" s="66" t="s">
        <v>186</v>
      </c>
      <c r="Q6" s="66" t="s">
        <v>185</v>
      </c>
      <c r="R6" s="66" t="s">
        <v>184</v>
      </c>
      <c r="S6" s="66" t="s">
        <v>183</v>
      </c>
      <c r="T6" s="66" t="s">
        <v>182</v>
      </c>
      <c r="U6" s="66" t="s">
        <v>181</v>
      </c>
      <c r="V6" s="66" t="s">
        <v>180</v>
      </c>
      <c r="W6" s="66" t="s">
        <v>179</v>
      </c>
      <c r="X6" s="66" t="s">
        <v>178</v>
      </c>
      <c r="Y6" s="66" t="s">
        <v>177</v>
      </c>
      <c r="Z6" s="66" t="s">
        <v>176</v>
      </c>
      <c r="AA6" s="66" t="s">
        <v>175</v>
      </c>
      <c r="AB6" s="66" t="s">
        <v>174</v>
      </c>
      <c r="AC6" s="66" t="s">
        <v>173</v>
      </c>
      <c r="AD6" s="66" t="s">
        <v>172</v>
      </c>
      <c r="AE6" s="66" t="s">
        <v>171</v>
      </c>
      <c r="AF6" s="66" t="s">
        <v>170</v>
      </c>
      <c r="AG6" s="66" t="s">
        <v>169</v>
      </c>
      <c r="AH6" s="66" t="s">
        <v>168</v>
      </c>
      <c r="AI6" s="65" t="s">
        <v>167</v>
      </c>
      <c r="AJ6" s="64"/>
      <c r="AK6" s="64"/>
      <c r="AL6" s="64"/>
    </row>
    <row r="7" spans="1:38" ht="12.6" thickTop="1" x14ac:dyDescent="0.25">
      <c r="E7" s="37"/>
      <c r="AI7" s="4"/>
    </row>
    <row r="8" spans="1:38" x14ac:dyDescent="0.25">
      <c r="AI8" s="4"/>
    </row>
    <row r="9" spans="1:38" x14ac:dyDescent="0.25">
      <c r="AI9" s="4"/>
    </row>
    <row r="10" spans="1:38" ht="39.75" customHeight="1" x14ac:dyDescent="0.7">
      <c r="C10" s="36"/>
      <c r="E10" s="240"/>
      <c r="F10" s="240"/>
      <c r="G10" s="240"/>
      <c r="H10" s="240"/>
      <c r="I10" s="240"/>
      <c r="J10" s="240"/>
      <c r="K10" s="240"/>
      <c r="L10" s="240"/>
      <c r="M10" s="240"/>
      <c r="N10" s="240"/>
      <c r="O10" s="240"/>
      <c r="P10" s="240"/>
      <c r="Q10" s="240"/>
      <c r="R10" s="240"/>
      <c r="S10" s="240"/>
      <c r="T10" s="240"/>
      <c r="U10" s="240"/>
      <c r="V10" s="240"/>
      <c r="W10" s="240"/>
      <c r="X10" s="240"/>
      <c r="Y10" s="240"/>
      <c r="Z10" s="240"/>
      <c r="AA10" s="240"/>
      <c r="AB10" s="240"/>
      <c r="AC10" s="240"/>
      <c r="AD10" s="240"/>
      <c r="AE10" s="240"/>
      <c r="AF10" s="240"/>
      <c r="AG10" s="240"/>
      <c r="AH10" s="240"/>
      <c r="AI10" s="240"/>
      <c r="AJ10" s="32" t="s">
        <v>19</v>
      </c>
    </row>
    <row r="11" spans="1:38" ht="12.6" thickBot="1" x14ac:dyDescent="0.3">
      <c r="AI11" s="4"/>
      <c r="AJ11" s="34" t="s">
        <v>202</v>
      </c>
    </row>
    <row r="12" spans="1:38" ht="6.75" customHeight="1" thickTop="1" thickBot="1" x14ac:dyDescent="0.3">
      <c r="B12" s="49"/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49"/>
      <c r="X12" s="49"/>
      <c r="Y12" s="49"/>
      <c r="Z12" s="49"/>
      <c r="AA12" s="49"/>
      <c r="AB12" s="49"/>
      <c r="AC12" s="49"/>
      <c r="AD12" s="49"/>
      <c r="AE12" s="49"/>
      <c r="AF12" s="49"/>
      <c r="AG12" s="49"/>
      <c r="AH12" s="49"/>
      <c r="AI12" s="49"/>
      <c r="AJ12" s="50"/>
      <c r="AK12" s="49"/>
    </row>
    <row r="13" spans="1:38" ht="13.2" hidden="1" thickTop="1" thickBot="1" x14ac:dyDescent="0.3">
      <c r="B13" s="2"/>
      <c r="C13" s="31" t="s">
        <v>199</v>
      </c>
      <c r="D13" s="30" t="s">
        <v>198</v>
      </c>
      <c r="E13" s="30" t="s">
        <v>197</v>
      </c>
      <c r="F13" s="30" t="s">
        <v>196</v>
      </c>
      <c r="G13" s="30" t="s">
        <v>195</v>
      </c>
      <c r="H13" s="30" t="s">
        <v>194</v>
      </c>
      <c r="I13" s="30" t="s">
        <v>193</v>
      </c>
      <c r="J13" s="30" t="s">
        <v>192</v>
      </c>
      <c r="K13" s="30" t="s">
        <v>191</v>
      </c>
      <c r="L13" s="30" t="s">
        <v>190</v>
      </c>
      <c r="M13" s="30" t="s">
        <v>189</v>
      </c>
      <c r="N13" s="30" t="s">
        <v>188</v>
      </c>
      <c r="O13" s="30" t="s">
        <v>187</v>
      </c>
      <c r="P13" s="30" t="s">
        <v>186</v>
      </c>
      <c r="Q13" s="30" t="s">
        <v>185</v>
      </c>
      <c r="R13" s="30" t="s">
        <v>184</v>
      </c>
      <c r="S13" s="30" t="s">
        <v>183</v>
      </c>
      <c r="T13" s="30" t="s">
        <v>182</v>
      </c>
      <c r="U13" s="30" t="s">
        <v>181</v>
      </c>
      <c r="V13" s="30" t="s">
        <v>180</v>
      </c>
      <c r="W13" s="30" t="s">
        <v>179</v>
      </c>
      <c r="X13" s="30" t="s">
        <v>178</v>
      </c>
      <c r="Y13" s="30" t="s">
        <v>177</v>
      </c>
      <c r="Z13" s="30" t="s">
        <v>176</v>
      </c>
      <c r="AA13" s="30" t="s">
        <v>175</v>
      </c>
      <c r="AB13" s="30" t="s">
        <v>174</v>
      </c>
      <c r="AC13" s="30" t="s">
        <v>173</v>
      </c>
      <c r="AD13" s="30" t="s">
        <v>172</v>
      </c>
      <c r="AE13" s="30" t="s">
        <v>171</v>
      </c>
      <c r="AF13" s="30" t="s">
        <v>170</v>
      </c>
      <c r="AG13" s="30" t="s">
        <v>169</v>
      </c>
      <c r="AH13" s="30" t="s">
        <v>168</v>
      </c>
      <c r="AI13" s="30" t="s">
        <v>167</v>
      </c>
      <c r="AJ13" s="29" t="s">
        <v>166</v>
      </c>
      <c r="AK13" s="49"/>
    </row>
    <row r="14" spans="1:38" ht="19.5" customHeight="1" thickTop="1" thickBot="1" x14ac:dyDescent="0.3">
      <c r="B14" s="49"/>
      <c r="C14" s="61" t="s">
        <v>206</v>
      </c>
      <c r="D14" s="60"/>
      <c r="E14" s="88">
        <f>SUMIFS(tabela_registros[VALOR],tabela_registros[MÊS],$AE$1,tabela_registros[DIA],deztotal3059718395107119131143155167[[#Headers],[1]],tabela_registros[REGISTRO],DADOS!$N$3)</f>
        <v>0</v>
      </c>
      <c r="F14" s="88">
        <f>SUMIFS(tabela_registros[VALOR],tabela_registros[MÊS],$AE$1,tabela_registros[DIA],deztotal3059718395107119131143155167[[#Headers],[2]],tabela_registros[REGISTRO],DADOS!$N$3)</f>
        <v>0</v>
      </c>
      <c r="G14" s="88">
        <f>SUMIFS(tabela_registros[VALOR],tabela_registros[MÊS],$AE$1,tabela_registros[DIA],deztotal3059718395107119131143155167[[#Headers],[3]],tabela_registros[REGISTRO],DADOS!$N$3)</f>
        <v>0</v>
      </c>
      <c r="H14" s="88">
        <f>SUMIFS(tabela_registros[VALOR],tabela_registros[MÊS],$AE$1,tabela_registros[DIA],deztotal3059718395107119131143155167[[#Headers],[4]],tabela_registros[REGISTRO],DADOS!$N$3)</f>
        <v>0</v>
      </c>
      <c r="I14" s="88">
        <f>SUMIFS(tabela_registros[VALOR],tabela_registros[MÊS],$AE$1,tabela_registros[DIA],deztotal3059718395107119131143155167[[#Headers],[5]],tabela_registros[REGISTRO],DADOS!$N$3)</f>
        <v>0</v>
      </c>
      <c r="J14" s="88">
        <f>SUMIFS(tabela_registros[VALOR],tabela_registros[MÊS],$AE$1,tabela_registros[DIA],deztotal3059718395107119131143155167[[#Headers],[6]],tabela_registros[REGISTRO],DADOS!$N$3)</f>
        <v>0</v>
      </c>
      <c r="K14" s="88">
        <f>SUMIFS(tabela_registros[VALOR],tabela_registros[MÊS],$AE$1,tabela_registros[DIA],deztotal3059718395107119131143155167[[#Headers],[7]],tabela_registros[REGISTRO],DADOS!$N$3)</f>
        <v>0</v>
      </c>
      <c r="L14" s="88">
        <f>SUMIFS(tabela_registros[VALOR],tabela_registros[MÊS],$AE$1,tabela_registros[DIA],deztotal3059718395107119131143155167[[#Headers],[8]],tabela_registros[REGISTRO],DADOS!$N$3)</f>
        <v>0</v>
      </c>
      <c r="M14" s="88">
        <f>SUMIFS(tabela_registros[VALOR],tabela_registros[MÊS],$AE$1,tabela_registros[DIA],deztotal3059718395107119131143155167[[#Headers],[9]],tabela_registros[REGISTRO],DADOS!$N$3)</f>
        <v>0</v>
      </c>
      <c r="N14" s="88">
        <f>SUMIFS(tabela_registros[VALOR],tabela_registros[MÊS],$AE$1,tabela_registros[DIA],deztotal3059718395107119131143155167[[#Headers],[10]],tabela_registros[REGISTRO],DADOS!$N$3)</f>
        <v>0</v>
      </c>
      <c r="O14" s="88">
        <f>SUMIFS(tabela_registros[VALOR],tabela_registros[MÊS],$AE$1,tabela_registros[DIA],deztotal3059718395107119131143155167[[#Headers],[11]],tabela_registros[REGISTRO],DADOS!$N$3)</f>
        <v>0</v>
      </c>
      <c r="P14" s="88">
        <f>SUMIFS(tabela_registros[VALOR],tabela_registros[MÊS],$AE$1,tabela_registros[DIA],deztotal3059718395107119131143155167[[#Headers],[12]],tabela_registros[REGISTRO],DADOS!$N$3)</f>
        <v>0</v>
      </c>
      <c r="Q14" s="88">
        <f>SUMIFS(tabela_registros[VALOR],tabela_registros[MÊS],$AE$1,tabela_registros[DIA],deztotal3059718395107119131143155167[[#Headers],[13]],tabela_registros[REGISTRO],DADOS!$N$3)</f>
        <v>0</v>
      </c>
      <c r="R14" s="88">
        <f>SUMIFS(tabela_registros[VALOR],tabela_registros[MÊS],$AE$1,tabela_registros[DIA],deztotal3059718395107119131143155167[[#Headers],[14]],tabela_registros[REGISTRO],DADOS!$N$3)</f>
        <v>0</v>
      </c>
      <c r="S14" s="88">
        <f>SUMIFS(tabela_registros[VALOR],tabela_registros[MÊS],$AE$1,tabela_registros[DIA],deztotal3059718395107119131143155167[[#Headers],[15]],tabela_registros[REGISTRO],DADOS!$N$3)</f>
        <v>0</v>
      </c>
      <c r="T14" s="88">
        <f>SUMIFS(tabela_registros[VALOR],tabela_registros[MÊS],$AE$1,tabela_registros[DIA],deztotal3059718395107119131143155167[[#Headers],[16]],tabela_registros[REGISTRO],DADOS!$N$3)</f>
        <v>0</v>
      </c>
      <c r="U14" s="88">
        <f>SUMIFS(tabela_registros[VALOR],tabela_registros[MÊS],$AE$1,tabela_registros[DIA],deztotal3059718395107119131143155167[[#Headers],[17]],tabela_registros[REGISTRO],DADOS!$N$3)</f>
        <v>0</v>
      </c>
      <c r="V14" s="88">
        <f>SUMIFS(tabela_registros[VALOR],tabela_registros[MÊS],$AE$1,tabela_registros[DIA],deztotal3059718395107119131143155167[[#Headers],[18]],tabela_registros[REGISTRO],DADOS!$N$3)</f>
        <v>0</v>
      </c>
      <c r="W14" s="88">
        <f>SUMIFS(tabela_registros[VALOR],tabela_registros[MÊS],$AE$1,tabela_registros[DIA],deztotal3059718395107119131143155167[[#Headers],[19]],tabela_registros[REGISTRO],DADOS!$N$3)</f>
        <v>0</v>
      </c>
      <c r="X14" s="88">
        <f>SUMIFS(tabela_registros[VALOR],tabela_registros[MÊS],$AE$1,tabela_registros[DIA],deztotal3059718395107119131143155167[[#Headers],[20]],tabela_registros[REGISTRO],DADOS!$N$3)</f>
        <v>0</v>
      </c>
      <c r="Y14" s="88">
        <f>SUMIFS(tabela_registros[VALOR],tabela_registros[MÊS],$AE$1,tabela_registros[DIA],deztotal3059718395107119131143155167[[#Headers],[21]],tabela_registros[REGISTRO],DADOS!$N$3)</f>
        <v>0</v>
      </c>
      <c r="Z14" s="88">
        <f>SUMIFS(tabela_registros[VALOR],tabela_registros[MÊS],$AE$1,tabela_registros[DIA],deztotal3059718395107119131143155167[[#Headers],[22]],tabela_registros[REGISTRO],DADOS!$N$3)</f>
        <v>0</v>
      </c>
      <c r="AA14" s="88">
        <f>SUMIFS(tabela_registros[VALOR],tabela_registros[MÊS],$AE$1,tabela_registros[DIA],deztotal3059718395107119131143155167[[#Headers],[23]],tabela_registros[REGISTRO],DADOS!$N$3)</f>
        <v>0</v>
      </c>
      <c r="AB14" s="88">
        <f>SUMIFS(tabela_registros[VALOR],tabela_registros[MÊS],$AE$1,tabela_registros[DIA],deztotal3059718395107119131143155167[[#Headers],[24]],tabela_registros[REGISTRO],DADOS!$N$3)</f>
        <v>0</v>
      </c>
      <c r="AC14" s="88">
        <f>SUMIFS(tabela_registros[VALOR],tabela_registros[MÊS],$AE$1,tabela_registros[DIA],deztotal3059718395107119131143155167[[#Headers],[25]],tabela_registros[REGISTRO],DADOS!$N$3)</f>
        <v>0</v>
      </c>
      <c r="AD14" s="88">
        <f>SUMIFS(tabela_registros[VALOR],tabela_registros[MÊS],$AE$1,tabela_registros[DIA],deztotal3059718395107119131143155167[[#Headers],[26]],tabela_registros[REGISTRO],DADOS!$N$3)</f>
        <v>0</v>
      </c>
      <c r="AE14" s="88">
        <f>SUMIFS(tabela_registros[VALOR],tabela_registros[MÊS],$AE$1,tabela_registros[DIA],deztotal3059718395107119131143155167[[#Headers],[27]],tabela_registros[REGISTRO],DADOS!$N$3)</f>
        <v>0</v>
      </c>
      <c r="AF14" s="88">
        <f>SUMIFS(tabela_registros[VALOR],tabela_registros[MÊS],$AE$1,tabela_registros[DIA],deztotal3059718395107119131143155167[[#Headers],[28]],tabela_registros[REGISTRO],DADOS!$N$3)</f>
        <v>0</v>
      </c>
      <c r="AG14" s="88">
        <f>SUMIFS(tabela_registros[VALOR],tabela_registros[MÊS],$AE$1,tabela_registros[DIA],deztotal3059718395107119131143155167[[#Headers],[29]],tabela_registros[REGISTRO],DADOS!$N$3)</f>
        <v>0</v>
      </c>
      <c r="AH14" s="88">
        <f>SUMIFS(tabela_registros[VALOR],tabela_registros[MÊS],$AE$1,tabela_registros[DIA],deztotal3059718395107119131143155167[[#Headers],[30]],tabela_registros[REGISTRO],DADOS!$N$3)</f>
        <v>0</v>
      </c>
      <c r="AI14" s="89">
        <f>SUMIFS(tabela_registros[VALOR],tabela_registros[MÊS],$AE$1,tabela_registros[DIA],deztotal3059718395107119131143155167[[#Headers],[31]],tabela_registros[REGISTRO],DADOS!$N$3)</f>
        <v>0</v>
      </c>
      <c r="AJ14" s="90">
        <f>SUM(deztotal3059718395107119131143155167[[#This Row],[1]:[31]])</f>
        <v>0</v>
      </c>
      <c r="AK14" s="49"/>
    </row>
    <row r="15" spans="1:38" ht="18" customHeight="1" thickTop="1" thickBot="1" x14ac:dyDescent="0.3">
      <c r="B15" s="49"/>
      <c r="C15" s="61" t="s">
        <v>205</v>
      </c>
      <c r="D15" s="60"/>
      <c r="E15" s="91">
        <f>SUMIFS(tabela_registros[VALOR],tabela_registros[MÊS],$AE$1,tabela_registros[DIA],deztotal3059718395107119131143155167[[#Headers],[1]],tabela_registros[REGISTRO],DADOS!$N$4)</f>
        <v>0</v>
      </c>
      <c r="F15" s="91">
        <f>SUMIFS(tabela_registros[VALOR],tabela_registros[MÊS],$AE$1,tabela_registros[DIA],deztotal3059718395107119131143155167[[#Headers],[2]],tabela_registros[REGISTRO],DADOS!$N$4)</f>
        <v>0</v>
      </c>
      <c r="G15" s="91">
        <f>SUMIFS(tabela_registros[VALOR],tabela_registros[MÊS],$AE$1,tabela_registros[DIA],deztotal3059718395107119131143155167[[#Headers],[3]],tabela_registros[REGISTRO],DADOS!$N$4)</f>
        <v>0</v>
      </c>
      <c r="H15" s="91">
        <f>SUMIFS(tabela_registros[VALOR],tabela_registros[MÊS],$AE$1,tabela_registros[DIA],deztotal3059718395107119131143155167[[#Headers],[4]],tabela_registros[REGISTRO],DADOS!$N$4)</f>
        <v>0</v>
      </c>
      <c r="I15" s="91">
        <f>SUMIFS(tabela_registros[VALOR],tabela_registros[MÊS],$AE$1,tabela_registros[DIA],deztotal3059718395107119131143155167[[#Headers],[5]],tabela_registros[REGISTRO],DADOS!$N$4)</f>
        <v>0</v>
      </c>
      <c r="J15" s="91">
        <f>SUMIFS(tabela_registros[VALOR],tabela_registros[MÊS],$AE$1,tabela_registros[DIA],deztotal3059718395107119131143155167[[#Headers],[6]],tabela_registros[REGISTRO],DADOS!$N$4)</f>
        <v>0</v>
      </c>
      <c r="K15" s="91">
        <f>SUMIFS(tabela_registros[VALOR],tabela_registros[MÊS],$AE$1,tabela_registros[DIA],deztotal3059718395107119131143155167[[#Headers],[7]],tabela_registros[REGISTRO],DADOS!$N$4)</f>
        <v>0</v>
      </c>
      <c r="L15" s="91">
        <f>SUMIFS(tabela_registros[VALOR],tabela_registros[MÊS],$AE$1,tabela_registros[DIA],deztotal3059718395107119131143155167[[#Headers],[8]],tabela_registros[REGISTRO],DADOS!$N$4)</f>
        <v>0</v>
      </c>
      <c r="M15" s="91">
        <f>SUMIFS(tabela_registros[VALOR],tabela_registros[MÊS],$AE$1,tabela_registros[DIA],deztotal3059718395107119131143155167[[#Headers],[9]],tabela_registros[REGISTRO],DADOS!$N$4)</f>
        <v>0</v>
      </c>
      <c r="N15" s="91">
        <f>SUMIFS(tabela_registros[VALOR],tabela_registros[MÊS],$AE$1,tabela_registros[DIA],deztotal3059718395107119131143155167[[#Headers],[10]],tabela_registros[REGISTRO],DADOS!$N$4)</f>
        <v>0</v>
      </c>
      <c r="O15" s="91">
        <f>SUMIFS(tabela_registros[VALOR],tabela_registros[MÊS],$AE$1,tabela_registros[DIA],deztotal3059718395107119131143155167[[#Headers],[11]],tabela_registros[REGISTRO],DADOS!$N$4)</f>
        <v>0</v>
      </c>
      <c r="P15" s="91">
        <f>SUMIFS(tabela_registros[VALOR],tabela_registros[MÊS],$AE$1,tabela_registros[DIA],deztotal3059718395107119131143155167[[#Headers],[12]],tabela_registros[REGISTRO],DADOS!$N$4)</f>
        <v>0</v>
      </c>
      <c r="Q15" s="91">
        <f>SUMIFS(tabela_registros[VALOR],tabela_registros[MÊS],$AE$1,tabela_registros[DIA],deztotal3059718395107119131143155167[[#Headers],[13]],tabela_registros[REGISTRO],DADOS!$N$4)</f>
        <v>0</v>
      </c>
      <c r="R15" s="91">
        <f>SUMIFS(tabela_registros[VALOR],tabela_registros[MÊS],$AE$1,tabela_registros[DIA],deztotal3059718395107119131143155167[[#Headers],[14]],tabela_registros[REGISTRO],DADOS!$N$4)</f>
        <v>0</v>
      </c>
      <c r="S15" s="91">
        <f>SUMIFS(tabela_registros[VALOR],tabela_registros[MÊS],$AE$1,tabela_registros[DIA],deztotal3059718395107119131143155167[[#Headers],[15]],tabela_registros[REGISTRO],DADOS!$N$4)</f>
        <v>0</v>
      </c>
      <c r="T15" s="91">
        <f>SUMIFS(tabela_registros[VALOR],tabela_registros[MÊS],$AE$1,tabela_registros[DIA],deztotal3059718395107119131143155167[[#Headers],[16]],tabela_registros[REGISTRO],DADOS!$N$4)</f>
        <v>0</v>
      </c>
      <c r="U15" s="91">
        <f>SUMIFS(tabela_registros[VALOR],tabela_registros[MÊS],$AE$1,tabela_registros[DIA],deztotal3059718395107119131143155167[[#Headers],[17]],tabela_registros[REGISTRO],DADOS!$N$4)</f>
        <v>0</v>
      </c>
      <c r="V15" s="91">
        <f>SUMIFS(tabela_registros[VALOR],tabela_registros[MÊS],$AE$1,tabela_registros[DIA],deztotal3059718395107119131143155167[[#Headers],[18]],tabela_registros[REGISTRO],DADOS!$N$4)</f>
        <v>0</v>
      </c>
      <c r="W15" s="91">
        <f>SUMIFS(tabela_registros[VALOR],tabela_registros[MÊS],$AE$1,tabela_registros[DIA],deztotal3059718395107119131143155167[[#Headers],[19]],tabela_registros[REGISTRO],DADOS!$N$4)</f>
        <v>0</v>
      </c>
      <c r="X15" s="91">
        <f>SUMIFS(tabela_registros[VALOR],tabela_registros[MÊS],$AE$1,tabela_registros[DIA],deztotal3059718395107119131143155167[[#Headers],[20]],tabela_registros[REGISTRO],DADOS!$N$4)</f>
        <v>0</v>
      </c>
      <c r="Y15" s="91">
        <f>SUMIFS(tabela_registros[VALOR],tabela_registros[MÊS],$AE$1,tabela_registros[DIA],deztotal3059718395107119131143155167[[#Headers],[21]],tabela_registros[REGISTRO],DADOS!$N$4)</f>
        <v>0</v>
      </c>
      <c r="Z15" s="91">
        <f>SUMIFS(tabela_registros[VALOR],tabela_registros[MÊS],$AE$1,tabela_registros[DIA],deztotal3059718395107119131143155167[[#Headers],[22]],tabela_registros[REGISTRO],DADOS!$N$4)</f>
        <v>0</v>
      </c>
      <c r="AA15" s="91">
        <f>SUMIFS(tabela_registros[VALOR],tabela_registros[MÊS],$AE$1,tabela_registros[DIA],deztotal3059718395107119131143155167[[#Headers],[23]],tabela_registros[REGISTRO],DADOS!$N$4)</f>
        <v>0</v>
      </c>
      <c r="AB15" s="91">
        <f>SUMIFS(tabela_registros[VALOR],tabela_registros[MÊS],$AE$1,tabela_registros[DIA],deztotal3059718395107119131143155167[[#Headers],[24]],tabela_registros[REGISTRO],DADOS!$N$4)</f>
        <v>0</v>
      </c>
      <c r="AC15" s="91">
        <f>SUMIFS(tabela_registros[VALOR],tabela_registros[MÊS],$AE$1,tabela_registros[DIA],deztotal3059718395107119131143155167[[#Headers],[25]],tabela_registros[REGISTRO],DADOS!$N$4)</f>
        <v>0</v>
      </c>
      <c r="AD15" s="91">
        <f>SUMIFS(tabela_registros[VALOR],tabela_registros[MÊS],$AE$1,tabela_registros[DIA],deztotal3059718395107119131143155167[[#Headers],[26]],tabela_registros[REGISTRO],DADOS!$N$4)</f>
        <v>0</v>
      </c>
      <c r="AE15" s="91">
        <f>SUMIFS(tabela_registros[VALOR],tabela_registros[MÊS],$AE$1,tabela_registros[DIA],deztotal3059718395107119131143155167[[#Headers],[27]],tabela_registros[REGISTRO],DADOS!$N$4)</f>
        <v>0</v>
      </c>
      <c r="AF15" s="91">
        <f>SUMIFS(tabela_registros[VALOR],tabela_registros[MÊS],$AE$1,tabela_registros[DIA],deztotal3059718395107119131143155167[[#Headers],[28]],tabela_registros[REGISTRO],DADOS!$N$4)</f>
        <v>0</v>
      </c>
      <c r="AG15" s="91">
        <f>SUMIFS(tabela_registros[VALOR],tabela_registros[MÊS],$AE$1,tabela_registros[DIA],deztotal3059718395107119131143155167[[#Headers],[29]],tabela_registros[REGISTRO],DADOS!$N$4)</f>
        <v>0</v>
      </c>
      <c r="AH15" s="91">
        <f>SUMIFS(tabela_registros[VALOR],tabela_registros[MÊS],$AE$1,tabela_registros[DIA],deztotal3059718395107119131143155167[[#Headers],[30]],tabela_registros[REGISTRO],DADOS!$N$4)</f>
        <v>0</v>
      </c>
      <c r="AI15" s="92">
        <f>SUMIFS(tabela_registros[VALOR],tabela_registros[MÊS],$AE$1,tabela_registros[DIA],deztotal3059718395107119131143155167[[#Headers],[31]],tabela_registros[REGISTRO],DADOS!$N$4)</f>
        <v>0</v>
      </c>
      <c r="AJ15" s="93">
        <f>SUM(deztotal3059718395107119131143155167[[#This Row],[1]:[31]])</f>
        <v>0</v>
      </c>
      <c r="AK15" s="49"/>
    </row>
    <row r="16" spans="1:38" s="16" customFormat="1" ht="21" customHeight="1" thickTop="1" thickBot="1" x14ac:dyDescent="0.35">
      <c r="B16" s="52"/>
      <c r="C16" s="57" t="s">
        <v>204</v>
      </c>
      <c r="D16" s="63"/>
      <c r="E16" s="55">
        <f>(E14-E15)+AI1</f>
        <v>0</v>
      </c>
      <c r="F16" s="54">
        <f>deztotal3059718395107119131143155167[[#This Row],[1]]+(F14-F15)</f>
        <v>0</v>
      </c>
      <c r="G16" s="54">
        <f>deztotal3059718395107119131143155167[[#This Row],[2]]+(G14-G15)</f>
        <v>0</v>
      </c>
      <c r="H16" s="54">
        <f>deztotal3059718395107119131143155167[[#This Row],[3]]+(H14-H15)</f>
        <v>0</v>
      </c>
      <c r="I16" s="54">
        <f>deztotal3059718395107119131143155167[[#This Row],[4]]+(I14-I15)</f>
        <v>0</v>
      </c>
      <c r="J16" s="54">
        <f>deztotal3059718395107119131143155167[[#This Row],[5]]+(J14-J15)</f>
        <v>0</v>
      </c>
      <c r="K16" s="54">
        <f>deztotal3059718395107119131143155167[[#This Row],[6]]+(K14-K15)</f>
        <v>0</v>
      </c>
      <c r="L16" s="54">
        <f>deztotal3059718395107119131143155167[[#This Row],[7]]+(L14-L15)</f>
        <v>0</v>
      </c>
      <c r="M16" s="54">
        <f>deztotal3059718395107119131143155167[[#This Row],[8]]+(M14-M15)</f>
        <v>0</v>
      </c>
      <c r="N16" s="54">
        <f>deztotal3059718395107119131143155167[[#This Row],[9]]+(N14-N15)</f>
        <v>0</v>
      </c>
      <c r="O16" s="54">
        <f>deztotal3059718395107119131143155167[[#This Row],[10]]+(O14-O15)</f>
        <v>0</v>
      </c>
      <c r="P16" s="54">
        <f>deztotal3059718395107119131143155167[[#This Row],[11]]+(P14-P15)</f>
        <v>0</v>
      </c>
      <c r="Q16" s="54">
        <f>deztotal3059718395107119131143155167[[#This Row],[12]]+(Q14-Q15)</f>
        <v>0</v>
      </c>
      <c r="R16" s="54">
        <f>deztotal3059718395107119131143155167[[#This Row],[13]]+(R14-R15)</f>
        <v>0</v>
      </c>
      <c r="S16" s="54">
        <f>deztotal3059718395107119131143155167[[#This Row],[14]]+(S14-S15)</f>
        <v>0</v>
      </c>
      <c r="T16" s="54">
        <f>deztotal3059718395107119131143155167[[#This Row],[15]]+(T14-T15)</f>
        <v>0</v>
      </c>
      <c r="U16" s="54">
        <f>deztotal3059718395107119131143155167[[#This Row],[16]]+(U14-U15)</f>
        <v>0</v>
      </c>
      <c r="V16" s="54">
        <f>deztotal3059718395107119131143155167[[#This Row],[17]]+(V14-V15)</f>
        <v>0</v>
      </c>
      <c r="W16" s="54">
        <f>deztotal3059718395107119131143155167[[#This Row],[18]]+(W14-W15)</f>
        <v>0</v>
      </c>
      <c r="X16" s="54">
        <f>deztotal3059718395107119131143155167[[#This Row],[19]]+(X14-X15)</f>
        <v>0</v>
      </c>
      <c r="Y16" s="54">
        <f>deztotal3059718395107119131143155167[[#This Row],[20]]+(Y14-Y15)</f>
        <v>0</v>
      </c>
      <c r="Z16" s="54">
        <f>deztotal3059718395107119131143155167[[#This Row],[21]]+(Z14-Z15)</f>
        <v>0</v>
      </c>
      <c r="AA16" s="54">
        <f>deztotal3059718395107119131143155167[[#This Row],[22]]+(AA14-AA15)</f>
        <v>0</v>
      </c>
      <c r="AB16" s="54">
        <f>deztotal3059718395107119131143155167[[#This Row],[23]]+(AB14-AB15)</f>
        <v>0</v>
      </c>
      <c r="AC16" s="54">
        <f>deztotal3059718395107119131143155167[[#This Row],[24]]+(AC14-AC15)</f>
        <v>0</v>
      </c>
      <c r="AD16" s="54">
        <f>deztotal3059718395107119131143155167[[#This Row],[25]]+(AD14-AD15)</f>
        <v>0</v>
      </c>
      <c r="AE16" s="54">
        <f>deztotal3059718395107119131143155167[[#This Row],[26]]+(AE14-AE15)</f>
        <v>0</v>
      </c>
      <c r="AF16" s="54">
        <f>deztotal3059718395107119131143155167[[#This Row],[27]]+(AF14-AF15)</f>
        <v>0</v>
      </c>
      <c r="AG16" s="54">
        <f>deztotal3059718395107119131143155167[[#This Row],[28]]+(AG14-AG15)</f>
        <v>0</v>
      </c>
      <c r="AH16" s="54">
        <f>deztotal3059718395107119131143155167[[#This Row],[29]]+(AH14-AH15)</f>
        <v>0</v>
      </c>
      <c r="AI16" s="62">
        <f>deztotal3059718395107119131143155167[[#This Row],[30]]+(AI14-AI15)</f>
        <v>0</v>
      </c>
      <c r="AJ16" s="53">
        <f>deztotal3059718395107119131143155167[[#This Row],[31]]</f>
        <v>0</v>
      </c>
      <c r="AK16" s="52"/>
    </row>
    <row r="17" spans="1:37" ht="6.75" customHeight="1" thickTop="1" thickBot="1" x14ac:dyDescent="0.3">
      <c r="B17" s="49"/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49"/>
      <c r="X17" s="49"/>
      <c r="Y17" s="49"/>
      <c r="Z17" s="49"/>
      <c r="AA17" s="49"/>
      <c r="AB17" s="49"/>
      <c r="AC17" s="49"/>
      <c r="AD17" s="49"/>
      <c r="AE17" s="49"/>
      <c r="AF17" s="49"/>
      <c r="AG17" s="49"/>
      <c r="AH17" s="49"/>
      <c r="AI17" s="50"/>
      <c r="AJ17" s="49"/>
      <c r="AK17" s="49"/>
    </row>
    <row r="18" spans="1:37" ht="12.6" thickTop="1" x14ac:dyDescent="0.25">
      <c r="C18" s="46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  <c r="AH18" s="47"/>
      <c r="AI18" s="47"/>
    </row>
    <row r="19" spans="1:37" x14ac:dyDescent="0.25">
      <c r="C19" s="46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  <c r="AA19" s="47"/>
      <c r="AB19" s="47"/>
      <c r="AC19" s="47"/>
      <c r="AD19" s="47"/>
      <c r="AE19" s="47"/>
      <c r="AF19" s="47"/>
      <c r="AG19" s="47"/>
      <c r="AH19" s="47"/>
      <c r="AI19" s="47"/>
    </row>
    <row r="20" spans="1:37" x14ac:dyDescent="0.25">
      <c r="A20" s="46"/>
      <c r="B20" s="46"/>
      <c r="C20" s="46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  <c r="AA20" s="47"/>
      <c r="AB20" s="47"/>
      <c r="AC20" s="47"/>
      <c r="AD20" s="47"/>
      <c r="AE20" s="47"/>
      <c r="AF20" s="47"/>
      <c r="AG20" s="47"/>
      <c r="AH20" s="47"/>
      <c r="AI20" s="47"/>
    </row>
    <row r="21" spans="1:37" ht="39.75" customHeight="1" x14ac:dyDescent="0.25">
      <c r="A21" s="46"/>
      <c r="B21" s="46"/>
      <c r="C21" s="46"/>
      <c r="E21" s="240"/>
      <c r="F21" s="240"/>
      <c r="G21" s="240"/>
      <c r="H21" s="240"/>
      <c r="I21" s="240"/>
      <c r="J21" s="240"/>
      <c r="K21" s="240"/>
      <c r="L21" s="240"/>
      <c r="M21" s="240"/>
      <c r="N21" s="240"/>
      <c r="O21" s="240"/>
      <c r="P21" s="240"/>
      <c r="Q21" s="240"/>
      <c r="R21" s="240"/>
      <c r="S21" s="240"/>
      <c r="T21" s="240"/>
      <c r="U21" s="240"/>
      <c r="V21" s="240"/>
      <c r="W21" s="240"/>
      <c r="X21" s="240"/>
      <c r="Y21" s="240"/>
      <c r="Z21" s="240"/>
      <c r="AA21" s="240"/>
      <c r="AB21" s="240"/>
      <c r="AC21" s="240"/>
      <c r="AD21" s="240"/>
      <c r="AE21" s="240"/>
      <c r="AF21" s="240"/>
      <c r="AG21" s="240"/>
      <c r="AH21" s="240"/>
      <c r="AI21" s="240"/>
      <c r="AJ21" s="32" t="s">
        <v>19</v>
      </c>
    </row>
    <row r="22" spans="1:37" ht="11.25" customHeight="1" thickBot="1" x14ac:dyDescent="0.75">
      <c r="C22" s="36"/>
      <c r="AI22" s="4"/>
      <c r="AJ22" s="34" t="s">
        <v>202</v>
      </c>
    </row>
    <row r="23" spans="1:37" ht="6.75" customHeight="1" thickTop="1" thickBot="1" x14ac:dyDescent="0.3">
      <c r="B23" s="49"/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49"/>
      <c r="X23" s="49"/>
      <c r="Y23" s="49"/>
      <c r="Z23" s="49"/>
      <c r="AA23" s="49"/>
      <c r="AB23" s="49"/>
      <c r="AC23" s="49"/>
      <c r="AD23" s="49"/>
      <c r="AE23" s="49"/>
      <c r="AF23" s="49"/>
      <c r="AG23" s="49"/>
      <c r="AH23" s="49"/>
      <c r="AI23" s="49"/>
      <c r="AJ23" s="50"/>
      <c r="AK23" s="49"/>
    </row>
    <row r="24" spans="1:37" ht="13.2" hidden="1" thickTop="1" thickBot="1" x14ac:dyDescent="0.3">
      <c r="B24" s="2"/>
      <c r="C24" s="30" t="s">
        <v>199</v>
      </c>
      <c r="D24" s="49" t="s">
        <v>198</v>
      </c>
      <c r="E24" s="30" t="s">
        <v>197</v>
      </c>
      <c r="F24" s="30" t="s">
        <v>196</v>
      </c>
      <c r="G24" s="30" t="s">
        <v>195</v>
      </c>
      <c r="H24" s="30" t="s">
        <v>194</v>
      </c>
      <c r="I24" s="30" t="s">
        <v>193</v>
      </c>
      <c r="J24" s="30" t="s">
        <v>192</v>
      </c>
      <c r="K24" s="30" t="s">
        <v>191</v>
      </c>
      <c r="L24" s="30" t="s">
        <v>190</v>
      </c>
      <c r="M24" s="30" t="s">
        <v>189</v>
      </c>
      <c r="N24" s="30" t="s">
        <v>188</v>
      </c>
      <c r="O24" s="30" t="s">
        <v>187</v>
      </c>
      <c r="P24" s="30" t="s">
        <v>186</v>
      </c>
      <c r="Q24" s="30" t="s">
        <v>185</v>
      </c>
      <c r="R24" s="30" t="s">
        <v>184</v>
      </c>
      <c r="S24" s="30" t="s">
        <v>183</v>
      </c>
      <c r="T24" s="30" t="s">
        <v>182</v>
      </c>
      <c r="U24" s="30" t="s">
        <v>181</v>
      </c>
      <c r="V24" s="30" t="s">
        <v>180</v>
      </c>
      <c r="W24" s="30" t="s">
        <v>179</v>
      </c>
      <c r="X24" s="30" t="s">
        <v>178</v>
      </c>
      <c r="Y24" s="30" t="s">
        <v>177</v>
      </c>
      <c r="Z24" s="30" t="s">
        <v>176</v>
      </c>
      <c r="AA24" s="30" t="s">
        <v>175</v>
      </c>
      <c r="AB24" s="30" t="s">
        <v>174</v>
      </c>
      <c r="AC24" s="30" t="s">
        <v>173</v>
      </c>
      <c r="AD24" s="30" t="s">
        <v>172</v>
      </c>
      <c r="AE24" s="30" t="s">
        <v>171</v>
      </c>
      <c r="AF24" s="30" t="s">
        <v>170</v>
      </c>
      <c r="AG24" s="30" t="s">
        <v>169</v>
      </c>
      <c r="AH24" s="30" t="s">
        <v>168</v>
      </c>
      <c r="AI24" s="30" t="s">
        <v>167</v>
      </c>
      <c r="AJ24" s="29" t="s">
        <v>166</v>
      </c>
      <c r="AK24" s="49"/>
    </row>
    <row r="25" spans="1:37" ht="19.5" customHeight="1" thickTop="1" thickBot="1" x14ac:dyDescent="0.3">
      <c r="B25" s="49"/>
      <c r="C25" s="61" t="s">
        <v>7</v>
      </c>
      <c r="D25" s="60"/>
      <c r="E25" s="88">
        <f>SUMIFS(tabela_registros[VALOR],tabela_registros[MÊS],$AE$1,tabela_registros[DIA],deztotal3059718395107119131143155167[[#Headers],[1]],tabela_registros[REGISTRO],DADOS!$N$5)</f>
        <v>0</v>
      </c>
      <c r="F25" s="88">
        <f>SUMIFS(tabela_registros[VALOR],tabela_registros[MÊS],$AE$1,tabela_registros[DIA],deztotal3059718395107119131143155167[[#Headers],[2]],tabela_registros[REGISTRO],DADOS!$N$5)</f>
        <v>0</v>
      </c>
      <c r="G25" s="88">
        <f>SUMIFS(tabela_registros[VALOR],tabela_registros[MÊS],$AE$1,tabela_registros[DIA],deztotal3059718395107119131143155167[[#Headers],[3]],tabela_registros[REGISTRO],DADOS!$N$5)</f>
        <v>0</v>
      </c>
      <c r="H25" s="88">
        <f>SUMIFS(tabela_registros[VALOR],tabela_registros[MÊS],$AE$1,tabela_registros[DIA],deztotal3059718395107119131143155167[[#Headers],[4]],tabela_registros[REGISTRO],DADOS!$N$5)</f>
        <v>0</v>
      </c>
      <c r="I25" s="88">
        <f>SUMIFS(tabela_registros[VALOR],tabela_registros[MÊS],$AE$1,tabela_registros[DIA],deztotal3059718395107119131143155167[[#Headers],[5]],tabela_registros[REGISTRO],DADOS!$N$5)</f>
        <v>0</v>
      </c>
      <c r="J25" s="88">
        <f>SUMIFS(tabela_registros[VALOR],tabela_registros[MÊS],$AE$1,tabela_registros[DIA],deztotal3059718395107119131143155167[[#Headers],[6]],tabela_registros[REGISTRO],DADOS!$N$5)</f>
        <v>0</v>
      </c>
      <c r="K25" s="88">
        <f>SUMIFS(tabela_registros[VALOR],tabela_registros[MÊS],$AE$1,tabela_registros[DIA],deztotal3059718395107119131143155167[[#Headers],[7]],tabela_registros[REGISTRO],DADOS!$N$5)</f>
        <v>0</v>
      </c>
      <c r="L25" s="88">
        <f>SUMIFS(tabela_registros[VALOR],tabela_registros[MÊS],$AE$1,tabela_registros[DIA],deztotal3059718395107119131143155167[[#Headers],[8]],tabela_registros[REGISTRO],DADOS!$N$5)</f>
        <v>0</v>
      </c>
      <c r="M25" s="88">
        <f>SUMIFS(tabela_registros[VALOR],tabela_registros[MÊS],$AE$1,tabela_registros[DIA],deztotal3059718395107119131143155167[[#Headers],[9]],tabela_registros[REGISTRO],DADOS!$N$5)</f>
        <v>0</v>
      </c>
      <c r="N25" s="88">
        <f>SUMIFS(tabela_registros[VALOR],tabela_registros[MÊS],$AE$1,tabela_registros[DIA],deztotal3059718395107119131143155167[[#Headers],[10]],tabela_registros[REGISTRO],DADOS!$N$5)</f>
        <v>0</v>
      </c>
      <c r="O25" s="88">
        <f>SUMIFS(tabela_registros[VALOR],tabela_registros[MÊS],$AE$1,tabela_registros[DIA],deztotal3059718395107119131143155167[[#Headers],[11]],tabela_registros[REGISTRO],DADOS!$N$5)</f>
        <v>0</v>
      </c>
      <c r="P25" s="88">
        <f>SUMIFS(tabela_registros[VALOR],tabela_registros[MÊS],$AE$1,tabela_registros[DIA],deztotal3059718395107119131143155167[[#Headers],[12]],tabela_registros[REGISTRO],DADOS!$N$5)</f>
        <v>0</v>
      </c>
      <c r="Q25" s="88">
        <f>SUMIFS(tabela_registros[VALOR],tabela_registros[MÊS],$AE$1,tabela_registros[DIA],deztotal3059718395107119131143155167[[#Headers],[13]],tabela_registros[REGISTRO],DADOS!$N$5)</f>
        <v>0</v>
      </c>
      <c r="R25" s="88">
        <f>SUMIFS(tabela_registros[VALOR],tabela_registros[MÊS],$AE$1,tabela_registros[DIA],deztotal3059718395107119131143155167[[#Headers],[14]],tabela_registros[REGISTRO],DADOS!$N$5)</f>
        <v>0</v>
      </c>
      <c r="S25" s="88">
        <f>SUMIFS(tabela_registros[VALOR],tabela_registros[MÊS],$AE$1,tabela_registros[DIA],deztotal3059718395107119131143155167[[#Headers],[15]],tabela_registros[REGISTRO],DADOS!$N$5)</f>
        <v>0</v>
      </c>
      <c r="T25" s="88">
        <f>SUMIFS(tabela_registros[VALOR],tabela_registros[MÊS],$AE$1,tabela_registros[DIA],deztotal3059718395107119131143155167[[#Headers],[16]],tabela_registros[REGISTRO],DADOS!$N$5)</f>
        <v>0</v>
      </c>
      <c r="U25" s="88">
        <f>SUMIFS(tabela_registros[VALOR],tabela_registros[MÊS],$AE$1,tabela_registros[DIA],deztotal3059718395107119131143155167[[#Headers],[17]],tabela_registros[REGISTRO],DADOS!$N$5)</f>
        <v>0</v>
      </c>
      <c r="V25" s="88">
        <f>SUMIFS(tabela_registros[VALOR],tabela_registros[MÊS],$AE$1,tabela_registros[DIA],deztotal3059718395107119131143155167[[#Headers],[18]],tabela_registros[REGISTRO],DADOS!$N$5)</f>
        <v>0</v>
      </c>
      <c r="W25" s="88">
        <f>SUMIFS(tabela_registros[VALOR],tabela_registros[MÊS],$AE$1,tabela_registros[DIA],deztotal3059718395107119131143155167[[#Headers],[19]],tabela_registros[REGISTRO],DADOS!$N$5)</f>
        <v>0</v>
      </c>
      <c r="X25" s="88">
        <f>SUMIFS(tabela_registros[VALOR],tabela_registros[MÊS],$AE$1,tabela_registros[DIA],deztotal3059718395107119131143155167[[#Headers],[20]],tabela_registros[REGISTRO],DADOS!$N$5)</f>
        <v>0</v>
      </c>
      <c r="Y25" s="88">
        <f>SUMIFS(tabela_registros[VALOR],tabela_registros[MÊS],$AE$1,tabela_registros[DIA],deztotal3059718395107119131143155167[[#Headers],[21]],tabela_registros[REGISTRO],DADOS!$N$5)</f>
        <v>0</v>
      </c>
      <c r="Z25" s="88">
        <f>SUMIFS(tabela_registros[VALOR],tabela_registros[MÊS],$AE$1,tabela_registros[DIA],deztotal3059718395107119131143155167[[#Headers],[22]],tabela_registros[REGISTRO],DADOS!$N$5)</f>
        <v>0</v>
      </c>
      <c r="AA25" s="88">
        <f>SUMIFS(tabela_registros[VALOR],tabela_registros[MÊS],$AE$1,tabela_registros[DIA],deztotal3059718395107119131143155167[[#Headers],[23]],tabela_registros[REGISTRO],DADOS!$N$5)</f>
        <v>0</v>
      </c>
      <c r="AB25" s="88">
        <f>SUMIFS(tabela_registros[VALOR],tabela_registros[MÊS],$AE$1,tabela_registros[DIA],deztotal3059718395107119131143155167[[#Headers],[24]],tabela_registros[REGISTRO],DADOS!$N$5)</f>
        <v>0</v>
      </c>
      <c r="AC25" s="88">
        <f>SUMIFS(tabela_registros[VALOR],tabela_registros[MÊS],$AE$1,tabela_registros[DIA],deztotal3059718395107119131143155167[[#Headers],[25]],tabela_registros[REGISTRO],DADOS!$N$5)</f>
        <v>0</v>
      </c>
      <c r="AD25" s="88">
        <f>SUMIFS(tabela_registros[VALOR],tabela_registros[MÊS],$AE$1,tabela_registros[DIA],deztotal3059718395107119131143155167[[#Headers],[26]],tabela_registros[REGISTRO],DADOS!$N$5)</f>
        <v>0</v>
      </c>
      <c r="AE25" s="88">
        <f>SUMIFS(tabela_registros[VALOR],tabela_registros[MÊS],$AE$1,tabela_registros[DIA],deztotal3059718395107119131143155167[[#Headers],[27]],tabela_registros[REGISTRO],DADOS!$N$5)</f>
        <v>0</v>
      </c>
      <c r="AF25" s="88">
        <f>SUMIFS(tabela_registros[VALOR],tabela_registros[MÊS],$AE$1,tabela_registros[DIA],deztotal3059718395107119131143155167[[#Headers],[28]],tabela_registros[REGISTRO],DADOS!$N$5)</f>
        <v>0</v>
      </c>
      <c r="AG25" s="88">
        <f>SUMIFS(tabela_registros[VALOR],tabela_registros[MÊS],$AE$1,tabela_registros[DIA],deztotal3059718395107119131143155167[[#Headers],[29]],tabela_registros[REGISTRO],DADOS!$N$5)</f>
        <v>0</v>
      </c>
      <c r="AH25" s="88">
        <f>SUMIFS(tabela_registros[VALOR],tabela_registros[MÊS],$AE$1,tabela_registros[DIA],deztotal3059718395107119131143155167[[#Headers],[30]],tabela_registros[REGISTRO],DADOS!$N$5)</f>
        <v>0</v>
      </c>
      <c r="AI25" s="89">
        <f>SUMIFS(tabela_registros[VALOR],tabela_registros[MÊS],$AE$1,tabela_registros[DIA],deztotal3059718395107119131143155167[[#Headers],[31]],tabela_registros[REGISTRO],DADOS!$N$5)</f>
        <v>0</v>
      </c>
      <c r="AJ25" s="90">
        <f>SUM(E25:AI25)</f>
        <v>0</v>
      </c>
      <c r="AK25" s="49"/>
    </row>
    <row r="26" spans="1:37" ht="18" customHeight="1" thickTop="1" thickBot="1" x14ac:dyDescent="0.3">
      <c r="B26" s="49"/>
      <c r="C26" s="59" t="s">
        <v>8</v>
      </c>
      <c r="D26" s="58"/>
      <c r="E26" s="91">
        <f>SUMIFS(tabela_registros[VALOR],tabela_registros[MÊS],$AE$1,tabela_registros[DIA],deztotal3059718395107119131143155167[[#Headers],[1]],tabela_registros[REGISTRO],DADOS!$N$6)</f>
        <v>0</v>
      </c>
      <c r="F26" s="91">
        <f>SUMIFS(tabela_registros[VALOR],tabela_registros[MÊS],$AE$1,tabela_registros[DIA],deztotal3059718395107119131143155167[[#Headers],[2]],tabela_registros[REGISTRO],DADOS!$N$6)</f>
        <v>0</v>
      </c>
      <c r="G26" s="91">
        <f>SUMIFS(tabela_registros[VALOR],tabela_registros[MÊS],$AE$1,tabela_registros[DIA],deztotal3059718395107119131143155167[[#Headers],[3]],tabela_registros[REGISTRO],DADOS!$N$6)</f>
        <v>0</v>
      </c>
      <c r="H26" s="91">
        <f>SUMIFS(tabela_registros[VALOR],tabela_registros[MÊS],$AE$1,tabela_registros[DIA],deztotal3059718395107119131143155167[[#Headers],[4]],tabela_registros[REGISTRO],DADOS!$N$6)</f>
        <v>0</v>
      </c>
      <c r="I26" s="91">
        <f>SUMIFS(tabela_registros[VALOR],tabela_registros[MÊS],$AE$1,tabela_registros[DIA],deztotal3059718395107119131143155167[[#Headers],[5]],tabela_registros[REGISTRO],DADOS!$N$6)</f>
        <v>0</v>
      </c>
      <c r="J26" s="91">
        <f>SUMIFS(tabela_registros[VALOR],tabela_registros[MÊS],$AE$1,tabela_registros[DIA],deztotal3059718395107119131143155167[[#Headers],[6]],tabela_registros[REGISTRO],DADOS!$N$6)</f>
        <v>0</v>
      </c>
      <c r="K26" s="91">
        <f>SUMIFS(tabela_registros[VALOR],tabela_registros[MÊS],$AE$1,tabela_registros[DIA],deztotal3059718395107119131143155167[[#Headers],[7]],tabela_registros[REGISTRO],DADOS!$N$6)</f>
        <v>0</v>
      </c>
      <c r="L26" s="91">
        <f>SUMIFS(tabela_registros[VALOR],tabela_registros[MÊS],$AE$1,tabela_registros[DIA],deztotal3059718395107119131143155167[[#Headers],[8]],tabela_registros[REGISTRO],DADOS!$N$6)</f>
        <v>0</v>
      </c>
      <c r="M26" s="91">
        <f>SUMIFS(tabela_registros[VALOR],tabela_registros[MÊS],$AE$1,tabela_registros[DIA],deztotal3059718395107119131143155167[[#Headers],[9]],tabela_registros[REGISTRO],DADOS!$N$6)</f>
        <v>0</v>
      </c>
      <c r="N26" s="91">
        <f>SUMIFS(tabela_registros[VALOR],tabela_registros[MÊS],$AE$1,tabela_registros[DIA],deztotal3059718395107119131143155167[[#Headers],[10]],tabela_registros[REGISTRO],DADOS!$N$6)</f>
        <v>0</v>
      </c>
      <c r="O26" s="91">
        <f>SUMIFS(tabela_registros[VALOR],tabela_registros[MÊS],$AE$1,tabela_registros[DIA],deztotal3059718395107119131143155167[[#Headers],[11]],tabela_registros[REGISTRO],DADOS!$N$6)</f>
        <v>0</v>
      </c>
      <c r="P26" s="91">
        <f>SUMIFS(tabela_registros[VALOR],tabela_registros[MÊS],$AE$1,tabela_registros[DIA],deztotal3059718395107119131143155167[[#Headers],[12]],tabela_registros[REGISTRO],DADOS!$N$6)</f>
        <v>0</v>
      </c>
      <c r="Q26" s="91">
        <f>SUMIFS(tabela_registros[VALOR],tabela_registros[MÊS],$AE$1,tabela_registros[DIA],deztotal3059718395107119131143155167[[#Headers],[13]],tabela_registros[REGISTRO],DADOS!$N$6)</f>
        <v>0</v>
      </c>
      <c r="R26" s="91">
        <f>SUMIFS(tabela_registros[VALOR],tabela_registros[MÊS],$AE$1,tabela_registros[DIA],deztotal3059718395107119131143155167[[#Headers],[14]],tabela_registros[REGISTRO],DADOS!$N$6)</f>
        <v>0</v>
      </c>
      <c r="S26" s="91">
        <f>SUMIFS(tabela_registros[VALOR],tabela_registros[MÊS],$AE$1,tabela_registros[DIA],deztotal3059718395107119131143155167[[#Headers],[15]],tabela_registros[REGISTRO],DADOS!$N$6)</f>
        <v>0</v>
      </c>
      <c r="T26" s="91">
        <f>SUMIFS(tabela_registros[VALOR],tabela_registros[MÊS],$AE$1,tabela_registros[DIA],deztotal3059718395107119131143155167[[#Headers],[16]],tabela_registros[REGISTRO],DADOS!$N$6)</f>
        <v>0</v>
      </c>
      <c r="U26" s="91">
        <f>SUMIFS(tabela_registros[VALOR],tabela_registros[MÊS],$AE$1,tabela_registros[DIA],deztotal3059718395107119131143155167[[#Headers],[17]],tabela_registros[REGISTRO],DADOS!$N$6)</f>
        <v>0</v>
      </c>
      <c r="V26" s="91">
        <f>SUMIFS(tabela_registros[VALOR],tabela_registros[MÊS],$AE$1,tabela_registros[DIA],deztotal3059718395107119131143155167[[#Headers],[18]],tabela_registros[REGISTRO],DADOS!$N$6)</f>
        <v>0</v>
      </c>
      <c r="W26" s="91">
        <f>SUMIFS(tabela_registros[VALOR],tabela_registros[MÊS],$AE$1,tabela_registros[DIA],deztotal3059718395107119131143155167[[#Headers],[19]],tabela_registros[REGISTRO],DADOS!$N$6)</f>
        <v>0</v>
      </c>
      <c r="X26" s="91">
        <f>SUMIFS(tabela_registros[VALOR],tabela_registros[MÊS],$AE$1,tabela_registros[DIA],deztotal3059718395107119131143155167[[#Headers],[20]],tabela_registros[REGISTRO],DADOS!$N$6)</f>
        <v>0</v>
      </c>
      <c r="Y26" s="91">
        <f>SUMIFS(tabela_registros[VALOR],tabela_registros[MÊS],$AE$1,tabela_registros[DIA],deztotal3059718395107119131143155167[[#Headers],[21]],tabela_registros[REGISTRO],DADOS!$N$6)</f>
        <v>0</v>
      </c>
      <c r="Z26" s="91">
        <f>SUMIFS(tabela_registros[VALOR],tabela_registros[MÊS],$AE$1,tabela_registros[DIA],deztotal3059718395107119131143155167[[#Headers],[22]],tabela_registros[REGISTRO],DADOS!$N$6)</f>
        <v>0</v>
      </c>
      <c r="AA26" s="91">
        <f>SUMIFS(tabela_registros[VALOR],tabela_registros[MÊS],$AE$1,tabela_registros[DIA],deztotal3059718395107119131143155167[[#Headers],[23]],tabela_registros[REGISTRO],DADOS!$N$6)</f>
        <v>0</v>
      </c>
      <c r="AB26" s="91">
        <f>SUMIFS(tabela_registros[VALOR],tabela_registros[MÊS],$AE$1,tabela_registros[DIA],deztotal3059718395107119131143155167[[#Headers],[24]],tabela_registros[REGISTRO],DADOS!$N$6)</f>
        <v>0</v>
      </c>
      <c r="AC26" s="91">
        <f>SUMIFS(tabela_registros[VALOR],tabela_registros[MÊS],$AE$1,tabela_registros[DIA],deztotal3059718395107119131143155167[[#Headers],[25]],tabela_registros[REGISTRO],DADOS!$N$6)</f>
        <v>0</v>
      </c>
      <c r="AD26" s="91">
        <f>SUMIFS(tabela_registros[VALOR],tabela_registros[MÊS],$AE$1,tabela_registros[DIA],deztotal3059718395107119131143155167[[#Headers],[26]],tabela_registros[REGISTRO],DADOS!$N$6)</f>
        <v>0</v>
      </c>
      <c r="AE26" s="91">
        <f>SUMIFS(tabela_registros[VALOR],tabela_registros[MÊS],$AE$1,tabela_registros[DIA],deztotal3059718395107119131143155167[[#Headers],[27]],tabela_registros[REGISTRO],DADOS!$N$6)</f>
        <v>0</v>
      </c>
      <c r="AF26" s="91">
        <f>SUMIFS(tabela_registros[VALOR],tabela_registros[MÊS],$AE$1,tabela_registros[DIA],deztotal3059718395107119131143155167[[#Headers],[28]],tabela_registros[REGISTRO],DADOS!$N$6)</f>
        <v>0</v>
      </c>
      <c r="AG26" s="91">
        <f>SUMIFS(tabela_registros[VALOR],tabela_registros[MÊS],$AE$1,tabela_registros[DIA],deztotal3059718395107119131143155167[[#Headers],[29]],tabela_registros[REGISTRO],DADOS!$N$6)</f>
        <v>0</v>
      </c>
      <c r="AH26" s="91">
        <f>SUMIFS(tabela_registros[VALOR],tabela_registros[MÊS],$AE$1,tabela_registros[DIA],deztotal3059718395107119131143155167[[#Headers],[30]],tabela_registros[REGISTRO],DADOS!$N$6)</f>
        <v>0</v>
      </c>
      <c r="AI26" s="92">
        <f>SUMIFS(tabela_registros[VALOR],tabela_registros[MÊS],$AE$1,tabela_registros[DIA],deztotal3059718395107119131143155167[[#Headers],[31]],tabela_registros[REGISTRO],DADOS!$N$6)</f>
        <v>0</v>
      </c>
      <c r="AJ26" s="93">
        <f>SUM(E26:AI26)</f>
        <v>0</v>
      </c>
      <c r="AK26" s="49"/>
    </row>
    <row r="27" spans="1:37" s="16" customFormat="1" ht="21" customHeight="1" thickTop="1" thickBot="1" x14ac:dyDescent="0.35">
      <c r="B27" s="52"/>
      <c r="C27" s="57" t="s">
        <v>19</v>
      </c>
      <c r="D27" s="56"/>
      <c r="E27" s="55">
        <f>SUM(E25:E26)</f>
        <v>0</v>
      </c>
      <c r="F27" s="54">
        <f>SUM(F25:F26)+dezinvestir2158708294106118130142154166[[#This Row],[1]]</f>
        <v>0</v>
      </c>
      <c r="G27" s="54">
        <f>SUM(G25:G26)+dezinvestir2158708294106118130142154166[[#This Row],[2]]</f>
        <v>0</v>
      </c>
      <c r="H27" s="54">
        <f>SUM(H25:H26)+dezinvestir2158708294106118130142154166[[#This Row],[3]]</f>
        <v>0</v>
      </c>
      <c r="I27" s="54">
        <f>SUM(I25:I26)+dezinvestir2158708294106118130142154166[[#This Row],[4]]</f>
        <v>0</v>
      </c>
      <c r="J27" s="54">
        <f>SUM(J25:J26)+dezinvestir2158708294106118130142154166[[#This Row],[5]]</f>
        <v>0</v>
      </c>
      <c r="K27" s="54">
        <f>SUM(K25:K26)+dezinvestir2158708294106118130142154166[[#This Row],[6]]</f>
        <v>0</v>
      </c>
      <c r="L27" s="54">
        <f>SUM(L25:L26)+dezinvestir2158708294106118130142154166[[#This Row],[7]]</f>
        <v>0</v>
      </c>
      <c r="M27" s="54">
        <f>SUM(M25:M26)+dezinvestir2158708294106118130142154166[[#This Row],[8]]</f>
        <v>0</v>
      </c>
      <c r="N27" s="54">
        <f>SUM(N25:N26)+dezinvestir2158708294106118130142154166[[#This Row],[9]]</f>
        <v>0</v>
      </c>
      <c r="O27" s="54">
        <f>SUM(O25:O26)+dezinvestir2158708294106118130142154166[[#This Row],[10]]</f>
        <v>0</v>
      </c>
      <c r="P27" s="54">
        <f>SUM(P25:P26)+dezinvestir2158708294106118130142154166[[#This Row],[11]]</f>
        <v>0</v>
      </c>
      <c r="Q27" s="54">
        <f>SUM(Q25:Q26)+dezinvestir2158708294106118130142154166[[#This Row],[12]]</f>
        <v>0</v>
      </c>
      <c r="R27" s="54">
        <f>SUM(R25:R26)+dezinvestir2158708294106118130142154166[[#This Row],[13]]</f>
        <v>0</v>
      </c>
      <c r="S27" s="54">
        <f>SUM(S25:S26)+dezinvestir2158708294106118130142154166[[#This Row],[14]]</f>
        <v>0</v>
      </c>
      <c r="T27" s="54">
        <f>SUM(T25:T26)+dezinvestir2158708294106118130142154166[[#This Row],[15]]</f>
        <v>0</v>
      </c>
      <c r="U27" s="54">
        <f>SUM(U25:U26)+dezinvestir2158708294106118130142154166[[#This Row],[16]]</f>
        <v>0</v>
      </c>
      <c r="V27" s="54">
        <f>SUM(V25:V26)+dezinvestir2158708294106118130142154166[[#This Row],[17]]</f>
        <v>0</v>
      </c>
      <c r="W27" s="54">
        <f>SUM(W25:W26)+dezinvestir2158708294106118130142154166[[#This Row],[18]]</f>
        <v>0</v>
      </c>
      <c r="X27" s="54">
        <f>SUM(X25:X26)+dezinvestir2158708294106118130142154166[[#This Row],[19]]</f>
        <v>0</v>
      </c>
      <c r="Y27" s="54">
        <f>SUM(Y25:Y26)+dezinvestir2158708294106118130142154166[[#This Row],[20]]</f>
        <v>0</v>
      </c>
      <c r="Z27" s="54">
        <f>SUM(Z25:Z26)+dezinvestir2158708294106118130142154166[[#This Row],[21]]</f>
        <v>0</v>
      </c>
      <c r="AA27" s="54">
        <f>SUM(AA25:AA26)+dezinvestir2158708294106118130142154166[[#This Row],[22]]</f>
        <v>0</v>
      </c>
      <c r="AB27" s="54">
        <f>SUM(AB25:AB26)+dezinvestir2158708294106118130142154166[[#This Row],[23]]</f>
        <v>0</v>
      </c>
      <c r="AC27" s="54">
        <f>SUM(AC25:AC26)+dezinvestir2158708294106118130142154166[[#This Row],[24]]</f>
        <v>0</v>
      </c>
      <c r="AD27" s="54">
        <f>SUM(AD25:AD26)+dezinvestir2158708294106118130142154166[[#This Row],[25]]</f>
        <v>0</v>
      </c>
      <c r="AE27" s="54">
        <f>SUM(AE25:AE26)+dezinvestir2158708294106118130142154166[[#This Row],[26]]</f>
        <v>0</v>
      </c>
      <c r="AF27" s="54">
        <f>SUM(AF25:AF26)+dezinvestir2158708294106118130142154166[[#This Row],[27]]</f>
        <v>0</v>
      </c>
      <c r="AG27" s="54">
        <f>SUM(AG25:AG26)+dezinvestir2158708294106118130142154166[[#This Row],[28]]</f>
        <v>0</v>
      </c>
      <c r="AH27" s="54">
        <f>SUM(AH25:AH26)+dezinvestir2158708294106118130142154166[[#This Row],[29]]</f>
        <v>0</v>
      </c>
      <c r="AI27" s="54">
        <f>SUM(AI25:AI26)+dezinvestir2158708294106118130142154166[[#This Row],[30]]</f>
        <v>0</v>
      </c>
      <c r="AJ27" s="53">
        <f>dezinvestir2158708294106118130142154166[[#This Row],[31]]</f>
        <v>0</v>
      </c>
      <c r="AK27" s="52"/>
    </row>
    <row r="28" spans="1:37" ht="6.75" hidden="1" customHeight="1" thickTop="1" thickBot="1" x14ac:dyDescent="0.35">
      <c r="B28" s="49"/>
      <c r="C28" t="s">
        <v>204</v>
      </c>
      <c r="D28"/>
      <c r="E28" s="51">
        <f>SUBTOTAL(109,dezinvestir2158708294106118130142154166[1])</f>
        <v>0</v>
      </c>
      <c r="F28" s="51">
        <f>SUBTOTAL(109,dezinvestir2158708294106118130142154166[2])</f>
        <v>0</v>
      </c>
      <c r="G28" s="51">
        <f>SUBTOTAL(109,dezinvestir2158708294106118130142154166[3])</f>
        <v>0</v>
      </c>
      <c r="H28" s="51">
        <f>SUBTOTAL(109,dezinvestir2158708294106118130142154166[4])</f>
        <v>0</v>
      </c>
      <c r="I28" s="51">
        <f>SUBTOTAL(109,dezinvestir2158708294106118130142154166[5])</f>
        <v>0</v>
      </c>
      <c r="J28" s="51">
        <f>SUBTOTAL(109,dezinvestir2158708294106118130142154166[6])</f>
        <v>0</v>
      </c>
      <c r="K28" s="51">
        <f>SUBTOTAL(109,dezinvestir2158708294106118130142154166[7])</f>
        <v>0</v>
      </c>
      <c r="L28" s="51">
        <f>SUBTOTAL(109,dezinvestir2158708294106118130142154166[8])</f>
        <v>0</v>
      </c>
      <c r="M28" s="51">
        <f>SUBTOTAL(109,dezinvestir2158708294106118130142154166[9])</f>
        <v>0</v>
      </c>
      <c r="N28" s="51">
        <f>SUBTOTAL(109,dezinvestir2158708294106118130142154166[10])</f>
        <v>0</v>
      </c>
      <c r="O28" s="51">
        <f>SUBTOTAL(109,dezinvestir2158708294106118130142154166[11])</f>
        <v>0</v>
      </c>
      <c r="P28" s="51">
        <f>SUBTOTAL(109,dezinvestir2158708294106118130142154166[12])</f>
        <v>0</v>
      </c>
      <c r="Q28" s="51">
        <f>SUBTOTAL(109,dezinvestir2158708294106118130142154166[13])</f>
        <v>0</v>
      </c>
      <c r="R28" s="51">
        <f>SUBTOTAL(109,dezinvestir2158708294106118130142154166[14])</f>
        <v>0</v>
      </c>
      <c r="S28" s="51">
        <f>SUBTOTAL(109,dezinvestir2158708294106118130142154166[15])</f>
        <v>0</v>
      </c>
      <c r="T28" s="51">
        <f>SUBTOTAL(109,dezinvestir2158708294106118130142154166[16])</f>
        <v>0</v>
      </c>
      <c r="U28" s="51">
        <f>SUBTOTAL(109,dezinvestir2158708294106118130142154166[17])</f>
        <v>0</v>
      </c>
      <c r="V28" s="51">
        <f>SUBTOTAL(109,dezinvestir2158708294106118130142154166[18])</f>
        <v>0</v>
      </c>
      <c r="W28" s="51">
        <f>SUBTOTAL(109,dezinvestir2158708294106118130142154166[19])</f>
        <v>0</v>
      </c>
      <c r="X28" s="51">
        <f>SUBTOTAL(109,dezinvestir2158708294106118130142154166[20])</f>
        <v>0</v>
      </c>
      <c r="Y28" s="51">
        <f>SUBTOTAL(109,dezinvestir2158708294106118130142154166[21])</f>
        <v>0</v>
      </c>
      <c r="Z28" s="51">
        <f>SUBTOTAL(109,dezinvestir2158708294106118130142154166[22])</f>
        <v>0</v>
      </c>
      <c r="AA28" s="51">
        <f>SUBTOTAL(109,dezinvestir2158708294106118130142154166[23])</f>
        <v>0</v>
      </c>
      <c r="AB28" s="51">
        <f>SUBTOTAL(109,dezinvestir2158708294106118130142154166[24])</f>
        <v>0</v>
      </c>
      <c r="AC28" s="51">
        <f>SUBTOTAL(109,dezinvestir2158708294106118130142154166[25])</f>
        <v>0</v>
      </c>
      <c r="AD28" s="51">
        <f>SUBTOTAL(109,dezinvestir2158708294106118130142154166[26])</f>
        <v>0</v>
      </c>
      <c r="AE28" s="51">
        <f>SUBTOTAL(109,dezinvestir2158708294106118130142154166[27])</f>
        <v>0</v>
      </c>
      <c r="AF28" s="51">
        <f>SUBTOTAL(109,dezinvestir2158708294106118130142154166[28])</f>
        <v>0</v>
      </c>
      <c r="AG28" s="51">
        <f>SUBTOTAL(109,dezinvestir2158708294106118130142154166[29])</f>
        <v>0</v>
      </c>
      <c r="AH28" s="51">
        <f>SUBTOTAL(109,dezinvestir2158708294106118130142154166[30])</f>
        <v>0</v>
      </c>
      <c r="AI28" s="51">
        <f>SUBTOTAL(109,dezinvestir2158708294106118130142154166[31])</f>
        <v>0</v>
      </c>
      <c r="AJ28" s="51">
        <f>SUBTOTAL(109,dezinvestir2158708294106118130142154166[TOTAL (R$)])</f>
        <v>0</v>
      </c>
      <c r="AK28" s="49"/>
    </row>
    <row r="29" spans="1:37" ht="6.75" customHeight="1" thickTop="1" thickBot="1" x14ac:dyDescent="0.3">
      <c r="B29" s="49"/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49"/>
      <c r="X29" s="49"/>
      <c r="Y29" s="49"/>
      <c r="Z29" s="49"/>
      <c r="AA29" s="49"/>
      <c r="AB29" s="49"/>
      <c r="AC29" s="49"/>
      <c r="AD29" s="49"/>
      <c r="AE29" s="49"/>
      <c r="AF29" s="49"/>
      <c r="AG29" s="49"/>
      <c r="AH29" s="49"/>
      <c r="AI29" s="50"/>
      <c r="AJ29" s="49"/>
      <c r="AK29" s="49"/>
    </row>
    <row r="30" spans="1:37" ht="12.6" thickTop="1" x14ac:dyDescent="0.25">
      <c r="C30" s="46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 s="47"/>
      <c r="Z30" s="47"/>
      <c r="AA30" s="47"/>
      <c r="AB30" s="47"/>
      <c r="AC30" s="47"/>
      <c r="AD30" s="47"/>
      <c r="AE30" s="47"/>
      <c r="AF30" s="47"/>
      <c r="AG30" s="47"/>
      <c r="AH30" s="47"/>
      <c r="AI30" s="47"/>
    </row>
    <row r="31" spans="1:37" x14ac:dyDescent="0.25">
      <c r="C31" s="46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47"/>
      <c r="X31" s="47"/>
      <c r="Y31" s="47"/>
      <c r="Z31" s="47"/>
      <c r="AA31" s="47"/>
      <c r="AB31" s="47"/>
      <c r="AC31" s="47"/>
      <c r="AD31" s="47"/>
      <c r="AE31" s="47"/>
      <c r="AF31" s="47"/>
      <c r="AG31" s="47"/>
      <c r="AH31" s="47"/>
      <c r="AI31" s="47"/>
    </row>
    <row r="32" spans="1:37" x14ac:dyDescent="0.25">
      <c r="C32" s="46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47"/>
      <c r="AB32" s="47"/>
      <c r="AC32" s="47"/>
      <c r="AD32" s="47"/>
      <c r="AE32" s="47"/>
      <c r="AF32" s="47"/>
      <c r="AG32" s="47"/>
      <c r="AH32" s="47"/>
      <c r="AI32" s="47"/>
    </row>
    <row r="33" spans="2:37" ht="39.75" customHeight="1" x14ac:dyDescent="0.25">
      <c r="C33" s="46"/>
      <c r="E33" s="240"/>
      <c r="F33" s="240"/>
      <c r="G33" s="240"/>
      <c r="H33" s="240"/>
      <c r="I33" s="240"/>
      <c r="J33" s="240"/>
      <c r="K33" s="240"/>
      <c r="L33" s="240"/>
      <c r="M33" s="240"/>
      <c r="N33" s="240"/>
      <c r="O33" s="240"/>
      <c r="P33" s="240"/>
      <c r="Q33" s="240"/>
      <c r="R33" s="240"/>
      <c r="S33" s="240"/>
      <c r="T33" s="240"/>
      <c r="U33" s="240"/>
      <c r="V33" s="240"/>
      <c r="W33" s="240"/>
      <c r="X33" s="240"/>
      <c r="Y33" s="240"/>
      <c r="Z33" s="240"/>
      <c r="AA33" s="240"/>
      <c r="AB33" s="240"/>
      <c r="AC33" s="240"/>
      <c r="AD33" s="240"/>
      <c r="AE33" s="240"/>
      <c r="AF33" s="240"/>
      <c r="AG33" s="240"/>
      <c r="AH33" s="240"/>
      <c r="AI33" s="240"/>
      <c r="AJ33" s="32" t="s">
        <v>19</v>
      </c>
    </row>
    <row r="34" spans="2:37" ht="11.25" customHeight="1" thickBot="1" x14ac:dyDescent="0.75">
      <c r="C34" s="36"/>
      <c r="AI34" s="4"/>
      <c r="AJ34" s="34" t="s">
        <v>202</v>
      </c>
    </row>
    <row r="35" spans="2:37" ht="6.75" customHeight="1" thickTop="1" thickBot="1" x14ac:dyDescent="0.3">
      <c r="B35" s="33"/>
      <c r="C35" s="45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F35" s="44"/>
      <c r="AG35" s="44"/>
      <c r="AH35" s="44"/>
      <c r="AI35" s="44"/>
      <c r="AJ35" s="43"/>
      <c r="AK35" s="33"/>
    </row>
    <row r="36" spans="2:37" ht="12.6" hidden="1" thickBot="1" x14ac:dyDescent="0.3">
      <c r="B36" s="2"/>
      <c r="C36" s="31" t="s">
        <v>132</v>
      </c>
      <c r="D36" s="30" t="s">
        <v>198</v>
      </c>
      <c r="E36" s="30" t="s">
        <v>197</v>
      </c>
      <c r="F36" s="30" t="s">
        <v>196</v>
      </c>
      <c r="G36" s="30" t="s">
        <v>195</v>
      </c>
      <c r="H36" s="30" t="s">
        <v>194</v>
      </c>
      <c r="I36" s="30" t="s">
        <v>193</v>
      </c>
      <c r="J36" s="30" t="s">
        <v>192</v>
      </c>
      <c r="K36" s="30" t="s">
        <v>191</v>
      </c>
      <c r="L36" s="30" t="s">
        <v>190</v>
      </c>
      <c r="M36" s="30" t="s">
        <v>189</v>
      </c>
      <c r="N36" s="30" t="s">
        <v>188</v>
      </c>
      <c r="O36" s="30" t="s">
        <v>187</v>
      </c>
      <c r="P36" s="30" t="s">
        <v>186</v>
      </c>
      <c r="Q36" s="30" t="s">
        <v>185</v>
      </c>
      <c r="R36" s="30" t="s">
        <v>184</v>
      </c>
      <c r="S36" s="30" t="s">
        <v>183</v>
      </c>
      <c r="T36" s="30" t="s">
        <v>182</v>
      </c>
      <c r="U36" s="30" t="s">
        <v>181</v>
      </c>
      <c r="V36" s="30" t="s">
        <v>180</v>
      </c>
      <c r="W36" s="30" t="s">
        <v>179</v>
      </c>
      <c r="X36" s="30" t="s">
        <v>178</v>
      </c>
      <c r="Y36" s="30" t="s">
        <v>177</v>
      </c>
      <c r="Z36" s="30" t="s">
        <v>176</v>
      </c>
      <c r="AA36" s="30" t="s">
        <v>175</v>
      </c>
      <c r="AB36" s="30" t="s">
        <v>174</v>
      </c>
      <c r="AC36" s="30" t="s">
        <v>173</v>
      </c>
      <c r="AD36" s="30" t="s">
        <v>172</v>
      </c>
      <c r="AE36" s="30" t="s">
        <v>171</v>
      </c>
      <c r="AF36" s="30" t="s">
        <v>170</v>
      </c>
      <c r="AG36" s="30" t="s">
        <v>169</v>
      </c>
      <c r="AH36" s="30" t="s">
        <v>168</v>
      </c>
      <c r="AI36" s="30" t="s">
        <v>167</v>
      </c>
      <c r="AJ36" s="42" t="s">
        <v>19</v>
      </c>
      <c r="AK36" s="2" t="s">
        <v>203</v>
      </c>
    </row>
    <row r="37" spans="2:37" ht="19.5" customHeight="1" thickTop="1" thickBot="1" x14ac:dyDescent="0.3">
      <c r="B37" s="28"/>
      <c r="C37" s="27" t="str">
        <f>DADOS!$R$3</f>
        <v>💧 ÁGUA</v>
      </c>
      <c r="D37" s="26" t="str">
        <f>IF(despesafixaconsolidadodez[[#This Row],[TOTAL]]=0,"",IF(OR(despesafixaconsolidadodez[[#This Row],[TOTAL]]=LARGE($AJ$37:$AJ$50,1),despesafixaconsolidadodez[[#This Row],[TOTAL]]=LARGE($AJ$37:$AJ$50,2),despesafixaconsolidadodez[[#This Row],[TOTAL]]=LARGE($AJ$37:$AJ$50,3),despesafixaconsolidadodez[[#This Row],[TOTAL]]=LARGE($AJ$37:$AJ$50,4),despesafixaconsolidadodez[[#This Row],[TOTAL]]=LARGE($AJ$37:$AJ$50,5)),DADOS!$I$8,""))</f>
        <v/>
      </c>
      <c r="E37" s="94">
        <f>SUMIFS(tabela_registros[VALOR],tabela_registros[MÊS],$AE$1,tabela_registros[DIA],deztotal3059718395107119131143155167[[#Headers],[1]],tabela_registros[REGISTRO],DADOS!$N$4,tabela_registros[TIPO],DADOS!$P$3,tabela_registros[CATEGORIA],despesafixaconsolidadodez[[#This Row],[DESPESA FIXA]])</f>
        <v>0</v>
      </c>
      <c r="F37" s="88">
        <f>SUMIFS(tabela_registros[VALOR],tabela_registros[MÊS],$AE$1,tabela_registros[DIA],deztotal3059718395107119131143155167[[#Headers],[2]],tabela_registros[REGISTRO],DADOS!$N$4,tabela_registros[TIPO],DADOS!$P$3,tabela_registros[CATEGORIA],despesafixaconsolidadodez[[#This Row],[DESPESA FIXA]])</f>
        <v>0</v>
      </c>
      <c r="G37" s="88">
        <f>SUMIFS(tabela_registros[VALOR],tabela_registros[MÊS],$AE$1,tabela_registros[DIA],deztotal3059718395107119131143155167[[#Headers],[3]],tabela_registros[REGISTRO],DADOS!$N$4,tabela_registros[TIPO],DADOS!$P$3,tabela_registros[CATEGORIA],despesafixaconsolidadodez[[#This Row],[DESPESA FIXA]])</f>
        <v>0</v>
      </c>
      <c r="H37" s="88">
        <f>SUMIFS(tabela_registros[VALOR],tabela_registros[MÊS],$AE$1,tabela_registros[DIA],deztotal3059718395107119131143155167[[#Headers],[4]],tabela_registros[REGISTRO],DADOS!$N$4,tabela_registros[TIPO],DADOS!$P$3,tabela_registros[CATEGORIA],despesafixaconsolidadodez[[#This Row],[DESPESA FIXA]])</f>
        <v>0</v>
      </c>
      <c r="I37" s="88">
        <f>SUMIFS(tabela_registros[VALOR],tabela_registros[MÊS],$AE$1,tabela_registros[DIA],deztotal3059718395107119131143155167[[#Headers],[5]],tabela_registros[REGISTRO],DADOS!$N$4,tabela_registros[TIPO],DADOS!$P$3,tabela_registros[CATEGORIA],despesafixaconsolidadodez[[#This Row],[DESPESA FIXA]])</f>
        <v>0</v>
      </c>
      <c r="J37" s="88">
        <f>SUMIFS(tabela_registros[VALOR],tabela_registros[MÊS],$AE$1,tabela_registros[DIA],deztotal3059718395107119131143155167[[#Headers],[6]],tabela_registros[REGISTRO],DADOS!$N$4,tabela_registros[TIPO],DADOS!$P$3,tabela_registros[CATEGORIA],despesafixaconsolidadodez[[#This Row],[DESPESA FIXA]])</f>
        <v>0</v>
      </c>
      <c r="K37" s="88">
        <f>SUMIFS(tabela_registros[VALOR],tabela_registros[MÊS],$AE$1,tabela_registros[DIA],deztotal3059718395107119131143155167[[#Headers],[7]],tabela_registros[REGISTRO],DADOS!$N$4,tabela_registros[TIPO],DADOS!$P$3,tabela_registros[CATEGORIA],despesafixaconsolidadodez[[#This Row],[DESPESA FIXA]])</f>
        <v>0</v>
      </c>
      <c r="L37" s="88">
        <f>SUMIFS(tabela_registros[VALOR],tabela_registros[MÊS],$AE$1,tabela_registros[DIA],deztotal3059718395107119131143155167[[#Headers],[8]],tabela_registros[REGISTRO],DADOS!$N$4,tabela_registros[TIPO],DADOS!$P$3,tabela_registros[CATEGORIA],despesafixaconsolidadodez[[#This Row],[DESPESA FIXA]])</f>
        <v>0</v>
      </c>
      <c r="M37" s="88">
        <f>SUMIFS(tabela_registros[VALOR],tabela_registros[MÊS],$AE$1,tabela_registros[DIA],deztotal3059718395107119131143155167[[#Headers],[9]],tabela_registros[REGISTRO],DADOS!$N$4,tabela_registros[TIPO],DADOS!$P$3,tabela_registros[CATEGORIA],despesafixaconsolidadodez[[#This Row],[DESPESA FIXA]])</f>
        <v>0</v>
      </c>
      <c r="N37" s="88">
        <f>SUMIFS(tabela_registros[VALOR],tabela_registros[MÊS],$AE$1,tabela_registros[DIA],deztotal3059718395107119131143155167[[#Headers],[10]],tabela_registros[REGISTRO],DADOS!$N$4,tabela_registros[TIPO],DADOS!$P$3,tabela_registros[CATEGORIA],despesafixaconsolidadodez[[#This Row],[DESPESA FIXA]])</f>
        <v>0</v>
      </c>
      <c r="O37" s="88">
        <f>SUMIFS(tabela_registros[VALOR],tabela_registros[MÊS],$AE$1,tabela_registros[DIA],deztotal3059718395107119131143155167[[#Headers],[11]],tabela_registros[REGISTRO],DADOS!$N$4,tabela_registros[TIPO],DADOS!$P$3,tabela_registros[CATEGORIA],despesafixaconsolidadodez[[#This Row],[DESPESA FIXA]])</f>
        <v>0</v>
      </c>
      <c r="P37" s="88">
        <f>SUMIFS(tabela_registros[VALOR],tabela_registros[MÊS],$AE$1,tabela_registros[DIA],deztotal3059718395107119131143155167[[#Headers],[12]],tabela_registros[REGISTRO],DADOS!$N$4,tabela_registros[TIPO],DADOS!$P$3,tabela_registros[CATEGORIA],despesafixaconsolidadodez[[#This Row],[DESPESA FIXA]])</f>
        <v>0</v>
      </c>
      <c r="Q37" s="88">
        <f>SUMIFS(tabela_registros[VALOR],tabela_registros[MÊS],$AE$1,tabela_registros[DIA],deztotal3059718395107119131143155167[[#Headers],[13]],tabela_registros[REGISTRO],DADOS!$N$4,tabela_registros[TIPO],DADOS!$P$3,tabela_registros[CATEGORIA],despesafixaconsolidadodez[[#This Row],[DESPESA FIXA]])</f>
        <v>0</v>
      </c>
      <c r="R37" s="88">
        <f>SUMIFS(tabela_registros[VALOR],tabela_registros[MÊS],$AE$1,tabela_registros[DIA],deztotal3059718395107119131143155167[[#Headers],[14]],tabela_registros[REGISTRO],DADOS!$N$4,tabela_registros[TIPO],DADOS!$P$3,tabela_registros[CATEGORIA],despesafixaconsolidadodez[[#This Row],[DESPESA FIXA]])</f>
        <v>0</v>
      </c>
      <c r="S37" s="88">
        <f>SUMIFS(tabela_registros[VALOR],tabela_registros[MÊS],$AE$1,tabela_registros[DIA],deztotal3059718395107119131143155167[[#Headers],[15]],tabela_registros[REGISTRO],DADOS!$N$4,tabela_registros[TIPO],DADOS!$P$3,tabela_registros[CATEGORIA],despesafixaconsolidadodez[[#This Row],[DESPESA FIXA]])</f>
        <v>0</v>
      </c>
      <c r="T37" s="88">
        <f>SUMIFS(tabela_registros[VALOR],tabela_registros[MÊS],$AE$1,tabela_registros[DIA],deztotal3059718395107119131143155167[[#Headers],[16]],tabela_registros[REGISTRO],DADOS!$N$4,tabela_registros[TIPO],DADOS!$P$3,tabela_registros[CATEGORIA],despesafixaconsolidadodez[[#This Row],[DESPESA FIXA]])</f>
        <v>0</v>
      </c>
      <c r="U37" s="88">
        <f>SUMIFS(tabela_registros[VALOR],tabela_registros[MÊS],$AE$1,tabela_registros[DIA],deztotal3059718395107119131143155167[[#Headers],[17]],tabela_registros[REGISTRO],DADOS!$N$4,tabela_registros[TIPO],DADOS!$P$3,tabela_registros[CATEGORIA],despesafixaconsolidadodez[[#This Row],[DESPESA FIXA]])</f>
        <v>0</v>
      </c>
      <c r="V37" s="88">
        <f>SUMIFS(tabela_registros[VALOR],tabela_registros[MÊS],$AE$1,tabela_registros[DIA],deztotal3059718395107119131143155167[[#Headers],[18]],tabela_registros[REGISTRO],DADOS!$N$4,tabela_registros[TIPO],DADOS!$P$3,tabela_registros[CATEGORIA],despesafixaconsolidadodez[[#This Row],[DESPESA FIXA]])</f>
        <v>0</v>
      </c>
      <c r="W37" s="88">
        <f>SUMIFS(tabela_registros[VALOR],tabela_registros[MÊS],$AE$1,tabela_registros[DIA],deztotal3059718395107119131143155167[[#Headers],[19]],tabela_registros[REGISTRO],DADOS!$N$4,tabela_registros[TIPO],DADOS!$P$3,tabela_registros[CATEGORIA],despesafixaconsolidadodez[[#This Row],[DESPESA FIXA]])</f>
        <v>0</v>
      </c>
      <c r="X37" s="88">
        <f>SUMIFS(tabela_registros[VALOR],tabela_registros[MÊS],$AE$1,tabela_registros[DIA],deztotal3059718395107119131143155167[[#Headers],[20]],tabela_registros[REGISTRO],DADOS!$N$4,tabela_registros[TIPO],DADOS!$P$3,tabela_registros[CATEGORIA],despesafixaconsolidadodez[[#This Row],[DESPESA FIXA]])</f>
        <v>0</v>
      </c>
      <c r="Y37" s="88">
        <f>SUMIFS(tabela_registros[VALOR],tabela_registros[MÊS],$AE$1,tabela_registros[DIA],deztotal3059718395107119131143155167[[#Headers],[21]],tabela_registros[REGISTRO],DADOS!$N$4,tabela_registros[TIPO],DADOS!$P$3,tabela_registros[CATEGORIA],despesafixaconsolidadodez[[#This Row],[DESPESA FIXA]])</f>
        <v>0</v>
      </c>
      <c r="Z37" s="88">
        <f>SUMIFS(tabela_registros[VALOR],tabela_registros[MÊS],$AE$1,tabela_registros[DIA],deztotal3059718395107119131143155167[[#Headers],[22]],tabela_registros[REGISTRO],DADOS!$N$4,tabela_registros[TIPO],DADOS!$P$3,tabela_registros[CATEGORIA],despesafixaconsolidadodez[[#This Row],[DESPESA FIXA]])</f>
        <v>0</v>
      </c>
      <c r="AA37" s="88">
        <f>SUMIFS(tabela_registros[VALOR],tabela_registros[MÊS],$AE$1,tabela_registros[DIA],deztotal3059718395107119131143155167[[#Headers],[23]],tabela_registros[REGISTRO],DADOS!$N$4,tabela_registros[TIPO],DADOS!$P$3,tabela_registros[CATEGORIA],despesafixaconsolidadodez[[#This Row],[DESPESA FIXA]])</f>
        <v>0</v>
      </c>
      <c r="AB37" s="88">
        <f>SUMIFS(tabela_registros[VALOR],tabela_registros[MÊS],$AE$1,tabela_registros[DIA],deztotal3059718395107119131143155167[[#Headers],[24]],tabela_registros[REGISTRO],DADOS!$N$4,tabela_registros[TIPO],DADOS!$P$3,tabela_registros[CATEGORIA],despesafixaconsolidadodez[[#This Row],[DESPESA FIXA]])</f>
        <v>0</v>
      </c>
      <c r="AC37" s="88">
        <f>SUMIFS(tabela_registros[VALOR],tabela_registros[MÊS],$AE$1,tabela_registros[DIA],deztotal3059718395107119131143155167[[#Headers],[25]],tabela_registros[REGISTRO],DADOS!$N$4,tabela_registros[TIPO],DADOS!$P$3,tabela_registros[CATEGORIA],despesafixaconsolidadodez[[#This Row],[DESPESA FIXA]])</f>
        <v>0</v>
      </c>
      <c r="AD37" s="88">
        <f>SUMIFS(tabela_registros[VALOR],tabela_registros[MÊS],$AE$1,tabela_registros[DIA],deztotal3059718395107119131143155167[[#Headers],[26]],tabela_registros[REGISTRO],DADOS!$N$4,tabela_registros[TIPO],DADOS!$P$3,tabela_registros[CATEGORIA],despesafixaconsolidadodez[[#This Row],[DESPESA FIXA]])</f>
        <v>0</v>
      </c>
      <c r="AE37" s="88">
        <f>SUMIFS(tabela_registros[VALOR],tabela_registros[MÊS],$AE$1,tabela_registros[DIA],deztotal3059718395107119131143155167[[#Headers],[27]],tabela_registros[REGISTRO],DADOS!$N$4,tabela_registros[TIPO],DADOS!$P$3,tabela_registros[CATEGORIA],despesafixaconsolidadodez[[#This Row],[DESPESA FIXA]])</f>
        <v>0</v>
      </c>
      <c r="AF37" s="88">
        <f>SUMIFS(tabela_registros[VALOR],tabela_registros[MÊS],$AE$1,tabela_registros[DIA],deztotal3059718395107119131143155167[[#Headers],[28]],tabela_registros[REGISTRO],DADOS!$N$4,tabela_registros[TIPO],DADOS!$P$3,tabela_registros[CATEGORIA],despesafixaconsolidadodez[[#This Row],[DESPESA FIXA]])</f>
        <v>0</v>
      </c>
      <c r="AG37" s="88">
        <f>SUMIFS(tabela_registros[VALOR],tabela_registros[MÊS],$AE$1,tabela_registros[DIA],deztotal3059718395107119131143155167[[#Headers],[29]],tabela_registros[REGISTRO],DADOS!$N$4,tabela_registros[TIPO],DADOS!$P$3,tabela_registros[CATEGORIA],despesafixaconsolidadodez[[#This Row],[DESPESA FIXA]])</f>
        <v>0</v>
      </c>
      <c r="AH37" s="88">
        <f>SUMIFS(tabela_registros[VALOR],tabela_registros[MÊS],$AE$1,tabela_registros[DIA],deztotal3059718395107119131143155167[[#Headers],[30]],tabela_registros[REGISTRO],DADOS!$N$4,tabela_registros[TIPO],DADOS!$P$3,tabela_registros[CATEGORIA],despesafixaconsolidadodez[[#This Row],[DESPESA FIXA]])</f>
        <v>0</v>
      </c>
      <c r="AI37" s="100">
        <f>SUMIFS(tabela_registros[VALOR],tabela_registros[MÊS],$AE$1,tabela_registros[DIA],deztotal3059718395107119131143155167[[#Headers],[31]],tabela_registros[REGISTRO],DADOS!$N$4,tabela_registros[TIPO],DADOS!$P$3,tabela_registros[CATEGORIA],despesafixaconsolidadodez[[#This Row],[DESPESA FIXA]])</f>
        <v>0</v>
      </c>
      <c r="AJ37" s="95">
        <f>SUM(despesafixaconsolidadodez[[#This Row],[1]:[31]])</f>
        <v>0</v>
      </c>
      <c r="AK37" s="28"/>
    </row>
    <row r="38" spans="2:37" ht="18" customHeight="1" thickTop="1" thickBot="1" x14ac:dyDescent="0.3">
      <c r="B38" s="28"/>
      <c r="C38" s="27" t="str">
        <f>DADOS!$R$4</f>
        <v>🐶 ANIMAIS DE ESTIMAÇÃO</v>
      </c>
      <c r="D38" s="26" t="str">
        <f>IF(despesafixaconsolidadodez[[#This Row],[TOTAL]]=0,"",IF(OR(despesafixaconsolidadodez[[#This Row],[TOTAL]]=LARGE($AJ$37:$AJ$50,1),despesafixaconsolidadodez[[#This Row],[TOTAL]]=LARGE($AJ$37:$AJ$50,2),despesafixaconsolidadodez[[#This Row],[TOTAL]]=LARGE($AJ$37:$AJ$50,3),despesafixaconsolidadodez[[#This Row],[TOTAL]]=LARGE($AJ$37:$AJ$50,4),despesafixaconsolidadodez[[#This Row],[TOTAL]]=LARGE($AJ$37:$AJ$50,5)),DADOS!$I$8,""))</f>
        <v/>
      </c>
      <c r="E38" s="96">
        <f>SUMIFS(tabela_registros[VALOR],tabela_registros[MÊS],$AE$1,tabela_registros[DIA],deztotal3059718395107119131143155167[[#Headers],[1]],tabela_registros[REGISTRO],DADOS!$N$4,tabela_registros[TIPO],DADOS!$P$3,tabela_registros[CATEGORIA],despesafixaconsolidadodez[[#This Row],[DESPESA FIXA]])</f>
        <v>0</v>
      </c>
      <c r="F38" s="91">
        <f>SUMIFS(tabela_registros[VALOR],tabela_registros[MÊS],$AE$1,tabela_registros[DIA],deztotal3059718395107119131143155167[[#Headers],[2]],tabela_registros[REGISTRO],DADOS!$N$4,tabela_registros[TIPO],DADOS!$P$3,tabela_registros[CATEGORIA],despesafixaconsolidadodez[[#This Row],[DESPESA FIXA]])</f>
        <v>0</v>
      </c>
      <c r="G38" s="91">
        <f>SUMIFS(tabela_registros[VALOR],tabela_registros[MÊS],$AE$1,tabela_registros[DIA],deztotal3059718395107119131143155167[[#Headers],[3]],tabela_registros[REGISTRO],DADOS!$N$4,tabela_registros[TIPO],DADOS!$P$3,tabela_registros[CATEGORIA],despesafixaconsolidadodez[[#This Row],[DESPESA FIXA]])</f>
        <v>0</v>
      </c>
      <c r="H38" s="91">
        <f>SUMIFS(tabela_registros[VALOR],tabela_registros[MÊS],$AE$1,tabela_registros[DIA],deztotal3059718395107119131143155167[[#Headers],[4]],tabela_registros[REGISTRO],DADOS!$N$4,tabela_registros[TIPO],DADOS!$P$3,tabela_registros[CATEGORIA],despesafixaconsolidadodez[[#This Row],[DESPESA FIXA]])</f>
        <v>0</v>
      </c>
      <c r="I38" s="91">
        <f>SUMIFS(tabela_registros[VALOR],tabela_registros[MÊS],$AE$1,tabela_registros[DIA],deztotal3059718395107119131143155167[[#Headers],[5]],tabela_registros[REGISTRO],DADOS!$N$4,tabela_registros[TIPO],DADOS!$P$3,tabela_registros[CATEGORIA],despesafixaconsolidadodez[[#This Row],[DESPESA FIXA]])</f>
        <v>0</v>
      </c>
      <c r="J38" s="91">
        <f>SUMIFS(tabela_registros[VALOR],tabela_registros[MÊS],$AE$1,tabela_registros[DIA],deztotal3059718395107119131143155167[[#Headers],[6]],tabela_registros[REGISTRO],DADOS!$N$4,tabela_registros[TIPO],DADOS!$P$3,tabela_registros[CATEGORIA],despesafixaconsolidadodez[[#This Row],[DESPESA FIXA]])</f>
        <v>0</v>
      </c>
      <c r="K38" s="91">
        <f>SUMIFS(tabela_registros[VALOR],tabela_registros[MÊS],$AE$1,tabela_registros[DIA],deztotal3059718395107119131143155167[[#Headers],[7]],tabela_registros[REGISTRO],DADOS!$N$4,tabela_registros[TIPO],DADOS!$P$3,tabela_registros[CATEGORIA],despesafixaconsolidadodez[[#This Row],[DESPESA FIXA]])</f>
        <v>0</v>
      </c>
      <c r="L38" s="91">
        <f>SUMIFS(tabela_registros[VALOR],tabela_registros[MÊS],$AE$1,tabela_registros[DIA],deztotal3059718395107119131143155167[[#Headers],[8]],tabela_registros[REGISTRO],DADOS!$N$4,tabela_registros[TIPO],DADOS!$P$3,tabela_registros[CATEGORIA],despesafixaconsolidadodez[[#This Row],[DESPESA FIXA]])</f>
        <v>0</v>
      </c>
      <c r="M38" s="91">
        <f>SUMIFS(tabela_registros[VALOR],tabela_registros[MÊS],$AE$1,tabela_registros[DIA],deztotal3059718395107119131143155167[[#Headers],[9]],tabela_registros[REGISTRO],DADOS!$N$4,tabela_registros[TIPO],DADOS!$P$3,tabela_registros[CATEGORIA],despesafixaconsolidadodez[[#This Row],[DESPESA FIXA]])</f>
        <v>0</v>
      </c>
      <c r="N38" s="91">
        <f>SUMIFS(tabela_registros[VALOR],tabela_registros[MÊS],$AE$1,tabela_registros[DIA],deztotal3059718395107119131143155167[[#Headers],[10]],tabela_registros[REGISTRO],DADOS!$N$4,tabela_registros[TIPO],DADOS!$P$3,tabela_registros[CATEGORIA],despesafixaconsolidadodez[[#This Row],[DESPESA FIXA]])</f>
        <v>0</v>
      </c>
      <c r="O38" s="91">
        <f>SUMIFS(tabela_registros[VALOR],tabela_registros[MÊS],$AE$1,tabela_registros[DIA],deztotal3059718395107119131143155167[[#Headers],[11]],tabela_registros[REGISTRO],DADOS!$N$4,tabela_registros[TIPO],DADOS!$P$3,tabela_registros[CATEGORIA],despesafixaconsolidadodez[[#This Row],[DESPESA FIXA]])</f>
        <v>0</v>
      </c>
      <c r="P38" s="91">
        <f>SUMIFS(tabela_registros[VALOR],tabela_registros[MÊS],$AE$1,tabela_registros[DIA],deztotal3059718395107119131143155167[[#Headers],[12]],tabela_registros[REGISTRO],DADOS!$N$4,tabela_registros[TIPO],DADOS!$P$3,tabela_registros[CATEGORIA],despesafixaconsolidadodez[[#This Row],[DESPESA FIXA]])</f>
        <v>0</v>
      </c>
      <c r="Q38" s="91">
        <f>SUMIFS(tabela_registros[VALOR],tabela_registros[MÊS],$AE$1,tabela_registros[DIA],deztotal3059718395107119131143155167[[#Headers],[13]],tabela_registros[REGISTRO],DADOS!$N$4,tabela_registros[TIPO],DADOS!$P$3,tabela_registros[CATEGORIA],despesafixaconsolidadodez[[#This Row],[DESPESA FIXA]])</f>
        <v>0</v>
      </c>
      <c r="R38" s="91">
        <f>SUMIFS(tabela_registros[VALOR],tabela_registros[MÊS],$AE$1,tabela_registros[DIA],deztotal3059718395107119131143155167[[#Headers],[14]],tabela_registros[REGISTRO],DADOS!$N$4,tabela_registros[TIPO],DADOS!$P$3,tabela_registros[CATEGORIA],despesafixaconsolidadodez[[#This Row],[DESPESA FIXA]])</f>
        <v>0</v>
      </c>
      <c r="S38" s="91">
        <f>SUMIFS(tabela_registros[VALOR],tabela_registros[MÊS],$AE$1,tabela_registros[DIA],deztotal3059718395107119131143155167[[#Headers],[15]],tabela_registros[REGISTRO],DADOS!$N$4,tabela_registros[TIPO],DADOS!$P$3,tabela_registros[CATEGORIA],despesafixaconsolidadodez[[#This Row],[DESPESA FIXA]])</f>
        <v>0</v>
      </c>
      <c r="T38" s="91">
        <f>SUMIFS(tabela_registros[VALOR],tabela_registros[MÊS],$AE$1,tabela_registros[DIA],deztotal3059718395107119131143155167[[#Headers],[16]],tabela_registros[REGISTRO],DADOS!$N$4,tabela_registros[TIPO],DADOS!$P$3,tabela_registros[CATEGORIA],despesafixaconsolidadodez[[#This Row],[DESPESA FIXA]])</f>
        <v>0</v>
      </c>
      <c r="U38" s="91">
        <f>SUMIFS(tabela_registros[VALOR],tabela_registros[MÊS],$AE$1,tabela_registros[DIA],deztotal3059718395107119131143155167[[#Headers],[17]],tabela_registros[REGISTRO],DADOS!$N$4,tabela_registros[TIPO],DADOS!$P$3,tabela_registros[CATEGORIA],despesafixaconsolidadodez[[#This Row],[DESPESA FIXA]])</f>
        <v>0</v>
      </c>
      <c r="V38" s="91">
        <f>SUMIFS(tabela_registros[VALOR],tabela_registros[MÊS],$AE$1,tabela_registros[DIA],deztotal3059718395107119131143155167[[#Headers],[18]],tabela_registros[REGISTRO],DADOS!$N$4,tabela_registros[TIPO],DADOS!$P$3,tabela_registros[CATEGORIA],despesafixaconsolidadodez[[#This Row],[DESPESA FIXA]])</f>
        <v>0</v>
      </c>
      <c r="W38" s="91">
        <f>SUMIFS(tabela_registros[VALOR],tabela_registros[MÊS],$AE$1,tabela_registros[DIA],deztotal3059718395107119131143155167[[#Headers],[19]],tabela_registros[REGISTRO],DADOS!$N$4,tabela_registros[TIPO],DADOS!$P$3,tabela_registros[CATEGORIA],despesafixaconsolidadodez[[#This Row],[DESPESA FIXA]])</f>
        <v>0</v>
      </c>
      <c r="X38" s="91">
        <f>SUMIFS(tabela_registros[VALOR],tabela_registros[MÊS],$AE$1,tabela_registros[DIA],deztotal3059718395107119131143155167[[#Headers],[20]],tabela_registros[REGISTRO],DADOS!$N$4,tabela_registros[TIPO],DADOS!$P$3,tabela_registros[CATEGORIA],despesafixaconsolidadodez[[#This Row],[DESPESA FIXA]])</f>
        <v>0</v>
      </c>
      <c r="Y38" s="91">
        <f>SUMIFS(tabela_registros[VALOR],tabela_registros[MÊS],$AE$1,tabela_registros[DIA],deztotal3059718395107119131143155167[[#Headers],[21]],tabela_registros[REGISTRO],DADOS!$N$4,tabela_registros[TIPO],DADOS!$P$3,tabela_registros[CATEGORIA],despesafixaconsolidadodez[[#This Row],[DESPESA FIXA]])</f>
        <v>0</v>
      </c>
      <c r="Z38" s="91">
        <f>SUMIFS(tabela_registros[VALOR],tabela_registros[MÊS],$AE$1,tabela_registros[DIA],deztotal3059718395107119131143155167[[#Headers],[22]],tabela_registros[REGISTRO],DADOS!$N$4,tabela_registros[TIPO],DADOS!$P$3,tabela_registros[CATEGORIA],despesafixaconsolidadodez[[#This Row],[DESPESA FIXA]])</f>
        <v>0</v>
      </c>
      <c r="AA38" s="91">
        <f>SUMIFS(tabela_registros[VALOR],tabela_registros[MÊS],$AE$1,tabela_registros[DIA],deztotal3059718395107119131143155167[[#Headers],[23]],tabela_registros[REGISTRO],DADOS!$N$4,tabela_registros[TIPO],DADOS!$P$3,tabela_registros[CATEGORIA],despesafixaconsolidadodez[[#This Row],[DESPESA FIXA]])</f>
        <v>0</v>
      </c>
      <c r="AB38" s="91">
        <f>SUMIFS(tabela_registros[VALOR],tabela_registros[MÊS],$AE$1,tabela_registros[DIA],deztotal3059718395107119131143155167[[#Headers],[24]],tabela_registros[REGISTRO],DADOS!$N$4,tabela_registros[TIPO],DADOS!$P$3,tabela_registros[CATEGORIA],despesafixaconsolidadodez[[#This Row],[DESPESA FIXA]])</f>
        <v>0</v>
      </c>
      <c r="AC38" s="91">
        <f>SUMIFS(tabela_registros[VALOR],tabela_registros[MÊS],$AE$1,tabela_registros[DIA],deztotal3059718395107119131143155167[[#Headers],[25]],tabela_registros[REGISTRO],DADOS!$N$4,tabela_registros[TIPO],DADOS!$P$3,tabela_registros[CATEGORIA],despesafixaconsolidadodez[[#This Row],[DESPESA FIXA]])</f>
        <v>0</v>
      </c>
      <c r="AD38" s="91">
        <f>SUMIFS(tabela_registros[VALOR],tabela_registros[MÊS],$AE$1,tabela_registros[DIA],deztotal3059718395107119131143155167[[#Headers],[26]],tabela_registros[REGISTRO],DADOS!$N$4,tabela_registros[TIPO],DADOS!$P$3,tabela_registros[CATEGORIA],despesafixaconsolidadodez[[#This Row],[DESPESA FIXA]])</f>
        <v>0</v>
      </c>
      <c r="AE38" s="91">
        <f>SUMIFS(tabela_registros[VALOR],tabela_registros[MÊS],$AE$1,tabela_registros[DIA],deztotal3059718395107119131143155167[[#Headers],[27]],tabela_registros[REGISTRO],DADOS!$N$4,tabela_registros[TIPO],DADOS!$P$3,tabela_registros[CATEGORIA],despesafixaconsolidadodez[[#This Row],[DESPESA FIXA]])</f>
        <v>0</v>
      </c>
      <c r="AF38" s="91">
        <f>SUMIFS(tabela_registros[VALOR],tabela_registros[MÊS],$AE$1,tabela_registros[DIA],deztotal3059718395107119131143155167[[#Headers],[28]],tabela_registros[REGISTRO],DADOS!$N$4,tabela_registros[TIPO],DADOS!$P$3,tabela_registros[CATEGORIA],despesafixaconsolidadodez[[#This Row],[DESPESA FIXA]])</f>
        <v>0</v>
      </c>
      <c r="AG38" s="91">
        <f>SUMIFS(tabela_registros[VALOR],tabela_registros[MÊS],$AE$1,tabela_registros[DIA],deztotal3059718395107119131143155167[[#Headers],[29]],tabela_registros[REGISTRO],DADOS!$N$4,tabela_registros[TIPO],DADOS!$P$3,tabela_registros[CATEGORIA],despesafixaconsolidadodez[[#This Row],[DESPESA FIXA]])</f>
        <v>0</v>
      </c>
      <c r="AH38" s="91">
        <f>SUMIFS(tabela_registros[VALOR],tabela_registros[MÊS],$AE$1,tabela_registros[DIA],deztotal3059718395107119131143155167[[#Headers],[30]],tabela_registros[REGISTRO],DADOS!$N$4,tabela_registros[TIPO],DADOS!$P$3,tabela_registros[CATEGORIA],despesafixaconsolidadodez[[#This Row],[DESPESA FIXA]])</f>
        <v>0</v>
      </c>
      <c r="AI38" s="101">
        <f>SUMIFS(tabela_registros[VALOR],tabela_registros[MÊS],$AE$1,tabela_registros[DIA],deztotal3059718395107119131143155167[[#Headers],[31]],tabela_registros[REGISTRO],DADOS!$N$4,tabela_registros[TIPO],DADOS!$P$3,tabela_registros[CATEGORIA],despesafixaconsolidadodez[[#This Row],[DESPESA FIXA]])</f>
        <v>0</v>
      </c>
      <c r="AJ38" s="97">
        <f>SUM(despesafixaconsolidadodez[[#This Row],[1]:[31]])</f>
        <v>0</v>
      </c>
      <c r="AK38" s="28"/>
    </row>
    <row r="39" spans="2:37" ht="18" customHeight="1" thickTop="1" thickBot="1" x14ac:dyDescent="0.3">
      <c r="B39" s="28"/>
      <c r="C39" s="27" t="str">
        <f>DADOS!$R$5</f>
        <v>🔖 ASSINATURAS E SERVIÇOS</v>
      </c>
      <c r="D39" s="26" t="str">
        <f>IF(despesafixaconsolidadodez[[#This Row],[TOTAL]]=0,"",IF(OR(despesafixaconsolidadodez[[#This Row],[TOTAL]]=LARGE($AJ$37:$AJ$50,1),despesafixaconsolidadodez[[#This Row],[TOTAL]]=LARGE($AJ$37:$AJ$50,2),despesafixaconsolidadodez[[#This Row],[TOTAL]]=LARGE($AJ$37:$AJ$50,3),despesafixaconsolidadodez[[#This Row],[TOTAL]]=LARGE($AJ$37:$AJ$50,4),despesafixaconsolidadodez[[#This Row],[TOTAL]]=LARGE($AJ$37:$AJ$50,5)),DADOS!$I$8,""))</f>
        <v/>
      </c>
      <c r="E39" s="96">
        <f>SUMIFS(tabela_registros[VALOR],tabela_registros[MÊS],$AE$1,tabela_registros[DIA],deztotal3059718395107119131143155167[[#Headers],[1]],tabela_registros[REGISTRO],DADOS!$N$4,tabela_registros[TIPO],DADOS!$P$3,tabela_registros[CATEGORIA],despesafixaconsolidadodez[[#This Row],[DESPESA FIXA]])</f>
        <v>0</v>
      </c>
      <c r="F39" s="91">
        <f>SUMIFS(tabela_registros[VALOR],tabela_registros[MÊS],$AE$1,tabela_registros[DIA],deztotal3059718395107119131143155167[[#Headers],[2]],tabela_registros[REGISTRO],DADOS!$N$4,tabela_registros[TIPO],DADOS!$P$3,tabela_registros[CATEGORIA],despesafixaconsolidadodez[[#This Row],[DESPESA FIXA]])</f>
        <v>0</v>
      </c>
      <c r="G39" s="91">
        <f>SUMIFS(tabela_registros[VALOR],tabela_registros[MÊS],$AE$1,tabela_registros[DIA],deztotal3059718395107119131143155167[[#Headers],[3]],tabela_registros[REGISTRO],DADOS!$N$4,tabela_registros[TIPO],DADOS!$P$3,tabela_registros[CATEGORIA],despesafixaconsolidadodez[[#This Row],[DESPESA FIXA]])</f>
        <v>0</v>
      </c>
      <c r="H39" s="91">
        <f>SUMIFS(tabela_registros[VALOR],tabela_registros[MÊS],$AE$1,tabela_registros[DIA],deztotal3059718395107119131143155167[[#Headers],[4]],tabela_registros[REGISTRO],DADOS!$N$4,tabela_registros[TIPO],DADOS!$P$3,tabela_registros[CATEGORIA],despesafixaconsolidadodez[[#This Row],[DESPESA FIXA]])</f>
        <v>0</v>
      </c>
      <c r="I39" s="91">
        <f>SUMIFS(tabela_registros[VALOR],tabela_registros[MÊS],$AE$1,tabela_registros[DIA],deztotal3059718395107119131143155167[[#Headers],[5]],tabela_registros[REGISTRO],DADOS!$N$4,tabela_registros[TIPO],DADOS!$P$3,tabela_registros[CATEGORIA],despesafixaconsolidadodez[[#This Row],[DESPESA FIXA]])</f>
        <v>0</v>
      </c>
      <c r="J39" s="91">
        <f>SUMIFS(tabela_registros[VALOR],tabela_registros[MÊS],$AE$1,tabela_registros[DIA],deztotal3059718395107119131143155167[[#Headers],[6]],tabela_registros[REGISTRO],DADOS!$N$4,tabela_registros[TIPO],DADOS!$P$3,tabela_registros[CATEGORIA],despesafixaconsolidadodez[[#This Row],[DESPESA FIXA]])</f>
        <v>0</v>
      </c>
      <c r="K39" s="91">
        <f>SUMIFS(tabela_registros[VALOR],tabela_registros[MÊS],$AE$1,tabela_registros[DIA],deztotal3059718395107119131143155167[[#Headers],[7]],tabela_registros[REGISTRO],DADOS!$N$4,tabela_registros[TIPO],DADOS!$P$3,tabela_registros[CATEGORIA],despesafixaconsolidadodez[[#This Row],[DESPESA FIXA]])</f>
        <v>0</v>
      </c>
      <c r="L39" s="91">
        <f>SUMIFS(tabela_registros[VALOR],tabela_registros[MÊS],$AE$1,tabela_registros[DIA],deztotal3059718395107119131143155167[[#Headers],[8]],tabela_registros[REGISTRO],DADOS!$N$4,tabela_registros[TIPO],DADOS!$P$3,tabela_registros[CATEGORIA],despesafixaconsolidadodez[[#This Row],[DESPESA FIXA]])</f>
        <v>0</v>
      </c>
      <c r="M39" s="91">
        <f>SUMIFS(tabela_registros[VALOR],tabela_registros[MÊS],$AE$1,tabela_registros[DIA],deztotal3059718395107119131143155167[[#Headers],[9]],tabela_registros[REGISTRO],DADOS!$N$4,tabela_registros[TIPO],DADOS!$P$3,tabela_registros[CATEGORIA],despesafixaconsolidadodez[[#This Row],[DESPESA FIXA]])</f>
        <v>0</v>
      </c>
      <c r="N39" s="91">
        <f>SUMIFS(tabela_registros[VALOR],tabela_registros[MÊS],$AE$1,tabela_registros[DIA],deztotal3059718395107119131143155167[[#Headers],[10]],tabela_registros[REGISTRO],DADOS!$N$4,tabela_registros[TIPO],DADOS!$P$3,tabela_registros[CATEGORIA],despesafixaconsolidadodez[[#This Row],[DESPESA FIXA]])</f>
        <v>0</v>
      </c>
      <c r="O39" s="91">
        <f>SUMIFS(tabela_registros[VALOR],tabela_registros[MÊS],$AE$1,tabela_registros[DIA],deztotal3059718395107119131143155167[[#Headers],[11]],tabela_registros[REGISTRO],DADOS!$N$4,tabela_registros[TIPO],DADOS!$P$3,tabela_registros[CATEGORIA],despesafixaconsolidadodez[[#This Row],[DESPESA FIXA]])</f>
        <v>0</v>
      </c>
      <c r="P39" s="91">
        <f>SUMIFS(tabela_registros[VALOR],tabela_registros[MÊS],$AE$1,tabela_registros[DIA],deztotal3059718395107119131143155167[[#Headers],[12]],tabela_registros[REGISTRO],DADOS!$N$4,tabela_registros[TIPO],DADOS!$P$3,tabela_registros[CATEGORIA],despesafixaconsolidadodez[[#This Row],[DESPESA FIXA]])</f>
        <v>0</v>
      </c>
      <c r="Q39" s="91">
        <f>SUMIFS(tabela_registros[VALOR],tabela_registros[MÊS],$AE$1,tabela_registros[DIA],deztotal3059718395107119131143155167[[#Headers],[13]],tabela_registros[REGISTRO],DADOS!$N$4,tabela_registros[TIPO],DADOS!$P$3,tabela_registros[CATEGORIA],despesafixaconsolidadodez[[#This Row],[DESPESA FIXA]])</f>
        <v>0</v>
      </c>
      <c r="R39" s="91">
        <f>SUMIFS(tabela_registros[VALOR],tabela_registros[MÊS],$AE$1,tabela_registros[DIA],deztotal3059718395107119131143155167[[#Headers],[14]],tabela_registros[REGISTRO],DADOS!$N$4,tabela_registros[TIPO],DADOS!$P$3,tabela_registros[CATEGORIA],despesafixaconsolidadodez[[#This Row],[DESPESA FIXA]])</f>
        <v>0</v>
      </c>
      <c r="S39" s="91">
        <f>SUMIFS(tabela_registros[VALOR],tabela_registros[MÊS],$AE$1,tabela_registros[DIA],deztotal3059718395107119131143155167[[#Headers],[15]],tabela_registros[REGISTRO],DADOS!$N$4,tabela_registros[TIPO],DADOS!$P$3,tabela_registros[CATEGORIA],despesafixaconsolidadodez[[#This Row],[DESPESA FIXA]])</f>
        <v>0</v>
      </c>
      <c r="T39" s="91">
        <f>SUMIFS(tabela_registros[VALOR],tabela_registros[MÊS],$AE$1,tabela_registros[DIA],deztotal3059718395107119131143155167[[#Headers],[16]],tabela_registros[REGISTRO],DADOS!$N$4,tabela_registros[TIPO],DADOS!$P$3,tabela_registros[CATEGORIA],despesafixaconsolidadodez[[#This Row],[DESPESA FIXA]])</f>
        <v>0</v>
      </c>
      <c r="U39" s="91">
        <f>SUMIFS(tabela_registros[VALOR],tabela_registros[MÊS],$AE$1,tabela_registros[DIA],deztotal3059718395107119131143155167[[#Headers],[17]],tabela_registros[REGISTRO],DADOS!$N$4,tabela_registros[TIPO],DADOS!$P$3,tabela_registros[CATEGORIA],despesafixaconsolidadodez[[#This Row],[DESPESA FIXA]])</f>
        <v>0</v>
      </c>
      <c r="V39" s="91">
        <f>SUMIFS(tabela_registros[VALOR],tabela_registros[MÊS],$AE$1,tabela_registros[DIA],deztotal3059718395107119131143155167[[#Headers],[18]],tabela_registros[REGISTRO],DADOS!$N$4,tabela_registros[TIPO],DADOS!$P$3,tabela_registros[CATEGORIA],despesafixaconsolidadodez[[#This Row],[DESPESA FIXA]])</f>
        <v>0</v>
      </c>
      <c r="W39" s="91">
        <f>SUMIFS(tabela_registros[VALOR],tabela_registros[MÊS],$AE$1,tabela_registros[DIA],deztotal3059718395107119131143155167[[#Headers],[19]],tabela_registros[REGISTRO],DADOS!$N$4,tabela_registros[TIPO],DADOS!$P$3,tabela_registros[CATEGORIA],despesafixaconsolidadodez[[#This Row],[DESPESA FIXA]])</f>
        <v>0</v>
      </c>
      <c r="X39" s="91">
        <f>SUMIFS(tabela_registros[VALOR],tabela_registros[MÊS],$AE$1,tabela_registros[DIA],deztotal3059718395107119131143155167[[#Headers],[20]],tabela_registros[REGISTRO],DADOS!$N$4,tabela_registros[TIPO],DADOS!$P$3,tabela_registros[CATEGORIA],despesafixaconsolidadodez[[#This Row],[DESPESA FIXA]])</f>
        <v>0</v>
      </c>
      <c r="Y39" s="91">
        <f>SUMIFS(tabela_registros[VALOR],tabela_registros[MÊS],$AE$1,tabela_registros[DIA],deztotal3059718395107119131143155167[[#Headers],[21]],tabela_registros[REGISTRO],DADOS!$N$4,tabela_registros[TIPO],DADOS!$P$3,tabela_registros[CATEGORIA],despesafixaconsolidadodez[[#This Row],[DESPESA FIXA]])</f>
        <v>0</v>
      </c>
      <c r="Z39" s="91">
        <f>SUMIFS(tabela_registros[VALOR],tabela_registros[MÊS],$AE$1,tabela_registros[DIA],deztotal3059718395107119131143155167[[#Headers],[22]],tabela_registros[REGISTRO],DADOS!$N$4,tabela_registros[TIPO],DADOS!$P$3,tabela_registros[CATEGORIA],despesafixaconsolidadodez[[#This Row],[DESPESA FIXA]])</f>
        <v>0</v>
      </c>
      <c r="AA39" s="91">
        <f>SUMIFS(tabela_registros[VALOR],tabela_registros[MÊS],$AE$1,tabela_registros[DIA],deztotal3059718395107119131143155167[[#Headers],[23]],tabela_registros[REGISTRO],DADOS!$N$4,tabela_registros[TIPO],DADOS!$P$3,tabela_registros[CATEGORIA],despesafixaconsolidadodez[[#This Row],[DESPESA FIXA]])</f>
        <v>0</v>
      </c>
      <c r="AB39" s="91">
        <f>SUMIFS(tabela_registros[VALOR],tabela_registros[MÊS],$AE$1,tabela_registros[DIA],deztotal3059718395107119131143155167[[#Headers],[24]],tabela_registros[REGISTRO],DADOS!$N$4,tabela_registros[TIPO],DADOS!$P$3,tabela_registros[CATEGORIA],despesafixaconsolidadodez[[#This Row],[DESPESA FIXA]])</f>
        <v>0</v>
      </c>
      <c r="AC39" s="91">
        <f>SUMIFS(tabela_registros[VALOR],tabela_registros[MÊS],$AE$1,tabela_registros[DIA],deztotal3059718395107119131143155167[[#Headers],[25]],tabela_registros[REGISTRO],DADOS!$N$4,tabela_registros[TIPO],DADOS!$P$3,tabela_registros[CATEGORIA],despesafixaconsolidadodez[[#This Row],[DESPESA FIXA]])</f>
        <v>0</v>
      </c>
      <c r="AD39" s="91">
        <f>SUMIFS(tabela_registros[VALOR],tabela_registros[MÊS],$AE$1,tabela_registros[DIA],deztotal3059718395107119131143155167[[#Headers],[26]],tabela_registros[REGISTRO],DADOS!$N$4,tabela_registros[TIPO],DADOS!$P$3,tabela_registros[CATEGORIA],despesafixaconsolidadodez[[#This Row],[DESPESA FIXA]])</f>
        <v>0</v>
      </c>
      <c r="AE39" s="91">
        <f>SUMIFS(tabela_registros[VALOR],tabela_registros[MÊS],$AE$1,tabela_registros[DIA],deztotal3059718395107119131143155167[[#Headers],[27]],tabela_registros[REGISTRO],DADOS!$N$4,tabela_registros[TIPO],DADOS!$P$3,tabela_registros[CATEGORIA],despesafixaconsolidadodez[[#This Row],[DESPESA FIXA]])</f>
        <v>0</v>
      </c>
      <c r="AF39" s="91">
        <f>SUMIFS(tabela_registros[VALOR],tabela_registros[MÊS],$AE$1,tabela_registros[DIA],deztotal3059718395107119131143155167[[#Headers],[28]],tabela_registros[REGISTRO],DADOS!$N$4,tabela_registros[TIPO],DADOS!$P$3,tabela_registros[CATEGORIA],despesafixaconsolidadodez[[#This Row],[DESPESA FIXA]])</f>
        <v>0</v>
      </c>
      <c r="AG39" s="91">
        <f>SUMIFS(tabela_registros[VALOR],tabela_registros[MÊS],$AE$1,tabela_registros[DIA],deztotal3059718395107119131143155167[[#Headers],[29]],tabela_registros[REGISTRO],DADOS!$N$4,tabela_registros[TIPO],DADOS!$P$3,tabela_registros[CATEGORIA],despesafixaconsolidadodez[[#This Row],[DESPESA FIXA]])</f>
        <v>0</v>
      </c>
      <c r="AH39" s="91">
        <f>SUMIFS(tabela_registros[VALOR],tabela_registros[MÊS],$AE$1,tabela_registros[DIA],deztotal3059718395107119131143155167[[#Headers],[30]],tabela_registros[REGISTRO],DADOS!$N$4,tabela_registros[TIPO],DADOS!$P$3,tabela_registros[CATEGORIA],despesafixaconsolidadodez[[#This Row],[DESPESA FIXA]])</f>
        <v>0</v>
      </c>
      <c r="AI39" s="101">
        <f>SUMIFS(tabela_registros[VALOR],tabela_registros[MÊS],$AE$1,tabela_registros[DIA],deztotal3059718395107119131143155167[[#Headers],[31]],tabela_registros[REGISTRO],DADOS!$N$4,tabela_registros[TIPO],DADOS!$P$3,tabela_registros[CATEGORIA],despesafixaconsolidadodez[[#This Row],[DESPESA FIXA]])</f>
        <v>0</v>
      </c>
      <c r="AJ39" s="97">
        <f>SUM(despesafixaconsolidadodez[[#This Row],[1]:[31]])</f>
        <v>0</v>
      </c>
      <c r="AK39" s="28"/>
    </row>
    <row r="40" spans="2:37" ht="18" customHeight="1" thickTop="1" thickBot="1" x14ac:dyDescent="0.3">
      <c r="B40" s="28"/>
      <c r="C40" s="27" t="str">
        <f>DADOS!$R$6</f>
        <v>📱 CELULAR</v>
      </c>
      <c r="D40" s="26" t="str">
        <f>IF(despesafixaconsolidadodez[[#This Row],[TOTAL]]=0,"",IF(OR(despesafixaconsolidadodez[[#This Row],[TOTAL]]=LARGE($AJ$37:$AJ$50,1),despesafixaconsolidadodez[[#This Row],[TOTAL]]=LARGE($AJ$37:$AJ$50,2),despesafixaconsolidadodez[[#This Row],[TOTAL]]=LARGE($AJ$37:$AJ$50,3),despesafixaconsolidadodez[[#This Row],[TOTAL]]=LARGE($AJ$37:$AJ$50,4),despesafixaconsolidadodez[[#This Row],[TOTAL]]=LARGE($AJ$37:$AJ$50,5)),DADOS!$I$8,""))</f>
        <v/>
      </c>
      <c r="E40" s="96">
        <f>SUMIFS(tabela_registros[VALOR],tabela_registros[MÊS],$AE$1,tabela_registros[DIA],deztotal3059718395107119131143155167[[#Headers],[1]],tabela_registros[REGISTRO],DADOS!$N$4,tabela_registros[TIPO],DADOS!$P$3,tabela_registros[CATEGORIA],despesafixaconsolidadodez[[#This Row],[DESPESA FIXA]])</f>
        <v>0</v>
      </c>
      <c r="F40" s="91">
        <f>SUMIFS(tabela_registros[VALOR],tabela_registros[MÊS],$AE$1,tabela_registros[DIA],deztotal3059718395107119131143155167[[#Headers],[2]],tabela_registros[REGISTRO],DADOS!$N$4,tabela_registros[TIPO],DADOS!$P$3,tabela_registros[CATEGORIA],despesafixaconsolidadodez[[#This Row],[DESPESA FIXA]])</f>
        <v>0</v>
      </c>
      <c r="G40" s="91">
        <f>SUMIFS(tabela_registros[VALOR],tabela_registros[MÊS],$AE$1,tabela_registros[DIA],deztotal3059718395107119131143155167[[#Headers],[3]],tabela_registros[REGISTRO],DADOS!$N$4,tabela_registros[TIPO],DADOS!$P$3,tabela_registros[CATEGORIA],despesafixaconsolidadodez[[#This Row],[DESPESA FIXA]])</f>
        <v>0</v>
      </c>
      <c r="H40" s="91">
        <f>SUMIFS(tabela_registros[VALOR],tabela_registros[MÊS],$AE$1,tabela_registros[DIA],deztotal3059718395107119131143155167[[#Headers],[4]],tabela_registros[REGISTRO],DADOS!$N$4,tabela_registros[TIPO],DADOS!$P$3,tabela_registros[CATEGORIA],despesafixaconsolidadodez[[#This Row],[DESPESA FIXA]])</f>
        <v>0</v>
      </c>
      <c r="I40" s="91">
        <f>SUMIFS(tabela_registros[VALOR],tabela_registros[MÊS],$AE$1,tabela_registros[DIA],deztotal3059718395107119131143155167[[#Headers],[5]],tabela_registros[REGISTRO],DADOS!$N$4,tabela_registros[TIPO],DADOS!$P$3,tabela_registros[CATEGORIA],despesafixaconsolidadodez[[#This Row],[DESPESA FIXA]])</f>
        <v>0</v>
      </c>
      <c r="J40" s="91">
        <f>SUMIFS(tabela_registros[VALOR],tabela_registros[MÊS],$AE$1,tabela_registros[DIA],deztotal3059718395107119131143155167[[#Headers],[6]],tabela_registros[REGISTRO],DADOS!$N$4,tabela_registros[TIPO],DADOS!$P$3,tabela_registros[CATEGORIA],despesafixaconsolidadodez[[#This Row],[DESPESA FIXA]])</f>
        <v>0</v>
      </c>
      <c r="K40" s="91">
        <f>SUMIFS(tabela_registros[VALOR],tabela_registros[MÊS],$AE$1,tabela_registros[DIA],deztotal3059718395107119131143155167[[#Headers],[7]],tabela_registros[REGISTRO],DADOS!$N$4,tabela_registros[TIPO],DADOS!$P$3,tabela_registros[CATEGORIA],despesafixaconsolidadodez[[#This Row],[DESPESA FIXA]])</f>
        <v>0</v>
      </c>
      <c r="L40" s="91">
        <f>SUMIFS(tabela_registros[VALOR],tabela_registros[MÊS],$AE$1,tabela_registros[DIA],deztotal3059718395107119131143155167[[#Headers],[8]],tabela_registros[REGISTRO],DADOS!$N$4,tabela_registros[TIPO],DADOS!$P$3,tabela_registros[CATEGORIA],despesafixaconsolidadodez[[#This Row],[DESPESA FIXA]])</f>
        <v>0</v>
      </c>
      <c r="M40" s="91">
        <f>SUMIFS(tabela_registros[VALOR],tabela_registros[MÊS],$AE$1,tabela_registros[DIA],deztotal3059718395107119131143155167[[#Headers],[9]],tabela_registros[REGISTRO],DADOS!$N$4,tabela_registros[TIPO],DADOS!$P$3,tabela_registros[CATEGORIA],despesafixaconsolidadodez[[#This Row],[DESPESA FIXA]])</f>
        <v>0</v>
      </c>
      <c r="N40" s="91">
        <f>SUMIFS(tabela_registros[VALOR],tabela_registros[MÊS],$AE$1,tabela_registros[DIA],deztotal3059718395107119131143155167[[#Headers],[10]],tabela_registros[REGISTRO],DADOS!$N$4,tabela_registros[TIPO],DADOS!$P$3,tabela_registros[CATEGORIA],despesafixaconsolidadodez[[#This Row],[DESPESA FIXA]])</f>
        <v>0</v>
      </c>
      <c r="O40" s="91">
        <f>SUMIFS(tabela_registros[VALOR],tabela_registros[MÊS],$AE$1,tabela_registros[DIA],deztotal3059718395107119131143155167[[#Headers],[11]],tabela_registros[REGISTRO],DADOS!$N$4,tabela_registros[TIPO],DADOS!$P$3,tabela_registros[CATEGORIA],despesafixaconsolidadodez[[#This Row],[DESPESA FIXA]])</f>
        <v>0</v>
      </c>
      <c r="P40" s="91">
        <f>SUMIFS(tabela_registros[VALOR],tabela_registros[MÊS],$AE$1,tabela_registros[DIA],deztotal3059718395107119131143155167[[#Headers],[12]],tabela_registros[REGISTRO],DADOS!$N$4,tabela_registros[TIPO],DADOS!$P$3,tabela_registros[CATEGORIA],despesafixaconsolidadodez[[#This Row],[DESPESA FIXA]])</f>
        <v>0</v>
      </c>
      <c r="Q40" s="91">
        <f>SUMIFS(tabela_registros[VALOR],tabela_registros[MÊS],$AE$1,tabela_registros[DIA],deztotal3059718395107119131143155167[[#Headers],[13]],tabela_registros[REGISTRO],DADOS!$N$4,tabela_registros[TIPO],DADOS!$P$3,tabela_registros[CATEGORIA],despesafixaconsolidadodez[[#This Row],[DESPESA FIXA]])</f>
        <v>0</v>
      </c>
      <c r="R40" s="91">
        <f>SUMIFS(tabela_registros[VALOR],tabela_registros[MÊS],$AE$1,tabela_registros[DIA],deztotal3059718395107119131143155167[[#Headers],[14]],tabela_registros[REGISTRO],DADOS!$N$4,tabela_registros[TIPO],DADOS!$P$3,tabela_registros[CATEGORIA],despesafixaconsolidadodez[[#This Row],[DESPESA FIXA]])</f>
        <v>0</v>
      </c>
      <c r="S40" s="91">
        <f>SUMIFS(tabela_registros[VALOR],tabela_registros[MÊS],$AE$1,tabela_registros[DIA],deztotal3059718395107119131143155167[[#Headers],[15]],tabela_registros[REGISTRO],DADOS!$N$4,tabela_registros[TIPO],DADOS!$P$3,tabela_registros[CATEGORIA],despesafixaconsolidadodez[[#This Row],[DESPESA FIXA]])</f>
        <v>0</v>
      </c>
      <c r="T40" s="91">
        <f>SUMIFS(tabela_registros[VALOR],tabela_registros[MÊS],$AE$1,tabela_registros[DIA],deztotal3059718395107119131143155167[[#Headers],[16]],tabela_registros[REGISTRO],DADOS!$N$4,tabela_registros[TIPO],DADOS!$P$3,tabela_registros[CATEGORIA],despesafixaconsolidadodez[[#This Row],[DESPESA FIXA]])</f>
        <v>0</v>
      </c>
      <c r="U40" s="91">
        <f>SUMIFS(tabela_registros[VALOR],tabela_registros[MÊS],$AE$1,tabela_registros[DIA],deztotal3059718395107119131143155167[[#Headers],[17]],tabela_registros[REGISTRO],DADOS!$N$4,tabela_registros[TIPO],DADOS!$P$3,tabela_registros[CATEGORIA],despesafixaconsolidadodez[[#This Row],[DESPESA FIXA]])</f>
        <v>0</v>
      </c>
      <c r="V40" s="91">
        <f>SUMIFS(tabela_registros[VALOR],tabela_registros[MÊS],$AE$1,tabela_registros[DIA],deztotal3059718395107119131143155167[[#Headers],[18]],tabela_registros[REGISTRO],DADOS!$N$4,tabela_registros[TIPO],DADOS!$P$3,tabela_registros[CATEGORIA],despesafixaconsolidadodez[[#This Row],[DESPESA FIXA]])</f>
        <v>0</v>
      </c>
      <c r="W40" s="91">
        <f>SUMIFS(tabela_registros[VALOR],tabela_registros[MÊS],$AE$1,tabela_registros[DIA],deztotal3059718395107119131143155167[[#Headers],[19]],tabela_registros[REGISTRO],DADOS!$N$4,tabela_registros[TIPO],DADOS!$P$3,tabela_registros[CATEGORIA],despesafixaconsolidadodez[[#This Row],[DESPESA FIXA]])</f>
        <v>0</v>
      </c>
      <c r="X40" s="91">
        <f>SUMIFS(tabela_registros[VALOR],tabela_registros[MÊS],$AE$1,tabela_registros[DIA],deztotal3059718395107119131143155167[[#Headers],[20]],tabela_registros[REGISTRO],DADOS!$N$4,tabela_registros[TIPO],DADOS!$P$3,tabela_registros[CATEGORIA],despesafixaconsolidadodez[[#This Row],[DESPESA FIXA]])</f>
        <v>0</v>
      </c>
      <c r="Y40" s="91">
        <f>SUMIFS(tabela_registros[VALOR],tabela_registros[MÊS],$AE$1,tabela_registros[DIA],deztotal3059718395107119131143155167[[#Headers],[21]],tabela_registros[REGISTRO],DADOS!$N$4,tabela_registros[TIPO],DADOS!$P$3,tabela_registros[CATEGORIA],despesafixaconsolidadodez[[#This Row],[DESPESA FIXA]])</f>
        <v>0</v>
      </c>
      <c r="Z40" s="91">
        <f>SUMIFS(tabela_registros[VALOR],tabela_registros[MÊS],$AE$1,tabela_registros[DIA],deztotal3059718395107119131143155167[[#Headers],[22]],tabela_registros[REGISTRO],DADOS!$N$4,tabela_registros[TIPO],DADOS!$P$3,tabela_registros[CATEGORIA],despesafixaconsolidadodez[[#This Row],[DESPESA FIXA]])</f>
        <v>0</v>
      </c>
      <c r="AA40" s="91">
        <f>SUMIFS(tabela_registros[VALOR],tabela_registros[MÊS],$AE$1,tabela_registros[DIA],deztotal3059718395107119131143155167[[#Headers],[23]],tabela_registros[REGISTRO],DADOS!$N$4,tabela_registros[TIPO],DADOS!$P$3,tabela_registros[CATEGORIA],despesafixaconsolidadodez[[#This Row],[DESPESA FIXA]])</f>
        <v>0</v>
      </c>
      <c r="AB40" s="91">
        <f>SUMIFS(tabela_registros[VALOR],tabela_registros[MÊS],$AE$1,tabela_registros[DIA],deztotal3059718395107119131143155167[[#Headers],[24]],tabela_registros[REGISTRO],DADOS!$N$4,tabela_registros[TIPO],DADOS!$P$3,tabela_registros[CATEGORIA],despesafixaconsolidadodez[[#This Row],[DESPESA FIXA]])</f>
        <v>0</v>
      </c>
      <c r="AC40" s="91">
        <f>SUMIFS(tabela_registros[VALOR],tabela_registros[MÊS],$AE$1,tabela_registros[DIA],deztotal3059718395107119131143155167[[#Headers],[25]],tabela_registros[REGISTRO],DADOS!$N$4,tabela_registros[TIPO],DADOS!$P$3,tabela_registros[CATEGORIA],despesafixaconsolidadodez[[#This Row],[DESPESA FIXA]])</f>
        <v>0</v>
      </c>
      <c r="AD40" s="91">
        <f>SUMIFS(tabela_registros[VALOR],tabela_registros[MÊS],$AE$1,tabela_registros[DIA],deztotal3059718395107119131143155167[[#Headers],[26]],tabela_registros[REGISTRO],DADOS!$N$4,tabela_registros[TIPO],DADOS!$P$3,tabela_registros[CATEGORIA],despesafixaconsolidadodez[[#This Row],[DESPESA FIXA]])</f>
        <v>0</v>
      </c>
      <c r="AE40" s="91">
        <f>SUMIFS(tabela_registros[VALOR],tabela_registros[MÊS],$AE$1,tabela_registros[DIA],deztotal3059718395107119131143155167[[#Headers],[27]],tabela_registros[REGISTRO],DADOS!$N$4,tabela_registros[TIPO],DADOS!$P$3,tabela_registros[CATEGORIA],despesafixaconsolidadodez[[#This Row],[DESPESA FIXA]])</f>
        <v>0</v>
      </c>
      <c r="AF40" s="91">
        <f>SUMIFS(tabela_registros[VALOR],tabela_registros[MÊS],$AE$1,tabela_registros[DIA],deztotal3059718395107119131143155167[[#Headers],[28]],tabela_registros[REGISTRO],DADOS!$N$4,tabela_registros[TIPO],DADOS!$P$3,tabela_registros[CATEGORIA],despesafixaconsolidadodez[[#This Row],[DESPESA FIXA]])</f>
        <v>0</v>
      </c>
      <c r="AG40" s="91">
        <f>SUMIFS(tabela_registros[VALOR],tabela_registros[MÊS],$AE$1,tabela_registros[DIA],deztotal3059718395107119131143155167[[#Headers],[29]],tabela_registros[REGISTRO],DADOS!$N$4,tabela_registros[TIPO],DADOS!$P$3,tabela_registros[CATEGORIA],despesafixaconsolidadodez[[#This Row],[DESPESA FIXA]])</f>
        <v>0</v>
      </c>
      <c r="AH40" s="91">
        <f>SUMIFS(tabela_registros[VALOR],tabela_registros[MÊS],$AE$1,tabela_registros[DIA],deztotal3059718395107119131143155167[[#Headers],[30]],tabela_registros[REGISTRO],DADOS!$N$4,tabela_registros[TIPO],DADOS!$P$3,tabela_registros[CATEGORIA],despesafixaconsolidadodez[[#This Row],[DESPESA FIXA]])</f>
        <v>0</v>
      </c>
      <c r="AI40" s="101">
        <f>SUMIFS(tabela_registros[VALOR],tabela_registros[MÊS],$AE$1,tabela_registros[DIA],deztotal3059718395107119131143155167[[#Headers],[31]],tabela_registros[REGISTRO],DADOS!$N$4,tabela_registros[TIPO],DADOS!$P$3,tabela_registros[CATEGORIA],despesafixaconsolidadodez[[#This Row],[DESPESA FIXA]])</f>
        <v>0</v>
      </c>
      <c r="AJ40" s="97">
        <f>SUM(despesafixaconsolidadodez[[#This Row],[1]:[31]])</f>
        <v>0</v>
      </c>
      <c r="AK40" s="28"/>
    </row>
    <row r="41" spans="2:37" ht="18" customHeight="1" thickTop="1" thickBot="1" x14ac:dyDescent="0.3">
      <c r="B41" s="28"/>
      <c r="C41" s="27" t="str">
        <f>DADOS!$R$7</f>
        <v>📖 EDUCAÇÃO</v>
      </c>
      <c r="D41" s="26" t="str">
        <f>IF(despesafixaconsolidadodez[[#This Row],[TOTAL]]=0,"",IF(OR(despesafixaconsolidadodez[[#This Row],[TOTAL]]=LARGE($AJ$37:$AJ$50,1),despesafixaconsolidadodez[[#This Row],[TOTAL]]=LARGE($AJ$37:$AJ$50,2),despesafixaconsolidadodez[[#This Row],[TOTAL]]=LARGE($AJ$37:$AJ$50,3),despesafixaconsolidadodez[[#This Row],[TOTAL]]=LARGE($AJ$37:$AJ$50,4),despesafixaconsolidadodez[[#This Row],[TOTAL]]=LARGE($AJ$37:$AJ$50,5)),DADOS!$I$8,""))</f>
        <v/>
      </c>
      <c r="E41" s="96">
        <f>SUMIFS(tabela_registros[VALOR],tabela_registros[MÊS],$AE$1,tabela_registros[DIA],deztotal3059718395107119131143155167[[#Headers],[1]],tabela_registros[REGISTRO],DADOS!$N$4,tabela_registros[TIPO],DADOS!$P$3,tabela_registros[CATEGORIA],despesafixaconsolidadodez[[#This Row],[DESPESA FIXA]])</f>
        <v>0</v>
      </c>
      <c r="F41" s="91">
        <f>SUMIFS(tabela_registros[VALOR],tabela_registros[MÊS],$AE$1,tabela_registros[DIA],deztotal3059718395107119131143155167[[#Headers],[2]],tabela_registros[REGISTRO],DADOS!$N$4,tabela_registros[TIPO],DADOS!$P$3,tabela_registros[CATEGORIA],despesafixaconsolidadodez[[#This Row],[DESPESA FIXA]])</f>
        <v>0</v>
      </c>
      <c r="G41" s="91">
        <f>SUMIFS(tabela_registros[VALOR],tabela_registros[MÊS],$AE$1,tabela_registros[DIA],deztotal3059718395107119131143155167[[#Headers],[3]],tabela_registros[REGISTRO],DADOS!$N$4,tabela_registros[TIPO],DADOS!$P$3,tabela_registros[CATEGORIA],despesafixaconsolidadodez[[#This Row],[DESPESA FIXA]])</f>
        <v>0</v>
      </c>
      <c r="H41" s="91">
        <f>SUMIFS(tabela_registros[VALOR],tabela_registros[MÊS],$AE$1,tabela_registros[DIA],deztotal3059718395107119131143155167[[#Headers],[4]],tabela_registros[REGISTRO],DADOS!$N$4,tabela_registros[TIPO],DADOS!$P$3,tabela_registros[CATEGORIA],despesafixaconsolidadodez[[#This Row],[DESPESA FIXA]])</f>
        <v>0</v>
      </c>
      <c r="I41" s="91">
        <f>SUMIFS(tabela_registros[VALOR],tabela_registros[MÊS],$AE$1,tabela_registros[DIA],deztotal3059718395107119131143155167[[#Headers],[5]],tabela_registros[REGISTRO],DADOS!$N$4,tabela_registros[TIPO],DADOS!$P$3,tabela_registros[CATEGORIA],despesafixaconsolidadodez[[#This Row],[DESPESA FIXA]])</f>
        <v>0</v>
      </c>
      <c r="J41" s="91">
        <f>SUMIFS(tabela_registros[VALOR],tabela_registros[MÊS],$AE$1,tabela_registros[DIA],deztotal3059718395107119131143155167[[#Headers],[6]],tabela_registros[REGISTRO],DADOS!$N$4,tabela_registros[TIPO],DADOS!$P$3,tabela_registros[CATEGORIA],despesafixaconsolidadodez[[#This Row],[DESPESA FIXA]])</f>
        <v>0</v>
      </c>
      <c r="K41" s="91">
        <f>SUMIFS(tabela_registros[VALOR],tabela_registros[MÊS],$AE$1,tabela_registros[DIA],deztotal3059718395107119131143155167[[#Headers],[7]],tabela_registros[REGISTRO],DADOS!$N$4,tabela_registros[TIPO],DADOS!$P$3,tabela_registros[CATEGORIA],despesafixaconsolidadodez[[#This Row],[DESPESA FIXA]])</f>
        <v>0</v>
      </c>
      <c r="L41" s="91">
        <f>SUMIFS(tabela_registros[VALOR],tabela_registros[MÊS],$AE$1,tabela_registros[DIA],deztotal3059718395107119131143155167[[#Headers],[8]],tabela_registros[REGISTRO],DADOS!$N$4,tabela_registros[TIPO],DADOS!$P$3,tabela_registros[CATEGORIA],despesafixaconsolidadodez[[#This Row],[DESPESA FIXA]])</f>
        <v>0</v>
      </c>
      <c r="M41" s="91">
        <f>SUMIFS(tabela_registros[VALOR],tabela_registros[MÊS],$AE$1,tabela_registros[DIA],deztotal3059718395107119131143155167[[#Headers],[9]],tabela_registros[REGISTRO],DADOS!$N$4,tabela_registros[TIPO],DADOS!$P$3,tabela_registros[CATEGORIA],despesafixaconsolidadodez[[#This Row],[DESPESA FIXA]])</f>
        <v>0</v>
      </c>
      <c r="N41" s="91">
        <f>SUMIFS(tabela_registros[VALOR],tabela_registros[MÊS],$AE$1,tabela_registros[DIA],deztotal3059718395107119131143155167[[#Headers],[10]],tabela_registros[REGISTRO],DADOS!$N$4,tabela_registros[TIPO],DADOS!$P$3,tabela_registros[CATEGORIA],despesafixaconsolidadodez[[#This Row],[DESPESA FIXA]])</f>
        <v>0</v>
      </c>
      <c r="O41" s="91">
        <f>SUMIFS(tabela_registros[VALOR],tabela_registros[MÊS],$AE$1,tabela_registros[DIA],deztotal3059718395107119131143155167[[#Headers],[11]],tabela_registros[REGISTRO],DADOS!$N$4,tabela_registros[TIPO],DADOS!$P$3,tabela_registros[CATEGORIA],despesafixaconsolidadodez[[#This Row],[DESPESA FIXA]])</f>
        <v>0</v>
      </c>
      <c r="P41" s="91">
        <f>SUMIFS(tabela_registros[VALOR],tabela_registros[MÊS],$AE$1,tabela_registros[DIA],deztotal3059718395107119131143155167[[#Headers],[12]],tabela_registros[REGISTRO],DADOS!$N$4,tabela_registros[TIPO],DADOS!$P$3,tabela_registros[CATEGORIA],despesafixaconsolidadodez[[#This Row],[DESPESA FIXA]])</f>
        <v>0</v>
      </c>
      <c r="Q41" s="91">
        <f>SUMIFS(tabela_registros[VALOR],tabela_registros[MÊS],$AE$1,tabela_registros[DIA],deztotal3059718395107119131143155167[[#Headers],[13]],tabela_registros[REGISTRO],DADOS!$N$4,tabela_registros[TIPO],DADOS!$P$3,tabela_registros[CATEGORIA],despesafixaconsolidadodez[[#This Row],[DESPESA FIXA]])</f>
        <v>0</v>
      </c>
      <c r="R41" s="91">
        <f>SUMIFS(tabela_registros[VALOR],tabela_registros[MÊS],$AE$1,tabela_registros[DIA],deztotal3059718395107119131143155167[[#Headers],[14]],tabela_registros[REGISTRO],DADOS!$N$4,tabela_registros[TIPO],DADOS!$P$3,tabela_registros[CATEGORIA],despesafixaconsolidadodez[[#This Row],[DESPESA FIXA]])</f>
        <v>0</v>
      </c>
      <c r="S41" s="91">
        <f>SUMIFS(tabela_registros[VALOR],tabela_registros[MÊS],$AE$1,tabela_registros[DIA],deztotal3059718395107119131143155167[[#Headers],[15]],tabela_registros[REGISTRO],DADOS!$N$4,tabela_registros[TIPO],DADOS!$P$3,tabela_registros[CATEGORIA],despesafixaconsolidadodez[[#This Row],[DESPESA FIXA]])</f>
        <v>0</v>
      </c>
      <c r="T41" s="91">
        <f>SUMIFS(tabela_registros[VALOR],tabela_registros[MÊS],$AE$1,tabela_registros[DIA],deztotal3059718395107119131143155167[[#Headers],[16]],tabela_registros[REGISTRO],DADOS!$N$4,tabela_registros[TIPO],DADOS!$P$3,tabela_registros[CATEGORIA],despesafixaconsolidadodez[[#This Row],[DESPESA FIXA]])</f>
        <v>0</v>
      </c>
      <c r="U41" s="91">
        <f>SUMIFS(tabela_registros[VALOR],tabela_registros[MÊS],$AE$1,tabela_registros[DIA],deztotal3059718395107119131143155167[[#Headers],[17]],tabela_registros[REGISTRO],DADOS!$N$4,tabela_registros[TIPO],DADOS!$P$3,tabela_registros[CATEGORIA],despesafixaconsolidadodez[[#This Row],[DESPESA FIXA]])</f>
        <v>0</v>
      </c>
      <c r="V41" s="91">
        <f>SUMIFS(tabela_registros[VALOR],tabela_registros[MÊS],$AE$1,tabela_registros[DIA],deztotal3059718395107119131143155167[[#Headers],[18]],tabela_registros[REGISTRO],DADOS!$N$4,tabela_registros[TIPO],DADOS!$P$3,tabela_registros[CATEGORIA],despesafixaconsolidadodez[[#This Row],[DESPESA FIXA]])</f>
        <v>0</v>
      </c>
      <c r="W41" s="91">
        <f>SUMIFS(tabela_registros[VALOR],tabela_registros[MÊS],$AE$1,tabela_registros[DIA],deztotal3059718395107119131143155167[[#Headers],[19]],tabela_registros[REGISTRO],DADOS!$N$4,tabela_registros[TIPO],DADOS!$P$3,tabela_registros[CATEGORIA],despesafixaconsolidadodez[[#This Row],[DESPESA FIXA]])</f>
        <v>0</v>
      </c>
      <c r="X41" s="91">
        <f>SUMIFS(tabela_registros[VALOR],tabela_registros[MÊS],$AE$1,tabela_registros[DIA],deztotal3059718395107119131143155167[[#Headers],[20]],tabela_registros[REGISTRO],DADOS!$N$4,tabela_registros[TIPO],DADOS!$P$3,tabela_registros[CATEGORIA],despesafixaconsolidadodez[[#This Row],[DESPESA FIXA]])</f>
        <v>0</v>
      </c>
      <c r="Y41" s="91">
        <f>SUMIFS(tabela_registros[VALOR],tabela_registros[MÊS],$AE$1,tabela_registros[DIA],deztotal3059718395107119131143155167[[#Headers],[21]],tabela_registros[REGISTRO],DADOS!$N$4,tabela_registros[TIPO],DADOS!$P$3,tabela_registros[CATEGORIA],despesafixaconsolidadodez[[#This Row],[DESPESA FIXA]])</f>
        <v>0</v>
      </c>
      <c r="Z41" s="91">
        <f>SUMIFS(tabela_registros[VALOR],tabela_registros[MÊS],$AE$1,tabela_registros[DIA],deztotal3059718395107119131143155167[[#Headers],[22]],tabela_registros[REGISTRO],DADOS!$N$4,tabela_registros[TIPO],DADOS!$P$3,tabela_registros[CATEGORIA],despesafixaconsolidadodez[[#This Row],[DESPESA FIXA]])</f>
        <v>0</v>
      </c>
      <c r="AA41" s="91">
        <f>SUMIFS(tabela_registros[VALOR],tabela_registros[MÊS],$AE$1,tabela_registros[DIA],deztotal3059718395107119131143155167[[#Headers],[23]],tabela_registros[REGISTRO],DADOS!$N$4,tabela_registros[TIPO],DADOS!$P$3,tabela_registros[CATEGORIA],despesafixaconsolidadodez[[#This Row],[DESPESA FIXA]])</f>
        <v>0</v>
      </c>
      <c r="AB41" s="91">
        <f>SUMIFS(tabela_registros[VALOR],tabela_registros[MÊS],$AE$1,tabela_registros[DIA],deztotal3059718395107119131143155167[[#Headers],[24]],tabela_registros[REGISTRO],DADOS!$N$4,tabela_registros[TIPO],DADOS!$P$3,tabela_registros[CATEGORIA],despesafixaconsolidadodez[[#This Row],[DESPESA FIXA]])</f>
        <v>0</v>
      </c>
      <c r="AC41" s="91">
        <f>SUMIFS(tabela_registros[VALOR],tabela_registros[MÊS],$AE$1,tabela_registros[DIA],deztotal3059718395107119131143155167[[#Headers],[25]],tabela_registros[REGISTRO],DADOS!$N$4,tabela_registros[TIPO],DADOS!$P$3,tabela_registros[CATEGORIA],despesafixaconsolidadodez[[#This Row],[DESPESA FIXA]])</f>
        <v>0</v>
      </c>
      <c r="AD41" s="91">
        <f>SUMIFS(tabela_registros[VALOR],tabela_registros[MÊS],$AE$1,tabela_registros[DIA],deztotal3059718395107119131143155167[[#Headers],[26]],tabela_registros[REGISTRO],DADOS!$N$4,tabela_registros[TIPO],DADOS!$P$3,tabela_registros[CATEGORIA],despesafixaconsolidadodez[[#This Row],[DESPESA FIXA]])</f>
        <v>0</v>
      </c>
      <c r="AE41" s="91">
        <f>SUMIFS(tabela_registros[VALOR],tabela_registros[MÊS],$AE$1,tabela_registros[DIA],deztotal3059718395107119131143155167[[#Headers],[27]],tabela_registros[REGISTRO],DADOS!$N$4,tabela_registros[TIPO],DADOS!$P$3,tabela_registros[CATEGORIA],despesafixaconsolidadodez[[#This Row],[DESPESA FIXA]])</f>
        <v>0</v>
      </c>
      <c r="AF41" s="91">
        <f>SUMIFS(tabela_registros[VALOR],tabela_registros[MÊS],$AE$1,tabela_registros[DIA],deztotal3059718395107119131143155167[[#Headers],[28]],tabela_registros[REGISTRO],DADOS!$N$4,tabela_registros[TIPO],DADOS!$P$3,tabela_registros[CATEGORIA],despesafixaconsolidadodez[[#This Row],[DESPESA FIXA]])</f>
        <v>0</v>
      </c>
      <c r="AG41" s="91">
        <f>SUMIFS(tabela_registros[VALOR],tabela_registros[MÊS],$AE$1,tabela_registros[DIA],deztotal3059718395107119131143155167[[#Headers],[29]],tabela_registros[REGISTRO],DADOS!$N$4,tabela_registros[TIPO],DADOS!$P$3,tabela_registros[CATEGORIA],despesafixaconsolidadodez[[#This Row],[DESPESA FIXA]])</f>
        <v>0</v>
      </c>
      <c r="AH41" s="91">
        <f>SUMIFS(tabela_registros[VALOR],tabela_registros[MÊS],$AE$1,tabela_registros[DIA],deztotal3059718395107119131143155167[[#Headers],[30]],tabela_registros[REGISTRO],DADOS!$N$4,tabela_registros[TIPO],DADOS!$P$3,tabela_registros[CATEGORIA],despesafixaconsolidadodez[[#This Row],[DESPESA FIXA]])</f>
        <v>0</v>
      </c>
      <c r="AI41" s="101">
        <f>SUMIFS(tabela_registros[VALOR],tabela_registros[MÊS],$AE$1,tabela_registros[DIA],deztotal3059718395107119131143155167[[#Headers],[31]],tabela_registros[REGISTRO],DADOS!$N$4,tabela_registros[TIPO],DADOS!$P$3,tabela_registros[CATEGORIA],despesafixaconsolidadodez[[#This Row],[DESPESA FIXA]])</f>
        <v>0</v>
      </c>
      <c r="AJ41" s="97">
        <f>SUM(despesafixaconsolidadodez[[#This Row],[1]:[31]])</f>
        <v>0</v>
      </c>
      <c r="AK41" s="28"/>
    </row>
    <row r="42" spans="2:37" ht="18" customHeight="1" thickTop="1" thickBot="1" x14ac:dyDescent="0.3">
      <c r="B42" s="28"/>
      <c r="C42" s="27" t="str">
        <f>DADOS!$R$8</f>
        <v>🏦 EMPRÉSTIMO</v>
      </c>
      <c r="D42" s="26" t="str">
        <f>IF(despesafixaconsolidadodez[[#This Row],[TOTAL]]=0,"",IF(OR(despesafixaconsolidadodez[[#This Row],[TOTAL]]=LARGE($AJ$37:$AJ$50,1),despesafixaconsolidadodez[[#This Row],[TOTAL]]=LARGE($AJ$37:$AJ$50,2),despesafixaconsolidadodez[[#This Row],[TOTAL]]=LARGE($AJ$37:$AJ$50,3),despesafixaconsolidadodez[[#This Row],[TOTAL]]=LARGE($AJ$37:$AJ$50,4),despesafixaconsolidadodez[[#This Row],[TOTAL]]=LARGE($AJ$37:$AJ$50,5)),DADOS!$I$8,""))</f>
        <v/>
      </c>
      <c r="E42" s="96">
        <f>SUMIFS(tabela_registros[VALOR],tabela_registros[MÊS],$AE$1,tabela_registros[DIA],deztotal3059718395107119131143155167[[#Headers],[1]],tabela_registros[REGISTRO],DADOS!$N$4,tabela_registros[TIPO],DADOS!$P$3,tabela_registros[CATEGORIA],despesafixaconsolidadodez[[#This Row],[DESPESA FIXA]])</f>
        <v>0</v>
      </c>
      <c r="F42" s="91">
        <f>SUMIFS(tabela_registros[VALOR],tabela_registros[MÊS],$AE$1,tabela_registros[DIA],deztotal3059718395107119131143155167[[#Headers],[2]],tabela_registros[REGISTRO],DADOS!$N$4,tabela_registros[TIPO],DADOS!$P$3,tabela_registros[CATEGORIA],despesafixaconsolidadodez[[#This Row],[DESPESA FIXA]])</f>
        <v>0</v>
      </c>
      <c r="G42" s="91">
        <f>SUMIFS(tabela_registros[VALOR],tabela_registros[MÊS],$AE$1,tabela_registros[DIA],deztotal3059718395107119131143155167[[#Headers],[3]],tabela_registros[REGISTRO],DADOS!$N$4,tabela_registros[TIPO],DADOS!$P$3,tabela_registros[CATEGORIA],despesafixaconsolidadodez[[#This Row],[DESPESA FIXA]])</f>
        <v>0</v>
      </c>
      <c r="H42" s="91">
        <f>SUMIFS(tabela_registros[VALOR],tabela_registros[MÊS],$AE$1,tabela_registros[DIA],deztotal3059718395107119131143155167[[#Headers],[4]],tabela_registros[REGISTRO],DADOS!$N$4,tabela_registros[TIPO],DADOS!$P$3,tabela_registros[CATEGORIA],despesafixaconsolidadodez[[#This Row],[DESPESA FIXA]])</f>
        <v>0</v>
      </c>
      <c r="I42" s="91">
        <f>SUMIFS(tabela_registros[VALOR],tabela_registros[MÊS],$AE$1,tabela_registros[DIA],deztotal3059718395107119131143155167[[#Headers],[5]],tabela_registros[REGISTRO],DADOS!$N$4,tabela_registros[TIPO],DADOS!$P$3,tabela_registros[CATEGORIA],despesafixaconsolidadodez[[#This Row],[DESPESA FIXA]])</f>
        <v>0</v>
      </c>
      <c r="J42" s="91">
        <f>SUMIFS(tabela_registros[VALOR],tabela_registros[MÊS],$AE$1,tabela_registros[DIA],deztotal3059718395107119131143155167[[#Headers],[6]],tabela_registros[REGISTRO],DADOS!$N$4,tabela_registros[TIPO],DADOS!$P$3,tabela_registros[CATEGORIA],despesafixaconsolidadodez[[#This Row],[DESPESA FIXA]])</f>
        <v>0</v>
      </c>
      <c r="K42" s="91">
        <f>SUMIFS(tabela_registros[VALOR],tabela_registros[MÊS],$AE$1,tabela_registros[DIA],deztotal3059718395107119131143155167[[#Headers],[7]],tabela_registros[REGISTRO],DADOS!$N$4,tabela_registros[TIPO],DADOS!$P$3,tabela_registros[CATEGORIA],despesafixaconsolidadodez[[#This Row],[DESPESA FIXA]])</f>
        <v>0</v>
      </c>
      <c r="L42" s="91">
        <f>SUMIFS(tabela_registros[VALOR],tabela_registros[MÊS],$AE$1,tabela_registros[DIA],deztotal3059718395107119131143155167[[#Headers],[8]],tabela_registros[REGISTRO],DADOS!$N$4,tabela_registros[TIPO],DADOS!$P$3,tabela_registros[CATEGORIA],despesafixaconsolidadodez[[#This Row],[DESPESA FIXA]])</f>
        <v>0</v>
      </c>
      <c r="M42" s="91">
        <f>SUMIFS(tabela_registros[VALOR],tabela_registros[MÊS],$AE$1,tabela_registros[DIA],deztotal3059718395107119131143155167[[#Headers],[9]],tabela_registros[REGISTRO],DADOS!$N$4,tabela_registros[TIPO],DADOS!$P$3,tabela_registros[CATEGORIA],despesafixaconsolidadodez[[#This Row],[DESPESA FIXA]])</f>
        <v>0</v>
      </c>
      <c r="N42" s="91">
        <f>SUMIFS(tabela_registros[VALOR],tabela_registros[MÊS],$AE$1,tabela_registros[DIA],deztotal3059718395107119131143155167[[#Headers],[10]],tabela_registros[REGISTRO],DADOS!$N$4,tabela_registros[TIPO],DADOS!$P$3,tabela_registros[CATEGORIA],despesafixaconsolidadodez[[#This Row],[DESPESA FIXA]])</f>
        <v>0</v>
      </c>
      <c r="O42" s="91">
        <f>SUMIFS(tabela_registros[VALOR],tabela_registros[MÊS],$AE$1,tabela_registros[DIA],deztotal3059718395107119131143155167[[#Headers],[11]],tabela_registros[REGISTRO],DADOS!$N$4,tabela_registros[TIPO],DADOS!$P$3,tabela_registros[CATEGORIA],despesafixaconsolidadodez[[#This Row],[DESPESA FIXA]])</f>
        <v>0</v>
      </c>
      <c r="P42" s="91">
        <f>SUMIFS(tabela_registros[VALOR],tabela_registros[MÊS],$AE$1,tabela_registros[DIA],deztotal3059718395107119131143155167[[#Headers],[12]],tabela_registros[REGISTRO],DADOS!$N$4,tabela_registros[TIPO],DADOS!$P$3,tabela_registros[CATEGORIA],despesafixaconsolidadodez[[#This Row],[DESPESA FIXA]])</f>
        <v>0</v>
      </c>
      <c r="Q42" s="91">
        <f>SUMIFS(tabela_registros[VALOR],tabela_registros[MÊS],$AE$1,tabela_registros[DIA],deztotal3059718395107119131143155167[[#Headers],[13]],tabela_registros[REGISTRO],DADOS!$N$4,tabela_registros[TIPO],DADOS!$P$3,tabela_registros[CATEGORIA],despesafixaconsolidadodez[[#This Row],[DESPESA FIXA]])</f>
        <v>0</v>
      </c>
      <c r="R42" s="91">
        <f>SUMIFS(tabela_registros[VALOR],tabela_registros[MÊS],$AE$1,tabela_registros[DIA],deztotal3059718395107119131143155167[[#Headers],[14]],tabela_registros[REGISTRO],DADOS!$N$4,tabela_registros[TIPO],DADOS!$P$3,tabela_registros[CATEGORIA],despesafixaconsolidadodez[[#This Row],[DESPESA FIXA]])</f>
        <v>0</v>
      </c>
      <c r="S42" s="91">
        <f>SUMIFS(tabela_registros[VALOR],tabela_registros[MÊS],$AE$1,tabela_registros[DIA],deztotal3059718395107119131143155167[[#Headers],[15]],tabela_registros[REGISTRO],DADOS!$N$4,tabela_registros[TIPO],DADOS!$P$3,tabela_registros[CATEGORIA],despesafixaconsolidadodez[[#This Row],[DESPESA FIXA]])</f>
        <v>0</v>
      </c>
      <c r="T42" s="91">
        <f>SUMIFS(tabela_registros[VALOR],tabela_registros[MÊS],$AE$1,tabela_registros[DIA],deztotal3059718395107119131143155167[[#Headers],[16]],tabela_registros[REGISTRO],DADOS!$N$4,tabela_registros[TIPO],DADOS!$P$3,tabela_registros[CATEGORIA],despesafixaconsolidadodez[[#This Row],[DESPESA FIXA]])</f>
        <v>0</v>
      </c>
      <c r="U42" s="91">
        <f>SUMIFS(tabela_registros[VALOR],tabela_registros[MÊS],$AE$1,tabela_registros[DIA],deztotal3059718395107119131143155167[[#Headers],[17]],tabela_registros[REGISTRO],DADOS!$N$4,tabela_registros[TIPO],DADOS!$P$3,tabela_registros[CATEGORIA],despesafixaconsolidadodez[[#This Row],[DESPESA FIXA]])</f>
        <v>0</v>
      </c>
      <c r="V42" s="91">
        <f>SUMIFS(tabela_registros[VALOR],tabela_registros[MÊS],$AE$1,tabela_registros[DIA],deztotal3059718395107119131143155167[[#Headers],[18]],tabela_registros[REGISTRO],DADOS!$N$4,tabela_registros[TIPO],DADOS!$P$3,tabela_registros[CATEGORIA],despesafixaconsolidadodez[[#This Row],[DESPESA FIXA]])</f>
        <v>0</v>
      </c>
      <c r="W42" s="91">
        <f>SUMIFS(tabela_registros[VALOR],tabela_registros[MÊS],$AE$1,tabela_registros[DIA],deztotal3059718395107119131143155167[[#Headers],[19]],tabela_registros[REGISTRO],DADOS!$N$4,tabela_registros[TIPO],DADOS!$P$3,tabela_registros[CATEGORIA],despesafixaconsolidadodez[[#This Row],[DESPESA FIXA]])</f>
        <v>0</v>
      </c>
      <c r="X42" s="91">
        <f>SUMIFS(tabela_registros[VALOR],tabela_registros[MÊS],$AE$1,tabela_registros[DIA],deztotal3059718395107119131143155167[[#Headers],[20]],tabela_registros[REGISTRO],DADOS!$N$4,tabela_registros[TIPO],DADOS!$P$3,tabela_registros[CATEGORIA],despesafixaconsolidadodez[[#This Row],[DESPESA FIXA]])</f>
        <v>0</v>
      </c>
      <c r="Y42" s="91">
        <f>SUMIFS(tabela_registros[VALOR],tabela_registros[MÊS],$AE$1,tabela_registros[DIA],deztotal3059718395107119131143155167[[#Headers],[21]],tabela_registros[REGISTRO],DADOS!$N$4,tabela_registros[TIPO],DADOS!$P$3,tabela_registros[CATEGORIA],despesafixaconsolidadodez[[#This Row],[DESPESA FIXA]])</f>
        <v>0</v>
      </c>
      <c r="Z42" s="91">
        <f>SUMIFS(tabela_registros[VALOR],tabela_registros[MÊS],$AE$1,tabela_registros[DIA],deztotal3059718395107119131143155167[[#Headers],[22]],tabela_registros[REGISTRO],DADOS!$N$4,tabela_registros[TIPO],DADOS!$P$3,tabela_registros[CATEGORIA],despesafixaconsolidadodez[[#This Row],[DESPESA FIXA]])</f>
        <v>0</v>
      </c>
      <c r="AA42" s="91">
        <f>SUMIFS(tabela_registros[VALOR],tabela_registros[MÊS],$AE$1,tabela_registros[DIA],deztotal3059718395107119131143155167[[#Headers],[23]],tabela_registros[REGISTRO],DADOS!$N$4,tabela_registros[TIPO],DADOS!$P$3,tabela_registros[CATEGORIA],despesafixaconsolidadodez[[#This Row],[DESPESA FIXA]])</f>
        <v>0</v>
      </c>
      <c r="AB42" s="91">
        <f>SUMIFS(tabela_registros[VALOR],tabela_registros[MÊS],$AE$1,tabela_registros[DIA],deztotal3059718395107119131143155167[[#Headers],[24]],tabela_registros[REGISTRO],DADOS!$N$4,tabela_registros[TIPO],DADOS!$P$3,tabela_registros[CATEGORIA],despesafixaconsolidadodez[[#This Row],[DESPESA FIXA]])</f>
        <v>0</v>
      </c>
      <c r="AC42" s="91">
        <f>SUMIFS(tabela_registros[VALOR],tabela_registros[MÊS],$AE$1,tabela_registros[DIA],deztotal3059718395107119131143155167[[#Headers],[25]],tabela_registros[REGISTRO],DADOS!$N$4,tabela_registros[TIPO],DADOS!$P$3,tabela_registros[CATEGORIA],despesafixaconsolidadodez[[#This Row],[DESPESA FIXA]])</f>
        <v>0</v>
      </c>
      <c r="AD42" s="91">
        <f>SUMIFS(tabela_registros[VALOR],tabela_registros[MÊS],$AE$1,tabela_registros[DIA],deztotal3059718395107119131143155167[[#Headers],[26]],tabela_registros[REGISTRO],DADOS!$N$4,tabela_registros[TIPO],DADOS!$P$3,tabela_registros[CATEGORIA],despesafixaconsolidadodez[[#This Row],[DESPESA FIXA]])</f>
        <v>0</v>
      </c>
      <c r="AE42" s="91">
        <f>SUMIFS(tabela_registros[VALOR],tabela_registros[MÊS],$AE$1,tabela_registros[DIA],deztotal3059718395107119131143155167[[#Headers],[27]],tabela_registros[REGISTRO],DADOS!$N$4,tabela_registros[TIPO],DADOS!$P$3,tabela_registros[CATEGORIA],despesafixaconsolidadodez[[#This Row],[DESPESA FIXA]])</f>
        <v>0</v>
      </c>
      <c r="AF42" s="91">
        <f>SUMIFS(tabela_registros[VALOR],tabela_registros[MÊS],$AE$1,tabela_registros[DIA],deztotal3059718395107119131143155167[[#Headers],[28]],tabela_registros[REGISTRO],DADOS!$N$4,tabela_registros[TIPO],DADOS!$P$3,tabela_registros[CATEGORIA],despesafixaconsolidadodez[[#This Row],[DESPESA FIXA]])</f>
        <v>0</v>
      </c>
      <c r="AG42" s="91">
        <f>SUMIFS(tabela_registros[VALOR],tabela_registros[MÊS],$AE$1,tabela_registros[DIA],deztotal3059718395107119131143155167[[#Headers],[29]],tabela_registros[REGISTRO],DADOS!$N$4,tabela_registros[TIPO],DADOS!$P$3,tabela_registros[CATEGORIA],despesafixaconsolidadodez[[#This Row],[DESPESA FIXA]])</f>
        <v>0</v>
      </c>
      <c r="AH42" s="91">
        <f>SUMIFS(tabela_registros[VALOR],tabela_registros[MÊS],$AE$1,tabela_registros[DIA],deztotal3059718395107119131143155167[[#Headers],[30]],tabela_registros[REGISTRO],DADOS!$N$4,tabela_registros[TIPO],DADOS!$P$3,tabela_registros[CATEGORIA],despesafixaconsolidadodez[[#This Row],[DESPESA FIXA]])</f>
        <v>0</v>
      </c>
      <c r="AI42" s="101">
        <f>SUMIFS(tabela_registros[VALOR],tabela_registros[MÊS],$AE$1,tabela_registros[DIA],deztotal3059718395107119131143155167[[#Headers],[31]],tabela_registros[REGISTRO],DADOS!$N$4,tabela_registros[TIPO],DADOS!$P$3,tabela_registros[CATEGORIA],despesafixaconsolidadodez[[#This Row],[DESPESA FIXA]])</f>
        <v>0</v>
      </c>
      <c r="AJ42" s="97">
        <f>SUM(despesafixaconsolidadodez[[#This Row],[1]:[31]])</f>
        <v>0</v>
      </c>
      <c r="AK42" s="28"/>
    </row>
    <row r="43" spans="2:37" ht="18" customHeight="1" thickTop="1" thickBot="1" x14ac:dyDescent="0.3">
      <c r="B43" s="28"/>
      <c r="C43" s="27" t="str">
        <f>DADOS!$R$9</f>
        <v>💡 ENERGIA</v>
      </c>
      <c r="D43" s="26" t="str">
        <f>IF(despesafixaconsolidadodez[[#This Row],[TOTAL]]=0,"",IF(OR(despesafixaconsolidadodez[[#This Row],[TOTAL]]=LARGE($AJ$37:$AJ$50,1),despesafixaconsolidadodez[[#This Row],[TOTAL]]=LARGE($AJ$37:$AJ$50,2),despesafixaconsolidadodez[[#This Row],[TOTAL]]=LARGE($AJ$37:$AJ$50,3),despesafixaconsolidadodez[[#This Row],[TOTAL]]=LARGE($AJ$37:$AJ$50,4),despesafixaconsolidadodez[[#This Row],[TOTAL]]=LARGE($AJ$37:$AJ$50,5)),DADOS!$I$8,""))</f>
        <v/>
      </c>
      <c r="E43" s="96">
        <f>SUMIFS(tabela_registros[VALOR],tabela_registros[MÊS],$AE$1,tabela_registros[DIA],deztotal3059718395107119131143155167[[#Headers],[1]],tabela_registros[REGISTRO],DADOS!$N$4,tabela_registros[TIPO],DADOS!$P$3,tabela_registros[CATEGORIA],despesafixaconsolidadodez[[#This Row],[DESPESA FIXA]])</f>
        <v>0</v>
      </c>
      <c r="F43" s="91">
        <f>SUMIFS(tabela_registros[VALOR],tabela_registros[MÊS],$AE$1,tabela_registros[DIA],deztotal3059718395107119131143155167[[#Headers],[2]],tabela_registros[REGISTRO],DADOS!$N$4,tabela_registros[TIPO],DADOS!$P$3,tabela_registros[CATEGORIA],despesafixaconsolidadodez[[#This Row],[DESPESA FIXA]])</f>
        <v>0</v>
      </c>
      <c r="G43" s="91">
        <f>SUMIFS(tabela_registros[VALOR],tabela_registros[MÊS],$AE$1,tabela_registros[DIA],deztotal3059718395107119131143155167[[#Headers],[3]],tabela_registros[REGISTRO],DADOS!$N$4,tabela_registros[TIPO],DADOS!$P$3,tabela_registros[CATEGORIA],despesafixaconsolidadodez[[#This Row],[DESPESA FIXA]])</f>
        <v>0</v>
      </c>
      <c r="H43" s="91">
        <f>SUMIFS(tabela_registros[VALOR],tabela_registros[MÊS],$AE$1,tabela_registros[DIA],deztotal3059718395107119131143155167[[#Headers],[4]],tabela_registros[REGISTRO],DADOS!$N$4,tabela_registros[TIPO],DADOS!$P$3,tabela_registros[CATEGORIA],despesafixaconsolidadodez[[#This Row],[DESPESA FIXA]])</f>
        <v>0</v>
      </c>
      <c r="I43" s="91">
        <f>SUMIFS(tabela_registros[VALOR],tabela_registros[MÊS],$AE$1,tabela_registros[DIA],deztotal3059718395107119131143155167[[#Headers],[5]],tabela_registros[REGISTRO],DADOS!$N$4,tabela_registros[TIPO],DADOS!$P$3,tabela_registros[CATEGORIA],despesafixaconsolidadodez[[#This Row],[DESPESA FIXA]])</f>
        <v>0</v>
      </c>
      <c r="J43" s="91">
        <f>SUMIFS(tabela_registros[VALOR],tabela_registros[MÊS],$AE$1,tabela_registros[DIA],deztotal3059718395107119131143155167[[#Headers],[6]],tabela_registros[REGISTRO],DADOS!$N$4,tabela_registros[TIPO],DADOS!$P$3,tabela_registros[CATEGORIA],despesafixaconsolidadodez[[#This Row],[DESPESA FIXA]])</f>
        <v>0</v>
      </c>
      <c r="K43" s="91">
        <f>SUMIFS(tabela_registros[VALOR],tabela_registros[MÊS],$AE$1,tabela_registros[DIA],deztotal3059718395107119131143155167[[#Headers],[7]],tabela_registros[REGISTRO],DADOS!$N$4,tabela_registros[TIPO],DADOS!$P$3,tabela_registros[CATEGORIA],despesafixaconsolidadodez[[#This Row],[DESPESA FIXA]])</f>
        <v>0</v>
      </c>
      <c r="L43" s="91">
        <f>SUMIFS(tabela_registros[VALOR],tabela_registros[MÊS],$AE$1,tabela_registros[DIA],deztotal3059718395107119131143155167[[#Headers],[8]],tabela_registros[REGISTRO],DADOS!$N$4,tabela_registros[TIPO],DADOS!$P$3,tabela_registros[CATEGORIA],despesafixaconsolidadodez[[#This Row],[DESPESA FIXA]])</f>
        <v>0</v>
      </c>
      <c r="M43" s="91">
        <f>SUMIFS(tabela_registros[VALOR],tabela_registros[MÊS],$AE$1,tabela_registros[DIA],deztotal3059718395107119131143155167[[#Headers],[9]],tabela_registros[REGISTRO],DADOS!$N$4,tabela_registros[TIPO],DADOS!$P$3,tabela_registros[CATEGORIA],despesafixaconsolidadodez[[#This Row],[DESPESA FIXA]])</f>
        <v>0</v>
      </c>
      <c r="N43" s="91">
        <f>SUMIFS(tabela_registros[VALOR],tabela_registros[MÊS],$AE$1,tabela_registros[DIA],deztotal3059718395107119131143155167[[#Headers],[10]],tabela_registros[REGISTRO],DADOS!$N$4,tabela_registros[TIPO],DADOS!$P$3,tabela_registros[CATEGORIA],despesafixaconsolidadodez[[#This Row],[DESPESA FIXA]])</f>
        <v>0</v>
      </c>
      <c r="O43" s="91">
        <f>SUMIFS(tabela_registros[VALOR],tabela_registros[MÊS],$AE$1,tabela_registros[DIA],deztotal3059718395107119131143155167[[#Headers],[11]],tabela_registros[REGISTRO],DADOS!$N$4,tabela_registros[TIPO],DADOS!$P$3,tabela_registros[CATEGORIA],despesafixaconsolidadodez[[#This Row],[DESPESA FIXA]])</f>
        <v>0</v>
      </c>
      <c r="P43" s="91">
        <f>SUMIFS(tabela_registros[VALOR],tabela_registros[MÊS],$AE$1,tabela_registros[DIA],deztotal3059718395107119131143155167[[#Headers],[12]],tabela_registros[REGISTRO],DADOS!$N$4,tabela_registros[TIPO],DADOS!$P$3,tabela_registros[CATEGORIA],despesafixaconsolidadodez[[#This Row],[DESPESA FIXA]])</f>
        <v>0</v>
      </c>
      <c r="Q43" s="91">
        <f>SUMIFS(tabela_registros[VALOR],tabela_registros[MÊS],$AE$1,tabela_registros[DIA],deztotal3059718395107119131143155167[[#Headers],[13]],tabela_registros[REGISTRO],DADOS!$N$4,tabela_registros[TIPO],DADOS!$P$3,tabela_registros[CATEGORIA],despesafixaconsolidadodez[[#This Row],[DESPESA FIXA]])</f>
        <v>0</v>
      </c>
      <c r="R43" s="91">
        <f>SUMIFS(tabela_registros[VALOR],tabela_registros[MÊS],$AE$1,tabela_registros[DIA],deztotal3059718395107119131143155167[[#Headers],[14]],tabela_registros[REGISTRO],DADOS!$N$4,tabela_registros[TIPO],DADOS!$P$3,tabela_registros[CATEGORIA],despesafixaconsolidadodez[[#This Row],[DESPESA FIXA]])</f>
        <v>0</v>
      </c>
      <c r="S43" s="91">
        <f>SUMIFS(tabela_registros[VALOR],tabela_registros[MÊS],$AE$1,tabela_registros[DIA],deztotal3059718395107119131143155167[[#Headers],[15]],tabela_registros[REGISTRO],DADOS!$N$4,tabela_registros[TIPO],DADOS!$P$3,tabela_registros[CATEGORIA],despesafixaconsolidadodez[[#This Row],[DESPESA FIXA]])</f>
        <v>0</v>
      </c>
      <c r="T43" s="91">
        <f>SUMIFS(tabela_registros[VALOR],tabela_registros[MÊS],$AE$1,tabela_registros[DIA],deztotal3059718395107119131143155167[[#Headers],[16]],tabela_registros[REGISTRO],DADOS!$N$4,tabela_registros[TIPO],DADOS!$P$3,tabela_registros[CATEGORIA],despesafixaconsolidadodez[[#This Row],[DESPESA FIXA]])</f>
        <v>0</v>
      </c>
      <c r="U43" s="91">
        <f>SUMIFS(tabela_registros[VALOR],tabela_registros[MÊS],$AE$1,tabela_registros[DIA],deztotal3059718395107119131143155167[[#Headers],[17]],tabela_registros[REGISTRO],DADOS!$N$4,tabela_registros[TIPO],DADOS!$P$3,tabela_registros[CATEGORIA],despesafixaconsolidadodez[[#This Row],[DESPESA FIXA]])</f>
        <v>0</v>
      </c>
      <c r="V43" s="91">
        <f>SUMIFS(tabela_registros[VALOR],tabela_registros[MÊS],$AE$1,tabela_registros[DIA],deztotal3059718395107119131143155167[[#Headers],[18]],tabela_registros[REGISTRO],DADOS!$N$4,tabela_registros[TIPO],DADOS!$P$3,tabela_registros[CATEGORIA],despesafixaconsolidadodez[[#This Row],[DESPESA FIXA]])</f>
        <v>0</v>
      </c>
      <c r="W43" s="91">
        <f>SUMIFS(tabela_registros[VALOR],tabela_registros[MÊS],$AE$1,tabela_registros[DIA],deztotal3059718395107119131143155167[[#Headers],[19]],tabela_registros[REGISTRO],DADOS!$N$4,tabela_registros[TIPO],DADOS!$P$3,tabela_registros[CATEGORIA],despesafixaconsolidadodez[[#This Row],[DESPESA FIXA]])</f>
        <v>0</v>
      </c>
      <c r="X43" s="91">
        <f>SUMIFS(tabela_registros[VALOR],tabela_registros[MÊS],$AE$1,tabela_registros[DIA],deztotal3059718395107119131143155167[[#Headers],[20]],tabela_registros[REGISTRO],DADOS!$N$4,tabela_registros[TIPO],DADOS!$P$3,tabela_registros[CATEGORIA],despesafixaconsolidadodez[[#This Row],[DESPESA FIXA]])</f>
        <v>0</v>
      </c>
      <c r="Y43" s="91">
        <f>SUMIFS(tabela_registros[VALOR],tabela_registros[MÊS],$AE$1,tabela_registros[DIA],deztotal3059718395107119131143155167[[#Headers],[21]],tabela_registros[REGISTRO],DADOS!$N$4,tabela_registros[TIPO],DADOS!$P$3,tabela_registros[CATEGORIA],despesafixaconsolidadodez[[#This Row],[DESPESA FIXA]])</f>
        <v>0</v>
      </c>
      <c r="Z43" s="91">
        <f>SUMIFS(tabela_registros[VALOR],tabela_registros[MÊS],$AE$1,tabela_registros[DIA],deztotal3059718395107119131143155167[[#Headers],[22]],tabela_registros[REGISTRO],DADOS!$N$4,tabela_registros[TIPO],DADOS!$P$3,tabela_registros[CATEGORIA],despesafixaconsolidadodez[[#This Row],[DESPESA FIXA]])</f>
        <v>0</v>
      </c>
      <c r="AA43" s="91">
        <f>SUMIFS(tabela_registros[VALOR],tabela_registros[MÊS],$AE$1,tabela_registros[DIA],deztotal3059718395107119131143155167[[#Headers],[23]],tabela_registros[REGISTRO],DADOS!$N$4,tabela_registros[TIPO],DADOS!$P$3,tabela_registros[CATEGORIA],despesafixaconsolidadodez[[#This Row],[DESPESA FIXA]])</f>
        <v>0</v>
      </c>
      <c r="AB43" s="91">
        <f>SUMIFS(tabela_registros[VALOR],tabela_registros[MÊS],$AE$1,tabela_registros[DIA],deztotal3059718395107119131143155167[[#Headers],[24]],tabela_registros[REGISTRO],DADOS!$N$4,tabela_registros[TIPO],DADOS!$P$3,tabela_registros[CATEGORIA],despesafixaconsolidadodez[[#This Row],[DESPESA FIXA]])</f>
        <v>0</v>
      </c>
      <c r="AC43" s="91">
        <f>SUMIFS(tabela_registros[VALOR],tabela_registros[MÊS],$AE$1,tabela_registros[DIA],deztotal3059718395107119131143155167[[#Headers],[25]],tabela_registros[REGISTRO],DADOS!$N$4,tabela_registros[TIPO],DADOS!$P$3,tabela_registros[CATEGORIA],despesafixaconsolidadodez[[#This Row],[DESPESA FIXA]])</f>
        <v>0</v>
      </c>
      <c r="AD43" s="91">
        <f>SUMIFS(tabela_registros[VALOR],tabela_registros[MÊS],$AE$1,tabela_registros[DIA],deztotal3059718395107119131143155167[[#Headers],[26]],tabela_registros[REGISTRO],DADOS!$N$4,tabela_registros[TIPO],DADOS!$P$3,tabela_registros[CATEGORIA],despesafixaconsolidadodez[[#This Row],[DESPESA FIXA]])</f>
        <v>0</v>
      </c>
      <c r="AE43" s="91">
        <f>SUMIFS(tabela_registros[VALOR],tabela_registros[MÊS],$AE$1,tabela_registros[DIA],deztotal3059718395107119131143155167[[#Headers],[27]],tabela_registros[REGISTRO],DADOS!$N$4,tabela_registros[TIPO],DADOS!$P$3,tabela_registros[CATEGORIA],despesafixaconsolidadodez[[#This Row],[DESPESA FIXA]])</f>
        <v>0</v>
      </c>
      <c r="AF43" s="91">
        <f>SUMIFS(tabela_registros[VALOR],tabela_registros[MÊS],$AE$1,tabela_registros[DIA],deztotal3059718395107119131143155167[[#Headers],[28]],tabela_registros[REGISTRO],DADOS!$N$4,tabela_registros[TIPO],DADOS!$P$3,tabela_registros[CATEGORIA],despesafixaconsolidadodez[[#This Row],[DESPESA FIXA]])</f>
        <v>0</v>
      </c>
      <c r="AG43" s="91">
        <f>SUMIFS(tabela_registros[VALOR],tabela_registros[MÊS],$AE$1,tabela_registros[DIA],deztotal3059718395107119131143155167[[#Headers],[29]],tabela_registros[REGISTRO],DADOS!$N$4,tabela_registros[TIPO],DADOS!$P$3,tabela_registros[CATEGORIA],despesafixaconsolidadodez[[#This Row],[DESPESA FIXA]])</f>
        <v>0</v>
      </c>
      <c r="AH43" s="91">
        <f>SUMIFS(tabela_registros[VALOR],tabela_registros[MÊS],$AE$1,tabela_registros[DIA],deztotal3059718395107119131143155167[[#Headers],[30]],tabela_registros[REGISTRO],DADOS!$N$4,tabela_registros[TIPO],DADOS!$P$3,tabela_registros[CATEGORIA],despesafixaconsolidadodez[[#This Row],[DESPESA FIXA]])</f>
        <v>0</v>
      </c>
      <c r="AI43" s="101">
        <f>SUMIFS(tabela_registros[VALOR],tabela_registros[MÊS],$AE$1,tabela_registros[DIA],deztotal3059718395107119131143155167[[#Headers],[31]],tabela_registros[REGISTRO],DADOS!$N$4,tabela_registros[TIPO],DADOS!$P$3,tabela_registros[CATEGORIA],despesafixaconsolidadodez[[#This Row],[DESPESA FIXA]])</f>
        <v>0</v>
      </c>
      <c r="AJ43" s="97">
        <f>SUM(despesafixaconsolidadodez[[#This Row],[1]:[31]])</f>
        <v>0</v>
      </c>
      <c r="AK43" s="28"/>
    </row>
    <row r="44" spans="2:37" ht="18" customHeight="1" thickTop="1" thickBot="1" x14ac:dyDescent="0.3">
      <c r="B44" s="28"/>
      <c r="C44" s="27" t="str">
        <f>DADOS!$R$10</f>
        <v>👨‍👩‍👧 FAMÍLIA</v>
      </c>
      <c r="D44" s="26" t="str">
        <f>IF(despesafixaconsolidadodez[[#This Row],[TOTAL]]=0,"",IF(OR(despesafixaconsolidadodez[[#This Row],[TOTAL]]=LARGE($AJ$37:$AJ$50,1),despesafixaconsolidadodez[[#This Row],[TOTAL]]=LARGE($AJ$37:$AJ$50,2),despesafixaconsolidadodez[[#This Row],[TOTAL]]=LARGE($AJ$37:$AJ$50,3),despesafixaconsolidadodez[[#This Row],[TOTAL]]=LARGE($AJ$37:$AJ$50,4),despesafixaconsolidadodez[[#This Row],[TOTAL]]=LARGE($AJ$37:$AJ$50,5)),DADOS!$I$8,""))</f>
        <v/>
      </c>
      <c r="E44" s="96">
        <f>SUMIFS(tabela_registros[VALOR],tabela_registros[MÊS],$AE$1,tabela_registros[DIA],deztotal3059718395107119131143155167[[#Headers],[1]],tabela_registros[REGISTRO],DADOS!$N$4,tabela_registros[TIPO],DADOS!$P$3,tabela_registros[CATEGORIA],despesafixaconsolidadodez[[#This Row],[DESPESA FIXA]])</f>
        <v>0</v>
      </c>
      <c r="F44" s="91">
        <f>SUMIFS(tabela_registros[VALOR],tabela_registros[MÊS],$AE$1,tabela_registros[DIA],deztotal3059718395107119131143155167[[#Headers],[2]],tabela_registros[REGISTRO],DADOS!$N$4,tabela_registros[TIPO],DADOS!$P$3,tabela_registros[CATEGORIA],despesafixaconsolidadodez[[#This Row],[DESPESA FIXA]])</f>
        <v>0</v>
      </c>
      <c r="G44" s="91">
        <f>SUMIFS(tabela_registros[VALOR],tabela_registros[MÊS],$AE$1,tabela_registros[DIA],deztotal3059718395107119131143155167[[#Headers],[3]],tabela_registros[REGISTRO],DADOS!$N$4,tabela_registros[TIPO],DADOS!$P$3,tabela_registros[CATEGORIA],despesafixaconsolidadodez[[#This Row],[DESPESA FIXA]])</f>
        <v>0</v>
      </c>
      <c r="H44" s="91">
        <f>SUMIFS(tabela_registros[VALOR],tabela_registros[MÊS],$AE$1,tabela_registros[DIA],deztotal3059718395107119131143155167[[#Headers],[4]],tabela_registros[REGISTRO],DADOS!$N$4,tabela_registros[TIPO],DADOS!$P$3,tabela_registros[CATEGORIA],despesafixaconsolidadodez[[#This Row],[DESPESA FIXA]])</f>
        <v>0</v>
      </c>
      <c r="I44" s="91">
        <f>SUMIFS(tabela_registros[VALOR],tabela_registros[MÊS],$AE$1,tabela_registros[DIA],deztotal3059718395107119131143155167[[#Headers],[5]],tabela_registros[REGISTRO],DADOS!$N$4,tabela_registros[TIPO],DADOS!$P$3,tabela_registros[CATEGORIA],despesafixaconsolidadodez[[#This Row],[DESPESA FIXA]])</f>
        <v>0</v>
      </c>
      <c r="J44" s="91">
        <f>SUMIFS(tabela_registros[VALOR],tabela_registros[MÊS],$AE$1,tabela_registros[DIA],deztotal3059718395107119131143155167[[#Headers],[6]],tabela_registros[REGISTRO],DADOS!$N$4,tabela_registros[TIPO],DADOS!$P$3,tabela_registros[CATEGORIA],despesafixaconsolidadodez[[#This Row],[DESPESA FIXA]])</f>
        <v>0</v>
      </c>
      <c r="K44" s="91">
        <f>SUMIFS(tabela_registros[VALOR],tabela_registros[MÊS],$AE$1,tabela_registros[DIA],deztotal3059718395107119131143155167[[#Headers],[7]],tabela_registros[REGISTRO],DADOS!$N$4,tabela_registros[TIPO],DADOS!$P$3,tabela_registros[CATEGORIA],despesafixaconsolidadodez[[#This Row],[DESPESA FIXA]])</f>
        <v>0</v>
      </c>
      <c r="L44" s="91">
        <f>SUMIFS(tabela_registros[VALOR],tabela_registros[MÊS],$AE$1,tabela_registros[DIA],deztotal3059718395107119131143155167[[#Headers],[8]],tabela_registros[REGISTRO],DADOS!$N$4,tabela_registros[TIPO],DADOS!$P$3,tabela_registros[CATEGORIA],despesafixaconsolidadodez[[#This Row],[DESPESA FIXA]])</f>
        <v>0</v>
      </c>
      <c r="M44" s="91">
        <f>SUMIFS(tabela_registros[VALOR],tabela_registros[MÊS],$AE$1,tabela_registros[DIA],deztotal3059718395107119131143155167[[#Headers],[9]],tabela_registros[REGISTRO],DADOS!$N$4,tabela_registros[TIPO],DADOS!$P$3,tabela_registros[CATEGORIA],despesafixaconsolidadodez[[#This Row],[DESPESA FIXA]])</f>
        <v>0</v>
      </c>
      <c r="N44" s="91">
        <f>SUMIFS(tabela_registros[VALOR],tabela_registros[MÊS],$AE$1,tabela_registros[DIA],deztotal3059718395107119131143155167[[#Headers],[10]],tabela_registros[REGISTRO],DADOS!$N$4,tabela_registros[TIPO],DADOS!$P$3,tabela_registros[CATEGORIA],despesafixaconsolidadodez[[#This Row],[DESPESA FIXA]])</f>
        <v>0</v>
      </c>
      <c r="O44" s="91">
        <f>SUMIFS(tabela_registros[VALOR],tabela_registros[MÊS],$AE$1,tabela_registros[DIA],deztotal3059718395107119131143155167[[#Headers],[11]],tabela_registros[REGISTRO],DADOS!$N$4,tabela_registros[TIPO],DADOS!$P$3,tabela_registros[CATEGORIA],despesafixaconsolidadodez[[#This Row],[DESPESA FIXA]])</f>
        <v>0</v>
      </c>
      <c r="P44" s="91">
        <f>SUMIFS(tabela_registros[VALOR],tabela_registros[MÊS],$AE$1,tabela_registros[DIA],deztotal3059718395107119131143155167[[#Headers],[12]],tabela_registros[REGISTRO],DADOS!$N$4,tabela_registros[TIPO],DADOS!$P$3,tabela_registros[CATEGORIA],despesafixaconsolidadodez[[#This Row],[DESPESA FIXA]])</f>
        <v>0</v>
      </c>
      <c r="Q44" s="91">
        <f>SUMIFS(tabela_registros[VALOR],tabela_registros[MÊS],$AE$1,tabela_registros[DIA],deztotal3059718395107119131143155167[[#Headers],[13]],tabela_registros[REGISTRO],DADOS!$N$4,tabela_registros[TIPO],DADOS!$P$3,tabela_registros[CATEGORIA],despesafixaconsolidadodez[[#This Row],[DESPESA FIXA]])</f>
        <v>0</v>
      </c>
      <c r="R44" s="91">
        <f>SUMIFS(tabela_registros[VALOR],tabela_registros[MÊS],$AE$1,tabela_registros[DIA],deztotal3059718395107119131143155167[[#Headers],[14]],tabela_registros[REGISTRO],DADOS!$N$4,tabela_registros[TIPO],DADOS!$P$3,tabela_registros[CATEGORIA],despesafixaconsolidadodez[[#This Row],[DESPESA FIXA]])</f>
        <v>0</v>
      </c>
      <c r="S44" s="91">
        <f>SUMIFS(tabela_registros[VALOR],tabela_registros[MÊS],$AE$1,tabela_registros[DIA],deztotal3059718395107119131143155167[[#Headers],[15]],tabela_registros[REGISTRO],DADOS!$N$4,tabela_registros[TIPO],DADOS!$P$3,tabela_registros[CATEGORIA],despesafixaconsolidadodez[[#This Row],[DESPESA FIXA]])</f>
        <v>0</v>
      </c>
      <c r="T44" s="91">
        <f>SUMIFS(tabela_registros[VALOR],tabela_registros[MÊS],$AE$1,tabela_registros[DIA],deztotal3059718395107119131143155167[[#Headers],[16]],tabela_registros[REGISTRO],DADOS!$N$4,tabela_registros[TIPO],DADOS!$P$3,tabela_registros[CATEGORIA],despesafixaconsolidadodez[[#This Row],[DESPESA FIXA]])</f>
        <v>0</v>
      </c>
      <c r="U44" s="91">
        <f>SUMIFS(tabela_registros[VALOR],tabela_registros[MÊS],$AE$1,tabela_registros[DIA],deztotal3059718395107119131143155167[[#Headers],[17]],tabela_registros[REGISTRO],DADOS!$N$4,tabela_registros[TIPO],DADOS!$P$3,tabela_registros[CATEGORIA],despesafixaconsolidadodez[[#This Row],[DESPESA FIXA]])</f>
        <v>0</v>
      </c>
      <c r="V44" s="91">
        <f>SUMIFS(tabela_registros[VALOR],tabela_registros[MÊS],$AE$1,tabela_registros[DIA],deztotal3059718395107119131143155167[[#Headers],[18]],tabela_registros[REGISTRO],DADOS!$N$4,tabela_registros[TIPO],DADOS!$P$3,tabela_registros[CATEGORIA],despesafixaconsolidadodez[[#This Row],[DESPESA FIXA]])</f>
        <v>0</v>
      </c>
      <c r="W44" s="91">
        <f>SUMIFS(tabela_registros[VALOR],tabela_registros[MÊS],$AE$1,tabela_registros[DIA],deztotal3059718395107119131143155167[[#Headers],[19]],tabela_registros[REGISTRO],DADOS!$N$4,tabela_registros[TIPO],DADOS!$P$3,tabela_registros[CATEGORIA],despesafixaconsolidadodez[[#This Row],[DESPESA FIXA]])</f>
        <v>0</v>
      </c>
      <c r="X44" s="91">
        <f>SUMIFS(tabela_registros[VALOR],tabela_registros[MÊS],$AE$1,tabela_registros[DIA],deztotal3059718395107119131143155167[[#Headers],[20]],tabela_registros[REGISTRO],DADOS!$N$4,tabela_registros[TIPO],DADOS!$P$3,tabela_registros[CATEGORIA],despesafixaconsolidadodez[[#This Row],[DESPESA FIXA]])</f>
        <v>0</v>
      </c>
      <c r="Y44" s="91">
        <f>SUMIFS(tabela_registros[VALOR],tabela_registros[MÊS],$AE$1,tabela_registros[DIA],deztotal3059718395107119131143155167[[#Headers],[21]],tabela_registros[REGISTRO],DADOS!$N$4,tabela_registros[TIPO],DADOS!$P$3,tabela_registros[CATEGORIA],despesafixaconsolidadodez[[#This Row],[DESPESA FIXA]])</f>
        <v>0</v>
      </c>
      <c r="Z44" s="91">
        <f>SUMIFS(tabela_registros[VALOR],tabela_registros[MÊS],$AE$1,tabela_registros[DIA],deztotal3059718395107119131143155167[[#Headers],[22]],tabela_registros[REGISTRO],DADOS!$N$4,tabela_registros[TIPO],DADOS!$P$3,tabela_registros[CATEGORIA],despesafixaconsolidadodez[[#This Row],[DESPESA FIXA]])</f>
        <v>0</v>
      </c>
      <c r="AA44" s="91">
        <f>SUMIFS(tabela_registros[VALOR],tabela_registros[MÊS],$AE$1,tabela_registros[DIA],deztotal3059718395107119131143155167[[#Headers],[23]],tabela_registros[REGISTRO],DADOS!$N$4,tabela_registros[TIPO],DADOS!$P$3,tabela_registros[CATEGORIA],despesafixaconsolidadodez[[#This Row],[DESPESA FIXA]])</f>
        <v>0</v>
      </c>
      <c r="AB44" s="91">
        <f>SUMIFS(tabela_registros[VALOR],tabela_registros[MÊS],$AE$1,tabela_registros[DIA],deztotal3059718395107119131143155167[[#Headers],[24]],tabela_registros[REGISTRO],DADOS!$N$4,tabela_registros[TIPO],DADOS!$P$3,tabela_registros[CATEGORIA],despesafixaconsolidadodez[[#This Row],[DESPESA FIXA]])</f>
        <v>0</v>
      </c>
      <c r="AC44" s="91">
        <f>SUMIFS(tabela_registros[VALOR],tabela_registros[MÊS],$AE$1,tabela_registros[DIA],deztotal3059718395107119131143155167[[#Headers],[25]],tabela_registros[REGISTRO],DADOS!$N$4,tabela_registros[TIPO],DADOS!$P$3,tabela_registros[CATEGORIA],despesafixaconsolidadodez[[#This Row],[DESPESA FIXA]])</f>
        <v>0</v>
      </c>
      <c r="AD44" s="91">
        <f>SUMIFS(tabela_registros[VALOR],tabela_registros[MÊS],$AE$1,tabela_registros[DIA],deztotal3059718395107119131143155167[[#Headers],[26]],tabela_registros[REGISTRO],DADOS!$N$4,tabela_registros[TIPO],DADOS!$P$3,tabela_registros[CATEGORIA],despesafixaconsolidadodez[[#This Row],[DESPESA FIXA]])</f>
        <v>0</v>
      </c>
      <c r="AE44" s="91">
        <f>SUMIFS(tabela_registros[VALOR],tabela_registros[MÊS],$AE$1,tabela_registros[DIA],deztotal3059718395107119131143155167[[#Headers],[27]],tabela_registros[REGISTRO],DADOS!$N$4,tabela_registros[TIPO],DADOS!$P$3,tabela_registros[CATEGORIA],despesafixaconsolidadodez[[#This Row],[DESPESA FIXA]])</f>
        <v>0</v>
      </c>
      <c r="AF44" s="91">
        <f>SUMIFS(tabela_registros[VALOR],tabela_registros[MÊS],$AE$1,tabela_registros[DIA],deztotal3059718395107119131143155167[[#Headers],[28]],tabela_registros[REGISTRO],DADOS!$N$4,tabela_registros[TIPO],DADOS!$P$3,tabela_registros[CATEGORIA],despesafixaconsolidadodez[[#This Row],[DESPESA FIXA]])</f>
        <v>0</v>
      </c>
      <c r="AG44" s="91">
        <f>SUMIFS(tabela_registros[VALOR],tabela_registros[MÊS],$AE$1,tabela_registros[DIA],deztotal3059718395107119131143155167[[#Headers],[29]],tabela_registros[REGISTRO],DADOS!$N$4,tabela_registros[TIPO],DADOS!$P$3,tabela_registros[CATEGORIA],despesafixaconsolidadodez[[#This Row],[DESPESA FIXA]])</f>
        <v>0</v>
      </c>
      <c r="AH44" s="91">
        <f>SUMIFS(tabela_registros[VALOR],tabela_registros[MÊS],$AE$1,tabela_registros[DIA],deztotal3059718395107119131143155167[[#Headers],[30]],tabela_registros[REGISTRO],DADOS!$N$4,tabela_registros[TIPO],DADOS!$P$3,tabela_registros[CATEGORIA],despesafixaconsolidadodez[[#This Row],[DESPESA FIXA]])</f>
        <v>0</v>
      </c>
      <c r="AI44" s="101">
        <f>SUMIFS(tabela_registros[VALOR],tabela_registros[MÊS],$AE$1,tabela_registros[DIA],deztotal3059718395107119131143155167[[#Headers],[31]],tabela_registros[REGISTRO],DADOS!$N$4,tabela_registros[TIPO],DADOS!$P$3,tabela_registros[CATEGORIA],despesafixaconsolidadodez[[#This Row],[DESPESA FIXA]])</f>
        <v>0</v>
      </c>
      <c r="AJ44" s="97">
        <f>SUM(despesafixaconsolidadodez[[#This Row],[1]:[31]])</f>
        <v>0</v>
      </c>
      <c r="AK44" s="28"/>
    </row>
    <row r="45" spans="2:37" ht="18" customHeight="1" thickTop="1" thickBot="1" x14ac:dyDescent="0.3">
      <c r="B45" s="28"/>
      <c r="C45" s="27" t="str">
        <f>DADOS!$R$11</f>
        <v>🔢 IMPOSTOS</v>
      </c>
      <c r="D45" s="26" t="str">
        <f>IF(despesafixaconsolidadodez[[#This Row],[TOTAL]]=0,"",IF(OR(despesafixaconsolidadodez[[#This Row],[TOTAL]]=LARGE($AJ$37:$AJ$50,1),despesafixaconsolidadodez[[#This Row],[TOTAL]]=LARGE($AJ$37:$AJ$50,2),despesafixaconsolidadodez[[#This Row],[TOTAL]]=LARGE($AJ$37:$AJ$50,3),despesafixaconsolidadodez[[#This Row],[TOTAL]]=LARGE($AJ$37:$AJ$50,4),despesafixaconsolidadodez[[#This Row],[TOTAL]]=LARGE($AJ$37:$AJ$50,5)),DADOS!$I$8,""))</f>
        <v/>
      </c>
      <c r="E45" s="96">
        <f>SUMIFS(tabela_registros[VALOR],tabela_registros[MÊS],$AE$1,tabela_registros[DIA],deztotal3059718395107119131143155167[[#Headers],[1]],tabela_registros[REGISTRO],DADOS!$N$4,tabela_registros[TIPO],DADOS!$P$3,tabela_registros[CATEGORIA],despesafixaconsolidadodez[[#This Row],[DESPESA FIXA]])</f>
        <v>0</v>
      </c>
      <c r="F45" s="91">
        <f>SUMIFS(tabela_registros[VALOR],tabela_registros[MÊS],$AE$1,tabela_registros[DIA],deztotal3059718395107119131143155167[[#Headers],[2]],tabela_registros[REGISTRO],DADOS!$N$4,tabela_registros[TIPO],DADOS!$P$3,tabela_registros[CATEGORIA],despesafixaconsolidadodez[[#This Row],[DESPESA FIXA]])</f>
        <v>0</v>
      </c>
      <c r="G45" s="91">
        <f>SUMIFS(tabela_registros[VALOR],tabela_registros[MÊS],$AE$1,tabela_registros[DIA],deztotal3059718395107119131143155167[[#Headers],[3]],tabela_registros[REGISTRO],DADOS!$N$4,tabela_registros[TIPO],DADOS!$P$3,tabela_registros[CATEGORIA],despesafixaconsolidadodez[[#This Row],[DESPESA FIXA]])</f>
        <v>0</v>
      </c>
      <c r="H45" s="91">
        <f>SUMIFS(tabela_registros[VALOR],tabela_registros[MÊS],$AE$1,tabela_registros[DIA],deztotal3059718395107119131143155167[[#Headers],[4]],tabela_registros[REGISTRO],DADOS!$N$4,tabela_registros[TIPO],DADOS!$P$3,tabela_registros[CATEGORIA],despesafixaconsolidadodez[[#This Row],[DESPESA FIXA]])</f>
        <v>0</v>
      </c>
      <c r="I45" s="91">
        <f>SUMIFS(tabela_registros[VALOR],tabela_registros[MÊS],$AE$1,tabela_registros[DIA],deztotal3059718395107119131143155167[[#Headers],[5]],tabela_registros[REGISTRO],DADOS!$N$4,tabela_registros[TIPO],DADOS!$P$3,tabela_registros[CATEGORIA],despesafixaconsolidadodez[[#This Row],[DESPESA FIXA]])</f>
        <v>0</v>
      </c>
      <c r="J45" s="91">
        <f>SUMIFS(tabela_registros[VALOR],tabela_registros[MÊS],$AE$1,tabela_registros[DIA],deztotal3059718395107119131143155167[[#Headers],[6]],tabela_registros[REGISTRO],DADOS!$N$4,tabela_registros[TIPO],DADOS!$P$3,tabela_registros[CATEGORIA],despesafixaconsolidadodez[[#This Row],[DESPESA FIXA]])</f>
        <v>0</v>
      </c>
      <c r="K45" s="91">
        <f>SUMIFS(tabela_registros[VALOR],tabela_registros[MÊS],$AE$1,tabela_registros[DIA],deztotal3059718395107119131143155167[[#Headers],[7]],tabela_registros[REGISTRO],DADOS!$N$4,tabela_registros[TIPO],DADOS!$P$3,tabela_registros[CATEGORIA],despesafixaconsolidadodez[[#This Row],[DESPESA FIXA]])</f>
        <v>0</v>
      </c>
      <c r="L45" s="91">
        <f>SUMIFS(tabela_registros[VALOR],tabela_registros[MÊS],$AE$1,tabela_registros[DIA],deztotal3059718395107119131143155167[[#Headers],[8]],tabela_registros[REGISTRO],DADOS!$N$4,tabela_registros[TIPO],DADOS!$P$3,tabela_registros[CATEGORIA],despesafixaconsolidadodez[[#This Row],[DESPESA FIXA]])</f>
        <v>0</v>
      </c>
      <c r="M45" s="91">
        <f>SUMIFS(tabela_registros[VALOR],tabela_registros[MÊS],$AE$1,tabela_registros[DIA],deztotal3059718395107119131143155167[[#Headers],[9]],tabela_registros[REGISTRO],DADOS!$N$4,tabela_registros[TIPO],DADOS!$P$3,tabela_registros[CATEGORIA],despesafixaconsolidadodez[[#This Row],[DESPESA FIXA]])</f>
        <v>0</v>
      </c>
      <c r="N45" s="91">
        <f>SUMIFS(tabela_registros[VALOR],tabela_registros[MÊS],$AE$1,tabela_registros[DIA],deztotal3059718395107119131143155167[[#Headers],[10]],tabela_registros[REGISTRO],DADOS!$N$4,tabela_registros[TIPO],DADOS!$P$3,tabela_registros[CATEGORIA],despesafixaconsolidadodez[[#This Row],[DESPESA FIXA]])</f>
        <v>0</v>
      </c>
      <c r="O45" s="91">
        <f>SUMIFS(tabela_registros[VALOR],tabela_registros[MÊS],$AE$1,tabela_registros[DIA],deztotal3059718395107119131143155167[[#Headers],[11]],tabela_registros[REGISTRO],DADOS!$N$4,tabela_registros[TIPO],DADOS!$P$3,tabela_registros[CATEGORIA],despesafixaconsolidadodez[[#This Row],[DESPESA FIXA]])</f>
        <v>0</v>
      </c>
      <c r="P45" s="91">
        <f>SUMIFS(tabela_registros[VALOR],tabela_registros[MÊS],$AE$1,tabela_registros[DIA],deztotal3059718395107119131143155167[[#Headers],[12]],tabela_registros[REGISTRO],DADOS!$N$4,tabela_registros[TIPO],DADOS!$P$3,tabela_registros[CATEGORIA],despesafixaconsolidadodez[[#This Row],[DESPESA FIXA]])</f>
        <v>0</v>
      </c>
      <c r="Q45" s="91">
        <f>SUMIFS(tabela_registros[VALOR],tabela_registros[MÊS],$AE$1,tabela_registros[DIA],deztotal3059718395107119131143155167[[#Headers],[13]],tabela_registros[REGISTRO],DADOS!$N$4,tabela_registros[TIPO],DADOS!$P$3,tabela_registros[CATEGORIA],despesafixaconsolidadodez[[#This Row],[DESPESA FIXA]])</f>
        <v>0</v>
      </c>
      <c r="R45" s="91">
        <f>SUMIFS(tabela_registros[VALOR],tabela_registros[MÊS],$AE$1,tabela_registros[DIA],deztotal3059718395107119131143155167[[#Headers],[14]],tabela_registros[REGISTRO],DADOS!$N$4,tabela_registros[TIPO],DADOS!$P$3,tabela_registros[CATEGORIA],despesafixaconsolidadodez[[#This Row],[DESPESA FIXA]])</f>
        <v>0</v>
      </c>
      <c r="S45" s="91">
        <f>SUMIFS(tabela_registros[VALOR],tabela_registros[MÊS],$AE$1,tabela_registros[DIA],deztotal3059718395107119131143155167[[#Headers],[15]],tabela_registros[REGISTRO],DADOS!$N$4,tabela_registros[TIPO],DADOS!$P$3,tabela_registros[CATEGORIA],despesafixaconsolidadodez[[#This Row],[DESPESA FIXA]])</f>
        <v>0</v>
      </c>
      <c r="T45" s="91">
        <f>SUMIFS(tabela_registros[VALOR],tabela_registros[MÊS],$AE$1,tabela_registros[DIA],deztotal3059718395107119131143155167[[#Headers],[16]],tabela_registros[REGISTRO],DADOS!$N$4,tabela_registros[TIPO],DADOS!$P$3,tabela_registros[CATEGORIA],despesafixaconsolidadodez[[#This Row],[DESPESA FIXA]])</f>
        <v>0</v>
      </c>
      <c r="U45" s="91">
        <f>SUMIFS(tabela_registros[VALOR],tabela_registros[MÊS],$AE$1,tabela_registros[DIA],deztotal3059718395107119131143155167[[#Headers],[17]],tabela_registros[REGISTRO],DADOS!$N$4,tabela_registros[TIPO],DADOS!$P$3,tabela_registros[CATEGORIA],despesafixaconsolidadodez[[#This Row],[DESPESA FIXA]])</f>
        <v>0</v>
      </c>
      <c r="V45" s="91">
        <f>SUMIFS(tabela_registros[VALOR],tabela_registros[MÊS],$AE$1,tabela_registros[DIA],deztotal3059718395107119131143155167[[#Headers],[18]],tabela_registros[REGISTRO],DADOS!$N$4,tabela_registros[TIPO],DADOS!$P$3,tabela_registros[CATEGORIA],despesafixaconsolidadodez[[#This Row],[DESPESA FIXA]])</f>
        <v>0</v>
      </c>
      <c r="W45" s="91">
        <f>SUMIFS(tabela_registros[VALOR],tabela_registros[MÊS],$AE$1,tabela_registros[DIA],deztotal3059718395107119131143155167[[#Headers],[19]],tabela_registros[REGISTRO],DADOS!$N$4,tabela_registros[TIPO],DADOS!$P$3,tabela_registros[CATEGORIA],despesafixaconsolidadodez[[#This Row],[DESPESA FIXA]])</f>
        <v>0</v>
      </c>
      <c r="X45" s="91">
        <f>SUMIFS(tabela_registros[VALOR],tabela_registros[MÊS],$AE$1,tabela_registros[DIA],deztotal3059718395107119131143155167[[#Headers],[20]],tabela_registros[REGISTRO],DADOS!$N$4,tabela_registros[TIPO],DADOS!$P$3,tabela_registros[CATEGORIA],despesafixaconsolidadodez[[#This Row],[DESPESA FIXA]])</f>
        <v>0</v>
      </c>
      <c r="Y45" s="91">
        <f>SUMIFS(tabela_registros[VALOR],tabela_registros[MÊS],$AE$1,tabela_registros[DIA],deztotal3059718395107119131143155167[[#Headers],[21]],tabela_registros[REGISTRO],DADOS!$N$4,tabela_registros[TIPO],DADOS!$P$3,tabela_registros[CATEGORIA],despesafixaconsolidadodez[[#This Row],[DESPESA FIXA]])</f>
        <v>0</v>
      </c>
      <c r="Z45" s="91">
        <f>SUMIFS(tabela_registros[VALOR],tabela_registros[MÊS],$AE$1,tabela_registros[DIA],deztotal3059718395107119131143155167[[#Headers],[22]],tabela_registros[REGISTRO],DADOS!$N$4,tabela_registros[TIPO],DADOS!$P$3,tabela_registros[CATEGORIA],despesafixaconsolidadodez[[#This Row],[DESPESA FIXA]])</f>
        <v>0</v>
      </c>
      <c r="AA45" s="91">
        <f>SUMIFS(tabela_registros[VALOR],tabela_registros[MÊS],$AE$1,tabela_registros[DIA],deztotal3059718395107119131143155167[[#Headers],[23]],tabela_registros[REGISTRO],DADOS!$N$4,tabela_registros[TIPO],DADOS!$P$3,tabela_registros[CATEGORIA],despesafixaconsolidadodez[[#This Row],[DESPESA FIXA]])</f>
        <v>0</v>
      </c>
      <c r="AB45" s="91">
        <f>SUMIFS(tabela_registros[VALOR],tabela_registros[MÊS],$AE$1,tabela_registros[DIA],deztotal3059718395107119131143155167[[#Headers],[24]],tabela_registros[REGISTRO],DADOS!$N$4,tabela_registros[TIPO],DADOS!$P$3,tabela_registros[CATEGORIA],despesafixaconsolidadodez[[#This Row],[DESPESA FIXA]])</f>
        <v>0</v>
      </c>
      <c r="AC45" s="91">
        <f>SUMIFS(tabela_registros[VALOR],tabela_registros[MÊS],$AE$1,tabela_registros[DIA],deztotal3059718395107119131143155167[[#Headers],[25]],tabela_registros[REGISTRO],DADOS!$N$4,tabela_registros[TIPO],DADOS!$P$3,tabela_registros[CATEGORIA],despesafixaconsolidadodez[[#This Row],[DESPESA FIXA]])</f>
        <v>0</v>
      </c>
      <c r="AD45" s="91">
        <f>SUMIFS(tabela_registros[VALOR],tabela_registros[MÊS],$AE$1,tabela_registros[DIA],deztotal3059718395107119131143155167[[#Headers],[26]],tabela_registros[REGISTRO],DADOS!$N$4,tabela_registros[TIPO],DADOS!$P$3,tabela_registros[CATEGORIA],despesafixaconsolidadodez[[#This Row],[DESPESA FIXA]])</f>
        <v>0</v>
      </c>
      <c r="AE45" s="91">
        <f>SUMIFS(tabela_registros[VALOR],tabela_registros[MÊS],$AE$1,tabela_registros[DIA],deztotal3059718395107119131143155167[[#Headers],[27]],tabela_registros[REGISTRO],DADOS!$N$4,tabela_registros[TIPO],DADOS!$P$3,tabela_registros[CATEGORIA],despesafixaconsolidadodez[[#This Row],[DESPESA FIXA]])</f>
        <v>0</v>
      </c>
      <c r="AF45" s="91">
        <f>SUMIFS(tabela_registros[VALOR],tabela_registros[MÊS],$AE$1,tabela_registros[DIA],deztotal3059718395107119131143155167[[#Headers],[28]],tabela_registros[REGISTRO],DADOS!$N$4,tabela_registros[TIPO],DADOS!$P$3,tabela_registros[CATEGORIA],despesafixaconsolidadodez[[#This Row],[DESPESA FIXA]])</f>
        <v>0</v>
      </c>
      <c r="AG45" s="91">
        <f>SUMIFS(tabela_registros[VALOR],tabela_registros[MÊS],$AE$1,tabela_registros[DIA],deztotal3059718395107119131143155167[[#Headers],[29]],tabela_registros[REGISTRO],DADOS!$N$4,tabela_registros[TIPO],DADOS!$P$3,tabela_registros[CATEGORIA],despesafixaconsolidadodez[[#This Row],[DESPESA FIXA]])</f>
        <v>0</v>
      </c>
      <c r="AH45" s="91">
        <f>SUMIFS(tabela_registros[VALOR],tabela_registros[MÊS],$AE$1,tabela_registros[DIA],deztotal3059718395107119131143155167[[#Headers],[30]],tabela_registros[REGISTRO],DADOS!$N$4,tabela_registros[TIPO],DADOS!$P$3,tabela_registros[CATEGORIA],despesafixaconsolidadodez[[#This Row],[DESPESA FIXA]])</f>
        <v>0</v>
      </c>
      <c r="AI45" s="101">
        <f>SUMIFS(tabela_registros[VALOR],tabela_registros[MÊS],$AE$1,tabela_registros[DIA],deztotal3059718395107119131143155167[[#Headers],[31]],tabela_registros[REGISTRO],DADOS!$N$4,tabela_registros[TIPO],DADOS!$P$3,tabela_registros[CATEGORIA],despesafixaconsolidadodez[[#This Row],[DESPESA FIXA]])</f>
        <v>0</v>
      </c>
      <c r="AJ45" s="97">
        <f>SUM(despesafixaconsolidadodez[[#This Row],[1]:[31]])</f>
        <v>0</v>
      </c>
      <c r="AK45" s="28"/>
    </row>
    <row r="46" spans="2:37" ht="18" customHeight="1" thickTop="1" thickBot="1" x14ac:dyDescent="0.3">
      <c r="B46" s="28"/>
      <c r="C46" s="27" t="str">
        <f>DADOS!$R$12</f>
        <v>🖱️ INTERNET</v>
      </c>
      <c r="D46" s="26" t="str">
        <f>IF(despesafixaconsolidadodez[[#This Row],[TOTAL]]=0,"",IF(OR(despesafixaconsolidadodez[[#This Row],[TOTAL]]=LARGE($AJ$37:$AJ$50,1),despesafixaconsolidadodez[[#This Row],[TOTAL]]=LARGE($AJ$37:$AJ$50,2),despesafixaconsolidadodez[[#This Row],[TOTAL]]=LARGE($AJ$37:$AJ$50,3),despesafixaconsolidadodez[[#This Row],[TOTAL]]=LARGE($AJ$37:$AJ$50,4),despesafixaconsolidadodez[[#This Row],[TOTAL]]=LARGE($AJ$37:$AJ$50,5)),DADOS!$I$8,""))</f>
        <v/>
      </c>
      <c r="E46" s="96">
        <f>SUMIFS(tabela_registros[VALOR],tabela_registros[MÊS],$AE$1,tabela_registros[DIA],deztotal3059718395107119131143155167[[#Headers],[1]],tabela_registros[REGISTRO],DADOS!$N$4,tabela_registros[TIPO],DADOS!$P$3,tabela_registros[CATEGORIA],despesafixaconsolidadodez[[#This Row],[DESPESA FIXA]])</f>
        <v>0</v>
      </c>
      <c r="F46" s="91">
        <f>SUMIFS(tabela_registros[VALOR],tabela_registros[MÊS],$AE$1,tabela_registros[DIA],deztotal3059718395107119131143155167[[#Headers],[2]],tabela_registros[REGISTRO],DADOS!$N$4,tabela_registros[TIPO],DADOS!$P$3,tabela_registros[CATEGORIA],despesafixaconsolidadodez[[#This Row],[DESPESA FIXA]])</f>
        <v>0</v>
      </c>
      <c r="G46" s="91">
        <f>SUMIFS(tabela_registros[VALOR],tabela_registros[MÊS],$AE$1,tabela_registros[DIA],deztotal3059718395107119131143155167[[#Headers],[3]],tabela_registros[REGISTRO],DADOS!$N$4,tabela_registros[TIPO],DADOS!$P$3,tabela_registros[CATEGORIA],despesafixaconsolidadodez[[#This Row],[DESPESA FIXA]])</f>
        <v>0</v>
      </c>
      <c r="H46" s="91">
        <f>SUMIFS(tabela_registros[VALOR],tabela_registros[MÊS],$AE$1,tabela_registros[DIA],deztotal3059718395107119131143155167[[#Headers],[4]],tabela_registros[REGISTRO],DADOS!$N$4,tabela_registros[TIPO],DADOS!$P$3,tabela_registros[CATEGORIA],despesafixaconsolidadodez[[#This Row],[DESPESA FIXA]])</f>
        <v>0</v>
      </c>
      <c r="I46" s="91">
        <f>SUMIFS(tabela_registros[VALOR],tabela_registros[MÊS],$AE$1,tabela_registros[DIA],deztotal3059718395107119131143155167[[#Headers],[5]],tabela_registros[REGISTRO],DADOS!$N$4,tabela_registros[TIPO],DADOS!$P$3,tabela_registros[CATEGORIA],despesafixaconsolidadodez[[#This Row],[DESPESA FIXA]])</f>
        <v>0</v>
      </c>
      <c r="J46" s="91">
        <f>SUMIFS(tabela_registros[VALOR],tabela_registros[MÊS],$AE$1,tabela_registros[DIA],deztotal3059718395107119131143155167[[#Headers],[6]],tabela_registros[REGISTRO],DADOS!$N$4,tabela_registros[TIPO],DADOS!$P$3,tabela_registros[CATEGORIA],despesafixaconsolidadodez[[#This Row],[DESPESA FIXA]])</f>
        <v>0</v>
      </c>
      <c r="K46" s="91">
        <f>SUMIFS(tabela_registros[VALOR],tabela_registros[MÊS],$AE$1,tabela_registros[DIA],deztotal3059718395107119131143155167[[#Headers],[7]],tabela_registros[REGISTRO],DADOS!$N$4,tabela_registros[TIPO],DADOS!$P$3,tabela_registros[CATEGORIA],despesafixaconsolidadodez[[#This Row],[DESPESA FIXA]])</f>
        <v>0</v>
      </c>
      <c r="L46" s="91">
        <f>SUMIFS(tabela_registros[VALOR],tabela_registros[MÊS],$AE$1,tabela_registros[DIA],deztotal3059718395107119131143155167[[#Headers],[8]],tabela_registros[REGISTRO],DADOS!$N$4,tabela_registros[TIPO],DADOS!$P$3,tabela_registros[CATEGORIA],despesafixaconsolidadodez[[#This Row],[DESPESA FIXA]])</f>
        <v>0</v>
      </c>
      <c r="M46" s="91">
        <f>SUMIFS(tabela_registros[VALOR],tabela_registros[MÊS],$AE$1,tabela_registros[DIA],deztotal3059718395107119131143155167[[#Headers],[9]],tabela_registros[REGISTRO],DADOS!$N$4,tabela_registros[TIPO],DADOS!$P$3,tabela_registros[CATEGORIA],despesafixaconsolidadodez[[#This Row],[DESPESA FIXA]])</f>
        <v>0</v>
      </c>
      <c r="N46" s="91">
        <f>SUMIFS(tabela_registros[VALOR],tabela_registros[MÊS],$AE$1,tabela_registros[DIA],deztotal3059718395107119131143155167[[#Headers],[10]],tabela_registros[REGISTRO],DADOS!$N$4,tabela_registros[TIPO],DADOS!$P$3,tabela_registros[CATEGORIA],despesafixaconsolidadodez[[#This Row],[DESPESA FIXA]])</f>
        <v>0</v>
      </c>
      <c r="O46" s="91">
        <f>SUMIFS(tabela_registros[VALOR],tabela_registros[MÊS],$AE$1,tabela_registros[DIA],deztotal3059718395107119131143155167[[#Headers],[11]],tabela_registros[REGISTRO],DADOS!$N$4,tabela_registros[TIPO],DADOS!$P$3,tabela_registros[CATEGORIA],despesafixaconsolidadodez[[#This Row],[DESPESA FIXA]])</f>
        <v>0</v>
      </c>
      <c r="P46" s="91">
        <f>SUMIFS(tabela_registros[VALOR],tabela_registros[MÊS],$AE$1,tabela_registros[DIA],deztotal3059718395107119131143155167[[#Headers],[12]],tabela_registros[REGISTRO],DADOS!$N$4,tabela_registros[TIPO],DADOS!$P$3,tabela_registros[CATEGORIA],despesafixaconsolidadodez[[#This Row],[DESPESA FIXA]])</f>
        <v>0</v>
      </c>
      <c r="Q46" s="91">
        <f>SUMIFS(tabela_registros[VALOR],tabela_registros[MÊS],$AE$1,tabela_registros[DIA],deztotal3059718395107119131143155167[[#Headers],[13]],tabela_registros[REGISTRO],DADOS!$N$4,tabela_registros[TIPO],DADOS!$P$3,tabela_registros[CATEGORIA],despesafixaconsolidadodez[[#This Row],[DESPESA FIXA]])</f>
        <v>0</v>
      </c>
      <c r="R46" s="91">
        <f>SUMIFS(tabela_registros[VALOR],tabela_registros[MÊS],$AE$1,tabela_registros[DIA],deztotal3059718395107119131143155167[[#Headers],[14]],tabela_registros[REGISTRO],DADOS!$N$4,tabela_registros[TIPO],DADOS!$P$3,tabela_registros[CATEGORIA],despesafixaconsolidadodez[[#This Row],[DESPESA FIXA]])</f>
        <v>0</v>
      </c>
      <c r="S46" s="91">
        <f>SUMIFS(tabela_registros[VALOR],tabela_registros[MÊS],$AE$1,tabela_registros[DIA],deztotal3059718395107119131143155167[[#Headers],[15]],tabela_registros[REGISTRO],DADOS!$N$4,tabela_registros[TIPO],DADOS!$P$3,tabela_registros[CATEGORIA],despesafixaconsolidadodez[[#This Row],[DESPESA FIXA]])</f>
        <v>0</v>
      </c>
      <c r="T46" s="91">
        <f>SUMIFS(tabela_registros[VALOR],tabela_registros[MÊS],$AE$1,tabela_registros[DIA],deztotal3059718395107119131143155167[[#Headers],[16]],tabela_registros[REGISTRO],DADOS!$N$4,tabela_registros[TIPO],DADOS!$P$3,tabela_registros[CATEGORIA],despesafixaconsolidadodez[[#This Row],[DESPESA FIXA]])</f>
        <v>0</v>
      </c>
      <c r="U46" s="91">
        <f>SUMIFS(tabela_registros[VALOR],tabela_registros[MÊS],$AE$1,tabela_registros[DIA],deztotal3059718395107119131143155167[[#Headers],[17]],tabela_registros[REGISTRO],DADOS!$N$4,tabela_registros[TIPO],DADOS!$P$3,tabela_registros[CATEGORIA],despesafixaconsolidadodez[[#This Row],[DESPESA FIXA]])</f>
        <v>0</v>
      </c>
      <c r="V46" s="91">
        <f>SUMIFS(tabela_registros[VALOR],tabela_registros[MÊS],$AE$1,tabela_registros[DIA],deztotal3059718395107119131143155167[[#Headers],[18]],tabela_registros[REGISTRO],DADOS!$N$4,tabela_registros[TIPO],DADOS!$P$3,tabela_registros[CATEGORIA],despesafixaconsolidadodez[[#This Row],[DESPESA FIXA]])</f>
        <v>0</v>
      </c>
      <c r="W46" s="91">
        <f>SUMIFS(tabela_registros[VALOR],tabela_registros[MÊS],$AE$1,tabela_registros[DIA],deztotal3059718395107119131143155167[[#Headers],[19]],tabela_registros[REGISTRO],DADOS!$N$4,tabela_registros[TIPO],DADOS!$P$3,tabela_registros[CATEGORIA],despesafixaconsolidadodez[[#This Row],[DESPESA FIXA]])</f>
        <v>0</v>
      </c>
      <c r="X46" s="91">
        <f>SUMIFS(tabela_registros[VALOR],tabela_registros[MÊS],$AE$1,tabela_registros[DIA],deztotal3059718395107119131143155167[[#Headers],[20]],tabela_registros[REGISTRO],DADOS!$N$4,tabela_registros[TIPO],DADOS!$P$3,tabela_registros[CATEGORIA],despesafixaconsolidadodez[[#This Row],[DESPESA FIXA]])</f>
        <v>0</v>
      </c>
      <c r="Y46" s="91">
        <f>SUMIFS(tabela_registros[VALOR],tabela_registros[MÊS],$AE$1,tabela_registros[DIA],deztotal3059718395107119131143155167[[#Headers],[21]],tabela_registros[REGISTRO],DADOS!$N$4,tabela_registros[TIPO],DADOS!$P$3,tabela_registros[CATEGORIA],despesafixaconsolidadodez[[#This Row],[DESPESA FIXA]])</f>
        <v>0</v>
      </c>
      <c r="Z46" s="91">
        <f>SUMIFS(tabela_registros[VALOR],tabela_registros[MÊS],$AE$1,tabela_registros[DIA],deztotal3059718395107119131143155167[[#Headers],[22]],tabela_registros[REGISTRO],DADOS!$N$4,tabela_registros[TIPO],DADOS!$P$3,tabela_registros[CATEGORIA],despesafixaconsolidadodez[[#This Row],[DESPESA FIXA]])</f>
        <v>0</v>
      </c>
      <c r="AA46" s="91">
        <f>SUMIFS(tabela_registros[VALOR],tabela_registros[MÊS],$AE$1,tabela_registros[DIA],deztotal3059718395107119131143155167[[#Headers],[23]],tabela_registros[REGISTRO],DADOS!$N$4,tabela_registros[TIPO],DADOS!$P$3,tabela_registros[CATEGORIA],despesafixaconsolidadodez[[#This Row],[DESPESA FIXA]])</f>
        <v>0</v>
      </c>
      <c r="AB46" s="91">
        <f>SUMIFS(tabela_registros[VALOR],tabela_registros[MÊS],$AE$1,tabela_registros[DIA],deztotal3059718395107119131143155167[[#Headers],[24]],tabela_registros[REGISTRO],DADOS!$N$4,tabela_registros[TIPO],DADOS!$P$3,tabela_registros[CATEGORIA],despesafixaconsolidadodez[[#This Row],[DESPESA FIXA]])</f>
        <v>0</v>
      </c>
      <c r="AC46" s="91">
        <f>SUMIFS(tabela_registros[VALOR],tabela_registros[MÊS],$AE$1,tabela_registros[DIA],deztotal3059718395107119131143155167[[#Headers],[25]],tabela_registros[REGISTRO],DADOS!$N$4,tabela_registros[TIPO],DADOS!$P$3,tabela_registros[CATEGORIA],despesafixaconsolidadodez[[#This Row],[DESPESA FIXA]])</f>
        <v>0</v>
      </c>
      <c r="AD46" s="91">
        <f>SUMIFS(tabela_registros[VALOR],tabela_registros[MÊS],$AE$1,tabela_registros[DIA],deztotal3059718395107119131143155167[[#Headers],[26]],tabela_registros[REGISTRO],DADOS!$N$4,tabela_registros[TIPO],DADOS!$P$3,tabela_registros[CATEGORIA],despesafixaconsolidadodez[[#This Row],[DESPESA FIXA]])</f>
        <v>0</v>
      </c>
      <c r="AE46" s="91">
        <f>SUMIFS(tabela_registros[VALOR],tabela_registros[MÊS],$AE$1,tabela_registros[DIA],deztotal3059718395107119131143155167[[#Headers],[27]],tabela_registros[REGISTRO],DADOS!$N$4,tabela_registros[TIPO],DADOS!$P$3,tabela_registros[CATEGORIA],despesafixaconsolidadodez[[#This Row],[DESPESA FIXA]])</f>
        <v>0</v>
      </c>
      <c r="AF46" s="91">
        <f>SUMIFS(tabela_registros[VALOR],tabela_registros[MÊS],$AE$1,tabela_registros[DIA],deztotal3059718395107119131143155167[[#Headers],[28]],tabela_registros[REGISTRO],DADOS!$N$4,tabela_registros[TIPO],DADOS!$P$3,tabela_registros[CATEGORIA],despesafixaconsolidadodez[[#This Row],[DESPESA FIXA]])</f>
        <v>0</v>
      </c>
      <c r="AG46" s="91">
        <f>SUMIFS(tabela_registros[VALOR],tabela_registros[MÊS],$AE$1,tabela_registros[DIA],deztotal3059718395107119131143155167[[#Headers],[29]],tabela_registros[REGISTRO],DADOS!$N$4,tabela_registros[TIPO],DADOS!$P$3,tabela_registros[CATEGORIA],despesafixaconsolidadodez[[#This Row],[DESPESA FIXA]])</f>
        <v>0</v>
      </c>
      <c r="AH46" s="91">
        <f>SUMIFS(tabela_registros[VALOR],tabela_registros[MÊS],$AE$1,tabela_registros[DIA],deztotal3059718395107119131143155167[[#Headers],[30]],tabela_registros[REGISTRO],DADOS!$N$4,tabela_registros[TIPO],DADOS!$P$3,tabela_registros[CATEGORIA],despesafixaconsolidadodez[[#This Row],[DESPESA FIXA]])</f>
        <v>0</v>
      </c>
      <c r="AI46" s="101">
        <f>SUMIFS(tabela_registros[VALOR],tabela_registros[MÊS],$AE$1,tabela_registros[DIA],deztotal3059718395107119131143155167[[#Headers],[31]],tabela_registros[REGISTRO],DADOS!$N$4,tabela_registros[TIPO],DADOS!$P$3,tabela_registros[CATEGORIA],despesafixaconsolidadodez[[#This Row],[DESPESA FIXA]])</f>
        <v>0</v>
      </c>
      <c r="AJ46" s="97">
        <f>SUM(despesafixaconsolidadodez[[#This Row],[1]:[31]])</f>
        <v>0</v>
      </c>
      <c r="AK46" s="28"/>
    </row>
    <row r="47" spans="2:37" ht="18" customHeight="1" thickTop="1" thickBot="1" x14ac:dyDescent="0.3">
      <c r="B47" s="28"/>
      <c r="C47" s="27" t="str">
        <f>DADOS!$R$13</f>
        <v>🏠 MORADIA</v>
      </c>
      <c r="D47" s="26" t="str">
        <f>IF(despesafixaconsolidadodez[[#This Row],[TOTAL]]=0,"",IF(OR(despesafixaconsolidadodez[[#This Row],[TOTAL]]=LARGE($AJ$37:$AJ$50,1),despesafixaconsolidadodez[[#This Row],[TOTAL]]=LARGE($AJ$37:$AJ$50,2),despesafixaconsolidadodez[[#This Row],[TOTAL]]=LARGE($AJ$37:$AJ$50,3),despesafixaconsolidadodez[[#This Row],[TOTAL]]=LARGE($AJ$37:$AJ$50,4),despesafixaconsolidadodez[[#This Row],[TOTAL]]=LARGE($AJ$37:$AJ$50,5)),DADOS!$I$8,""))</f>
        <v/>
      </c>
      <c r="E47" s="96">
        <f>SUMIFS(tabela_registros[VALOR],tabela_registros[MÊS],$AE$1,tabela_registros[DIA],deztotal3059718395107119131143155167[[#Headers],[1]],tabela_registros[REGISTRO],DADOS!$N$4,tabela_registros[TIPO],DADOS!$P$3,tabela_registros[CATEGORIA],despesafixaconsolidadodez[[#This Row],[DESPESA FIXA]])</f>
        <v>0</v>
      </c>
      <c r="F47" s="91">
        <f>SUMIFS(tabela_registros[VALOR],tabela_registros[MÊS],$AE$1,tabela_registros[DIA],deztotal3059718395107119131143155167[[#Headers],[2]],tabela_registros[REGISTRO],DADOS!$N$4,tabela_registros[TIPO],DADOS!$P$3,tabela_registros[CATEGORIA],despesafixaconsolidadodez[[#This Row],[DESPESA FIXA]])</f>
        <v>0</v>
      </c>
      <c r="G47" s="91">
        <f>SUMIFS(tabela_registros[VALOR],tabela_registros[MÊS],$AE$1,tabela_registros[DIA],deztotal3059718395107119131143155167[[#Headers],[3]],tabela_registros[REGISTRO],DADOS!$N$4,tabela_registros[TIPO],DADOS!$P$3,tabela_registros[CATEGORIA],despesafixaconsolidadodez[[#This Row],[DESPESA FIXA]])</f>
        <v>0</v>
      </c>
      <c r="H47" s="91">
        <f>SUMIFS(tabela_registros[VALOR],tabela_registros[MÊS],$AE$1,tabela_registros[DIA],deztotal3059718395107119131143155167[[#Headers],[4]],tabela_registros[REGISTRO],DADOS!$N$4,tabela_registros[TIPO],DADOS!$P$3,tabela_registros[CATEGORIA],despesafixaconsolidadodez[[#This Row],[DESPESA FIXA]])</f>
        <v>0</v>
      </c>
      <c r="I47" s="91">
        <f>SUMIFS(tabela_registros[VALOR],tabela_registros[MÊS],$AE$1,tabela_registros[DIA],deztotal3059718395107119131143155167[[#Headers],[5]],tabela_registros[REGISTRO],DADOS!$N$4,tabela_registros[TIPO],DADOS!$P$3,tabela_registros[CATEGORIA],despesafixaconsolidadodez[[#This Row],[DESPESA FIXA]])</f>
        <v>0</v>
      </c>
      <c r="J47" s="91">
        <f>SUMIFS(tabela_registros[VALOR],tabela_registros[MÊS],$AE$1,tabela_registros[DIA],deztotal3059718395107119131143155167[[#Headers],[6]],tabela_registros[REGISTRO],DADOS!$N$4,tabela_registros[TIPO],DADOS!$P$3,tabela_registros[CATEGORIA],despesafixaconsolidadodez[[#This Row],[DESPESA FIXA]])</f>
        <v>0</v>
      </c>
      <c r="K47" s="91">
        <f>SUMIFS(tabela_registros[VALOR],tabela_registros[MÊS],$AE$1,tabela_registros[DIA],deztotal3059718395107119131143155167[[#Headers],[7]],tabela_registros[REGISTRO],DADOS!$N$4,tabela_registros[TIPO],DADOS!$P$3,tabela_registros[CATEGORIA],despesafixaconsolidadodez[[#This Row],[DESPESA FIXA]])</f>
        <v>0</v>
      </c>
      <c r="L47" s="91">
        <f>SUMIFS(tabela_registros[VALOR],tabela_registros[MÊS],$AE$1,tabela_registros[DIA],deztotal3059718395107119131143155167[[#Headers],[8]],tabela_registros[REGISTRO],DADOS!$N$4,tabela_registros[TIPO],DADOS!$P$3,tabela_registros[CATEGORIA],despesafixaconsolidadodez[[#This Row],[DESPESA FIXA]])</f>
        <v>0</v>
      </c>
      <c r="M47" s="91">
        <f>SUMIFS(tabela_registros[VALOR],tabela_registros[MÊS],$AE$1,tabela_registros[DIA],deztotal3059718395107119131143155167[[#Headers],[9]],tabela_registros[REGISTRO],DADOS!$N$4,tabela_registros[TIPO],DADOS!$P$3,tabela_registros[CATEGORIA],despesafixaconsolidadodez[[#This Row],[DESPESA FIXA]])</f>
        <v>0</v>
      </c>
      <c r="N47" s="91">
        <f>SUMIFS(tabela_registros[VALOR],tabela_registros[MÊS],$AE$1,tabela_registros[DIA],deztotal3059718395107119131143155167[[#Headers],[10]],tabela_registros[REGISTRO],DADOS!$N$4,tabela_registros[TIPO],DADOS!$P$3,tabela_registros[CATEGORIA],despesafixaconsolidadodez[[#This Row],[DESPESA FIXA]])</f>
        <v>0</v>
      </c>
      <c r="O47" s="91">
        <f>SUMIFS(tabela_registros[VALOR],tabela_registros[MÊS],$AE$1,tabela_registros[DIA],deztotal3059718395107119131143155167[[#Headers],[11]],tabela_registros[REGISTRO],DADOS!$N$4,tabela_registros[TIPO],DADOS!$P$3,tabela_registros[CATEGORIA],despesafixaconsolidadodez[[#This Row],[DESPESA FIXA]])</f>
        <v>0</v>
      </c>
      <c r="P47" s="91">
        <f>SUMIFS(tabela_registros[VALOR],tabela_registros[MÊS],$AE$1,tabela_registros[DIA],deztotal3059718395107119131143155167[[#Headers],[12]],tabela_registros[REGISTRO],DADOS!$N$4,tabela_registros[TIPO],DADOS!$P$3,tabela_registros[CATEGORIA],despesafixaconsolidadodez[[#This Row],[DESPESA FIXA]])</f>
        <v>0</v>
      </c>
      <c r="Q47" s="91">
        <f>SUMIFS(tabela_registros[VALOR],tabela_registros[MÊS],$AE$1,tabela_registros[DIA],deztotal3059718395107119131143155167[[#Headers],[13]],tabela_registros[REGISTRO],DADOS!$N$4,tabela_registros[TIPO],DADOS!$P$3,tabela_registros[CATEGORIA],despesafixaconsolidadodez[[#This Row],[DESPESA FIXA]])</f>
        <v>0</v>
      </c>
      <c r="R47" s="91">
        <f>SUMIFS(tabela_registros[VALOR],tabela_registros[MÊS],$AE$1,tabela_registros[DIA],deztotal3059718395107119131143155167[[#Headers],[14]],tabela_registros[REGISTRO],DADOS!$N$4,tabela_registros[TIPO],DADOS!$P$3,tabela_registros[CATEGORIA],despesafixaconsolidadodez[[#This Row],[DESPESA FIXA]])</f>
        <v>0</v>
      </c>
      <c r="S47" s="91">
        <f>SUMIFS(tabela_registros[VALOR],tabela_registros[MÊS],$AE$1,tabela_registros[DIA],deztotal3059718395107119131143155167[[#Headers],[15]],tabela_registros[REGISTRO],DADOS!$N$4,tabela_registros[TIPO],DADOS!$P$3,tabela_registros[CATEGORIA],despesafixaconsolidadodez[[#This Row],[DESPESA FIXA]])</f>
        <v>0</v>
      </c>
      <c r="T47" s="91">
        <f>SUMIFS(tabela_registros[VALOR],tabela_registros[MÊS],$AE$1,tabela_registros[DIA],deztotal3059718395107119131143155167[[#Headers],[16]],tabela_registros[REGISTRO],DADOS!$N$4,tabela_registros[TIPO],DADOS!$P$3,tabela_registros[CATEGORIA],despesafixaconsolidadodez[[#This Row],[DESPESA FIXA]])</f>
        <v>0</v>
      </c>
      <c r="U47" s="91">
        <f>SUMIFS(tabela_registros[VALOR],tabela_registros[MÊS],$AE$1,tabela_registros[DIA],deztotal3059718395107119131143155167[[#Headers],[17]],tabela_registros[REGISTRO],DADOS!$N$4,tabela_registros[TIPO],DADOS!$P$3,tabela_registros[CATEGORIA],despesafixaconsolidadodez[[#This Row],[DESPESA FIXA]])</f>
        <v>0</v>
      </c>
      <c r="V47" s="91">
        <f>SUMIFS(tabela_registros[VALOR],tabela_registros[MÊS],$AE$1,tabela_registros[DIA],deztotal3059718395107119131143155167[[#Headers],[18]],tabela_registros[REGISTRO],DADOS!$N$4,tabela_registros[TIPO],DADOS!$P$3,tabela_registros[CATEGORIA],despesafixaconsolidadodez[[#This Row],[DESPESA FIXA]])</f>
        <v>0</v>
      </c>
      <c r="W47" s="91">
        <f>SUMIFS(tabela_registros[VALOR],tabela_registros[MÊS],$AE$1,tabela_registros[DIA],deztotal3059718395107119131143155167[[#Headers],[19]],tabela_registros[REGISTRO],DADOS!$N$4,tabela_registros[TIPO],DADOS!$P$3,tabela_registros[CATEGORIA],despesafixaconsolidadodez[[#This Row],[DESPESA FIXA]])</f>
        <v>0</v>
      </c>
      <c r="X47" s="91">
        <f>SUMIFS(tabela_registros[VALOR],tabela_registros[MÊS],$AE$1,tabela_registros[DIA],deztotal3059718395107119131143155167[[#Headers],[20]],tabela_registros[REGISTRO],DADOS!$N$4,tabela_registros[TIPO],DADOS!$P$3,tabela_registros[CATEGORIA],despesafixaconsolidadodez[[#This Row],[DESPESA FIXA]])</f>
        <v>0</v>
      </c>
      <c r="Y47" s="91">
        <f>SUMIFS(tabela_registros[VALOR],tabela_registros[MÊS],$AE$1,tabela_registros[DIA],deztotal3059718395107119131143155167[[#Headers],[21]],tabela_registros[REGISTRO],DADOS!$N$4,tabela_registros[TIPO],DADOS!$P$3,tabela_registros[CATEGORIA],despesafixaconsolidadodez[[#This Row],[DESPESA FIXA]])</f>
        <v>0</v>
      </c>
      <c r="Z47" s="91">
        <f>SUMIFS(tabela_registros[VALOR],tabela_registros[MÊS],$AE$1,tabela_registros[DIA],deztotal3059718395107119131143155167[[#Headers],[22]],tabela_registros[REGISTRO],DADOS!$N$4,tabela_registros[TIPO],DADOS!$P$3,tabela_registros[CATEGORIA],despesafixaconsolidadodez[[#This Row],[DESPESA FIXA]])</f>
        <v>0</v>
      </c>
      <c r="AA47" s="91">
        <f>SUMIFS(tabela_registros[VALOR],tabela_registros[MÊS],$AE$1,tabela_registros[DIA],deztotal3059718395107119131143155167[[#Headers],[23]],tabela_registros[REGISTRO],DADOS!$N$4,tabela_registros[TIPO],DADOS!$P$3,tabela_registros[CATEGORIA],despesafixaconsolidadodez[[#This Row],[DESPESA FIXA]])</f>
        <v>0</v>
      </c>
      <c r="AB47" s="91">
        <f>SUMIFS(tabela_registros[VALOR],tabela_registros[MÊS],$AE$1,tabela_registros[DIA],deztotal3059718395107119131143155167[[#Headers],[24]],tabela_registros[REGISTRO],DADOS!$N$4,tabela_registros[TIPO],DADOS!$P$3,tabela_registros[CATEGORIA],despesafixaconsolidadodez[[#This Row],[DESPESA FIXA]])</f>
        <v>0</v>
      </c>
      <c r="AC47" s="91">
        <f>SUMIFS(tabela_registros[VALOR],tabela_registros[MÊS],$AE$1,tabela_registros[DIA],deztotal3059718395107119131143155167[[#Headers],[25]],tabela_registros[REGISTRO],DADOS!$N$4,tabela_registros[TIPO],DADOS!$P$3,tabela_registros[CATEGORIA],despesafixaconsolidadodez[[#This Row],[DESPESA FIXA]])</f>
        <v>0</v>
      </c>
      <c r="AD47" s="91">
        <f>SUMIFS(tabela_registros[VALOR],tabela_registros[MÊS],$AE$1,tabela_registros[DIA],deztotal3059718395107119131143155167[[#Headers],[26]],tabela_registros[REGISTRO],DADOS!$N$4,tabela_registros[TIPO],DADOS!$P$3,tabela_registros[CATEGORIA],despesafixaconsolidadodez[[#This Row],[DESPESA FIXA]])</f>
        <v>0</v>
      </c>
      <c r="AE47" s="91">
        <f>SUMIFS(tabela_registros[VALOR],tabela_registros[MÊS],$AE$1,tabela_registros[DIA],deztotal3059718395107119131143155167[[#Headers],[27]],tabela_registros[REGISTRO],DADOS!$N$4,tabela_registros[TIPO],DADOS!$P$3,tabela_registros[CATEGORIA],despesafixaconsolidadodez[[#This Row],[DESPESA FIXA]])</f>
        <v>0</v>
      </c>
      <c r="AF47" s="91">
        <f>SUMIFS(tabela_registros[VALOR],tabela_registros[MÊS],$AE$1,tabela_registros[DIA],deztotal3059718395107119131143155167[[#Headers],[28]],tabela_registros[REGISTRO],DADOS!$N$4,tabela_registros[TIPO],DADOS!$P$3,tabela_registros[CATEGORIA],despesafixaconsolidadodez[[#This Row],[DESPESA FIXA]])</f>
        <v>0</v>
      </c>
      <c r="AG47" s="91">
        <f>SUMIFS(tabela_registros[VALOR],tabela_registros[MÊS],$AE$1,tabela_registros[DIA],deztotal3059718395107119131143155167[[#Headers],[29]],tabela_registros[REGISTRO],DADOS!$N$4,tabela_registros[TIPO],DADOS!$P$3,tabela_registros[CATEGORIA],despesafixaconsolidadodez[[#This Row],[DESPESA FIXA]])</f>
        <v>0</v>
      </c>
      <c r="AH47" s="91">
        <f>SUMIFS(tabela_registros[VALOR],tabela_registros[MÊS],$AE$1,tabela_registros[DIA],deztotal3059718395107119131143155167[[#Headers],[30]],tabela_registros[REGISTRO],DADOS!$N$4,tabela_registros[TIPO],DADOS!$P$3,tabela_registros[CATEGORIA],despesafixaconsolidadodez[[#This Row],[DESPESA FIXA]])</f>
        <v>0</v>
      </c>
      <c r="AI47" s="101">
        <f>SUMIFS(tabela_registros[VALOR],tabela_registros[MÊS],$AE$1,tabela_registros[DIA],deztotal3059718395107119131143155167[[#Headers],[31]],tabela_registros[REGISTRO],DADOS!$N$4,tabela_registros[TIPO],DADOS!$P$3,tabela_registros[CATEGORIA],despesafixaconsolidadodez[[#This Row],[DESPESA FIXA]])</f>
        <v>0</v>
      </c>
      <c r="AJ47" s="97">
        <f>SUM(despesafixaconsolidadodez[[#This Row],[1]:[31]])</f>
        <v>0</v>
      </c>
      <c r="AK47" s="28"/>
    </row>
    <row r="48" spans="2:37" ht="18" customHeight="1" thickTop="1" thickBot="1" x14ac:dyDescent="0.3">
      <c r="B48" s="28"/>
      <c r="C48" s="27" t="str">
        <f>DADOS!$R$14</f>
        <v>💊 SAÚDE</v>
      </c>
      <c r="D48" s="26" t="str">
        <f>IF(despesafixaconsolidadodez[[#This Row],[TOTAL]]=0,"",IF(OR(despesafixaconsolidadodez[[#This Row],[TOTAL]]=LARGE($AJ$37:$AJ$50,1),despesafixaconsolidadodez[[#This Row],[TOTAL]]=LARGE($AJ$37:$AJ$50,2),despesafixaconsolidadodez[[#This Row],[TOTAL]]=LARGE($AJ$37:$AJ$50,3),despesafixaconsolidadodez[[#This Row],[TOTAL]]=LARGE($AJ$37:$AJ$50,4),despesafixaconsolidadodez[[#This Row],[TOTAL]]=LARGE($AJ$37:$AJ$50,5)),DADOS!$I$8,""))</f>
        <v/>
      </c>
      <c r="E48" s="96">
        <f>SUMIFS(tabela_registros[VALOR],tabela_registros[MÊS],$AE$1,tabela_registros[DIA],deztotal3059718395107119131143155167[[#Headers],[1]],tabela_registros[REGISTRO],DADOS!$N$4,tabela_registros[TIPO],DADOS!$P$3,tabela_registros[CATEGORIA],despesafixaconsolidadodez[[#This Row],[DESPESA FIXA]])</f>
        <v>0</v>
      </c>
      <c r="F48" s="91">
        <f>SUMIFS(tabela_registros[VALOR],tabela_registros[MÊS],$AE$1,tabela_registros[DIA],deztotal3059718395107119131143155167[[#Headers],[2]],tabela_registros[REGISTRO],DADOS!$N$4,tabela_registros[TIPO],DADOS!$P$3,tabela_registros[CATEGORIA],despesafixaconsolidadodez[[#This Row],[DESPESA FIXA]])</f>
        <v>0</v>
      </c>
      <c r="G48" s="91">
        <f>SUMIFS(tabela_registros[VALOR],tabela_registros[MÊS],$AE$1,tabela_registros[DIA],deztotal3059718395107119131143155167[[#Headers],[3]],tabela_registros[REGISTRO],DADOS!$N$4,tabela_registros[TIPO],DADOS!$P$3,tabela_registros[CATEGORIA],despesafixaconsolidadodez[[#This Row],[DESPESA FIXA]])</f>
        <v>0</v>
      </c>
      <c r="H48" s="91">
        <f>SUMIFS(tabela_registros[VALOR],tabela_registros[MÊS],$AE$1,tabela_registros[DIA],deztotal3059718395107119131143155167[[#Headers],[4]],tabela_registros[REGISTRO],DADOS!$N$4,tabela_registros[TIPO],DADOS!$P$3,tabela_registros[CATEGORIA],despesafixaconsolidadodez[[#This Row],[DESPESA FIXA]])</f>
        <v>0</v>
      </c>
      <c r="I48" s="91">
        <f>SUMIFS(tabela_registros[VALOR],tabela_registros[MÊS],$AE$1,tabela_registros[DIA],deztotal3059718395107119131143155167[[#Headers],[5]],tabela_registros[REGISTRO],DADOS!$N$4,tabela_registros[TIPO],DADOS!$P$3,tabela_registros[CATEGORIA],despesafixaconsolidadodez[[#This Row],[DESPESA FIXA]])</f>
        <v>0</v>
      </c>
      <c r="J48" s="91">
        <f>SUMIFS(tabela_registros[VALOR],tabela_registros[MÊS],$AE$1,tabela_registros[DIA],deztotal3059718395107119131143155167[[#Headers],[6]],tabela_registros[REGISTRO],DADOS!$N$4,tabela_registros[TIPO],DADOS!$P$3,tabela_registros[CATEGORIA],despesafixaconsolidadodez[[#This Row],[DESPESA FIXA]])</f>
        <v>0</v>
      </c>
      <c r="K48" s="91">
        <f>SUMIFS(tabela_registros[VALOR],tabela_registros[MÊS],$AE$1,tabela_registros[DIA],deztotal3059718395107119131143155167[[#Headers],[7]],tabela_registros[REGISTRO],DADOS!$N$4,tabela_registros[TIPO],DADOS!$P$3,tabela_registros[CATEGORIA],despesafixaconsolidadodez[[#This Row],[DESPESA FIXA]])</f>
        <v>0</v>
      </c>
      <c r="L48" s="91">
        <f>SUMIFS(tabela_registros[VALOR],tabela_registros[MÊS],$AE$1,tabela_registros[DIA],deztotal3059718395107119131143155167[[#Headers],[8]],tabela_registros[REGISTRO],DADOS!$N$4,tabela_registros[TIPO],DADOS!$P$3,tabela_registros[CATEGORIA],despesafixaconsolidadodez[[#This Row],[DESPESA FIXA]])</f>
        <v>0</v>
      </c>
      <c r="M48" s="91">
        <f>SUMIFS(tabela_registros[VALOR],tabela_registros[MÊS],$AE$1,tabela_registros[DIA],deztotal3059718395107119131143155167[[#Headers],[9]],tabela_registros[REGISTRO],DADOS!$N$4,tabela_registros[TIPO],DADOS!$P$3,tabela_registros[CATEGORIA],despesafixaconsolidadodez[[#This Row],[DESPESA FIXA]])</f>
        <v>0</v>
      </c>
      <c r="N48" s="91">
        <f>SUMIFS(tabela_registros[VALOR],tabela_registros[MÊS],$AE$1,tabela_registros[DIA],deztotal3059718395107119131143155167[[#Headers],[10]],tabela_registros[REGISTRO],DADOS!$N$4,tabela_registros[TIPO],DADOS!$P$3,tabela_registros[CATEGORIA],despesafixaconsolidadodez[[#This Row],[DESPESA FIXA]])</f>
        <v>0</v>
      </c>
      <c r="O48" s="91">
        <f>SUMIFS(tabela_registros[VALOR],tabela_registros[MÊS],$AE$1,tabela_registros[DIA],deztotal3059718395107119131143155167[[#Headers],[11]],tabela_registros[REGISTRO],DADOS!$N$4,tabela_registros[TIPO],DADOS!$P$3,tabela_registros[CATEGORIA],despesafixaconsolidadodez[[#This Row],[DESPESA FIXA]])</f>
        <v>0</v>
      </c>
      <c r="P48" s="91">
        <f>SUMIFS(tabela_registros[VALOR],tabela_registros[MÊS],$AE$1,tabela_registros[DIA],deztotal3059718395107119131143155167[[#Headers],[12]],tabela_registros[REGISTRO],DADOS!$N$4,tabela_registros[TIPO],DADOS!$P$3,tabela_registros[CATEGORIA],despesafixaconsolidadodez[[#This Row],[DESPESA FIXA]])</f>
        <v>0</v>
      </c>
      <c r="Q48" s="91">
        <f>SUMIFS(tabela_registros[VALOR],tabela_registros[MÊS],$AE$1,tabela_registros[DIA],deztotal3059718395107119131143155167[[#Headers],[13]],tabela_registros[REGISTRO],DADOS!$N$4,tabela_registros[TIPO],DADOS!$P$3,tabela_registros[CATEGORIA],despesafixaconsolidadodez[[#This Row],[DESPESA FIXA]])</f>
        <v>0</v>
      </c>
      <c r="R48" s="91">
        <f>SUMIFS(tabela_registros[VALOR],tabela_registros[MÊS],$AE$1,tabela_registros[DIA],deztotal3059718395107119131143155167[[#Headers],[14]],tabela_registros[REGISTRO],DADOS!$N$4,tabela_registros[TIPO],DADOS!$P$3,tabela_registros[CATEGORIA],despesafixaconsolidadodez[[#This Row],[DESPESA FIXA]])</f>
        <v>0</v>
      </c>
      <c r="S48" s="91">
        <f>SUMIFS(tabela_registros[VALOR],tabela_registros[MÊS],$AE$1,tabela_registros[DIA],deztotal3059718395107119131143155167[[#Headers],[15]],tabela_registros[REGISTRO],DADOS!$N$4,tabela_registros[TIPO],DADOS!$P$3,tabela_registros[CATEGORIA],despesafixaconsolidadodez[[#This Row],[DESPESA FIXA]])</f>
        <v>0</v>
      </c>
      <c r="T48" s="91">
        <f>SUMIFS(tabela_registros[VALOR],tabela_registros[MÊS],$AE$1,tabela_registros[DIA],deztotal3059718395107119131143155167[[#Headers],[16]],tabela_registros[REGISTRO],DADOS!$N$4,tabela_registros[TIPO],DADOS!$P$3,tabela_registros[CATEGORIA],despesafixaconsolidadodez[[#This Row],[DESPESA FIXA]])</f>
        <v>0</v>
      </c>
      <c r="U48" s="91">
        <f>SUMIFS(tabela_registros[VALOR],tabela_registros[MÊS],$AE$1,tabela_registros[DIA],deztotal3059718395107119131143155167[[#Headers],[17]],tabela_registros[REGISTRO],DADOS!$N$4,tabela_registros[TIPO],DADOS!$P$3,tabela_registros[CATEGORIA],despesafixaconsolidadodez[[#This Row],[DESPESA FIXA]])</f>
        <v>0</v>
      </c>
      <c r="V48" s="91">
        <f>SUMIFS(tabela_registros[VALOR],tabela_registros[MÊS],$AE$1,tabela_registros[DIA],deztotal3059718395107119131143155167[[#Headers],[18]],tabela_registros[REGISTRO],DADOS!$N$4,tabela_registros[TIPO],DADOS!$P$3,tabela_registros[CATEGORIA],despesafixaconsolidadodez[[#This Row],[DESPESA FIXA]])</f>
        <v>0</v>
      </c>
      <c r="W48" s="91">
        <f>SUMIFS(tabela_registros[VALOR],tabela_registros[MÊS],$AE$1,tabela_registros[DIA],deztotal3059718395107119131143155167[[#Headers],[19]],tabela_registros[REGISTRO],DADOS!$N$4,tabela_registros[TIPO],DADOS!$P$3,tabela_registros[CATEGORIA],despesafixaconsolidadodez[[#This Row],[DESPESA FIXA]])</f>
        <v>0</v>
      </c>
      <c r="X48" s="91">
        <f>SUMIFS(tabela_registros[VALOR],tabela_registros[MÊS],$AE$1,tabela_registros[DIA],deztotal3059718395107119131143155167[[#Headers],[20]],tabela_registros[REGISTRO],DADOS!$N$4,tabela_registros[TIPO],DADOS!$P$3,tabela_registros[CATEGORIA],despesafixaconsolidadodez[[#This Row],[DESPESA FIXA]])</f>
        <v>0</v>
      </c>
      <c r="Y48" s="91">
        <f>SUMIFS(tabela_registros[VALOR],tabela_registros[MÊS],$AE$1,tabela_registros[DIA],deztotal3059718395107119131143155167[[#Headers],[21]],tabela_registros[REGISTRO],DADOS!$N$4,tabela_registros[TIPO],DADOS!$P$3,tabela_registros[CATEGORIA],despesafixaconsolidadodez[[#This Row],[DESPESA FIXA]])</f>
        <v>0</v>
      </c>
      <c r="Z48" s="91">
        <f>SUMIFS(tabela_registros[VALOR],tabela_registros[MÊS],$AE$1,tabela_registros[DIA],deztotal3059718395107119131143155167[[#Headers],[22]],tabela_registros[REGISTRO],DADOS!$N$4,tabela_registros[TIPO],DADOS!$P$3,tabela_registros[CATEGORIA],despesafixaconsolidadodez[[#This Row],[DESPESA FIXA]])</f>
        <v>0</v>
      </c>
      <c r="AA48" s="91">
        <f>SUMIFS(tabela_registros[VALOR],tabela_registros[MÊS],$AE$1,tabela_registros[DIA],deztotal3059718395107119131143155167[[#Headers],[23]],tabela_registros[REGISTRO],DADOS!$N$4,tabela_registros[TIPO],DADOS!$P$3,tabela_registros[CATEGORIA],despesafixaconsolidadodez[[#This Row],[DESPESA FIXA]])</f>
        <v>0</v>
      </c>
      <c r="AB48" s="91">
        <f>SUMIFS(tabela_registros[VALOR],tabela_registros[MÊS],$AE$1,tabela_registros[DIA],deztotal3059718395107119131143155167[[#Headers],[24]],tabela_registros[REGISTRO],DADOS!$N$4,tabela_registros[TIPO],DADOS!$P$3,tabela_registros[CATEGORIA],despesafixaconsolidadodez[[#This Row],[DESPESA FIXA]])</f>
        <v>0</v>
      </c>
      <c r="AC48" s="91">
        <f>SUMIFS(tabela_registros[VALOR],tabela_registros[MÊS],$AE$1,tabela_registros[DIA],deztotal3059718395107119131143155167[[#Headers],[25]],tabela_registros[REGISTRO],DADOS!$N$4,tabela_registros[TIPO],DADOS!$P$3,tabela_registros[CATEGORIA],despesafixaconsolidadodez[[#This Row],[DESPESA FIXA]])</f>
        <v>0</v>
      </c>
      <c r="AD48" s="91">
        <f>SUMIFS(tabela_registros[VALOR],tabela_registros[MÊS],$AE$1,tabela_registros[DIA],deztotal3059718395107119131143155167[[#Headers],[26]],tabela_registros[REGISTRO],DADOS!$N$4,tabela_registros[TIPO],DADOS!$P$3,tabela_registros[CATEGORIA],despesafixaconsolidadodez[[#This Row],[DESPESA FIXA]])</f>
        <v>0</v>
      </c>
      <c r="AE48" s="91">
        <f>SUMIFS(tabela_registros[VALOR],tabela_registros[MÊS],$AE$1,tabela_registros[DIA],deztotal3059718395107119131143155167[[#Headers],[27]],tabela_registros[REGISTRO],DADOS!$N$4,tabela_registros[TIPO],DADOS!$P$3,tabela_registros[CATEGORIA],despesafixaconsolidadodez[[#This Row],[DESPESA FIXA]])</f>
        <v>0</v>
      </c>
      <c r="AF48" s="91">
        <f>SUMIFS(tabela_registros[VALOR],tabela_registros[MÊS],$AE$1,tabela_registros[DIA],deztotal3059718395107119131143155167[[#Headers],[28]],tabela_registros[REGISTRO],DADOS!$N$4,tabela_registros[TIPO],DADOS!$P$3,tabela_registros[CATEGORIA],despesafixaconsolidadodez[[#This Row],[DESPESA FIXA]])</f>
        <v>0</v>
      </c>
      <c r="AG48" s="91">
        <f>SUMIFS(tabela_registros[VALOR],tabela_registros[MÊS],$AE$1,tabela_registros[DIA],deztotal3059718395107119131143155167[[#Headers],[29]],tabela_registros[REGISTRO],DADOS!$N$4,tabela_registros[TIPO],DADOS!$P$3,tabela_registros[CATEGORIA],despesafixaconsolidadodez[[#This Row],[DESPESA FIXA]])</f>
        <v>0</v>
      </c>
      <c r="AH48" s="91">
        <f>SUMIFS(tabela_registros[VALOR],tabela_registros[MÊS],$AE$1,tabela_registros[DIA],deztotal3059718395107119131143155167[[#Headers],[30]],tabela_registros[REGISTRO],DADOS!$N$4,tabela_registros[TIPO],DADOS!$P$3,tabela_registros[CATEGORIA],despesafixaconsolidadodez[[#This Row],[DESPESA FIXA]])</f>
        <v>0</v>
      </c>
      <c r="AI48" s="101">
        <f>SUMIFS(tabela_registros[VALOR],tabela_registros[MÊS],$AE$1,tabela_registros[DIA],deztotal3059718395107119131143155167[[#Headers],[31]],tabela_registros[REGISTRO],DADOS!$N$4,tabela_registros[TIPO],DADOS!$P$3,tabela_registros[CATEGORIA],despesafixaconsolidadodez[[#This Row],[DESPESA FIXA]])</f>
        <v>0</v>
      </c>
      <c r="AJ48" s="97">
        <f>SUM(despesafixaconsolidadodez[[#This Row],[1]:[31]])</f>
        <v>0</v>
      </c>
      <c r="AK48" s="28"/>
    </row>
    <row r="49" spans="2:37" ht="18" customHeight="1" thickTop="1" thickBot="1" x14ac:dyDescent="0.3">
      <c r="B49" s="28"/>
      <c r="C49" s="27" t="str">
        <f>DADOS!$R$15</f>
        <v>📞 TELEFONE</v>
      </c>
      <c r="D49" s="26" t="str">
        <f>IF(despesafixaconsolidadodez[[#This Row],[TOTAL]]=0,"",IF(OR(despesafixaconsolidadodez[[#This Row],[TOTAL]]=LARGE($AJ$37:$AJ$50,1),despesafixaconsolidadodez[[#This Row],[TOTAL]]=LARGE($AJ$37:$AJ$50,2),despesafixaconsolidadodez[[#This Row],[TOTAL]]=LARGE($AJ$37:$AJ$50,3),despesafixaconsolidadodez[[#This Row],[TOTAL]]=LARGE($AJ$37:$AJ$50,4),despesafixaconsolidadodez[[#This Row],[TOTAL]]=LARGE($AJ$37:$AJ$50,5)),DADOS!$I$8,""))</f>
        <v/>
      </c>
      <c r="E49" s="96">
        <f>SUMIFS(tabela_registros[VALOR],tabela_registros[MÊS],$AE$1,tabela_registros[DIA],deztotal3059718395107119131143155167[[#Headers],[1]],tabela_registros[REGISTRO],DADOS!$N$4,tabela_registros[TIPO],DADOS!$P$3,tabela_registros[CATEGORIA],despesafixaconsolidadodez[[#This Row],[DESPESA FIXA]])</f>
        <v>0</v>
      </c>
      <c r="F49" s="91">
        <f>SUMIFS(tabela_registros[VALOR],tabela_registros[MÊS],$AE$1,tabela_registros[DIA],deztotal3059718395107119131143155167[[#Headers],[2]],tabela_registros[REGISTRO],DADOS!$N$4,tabela_registros[TIPO],DADOS!$P$3,tabela_registros[CATEGORIA],despesafixaconsolidadodez[[#This Row],[DESPESA FIXA]])</f>
        <v>0</v>
      </c>
      <c r="G49" s="91">
        <f>SUMIFS(tabela_registros[VALOR],tabela_registros[MÊS],$AE$1,tabela_registros[DIA],deztotal3059718395107119131143155167[[#Headers],[3]],tabela_registros[REGISTRO],DADOS!$N$4,tabela_registros[TIPO],DADOS!$P$3,tabela_registros[CATEGORIA],despesafixaconsolidadodez[[#This Row],[DESPESA FIXA]])</f>
        <v>0</v>
      </c>
      <c r="H49" s="91">
        <f>SUMIFS(tabela_registros[VALOR],tabela_registros[MÊS],$AE$1,tabela_registros[DIA],deztotal3059718395107119131143155167[[#Headers],[4]],tabela_registros[REGISTRO],DADOS!$N$4,tabela_registros[TIPO],DADOS!$P$3,tabela_registros[CATEGORIA],despesafixaconsolidadodez[[#This Row],[DESPESA FIXA]])</f>
        <v>0</v>
      </c>
      <c r="I49" s="91">
        <f>SUMIFS(tabela_registros[VALOR],tabela_registros[MÊS],$AE$1,tabela_registros[DIA],deztotal3059718395107119131143155167[[#Headers],[5]],tabela_registros[REGISTRO],DADOS!$N$4,tabela_registros[TIPO],DADOS!$P$3,tabela_registros[CATEGORIA],despesafixaconsolidadodez[[#This Row],[DESPESA FIXA]])</f>
        <v>0</v>
      </c>
      <c r="J49" s="91">
        <f>SUMIFS(tabela_registros[VALOR],tabela_registros[MÊS],$AE$1,tabela_registros[DIA],deztotal3059718395107119131143155167[[#Headers],[6]],tabela_registros[REGISTRO],DADOS!$N$4,tabela_registros[TIPO],DADOS!$P$3,tabela_registros[CATEGORIA],despesafixaconsolidadodez[[#This Row],[DESPESA FIXA]])</f>
        <v>0</v>
      </c>
      <c r="K49" s="91">
        <f>SUMIFS(tabela_registros[VALOR],tabela_registros[MÊS],$AE$1,tabela_registros[DIA],deztotal3059718395107119131143155167[[#Headers],[7]],tabela_registros[REGISTRO],DADOS!$N$4,tabela_registros[TIPO],DADOS!$P$3,tabela_registros[CATEGORIA],despesafixaconsolidadodez[[#This Row],[DESPESA FIXA]])</f>
        <v>0</v>
      </c>
      <c r="L49" s="91">
        <f>SUMIFS(tabela_registros[VALOR],tabela_registros[MÊS],$AE$1,tabela_registros[DIA],deztotal3059718395107119131143155167[[#Headers],[8]],tabela_registros[REGISTRO],DADOS!$N$4,tabela_registros[TIPO],DADOS!$P$3,tabela_registros[CATEGORIA],despesafixaconsolidadodez[[#This Row],[DESPESA FIXA]])</f>
        <v>0</v>
      </c>
      <c r="M49" s="91">
        <f>SUMIFS(tabela_registros[VALOR],tabela_registros[MÊS],$AE$1,tabela_registros[DIA],deztotal3059718395107119131143155167[[#Headers],[9]],tabela_registros[REGISTRO],DADOS!$N$4,tabela_registros[TIPO],DADOS!$P$3,tabela_registros[CATEGORIA],despesafixaconsolidadodez[[#This Row],[DESPESA FIXA]])</f>
        <v>0</v>
      </c>
      <c r="N49" s="91">
        <f>SUMIFS(tabela_registros[VALOR],tabela_registros[MÊS],$AE$1,tabela_registros[DIA],deztotal3059718395107119131143155167[[#Headers],[10]],tabela_registros[REGISTRO],DADOS!$N$4,tabela_registros[TIPO],DADOS!$P$3,tabela_registros[CATEGORIA],despesafixaconsolidadodez[[#This Row],[DESPESA FIXA]])</f>
        <v>0</v>
      </c>
      <c r="O49" s="91">
        <f>SUMIFS(tabela_registros[VALOR],tabela_registros[MÊS],$AE$1,tabela_registros[DIA],deztotal3059718395107119131143155167[[#Headers],[11]],tabela_registros[REGISTRO],DADOS!$N$4,tabela_registros[TIPO],DADOS!$P$3,tabela_registros[CATEGORIA],despesafixaconsolidadodez[[#This Row],[DESPESA FIXA]])</f>
        <v>0</v>
      </c>
      <c r="P49" s="91">
        <f>SUMIFS(tabela_registros[VALOR],tabela_registros[MÊS],$AE$1,tabela_registros[DIA],deztotal3059718395107119131143155167[[#Headers],[12]],tabela_registros[REGISTRO],DADOS!$N$4,tabela_registros[TIPO],DADOS!$P$3,tabela_registros[CATEGORIA],despesafixaconsolidadodez[[#This Row],[DESPESA FIXA]])</f>
        <v>0</v>
      </c>
      <c r="Q49" s="91">
        <f>SUMIFS(tabela_registros[VALOR],tabela_registros[MÊS],$AE$1,tabela_registros[DIA],deztotal3059718395107119131143155167[[#Headers],[13]],tabela_registros[REGISTRO],DADOS!$N$4,tabela_registros[TIPO],DADOS!$P$3,tabela_registros[CATEGORIA],despesafixaconsolidadodez[[#This Row],[DESPESA FIXA]])</f>
        <v>0</v>
      </c>
      <c r="R49" s="91">
        <f>SUMIFS(tabela_registros[VALOR],tabela_registros[MÊS],$AE$1,tabela_registros[DIA],deztotal3059718395107119131143155167[[#Headers],[14]],tabela_registros[REGISTRO],DADOS!$N$4,tabela_registros[TIPO],DADOS!$P$3,tabela_registros[CATEGORIA],despesafixaconsolidadodez[[#This Row],[DESPESA FIXA]])</f>
        <v>0</v>
      </c>
      <c r="S49" s="91">
        <f>SUMIFS(tabela_registros[VALOR],tabela_registros[MÊS],$AE$1,tabela_registros[DIA],deztotal3059718395107119131143155167[[#Headers],[15]],tabela_registros[REGISTRO],DADOS!$N$4,tabela_registros[TIPO],DADOS!$P$3,tabela_registros[CATEGORIA],despesafixaconsolidadodez[[#This Row],[DESPESA FIXA]])</f>
        <v>0</v>
      </c>
      <c r="T49" s="91">
        <f>SUMIFS(tabela_registros[VALOR],tabela_registros[MÊS],$AE$1,tabela_registros[DIA],deztotal3059718395107119131143155167[[#Headers],[16]],tabela_registros[REGISTRO],DADOS!$N$4,tabela_registros[TIPO],DADOS!$P$3,tabela_registros[CATEGORIA],despesafixaconsolidadodez[[#This Row],[DESPESA FIXA]])</f>
        <v>0</v>
      </c>
      <c r="U49" s="91">
        <f>SUMIFS(tabela_registros[VALOR],tabela_registros[MÊS],$AE$1,tabela_registros[DIA],deztotal3059718395107119131143155167[[#Headers],[17]],tabela_registros[REGISTRO],DADOS!$N$4,tabela_registros[TIPO],DADOS!$P$3,tabela_registros[CATEGORIA],despesafixaconsolidadodez[[#This Row],[DESPESA FIXA]])</f>
        <v>0</v>
      </c>
      <c r="V49" s="91">
        <f>SUMIFS(tabela_registros[VALOR],tabela_registros[MÊS],$AE$1,tabela_registros[DIA],deztotal3059718395107119131143155167[[#Headers],[18]],tabela_registros[REGISTRO],DADOS!$N$4,tabela_registros[TIPO],DADOS!$P$3,tabela_registros[CATEGORIA],despesafixaconsolidadodez[[#This Row],[DESPESA FIXA]])</f>
        <v>0</v>
      </c>
      <c r="W49" s="91">
        <f>SUMIFS(tabela_registros[VALOR],tabela_registros[MÊS],$AE$1,tabela_registros[DIA],deztotal3059718395107119131143155167[[#Headers],[19]],tabela_registros[REGISTRO],DADOS!$N$4,tabela_registros[TIPO],DADOS!$P$3,tabela_registros[CATEGORIA],despesafixaconsolidadodez[[#This Row],[DESPESA FIXA]])</f>
        <v>0</v>
      </c>
      <c r="X49" s="91">
        <f>SUMIFS(tabela_registros[VALOR],tabela_registros[MÊS],$AE$1,tabela_registros[DIA],deztotal3059718395107119131143155167[[#Headers],[20]],tabela_registros[REGISTRO],DADOS!$N$4,tabela_registros[TIPO],DADOS!$P$3,tabela_registros[CATEGORIA],despesafixaconsolidadodez[[#This Row],[DESPESA FIXA]])</f>
        <v>0</v>
      </c>
      <c r="Y49" s="91">
        <f>SUMIFS(tabela_registros[VALOR],tabela_registros[MÊS],$AE$1,tabela_registros[DIA],deztotal3059718395107119131143155167[[#Headers],[21]],tabela_registros[REGISTRO],DADOS!$N$4,tabela_registros[TIPO],DADOS!$P$3,tabela_registros[CATEGORIA],despesafixaconsolidadodez[[#This Row],[DESPESA FIXA]])</f>
        <v>0</v>
      </c>
      <c r="Z49" s="91">
        <f>SUMIFS(tabela_registros[VALOR],tabela_registros[MÊS],$AE$1,tabela_registros[DIA],deztotal3059718395107119131143155167[[#Headers],[22]],tabela_registros[REGISTRO],DADOS!$N$4,tabela_registros[TIPO],DADOS!$P$3,tabela_registros[CATEGORIA],despesafixaconsolidadodez[[#This Row],[DESPESA FIXA]])</f>
        <v>0</v>
      </c>
      <c r="AA49" s="91">
        <f>SUMIFS(tabela_registros[VALOR],tabela_registros[MÊS],$AE$1,tabela_registros[DIA],deztotal3059718395107119131143155167[[#Headers],[23]],tabela_registros[REGISTRO],DADOS!$N$4,tabela_registros[TIPO],DADOS!$P$3,tabela_registros[CATEGORIA],despesafixaconsolidadodez[[#This Row],[DESPESA FIXA]])</f>
        <v>0</v>
      </c>
      <c r="AB49" s="91">
        <f>SUMIFS(tabela_registros[VALOR],tabela_registros[MÊS],$AE$1,tabela_registros[DIA],deztotal3059718395107119131143155167[[#Headers],[24]],tabela_registros[REGISTRO],DADOS!$N$4,tabela_registros[TIPO],DADOS!$P$3,tabela_registros[CATEGORIA],despesafixaconsolidadodez[[#This Row],[DESPESA FIXA]])</f>
        <v>0</v>
      </c>
      <c r="AC49" s="91">
        <f>SUMIFS(tabela_registros[VALOR],tabela_registros[MÊS],$AE$1,tabela_registros[DIA],deztotal3059718395107119131143155167[[#Headers],[25]],tabela_registros[REGISTRO],DADOS!$N$4,tabela_registros[TIPO],DADOS!$P$3,tabela_registros[CATEGORIA],despesafixaconsolidadodez[[#This Row],[DESPESA FIXA]])</f>
        <v>0</v>
      </c>
      <c r="AD49" s="91">
        <f>SUMIFS(tabela_registros[VALOR],tabela_registros[MÊS],$AE$1,tabela_registros[DIA],deztotal3059718395107119131143155167[[#Headers],[26]],tabela_registros[REGISTRO],DADOS!$N$4,tabela_registros[TIPO],DADOS!$P$3,tabela_registros[CATEGORIA],despesafixaconsolidadodez[[#This Row],[DESPESA FIXA]])</f>
        <v>0</v>
      </c>
      <c r="AE49" s="91">
        <f>SUMIFS(tabela_registros[VALOR],tabela_registros[MÊS],$AE$1,tabela_registros[DIA],deztotal3059718395107119131143155167[[#Headers],[27]],tabela_registros[REGISTRO],DADOS!$N$4,tabela_registros[TIPO],DADOS!$P$3,tabela_registros[CATEGORIA],despesafixaconsolidadodez[[#This Row],[DESPESA FIXA]])</f>
        <v>0</v>
      </c>
      <c r="AF49" s="91">
        <f>SUMIFS(tabela_registros[VALOR],tabela_registros[MÊS],$AE$1,tabela_registros[DIA],deztotal3059718395107119131143155167[[#Headers],[28]],tabela_registros[REGISTRO],DADOS!$N$4,tabela_registros[TIPO],DADOS!$P$3,tabela_registros[CATEGORIA],despesafixaconsolidadodez[[#This Row],[DESPESA FIXA]])</f>
        <v>0</v>
      </c>
      <c r="AG49" s="91">
        <f>SUMIFS(tabela_registros[VALOR],tabela_registros[MÊS],$AE$1,tabela_registros[DIA],deztotal3059718395107119131143155167[[#Headers],[29]],tabela_registros[REGISTRO],DADOS!$N$4,tabela_registros[TIPO],DADOS!$P$3,tabela_registros[CATEGORIA],despesafixaconsolidadodez[[#This Row],[DESPESA FIXA]])</f>
        <v>0</v>
      </c>
      <c r="AH49" s="91">
        <f>SUMIFS(tabela_registros[VALOR],tabela_registros[MÊS],$AE$1,tabela_registros[DIA],deztotal3059718395107119131143155167[[#Headers],[30]],tabela_registros[REGISTRO],DADOS!$N$4,tabela_registros[TIPO],DADOS!$P$3,tabela_registros[CATEGORIA],despesafixaconsolidadodez[[#This Row],[DESPESA FIXA]])</f>
        <v>0</v>
      </c>
      <c r="AI49" s="101">
        <f>SUMIFS(tabela_registros[VALOR],tabela_registros[MÊS],$AE$1,tabela_registros[DIA],deztotal3059718395107119131143155167[[#Headers],[31]],tabela_registros[REGISTRO],DADOS!$N$4,tabela_registros[TIPO],DADOS!$P$3,tabela_registros[CATEGORIA],despesafixaconsolidadodez[[#This Row],[DESPESA FIXA]])</f>
        <v>0</v>
      </c>
      <c r="AJ49" s="97">
        <f>SUM(despesafixaconsolidadodez[[#This Row],[1]:[31]])</f>
        <v>0</v>
      </c>
      <c r="AK49" s="28"/>
    </row>
    <row r="50" spans="2:37" ht="18" customHeight="1" thickTop="1" thickBot="1" x14ac:dyDescent="0.3">
      <c r="B50" s="28"/>
      <c r="C50" s="27" t="str">
        <f>DADOS!$R$16</f>
        <v>📎 OUTROS</v>
      </c>
      <c r="D50" s="26" t="str">
        <f>IF(despesafixaconsolidadodez[[#This Row],[TOTAL]]=0,"",IF(OR(despesafixaconsolidadodez[[#This Row],[TOTAL]]=LARGE($AJ$37:$AJ$50,1),despesafixaconsolidadodez[[#This Row],[TOTAL]]=LARGE($AJ$37:$AJ$50,2),despesafixaconsolidadodez[[#This Row],[TOTAL]]=LARGE($AJ$37:$AJ$50,3),despesafixaconsolidadodez[[#This Row],[TOTAL]]=LARGE($AJ$37:$AJ$50,4),despesafixaconsolidadodez[[#This Row],[TOTAL]]=LARGE($AJ$37:$AJ$50,5)),DADOS!$I$8,""))</f>
        <v/>
      </c>
      <c r="E50" s="98">
        <f>SUMIFS(tabela_registros[VALOR],tabela_registros[MÊS],$AE$1,tabela_registros[DIA],deztotal3059718395107119131143155167[[#Headers],[1]],tabela_registros[REGISTRO],DADOS!$N$4,tabela_registros[TIPO],DADOS!$P$3,tabela_registros[CATEGORIA],despesafixaconsolidadodez[[#This Row],[DESPESA FIXA]])</f>
        <v>0</v>
      </c>
      <c r="F50" s="99">
        <f>SUMIFS(tabela_registros[VALOR],tabela_registros[MÊS],$AE$1,tabela_registros[DIA],deztotal3059718395107119131143155167[[#Headers],[2]],tabela_registros[REGISTRO],DADOS!$N$4,tabela_registros[TIPO],DADOS!$P$3,tabela_registros[CATEGORIA],despesafixaconsolidadodez[[#This Row],[DESPESA FIXA]])</f>
        <v>0</v>
      </c>
      <c r="G50" s="99">
        <f>SUMIFS(tabela_registros[VALOR],tabela_registros[MÊS],$AE$1,tabela_registros[DIA],deztotal3059718395107119131143155167[[#Headers],[3]],tabela_registros[REGISTRO],DADOS!$N$4,tabela_registros[TIPO],DADOS!$P$3,tabela_registros[CATEGORIA],despesafixaconsolidadodez[[#This Row],[DESPESA FIXA]])</f>
        <v>0</v>
      </c>
      <c r="H50" s="99">
        <f>SUMIFS(tabela_registros[VALOR],tabela_registros[MÊS],$AE$1,tabela_registros[DIA],deztotal3059718395107119131143155167[[#Headers],[4]],tabela_registros[REGISTRO],DADOS!$N$4,tabela_registros[TIPO],DADOS!$P$3,tabela_registros[CATEGORIA],despesafixaconsolidadodez[[#This Row],[DESPESA FIXA]])</f>
        <v>0</v>
      </c>
      <c r="I50" s="99">
        <f>SUMIFS(tabela_registros[VALOR],tabela_registros[MÊS],$AE$1,tabela_registros[DIA],deztotal3059718395107119131143155167[[#Headers],[5]],tabela_registros[REGISTRO],DADOS!$N$4,tabela_registros[TIPO],DADOS!$P$3,tabela_registros[CATEGORIA],despesafixaconsolidadodez[[#This Row],[DESPESA FIXA]])</f>
        <v>0</v>
      </c>
      <c r="J50" s="99">
        <f>SUMIFS(tabela_registros[VALOR],tabela_registros[MÊS],$AE$1,tabela_registros[DIA],deztotal3059718395107119131143155167[[#Headers],[6]],tabela_registros[REGISTRO],DADOS!$N$4,tabela_registros[TIPO],DADOS!$P$3,tabela_registros[CATEGORIA],despesafixaconsolidadodez[[#This Row],[DESPESA FIXA]])</f>
        <v>0</v>
      </c>
      <c r="K50" s="99">
        <f>SUMIFS(tabela_registros[VALOR],tabela_registros[MÊS],$AE$1,tabela_registros[DIA],deztotal3059718395107119131143155167[[#Headers],[7]],tabela_registros[REGISTRO],DADOS!$N$4,tabela_registros[TIPO],DADOS!$P$3,tabela_registros[CATEGORIA],despesafixaconsolidadodez[[#This Row],[DESPESA FIXA]])</f>
        <v>0</v>
      </c>
      <c r="L50" s="99">
        <f>SUMIFS(tabela_registros[VALOR],tabela_registros[MÊS],$AE$1,tabela_registros[DIA],deztotal3059718395107119131143155167[[#Headers],[8]],tabela_registros[REGISTRO],DADOS!$N$4,tabela_registros[TIPO],DADOS!$P$3,tabela_registros[CATEGORIA],despesafixaconsolidadodez[[#This Row],[DESPESA FIXA]])</f>
        <v>0</v>
      </c>
      <c r="M50" s="99">
        <f>SUMIFS(tabela_registros[VALOR],tabela_registros[MÊS],$AE$1,tabela_registros[DIA],deztotal3059718395107119131143155167[[#Headers],[9]],tabela_registros[REGISTRO],DADOS!$N$4,tabela_registros[TIPO],DADOS!$P$3,tabela_registros[CATEGORIA],despesafixaconsolidadodez[[#This Row],[DESPESA FIXA]])</f>
        <v>0</v>
      </c>
      <c r="N50" s="99">
        <f>SUMIFS(tabela_registros[VALOR],tabela_registros[MÊS],$AE$1,tabela_registros[DIA],deztotal3059718395107119131143155167[[#Headers],[10]],tabela_registros[REGISTRO],DADOS!$N$4,tabela_registros[TIPO],DADOS!$P$3,tabela_registros[CATEGORIA],despesafixaconsolidadodez[[#This Row],[DESPESA FIXA]])</f>
        <v>0</v>
      </c>
      <c r="O50" s="99">
        <f>SUMIFS(tabela_registros[VALOR],tabela_registros[MÊS],$AE$1,tabela_registros[DIA],deztotal3059718395107119131143155167[[#Headers],[11]],tabela_registros[REGISTRO],DADOS!$N$4,tabela_registros[TIPO],DADOS!$P$3,tabela_registros[CATEGORIA],despesafixaconsolidadodez[[#This Row],[DESPESA FIXA]])</f>
        <v>0</v>
      </c>
      <c r="P50" s="99">
        <f>SUMIFS(tabela_registros[VALOR],tabela_registros[MÊS],$AE$1,tabela_registros[DIA],deztotal3059718395107119131143155167[[#Headers],[12]],tabela_registros[REGISTRO],DADOS!$N$4,tabela_registros[TIPO],DADOS!$P$3,tabela_registros[CATEGORIA],despesafixaconsolidadodez[[#This Row],[DESPESA FIXA]])</f>
        <v>0</v>
      </c>
      <c r="Q50" s="99">
        <f>SUMIFS(tabela_registros[VALOR],tabela_registros[MÊS],$AE$1,tabela_registros[DIA],deztotal3059718395107119131143155167[[#Headers],[13]],tabela_registros[REGISTRO],DADOS!$N$4,tabela_registros[TIPO],DADOS!$P$3,tabela_registros[CATEGORIA],despesafixaconsolidadodez[[#This Row],[DESPESA FIXA]])</f>
        <v>0</v>
      </c>
      <c r="R50" s="99">
        <f>SUMIFS(tabela_registros[VALOR],tabela_registros[MÊS],$AE$1,tabela_registros[DIA],deztotal3059718395107119131143155167[[#Headers],[14]],tabela_registros[REGISTRO],DADOS!$N$4,tabela_registros[TIPO],DADOS!$P$3,tabela_registros[CATEGORIA],despesafixaconsolidadodez[[#This Row],[DESPESA FIXA]])</f>
        <v>0</v>
      </c>
      <c r="S50" s="99">
        <f>SUMIFS(tabela_registros[VALOR],tabela_registros[MÊS],$AE$1,tabela_registros[DIA],deztotal3059718395107119131143155167[[#Headers],[15]],tabela_registros[REGISTRO],DADOS!$N$4,tabela_registros[TIPO],DADOS!$P$3,tabela_registros[CATEGORIA],despesafixaconsolidadodez[[#This Row],[DESPESA FIXA]])</f>
        <v>0</v>
      </c>
      <c r="T50" s="99">
        <f>SUMIFS(tabela_registros[VALOR],tabela_registros[MÊS],$AE$1,tabela_registros[DIA],deztotal3059718395107119131143155167[[#Headers],[16]],tabela_registros[REGISTRO],DADOS!$N$4,tabela_registros[TIPO],DADOS!$P$3,tabela_registros[CATEGORIA],despesafixaconsolidadodez[[#This Row],[DESPESA FIXA]])</f>
        <v>0</v>
      </c>
      <c r="U50" s="99">
        <f>SUMIFS(tabela_registros[VALOR],tabela_registros[MÊS],$AE$1,tabela_registros[DIA],deztotal3059718395107119131143155167[[#Headers],[17]],tabela_registros[REGISTRO],DADOS!$N$4,tabela_registros[TIPO],DADOS!$P$3,tabela_registros[CATEGORIA],despesafixaconsolidadodez[[#This Row],[DESPESA FIXA]])</f>
        <v>0</v>
      </c>
      <c r="V50" s="99">
        <f>SUMIFS(tabela_registros[VALOR],tabela_registros[MÊS],$AE$1,tabela_registros[DIA],deztotal3059718395107119131143155167[[#Headers],[18]],tabela_registros[REGISTRO],DADOS!$N$4,tabela_registros[TIPO],DADOS!$P$3,tabela_registros[CATEGORIA],despesafixaconsolidadodez[[#This Row],[DESPESA FIXA]])</f>
        <v>0</v>
      </c>
      <c r="W50" s="99">
        <f>SUMIFS(tabela_registros[VALOR],tabela_registros[MÊS],$AE$1,tabela_registros[DIA],deztotal3059718395107119131143155167[[#Headers],[19]],tabela_registros[REGISTRO],DADOS!$N$4,tabela_registros[TIPO],DADOS!$P$3,tabela_registros[CATEGORIA],despesafixaconsolidadodez[[#This Row],[DESPESA FIXA]])</f>
        <v>0</v>
      </c>
      <c r="X50" s="99">
        <f>SUMIFS(tabela_registros[VALOR],tabela_registros[MÊS],$AE$1,tabela_registros[DIA],deztotal3059718395107119131143155167[[#Headers],[20]],tabela_registros[REGISTRO],DADOS!$N$4,tabela_registros[TIPO],DADOS!$P$3,tabela_registros[CATEGORIA],despesafixaconsolidadodez[[#This Row],[DESPESA FIXA]])</f>
        <v>0</v>
      </c>
      <c r="Y50" s="99">
        <f>SUMIFS(tabela_registros[VALOR],tabela_registros[MÊS],$AE$1,tabela_registros[DIA],deztotal3059718395107119131143155167[[#Headers],[21]],tabela_registros[REGISTRO],DADOS!$N$4,tabela_registros[TIPO],DADOS!$P$3,tabela_registros[CATEGORIA],despesafixaconsolidadodez[[#This Row],[DESPESA FIXA]])</f>
        <v>0</v>
      </c>
      <c r="Z50" s="99">
        <f>SUMIFS(tabela_registros[VALOR],tabela_registros[MÊS],$AE$1,tabela_registros[DIA],deztotal3059718395107119131143155167[[#Headers],[22]],tabela_registros[REGISTRO],DADOS!$N$4,tabela_registros[TIPO],DADOS!$P$3,tabela_registros[CATEGORIA],despesafixaconsolidadodez[[#This Row],[DESPESA FIXA]])</f>
        <v>0</v>
      </c>
      <c r="AA50" s="99">
        <f>SUMIFS(tabela_registros[VALOR],tabela_registros[MÊS],$AE$1,tabela_registros[DIA],deztotal3059718395107119131143155167[[#Headers],[23]],tabela_registros[REGISTRO],DADOS!$N$4,tabela_registros[TIPO],DADOS!$P$3,tabela_registros[CATEGORIA],despesafixaconsolidadodez[[#This Row],[DESPESA FIXA]])</f>
        <v>0</v>
      </c>
      <c r="AB50" s="99">
        <f>SUMIFS(tabela_registros[VALOR],tabela_registros[MÊS],$AE$1,tabela_registros[DIA],deztotal3059718395107119131143155167[[#Headers],[24]],tabela_registros[REGISTRO],DADOS!$N$4,tabela_registros[TIPO],DADOS!$P$3,tabela_registros[CATEGORIA],despesafixaconsolidadodez[[#This Row],[DESPESA FIXA]])</f>
        <v>0</v>
      </c>
      <c r="AC50" s="99">
        <f>SUMIFS(tabela_registros[VALOR],tabela_registros[MÊS],$AE$1,tabela_registros[DIA],deztotal3059718395107119131143155167[[#Headers],[25]],tabela_registros[REGISTRO],DADOS!$N$4,tabela_registros[TIPO],DADOS!$P$3,tabela_registros[CATEGORIA],despesafixaconsolidadodez[[#This Row],[DESPESA FIXA]])</f>
        <v>0</v>
      </c>
      <c r="AD50" s="99">
        <f>SUMIFS(tabela_registros[VALOR],tabela_registros[MÊS],$AE$1,tabela_registros[DIA],deztotal3059718395107119131143155167[[#Headers],[26]],tabela_registros[REGISTRO],DADOS!$N$4,tabela_registros[TIPO],DADOS!$P$3,tabela_registros[CATEGORIA],despesafixaconsolidadodez[[#This Row],[DESPESA FIXA]])</f>
        <v>0</v>
      </c>
      <c r="AE50" s="99">
        <f>SUMIFS(tabela_registros[VALOR],tabela_registros[MÊS],$AE$1,tabela_registros[DIA],deztotal3059718395107119131143155167[[#Headers],[27]],tabela_registros[REGISTRO],DADOS!$N$4,tabela_registros[TIPO],DADOS!$P$3,tabela_registros[CATEGORIA],despesafixaconsolidadodez[[#This Row],[DESPESA FIXA]])</f>
        <v>0</v>
      </c>
      <c r="AF50" s="99">
        <f>SUMIFS(tabela_registros[VALOR],tabela_registros[MÊS],$AE$1,tabela_registros[DIA],deztotal3059718395107119131143155167[[#Headers],[28]],tabela_registros[REGISTRO],DADOS!$N$4,tabela_registros[TIPO],DADOS!$P$3,tabela_registros[CATEGORIA],despesafixaconsolidadodez[[#This Row],[DESPESA FIXA]])</f>
        <v>0</v>
      </c>
      <c r="AG50" s="99">
        <f>SUMIFS(tabela_registros[VALOR],tabela_registros[MÊS],$AE$1,tabela_registros[DIA],deztotal3059718395107119131143155167[[#Headers],[29]],tabela_registros[REGISTRO],DADOS!$N$4,tabela_registros[TIPO],DADOS!$P$3,tabela_registros[CATEGORIA],despesafixaconsolidadodez[[#This Row],[DESPESA FIXA]])</f>
        <v>0</v>
      </c>
      <c r="AH50" s="99">
        <f>SUMIFS(tabela_registros[VALOR],tabela_registros[MÊS],$AE$1,tabela_registros[DIA],deztotal3059718395107119131143155167[[#Headers],[30]],tabela_registros[REGISTRO],DADOS!$N$4,tabela_registros[TIPO],DADOS!$P$3,tabela_registros[CATEGORIA],despesafixaconsolidadodez[[#This Row],[DESPESA FIXA]])</f>
        <v>0</v>
      </c>
      <c r="AI50" s="102">
        <f>SUMIFS(tabela_registros[VALOR],tabela_registros[MÊS],$AE$1,tabela_registros[DIA],deztotal3059718395107119131143155167[[#Headers],[31]],tabela_registros[REGISTRO],DADOS!$N$4,tabela_registros[TIPO],DADOS!$P$3,tabela_registros[CATEGORIA],despesafixaconsolidadodez[[#This Row],[DESPESA FIXA]])</f>
        <v>0</v>
      </c>
      <c r="AJ50" s="103">
        <f>SUM(despesafixaconsolidadodez[[#This Row],[1]:[31]])</f>
        <v>0</v>
      </c>
      <c r="AK50" s="28"/>
    </row>
    <row r="51" spans="2:37" s="16" customFormat="1" ht="21" customHeight="1" thickTop="1" thickBot="1" x14ac:dyDescent="0.35">
      <c r="B51" s="24"/>
      <c r="C51" s="23" t="s">
        <v>19</v>
      </c>
      <c r="D51" s="41" t="str">
        <f>IF(despesafixaconsolidadodez[[#This Row],[TOTAL]]=0,"",IF(OR(despesafixaconsolidadodez[[#This Row],[TOTAL]]=SMALL($AJ$37:$AJ$50,1),despesafixaconsolidadodez[[#This Row],[TOTAL]]=SMALL($AJ$37:$AJ$50,2),despesafixaconsolidadodez[[#This Row],[TOTAL]]=SMALL($AJ$37:$AJ$50,3),despesafixaconsolidadodez[[#This Row],[TOTAL]]=SMALL($AJ$37:$AJ$50,4),despesafixaconsolidadodez[[#This Row],[TOTAL]]=SMALL($AJ$37:$AJ$50,5)),DADOS!$I$8,""))</f>
        <v/>
      </c>
      <c r="E51" s="21">
        <f>SUM(E37:E50)</f>
        <v>0</v>
      </c>
      <c r="F51" s="20">
        <f>SUM(F37:F50)+despesafixaconsolidadodez[[#This Row],[1]]</f>
        <v>0</v>
      </c>
      <c r="G51" s="20">
        <f>SUM(G37:G50)+despesafixaconsolidadodez[[#This Row],[2]]</f>
        <v>0</v>
      </c>
      <c r="H51" s="20">
        <f>SUM(H37:H50)+despesafixaconsolidadodez[[#This Row],[3]]</f>
        <v>0</v>
      </c>
      <c r="I51" s="20">
        <f>SUM(I37:I50)+despesafixaconsolidadodez[[#This Row],[4]]</f>
        <v>0</v>
      </c>
      <c r="J51" s="20">
        <f>SUM(J37:J50)+despesafixaconsolidadodez[[#This Row],[5]]</f>
        <v>0</v>
      </c>
      <c r="K51" s="20">
        <f>SUM(K37:K50)+despesafixaconsolidadodez[[#This Row],[6]]</f>
        <v>0</v>
      </c>
      <c r="L51" s="20">
        <f>SUM(L37:L50)+despesafixaconsolidadodez[[#This Row],[7]]</f>
        <v>0</v>
      </c>
      <c r="M51" s="20">
        <f>SUM(M37:M50)+despesafixaconsolidadodez[[#This Row],[8]]</f>
        <v>0</v>
      </c>
      <c r="N51" s="20">
        <f>SUM(N37:N50)+despesafixaconsolidadodez[[#This Row],[9]]</f>
        <v>0</v>
      </c>
      <c r="O51" s="20">
        <f>SUM(O37:O50)+despesafixaconsolidadodez[[#This Row],[10]]</f>
        <v>0</v>
      </c>
      <c r="P51" s="20">
        <f>SUM(P37:P50)+despesafixaconsolidadodez[[#This Row],[11]]</f>
        <v>0</v>
      </c>
      <c r="Q51" s="20">
        <f>SUM(Q37:Q50)+despesafixaconsolidadodez[[#This Row],[12]]</f>
        <v>0</v>
      </c>
      <c r="R51" s="20">
        <f>SUM(R37:R50)+despesafixaconsolidadodez[[#This Row],[13]]</f>
        <v>0</v>
      </c>
      <c r="S51" s="20">
        <f>SUM(S37:S50)+despesafixaconsolidadodez[[#This Row],[14]]</f>
        <v>0</v>
      </c>
      <c r="T51" s="20">
        <f>SUM(T37:T50)+despesafixaconsolidadodez[[#This Row],[15]]</f>
        <v>0</v>
      </c>
      <c r="U51" s="20">
        <f>SUM(U37:U50)+despesafixaconsolidadodez[[#This Row],[16]]</f>
        <v>0</v>
      </c>
      <c r="V51" s="20">
        <f>SUM(V37:V50)+despesafixaconsolidadodez[[#This Row],[17]]</f>
        <v>0</v>
      </c>
      <c r="W51" s="20">
        <f>SUM(W37:W50)+despesafixaconsolidadodez[[#This Row],[18]]</f>
        <v>0</v>
      </c>
      <c r="X51" s="20">
        <f>SUM(X37:X50)+despesafixaconsolidadodez[[#This Row],[19]]</f>
        <v>0</v>
      </c>
      <c r="Y51" s="20">
        <f>SUM(Y37:Y50)+despesafixaconsolidadodez[[#This Row],[20]]</f>
        <v>0</v>
      </c>
      <c r="Z51" s="20">
        <f>SUM(Z37:Z50)+despesafixaconsolidadodez[[#This Row],[21]]</f>
        <v>0</v>
      </c>
      <c r="AA51" s="20">
        <f>SUM(AA37:AA50)+despesafixaconsolidadodez[[#This Row],[22]]</f>
        <v>0</v>
      </c>
      <c r="AB51" s="20">
        <f>SUM(AB37:AB50)+despesafixaconsolidadodez[[#This Row],[23]]</f>
        <v>0</v>
      </c>
      <c r="AC51" s="20">
        <f>SUM(AC37:AC50)+despesafixaconsolidadodez[[#This Row],[24]]</f>
        <v>0</v>
      </c>
      <c r="AD51" s="20">
        <f>SUM(AD37:AD50)+despesafixaconsolidadodez[[#This Row],[25]]</f>
        <v>0</v>
      </c>
      <c r="AE51" s="20">
        <f>SUM(AE37:AE50)+despesafixaconsolidadodez[[#This Row],[26]]</f>
        <v>0</v>
      </c>
      <c r="AF51" s="20">
        <f>SUM(AF37:AF50)+despesafixaconsolidadodez[[#This Row],[27]]</f>
        <v>0</v>
      </c>
      <c r="AG51" s="20">
        <f>SUM(AG37:AG50)+despesafixaconsolidadodez[[#This Row],[28]]</f>
        <v>0</v>
      </c>
      <c r="AH51" s="20">
        <f>SUM(AH37:AH50)+despesafixaconsolidadodez[[#This Row],[29]]</f>
        <v>0</v>
      </c>
      <c r="AI51" s="19">
        <f>SUM(AI37:AI50)+despesafixaconsolidadodez[[#This Row],[30]]</f>
        <v>0</v>
      </c>
      <c r="AJ51" s="18">
        <f>despesafixaconsolidadodez[[#This Row],[31]]</f>
        <v>0</v>
      </c>
      <c r="AK51" s="17"/>
    </row>
    <row r="52" spans="2:37" ht="6.75" customHeight="1" thickTop="1" thickBot="1" x14ac:dyDescent="0.3">
      <c r="B52" s="15"/>
      <c r="C52" s="40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39"/>
      <c r="AG52" s="39"/>
      <c r="AH52" s="39"/>
      <c r="AI52" s="48"/>
      <c r="AJ52" s="15"/>
      <c r="AK52" s="10"/>
    </row>
    <row r="53" spans="2:37" ht="12.6" thickTop="1" x14ac:dyDescent="0.25">
      <c r="C53" s="46"/>
      <c r="D53" s="47"/>
      <c r="E53" s="47"/>
      <c r="F53" s="47"/>
      <c r="G53" s="47"/>
      <c r="H53" s="47"/>
      <c r="I53" s="47"/>
      <c r="J53" s="47"/>
      <c r="K53" s="47"/>
      <c r="L53" s="47"/>
      <c r="M53" s="47"/>
      <c r="N53" s="47"/>
      <c r="O53" s="47"/>
      <c r="P53" s="47"/>
      <c r="Q53" s="47"/>
      <c r="R53" s="47"/>
      <c r="S53" s="47"/>
      <c r="T53" s="47"/>
      <c r="U53" s="47"/>
      <c r="V53" s="47"/>
      <c r="W53" s="47"/>
      <c r="X53" s="47"/>
      <c r="Y53" s="47"/>
      <c r="Z53" s="47"/>
      <c r="AA53" s="47"/>
      <c r="AB53" s="47"/>
      <c r="AC53" s="47"/>
      <c r="AD53" s="47"/>
      <c r="AE53" s="47"/>
      <c r="AF53" s="47"/>
      <c r="AG53" s="47"/>
      <c r="AH53" s="47"/>
      <c r="AI53" s="47"/>
      <c r="AK53" s="37"/>
    </row>
    <row r="54" spans="2:37" x14ac:dyDescent="0.25">
      <c r="C54" s="46"/>
      <c r="D54" s="47"/>
      <c r="E54" s="47"/>
      <c r="F54" s="47"/>
      <c r="G54" s="47"/>
      <c r="H54" s="47"/>
      <c r="I54" s="47"/>
      <c r="J54" s="47"/>
      <c r="K54" s="47"/>
      <c r="L54" s="47"/>
      <c r="M54" s="47"/>
      <c r="N54" s="47"/>
      <c r="O54" s="47"/>
      <c r="P54" s="47"/>
      <c r="Q54" s="47"/>
      <c r="R54" s="47"/>
      <c r="S54" s="47"/>
      <c r="T54" s="47"/>
      <c r="U54" s="47"/>
      <c r="V54" s="47"/>
      <c r="W54" s="47"/>
      <c r="X54" s="47"/>
      <c r="Y54" s="47"/>
      <c r="Z54" s="47"/>
      <c r="AA54" s="47"/>
      <c r="AB54" s="47"/>
      <c r="AC54" s="47"/>
      <c r="AD54" s="47"/>
      <c r="AE54" s="47"/>
      <c r="AF54" s="47"/>
      <c r="AG54" s="47"/>
      <c r="AH54" s="47"/>
      <c r="AI54" s="47"/>
    </row>
    <row r="55" spans="2:37" x14ac:dyDescent="0.25">
      <c r="C55" s="46"/>
      <c r="D55" s="47"/>
      <c r="E55" s="47"/>
      <c r="F55" s="47"/>
      <c r="G55" s="47"/>
      <c r="H55" s="47"/>
      <c r="I55" s="47"/>
      <c r="J55" s="47"/>
      <c r="K55" s="47"/>
      <c r="L55" s="47"/>
      <c r="M55" s="47"/>
      <c r="N55" s="47"/>
      <c r="O55" s="47"/>
      <c r="P55" s="47"/>
      <c r="Q55" s="47"/>
      <c r="R55" s="47"/>
      <c r="S55" s="47"/>
      <c r="T55" s="47"/>
      <c r="U55" s="47"/>
      <c r="V55" s="47"/>
      <c r="W55" s="47"/>
      <c r="X55" s="47"/>
      <c r="Y55" s="47"/>
      <c r="Z55" s="47"/>
      <c r="AA55" s="47"/>
      <c r="AB55" s="47"/>
      <c r="AC55" s="47"/>
      <c r="AD55" s="47"/>
      <c r="AE55" s="47"/>
      <c r="AF55" s="47"/>
      <c r="AG55" s="47"/>
      <c r="AH55" s="47"/>
      <c r="AI55" s="47"/>
    </row>
    <row r="56" spans="2:37" ht="39.75" customHeight="1" x14ac:dyDescent="0.25">
      <c r="C56" s="46"/>
      <c r="E56" s="240"/>
      <c r="F56" s="240"/>
      <c r="G56" s="240"/>
      <c r="H56" s="240"/>
      <c r="I56" s="240"/>
      <c r="J56" s="240"/>
      <c r="K56" s="240"/>
      <c r="L56" s="240"/>
      <c r="M56" s="240"/>
      <c r="N56" s="240"/>
      <c r="O56" s="240"/>
      <c r="P56" s="240"/>
      <c r="Q56" s="240"/>
      <c r="R56" s="240"/>
      <c r="S56" s="240"/>
      <c r="T56" s="240"/>
      <c r="U56" s="240"/>
      <c r="V56" s="240"/>
      <c r="W56" s="240"/>
      <c r="X56" s="240"/>
      <c r="Y56" s="240"/>
      <c r="Z56" s="240"/>
      <c r="AA56" s="240"/>
      <c r="AB56" s="240"/>
      <c r="AC56" s="240"/>
      <c r="AD56" s="240"/>
      <c r="AE56" s="240"/>
      <c r="AF56" s="240"/>
      <c r="AG56" s="240"/>
      <c r="AH56" s="240"/>
      <c r="AI56" s="240"/>
      <c r="AJ56" s="32" t="s">
        <v>19</v>
      </c>
    </row>
    <row r="57" spans="2:37" ht="11.25" customHeight="1" thickBot="1" x14ac:dyDescent="0.75">
      <c r="C57" s="36"/>
      <c r="AI57" s="4"/>
      <c r="AJ57" s="34" t="s">
        <v>202</v>
      </c>
    </row>
    <row r="58" spans="2:37" ht="6.75" customHeight="1" thickTop="1" thickBot="1" x14ac:dyDescent="0.3">
      <c r="B58" s="33"/>
      <c r="C58" s="45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44"/>
      <c r="AH58" s="44"/>
      <c r="AI58" s="44"/>
      <c r="AJ58" s="43"/>
      <c r="AK58" s="33"/>
    </row>
    <row r="59" spans="2:37" ht="12.6" hidden="1" thickBot="1" x14ac:dyDescent="0.3">
      <c r="B59" s="2"/>
      <c r="C59" s="31" t="s">
        <v>116</v>
      </c>
      <c r="D59" s="30" t="s">
        <v>198</v>
      </c>
      <c r="E59" s="30" t="s">
        <v>197</v>
      </c>
      <c r="F59" s="30" t="s">
        <v>196</v>
      </c>
      <c r="G59" s="30" t="s">
        <v>195</v>
      </c>
      <c r="H59" s="30" t="s">
        <v>194</v>
      </c>
      <c r="I59" s="30" t="s">
        <v>193</v>
      </c>
      <c r="J59" s="30" t="s">
        <v>192</v>
      </c>
      <c r="K59" s="30" t="s">
        <v>191</v>
      </c>
      <c r="L59" s="30" t="s">
        <v>190</v>
      </c>
      <c r="M59" s="30" t="s">
        <v>189</v>
      </c>
      <c r="N59" s="30" t="s">
        <v>188</v>
      </c>
      <c r="O59" s="30" t="s">
        <v>187</v>
      </c>
      <c r="P59" s="30" t="s">
        <v>186</v>
      </c>
      <c r="Q59" s="30" t="s">
        <v>185</v>
      </c>
      <c r="R59" s="30" t="s">
        <v>184</v>
      </c>
      <c r="S59" s="30" t="s">
        <v>183</v>
      </c>
      <c r="T59" s="30" t="s">
        <v>182</v>
      </c>
      <c r="U59" s="30" t="s">
        <v>181</v>
      </c>
      <c r="V59" s="30" t="s">
        <v>180</v>
      </c>
      <c r="W59" s="30" t="s">
        <v>179</v>
      </c>
      <c r="X59" s="30" t="s">
        <v>178</v>
      </c>
      <c r="Y59" s="30" t="s">
        <v>177</v>
      </c>
      <c r="Z59" s="30" t="s">
        <v>176</v>
      </c>
      <c r="AA59" s="30" t="s">
        <v>175</v>
      </c>
      <c r="AB59" s="30" t="s">
        <v>174</v>
      </c>
      <c r="AC59" s="30" t="s">
        <v>173</v>
      </c>
      <c r="AD59" s="30" t="s">
        <v>172</v>
      </c>
      <c r="AE59" s="30" t="s">
        <v>171</v>
      </c>
      <c r="AF59" s="30" t="s">
        <v>170</v>
      </c>
      <c r="AG59" s="30" t="s">
        <v>169</v>
      </c>
      <c r="AH59" s="30" t="s">
        <v>168</v>
      </c>
      <c r="AI59" s="30" t="s">
        <v>167</v>
      </c>
      <c r="AJ59" s="42" t="s">
        <v>19</v>
      </c>
      <c r="AK59" s="2" t="s">
        <v>203</v>
      </c>
    </row>
    <row r="60" spans="2:37" ht="19.5" customHeight="1" thickTop="1" thickBot="1" x14ac:dyDescent="0.3">
      <c r="B60" s="28"/>
      <c r="C60" s="27" t="str">
        <f>DADOS!$T$3</f>
        <v>🍕 ALIMENTAÇÃO</v>
      </c>
      <c r="D60" s="26" t="str">
        <f>IF(despesavariávelconsolidadodez[[#This Row],[TOTAL]]=0,"",IF(OR(despesavariávelconsolidadodez[[#This Row],[TOTAL]]=LARGE($AJ$60:$AJ$72,1),despesavariávelconsolidadodez[[#This Row],[TOTAL]]=LARGE($AJ$60:$AJ$72,2),despesavariávelconsolidadodez[[#This Row],[TOTAL]]=LARGE($AJ$60:$AJ$72,3),despesavariávelconsolidadodez[[#This Row],[TOTAL]]=LARGE($AJ$60:$AJ$72,4),despesavariávelconsolidadodez[[#This Row],[TOTAL]]=LARGE($AJ$60:$AJ$72,5)),DADOS!$I$8,""))</f>
        <v/>
      </c>
      <c r="E60" s="94">
        <f>SUMIFS(tabela_registros[VALOR],tabela_registros[MÊS],$AE$1,tabela_registros[DIA],deztotal3059718395107119131143155167[[#Headers],[1]],tabela_registros[REGISTRO],DADOS!$N$4,tabela_registros[TIPO],DADOS!$P$4,tabela_registros[CATEGORIA],despesavariávelconsolidadodez[[#This Row],[DESPESA VARIÁVEL]])</f>
        <v>0</v>
      </c>
      <c r="F60" s="88">
        <f>SUMIFS(tabela_registros[VALOR],tabela_registros[MÊS],$AE$1,tabela_registros[DIA],deztotal3059718395107119131143155167[[#Headers],[2]],tabela_registros[REGISTRO],DADOS!$N$4,tabela_registros[TIPO],DADOS!$P$4,tabela_registros[CATEGORIA],despesavariávelconsolidadodez[[#This Row],[DESPESA VARIÁVEL]])</f>
        <v>0</v>
      </c>
      <c r="G60" s="88">
        <f>SUMIFS(tabela_registros[VALOR],tabela_registros[MÊS],$AE$1,tabela_registros[DIA],deztotal3059718395107119131143155167[[#Headers],[3]],tabela_registros[REGISTRO],DADOS!$N$4,tabela_registros[TIPO],DADOS!$P$4,tabela_registros[CATEGORIA],despesavariávelconsolidadodez[[#This Row],[DESPESA VARIÁVEL]])</f>
        <v>0</v>
      </c>
      <c r="H60" s="88">
        <f>SUMIFS(tabela_registros[VALOR],tabela_registros[MÊS],$AE$1,tabela_registros[DIA],deztotal3059718395107119131143155167[[#Headers],[4]],tabela_registros[REGISTRO],DADOS!$N$4,tabela_registros[TIPO],DADOS!$P$4,tabela_registros[CATEGORIA],despesavariávelconsolidadodez[[#This Row],[DESPESA VARIÁVEL]])</f>
        <v>0</v>
      </c>
      <c r="I60" s="88">
        <f>SUMIFS(tabela_registros[VALOR],tabela_registros[MÊS],$AE$1,tabela_registros[DIA],deztotal3059718395107119131143155167[[#Headers],[5]],tabela_registros[REGISTRO],DADOS!$N$4,tabela_registros[TIPO],DADOS!$P$4,tabela_registros[CATEGORIA],despesavariávelconsolidadodez[[#This Row],[DESPESA VARIÁVEL]])</f>
        <v>0</v>
      </c>
      <c r="J60" s="88">
        <f>SUMIFS(tabela_registros[VALOR],tabela_registros[MÊS],$AE$1,tabela_registros[DIA],deztotal3059718395107119131143155167[[#Headers],[6]],tabela_registros[REGISTRO],DADOS!$N$4,tabela_registros[TIPO],DADOS!$P$4,tabela_registros[CATEGORIA],despesavariávelconsolidadodez[[#This Row],[DESPESA VARIÁVEL]])</f>
        <v>0</v>
      </c>
      <c r="K60" s="88">
        <f>SUMIFS(tabela_registros[VALOR],tabela_registros[MÊS],$AE$1,tabela_registros[DIA],deztotal3059718395107119131143155167[[#Headers],[7]],tabela_registros[REGISTRO],DADOS!$N$4,tabela_registros[TIPO],DADOS!$P$4,tabela_registros[CATEGORIA],despesavariávelconsolidadodez[[#This Row],[DESPESA VARIÁVEL]])</f>
        <v>0</v>
      </c>
      <c r="L60" s="88">
        <f>SUMIFS(tabela_registros[VALOR],tabela_registros[MÊS],$AE$1,tabela_registros[DIA],deztotal3059718395107119131143155167[[#Headers],[8]],tabela_registros[REGISTRO],DADOS!$N$4,tabela_registros[TIPO],DADOS!$P$4,tabela_registros[CATEGORIA],despesavariávelconsolidadodez[[#This Row],[DESPESA VARIÁVEL]])</f>
        <v>0</v>
      </c>
      <c r="M60" s="88">
        <f>SUMIFS(tabela_registros[VALOR],tabela_registros[MÊS],$AE$1,tabela_registros[DIA],deztotal3059718395107119131143155167[[#Headers],[9]],tabela_registros[REGISTRO],DADOS!$N$4,tabela_registros[TIPO],DADOS!$P$4,tabela_registros[CATEGORIA],despesavariávelconsolidadodez[[#This Row],[DESPESA VARIÁVEL]])</f>
        <v>0</v>
      </c>
      <c r="N60" s="88">
        <f>SUMIFS(tabela_registros[VALOR],tabela_registros[MÊS],$AE$1,tabela_registros[DIA],deztotal3059718395107119131143155167[[#Headers],[10]],tabela_registros[REGISTRO],DADOS!$N$4,tabela_registros[TIPO],DADOS!$P$4,tabela_registros[CATEGORIA],despesavariávelconsolidadodez[[#This Row],[DESPESA VARIÁVEL]])</f>
        <v>0</v>
      </c>
      <c r="O60" s="88">
        <f>SUMIFS(tabela_registros[VALOR],tabela_registros[MÊS],$AE$1,tabela_registros[DIA],deztotal3059718395107119131143155167[[#Headers],[11]],tabela_registros[REGISTRO],DADOS!$N$4,tabela_registros[TIPO],DADOS!$P$4,tabela_registros[CATEGORIA],despesavariávelconsolidadodez[[#This Row],[DESPESA VARIÁVEL]])</f>
        <v>0</v>
      </c>
      <c r="P60" s="88">
        <f>SUMIFS(tabela_registros[VALOR],tabela_registros[MÊS],$AE$1,tabela_registros[DIA],deztotal3059718395107119131143155167[[#Headers],[12]],tabela_registros[REGISTRO],DADOS!$N$4,tabela_registros[TIPO],DADOS!$P$4,tabela_registros[CATEGORIA],despesavariávelconsolidadodez[[#This Row],[DESPESA VARIÁVEL]])</f>
        <v>0</v>
      </c>
      <c r="Q60" s="88">
        <f>SUMIFS(tabela_registros[VALOR],tabela_registros[MÊS],$AE$1,tabela_registros[DIA],deztotal3059718395107119131143155167[[#Headers],[13]],tabela_registros[REGISTRO],DADOS!$N$4,tabela_registros[TIPO],DADOS!$P$4,tabela_registros[CATEGORIA],despesavariávelconsolidadodez[[#This Row],[DESPESA VARIÁVEL]])</f>
        <v>0</v>
      </c>
      <c r="R60" s="88">
        <f>SUMIFS(tabela_registros[VALOR],tabela_registros[MÊS],$AE$1,tabela_registros[DIA],deztotal3059718395107119131143155167[[#Headers],[14]],tabela_registros[REGISTRO],DADOS!$N$4,tabela_registros[TIPO],DADOS!$P$4,tabela_registros[CATEGORIA],despesavariávelconsolidadodez[[#This Row],[DESPESA VARIÁVEL]])</f>
        <v>0</v>
      </c>
      <c r="S60" s="88">
        <f>SUMIFS(tabela_registros[VALOR],tabela_registros[MÊS],$AE$1,tabela_registros[DIA],deztotal3059718395107119131143155167[[#Headers],[15]],tabela_registros[REGISTRO],DADOS!$N$4,tabela_registros[TIPO],DADOS!$P$4,tabela_registros[CATEGORIA],despesavariávelconsolidadodez[[#This Row],[DESPESA VARIÁVEL]])</f>
        <v>0</v>
      </c>
      <c r="T60" s="88">
        <f>SUMIFS(tabela_registros[VALOR],tabela_registros[MÊS],$AE$1,tabela_registros[DIA],deztotal3059718395107119131143155167[[#Headers],[16]],tabela_registros[REGISTRO],DADOS!$N$4,tabela_registros[TIPO],DADOS!$P$4,tabela_registros[CATEGORIA],despesavariávelconsolidadodez[[#This Row],[DESPESA VARIÁVEL]])</f>
        <v>0</v>
      </c>
      <c r="U60" s="88">
        <f>SUMIFS(tabela_registros[VALOR],tabela_registros[MÊS],$AE$1,tabela_registros[DIA],deztotal3059718395107119131143155167[[#Headers],[17]],tabela_registros[REGISTRO],DADOS!$N$4,tabela_registros[TIPO],DADOS!$P$4,tabela_registros[CATEGORIA],despesavariávelconsolidadodez[[#This Row],[DESPESA VARIÁVEL]])</f>
        <v>0</v>
      </c>
      <c r="V60" s="88">
        <f>SUMIFS(tabela_registros[VALOR],tabela_registros[MÊS],$AE$1,tabela_registros[DIA],deztotal3059718395107119131143155167[[#Headers],[18]],tabela_registros[REGISTRO],DADOS!$N$4,tabela_registros[TIPO],DADOS!$P$4,tabela_registros[CATEGORIA],despesavariávelconsolidadodez[[#This Row],[DESPESA VARIÁVEL]])</f>
        <v>0</v>
      </c>
      <c r="W60" s="88">
        <f>SUMIFS(tabela_registros[VALOR],tabela_registros[MÊS],$AE$1,tabela_registros[DIA],deztotal3059718395107119131143155167[[#Headers],[19]],tabela_registros[REGISTRO],DADOS!$N$4,tabela_registros[TIPO],DADOS!$P$4,tabela_registros[CATEGORIA],despesavariávelconsolidadodez[[#This Row],[DESPESA VARIÁVEL]])</f>
        <v>0</v>
      </c>
      <c r="X60" s="88">
        <f>SUMIFS(tabela_registros[VALOR],tabela_registros[MÊS],$AE$1,tabela_registros[DIA],deztotal3059718395107119131143155167[[#Headers],[20]],tabela_registros[REGISTRO],DADOS!$N$4,tabela_registros[TIPO],DADOS!$P$4,tabela_registros[CATEGORIA],despesavariávelconsolidadodez[[#This Row],[DESPESA VARIÁVEL]])</f>
        <v>0</v>
      </c>
      <c r="Y60" s="88">
        <f>SUMIFS(tabela_registros[VALOR],tabela_registros[MÊS],$AE$1,tabela_registros[DIA],deztotal3059718395107119131143155167[[#Headers],[21]],tabela_registros[REGISTRO],DADOS!$N$4,tabela_registros[TIPO],DADOS!$P$4,tabela_registros[CATEGORIA],despesavariávelconsolidadodez[[#This Row],[DESPESA VARIÁVEL]])</f>
        <v>0</v>
      </c>
      <c r="Z60" s="88">
        <f>SUMIFS(tabela_registros[VALOR],tabela_registros[MÊS],$AE$1,tabela_registros[DIA],deztotal3059718395107119131143155167[[#Headers],[22]],tabela_registros[REGISTRO],DADOS!$N$4,tabela_registros[TIPO],DADOS!$P$4,tabela_registros[CATEGORIA],despesavariávelconsolidadodez[[#This Row],[DESPESA VARIÁVEL]])</f>
        <v>0</v>
      </c>
      <c r="AA60" s="88">
        <f>SUMIFS(tabela_registros[VALOR],tabela_registros[MÊS],$AE$1,tabela_registros[DIA],deztotal3059718395107119131143155167[[#Headers],[23]],tabela_registros[REGISTRO],DADOS!$N$4,tabela_registros[TIPO],DADOS!$P$4,tabela_registros[CATEGORIA],despesavariávelconsolidadodez[[#This Row],[DESPESA VARIÁVEL]])</f>
        <v>0</v>
      </c>
      <c r="AB60" s="88">
        <f>SUMIFS(tabela_registros[VALOR],tabela_registros[MÊS],$AE$1,tabela_registros[DIA],deztotal3059718395107119131143155167[[#Headers],[24]],tabela_registros[REGISTRO],DADOS!$N$4,tabela_registros[TIPO],DADOS!$P$4,tabela_registros[CATEGORIA],despesavariávelconsolidadodez[[#This Row],[DESPESA VARIÁVEL]])</f>
        <v>0</v>
      </c>
      <c r="AC60" s="88">
        <f>SUMIFS(tabela_registros[VALOR],tabela_registros[MÊS],$AE$1,tabela_registros[DIA],deztotal3059718395107119131143155167[[#Headers],[25]],tabela_registros[REGISTRO],DADOS!$N$4,tabela_registros[TIPO],DADOS!$P$4,tabela_registros[CATEGORIA],despesavariávelconsolidadodez[[#This Row],[DESPESA VARIÁVEL]])</f>
        <v>0</v>
      </c>
      <c r="AD60" s="88">
        <f>SUMIFS(tabela_registros[VALOR],tabela_registros[MÊS],$AE$1,tabela_registros[DIA],deztotal3059718395107119131143155167[[#Headers],[26]],tabela_registros[REGISTRO],DADOS!$N$4,tabela_registros[TIPO],DADOS!$P$4,tabela_registros[CATEGORIA],despesavariávelconsolidadodez[[#This Row],[DESPESA VARIÁVEL]])</f>
        <v>0</v>
      </c>
      <c r="AE60" s="88">
        <f>SUMIFS(tabela_registros[VALOR],tabela_registros[MÊS],$AE$1,tabela_registros[DIA],deztotal3059718395107119131143155167[[#Headers],[27]],tabela_registros[REGISTRO],DADOS!$N$4,tabela_registros[TIPO],DADOS!$P$4,tabela_registros[CATEGORIA],despesavariávelconsolidadodez[[#This Row],[DESPESA VARIÁVEL]])</f>
        <v>0</v>
      </c>
      <c r="AF60" s="88">
        <f>SUMIFS(tabela_registros[VALOR],tabela_registros[MÊS],$AE$1,tabela_registros[DIA],deztotal3059718395107119131143155167[[#Headers],[28]],tabela_registros[REGISTRO],DADOS!$N$4,tabela_registros[TIPO],DADOS!$P$4,tabela_registros[CATEGORIA],despesavariávelconsolidadodez[[#This Row],[DESPESA VARIÁVEL]])</f>
        <v>0</v>
      </c>
      <c r="AG60" s="88">
        <f>SUMIFS(tabela_registros[VALOR],tabela_registros[MÊS],$AE$1,tabela_registros[DIA],deztotal3059718395107119131143155167[[#Headers],[29]],tabela_registros[REGISTRO],DADOS!$N$4,tabela_registros[TIPO],DADOS!$P$4,tabela_registros[CATEGORIA],despesavariávelconsolidadodez[[#This Row],[DESPESA VARIÁVEL]])</f>
        <v>0</v>
      </c>
      <c r="AH60" s="88">
        <f>SUMIFS(tabela_registros[VALOR],tabela_registros[MÊS],$AE$1,tabela_registros[DIA],deztotal3059718395107119131143155167[[#Headers],[30]],tabela_registros[REGISTRO],DADOS!$N$4,tabela_registros[TIPO],DADOS!$P$4,tabela_registros[CATEGORIA],despesavariávelconsolidadodez[[#This Row],[DESPESA VARIÁVEL]])</f>
        <v>0</v>
      </c>
      <c r="AI60" s="100">
        <f>SUMIFS(tabela_registros[VALOR],tabela_registros[MÊS],$AE$1,tabela_registros[DIA],deztotal3059718395107119131143155167[[#Headers],[31]],tabela_registros[REGISTRO],DADOS!$N$4,tabela_registros[TIPO],DADOS!$P$4,tabela_registros[CATEGORIA],despesavariávelconsolidadodez[[#This Row],[DESPESA VARIÁVEL]])</f>
        <v>0</v>
      </c>
      <c r="AJ60" s="95">
        <f>SUM(despesavariávelconsolidadodez[[#This Row],[1]:[31]])</f>
        <v>0</v>
      </c>
      <c r="AK60" s="28"/>
    </row>
    <row r="61" spans="2:37" ht="18" customHeight="1" thickTop="1" thickBot="1" x14ac:dyDescent="0.3">
      <c r="B61" s="28"/>
      <c r="C61" s="27" t="str">
        <f>DADOS!$T$4</f>
        <v>💳 CARTÃO DE CRÉDITO</v>
      </c>
      <c r="D61" s="26" t="str">
        <f>IF(despesavariávelconsolidadodez[[#This Row],[TOTAL]]=0,"",IF(OR(despesavariávelconsolidadodez[[#This Row],[TOTAL]]=LARGE($AJ$60:$AJ$72,1),despesavariávelconsolidadodez[[#This Row],[TOTAL]]=LARGE($AJ$60:$AJ$72,2),despesavariávelconsolidadodez[[#This Row],[TOTAL]]=LARGE($AJ$60:$AJ$72,3),despesavariávelconsolidadodez[[#This Row],[TOTAL]]=LARGE($AJ$60:$AJ$72,4),despesavariávelconsolidadodez[[#This Row],[TOTAL]]=LARGE($AJ$60:$AJ$72,5)),DADOS!$I$8,""))</f>
        <v/>
      </c>
      <c r="E61" s="96">
        <f>SUMIFS(tabela_registros[VALOR],tabela_registros[MÊS],$AE$1,tabela_registros[DIA],deztotal3059718395107119131143155167[[#Headers],[1]],tabela_registros[REGISTRO],DADOS!$N$4,tabela_registros[TIPO],DADOS!$P$4,tabela_registros[CATEGORIA],despesavariávelconsolidadodez[[#This Row],[DESPESA VARIÁVEL]])</f>
        <v>0</v>
      </c>
      <c r="F61" s="91">
        <f>SUMIFS(tabela_registros[VALOR],tabela_registros[MÊS],$AE$1,tabela_registros[DIA],deztotal3059718395107119131143155167[[#Headers],[2]],tabela_registros[REGISTRO],DADOS!$N$4,tabela_registros[TIPO],DADOS!$P$4,tabela_registros[CATEGORIA],despesavariávelconsolidadodez[[#This Row],[DESPESA VARIÁVEL]])</f>
        <v>0</v>
      </c>
      <c r="G61" s="91">
        <f>SUMIFS(tabela_registros[VALOR],tabela_registros[MÊS],$AE$1,tabela_registros[DIA],deztotal3059718395107119131143155167[[#Headers],[3]],tabela_registros[REGISTRO],DADOS!$N$4,tabela_registros[TIPO],DADOS!$P$4,tabela_registros[CATEGORIA],despesavariávelconsolidadodez[[#This Row],[DESPESA VARIÁVEL]])</f>
        <v>0</v>
      </c>
      <c r="H61" s="91">
        <f>SUMIFS(tabela_registros[VALOR],tabela_registros[MÊS],$AE$1,tabela_registros[DIA],deztotal3059718395107119131143155167[[#Headers],[4]],tabela_registros[REGISTRO],DADOS!$N$4,tabela_registros[TIPO],DADOS!$P$4,tabela_registros[CATEGORIA],despesavariávelconsolidadodez[[#This Row],[DESPESA VARIÁVEL]])</f>
        <v>0</v>
      </c>
      <c r="I61" s="91">
        <f>SUMIFS(tabela_registros[VALOR],tabela_registros[MÊS],$AE$1,tabela_registros[DIA],deztotal3059718395107119131143155167[[#Headers],[5]],tabela_registros[REGISTRO],DADOS!$N$4,tabela_registros[TIPO],DADOS!$P$4,tabela_registros[CATEGORIA],despesavariávelconsolidadodez[[#This Row],[DESPESA VARIÁVEL]])</f>
        <v>0</v>
      </c>
      <c r="J61" s="91">
        <f>SUMIFS(tabela_registros[VALOR],tabela_registros[MÊS],$AE$1,tabela_registros[DIA],deztotal3059718395107119131143155167[[#Headers],[6]],tabela_registros[REGISTRO],DADOS!$N$4,tabela_registros[TIPO],DADOS!$P$4,tabela_registros[CATEGORIA],despesavariávelconsolidadodez[[#This Row],[DESPESA VARIÁVEL]])</f>
        <v>0</v>
      </c>
      <c r="K61" s="91">
        <f>SUMIFS(tabela_registros[VALOR],tabela_registros[MÊS],$AE$1,tabela_registros[DIA],deztotal3059718395107119131143155167[[#Headers],[7]],tabela_registros[REGISTRO],DADOS!$N$4,tabela_registros[TIPO],DADOS!$P$4,tabela_registros[CATEGORIA],despesavariávelconsolidadodez[[#This Row],[DESPESA VARIÁVEL]])</f>
        <v>0</v>
      </c>
      <c r="L61" s="91">
        <f>SUMIFS(tabela_registros[VALOR],tabela_registros[MÊS],$AE$1,tabela_registros[DIA],deztotal3059718395107119131143155167[[#Headers],[8]],tabela_registros[REGISTRO],DADOS!$N$4,tabela_registros[TIPO],DADOS!$P$4,tabela_registros[CATEGORIA],despesavariávelconsolidadodez[[#This Row],[DESPESA VARIÁVEL]])</f>
        <v>0</v>
      </c>
      <c r="M61" s="91">
        <f>SUMIFS(tabela_registros[VALOR],tabela_registros[MÊS],$AE$1,tabela_registros[DIA],deztotal3059718395107119131143155167[[#Headers],[9]],tabela_registros[REGISTRO],DADOS!$N$4,tabela_registros[TIPO],DADOS!$P$4,tabela_registros[CATEGORIA],despesavariávelconsolidadodez[[#This Row],[DESPESA VARIÁVEL]])</f>
        <v>0</v>
      </c>
      <c r="N61" s="91">
        <f>SUMIFS(tabela_registros[VALOR],tabela_registros[MÊS],$AE$1,tabela_registros[DIA],deztotal3059718395107119131143155167[[#Headers],[10]],tabela_registros[REGISTRO],DADOS!$N$4,tabela_registros[TIPO],DADOS!$P$4,tabela_registros[CATEGORIA],despesavariávelconsolidadodez[[#This Row],[DESPESA VARIÁVEL]])</f>
        <v>0</v>
      </c>
      <c r="O61" s="91">
        <f>SUMIFS(tabela_registros[VALOR],tabela_registros[MÊS],$AE$1,tabela_registros[DIA],deztotal3059718395107119131143155167[[#Headers],[11]],tabela_registros[REGISTRO],DADOS!$N$4,tabela_registros[TIPO],DADOS!$P$4,tabela_registros[CATEGORIA],despesavariávelconsolidadodez[[#This Row],[DESPESA VARIÁVEL]])</f>
        <v>0</v>
      </c>
      <c r="P61" s="91">
        <f>SUMIFS(tabela_registros[VALOR],tabela_registros[MÊS],$AE$1,tabela_registros[DIA],deztotal3059718395107119131143155167[[#Headers],[12]],tabela_registros[REGISTRO],DADOS!$N$4,tabela_registros[TIPO],DADOS!$P$4,tabela_registros[CATEGORIA],despesavariávelconsolidadodez[[#This Row],[DESPESA VARIÁVEL]])</f>
        <v>0</v>
      </c>
      <c r="Q61" s="91">
        <f>SUMIFS(tabela_registros[VALOR],tabela_registros[MÊS],$AE$1,tabela_registros[DIA],deztotal3059718395107119131143155167[[#Headers],[13]],tabela_registros[REGISTRO],DADOS!$N$4,tabela_registros[TIPO],DADOS!$P$4,tabela_registros[CATEGORIA],despesavariávelconsolidadodez[[#This Row],[DESPESA VARIÁVEL]])</f>
        <v>0</v>
      </c>
      <c r="R61" s="91">
        <f>SUMIFS(tabela_registros[VALOR],tabela_registros[MÊS],$AE$1,tabela_registros[DIA],deztotal3059718395107119131143155167[[#Headers],[14]],tabela_registros[REGISTRO],DADOS!$N$4,tabela_registros[TIPO],DADOS!$P$4,tabela_registros[CATEGORIA],despesavariávelconsolidadodez[[#This Row],[DESPESA VARIÁVEL]])</f>
        <v>0</v>
      </c>
      <c r="S61" s="91">
        <f>SUMIFS(tabela_registros[VALOR],tabela_registros[MÊS],$AE$1,tabela_registros[DIA],deztotal3059718395107119131143155167[[#Headers],[15]],tabela_registros[REGISTRO],DADOS!$N$4,tabela_registros[TIPO],DADOS!$P$4,tabela_registros[CATEGORIA],despesavariávelconsolidadodez[[#This Row],[DESPESA VARIÁVEL]])</f>
        <v>0</v>
      </c>
      <c r="T61" s="91">
        <f>SUMIFS(tabela_registros[VALOR],tabela_registros[MÊS],$AE$1,tabela_registros[DIA],deztotal3059718395107119131143155167[[#Headers],[16]],tabela_registros[REGISTRO],DADOS!$N$4,tabela_registros[TIPO],DADOS!$P$4,tabela_registros[CATEGORIA],despesavariávelconsolidadodez[[#This Row],[DESPESA VARIÁVEL]])</f>
        <v>0</v>
      </c>
      <c r="U61" s="91">
        <f>SUMIFS(tabela_registros[VALOR],tabela_registros[MÊS],$AE$1,tabela_registros[DIA],deztotal3059718395107119131143155167[[#Headers],[17]],tabela_registros[REGISTRO],DADOS!$N$4,tabela_registros[TIPO],DADOS!$P$4,tabela_registros[CATEGORIA],despesavariávelconsolidadodez[[#This Row],[DESPESA VARIÁVEL]])</f>
        <v>0</v>
      </c>
      <c r="V61" s="91">
        <f>SUMIFS(tabela_registros[VALOR],tabela_registros[MÊS],$AE$1,tabela_registros[DIA],deztotal3059718395107119131143155167[[#Headers],[18]],tabela_registros[REGISTRO],DADOS!$N$4,tabela_registros[TIPO],DADOS!$P$4,tabela_registros[CATEGORIA],despesavariávelconsolidadodez[[#This Row],[DESPESA VARIÁVEL]])</f>
        <v>0</v>
      </c>
      <c r="W61" s="91">
        <f>SUMIFS(tabela_registros[VALOR],tabela_registros[MÊS],$AE$1,tabela_registros[DIA],deztotal3059718395107119131143155167[[#Headers],[19]],tabela_registros[REGISTRO],DADOS!$N$4,tabela_registros[TIPO],DADOS!$P$4,tabela_registros[CATEGORIA],despesavariávelconsolidadodez[[#This Row],[DESPESA VARIÁVEL]])</f>
        <v>0</v>
      </c>
      <c r="X61" s="91">
        <f>SUMIFS(tabela_registros[VALOR],tabela_registros[MÊS],$AE$1,tabela_registros[DIA],deztotal3059718395107119131143155167[[#Headers],[20]],tabela_registros[REGISTRO],DADOS!$N$4,tabela_registros[TIPO],DADOS!$P$4,tabela_registros[CATEGORIA],despesavariávelconsolidadodez[[#This Row],[DESPESA VARIÁVEL]])</f>
        <v>0</v>
      </c>
      <c r="Y61" s="91">
        <f>SUMIFS(tabela_registros[VALOR],tabela_registros[MÊS],$AE$1,tabela_registros[DIA],deztotal3059718395107119131143155167[[#Headers],[21]],tabela_registros[REGISTRO],DADOS!$N$4,tabela_registros[TIPO],DADOS!$P$4,tabela_registros[CATEGORIA],despesavariávelconsolidadodez[[#This Row],[DESPESA VARIÁVEL]])</f>
        <v>0</v>
      </c>
      <c r="Z61" s="91">
        <f>SUMIFS(tabela_registros[VALOR],tabela_registros[MÊS],$AE$1,tabela_registros[DIA],deztotal3059718395107119131143155167[[#Headers],[22]],tabela_registros[REGISTRO],DADOS!$N$4,tabela_registros[TIPO],DADOS!$P$4,tabela_registros[CATEGORIA],despesavariávelconsolidadodez[[#This Row],[DESPESA VARIÁVEL]])</f>
        <v>0</v>
      </c>
      <c r="AA61" s="91">
        <f>SUMIFS(tabela_registros[VALOR],tabela_registros[MÊS],$AE$1,tabela_registros[DIA],deztotal3059718395107119131143155167[[#Headers],[23]],tabela_registros[REGISTRO],DADOS!$N$4,tabela_registros[TIPO],DADOS!$P$4,tabela_registros[CATEGORIA],despesavariávelconsolidadodez[[#This Row],[DESPESA VARIÁVEL]])</f>
        <v>0</v>
      </c>
      <c r="AB61" s="91">
        <f>SUMIFS(tabela_registros[VALOR],tabela_registros[MÊS],$AE$1,tabela_registros[DIA],deztotal3059718395107119131143155167[[#Headers],[24]],tabela_registros[REGISTRO],DADOS!$N$4,tabela_registros[TIPO],DADOS!$P$4,tabela_registros[CATEGORIA],despesavariávelconsolidadodez[[#This Row],[DESPESA VARIÁVEL]])</f>
        <v>0</v>
      </c>
      <c r="AC61" s="91">
        <f>SUMIFS(tabela_registros[VALOR],tabela_registros[MÊS],$AE$1,tabela_registros[DIA],deztotal3059718395107119131143155167[[#Headers],[25]],tabela_registros[REGISTRO],DADOS!$N$4,tabela_registros[TIPO],DADOS!$P$4,tabela_registros[CATEGORIA],despesavariávelconsolidadodez[[#This Row],[DESPESA VARIÁVEL]])</f>
        <v>0</v>
      </c>
      <c r="AD61" s="91">
        <f>SUMIFS(tabela_registros[VALOR],tabela_registros[MÊS],$AE$1,tabela_registros[DIA],deztotal3059718395107119131143155167[[#Headers],[26]],tabela_registros[REGISTRO],DADOS!$N$4,tabela_registros[TIPO],DADOS!$P$4,tabela_registros[CATEGORIA],despesavariávelconsolidadodez[[#This Row],[DESPESA VARIÁVEL]])</f>
        <v>0</v>
      </c>
      <c r="AE61" s="91">
        <f>SUMIFS(tabela_registros[VALOR],tabela_registros[MÊS],$AE$1,tabela_registros[DIA],deztotal3059718395107119131143155167[[#Headers],[27]],tabela_registros[REGISTRO],DADOS!$N$4,tabela_registros[TIPO],DADOS!$P$4,tabela_registros[CATEGORIA],despesavariávelconsolidadodez[[#This Row],[DESPESA VARIÁVEL]])</f>
        <v>0</v>
      </c>
      <c r="AF61" s="91">
        <f>SUMIFS(tabela_registros[VALOR],tabela_registros[MÊS],$AE$1,tabela_registros[DIA],deztotal3059718395107119131143155167[[#Headers],[28]],tabela_registros[REGISTRO],DADOS!$N$4,tabela_registros[TIPO],DADOS!$P$4,tabela_registros[CATEGORIA],despesavariávelconsolidadodez[[#This Row],[DESPESA VARIÁVEL]])</f>
        <v>0</v>
      </c>
      <c r="AG61" s="91">
        <f>SUMIFS(tabela_registros[VALOR],tabela_registros[MÊS],$AE$1,tabela_registros[DIA],deztotal3059718395107119131143155167[[#Headers],[29]],tabela_registros[REGISTRO],DADOS!$N$4,tabela_registros[TIPO],DADOS!$P$4,tabela_registros[CATEGORIA],despesavariávelconsolidadodez[[#This Row],[DESPESA VARIÁVEL]])</f>
        <v>0</v>
      </c>
      <c r="AH61" s="91">
        <f>SUMIFS(tabela_registros[VALOR],tabela_registros[MÊS],$AE$1,tabela_registros[DIA],deztotal3059718395107119131143155167[[#Headers],[30]],tabela_registros[REGISTRO],DADOS!$N$4,tabela_registros[TIPO],DADOS!$P$4,tabela_registros[CATEGORIA],despesavariávelconsolidadodez[[#This Row],[DESPESA VARIÁVEL]])</f>
        <v>0</v>
      </c>
      <c r="AI61" s="101">
        <f>SUMIFS(tabela_registros[VALOR],tabela_registros[MÊS],$AE$1,tabela_registros[DIA],deztotal3059718395107119131143155167[[#Headers],[31]],tabela_registros[REGISTRO],DADOS!$N$4,tabela_registros[TIPO],DADOS!$P$4,tabela_registros[CATEGORIA],despesavariávelconsolidadodez[[#This Row],[DESPESA VARIÁVEL]])</f>
        <v>0</v>
      </c>
      <c r="AJ61" s="97">
        <f>SUM(despesavariávelconsolidadodez[[#This Row],[1]:[31]])</f>
        <v>0</v>
      </c>
      <c r="AK61" s="28"/>
    </row>
    <row r="62" spans="2:37" ht="18" customHeight="1" thickTop="1" thickBot="1" x14ac:dyDescent="0.3">
      <c r="B62" s="28"/>
      <c r="C62" s="27" t="str">
        <f>DADOS!$T$5</f>
        <v>✍️ CHEQUE ESPECIAL</v>
      </c>
      <c r="D62" s="26" t="str">
        <f>IF(despesavariávelconsolidadodez[[#This Row],[TOTAL]]=0,"",IF(OR(despesavariávelconsolidadodez[[#This Row],[TOTAL]]=LARGE($AJ$60:$AJ$72,1),despesavariávelconsolidadodez[[#This Row],[TOTAL]]=LARGE($AJ$60:$AJ$72,2),despesavariávelconsolidadodez[[#This Row],[TOTAL]]=LARGE($AJ$60:$AJ$72,3),despesavariávelconsolidadodez[[#This Row],[TOTAL]]=LARGE($AJ$60:$AJ$72,4),despesavariávelconsolidadodez[[#This Row],[TOTAL]]=LARGE($AJ$60:$AJ$72,5)),DADOS!$I$8,""))</f>
        <v/>
      </c>
      <c r="E62" s="96">
        <f>SUMIFS(tabela_registros[VALOR],tabela_registros[MÊS],$AE$1,tabela_registros[DIA],deztotal3059718395107119131143155167[[#Headers],[1]],tabela_registros[REGISTRO],DADOS!$N$4,tabela_registros[TIPO],DADOS!$P$4,tabela_registros[CATEGORIA],despesavariávelconsolidadodez[[#This Row],[DESPESA VARIÁVEL]])</f>
        <v>0</v>
      </c>
      <c r="F62" s="91">
        <f>SUMIFS(tabela_registros[VALOR],tabela_registros[MÊS],$AE$1,tabela_registros[DIA],deztotal3059718395107119131143155167[[#Headers],[2]],tabela_registros[REGISTRO],DADOS!$N$4,tabela_registros[TIPO],DADOS!$P$4,tabela_registros[CATEGORIA],despesavariávelconsolidadodez[[#This Row],[DESPESA VARIÁVEL]])</f>
        <v>0</v>
      </c>
      <c r="G62" s="91">
        <f>SUMIFS(tabela_registros[VALOR],tabela_registros[MÊS],$AE$1,tabela_registros[DIA],deztotal3059718395107119131143155167[[#Headers],[3]],tabela_registros[REGISTRO],DADOS!$N$4,tabela_registros[TIPO],DADOS!$P$4,tabela_registros[CATEGORIA],despesavariávelconsolidadodez[[#This Row],[DESPESA VARIÁVEL]])</f>
        <v>0</v>
      </c>
      <c r="H62" s="91">
        <f>SUMIFS(tabela_registros[VALOR],tabela_registros[MÊS],$AE$1,tabela_registros[DIA],deztotal3059718395107119131143155167[[#Headers],[4]],tabela_registros[REGISTRO],DADOS!$N$4,tabela_registros[TIPO],DADOS!$P$4,tabela_registros[CATEGORIA],despesavariávelconsolidadodez[[#This Row],[DESPESA VARIÁVEL]])</f>
        <v>0</v>
      </c>
      <c r="I62" s="91">
        <f>SUMIFS(tabela_registros[VALOR],tabela_registros[MÊS],$AE$1,tabela_registros[DIA],deztotal3059718395107119131143155167[[#Headers],[5]],tabela_registros[REGISTRO],DADOS!$N$4,tabela_registros[TIPO],DADOS!$P$4,tabela_registros[CATEGORIA],despesavariávelconsolidadodez[[#This Row],[DESPESA VARIÁVEL]])</f>
        <v>0</v>
      </c>
      <c r="J62" s="91">
        <f>SUMIFS(tabela_registros[VALOR],tabela_registros[MÊS],$AE$1,tabela_registros[DIA],deztotal3059718395107119131143155167[[#Headers],[6]],tabela_registros[REGISTRO],DADOS!$N$4,tabela_registros[TIPO],DADOS!$P$4,tabela_registros[CATEGORIA],despesavariávelconsolidadodez[[#This Row],[DESPESA VARIÁVEL]])</f>
        <v>0</v>
      </c>
      <c r="K62" s="91">
        <f>SUMIFS(tabela_registros[VALOR],tabela_registros[MÊS],$AE$1,tabela_registros[DIA],deztotal3059718395107119131143155167[[#Headers],[7]],tabela_registros[REGISTRO],DADOS!$N$4,tabela_registros[TIPO],DADOS!$P$4,tabela_registros[CATEGORIA],despesavariávelconsolidadodez[[#This Row],[DESPESA VARIÁVEL]])</f>
        <v>0</v>
      </c>
      <c r="L62" s="91">
        <f>SUMIFS(tabela_registros[VALOR],tabela_registros[MÊS],$AE$1,tabela_registros[DIA],deztotal3059718395107119131143155167[[#Headers],[8]],tabela_registros[REGISTRO],DADOS!$N$4,tabela_registros[TIPO],DADOS!$P$4,tabela_registros[CATEGORIA],despesavariávelconsolidadodez[[#This Row],[DESPESA VARIÁVEL]])</f>
        <v>0</v>
      </c>
      <c r="M62" s="91">
        <f>SUMIFS(tabela_registros[VALOR],tabela_registros[MÊS],$AE$1,tabela_registros[DIA],deztotal3059718395107119131143155167[[#Headers],[9]],tabela_registros[REGISTRO],DADOS!$N$4,tabela_registros[TIPO],DADOS!$P$4,tabela_registros[CATEGORIA],despesavariávelconsolidadodez[[#This Row],[DESPESA VARIÁVEL]])</f>
        <v>0</v>
      </c>
      <c r="N62" s="91">
        <f>SUMIFS(tabela_registros[VALOR],tabela_registros[MÊS],$AE$1,tabela_registros[DIA],deztotal3059718395107119131143155167[[#Headers],[10]],tabela_registros[REGISTRO],DADOS!$N$4,tabela_registros[TIPO],DADOS!$P$4,tabela_registros[CATEGORIA],despesavariávelconsolidadodez[[#This Row],[DESPESA VARIÁVEL]])</f>
        <v>0</v>
      </c>
      <c r="O62" s="91">
        <f>SUMIFS(tabela_registros[VALOR],tabela_registros[MÊS],$AE$1,tabela_registros[DIA],deztotal3059718395107119131143155167[[#Headers],[11]],tabela_registros[REGISTRO],DADOS!$N$4,tabela_registros[TIPO],DADOS!$P$4,tabela_registros[CATEGORIA],despesavariávelconsolidadodez[[#This Row],[DESPESA VARIÁVEL]])</f>
        <v>0</v>
      </c>
      <c r="P62" s="91">
        <f>SUMIFS(tabela_registros[VALOR],tabela_registros[MÊS],$AE$1,tabela_registros[DIA],deztotal3059718395107119131143155167[[#Headers],[12]],tabela_registros[REGISTRO],DADOS!$N$4,tabela_registros[TIPO],DADOS!$P$4,tabela_registros[CATEGORIA],despesavariávelconsolidadodez[[#This Row],[DESPESA VARIÁVEL]])</f>
        <v>0</v>
      </c>
      <c r="Q62" s="91">
        <f>SUMIFS(tabela_registros[VALOR],tabela_registros[MÊS],$AE$1,tabela_registros[DIA],deztotal3059718395107119131143155167[[#Headers],[13]],tabela_registros[REGISTRO],DADOS!$N$4,tabela_registros[TIPO],DADOS!$P$4,tabela_registros[CATEGORIA],despesavariávelconsolidadodez[[#This Row],[DESPESA VARIÁVEL]])</f>
        <v>0</v>
      </c>
      <c r="R62" s="91">
        <f>SUMIFS(tabela_registros[VALOR],tabela_registros[MÊS],$AE$1,tabela_registros[DIA],deztotal3059718395107119131143155167[[#Headers],[14]],tabela_registros[REGISTRO],DADOS!$N$4,tabela_registros[TIPO],DADOS!$P$4,tabela_registros[CATEGORIA],despesavariávelconsolidadodez[[#This Row],[DESPESA VARIÁVEL]])</f>
        <v>0</v>
      </c>
      <c r="S62" s="91">
        <f>SUMIFS(tabela_registros[VALOR],tabela_registros[MÊS],$AE$1,tabela_registros[DIA],deztotal3059718395107119131143155167[[#Headers],[15]],tabela_registros[REGISTRO],DADOS!$N$4,tabela_registros[TIPO],DADOS!$P$4,tabela_registros[CATEGORIA],despesavariávelconsolidadodez[[#This Row],[DESPESA VARIÁVEL]])</f>
        <v>0</v>
      </c>
      <c r="T62" s="91">
        <f>SUMIFS(tabela_registros[VALOR],tabela_registros[MÊS],$AE$1,tabela_registros[DIA],deztotal3059718395107119131143155167[[#Headers],[16]],tabela_registros[REGISTRO],DADOS!$N$4,tabela_registros[TIPO],DADOS!$P$4,tabela_registros[CATEGORIA],despesavariávelconsolidadodez[[#This Row],[DESPESA VARIÁVEL]])</f>
        <v>0</v>
      </c>
      <c r="U62" s="91">
        <f>SUMIFS(tabela_registros[VALOR],tabela_registros[MÊS],$AE$1,tabela_registros[DIA],deztotal3059718395107119131143155167[[#Headers],[17]],tabela_registros[REGISTRO],DADOS!$N$4,tabela_registros[TIPO],DADOS!$P$4,tabela_registros[CATEGORIA],despesavariávelconsolidadodez[[#This Row],[DESPESA VARIÁVEL]])</f>
        <v>0</v>
      </c>
      <c r="V62" s="91">
        <f>SUMIFS(tabela_registros[VALOR],tabela_registros[MÊS],$AE$1,tabela_registros[DIA],deztotal3059718395107119131143155167[[#Headers],[18]],tabela_registros[REGISTRO],DADOS!$N$4,tabela_registros[TIPO],DADOS!$P$4,tabela_registros[CATEGORIA],despesavariávelconsolidadodez[[#This Row],[DESPESA VARIÁVEL]])</f>
        <v>0</v>
      </c>
      <c r="W62" s="91">
        <f>SUMIFS(tabela_registros[VALOR],tabela_registros[MÊS],$AE$1,tabela_registros[DIA],deztotal3059718395107119131143155167[[#Headers],[19]],tabela_registros[REGISTRO],DADOS!$N$4,tabela_registros[TIPO],DADOS!$P$4,tabela_registros[CATEGORIA],despesavariávelconsolidadodez[[#This Row],[DESPESA VARIÁVEL]])</f>
        <v>0</v>
      </c>
      <c r="X62" s="91">
        <f>SUMIFS(tabela_registros[VALOR],tabela_registros[MÊS],$AE$1,tabela_registros[DIA],deztotal3059718395107119131143155167[[#Headers],[20]],tabela_registros[REGISTRO],DADOS!$N$4,tabela_registros[TIPO],DADOS!$P$4,tabela_registros[CATEGORIA],despesavariávelconsolidadodez[[#This Row],[DESPESA VARIÁVEL]])</f>
        <v>0</v>
      </c>
      <c r="Y62" s="91">
        <f>SUMIFS(tabela_registros[VALOR],tabela_registros[MÊS],$AE$1,tabela_registros[DIA],deztotal3059718395107119131143155167[[#Headers],[21]],tabela_registros[REGISTRO],DADOS!$N$4,tabela_registros[TIPO],DADOS!$P$4,tabela_registros[CATEGORIA],despesavariávelconsolidadodez[[#This Row],[DESPESA VARIÁVEL]])</f>
        <v>0</v>
      </c>
      <c r="Z62" s="91">
        <f>SUMIFS(tabela_registros[VALOR],tabela_registros[MÊS],$AE$1,tabela_registros[DIA],deztotal3059718395107119131143155167[[#Headers],[22]],tabela_registros[REGISTRO],DADOS!$N$4,tabela_registros[TIPO],DADOS!$P$4,tabela_registros[CATEGORIA],despesavariávelconsolidadodez[[#This Row],[DESPESA VARIÁVEL]])</f>
        <v>0</v>
      </c>
      <c r="AA62" s="91">
        <f>SUMIFS(tabela_registros[VALOR],tabela_registros[MÊS],$AE$1,tabela_registros[DIA],deztotal3059718395107119131143155167[[#Headers],[23]],tabela_registros[REGISTRO],DADOS!$N$4,tabela_registros[TIPO],DADOS!$P$4,tabela_registros[CATEGORIA],despesavariávelconsolidadodez[[#This Row],[DESPESA VARIÁVEL]])</f>
        <v>0</v>
      </c>
      <c r="AB62" s="91">
        <f>SUMIFS(tabela_registros[VALOR],tabela_registros[MÊS],$AE$1,tabela_registros[DIA],deztotal3059718395107119131143155167[[#Headers],[24]],tabela_registros[REGISTRO],DADOS!$N$4,tabela_registros[TIPO],DADOS!$P$4,tabela_registros[CATEGORIA],despesavariávelconsolidadodez[[#This Row],[DESPESA VARIÁVEL]])</f>
        <v>0</v>
      </c>
      <c r="AC62" s="91">
        <f>SUMIFS(tabela_registros[VALOR],tabela_registros[MÊS],$AE$1,tabela_registros[DIA],deztotal3059718395107119131143155167[[#Headers],[25]],tabela_registros[REGISTRO],DADOS!$N$4,tabela_registros[TIPO],DADOS!$P$4,tabela_registros[CATEGORIA],despesavariávelconsolidadodez[[#This Row],[DESPESA VARIÁVEL]])</f>
        <v>0</v>
      </c>
      <c r="AD62" s="91">
        <f>SUMIFS(tabela_registros[VALOR],tabela_registros[MÊS],$AE$1,tabela_registros[DIA],deztotal3059718395107119131143155167[[#Headers],[26]],tabela_registros[REGISTRO],DADOS!$N$4,tabela_registros[TIPO],DADOS!$P$4,tabela_registros[CATEGORIA],despesavariávelconsolidadodez[[#This Row],[DESPESA VARIÁVEL]])</f>
        <v>0</v>
      </c>
      <c r="AE62" s="91">
        <f>SUMIFS(tabela_registros[VALOR],tabela_registros[MÊS],$AE$1,tabela_registros[DIA],deztotal3059718395107119131143155167[[#Headers],[27]],tabela_registros[REGISTRO],DADOS!$N$4,tabela_registros[TIPO],DADOS!$P$4,tabela_registros[CATEGORIA],despesavariávelconsolidadodez[[#This Row],[DESPESA VARIÁVEL]])</f>
        <v>0</v>
      </c>
      <c r="AF62" s="91">
        <f>SUMIFS(tabela_registros[VALOR],tabela_registros[MÊS],$AE$1,tabela_registros[DIA],deztotal3059718395107119131143155167[[#Headers],[28]],tabela_registros[REGISTRO],DADOS!$N$4,tabela_registros[TIPO],DADOS!$P$4,tabela_registros[CATEGORIA],despesavariávelconsolidadodez[[#This Row],[DESPESA VARIÁVEL]])</f>
        <v>0</v>
      </c>
      <c r="AG62" s="91">
        <f>SUMIFS(tabela_registros[VALOR],tabela_registros[MÊS],$AE$1,tabela_registros[DIA],deztotal3059718395107119131143155167[[#Headers],[29]],tabela_registros[REGISTRO],DADOS!$N$4,tabela_registros[TIPO],DADOS!$P$4,tabela_registros[CATEGORIA],despesavariávelconsolidadodez[[#This Row],[DESPESA VARIÁVEL]])</f>
        <v>0</v>
      </c>
      <c r="AH62" s="91">
        <f>SUMIFS(tabela_registros[VALOR],tabela_registros[MÊS],$AE$1,tabela_registros[DIA],deztotal3059718395107119131143155167[[#Headers],[30]],tabela_registros[REGISTRO],DADOS!$N$4,tabela_registros[TIPO],DADOS!$P$4,tabela_registros[CATEGORIA],despesavariávelconsolidadodez[[#This Row],[DESPESA VARIÁVEL]])</f>
        <v>0</v>
      </c>
      <c r="AI62" s="101">
        <f>SUMIFS(tabela_registros[VALOR],tabela_registros[MÊS],$AE$1,tabela_registros[DIA],deztotal3059718395107119131143155167[[#Headers],[31]],tabela_registros[REGISTRO],DADOS!$N$4,tabela_registros[TIPO],DADOS!$P$4,tabela_registros[CATEGORIA],despesavariávelconsolidadodez[[#This Row],[DESPESA VARIÁVEL]])</f>
        <v>0</v>
      </c>
      <c r="AJ62" s="97">
        <f>SUM(despesavariávelconsolidadodez[[#This Row],[1]:[31]])</f>
        <v>0</v>
      </c>
      <c r="AK62" s="28"/>
    </row>
    <row r="63" spans="2:37" ht="18" customHeight="1" thickTop="1" thickBot="1" x14ac:dyDescent="0.3">
      <c r="B63" s="28"/>
      <c r="C63" s="27" t="str">
        <f>DADOS!$T$6</f>
        <v>💄 CUIDADOS PESSOAIS</v>
      </c>
      <c r="D63" s="26" t="str">
        <f>IF(despesavariávelconsolidadodez[[#This Row],[TOTAL]]=0,"",IF(OR(despesavariávelconsolidadodez[[#This Row],[TOTAL]]=LARGE($AJ$60:$AJ$72,1),despesavariávelconsolidadodez[[#This Row],[TOTAL]]=LARGE($AJ$60:$AJ$72,2),despesavariávelconsolidadodez[[#This Row],[TOTAL]]=LARGE($AJ$60:$AJ$72,3),despesavariávelconsolidadodez[[#This Row],[TOTAL]]=LARGE($AJ$60:$AJ$72,4),despesavariávelconsolidadodez[[#This Row],[TOTAL]]=LARGE($AJ$60:$AJ$72,5)),DADOS!$I$8,""))</f>
        <v/>
      </c>
      <c r="E63" s="96">
        <f>SUMIFS(tabela_registros[VALOR],tabela_registros[MÊS],$AE$1,tabela_registros[DIA],deztotal3059718395107119131143155167[[#Headers],[1]],tabela_registros[REGISTRO],DADOS!$N$4,tabela_registros[TIPO],DADOS!$P$4,tabela_registros[CATEGORIA],despesavariávelconsolidadodez[[#This Row],[DESPESA VARIÁVEL]])</f>
        <v>0</v>
      </c>
      <c r="F63" s="91">
        <f>SUMIFS(tabela_registros[VALOR],tabela_registros[MÊS],$AE$1,tabela_registros[DIA],deztotal3059718395107119131143155167[[#Headers],[2]],tabela_registros[REGISTRO],DADOS!$N$4,tabela_registros[TIPO],DADOS!$P$4,tabela_registros[CATEGORIA],despesavariávelconsolidadodez[[#This Row],[DESPESA VARIÁVEL]])</f>
        <v>0</v>
      </c>
      <c r="G63" s="91">
        <f>SUMIFS(tabela_registros[VALOR],tabela_registros[MÊS],$AE$1,tabela_registros[DIA],deztotal3059718395107119131143155167[[#Headers],[3]],tabela_registros[REGISTRO],DADOS!$N$4,tabela_registros[TIPO],DADOS!$P$4,tabela_registros[CATEGORIA],despesavariávelconsolidadodez[[#This Row],[DESPESA VARIÁVEL]])</f>
        <v>0</v>
      </c>
      <c r="H63" s="91">
        <f>SUMIFS(tabela_registros[VALOR],tabela_registros[MÊS],$AE$1,tabela_registros[DIA],deztotal3059718395107119131143155167[[#Headers],[4]],tabela_registros[REGISTRO],DADOS!$N$4,tabela_registros[TIPO],DADOS!$P$4,tabela_registros[CATEGORIA],despesavariávelconsolidadodez[[#This Row],[DESPESA VARIÁVEL]])</f>
        <v>0</v>
      </c>
      <c r="I63" s="91">
        <f>SUMIFS(tabela_registros[VALOR],tabela_registros[MÊS],$AE$1,tabela_registros[DIA],deztotal3059718395107119131143155167[[#Headers],[5]],tabela_registros[REGISTRO],DADOS!$N$4,tabela_registros[TIPO],DADOS!$P$4,tabela_registros[CATEGORIA],despesavariávelconsolidadodez[[#This Row],[DESPESA VARIÁVEL]])</f>
        <v>0</v>
      </c>
      <c r="J63" s="91">
        <f>SUMIFS(tabela_registros[VALOR],tabela_registros[MÊS],$AE$1,tabela_registros[DIA],deztotal3059718395107119131143155167[[#Headers],[6]],tabela_registros[REGISTRO],DADOS!$N$4,tabela_registros[TIPO],DADOS!$P$4,tabela_registros[CATEGORIA],despesavariávelconsolidadodez[[#This Row],[DESPESA VARIÁVEL]])</f>
        <v>0</v>
      </c>
      <c r="K63" s="91">
        <f>SUMIFS(tabela_registros[VALOR],tabela_registros[MÊS],$AE$1,tabela_registros[DIA],deztotal3059718395107119131143155167[[#Headers],[7]],tabela_registros[REGISTRO],DADOS!$N$4,tabela_registros[TIPO],DADOS!$P$4,tabela_registros[CATEGORIA],despesavariávelconsolidadodez[[#This Row],[DESPESA VARIÁVEL]])</f>
        <v>0</v>
      </c>
      <c r="L63" s="91">
        <f>SUMIFS(tabela_registros[VALOR],tabela_registros[MÊS],$AE$1,tabela_registros[DIA],deztotal3059718395107119131143155167[[#Headers],[8]],tabela_registros[REGISTRO],DADOS!$N$4,tabela_registros[TIPO],DADOS!$P$4,tabela_registros[CATEGORIA],despesavariávelconsolidadodez[[#This Row],[DESPESA VARIÁVEL]])</f>
        <v>0</v>
      </c>
      <c r="M63" s="91">
        <f>SUMIFS(tabela_registros[VALOR],tabela_registros[MÊS],$AE$1,tabela_registros[DIA],deztotal3059718395107119131143155167[[#Headers],[9]],tabela_registros[REGISTRO],DADOS!$N$4,tabela_registros[TIPO],DADOS!$P$4,tabela_registros[CATEGORIA],despesavariávelconsolidadodez[[#This Row],[DESPESA VARIÁVEL]])</f>
        <v>0</v>
      </c>
      <c r="N63" s="91">
        <f>SUMIFS(tabela_registros[VALOR],tabela_registros[MÊS],$AE$1,tabela_registros[DIA],deztotal3059718395107119131143155167[[#Headers],[10]],tabela_registros[REGISTRO],DADOS!$N$4,tabela_registros[TIPO],DADOS!$P$4,tabela_registros[CATEGORIA],despesavariávelconsolidadodez[[#This Row],[DESPESA VARIÁVEL]])</f>
        <v>0</v>
      </c>
      <c r="O63" s="91">
        <f>SUMIFS(tabela_registros[VALOR],tabela_registros[MÊS],$AE$1,tabela_registros[DIA],deztotal3059718395107119131143155167[[#Headers],[11]],tabela_registros[REGISTRO],DADOS!$N$4,tabela_registros[TIPO],DADOS!$P$4,tabela_registros[CATEGORIA],despesavariávelconsolidadodez[[#This Row],[DESPESA VARIÁVEL]])</f>
        <v>0</v>
      </c>
      <c r="P63" s="91">
        <f>SUMIFS(tabela_registros[VALOR],tabela_registros[MÊS],$AE$1,tabela_registros[DIA],deztotal3059718395107119131143155167[[#Headers],[12]],tabela_registros[REGISTRO],DADOS!$N$4,tabela_registros[TIPO],DADOS!$P$4,tabela_registros[CATEGORIA],despesavariávelconsolidadodez[[#This Row],[DESPESA VARIÁVEL]])</f>
        <v>0</v>
      </c>
      <c r="Q63" s="91">
        <f>SUMIFS(tabela_registros[VALOR],tabela_registros[MÊS],$AE$1,tabela_registros[DIA],deztotal3059718395107119131143155167[[#Headers],[13]],tabela_registros[REGISTRO],DADOS!$N$4,tabela_registros[TIPO],DADOS!$P$4,tabela_registros[CATEGORIA],despesavariávelconsolidadodez[[#This Row],[DESPESA VARIÁVEL]])</f>
        <v>0</v>
      </c>
      <c r="R63" s="91">
        <f>SUMIFS(tabela_registros[VALOR],tabela_registros[MÊS],$AE$1,tabela_registros[DIA],deztotal3059718395107119131143155167[[#Headers],[14]],tabela_registros[REGISTRO],DADOS!$N$4,tabela_registros[TIPO],DADOS!$P$4,tabela_registros[CATEGORIA],despesavariávelconsolidadodez[[#This Row],[DESPESA VARIÁVEL]])</f>
        <v>0</v>
      </c>
      <c r="S63" s="91">
        <f>SUMIFS(tabela_registros[VALOR],tabela_registros[MÊS],$AE$1,tabela_registros[DIA],deztotal3059718395107119131143155167[[#Headers],[15]],tabela_registros[REGISTRO],DADOS!$N$4,tabela_registros[TIPO],DADOS!$P$4,tabela_registros[CATEGORIA],despesavariávelconsolidadodez[[#This Row],[DESPESA VARIÁVEL]])</f>
        <v>0</v>
      </c>
      <c r="T63" s="91">
        <f>SUMIFS(tabela_registros[VALOR],tabela_registros[MÊS],$AE$1,tabela_registros[DIA],deztotal3059718395107119131143155167[[#Headers],[16]],tabela_registros[REGISTRO],DADOS!$N$4,tabela_registros[TIPO],DADOS!$P$4,tabela_registros[CATEGORIA],despesavariávelconsolidadodez[[#This Row],[DESPESA VARIÁVEL]])</f>
        <v>0</v>
      </c>
      <c r="U63" s="91">
        <f>SUMIFS(tabela_registros[VALOR],tabela_registros[MÊS],$AE$1,tabela_registros[DIA],deztotal3059718395107119131143155167[[#Headers],[17]],tabela_registros[REGISTRO],DADOS!$N$4,tabela_registros[TIPO],DADOS!$P$4,tabela_registros[CATEGORIA],despesavariávelconsolidadodez[[#This Row],[DESPESA VARIÁVEL]])</f>
        <v>0</v>
      </c>
      <c r="V63" s="91">
        <f>SUMIFS(tabela_registros[VALOR],tabela_registros[MÊS],$AE$1,tabela_registros[DIA],deztotal3059718395107119131143155167[[#Headers],[18]],tabela_registros[REGISTRO],DADOS!$N$4,tabela_registros[TIPO],DADOS!$P$4,tabela_registros[CATEGORIA],despesavariávelconsolidadodez[[#This Row],[DESPESA VARIÁVEL]])</f>
        <v>0</v>
      </c>
      <c r="W63" s="91">
        <f>SUMIFS(tabela_registros[VALOR],tabela_registros[MÊS],$AE$1,tabela_registros[DIA],deztotal3059718395107119131143155167[[#Headers],[19]],tabela_registros[REGISTRO],DADOS!$N$4,tabela_registros[TIPO],DADOS!$P$4,tabela_registros[CATEGORIA],despesavariávelconsolidadodez[[#This Row],[DESPESA VARIÁVEL]])</f>
        <v>0</v>
      </c>
      <c r="X63" s="91">
        <f>SUMIFS(tabela_registros[VALOR],tabela_registros[MÊS],$AE$1,tabela_registros[DIA],deztotal3059718395107119131143155167[[#Headers],[20]],tabela_registros[REGISTRO],DADOS!$N$4,tabela_registros[TIPO],DADOS!$P$4,tabela_registros[CATEGORIA],despesavariávelconsolidadodez[[#This Row],[DESPESA VARIÁVEL]])</f>
        <v>0</v>
      </c>
      <c r="Y63" s="91">
        <f>SUMIFS(tabela_registros[VALOR],tabela_registros[MÊS],$AE$1,tabela_registros[DIA],deztotal3059718395107119131143155167[[#Headers],[21]],tabela_registros[REGISTRO],DADOS!$N$4,tabela_registros[TIPO],DADOS!$P$4,tabela_registros[CATEGORIA],despesavariávelconsolidadodez[[#This Row],[DESPESA VARIÁVEL]])</f>
        <v>0</v>
      </c>
      <c r="Z63" s="91">
        <f>SUMIFS(tabela_registros[VALOR],tabela_registros[MÊS],$AE$1,tabela_registros[DIA],deztotal3059718395107119131143155167[[#Headers],[22]],tabela_registros[REGISTRO],DADOS!$N$4,tabela_registros[TIPO],DADOS!$P$4,tabela_registros[CATEGORIA],despesavariávelconsolidadodez[[#This Row],[DESPESA VARIÁVEL]])</f>
        <v>0</v>
      </c>
      <c r="AA63" s="91">
        <f>SUMIFS(tabela_registros[VALOR],tabela_registros[MÊS],$AE$1,tabela_registros[DIA],deztotal3059718395107119131143155167[[#Headers],[23]],tabela_registros[REGISTRO],DADOS!$N$4,tabela_registros[TIPO],DADOS!$P$4,tabela_registros[CATEGORIA],despesavariávelconsolidadodez[[#This Row],[DESPESA VARIÁVEL]])</f>
        <v>0</v>
      </c>
      <c r="AB63" s="91">
        <f>SUMIFS(tabela_registros[VALOR],tabela_registros[MÊS],$AE$1,tabela_registros[DIA],deztotal3059718395107119131143155167[[#Headers],[24]],tabela_registros[REGISTRO],DADOS!$N$4,tabela_registros[TIPO],DADOS!$P$4,tabela_registros[CATEGORIA],despesavariávelconsolidadodez[[#This Row],[DESPESA VARIÁVEL]])</f>
        <v>0</v>
      </c>
      <c r="AC63" s="91">
        <f>SUMIFS(tabela_registros[VALOR],tabela_registros[MÊS],$AE$1,tabela_registros[DIA],deztotal3059718395107119131143155167[[#Headers],[25]],tabela_registros[REGISTRO],DADOS!$N$4,tabela_registros[TIPO],DADOS!$P$4,tabela_registros[CATEGORIA],despesavariávelconsolidadodez[[#This Row],[DESPESA VARIÁVEL]])</f>
        <v>0</v>
      </c>
      <c r="AD63" s="91">
        <f>SUMIFS(tabela_registros[VALOR],tabela_registros[MÊS],$AE$1,tabela_registros[DIA],deztotal3059718395107119131143155167[[#Headers],[26]],tabela_registros[REGISTRO],DADOS!$N$4,tabela_registros[TIPO],DADOS!$P$4,tabela_registros[CATEGORIA],despesavariávelconsolidadodez[[#This Row],[DESPESA VARIÁVEL]])</f>
        <v>0</v>
      </c>
      <c r="AE63" s="91">
        <f>SUMIFS(tabela_registros[VALOR],tabela_registros[MÊS],$AE$1,tabela_registros[DIA],deztotal3059718395107119131143155167[[#Headers],[27]],tabela_registros[REGISTRO],DADOS!$N$4,tabela_registros[TIPO],DADOS!$P$4,tabela_registros[CATEGORIA],despesavariávelconsolidadodez[[#This Row],[DESPESA VARIÁVEL]])</f>
        <v>0</v>
      </c>
      <c r="AF63" s="91">
        <f>SUMIFS(tabela_registros[VALOR],tabela_registros[MÊS],$AE$1,tabela_registros[DIA],deztotal3059718395107119131143155167[[#Headers],[28]],tabela_registros[REGISTRO],DADOS!$N$4,tabela_registros[TIPO],DADOS!$P$4,tabela_registros[CATEGORIA],despesavariávelconsolidadodez[[#This Row],[DESPESA VARIÁVEL]])</f>
        <v>0</v>
      </c>
      <c r="AG63" s="91">
        <f>SUMIFS(tabela_registros[VALOR],tabela_registros[MÊS],$AE$1,tabela_registros[DIA],deztotal3059718395107119131143155167[[#Headers],[29]],tabela_registros[REGISTRO],DADOS!$N$4,tabela_registros[TIPO],DADOS!$P$4,tabela_registros[CATEGORIA],despesavariávelconsolidadodez[[#This Row],[DESPESA VARIÁVEL]])</f>
        <v>0</v>
      </c>
      <c r="AH63" s="91">
        <f>SUMIFS(tabela_registros[VALOR],tabela_registros[MÊS],$AE$1,tabela_registros[DIA],deztotal3059718395107119131143155167[[#Headers],[30]],tabela_registros[REGISTRO],DADOS!$N$4,tabela_registros[TIPO],DADOS!$P$4,tabela_registros[CATEGORIA],despesavariávelconsolidadodez[[#This Row],[DESPESA VARIÁVEL]])</f>
        <v>0</v>
      </c>
      <c r="AI63" s="101">
        <f>SUMIFS(tabela_registros[VALOR],tabela_registros[MÊS],$AE$1,tabela_registros[DIA],deztotal3059718395107119131143155167[[#Headers],[31]],tabela_registros[REGISTRO],DADOS!$N$4,tabela_registros[TIPO],DADOS!$P$4,tabela_registros[CATEGORIA],despesavariávelconsolidadodez[[#This Row],[DESPESA VARIÁVEL]])</f>
        <v>0</v>
      </c>
      <c r="AJ63" s="97">
        <f>SUM(despesavariávelconsolidadodez[[#This Row],[1]:[31]])</f>
        <v>0</v>
      </c>
      <c r="AK63" s="28"/>
    </row>
    <row r="64" spans="2:37" ht="18" customHeight="1" thickTop="1" thickBot="1" x14ac:dyDescent="0.3">
      <c r="B64" s="28"/>
      <c r="C64" s="27" t="str">
        <f>DADOS!$T$7</f>
        <v>🤝 DOAÇÃO</v>
      </c>
      <c r="D64" s="26" t="str">
        <f>IF(despesavariávelconsolidadodez[[#This Row],[TOTAL]]=0,"",IF(OR(despesavariávelconsolidadodez[[#This Row],[TOTAL]]=LARGE($AJ$60:$AJ$72,1),despesavariávelconsolidadodez[[#This Row],[TOTAL]]=LARGE($AJ$60:$AJ$72,2),despesavariávelconsolidadodez[[#This Row],[TOTAL]]=LARGE($AJ$60:$AJ$72,3),despesavariávelconsolidadodez[[#This Row],[TOTAL]]=LARGE($AJ$60:$AJ$72,4),despesavariávelconsolidadodez[[#This Row],[TOTAL]]=LARGE($AJ$60:$AJ$72,5)),DADOS!$I$8,""))</f>
        <v/>
      </c>
      <c r="E64" s="96">
        <f>SUMIFS(tabela_registros[VALOR],tabela_registros[MÊS],$AE$1,tabela_registros[DIA],deztotal3059718395107119131143155167[[#Headers],[1]],tabela_registros[REGISTRO],DADOS!$N$4,tabela_registros[TIPO],DADOS!$P$4,tabela_registros[CATEGORIA],despesavariávelconsolidadodez[[#This Row],[DESPESA VARIÁVEL]])</f>
        <v>0</v>
      </c>
      <c r="F64" s="91">
        <f>SUMIFS(tabela_registros[VALOR],tabela_registros[MÊS],$AE$1,tabela_registros[DIA],deztotal3059718395107119131143155167[[#Headers],[2]],tabela_registros[REGISTRO],DADOS!$N$4,tabela_registros[TIPO],DADOS!$P$4,tabela_registros[CATEGORIA],despesavariávelconsolidadodez[[#This Row],[DESPESA VARIÁVEL]])</f>
        <v>0</v>
      </c>
      <c r="G64" s="91">
        <f>SUMIFS(tabela_registros[VALOR],tabela_registros[MÊS],$AE$1,tabela_registros[DIA],deztotal3059718395107119131143155167[[#Headers],[3]],tabela_registros[REGISTRO],DADOS!$N$4,tabela_registros[TIPO],DADOS!$P$4,tabela_registros[CATEGORIA],despesavariávelconsolidadodez[[#This Row],[DESPESA VARIÁVEL]])</f>
        <v>0</v>
      </c>
      <c r="H64" s="91">
        <f>SUMIFS(tabela_registros[VALOR],tabela_registros[MÊS],$AE$1,tabela_registros[DIA],deztotal3059718395107119131143155167[[#Headers],[4]],tabela_registros[REGISTRO],DADOS!$N$4,tabela_registros[TIPO],DADOS!$P$4,tabela_registros[CATEGORIA],despesavariávelconsolidadodez[[#This Row],[DESPESA VARIÁVEL]])</f>
        <v>0</v>
      </c>
      <c r="I64" s="91">
        <f>SUMIFS(tabela_registros[VALOR],tabela_registros[MÊS],$AE$1,tabela_registros[DIA],deztotal3059718395107119131143155167[[#Headers],[5]],tabela_registros[REGISTRO],DADOS!$N$4,tabela_registros[TIPO],DADOS!$P$4,tabela_registros[CATEGORIA],despesavariávelconsolidadodez[[#This Row],[DESPESA VARIÁVEL]])</f>
        <v>0</v>
      </c>
      <c r="J64" s="91">
        <f>SUMIFS(tabela_registros[VALOR],tabela_registros[MÊS],$AE$1,tabela_registros[DIA],deztotal3059718395107119131143155167[[#Headers],[6]],tabela_registros[REGISTRO],DADOS!$N$4,tabela_registros[TIPO],DADOS!$P$4,tabela_registros[CATEGORIA],despesavariávelconsolidadodez[[#This Row],[DESPESA VARIÁVEL]])</f>
        <v>0</v>
      </c>
      <c r="K64" s="91">
        <f>SUMIFS(tabela_registros[VALOR],tabela_registros[MÊS],$AE$1,tabela_registros[DIA],deztotal3059718395107119131143155167[[#Headers],[7]],tabela_registros[REGISTRO],DADOS!$N$4,tabela_registros[TIPO],DADOS!$P$4,tabela_registros[CATEGORIA],despesavariávelconsolidadodez[[#This Row],[DESPESA VARIÁVEL]])</f>
        <v>0</v>
      </c>
      <c r="L64" s="91">
        <f>SUMIFS(tabela_registros[VALOR],tabela_registros[MÊS],$AE$1,tabela_registros[DIA],deztotal3059718395107119131143155167[[#Headers],[8]],tabela_registros[REGISTRO],DADOS!$N$4,tabela_registros[TIPO],DADOS!$P$4,tabela_registros[CATEGORIA],despesavariávelconsolidadodez[[#This Row],[DESPESA VARIÁVEL]])</f>
        <v>0</v>
      </c>
      <c r="M64" s="91">
        <f>SUMIFS(tabela_registros[VALOR],tabela_registros[MÊS],$AE$1,tabela_registros[DIA],deztotal3059718395107119131143155167[[#Headers],[9]],tabela_registros[REGISTRO],DADOS!$N$4,tabela_registros[TIPO],DADOS!$P$4,tabela_registros[CATEGORIA],despesavariávelconsolidadodez[[#This Row],[DESPESA VARIÁVEL]])</f>
        <v>0</v>
      </c>
      <c r="N64" s="91">
        <f>SUMIFS(tabela_registros[VALOR],tabela_registros[MÊS],$AE$1,tabela_registros[DIA],deztotal3059718395107119131143155167[[#Headers],[10]],tabela_registros[REGISTRO],DADOS!$N$4,tabela_registros[TIPO],DADOS!$P$4,tabela_registros[CATEGORIA],despesavariávelconsolidadodez[[#This Row],[DESPESA VARIÁVEL]])</f>
        <v>0</v>
      </c>
      <c r="O64" s="91">
        <f>SUMIFS(tabela_registros[VALOR],tabela_registros[MÊS],$AE$1,tabela_registros[DIA],deztotal3059718395107119131143155167[[#Headers],[11]],tabela_registros[REGISTRO],DADOS!$N$4,tabela_registros[TIPO],DADOS!$P$4,tabela_registros[CATEGORIA],despesavariávelconsolidadodez[[#This Row],[DESPESA VARIÁVEL]])</f>
        <v>0</v>
      </c>
      <c r="P64" s="91">
        <f>SUMIFS(tabela_registros[VALOR],tabela_registros[MÊS],$AE$1,tabela_registros[DIA],deztotal3059718395107119131143155167[[#Headers],[12]],tabela_registros[REGISTRO],DADOS!$N$4,tabela_registros[TIPO],DADOS!$P$4,tabela_registros[CATEGORIA],despesavariávelconsolidadodez[[#This Row],[DESPESA VARIÁVEL]])</f>
        <v>0</v>
      </c>
      <c r="Q64" s="91">
        <f>SUMIFS(tabela_registros[VALOR],tabela_registros[MÊS],$AE$1,tabela_registros[DIA],deztotal3059718395107119131143155167[[#Headers],[13]],tabela_registros[REGISTRO],DADOS!$N$4,tabela_registros[TIPO],DADOS!$P$4,tabela_registros[CATEGORIA],despesavariávelconsolidadodez[[#This Row],[DESPESA VARIÁVEL]])</f>
        <v>0</v>
      </c>
      <c r="R64" s="91">
        <f>SUMIFS(tabela_registros[VALOR],tabela_registros[MÊS],$AE$1,tabela_registros[DIA],deztotal3059718395107119131143155167[[#Headers],[14]],tabela_registros[REGISTRO],DADOS!$N$4,tabela_registros[TIPO],DADOS!$P$4,tabela_registros[CATEGORIA],despesavariávelconsolidadodez[[#This Row],[DESPESA VARIÁVEL]])</f>
        <v>0</v>
      </c>
      <c r="S64" s="91">
        <f>SUMIFS(tabela_registros[VALOR],tabela_registros[MÊS],$AE$1,tabela_registros[DIA],deztotal3059718395107119131143155167[[#Headers],[15]],tabela_registros[REGISTRO],DADOS!$N$4,tabela_registros[TIPO],DADOS!$P$4,tabela_registros[CATEGORIA],despesavariávelconsolidadodez[[#This Row],[DESPESA VARIÁVEL]])</f>
        <v>0</v>
      </c>
      <c r="T64" s="91">
        <f>SUMIFS(tabela_registros[VALOR],tabela_registros[MÊS],$AE$1,tabela_registros[DIA],deztotal3059718395107119131143155167[[#Headers],[16]],tabela_registros[REGISTRO],DADOS!$N$4,tabela_registros[TIPO],DADOS!$P$4,tabela_registros[CATEGORIA],despesavariávelconsolidadodez[[#This Row],[DESPESA VARIÁVEL]])</f>
        <v>0</v>
      </c>
      <c r="U64" s="91">
        <f>SUMIFS(tabela_registros[VALOR],tabela_registros[MÊS],$AE$1,tabela_registros[DIA],deztotal3059718395107119131143155167[[#Headers],[17]],tabela_registros[REGISTRO],DADOS!$N$4,tabela_registros[TIPO],DADOS!$P$4,tabela_registros[CATEGORIA],despesavariávelconsolidadodez[[#This Row],[DESPESA VARIÁVEL]])</f>
        <v>0</v>
      </c>
      <c r="V64" s="91">
        <f>SUMIFS(tabela_registros[VALOR],tabela_registros[MÊS],$AE$1,tabela_registros[DIA],deztotal3059718395107119131143155167[[#Headers],[18]],tabela_registros[REGISTRO],DADOS!$N$4,tabela_registros[TIPO],DADOS!$P$4,tabela_registros[CATEGORIA],despesavariávelconsolidadodez[[#This Row],[DESPESA VARIÁVEL]])</f>
        <v>0</v>
      </c>
      <c r="W64" s="91">
        <f>SUMIFS(tabela_registros[VALOR],tabela_registros[MÊS],$AE$1,tabela_registros[DIA],deztotal3059718395107119131143155167[[#Headers],[19]],tabela_registros[REGISTRO],DADOS!$N$4,tabela_registros[TIPO],DADOS!$P$4,tabela_registros[CATEGORIA],despesavariávelconsolidadodez[[#This Row],[DESPESA VARIÁVEL]])</f>
        <v>0</v>
      </c>
      <c r="X64" s="91">
        <f>SUMIFS(tabela_registros[VALOR],tabela_registros[MÊS],$AE$1,tabela_registros[DIA],deztotal3059718395107119131143155167[[#Headers],[20]],tabela_registros[REGISTRO],DADOS!$N$4,tabela_registros[TIPO],DADOS!$P$4,tabela_registros[CATEGORIA],despesavariávelconsolidadodez[[#This Row],[DESPESA VARIÁVEL]])</f>
        <v>0</v>
      </c>
      <c r="Y64" s="91">
        <f>SUMIFS(tabela_registros[VALOR],tabela_registros[MÊS],$AE$1,tabela_registros[DIA],deztotal3059718395107119131143155167[[#Headers],[21]],tabela_registros[REGISTRO],DADOS!$N$4,tabela_registros[TIPO],DADOS!$P$4,tabela_registros[CATEGORIA],despesavariávelconsolidadodez[[#This Row],[DESPESA VARIÁVEL]])</f>
        <v>0</v>
      </c>
      <c r="Z64" s="91">
        <f>SUMIFS(tabela_registros[VALOR],tabela_registros[MÊS],$AE$1,tabela_registros[DIA],deztotal3059718395107119131143155167[[#Headers],[22]],tabela_registros[REGISTRO],DADOS!$N$4,tabela_registros[TIPO],DADOS!$P$4,tabela_registros[CATEGORIA],despesavariávelconsolidadodez[[#This Row],[DESPESA VARIÁVEL]])</f>
        <v>0</v>
      </c>
      <c r="AA64" s="91">
        <f>SUMIFS(tabela_registros[VALOR],tabela_registros[MÊS],$AE$1,tabela_registros[DIA],deztotal3059718395107119131143155167[[#Headers],[23]],tabela_registros[REGISTRO],DADOS!$N$4,tabela_registros[TIPO],DADOS!$P$4,tabela_registros[CATEGORIA],despesavariávelconsolidadodez[[#This Row],[DESPESA VARIÁVEL]])</f>
        <v>0</v>
      </c>
      <c r="AB64" s="91">
        <f>SUMIFS(tabela_registros[VALOR],tabela_registros[MÊS],$AE$1,tabela_registros[DIA],deztotal3059718395107119131143155167[[#Headers],[24]],tabela_registros[REGISTRO],DADOS!$N$4,tabela_registros[TIPO],DADOS!$P$4,tabela_registros[CATEGORIA],despesavariávelconsolidadodez[[#This Row],[DESPESA VARIÁVEL]])</f>
        <v>0</v>
      </c>
      <c r="AC64" s="91">
        <f>SUMIFS(tabela_registros[VALOR],tabela_registros[MÊS],$AE$1,tabela_registros[DIA],deztotal3059718395107119131143155167[[#Headers],[25]],tabela_registros[REGISTRO],DADOS!$N$4,tabela_registros[TIPO],DADOS!$P$4,tabela_registros[CATEGORIA],despesavariávelconsolidadodez[[#This Row],[DESPESA VARIÁVEL]])</f>
        <v>0</v>
      </c>
      <c r="AD64" s="91">
        <f>SUMIFS(tabela_registros[VALOR],tabela_registros[MÊS],$AE$1,tabela_registros[DIA],deztotal3059718395107119131143155167[[#Headers],[26]],tabela_registros[REGISTRO],DADOS!$N$4,tabela_registros[TIPO],DADOS!$P$4,tabela_registros[CATEGORIA],despesavariávelconsolidadodez[[#This Row],[DESPESA VARIÁVEL]])</f>
        <v>0</v>
      </c>
      <c r="AE64" s="91">
        <f>SUMIFS(tabela_registros[VALOR],tabela_registros[MÊS],$AE$1,tabela_registros[DIA],deztotal3059718395107119131143155167[[#Headers],[27]],tabela_registros[REGISTRO],DADOS!$N$4,tabela_registros[TIPO],DADOS!$P$4,tabela_registros[CATEGORIA],despesavariávelconsolidadodez[[#This Row],[DESPESA VARIÁVEL]])</f>
        <v>0</v>
      </c>
      <c r="AF64" s="91">
        <f>SUMIFS(tabela_registros[VALOR],tabela_registros[MÊS],$AE$1,tabela_registros[DIA],deztotal3059718395107119131143155167[[#Headers],[28]],tabela_registros[REGISTRO],DADOS!$N$4,tabela_registros[TIPO],DADOS!$P$4,tabela_registros[CATEGORIA],despesavariávelconsolidadodez[[#This Row],[DESPESA VARIÁVEL]])</f>
        <v>0</v>
      </c>
      <c r="AG64" s="91">
        <f>SUMIFS(tabela_registros[VALOR],tabela_registros[MÊS],$AE$1,tabela_registros[DIA],deztotal3059718395107119131143155167[[#Headers],[29]],tabela_registros[REGISTRO],DADOS!$N$4,tabela_registros[TIPO],DADOS!$P$4,tabela_registros[CATEGORIA],despesavariávelconsolidadodez[[#This Row],[DESPESA VARIÁVEL]])</f>
        <v>0</v>
      </c>
      <c r="AH64" s="91">
        <f>SUMIFS(tabela_registros[VALOR],tabela_registros[MÊS],$AE$1,tabela_registros[DIA],deztotal3059718395107119131143155167[[#Headers],[30]],tabela_registros[REGISTRO],DADOS!$N$4,tabela_registros[TIPO],DADOS!$P$4,tabela_registros[CATEGORIA],despesavariávelconsolidadodez[[#This Row],[DESPESA VARIÁVEL]])</f>
        <v>0</v>
      </c>
      <c r="AI64" s="101">
        <f>SUMIFS(tabela_registros[VALOR],tabela_registros[MÊS],$AE$1,tabela_registros[DIA],deztotal3059718395107119131143155167[[#Headers],[31]],tabela_registros[REGISTRO],DADOS!$N$4,tabela_registros[TIPO],DADOS!$P$4,tabela_registros[CATEGORIA],despesavariávelconsolidadodez[[#This Row],[DESPESA VARIÁVEL]])</f>
        <v>0</v>
      </c>
      <c r="AJ64" s="97">
        <f>SUM(despesavariávelconsolidadodez[[#This Row],[1]:[31]])</f>
        <v>0</v>
      </c>
      <c r="AK64" s="28"/>
    </row>
    <row r="65" spans="2:37" ht="18" customHeight="1" thickTop="1" thickBot="1" x14ac:dyDescent="0.3">
      <c r="B65" s="28"/>
      <c r="C65" s="27" t="str">
        <f>DADOS!$T$8</f>
        <v>📖 EDUCAÇÃO</v>
      </c>
      <c r="D65" s="26" t="str">
        <f>IF(despesavariávelconsolidadodez[[#This Row],[TOTAL]]=0,"",IF(OR(despesavariávelconsolidadodez[[#This Row],[TOTAL]]=LARGE($AJ$60:$AJ$72,1),despesavariávelconsolidadodez[[#This Row],[TOTAL]]=LARGE($AJ$60:$AJ$72,2),despesavariávelconsolidadodez[[#This Row],[TOTAL]]=LARGE($AJ$60:$AJ$72,3),despesavariávelconsolidadodez[[#This Row],[TOTAL]]=LARGE($AJ$60:$AJ$72,4),despesavariávelconsolidadodez[[#This Row],[TOTAL]]=LARGE($AJ$60:$AJ$72,5)),DADOS!$I$8,""))</f>
        <v/>
      </c>
      <c r="E65" s="96">
        <f>SUMIFS(tabela_registros[VALOR],tabela_registros[MÊS],$AE$1,tabela_registros[DIA],deztotal3059718395107119131143155167[[#Headers],[1]],tabela_registros[REGISTRO],DADOS!$N$4,tabela_registros[TIPO],DADOS!$P$4,tabela_registros[CATEGORIA],despesavariávelconsolidadodez[[#This Row],[DESPESA VARIÁVEL]])</f>
        <v>0</v>
      </c>
      <c r="F65" s="91">
        <f>SUMIFS(tabela_registros[VALOR],tabela_registros[MÊS],$AE$1,tabela_registros[DIA],deztotal3059718395107119131143155167[[#Headers],[2]],tabela_registros[REGISTRO],DADOS!$N$4,tabela_registros[TIPO],DADOS!$P$4,tabela_registros[CATEGORIA],despesavariávelconsolidadodez[[#This Row],[DESPESA VARIÁVEL]])</f>
        <v>0</v>
      </c>
      <c r="G65" s="91">
        <f>SUMIFS(tabela_registros[VALOR],tabela_registros[MÊS],$AE$1,tabela_registros[DIA],deztotal3059718395107119131143155167[[#Headers],[3]],tabela_registros[REGISTRO],DADOS!$N$4,tabela_registros[TIPO],DADOS!$P$4,tabela_registros[CATEGORIA],despesavariávelconsolidadodez[[#This Row],[DESPESA VARIÁVEL]])</f>
        <v>0</v>
      </c>
      <c r="H65" s="91">
        <f>SUMIFS(tabela_registros[VALOR],tabela_registros[MÊS],$AE$1,tabela_registros[DIA],deztotal3059718395107119131143155167[[#Headers],[4]],tabela_registros[REGISTRO],DADOS!$N$4,tabela_registros[TIPO],DADOS!$P$4,tabela_registros[CATEGORIA],despesavariávelconsolidadodez[[#This Row],[DESPESA VARIÁVEL]])</f>
        <v>0</v>
      </c>
      <c r="I65" s="91">
        <f>SUMIFS(tabela_registros[VALOR],tabela_registros[MÊS],$AE$1,tabela_registros[DIA],deztotal3059718395107119131143155167[[#Headers],[5]],tabela_registros[REGISTRO],DADOS!$N$4,tabela_registros[TIPO],DADOS!$P$4,tabela_registros[CATEGORIA],despesavariávelconsolidadodez[[#This Row],[DESPESA VARIÁVEL]])</f>
        <v>0</v>
      </c>
      <c r="J65" s="91">
        <f>SUMIFS(tabela_registros[VALOR],tabela_registros[MÊS],$AE$1,tabela_registros[DIA],deztotal3059718395107119131143155167[[#Headers],[6]],tabela_registros[REGISTRO],DADOS!$N$4,tabela_registros[TIPO],DADOS!$P$4,tabela_registros[CATEGORIA],despesavariávelconsolidadodez[[#This Row],[DESPESA VARIÁVEL]])</f>
        <v>0</v>
      </c>
      <c r="K65" s="91">
        <f>SUMIFS(tabela_registros[VALOR],tabela_registros[MÊS],$AE$1,tabela_registros[DIA],deztotal3059718395107119131143155167[[#Headers],[7]],tabela_registros[REGISTRO],DADOS!$N$4,tabela_registros[TIPO],DADOS!$P$4,tabela_registros[CATEGORIA],despesavariávelconsolidadodez[[#This Row],[DESPESA VARIÁVEL]])</f>
        <v>0</v>
      </c>
      <c r="L65" s="91">
        <f>SUMIFS(tabela_registros[VALOR],tabela_registros[MÊS],$AE$1,tabela_registros[DIA],deztotal3059718395107119131143155167[[#Headers],[8]],tabela_registros[REGISTRO],DADOS!$N$4,tabela_registros[TIPO],DADOS!$P$4,tabela_registros[CATEGORIA],despesavariávelconsolidadodez[[#This Row],[DESPESA VARIÁVEL]])</f>
        <v>0</v>
      </c>
      <c r="M65" s="91">
        <f>SUMIFS(tabela_registros[VALOR],tabela_registros[MÊS],$AE$1,tabela_registros[DIA],deztotal3059718395107119131143155167[[#Headers],[9]],tabela_registros[REGISTRO],DADOS!$N$4,tabela_registros[TIPO],DADOS!$P$4,tabela_registros[CATEGORIA],despesavariávelconsolidadodez[[#This Row],[DESPESA VARIÁVEL]])</f>
        <v>0</v>
      </c>
      <c r="N65" s="91">
        <f>SUMIFS(tabela_registros[VALOR],tabela_registros[MÊS],$AE$1,tabela_registros[DIA],deztotal3059718395107119131143155167[[#Headers],[10]],tabela_registros[REGISTRO],DADOS!$N$4,tabela_registros[TIPO],DADOS!$P$4,tabela_registros[CATEGORIA],despesavariávelconsolidadodez[[#This Row],[DESPESA VARIÁVEL]])</f>
        <v>0</v>
      </c>
      <c r="O65" s="91">
        <f>SUMIFS(tabela_registros[VALOR],tabela_registros[MÊS],$AE$1,tabela_registros[DIA],deztotal3059718395107119131143155167[[#Headers],[11]],tabela_registros[REGISTRO],DADOS!$N$4,tabela_registros[TIPO],DADOS!$P$4,tabela_registros[CATEGORIA],despesavariávelconsolidadodez[[#This Row],[DESPESA VARIÁVEL]])</f>
        <v>0</v>
      </c>
      <c r="P65" s="91">
        <f>SUMIFS(tabela_registros[VALOR],tabela_registros[MÊS],$AE$1,tabela_registros[DIA],deztotal3059718395107119131143155167[[#Headers],[12]],tabela_registros[REGISTRO],DADOS!$N$4,tabela_registros[TIPO],DADOS!$P$4,tabela_registros[CATEGORIA],despesavariávelconsolidadodez[[#This Row],[DESPESA VARIÁVEL]])</f>
        <v>0</v>
      </c>
      <c r="Q65" s="91">
        <f>SUMIFS(tabela_registros[VALOR],tabela_registros[MÊS],$AE$1,tabela_registros[DIA],deztotal3059718395107119131143155167[[#Headers],[13]],tabela_registros[REGISTRO],DADOS!$N$4,tabela_registros[TIPO],DADOS!$P$4,tabela_registros[CATEGORIA],despesavariávelconsolidadodez[[#This Row],[DESPESA VARIÁVEL]])</f>
        <v>0</v>
      </c>
      <c r="R65" s="91">
        <f>SUMIFS(tabela_registros[VALOR],tabela_registros[MÊS],$AE$1,tabela_registros[DIA],deztotal3059718395107119131143155167[[#Headers],[14]],tabela_registros[REGISTRO],DADOS!$N$4,tabela_registros[TIPO],DADOS!$P$4,tabela_registros[CATEGORIA],despesavariávelconsolidadodez[[#This Row],[DESPESA VARIÁVEL]])</f>
        <v>0</v>
      </c>
      <c r="S65" s="91">
        <f>SUMIFS(tabela_registros[VALOR],tabela_registros[MÊS],$AE$1,tabela_registros[DIA],deztotal3059718395107119131143155167[[#Headers],[15]],tabela_registros[REGISTRO],DADOS!$N$4,tabela_registros[TIPO],DADOS!$P$4,tabela_registros[CATEGORIA],despesavariávelconsolidadodez[[#This Row],[DESPESA VARIÁVEL]])</f>
        <v>0</v>
      </c>
      <c r="T65" s="91">
        <f>SUMIFS(tabela_registros[VALOR],tabela_registros[MÊS],$AE$1,tabela_registros[DIA],deztotal3059718395107119131143155167[[#Headers],[16]],tabela_registros[REGISTRO],DADOS!$N$4,tabela_registros[TIPO],DADOS!$P$4,tabela_registros[CATEGORIA],despesavariávelconsolidadodez[[#This Row],[DESPESA VARIÁVEL]])</f>
        <v>0</v>
      </c>
      <c r="U65" s="91">
        <f>SUMIFS(tabela_registros[VALOR],tabela_registros[MÊS],$AE$1,tabela_registros[DIA],deztotal3059718395107119131143155167[[#Headers],[17]],tabela_registros[REGISTRO],DADOS!$N$4,tabela_registros[TIPO],DADOS!$P$4,tabela_registros[CATEGORIA],despesavariávelconsolidadodez[[#This Row],[DESPESA VARIÁVEL]])</f>
        <v>0</v>
      </c>
      <c r="V65" s="91">
        <f>SUMIFS(tabela_registros[VALOR],tabela_registros[MÊS],$AE$1,tabela_registros[DIA],deztotal3059718395107119131143155167[[#Headers],[18]],tabela_registros[REGISTRO],DADOS!$N$4,tabela_registros[TIPO],DADOS!$P$4,tabela_registros[CATEGORIA],despesavariávelconsolidadodez[[#This Row],[DESPESA VARIÁVEL]])</f>
        <v>0</v>
      </c>
      <c r="W65" s="91">
        <f>SUMIFS(tabela_registros[VALOR],tabela_registros[MÊS],$AE$1,tabela_registros[DIA],deztotal3059718395107119131143155167[[#Headers],[19]],tabela_registros[REGISTRO],DADOS!$N$4,tabela_registros[TIPO],DADOS!$P$4,tabela_registros[CATEGORIA],despesavariávelconsolidadodez[[#This Row],[DESPESA VARIÁVEL]])</f>
        <v>0</v>
      </c>
      <c r="X65" s="91">
        <f>SUMIFS(tabela_registros[VALOR],tabela_registros[MÊS],$AE$1,tabela_registros[DIA],deztotal3059718395107119131143155167[[#Headers],[20]],tabela_registros[REGISTRO],DADOS!$N$4,tabela_registros[TIPO],DADOS!$P$4,tabela_registros[CATEGORIA],despesavariávelconsolidadodez[[#This Row],[DESPESA VARIÁVEL]])</f>
        <v>0</v>
      </c>
      <c r="Y65" s="91">
        <f>SUMIFS(tabela_registros[VALOR],tabela_registros[MÊS],$AE$1,tabela_registros[DIA],deztotal3059718395107119131143155167[[#Headers],[21]],tabela_registros[REGISTRO],DADOS!$N$4,tabela_registros[TIPO],DADOS!$P$4,tabela_registros[CATEGORIA],despesavariávelconsolidadodez[[#This Row],[DESPESA VARIÁVEL]])</f>
        <v>0</v>
      </c>
      <c r="Z65" s="91">
        <f>SUMIFS(tabela_registros[VALOR],tabela_registros[MÊS],$AE$1,tabela_registros[DIA],deztotal3059718395107119131143155167[[#Headers],[22]],tabela_registros[REGISTRO],DADOS!$N$4,tabela_registros[TIPO],DADOS!$P$4,tabela_registros[CATEGORIA],despesavariávelconsolidadodez[[#This Row],[DESPESA VARIÁVEL]])</f>
        <v>0</v>
      </c>
      <c r="AA65" s="91">
        <f>SUMIFS(tabela_registros[VALOR],tabela_registros[MÊS],$AE$1,tabela_registros[DIA],deztotal3059718395107119131143155167[[#Headers],[23]],tabela_registros[REGISTRO],DADOS!$N$4,tabela_registros[TIPO],DADOS!$P$4,tabela_registros[CATEGORIA],despesavariávelconsolidadodez[[#This Row],[DESPESA VARIÁVEL]])</f>
        <v>0</v>
      </c>
      <c r="AB65" s="91">
        <f>SUMIFS(tabela_registros[VALOR],tabela_registros[MÊS],$AE$1,tabela_registros[DIA],deztotal3059718395107119131143155167[[#Headers],[24]],tabela_registros[REGISTRO],DADOS!$N$4,tabela_registros[TIPO],DADOS!$P$4,tabela_registros[CATEGORIA],despesavariávelconsolidadodez[[#This Row],[DESPESA VARIÁVEL]])</f>
        <v>0</v>
      </c>
      <c r="AC65" s="91">
        <f>SUMIFS(tabela_registros[VALOR],tabela_registros[MÊS],$AE$1,tabela_registros[DIA],deztotal3059718395107119131143155167[[#Headers],[25]],tabela_registros[REGISTRO],DADOS!$N$4,tabela_registros[TIPO],DADOS!$P$4,tabela_registros[CATEGORIA],despesavariávelconsolidadodez[[#This Row],[DESPESA VARIÁVEL]])</f>
        <v>0</v>
      </c>
      <c r="AD65" s="91">
        <f>SUMIFS(tabela_registros[VALOR],tabela_registros[MÊS],$AE$1,tabela_registros[DIA],deztotal3059718395107119131143155167[[#Headers],[26]],tabela_registros[REGISTRO],DADOS!$N$4,tabela_registros[TIPO],DADOS!$P$4,tabela_registros[CATEGORIA],despesavariávelconsolidadodez[[#This Row],[DESPESA VARIÁVEL]])</f>
        <v>0</v>
      </c>
      <c r="AE65" s="91">
        <f>SUMIFS(tabela_registros[VALOR],tabela_registros[MÊS],$AE$1,tabela_registros[DIA],deztotal3059718395107119131143155167[[#Headers],[27]],tabela_registros[REGISTRO],DADOS!$N$4,tabela_registros[TIPO],DADOS!$P$4,tabela_registros[CATEGORIA],despesavariávelconsolidadodez[[#This Row],[DESPESA VARIÁVEL]])</f>
        <v>0</v>
      </c>
      <c r="AF65" s="91">
        <f>SUMIFS(tabela_registros[VALOR],tabela_registros[MÊS],$AE$1,tabela_registros[DIA],deztotal3059718395107119131143155167[[#Headers],[28]],tabela_registros[REGISTRO],DADOS!$N$4,tabela_registros[TIPO],DADOS!$P$4,tabela_registros[CATEGORIA],despesavariávelconsolidadodez[[#This Row],[DESPESA VARIÁVEL]])</f>
        <v>0</v>
      </c>
      <c r="AG65" s="91">
        <f>SUMIFS(tabela_registros[VALOR],tabela_registros[MÊS],$AE$1,tabela_registros[DIA],deztotal3059718395107119131143155167[[#Headers],[29]],tabela_registros[REGISTRO],DADOS!$N$4,tabela_registros[TIPO],DADOS!$P$4,tabela_registros[CATEGORIA],despesavariávelconsolidadodez[[#This Row],[DESPESA VARIÁVEL]])</f>
        <v>0</v>
      </c>
      <c r="AH65" s="91">
        <f>SUMIFS(tabela_registros[VALOR],tabela_registros[MÊS],$AE$1,tabela_registros[DIA],deztotal3059718395107119131143155167[[#Headers],[30]],tabela_registros[REGISTRO],DADOS!$N$4,tabela_registros[TIPO],DADOS!$P$4,tabela_registros[CATEGORIA],despesavariávelconsolidadodez[[#This Row],[DESPESA VARIÁVEL]])</f>
        <v>0</v>
      </c>
      <c r="AI65" s="101">
        <f>SUMIFS(tabela_registros[VALOR],tabela_registros[MÊS],$AE$1,tabela_registros[DIA],deztotal3059718395107119131143155167[[#Headers],[31]],tabela_registros[REGISTRO],DADOS!$N$4,tabela_registros[TIPO],DADOS!$P$4,tabela_registros[CATEGORIA],despesavariávelconsolidadodez[[#This Row],[DESPESA VARIÁVEL]])</f>
        <v>0</v>
      </c>
      <c r="AJ65" s="97">
        <f>SUM(despesavariávelconsolidadodez[[#This Row],[1]:[31]])</f>
        <v>0</v>
      </c>
      <c r="AK65" s="28"/>
    </row>
    <row r="66" spans="2:37" ht="18" customHeight="1" thickTop="1" thickBot="1" x14ac:dyDescent="0.3">
      <c r="B66" s="28"/>
      <c r="C66" s="27" t="str">
        <f>DADOS!$T$9</f>
        <v>🎭 LAZER</v>
      </c>
      <c r="D66" s="26" t="str">
        <f>IF(despesavariávelconsolidadodez[[#This Row],[TOTAL]]=0,"",IF(OR(despesavariávelconsolidadodez[[#This Row],[TOTAL]]=LARGE($AJ$60:$AJ$72,1),despesavariávelconsolidadodez[[#This Row],[TOTAL]]=LARGE($AJ$60:$AJ$72,2),despesavariávelconsolidadodez[[#This Row],[TOTAL]]=LARGE($AJ$60:$AJ$72,3),despesavariávelconsolidadodez[[#This Row],[TOTAL]]=LARGE($AJ$60:$AJ$72,4),despesavariávelconsolidadodez[[#This Row],[TOTAL]]=LARGE($AJ$60:$AJ$72,5)),DADOS!$I$8,""))</f>
        <v/>
      </c>
      <c r="E66" s="96">
        <f>SUMIFS(tabela_registros[VALOR],tabela_registros[MÊS],$AE$1,tabela_registros[DIA],deztotal3059718395107119131143155167[[#Headers],[1]],tabela_registros[REGISTRO],DADOS!$N$4,tabela_registros[TIPO],DADOS!$P$4,tabela_registros[CATEGORIA],despesavariávelconsolidadodez[[#This Row],[DESPESA VARIÁVEL]])</f>
        <v>0</v>
      </c>
      <c r="F66" s="91">
        <f>SUMIFS(tabela_registros[VALOR],tabela_registros[MÊS],$AE$1,tabela_registros[DIA],deztotal3059718395107119131143155167[[#Headers],[2]],tabela_registros[REGISTRO],DADOS!$N$4,tabela_registros[TIPO],DADOS!$P$4,tabela_registros[CATEGORIA],despesavariávelconsolidadodez[[#This Row],[DESPESA VARIÁVEL]])</f>
        <v>0</v>
      </c>
      <c r="G66" s="91">
        <f>SUMIFS(tabela_registros[VALOR],tabela_registros[MÊS],$AE$1,tabela_registros[DIA],deztotal3059718395107119131143155167[[#Headers],[3]],tabela_registros[REGISTRO],DADOS!$N$4,tabela_registros[TIPO],DADOS!$P$4,tabela_registros[CATEGORIA],despesavariávelconsolidadodez[[#This Row],[DESPESA VARIÁVEL]])</f>
        <v>0</v>
      </c>
      <c r="H66" s="91">
        <f>SUMIFS(tabela_registros[VALOR],tabela_registros[MÊS],$AE$1,tabela_registros[DIA],deztotal3059718395107119131143155167[[#Headers],[4]],tabela_registros[REGISTRO],DADOS!$N$4,tabela_registros[TIPO],DADOS!$P$4,tabela_registros[CATEGORIA],despesavariávelconsolidadodez[[#This Row],[DESPESA VARIÁVEL]])</f>
        <v>0</v>
      </c>
      <c r="I66" s="91">
        <f>SUMIFS(tabela_registros[VALOR],tabela_registros[MÊS],$AE$1,tabela_registros[DIA],deztotal3059718395107119131143155167[[#Headers],[5]],tabela_registros[REGISTRO],DADOS!$N$4,tabela_registros[TIPO],DADOS!$P$4,tabela_registros[CATEGORIA],despesavariávelconsolidadodez[[#This Row],[DESPESA VARIÁVEL]])</f>
        <v>0</v>
      </c>
      <c r="J66" s="91">
        <f>SUMIFS(tabela_registros[VALOR],tabela_registros[MÊS],$AE$1,tabela_registros[DIA],deztotal3059718395107119131143155167[[#Headers],[6]],tabela_registros[REGISTRO],DADOS!$N$4,tabela_registros[TIPO],DADOS!$P$4,tabela_registros[CATEGORIA],despesavariávelconsolidadodez[[#This Row],[DESPESA VARIÁVEL]])</f>
        <v>0</v>
      </c>
      <c r="K66" s="91">
        <f>SUMIFS(tabela_registros[VALOR],tabela_registros[MÊS],$AE$1,tabela_registros[DIA],deztotal3059718395107119131143155167[[#Headers],[7]],tabela_registros[REGISTRO],DADOS!$N$4,tabela_registros[TIPO],DADOS!$P$4,tabela_registros[CATEGORIA],despesavariávelconsolidadodez[[#This Row],[DESPESA VARIÁVEL]])</f>
        <v>0</v>
      </c>
      <c r="L66" s="91">
        <f>SUMIFS(tabela_registros[VALOR],tabela_registros[MÊS],$AE$1,tabela_registros[DIA],deztotal3059718395107119131143155167[[#Headers],[8]],tabela_registros[REGISTRO],DADOS!$N$4,tabela_registros[TIPO],DADOS!$P$4,tabela_registros[CATEGORIA],despesavariávelconsolidadodez[[#This Row],[DESPESA VARIÁVEL]])</f>
        <v>0</v>
      </c>
      <c r="M66" s="91">
        <f>SUMIFS(tabela_registros[VALOR],tabela_registros[MÊS],$AE$1,tabela_registros[DIA],deztotal3059718395107119131143155167[[#Headers],[9]],tabela_registros[REGISTRO],DADOS!$N$4,tabela_registros[TIPO],DADOS!$P$4,tabela_registros[CATEGORIA],despesavariávelconsolidadodez[[#This Row],[DESPESA VARIÁVEL]])</f>
        <v>0</v>
      </c>
      <c r="N66" s="91">
        <f>SUMIFS(tabela_registros[VALOR],tabela_registros[MÊS],$AE$1,tabela_registros[DIA],deztotal3059718395107119131143155167[[#Headers],[10]],tabela_registros[REGISTRO],DADOS!$N$4,tabela_registros[TIPO],DADOS!$P$4,tabela_registros[CATEGORIA],despesavariávelconsolidadodez[[#This Row],[DESPESA VARIÁVEL]])</f>
        <v>0</v>
      </c>
      <c r="O66" s="91">
        <f>SUMIFS(tabela_registros[VALOR],tabela_registros[MÊS],$AE$1,tabela_registros[DIA],deztotal3059718395107119131143155167[[#Headers],[11]],tabela_registros[REGISTRO],DADOS!$N$4,tabela_registros[TIPO],DADOS!$P$4,tabela_registros[CATEGORIA],despesavariávelconsolidadodez[[#This Row],[DESPESA VARIÁVEL]])</f>
        <v>0</v>
      </c>
      <c r="P66" s="91">
        <f>SUMIFS(tabela_registros[VALOR],tabela_registros[MÊS],$AE$1,tabela_registros[DIA],deztotal3059718395107119131143155167[[#Headers],[12]],tabela_registros[REGISTRO],DADOS!$N$4,tabela_registros[TIPO],DADOS!$P$4,tabela_registros[CATEGORIA],despesavariávelconsolidadodez[[#This Row],[DESPESA VARIÁVEL]])</f>
        <v>0</v>
      </c>
      <c r="Q66" s="91">
        <f>SUMIFS(tabela_registros[VALOR],tabela_registros[MÊS],$AE$1,tabela_registros[DIA],deztotal3059718395107119131143155167[[#Headers],[13]],tabela_registros[REGISTRO],DADOS!$N$4,tabela_registros[TIPO],DADOS!$P$4,tabela_registros[CATEGORIA],despesavariávelconsolidadodez[[#This Row],[DESPESA VARIÁVEL]])</f>
        <v>0</v>
      </c>
      <c r="R66" s="91">
        <f>SUMIFS(tabela_registros[VALOR],tabela_registros[MÊS],$AE$1,tabela_registros[DIA],deztotal3059718395107119131143155167[[#Headers],[14]],tabela_registros[REGISTRO],DADOS!$N$4,tabela_registros[TIPO],DADOS!$P$4,tabela_registros[CATEGORIA],despesavariávelconsolidadodez[[#This Row],[DESPESA VARIÁVEL]])</f>
        <v>0</v>
      </c>
      <c r="S66" s="91">
        <f>SUMIFS(tabela_registros[VALOR],tabela_registros[MÊS],$AE$1,tabela_registros[DIA],deztotal3059718395107119131143155167[[#Headers],[15]],tabela_registros[REGISTRO],DADOS!$N$4,tabela_registros[TIPO],DADOS!$P$4,tabela_registros[CATEGORIA],despesavariávelconsolidadodez[[#This Row],[DESPESA VARIÁVEL]])</f>
        <v>0</v>
      </c>
      <c r="T66" s="91">
        <f>SUMIFS(tabela_registros[VALOR],tabela_registros[MÊS],$AE$1,tabela_registros[DIA],deztotal3059718395107119131143155167[[#Headers],[16]],tabela_registros[REGISTRO],DADOS!$N$4,tabela_registros[TIPO],DADOS!$P$4,tabela_registros[CATEGORIA],despesavariávelconsolidadodez[[#This Row],[DESPESA VARIÁVEL]])</f>
        <v>0</v>
      </c>
      <c r="U66" s="91">
        <f>SUMIFS(tabela_registros[VALOR],tabela_registros[MÊS],$AE$1,tabela_registros[DIA],deztotal3059718395107119131143155167[[#Headers],[17]],tabela_registros[REGISTRO],DADOS!$N$4,tabela_registros[TIPO],DADOS!$P$4,tabela_registros[CATEGORIA],despesavariávelconsolidadodez[[#This Row],[DESPESA VARIÁVEL]])</f>
        <v>0</v>
      </c>
      <c r="V66" s="91">
        <f>SUMIFS(tabela_registros[VALOR],tabela_registros[MÊS],$AE$1,tabela_registros[DIA],deztotal3059718395107119131143155167[[#Headers],[18]],tabela_registros[REGISTRO],DADOS!$N$4,tabela_registros[TIPO],DADOS!$P$4,tabela_registros[CATEGORIA],despesavariávelconsolidadodez[[#This Row],[DESPESA VARIÁVEL]])</f>
        <v>0</v>
      </c>
      <c r="W66" s="91">
        <f>SUMIFS(tabela_registros[VALOR],tabela_registros[MÊS],$AE$1,tabela_registros[DIA],deztotal3059718395107119131143155167[[#Headers],[19]],tabela_registros[REGISTRO],DADOS!$N$4,tabela_registros[TIPO],DADOS!$P$4,tabela_registros[CATEGORIA],despesavariávelconsolidadodez[[#This Row],[DESPESA VARIÁVEL]])</f>
        <v>0</v>
      </c>
      <c r="X66" s="91">
        <f>SUMIFS(tabela_registros[VALOR],tabela_registros[MÊS],$AE$1,tabela_registros[DIA],deztotal3059718395107119131143155167[[#Headers],[20]],tabela_registros[REGISTRO],DADOS!$N$4,tabela_registros[TIPO],DADOS!$P$4,tabela_registros[CATEGORIA],despesavariávelconsolidadodez[[#This Row],[DESPESA VARIÁVEL]])</f>
        <v>0</v>
      </c>
      <c r="Y66" s="91">
        <f>SUMIFS(tabela_registros[VALOR],tabela_registros[MÊS],$AE$1,tabela_registros[DIA],deztotal3059718395107119131143155167[[#Headers],[21]],tabela_registros[REGISTRO],DADOS!$N$4,tabela_registros[TIPO],DADOS!$P$4,tabela_registros[CATEGORIA],despesavariávelconsolidadodez[[#This Row],[DESPESA VARIÁVEL]])</f>
        <v>0</v>
      </c>
      <c r="Z66" s="91">
        <f>SUMIFS(tabela_registros[VALOR],tabela_registros[MÊS],$AE$1,tabela_registros[DIA],deztotal3059718395107119131143155167[[#Headers],[22]],tabela_registros[REGISTRO],DADOS!$N$4,tabela_registros[TIPO],DADOS!$P$4,tabela_registros[CATEGORIA],despesavariávelconsolidadodez[[#This Row],[DESPESA VARIÁVEL]])</f>
        <v>0</v>
      </c>
      <c r="AA66" s="91">
        <f>SUMIFS(tabela_registros[VALOR],tabela_registros[MÊS],$AE$1,tabela_registros[DIA],deztotal3059718395107119131143155167[[#Headers],[23]],tabela_registros[REGISTRO],DADOS!$N$4,tabela_registros[TIPO],DADOS!$P$4,tabela_registros[CATEGORIA],despesavariávelconsolidadodez[[#This Row],[DESPESA VARIÁVEL]])</f>
        <v>0</v>
      </c>
      <c r="AB66" s="91">
        <f>SUMIFS(tabela_registros[VALOR],tabela_registros[MÊS],$AE$1,tabela_registros[DIA],deztotal3059718395107119131143155167[[#Headers],[24]],tabela_registros[REGISTRO],DADOS!$N$4,tabela_registros[TIPO],DADOS!$P$4,tabela_registros[CATEGORIA],despesavariávelconsolidadodez[[#This Row],[DESPESA VARIÁVEL]])</f>
        <v>0</v>
      </c>
      <c r="AC66" s="91">
        <f>SUMIFS(tabela_registros[VALOR],tabela_registros[MÊS],$AE$1,tabela_registros[DIA],deztotal3059718395107119131143155167[[#Headers],[25]],tabela_registros[REGISTRO],DADOS!$N$4,tabela_registros[TIPO],DADOS!$P$4,tabela_registros[CATEGORIA],despesavariávelconsolidadodez[[#This Row],[DESPESA VARIÁVEL]])</f>
        <v>0</v>
      </c>
      <c r="AD66" s="91">
        <f>SUMIFS(tabela_registros[VALOR],tabela_registros[MÊS],$AE$1,tabela_registros[DIA],deztotal3059718395107119131143155167[[#Headers],[26]],tabela_registros[REGISTRO],DADOS!$N$4,tabela_registros[TIPO],DADOS!$P$4,tabela_registros[CATEGORIA],despesavariávelconsolidadodez[[#This Row],[DESPESA VARIÁVEL]])</f>
        <v>0</v>
      </c>
      <c r="AE66" s="91">
        <f>SUMIFS(tabela_registros[VALOR],tabela_registros[MÊS],$AE$1,tabela_registros[DIA],deztotal3059718395107119131143155167[[#Headers],[27]],tabela_registros[REGISTRO],DADOS!$N$4,tabela_registros[TIPO],DADOS!$P$4,tabela_registros[CATEGORIA],despesavariávelconsolidadodez[[#This Row],[DESPESA VARIÁVEL]])</f>
        <v>0</v>
      </c>
      <c r="AF66" s="91">
        <f>SUMIFS(tabela_registros[VALOR],tabela_registros[MÊS],$AE$1,tabela_registros[DIA],deztotal3059718395107119131143155167[[#Headers],[28]],tabela_registros[REGISTRO],DADOS!$N$4,tabela_registros[TIPO],DADOS!$P$4,tabela_registros[CATEGORIA],despesavariávelconsolidadodez[[#This Row],[DESPESA VARIÁVEL]])</f>
        <v>0</v>
      </c>
      <c r="AG66" s="91">
        <f>SUMIFS(tabela_registros[VALOR],tabela_registros[MÊS],$AE$1,tabela_registros[DIA],deztotal3059718395107119131143155167[[#Headers],[29]],tabela_registros[REGISTRO],DADOS!$N$4,tabela_registros[TIPO],DADOS!$P$4,tabela_registros[CATEGORIA],despesavariávelconsolidadodez[[#This Row],[DESPESA VARIÁVEL]])</f>
        <v>0</v>
      </c>
      <c r="AH66" s="91">
        <f>SUMIFS(tabela_registros[VALOR],tabela_registros[MÊS],$AE$1,tabela_registros[DIA],deztotal3059718395107119131143155167[[#Headers],[30]],tabela_registros[REGISTRO],DADOS!$N$4,tabela_registros[TIPO],DADOS!$P$4,tabela_registros[CATEGORIA],despesavariávelconsolidadodez[[#This Row],[DESPESA VARIÁVEL]])</f>
        <v>0</v>
      </c>
      <c r="AI66" s="101">
        <f>SUMIFS(tabela_registros[VALOR],tabela_registros[MÊS],$AE$1,tabela_registros[DIA],deztotal3059718395107119131143155167[[#Headers],[31]],tabela_registros[REGISTRO],DADOS!$N$4,tabela_registros[TIPO],DADOS!$P$4,tabela_registros[CATEGORIA],despesavariávelconsolidadodez[[#This Row],[DESPESA VARIÁVEL]])</f>
        <v>0</v>
      </c>
      <c r="AJ66" s="97">
        <f>SUM(despesavariávelconsolidadodez[[#This Row],[1]:[31]])</f>
        <v>0</v>
      </c>
      <c r="AK66" s="28"/>
    </row>
    <row r="67" spans="2:37" ht="18" customHeight="1" thickTop="1" thickBot="1" x14ac:dyDescent="0.3">
      <c r="B67" s="28"/>
      <c r="C67" s="27" t="str">
        <f>DADOS!$T$10</f>
        <v>🛒 MERCADO</v>
      </c>
      <c r="D67" s="26" t="str">
        <f>IF(despesavariávelconsolidadodez[[#This Row],[TOTAL]]=0,"",IF(OR(despesavariávelconsolidadodez[[#This Row],[TOTAL]]=LARGE($AJ$60:$AJ$72,1),despesavariávelconsolidadodez[[#This Row],[TOTAL]]=LARGE($AJ$60:$AJ$72,2),despesavariávelconsolidadodez[[#This Row],[TOTAL]]=LARGE($AJ$60:$AJ$72,3),despesavariávelconsolidadodez[[#This Row],[TOTAL]]=LARGE($AJ$60:$AJ$72,4),despesavariávelconsolidadodez[[#This Row],[TOTAL]]=LARGE($AJ$60:$AJ$72,5)),DADOS!$I$8,""))</f>
        <v/>
      </c>
      <c r="E67" s="96">
        <f>SUMIFS(tabela_registros[VALOR],tabela_registros[MÊS],$AE$1,tabela_registros[DIA],deztotal3059718395107119131143155167[[#Headers],[1]],tabela_registros[REGISTRO],DADOS!$N$4,tabela_registros[TIPO],DADOS!$P$4,tabela_registros[CATEGORIA],despesavariávelconsolidadodez[[#This Row],[DESPESA VARIÁVEL]])</f>
        <v>0</v>
      </c>
      <c r="F67" s="91">
        <f>SUMIFS(tabela_registros[VALOR],tabela_registros[MÊS],$AE$1,tabela_registros[DIA],deztotal3059718395107119131143155167[[#Headers],[2]],tabela_registros[REGISTRO],DADOS!$N$4,tabela_registros[TIPO],DADOS!$P$4,tabela_registros[CATEGORIA],despesavariávelconsolidadodez[[#This Row],[DESPESA VARIÁVEL]])</f>
        <v>0</v>
      </c>
      <c r="G67" s="91">
        <f>SUMIFS(tabela_registros[VALOR],tabela_registros[MÊS],$AE$1,tabela_registros[DIA],deztotal3059718395107119131143155167[[#Headers],[3]],tabela_registros[REGISTRO],DADOS!$N$4,tabela_registros[TIPO],DADOS!$P$4,tabela_registros[CATEGORIA],despesavariávelconsolidadodez[[#This Row],[DESPESA VARIÁVEL]])</f>
        <v>0</v>
      </c>
      <c r="H67" s="91">
        <f>SUMIFS(tabela_registros[VALOR],tabela_registros[MÊS],$AE$1,tabela_registros[DIA],deztotal3059718395107119131143155167[[#Headers],[4]],tabela_registros[REGISTRO],DADOS!$N$4,tabela_registros[TIPO],DADOS!$P$4,tabela_registros[CATEGORIA],despesavariávelconsolidadodez[[#This Row],[DESPESA VARIÁVEL]])</f>
        <v>0</v>
      </c>
      <c r="I67" s="91">
        <f>SUMIFS(tabela_registros[VALOR],tabela_registros[MÊS],$AE$1,tabela_registros[DIA],deztotal3059718395107119131143155167[[#Headers],[5]],tabela_registros[REGISTRO],DADOS!$N$4,tabela_registros[TIPO],DADOS!$P$4,tabela_registros[CATEGORIA],despesavariávelconsolidadodez[[#This Row],[DESPESA VARIÁVEL]])</f>
        <v>0</v>
      </c>
      <c r="J67" s="91">
        <f>SUMIFS(tabela_registros[VALOR],tabela_registros[MÊS],$AE$1,tabela_registros[DIA],deztotal3059718395107119131143155167[[#Headers],[6]],tabela_registros[REGISTRO],DADOS!$N$4,tabela_registros[TIPO],DADOS!$P$4,tabela_registros[CATEGORIA],despesavariávelconsolidadodez[[#This Row],[DESPESA VARIÁVEL]])</f>
        <v>0</v>
      </c>
      <c r="K67" s="91">
        <f>SUMIFS(tabela_registros[VALOR],tabela_registros[MÊS],$AE$1,tabela_registros[DIA],deztotal3059718395107119131143155167[[#Headers],[7]],tabela_registros[REGISTRO],DADOS!$N$4,tabela_registros[TIPO],DADOS!$P$4,tabela_registros[CATEGORIA],despesavariávelconsolidadodez[[#This Row],[DESPESA VARIÁVEL]])</f>
        <v>0</v>
      </c>
      <c r="L67" s="91">
        <f>SUMIFS(tabela_registros[VALOR],tabela_registros[MÊS],$AE$1,tabela_registros[DIA],deztotal3059718395107119131143155167[[#Headers],[8]],tabela_registros[REGISTRO],DADOS!$N$4,tabela_registros[TIPO],DADOS!$P$4,tabela_registros[CATEGORIA],despesavariávelconsolidadodez[[#This Row],[DESPESA VARIÁVEL]])</f>
        <v>0</v>
      </c>
      <c r="M67" s="91">
        <f>SUMIFS(tabela_registros[VALOR],tabela_registros[MÊS],$AE$1,tabela_registros[DIA],deztotal3059718395107119131143155167[[#Headers],[9]],tabela_registros[REGISTRO],DADOS!$N$4,tabela_registros[TIPO],DADOS!$P$4,tabela_registros[CATEGORIA],despesavariávelconsolidadodez[[#This Row],[DESPESA VARIÁVEL]])</f>
        <v>0</v>
      </c>
      <c r="N67" s="91">
        <f>SUMIFS(tabela_registros[VALOR],tabela_registros[MÊS],$AE$1,tabela_registros[DIA],deztotal3059718395107119131143155167[[#Headers],[10]],tabela_registros[REGISTRO],DADOS!$N$4,tabela_registros[TIPO],DADOS!$P$4,tabela_registros[CATEGORIA],despesavariávelconsolidadodez[[#This Row],[DESPESA VARIÁVEL]])</f>
        <v>0</v>
      </c>
      <c r="O67" s="91">
        <f>SUMIFS(tabela_registros[VALOR],tabela_registros[MÊS],$AE$1,tabela_registros[DIA],deztotal3059718395107119131143155167[[#Headers],[11]],tabela_registros[REGISTRO],DADOS!$N$4,tabela_registros[TIPO],DADOS!$P$4,tabela_registros[CATEGORIA],despesavariávelconsolidadodez[[#This Row],[DESPESA VARIÁVEL]])</f>
        <v>0</v>
      </c>
      <c r="P67" s="91">
        <f>SUMIFS(tabela_registros[VALOR],tabela_registros[MÊS],$AE$1,tabela_registros[DIA],deztotal3059718395107119131143155167[[#Headers],[12]],tabela_registros[REGISTRO],DADOS!$N$4,tabela_registros[TIPO],DADOS!$P$4,tabela_registros[CATEGORIA],despesavariávelconsolidadodez[[#This Row],[DESPESA VARIÁVEL]])</f>
        <v>0</v>
      </c>
      <c r="Q67" s="91">
        <f>SUMIFS(tabela_registros[VALOR],tabela_registros[MÊS],$AE$1,tabela_registros[DIA],deztotal3059718395107119131143155167[[#Headers],[13]],tabela_registros[REGISTRO],DADOS!$N$4,tabela_registros[TIPO],DADOS!$P$4,tabela_registros[CATEGORIA],despesavariávelconsolidadodez[[#This Row],[DESPESA VARIÁVEL]])</f>
        <v>0</v>
      </c>
      <c r="R67" s="91">
        <f>SUMIFS(tabela_registros[VALOR],tabela_registros[MÊS],$AE$1,tabela_registros[DIA],deztotal3059718395107119131143155167[[#Headers],[14]],tabela_registros[REGISTRO],DADOS!$N$4,tabela_registros[TIPO],DADOS!$P$4,tabela_registros[CATEGORIA],despesavariávelconsolidadodez[[#This Row],[DESPESA VARIÁVEL]])</f>
        <v>0</v>
      </c>
      <c r="S67" s="91">
        <f>SUMIFS(tabela_registros[VALOR],tabela_registros[MÊS],$AE$1,tabela_registros[DIA],deztotal3059718395107119131143155167[[#Headers],[15]],tabela_registros[REGISTRO],DADOS!$N$4,tabela_registros[TIPO],DADOS!$P$4,tabela_registros[CATEGORIA],despesavariávelconsolidadodez[[#This Row],[DESPESA VARIÁVEL]])</f>
        <v>0</v>
      </c>
      <c r="T67" s="91">
        <f>SUMIFS(tabela_registros[VALOR],tabela_registros[MÊS],$AE$1,tabela_registros[DIA],deztotal3059718395107119131143155167[[#Headers],[16]],tabela_registros[REGISTRO],DADOS!$N$4,tabela_registros[TIPO],DADOS!$P$4,tabela_registros[CATEGORIA],despesavariávelconsolidadodez[[#This Row],[DESPESA VARIÁVEL]])</f>
        <v>0</v>
      </c>
      <c r="U67" s="91">
        <f>SUMIFS(tabela_registros[VALOR],tabela_registros[MÊS],$AE$1,tabela_registros[DIA],deztotal3059718395107119131143155167[[#Headers],[17]],tabela_registros[REGISTRO],DADOS!$N$4,tabela_registros[TIPO],DADOS!$P$4,tabela_registros[CATEGORIA],despesavariávelconsolidadodez[[#This Row],[DESPESA VARIÁVEL]])</f>
        <v>0</v>
      </c>
      <c r="V67" s="91">
        <f>SUMIFS(tabela_registros[VALOR],tabela_registros[MÊS],$AE$1,tabela_registros[DIA],deztotal3059718395107119131143155167[[#Headers],[18]],tabela_registros[REGISTRO],DADOS!$N$4,tabela_registros[TIPO],DADOS!$P$4,tabela_registros[CATEGORIA],despesavariávelconsolidadodez[[#This Row],[DESPESA VARIÁVEL]])</f>
        <v>0</v>
      </c>
      <c r="W67" s="91">
        <f>SUMIFS(tabela_registros[VALOR],tabela_registros[MÊS],$AE$1,tabela_registros[DIA],deztotal3059718395107119131143155167[[#Headers],[19]],tabela_registros[REGISTRO],DADOS!$N$4,tabela_registros[TIPO],DADOS!$P$4,tabela_registros[CATEGORIA],despesavariávelconsolidadodez[[#This Row],[DESPESA VARIÁVEL]])</f>
        <v>0</v>
      </c>
      <c r="X67" s="91">
        <f>SUMIFS(tabela_registros[VALOR],tabela_registros[MÊS],$AE$1,tabela_registros[DIA],deztotal3059718395107119131143155167[[#Headers],[20]],tabela_registros[REGISTRO],DADOS!$N$4,tabela_registros[TIPO],DADOS!$P$4,tabela_registros[CATEGORIA],despesavariávelconsolidadodez[[#This Row],[DESPESA VARIÁVEL]])</f>
        <v>0</v>
      </c>
      <c r="Y67" s="91">
        <f>SUMIFS(tabela_registros[VALOR],tabela_registros[MÊS],$AE$1,tabela_registros[DIA],deztotal3059718395107119131143155167[[#Headers],[21]],tabela_registros[REGISTRO],DADOS!$N$4,tabela_registros[TIPO],DADOS!$P$4,tabela_registros[CATEGORIA],despesavariávelconsolidadodez[[#This Row],[DESPESA VARIÁVEL]])</f>
        <v>0</v>
      </c>
      <c r="Z67" s="91">
        <f>SUMIFS(tabela_registros[VALOR],tabela_registros[MÊS],$AE$1,tabela_registros[DIA],deztotal3059718395107119131143155167[[#Headers],[22]],tabela_registros[REGISTRO],DADOS!$N$4,tabela_registros[TIPO],DADOS!$P$4,tabela_registros[CATEGORIA],despesavariávelconsolidadodez[[#This Row],[DESPESA VARIÁVEL]])</f>
        <v>0</v>
      </c>
      <c r="AA67" s="91">
        <f>SUMIFS(tabela_registros[VALOR],tabela_registros[MÊS],$AE$1,tabela_registros[DIA],deztotal3059718395107119131143155167[[#Headers],[23]],tabela_registros[REGISTRO],DADOS!$N$4,tabela_registros[TIPO],DADOS!$P$4,tabela_registros[CATEGORIA],despesavariávelconsolidadodez[[#This Row],[DESPESA VARIÁVEL]])</f>
        <v>0</v>
      </c>
      <c r="AB67" s="91">
        <f>SUMIFS(tabela_registros[VALOR],tabela_registros[MÊS],$AE$1,tabela_registros[DIA],deztotal3059718395107119131143155167[[#Headers],[24]],tabela_registros[REGISTRO],DADOS!$N$4,tabela_registros[TIPO],DADOS!$P$4,tabela_registros[CATEGORIA],despesavariávelconsolidadodez[[#This Row],[DESPESA VARIÁVEL]])</f>
        <v>0</v>
      </c>
      <c r="AC67" s="91">
        <f>SUMIFS(tabela_registros[VALOR],tabela_registros[MÊS],$AE$1,tabela_registros[DIA],deztotal3059718395107119131143155167[[#Headers],[25]],tabela_registros[REGISTRO],DADOS!$N$4,tabela_registros[TIPO],DADOS!$P$4,tabela_registros[CATEGORIA],despesavariávelconsolidadodez[[#This Row],[DESPESA VARIÁVEL]])</f>
        <v>0</v>
      </c>
      <c r="AD67" s="91">
        <f>SUMIFS(tabela_registros[VALOR],tabela_registros[MÊS],$AE$1,tabela_registros[DIA],deztotal3059718395107119131143155167[[#Headers],[26]],tabela_registros[REGISTRO],DADOS!$N$4,tabela_registros[TIPO],DADOS!$P$4,tabela_registros[CATEGORIA],despesavariávelconsolidadodez[[#This Row],[DESPESA VARIÁVEL]])</f>
        <v>0</v>
      </c>
      <c r="AE67" s="91">
        <f>SUMIFS(tabela_registros[VALOR],tabela_registros[MÊS],$AE$1,tabela_registros[DIA],deztotal3059718395107119131143155167[[#Headers],[27]],tabela_registros[REGISTRO],DADOS!$N$4,tabela_registros[TIPO],DADOS!$P$4,tabela_registros[CATEGORIA],despesavariávelconsolidadodez[[#This Row],[DESPESA VARIÁVEL]])</f>
        <v>0</v>
      </c>
      <c r="AF67" s="91">
        <f>SUMIFS(tabela_registros[VALOR],tabela_registros[MÊS],$AE$1,tabela_registros[DIA],deztotal3059718395107119131143155167[[#Headers],[28]],tabela_registros[REGISTRO],DADOS!$N$4,tabela_registros[TIPO],DADOS!$P$4,tabela_registros[CATEGORIA],despesavariávelconsolidadodez[[#This Row],[DESPESA VARIÁVEL]])</f>
        <v>0</v>
      </c>
      <c r="AG67" s="91">
        <f>SUMIFS(tabela_registros[VALOR],tabela_registros[MÊS],$AE$1,tabela_registros[DIA],deztotal3059718395107119131143155167[[#Headers],[29]],tabela_registros[REGISTRO],DADOS!$N$4,tabela_registros[TIPO],DADOS!$P$4,tabela_registros[CATEGORIA],despesavariávelconsolidadodez[[#This Row],[DESPESA VARIÁVEL]])</f>
        <v>0</v>
      </c>
      <c r="AH67" s="91">
        <f>SUMIFS(tabela_registros[VALOR],tabela_registros[MÊS],$AE$1,tabela_registros[DIA],deztotal3059718395107119131143155167[[#Headers],[30]],tabela_registros[REGISTRO],DADOS!$N$4,tabela_registros[TIPO],DADOS!$P$4,tabela_registros[CATEGORIA],despesavariávelconsolidadodez[[#This Row],[DESPESA VARIÁVEL]])</f>
        <v>0</v>
      </c>
      <c r="AI67" s="101">
        <f>SUMIFS(tabela_registros[VALOR],tabela_registros[MÊS],$AE$1,tabela_registros[DIA],deztotal3059718395107119131143155167[[#Headers],[31]],tabela_registros[REGISTRO],DADOS!$N$4,tabela_registros[TIPO],DADOS!$P$4,tabela_registros[CATEGORIA],despesavariávelconsolidadodez[[#This Row],[DESPESA VARIÁVEL]])</f>
        <v>0</v>
      </c>
      <c r="AJ67" s="97">
        <f>SUM(despesavariávelconsolidadodez[[#This Row],[1]:[31]])</f>
        <v>0</v>
      </c>
      <c r="AK67" s="28"/>
    </row>
    <row r="68" spans="2:37" ht="18" customHeight="1" thickTop="1" thickBot="1" x14ac:dyDescent="0.3">
      <c r="B68" s="28"/>
      <c r="C68" s="27" t="str">
        <f>DADOS!$T$11</f>
        <v>🎁 PRESENTES</v>
      </c>
      <c r="D68" s="26" t="str">
        <f>IF(despesavariávelconsolidadodez[[#This Row],[TOTAL]]=0,"",IF(OR(despesavariávelconsolidadodez[[#This Row],[TOTAL]]=LARGE($AJ$60:$AJ$72,1),despesavariávelconsolidadodez[[#This Row],[TOTAL]]=LARGE($AJ$60:$AJ$72,2),despesavariávelconsolidadodez[[#This Row],[TOTAL]]=LARGE($AJ$60:$AJ$72,3),despesavariávelconsolidadodez[[#This Row],[TOTAL]]=LARGE($AJ$60:$AJ$72,4),despesavariávelconsolidadodez[[#This Row],[TOTAL]]=LARGE($AJ$60:$AJ$72,5)),DADOS!$I$8,""))</f>
        <v/>
      </c>
      <c r="E68" s="96">
        <f>SUMIFS(tabela_registros[VALOR],tabela_registros[MÊS],$AE$1,tabela_registros[DIA],deztotal3059718395107119131143155167[[#Headers],[1]],tabela_registros[REGISTRO],DADOS!$N$4,tabela_registros[TIPO],DADOS!$P$4,tabela_registros[CATEGORIA],despesavariávelconsolidadodez[[#This Row],[DESPESA VARIÁVEL]])</f>
        <v>0</v>
      </c>
      <c r="F68" s="91">
        <f>SUMIFS(tabela_registros[VALOR],tabela_registros[MÊS],$AE$1,tabela_registros[DIA],deztotal3059718395107119131143155167[[#Headers],[2]],tabela_registros[REGISTRO],DADOS!$N$4,tabela_registros[TIPO],DADOS!$P$4,tabela_registros[CATEGORIA],despesavariávelconsolidadodez[[#This Row],[DESPESA VARIÁVEL]])</f>
        <v>0</v>
      </c>
      <c r="G68" s="91">
        <f>SUMIFS(tabela_registros[VALOR],tabela_registros[MÊS],$AE$1,tabela_registros[DIA],deztotal3059718395107119131143155167[[#Headers],[3]],tabela_registros[REGISTRO],DADOS!$N$4,tabela_registros[TIPO],DADOS!$P$4,tabela_registros[CATEGORIA],despesavariávelconsolidadodez[[#This Row],[DESPESA VARIÁVEL]])</f>
        <v>0</v>
      </c>
      <c r="H68" s="91">
        <f>SUMIFS(tabela_registros[VALOR],tabela_registros[MÊS],$AE$1,tabela_registros[DIA],deztotal3059718395107119131143155167[[#Headers],[4]],tabela_registros[REGISTRO],DADOS!$N$4,tabela_registros[TIPO],DADOS!$P$4,tabela_registros[CATEGORIA],despesavariávelconsolidadodez[[#This Row],[DESPESA VARIÁVEL]])</f>
        <v>0</v>
      </c>
      <c r="I68" s="91">
        <f>SUMIFS(tabela_registros[VALOR],tabela_registros[MÊS],$AE$1,tabela_registros[DIA],deztotal3059718395107119131143155167[[#Headers],[5]],tabela_registros[REGISTRO],DADOS!$N$4,tabela_registros[TIPO],DADOS!$P$4,tabela_registros[CATEGORIA],despesavariávelconsolidadodez[[#This Row],[DESPESA VARIÁVEL]])</f>
        <v>0</v>
      </c>
      <c r="J68" s="91">
        <f>SUMIFS(tabela_registros[VALOR],tabela_registros[MÊS],$AE$1,tabela_registros[DIA],deztotal3059718395107119131143155167[[#Headers],[6]],tabela_registros[REGISTRO],DADOS!$N$4,tabela_registros[TIPO],DADOS!$P$4,tabela_registros[CATEGORIA],despesavariávelconsolidadodez[[#This Row],[DESPESA VARIÁVEL]])</f>
        <v>0</v>
      </c>
      <c r="K68" s="91">
        <f>SUMIFS(tabela_registros[VALOR],tabela_registros[MÊS],$AE$1,tabela_registros[DIA],deztotal3059718395107119131143155167[[#Headers],[7]],tabela_registros[REGISTRO],DADOS!$N$4,tabela_registros[TIPO],DADOS!$P$4,tabela_registros[CATEGORIA],despesavariávelconsolidadodez[[#This Row],[DESPESA VARIÁVEL]])</f>
        <v>0</v>
      </c>
      <c r="L68" s="91">
        <f>SUMIFS(tabela_registros[VALOR],tabela_registros[MÊS],$AE$1,tabela_registros[DIA],deztotal3059718395107119131143155167[[#Headers],[8]],tabela_registros[REGISTRO],DADOS!$N$4,tabela_registros[TIPO],DADOS!$P$4,tabela_registros[CATEGORIA],despesavariávelconsolidadodez[[#This Row],[DESPESA VARIÁVEL]])</f>
        <v>0</v>
      </c>
      <c r="M68" s="91">
        <f>SUMIFS(tabela_registros[VALOR],tabela_registros[MÊS],$AE$1,tabela_registros[DIA],deztotal3059718395107119131143155167[[#Headers],[9]],tabela_registros[REGISTRO],DADOS!$N$4,tabela_registros[TIPO],DADOS!$P$4,tabela_registros[CATEGORIA],despesavariávelconsolidadodez[[#This Row],[DESPESA VARIÁVEL]])</f>
        <v>0</v>
      </c>
      <c r="N68" s="91">
        <f>SUMIFS(tabela_registros[VALOR],tabela_registros[MÊS],$AE$1,tabela_registros[DIA],deztotal3059718395107119131143155167[[#Headers],[10]],tabela_registros[REGISTRO],DADOS!$N$4,tabela_registros[TIPO],DADOS!$P$4,tabela_registros[CATEGORIA],despesavariávelconsolidadodez[[#This Row],[DESPESA VARIÁVEL]])</f>
        <v>0</v>
      </c>
      <c r="O68" s="91">
        <f>SUMIFS(tabela_registros[VALOR],tabela_registros[MÊS],$AE$1,tabela_registros[DIA],deztotal3059718395107119131143155167[[#Headers],[11]],tabela_registros[REGISTRO],DADOS!$N$4,tabela_registros[TIPO],DADOS!$P$4,tabela_registros[CATEGORIA],despesavariávelconsolidadodez[[#This Row],[DESPESA VARIÁVEL]])</f>
        <v>0</v>
      </c>
      <c r="P68" s="91">
        <f>SUMIFS(tabela_registros[VALOR],tabela_registros[MÊS],$AE$1,tabela_registros[DIA],deztotal3059718395107119131143155167[[#Headers],[12]],tabela_registros[REGISTRO],DADOS!$N$4,tabela_registros[TIPO],DADOS!$P$4,tabela_registros[CATEGORIA],despesavariávelconsolidadodez[[#This Row],[DESPESA VARIÁVEL]])</f>
        <v>0</v>
      </c>
      <c r="Q68" s="91">
        <f>SUMIFS(tabela_registros[VALOR],tabela_registros[MÊS],$AE$1,tabela_registros[DIA],deztotal3059718395107119131143155167[[#Headers],[13]],tabela_registros[REGISTRO],DADOS!$N$4,tabela_registros[TIPO],DADOS!$P$4,tabela_registros[CATEGORIA],despesavariávelconsolidadodez[[#This Row],[DESPESA VARIÁVEL]])</f>
        <v>0</v>
      </c>
      <c r="R68" s="91">
        <f>SUMIFS(tabela_registros[VALOR],tabela_registros[MÊS],$AE$1,tabela_registros[DIA],deztotal3059718395107119131143155167[[#Headers],[14]],tabela_registros[REGISTRO],DADOS!$N$4,tabela_registros[TIPO],DADOS!$P$4,tabela_registros[CATEGORIA],despesavariávelconsolidadodez[[#This Row],[DESPESA VARIÁVEL]])</f>
        <v>0</v>
      </c>
      <c r="S68" s="91">
        <f>SUMIFS(tabela_registros[VALOR],tabela_registros[MÊS],$AE$1,tabela_registros[DIA],deztotal3059718395107119131143155167[[#Headers],[15]],tabela_registros[REGISTRO],DADOS!$N$4,tabela_registros[TIPO],DADOS!$P$4,tabela_registros[CATEGORIA],despesavariávelconsolidadodez[[#This Row],[DESPESA VARIÁVEL]])</f>
        <v>0</v>
      </c>
      <c r="T68" s="91">
        <f>SUMIFS(tabela_registros[VALOR],tabela_registros[MÊS],$AE$1,tabela_registros[DIA],deztotal3059718395107119131143155167[[#Headers],[16]],tabela_registros[REGISTRO],DADOS!$N$4,tabela_registros[TIPO],DADOS!$P$4,tabela_registros[CATEGORIA],despesavariávelconsolidadodez[[#This Row],[DESPESA VARIÁVEL]])</f>
        <v>0</v>
      </c>
      <c r="U68" s="91">
        <f>SUMIFS(tabela_registros[VALOR],tabela_registros[MÊS],$AE$1,tabela_registros[DIA],deztotal3059718395107119131143155167[[#Headers],[17]],tabela_registros[REGISTRO],DADOS!$N$4,tabela_registros[TIPO],DADOS!$P$4,tabela_registros[CATEGORIA],despesavariávelconsolidadodez[[#This Row],[DESPESA VARIÁVEL]])</f>
        <v>0</v>
      </c>
      <c r="V68" s="91">
        <f>SUMIFS(tabela_registros[VALOR],tabela_registros[MÊS],$AE$1,tabela_registros[DIA],deztotal3059718395107119131143155167[[#Headers],[18]],tabela_registros[REGISTRO],DADOS!$N$4,tabela_registros[TIPO],DADOS!$P$4,tabela_registros[CATEGORIA],despesavariávelconsolidadodez[[#This Row],[DESPESA VARIÁVEL]])</f>
        <v>0</v>
      </c>
      <c r="W68" s="91">
        <f>SUMIFS(tabela_registros[VALOR],tabela_registros[MÊS],$AE$1,tabela_registros[DIA],deztotal3059718395107119131143155167[[#Headers],[19]],tabela_registros[REGISTRO],DADOS!$N$4,tabela_registros[TIPO],DADOS!$P$4,tabela_registros[CATEGORIA],despesavariávelconsolidadodez[[#This Row],[DESPESA VARIÁVEL]])</f>
        <v>0</v>
      </c>
      <c r="X68" s="91">
        <f>SUMIFS(tabela_registros[VALOR],tabela_registros[MÊS],$AE$1,tabela_registros[DIA],deztotal3059718395107119131143155167[[#Headers],[20]],tabela_registros[REGISTRO],DADOS!$N$4,tabela_registros[TIPO],DADOS!$P$4,tabela_registros[CATEGORIA],despesavariávelconsolidadodez[[#This Row],[DESPESA VARIÁVEL]])</f>
        <v>0</v>
      </c>
      <c r="Y68" s="91">
        <f>SUMIFS(tabela_registros[VALOR],tabela_registros[MÊS],$AE$1,tabela_registros[DIA],deztotal3059718395107119131143155167[[#Headers],[21]],tabela_registros[REGISTRO],DADOS!$N$4,tabela_registros[TIPO],DADOS!$P$4,tabela_registros[CATEGORIA],despesavariávelconsolidadodez[[#This Row],[DESPESA VARIÁVEL]])</f>
        <v>0</v>
      </c>
      <c r="Z68" s="91">
        <f>SUMIFS(tabela_registros[VALOR],tabela_registros[MÊS],$AE$1,tabela_registros[DIA],deztotal3059718395107119131143155167[[#Headers],[22]],tabela_registros[REGISTRO],DADOS!$N$4,tabela_registros[TIPO],DADOS!$P$4,tabela_registros[CATEGORIA],despesavariávelconsolidadodez[[#This Row],[DESPESA VARIÁVEL]])</f>
        <v>0</v>
      </c>
      <c r="AA68" s="91">
        <f>SUMIFS(tabela_registros[VALOR],tabela_registros[MÊS],$AE$1,tabela_registros[DIA],deztotal3059718395107119131143155167[[#Headers],[23]],tabela_registros[REGISTRO],DADOS!$N$4,tabela_registros[TIPO],DADOS!$P$4,tabela_registros[CATEGORIA],despesavariávelconsolidadodez[[#This Row],[DESPESA VARIÁVEL]])</f>
        <v>0</v>
      </c>
      <c r="AB68" s="91">
        <f>SUMIFS(tabela_registros[VALOR],tabela_registros[MÊS],$AE$1,tabela_registros[DIA],deztotal3059718395107119131143155167[[#Headers],[24]],tabela_registros[REGISTRO],DADOS!$N$4,tabela_registros[TIPO],DADOS!$P$4,tabela_registros[CATEGORIA],despesavariávelconsolidadodez[[#This Row],[DESPESA VARIÁVEL]])</f>
        <v>0</v>
      </c>
      <c r="AC68" s="91">
        <f>SUMIFS(tabela_registros[VALOR],tabela_registros[MÊS],$AE$1,tabela_registros[DIA],deztotal3059718395107119131143155167[[#Headers],[25]],tabela_registros[REGISTRO],DADOS!$N$4,tabela_registros[TIPO],DADOS!$P$4,tabela_registros[CATEGORIA],despesavariávelconsolidadodez[[#This Row],[DESPESA VARIÁVEL]])</f>
        <v>0</v>
      </c>
      <c r="AD68" s="91">
        <f>SUMIFS(tabela_registros[VALOR],tabela_registros[MÊS],$AE$1,tabela_registros[DIA],deztotal3059718395107119131143155167[[#Headers],[26]],tabela_registros[REGISTRO],DADOS!$N$4,tabela_registros[TIPO],DADOS!$P$4,tabela_registros[CATEGORIA],despesavariávelconsolidadodez[[#This Row],[DESPESA VARIÁVEL]])</f>
        <v>0</v>
      </c>
      <c r="AE68" s="91">
        <f>SUMIFS(tabela_registros[VALOR],tabela_registros[MÊS],$AE$1,tabela_registros[DIA],deztotal3059718395107119131143155167[[#Headers],[27]],tabela_registros[REGISTRO],DADOS!$N$4,tabela_registros[TIPO],DADOS!$P$4,tabela_registros[CATEGORIA],despesavariávelconsolidadodez[[#This Row],[DESPESA VARIÁVEL]])</f>
        <v>0</v>
      </c>
      <c r="AF68" s="91">
        <f>SUMIFS(tabela_registros[VALOR],tabela_registros[MÊS],$AE$1,tabela_registros[DIA],deztotal3059718395107119131143155167[[#Headers],[28]],tabela_registros[REGISTRO],DADOS!$N$4,tabela_registros[TIPO],DADOS!$P$4,tabela_registros[CATEGORIA],despesavariávelconsolidadodez[[#This Row],[DESPESA VARIÁVEL]])</f>
        <v>0</v>
      </c>
      <c r="AG68" s="91">
        <f>SUMIFS(tabela_registros[VALOR],tabela_registros[MÊS],$AE$1,tabela_registros[DIA],deztotal3059718395107119131143155167[[#Headers],[29]],tabela_registros[REGISTRO],DADOS!$N$4,tabela_registros[TIPO],DADOS!$P$4,tabela_registros[CATEGORIA],despesavariávelconsolidadodez[[#This Row],[DESPESA VARIÁVEL]])</f>
        <v>0</v>
      </c>
      <c r="AH68" s="91">
        <f>SUMIFS(tabela_registros[VALOR],tabela_registros[MÊS],$AE$1,tabela_registros[DIA],deztotal3059718395107119131143155167[[#Headers],[30]],tabela_registros[REGISTRO],DADOS!$N$4,tabela_registros[TIPO],DADOS!$P$4,tabela_registros[CATEGORIA],despesavariávelconsolidadodez[[#This Row],[DESPESA VARIÁVEL]])</f>
        <v>0</v>
      </c>
      <c r="AI68" s="101">
        <f>SUMIFS(tabela_registros[VALOR],tabela_registros[MÊS],$AE$1,tabela_registros[DIA],deztotal3059718395107119131143155167[[#Headers],[31]],tabela_registros[REGISTRO],DADOS!$N$4,tabela_registros[TIPO],DADOS!$P$4,tabela_registros[CATEGORIA],despesavariávelconsolidadodez[[#This Row],[DESPESA VARIÁVEL]])</f>
        <v>0</v>
      </c>
      <c r="AJ68" s="97">
        <f>SUM(despesavariávelconsolidadodez[[#This Row],[1]:[31]])</f>
        <v>0</v>
      </c>
      <c r="AK68" s="28"/>
    </row>
    <row r="69" spans="2:37" ht="18" customHeight="1" thickTop="1" thickBot="1" x14ac:dyDescent="0.3">
      <c r="B69" s="28"/>
      <c r="C69" s="27" t="str">
        <f>DADOS!$T$12</f>
        <v>💊 SAÚDE</v>
      </c>
      <c r="D69" s="26" t="str">
        <f>IF(despesavariávelconsolidadodez[[#This Row],[TOTAL]]=0,"",IF(OR(despesavariávelconsolidadodez[[#This Row],[TOTAL]]=LARGE($AJ$60:$AJ$72,1),despesavariávelconsolidadodez[[#This Row],[TOTAL]]=LARGE($AJ$60:$AJ$72,2),despesavariávelconsolidadodez[[#This Row],[TOTAL]]=LARGE($AJ$60:$AJ$72,3),despesavariávelconsolidadodez[[#This Row],[TOTAL]]=LARGE($AJ$60:$AJ$72,4),despesavariávelconsolidadodez[[#This Row],[TOTAL]]=LARGE($AJ$60:$AJ$72,5)),DADOS!$I$8,""))</f>
        <v/>
      </c>
      <c r="E69" s="96">
        <f>SUMIFS(tabela_registros[VALOR],tabela_registros[MÊS],$AE$1,tabela_registros[DIA],deztotal3059718395107119131143155167[[#Headers],[1]],tabela_registros[REGISTRO],DADOS!$N$4,tabela_registros[TIPO],DADOS!$P$4,tabela_registros[CATEGORIA],despesavariávelconsolidadodez[[#This Row],[DESPESA VARIÁVEL]])</f>
        <v>0</v>
      </c>
      <c r="F69" s="91">
        <f>SUMIFS(tabela_registros[VALOR],tabela_registros[MÊS],$AE$1,tabela_registros[DIA],deztotal3059718395107119131143155167[[#Headers],[2]],tabela_registros[REGISTRO],DADOS!$N$4,tabela_registros[TIPO],DADOS!$P$4,tabela_registros[CATEGORIA],despesavariávelconsolidadodez[[#This Row],[DESPESA VARIÁVEL]])</f>
        <v>0</v>
      </c>
      <c r="G69" s="91">
        <f>SUMIFS(tabela_registros[VALOR],tabela_registros[MÊS],$AE$1,tabela_registros[DIA],deztotal3059718395107119131143155167[[#Headers],[3]],tabela_registros[REGISTRO],DADOS!$N$4,tabela_registros[TIPO],DADOS!$P$4,tabela_registros[CATEGORIA],despesavariávelconsolidadodez[[#This Row],[DESPESA VARIÁVEL]])</f>
        <v>0</v>
      </c>
      <c r="H69" s="91">
        <f>SUMIFS(tabela_registros[VALOR],tabela_registros[MÊS],$AE$1,tabela_registros[DIA],deztotal3059718395107119131143155167[[#Headers],[4]],tabela_registros[REGISTRO],DADOS!$N$4,tabela_registros[TIPO],DADOS!$P$4,tabela_registros[CATEGORIA],despesavariávelconsolidadodez[[#This Row],[DESPESA VARIÁVEL]])</f>
        <v>0</v>
      </c>
      <c r="I69" s="91">
        <f>SUMIFS(tabela_registros[VALOR],tabela_registros[MÊS],$AE$1,tabela_registros[DIA],deztotal3059718395107119131143155167[[#Headers],[5]],tabela_registros[REGISTRO],DADOS!$N$4,tabela_registros[TIPO],DADOS!$P$4,tabela_registros[CATEGORIA],despesavariávelconsolidadodez[[#This Row],[DESPESA VARIÁVEL]])</f>
        <v>0</v>
      </c>
      <c r="J69" s="91">
        <f>SUMIFS(tabela_registros[VALOR],tabela_registros[MÊS],$AE$1,tabela_registros[DIA],deztotal3059718395107119131143155167[[#Headers],[6]],tabela_registros[REGISTRO],DADOS!$N$4,tabela_registros[TIPO],DADOS!$P$4,tabela_registros[CATEGORIA],despesavariávelconsolidadodez[[#This Row],[DESPESA VARIÁVEL]])</f>
        <v>0</v>
      </c>
      <c r="K69" s="91">
        <f>SUMIFS(tabela_registros[VALOR],tabela_registros[MÊS],$AE$1,tabela_registros[DIA],deztotal3059718395107119131143155167[[#Headers],[7]],tabela_registros[REGISTRO],DADOS!$N$4,tabela_registros[TIPO],DADOS!$P$4,tabela_registros[CATEGORIA],despesavariávelconsolidadodez[[#This Row],[DESPESA VARIÁVEL]])</f>
        <v>0</v>
      </c>
      <c r="L69" s="91">
        <f>SUMIFS(tabela_registros[VALOR],tabela_registros[MÊS],$AE$1,tabela_registros[DIA],deztotal3059718395107119131143155167[[#Headers],[8]],tabela_registros[REGISTRO],DADOS!$N$4,tabela_registros[TIPO],DADOS!$P$4,tabela_registros[CATEGORIA],despesavariávelconsolidadodez[[#This Row],[DESPESA VARIÁVEL]])</f>
        <v>0</v>
      </c>
      <c r="M69" s="91">
        <f>SUMIFS(tabela_registros[VALOR],tabela_registros[MÊS],$AE$1,tabela_registros[DIA],deztotal3059718395107119131143155167[[#Headers],[9]],tabela_registros[REGISTRO],DADOS!$N$4,tabela_registros[TIPO],DADOS!$P$4,tabela_registros[CATEGORIA],despesavariávelconsolidadodez[[#This Row],[DESPESA VARIÁVEL]])</f>
        <v>0</v>
      </c>
      <c r="N69" s="91">
        <f>SUMIFS(tabela_registros[VALOR],tabela_registros[MÊS],$AE$1,tabela_registros[DIA],deztotal3059718395107119131143155167[[#Headers],[10]],tabela_registros[REGISTRO],DADOS!$N$4,tabela_registros[TIPO],DADOS!$P$4,tabela_registros[CATEGORIA],despesavariávelconsolidadodez[[#This Row],[DESPESA VARIÁVEL]])</f>
        <v>0</v>
      </c>
      <c r="O69" s="91">
        <f>SUMIFS(tabela_registros[VALOR],tabela_registros[MÊS],$AE$1,tabela_registros[DIA],deztotal3059718395107119131143155167[[#Headers],[11]],tabela_registros[REGISTRO],DADOS!$N$4,tabela_registros[TIPO],DADOS!$P$4,tabela_registros[CATEGORIA],despesavariávelconsolidadodez[[#This Row],[DESPESA VARIÁVEL]])</f>
        <v>0</v>
      </c>
      <c r="P69" s="91">
        <f>SUMIFS(tabela_registros[VALOR],tabela_registros[MÊS],$AE$1,tabela_registros[DIA],deztotal3059718395107119131143155167[[#Headers],[12]],tabela_registros[REGISTRO],DADOS!$N$4,tabela_registros[TIPO],DADOS!$P$4,tabela_registros[CATEGORIA],despesavariávelconsolidadodez[[#This Row],[DESPESA VARIÁVEL]])</f>
        <v>0</v>
      </c>
      <c r="Q69" s="91">
        <f>SUMIFS(tabela_registros[VALOR],tabela_registros[MÊS],$AE$1,tabela_registros[DIA],deztotal3059718395107119131143155167[[#Headers],[13]],tabela_registros[REGISTRO],DADOS!$N$4,tabela_registros[TIPO],DADOS!$P$4,tabela_registros[CATEGORIA],despesavariávelconsolidadodez[[#This Row],[DESPESA VARIÁVEL]])</f>
        <v>0</v>
      </c>
      <c r="R69" s="91">
        <f>SUMIFS(tabela_registros[VALOR],tabela_registros[MÊS],$AE$1,tabela_registros[DIA],deztotal3059718395107119131143155167[[#Headers],[14]],tabela_registros[REGISTRO],DADOS!$N$4,tabela_registros[TIPO],DADOS!$P$4,tabela_registros[CATEGORIA],despesavariávelconsolidadodez[[#This Row],[DESPESA VARIÁVEL]])</f>
        <v>0</v>
      </c>
      <c r="S69" s="91">
        <f>SUMIFS(tabela_registros[VALOR],tabela_registros[MÊS],$AE$1,tabela_registros[DIA],deztotal3059718395107119131143155167[[#Headers],[15]],tabela_registros[REGISTRO],DADOS!$N$4,tabela_registros[TIPO],DADOS!$P$4,tabela_registros[CATEGORIA],despesavariávelconsolidadodez[[#This Row],[DESPESA VARIÁVEL]])</f>
        <v>0</v>
      </c>
      <c r="T69" s="91">
        <f>SUMIFS(tabela_registros[VALOR],tabela_registros[MÊS],$AE$1,tabela_registros[DIA],deztotal3059718395107119131143155167[[#Headers],[16]],tabela_registros[REGISTRO],DADOS!$N$4,tabela_registros[TIPO],DADOS!$P$4,tabela_registros[CATEGORIA],despesavariávelconsolidadodez[[#This Row],[DESPESA VARIÁVEL]])</f>
        <v>0</v>
      </c>
      <c r="U69" s="91">
        <f>SUMIFS(tabela_registros[VALOR],tabela_registros[MÊS],$AE$1,tabela_registros[DIA],deztotal3059718395107119131143155167[[#Headers],[17]],tabela_registros[REGISTRO],DADOS!$N$4,tabela_registros[TIPO],DADOS!$P$4,tabela_registros[CATEGORIA],despesavariávelconsolidadodez[[#This Row],[DESPESA VARIÁVEL]])</f>
        <v>0</v>
      </c>
      <c r="V69" s="91">
        <f>SUMIFS(tabela_registros[VALOR],tabela_registros[MÊS],$AE$1,tabela_registros[DIA],deztotal3059718395107119131143155167[[#Headers],[18]],tabela_registros[REGISTRO],DADOS!$N$4,tabela_registros[TIPO],DADOS!$P$4,tabela_registros[CATEGORIA],despesavariávelconsolidadodez[[#This Row],[DESPESA VARIÁVEL]])</f>
        <v>0</v>
      </c>
      <c r="W69" s="91">
        <f>SUMIFS(tabela_registros[VALOR],tabela_registros[MÊS],$AE$1,tabela_registros[DIA],deztotal3059718395107119131143155167[[#Headers],[19]],tabela_registros[REGISTRO],DADOS!$N$4,tabela_registros[TIPO],DADOS!$P$4,tabela_registros[CATEGORIA],despesavariávelconsolidadodez[[#This Row],[DESPESA VARIÁVEL]])</f>
        <v>0</v>
      </c>
      <c r="X69" s="91">
        <f>SUMIFS(tabela_registros[VALOR],tabela_registros[MÊS],$AE$1,tabela_registros[DIA],deztotal3059718395107119131143155167[[#Headers],[20]],tabela_registros[REGISTRO],DADOS!$N$4,tabela_registros[TIPO],DADOS!$P$4,tabela_registros[CATEGORIA],despesavariávelconsolidadodez[[#This Row],[DESPESA VARIÁVEL]])</f>
        <v>0</v>
      </c>
      <c r="Y69" s="91">
        <f>SUMIFS(tabela_registros[VALOR],tabela_registros[MÊS],$AE$1,tabela_registros[DIA],deztotal3059718395107119131143155167[[#Headers],[21]],tabela_registros[REGISTRO],DADOS!$N$4,tabela_registros[TIPO],DADOS!$P$4,tabela_registros[CATEGORIA],despesavariávelconsolidadodez[[#This Row],[DESPESA VARIÁVEL]])</f>
        <v>0</v>
      </c>
      <c r="Z69" s="91">
        <f>SUMIFS(tabela_registros[VALOR],tabela_registros[MÊS],$AE$1,tabela_registros[DIA],deztotal3059718395107119131143155167[[#Headers],[22]],tabela_registros[REGISTRO],DADOS!$N$4,tabela_registros[TIPO],DADOS!$P$4,tabela_registros[CATEGORIA],despesavariávelconsolidadodez[[#This Row],[DESPESA VARIÁVEL]])</f>
        <v>0</v>
      </c>
      <c r="AA69" s="91">
        <f>SUMIFS(tabela_registros[VALOR],tabela_registros[MÊS],$AE$1,tabela_registros[DIA],deztotal3059718395107119131143155167[[#Headers],[23]],tabela_registros[REGISTRO],DADOS!$N$4,tabela_registros[TIPO],DADOS!$P$4,tabela_registros[CATEGORIA],despesavariávelconsolidadodez[[#This Row],[DESPESA VARIÁVEL]])</f>
        <v>0</v>
      </c>
      <c r="AB69" s="91">
        <f>SUMIFS(tabela_registros[VALOR],tabela_registros[MÊS],$AE$1,tabela_registros[DIA],deztotal3059718395107119131143155167[[#Headers],[24]],tabela_registros[REGISTRO],DADOS!$N$4,tabela_registros[TIPO],DADOS!$P$4,tabela_registros[CATEGORIA],despesavariávelconsolidadodez[[#This Row],[DESPESA VARIÁVEL]])</f>
        <v>0</v>
      </c>
      <c r="AC69" s="91">
        <f>SUMIFS(tabela_registros[VALOR],tabela_registros[MÊS],$AE$1,tabela_registros[DIA],deztotal3059718395107119131143155167[[#Headers],[25]],tabela_registros[REGISTRO],DADOS!$N$4,tabela_registros[TIPO],DADOS!$P$4,tabela_registros[CATEGORIA],despesavariávelconsolidadodez[[#This Row],[DESPESA VARIÁVEL]])</f>
        <v>0</v>
      </c>
      <c r="AD69" s="91">
        <f>SUMIFS(tabela_registros[VALOR],tabela_registros[MÊS],$AE$1,tabela_registros[DIA],deztotal3059718395107119131143155167[[#Headers],[26]],tabela_registros[REGISTRO],DADOS!$N$4,tabela_registros[TIPO],DADOS!$P$4,tabela_registros[CATEGORIA],despesavariávelconsolidadodez[[#This Row],[DESPESA VARIÁVEL]])</f>
        <v>0</v>
      </c>
      <c r="AE69" s="91">
        <f>SUMIFS(tabela_registros[VALOR],tabela_registros[MÊS],$AE$1,tabela_registros[DIA],deztotal3059718395107119131143155167[[#Headers],[27]],tabela_registros[REGISTRO],DADOS!$N$4,tabela_registros[TIPO],DADOS!$P$4,tabela_registros[CATEGORIA],despesavariávelconsolidadodez[[#This Row],[DESPESA VARIÁVEL]])</f>
        <v>0</v>
      </c>
      <c r="AF69" s="91">
        <f>SUMIFS(tabela_registros[VALOR],tabela_registros[MÊS],$AE$1,tabela_registros[DIA],deztotal3059718395107119131143155167[[#Headers],[28]],tabela_registros[REGISTRO],DADOS!$N$4,tabela_registros[TIPO],DADOS!$P$4,tabela_registros[CATEGORIA],despesavariávelconsolidadodez[[#This Row],[DESPESA VARIÁVEL]])</f>
        <v>0</v>
      </c>
      <c r="AG69" s="91">
        <f>SUMIFS(tabela_registros[VALOR],tabela_registros[MÊS],$AE$1,tabela_registros[DIA],deztotal3059718395107119131143155167[[#Headers],[29]],tabela_registros[REGISTRO],DADOS!$N$4,tabela_registros[TIPO],DADOS!$P$4,tabela_registros[CATEGORIA],despesavariávelconsolidadodez[[#This Row],[DESPESA VARIÁVEL]])</f>
        <v>0</v>
      </c>
      <c r="AH69" s="91">
        <f>SUMIFS(tabela_registros[VALOR],tabela_registros[MÊS],$AE$1,tabela_registros[DIA],deztotal3059718395107119131143155167[[#Headers],[30]],tabela_registros[REGISTRO],DADOS!$N$4,tabela_registros[TIPO],DADOS!$P$4,tabela_registros[CATEGORIA],despesavariávelconsolidadodez[[#This Row],[DESPESA VARIÁVEL]])</f>
        <v>0</v>
      </c>
      <c r="AI69" s="101">
        <f>SUMIFS(tabela_registros[VALOR],tabela_registros[MÊS],$AE$1,tabela_registros[DIA],deztotal3059718395107119131143155167[[#Headers],[31]],tabela_registros[REGISTRO],DADOS!$N$4,tabela_registros[TIPO],DADOS!$P$4,tabela_registros[CATEGORIA],despesavariávelconsolidadodez[[#This Row],[DESPESA VARIÁVEL]])</f>
        <v>0</v>
      </c>
      <c r="AJ69" s="97">
        <f>SUM(despesavariávelconsolidadodez[[#This Row],[1]:[31]])</f>
        <v>0</v>
      </c>
      <c r="AK69" s="28"/>
    </row>
    <row r="70" spans="2:37" ht="18" customHeight="1" thickTop="1" thickBot="1" x14ac:dyDescent="0.3">
      <c r="B70" s="28"/>
      <c r="C70" s="27" t="str">
        <f>DADOS!$T$13</f>
        <v>🚍 TRANSPORTE</v>
      </c>
      <c r="D70" s="26" t="str">
        <f>IF(despesavariávelconsolidadodez[[#This Row],[TOTAL]]=0,"",IF(OR(despesavariávelconsolidadodez[[#This Row],[TOTAL]]=LARGE($AJ$60:$AJ$72,1),despesavariávelconsolidadodez[[#This Row],[TOTAL]]=LARGE($AJ$60:$AJ$72,2),despesavariávelconsolidadodez[[#This Row],[TOTAL]]=LARGE($AJ$60:$AJ$72,3),despesavariávelconsolidadodez[[#This Row],[TOTAL]]=LARGE($AJ$60:$AJ$72,4),despesavariávelconsolidadodez[[#This Row],[TOTAL]]=LARGE($AJ$60:$AJ$72,5)),DADOS!$I$8,""))</f>
        <v/>
      </c>
      <c r="E70" s="96">
        <f>SUMIFS(tabela_registros[VALOR],tabela_registros[MÊS],$AE$1,tabela_registros[DIA],deztotal3059718395107119131143155167[[#Headers],[1]],tabela_registros[REGISTRO],DADOS!$N$4,tabela_registros[TIPO],DADOS!$P$4,tabela_registros[CATEGORIA],despesavariávelconsolidadodez[[#This Row],[DESPESA VARIÁVEL]])</f>
        <v>0</v>
      </c>
      <c r="F70" s="91">
        <f>SUMIFS(tabela_registros[VALOR],tabela_registros[MÊS],$AE$1,tabela_registros[DIA],deztotal3059718395107119131143155167[[#Headers],[2]],tabela_registros[REGISTRO],DADOS!$N$4,tabela_registros[TIPO],DADOS!$P$4,tabela_registros[CATEGORIA],despesavariávelconsolidadodez[[#This Row],[DESPESA VARIÁVEL]])</f>
        <v>0</v>
      </c>
      <c r="G70" s="91">
        <f>SUMIFS(tabela_registros[VALOR],tabela_registros[MÊS],$AE$1,tabela_registros[DIA],deztotal3059718395107119131143155167[[#Headers],[3]],tabela_registros[REGISTRO],DADOS!$N$4,tabela_registros[TIPO],DADOS!$P$4,tabela_registros[CATEGORIA],despesavariávelconsolidadodez[[#This Row],[DESPESA VARIÁVEL]])</f>
        <v>0</v>
      </c>
      <c r="H70" s="91">
        <f>SUMIFS(tabela_registros[VALOR],tabela_registros[MÊS],$AE$1,tabela_registros[DIA],deztotal3059718395107119131143155167[[#Headers],[4]],tabela_registros[REGISTRO],DADOS!$N$4,tabela_registros[TIPO],DADOS!$P$4,tabela_registros[CATEGORIA],despesavariávelconsolidadodez[[#This Row],[DESPESA VARIÁVEL]])</f>
        <v>0</v>
      </c>
      <c r="I70" s="91">
        <f>SUMIFS(tabela_registros[VALOR],tabela_registros[MÊS],$AE$1,tabela_registros[DIA],deztotal3059718395107119131143155167[[#Headers],[5]],tabela_registros[REGISTRO],DADOS!$N$4,tabela_registros[TIPO],DADOS!$P$4,tabela_registros[CATEGORIA],despesavariávelconsolidadodez[[#This Row],[DESPESA VARIÁVEL]])</f>
        <v>0</v>
      </c>
      <c r="J70" s="91">
        <f>SUMIFS(tabela_registros[VALOR],tabela_registros[MÊS],$AE$1,tabela_registros[DIA],deztotal3059718395107119131143155167[[#Headers],[6]],tabela_registros[REGISTRO],DADOS!$N$4,tabela_registros[TIPO],DADOS!$P$4,tabela_registros[CATEGORIA],despesavariávelconsolidadodez[[#This Row],[DESPESA VARIÁVEL]])</f>
        <v>0</v>
      </c>
      <c r="K70" s="91">
        <f>SUMIFS(tabela_registros[VALOR],tabela_registros[MÊS],$AE$1,tabela_registros[DIA],deztotal3059718395107119131143155167[[#Headers],[7]],tabela_registros[REGISTRO],DADOS!$N$4,tabela_registros[TIPO],DADOS!$P$4,tabela_registros[CATEGORIA],despesavariávelconsolidadodez[[#This Row],[DESPESA VARIÁVEL]])</f>
        <v>0</v>
      </c>
      <c r="L70" s="91">
        <f>SUMIFS(tabela_registros[VALOR],tabela_registros[MÊS],$AE$1,tabela_registros[DIA],deztotal3059718395107119131143155167[[#Headers],[8]],tabela_registros[REGISTRO],DADOS!$N$4,tabela_registros[TIPO],DADOS!$P$4,tabela_registros[CATEGORIA],despesavariávelconsolidadodez[[#This Row],[DESPESA VARIÁVEL]])</f>
        <v>0</v>
      </c>
      <c r="M70" s="91">
        <f>SUMIFS(tabela_registros[VALOR],tabela_registros[MÊS],$AE$1,tabela_registros[DIA],deztotal3059718395107119131143155167[[#Headers],[9]],tabela_registros[REGISTRO],DADOS!$N$4,tabela_registros[TIPO],DADOS!$P$4,tabela_registros[CATEGORIA],despesavariávelconsolidadodez[[#This Row],[DESPESA VARIÁVEL]])</f>
        <v>0</v>
      </c>
      <c r="N70" s="91">
        <f>SUMIFS(tabela_registros[VALOR],tabela_registros[MÊS],$AE$1,tabela_registros[DIA],deztotal3059718395107119131143155167[[#Headers],[10]],tabela_registros[REGISTRO],DADOS!$N$4,tabela_registros[TIPO],DADOS!$P$4,tabela_registros[CATEGORIA],despesavariávelconsolidadodez[[#This Row],[DESPESA VARIÁVEL]])</f>
        <v>0</v>
      </c>
      <c r="O70" s="91">
        <f>SUMIFS(tabela_registros[VALOR],tabela_registros[MÊS],$AE$1,tabela_registros[DIA],deztotal3059718395107119131143155167[[#Headers],[11]],tabela_registros[REGISTRO],DADOS!$N$4,tabela_registros[TIPO],DADOS!$P$4,tabela_registros[CATEGORIA],despesavariávelconsolidadodez[[#This Row],[DESPESA VARIÁVEL]])</f>
        <v>0</v>
      </c>
      <c r="P70" s="91">
        <f>SUMIFS(tabela_registros[VALOR],tabela_registros[MÊS],$AE$1,tabela_registros[DIA],deztotal3059718395107119131143155167[[#Headers],[12]],tabela_registros[REGISTRO],DADOS!$N$4,tabela_registros[TIPO],DADOS!$P$4,tabela_registros[CATEGORIA],despesavariávelconsolidadodez[[#This Row],[DESPESA VARIÁVEL]])</f>
        <v>0</v>
      </c>
      <c r="Q70" s="91">
        <f>SUMIFS(tabela_registros[VALOR],tabela_registros[MÊS],$AE$1,tabela_registros[DIA],deztotal3059718395107119131143155167[[#Headers],[13]],tabela_registros[REGISTRO],DADOS!$N$4,tabela_registros[TIPO],DADOS!$P$4,tabela_registros[CATEGORIA],despesavariávelconsolidadodez[[#This Row],[DESPESA VARIÁVEL]])</f>
        <v>0</v>
      </c>
      <c r="R70" s="91">
        <f>SUMIFS(tabela_registros[VALOR],tabela_registros[MÊS],$AE$1,tabela_registros[DIA],deztotal3059718395107119131143155167[[#Headers],[14]],tabela_registros[REGISTRO],DADOS!$N$4,tabela_registros[TIPO],DADOS!$P$4,tabela_registros[CATEGORIA],despesavariávelconsolidadodez[[#This Row],[DESPESA VARIÁVEL]])</f>
        <v>0</v>
      </c>
      <c r="S70" s="91">
        <f>SUMIFS(tabela_registros[VALOR],tabela_registros[MÊS],$AE$1,tabela_registros[DIA],deztotal3059718395107119131143155167[[#Headers],[15]],tabela_registros[REGISTRO],DADOS!$N$4,tabela_registros[TIPO],DADOS!$P$4,tabela_registros[CATEGORIA],despesavariávelconsolidadodez[[#This Row],[DESPESA VARIÁVEL]])</f>
        <v>0</v>
      </c>
      <c r="T70" s="91">
        <f>SUMIFS(tabela_registros[VALOR],tabela_registros[MÊS],$AE$1,tabela_registros[DIA],deztotal3059718395107119131143155167[[#Headers],[16]],tabela_registros[REGISTRO],DADOS!$N$4,tabela_registros[TIPO],DADOS!$P$4,tabela_registros[CATEGORIA],despesavariávelconsolidadodez[[#This Row],[DESPESA VARIÁVEL]])</f>
        <v>0</v>
      </c>
      <c r="U70" s="91">
        <f>SUMIFS(tabela_registros[VALOR],tabela_registros[MÊS],$AE$1,tabela_registros[DIA],deztotal3059718395107119131143155167[[#Headers],[17]],tabela_registros[REGISTRO],DADOS!$N$4,tabela_registros[TIPO],DADOS!$P$4,tabela_registros[CATEGORIA],despesavariávelconsolidadodez[[#This Row],[DESPESA VARIÁVEL]])</f>
        <v>0</v>
      </c>
      <c r="V70" s="91">
        <f>SUMIFS(tabela_registros[VALOR],tabela_registros[MÊS],$AE$1,tabela_registros[DIA],deztotal3059718395107119131143155167[[#Headers],[18]],tabela_registros[REGISTRO],DADOS!$N$4,tabela_registros[TIPO],DADOS!$P$4,tabela_registros[CATEGORIA],despesavariávelconsolidadodez[[#This Row],[DESPESA VARIÁVEL]])</f>
        <v>0</v>
      </c>
      <c r="W70" s="91">
        <f>SUMIFS(tabela_registros[VALOR],tabela_registros[MÊS],$AE$1,tabela_registros[DIA],deztotal3059718395107119131143155167[[#Headers],[19]],tabela_registros[REGISTRO],DADOS!$N$4,tabela_registros[TIPO],DADOS!$P$4,tabela_registros[CATEGORIA],despesavariávelconsolidadodez[[#This Row],[DESPESA VARIÁVEL]])</f>
        <v>0</v>
      </c>
      <c r="X70" s="91">
        <f>SUMIFS(tabela_registros[VALOR],tabela_registros[MÊS],$AE$1,tabela_registros[DIA],deztotal3059718395107119131143155167[[#Headers],[20]],tabela_registros[REGISTRO],DADOS!$N$4,tabela_registros[TIPO],DADOS!$P$4,tabela_registros[CATEGORIA],despesavariávelconsolidadodez[[#This Row],[DESPESA VARIÁVEL]])</f>
        <v>0</v>
      </c>
      <c r="Y70" s="91">
        <f>SUMIFS(tabela_registros[VALOR],tabela_registros[MÊS],$AE$1,tabela_registros[DIA],deztotal3059718395107119131143155167[[#Headers],[21]],tabela_registros[REGISTRO],DADOS!$N$4,tabela_registros[TIPO],DADOS!$P$4,tabela_registros[CATEGORIA],despesavariávelconsolidadodez[[#This Row],[DESPESA VARIÁVEL]])</f>
        <v>0</v>
      </c>
      <c r="Z70" s="91">
        <f>SUMIFS(tabela_registros[VALOR],tabela_registros[MÊS],$AE$1,tabela_registros[DIA],deztotal3059718395107119131143155167[[#Headers],[22]],tabela_registros[REGISTRO],DADOS!$N$4,tabela_registros[TIPO],DADOS!$P$4,tabela_registros[CATEGORIA],despesavariávelconsolidadodez[[#This Row],[DESPESA VARIÁVEL]])</f>
        <v>0</v>
      </c>
      <c r="AA70" s="91">
        <f>SUMIFS(tabela_registros[VALOR],tabela_registros[MÊS],$AE$1,tabela_registros[DIA],deztotal3059718395107119131143155167[[#Headers],[23]],tabela_registros[REGISTRO],DADOS!$N$4,tabela_registros[TIPO],DADOS!$P$4,tabela_registros[CATEGORIA],despesavariávelconsolidadodez[[#This Row],[DESPESA VARIÁVEL]])</f>
        <v>0</v>
      </c>
      <c r="AB70" s="91">
        <f>SUMIFS(tabela_registros[VALOR],tabela_registros[MÊS],$AE$1,tabela_registros[DIA],deztotal3059718395107119131143155167[[#Headers],[24]],tabela_registros[REGISTRO],DADOS!$N$4,tabela_registros[TIPO],DADOS!$P$4,tabela_registros[CATEGORIA],despesavariávelconsolidadodez[[#This Row],[DESPESA VARIÁVEL]])</f>
        <v>0</v>
      </c>
      <c r="AC70" s="91">
        <f>SUMIFS(tabela_registros[VALOR],tabela_registros[MÊS],$AE$1,tabela_registros[DIA],deztotal3059718395107119131143155167[[#Headers],[25]],tabela_registros[REGISTRO],DADOS!$N$4,tabela_registros[TIPO],DADOS!$P$4,tabela_registros[CATEGORIA],despesavariávelconsolidadodez[[#This Row],[DESPESA VARIÁVEL]])</f>
        <v>0</v>
      </c>
      <c r="AD70" s="91">
        <f>SUMIFS(tabela_registros[VALOR],tabela_registros[MÊS],$AE$1,tabela_registros[DIA],deztotal3059718395107119131143155167[[#Headers],[26]],tabela_registros[REGISTRO],DADOS!$N$4,tabela_registros[TIPO],DADOS!$P$4,tabela_registros[CATEGORIA],despesavariávelconsolidadodez[[#This Row],[DESPESA VARIÁVEL]])</f>
        <v>0</v>
      </c>
      <c r="AE70" s="91">
        <f>SUMIFS(tabela_registros[VALOR],tabela_registros[MÊS],$AE$1,tabela_registros[DIA],deztotal3059718395107119131143155167[[#Headers],[27]],tabela_registros[REGISTRO],DADOS!$N$4,tabela_registros[TIPO],DADOS!$P$4,tabela_registros[CATEGORIA],despesavariávelconsolidadodez[[#This Row],[DESPESA VARIÁVEL]])</f>
        <v>0</v>
      </c>
      <c r="AF70" s="91">
        <f>SUMIFS(tabela_registros[VALOR],tabela_registros[MÊS],$AE$1,tabela_registros[DIA],deztotal3059718395107119131143155167[[#Headers],[28]],tabela_registros[REGISTRO],DADOS!$N$4,tabela_registros[TIPO],DADOS!$P$4,tabela_registros[CATEGORIA],despesavariávelconsolidadodez[[#This Row],[DESPESA VARIÁVEL]])</f>
        <v>0</v>
      </c>
      <c r="AG70" s="91">
        <f>SUMIFS(tabela_registros[VALOR],tabela_registros[MÊS],$AE$1,tabela_registros[DIA],deztotal3059718395107119131143155167[[#Headers],[29]],tabela_registros[REGISTRO],DADOS!$N$4,tabela_registros[TIPO],DADOS!$P$4,tabela_registros[CATEGORIA],despesavariávelconsolidadodez[[#This Row],[DESPESA VARIÁVEL]])</f>
        <v>0</v>
      </c>
      <c r="AH70" s="91">
        <f>SUMIFS(tabela_registros[VALOR],tabela_registros[MÊS],$AE$1,tabela_registros[DIA],deztotal3059718395107119131143155167[[#Headers],[30]],tabela_registros[REGISTRO],DADOS!$N$4,tabela_registros[TIPO],DADOS!$P$4,tabela_registros[CATEGORIA],despesavariávelconsolidadodez[[#This Row],[DESPESA VARIÁVEL]])</f>
        <v>0</v>
      </c>
      <c r="AI70" s="101">
        <f>SUMIFS(tabela_registros[VALOR],tabela_registros[MÊS],$AE$1,tabela_registros[DIA],deztotal3059718395107119131143155167[[#Headers],[31]],tabela_registros[REGISTRO],DADOS!$N$4,tabela_registros[TIPO],DADOS!$P$4,tabela_registros[CATEGORIA],despesavariávelconsolidadodez[[#This Row],[DESPESA VARIÁVEL]])</f>
        <v>0</v>
      </c>
      <c r="AJ70" s="97">
        <f>SUM(despesavariávelconsolidadodez[[#This Row],[1]:[31]])</f>
        <v>0</v>
      </c>
      <c r="AK70" s="28"/>
    </row>
    <row r="71" spans="2:37" ht="18" customHeight="1" thickTop="1" thickBot="1" x14ac:dyDescent="0.3">
      <c r="B71" s="28"/>
      <c r="C71" s="27" t="str">
        <f>DADOS!$T$14</f>
        <v>🛍️ VESTUÁRIO</v>
      </c>
      <c r="D71" s="26" t="str">
        <f>IF(despesavariávelconsolidadodez[[#This Row],[TOTAL]]=0,"",IF(OR(despesavariávelconsolidadodez[[#This Row],[TOTAL]]=LARGE($AJ$60:$AJ$72,1),despesavariávelconsolidadodez[[#This Row],[TOTAL]]=LARGE($AJ$60:$AJ$72,2),despesavariávelconsolidadodez[[#This Row],[TOTAL]]=LARGE($AJ$60:$AJ$72,3),despesavariávelconsolidadodez[[#This Row],[TOTAL]]=LARGE($AJ$60:$AJ$72,4),despesavariávelconsolidadodez[[#This Row],[TOTAL]]=LARGE($AJ$60:$AJ$72,5)),DADOS!$I$8,""))</f>
        <v/>
      </c>
      <c r="E71" s="96">
        <f>SUMIFS(tabela_registros[VALOR],tabela_registros[MÊS],$AE$1,tabela_registros[DIA],deztotal3059718395107119131143155167[[#Headers],[1]],tabela_registros[REGISTRO],DADOS!$N$4,tabela_registros[TIPO],DADOS!$P$4,tabela_registros[CATEGORIA],despesavariávelconsolidadodez[[#This Row],[DESPESA VARIÁVEL]])</f>
        <v>0</v>
      </c>
      <c r="F71" s="91">
        <f>SUMIFS(tabela_registros[VALOR],tabela_registros[MÊS],$AE$1,tabela_registros[DIA],deztotal3059718395107119131143155167[[#Headers],[2]],tabela_registros[REGISTRO],DADOS!$N$4,tabela_registros[TIPO],DADOS!$P$4,tabela_registros[CATEGORIA],despesavariávelconsolidadodez[[#This Row],[DESPESA VARIÁVEL]])</f>
        <v>0</v>
      </c>
      <c r="G71" s="91">
        <f>SUMIFS(tabela_registros[VALOR],tabela_registros[MÊS],$AE$1,tabela_registros[DIA],deztotal3059718395107119131143155167[[#Headers],[3]],tabela_registros[REGISTRO],DADOS!$N$4,tabela_registros[TIPO],DADOS!$P$4,tabela_registros[CATEGORIA],despesavariávelconsolidadodez[[#This Row],[DESPESA VARIÁVEL]])</f>
        <v>0</v>
      </c>
      <c r="H71" s="91">
        <f>SUMIFS(tabela_registros[VALOR],tabela_registros[MÊS],$AE$1,tabela_registros[DIA],deztotal3059718395107119131143155167[[#Headers],[4]],tabela_registros[REGISTRO],DADOS!$N$4,tabela_registros[TIPO],DADOS!$P$4,tabela_registros[CATEGORIA],despesavariávelconsolidadodez[[#This Row],[DESPESA VARIÁVEL]])</f>
        <v>0</v>
      </c>
      <c r="I71" s="91">
        <f>SUMIFS(tabela_registros[VALOR],tabela_registros[MÊS],$AE$1,tabela_registros[DIA],deztotal3059718395107119131143155167[[#Headers],[5]],tabela_registros[REGISTRO],DADOS!$N$4,tabela_registros[TIPO],DADOS!$P$4,tabela_registros[CATEGORIA],despesavariávelconsolidadodez[[#This Row],[DESPESA VARIÁVEL]])</f>
        <v>0</v>
      </c>
      <c r="J71" s="91">
        <f>SUMIFS(tabela_registros[VALOR],tabela_registros[MÊS],$AE$1,tabela_registros[DIA],deztotal3059718395107119131143155167[[#Headers],[6]],tabela_registros[REGISTRO],DADOS!$N$4,tabela_registros[TIPO],DADOS!$P$4,tabela_registros[CATEGORIA],despesavariávelconsolidadodez[[#This Row],[DESPESA VARIÁVEL]])</f>
        <v>0</v>
      </c>
      <c r="K71" s="91">
        <f>SUMIFS(tabela_registros[VALOR],tabela_registros[MÊS],$AE$1,tabela_registros[DIA],deztotal3059718395107119131143155167[[#Headers],[7]],tabela_registros[REGISTRO],DADOS!$N$4,tabela_registros[TIPO],DADOS!$P$4,tabela_registros[CATEGORIA],despesavariávelconsolidadodez[[#This Row],[DESPESA VARIÁVEL]])</f>
        <v>0</v>
      </c>
      <c r="L71" s="91">
        <f>SUMIFS(tabela_registros[VALOR],tabela_registros[MÊS],$AE$1,tabela_registros[DIA],deztotal3059718395107119131143155167[[#Headers],[8]],tabela_registros[REGISTRO],DADOS!$N$4,tabela_registros[TIPO],DADOS!$P$4,tabela_registros[CATEGORIA],despesavariávelconsolidadodez[[#This Row],[DESPESA VARIÁVEL]])</f>
        <v>0</v>
      </c>
      <c r="M71" s="91">
        <f>SUMIFS(tabela_registros[VALOR],tabela_registros[MÊS],$AE$1,tabela_registros[DIA],deztotal3059718395107119131143155167[[#Headers],[9]],tabela_registros[REGISTRO],DADOS!$N$4,tabela_registros[TIPO],DADOS!$P$4,tabela_registros[CATEGORIA],despesavariávelconsolidadodez[[#This Row],[DESPESA VARIÁVEL]])</f>
        <v>0</v>
      </c>
      <c r="N71" s="91">
        <f>SUMIFS(tabela_registros[VALOR],tabela_registros[MÊS],$AE$1,tabela_registros[DIA],deztotal3059718395107119131143155167[[#Headers],[10]],tabela_registros[REGISTRO],DADOS!$N$4,tabela_registros[TIPO],DADOS!$P$4,tabela_registros[CATEGORIA],despesavariávelconsolidadodez[[#This Row],[DESPESA VARIÁVEL]])</f>
        <v>0</v>
      </c>
      <c r="O71" s="91">
        <f>SUMIFS(tabela_registros[VALOR],tabela_registros[MÊS],$AE$1,tabela_registros[DIA],deztotal3059718395107119131143155167[[#Headers],[11]],tabela_registros[REGISTRO],DADOS!$N$4,tabela_registros[TIPO],DADOS!$P$4,tabela_registros[CATEGORIA],despesavariávelconsolidadodez[[#This Row],[DESPESA VARIÁVEL]])</f>
        <v>0</v>
      </c>
      <c r="P71" s="91">
        <f>SUMIFS(tabela_registros[VALOR],tabela_registros[MÊS],$AE$1,tabela_registros[DIA],deztotal3059718395107119131143155167[[#Headers],[12]],tabela_registros[REGISTRO],DADOS!$N$4,tabela_registros[TIPO],DADOS!$P$4,tabela_registros[CATEGORIA],despesavariávelconsolidadodez[[#This Row],[DESPESA VARIÁVEL]])</f>
        <v>0</v>
      </c>
      <c r="Q71" s="91">
        <f>SUMIFS(tabela_registros[VALOR],tabela_registros[MÊS],$AE$1,tabela_registros[DIA],deztotal3059718395107119131143155167[[#Headers],[13]],tabela_registros[REGISTRO],DADOS!$N$4,tabela_registros[TIPO],DADOS!$P$4,tabela_registros[CATEGORIA],despesavariávelconsolidadodez[[#This Row],[DESPESA VARIÁVEL]])</f>
        <v>0</v>
      </c>
      <c r="R71" s="91">
        <f>SUMIFS(tabela_registros[VALOR],tabela_registros[MÊS],$AE$1,tabela_registros[DIA],deztotal3059718395107119131143155167[[#Headers],[14]],tabela_registros[REGISTRO],DADOS!$N$4,tabela_registros[TIPO],DADOS!$P$4,tabela_registros[CATEGORIA],despesavariávelconsolidadodez[[#This Row],[DESPESA VARIÁVEL]])</f>
        <v>0</v>
      </c>
      <c r="S71" s="91">
        <f>SUMIFS(tabela_registros[VALOR],tabela_registros[MÊS],$AE$1,tabela_registros[DIA],deztotal3059718395107119131143155167[[#Headers],[15]],tabela_registros[REGISTRO],DADOS!$N$4,tabela_registros[TIPO],DADOS!$P$4,tabela_registros[CATEGORIA],despesavariávelconsolidadodez[[#This Row],[DESPESA VARIÁVEL]])</f>
        <v>0</v>
      </c>
      <c r="T71" s="91">
        <f>SUMIFS(tabela_registros[VALOR],tabela_registros[MÊS],$AE$1,tabela_registros[DIA],deztotal3059718395107119131143155167[[#Headers],[16]],tabela_registros[REGISTRO],DADOS!$N$4,tabela_registros[TIPO],DADOS!$P$4,tabela_registros[CATEGORIA],despesavariávelconsolidadodez[[#This Row],[DESPESA VARIÁVEL]])</f>
        <v>0</v>
      </c>
      <c r="U71" s="91">
        <f>SUMIFS(tabela_registros[VALOR],tabela_registros[MÊS],$AE$1,tabela_registros[DIA],deztotal3059718395107119131143155167[[#Headers],[17]],tabela_registros[REGISTRO],DADOS!$N$4,tabela_registros[TIPO],DADOS!$P$4,tabela_registros[CATEGORIA],despesavariávelconsolidadodez[[#This Row],[DESPESA VARIÁVEL]])</f>
        <v>0</v>
      </c>
      <c r="V71" s="91">
        <f>SUMIFS(tabela_registros[VALOR],tabela_registros[MÊS],$AE$1,tabela_registros[DIA],deztotal3059718395107119131143155167[[#Headers],[18]],tabela_registros[REGISTRO],DADOS!$N$4,tabela_registros[TIPO],DADOS!$P$4,tabela_registros[CATEGORIA],despesavariávelconsolidadodez[[#This Row],[DESPESA VARIÁVEL]])</f>
        <v>0</v>
      </c>
      <c r="W71" s="91">
        <f>SUMIFS(tabela_registros[VALOR],tabela_registros[MÊS],$AE$1,tabela_registros[DIA],deztotal3059718395107119131143155167[[#Headers],[19]],tabela_registros[REGISTRO],DADOS!$N$4,tabela_registros[TIPO],DADOS!$P$4,tabela_registros[CATEGORIA],despesavariávelconsolidadodez[[#This Row],[DESPESA VARIÁVEL]])</f>
        <v>0</v>
      </c>
      <c r="X71" s="91">
        <f>SUMIFS(tabela_registros[VALOR],tabela_registros[MÊS],$AE$1,tabela_registros[DIA],deztotal3059718395107119131143155167[[#Headers],[20]],tabela_registros[REGISTRO],DADOS!$N$4,tabela_registros[TIPO],DADOS!$P$4,tabela_registros[CATEGORIA],despesavariávelconsolidadodez[[#This Row],[DESPESA VARIÁVEL]])</f>
        <v>0</v>
      </c>
      <c r="Y71" s="91">
        <f>SUMIFS(tabela_registros[VALOR],tabela_registros[MÊS],$AE$1,tabela_registros[DIA],deztotal3059718395107119131143155167[[#Headers],[21]],tabela_registros[REGISTRO],DADOS!$N$4,tabela_registros[TIPO],DADOS!$P$4,tabela_registros[CATEGORIA],despesavariávelconsolidadodez[[#This Row],[DESPESA VARIÁVEL]])</f>
        <v>0</v>
      </c>
      <c r="Z71" s="91">
        <f>SUMIFS(tabela_registros[VALOR],tabela_registros[MÊS],$AE$1,tabela_registros[DIA],deztotal3059718395107119131143155167[[#Headers],[22]],tabela_registros[REGISTRO],DADOS!$N$4,tabela_registros[TIPO],DADOS!$P$4,tabela_registros[CATEGORIA],despesavariávelconsolidadodez[[#This Row],[DESPESA VARIÁVEL]])</f>
        <v>0</v>
      </c>
      <c r="AA71" s="91">
        <f>SUMIFS(tabela_registros[VALOR],tabela_registros[MÊS],$AE$1,tabela_registros[DIA],deztotal3059718395107119131143155167[[#Headers],[23]],tabela_registros[REGISTRO],DADOS!$N$4,tabela_registros[TIPO],DADOS!$P$4,tabela_registros[CATEGORIA],despesavariávelconsolidadodez[[#This Row],[DESPESA VARIÁVEL]])</f>
        <v>0</v>
      </c>
      <c r="AB71" s="91">
        <f>SUMIFS(tabela_registros[VALOR],tabela_registros[MÊS],$AE$1,tabela_registros[DIA],deztotal3059718395107119131143155167[[#Headers],[24]],tabela_registros[REGISTRO],DADOS!$N$4,tabela_registros[TIPO],DADOS!$P$4,tabela_registros[CATEGORIA],despesavariávelconsolidadodez[[#This Row],[DESPESA VARIÁVEL]])</f>
        <v>0</v>
      </c>
      <c r="AC71" s="91">
        <f>SUMIFS(tabela_registros[VALOR],tabela_registros[MÊS],$AE$1,tabela_registros[DIA],deztotal3059718395107119131143155167[[#Headers],[25]],tabela_registros[REGISTRO],DADOS!$N$4,tabela_registros[TIPO],DADOS!$P$4,tabela_registros[CATEGORIA],despesavariávelconsolidadodez[[#This Row],[DESPESA VARIÁVEL]])</f>
        <v>0</v>
      </c>
      <c r="AD71" s="91">
        <f>SUMIFS(tabela_registros[VALOR],tabela_registros[MÊS],$AE$1,tabela_registros[DIA],deztotal3059718395107119131143155167[[#Headers],[26]],tabela_registros[REGISTRO],DADOS!$N$4,tabela_registros[TIPO],DADOS!$P$4,tabela_registros[CATEGORIA],despesavariávelconsolidadodez[[#This Row],[DESPESA VARIÁVEL]])</f>
        <v>0</v>
      </c>
      <c r="AE71" s="91">
        <f>SUMIFS(tabela_registros[VALOR],tabela_registros[MÊS],$AE$1,tabela_registros[DIA],deztotal3059718395107119131143155167[[#Headers],[27]],tabela_registros[REGISTRO],DADOS!$N$4,tabela_registros[TIPO],DADOS!$P$4,tabela_registros[CATEGORIA],despesavariávelconsolidadodez[[#This Row],[DESPESA VARIÁVEL]])</f>
        <v>0</v>
      </c>
      <c r="AF71" s="91">
        <f>SUMIFS(tabela_registros[VALOR],tabela_registros[MÊS],$AE$1,tabela_registros[DIA],deztotal3059718395107119131143155167[[#Headers],[28]],tabela_registros[REGISTRO],DADOS!$N$4,tabela_registros[TIPO],DADOS!$P$4,tabela_registros[CATEGORIA],despesavariávelconsolidadodez[[#This Row],[DESPESA VARIÁVEL]])</f>
        <v>0</v>
      </c>
      <c r="AG71" s="91">
        <f>SUMIFS(tabela_registros[VALOR],tabela_registros[MÊS],$AE$1,tabela_registros[DIA],deztotal3059718395107119131143155167[[#Headers],[29]],tabela_registros[REGISTRO],DADOS!$N$4,tabela_registros[TIPO],DADOS!$P$4,tabela_registros[CATEGORIA],despesavariávelconsolidadodez[[#This Row],[DESPESA VARIÁVEL]])</f>
        <v>0</v>
      </c>
      <c r="AH71" s="91">
        <f>SUMIFS(tabela_registros[VALOR],tabela_registros[MÊS],$AE$1,tabela_registros[DIA],deztotal3059718395107119131143155167[[#Headers],[30]],tabela_registros[REGISTRO],DADOS!$N$4,tabela_registros[TIPO],DADOS!$P$4,tabela_registros[CATEGORIA],despesavariávelconsolidadodez[[#This Row],[DESPESA VARIÁVEL]])</f>
        <v>0</v>
      </c>
      <c r="AI71" s="101">
        <f>SUMIFS(tabela_registros[VALOR],tabela_registros[MÊS],$AE$1,tabela_registros[DIA],deztotal3059718395107119131143155167[[#Headers],[31]],tabela_registros[REGISTRO],DADOS!$N$4,tabela_registros[TIPO],DADOS!$P$4,tabela_registros[CATEGORIA],despesavariávelconsolidadodez[[#This Row],[DESPESA VARIÁVEL]])</f>
        <v>0</v>
      </c>
      <c r="AJ71" s="97">
        <f>SUM(despesavariávelconsolidadodez[[#This Row],[1]:[31]])</f>
        <v>0</v>
      </c>
      <c r="AK71" s="28"/>
    </row>
    <row r="72" spans="2:37" ht="18" customHeight="1" thickTop="1" thickBot="1" x14ac:dyDescent="0.3">
      <c r="B72" s="28"/>
      <c r="C72" s="27" t="str">
        <f>DADOS!$T$15</f>
        <v>📎 OUTROS</v>
      </c>
      <c r="D72" s="26" t="str">
        <f>IF(despesavariávelconsolidadodez[[#This Row],[TOTAL]]=0,"",IF(OR(despesavariávelconsolidadodez[[#This Row],[TOTAL]]=LARGE($AJ$60:$AJ$72,1),despesavariávelconsolidadodez[[#This Row],[TOTAL]]=LARGE($AJ$60:$AJ$72,2),despesavariávelconsolidadodez[[#This Row],[TOTAL]]=LARGE($AJ$60:$AJ$72,3),despesavariávelconsolidadodez[[#This Row],[TOTAL]]=LARGE($AJ$60:$AJ$72,4),despesavariávelconsolidadodez[[#This Row],[TOTAL]]=LARGE($AJ$60:$AJ$72,5)),DADOS!$I$8,""))</f>
        <v/>
      </c>
      <c r="E72" s="96">
        <f>SUMIFS(tabela_registros[VALOR],tabela_registros[MÊS],$AE$1,tabela_registros[DIA],deztotal3059718395107119131143155167[[#Headers],[1]],tabela_registros[REGISTRO],DADOS!$N$4,tabela_registros[TIPO],DADOS!$P$4,tabela_registros[CATEGORIA],despesavariávelconsolidadodez[[#This Row],[DESPESA VARIÁVEL]])</f>
        <v>0</v>
      </c>
      <c r="F72" s="91">
        <f>SUMIFS(tabela_registros[VALOR],tabela_registros[MÊS],$AE$1,tabela_registros[DIA],deztotal3059718395107119131143155167[[#Headers],[2]],tabela_registros[REGISTRO],DADOS!$N$4,tabela_registros[TIPO],DADOS!$P$4,tabela_registros[CATEGORIA],despesavariávelconsolidadodez[[#This Row],[DESPESA VARIÁVEL]])</f>
        <v>0</v>
      </c>
      <c r="G72" s="91">
        <f>SUMIFS(tabela_registros[VALOR],tabela_registros[MÊS],$AE$1,tabela_registros[DIA],deztotal3059718395107119131143155167[[#Headers],[3]],tabela_registros[REGISTRO],DADOS!$N$4,tabela_registros[TIPO],DADOS!$P$4,tabela_registros[CATEGORIA],despesavariávelconsolidadodez[[#This Row],[DESPESA VARIÁVEL]])</f>
        <v>0</v>
      </c>
      <c r="H72" s="91">
        <f>SUMIFS(tabela_registros[VALOR],tabela_registros[MÊS],$AE$1,tabela_registros[DIA],deztotal3059718395107119131143155167[[#Headers],[4]],tabela_registros[REGISTRO],DADOS!$N$4,tabela_registros[TIPO],DADOS!$P$4,tabela_registros[CATEGORIA],despesavariávelconsolidadodez[[#This Row],[DESPESA VARIÁVEL]])</f>
        <v>0</v>
      </c>
      <c r="I72" s="91">
        <f>SUMIFS(tabela_registros[VALOR],tabela_registros[MÊS],$AE$1,tabela_registros[DIA],deztotal3059718395107119131143155167[[#Headers],[5]],tabela_registros[REGISTRO],DADOS!$N$4,tabela_registros[TIPO],DADOS!$P$4,tabela_registros[CATEGORIA],despesavariávelconsolidadodez[[#This Row],[DESPESA VARIÁVEL]])</f>
        <v>0</v>
      </c>
      <c r="J72" s="91">
        <f>SUMIFS(tabela_registros[VALOR],tabela_registros[MÊS],$AE$1,tabela_registros[DIA],deztotal3059718395107119131143155167[[#Headers],[6]],tabela_registros[REGISTRO],DADOS!$N$4,tabela_registros[TIPO],DADOS!$P$4,tabela_registros[CATEGORIA],despesavariávelconsolidadodez[[#This Row],[DESPESA VARIÁVEL]])</f>
        <v>0</v>
      </c>
      <c r="K72" s="91">
        <f>SUMIFS(tabela_registros[VALOR],tabela_registros[MÊS],$AE$1,tabela_registros[DIA],deztotal3059718395107119131143155167[[#Headers],[7]],tabela_registros[REGISTRO],DADOS!$N$4,tabela_registros[TIPO],DADOS!$P$4,tabela_registros[CATEGORIA],despesavariávelconsolidadodez[[#This Row],[DESPESA VARIÁVEL]])</f>
        <v>0</v>
      </c>
      <c r="L72" s="91">
        <f>SUMIFS(tabela_registros[VALOR],tabela_registros[MÊS],$AE$1,tabela_registros[DIA],deztotal3059718395107119131143155167[[#Headers],[8]],tabela_registros[REGISTRO],DADOS!$N$4,tabela_registros[TIPO],DADOS!$P$4,tabela_registros[CATEGORIA],despesavariávelconsolidadodez[[#This Row],[DESPESA VARIÁVEL]])</f>
        <v>0</v>
      </c>
      <c r="M72" s="91">
        <f>SUMIFS(tabela_registros[VALOR],tabela_registros[MÊS],$AE$1,tabela_registros[DIA],deztotal3059718395107119131143155167[[#Headers],[9]],tabela_registros[REGISTRO],DADOS!$N$4,tabela_registros[TIPO],DADOS!$P$4,tabela_registros[CATEGORIA],despesavariávelconsolidadodez[[#This Row],[DESPESA VARIÁVEL]])</f>
        <v>0</v>
      </c>
      <c r="N72" s="91">
        <f>SUMIFS(tabela_registros[VALOR],tabela_registros[MÊS],$AE$1,tabela_registros[DIA],deztotal3059718395107119131143155167[[#Headers],[10]],tabela_registros[REGISTRO],DADOS!$N$4,tabela_registros[TIPO],DADOS!$P$4,tabela_registros[CATEGORIA],despesavariávelconsolidadodez[[#This Row],[DESPESA VARIÁVEL]])</f>
        <v>0</v>
      </c>
      <c r="O72" s="91">
        <f>SUMIFS(tabela_registros[VALOR],tabela_registros[MÊS],$AE$1,tabela_registros[DIA],deztotal3059718395107119131143155167[[#Headers],[11]],tabela_registros[REGISTRO],DADOS!$N$4,tabela_registros[TIPO],DADOS!$P$4,tabela_registros[CATEGORIA],despesavariávelconsolidadodez[[#This Row],[DESPESA VARIÁVEL]])</f>
        <v>0</v>
      </c>
      <c r="P72" s="91">
        <f>SUMIFS(tabela_registros[VALOR],tabela_registros[MÊS],$AE$1,tabela_registros[DIA],deztotal3059718395107119131143155167[[#Headers],[12]],tabela_registros[REGISTRO],DADOS!$N$4,tabela_registros[TIPO],DADOS!$P$4,tabela_registros[CATEGORIA],despesavariávelconsolidadodez[[#This Row],[DESPESA VARIÁVEL]])</f>
        <v>0</v>
      </c>
      <c r="Q72" s="91">
        <f>SUMIFS(tabela_registros[VALOR],tabela_registros[MÊS],$AE$1,tabela_registros[DIA],deztotal3059718395107119131143155167[[#Headers],[13]],tabela_registros[REGISTRO],DADOS!$N$4,tabela_registros[TIPO],DADOS!$P$4,tabela_registros[CATEGORIA],despesavariávelconsolidadodez[[#This Row],[DESPESA VARIÁVEL]])</f>
        <v>0</v>
      </c>
      <c r="R72" s="91">
        <f>SUMIFS(tabela_registros[VALOR],tabela_registros[MÊS],$AE$1,tabela_registros[DIA],deztotal3059718395107119131143155167[[#Headers],[14]],tabela_registros[REGISTRO],DADOS!$N$4,tabela_registros[TIPO],DADOS!$P$4,tabela_registros[CATEGORIA],despesavariávelconsolidadodez[[#This Row],[DESPESA VARIÁVEL]])</f>
        <v>0</v>
      </c>
      <c r="S72" s="91">
        <f>SUMIFS(tabela_registros[VALOR],tabela_registros[MÊS],$AE$1,tabela_registros[DIA],deztotal3059718395107119131143155167[[#Headers],[15]],tabela_registros[REGISTRO],DADOS!$N$4,tabela_registros[TIPO],DADOS!$P$4,tabela_registros[CATEGORIA],despesavariávelconsolidadodez[[#This Row],[DESPESA VARIÁVEL]])</f>
        <v>0</v>
      </c>
      <c r="T72" s="91">
        <f>SUMIFS(tabela_registros[VALOR],tabela_registros[MÊS],$AE$1,tabela_registros[DIA],deztotal3059718395107119131143155167[[#Headers],[16]],tabela_registros[REGISTRO],DADOS!$N$4,tabela_registros[TIPO],DADOS!$P$4,tabela_registros[CATEGORIA],despesavariávelconsolidadodez[[#This Row],[DESPESA VARIÁVEL]])</f>
        <v>0</v>
      </c>
      <c r="U72" s="91">
        <f>SUMIFS(tabela_registros[VALOR],tabela_registros[MÊS],$AE$1,tabela_registros[DIA],deztotal3059718395107119131143155167[[#Headers],[17]],tabela_registros[REGISTRO],DADOS!$N$4,tabela_registros[TIPO],DADOS!$P$4,tabela_registros[CATEGORIA],despesavariávelconsolidadodez[[#This Row],[DESPESA VARIÁVEL]])</f>
        <v>0</v>
      </c>
      <c r="V72" s="91">
        <f>SUMIFS(tabela_registros[VALOR],tabela_registros[MÊS],$AE$1,tabela_registros[DIA],deztotal3059718395107119131143155167[[#Headers],[18]],tabela_registros[REGISTRO],DADOS!$N$4,tabela_registros[TIPO],DADOS!$P$4,tabela_registros[CATEGORIA],despesavariávelconsolidadodez[[#This Row],[DESPESA VARIÁVEL]])</f>
        <v>0</v>
      </c>
      <c r="W72" s="91">
        <f>SUMIFS(tabela_registros[VALOR],tabela_registros[MÊS],$AE$1,tabela_registros[DIA],deztotal3059718395107119131143155167[[#Headers],[19]],tabela_registros[REGISTRO],DADOS!$N$4,tabela_registros[TIPO],DADOS!$P$4,tabela_registros[CATEGORIA],despesavariávelconsolidadodez[[#This Row],[DESPESA VARIÁVEL]])</f>
        <v>0</v>
      </c>
      <c r="X72" s="91">
        <f>SUMIFS(tabela_registros[VALOR],tabela_registros[MÊS],$AE$1,tabela_registros[DIA],deztotal3059718395107119131143155167[[#Headers],[20]],tabela_registros[REGISTRO],DADOS!$N$4,tabela_registros[TIPO],DADOS!$P$4,tabela_registros[CATEGORIA],despesavariávelconsolidadodez[[#This Row],[DESPESA VARIÁVEL]])</f>
        <v>0</v>
      </c>
      <c r="Y72" s="91">
        <f>SUMIFS(tabela_registros[VALOR],tabela_registros[MÊS],$AE$1,tabela_registros[DIA],deztotal3059718395107119131143155167[[#Headers],[21]],tabela_registros[REGISTRO],DADOS!$N$4,tabela_registros[TIPO],DADOS!$P$4,tabela_registros[CATEGORIA],despesavariávelconsolidadodez[[#This Row],[DESPESA VARIÁVEL]])</f>
        <v>0</v>
      </c>
      <c r="Z72" s="91">
        <f>SUMIFS(tabela_registros[VALOR],tabela_registros[MÊS],$AE$1,tabela_registros[DIA],deztotal3059718395107119131143155167[[#Headers],[22]],tabela_registros[REGISTRO],DADOS!$N$4,tabela_registros[TIPO],DADOS!$P$4,tabela_registros[CATEGORIA],despesavariávelconsolidadodez[[#This Row],[DESPESA VARIÁVEL]])</f>
        <v>0</v>
      </c>
      <c r="AA72" s="91">
        <f>SUMIFS(tabela_registros[VALOR],tabela_registros[MÊS],$AE$1,tabela_registros[DIA],deztotal3059718395107119131143155167[[#Headers],[23]],tabela_registros[REGISTRO],DADOS!$N$4,tabela_registros[TIPO],DADOS!$P$4,tabela_registros[CATEGORIA],despesavariávelconsolidadodez[[#This Row],[DESPESA VARIÁVEL]])</f>
        <v>0</v>
      </c>
      <c r="AB72" s="91">
        <f>SUMIFS(tabela_registros[VALOR],tabela_registros[MÊS],$AE$1,tabela_registros[DIA],deztotal3059718395107119131143155167[[#Headers],[24]],tabela_registros[REGISTRO],DADOS!$N$4,tabela_registros[TIPO],DADOS!$P$4,tabela_registros[CATEGORIA],despesavariávelconsolidadodez[[#This Row],[DESPESA VARIÁVEL]])</f>
        <v>0</v>
      </c>
      <c r="AC72" s="91">
        <f>SUMIFS(tabela_registros[VALOR],tabela_registros[MÊS],$AE$1,tabela_registros[DIA],deztotal3059718395107119131143155167[[#Headers],[25]],tabela_registros[REGISTRO],DADOS!$N$4,tabela_registros[TIPO],DADOS!$P$4,tabela_registros[CATEGORIA],despesavariávelconsolidadodez[[#This Row],[DESPESA VARIÁVEL]])</f>
        <v>0</v>
      </c>
      <c r="AD72" s="91">
        <f>SUMIFS(tabela_registros[VALOR],tabela_registros[MÊS],$AE$1,tabela_registros[DIA],deztotal3059718395107119131143155167[[#Headers],[26]],tabela_registros[REGISTRO],DADOS!$N$4,tabela_registros[TIPO],DADOS!$P$4,tabela_registros[CATEGORIA],despesavariávelconsolidadodez[[#This Row],[DESPESA VARIÁVEL]])</f>
        <v>0</v>
      </c>
      <c r="AE72" s="91">
        <f>SUMIFS(tabela_registros[VALOR],tabela_registros[MÊS],$AE$1,tabela_registros[DIA],deztotal3059718395107119131143155167[[#Headers],[27]],tabela_registros[REGISTRO],DADOS!$N$4,tabela_registros[TIPO],DADOS!$P$4,tabela_registros[CATEGORIA],despesavariávelconsolidadodez[[#This Row],[DESPESA VARIÁVEL]])</f>
        <v>0</v>
      </c>
      <c r="AF72" s="91">
        <f>SUMIFS(tabela_registros[VALOR],tabela_registros[MÊS],$AE$1,tabela_registros[DIA],deztotal3059718395107119131143155167[[#Headers],[28]],tabela_registros[REGISTRO],DADOS!$N$4,tabela_registros[TIPO],DADOS!$P$4,tabela_registros[CATEGORIA],despesavariávelconsolidadodez[[#This Row],[DESPESA VARIÁVEL]])</f>
        <v>0</v>
      </c>
      <c r="AG72" s="91">
        <f>SUMIFS(tabela_registros[VALOR],tabela_registros[MÊS],$AE$1,tabela_registros[DIA],deztotal3059718395107119131143155167[[#Headers],[29]],tabela_registros[REGISTRO],DADOS!$N$4,tabela_registros[TIPO],DADOS!$P$4,tabela_registros[CATEGORIA],despesavariávelconsolidadodez[[#This Row],[DESPESA VARIÁVEL]])</f>
        <v>0</v>
      </c>
      <c r="AH72" s="91">
        <f>SUMIFS(tabela_registros[VALOR],tabela_registros[MÊS],$AE$1,tabela_registros[DIA],deztotal3059718395107119131143155167[[#Headers],[30]],tabela_registros[REGISTRO],DADOS!$N$4,tabela_registros[TIPO],DADOS!$P$4,tabela_registros[CATEGORIA],despesavariávelconsolidadodez[[#This Row],[DESPESA VARIÁVEL]])</f>
        <v>0</v>
      </c>
      <c r="AI72" s="102">
        <f>SUMIFS(tabela_registros[VALOR],tabela_registros[MÊS],$AE$1,tabela_registros[DIA],deztotal3059718395107119131143155167[[#Headers],[31]],tabela_registros[REGISTRO],DADOS!$N$4,tabela_registros[TIPO],DADOS!$P$4,tabela_registros[CATEGORIA],despesavariávelconsolidadodez[[#This Row],[DESPESA VARIÁVEL]])</f>
        <v>0</v>
      </c>
      <c r="AJ72" s="97">
        <f>SUM(despesavariávelconsolidadodez[[#This Row],[1]:[31]])</f>
        <v>0</v>
      </c>
      <c r="AK72" s="28"/>
    </row>
    <row r="73" spans="2:37" s="16" customFormat="1" ht="21" customHeight="1" thickTop="1" thickBot="1" x14ac:dyDescent="0.35">
      <c r="B73" s="24"/>
      <c r="C73" s="23" t="s">
        <v>19</v>
      </c>
      <c r="D73" s="41" t="str">
        <f>IF(despesavariávelconsolidadodez[[#This Row],[TOTAL]]=0,"",IF(OR(despesavariávelconsolidadodez[[#This Row],[TOTAL]]=SMALL(despesavariávelconsolidadodez[TOTAL],1),despesavariávelconsolidadodez[[#This Row],[TOTAL]]=SMALL(despesavariávelconsolidadodez[TOTAL],2),despesavariávelconsolidadodez[[#This Row],[TOTAL]]=SMALL(despesavariávelconsolidadodez[TOTAL],3),despesavariávelconsolidadodez[[#This Row],[TOTAL]]=SMALL(despesavariávelconsolidadodez[TOTAL],4),despesavariávelconsolidadodez[[#This Row],[TOTAL]]=SMALL(despesavariávelconsolidadodez[TOTAL],5)),DADOS!$I$8,""))</f>
        <v/>
      </c>
      <c r="E73" s="21">
        <f>SUM(E60:E72)</f>
        <v>0</v>
      </c>
      <c r="F73" s="20">
        <f>SUM(F60:F72)+despesavariávelconsolidadodez[[#This Row],[1]]</f>
        <v>0</v>
      </c>
      <c r="G73" s="20">
        <f>SUM(G60:G72)+despesavariávelconsolidadodez[[#This Row],[2]]</f>
        <v>0</v>
      </c>
      <c r="H73" s="20">
        <f>SUM(H60:H72)+despesavariávelconsolidadodez[[#This Row],[3]]</f>
        <v>0</v>
      </c>
      <c r="I73" s="20">
        <f>SUM(I60:I72)+despesavariávelconsolidadodez[[#This Row],[4]]</f>
        <v>0</v>
      </c>
      <c r="J73" s="20">
        <f>SUM(J60:J72)+despesavariávelconsolidadodez[[#This Row],[5]]</f>
        <v>0</v>
      </c>
      <c r="K73" s="20">
        <f>SUM(K60:K72)+despesavariávelconsolidadodez[[#This Row],[6]]</f>
        <v>0</v>
      </c>
      <c r="L73" s="20">
        <f>SUM(L60:L72)+despesavariávelconsolidadodez[[#This Row],[7]]</f>
        <v>0</v>
      </c>
      <c r="M73" s="20">
        <f>SUM(M60:M72)+despesavariávelconsolidadodez[[#This Row],[8]]</f>
        <v>0</v>
      </c>
      <c r="N73" s="20">
        <f>SUM(N60:N72)+despesavariávelconsolidadodez[[#This Row],[9]]</f>
        <v>0</v>
      </c>
      <c r="O73" s="20">
        <f>SUM(O60:O72)+despesavariávelconsolidadodez[[#This Row],[10]]</f>
        <v>0</v>
      </c>
      <c r="P73" s="20">
        <f>SUM(P60:P72)+despesavariávelconsolidadodez[[#This Row],[11]]</f>
        <v>0</v>
      </c>
      <c r="Q73" s="20">
        <f>SUM(Q60:Q72)+despesavariávelconsolidadodez[[#This Row],[12]]</f>
        <v>0</v>
      </c>
      <c r="R73" s="20">
        <f>SUM(R60:R72)+despesavariávelconsolidadodez[[#This Row],[13]]</f>
        <v>0</v>
      </c>
      <c r="S73" s="20">
        <f>SUM(S60:S72)+despesavariávelconsolidadodez[[#This Row],[14]]</f>
        <v>0</v>
      </c>
      <c r="T73" s="20">
        <f>SUM(T60:T72)+despesavariávelconsolidadodez[[#This Row],[15]]</f>
        <v>0</v>
      </c>
      <c r="U73" s="20">
        <f>SUM(U60:U72)+despesavariávelconsolidadodez[[#This Row],[16]]</f>
        <v>0</v>
      </c>
      <c r="V73" s="20">
        <f>SUM(V60:V72)+despesavariávelconsolidadodez[[#This Row],[17]]</f>
        <v>0</v>
      </c>
      <c r="W73" s="20">
        <f>SUM(W60:W72)+despesavariávelconsolidadodez[[#This Row],[18]]</f>
        <v>0</v>
      </c>
      <c r="X73" s="20">
        <f>SUM(X60:X72)+despesavariávelconsolidadodez[[#This Row],[19]]</f>
        <v>0</v>
      </c>
      <c r="Y73" s="20">
        <f>SUM(Y60:Y72)+despesavariávelconsolidadodez[[#This Row],[20]]</f>
        <v>0</v>
      </c>
      <c r="Z73" s="20">
        <f>SUM(Z60:Z72)+despesavariávelconsolidadodez[[#This Row],[21]]</f>
        <v>0</v>
      </c>
      <c r="AA73" s="20">
        <f>SUM(AA60:AA72)+despesavariávelconsolidadodez[[#This Row],[22]]</f>
        <v>0</v>
      </c>
      <c r="AB73" s="20">
        <f>SUM(AB60:AB72)+despesavariávelconsolidadodez[[#This Row],[23]]</f>
        <v>0</v>
      </c>
      <c r="AC73" s="20">
        <f>SUM(AC60:AC72)+despesavariávelconsolidadodez[[#This Row],[24]]</f>
        <v>0</v>
      </c>
      <c r="AD73" s="20">
        <f>SUM(AD60:AD72)+despesavariávelconsolidadodez[[#This Row],[25]]</f>
        <v>0</v>
      </c>
      <c r="AE73" s="20">
        <f>SUM(AE60:AE72)+despesavariávelconsolidadodez[[#This Row],[26]]</f>
        <v>0</v>
      </c>
      <c r="AF73" s="20">
        <f>SUM(AF60:AF72)+despesavariávelconsolidadodez[[#This Row],[27]]</f>
        <v>0</v>
      </c>
      <c r="AG73" s="20">
        <f>SUM(AG60:AG72)+despesavariávelconsolidadodez[[#This Row],[28]]</f>
        <v>0</v>
      </c>
      <c r="AH73" s="20">
        <f>SUM(AH60:AH72)+despesavariávelconsolidadodez[[#This Row],[29]]</f>
        <v>0</v>
      </c>
      <c r="AI73" s="19">
        <f>SUM(AI60:AI72)+despesavariávelconsolidadodez[[#This Row],[30]]</f>
        <v>0</v>
      </c>
      <c r="AJ73" s="18">
        <f>despesavariávelconsolidadodez[[#This Row],[31]]</f>
        <v>0</v>
      </c>
      <c r="AK73" s="17"/>
    </row>
    <row r="74" spans="2:37" ht="6.75" customHeight="1" thickTop="1" thickBot="1" x14ac:dyDescent="0.3">
      <c r="B74" s="15"/>
      <c r="C74" s="40"/>
      <c r="D74" s="39"/>
      <c r="E74" s="39"/>
      <c r="F74" s="39"/>
      <c r="G74" s="39"/>
      <c r="H74" s="39"/>
      <c r="I74" s="39"/>
      <c r="J74" s="39"/>
      <c r="K74" s="39"/>
      <c r="L74" s="39"/>
      <c r="M74" s="39"/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  <c r="AG74" s="39"/>
      <c r="AH74" s="39"/>
      <c r="AI74" s="38"/>
      <c r="AJ74" s="15"/>
      <c r="AK74" s="10"/>
    </row>
    <row r="75" spans="2:37" ht="12.6" thickTop="1" x14ac:dyDescent="0.25">
      <c r="E75" s="37"/>
      <c r="AI75" s="4"/>
    </row>
    <row r="76" spans="2:37" x14ac:dyDescent="0.25">
      <c r="AI76" s="4"/>
    </row>
    <row r="77" spans="2:37" x14ac:dyDescent="0.25">
      <c r="AI77" s="4"/>
    </row>
    <row r="78" spans="2:37" ht="39.75" customHeight="1" x14ac:dyDescent="0.7">
      <c r="C78" s="36"/>
      <c r="E78" s="240"/>
      <c r="F78" s="240"/>
      <c r="G78" s="240"/>
      <c r="H78" s="240"/>
      <c r="I78" s="240"/>
      <c r="J78" s="240"/>
      <c r="K78" s="240"/>
      <c r="L78" s="240"/>
      <c r="M78" s="240"/>
      <c r="N78" s="240"/>
      <c r="O78" s="240"/>
      <c r="P78" s="240"/>
      <c r="Q78" s="240"/>
      <c r="R78" s="240"/>
      <c r="S78" s="240"/>
      <c r="T78" s="240"/>
      <c r="U78" s="240"/>
      <c r="V78" s="240"/>
      <c r="W78" s="240"/>
      <c r="X78" s="240"/>
      <c r="Y78" s="240"/>
      <c r="Z78" s="240"/>
      <c r="AA78" s="240"/>
      <c r="AB78" s="240"/>
      <c r="AC78" s="240"/>
      <c r="AD78" s="240"/>
      <c r="AE78" s="240"/>
      <c r="AF78" s="240"/>
      <c r="AG78" s="240"/>
      <c r="AH78" s="240"/>
      <c r="AI78" s="240"/>
      <c r="AJ78" s="32" t="s">
        <v>19</v>
      </c>
    </row>
    <row r="79" spans="2:37" ht="12.6" thickBot="1" x14ac:dyDescent="0.3">
      <c r="B79" s="35"/>
      <c r="AI79" s="4"/>
      <c r="AJ79" s="34" t="s">
        <v>202</v>
      </c>
    </row>
    <row r="80" spans="2:37" ht="6.75" customHeight="1" thickTop="1" thickBot="1" x14ac:dyDescent="0.3">
      <c r="B80" s="2"/>
      <c r="C80" s="14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I80" s="13"/>
      <c r="AJ80" s="12"/>
      <c r="AK80" s="33"/>
    </row>
    <row r="81" spans="2:37" ht="13.2" hidden="1" thickTop="1" thickBot="1" x14ac:dyDescent="0.3">
      <c r="B81" s="2"/>
      <c r="C81" s="31" t="s">
        <v>199</v>
      </c>
      <c r="D81" s="30" t="s">
        <v>198</v>
      </c>
      <c r="E81" s="30" t="s">
        <v>197</v>
      </c>
      <c r="F81" s="30" t="s">
        <v>196</v>
      </c>
      <c r="G81" s="30" t="s">
        <v>195</v>
      </c>
      <c r="H81" s="30" t="s">
        <v>194</v>
      </c>
      <c r="I81" s="30" t="s">
        <v>193</v>
      </c>
      <c r="J81" s="30" t="s">
        <v>192</v>
      </c>
      <c r="K81" s="30" t="s">
        <v>191</v>
      </c>
      <c r="L81" s="30" t="s">
        <v>190</v>
      </c>
      <c r="M81" s="30" t="s">
        <v>189</v>
      </c>
      <c r="N81" s="30" t="s">
        <v>188</v>
      </c>
      <c r="O81" s="30" t="s">
        <v>187</v>
      </c>
      <c r="P81" s="30" t="s">
        <v>186</v>
      </c>
      <c r="Q81" s="30" t="s">
        <v>185</v>
      </c>
      <c r="R81" s="30" t="s">
        <v>184</v>
      </c>
      <c r="S81" s="30" t="s">
        <v>183</v>
      </c>
      <c r="T81" s="30" t="s">
        <v>182</v>
      </c>
      <c r="U81" s="30" t="s">
        <v>181</v>
      </c>
      <c r="V81" s="30" t="s">
        <v>180</v>
      </c>
      <c r="W81" s="30" t="s">
        <v>179</v>
      </c>
      <c r="X81" s="30" t="s">
        <v>178</v>
      </c>
      <c r="Y81" s="30" t="s">
        <v>177</v>
      </c>
      <c r="Z81" s="30" t="s">
        <v>176</v>
      </c>
      <c r="AA81" s="30" t="s">
        <v>175</v>
      </c>
      <c r="AB81" s="30" t="s">
        <v>174</v>
      </c>
      <c r="AC81" s="30" t="s">
        <v>173</v>
      </c>
      <c r="AD81" s="30" t="s">
        <v>172</v>
      </c>
      <c r="AE81" s="30" t="s">
        <v>171</v>
      </c>
      <c r="AF81" s="30" t="s">
        <v>170</v>
      </c>
      <c r="AG81" s="30" t="s">
        <v>169</v>
      </c>
      <c r="AH81" s="30" t="s">
        <v>168</v>
      </c>
      <c r="AI81" s="30" t="s">
        <v>167</v>
      </c>
      <c r="AJ81" s="29" t="s">
        <v>166</v>
      </c>
      <c r="AK81" s="2"/>
    </row>
    <row r="82" spans="2:37" ht="19.5" customHeight="1" thickTop="1" thickBot="1" x14ac:dyDescent="0.3">
      <c r="B82" s="28"/>
      <c r="C82" s="27" t="str">
        <f>DADOS!$X$3</f>
        <v>💵 ALUGUEL</v>
      </c>
      <c r="D82" s="26" t="str">
        <f>IF(receitasfixasconsolidadodez[[#This Row],[TOTAL (R$)]]=0,"",IF(OR(receitasfixasconsolidadodez[[#This Row],[TOTAL (R$)]]=LARGE($AJ$82:$AJ$86,1),receitasfixasconsolidadodez[[#This Row],[TOTAL (R$)]]=LARGE($AJ$82:$AJ$86,2)),DADOS!$I$9,""))</f>
        <v/>
      </c>
      <c r="E82" s="94">
        <f>SUMIFS(tabela_registros[VALOR],tabela_registros[MÊS],$AE$1,tabela_registros[DIA],receitasfixasconsolidadodez[[#Headers],[1]],tabela_registros[REGISTRO],DADOS!$N$3,tabela_registros[TIPO],DADOS!$V$3,tabela_registros[CATEGORIA],receitasfixasconsolidadodez[[#This Row],[ATUAL]])</f>
        <v>0</v>
      </c>
      <c r="F82" s="88">
        <f>SUMIFS(tabela_registros[VALOR],tabela_registros[MÊS],$AE$1,tabela_registros[DIA],receitasfixasconsolidadodez[[#Headers],[2]],tabela_registros[REGISTRO],DADOS!$N$3,tabela_registros[TIPO],DADOS!$V$3,tabela_registros[CATEGORIA],receitasfixasconsolidadodez[[#This Row],[ATUAL]])</f>
        <v>0</v>
      </c>
      <c r="G82" s="88">
        <f>SUMIFS(tabela_registros[VALOR],tabela_registros[MÊS],$AE$1,tabela_registros[DIA],receitasfixasconsolidadodez[[#Headers],[3]],tabela_registros[REGISTRO],DADOS!$N$3,tabela_registros[TIPO],DADOS!$V$3,tabela_registros[CATEGORIA],receitasfixasconsolidadodez[[#This Row],[ATUAL]])</f>
        <v>0</v>
      </c>
      <c r="H82" s="88">
        <f>SUMIFS(tabela_registros[VALOR],tabela_registros[MÊS],$AE$1,tabela_registros[DIA],receitasfixasconsolidadodez[[#Headers],[4]],tabela_registros[REGISTRO],DADOS!$N$3,tabela_registros[TIPO],DADOS!$V$3,tabela_registros[CATEGORIA],receitasfixasconsolidadodez[[#This Row],[ATUAL]])</f>
        <v>0</v>
      </c>
      <c r="I82" s="88">
        <f>SUMIFS(tabela_registros[VALOR],tabela_registros[MÊS],$AE$1,tabela_registros[DIA],receitasfixasconsolidadodez[[#Headers],[5]],tabela_registros[REGISTRO],DADOS!$N$3,tabela_registros[TIPO],DADOS!$V$3,tabela_registros[CATEGORIA],receitasfixasconsolidadodez[[#This Row],[ATUAL]])</f>
        <v>0</v>
      </c>
      <c r="J82" s="88">
        <f>SUMIFS(tabela_registros[VALOR],tabela_registros[MÊS],$AE$1,tabela_registros[DIA],receitasfixasconsolidadodez[[#Headers],[6]],tabela_registros[REGISTRO],DADOS!$N$3,tabela_registros[TIPO],DADOS!$V$3,tabela_registros[CATEGORIA],receitasfixasconsolidadodez[[#This Row],[ATUAL]])</f>
        <v>0</v>
      </c>
      <c r="K82" s="88">
        <f>SUMIFS(tabela_registros[VALOR],tabela_registros[MÊS],$AE$1,tabela_registros[DIA],receitasfixasconsolidadodez[[#Headers],[7]],tabela_registros[REGISTRO],DADOS!$N$3,tabela_registros[TIPO],DADOS!$V$3,tabela_registros[CATEGORIA],receitasfixasconsolidadodez[[#This Row],[ATUAL]])</f>
        <v>0</v>
      </c>
      <c r="L82" s="88">
        <f>SUMIFS(tabela_registros[VALOR],tabela_registros[MÊS],$AE$1,tabela_registros[DIA],receitasfixasconsolidadodez[[#Headers],[8]],tabela_registros[REGISTRO],DADOS!$N$3,tabela_registros[TIPO],DADOS!$V$3,tabela_registros[CATEGORIA],receitasfixasconsolidadodez[[#This Row],[ATUAL]])</f>
        <v>0</v>
      </c>
      <c r="M82" s="88">
        <f>SUMIFS(tabela_registros[VALOR],tabela_registros[MÊS],$AE$1,tabela_registros[DIA],receitasfixasconsolidadodez[[#Headers],[9]],tabela_registros[REGISTRO],DADOS!$N$3,tabela_registros[TIPO],DADOS!$V$3,tabela_registros[CATEGORIA],receitasfixasconsolidadodez[[#This Row],[ATUAL]])</f>
        <v>0</v>
      </c>
      <c r="N82" s="88">
        <f>SUMIFS(tabela_registros[VALOR],tabela_registros[MÊS],$AE$1,tabela_registros[DIA],receitasfixasconsolidadodez[[#Headers],[10]],tabela_registros[REGISTRO],DADOS!$N$3,tabela_registros[TIPO],DADOS!$V$3,tabela_registros[CATEGORIA],receitasfixasconsolidadodez[[#This Row],[ATUAL]])</f>
        <v>0</v>
      </c>
      <c r="O82" s="88">
        <f>SUMIFS(tabela_registros[VALOR],tabela_registros[MÊS],$AE$1,tabela_registros[DIA],receitasfixasconsolidadodez[[#Headers],[11]],tabela_registros[REGISTRO],DADOS!$N$3,tabela_registros[TIPO],DADOS!$V$3,tabela_registros[CATEGORIA],receitasfixasconsolidadodez[[#This Row],[ATUAL]])</f>
        <v>0</v>
      </c>
      <c r="P82" s="88">
        <f>SUMIFS(tabela_registros[VALOR],tabela_registros[MÊS],$AE$1,tabela_registros[DIA],receitasfixasconsolidadodez[[#Headers],[12]],tabela_registros[REGISTRO],DADOS!$N$3,tabela_registros[TIPO],DADOS!$V$3,tabela_registros[CATEGORIA],receitasfixasconsolidadodez[[#This Row],[ATUAL]])</f>
        <v>0</v>
      </c>
      <c r="Q82" s="88">
        <f>SUMIFS(tabela_registros[VALOR],tabela_registros[MÊS],$AE$1,tabela_registros[DIA],receitasfixasconsolidadodez[[#Headers],[13]],tabela_registros[REGISTRO],DADOS!$N$3,tabela_registros[TIPO],DADOS!$V$3,tabela_registros[CATEGORIA],receitasfixasconsolidadodez[[#This Row],[ATUAL]])</f>
        <v>0</v>
      </c>
      <c r="R82" s="88">
        <f>SUMIFS(tabela_registros[VALOR],tabela_registros[MÊS],$AE$1,tabela_registros[DIA],receitasfixasconsolidadodez[[#Headers],[14]],tabela_registros[REGISTRO],DADOS!$N$3,tabela_registros[TIPO],DADOS!$V$3,tabela_registros[CATEGORIA],receitasfixasconsolidadodez[[#This Row],[ATUAL]])</f>
        <v>0</v>
      </c>
      <c r="S82" s="88">
        <f>SUMIFS(tabela_registros[VALOR],tabela_registros[MÊS],$AE$1,tabela_registros[DIA],receitasfixasconsolidadodez[[#Headers],[15]],tabela_registros[REGISTRO],DADOS!$N$3,tabela_registros[TIPO],DADOS!$V$3,tabela_registros[CATEGORIA],receitasfixasconsolidadodez[[#This Row],[ATUAL]])</f>
        <v>0</v>
      </c>
      <c r="T82" s="88">
        <f>SUMIFS(tabela_registros[VALOR],tabela_registros[MÊS],$AE$1,tabela_registros[DIA],receitasfixasconsolidadodez[[#Headers],[16]],tabela_registros[REGISTRO],DADOS!$N$3,tabela_registros[TIPO],DADOS!$V$3,tabela_registros[CATEGORIA],receitasfixasconsolidadodez[[#This Row],[ATUAL]])</f>
        <v>0</v>
      </c>
      <c r="U82" s="88">
        <f>SUMIFS(tabela_registros[VALOR],tabela_registros[MÊS],$AE$1,tabela_registros[DIA],receitasfixasconsolidadodez[[#Headers],[17]],tabela_registros[REGISTRO],DADOS!$N$3,tabela_registros[TIPO],DADOS!$V$3,tabela_registros[CATEGORIA],receitasfixasconsolidadodez[[#This Row],[ATUAL]])</f>
        <v>0</v>
      </c>
      <c r="V82" s="88">
        <f>SUMIFS(tabela_registros[VALOR],tabela_registros[MÊS],$AE$1,tabela_registros[DIA],receitasfixasconsolidadodez[[#Headers],[18]],tabela_registros[REGISTRO],DADOS!$N$3,tabela_registros[TIPO],DADOS!$V$3,tabela_registros[CATEGORIA],receitasfixasconsolidadodez[[#This Row],[ATUAL]])</f>
        <v>0</v>
      </c>
      <c r="W82" s="88">
        <f>SUMIFS(tabela_registros[VALOR],tabela_registros[MÊS],$AE$1,tabela_registros[DIA],receitasfixasconsolidadodez[[#Headers],[19]],tabela_registros[REGISTRO],DADOS!$N$3,tabela_registros[TIPO],DADOS!$V$3,tabela_registros[CATEGORIA],receitasfixasconsolidadodez[[#This Row],[ATUAL]])</f>
        <v>0</v>
      </c>
      <c r="X82" s="88">
        <f>SUMIFS(tabela_registros[VALOR],tabela_registros[MÊS],$AE$1,tabela_registros[DIA],receitasfixasconsolidadodez[[#Headers],[20]],tabela_registros[REGISTRO],DADOS!$N$3,tabela_registros[TIPO],DADOS!$V$3,tabela_registros[CATEGORIA],receitasfixasconsolidadodez[[#This Row],[ATUAL]])</f>
        <v>0</v>
      </c>
      <c r="Y82" s="88">
        <f>SUMIFS(tabela_registros[VALOR],tabela_registros[MÊS],$AE$1,tabela_registros[DIA],receitasfixasconsolidadodez[[#Headers],[21]],tabela_registros[REGISTRO],DADOS!$N$3,tabela_registros[TIPO],DADOS!$V$3,tabela_registros[CATEGORIA],receitasfixasconsolidadodez[[#This Row],[ATUAL]])</f>
        <v>0</v>
      </c>
      <c r="Z82" s="88">
        <f>SUMIFS(tabela_registros[VALOR],tabela_registros[MÊS],$AE$1,tabela_registros[DIA],receitasfixasconsolidadodez[[#Headers],[22]],tabela_registros[REGISTRO],DADOS!$N$3,tabela_registros[TIPO],DADOS!$V$3,tabela_registros[CATEGORIA],receitasfixasconsolidadodez[[#This Row],[ATUAL]])</f>
        <v>0</v>
      </c>
      <c r="AA82" s="88">
        <f>SUMIFS(tabela_registros[VALOR],tabela_registros[MÊS],$AE$1,tabela_registros[DIA],receitasfixasconsolidadodez[[#Headers],[23]],tabela_registros[REGISTRO],DADOS!$N$3,tabela_registros[TIPO],DADOS!$V$3,tabela_registros[CATEGORIA],receitasfixasconsolidadodez[[#This Row],[ATUAL]])</f>
        <v>0</v>
      </c>
      <c r="AB82" s="88">
        <f>SUMIFS(tabela_registros[VALOR],tabela_registros[MÊS],$AE$1,tabela_registros[DIA],receitasfixasconsolidadodez[[#Headers],[24]],tabela_registros[REGISTRO],DADOS!$N$3,tabela_registros[TIPO],DADOS!$V$3,tabela_registros[CATEGORIA],receitasfixasconsolidadodez[[#This Row],[ATUAL]])</f>
        <v>0</v>
      </c>
      <c r="AC82" s="88">
        <f>SUMIFS(tabela_registros[VALOR],tabela_registros[MÊS],$AE$1,tabela_registros[DIA],receitasfixasconsolidadodez[[#Headers],[25]],tabela_registros[REGISTRO],DADOS!$N$3,tabela_registros[TIPO],DADOS!$V$3,tabela_registros[CATEGORIA],receitasfixasconsolidadodez[[#This Row],[ATUAL]])</f>
        <v>0</v>
      </c>
      <c r="AD82" s="88">
        <f>SUMIFS(tabela_registros[VALOR],tabela_registros[MÊS],$AE$1,tabela_registros[DIA],receitasfixasconsolidadodez[[#Headers],[26]],tabela_registros[REGISTRO],DADOS!$N$3,tabela_registros[TIPO],DADOS!$V$3,tabela_registros[CATEGORIA],receitasfixasconsolidadodez[[#This Row],[ATUAL]])</f>
        <v>0</v>
      </c>
      <c r="AE82" s="88">
        <f>SUMIFS(tabela_registros[VALOR],tabela_registros[MÊS],$AE$1,tabela_registros[DIA],receitasfixasconsolidadodez[[#Headers],[27]],tabela_registros[REGISTRO],DADOS!$N$3,tabela_registros[TIPO],DADOS!$V$3,tabela_registros[CATEGORIA],receitasfixasconsolidadodez[[#This Row],[ATUAL]])</f>
        <v>0</v>
      </c>
      <c r="AF82" s="88">
        <f>SUMIFS(tabela_registros[VALOR],tabela_registros[MÊS],$AE$1,tabela_registros[DIA],receitasfixasconsolidadodez[[#Headers],[28]],tabela_registros[REGISTRO],DADOS!$N$3,tabela_registros[TIPO],DADOS!$V$3,tabela_registros[CATEGORIA],receitasfixasconsolidadodez[[#This Row],[ATUAL]])</f>
        <v>0</v>
      </c>
      <c r="AG82" s="88">
        <f>SUMIFS(tabela_registros[VALOR],tabela_registros[MÊS],$AE$1,tabela_registros[DIA],receitasfixasconsolidadodez[[#Headers],[29]],tabela_registros[REGISTRO],DADOS!$N$3,tabela_registros[TIPO],DADOS!$V$3,tabela_registros[CATEGORIA],receitasfixasconsolidadodez[[#This Row],[ATUAL]])</f>
        <v>0</v>
      </c>
      <c r="AH82" s="88">
        <f>SUMIFS(tabela_registros[VALOR],tabela_registros[MÊS],$AE$1,tabela_registros[DIA],receitasfixasconsolidadodez[[#Headers],[30]],tabela_registros[REGISTRO],DADOS!$N$3,tabela_registros[TIPO],DADOS!$V$3,tabela_registros[CATEGORIA],receitasfixasconsolidadodez[[#This Row],[ATUAL]])</f>
        <v>0</v>
      </c>
      <c r="AI82" s="100">
        <f>SUMIFS(tabela_registros[VALOR],tabela_registros[MÊS],$AE$1,tabela_registros[DIA],receitasfixasconsolidadodez[[#Headers],[31]],tabela_registros[REGISTRO],DADOS!$N$3,tabela_registros[TIPO],DADOS!$V$3,tabela_registros[CATEGORIA],receitasfixasconsolidadodez[[#This Row],[ATUAL]])</f>
        <v>0</v>
      </c>
      <c r="AJ82" s="97">
        <f>SUM(receitasfixasconsolidadodez[[#This Row],[1]:[31]])</f>
        <v>0</v>
      </c>
      <c r="AK82" s="25"/>
    </row>
    <row r="83" spans="2:37" ht="19.5" customHeight="1" thickTop="1" thickBot="1" x14ac:dyDescent="0.3">
      <c r="B83" s="28"/>
      <c r="C83" s="27" t="str">
        <f>DADOS!$X$4</f>
        <v>💸APOSENTADORIA</v>
      </c>
      <c r="D83" s="26" t="str">
        <f>IF(receitasfixasconsolidadodez[[#This Row],[TOTAL (R$)]]=0,"",IF(OR(receitasfixasconsolidadodez[[#This Row],[TOTAL (R$)]]=LARGE($AJ$82:$AJ$86,1),receitasfixasconsolidadodez[[#This Row],[TOTAL (R$)]]=LARGE($AJ$82:$AJ$86,2)),DADOS!$I$9,""))</f>
        <v/>
      </c>
      <c r="E83" s="96">
        <f>SUMIFS(tabela_registros[VALOR],tabela_registros[MÊS],$AE$1,tabela_registros[DIA],receitasfixasconsolidadodez[[#Headers],[1]],tabela_registros[REGISTRO],DADOS!$N$3,tabela_registros[TIPO],DADOS!$V$3,tabela_registros[CATEGORIA],receitasfixasconsolidadodez[[#This Row],[ATUAL]])</f>
        <v>0</v>
      </c>
      <c r="F83" s="91">
        <f>SUMIFS(tabela_registros[VALOR],tabela_registros[MÊS],$AE$1,tabela_registros[DIA],receitasfixasconsolidadodez[[#Headers],[2]],tabela_registros[REGISTRO],DADOS!$N$3,tabela_registros[TIPO],DADOS!$V$3,tabela_registros[CATEGORIA],receitasfixasconsolidadodez[[#This Row],[ATUAL]])</f>
        <v>0</v>
      </c>
      <c r="G83" s="91">
        <f>SUMIFS(tabela_registros[VALOR],tabela_registros[MÊS],$AE$1,tabela_registros[DIA],receitasfixasconsolidadodez[[#Headers],[3]],tabela_registros[REGISTRO],DADOS!$N$3,tabela_registros[TIPO],DADOS!$V$3,tabela_registros[CATEGORIA],receitasfixasconsolidadodez[[#This Row],[ATUAL]])</f>
        <v>0</v>
      </c>
      <c r="H83" s="91">
        <f>SUMIFS(tabela_registros[VALOR],tabela_registros[MÊS],$AE$1,tabela_registros[DIA],receitasfixasconsolidadodez[[#Headers],[4]],tabela_registros[REGISTRO],DADOS!$N$3,tabela_registros[TIPO],DADOS!$V$3,tabela_registros[CATEGORIA],receitasfixasconsolidadodez[[#This Row],[ATUAL]])</f>
        <v>0</v>
      </c>
      <c r="I83" s="91">
        <f>SUMIFS(tabela_registros[VALOR],tabela_registros[MÊS],$AE$1,tabela_registros[DIA],receitasfixasconsolidadodez[[#Headers],[5]],tabela_registros[REGISTRO],DADOS!$N$3,tabela_registros[TIPO],DADOS!$V$3,tabela_registros[CATEGORIA],receitasfixasconsolidadodez[[#This Row],[ATUAL]])</f>
        <v>0</v>
      </c>
      <c r="J83" s="91">
        <f>SUMIFS(tabela_registros[VALOR],tabela_registros[MÊS],$AE$1,tabela_registros[DIA],receitasfixasconsolidadodez[[#Headers],[6]],tabela_registros[REGISTRO],DADOS!$N$3,tabela_registros[TIPO],DADOS!$V$3,tabela_registros[CATEGORIA],receitasfixasconsolidadodez[[#This Row],[ATUAL]])</f>
        <v>0</v>
      </c>
      <c r="K83" s="91">
        <f>SUMIFS(tabela_registros[VALOR],tabela_registros[MÊS],$AE$1,tabela_registros[DIA],receitasfixasconsolidadodez[[#Headers],[7]],tabela_registros[REGISTRO],DADOS!$N$3,tabela_registros[TIPO],DADOS!$V$3,tabela_registros[CATEGORIA],receitasfixasconsolidadodez[[#This Row],[ATUAL]])</f>
        <v>0</v>
      </c>
      <c r="L83" s="91">
        <f>SUMIFS(tabela_registros[VALOR],tabela_registros[MÊS],$AE$1,tabela_registros[DIA],receitasfixasconsolidadodez[[#Headers],[8]],tabela_registros[REGISTRO],DADOS!$N$3,tabela_registros[TIPO],DADOS!$V$3,tabela_registros[CATEGORIA],receitasfixasconsolidadodez[[#This Row],[ATUAL]])</f>
        <v>0</v>
      </c>
      <c r="M83" s="91">
        <f>SUMIFS(tabela_registros[VALOR],tabela_registros[MÊS],$AE$1,tabela_registros[DIA],receitasfixasconsolidadodez[[#Headers],[9]],tabela_registros[REGISTRO],DADOS!$N$3,tabela_registros[TIPO],DADOS!$V$3,tabela_registros[CATEGORIA],receitasfixasconsolidadodez[[#This Row],[ATUAL]])</f>
        <v>0</v>
      </c>
      <c r="N83" s="91">
        <f>SUMIFS(tabela_registros[VALOR],tabela_registros[MÊS],$AE$1,tabela_registros[DIA],receitasfixasconsolidadodez[[#Headers],[10]],tabela_registros[REGISTRO],DADOS!$N$3,tabela_registros[TIPO],DADOS!$V$3,tabela_registros[CATEGORIA],receitasfixasconsolidadodez[[#This Row],[ATUAL]])</f>
        <v>0</v>
      </c>
      <c r="O83" s="91">
        <f>SUMIFS(tabela_registros[VALOR],tabela_registros[MÊS],$AE$1,tabela_registros[DIA],receitasfixasconsolidadodez[[#Headers],[11]],tabela_registros[REGISTRO],DADOS!$N$3,tabela_registros[TIPO],DADOS!$V$3,tabela_registros[CATEGORIA],receitasfixasconsolidadodez[[#This Row],[ATUAL]])</f>
        <v>0</v>
      </c>
      <c r="P83" s="91">
        <f>SUMIFS(tabela_registros[VALOR],tabela_registros[MÊS],$AE$1,tabela_registros[DIA],receitasfixasconsolidadodez[[#Headers],[12]],tabela_registros[REGISTRO],DADOS!$N$3,tabela_registros[TIPO],DADOS!$V$3,tabela_registros[CATEGORIA],receitasfixasconsolidadodez[[#This Row],[ATUAL]])</f>
        <v>0</v>
      </c>
      <c r="Q83" s="91">
        <f>SUMIFS(tabela_registros[VALOR],tabela_registros[MÊS],$AE$1,tabela_registros[DIA],receitasfixasconsolidadodez[[#Headers],[13]],tabela_registros[REGISTRO],DADOS!$N$3,tabela_registros[TIPO],DADOS!$V$3,tabela_registros[CATEGORIA],receitasfixasconsolidadodez[[#This Row],[ATUAL]])</f>
        <v>0</v>
      </c>
      <c r="R83" s="91">
        <f>SUMIFS(tabela_registros[VALOR],tabela_registros[MÊS],$AE$1,tabela_registros[DIA],receitasfixasconsolidadodez[[#Headers],[14]],tabela_registros[REGISTRO],DADOS!$N$3,tabela_registros[TIPO],DADOS!$V$3,tabela_registros[CATEGORIA],receitasfixasconsolidadodez[[#This Row],[ATUAL]])</f>
        <v>0</v>
      </c>
      <c r="S83" s="91">
        <f>SUMIFS(tabela_registros[VALOR],tabela_registros[MÊS],$AE$1,tabela_registros[DIA],receitasfixasconsolidadodez[[#Headers],[15]],tabela_registros[REGISTRO],DADOS!$N$3,tabela_registros[TIPO],DADOS!$V$3,tabela_registros[CATEGORIA],receitasfixasconsolidadodez[[#This Row],[ATUAL]])</f>
        <v>0</v>
      </c>
      <c r="T83" s="91">
        <f>SUMIFS(tabela_registros[VALOR],tabela_registros[MÊS],$AE$1,tabela_registros[DIA],receitasfixasconsolidadodez[[#Headers],[16]],tabela_registros[REGISTRO],DADOS!$N$3,tabela_registros[TIPO],DADOS!$V$3,tabela_registros[CATEGORIA],receitasfixasconsolidadodez[[#This Row],[ATUAL]])</f>
        <v>0</v>
      </c>
      <c r="U83" s="91">
        <f>SUMIFS(tabela_registros[VALOR],tabela_registros[MÊS],$AE$1,tabela_registros[DIA],receitasfixasconsolidadodez[[#Headers],[17]],tabela_registros[REGISTRO],DADOS!$N$3,tabela_registros[TIPO],DADOS!$V$3,tabela_registros[CATEGORIA],receitasfixasconsolidadodez[[#This Row],[ATUAL]])</f>
        <v>0</v>
      </c>
      <c r="V83" s="91">
        <f>SUMIFS(tabela_registros[VALOR],tabela_registros[MÊS],$AE$1,tabela_registros[DIA],receitasfixasconsolidadodez[[#Headers],[18]],tabela_registros[REGISTRO],DADOS!$N$3,tabela_registros[TIPO],DADOS!$V$3,tabela_registros[CATEGORIA],receitasfixasconsolidadodez[[#This Row],[ATUAL]])</f>
        <v>0</v>
      </c>
      <c r="W83" s="91">
        <f>SUMIFS(tabela_registros[VALOR],tabela_registros[MÊS],$AE$1,tabela_registros[DIA],receitasfixasconsolidadodez[[#Headers],[19]],tabela_registros[REGISTRO],DADOS!$N$3,tabela_registros[TIPO],DADOS!$V$3,tabela_registros[CATEGORIA],receitasfixasconsolidadodez[[#This Row],[ATUAL]])</f>
        <v>0</v>
      </c>
      <c r="X83" s="91">
        <f>SUMIFS(tabela_registros[VALOR],tabela_registros[MÊS],$AE$1,tabela_registros[DIA],receitasfixasconsolidadodez[[#Headers],[20]],tabela_registros[REGISTRO],DADOS!$N$3,tabela_registros[TIPO],DADOS!$V$3,tabela_registros[CATEGORIA],receitasfixasconsolidadodez[[#This Row],[ATUAL]])</f>
        <v>0</v>
      </c>
      <c r="Y83" s="91">
        <f>SUMIFS(tabela_registros[VALOR],tabela_registros[MÊS],$AE$1,tabela_registros[DIA],receitasfixasconsolidadodez[[#Headers],[21]],tabela_registros[REGISTRO],DADOS!$N$3,tabela_registros[TIPO],DADOS!$V$3,tabela_registros[CATEGORIA],receitasfixasconsolidadodez[[#This Row],[ATUAL]])</f>
        <v>0</v>
      </c>
      <c r="Z83" s="91">
        <f>SUMIFS(tabela_registros[VALOR],tabela_registros[MÊS],$AE$1,tabela_registros[DIA],receitasfixasconsolidadodez[[#Headers],[22]],tabela_registros[REGISTRO],DADOS!$N$3,tabela_registros[TIPO],DADOS!$V$3,tabela_registros[CATEGORIA],receitasfixasconsolidadodez[[#This Row],[ATUAL]])</f>
        <v>0</v>
      </c>
      <c r="AA83" s="91">
        <f>SUMIFS(tabela_registros[VALOR],tabela_registros[MÊS],$AE$1,tabela_registros[DIA],receitasfixasconsolidadodez[[#Headers],[23]],tabela_registros[REGISTRO],DADOS!$N$3,tabela_registros[TIPO],DADOS!$V$3,tabela_registros[CATEGORIA],receitasfixasconsolidadodez[[#This Row],[ATUAL]])</f>
        <v>0</v>
      </c>
      <c r="AB83" s="91">
        <f>SUMIFS(tabela_registros[VALOR],tabela_registros[MÊS],$AE$1,tabela_registros[DIA],receitasfixasconsolidadodez[[#Headers],[24]],tabela_registros[REGISTRO],DADOS!$N$3,tabela_registros[TIPO],DADOS!$V$3,tabela_registros[CATEGORIA],receitasfixasconsolidadodez[[#This Row],[ATUAL]])</f>
        <v>0</v>
      </c>
      <c r="AC83" s="91">
        <f>SUMIFS(tabela_registros[VALOR],tabela_registros[MÊS],$AE$1,tabela_registros[DIA],receitasfixasconsolidadodez[[#Headers],[25]],tabela_registros[REGISTRO],DADOS!$N$3,tabela_registros[TIPO],DADOS!$V$3,tabela_registros[CATEGORIA],receitasfixasconsolidadodez[[#This Row],[ATUAL]])</f>
        <v>0</v>
      </c>
      <c r="AD83" s="91">
        <f>SUMIFS(tabela_registros[VALOR],tabela_registros[MÊS],$AE$1,tabela_registros[DIA],receitasfixasconsolidadodez[[#Headers],[26]],tabela_registros[REGISTRO],DADOS!$N$3,tabela_registros[TIPO],DADOS!$V$3,tabela_registros[CATEGORIA],receitasfixasconsolidadodez[[#This Row],[ATUAL]])</f>
        <v>0</v>
      </c>
      <c r="AE83" s="91">
        <f>SUMIFS(tabela_registros[VALOR],tabela_registros[MÊS],$AE$1,tabela_registros[DIA],receitasfixasconsolidadodez[[#Headers],[27]],tabela_registros[REGISTRO],DADOS!$N$3,tabela_registros[TIPO],DADOS!$V$3,tabela_registros[CATEGORIA],receitasfixasconsolidadodez[[#This Row],[ATUAL]])</f>
        <v>0</v>
      </c>
      <c r="AF83" s="91">
        <f>SUMIFS(tabela_registros[VALOR],tabela_registros[MÊS],$AE$1,tabela_registros[DIA],receitasfixasconsolidadodez[[#Headers],[28]],tabela_registros[REGISTRO],DADOS!$N$3,tabela_registros[TIPO],DADOS!$V$3,tabela_registros[CATEGORIA],receitasfixasconsolidadodez[[#This Row],[ATUAL]])</f>
        <v>0</v>
      </c>
      <c r="AG83" s="91">
        <f>SUMIFS(tabela_registros[VALOR],tabela_registros[MÊS],$AE$1,tabela_registros[DIA],receitasfixasconsolidadodez[[#Headers],[29]],tabela_registros[REGISTRO],DADOS!$N$3,tabela_registros[TIPO],DADOS!$V$3,tabela_registros[CATEGORIA],receitasfixasconsolidadodez[[#This Row],[ATUAL]])</f>
        <v>0</v>
      </c>
      <c r="AH83" s="91">
        <f>SUMIFS(tabela_registros[VALOR],tabela_registros[MÊS],$AE$1,tabela_registros[DIA],receitasfixasconsolidadodez[[#Headers],[30]],tabela_registros[REGISTRO],DADOS!$N$3,tabela_registros[TIPO],DADOS!$V$3,tabela_registros[CATEGORIA],receitasfixasconsolidadodez[[#This Row],[ATUAL]])</f>
        <v>0</v>
      </c>
      <c r="AI83" s="101">
        <f>SUMIFS(tabela_registros[VALOR],tabela_registros[MÊS],$AE$1,tabela_registros[DIA],receitasfixasconsolidadodez[[#Headers],[31]],tabela_registros[REGISTRO],DADOS!$N$3,tabela_registros[TIPO],DADOS!$V$3,tabela_registros[CATEGORIA],receitasfixasconsolidadodez[[#This Row],[ATUAL]])</f>
        <v>0</v>
      </c>
      <c r="AJ83" s="97">
        <f>SUM(receitasfixasconsolidadodez[[#This Row],[1]:[31]])</f>
        <v>0</v>
      </c>
      <c r="AK83" s="25"/>
    </row>
    <row r="84" spans="2:37" ht="19.5" customHeight="1" thickTop="1" thickBot="1" x14ac:dyDescent="0.3">
      <c r="B84" s="28"/>
      <c r="C84" s="27" t="str">
        <f>DADOS!$X$5</f>
        <v>🎀 MESADA</v>
      </c>
      <c r="D84" s="26" t="str">
        <f>IF(receitasfixasconsolidadodez[[#This Row],[TOTAL (R$)]]=0,"",IF(OR(receitasfixasconsolidadodez[[#This Row],[TOTAL (R$)]]=LARGE($AJ$82:$AJ$86,1),receitasfixasconsolidadodez[[#This Row],[TOTAL (R$)]]=LARGE($AJ$82:$AJ$86,2)),DADOS!$I$9,""))</f>
        <v/>
      </c>
      <c r="E84" s="96">
        <f>SUMIFS(tabela_registros[VALOR],tabela_registros[MÊS],$AE$1,tabela_registros[DIA],receitasfixasconsolidadodez[[#Headers],[1]],tabela_registros[REGISTRO],DADOS!$N$3,tabela_registros[TIPO],DADOS!$V$3,tabela_registros[CATEGORIA],receitasfixasconsolidadodez[[#This Row],[ATUAL]])</f>
        <v>0</v>
      </c>
      <c r="F84" s="91">
        <f>SUMIFS(tabela_registros[VALOR],tabela_registros[MÊS],$AE$1,tabela_registros[DIA],receitasfixasconsolidadodez[[#Headers],[2]],tabela_registros[REGISTRO],DADOS!$N$3,tabela_registros[TIPO],DADOS!$V$3,tabela_registros[CATEGORIA],receitasfixasconsolidadodez[[#This Row],[ATUAL]])</f>
        <v>0</v>
      </c>
      <c r="G84" s="91">
        <f>SUMIFS(tabela_registros[VALOR],tabela_registros[MÊS],$AE$1,tabela_registros[DIA],receitasfixasconsolidadodez[[#Headers],[3]],tabela_registros[REGISTRO],DADOS!$N$3,tabela_registros[TIPO],DADOS!$V$3,tabela_registros[CATEGORIA],receitasfixasconsolidadodez[[#This Row],[ATUAL]])</f>
        <v>0</v>
      </c>
      <c r="H84" s="91">
        <f>SUMIFS(tabela_registros[VALOR],tabela_registros[MÊS],$AE$1,tabela_registros[DIA],receitasfixasconsolidadodez[[#Headers],[4]],tabela_registros[REGISTRO],DADOS!$N$3,tabela_registros[TIPO],DADOS!$V$3,tabela_registros[CATEGORIA],receitasfixasconsolidadodez[[#This Row],[ATUAL]])</f>
        <v>0</v>
      </c>
      <c r="I84" s="91">
        <f>SUMIFS(tabela_registros[VALOR],tabela_registros[MÊS],$AE$1,tabela_registros[DIA],receitasfixasconsolidadodez[[#Headers],[5]],tabela_registros[REGISTRO],DADOS!$N$3,tabela_registros[TIPO],DADOS!$V$3,tabela_registros[CATEGORIA],receitasfixasconsolidadodez[[#This Row],[ATUAL]])</f>
        <v>0</v>
      </c>
      <c r="J84" s="91">
        <f>SUMIFS(tabela_registros[VALOR],tabela_registros[MÊS],$AE$1,tabela_registros[DIA],receitasfixasconsolidadodez[[#Headers],[6]],tabela_registros[REGISTRO],DADOS!$N$3,tabela_registros[TIPO],DADOS!$V$3,tabela_registros[CATEGORIA],receitasfixasconsolidadodez[[#This Row],[ATUAL]])</f>
        <v>0</v>
      </c>
      <c r="K84" s="91">
        <f>SUMIFS(tabela_registros[VALOR],tabela_registros[MÊS],$AE$1,tabela_registros[DIA],receitasfixasconsolidadodez[[#Headers],[7]],tabela_registros[REGISTRO],DADOS!$N$3,tabela_registros[TIPO],DADOS!$V$3,tabela_registros[CATEGORIA],receitasfixasconsolidadodez[[#This Row],[ATUAL]])</f>
        <v>0</v>
      </c>
      <c r="L84" s="91">
        <f>SUMIFS(tabela_registros[VALOR],tabela_registros[MÊS],$AE$1,tabela_registros[DIA],receitasfixasconsolidadodez[[#Headers],[8]],tabela_registros[REGISTRO],DADOS!$N$3,tabela_registros[TIPO],DADOS!$V$3,tabela_registros[CATEGORIA],receitasfixasconsolidadodez[[#This Row],[ATUAL]])</f>
        <v>0</v>
      </c>
      <c r="M84" s="91">
        <f>SUMIFS(tabela_registros[VALOR],tabela_registros[MÊS],$AE$1,tabela_registros[DIA],receitasfixasconsolidadodez[[#Headers],[9]],tabela_registros[REGISTRO],DADOS!$N$3,tabela_registros[TIPO],DADOS!$V$3,tabela_registros[CATEGORIA],receitasfixasconsolidadodez[[#This Row],[ATUAL]])</f>
        <v>0</v>
      </c>
      <c r="N84" s="91">
        <f>SUMIFS(tabela_registros[VALOR],tabela_registros[MÊS],$AE$1,tabela_registros[DIA],receitasfixasconsolidadodez[[#Headers],[10]],tabela_registros[REGISTRO],DADOS!$N$3,tabela_registros[TIPO],DADOS!$V$3,tabela_registros[CATEGORIA],receitasfixasconsolidadodez[[#This Row],[ATUAL]])</f>
        <v>0</v>
      </c>
      <c r="O84" s="91">
        <f>SUMIFS(tabela_registros[VALOR],tabela_registros[MÊS],$AE$1,tabela_registros[DIA],receitasfixasconsolidadodez[[#Headers],[11]],tabela_registros[REGISTRO],DADOS!$N$3,tabela_registros[TIPO],DADOS!$V$3,tabela_registros[CATEGORIA],receitasfixasconsolidadodez[[#This Row],[ATUAL]])</f>
        <v>0</v>
      </c>
      <c r="P84" s="91">
        <f>SUMIFS(tabela_registros[VALOR],tabela_registros[MÊS],$AE$1,tabela_registros[DIA],receitasfixasconsolidadodez[[#Headers],[12]],tabela_registros[REGISTRO],DADOS!$N$3,tabela_registros[TIPO],DADOS!$V$3,tabela_registros[CATEGORIA],receitasfixasconsolidadodez[[#This Row],[ATUAL]])</f>
        <v>0</v>
      </c>
      <c r="Q84" s="91">
        <f>SUMIFS(tabela_registros[VALOR],tabela_registros[MÊS],$AE$1,tabela_registros[DIA],receitasfixasconsolidadodez[[#Headers],[13]],tabela_registros[REGISTRO],DADOS!$N$3,tabela_registros[TIPO],DADOS!$V$3,tabela_registros[CATEGORIA],receitasfixasconsolidadodez[[#This Row],[ATUAL]])</f>
        <v>0</v>
      </c>
      <c r="R84" s="91">
        <f>SUMIFS(tabela_registros[VALOR],tabela_registros[MÊS],$AE$1,tabela_registros[DIA],receitasfixasconsolidadodez[[#Headers],[14]],tabela_registros[REGISTRO],DADOS!$N$3,tabela_registros[TIPO],DADOS!$V$3,tabela_registros[CATEGORIA],receitasfixasconsolidadodez[[#This Row],[ATUAL]])</f>
        <v>0</v>
      </c>
      <c r="S84" s="91">
        <f>SUMIFS(tabela_registros[VALOR],tabela_registros[MÊS],$AE$1,tabela_registros[DIA],receitasfixasconsolidadodez[[#Headers],[15]],tabela_registros[REGISTRO],DADOS!$N$3,tabela_registros[TIPO],DADOS!$V$3,tabela_registros[CATEGORIA],receitasfixasconsolidadodez[[#This Row],[ATUAL]])</f>
        <v>0</v>
      </c>
      <c r="T84" s="91">
        <f>SUMIFS(tabela_registros[VALOR],tabela_registros[MÊS],$AE$1,tabela_registros[DIA],receitasfixasconsolidadodez[[#Headers],[16]],tabela_registros[REGISTRO],DADOS!$N$3,tabela_registros[TIPO],DADOS!$V$3,tabela_registros[CATEGORIA],receitasfixasconsolidadodez[[#This Row],[ATUAL]])</f>
        <v>0</v>
      </c>
      <c r="U84" s="91">
        <f>SUMIFS(tabela_registros[VALOR],tabela_registros[MÊS],$AE$1,tabela_registros[DIA],receitasfixasconsolidadodez[[#Headers],[17]],tabela_registros[REGISTRO],DADOS!$N$3,tabela_registros[TIPO],DADOS!$V$3,tabela_registros[CATEGORIA],receitasfixasconsolidadodez[[#This Row],[ATUAL]])</f>
        <v>0</v>
      </c>
      <c r="V84" s="91">
        <f>SUMIFS(tabela_registros[VALOR],tabela_registros[MÊS],$AE$1,tabela_registros[DIA],receitasfixasconsolidadodez[[#Headers],[18]],tabela_registros[REGISTRO],DADOS!$N$3,tabela_registros[TIPO],DADOS!$V$3,tabela_registros[CATEGORIA],receitasfixasconsolidadodez[[#This Row],[ATUAL]])</f>
        <v>0</v>
      </c>
      <c r="W84" s="91">
        <f>SUMIFS(tabela_registros[VALOR],tabela_registros[MÊS],$AE$1,tabela_registros[DIA],receitasfixasconsolidadodez[[#Headers],[19]],tabela_registros[REGISTRO],DADOS!$N$3,tabela_registros[TIPO],DADOS!$V$3,tabela_registros[CATEGORIA],receitasfixasconsolidadodez[[#This Row],[ATUAL]])</f>
        <v>0</v>
      </c>
      <c r="X84" s="91">
        <f>SUMIFS(tabela_registros[VALOR],tabela_registros[MÊS],$AE$1,tabela_registros[DIA],receitasfixasconsolidadodez[[#Headers],[20]],tabela_registros[REGISTRO],DADOS!$N$3,tabela_registros[TIPO],DADOS!$V$3,tabela_registros[CATEGORIA],receitasfixasconsolidadodez[[#This Row],[ATUAL]])</f>
        <v>0</v>
      </c>
      <c r="Y84" s="91">
        <f>SUMIFS(tabela_registros[VALOR],tabela_registros[MÊS],$AE$1,tabela_registros[DIA],receitasfixasconsolidadodez[[#Headers],[21]],tabela_registros[REGISTRO],DADOS!$N$3,tabela_registros[TIPO],DADOS!$V$3,tabela_registros[CATEGORIA],receitasfixasconsolidadodez[[#This Row],[ATUAL]])</f>
        <v>0</v>
      </c>
      <c r="Z84" s="91">
        <f>SUMIFS(tabela_registros[VALOR],tabela_registros[MÊS],$AE$1,tabela_registros[DIA],receitasfixasconsolidadodez[[#Headers],[22]],tabela_registros[REGISTRO],DADOS!$N$3,tabela_registros[TIPO],DADOS!$V$3,tabela_registros[CATEGORIA],receitasfixasconsolidadodez[[#This Row],[ATUAL]])</f>
        <v>0</v>
      </c>
      <c r="AA84" s="91">
        <f>SUMIFS(tabela_registros[VALOR],tabela_registros[MÊS],$AE$1,tabela_registros[DIA],receitasfixasconsolidadodez[[#Headers],[23]],tabela_registros[REGISTRO],DADOS!$N$3,tabela_registros[TIPO],DADOS!$V$3,tabela_registros[CATEGORIA],receitasfixasconsolidadodez[[#This Row],[ATUAL]])</f>
        <v>0</v>
      </c>
      <c r="AB84" s="91">
        <f>SUMIFS(tabela_registros[VALOR],tabela_registros[MÊS],$AE$1,tabela_registros[DIA],receitasfixasconsolidadodez[[#Headers],[24]],tabela_registros[REGISTRO],DADOS!$N$3,tabela_registros[TIPO],DADOS!$V$3,tabela_registros[CATEGORIA],receitasfixasconsolidadodez[[#This Row],[ATUAL]])</f>
        <v>0</v>
      </c>
      <c r="AC84" s="91">
        <f>SUMIFS(tabela_registros[VALOR],tabela_registros[MÊS],$AE$1,tabela_registros[DIA],receitasfixasconsolidadodez[[#Headers],[25]],tabela_registros[REGISTRO],DADOS!$N$3,tabela_registros[TIPO],DADOS!$V$3,tabela_registros[CATEGORIA],receitasfixasconsolidadodez[[#This Row],[ATUAL]])</f>
        <v>0</v>
      </c>
      <c r="AD84" s="91">
        <f>SUMIFS(tabela_registros[VALOR],tabela_registros[MÊS],$AE$1,tabela_registros[DIA],receitasfixasconsolidadodez[[#Headers],[26]],tabela_registros[REGISTRO],DADOS!$N$3,tabela_registros[TIPO],DADOS!$V$3,tabela_registros[CATEGORIA],receitasfixasconsolidadodez[[#This Row],[ATUAL]])</f>
        <v>0</v>
      </c>
      <c r="AE84" s="91">
        <f>SUMIFS(tabela_registros[VALOR],tabela_registros[MÊS],$AE$1,tabela_registros[DIA],receitasfixasconsolidadodez[[#Headers],[27]],tabela_registros[REGISTRO],DADOS!$N$3,tabela_registros[TIPO],DADOS!$V$3,tabela_registros[CATEGORIA],receitasfixasconsolidadodez[[#This Row],[ATUAL]])</f>
        <v>0</v>
      </c>
      <c r="AF84" s="91">
        <f>SUMIFS(tabela_registros[VALOR],tabela_registros[MÊS],$AE$1,tabela_registros[DIA],receitasfixasconsolidadodez[[#Headers],[28]],tabela_registros[REGISTRO],DADOS!$N$3,tabela_registros[TIPO],DADOS!$V$3,tabela_registros[CATEGORIA],receitasfixasconsolidadodez[[#This Row],[ATUAL]])</f>
        <v>0</v>
      </c>
      <c r="AG84" s="91">
        <f>SUMIFS(tabela_registros[VALOR],tabela_registros[MÊS],$AE$1,tabela_registros[DIA],receitasfixasconsolidadodez[[#Headers],[29]],tabela_registros[REGISTRO],DADOS!$N$3,tabela_registros[TIPO],DADOS!$V$3,tabela_registros[CATEGORIA],receitasfixasconsolidadodez[[#This Row],[ATUAL]])</f>
        <v>0</v>
      </c>
      <c r="AH84" s="91">
        <f>SUMIFS(tabela_registros[VALOR],tabela_registros[MÊS],$AE$1,tabela_registros[DIA],receitasfixasconsolidadodez[[#Headers],[30]],tabela_registros[REGISTRO],DADOS!$N$3,tabela_registros[TIPO],DADOS!$V$3,tabela_registros[CATEGORIA],receitasfixasconsolidadodez[[#This Row],[ATUAL]])</f>
        <v>0</v>
      </c>
      <c r="AI84" s="101">
        <f>SUMIFS(tabela_registros[VALOR],tabela_registros[MÊS],$AE$1,tabela_registros[DIA],receitasfixasconsolidadodez[[#Headers],[31]],tabela_registros[REGISTRO],DADOS!$N$3,tabela_registros[TIPO],DADOS!$V$3,tabela_registros[CATEGORIA],receitasfixasconsolidadodez[[#This Row],[ATUAL]])</f>
        <v>0</v>
      </c>
      <c r="AJ84" s="97">
        <f>SUM(receitasfixasconsolidadodez[[#This Row],[1]:[31]])</f>
        <v>0</v>
      </c>
      <c r="AK84" s="25"/>
    </row>
    <row r="85" spans="2:37" ht="19.5" customHeight="1" thickTop="1" thickBot="1" x14ac:dyDescent="0.3">
      <c r="B85" s="28"/>
      <c r="C85" s="27" t="str">
        <f>DADOS!$X$6</f>
        <v>💰 SALÁRIO</v>
      </c>
      <c r="D85" s="26" t="str">
        <f>IF(receitasfixasconsolidadodez[[#This Row],[TOTAL (R$)]]=0,"",IF(OR(receitasfixasconsolidadodez[[#This Row],[TOTAL (R$)]]=LARGE($AJ$82:$AJ$86,1),receitasfixasconsolidadodez[[#This Row],[TOTAL (R$)]]=LARGE($AJ$82:$AJ$86,2)),DADOS!$I$9,""))</f>
        <v/>
      </c>
      <c r="E85" s="96">
        <f>SUMIFS(tabela_registros[VALOR],tabela_registros[MÊS],$AE$1,tabela_registros[DIA],receitasfixasconsolidadodez[[#Headers],[1]],tabela_registros[REGISTRO],DADOS!$N$3,tabela_registros[TIPO],DADOS!$V$3,tabela_registros[CATEGORIA],receitasfixasconsolidadodez[[#This Row],[ATUAL]])</f>
        <v>0</v>
      </c>
      <c r="F85" s="91">
        <f>SUMIFS(tabela_registros[VALOR],tabela_registros[MÊS],$AE$1,tabela_registros[DIA],receitasfixasconsolidadodez[[#Headers],[2]],tabela_registros[REGISTRO],DADOS!$N$3,tabela_registros[TIPO],DADOS!$V$3,tabela_registros[CATEGORIA],receitasfixasconsolidadodez[[#This Row],[ATUAL]])</f>
        <v>0</v>
      </c>
      <c r="G85" s="91">
        <f>SUMIFS(tabela_registros[VALOR],tabela_registros[MÊS],$AE$1,tabela_registros[DIA],receitasfixasconsolidadodez[[#Headers],[3]],tabela_registros[REGISTRO],DADOS!$N$3,tabela_registros[TIPO],DADOS!$V$3,tabela_registros[CATEGORIA],receitasfixasconsolidadodez[[#This Row],[ATUAL]])</f>
        <v>0</v>
      </c>
      <c r="H85" s="91">
        <f>SUMIFS(tabela_registros[VALOR],tabela_registros[MÊS],$AE$1,tabela_registros[DIA],receitasfixasconsolidadodez[[#Headers],[4]],tabela_registros[REGISTRO],DADOS!$N$3,tabela_registros[TIPO],DADOS!$V$3,tabela_registros[CATEGORIA],receitasfixasconsolidadodez[[#This Row],[ATUAL]])</f>
        <v>0</v>
      </c>
      <c r="I85" s="91">
        <f>SUMIFS(tabela_registros[VALOR],tabela_registros[MÊS],$AE$1,tabela_registros[DIA],receitasfixasconsolidadodez[[#Headers],[5]],tabela_registros[REGISTRO],DADOS!$N$3,tabela_registros[TIPO],DADOS!$V$3,tabela_registros[CATEGORIA],receitasfixasconsolidadodez[[#This Row],[ATUAL]])</f>
        <v>0</v>
      </c>
      <c r="J85" s="91">
        <f>SUMIFS(tabela_registros[VALOR],tabela_registros[MÊS],$AE$1,tabela_registros[DIA],receitasfixasconsolidadodez[[#Headers],[6]],tabela_registros[REGISTRO],DADOS!$N$3,tabela_registros[TIPO],DADOS!$V$3,tabela_registros[CATEGORIA],receitasfixasconsolidadodez[[#This Row],[ATUAL]])</f>
        <v>0</v>
      </c>
      <c r="K85" s="91">
        <f>SUMIFS(tabela_registros[VALOR],tabela_registros[MÊS],$AE$1,tabela_registros[DIA],receitasfixasconsolidadodez[[#Headers],[7]],tabela_registros[REGISTRO],DADOS!$N$3,tabela_registros[TIPO],DADOS!$V$3,tabela_registros[CATEGORIA],receitasfixasconsolidadodez[[#This Row],[ATUAL]])</f>
        <v>0</v>
      </c>
      <c r="L85" s="91">
        <f>SUMIFS(tabela_registros[VALOR],tabela_registros[MÊS],$AE$1,tabela_registros[DIA],receitasfixasconsolidadodez[[#Headers],[8]],tabela_registros[REGISTRO],DADOS!$N$3,tabela_registros[TIPO],DADOS!$V$3,tabela_registros[CATEGORIA],receitasfixasconsolidadodez[[#This Row],[ATUAL]])</f>
        <v>0</v>
      </c>
      <c r="M85" s="91">
        <f>SUMIFS(tabela_registros[VALOR],tabela_registros[MÊS],$AE$1,tabela_registros[DIA],receitasfixasconsolidadodez[[#Headers],[9]],tabela_registros[REGISTRO],DADOS!$N$3,tabela_registros[TIPO],DADOS!$V$3,tabela_registros[CATEGORIA],receitasfixasconsolidadodez[[#This Row],[ATUAL]])</f>
        <v>0</v>
      </c>
      <c r="N85" s="91">
        <f>SUMIFS(tabela_registros[VALOR],tabela_registros[MÊS],$AE$1,tabela_registros[DIA],receitasfixasconsolidadodez[[#Headers],[10]],tabela_registros[REGISTRO],DADOS!$N$3,tabela_registros[TIPO],DADOS!$V$3,tabela_registros[CATEGORIA],receitasfixasconsolidadodez[[#This Row],[ATUAL]])</f>
        <v>0</v>
      </c>
      <c r="O85" s="91">
        <f>SUMIFS(tabela_registros[VALOR],tabela_registros[MÊS],$AE$1,tabela_registros[DIA],receitasfixasconsolidadodez[[#Headers],[11]],tabela_registros[REGISTRO],DADOS!$N$3,tabela_registros[TIPO],DADOS!$V$3,tabela_registros[CATEGORIA],receitasfixasconsolidadodez[[#This Row],[ATUAL]])</f>
        <v>0</v>
      </c>
      <c r="P85" s="91">
        <f>SUMIFS(tabela_registros[VALOR],tabela_registros[MÊS],$AE$1,tabela_registros[DIA],receitasfixasconsolidadodez[[#Headers],[12]],tabela_registros[REGISTRO],DADOS!$N$3,tabela_registros[TIPO],DADOS!$V$3,tabela_registros[CATEGORIA],receitasfixasconsolidadodez[[#This Row],[ATUAL]])</f>
        <v>0</v>
      </c>
      <c r="Q85" s="91">
        <f>SUMIFS(tabela_registros[VALOR],tabela_registros[MÊS],$AE$1,tabela_registros[DIA],receitasfixasconsolidadodez[[#Headers],[13]],tabela_registros[REGISTRO],DADOS!$N$3,tabela_registros[TIPO],DADOS!$V$3,tabela_registros[CATEGORIA],receitasfixasconsolidadodez[[#This Row],[ATUAL]])</f>
        <v>0</v>
      </c>
      <c r="R85" s="91">
        <f>SUMIFS(tabela_registros[VALOR],tabela_registros[MÊS],$AE$1,tabela_registros[DIA],receitasfixasconsolidadodez[[#Headers],[14]],tabela_registros[REGISTRO],DADOS!$N$3,tabela_registros[TIPO],DADOS!$V$3,tabela_registros[CATEGORIA],receitasfixasconsolidadodez[[#This Row],[ATUAL]])</f>
        <v>0</v>
      </c>
      <c r="S85" s="91">
        <f>SUMIFS(tabela_registros[VALOR],tabela_registros[MÊS],$AE$1,tabela_registros[DIA],receitasfixasconsolidadodez[[#Headers],[15]],tabela_registros[REGISTRO],DADOS!$N$3,tabela_registros[TIPO],DADOS!$V$3,tabela_registros[CATEGORIA],receitasfixasconsolidadodez[[#This Row],[ATUAL]])</f>
        <v>0</v>
      </c>
      <c r="T85" s="91">
        <f>SUMIFS(tabela_registros[VALOR],tabela_registros[MÊS],$AE$1,tabela_registros[DIA],receitasfixasconsolidadodez[[#Headers],[16]],tabela_registros[REGISTRO],DADOS!$N$3,tabela_registros[TIPO],DADOS!$V$3,tabela_registros[CATEGORIA],receitasfixasconsolidadodez[[#This Row],[ATUAL]])</f>
        <v>0</v>
      </c>
      <c r="U85" s="91">
        <f>SUMIFS(tabela_registros[VALOR],tabela_registros[MÊS],$AE$1,tabela_registros[DIA],receitasfixasconsolidadodez[[#Headers],[17]],tabela_registros[REGISTRO],DADOS!$N$3,tabela_registros[TIPO],DADOS!$V$3,tabela_registros[CATEGORIA],receitasfixasconsolidadodez[[#This Row],[ATUAL]])</f>
        <v>0</v>
      </c>
      <c r="V85" s="91">
        <f>SUMIFS(tabela_registros[VALOR],tabela_registros[MÊS],$AE$1,tabela_registros[DIA],receitasfixasconsolidadodez[[#Headers],[18]],tabela_registros[REGISTRO],DADOS!$N$3,tabela_registros[TIPO],DADOS!$V$3,tabela_registros[CATEGORIA],receitasfixasconsolidadodez[[#This Row],[ATUAL]])</f>
        <v>0</v>
      </c>
      <c r="W85" s="91">
        <f>SUMIFS(tabela_registros[VALOR],tabela_registros[MÊS],$AE$1,tabela_registros[DIA],receitasfixasconsolidadodez[[#Headers],[19]],tabela_registros[REGISTRO],DADOS!$N$3,tabela_registros[TIPO],DADOS!$V$3,tabela_registros[CATEGORIA],receitasfixasconsolidadodez[[#This Row],[ATUAL]])</f>
        <v>0</v>
      </c>
      <c r="X85" s="91">
        <f>SUMIFS(tabela_registros[VALOR],tabela_registros[MÊS],$AE$1,tabela_registros[DIA],receitasfixasconsolidadodez[[#Headers],[20]],tabela_registros[REGISTRO],DADOS!$N$3,tabela_registros[TIPO],DADOS!$V$3,tabela_registros[CATEGORIA],receitasfixasconsolidadodez[[#This Row],[ATUAL]])</f>
        <v>0</v>
      </c>
      <c r="Y85" s="91">
        <f>SUMIFS(tabela_registros[VALOR],tabela_registros[MÊS],$AE$1,tabela_registros[DIA],receitasfixasconsolidadodez[[#Headers],[21]],tabela_registros[REGISTRO],DADOS!$N$3,tabela_registros[TIPO],DADOS!$V$3,tabela_registros[CATEGORIA],receitasfixasconsolidadodez[[#This Row],[ATUAL]])</f>
        <v>0</v>
      </c>
      <c r="Z85" s="91">
        <f>SUMIFS(tabela_registros[VALOR],tabela_registros[MÊS],$AE$1,tabela_registros[DIA],receitasfixasconsolidadodez[[#Headers],[22]],tabela_registros[REGISTRO],DADOS!$N$3,tabela_registros[TIPO],DADOS!$V$3,tabela_registros[CATEGORIA],receitasfixasconsolidadodez[[#This Row],[ATUAL]])</f>
        <v>0</v>
      </c>
      <c r="AA85" s="91">
        <f>SUMIFS(tabela_registros[VALOR],tabela_registros[MÊS],$AE$1,tabela_registros[DIA],receitasfixasconsolidadodez[[#Headers],[23]],tabela_registros[REGISTRO],DADOS!$N$3,tabela_registros[TIPO],DADOS!$V$3,tabela_registros[CATEGORIA],receitasfixasconsolidadodez[[#This Row],[ATUAL]])</f>
        <v>0</v>
      </c>
      <c r="AB85" s="91">
        <f>SUMIFS(tabela_registros[VALOR],tabela_registros[MÊS],$AE$1,tabela_registros[DIA],receitasfixasconsolidadodez[[#Headers],[24]],tabela_registros[REGISTRO],DADOS!$N$3,tabela_registros[TIPO],DADOS!$V$3,tabela_registros[CATEGORIA],receitasfixasconsolidadodez[[#This Row],[ATUAL]])</f>
        <v>0</v>
      </c>
      <c r="AC85" s="91">
        <f>SUMIFS(tabela_registros[VALOR],tabela_registros[MÊS],$AE$1,tabela_registros[DIA],receitasfixasconsolidadodez[[#Headers],[25]],tabela_registros[REGISTRO],DADOS!$N$3,tabela_registros[TIPO],DADOS!$V$3,tabela_registros[CATEGORIA],receitasfixasconsolidadodez[[#This Row],[ATUAL]])</f>
        <v>0</v>
      </c>
      <c r="AD85" s="91">
        <f>SUMIFS(tabela_registros[VALOR],tabela_registros[MÊS],$AE$1,tabela_registros[DIA],receitasfixasconsolidadodez[[#Headers],[26]],tabela_registros[REGISTRO],DADOS!$N$3,tabela_registros[TIPO],DADOS!$V$3,tabela_registros[CATEGORIA],receitasfixasconsolidadodez[[#This Row],[ATUAL]])</f>
        <v>0</v>
      </c>
      <c r="AE85" s="91">
        <f>SUMIFS(tabela_registros[VALOR],tabela_registros[MÊS],$AE$1,tabela_registros[DIA],receitasfixasconsolidadodez[[#Headers],[27]],tabela_registros[REGISTRO],DADOS!$N$3,tabela_registros[TIPO],DADOS!$V$3,tabela_registros[CATEGORIA],receitasfixasconsolidadodez[[#This Row],[ATUAL]])</f>
        <v>0</v>
      </c>
      <c r="AF85" s="91">
        <f>SUMIFS(tabela_registros[VALOR],tabela_registros[MÊS],$AE$1,tabela_registros[DIA],receitasfixasconsolidadodez[[#Headers],[28]],tabela_registros[REGISTRO],DADOS!$N$3,tabela_registros[TIPO],DADOS!$V$3,tabela_registros[CATEGORIA],receitasfixasconsolidadodez[[#This Row],[ATUAL]])</f>
        <v>0</v>
      </c>
      <c r="AG85" s="91">
        <f>SUMIFS(tabela_registros[VALOR],tabela_registros[MÊS],$AE$1,tabela_registros[DIA],receitasfixasconsolidadodez[[#Headers],[29]],tabela_registros[REGISTRO],DADOS!$N$3,tabela_registros[TIPO],DADOS!$V$3,tabela_registros[CATEGORIA],receitasfixasconsolidadodez[[#This Row],[ATUAL]])</f>
        <v>0</v>
      </c>
      <c r="AH85" s="91">
        <f>SUMIFS(tabela_registros[VALOR],tabela_registros[MÊS],$AE$1,tabela_registros[DIA],receitasfixasconsolidadodez[[#Headers],[30]],tabela_registros[REGISTRO],DADOS!$N$3,tabela_registros[TIPO],DADOS!$V$3,tabela_registros[CATEGORIA],receitasfixasconsolidadodez[[#This Row],[ATUAL]])</f>
        <v>0</v>
      </c>
      <c r="AI85" s="101">
        <f>SUMIFS(tabela_registros[VALOR],tabela_registros[MÊS],$AE$1,tabela_registros[DIA],receitasfixasconsolidadodez[[#Headers],[31]],tabela_registros[REGISTRO],DADOS!$N$3,tabela_registros[TIPO],DADOS!$V$3,tabela_registros[CATEGORIA],receitasfixasconsolidadodez[[#This Row],[ATUAL]])</f>
        <v>0</v>
      </c>
      <c r="AJ85" s="97">
        <f>SUM(receitasfixasconsolidadodez[[#This Row],[1]:[31]])</f>
        <v>0</v>
      </c>
      <c r="AK85" s="25"/>
    </row>
    <row r="86" spans="2:37" ht="18" customHeight="1" thickTop="1" thickBot="1" x14ac:dyDescent="0.3">
      <c r="B86" s="28"/>
      <c r="C86" s="27" t="str">
        <f>DADOS!$X$7</f>
        <v>📎 OUTROS</v>
      </c>
      <c r="D86" s="26" t="str">
        <f>IF(receitasfixasconsolidadodez[[#This Row],[TOTAL (R$)]]=0,"",IF(OR(receitasfixasconsolidadodez[[#This Row],[TOTAL (R$)]]=LARGE($AJ$82:$AJ$86,1),receitasfixasconsolidadodez[[#This Row],[TOTAL (R$)]]=LARGE($AJ$82:$AJ$86,2)),DADOS!$I$9,""))</f>
        <v/>
      </c>
      <c r="E86" s="96">
        <f>SUMIFS(tabela_registros[VALOR],tabela_registros[MÊS],$AE$1,tabela_registros[DIA],receitasfixasconsolidadodez[[#Headers],[1]],tabela_registros[REGISTRO],DADOS!$N$3,tabela_registros[TIPO],DADOS!$V$3,tabela_registros[CATEGORIA],receitasfixasconsolidadodez[[#This Row],[ATUAL]])</f>
        <v>0</v>
      </c>
      <c r="F86" s="91">
        <f>SUMIFS(tabela_registros[VALOR],tabela_registros[MÊS],$AE$1,tabela_registros[DIA],receitasfixasconsolidadodez[[#Headers],[2]],tabela_registros[REGISTRO],DADOS!$N$3,tabela_registros[TIPO],DADOS!$V$3,tabela_registros[CATEGORIA],receitasfixasconsolidadodez[[#This Row],[ATUAL]])</f>
        <v>0</v>
      </c>
      <c r="G86" s="91">
        <f>SUMIFS(tabela_registros[VALOR],tabela_registros[MÊS],$AE$1,tabela_registros[DIA],receitasfixasconsolidadodez[[#Headers],[3]],tabela_registros[REGISTRO],DADOS!$N$3,tabela_registros[TIPO],DADOS!$V$3,tabela_registros[CATEGORIA],receitasfixasconsolidadodez[[#This Row],[ATUAL]])</f>
        <v>0</v>
      </c>
      <c r="H86" s="91">
        <f>SUMIFS(tabela_registros[VALOR],tabela_registros[MÊS],$AE$1,tabela_registros[DIA],receitasfixasconsolidadodez[[#Headers],[4]],tabela_registros[REGISTRO],DADOS!$N$3,tabela_registros[TIPO],DADOS!$V$3,tabela_registros[CATEGORIA],receitasfixasconsolidadodez[[#This Row],[ATUAL]])</f>
        <v>0</v>
      </c>
      <c r="I86" s="91">
        <f>SUMIFS(tabela_registros[VALOR],tabela_registros[MÊS],$AE$1,tabela_registros[DIA],receitasfixasconsolidadodez[[#Headers],[5]],tabela_registros[REGISTRO],DADOS!$N$3,tabela_registros[TIPO],DADOS!$V$3,tabela_registros[CATEGORIA],receitasfixasconsolidadodez[[#This Row],[ATUAL]])</f>
        <v>0</v>
      </c>
      <c r="J86" s="91">
        <f>SUMIFS(tabela_registros[VALOR],tabela_registros[MÊS],$AE$1,tabela_registros[DIA],receitasfixasconsolidadodez[[#Headers],[6]],tabela_registros[REGISTRO],DADOS!$N$3,tabela_registros[TIPO],DADOS!$V$3,tabela_registros[CATEGORIA],receitasfixasconsolidadodez[[#This Row],[ATUAL]])</f>
        <v>0</v>
      </c>
      <c r="K86" s="91">
        <f>SUMIFS(tabela_registros[VALOR],tabela_registros[MÊS],$AE$1,tabela_registros[DIA],receitasfixasconsolidadodez[[#Headers],[7]],tabela_registros[REGISTRO],DADOS!$N$3,tabela_registros[TIPO],DADOS!$V$3,tabela_registros[CATEGORIA],receitasfixasconsolidadodez[[#This Row],[ATUAL]])</f>
        <v>0</v>
      </c>
      <c r="L86" s="91">
        <f>SUMIFS(tabela_registros[VALOR],tabela_registros[MÊS],$AE$1,tabela_registros[DIA],receitasfixasconsolidadodez[[#Headers],[8]],tabela_registros[REGISTRO],DADOS!$N$3,tabela_registros[TIPO],DADOS!$V$3,tabela_registros[CATEGORIA],receitasfixasconsolidadodez[[#This Row],[ATUAL]])</f>
        <v>0</v>
      </c>
      <c r="M86" s="91">
        <f>SUMIFS(tabela_registros[VALOR],tabela_registros[MÊS],$AE$1,tabela_registros[DIA],receitasfixasconsolidadodez[[#Headers],[9]],tabela_registros[REGISTRO],DADOS!$N$3,tabela_registros[TIPO],DADOS!$V$3,tabela_registros[CATEGORIA],receitasfixasconsolidadodez[[#This Row],[ATUAL]])</f>
        <v>0</v>
      </c>
      <c r="N86" s="91">
        <f>SUMIFS(tabela_registros[VALOR],tabela_registros[MÊS],$AE$1,tabela_registros[DIA],receitasfixasconsolidadodez[[#Headers],[10]],tabela_registros[REGISTRO],DADOS!$N$3,tabela_registros[TIPO],DADOS!$V$3,tabela_registros[CATEGORIA],receitasfixasconsolidadodez[[#This Row],[ATUAL]])</f>
        <v>0</v>
      </c>
      <c r="O86" s="91">
        <f>SUMIFS(tabela_registros[VALOR],tabela_registros[MÊS],$AE$1,tabela_registros[DIA],receitasfixasconsolidadodez[[#Headers],[11]],tabela_registros[REGISTRO],DADOS!$N$3,tabela_registros[TIPO],DADOS!$V$3,tabela_registros[CATEGORIA],receitasfixasconsolidadodez[[#This Row],[ATUAL]])</f>
        <v>0</v>
      </c>
      <c r="P86" s="91">
        <f>SUMIFS(tabela_registros[VALOR],tabela_registros[MÊS],$AE$1,tabela_registros[DIA],receitasfixasconsolidadodez[[#Headers],[12]],tabela_registros[REGISTRO],DADOS!$N$3,tabela_registros[TIPO],DADOS!$V$3,tabela_registros[CATEGORIA],receitasfixasconsolidadodez[[#This Row],[ATUAL]])</f>
        <v>0</v>
      </c>
      <c r="Q86" s="91">
        <f>SUMIFS(tabela_registros[VALOR],tabela_registros[MÊS],$AE$1,tabela_registros[DIA],receitasfixasconsolidadodez[[#Headers],[13]],tabela_registros[REGISTRO],DADOS!$N$3,tabela_registros[TIPO],DADOS!$V$3,tabela_registros[CATEGORIA],receitasfixasconsolidadodez[[#This Row],[ATUAL]])</f>
        <v>0</v>
      </c>
      <c r="R86" s="91">
        <f>SUMIFS(tabela_registros[VALOR],tabela_registros[MÊS],$AE$1,tabela_registros[DIA],receitasfixasconsolidadodez[[#Headers],[14]],tabela_registros[REGISTRO],DADOS!$N$3,tabela_registros[TIPO],DADOS!$V$3,tabela_registros[CATEGORIA],receitasfixasconsolidadodez[[#This Row],[ATUAL]])</f>
        <v>0</v>
      </c>
      <c r="S86" s="91">
        <f>SUMIFS(tabela_registros[VALOR],tabela_registros[MÊS],$AE$1,tabela_registros[DIA],receitasfixasconsolidadodez[[#Headers],[15]],tabela_registros[REGISTRO],DADOS!$N$3,tabela_registros[TIPO],DADOS!$V$3,tabela_registros[CATEGORIA],receitasfixasconsolidadodez[[#This Row],[ATUAL]])</f>
        <v>0</v>
      </c>
      <c r="T86" s="91">
        <f>SUMIFS(tabela_registros[VALOR],tabela_registros[MÊS],$AE$1,tabela_registros[DIA],receitasfixasconsolidadodez[[#Headers],[16]],tabela_registros[REGISTRO],DADOS!$N$3,tabela_registros[TIPO],DADOS!$V$3,tabela_registros[CATEGORIA],receitasfixasconsolidadodez[[#This Row],[ATUAL]])</f>
        <v>0</v>
      </c>
      <c r="U86" s="91">
        <f>SUMIFS(tabela_registros[VALOR],tabela_registros[MÊS],$AE$1,tabela_registros[DIA],receitasfixasconsolidadodez[[#Headers],[17]],tabela_registros[REGISTRO],DADOS!$N$3,tabela_registros[TIPO],DADOS!$V$3,tabela_registros[CATEGORIA],receitasfixasconsolidadodez[[#This Row],[ATUAL]])</f>
        <v>0</v>
      </c>
      <c r="V86" s="91">
        <f>SUMIFS(tabela_registros[VALOR],tabela_registros[MÊS],$AE$1,tabela_registros[DIA],receitasfixasconsolidadodez[[#Headers],[18]],tabela_registros[REGISTRO],DADOS!$N$3,tabela_registros[TIPO],DADOS!$V$3,tabela_registros[CATEGORIA],receitasfixasconsolidadodez[[#This Row],[ATUAL]])</f>
        <v>0</v>
      </c>
      <c r="W86" s="91">
        <f>SUMIFS(tabela_registros[VALOR],tabela_registros[MÊS],$AE$1,tabela_registros[DIA],receitasfixasconsolidadodez[[#Headers],[19]],tabela_registros[REGISTRO],DADOS!$N$3,tabela_registros[TIPO],DADOS!$V$3,tabela_registros[CATEGORIA],receitasfixasconsolidadodez[[#This Row],[ATUAL]])</f>
        <v>0</v>
      </c>
      <c r="X86" s="91">
        <f>SUMIFS(tabela_registros[VALOR],tabela_registros[MÊS],$AE$1,tabela_registros[DIA],receitasfixasconsolidadodez[[#Headers],[20]],tabela_registros[REGISTRO],DADOS!$N$3,tabela_registros[TIPO],DADOS!$V$3,tabela_registros[CATEGORIA],receitasfixasconsolidadodez[[#This Row],[ATUAL]])</f>
        <v>0</v>
      </c>
      <c r="Y86" s="91">
        <f>SUMIFS(tabela_registros[VALOR],tabela_registros[MÊS],$AE$1,tabela_registros[DIA],receitasfixasconsolidadodez[[#Headers],[21]],tabela_registros[REGISTRO],DADOS!$N$3,tabela_registros[TIPO],DADOS!$V$3,tabela_registros[CATEGORIA],receitasfixasconsolidadodez[[#This Row],[ATUAL]])</f>
        <v>0</v>
      </c>
      <c r="Z86" s="91">
        <f>SUMIFS(tabela_registros[VALOR],tabela_registros[MÊS],$AE$1,tabela_registros[DIA],receitasfixasconsolidadodez[[#Headers],[22]],tabela_registros[REGISTRO],DADOS!$N$3,tabela_registros[TIPO],DADOS!$V$3,tabela_registros[CATEGORIA],receitasfixasconsolidadodez[[#This Row],[ATUAL]])</f>
        <v>0</v>
      </c>
      <c r="AA86" s="91">
        <f>SUMIFS(tabela_registros[VALOR],tabela_registros[MÊS],$AE$1,tabela_registros[DIA],receitasfixasconsolidadodez[[#Headers],[23]],tabela_registros[REGISTRO],DADOS!$N$3,tabela_registros[TIPO],DADOS!$V$3,tabela_registros[CATEGORIA],receitasfixasconsolidadodez[[#This Row],[ATUAL]])</f>
        <v>0</v>
      </c>
      <c r="AB86" s="91">
        <f>SUMIFS(tabela_registros[VALOR],tabela_registros[MÊS],$AE$1,tabela_registros[DIA],receitasfixasconsolidadodez[[#Headers],[24]],tabela_registros[REGISTRO],DADOS!$N$3,tabela_registros[TIPO],DADOS!$V$3,tabela_registros[CATEGORIA],receitasfixasconsolidadodez[[#This Row],[ATUAL]])</f>
        <v>0</v>
      </c>
      <c r="AC86" s="91">
        <f>SUMIFS(tabela_registros[VALOR],tabela_registros[MÊS],$AE$1,tabela_registros[DIA],receitasfixasconsolidadodez[[#Headers],[25]],tabela_registros[REGISTRO],DADOS!$N$3,tabela_registros[TIPO],DADOS!$V$3,tabela_registros[CATEGORIA],receitasfixasconsolidadodez[[#This Row],[ATUAL]])</f>
        <v>0</v>
      </c>
      <c r="AD86" s="91">
        <f>SUMIFS(tabela_registros[VALOR],tabela_registros[MÊS],$AE$1,tabela_registros[DIA],receitasfixasconsolidadodez[[#Headers],[26]],tabela_registros[REGISTRO],DADOS!$N$3,tabela_registros[TIPO],DADOS!$V$3,tabela_registros[CATEGORIA],receitasfixasconsolidadodez[[#This Row],[ATUAL]])</f>
        <v>0</v>
      </c>
      <c r="AE86" s="91">
        <f>SUMIFS(tabela_registros[VALOR],tabela_registros[MÊS],$AE$1,tabela_registros[DIA],receitasfixasconsolidadodez[[#Headers],[27]],tabela_registros[REGISTRO],DADOS!$N$3,tabela_registros[TIPO],DADOS!$V$3,tabela_registros[CATEGORIA],receitasfixasconsolidadodez[[#This Row],[ATUAL]])</f>
        <v>0</v>
      </c>
      <c r="AF86" s="91">
        <f>SUMIFS(tabela_registros[VALOR],tabela_registros[MÊS],$AE$1,tabela_registros[DIA],receitasfixasconsolidadodez[[#Headers],[28]],tabela_registros[REGISTRO],DADOS!$N$3,tabela_registros[TIPO],DADOS!$V$3,tabela_registros[CATEGORIA],receitasfixasconsolidadodez[[#This Row],[ATUAL]])</f>
        <v>0</v>
      </c>
      <c r="AG86" s="91">
        <f>SUMIFS(tabela_registros[VALOR],tabela_registros[MÊS],$AE$1,tabela_registros[DIA],receitasfixasconsolidadodez[[#Headers],[29]],tabela_registros[REGISTRO],DADOS!$N$3,tabela_registros[TIPO],DADOS!$V$3,tabela_registros[CATEGORIA],receitasfixasconsolidadodez[[#This Row],[ATUAL]])</f>
        <v>0</v>
      </c>
      <c r="AH86" s="91">
        <f>SUMIFS(tabela_registros[VALOR],tabela_registros[MÊS],$AE$1,tabela_registros[DIA],receitasfixasconsolidadodez[[#Headers],[30]],tabela_registros[REGISTRO],DADOS!$N$3,tabela_registros[TIPO],DADOS!$V$3,tabela_registros[CATEGORIA],receitasfixasconsolidadodez[[#This Row],[ATUAL]])</f>
        <v>0</v>
      </c>
      <c r="AI86" s="102">
        <f>SUMIFS(tabela_registros[VALOR],tabela_registros[MÊS],$AE$1,tabela_registros[DIA],receitasfixasconsolidadodez[[#Headers],[31]],tabela_registros[REGISTRO],DADOS!$N$3,tabela_registros[TIPO],DADOS!$V$3,tabela_registros[CATEGORIA],receitasfixasconsolidadodez[[#This Row],[ATUAL]])</f>
        <v>0</v>
      </c>
      <c r="AJ86" s="97">
        <f>SUM(receitasfixasconsolidadodez[[#This Row],[1]:[31]])</f>
        <v>0</v>
      </c>
      <c r="AK86" s="25"/>
    </row>
    <row r="87" spans="2:37" s="16" customFormat="1" ht="21" customHeight="1" thickTop="1" thickBot="1" x14ac:dyDescent="0.35">
      <c r="B87" s="24"/>
      <c r="C87" s="23" t="s">
        <v>19</v>
      </c>
      <c r="D87" s="22"/>
      <c r="E87" s="21">
        <f>SUM(E82:E86)</f>
        <v>0</v>
      </c>
      <c r="F87" s="20">
        <f>SUM(F82:F86)+receitasfixasconsolidadodez[[#This Row],[1]]</f>
        <v>0</v>
      </c>
      <c r="G87" s="20">
        <f>SUM(G82:G86)+receitasfixasconsolidadodez[[#This Row],[2]]</f>
        <v>0</v>
      </c>
      <c r="H87" s="20">
        <f>SUM(H82:H86)+receitasfixasconsolidadodez[[#This Row],[3]]</f>
        <v>0</v>
      </c>
      <c r="I87" s="20">
        <f>SUM(I82:I86)+receitasfixasconsolidadodez[[#This Row],[4]]</f>
        <v>0</v>
      </c>
      <c r="J87" s="20">
        <f>SUM(J82:J86)+receitasfixasconsolidadodez[[#This Row],[5]]</f>
        <v>0</v>
      </c>
      <c r="K87" s="20">
        <f>SUM(K82:K86)+receitasfixasconsolidadodez[[#This Row],[6]]</f>
        <v>0</v>
      </c>
      <c r="L87" s="20">
        <f>SUM(L82:L86)+receitasfixasconsolidadodez[[#This Row],[7]]</f>
        <v>0</v>
      </c>
      <c r="M87" s="20">
        <f>SUM(M82:M86)+receitasfixasconsolidadodez[[#This Row],[8]]</f>
        <v>0</v>
      </c>
      <c r="N87" s="20">
        <f>SUM(N82:N86)+receitasfixasconsolidadodez[[#This Row],[9]]</f>
        <v>0</v>
      </c>
      <c r="O87" s="20">
        <f>SUM(O82:O86)+receitasfixasconsolidadodez[[#This Row],[10]]</f>
        <v>0</v>
      </c>
      <c r="P87" s="20">
        <f>SUM(P82:P86)+receitasfixasconsolidadodez[[#This Row],[11]]</f>
        <v>0</v>
      </c>
      <c r="Q87" s="20">
        <f>SUM(Q82:Q86)+receitasfixasconsolidadodez[[#This Row],[12]]</f>
        <v>0</v>
      </c>
      <c r="R87" s="20">
        <f>SUM(R82:R86)+receitasfixasconsolidadodez[[#This Row],[13]]</f>
        <v>0</v>
      </c>
      <c r="S87" s="20">
        <f>SUM(S82:S86)+receitasfixasconsolidadodez[[#This Row],[14]]</f>
        <v>0</v>
      </c>
      <c r="T87" s="20">
        <f>SUM(T82:T86)+receitasfixasconsolidadodez[[#This Row],[15]]</f>
        <v>0</v>
      </c>
      <c r="U87" s="20">
        <f>SUM(U82:U86)+receitasfixasconsolidadodez[[#This Row],[16]]</f>
        <v>0</v>
      </c>
      <c r="V87" s="20">
        <f>SUM(V82:V86)+receitasfixasconsolidadodez[[#This Row],[17]]</f>
        <v>0</v>
      </c>
      <c r="W87" s="20">
        <f>SUM(W82:W86)+receitasfixasconsolidadodez[[#This Row],[18]]</f>
        <v>0</v>
      </c>
      <c r="X87" s="20">
        <f>SUM(X82:X86)+receitasfixasconsolidadodez[[#This Row],[19]]</f>
        <v>0</v>
      </c>
      <c r="Y87" s="20">
        <f>SUM(Y82:Y86)+receitasfixasconsolidadodez[[#This Row],[20]]</f>
        <v>0</v>
      </c>
      <c r="Z87" s="20">
        <f>SUM(Z82:Z86)+receitasfixasconsolidadodez[[#This Row],[21]]</f>
        <v>0</v>
      </c>
      <c r="AA87" s="20">
        <f>SUM(AA82:AA86)+receitasfixasconsolidadodez[[#This Row],[22]]</f>
        <v>0</v>
      </c>
      <c r="AB87" s="20">
        <f>SUM(AB82:AB86)+receitasfixasconsolidadodez[[#This Row],[23]]</f>
        <v>0</v>
      </c>
      <c r="AC87" s="20">
        <f>SUM(AC82:AC86)+receitasfixasconsolidadodez[[#This Row],[24]]</f>
        <v>0</v>
      </c>
      <c r="AD87" s="20">
        <f>SUM(AD82:AD86)+receitasfixasconsolidadodez[[#This Row],[25]]</f>
        <v>0</v>
      </c>
      <c r="AE87" s="20">
        <f>SUM(AE82:AE86)+receitasfixasconsolidadodez[[#This Row],[26]]</f>
        <v>0</v>
      </c>
      <c r="AF87" s="20">
        <f>SUM(AF82:AF86)+receitasfixasconsolidadodez[[#This Row],[27]]</f>
        <v>0</v>
      </c>
      <c r="AG87" s="20">
        <f>SUM(AG82:AG86)+receitasfixasconsolidadodez[[#This Row],[28]]</f>
        <v>0</v>
      </c>
      <c r="AH87" s="20">
        <f>SUM(AH82:AH86)+receitasfixasconsolidadodez[[#This Row],[29]]</f>
        <v>0</v>
      </c>
      <c r="AI87" s="19">
        <f>SUM(AI82:AI86)+receitasfixasconsolidadodez[[#This Row],[30]]</f>
        <v>0</v>
      </c>
      <c r="AJ87" s="18">
        <f>receitasfixasconsolidadodez[[#This Row],[31]]</f>
        <v>0</v>
      </c>
      <c r="AK87" s="17"/>
    </row>
    <row r="88" spans="2:37" ht="6.75" customHeight="1" thickTop="1" thickBot="1" x14ac:dyDescent="0.3">
      <c r="B88" s="15"/>
      <c r="C88" s="14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2"/>
      <c r="AJ88" s="11"/>
      <c r="AK88" s="10"/>
    </row>
    <row r="89" spans="2:37" ht="12.6" thickTop="1" x14ac:dyDescent="0.25">
      <c r="E89" s="37"/>
      <c r="AI89" s="4"/>
    </row>
    <row r="90" spans="2:37" x14ac:dyDescent="0.25">
      <c r="AI90" s="4"/>
    </row>
    <row r="91" spans="2:37" x14ac:dyDescent="0.25">
      <c r="AI91" s="4"/>
    </row>
    <row r="92" spans="2:37" ht="39.75" customHeight="1" x14ac:dyDescent="0.7">
      <c r="C92" s="36"/>
      <c r="E92" s="240"/>
      <c r="F92" s="240"/>
      <c r="G92" s="240"/>
      <c r="H92" s="240"/>
      <c r="I92" s="240"/>
      <c r="J92" s="240"/>
      <c r="K92" s="240"/>
      <c r="L92" s="240"/>
      <c r="M92" s="240"/>
      <c r="N92" s="240"/>
      <c r="O92" s="240"/>
      <c r="P92" s="240"/>
      <c r="Q92" s="240"/>
      <c r="R92" s="240"/>
      <c r="S92" s="240"/>
      <c r="T92" s="240"/>
      <c r="U92" s="240"/>
      <c r="V92" s="240"/>
      <c r="W92" s="240"/>
      <c r="X92" s="240"/>
      <c r="Y92" s="240"/>
      <c r="Z92" s="240"/>
      <c r="AA92" s="240"/>
      <c r="AB92" s="240"/>
      <c r="AC92" s="240"/>
      <c r="AD92" s="240"/>
      <c r="AE92" s="240"/>
      <c r="AF92" s="240"/>
      <c r="AG92" s="240"/>
      <c r="AH92" s="240"/>
      <c r="AI92" s="240"/>
      <c r="AJ92" s="32" t="s">
        <v>19</v>
      </c>
    </row>
    <row r="93" spans="2:37" ht="12.6" thickBot="1" x14ac:dyDescent="0.3">
      <c r="B93" s="35"/>
      <c r="AI93" s="4"/>
      <c r="AJ93" s="34" t="s">
        <v>202</v>
      </c>
    </row>
    <row r="94" spans="2:37" ht="6.75" customHeight="1" thickTop="1" thickBot="1" x14ac:dyDescent="0.3">
      <c r="B94" s="2"/>
      <c r="C94" s="14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2"/>
      <c r="AK94" s="33"/>
    </row>
    <row r="95" spans="2:37" ht="13.2" hidden="1" thickTop="1" thickBot="1" x14ac:dyDescent="0.3">
      <c r="B95" s="2"/>
      <c r="C95" s="31" t="s">
        <v>199</v>
      </c>
      <c r="D95" s="30" t="s">
        <v>198</v>
      </c>
      <c r="E95" s="30" t="s">
        <v>197</v>
      </c>
      <c r="F95" s="30" t="s">
        <v>196</v>
      </c>
      <c r="G95" s="30" t="s">
        <v>195</v>
      </c>
      <c r="H95" s="30" t="s">
        <v>194</v>
      </c>
      <c r="I95" s="30" t="s">
        <v>193</v>
      </c>
      <c r="J95" s="30" t="s">
        <v>192</v>
      </c>
      <c r="K95" s="30" t="s">
        <v>191</v>
      </c>
      <c r="L95" s="30" t="s">
        <v>190</v>
      </c>
      <c r="M95" s="30" t="s">
        <v>189</v>
      </c>
      <c r="N95" s="30" t="s">
        <v>188</v>
      </c>
      <c r="O95" s="30" t="s">
        <v>187</v>
      </c>
      <c r="P95" s="30" t="s">
        <v>186</v>
      </c>
      <c r="Q95" s="30" t="s">
        <v>185</v>
      </c>
      <c r="R95" s="30" t="s">
        <v>184</v>
      </c>
      <c r="S95" s="30" t="s">
        <v>183</v>
      </c>
      <c r="T95" s="30" t="s">
        <v>182</v>
      </c>
      <c r="U95" s="30" t="s">
        <v>181</v>
      </c>
      <c r="V95" s="30" t="s">
        <v>180</v>
      </c>
      <c r="W95" s="30" t="s">
        <v>179</v>
      </c>
      <c r="X95" s="30" t="s">
        <v>178</v>
      </c>
      <c r="Y95" s="30" t="s">
        <v>177</v>
      </c>
      <c r="Z95" s="30" t="s">
        <v>176</v>
      </c>
      <c r="AA95" s="30" t="s">
        <v>175</v>
      </c>
      <c r="AB95" s="30" t="s">
        <v>174</v>
      </c>
      <c r="AC95" s="30" t="s">
        <v>173</v>
      </c>
      <c r="AD95" s="30" t="s">
        <v>172</v>
      </c>
      <c r="AE95" s="30" t="s">
        <v>171</v>
      </c>
      <c r="AF95" s="30" t="s">
        <v>170</v>
      </c>
      <c r="AG95" s="30" t="s">
        <v>169</v>
      </c>
      <c r="AH95" s="30" t="s">
        <v>168</v>
      </c>
      <c r="AI95" s="30" t="s">
        <v>167</v>
      </c>
      <c r="AJ95" s="29" t="s">
        <v>166</v>
      </c>
      <c r="AK95" s="2"/>
    </row>
    <row r="96" spans="2:37" ht="19.5" customHeight="1" thickTop="1" thickBot="1" x14ac:dyDescent="0.3">
      <c r="B96" s="28"/>
      <c r="C96" s="27" t="str">
        <f>DADOS!$Z$3</f>
        <v>🏅 BÔNUS</v>
      </c>
      <c r="D96" s="26" t="str">
        <f>IF(receitasvariáveisconsolidadodez[[#This Row],[TOTAL (R$)]]=0,"",IF(OR(receitasvariáveisconsolidadodez[[#This Row],[TOTAL (R$)]]=LARGE($AJ$96:$AJ$103,1),receitasvariáveisconsolidadodez[[#This Row],[TOTAL (R$)]]=LARGE($AJ$96:$AJ$103,2)),DADOS!$I$9,""))</f>
        <v/>
      </c>
      <c r="E96" s="96">
        <f>SUMIFS(tabela_registros[VALOR],tabela_registros[MÊS],$AE$1,tabela_registros[DIA],receitasvariáveisconsolidadodez[[#Headers],[1]],tabela_registros[REGISTRO],DADOS!$N$3,tabela_registros[TIPO],DADOS!$V$4,tabela_registros[CATEGORIA],receitasvariáveisconsolidadodez[[#This Row],[ATUAL]])</f>
        <v>0</v>
      </c>
      <c r="F96" s="91">
        <f>SUMIFS(tabela_registros[VALOR],tabela_registros[MÊS],$AE$1,tabela_registros[DIA],receitasvariáveisconsolidadodez[[#Headers],[2]],tabela_registros[REGISTRO],DADOS!$N$3,tabela_registros[TIPO],DADOS!$V$4,tabela_registros[CATEGORIA],receitasvariáveisconsolidadodez[[#This Row],[ATUAL]])</f>
        <v>0</v>
      </c>
      <c r="G96" s="91">
        <f>SUMIFS(tabela_registros[VALOR],tabela_registros[MÊS],$AE$1,tabela_registros[DIA],receitasvariáveisconsolidadodez[[#Headers],[3]],tabela_registros[REGISTRO],DADOS!$N$3,tabela_registros[TIPO],DADOS!$V$4,tabela_registros[CATEGORIA],receitasvariáveisconsolidadodez[[#This Row],[ATUAL]])</f>
        <v>0</v>
      </c>
      <c r="H96" s="91">
        <f>SUMIFS(tabela_registros[VALOR],tabela_registros[MÊS],$AE$1,tabela_registros[DIA],receitasvariáveisconsolidadodez[[#Headers],[4]],tabela_registros[REGISTRO],DADOS!$N$3,tabela_registros[TIPO],DADOS!$V$4,tabela_registros[CATEGORIA],receitasvariáveisconsolidadodez[[#This Row],[ATUAL]])</f>
        <v>0</v>
      </c>
      <c r="I96" s="91">
        <f>SUMIFS(tabela_registros[VALOR],tabela_registros[MÊS],$AE$1,tabela_registros[DIA],receitasvariáveisconsolidadodez[[#Headers],[5]],tabela_registros[REGISTRO],DADOS!$N$3,tabela_registros[TIPO],DADOS!$V$4,tabela_registros[CATEGORIA],receitasvariáveisconsolidadodez[[#This Row],[ATUAL]])</f>
        <v>0</v>
      </c>
      <c r="J96" s="91">
        <f>SUMIFS(tabela_registros[VALOR],tabela_registros[MÊS],$AE$1,tabela_registros[DIA],receitasvariáveisconsolidadodez[[#Headers],[6]],tabela_registros[REGISTRO],DADOS!$N$3,tabela_registros[TIPO],DADOS!$V$4,tabela_registros[CATEGORIA],receitasvariáveisconsolidadodez[[#This Row],[ATUAL]])</f>
        <v>0</v>
      </c>
      <c r="K96" s="91">
        <f>SUMIFS(tabela_registros[VALOR],tabela_registros[MÊS],$AE$1,tabela_registros[DIA],receitasvariáveisconsolidadodez[[#Headers],[7]],tabela_registros[REGISTRO],DADOS!$N$3,tabela_registros[TIPO],DADOS!$V$4,tabela_registros[CATEGORIA],receitasvariáveisconsolidadodez[[#This Row],[ATUAL]])</f>
        <v>0</v>
      </c>
      <c r="L96" s="91">
        <f>SUMIFS(tabela_registros[VALOR],tabela_registros[MÊS],$AE$1,tabela_registros[DIA],receitasvariáveisconsolidadodez[[#Headers],[8]],tabela_registros[REGISTRO],DADOS!$N$3,tabela_registros[TIPO],DADOS!$V$4,tabela_registros[CATEGORIA],receitasvariáveisconsolidadodez[[#This Row],[ATUAL]])</f>
        <v>0</v>
      </c>
      <c r="M96" s="91">
        <f>SUMIFS(tabela_registros[VALOR],tabela_registros[MÊS],$AE$1,tabela_registros[DIA],receitasvariáveisconsolidadodez[[#Headers],[9]],tabela_registros[REGISTRO],DADOS!$N$3,tabela_registros[TIPO],DADOS!$V$4,tabela_registros[CATEGORIA],receitasvariáveisconsolidadodez[[#This Row],[ATUAL]])</f>
        <v>0</v>
      </c>
      <c r="N96" s="91">
        <f>SUMIFS(tabela_registros[VALOR],tabela_registros[MÊS],$AE$1,tabela_registros[DIA],receitasvariáveisconsolidadodez[[#Headers],[10]],tabela_registros[REGISTRO],DADOS!$N$3,tabela_registros[TIPO],DADOS!$V$4,tabela_registros[CATEGORIA],receitasvariáveisconsolidadodez[[#This Row],[ATUAL]])</f>
        <v>0</v>
      </c>
      <c r="O96" s="91">
        <f>SUMIFS(tabela_registros[VALOR],tabela_registros[MÊS],$AE$1,tabela_registros[DIA],receitasvariáveisconsolidadodez[[#Headers],[11]],tabela_registros[REGISTRO],DADOS!$N$3,tabela_registros[TIPO],DADOS!$V$4,tabela_registros[CATEGORIA],receitasvariáveisconsolidadodez[[#This Row],[ATUAL]])</f>
        <v>0</v>
      </c>
      <c r="P96" s="91">
        <f>SUMIFS(tabela_registros[VALOR],tabela_registros[MÊS],$AE$1,tabela_registros[DIA],receitasvariáveisconsolidadodez[[#Headers],[12]],tabela_registros[REGISTRO],DADOS!$N$3,tabela_registros[TIPO],DADOS!$V$4,tabela_registros[CATEGORIA],receitasvariáveisconsolidadodez[[#This Row],[ATUAL]])</f>
        <v>0</v>
      </c>
      <c r="Q96" s="91">
        <f>SUMIFS(tabela_registros[VALOR],tabela_registros[MÊS],$AE$1,tabela_registros[DIA],receitasvariáveisconsolidadodez[[#Headers],[13]],tabela_registros[REGISTRO],DADOS!$N$3,tabela_registros[TIPO],DADOS!$V$4,tabela_registros[CATEGORIA],receitasvariáveisconsolidadodez[[#This Row],[ATUAL]])</f>
        <v>0</v>
      </c>
      <c r="R96" s="91">
        <f>SUMIFS(tabela_registros[VALOR],tabela_registros[MÊS],$AE$1,tabela_registros[DIA],receitasvariáveisconsolidadodez[[#Headers],[14]],tabela_registros[REGISTRO],DADOS!$N$3,tabela_registros[TIPO],DADOS!$V$4,tabela_registros[CATEGORIA],receitasvariáveisconsolidadodez[[#This Row],[ATUAL]])</f>
        <v>0</v>
      </c>
      <c r="S96" s="91">
        <f>SUMIFS(tabela_registros[VALOR],tabela_registros[MÊS],$AE$1,tabela_registros[DIA],receitasvariáveisconsolidadodez[[#Headers],[15]],tabela_registros[REGISTRO],DADOS!$N$3,tabela_registros[TIPO],DADOS!$V$4,tabela_registros[CATEGORIA],receitasvariáveisconsolidadodez[[#This Row],[ATUAL]])</f>
        <v>0</v>
      </c>
      <c r="T96" s="91">
        <f>SUMIFS(tabela_registros[VALOR],tabela_registros[MÊS],$AE$1,tabela_registros[DIA],receitasvariáveisconsolidadodez[[#Headers],[16]],tabela_registros[REGISTRO],DADOS!$N$3,tabela_registros[TIPO],DADOS!$V$4,tabela_registros[CATEGORIA],receitasvariáveisconsolidadodez[[#This Row],[ATUAL]])</f>
        <v>0</v>
      </c>
      <c r="U96" s="91">
        <f>SUMIFS(tabela_registros[VALOR],tabela_registros[MÊS],$AE$1,tabela_registros[DIA],receitasvariáveisconsolidadodez[[#Headers],[17]],tabela_registros[REGISTRO],DADOS!$N$3,tabela_registros[TIPO],DADOS!$V$4,tabela_registros[CATEGORIA],receitasvariáveisconsolidadodez[[#This Row],[ATUAL]])</f>
        <v>0</v>
      </c>
      <c r="V96" s="91">
        <f>SUMIFS(tabela_registros[VALOR],tabela_registros[MÊS],$AE$1,tabela_registros[DIA],receitasvariáveisconsolidadodez[[#Headers],[18]],tabela_registros[REGISTRO],DADOS!$N$3,tabela_registros[TIPO],DADOS!$V$4,tabela_registros[CATEGORIA],receitasvariáveisconsolidadodez[[#This Row],[ATUAL]])</f>
        <v>0</v>
      </c>
      <c r="W96" s="91">
        <f>SUMIFS(tabela_registros[VALOR],tabela_registros[MÊS],$AE$1,tabela_registros[DIA],receitasvariáveisconsolidadodez[[#Headers],[19]],tabela_registros[REGISTRO],DADOS!$N$3,tabela_registros[TIPO],DADOS!$V$4,tabela_registros[CATEGORIA],receitasvariáveisconsolidadodez[[#This Row],[ATUAL]])</f>
        <v>0</v>
      </c>
      <c r="X96" s="91">
        <f>SUMIFS(tabela_registros[VALOR],tabela_registros[MÊS],$AE$1,tabela_registros[DIA],receitasvariáveisconsolidadodez[[#Headers],[20]],tabela_registros[REGISTRO],DADOS!$N$3,tabela_registros[TIPO],DADOS!$V$4,tabela_registros[CATEGORIA],receitasvariáveisconsolidadodez[[#This Row],[ATUAL]])</f>
        <v>0</v>
      </c>
      <c r="Y96" s="91">
        <f>SUMIFS(tabela_registros[VALOR],tabela_registros[MÊS],$AE$1,tabela_registros[DIA],receitasvariáveisconsolidadodez[[#Headers],[21]],tabela_registros[REGISTRO],DADOS!$N$3,tabela_registros[TIPO],DADOS!$V$4,tabela_registros[CATEGORIA],receitasvariáveisconsolidadodez[[#This Row],[ATUAL]])</f>
        <v>0</v>
      </c>
      <c r="Z96" s="91">
        <f>SUMIFS(tabela_registros[VALOR],tabela_registros[MÊS],$AE$1,tabela_registros[DIA],receitasvariáveisconsolidadodez[[#Headers],[22]],tabela_registros[REGISTRO],DADOS!$N$3,tabela_registros[TIPO],DADOS!$V$4,tabela_registros[CATEGORIA],receitasvariáveisconsolidadodez[[#This Row],[ATUAL]])</f>
        <v>0</v>
      </c>
      <c r="AA96" s="91">
        <f>SUMIFS(tabela_registros[VALOR],tabela_registros[MÊS],$AE$1,tabela_registros[DIA],receitasvariáveisconsolidadodez[[#Headers],[23]],tabela_registros[REGISTRO],DADOS!$N$3,tabela_registros[TIPO],DADOS!$V$4,tabela_registros[CATEGORIA],receitasvariáveisconsolidadodez[[#This Row],[ATUAL]])</f>
        <v>0</v>
      </c>
      <c r="AB96" s="91">
        <f>SUMIFS(tabela_registros[VALOR],tabela_registros[MÊS],$AE$1,tabela_registros[DIA],receitasvariáveisconsolidadodez[[#Headers],[24]],tabela_registros[REGISTRO],DADOS!$N$3,tabela_registros[TIPO],DADOS!$V$4,tabela_registros[CATEGORIA],receitasvariáveisconsolidadodez[[#This Row],[ATUAL]])</f>
        <v>0</v>
      </c>
      <c r="AC96" s="91">
        <f>SUMIFS(tabela_registros[VALOR],tabela_registros[MÊS],$AE$1,tabela_registros[DIA],receitasvariáveisconsolidadodez[[#Headers],[25]],tabela_registros[REGISTRO],DADOS!$N$3,tabela_registros[TIPO],DADOS!$V$4,tabela_registros[CATEGORIA],receitasvariáveisconsolidadodez[[#This Row],[ATUAL]])</f>
        <v>0</v>
      </c>
      <c r="AD96" s="91">
        <f>SUMIFS(tabela_registros[VALOR],tabela_registros[MÊS],$AE$1,tabela_registros[DIA],receitasvariáveisconsolidadodez[[#Headers],[26]],tabela_registros[REGISTRO],DADOS!$N$3,tabela_registros[TIPO],DADOS!$V$4,tabela_registros[CATEGORIA],receitasvariáveisconsolidadodez[[#This Row],[ATUAL]])</f>
        <v>0</v>
      </c>
      <c r="AE96" s="91">
        <f>SUMIFS(tabela_registros[VALOR],tabela_registros[MÊS],$AE$1,tabela_registros[DIA],receitasvariáveisconsolidadodez[[#Headers],[27]],tabela_registros[REGISTRO],DADOS!$N$3,tabela_registros[TIPO],DADOS!$V$4,tabela_registros[CATEGORIA],receitasvariáveisconsolidadodez[[#This Row],[ATUAL]])</f>
        <v>0</v>
      </c>
      <c r="AF96" s="91">
        <f>SUMIFS(tabela_registros[VALOR],tabela_registros[MÊS],$AE$1,tabela_registros[DIA],receitasvariáveisconsolidadodez[[#Headers],[28]],tabela_registros[REGISTRO],DADOS!$N$3,tabela_registros[TIPO],DADOS!$V$4,tabela_registros[CATEGORIA],receitasvariáveisconsolidadodez[[#This Row],[ATUAL]])</f>
        <v>0</v>
      </c>
      <c r="AG96" s="91">
        <f>SUMIFS(tabela_registros[VALOR],tabela_registros[MÊS],$AE$1,tabela_registros[DIA],receitasvariáveisconsolidadodez[[#Headers],[29]],tabela_registros[REGISTRO],DADOS!$N$3,tabela_registros[TIPO],DADOS!$V$4,tabela_registros[CATEGORIA],receitasvariáveisconsolidadodez[[#This Row],[ATUAL]])</f>
        <v>0</v>
      </c>
      <c r="AH96" s="91">
        <f>SUMIFS(tabela_registros[VALOR],tabela_registros[MÊS],$AE$1,tabela_registros[DIA],receitasvariáveisconsolidadodez[[#Headers],[30]],tabela_registros[REGISTRO],DADOS!$N$3,tabela_registros[TIPO],DADOS!$V$4,tabela_registros[CATEGORIA],receitasvariáveisconsolidadodez[[#This Row],[ATUAL]])</f>
        <v>0</v>
      </c>
      <c r="AI96" s="101">
        <f>SUMIFS(tabela_registros[VALOR],tabela_registros[MÊS],$AE$1,tabela_registros[DIA],receitasvariáveisconsolidadodez[[#Headers],[31]],tabela_registros[REGISTRO],DADOS!$N$3,tabela_registros[TIPO],DADOS!$V$4,tabela_registros[CATEGORIA],receitasvariáveisconsolidadodez[[#This Row],[ATUAL]])</f>
        <v>0</v>
      </c>
      <c r="AJ96" s="97">
        <f>SUM(receitasvariáveisconsolidadodez[[#This Row],[1]:[31]])</f>
        <v>0</v>
      </c>
      <c r="AK96" s="25"/>
    </row>
    <row r="97" spans="2:37" ht="19.5" customHeight="1" thickTop="1" thickBot="1" x14ac:dyDescent="0.3">
      <c r="B97" s="28"/>
      <c r="C97" s="27" t="str">
        <f>DADOS!$Z$4</f>
        <v>🤑 COMISSÃO</v>
      </c>
      <c r="D97" s="26" t="str">
        <f>IF(receitasvariáveisconsolidadodez[[#This Row],[TOTAL (R$)]]=0,"",IF(OR(receitasvariáveisconsolidadodez[[#This Row],[TOTAL (R$)]]=LARGE($AJ$96:$AJ$103,1),receitasvariáveisconsolidadodez[[#This Row],[TOTAL (R$)]]=LARGE($AJ$96:$AJ$103,2)),DADOS!$I$9,""))</f>
        <v/>
      </c>
      <c r="E97" s="96">
        <f>SUMIFS(tabela_registros[VALOR],tabela_registros[MÊS],$AE$1,tabela_registros[DIA],receitasvariáveisconsolidadodez[[#Headers],[1]],tabela_registros[REGISTRO],DADOS!$N$3,tabela_registros[TIPO],DADOS!$V$4,tabela_registros[CATEGORIA],receitasvariáveisconsolidadodez[[#This Row],[ATUAL]])</f>
        <v>0</v>
      </c>
      <c r="F97" s="91">
        <f>SUMIFS(tabela_registros[VALOR],tabela_registros[MÊS],$AE$1,tabela_registros[DIA],receitasvariáveisconsolidadodez[[#Headers],[2]],tabela_registros[REGISTRO],DADOS!$N$3,tabela_registros[TIPO],DADOS!$V$4,tabela_registros[CATEGORIA],receitasvariáveisconsolidadodez[[#This Row],[ATUAL]])</f>
        <v>0</v>
      </c>
      <c r="G97" s="91">
        <f>SUMIFS(tabela_registros[VALOR],tabela_registros[MÊS],$AE$1,tabela_registros[DIA],receitasvariáveisconsolidadodez[[#Headers],[3]],tabela_registros[REGISTRO],DADOS!$N$3,tabela_registros[TIPO],DADOS!$V$4,tabela_registros[CATEGORIA],receitasvariáveisconsolidadodez[[#This Row],[ATUAL]])</f>
        <v>0</v>
      </c>
      <c r="H97" s="91">
        <f>SUMIFS(tabela_registros[VALOR],tabela_registros[MÊS],$AE$1,tabela_registros[DIA],receitasvariáveisconsolidadodez[[#Headers],[4]],tabela_registros[REGISTRO],DADOS!$N$3,tabela_registros[TIPO],DADOS!$V$4,tabela_registros[CATEGORIA],receitasvariáveisconsolidadodez[[#This Row],[ATUAL]])</f>
        <v>0</v>
      </c>
      <c r="I97" s="91">
        <f>SUMIFS(tabela_registros[VALOR],tabela_registros[MÊS],$AE$1,tabela_registros[DIA],receitasvariáveisconsolidadodez[[#Headers],[5]],tabela_registros[REGISTRO],DADOS!$N$3,tabela_registros[TIPO],DADOS!$V$4,tabela_registros[CATEGORIA],receitasvariáveisconsolidadodez[[#This Row],[ATUAL]])</f>
        <v>0</v>
      </c>
      <c r="J97" s="91">
        <f>SUMIFS(tabela_registros[VALOR],tabela_registros[MÊS],$AE$1,tabela_registros[DIA],receitasvariáveisconsolidadodez[[#Headers],[6]],tabela_registros[REGISTRO],DADOS!$N$3,tabela_registros[TIPO],DADOS!$V$4,tabela_registros[CATEGORIA],receitasvariáveisconsolidadodez[[#This Row],[ATUAL]])</f>
        <v>0</v>
      </c>
      <c r="K97" s="91">
        <f>SUMIFS(tabela_registros[VALOR],tabela_registros[MÊS],$AE$1,tabela_registros[DIA],receitasvariáveisconsolidadodez[[#Headers],[7]],tabela_registros[REGISTRO],DADOS!$N$3,tabela_registros[TIPO],DADOS!$V$4,tabela_registros[CATEGORIA],receitasvariáveisconsolidadodez[[#This Row],[ATUAL]])</f>
        <v>0</v>
      </c>
      <c r="L97" s="91">
        <f>SUMIFS(tabela_registros[VALOR],tabela_registros[MÊS],$AE$1,tabela_registros[DIA],receitasvariáveisconsolidadodez[[#Headers],[8]],tabela_registros[REGISTRO],DADOS!$N$3,tabela_registros[TIPO],DADOS!$V$4,tabela_registros[CATEGORIA],receitasvariáveisconsolidadodez[[#This Row],[ATUAL]])</f>
        <v>0</v>
      </c>
      <c r="M97" s="91">
        <f>SUMIFS(tabela_registros[VALOR],tabela_registros[MÊS],$AE$1,tabela_registros[DIA],receitasvariáveisconsolidadodez[[#Headers],[9]],tabela_registros[REGISTRO],DADOS!$N$3,tabela_registros[TIPO],DADOS!$V$4,tabela_registros[CATEGORIA],receitasvariáveisconsolidadodez[[#This Row],[ATUAL]])</f>
        <v>0</v>
      </c>
      <c r="N97" s="91">
        <f>SUMIFS(tabela_registros[VALOR],tabela_registros[MÊS],$AE$1,tabela_registros[DIA],receitasvariáveisconsolidadodez[[#Headers],[10]],tabela_registros[REGISTRO],DADOS!$N$3,tabela_registros[TIPO],DADOS!$V$4,tabela_registros[CATEGORIA],receitasvariáveisconsolidadodez[[#This Row],[ATUAL]])</f>
        <v>0</v>
      </c>
      <c r="O97" s="91">
        <f>SUMIFS(tabela_registros[VALOR],tabela_registros[MÊS],$AE$1,tabela_registros[DIA],receitasvariáveisconsolidadodez[[#Headers],[11]],tabela_registros[REGISTRO],DADOS!$N$3,tabela_registros[TIPO],DADOS!$V$4,tabela_registros[CATEGORIA],receitasvariáveisconsolidadodez[[#This Row],[ATUAL]])</f>
        <v>0</v>
      </c>
      <c r="P97" s="91">
        <f>SUMIFS(tabela_registros[VALOR],tabela_registros[MÊS],$AE$1,tabela_registros[DIA],receitasvariáveisconsolidadodez[[#Headers],[12]],tabela_registros[REGISTRO],DADOS!$N$3,tabela_registros[TIPO],DADOS!$V$4,tabela_registros[CATEGORIA],receitasvariáveisconsolidadodez[[#This Row],[ATUAL]])</f>
        <v>0</v>
      </c>
      <c r="Q97" s="91">
        <f>SUMIFS(tabela_registros[VALOR],tabela_registros[MÊS],$AE$1,tabela_registros[DIA],receitasvariáveisconsolidadodez[[#Headers],[13]],tabela_registros[REGISTRO],DADOS!$N$3,tabela_registros[TIPO],DADOS!$V$4,tabela_registros[CATEGORIA],receitasvariáveisconsolidadodez[[#This Row],[ATUAL]])</f>
        <v>0</v>
      </c>
      <c r="R97" s="91">
        <f>SUMIFS(tabela_registros[VALOR],tabela_registros[MÊS],$AE$1,tabela_registros[DIA],receitasvariáveisconsolidadodez[[#Headers],[14]],tabela_registros[REGISTRO],DADOS!$N$3,tabela_registros[TIPO],DADOS!$V$4,tabela_registros[CATEGORIA],receitasvariáveisconsolidadodez[[#This Row],[ATUAL]])</f>
        <v>0</v>
      </c>
      <c r="S97" s="91">
        <f>SUMIFS(tabela_registros[VALOR],tabela_registros[MÊS],$AE$1,tabela_registros[DIA],receitasvariáveisconsolidadodez[[#Headers],[15]],tabela_registros[REGISTRO],DADOS!$N$3,tabela_registros[TIPO],DADOS!$V$4,tabela_registros[CATEGORIA],receitasvariáveisconsolidadodez[[#This Row],[ATUAL]])</f>
        <v>0</v>
      </c>
      <c r="T97" s="91">
        <f>SUMIFS(tabela_registros[VALOR],tabela_registros[MÊS],$AE$1,tabela_registros[DIA],receitasvariáveisconsolidadodez[[#Headers],[16]],tabela_registros[REGISTRO],DADOS!$N$3,tabela_registros[TIPO],DADOS!$V$4,tabela_registros[CATEGORIA],receitasvariáveisconsolidadodez[[#This Row],[ATUAL]])</f>
        <v>0</v>
      </c>
      <c r="U97" s="91">
        <f>SUMIFS(tabela_registros[VALOR],tabela_registros[MÊS],$AE$1,tabela_registros[DIA],receitasvariáveisconsolidadodez[[#Headers],[17]],tabela_registros[REGISTRO],DADOS!$N$3,tabela_registros[TIPO],DADOS!$V$4,tabela_registros[CATEGORIA],receitasvariáveisconsolidadodez[[#This Row],[ATUAL]])</f>
        <v>0</v>
      </c>
      <c r="V97" s="91">
        <f>SUMIFS(tabela_registros[VALOR],tabela_registros[MÊS],$AE$1,tabela_registros[DIA],receitasvariáveisconsolidadodez[[#Headers],[18]],tabela_registros[REGISTRO],DADOS!$N$3,tabela_registros[TIPO],DADOS!$V$4,tabela_registros[CATEGORIA],receitasvariáveisconsolidadodez[[#This Row],[ATUAL]])</f>
        <v>0</v>
      </c>
      <c r="W97" s="91">
        <f>SUMIFS(tabela_registros[VALOR],tabela_registros[MÊS],$AE$1,tabela_registros[DIA],receitasvariáveisconsolidadodez[[#Headers],[19]],tabela_registros[REGISTRO],DADOS!$N$3,tabela_registros[TIPO],DADOS!$V$4,tabela_registros[CATEGORIA],receitasvariáveisconsolidadodez[[#This Row],[ATUAL]])</f>
        <v>0</v>
      </c>
      <c r="X97" s="91">
        <f>SUMIFS(tabela_registros[VALOR],tabela_registros[MÊS],$AE$1,tabela_registros[DIA],receitasvariáveisconsolidadodez[[#Headers],[20]],tabela_registros[REGISTRO],DADOS!$N$3,tabela_registros[TIPO],DADOS!$V$4,tabela_registros[CATEGORIA],receitasvariáveisconsolidadodez[[#This Row],[ATUAL]])</f>
        <v>0</v>
      </c>
      <c r="Y97" s="91">
        <f>SUMIFS(tabela_registros[VALOR],tabela_registros[MÊS],$AE$1,tabela_registros[DIA],receitasvariáveisconsolidadodez[[#Headers],[21]],tabela_registros[REGISTRO],DADOS!$N$3,tabela_registros[TIPO],DADOS!$V$4,tabela_registros[CATEGORIA],receitasvariáveisconsolidadodez[[#This Row],[ATUAL]])</f>
        <v>0</v>
      </c>
      <c r="Z97" s="91">
        <f>SUMIFS(tabela_registros[VALOR],tabela_registros[MÊS],$AE$1,tabela_registros[DIA],receitasvariáveisconsolidadodez[[#Headers],[22]],tabela_registros[REGISTRO],DADOS!$N$3,tabela_registros[TIPO],DADOS!$V$4,tabela_registros[CATEGORIA],receitasvariáveisconsolidadodez[[#This Row],[ATUAL]])</f>
        <v>0</v>
      </c>
      <c r="AA97" s="91">
        <f>SUMIFS(tabela_registros[VALOR],tabela_registros[MÊS],$AE$1,tabela_registros[DIA],receitasvariáveisconsolidadodez[[#Headers],[23]],tabela_registros[REGISTRO],DADOS!$N$3,tabela_registros[TIPO],DADOS!$V$4,tabela_registros[CATEGORIA],receitasvariáveisconsolidadodez[[#This Row],[ATUAL]])</f>
        <v>0</v>
      </c>
      <c r="AB97" s="91">
        <f>SUMIFS(tabela_registros[VALOR],tabela_registros[MÊS],$AE$1,tabela_registros[DIA],receitasvariáveisconsolidadodez[[#Headers],[24]],tabela_registros[REGISTRO],DADOS!$N$3,tabela_registros[TIPO],DADOS!$V$4,tabela_registros[CATEGORIA],receitasvariáveisconsolidadodez[[#This Row],[ATUAL]])</f>
        <v>0</v>
      </c>
      <c r="AC97" s="91">
        <f>SUMIFS(tabela_registros[VALOR],tabela_registros[MÊS],$AE$1,tabela_registros[DIA],receitasvariáveisconsolidadodez[[#Headers],[25]],tabela_registros[REGISTRO],DADOS!$N$3,tabela_registros[TIPO],DADOS!$V$4,tabela_registros[CATEGORIA],receitasvariáveisconsolidadodez[[#This Row],[ATUAL]])</f>
        <v>0</v>
      </c>
      <c r="AD97" s="91">
        <f>SUMIFS(tabela_registros[VALOR],tabela_registros[MÊS],$AE$1,tabela_registros[DIA],receitasvariáveisconsolidadodez[[#Headers],[26]],tabela_registros[REGISTRO],DADOS!$N$3,tabela_registros[TIPO],DADOS!$V$4,tabela_registros[CATEGORIA],receitasvariáveisconsolidadodez[[#This Row],[ATUAL]])</f>
        <v>0</v>
      </c>
      <c r="AE97" s="91">
        <f>SUMIFS(tabela_registros[VALOR],tabela_registros[MÊS],$AE$1,tabela_registros[DIA],receitasvariáveisconsolidadodez[[#Headers],[27]],tabela_registros[REGISTRO],DADOS!$N$3,tabela_registros[TIPO],DADOS!$V$4,tabela_registros[CATEGORIA],receitasvariáveisconsolidadodez[[#This Row],[ATUAL]])</f>
        <v>0</v>
      </c>
      <c r="AF97" s="91">
        <f>SUMIFS(tabela_registros[VALOR],tabela_registros[MÊS],$AE$1,tabela_registros[DIA],receitasvariáveisconsolidadodez[[#Headers],[28]],tabela_registros[REGISTRO],DADOS!$N$3,tabela_registros[TIPO],DADOS!$V$4,tabela_registros[CATEGORIA],receitasvariáveisconsolidadodez[[#This Row],[ATUAL]])</f>
        <v>0</v>
      </c>
      <c r="AG97" s="91">
        <f>SUMIFS(tabela_registros[VALOR],tabela_registros[MÊS],$AE$1,tabela_registros[DIA],receitasvariáveisconsolidadodez[[#Headers],[29]],tabela_registros[REGISTRO],DADOS!$N$3,tabela_registros[TIPO],DADOS!$V$4,tabela_registros[CATEGORIA],receitasvariáveisconsolidadodez[[#This Row],[ATUAL]])</f>
        <v>0</v>
      </c>
      <c r="AH97" s="91">
        <f>SUMIFS(tabela_registros[VALOR],tabela_registros[MÊS],$AE$1,tabela_registros[DIA],receitasvariáveisconsolidadodez[[#Headers],[30]],tabela_registros[REGISTRO],DADOS!$N$3,tabela_registros[TIPO],DADOS!$V$4,tabela_registros[CATEGORIA],receitasvariáveisconsolidadodez[[#This Row],[ATUAL]])</f>
        <v>0</v>
      </c>
      <c r="AI97" s="101">
        <f>SUMIFS(tabela_registros[VALOR],tabela_registros[MÊS],$AE$1,tabela_registros[DIA],receitasvariáveisconsolidadodez[[#Headers],[31]],tabela_registros[REGISTRO],DADOS!$N$3,tabela_registros[TIPO],DADOS!$V$4,tabela_registros[CATEGORIA],receitasvariáveisconsolidadodez[[#This Row],[ATUAL]])</f>
        <v>0</v>
      </c>
      <c r="AJ97" s="97">
        <f>SUM(receitasvariáveisconsolidadodez[[#This Row],[1]:[31]])</f>
        <v>0</v>
      </c>
      <c r="AK97" s="25"/>
    </row>
    <row r="98" spans="2:37" ht="19.5" customHeight="1" thickTop="1" thickBot="1" x14ac:dyDescent="0.3">
      <c r="B98" s="28"/>
      <c r="C98" s="27" t="str">
        <f>DADOS!$Z$5</f>
        <v>🎗️ HERANÇA</v>
      </c>
      <c r="D98" s="26" t="str">
        <f>IF(receitasvariáveisconsolidadodez[[#This Row],[TOTAL (R$)]]=0,"",IF(OR(receitasvariáveisconsolidadodez[[#This Row],[TOTAL (R$)]]=LARGE($AJ$96:$AJ$103,1),receitasvariáveisconsolidadodez[[#This Row],[TOTAL (R$)]]=LARGE($AJ$96:$AJ$103,2)),DADOS!$I$9,""))</f>
        <v/>
      </c>
      <c r="E98" s="96">
        <f>SUMIFS(tabela_registros[VALOR],tabela_registros[MÊS],$AE$1,tabela_registros[DIA],receitasvariáveisconsolidadodez[[#Headers],[1]],tabela_registros[REGISTRO],DADOS!$N$3,tabela_registros[TIPO],DADOS!$V$4,tabela_registros[CATEGORIA],receitasvariáveisconsolidadodez[[#This Row],[ATUAL]])</f>
        <v>0</v>
      </c>
      <c r="F98" s="91">
        <f>SUMIFS(tabela_registros[VALOR],tabela_registros[MÊS],$AE$1,tabela_registros[DIA],receitasvariáveisconsolidadodez[[#Headers],[2]],tabela_registros[REGISTRO],DADOS!$N$3,tabela_registros[TIPO],DADOS!$V$4,tabela_registros[CATEGORIA],receitasvariáveisconsolidadodez[[#This Row],[ATUAL]])</f>
        <v>0</v>
      </c>
      <c r="G98" s="91">
        <f>SUMIFS(tabela_registros[VALOR],tabela_registros[MÊS],$AE$1,tabela_registros[DIA],receitasvariáveisconsolidadodez[[#Headers],[3]],tabela_registros[REGISTRO],DADOS!$N$3,tabela_registros[TIPO],DADOS!$V$4,tabela_registros[CATEGORIA],receitasvariáveisconsolidadodez[[#This Row],[ATUAL]])</f>
        <v>0</v>
      </c>
      <c r="H98" s="91">
        <f>SUMIFS(tabela_registros[VALOR],tabela_registros[MÊS],$AE$1,tabela_registros[DIA],receitasvariáveisconsolidadodez[[#Headers],[4]],tabela_registros[REGISTRO],DADOS!$N$3,tabela_registros[TIPO],DADOS!$V$4,tabela_registros[CATEGORIA],receitasvariáveisconsolidadodez[[#This Row],[ATUAL]])</f>
        <v>0</v>
      </c>
      <c r="I98" s="91">
        <f>SUMIFS(tabela_registros[VALOR],tabela_registros[MÊS],$AE$1,tabela_registros[DIA],receitasvariáveisconsolidadodez[[#Headers],[5]],tabela_registros[REGISTRO],DADOS!$N$3,tabela_registros[TIPO],DADOS!$V$4,tabela_registros[CATEGORIA],receitasvariáveisconsolidadodez[[#This Row],[ATUAL]])</f>
        <v>0</v>
      </c>
      <c r="J98" s="91">
        <f>SUMIFS(tabela_registros[VALOR],tabela_registros[MÊS],$AE$1,tabela_registros[DIA],receitasvariáveisconsolidadodez[[#Headers],[6]],tabela_registros[REGISTRO],DADOS!$N$3,tabela_registros[TIPO],DADOS!$V$4,tabela_registros[CATEGORIA],receitasvariáveisconsolidadodez[[#This Row],[ATUAL]])</f>
        <v>0</v>
      </c>
      <c r="K98" s="91">
        <f>SUMIFS(tabela_registros[VALOR],tabela_registros[MÊS],$AE$1,tabela_registros[DIA],receitasvariáveisconsolidadodez[[#Headers],[7]],tabela_registros[REGISTRO],DADOS!$N$3,tabela_registros[TIPO],DADOS!$V$4,tabela_registros[CATEGORIA],receitasvariáveisconsolidadodez[[#This Row],[ATUAL]])</f>
        <v>0</v>
      </c>
      <c r="L98" s="91">
        <f>SUMIFS(tabela_registros[VALOR],tabela_registros[MÊS],$AE$1,tabela_registros[DIA],receitasvariáveisconsolidadodez[[#Headers],[8]],tabela_registros[REGISTRO],DADOS!$N$3,tabela_registros[TIPO],DADOS!$V$4,tabela_registros[CATEGORIA],receitasvariáveisconsolidadodez[[#This Row],[ATUAL]])</f>
        <v>0</v>
      </c>
      <c r="M98" s="91">
        <f>SUMIFS(tabela_registros[VALOR],tabela_registros[MÊS],$AE$1,tabela_registros[DIA],receitasvariáveisconsolidadodez[[#Headers],[9]],tabela_registros[REGISTRO],DADOS!$N$3,tabela_registros[TIPO],DADOS!$V$4,tabela_registros[CATEGORIA],receitasvariáveisconsolidadodez[[#This Row],[ATUAL]])</f>
        <v>0</v>
      </c>
      <c r="N98" s="91">
        <f>SUMIFS(tabela_registros[VALOR],tabela_registros[MÊS],$AE$1,tabela_registros[DIA],receitasvariáveisconsolidadodez[[#Headers],[10]],tabela_registros[REGISTRO],DADOS!$N$3,tabela_registros[TIPO],DADOS!$V$4,tabela_registros[CATEGORIA],receitasvariáveisconsolidadodez[[#This Row],[ATUAL]])</f>
        <v>0</v>
      </c>
      <c r="O98" s="91">
        <f>SUMIFS(tabela_registros[VALOR],tabela_registros[MÊS],$AE$1,tabela_registros[DIA],receitasvariáveisconsolidadodez[[#Headers],[11]],tabela_registros[REGISTRO],DADOS!$N$3,tabela_registros[TIPO],DADOS!$V$4,tabela_registros[CATEGORIA],receitasvariáveisconsolidadodez[[#This Row],[ATUAL]])</f>
        <v>0</v>
      </c>
      <c r="P98" s="91">
        <f>SUMIFS(tabela_registros[VALOR],tabela_registros[MÊS],$AE$1,tabela_registros[DIA],receitasvariáveisconsolidadodez[[#Headers],[12]],tabela_registros[REGISTRO],DADOS!$N$3,tabela_registros[TIPO],DADOS!$V$4,tabela_registros[CATEGORIA],receitasvariáveisconsolidadodez[[#This Row],[ATUAL]])</f>
        <v>0</v>
      </c>
      <c r="Q98" s="91">
        <f>SUMIFS(tabela_registros[VALOR],tabela_registros[MÊS],$AE$1,tabela_registros[DIA],receitasvariáveisconsolidadodez[[#Headers],[13]],tabela_registros[REGISTRO],DADOS!$N$3,tabela_registros[TIPO],DADOS!$V$4,tabela_registros[CATEGORIA],receitasvariáveisconsolidadodez[[#This Row],[ATUAL]])</f>
        <v>0</v>
      </c>
      <c r="R98" s="91">
        <f>SUMIFS(tabela_registros[VALOR],tabela_registros[MÊS],$AE$1,tabela_registros[DIA],receitasvariáveisconsolidadodez[[#Headers],[14]],tabela_registros[REGISTRO],DADOS!$N$3,tabela_registros[TIPO],DADOS!$V$4,tabela_registros[CATEGORIA],receitasvariáveisconsolidadodez[[#This Row],[ATUAL]])</f>
        <v>0</v>
      </c>
      <c r="S98" s="91">
        <f>SUMIFS(tabela_registros[VALOR],tabela_registros[MÊS],$AE$1,tabela_registros[DIA],receitasvariáveisconsolidadodez[[#Headers],[15]],tabela_registros[REGISTRO],DADOS!$N$3,tabela_registros[TIPO],DADOS!$V$4,tabela_registros[CATEGORIA],receitasvariáveisconsolidadodez[[#This Row],[ATUAL]])</f>
        <v>0</v>
      </c>
      <c r="T98" s="91">
        <f>SUMIFS(tabela_registros[VALOR],tabela_registros[MÊS],$AE$1,tabela_registros[DIA],receitasvariáveisconsolidadodez[[#Headers],[16]],tabela_registros[REGISTRO],DADOS!$N$3,tabela_registros[TIPO],DADOS!$V$4,tabela_registros[CATEGORIA],receitasvariáveisconsolidadodez[[#This Row],[ATUAL]])</f>
        <v>0</v>
      </c>
      <c r="U98" s="91">
        <f>SUMIFS(tabela_registros[VALOR],tabela_registros[MÊS],$AE$1,tabela_registros[DIA],receitasvariáveisconsolidadodez[[#Headers],[17]],tabela_registros[REGISTRO],DADOS!$N$3,tabela_registros[TIPO],DADOS!$V$4,tabela_registros[CATEGORIA],receitasvariáveisconsolidadodez[[#This Row],[ATUAL]])</f>
        <v>0</v>
      </c>
      <c r="V98" s="91">
        <f>SUMIFS(tabela_registros[VALOR],tabela_registros[MÊS],$AE$1,tabela_registros[DIA],receitasvariáveisconsolidadodez[[#Headers],[18]],tabela_registros[REGISTRO],DADOS!$N$3,tabela_registros[TIPO],DADOS!$V$4,tabela_registros[CATEGORIA],receitasvariáveisconsolidadodez[[#This Row],[ATUAL]])</f>
        <v>0</v>
      </c>
      <c r="W98" s="91">
        <f>SUMIFS(tabela_registros[VALOR],tabela_registros[MÊS],$AE$1,tabela_registros[DIA],receitasvariáveisconsolidadodez[[#Headers],[19]],tabela_registros[REGISTRO],DADOS!$N$3,tabela_registros[TIPO],DADOS!$V$4,tabela_registros[CATEGORIA],receitasvariáveisconsolidadodez[[#This Row],[ATUAL]])</f>
        <v>0</v>
      </c>
      <c r="X98" s="91">
        <f>SUMIFS(tabela_registros[VALOR],tabela_registros[MÊS],$AE$1,tabela_registros[DIA],receitasvariáveisconsolidadodez[[#Headers],[20]],tabela_registros[REGISTRO],DADOS!$N$3,tabela_registros[TIPO],DADOS!$V$4,tabela_registros[CATEGORIA],receitasvariáveisconsolidadodez[[#This Row],[ATUAL]])</f>
        <v>0</v>
      </c>
      <c r="Y98" s="91">
        <f>SUMIFS(tabela_registros[VALOR],tabela_registros[MÊS],$AE$1,tabela_registros[DIA],receitasvariáveisconsolidadodez[[#Headers],[21]],tabela_registros[REGISTRO],DADOS!$N$3,tabela_registros[TIPO],DADOS!$V$4,tabela_registros[CATEGORIA],receitasvariáveisconsolidadodez[[#This Row],[ATUAL]])</f>
        <v>0</v>
      </c>
      <c r="Z98" s="91">
        <f>SUMIFS(tabela_registros[VALOR],tabela_registros[MÊS],$AE$1,tabela_registros[DIA],receitasvariáveisconsolidadodez[[#Headers],[22]],tabela_registros[REGISTRO],DADOS!$N$3,tabela_registros[TIPO],DADOS!$V$4,tabela_registros[CATEGORIA],receitasvariáveisconsolidadodez[[#This Row],[ATUAL]])</f>
        <v>0</v>
      </c>
      <c r="AA98" s="91">
        <f>SUMIFS(tabela_registros[VALOR],tabela_registros[MÊS],$AE$1,tabela_registros[DIA],receitasvariáveisconsolidadodez[[#Headers],[23]],tabela_registros[REGISTRO],DADOS!$N$3,tabela_registros[TIPO],DADOS!$V$4,tabela_registros[CATEGORIA],receitasvariáveisconsolidadodez[[#This Row],[ATUAL]])</f>
        <v>0</v>
      </c>
      <c r="AB98" s="91">
        <f>SUMIFS(tabela_registros[VALOR],tabela_registros[MÊS],$AE$1,tabela_registros[DIA],receitasvariáveisconsolidadodez[[#Headers],[24]],tabela_registros[REGISTRO],DADOS!$N$3,tabela_registros[TIPO],DADOS!$V$4,tabela_registros[CATEGORIA],receitasvariáveisconsolidadodez[[#This Row],[ATUAL]])</f>
        <v>0</v>
      </c>
      <c r="AC98" s="91">
        <f>SUMIFS(tabela_registros[VALOR],tabela_registros[MÊS],$AE$1,tabela_registros[DIA],receitasvariáveisconsolidadodez[[#Headers],[25]],tabela_registros[REGISTRO],DADOS!$N$3,tabela_registros[TIPO],DADOS!$V$4,tabela_registros[CATEGORIA],receitasvariáveisconsolidadodez[[#This Row],[ATUAL]])</f>
        <v>0</v>
      </c>
      <c r="AD98" s="91">
        <f>SUMIFS(tabela_registros[VALOR],tabela_registros[MÊS],$AE$1,tabela_registros[DIA],receitasvariáveisconsolidadodez[[#Headers],[26]],tabela_registros[REGISTRO],DADOS!$N$3,tabela_registros[TIPO],DADOS!$V$4,tabela_registros[CATEGORIA],receitasvariáveisconsolidadodez[[#This Row],[ATUAL]])</f>
        <v>0</v>
      </c>
      <c r="AE98" s="91">
        <f>SUMIFS(tabela_registros[VALOR],tabela_registros[MÊS],$AE$1,tabela_registros[DIA],receitasvariáveisconsolidadodez[[#Headers],[27]],tabela_registros[REGISTRO],DADOS!$N$3,tabela_registros[TIPO],DADOS!$V$4,tabela_registros[CATEGORIA],receitasvariáveisconsolidadodez[[#This Row],[ATUAL]])</f>
        <v>0</v>
      </c>
      <c r="AF98" s="91">
        <f>SUMIFS(tabela_registros[VALOR],tabela_registros[MÊS],$AE$1,tabela_registros[DIA],receitasvariáveisconsolidadodez[[#Headers],[28]],tabela_registros[REGISTRO],DADOS!$N$3,tabela_registros[TIPO],DADOS!$V$4,tabela_registros[CATEGORIA],receitasvariáveisconsolidadodez[[#This Row],[ATUAL]])</f>
        <v>0</v>
      </c>
      <c r="AG98" s="91">
        <f>SUMIFS(tabela_registros[VALOR],tabela_registros[MÊS],$AE$1,tabela_registros[DIA],receitasvariáveisconsolidadodez[[#Headers],[29]],tabela_registros[REGISTRO],DADOS!$N$3,tabela_registros[TIPO],DADOS!$V$4,tabela_registros[CATEGORIA],receitasvariáveisconsolidadodez[[#This Row],[ATUAL]])</f>
        <v>0</v>
      </c>
      <c r="AH98" s="91">
        <f>SUMIFS(tabela_registros[VALOR],tabela_registros[MÊS],$AE$1,tabela_registros[DIA],receitasvariáveisconsolidadodez[[#Headers],[30]],tabela_registros[REGISTRO],DADOS!$N$3,tabela_registros[TIPO],DADOS!$V$4,tabela_registros[CATEGORIA],receitasvariáveisconsolidadodez[[#This Row],[ATUAL]])</f>
        <v>0</v>
      </c>
      <c r="AI98" s="101">
        <f>SUMIFS(tabela_registros[VALOR],tabela_registros[MÊS],$AE$1,tabela_registros[DIA],receitasvariáveisconsolidadodez[[#Headers],[31]],tabela_registros[REGISTRO],DADOS!$N$3,tabela_registros[TIPO],DADOS!$V$4,tabela_registros[CATEGORIA],receitasvariáveisconsolidadodez[[#This Row],[ATUAL]])</f>
        <v>0</v>
      </c>
      <c r="AJ98" s="97">
        <f>SUM(receitasvariáveisconsolidadodez[[#This Row],[1]:[31]])</f>
        <v>0</v>
      </c>
      <c r="AK98" s="25"/>
    </row>
    <row r="99" spans="2:37" ht="19.5" customHeight="1" thickTop="1" thickBot="1" x14ac:dyDescent="0.3">
      <c r="B99" s="28"/>
      <c r="C99" s="27" t="str">
        <f>DADOS!$Z$6</f>
        <v>💲 INVESTIMENTOS</v>
      </c>
      <c r="D99" s="26" t="str">
        <f>IF(receitasvariáveisconsolidadodez[[#This Row],[TOTAL (R$)]]=0,"",IF(OR(receitasvariáveisconsolidadodez[[#This Row],[TOTAL (R$)]]=LARGE($AJ$96:$AJ$103,1),receitasvariáveisconsolidadodez[[#This Row],[TOTAL (R$)]]=LARGE($AJ$96:$AJ$103,2)),DADOS!$I$9,""))</f>
        <v/>
      </c>
      <c r="E99" s="96">
        <f>SUMIFS(tabela_registros[VALOR],tabela_registros[MÊS],$AE$1,tabela_registros[DIA],receitasvariáveisconsolidadodez[[#Headers],[1]],tabela_registros[REGISTRO],DADOS!$N$3,tabela_registros[TIPO],DADOS!$V$4,tabela_registros[CATEGORIA],receitasvariáveisconsolidadodez[[#This Row],[ATUAL]])</f>
        <v>0</v>
      </c>
      <c r="F99" s="91">
        <f>SUMIFS(tabela_registros[VALOR],tabela_registros[MÊS],$AE$1,tabela_registros[DIA],receitasvariáveisconsolidadodez[[#Headers],[2]],tabela_registros[REGISTRO],DADOS!$N$3,tabela_registros[TIPO],DADOS!$V$4,tabela_registros[CATEGORIA],receitasvariáveisconsolidadodez[[#This Row],[ATUAL]])</f>
        <v>0</v>
      </c>
      <c r="G99" s="91">
        <f>SUMIFS(tabela_registros[VALOR],tabela_registros[MÊS],$AE$1,tabela_registros[DIA],receitasvariáveisconsolidadodez[[#Headers],[3]],tabela_registros[REGISTRO],DADOS!$N$3,tabela_registros[TIPO],DADOS!$V$4,tabela_registros[CATEGORIA],receitasvariáveisconsolidadodez[[#This Row],[ATUAL]])</f>
        <v>0</v>
      </c>
      <c r="H99" s="91">
        <f>SUMIFS(tabela_registros[VALOR],tabela_registros[MÊS],$AE$1,tabela_registros[DIA],receitasvariáveisconsolidadodez[[#Headers],[4]],tabela_registros[REGISTRO],DADOS!$N$3,tabela_registros[TIPO],DADOS!$V$4,tabela_registros[CATEGORIA],receitasvariáveisconsolidadodez[[#This Row],[ATUAL]])</f>
        <v>0</v>
      </c>
      <c r="I99" s="91">
        <f>SUMIFS(tabela_registros[VALOR],tabela_registros[MÊS],$AE$1,tabela_registros[DIA],receitasvariáveisconsolidadodez[[#Headers],[5]],tabela_registros[REGISTRO],DADOS!$N$3,tabela_registros[TIPO],DADOS!$V$4,tabela_registros[CATEGORIA],receitasvariáveisconsolidadodez[[#This Row],[ATUAL]])</f>
        <v>0</v>
      </c>
      <c r="J99" s="91">
        <f>SUMIFS(tabela_registros[VALOR],tabela_registros[MÊS],$AE$1,tabela_registros[DIA],receitasvariáveisconsolidadodez[[#Headers],[6]],tabela_registros[REGISTRO],DADOS!$N$3,tabela_registros[TIPO],DADOS!$V$4,tabela_registros[CATEGORIA],receitasvariáveisconsolidadodez[[#This Row],[ATUAL]])</f>
        <v>0</v>
      </c>
      <c r="K99" s="91">
        <f>SUMIFS(tabela_registros[VALOR],tabela_registros[MÊS],$AE$1,tabela_registros[DIA],receitasvariáveisconsolidadodez[[#Headers],[7]],tabela_registros[REGISTRO],DADOS!$N$3,tabela_registros[TIPO],DADOS!$V$4,tabela_registros[CATEGORIA],receitasvariáveisconsolidadodez[[#This Row],[ATUAL]])</f>
        <v>0</v>
      </c>
      <c r="L99" s="91">
        <f>SUMIFS(tabela_registros[VALOR],tabela_registros[MÊS],$AE$1,tabela_registros[DIA],receitasvariáveisconsolidadodez[[#Headers],[8]],tabela_registros[REGISTRO],DADOS!$N$3,tabela_registros[TIPO],DADOS!$V$4,tabela_registros[CATEGORIA],receitasvariáveisconsolidadodez[[#This Row],[ATUAL]])</f>
        <v>0</v>
      </c>
      <c r="M99" s="91">
        <f>SUMIFS(tabela_registros[VALOR],tabela_registros[MÊS],$AE$1,tabela_registros[DIA],receitasvariáveisconsolidadodez[[#Headers],[9]],tabela_registros[REGISTRO],DADOS!$N$3,tabela_registros[TIPO],DADOS!$V$4,tabela_registros[CATEGORIA],receitasvariáveisconsolidadodez[[#This Row],[ATUAL]])</f>
        <v>0</v>
      </c>
      <c r="N99" s="91">
        <f>SUMIFS(tabela_registros[VALOR],tabela_registros[MÊS],$AE$1,tabela_registros[DIA],receitasvariáveisconsolidadodez[[#Headers],[10]],tabela_registros[REGISTRO],DADOS!$N$3,tabela_registros[TIPO],DADOS!$V$4,tabela_registros[CATEGORIA],receitasvariáveisconsolidadodez[[#This Row],[ATUAL]])</f>
        <v>0</v>
      </c>
      <c r="O99" s="91">
        <f>SUMIFS(tabela_registros[VALOR],tabela_registros[MÊS],$AE$1,tabela_registros[DIA],receitasvariáveisconsolidadodez[[#Headers],[11]],tabela_registros[REGISTRO],DADOS!$N$3,tabela_registros[TIPO],DADOS!$V$4,tabela_registros[CATEGORIA],receitasvariáveisconsolidadodez[[#This Row],[ATUAL]])</f>
        <v>0</v>
      </c>
      <c r="P99" s="91">
        <f>SUMIFS(tabela_registros[VALOR],tabela_registros[MÊS],$AE$1,tabela_registros[DIA],receitasvariáveisconsolidadodez[[#Headers],[12]],tabela_registros[REGISTRO],DADOS!$N$3,tabela_registros[TIPO],DADOS!$V$4,tabela_registros[CATEGORIA],receitasvariáveisconsolidadodez[[#This Row],[ATUAL]])</f>
        <v>0</v>
      </c>
      <c r="Q99" s="91">
        <f>SUMIFS(tabela_registros[VALOR],tabela_registros[MÊS],$AE$1,tabela_registros[DIA],receitasvariáveisconsolidadodez[[#Headers],[13]],tabela_registros[REGISTRO],DADOS!$N$3,tabela_registros[TIPO],DADOS!$V$4,tabela_registros[CATEGORIA],receitasvariáveisconsolidadodez[[#This Row],[ATUAL]])</f>
        <v>0</v>
      </c>
      <c r="R99" s="91">
        <f>SUMIFS(tabela_registros[VALOR],tabela_registros[MÊS],$AE$1,tabela_registros[DIA],receitasvariáveisconsolidadodez[[#Headers],[14]],tabela_registros[REGISTRO],DADOS!$N$3,tabela_registros[TIPO],DADOS!$V$4,tabela_registros[CATEGORIA],receitasvariáveisconsolidadodez[[#This Row],[ATUAL]])</f>
        <v>0</v>
      </c>
      <c r="S99" s="91">
        <f>SUMIFS(tabela_registros[VALOR],tabela_registros[MÊS],$AE$1,tabela_registros[DIA],receitasvariáveisconsolidadodez[[#Headers],[15]],tabela_registros[REGISTRO],DADOS!$N$3,tabela_registros[TIPO],DADOS!$V$4,tabela_registros[CATEGORIA],receitasvariáveisconsolidadodez[[#This Row],[ATUAL]])</f>
        <v>0</v>
      </c>
      <c r="T99" s="91">
        <f>SUMIFS(tabela_registros[VALOR],tabela_registros[MÊS],$AE$1,tabela_registros[DIA],receitasvariáveisconsolidadodez[[#Headers],[16]],tabela_registros[REGISTRO],DADOS!$N$3,tabela_registros[TIPO],DADOS!$V$4,tabela_registros[CATEGORIA],receitasvariáveisconsolidadodez[[#This Row],[ATUAL]])</f>
        <v>0</v>
      </c>
      <c r="U99" s="91">
        <f>SUMIFS(tabela_registros[VALOR],tabela_registros[MÊS],$AE$1,tabela_registros[DIA],receitasvariáveisconsolidadodez[[#Headers],[17]],tabela_registros[REGISTRO],DADOS!$N$3,tabela_registros[TIPO],DADOS!$V$4,tabela_registros[CATEGORIA],receitasvariáveisconsolidadodez[[#This Row],[ATUAL]])</f>
        <v>0</v>
      </c>
      <c r="V99" s="91">
        <f>SUMIFS(tabela_registros[VALOR],tabela_registros[MÊS],$AE$1,tabela_registros[DIA],receitasvariáveisconsolidadodez[[#Headers],[18]],tabela_registros[REGISTRO],DADOS!$N$3,tabela_registros[TIPO],DADOS!$V$4,tabela_registros[CATEGORIA],receitasvariáveisconsolidadodez[[#This Row],[ATUAL]])</f>
        <v>0</v>
      </c>
      <c r="W99" s="91">
        <f>SUMIFS(tabela_registros[VALOR],tabela_registros[MÊS],$AE$1,tabela_registros[DIA],receitasvariáveisconsolidadodez[[#Headers],[19]],tabela_registros[REGISTRO],DADOS!$N$3,tabela_registros[TIPO],DADOS!$V$4,tabela_registros[CATEGORIA],receitasvariáveisconsolidadodez[[#This Row],[ATUAL]])</f>
        <v>0</v>
      </c>
      <c r="X99" s="91">
        <f>SUMIFS(tabela_registros[VALOR],tabela_registros[MÊS],$AE$1,tabela_registros[DIA],receitasvariáveisconsolidadodez[[#Headers],[20]],tabela_registros[REGISTRO],DADOS!$N$3,tabela_registros[TIPO],DADOS!$V$4,tabela_registros[CATEGORIA],receitasvariáveisconsolidadodez[[#This Row],[ATUAL]])</f>
        <v>0</v>
      </c>
      <c r="Y99" s="91">
        <f>SUMIFS(tabela_registros[VALOR],tabela_registros[MÊS],$AE$1,tabela_registros[DIA],receitasvariáveisconsolidadodez[[#Headers],[21]],tabela_registros[REGISTRO],DADOS!$N$3,tabela_registros[TIPO],DADOS!$V$4,tabela_registros[CATEGORIA],receitasvariáveisconsolidadodez[[#This Row],[ATUAL]])</f>
        <v>0</v>
      </c>
      <c r="Z99" s="91">
        <f>SUMIFS(tabela_registros[VALOR],tabela_registros[MÊS],$AE$1,tabela_registros[DIA],receitasvariáveisconsolidadodez[[#Headers],[22]],tabela_registros[REGISTRO],DADOS!$N$3,tabela_registros[TIPO],DADOS!$V$4,tabela_registros[CATEGORIA],receitasvariáveisconsolidadodez[[#This Row],[ATUAL]])</f>
        <v>0</v>
      </c>
      <c r="AA99" s="91">
        <f>SUMIFS(tabela_registros[VALOR],tabela_registros[MÊS],$AE$1,tabela_registros[DIA],receitasvariáveisconsolidadodez[[#Headers],[23]],tabela_registros[REGISTRO],DADOS!$N$3,tabela_registros[TIPO],DADOS!$V$4,tabela_registros[CATEGORIA],receitasvariáveisconsolidadodez[[#This Row],[ATUAL]])</f>
        <v>0</v>
      </c>
      <c r="AB99" s="91">
        <f>SUMIFS(tabela_registros[VALOR],tabela_registros[MÊS],$AE$1,tabela_registros[DIA],receitasvariáveisconsolidadodez[[#Headers],[24]],tabela_registros[REGISTRO],DADOS!$N$3,tabela_registros[TIPO],DADOS!$V$4,tabela_registros[CATEGORIA],receitasvariáveisconsolidadodez[[#This Row],[ATUAL]])</f>
        <v>0</v>
      </c>
      <c r="AC99" s="91">
        <f>SUMIFS(tabela_registros[VALOR],tabela_registros[MÊS],$AE$1,tabela_registros[DIA],receitasvariáveisconsolidadodez[[#Headers],[25]],tabela_registros[REGISTRO],DADOS!$N$3,tabela_registros[TIPO],DADOS!$V$4,tabela_registros[CATEGORIA],receitasvariáveisconsolidadodez[[#This Row],[ATUAL]])</f>
        <v>0</v>
      </c>
      <c r="AD99" s="91">
        <f>SUMIFS(tabela_registros[VALOR],tabela_registros[MÊS],$AE$1,tabela_registros[DIA],receitasvariáveisconsolidadodez[[#Headers],[26]],tabela_registros[REGISTRO],DADOS!$N$3,tabela_registros[TIPO],DADOS!$V$4,tabela_registros[CATEGORIA],receitasvariáveisconsolidadodez[[#This Row],[ATUAL]])</f>
        <v>0</v>
      </c>
      <c r="AE99" s="91">
        <f>SUMIFS(tabela_registros[VALOR],tabela_registros[MÊS],$AE$1,tabela_registros[DIA],receitasvariáveisconsolidadodez[[#Headers],[27]],tabela_registros[REGISTRO],DADOS!$N$3,tabela_registros[TIPO],DADOS!$V$4,tabela_registros[CATEGORIA],receitasvariáveisconsolidadodez[[#This Row],[ATUAL]])</f>
        <v>0</v>
      </c>
      <c r="AF99" s="91">
        <f>SUMIFS(tabela_registros[VALOR],tabela_registros[MÊS],$AE$1,tabela_registros[DIA],receitasvariáveisconsolidadodez[[#Headers],[28]],tabela_registros[REGISTRO],DADOS!$N$3,tabela_registros[TIPO],DADOS!$V$4,tabela_registros[CATEGORIA],receitasvariáveisconsolidadodez[[#This Row],[ATUAL]])</f>
        <v>0</v>
      </c>
      <c r="AG99" s="91">
        <f>SUMIFS(tabela_registros[VALOR],tabela_registros[MÊS],$AE$1,tabela_registros[DIA],receitasvariáveisconsolidadodez[[#Headers],[29]],tabela_registros[REGISTRO],DADOS!$N$3,tabela_registros[TIPO],DADOS!$V$4,tabela_registros[CATEGORIA],receitasvariáveisconsolidadodez[[#This Row],[ATUAL]])</f>
        <v>0</v>
      </c>
      <c r="AH99" s="91">
        <f>SUMIFS(tabela_registros[VALOR],tabela_registros[MÊS],$AE$1,tabela_registros[DIA],receitasvariáveisconsolidadodez[[#Headers],[30]],tabela_registros[REGISTRO],DADOS!$N$3,tabela_registros[TIPO],DADOS!$V$4,tabela_registros[CATEGORIA],receitasvariáveisconsolidadodez[[#This Row],[ATUAL]])</f>
        <v>0</v>
      </c>
      <c r="AI99" s="101">
        <f>SUMIFS(tabela_registros[VALOR],tabela_registros[MÊS],$AE$1,tabela_registros[DIA],receitasvariáveisconsolidadodez[[#Headers],[31]],tabela_registros[REGISTRO],DADOS!$N$3,tabela_registros[TIPO],DADOS!$V$4,tabela_registros[CATEGORIA],receitasvariáveisconsolidadodez[[#This Row],[ATUAL]])</f>
        <v>0</v>
      </c>
      <c r="AJ99" s="97">
        <f>SUM(receitasvariáveisconsolidadodez[[#This Row],[1]:[31]])</f>
        <v>0</v>
      </c>
      <c r="AK99" s="25"/>
    </row>
    <row r="100" spans="2:37" ht="19.5" customHeight="1" thickTop="1" thickBot="1" x14ac:dyDescent="0.3">
      <c r="B100" s="28"/>
      <c r="C100" s="27" t="str">
        <f>DADOS!$Z$7</f>
        <v>🧾 NOTA DE SERVIÇO</v>
      </c>
      <c r="D100" s="26" t="str">
        <f>IF(receitasvariáveisconsolidadodez[[#This Row],[TOTAL (R$)]]=0,"",IF(OR(receitasvariáveisconsolidadodez[[#This Row],[TOTAL (R$)]]=LARGE($AJ$96:$AJ$103,1),receitasvariáveisconsolidadodez[[#This Row],[TOTAL (R$)]]=LARGE($AJ$96:$AJ$103,2)),DADOS!$I$9,""))</f>
        <v/>
      </c>
      <c r="E100" s="96">
        <f>SUMIFS(tabela_registros[VALOR],tabela_registros[MÊS],$AE$1,tabela_registros[DIA],receitasvariáveisconsolidadodez[[#Headers],[1]],tabela_registros[REGISTRO],DADOS!$N$3,tabela_registros[TIPO],DADOS!$V$4,tabela_registros[CATEGORIA],receitasvariáveisconsolidadodez[[#This Row],[ATUAL]])</f>
        <v>0</v>
      </c>
      <c r="F100" s="91">
        <f>SUMIFS(tabela_registros[VALOR],tabela_registros[MÊS],$AE$1,tabela_registros[DIA],receitasvariáveisconsolidadodez[[#Headers],[2]],tabela_registros[REGISTRO],DADOS!$N$3,tabela_registros[TIPO],DADOS!$V$4,tabela_registros[CATEGORIA],receitasvariáveisconsolidadodez[[#This Row],[ATUAL]])</f>
        <v>0</v>
      </c>
      <c r="G100" s="91">
        <f>SUMIFS(tabela_registros[VALOR],tabela_registros[MÊS],$AE$1,tabela_registros[DIA],receitasvariáveisconsolidadodez[[#Headers],[3]],tabela_registros[REGISTRO],DADOS!$N$3,tabela_registros[TIPO],DADOS!$V$4,tabela_registros[CATEGORIA],receitasvariáveisconsolidadodez[[#This Row],[ATUAL]])</f>
        <v>0</v>
      </c>
      <c r="H100" s="91">
        <f>SUMIFS(tabela_registros[VALOR],tabela_registros[MÊS],$AE$1,tabela_registros[DIA],receitasvariáveisconsolidadodez[[#Headers],[4]],tabela_registros[REGISTRO],DADOS!$N$3,tabela_registros[TIPO],DADOS!$V$4,tabela_registros[CATEGORIA],receitasvariáveisconsolidadodez[[#This Row],[ATUAL]])</f>
        <v>0</v>
      </c>
      <c r="I100" s="91">
        <f>SUMIFS(tabela_registros[VALOR],tabela_registros[MÊS],$AE$1,tabela_registros[DIA],receitasvariáveisconsolidadodez[[#Headers],[5]],tabela_registros[REGISTRO],DADOS!$N$3,tabela_registros[TIPO],DADOS!$V$4,tabela_registros[CATEGORIA],receitasvariáveisconsolidadodez[[#This Row],[ATUAL]])</f>
        <v>0</v>
      </c>
      <c r="J100" s="91">
        <f>SUMIFS(tabela_registros[VALOR],tabela_registros[MÊS],$AE$1,tabela_registros[DIA],receitasvariáveisconsolidadodez[[#Headers],[6]],tabela_registros[REGISTRO],DADOS!$N$3,tabela_registros[TIPO],DADOS!$V$4,tabela_registros[CATEGORIA],receitasvariáveisconsolidadodez[[#This Row],[ATUAL]])</f>
        <v>0</v>
      </c>
      <c r="K100" s="91">
        <f>SUMIFS(tabela_registros[VALOR],tabela_registros[MÊS],$AE$1,tabela_registros[DIA],receitasvariáveisconsolidadodez[[#Headers],[7]],tabela_registros[REGISTRO],DADOS!$N$3,tabela_registros[TIPO],DADOS!$V$4,tabela_registros[CATEGORIA],receitasvariáveisconsolidadodez[[#This Row],[ATUAL]])</f>
        <v>0</v>
      </c>
      <c r="L100" s="91">
        <f>SUMIFS(tabela_registros[VALOR],tabela_registros[MÊS],$AE$1,tabela_registros[DIA],receitasvariáveisconsolidadodez[[#Headers],[8]],tabela_registros[REGISTRO],DADOS!$N$3,tabela_registros[TIPO],DADOS!$V$4,tabela_registros[CATEGORIA],receitasvariáveisconsolidadodez[[#This Row],[ATUAL]])</f>
        <v>0</v>
      </c>
      <c r="M100" s="91">
        <f>SUMIFS(tabela_registros[VALOR],tabela_registros[MÊS],$AE$1,tabela_registros[DIA],receitasvariáveisconsolidadodez[[#Headers],[9]],tabela_registros[REGISTRO],DADOS!$N$3,tabela_registros[TIPO],DADOS!$V$4,tabela_registros[CATEGORIA],receitasvariáveisconsolidadodez[[#This Row],[ATUAL]])</f>
        <v>0</v>
      </c>
      <c r="N100" s="91">
        <f>SUMIFS(tabela_registros[VALOR],tabela_registros[MÊS],$AE$1,tabela_registros[DIA],receitasvariáveisconsolidadodez[[#Headers],[10]],tabela_registros[REGISTRO],DADOS!$N$3,tabela_registros[TIPO],DADOS!$V$4,tabela_registros[CATEGORIA],receitasvariáveisconsolidadodez[[#This Row],[ATUAL]])</f>
        <v>0</v>
      </c>
      <c r="O100" s="91">
        <f>SUMIFS(tabela_registros[VALOR],tabela_registros[MÊS],$AE$1,tabela_registros[DIA],receitasvariáveisconsolidadodez[[#Headers],[11]],tabela_registros[REGISTRO],DADOS!$N$3,tabela_registros[TIPO],DADOS!$V$4,tabela_registros[CATEGORIA],receitasvariáveisconsolidadodez[[#This Row],[ATUAL]])</f>
        <v>0</v>
      </c>
      <c r="P100" s="91">
        <f>SUMIFS(tabela_registros[VALOR],tabela_registros[MÊS],$AE$1,tabela_registros[DIA],receitasvariáveisconsolidadodez[[#Headers],[12]],tabela_registros[REGISTRO],DADOS!$N$3,tabela_registros[TIPO],DADOS!$V$4,tabela_registros[CATEGORIA],receitasvariáveisconsolidadodez[[#This Row],[ATUAL]])</f>
        <v>0</v>
      </c>
      <c r="Q100" s="91">
        <f>SUMIFS(tabela_registros[VALOR],tabela_registros[MÊS],$AE$1,tabela_registros[DIA],receitasvariáveisconsolidadodez[[#Headers],[13]],tabela_registros[REGISTRO],DADOS!$N$3,tabela_registros[TIPO],DADOS!$V$4,tabela_registros[CATEGORIA],receitasvariáveisconsolidadodez[[#This Row],[ATUAL]])</f>
        <v>0</v>
      </c>
      <c r="R100" s="91">
        <f>SUMIFS(tabela_registros[VALOR],tabela_registros[MÊS],$AE$1,tabela_registros[DIA],receitasvariáveisconsolidadodez[[#Headers],[14]],tabela_registros[REGISTRO],DADOS!$N$3,tabela_registros[TIPO],DADOS!$V$4,tabela_registros[CATEGORIA],receitasvariáveisconsolidadodez[[#This Row],[ATUAL]])</f>
        <v>0</v>
      </c>
      <c r="S100" s="91">
        <f>SUMIFS(tabela_registros[VALOR],tabela_registros[MÊS],$AE$1,tabela_registros[DIA],receitasvariáveisconsolidadodez[[#Headers],[15]],tabela_registros[REGISTRO],DADOS!$N$3,tabela_registros[TIPO],DADOS!$V$4,tabela_registros[CATEGORIA],receitasvariáveisconsolidadodez[[#This Row],[ATUAL]])</f>
        <v>0</v>
      </c>
      <c r="T100" s="91">
        <f>SUMIFS(tabela_registros[VALOR],tabela_registros[MÊS],$AE$1,tabela_registros[DIA],receitasvariáveisconsolidadodez[[#Headers],[16]],tabela_registros[REGISTRO],DADOS!$N$3,tabela_registros[TIPO],DADOS!$V$4,tabela_registros[CATEGORIA],receitasvariáveisconsolidadodez[[#This Row],[ATUAL]])</f>
        <v>0</v>
      </c>
      <c r="U100" s="91">
        <f>SUMIFS(tabela_registros[VALOR],tabela_registros[MÊS],$AE$1,tabela_registros[DIA],receitasvariáveisconsolidadodez[[#Headers],[17]],tabela_registros[REGISTRO],DADOS!$N$3,tabela_registros[TIPO],DADOS!$V$4,tabela_registros[CATEGORIA],receitasvariáveisconsolidadodez[[#This Row],[ATUAL]])</f>
        <v>0</v>
      </c>
      <c r="V100" s="91">
        <f>SUMIFS(tabela_registros[VALOR],tabela_registros[MÊS],$AE$1,tabela_registros[DIA],receitasvariáveisconsolidadodez[[#Headers],[18]],tabela_registros[REGISTRO],DADOS!$N$3,tabela_registros[TIPO],DADOS!$V$4,tabela_registros[CATEGORIA],receitasvariáveisconsolidadodez[[#This Row],[ATUAL]])</f>
        <v>0</v>
      </c>
      <c r="W100" s="91">
        <f>SUMIFS(tabela_registros[VALOR],tabela_registros[MÊS],$AE$1,tabela_registros[DIA],receitasvariáveisconsolidadodez[[#Headers],[19]],tabela_registros[REGISTRO],DADOS!$N$3,tabela_registros[TIPO],DADOS!$V$4,tabela_registros[CATEGORIA],receitasvariáveisconsolidadodez[[#This Row],[ATUAL]])</f>
        <v>0</v>
      </c>
      <c r="X100" s="91">
        <f>SUMIFS(tabela_registros[VALOR],tabela_registros[MÊS],$AE$1,tabela_registros[DIA],receitasvariáveisconsolidadodez[[#Headers],[20]],tabela_registros[REGISTRO],DADOS!$N$3,tabela_registros[TIPO],DADOS!$V$4,tabela_registros[CATEGORIA],receitasvariáveisconsolidadodez[[#This Row],[ATUAL]])</f>
        <v>0</v>
      </c>
      <c r="Y100" s="91">
        <f>SUMIFS(tabela_registros[VALOR],tabela_registros[MÊS],$AE$1,tabela_registros[DIA],receitasvariáveisconsolidadodez[[#Headers],[21]],tabela_registros[REGISTRO],DADOS!$N$3,tabela_registros[TIPO],DADOS!$V$4,tabela_registros[CATEGORIA],receitasvariáveisconsolidadodez[[#This Row],[ATUAL]])</f>
        <v>0</v>
      </c>
      <c r="Z100" s="91">
        <f>SUMIFS(tabela_registros[VALOR],tabela_registros[MÊS],$AE$1,tabela_registros[DIA],receitasvariáveisconsolidadodez[[#Headers],[22]],tabela_registros[REGISTRO],DADOS!$N$3,tabela_registros[TIPO],DADOS!$V$4,tabela_registros[CATEGORIA],receitasvariáveisconsolidadodez[[#This Row],[ATUAL]])</f>
        <v>0</v>
      </c>
      <c r="AA100" s="91">
        <f>SUMIFS(tabela_registros[VALOR],tabela_registros[MÊS],$AE$1,tabela_registros[DIA],receitasvariáveisconsolidadodez[[#Headers],[23]],tabela_registros[REGISTRO],DADOS!$N$3,tabela_registros[TIPO],DADOS!$V$4,tabela_registros[CATEGORIA],receitasvariáveisconsolidadodez[[#This Row],[ATUAL]])</f>
        <v>0</v>
      </c>
      <c r="AB100" s="91">
        <f>SUMIFS(tabela_registros[VALOR],tabela_registros[MÊS],$AE$1,tabela_registros[DIA],receitasvariáveisconsolidadodez[[#Headers],[24]],tabela_registros[REGISTRO],DADOS!$N$3,tabela_registros[TIPO],DADOS!$V$4,tabela_registros[CATEGORIA],receitasvariáveisconsolidadodez[[#This Row],[ATUAL]])</f>
        <v>0</v>
      </c>
      <c r="AC100" s="91">
        <f>SUMIFS(tabela_registros[VALOR],tabela_registros[MÊS],$AE$1,tabela_registros[DIA],receitasvariáveisconsolidadodez[[#Headers],[25]],tabela_registros[REGISTRO],DADOS!$N$3,tabela_registros[TIPO],DADOS!$V$4,tabela_registros[CATEGORIA],receitasvariáveisconsolidadodez[[#This Row],[ATUAL]])</f>
        <v>0</v>
      </c>
      <c r="AD100" s="91">
        <f>SUMIFS(tabela_registros[VALOR],tabela_registros[MÊS],$AE$1,tabela_registros[DIA],receitasvariáveisconsolidadodez[[#Headers],[26]],tabela_registros[REGISTRO],DADOS!$N$3,tabela_registros[TIPO],DADOS!$V$4,tabela_registros[CATEGORIA],receitasvariáveisconsolidadodez[[#This Row],[ATUAL]])</f>
        <v>0</v>
      </c>
      <c r="AE100" s="91">
        <f>SUMIFS(tabela_registros[VALOR],tabela_registros[MÊS],$AE$1,tabela_registros[DIA],receitasvariáveisconsolidadodez[[#Headers],[27]],tabela_registros[REGISTRO],DADOS!$N$3,tabela_registros[TIPO],DADOS!$V$4,tabela_registros[CATEGORIA],receitasvariáveisconsolidadodez[[#This Row],[ATUAL]])</f>
        <v>0</v>
      </c>
      <c r="AF100" s="91">
        <f>SUMIFS(tabela_registros[VALOR],tabela_registros[MÊS],$AE$1,tabela_registros[DIA],receitasvariáveisconsolidadodez[[#Headers],[28]],tabela_registros[REGISTRO],DADOS!$N$3,tabela_registros[TIPO],DADOS!$V$4,tabela_registros[CATEGORIA],receitasvariáveisconsolidadodez[[#This Row],[ATUAL]])</f>
        <v>0</v>
      </c>
      <c r="AG100" s="91">
        <f>SUMIFS(tabela_registros[VALOR],tabela_registros[MÊS],$AE$1,tabela_registros[DIA],receitasvariáveisconsolidadodez[[#Headers],[29]],tabela_registros[REGISTRO],DADOS!$N$3,tabela_registros[TIPO],DADOS!$V$4,tabela_registros[CATEGORIA],receitasvariáveisconsolidadodez[[#This Row],[ATUAL]])</f>
        <v>0</v>
      </c>
      <c r="AH100" s="91">
        <f>SUMIFS(tabela_registros[VALOR],tabela_registros[MÊS],$AE$1,tabela_registros[DIA],receitasvariáveisconsolidadodez[[#Headers],[30]],tabela_registros[REGISTRO],DADOS!$N$3,tabela_registros[TIPO],DADOS!$V$4,tabela_registros[CATEGORIA],receitasvariáveisconsolidadodez[[#This Row],[ATUAL]])</f>
        <v>0</v>
      </c>
      <c r="AI100" s="101">
        <f>SUMIFS(tabela_registros[VALOR],tabela_registros[MÊS],$AE$1,tabela_registros[DIA],receitasvariáveisconsolidadodez[[#Headers],[31]],tabela_registros[REGISTRO],DADOS!$N$3,tabela_registros[TIPO],DADOS!$V$4,tabela_registros[CATEGORIA],receitasvariáveisconsolidadodez[[#This Row],[ATUAL]])</f>
        <v>0</v>
      </c>
      <c r="AJ100" s="104">
        <f>SUM(receitasvariáveisconsolidadodez[[#This Row],[1]:[31]])</f>
        <v>0</v>
      </c>
      <c r="AK100" s="25"/>
    </row>
    <row r="101" spans="2:37" ht="19.5" customHeight="1" thickTop="1" thickBot="1" x14ac:dyDescent="0.3">
      <c r="B101" s="28"/>
      <c r="C101" s="27" t="str">
        <f>DADOS!$Z$8</f>
        <v>🎁 PRESENTE</v>
      </c>
      <c r="D101" s="26" t="str">
        <f>IF(receitasvariáveisconsolidadodez[[#This Row],[TOTAL (R$)]]=0,"",IF(OR(receitasvariáveisconsolidadodez[[#This Row],[TOTAL (R$)]]=LARGE($AJ$96:$AJ$103,1),receitasvariáveisconsolidadodez[[#This Row],[TOTAL (R$)]]=LARGE($AJ$96:$AJ$103,2)),DADOS!$I$9,""))</f>
        <v/>
      </c>
      <c r="E101" s="96">
        <f>SUMIFS(tabela_registros[VALOR],tabela_registros[MÊS],$AE$1,tabela_registros[DIA],receitasvariáveisconsolidadodez[[#Headers],[1]],tabela_registros[REGISTRO],DADOS!$N$3,tabela_registros[TIPO],DADOS!$V$4,tabela_registros[CATEGORIA],receitasvariáveisconsolidadodez[[#This Row],[ATUAL]])</f>
        <v>0</v>
      </c>
      <c r="F101" s="91">
        <f>SUMIFS(tabela_registros[VALOR],tabela_registros[MÊS],$AE$1,tabela_registros[DIA],receitasvariáveisconsolidadodez[[#Headers],[2]],tabela_registros[REGISTRO],DADOS!$N$3,tabela_registros[TIPO],DADOS!$V$4,tabela_registros[CATEGORIA],receitasvariáveisconsolidadodez[[#This Row],[ATUAL]])</f>
        <v>0</v>
      </c>
      <c r="G101" s="91">
        <f>SUMIFS(tabela_registros[VALOR],tabela_registros[MÊS],$AE$1,tabela_registros[DIA],receitasvariáveisconsolidadodez[[#Headers],[3]],tabela_registros[REGISTRO],DADOS!$N$3,tabela_registros[TIPO],DADOS!$V$4,tabela_registros[CATEGORIA],receitasvariáveisconsolidadodez[[#This Row],[ATUAL]])</f>
        <v>0</v>
      </c>
      <c r="H101" s="91">
        <f>SUMIFS(tabela_registros[VALOR],tabela_registros[MÊS],$AE$1,tabela_registros[DIA],receitasvariáveisconsolidadodez[[#Headers],[4]],tabela_registros[REGISTRO],DADOS!$N$3,tabela_registros[TIPO],DADOS!$V$4,tabela_registros[CATEGORIA],receitasvariáveisconsolidadodez[[#This Row],[ATUAL]])</f>
        <v>0</v>
      </c>
      <c r="I101" s="91">
        <f>SUMIFS(tabela_registros[VALOR],tabela_registros[MÊS],$AE$1,tabela_registros[DIA],receitasvariáveisconsolidadodez[[#Headers],[5]],tabela_registros[REGISTRO],DADOS!$N$3,tabela_registros[TIPO],DADOS!$V$4,tabela_registros[CATEGORIA],receitasvariáveisconsolidadodez[[#This Row],[ATUAL]])</f>
        <v>0</v>
      </c>
      <c r="J101" s="91">
        <f>SUMIFS(tabela_registros[VALOR],tabela_registros[MÊS],$AE$1,tabela_registros[DIA],receitasvariáveisconsolidadodez[[#Headers],[6]],tabela_registros[REGISTRO],DADOS!$N$3,tabela_registros[TIPO],DADOS!$V$4,tabela_registros[CATEGORIA],receitasvariáveisconsolidadodez[[#This Row],[ATUAL]])</f>
        <v>0</v>
      </c>
      <c r="K101" s="91">
        <f>SUMIFS(tabela_registros[VALOR],tabela_registros[MÊS],$AE$1,tabela_registros[DIA],receitasvariáveisconsolidadodez[[#Headers],[7]],tabela_registros[REGISTRO],DADOS!$N$3,tabela_registros[TIPO],DADOS!$V$4,tabela_registros[CATEGORIA],receitasvariáveisconsolidadodez[[#This Row],[ATUAL]])</f>
        <v>0</v>
      </c>
      <c r="L101" s="91">
        <f>SUMIFS(tabela_registros[VALOR],tabela_registros[MÊS],$AE$1,tabela_registros[DIA],receitasvariáveisconsolidadodez[[#Headers],[8]],tabela_registros[REGISTRO],DADOS!$N$3,tabela_registros[TIPO],DADOS!$V$4,tabela_registros[CATEGORIA],receitasvariáveisconsolidadodez[[#This Row],[ATUAL]])</f>
        <v>0</v>
      </c>
      <c r="M101" s="91">
        <f>SUMIFS(tabela_registros[VALOR],tabela_registros[MÊS],$AE$1,tabela_registros[DIA],receitasvariáveisconsolidadodez[[#Headers],[9]],tabela_registros[REGISTRO],DADOS!$N$3,tabela_registros[TIPO],DADOS!$V$4,tabela_registros[CATEGORIA],receitasvariáveisconsolidadodez[[#This Row],[ATUAL]])</f>
        <v>0</v>
      </c>
      <c r="N101" s="91">
        <f>SUMIFS(tabela_registros[VALOR],tabela_registros[MÊS],$AE$1,tabela_registros[DIA],receitasvariáveisconsolidadodez[[#Headers],[10]],tabela_registros[REGISTRO],DADOS!$N$3,tabela_registros[TIPO],DADOS!$V$4,tabela_registros[CATEGORIA],receitasvariáveisconsolidadodez[[#This Row],[ATUAL]])</f>
        <v>0</v>
      </c>
      <c r="O101" s="91">
        <f>SUMIFS(tabela_registros[VALOR],tabela_registros[MÊS],$AE$1,tabela_registros[DIA],receitasvariáveisconsolidadodez[[#Headers],[11]],tabela_registros[REGISTRO],DADOS!$N$3,tabela_registros[TIPO],DADOS!$V$4,tabela_registros[CATEGORIA],receitasvariáveisconsolidadodez[[#This Row],[ATUAL]])</f>
        <v>0</v>
      </c>
      <c r="P101" s="91">
        <f>SUMIFS(tabela_registros[VALOR],tabela_registros[MÊS],$AE$1,tabela_registros[DIA],receitasvariáveisconsolidadodez[[#Headers],[12]],tabela_registros[REGISTRO],DADOS!$N$3,tabela_registros[TIPO],DADOS!$V$4,tabela_registros[CATEGORIA],receitasvariáveisconsolidadodez[[#This Row],[ATUAL]])</f>
        <v>0</v>
      </c>
      <c r="Q101" s="91">
        <f>SUMIFS(tabela_registros[VALOR],tabela_registros[MÊS],$AE$1,tabela_registros[DIA],receitasvariáveisconsolidadodez[[#Headers],[13]],tabela_registros[REGISTRO],DADOS!$N$3,tabela_registros[TIPO],DADOS!$V$4,tabela_registros[CATEGORIA],receitasvariáveisconsolidadodez[[#This Row],[ATUAL]])</f>
        <v>0</v>
      </c>
      <c r="R101" s="91">
        <f>SUMIFS(tabela_registros[VALOR],tabela_registros[MÊS],$AE$1,tabela_registros[DIA],receitasvariáveisconsolidadodez[[#Headers],[14]],tabela_registros[REGISTRO],DADOS!$N$3,tabela_registros[TIPO],DADOS!$V$4,tabela_registros[CATEGORIA],receitasvariáveisconsolidadodez[[#This Row],[ATUAL]])</f>
        <v>0</v>
      </c>
      <c r="S101" s="91">
        <f>SUMIFS(tabela_registros[VALOR],tabela_registros[MÊS],$AE$1,tabela_registros[DIA],receitasvariáveisconsolidadodez[[#Headers],[15]],tabela_registros[REGISTRO],DADOS!$N$3,tabela_registros[TIPO],DADOS!$V$4,tabela_registros[CATEGORIA],receitasvariáveisconsolidadodez[[#This Row],[ATUAL]])</f>
        <v>0</v>
      </c>
      <c r="T101" s="91">
        <f>SUMIFS(tabela_registros[VALOR],tabela_registros[MÊS],$AE$1,tabela_registros[DIA],receitasvariáveisconsolidadodez[[#Headers],[16]],tabela_registros[REGISTRO],DADOS!$N$3,tabela_registros[TIPO],DADOS!$V$4,tabela_registros[CATEGORIA],receitasvariáveisconsolidadodez[[#This Row],[ATUAL]])</f>
        <v>0</v>
      </c>
      <c r="U101" s="91">
        <f>SUMIFS(tabela_registros[VALOR],tabela_registros[MÊS],$AE$1,tabela_registros[DIA],receitasvariáveisconsolidadodez[[#Headers],[17]],tabela_registros[REGISTRO],DADOS!$N$3,tabela_registros[TIPO],DADOS!$V$4,tabela_registros[CATEGORIA],receitasvariáveisconsolidadodez[[#This Row],[ATUAL]])</f>
        <v>0</v>
      </c>
      <c r="V101" s="91">
        <f>SUMIFS(tabela_registros[VALOR],tabela_registros[MÊS],$AE$1,tabela_registros[DIA],receitasvariáveisconsolidadodez[[#Headers],[18]],tabela_registros[REGISTRO],DADOS!$N$3,tabela_registros[TIPO],DADOS!$V$4,tabela_registros[CATEGORIA],receitasvariáveisconsolidadodez[[#This Row],[ATUAL]])</f>
        <v>0</v>
      </c>
      <c r="W101" s="91">
        <f>SUMIFS(tabela_registros[VALOR],tabela_registros[MÊS],$AE$1,tabela_registros[DIA],receitasvariáveisconsolidadodez[[#Headers],[19]],tabela_registros[REGISTRO],DADOS!$N$3,tabela_registros[TIPO],DADOS!$V$4,tabela_registros[CATEGORIA],receitasvariáveisconsolidadodez[[#This Row],[ATUAL]])</f>
        <v>0</v>
      </c>
      <c r="X101" s="91">
        <f>SUMIFS(tabela_registros[VALOR],tabela_registros[MÊS],$AE$1,tabela_registros[DIA],receitasvariáveisconsolidadodez[[#Headers],[20]],tabela_registros[REGISTRO],DADOS!$N$3,tabela_registros[TIPO],DADOS!$V$4,tabela_registros[CATEGORIA],receitasvariáveisconsolidadodez[[#This Row],[ATUAL]])</f>
        <v>0</v>
      </c>
      <c r="Y101" s="91">
        <f>SUMIFS(tabela_registros[VALOR],tabela_registros[MÊS],$AE$1,tabela_registros[DIA],receitasvariáveisconsolidadodez[[#Headers],[21]],tabela_registros[REGISTRO],DADOS!$N$3,tabela_registros[TIPO],DADOS!$V$4,tabela_registros[CATEGORIA],receitasvariáveisconsolidadodez[[#This Row],[ATUAL]])</f>
        <v>0</v>
      </c>
      <c r="Z101" s="91">
        <f>SUMIFS(tabela_registros[VALOR],tabela_registros[MÊS],$AE$1,tabela_registros[DIA],receitasvariáveisconsolidadodez[[#Headers],[22]],tabela_registros[REGISTRO],DADOS!$N$3,tabela_registros[TIPO],DADOS!$V$4,tabela_registros[CATEGORIA],receitasvariáveisconsolidadodez[[#This Row],[ATUAL]])</f>
        <v>0</v>
      </c>
      <c r="AA101" s="91">
        <f>SUMIFS(tabela_registros[VALOR],tabela_registros[MÊS],$AE$1,tabela_registros[DIA],receitasvariáveisconsolidadodez[[#Headers],[23]],tabela_registros[REGISTRO],DADOS!$N$3,tabela_registros[TIPO],DADOS!$V$4,tabela_registros[CATEGORIA],receitasvariáveisconsolidadodez[[#This Row],[ATUAL]])</f>
        <v>0</v>
      </c>
      <c r="AB101" s="91">
        <f>SUMIFS(tabela_registros[VALOR],tabela_registros[MÊS],$AE$1,tabela_registros[DIA],receitasvariáveisconsolidadodez[[#Headers],[24]],tabela_registros[REGISTRO],DADOS!$N$3,tabela_registros[TIPO],DADOS!$V$4,tabela_registros[CATEGORIA],receitasvariáveisconsolidadodez[[#This Row],[ATUAL]])</f>
        <v>0</v>
      </c>
      <c r="AC101" s="91">
        <f>SUMIFS(tabela_registros[VALOR],tabela_registros[MÊS],$AE$1,tabela_registros[DIA],receitasvariáveisconsolidadodez[[#Headers],[25]],tabela_registros[REGISTRO],DADOS!$N$3,tabela_registros[TIPO],DADOS!$V$4,tabela_registros[CATEGORIA],receitasvariáveisconsolidadodez[[#This Row],[ATUAL]])</f>
        <v>0</v>
      </c>
      <c r="AD101" s="91">
        <f>SUMIFS(tabela_registros[VALOR],tabela_registros[MÊS],$AE$1,tabela_registros[DIA],receitasvariáveisconsolidadodez[[#Headers],[26]],tabela_registros[REGISTRO],DADOS!$N$3,tabela_registros[TIPO],DADOS!$V$4,tabela_registros[CATEGORIA],receitasvariáveisconsolidadodez[[#This Row],[ATUAL]])</f>
        <v>0</v>
      </c>
      <c r="AE101" s="91">
        <f>SUMIFS(tabela_registros[VALOR],tabela_registros[MÊS],$AE$1,tabela_registros[DIA],receitasvariáveisconsolidadodez[[#Headers],[27]],tabela_registros[REGISTRO],DADOS!$N$3,tabela_registros[TIPO],DADOS!$V$4,tabela_registros[CATEGORIA],receitasvariáveisconsolidadodez[[#This Row],[ATUAL]])</f>
        <v>0</v>
      </c>
      <c r="AF101" s="91">
        <f>SUMIFS(tabela_registros[VALOR],tabela_registros[MÊS],$AE$1,tabela_registros[DIA],receitasvariáveisconsolidadodez[[#Headers],[28]],tabela_registros[REGISTRO],DADOS!$N$3,tabela_registros[TIPO],DADOS!$V$4,tabela_registros[CATEGORIA],receitasvariáveisconsolidadodez[[#This Row],[ATUAL]])</f>
        <v>0</v>
      </c>
      <c r="AG101" s="91">
        <f>SUMIFS(tabela_registros[VALOR],tabela_registros[MÊS],$AE$1,tabela_registros[DIA],receitasvariáveisconsolidadodez[[#Headers],[29]],tabela_registros[REGISTRO],DADOS!$N$3,tabela_registros[TIPO],DADOS!$V$4,tabela_registros[CATEGORIA],receitasvariáveisconsolidadodez[[#This Row],[ATUAL]])</f>
        <v>0</v>
      </c>
      <c r="AH101" s="91">
        <f>SUMIFS(tabela_registros[VALOR],tabela_registros[MÊS],$AE$1,tabela_registros[DIA],receitasvariáveisconsolidadodez[[#Headers],[30]],tabela_registros[REGISTRO],DADOS!$N$3,tabela_registros[TIPO],DADOS!$V$4,tabela_registros[CATEGORIA],receitasvariáveisconsolidadodez[[#This Row],[ATUAL]])</f>
        <v>0</v>
      </c>
      <c r="AI101" s="101">
        <f>SUMIFS(tabela_registros[VALOR],tabela_registros[MÊS],$AE$1,tabela_registros[DIA],receitasvariáveisconsolidadodez[[#Headers],[31]],tabela_registros[REGISTRO],DADOS!$N$3,tabela_registros[TIPO],DADOS!$V$4,tabela_registros[CATEGORIA],receitasvariáveisconsolidadodez[[#This Row],[ATUAL]])</f>
        <v>0</v>
      </c>
      <c r="AJ101" s="104">
        <f>SUM(receitasvariáveisconsolidadodez[[#This Row],[1]:[31]])</f>
        <v>0</v>
      </c>
      <c r="AK101" s="25"/>
    </row>
    <row r="102" spans="2:37" ht="19.5" customHeight="1" thickTop="1" thickBot="1" x14ac:dyDescent="0.3">
      <c r="B102" s="28"/>
      <c r="C102" s="27" t="str">
        <f>DADOS!$Z$9</f>
        <v>👷‍♀️ TRABALHO TEMPORÁRIO</v>
      </c>
      <c r="D102" s="26" t="str">
        <f>IF(receitasvariáveisconsolidadodez[[#This Row],[TOTAL (R$)]]=0,"",IF(OR(receitasvariáveisconsolidadodez[[#This Row],[TOTAL (R$)]]=LARGE($AJ$96:$AJ$103,1),receitasvariáveisconsolidadodez[[#This Row],[TOTAL (R$)]]=LARGE($AJ$96:$AJ$103,2)),DADOS!$I$9,""))</f>
        <v/>
      </c>
      <c r="E102" s="96">
        <f>SUMIFS(tabela_registros[VALOR],tabela_registros[MÊS],$AE$1,tabela_registros[DIA],receitasvariáveisconsolidadodez[[#Headers],[1]],tabela_registros[REGISTRO],DADOS!$N$3,tabela_registros[TIPO],DADOS!$V$4,tabela_registros[CATEGORIA],receitasvariáveisconsolidadodez[[#This Row],[ATUAL]])</f>
        <v>0</v>
      </c>
      <c r="F102" s="91">
        <f>SUMIFS(tabela_registros[VALOR],tabela_registros[MÊS],$AE$1,tabela_registros[DIA],receitasvariáveisconsolidadodez[[#Headers],[2]],tabela_registros[REGISTRO],DADOS!$N$3,tabela_registros[TIPO],DADOS!$V$4,tabela_registros[CATEGORIA],receitasvariáveisconsolidadodez[[#This Row],[ATUAL]])</f>
        <v>0</v>
      </c>
      <c r="G102" s="91">
        <f>SUMIFS(tabela_registros[VALOR],tabela_registros[MÊS],$AE$1,tabela_registros[DIA],receitasvariáveisconsolidadodez[[#Headers],[3]],tabela_registros[REGISTRO],DADOS!$N$3,tabela_registros[TIPO],DADOS!$V$4,tabela_registros[CATEGORIA],receitasvariáveisconsolidadodez[[#This Row],[ATUAL]])</f>
        <v>0</v>
      </c>
      <c r="H102" s="91">
        <f>SUMIFS(tabela_registros[VALOR],tabela_registros[MÊS],$AE$1,tabela_registros[DIA],receitasvariáveisconsolidadodez[[#Headers],[4]],tabela_registros[REGISTRO],DADOS!$N$3,tabela_registros[TIPO],DADOS!$V$4,tabela_registros[CATEGORIA],receitasvariáveisconsolidadodez[[#This Row],[ATUAL]])</f>
        <v>0</v>
      </c>
      <c r="I102" s="91">
        <f>SUMIFS(tabela_registros[VALOR],tabela_registros[MÊS],$AE$1,tabela_registros[DIA],receitasvariáveisconsolidadodez[[#Headers],[5]],tabela_registros[REGISTRO],DADOS!$N$3,tabela_registros[TIPO],DADOS!$V$4,tabela_registros[CATEGORIA],receitasvariáveisconsolidadodez[[#This Row],[ATUAL]])</f>
        <v>0</v>
      </c>
      <c r="J102" s="91">
        <f>SUMIFS(tabela_registros[VALOR],tabela_registros[MÊS],$AE$1,tabela_registros[DIA],receitasvariáveisconsolidadodez[[#Headers],[6]],tabela_registros[REGISTRO],DADOS!$N$3,tabela_registros[TIPO],DADOS!$V$4,tabela_registros[CATEGORIA],receitasvariáveisconsolidadodez[[#This Row],[ATUAL]])</f>
        <v>0</v>
      </c>
      <c r="K102" s="91">
        <f>SUMIFS(tabela_registros[VALOR],tabela_registros[MÊS],$AE$1,tabela_registros[DIA],receitasvariáveisconsolidadodez[[#Headers],[7]],tabela_registros[REGISTRO],DADOS!$N$3,tabela_registros[TIPO],DADOS!$V$4,tabela_registros[CATEGORIA],receitasvariáveisconsolidadodez[[#This Row],[ATUAL]])</f>
        <v>0</v>
      </c>
      <c r="L102" s="91">
        <f>SUMIFS(tabela_registros[VALOR],tabela_registros[MÊS],$AE$1,tabela_registros[DIA],receitasvariáveisconsolidadodez[[#Headers],[8]],tabela_registros[REGISTRO],DADOS!$N$3,tabela_registros[TIPO],DADOS!$V$4,tabela_registros[CATEGORIA],receitasvariáveisconsolidadodez[[#This Row],[ATUAL]])</f>
        <v>0</v>
      </c>
      <c r="M102" s="91">
        <f>SUMIFS(tabela_registros[VALOR],tabela_registros[MÊS],$AE$1,tabela_registros[DIA],receitasvariáveisconsolidadodez[[#Headers],[9]],tabela_registros[REGISTRO],DADOS!$N$3,tabela_registros[TIPO],DADOS!$V$4,tabela_registros[CATEGORIA],receitasvariáveisconsolidadodez[[#This Row],[ATUAL]])</f>
        <v>0</v>
      </c>
      <c r="N102" s="91">
        <f>SUMIFS(tabela_registros[VALOR],tabela_registros[MÊS],$AE$1,tabela_registros[DIA],receitasvariáveisconsolidadodez[[#Headers],[10]],tabela_registros[REGISTRO],DADOS!$N$3,tabela_registros[TIPO],DADOS!$V$4,tabela_registros[CATEGORIA],receitasvariáveisconsolidadodez[[#This Row],[ATUAL]])</f>
        <v>0</v>
      </c>
      <c r="O102" s="91">
        <f>SUMIFS(tabela_registros[VALOR],tabela_registros[MÊS],$AE$1,tabela_registros[DIA],receitasvariáveisconsolidadodez[[#Headers],[11]],tabela_registros[REGISTRO],DADOS!$N$3,tabela_registros[TIPO],DADOS!$V$4,tabela_registros[CATEGORIA],receitasvariáveisconsolidadodez[[#This Row],[ATUAL]])</f>
        <v>0</v>
      </c>
      <c r="P102" s="91">
        <f>SUMIFS(tabela_registros[VALOR],tabela_registros[MÊS],$AE$1,tabela_registros[DIA],receitasvariáveisconsolidadodez[[#Headers],[12]],tabela_registros[REGISTRO],DADOS!$N$3,tabela_registros[TIPO],DADOS!$V$4,tabela_registros[CATEGORIA],receitasvariáveisconsolidadodez[[#This Row],[ATUAL]])</f>
        <v>0</v>
      </c>
      <c r="Q102" s="91">
        <f>SUMIFS(tabela_registros[VALOR],tabela_registros[MÊS],$AE$1,tabela_registros[DIA],receitasvariáveisconsolidadodez[[#Headers],[13]],tabela_registros[REGISTRO],DADOS!$N$3,tabela_registros[TIPO],DADOS!$V$4,tabela_registros[CATEGORIA],receitasvariáveisconsolidadodez[[#This Row],[ATUAL]])</f>
        <v>0</v>
      </c>
      <c r="R102" s="91">
        <f>SUMIFS(tabela_registros[VALOR],tabela_registros[MÊS],$AE$1,tabela_registros[DIA],receitasvariáveisconsolidadodez[[#Headers],[14]],tabela_registros[REGISTRO],DADOS!$N$3,tabela_registros[TIPO],DADOS!$V$4,tabela_registros[CATEGORIA],receitasvariáveisconsolidadodez[[#This Row],[ATUAL]])</f>
        <v>0</v>
      </c>
      <c r="S102" s="91">
        <f>SUMIFS(tabela_registros[VALOR],tabela_registros[MÊS],$AE$1,tabela_registros[DIA],receitasvariáveisconsolidadodez[[#Headers],[15]],tabela_registros[REGISTRO],DADOS!$N$3,tabela_registros[TIPO],DADOS!$V$4,tabela_registros[CATEGORIA],receitasvariáveisconsolidadodez[[#This Row],[ATUAL]])</f>
        <v>0</v>
      </c>
      <c r="T102" s="91">
        <f>SUMIFS(tabela_registros[VALOR],tabela_registros[MÊS],$AE$1,tabela_registros[DIA],receitasvariáveisconsolidadodez[[#Headers],[16]],tabela_registros[REGISTRO],DADOS!$N$3,tabela_registros[TIPO],DADOS!$V$4,tabela_registros[CATEGORIA],receitasvariáveisconsolidadodez[[#This Row],[ATUAL]])</f>
        <v>0</v>
      </c>
      <c r="U102" s="91">
        <f>SUMIFS(tabela_registros[VALOR],tabela_registros[MÊS],$AE$1,tabela_registros[DIA],receitasvariáveisconsolidadodez[[#Headers],[17]],tabela_registros[REGISTRO],DADOS!$N$3,tabela_registros[TIPO],DADOS!$V$4,tabela_registros[CATEGORIA],receitasvariáveisconsolidadodez[[#This Row],[ATUAL]])</f>
        <v>0</v>
      </c>
      <c r="V102" s="91">
        <f>SUMIFS(tabela_registros[VALOR],tabela_registros[MÊS],$AE$1,tabela_registros[DIA],receitasvariáveisconsolidadodez[[#Headers],[18]],tabela_registros[REGISTRO],DADOS!$N$3,tabela_registros[TIPO],DADOS!$V$4,tabela_registros[CATEGORIA],receitasvariáveisconsolidadodez[[#This Row],[ATUAL]])</f>
        <v>0</v>
      </c>
      <c r="W102" s="91">
        <f>SUMIFS(tabela_registros[VALOR],tabela_registros[MÊS],$AE$1,tabela_registros[DIA],receitasvariáveisconsolidadodez[[#Headers],[19]],tabela_registros[REGISTRO],DADOS!$N$3,tabela_registros[TIPO],DADOS!$V$4,tabela_registros[CATEGORIA],receitasvariáveisconsolidadodez[[#This Row],[ATUAL]])</f>
        <v>0</v>
      </c>
      <c r="X102" s="91">
        <f>SUMIFS(tabela_registros[VALOR],tabela_registros[MÊS],$AE$1,tabela_registros[DIA],receitasvariáveisconsolidadodez[[#Headers],[20]],tabela_registros[REGISTRO],DADOS!$N$3,tabela_registros[TIPO],DADOS!$V$4,tabela_registros[CATEGORIA],receitasvariáveisconsolidadodez[[#This Row],[ATUAL]])</f>
        <v>0</v>
      </c>
      <c r="Y102" s="91">
        <f>SUMIFS(tabela_registros[VALOR],tabela_registros[MÊS],$AE$1,tabela_registros[DIA],receitasvariáveisconsolidadodez[[#Headers],[21]],tabela_registros[REGISTRO],DADOS!$N$3,tabela_registros[TIPO],DADOS!$V$4,tabela_registros[CATEGORIA],receitasvariáveisconsolidadodez[[#This Row],[ATUAL]])</f>
        <v>0</v>
      </c>
      <c r="Z102" s="91">
        <f>SUMIFS(tabela_registros[VALOR],tabela_registros[MÊS],$AE$1,tabela_registros[DIA],receitasvariáveisconsolidadodez[[#Headers],[22]],tabela_registros[REGISTRO],DADOS!$N$3,tabela_registros[TIPO],DADOS!$V$4,tabela_registros[CATEGORIA],receitasvariáveisconsolidadodez[[#This Row],[ATUAL]])</f>
        <v>0</v>
      </c>
      <c r="AA102" s="91">
        <f>SUMIFS(tabela_registros[VALOR],tabela_registros[MÊS],$AE$1,tabela_registros[DIA],receitasvariáveisconsolidadodez[[#Headers],[23]],tabela_registros[REGISTRO],DADOS!$N$3,tabela_registros[TIPO],DADOS!$V$4,tabela_registros[CATEGORIA],receitasvariáveisconsolidadodez[[#This Row],[ATUAL]])</f>
        <v>0</v>
      </c>
      <c r="AB102" s="91">
        <f>SUMIFS(tabela_registros[VALOR],tabela_registros[MÊS],$AE$1,tabela_registros[DIA],receitasvariáveisconsolidadodez[[#Headers],[24]],tabela_registros[REGISTRO],DADOS!$N$3,tabela_registros[TIPO],DADOS!$V$4,tabela_registros[CATEGORIA],receitasvariáveisconsolidadodez[[#This Row],[ATUAL]])</f>
        <v>0</v>
      </c>
      <c r="AC102" s="91">
        <f>SUMIFS(tabela_registros[VALOR],tabela_registros[MÊS],$AE$1,tabela_registros[DIA],receitasvariáveisconsolidadodez[[#Headers],[25]],tabela_registros[REGISTRO],DADOS!$N$3,tabela_registros[TIPO],DADOS!$V$4,tabela_registros[CATEGORIA],receitasvariáveisconsolidadodez[[#This Row],[ATUAL]])</f>
        <v>0</v>
      </c>
      <c r="AD102" s="91">
        <f>SUMIFS(tabela_registros[VALOR],tabela_registros[MÊS],$AE$1,tabela_registros[DIA],receitasvariáveisconsolidadodez[[#Headers],[26]],tabela_registros[REGISTRO],DADOS!$N$3,tabela_registros[TIPO],DADOS!$V$4,tabela_registros[CATEGORIA],receitasvariáveisconsolidadodez[[#This Row],[ATUAL]])</f>
        <v>0</v>
      </c>
      <c r="AE102" s="91">
        <f>SUMIFS(tabela_registros[VALOR],tabela_registros[MÊS],$AE$1,tabela_registros[DIA],receitasvariáveisconsolidadodez[[#Headers],[27]],tabela_registros[REGISTRO],DADOS!$N$3,tabela_registros[TIPO],DADOS!$V$4,tabela_registros[CATEGORIA],receitasvariáveisconsolidadodez[[#This Row],[ATUAL]])</f>
        <v>0</v>
      </c>
      <c r="AF102" s="91">
        <f>SUMIFS(tabela_registros[VALOR],tabela_registros[MÊS],$AE$1,tabela_registros[DIA],receitasvariáveisconsolidadodez[[#Headers],[28]],tabela_registros[REGISTRO],DADOS!$N$3,tabela_registros[TIPO],DADOS!$V$4,tabela_registros[CATEGORIA],receitasvariáveisconsolidadodez[[#This Row],[ATUAL]])</f>
        <v>0</v>
      </c>
      <c r="AG102" s="91">
        <f>SUMIFS(tabela_registros[VALOR],tabela_registros[MÊS],$AE$1,tabela_registros[DIA],receitasvariáveisconsolidadodez[[#Headers],[29]],tabela_registros[REGISTRO],DADOS!$N$3,tabela_registros[TIPO],DADOS!$V$4,tabela_registros[CATEGORIA],receitasvariáveisconsolidadodez[[#This Row],[ATUAL]])</f>
        <v>0</v>
      </c>
      <c r="AH102" s="91">
        <f>SUMIFS(tabela_registros[VALOR],tabela_registros[MÊS],$AE$1,tabela_registros[DIA],receitasvariáveisconsolidadodez[[#Headers],[30]],tabela_registros[REGISTRO],DADOS!$N$3,tabela_registros[TIPO],DADOS!$V$4,tabela_registros[CATEGORIA],receitasvariáveisconsolidadodez[[#This Row],[ATUAL]])</f>
        <v>0</v>
      </c>
      <c r="AI102" s="101">
        <f>SUMIFS(tabela_registros[VALOR],tabela_registros[MÊS],$AE$1,tabela_registros[DIA],receitasvariáveisconsolidadodez[[#Headers],[31]],tabela_registros[REGISTRO],DADOS!$N$3,tabela_registros[TIPO],DADOS!$V$4,tabela_registros[CATEGORIA],receitasvariáveisconsolidadodez[[#This Row],[ATUAL]])</f>
        <v>0</v>
      </c>
      <c r="AJ102" s="104">
        <f>SUM(receitasvariáveisconsolidadodez[[#This Row],[1]:[31]])</f>
        <v>0</v>
      </c>
      <c r="AK102" s="25"/>
    </row>
    <row r="103" spans="2:37" ht="18" customHeight="1" thickTop="1" thickBot="1" x14ac:dyDescent="0.3">
      <c r="B103" s="28"/>
      <c r="C103" s="27" t="str">
        <f>DADOS!$Z$10</f>
        <v>📎 OUTROS</v>
      </c>
      <c r="D103" s="26" t="str">
        <f>IF(receitasvariáveisconsolidadodez[[#This Row],[TOTAL (R$)]]=0,"",IF(OR(receitasvariáveisconsolidadodez[[#This Row],[TOTAL (R$)]]=LARGE($AJ$96:$AJ$103,1),receitasvariáveisconsolidadodez[[#This Row],[TOTAL (R$)]]=LARGE($AJ$96:$AJ$103,2)),DADOS!$I$9,""))</f>
        <v/>
      </c>
      <c r="E103" s="96">
        <f>SUMIFS(tabela_registros[VALOR],tabela_registros[MÊS],$AE$1,tabela_registros[DIA],receitasvariáveisconsolidadodez[[#Headers],[1]],tabela_registros[REGISTRO],DADOS!$N$3,tabela_registros[TIPO],DADOS!$V$4,tabela_registros[CATEGORIA],receitasvariáveisconsolidadodez[[#This Row],[ATUAL]])</f>
        <v>0</v>
      </c>
      <c r="F103" s="91">
        <f>SUMIFS(tabela_registros[VALOR],tabela_registros[MÊS],$AE$1,tabela_registros[DIA],receitasvariáveisconsolidadodez[[#Headers],[2]],tabela_registros[REGISTRO],DADOS!$N$3,tabela_registros[TIPO],DADOS!$V$4,tabela_registros[CATEGORIA],receitasvariáveisconsolidadodez[[#This Row],[ATUAL]])</f>
        <v>0</v>
      </c>
      <c r="G103" s="91">
        <f>SUMIFS(tabela_registros[VALOR],tabela_registros[MÊS],$AE$1,tabela_registros[DIA],receitasvariáveisconsolidadodez[[#Headers],[3]],tabela_registros[REGISTRO],DADOS!$N$3,tabela_registros[TIPO],DADOS!$V$4,tabela_registros[CATEGORIA],receitasvariáveisconsolidadodez[[#This Row],[ATUAL]])</f>
        <v>0</v>
      </c>
      <c r="H103" s="91">
        <f>SUMIFS(tabela_registros[VALOR],tabela_registros[MÊS],$AE$1,tabela_registros[DIA],receitasvariáveisconsolidadodez[[#Headers],[4]],tabela_registros[REGISTRO],DADOS!$N$3,tabela_registros[TIPO],DADOS!$V$4,tabela_registros[CATEGORIA],receitasvariáveisconsolidadodez[[#This Row],[ATUAL]])</f>
        <v>0</v>
      </c>
      <c r="I103" s="91">
        <f>SUMIFS(tabela_registros[VALOR],tabela_registros[MÊS],$AE$1,tabela_registros[DIA],receitasvariáveisconsolidadodez[[#Headers],[5]],tabela_registros[REGISTRO],DADOS!$N$3,tabela_registros[TIPO],DADOS!$V$4,tabela_registros[CATEGORIA],receitasvariáveisconsolidadodez[[#This Row],[ATUAL]])</f>
        <v>0</v>
      </c>
      <c r="J103" s="91">
        <f>SUMIFS(tabela_registros[VALOR],tabela_registros[MÊS],$AE$1,tabela_registros[DIA],receitasvariáveisconsolidadodez[[#Headers],[6]],tabela_registros[REGISTRO],DADOS!$N$3,tabela_registros[TIPO],DADOS!$V$4,tabela_registros[CATEGORIA],receitasvariáveisconsolidadodez[[#This Row],[ATUAL]])</f>
        <v>0</v>
      </c>
      <c r="K103" s="91">
        <f>SUMIFS(tabela_registros[VALOR],tabela_registros[MÊS],$AE$1,tabela_registros[DIA],receitasvariáveisconsolidadodez[[#Headers],[7]],tabela_registros[REGISTRO],DADOS!$N$3,tabela_registros[TIPO],DADOS!$V$4,tabela_registros[CATEGORIA],receitasvariáveisconsolidadodez[[#This Row],[ATUAL]])</f>
        <v>0</v>
      </c>
      <c r="L103" s="91">
        <f>SUMIFS(tabela_registros[VALOR],tabela_registros[MÊS],$AE$1,tabela_registros[DIA],receitasvariáveisconsolidadodez[[#Headers],[8]],tabela_registros[REGISTRO],DADOS!$N$3,tabela_registros[TIPO],DADOS!$V$4,tabela_registros[CATEGORIA],receitasvariáveisconsolidadodez[[#This Row],[ATUAL]])</f>
        <v>0</v>
      </c>
      <c r="M103" s="91">
        <f>SUMIFS(tabela_registros[VALOR],tabela_registros[MÊS],$AE$1,tabela_registros[DIA],receitasvariáveisconsolidadodez[[#Headers],[9]],tabela_registros[REGISTRO],DADOS!$N$3,tabela_registros[TIPO],DADOS!$V$4,tabela_registros[CATEGORIA],receitasvariáveisconsolidadodez[[#This Row],[ATUAL]])</f>
        <v>0</v>
      </c>
      <c r="N103" s="91">
        <f>SUMIFS(tabela_registros[VALOR],tabela_registros[MÊS],$AE$1,tabela_registros[DIA],receitasvariáveisconsolidadodez[[#Headers],[10]],tabela_registros[REGISTRO],DADOS!$N$3,tabela_registros[TIPO],DADOS!$V$4,tabela_registros[CATEGORIA],receitasvariáveisconsolidadodez[[#This Row],[ATUAL]])</f>
        <v>0</v>
      </c>
      <c r="O103" s="91">
        <f>SUMIFS(tabela_registros[VALOR],tabela_registros[MÊS],$AE$1,tabela_registros[DIA],receitasvariáveisconsolidadodez[[#Headers],[11]],tabela_registros[REGISTRO],DADOS!$N$3,tabela_registros[TIPO],DADOS!$V$4,tabela_registros[CATEGORIA],receitasvariáveisconsolidadodez[[#This Row],[ATUAL]])</f>
        <v>0</v>
      </c>
      <c r="P103" s="91">
        <f>SUMIFS(tabela_registros[VALOR],tabela_registros[MÊS],$AE$1,tabela_registros[DIA],receitasvariáveisconsolidadodez[[#Headers],[12]],tabela_registros[REGISTRO],DADOS!$N$3,tabela_registros[TIPO],DADOS!$V$4,tabela_registros[CATEGORIA],receitasvariáveisconsolidadodez[[#This Row],[ATUAL]])</f>
        <v>0</v>
      </c>
      <c r="Q103" s="91">
        <f>SUMIFS(tabela_registros[VALOR],tabela_registros[MÊS],$AE$1,tabela_registros[DIA],receitasvariáveisconsolidadodez[[#Headers],[13]],tabela_registros[REGISTRO],DADOS!$N$3,tabela_registros[TIPO],DADOS!$V$4,tabela_registros[CATEGORIA],receitasvariáveisconsolidadodez[[#This Row],[ATUAL]])</f>
        <v>0</v>
      </c>
      <c r="R103" s="91">
        <f>SUMIFS(tabela_registros[VALOR],tabela_registros[MÊS],$AE$1,tabela_registros[DIA],receitasvariáveisconsolidadodez[[#Headers],[14]],tabela_registros[REGISTRO],DADOS!$N$3,tabela_registros[TIPO],DADOS!$V$4,tabela_registros[CATEGORIA],receitasvariáveisconsolidadodez[[#This Row],[ATUAL]])</f>
        <v>0</v>
      </c>
      <c r="S103" s="91">
        <f>SUMIFS(tabela_registros[VALOR],tabela_registros[MÊS],$AE$1,tabela_registros[DIA],receitasvariáveisconsolidadodez[[#Headers],[15]],tabela_registros[REGISTRO],DADOS!$N$3,tabela_registros[TIPO],DADOS!$V$4,tabela_registros[CATEGORIA],receitasvariáveisconsolidadodez[[#This Row],[ATUAL]])</f>
        <v>0</v>
      </c>
      <c r="T103" s="91">
        <f>SUMIFS(tabela_registros[VALOR],tabela_registros[MÊS],$AE$1,tabela_registros[DIA],receitasvariáveisconsolidadodez[[#Headers],[16]],tabela_registros[REGISTRO],DADOS!$N$3,tabela_registros[TIPO],DADOS!$V$4,tabela_registros[CATEGORIA],receitasvariáveisconsolidadodez[[#This Row],[ATUAL]])</f>
        <v>0</v>
      </c>
      <c r="U103" s="91">
        <f>SUMIFS(tabela_registros[VALOR],tabela_registros[MÊS],$AE$1,tabela_registros[DIA],receitasvariáveisconsolidadodez[[#Headers],[17]],tabela_registros[REGISTRO],DADOS!$N$3,tabela_registros[TIPO],DADOS!$V$4,tabela_registros[CATEGORIA],receitasvariáveisconsolidadodez[[#This Row],[ATUAL]])</f>
        <v>0</v>
      </c>
      <c r="V103" s="91">
        <f>SUMIFS(tabela_registros[VALOR],tabela_registros[MÊS],$AE$1,tabela_registros[DIA],receitasvariáveisconsolidadodez[[#Headers],[18]],tabela_registros[REGISTRO],DADOS!$N$3,tabela_registros[TIPO],DADOS!$V$4,tabela_registros[CATEGORIA],receitasvariáveisconsolidadodez[[#This Row],[ATUAL]])</f>
        <v>0</v>
      </c>
      <c r="W103" s="91">
        <f>SUMIFS(tabela_registros[VALOR],tabela_registros[MÊS],$AE$1,tabela_registros[DIA],receitasvariáveisconsolidadodez[[#Headers],[19]],tabela_registros[REGISTRO],DADOS!$N$3,tabela_registros[TIPO],DADOS!$V$4,tabela_registros[CATEGORIA],receitasvariáveisconsolidadodez[[#This Row],[ATUAL]])</f>
        <v>0</v>
      </c>
      <c r="X103" s="91">
        <f>SUMIFS(tabela_registros[VALOR],tabela_registros[MÊS],$AE$1,tabela_registros[DIA],receitasvariáveisconsolidadodez[[#Headers],[20]],tabela_registros[REGISTRO],DADOS!$N$3,tabela_registros[TIPO],DADOS!$V$4,tabela_registros[CATEGORIA],receitasvariáveisconsolidadodez[[#This Row],[ATUAL]])</f>
        <v>0</v>
      </c>
      <c r="Y103" s="91">
        <f>SUMIFS(tabela_registros[VALOR],tabela_registros[MÊS],$AE$1,tabela_registros[DIA],receitasvariáveisconsolidadodez[[#Headers],[21]],tabela_registros[REGISTRO],DADOS!$N$3,tabela_registros[TIPO],DADOS!$V$4,tabela_registros[CATEGORIA],receitasvariáveisconsolidadodez[[#This Row],[ATUAL]])</f>
        <v>0</v>
      </c>
      <c r="Z103" s="91">
        <f>SUMIFS(tabela_registros[VALOR],tabela_registros[MÊS],$AE$1,tabela_registros[DIA],receitasvariáveisconsolidadodez[[#Headers],[22]],tabela_registros[REGISTRO],DADOS!$N$3,tabela_registros[TIPO],DADOS!$V$4,tabela_registros[CATEGORIA],receitasvariáveisconsolidadodez[[#This Row],[ATUAL]])</f>
        <v>0</v>
      </c>
      <c r="AA103" s="91">
        <f>SUMIFS(tabela_registros[VALOR],tabela_registros[MÊS],$AE$1,tabela_registros[DIA],receitasvariáveisconsolidadodez[[#Headers],[23]],tabela_registros[REGISTRO],DADOS!$N$3,tabela_registros[TIPO],DADOS!$V$4,tabela_registros[CATEGORIA],receitasvariáveisconsolidadodez[[#This Row],[ATUAL]])</f>
        <v>0</v>
      </c>
      <c r="AB103" s="91">
        <f>SUMIFS(tabela_registros[VALOR],tabela_registros[MÊS],$AE$1,tabela_registros[DIA],receitasvariáveisconsolidadodez[[#Headers],[24]],tabela_registros[REGISTRO],DADOS!$N$3,tabela_registros[TIPO],DADOS!$V$4,tabela_registros[CATEGORIA],receitasvariáveisconsolidadodez[[#This Row],[ATUAL]])</f>
        <v>0</v>
      </c>
      <c r="AC103" s="91">
        <f>SUMIFS(tabela_registros[VALOR],tabela_registros[MÊS],$AE$1,tabela_registros[DIA],receitasvariáveisconsolidadodez[[#Headers],[25]],tabela_registros[REGISTRO],DADOS!$N$3,tabela_registros[TIPO],DADOS!$V$4,tabela_registros[CATEGORIA],receitasvariáveisconsolidadodez[[#This Row],[ATUAL]])</f>
        <v>0</v>
      </c>
      <c r="AD103" s="91">
        <f>SUMIFS(tabela_registros[VALOR],tabela_registros[MÊS],$AE$1,tabela_registros[DIA],receitasvariáveisconsolidadodez[[#Headers],[26]],tabela_registros[REGISTRO],DADOS!$N$3,tabela_registros[TIPO],DADOS!$V$4,tabela_registros[CATEGORIA],receitasvariáveisconsolidadodez[[#This Row],[ATUAL]])</f>
        <v>0</v>
      </c>
      <c r="AE103" s="91">
        <f>SUMIFS(tabela_registros[VALOR],tabela_registros[MÊS],$AE$1,tabela_registros[DIA],receitasvariáveisconsolidadodez[[#Headers],[27]],tabela_registros[REGISTRO],DADOS!$N$3,tabela_registros[TIPO],DADOS!$V$4,tabela_registros[CATEGORIA],receitasvariáveisconsolidadodez[[#This Row],[ATUAL]])</f>
        <v>0</v>
      </c>
      <c r="AF103" s="91">
        <f>SUMIFS(tabela_registros[VALOR],tabela_registros[MÊS],$AE$1,tabela_registros[DIA],receitasvariáveisconsolidadodez[[#Headers],[28]],tabela_registros[REGISTRO],DADOS!$N$3,tabela_registros[TIPO],DADOS!$V$4,tabela_registros[CATEGORIA],receitasvariáveisconsolidadodez[[#This Row],[ATUAL]])</f>
        <v>0</v>
      </c>
      <c r="AG103" s="91">
        <f>SUMIFS(tabela_registros[VALOR],tabela_registros[MÊS],$AE$1,tabela_registros[DIA],receitasvariáveisconsolidadodez[[#Headers],[29]],tabela_registros[REGISTRO],DADOS!$N$3,tabela_registros[TIPO],DADOS!$V$4,tabela_registros[CATEGORIA],receitasvariáveisconsolidadodez[[#This Row],[ATUAL]])</f>
        <v>0</v>
      </c>
      <c r="AH103" s="91">
        <f>SUMIFS(tabela_registros[VALOR],tabela_registros[MÊS],$AE$1,tabela_registros[DIA],receitasvariáveisconsolidadodez[[#Headers],[30]],tabela_registros[REGISTRO],DADOS!$N$3,tabela_registros[TIPO],DADOS!$V$4,tabela_registros[CATEGORIA],receitasvariáveisconsolidadodez[[#This Row],[ATUAL]])</f>
        <v>0</v>
      </c>
      <c r="AI103" s="102">
        <f>SUMIFS(tabela_registros[VALOR],tabela_registros[MÊS],$AE$1,tabela_registros[DIA],receitasvariáveisconsolidadodez[[#Headers],[31]],tabela_registros[REGISTRO],DADOS!$N$3,tabela_registros[TIPO],DADOS!$V$4,tabela_registros[CATEGORIA],receitasvariáveisconsolidadodez[[#This Row],[ATUAL]])</f>
        <v>0</v>
      </c>
      <c r="AJ103" s="97">
        <f>SUM(receitasvariáveisconsolidadodez[[#This Row],[1]:[31]])</f>
        <v>0</v>
      </c>
      <c r="AK103" s="25"/>
    </row>
    <row r="104" spans="2:37" s="16" customFormat="1" ht="21" customHeight="1" thickTop="1" thickBot="1" x14ac:dyDescent="0.35">
      <c r="B104" s="24"/>
      <c r="C104" s="23" t="s">
        <v>19</v>
      </c>
      <c r="D104" s="22"/>
      <c r="E104" s="21">
        <f>SUM(E96:E103)</f>
        <v>0</v>
      </c>
      <c r="F104" s="20">
        <f>SUM(F96:F103)+receitasvariáveisconsolidadodez[[#This Row],[1]]</f>
        <v>0</v>
      </c>
      <c r="G104" s="20">
        <f>SUM(G96:G103)+receitasvariáveisconsolidadodez[[#This Row],[2]]</f>
        <v>0</v>
      </c>
      <c r="H104" s="20">
        <f>SUM(H96:H103)+receitasvariáveisconsolidadodez[[#This Row],[3]]</f>
        <v>0</v>
      </c>
      <c r="I104" s="20">
        <f>SUM(I96:I103)+receitasvariáveisconsolidadodez[[#This Row],[4]]</f>
        <v>0</v>
      </c>
      <c r="J104" s="20">
        <f>SUM(J96:J103)+receitasvariáveisconsolidadodez[[#This Row],[5]]</f>
        <v>0</v>
      </c>
      <c r="K104" s="20">
        <f>SUM(K96:K103)+receitasvariáveisconsolidadodez[[#This Row],[6]]</f>
        <v>0</v>
      </c>
      <c r="L104" s="20">
        <f>SUM(L96:L103)+receitasvariáveisconsolidadodez[[#This Row],[7]]</f>
        <v>0</v>
      </c>
      <c r="M104" s="20">
        <f>SUM(M96:M103)+receitasvariáveisconsolidadodez[[#This Row],[8]]</f>
        <v>0</v>
      </c>
      <c r="N104" s="20">
        <f>SUM(N96:N103)+receitasvariáveisconsolidadodez[[#This Row],[9]]</f>
        <v>0</v>
      </c>
      <c r="O104" s="20">
        <f>SUM(O96:O103)+receitasvariáveisconsolidadodez[[#This Row],[10]]</f>
        <v>0</v>
      </c>
      <c r="P104" s="20">
        <f>SUM(P96:P103)+receitasvariáveisconsolidadodez[[#This Row],[11]]</f>
        <v>0</v>
      </c>
      <c r="Q104" s="20">
        <f>SUM(Q96:Q103)+receitasvariáveisconsolidadodez[[#This Row],[12]]</f>
        <v>0</v>
      </c>
      <c r="R104" s="20">
        <f>SUM(R96:R103)+receitasvariáveisconsolidadodez[[#This Row],[13]]</f>
        <v>0</v>
      </c>
      <c r="S104" s="20">
        <f>SUM(S96:S103)+receitasvariáveisconsolidadodez[[#This Row],[14]]</f>
        <v>0</v>
      </c>
      <c r="T104" s="20">
        <f>SUM(T96:T103)+receitasvariáveisconsolidadodez[[#This Row],[15]]</f>
        <v>0</v>
      </c>
      <c r="U104" s="20">
        <f>SUM(U96:U103)+receitasvariáveisconsolidadodez[[#This Row],[16]]</f>
        <v>0</v>
      </c>
      <c r="V104" s="20">
        <f>SUM(V96:V103)+receitasvariáveisconsolidadodez[[#This Row],[17]]</f>
        <v>0</v>
      </c>
      <c r="W104" s="20">
        <f>SUM(W96:W103)+receitasvariáveisconsolidadodez[[#This Row],[18]]</f>
        <v>0</v>
      </c>
      <c r="X104" s="20">
        <f>SUM(X96:X103)+receitasvariáveisconsolidadodez[[#This Row],[19]]</f>
        <v>0</v>
      </c>
      <c r="Y104" s="20">
        <f>SUM(Y96:Y103)+receitasvariáveisconsolidadodez[[#This Row],[20]]</f>
        <v>0</v>
      </c>
      <c r="Z104" s="20">
        <f>SUM(Z96:Z103)+receitasvariáveisconsolidadodez[[#This Row],[21]]</f>
        <v>0</v>
      </c>
      <c r="AA104" s="20">
        <f>SUM(AA96:AA103)+receitasvariáveisconsolidadodez[[#This Row],[22]]</f>
        <v>0</v>
      </c>
      <c r="AB104" s="20">
        <f>SUM(AB96:AB103)+receitasvariáveisconsolidadodez[[#This Row],[23]]</f>
        <v>0</v>
      </c>
      <c r="AC104" s="20">
        <f>SUM(AC96:AC103)+receitasvariáveisconsolidadodez[[#This Row],[24]]</f>
        <v>0</v>
      </c>
      <c r="AD104" s="20">
        <f>SUM(AD96:AD103)+receitasvariáveisconsolidadodez[[#This Row],[25]]</f>
        <v>0</v>
      </c>
      <c r="AE104" s="20">
        <f>SUM(AE96:AE103)+receitasvariáveisconsolidadodez[[#This Row],[26]]</f>
        <v>0</v>
      </c>
      <c r="AF104" s="20">
        <f>SUM(AF96:AF103)+receitasvariáveisconsolidadodez[[#This Row],[27]]</f>
        <v>0</v>
      </c>
      <c r="AG104" s="20">
        <f>SUM(AG96:AG103)+receitasvariáveisconsolidadodez[[#This Row],[28]]</f>
        <v>0</v>
      </c>
      <c r="AH104" s="20">
        <f>SUM(AH96:AH103)+receitasvariáveisconsolidadodez[[#This Row],[29]]</f>
        <v>0</v>
      </c>
      <c r="AI104" s="19">
        <f>SUM(AI96:AI103)+receitasvariáveisconsolidadodez[[#This Row],[30]]</f>
        <v>0</v>
      </c>
      <c r="AJ104" s="18">
        <f>receitasvariáveisconsolidadodez[[#This Row],[31]]</f>
        <v>0</v>
      </c>
      <c r="AK104" s="17"/>
    </row>
    <row r="105" spans="2:37" ht="6.75" customHeight="1" thickTop="1" thickBot="1" x14ac:dyDescent="0.3">
      <c r="B105" s="15"/>
      <c r="C105" s="14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2"/>
      <c r="AJ105" s="11"/>
      <c r="AK105" s="10"/>
    </row>
    <row r="106" spans="2:37" ht="12.6" thickTop="1" x14ac:dyDescent="0.25">
      <c r="E106" s="37"/>
      <c r="AI106" s="4"/>
    </row>
    <row r="107" spans="2:37" x14ac:dyDescent="0.25">
      <c r="AI107" s="4"/>
    </row>
    <row r="108" spans="2:37" x14ac:dyDescent="0.25">
      <c r="AI108" s="4"/>
    </row>
    <row r="109" spans="2:37" ht="39.75" customHeight="1" x14ac:dyDescent="0.7">
      <c r="C109" s="36"/>
      <c r="E109" s="240"/>
      <c r="F109" s="240"/>
      <c r="G109" s="240"/>
      <c r="H109" s="240"/>
      <c r="I109" s="240"/>
      <c r="J109" s="240"/>
      <c r="K109" s="240"/>
      <c r="L109" s="240"/>
      <c r="M109" s="240"/>
      <c r="N109" s="240"/>
      <c r="O109" s="240"/>
      <c r="P109" s="240"/>
      <c r="Q109" s="240"/>
      <c r="R109" s="240"/>
      <c r="S109" s="240"/>
      <c r="T109" s="240"/>
      <c r="U109" s="240"/>
      <c r="V109" s="240"/>
      <c r="W109" s="240"/>
      <c r="X109" s="240"/>
      <c r="Y109" s="240"/>
      <c r="Z109" s="240"/>
      <c r="AA109" s="240"/>
      <c r="AB109" s="240"/>
      <c r="AC109" s="240"/>
      <c r="AD109" s="240"/>
      <c r="AE109" s="240"/>
      <c r="AF109" s="240"/>
      <c r="AG109" s="240"/>
      <c r="AH109" s="240"/>
      <c r="AI109" s="240"/>
      <c r="AJ109" s="32" t="s">
        <v>19</v>
      </c>
    </row>
    <row r="110" spans="2:37" ht="12.6" thickBot="1" x14ac:dyDescent="0.3">
      <c r="B110" s="35"/>
      <c r="AI110" s="4"/>
      <c r="AJ110" s="34" t="s">
        <v>202</v>
      </c>
    </row>
    <row r="111" spans="2:37" ht="6.75" customHeight="1" thickTop="1" thickBot="1" x14ac:dyDescent="0.3">
      <c r="B111" s="2"/>
      <c r="C111" s="14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2"/>
      <c r="AK111" s="33"/>
    </row>
    <row r="112" spans="2:37" ht="13.2" hidden="1" thickTop="1" thickBot="1" x14ac:dyDescent="0.3">
      <c r="B112" s="2"/>
      <c r="C112" s="31" t="s">
        <v>199</v>
      </c>
      <c r="D112" s="30" t="s">
        <v>198</v>
      </c>
      <c r="E112" s="30" t="s">
        <v>197</v>
      </c>
      <c r="F112" s="30" t="s">
        <v>196</v>
      </c>
      <c r="G112" s="30" t="s">
        <v>195</v>
      </c>
      <c r="H112" s="30" t="s">
        <v>194</v>
      </c>
      <c r="I112" s="30" t="s">
        <v>193</v>
      </c>
      <c r="J112" s="30" t="s">
        <v>192</v>
      </c>
      <c r="K112" s="30" t="s">
        <v>191</v>
      </c>
      <c r="L112" s="30" t="s">
        <v>190</v>
      </c>
      <c r="M112" s="30" t="s">
        <v>189</v>
      </c>
      <c r="N112" s="30" t="s">
        <v>188</v>
      </c>
      <c r="O112" s="30" t="s">
        <v>187</v>
      </c>
      <c r="P112" s="30" t="s">
        <v>186</v>
      </c>
      <c r="Q112" s="30" t="s">
        <v>185</v>
      </c>
      <c r="R112" s="30" t="s">
        <v>184</v>
      </c>
      <c r="S112" s="30" t="s">
        <v>183</v>
      </c>
      <c r="T112" s="30" t="s">
        <v>182</v>
      </c>
      <c r="U112" s="30" t="s">
        <v>181</v>
      </c>
      <c r="V112" s="30" t="s">
        <v>180</v>
      </c>
      <c r="W112" s="30" t="s">
        <v>179</v>
      </c>
      <c r="X112" s="30" t="s">
        <v>178</v>
      </c>
      <c r="Y112" s="30" t="s">
        <v>177</v>
      </c>
      <c r="Z112" s="30" t="s">
        <v>176</v>
      </c>
      <c r="AA112" s="30" t="s">
        <v>175</v>
      </c>
      <c r="AB112" s="30" t="s">
        <v>174</v>
      </c>
      <c r="AC112" s="30" t="s">
        <v>173</v>
      </c>
      <c r="AD112" s="30" t="s">
        <v>172</v>
      </c>
      <c r="AE112" s="30" t="s">
        <v>171</v>
      </c>
      <c r="AF112" s="30" t="s">
        <v>170</v>
      </c>
      <c r="AG112" s="30" t="s">
        <v>169</v>
      </c>
      <c r="AH112" s="30" t="s">
        <v>168</v>
      </c>
      <c r="AI112" s="30" t="s">
        <v>167</v>
      </c>
      <c r="AJ112" s="29" t="s">
        <v>166</v>
      </c>
      <c r="AK112" s="2"/>
    </row>
    <row r="113" spans="2:37" ht="19.5" customHeight="1" thickTop="1" thickBot="1" x14ac:dyDescent="0.3">
      <c r="B113" s="28"/>
      <c r="C113" s="27" t="str">
        <f>DADOS!$AD$3</f>
        <v>📝 CDB</v>
      </c>
      <c r="D113" s="26" t="str">
        <f>IF(investirrendafixaconsolidadodez[[#This Row],[TOTAL (R$)]]=0,"",IF(OR(investirrendafixaconsolidadodez[[#This Row],[TOTAL (R$)]]=LARGE($AJ$113:$AJ$122,1),investirrendafixaconsolidadodez[[#This Row],[TOTAL (R$)]]=LARGE($AJ$113:$AJ$122,2)),DADOS!$I$10,""))</f>
        <v/>
      </c>
      <c r="E113" s="96">
        <f>SUMIFS(tabela_registros[VALOR],tabela_registros[MÊS],$AE$1,tabela_registros[DIA],investirrendafixaconsolidadodez[[#Headers],[1]],tabela_registros[REGISTRO],DADOS!$N$5,tabela_registros[TIPO],DADOS!$AB$3,tabela_registros[CATEGORIA],investirrendafixaconsolidadodez[[#This Row],[ATUAL]])</f>
        <v>0</v>
      </c>
      <c r="F113" s="91">
        <f>SUMIFS(tabela_registros[VALOR],tabela_registros[MÊS],$AE$1,tabela_registros[DIA],investirrendafixaconsolidadodez[[#Headers],[2]],tabela_registros[REGISTRO],DADOS!$N$5,tabela_registros[TIPO],DADOS!$AB$3,tabela_registros[CATEGORIA],investirrendafixaconsolidadodez[[#This Row],[ATUAL]])</f>
        <v>0</v>
      </c>
      <c r="G113" s="91">
        <f>SUMIFS(tabela_registros[VALOR],tabela_registros[MÊS],$AE$1,tabela_registros[DIA],investirrendafixaconsolidadodez[[#Headers],[3]],tabela_registros[REGISTRO],DADOS!$N$5,tabela_registros[TIPO],DADOS!$AB$3,tabela_registros[CATEGORIA],investirrendafixaconsolidadodez[[#This Row],[ATUAL]])</f>
        <v>0</v>
      </c>
      <c r="H113" s="91">
        <f>SUMIFS(tabela_registros[VALOR],tabela_registros[MÊS],$AE$1,tabela_registros[DIA],investirrendafixaconsolidadodez[[#Headers],[4]],tabela_registros[REGISTRO],DADOS!$N$5,tabela_registros[TIPO],DADOS!$AB$3,tabela_registros[CATEGORIA],investirrendafixaconsolidadodez[[#This Row],[ATUAL]])</f>
        <v>0</v>
      </c>
      <c r="I113" s="91">
        <f>SUMIFS(tabela_registros[VALOR],tabela_registros[MÊS],$AE$1,tabela_registros[DIA],investirrendafixaconsolidadodez[[#Headers],[5]],tabela_registros[REGISTRO],DADOS!$N$5,tabela_registros[TIPO],DADOS!$AB$3,tabela_registros[CATEGORIA],investirrendafixaconsolidadodez[[#This Row],[ATUAL]])</f>
        <v>0</v>
      </c>
      <c r="J113" s="91">
        <f>SUMIFS(tabela_registros[VALOR],tabela_registros[MÊS],$AE$1,tabela_registros[DIA],investirrendafixaconsolidadodez[[#Headers],[6]],tabela_registros[REGISTRO],DADOS!$N$5,tabela_registros[TIPO],DADOS!$AB$3,tabela_registros[CATEGORIA],investirrendafixaconsolidadodez[[#This Row],[ATUAL]])</f>
        <v>0</v>
      </c>
      <c r="K113" s="91">
        <f>SUMIFS(tabela_registros[VALOR],tabela_registros[MÊS],$AE$1,tabela_registros[DIA],investirrendafixaconsolidadodez[[#Headers],[7]],tabela_registros[REGISTRO],DADOS!$N$5,tabela_registros[TIPO],DADOS!$AB$3,tabela_registros[CATEGORIA],investirrendafixaconsolidadodez[[#This Row],[ATUAL]])</f>
        <v>0</v>
      </c>
      <c r="L113" s="91">
        <f>SUMIFS(tabela_registros[VALOR],tabela_registros[MÊS],$AE$1,tabela_registros[DIA],investirrendafixaconsolidadodez[[#Headers],[8]],tabela_registros[REGISTRO],DADOS!$N$5,tabela_registros[TIPO],DADOS!$AB$3,tabela_registros[CATEGORIA],investirrendafixaconsolidadodez[[#This Row],[ATUAL]])</f>
        <v>0</v>
      </c>
      <c r="M113" s="91">
        <f>SUMIFS(tabela_registros[VALOR],tabela_registros[MÊS],$AE$1,tabela_registros[DIA],investirrendafixaconsolidadodez[[#Headers],[9]],tabela_registros[REGISTRO],DADOS!$N$5,tabela_registros[TIPO],DADOS!$AB$3,tabela_registros[CATEGORIA],investirrendafixaconsolidadodez[[#This Row],[ATUAL]])</f>
        <v>0</v>
      </c>
      <c r="N113" s="91">
        <f>SUMIFS(tabela_registros[VALOR],tabela_registros[MÊS],$AE$1,tabela_registros[DIA],investirrendafixaconsolidadodez[[#Headers],[10]],tabela_registros[REGISTRO],DADOS!$N$5,tabela_registros[TIPO],DADOS!$AB$3,tabela_registros[CATEGORIA],investirrendafixaconsolidadodez[[#This Row],[ATUAL]])</f>
        <v>0</v>
      </c>
      <c r="O113" s="91">
        <f>SUMIFS(tabela_registros[VALOR],tabela_registros[MÊS],$AE$1,tabela_registros[DIA],investirrendafixaconsolidadodez[[#Headers],[11]],tabela_registros[REGISTRO],DADOS!$N$5,tabela_registros[TIPO],DADOS!$AB$3,tabela_registros[CATEGORIA],investirrendafixaconsolidadodez[[#This Row],[ATUAL]])</f>
        <v>0</v>
      </c>
      <c r="P113" s="91">
        <f>SUMIFS(tabela_registros[VALOR],tabela_registros[MÊS],$AE$1,tabela_registros[DIA],investirrendafixaconsolidadodez[[#Headers],[12]],tabela_registros[REGISTRO],DADOS!$N$5,tabela_registros[TIPO],DADOS!$AB$3,tabela_registros[CATEGORIA],investirrendafixaconsolidadodez[[#This Row],[ATUAL]])</f>
        <v>0</v>
      </c>
      <c r="Q113" s="91">
        <f>SUMIFS(tabela_registros[VALOR],tabela_registros[MÊS],$AE$1,tabela_registros[DIA],investirrendafixaconsolidadodez[[#Headers],[13]],tabela_registros[REGISTRO],DADOS!$N$5,tabela_registros[TIPO],DADOS!$AB$3,tabela_registros[CATEGORIA],investirrendafixaconsolidadodez[[#This Row],[ATUAL]])</f>
        <v>0</v>
      </c>
      <c r="R113" s="91">
        <f>SUMIFS(tabela_registros[VALOR],tabela_registros[MÊS],$AE$1,tabela_registros[DIA],investirrendafixaconsolidadodez[[#Headers],[14]],tabela_registros[REGISTRO],DADOS!$N$5,tabela_registros[TIPO],DADOS!$AB$3,tabela_registros[CATEGORIA],investirrendafixaconsolidadodez[[#This Row],[ATUAL]])</f>
        <v>0</v>
      </c>
      <c r="S113" s="91">
        <f>SUMIFS(tabela_registros[VALOR],tabela_registros[MÊS],$AE$1,tabela_registros[DIA],investirrendafixaconsolidadodez[[#Headers],[15]],tabela_registros[REGISTRO],DADOS!$N$5,tabela_registros[TIPO],DADOS!$AB$3,tabela_registros[CATEGORIA],investirrendafixaconsolidadodez[[#This Row],[ATUAL]])</f>
        <v>0</v>
      </c>
      <c r="T113" s="91">
        <f>SUMIFS(tabela_registros[VALOR],tabela_registros[MÊS],$AE$1,tabela_registros[DIA],investirrendafixaconsolidadodez[[#Headers],[16]],tabela_registros[REGISTRO],DADOS!$N$5,tabela_registros[TIPO],DADOS!$AB$3,tabela_registros[CATEGORIA],investirrendafixaconsolidadodez[[#This Row],[ATUAL]])</f>
        <v>0</v>
      </c>
      <c r="U113" s="91">
        <f>SUMIFS(tabela_registros[VALOR],tabela_registros[MÊS],$AE$1,tabela_registros[DIA],investirrendafixaconsolidadodez[[#Headers],[17]],tabela_registros[REGISTRO],DADOS!$N$5,tabela_registros[TIPO],DADOS!$AB$3,tabela_registros[CATEGORIA],investirrendafixaconsolidadodez[[#This Row],[ATUAL]])</f>
        <v>0</v>
      </c>
      <c r="V113" s="91">
        <f>SUMIFS(tabela_registros[VALOR],tabela_registros[MÊS],$AE$1,tabela_registros[DIA],investirrendafixaconsolidadodez[[#Headers],[18]],tabela_registros[REGISTRO],DADOS!$N$5,tabela_registros[TIPO],DADOS!$AB$3,tabela_registros[CATEGORIA],investirrendafixaconsolidadodez[[#This Row],[ATUAL]])</f>
        <v>0</v>
      </c>
      <c r="W113" s="91">
        <f>SUMIFS(tabela_registros[VALOR],tabela_registros[MÊS],$AE$1,tabela_registros[DIA],investirrendafixaconsolidadodez[[#Headers],[19]],tabela_registros[REGISTRO],DADOS!$N$5,tabela_registros[TIPO],DADOS!$AB$3,tabela_registros[CATEGORIA],investirrendafixaconsolidadodez[[#This Row],[ATUAL]])</f>
        <v>0</v>
      </c>
      <c r="X113" s="91">
        <f>SUMIFS(tabela_registros[VALOR],tabela_registros[MÊS],$AE$1,tabela_registros[DIA],investirrendafixaconsolidadodez[[#Headers],[20]],tabela_registros[REGISTRO],DADOS!$N$5,tabela_registros[TIPO],DADOS!$AB$3,tabela_registros[CATEGORIA],investirrendafixaconsolidadodez[[#This Row],[ATUAL]])</f>
        <v>0</v>
      </c>
      <c r="Y113" s="91">
        <f>SUMIFS(tabela_registros[VALOR],tabela_registros[MÊS],$AE$1,tabela_registros[DIA],investirrendafixaconsolidadodez[[#Headers],[21]],tabela_registros[REGISTRO],DADOS!$N$5,tabela_registros[TIPO],DADOS!$AB$3,tabela_registros[CATEGORIA],investirrendafixaconsolidadodez[[#This Row],[ATUAL]])</f>
        <v>0</v>
      </c>
      <c r="Z113" s="91">
        <f>SUMIFS(tabela_registros[VALOR],tabela_registros[MÊS],$AE$1,tabela_registros[DIA],investirrendafixaconsolidadodez[[#Headers],[22]],tabela_registros[REGISTRO],DADOS!$N$5,tabela_registros[TIPO],DADOS!$AB$3,tabela_registros[CATEGORIA],investirrendafixaconsolidadodez[[#This Row],[ATUAL]])</f>
        <v>0</v>
      </c>
      <c r="AA113" s="91">
        <f>SUMIFS(tabela_registros[VALOR],tabela_registros[MÊS],$AE$1,tabela_registros[DIA],investirrendafixaconsolidadodez[[#Headers],[23]],tabela_registros[REGISTRO],DADOS!$N$5,tabela_registros[TIPO],DADOS!$AB$3,tabela_registros[CATEGORIA],investirrendafixaconsolidadodez[[#This Row],[ATUAL]])</f>
        <v>0</v>
      </c>
      <c r="AB113" s="91">
        <f>SUMIFS(tabela_registros[VALOR],tabela_registros[MÊS],$AE$1,tabela_registros[DIA],investirrendafixaconsolidadodez[[#Headers],[24]],tabela_registros[REGISTRO],DADOS!$N$5,tabela_registros[TIPO],DADOS!$AB$3,tabela_registros[CATEGORIA],investirrendafixaconsolidadodez[[#This Row],[ATUAL]])</f>
        <v>0</v>
      </c>
      <c r="AC113" s="91">
        <f>SUMIFS(tabela_registros[VALOR],tabela_registros[MÊS],$AE$1,tabela_registros[DIA],investirrendafixaconsolidadodez[[#Headers],[25]],tabela_registros[REGISTRO],DADOS!$N$5,tabela_registros[TIPO],DADOS!$AB$3,tabela_registros[CATEGORIA],investirrendafixaconsolidadodez[[#This Row],[ATUAL]])</f>
        <v>0</v>
      </c>
      <c r="AD113" s="91">
        <f>SUMIFS(tabela_registros[VALOR],tabela_registros[MÊS],$AE$1,tabela_registros[DIA],investirrendafixaconsolidadodez[[#Headers],[26]],tabela_registros[REGISTRO],DADOS!$N$5,tabela_registros[TIPO],DADOS!$AB$3,tabela_registros[CATEGORIA],investirrendafixaconsolidadodez[[#This Row],[ATUAL]])</f>
        <v>0</v>
      </c>
      <c r="AE113" s="91">
        <f>SUMIFS(tabela_registros[VALOR],tabela_registros[MÊS],$AE$1,tabela_registros[DIA],investirrendafixaconsolidadodez[[#Headers],[27]],tabela_registros[REGISTRO],DADOS!$N$5,tabela_registros[TIPO],DADOS!$AB$3,tabela_registros[CATEGORIA],investirrendafixaconsolidadodez[[#This Row],[ATUAL]])</f>
        <v>0</v>
      </c>
      <c r="AF113" s="91">
        <f>SUMIFS(tabela_registros[VALOR],tabela_registros[MÊS],$AE$1,tabela_registros[DIA],investirrendafixaconsolidadodez[[#Headers],[28]],tabela_registros[REGISTRO],DADOS!$N$5,tabela_registros[TIPO],DADOS!$AB$3,tabela_registros[CATEGORIA],investirrendafixaconsolidadodez[[#This Row],[ATUAL]])</f>
        <v>0</v>
      </c>
      <c r="AG113" s="91">
        <f>SUMIFS(tabela_registros[VALOR],tabela_registros[MÊS],$AE$1,tabela_registros[DIA],investirrendafixaconsolidadodez[[#Headers],[29]],tabela_registros[REGISTRO],DADOS!$N$5,tabela_registros[TIPO],DADOS!$AB$3,tabela_registros[CATEGORIA],investirrendafixaconsolidadodez[[#This Row],[ATUAL]])</f>
        <v>0</v>
      </c>
      <c r="AH113" s="91">
        <f>SUMIFS(tabela_registros[VALOR],tabela_registros[MÊS],$AE$1,tabela_registros[DIA],investirrendafixaconsolidadodez[[#Headers],[30]],tabela_registros[REGISTRO],DADOS!$N$5,tabela_registros[TIPO],DADOS!$AB$3,tabela_registros[CATEGORIA],investirrendafixaconsolidadodez[[#This Row],[ATUAL]])</f>
        <v>0</v>
      </c>
      <c r="AI113" s="101">
        <f>SUMIFS(tabela_registros[VALOR],tabela_registros[MÊS],$AE$1,tabela_registros[DIA],investirrendafixaconsolidadodez[[#Headers],[31]],tabela_registros[REGISTRO],DADOS!$N$5,tabela_registros[TIPO],DADOS!$AB$3,tabela_registros[CATEGORIA],investirrendafixaconsolidadodez[[#This Row],[ATUAL]])</f>
        <v>0</v>
      </c>
      <c r="AJ113" s="97">
        <f>SUM(investirrendafixaconsolidadodez[[#This Row],[1]:[31]])</f>
        <v>0</v>
      </c>
      <c r="AK113" s="25"/>
    </row>
    <row r="114" spans="2:37" ht="19.5" customHeight="1" thickTop="1" thickBot="1" x14ac:dyDescent="0.3">
      <c r="B114" s="28"/>
      <c r="C114" s="27" t="str">
        <f>DADOS!$AD$4</f>
        <v>📝 CRA</v>
      </c>
      <c r="D114" s="26" t="str">
        <f>IF(investirrendafixaconsolidadodez[[#This Row],[TOTAL (R$)]]=0,"",IF(OR(investirrendafixaconsolidadodez[[#This Row],[TOTAL (R$)]]=LARGE($AJ$113:$AJ$122,1),investirrendafixaconsolidadodez[[#This Row],[TOTAL (R$)]]=LARGE($AJ$113:$AJ$122,2)),DADOS!$I$10,""))</f>
        <v/>
      </c>
      <c r="E114" s="96">
        <f>SUMIFS(tabela_registros[VALOR],tabela_registros[MÊS],$AE$1,tabela_registros[DIA],investirrendafixaconsolidadodez[[#Headers],[1]],tabela_registros[REGISTRO],DADOS!$N$5,tabela_registros[TIPO],DADOS!$AB$3,tabela_registros[CATEGORIA],investirrendafixaconsolidadodez[[#This Row],[ATUAL]])</f>
        <v>0</v>
      </c>
      <c r="F114" s="91">
        <f>SUMIFS(tabela_registros[VALOR],tabela_registros[MÊS],$AE$1,tabela_registros[DIA],investirrendafixaconsolidadodez[[#Headers],[2]],tabela_registros[REGISTRO],DADOS!$N$5,tabela_registros[TIPO],DADOS!$AB$3,tabela_registros[CATEGORIA],investirrendafixaconsolidadodez[[#This Row],[ATUAL]])</f>
        <v>0</v>
      </c>
      <c r="G114" s="91">
        <f>SUMIFS(tabela_registros[VALOR],tabela_registros[MÊS],$AE$1,tabela_registros[DIA],investirrendafixaconsolidadodez[[#Headers],[3]],tabela_registros[REGISTRO],DADOS!$N$5,tabela_registros[TIPO],DADOS!$AB$3,tabela_registros[CATEGORIA],investirrendafixaconsolidadodez[[#This Row],[ATUAL]])</f>
        <v>0</v>
      </c>
      <c r="H114" s="91">
        <f>SUMIFS(tabela_registros[VALOR],tabela_registros[MÊS],$AE$1,tabela_registros[DIA],investirrendafixaconsolidadodez[[#Headers],[4]],tabela_registros[REGISTRO],DADOS!$N$5,tabela_registros[TIPO],DADOS!$AB$3,tabela_registros[CATEGORIA],investirrendafixaconsolidadodez[[#This Row],[ATUAL]])</f>
        <v>0</v>
      </c>
      <c r="I114" s="91">
        <f>SUMIFS(tabela_registros[VALOR],tabela_registros[MÊS],$AE$1,tabela_registros[DIA],investirrendafixaconsolidadodez[[#Headers],[5]],tabela_registros[REGISTRO],DADOS!$N$5,tabela_registros[TIPO],DADOS!$AB$3,tabela_registros[CATEGORIA],investirrendafixaconsolidadodez[[#This Row],[ATUAL]])</f>
        <v>0</v>
      </c>
      <c r="J114" s="91">
        <f>SUMIFS(tabela_registros[VALOR],tabela_registros[MÊS],$AE$1,tabela_registros[DIA],investirrendafixaconsolidadodez[[#Headers],[6]],tabela_registros[REGISTRO],DADOS!$N$5,tabela_registros[TIPO],DADOS!$AB$3,tabela_registros[CATEGORIA],investirrendafixaconsolidadodez[[#This Row],[ATUAL]])</f>
        <v>0</v>
      </c>
      <c r="K114" s="91">
        <f>SUMIFS(tabela_registros[VALOR],tabela_registros[MÊS],$AE$1,tabela_registros[DIA],investirrendafixaconsolidadodez[[#Headers],[7]],tabela_registros[REGISTRO],DADOS!$N$5,tabela_registros[TIPO],DADOS!$AB$3,tabela_registros[CATEGORIA],investirrendafixaconsolidadodez[[#This Row],[ATUAL]])</f>
        <v>0</v>
      </c>
      <c r="L114" s="91">
        <f>SUMIFS(tabela_registros[VALOR],tabela_registros[MÊS],$AE$1,tabela_registros[DIA],investirrendafixaconsolidadodez[[#Headers],[8]],tabela_registros[REGISTRO],DADOS!$N$5,tabela_registros[TIPO],DADOS!$AB$3,tabela_registros[CATEGORIA],investirrendafixaconsolidadodez[[#This Row],[ATUAL]])</f>
        <v>0</v>
      </c>
      <c r="M114" s="91">
        <f>SUMIFS(tabela_registros[VALOR],tabela_registros[MÊS],$AE$1,tabela_registros[DIA],investirrendafixaconsolidadodez[[#Headers],[9]],tabela_registros[REGISTRO],DADOS!$N$5,tabela_registros[TIPO],DADOS!$AB$3,tabela_registros[CATEGORIA],investirrendafixaconsolidadodez[[#This Row],[ATUAL]])</f>
        <v>0</v>
      </c>
      <c r="N114" s="91">
        <f>SUMIFS(tabela_registros[VALOR],tabela_registros[MÊS],$AE$1,tabela_registros[DIA],investirrendafixaconsolidadodez[[#Headers],[10]],tabela_registros[REGISTRO],DADOS!$N$5,tabela_registros[TIPO],DADOS!$AB$3,tabela_registros[CATEGORIA],investirrendafixaconsolidadodez[[#This Row],[ATUAL]])</f>
        <v>0</v>
      </c>
      <c r="O114" s="91">
        <f>SUMIFS(tabela_registros[VALOR],tabela_registros[MÊS],$AE$1,tabela_registros[DIA],investirrendafixaconsolidadodez[[#Headers],[11]],tabela_registros[REGISTRO],DADOS!$N$5,tabela_registros[TIPO],DADOS!$AB$3,tabela_registros[CATEGORIA],investirrendafixaconsolidadodez[[#This Row],[ATUAL]])</f>
        <v>0</v>
      </c>
      <c r="P114" s="91">
        <f>SUMIFS(tabela_registros[VALOR],tabela_registros[MÊS],$AE$1,tabela_registros[DIA],investirrendafixaconsolidadodez[[#Headers],[12]],tabela_registros[REGISTRO],DADOS!$N$5,tabela_registros[TIPO],DADOS!$AB$3,tabela_registros[CATEGORIA],investirrendafixaconsolidadodez[[#This Row],[ATUAL]])</f>
        <v>0</v>
      </c>
      <c r="Q114" s="91">
        <f>SUMIFS(tabela_registros[VALOR],tabela_registros[MÊS],$AE$1,tabela_registros[DIA],investirrendafixaconsolidadodez[[#Headers],[13]],tabela_registros[REGISTRO],DADOS!$N$5,tabela_registros[TIPO],DADOS!$AB$3,tabela_registros[CATEGORIA],investirrendafixaconsolidadodez[[#This Row],[ATUAL]])</f>
        <v>0</v>
      </c>
      <c r="R114" s="91">
        <f>SUMIFS(tabela_registros[VALOR],tabela_registros[MÊS],$AE$1,tabela_registros[DIA],investirrendafixaconsolidadodez[[#Headers],[14]],tabela_registros[REGISTRO],DADOS!$N$5,tabela_registros[TIPO],DADOS!$AB$3,tabela_registros[CATEGORIA],investirrendafixaconsolidadodez[[#This Row],[ATUAL]])</f>
        <v>0</v>
      </c>
      <c r="S114" s="91">
        <f>SUMIFS(tabela_registros[VALOR],tabela_registros[MÊS],$AE$1,tabela_registros[DIA],investirrendafixaconsolidadodez[[#Headers],[15]],tabela_registros[REGISTRO],DADOS!$N$5,tabela_registros[TIPO],DADOS!$AB$3,tabela_registros[CATEGORIA],investirrendafixaconsolidadodez[[#This Row],[ATUAL]])</f>
        <v>0</v>
      </c>
      <c r="T114" s="91">
        <f>SUMIFS(tabela_registros[VALOR],tabela_registros[MÊS],$AE$1,tabela_registros[DIA],investirrendafixaconsolidadodez[[#Headers],[16]],tabela_registros[REGISTRO],DADOS!$N$5,tabela_registros[TIPO],DADOS!$AB$3,tabela_registros[CATEGORIA],investirrendafixaconsolidadodez[[#This Row],[ATUAL]])</f>
        <v>0</v>
      </c>
      <c r="U114" s="91">
        <f>SUMIFS(tabela_registros[VALOR],tabela_registros[MÊS],$AE$1,tabela_registros[DIA],investirrendafixaconsolidadodez[[#Headers],[17]],tabela_registros[REGISTRO],DADOS!$N$5,tabela_registros[TIPO],DADOS!$AB$3,tabela_registros[CATEGORIA],investirrendafixaconsolidadodez[[#This Row],[ATUAL]])</f>
        <v>0</v>
      </c>
      <c r="V114" s="91">
        <f>SUMIFS(tabela_registros[VALOR],tabela_registros[MÊS],$AE$1,tabela_registros[DIA],investirrendafixaconsolidadodez[[#Headers],[18]],tabela_registros[REGISTRO],DADOS!$N$5,tabela_registros[TIPO],DADOS!$AB$3,tabela_registros[CATEGORIA],investirrendafixaconsolidadodez[[#This Row],[ATUAL]])</f>
        <v>0</v>
      </c>
      <c r="W114" s="91">
        <f>SUMIFS(tabela_registros[VALOR],tabela_registros[MÊS],$AE$1,tabela_registros[DIA],investirrendafixaconsolidadodez[[#Headers],[19]],tabela_registros[REGISTRO],DADOS!$N$5,tabela_registros[TIPO],DADOS!$AB$3,tabela_registros[CATEGORIA],investirrendafixaconsolidadodez[[#This Row],[ATUAL]])</f>
        <v>0</v>
      </c>
      <c r="X114" s="91">
        <f>SUMIFS(tabela_registros[VALOR],tabela_registros[MÊS],$AE$1,tabela_registros[DIA],investirrendafixaconsolidadodez[[#Headers],[20]],tabela_registros[REGISTRO],DADOS!$N$5,tabela_registros[TIPO],DADOS!$AB$3,tabela_registros[CATEGORIA],investirrendafixaconsolidadodez[[#This Row],[ATUAL]])</f>
        <v>0</v>
      </c>
      <c r="Y114" s="91">
        <f>SUMIFS(tabela_registros[VALOR],tabela_registros[MÊS],$AE$1,tabela_registros[DIA],investirrendafixaconsolidadodez[[#Headers],[21]],tabela_registros[REGISTRO],DADOS!$N$5,tabela_registros[TIPO],DADOS!$AB$3,tabela_registros[CATEGORIA],investirrendafixaconsolidadodez[[#This Row],[ATUAL]])</f>
        <v>0</v>
      </c>
      <c r="Z114" s="91">
        <f>SUMIFS(tabela_registros[VALOR],tabela_registros[MÊS],$AE$1,tabela_registros[DIA],investirrendafixaconsolidadodez[[#Headers],[22]],tabela_registros[REGISTRO],DADOS!$N$5,tabela_registros[TIPO],DADOS!$AB$3,tabela_registros[CATEGORIA],investirrendafixaconsolidadodez[[#This Row],[ATUAL]])</f>
        <v>0</v>
      </c>
      <c r="AA114" s="91">
        <f>SUMIFS(tabela_registros[VALOR],tabela_registros[MÊS],$AE$1,tabela_registros[DIA],investirrendafixaconsolidadodez[[#Headers],[23]],tabela_registros[REGISTRO],DADOS!$N$5,tabela_registros[TIPO],DADOS!$AB$3,tabela_registros[CATEGORIA],investirrendafixaconsolidadodez[[#This Row],[ATUAL]])</f>
        <v>0</v>
      </c>
      <c r="AB114" s="91">
        <f>SUMIFS(tabela_registros[VALOR],tabela_registros[MÊS],$AE$1,tabela_registros[DIA],investirrendafixaconsolidadodez[[#Headers],[24]],tabela_registros[REGISTRO],DADOS!$N$5,tabela_registros[TIPO],DADOS!$AB$3,tabela_registros[CATEGORIA],investirrendafixaconsolidadodez[[#This Row],[ATUAL]])</f>
        <v>0</v>
      </c>
      <c r="AC114" s="91">
        <f>SUMIFS(tabela_registros[VALOR],tabela_registros[MÊS],$AE$1,tabela_registros[DIA],investirrendafixaconsolidadodez[[#Headers],[25]],tabela_registros[REGISTRO],DADOS!$N$5,tabela_registros[TIPO],DADOS!$AB$3,tabela_registros[CATEGORIA],investirrendafixaconsolidadodez[[#This Row],[ATUAL]])</f>
        <v>0</v>
      </c>
      <c r="AD114" s="91">
        <f>SUMIFS(tabela_registros[VALOR],tabela_registros[MÊS],$AE$1,tabela_registros[DIA],investirrendafixaconsolidadodez[[#Headers],[26]],tabela_registros[REGISTRO],DADOS!$N$5,tabela_registros[TIPO],DADOS!$AB$3,tabela_registros[CATEGORIA],investirrendafixaconsolidadodez[[#This Row],[ATUAL]])</f>
        <v>0</v>
      </c>
      <c r="AE114" s="91">
        <f>SUMIFS(tabela_registros[VALOR],tabela_registros[MÊS],$AE$1,tabela_registros[DIA],investirrendafixaconsolidadodez[[#Headers],[27]],tabela_registros[REGISTRO],DADOS!$N$5,tabela_registros[TIPO],DADOS!$AB$3,tabela_registros[CATEGORIA],investirrendafixaconsolidadodez[[#This Row],[ATUAL]])</f>
        <v>0</v>
      </c>
      <c r="AF114" s="91">
        <f>SUMIFS(tabela_registros[VALOR],tabela_registros[MÊS],$AE$1,tabela_registros[DIA],investirrendafixaconsolidadodez[[#Headers],[28]],tabela_registros[REGISTRO],DADOS!$N$5,tabela_registros[TIPO],DADOS!$AB$3,tabela_registros[CATEGORIA],investirrendafixaconsolidadodez[[#This Row],[ATUAL]])</f>
        <v>0</v>
      </c>
      <c r="AG114" s="91">
        <f>SUMIFS(tabela_registros[VALOR],tabela_registros[MÊS],$AE$1,tabela_registros[DIA],investirrendafixaconsolidadodez[[#Headers],[29]],tabela_registros[REGISTRO],DADOS!$N$5,tabela_registros[TIPO],DADOS!$AB$3,tabela_registros[CATEGORIA],investirrendafixaconsolidadodez[[#This Row],[ATUAL]])</f>
        <v>0</v>
      </c>
      <c r="AH114" s="91">
        <f>SUMIFS(tabela_registros[VALOR],tabela_registros[MÊS],$AE$1,tabela_registros[DIA],investirrendafixaconsolidadodez[[#Headers],[30]],tabela_registros[REGISTRO],DADOS!$N$5,tabela_registros[TIPO],DADOS!$AB$3,tabela_registros[CATEGORIA],investirrendafixaconsolidadodez[[#This Row],[ATUAL]])</f>
        <v>0</v>
      </c>
      <c r="AI114" s="101">
        <f>SUMIFS(tabela_registros[VALOR],tabela_registros[MÊS],$AE$1,tabela_registros[DIA],investirrendafixaconsolidadodez[[#Headers],[31]],tabela_registros[REGISTRO],DADOS!$N$5,tabela_registros[TIPO],DADOS!$AB$3,tabela_registros[CATEGORIA],investirrendafixaconsolidadodez[[#This Row],[ATUAL]])</f>
        <v>0</v>
      </c>
      <c r="AJ114" s="97">
        <f>SUM(investirrendafixaconsolidadodez[[#This Row],[1]:[31]])</f>
        <v>0</v>
      </c>
      <c r="AK114" s="25"/>
    </row>
    <row r="115" spans="2:37" ht="19.5" customHeight="1" thickTop="1" thickBot="1" x14ac:dyDescent="0.3">
      <c r="B115" s="28"/>
      <c r="C115" s="27" t="str">
        <f>DADOS!$AD$5</f>
        <v>📝 CRI</v>
      </c>
      <c r="D115" s="26" t="str">
        <f>IF(investirrendafixaconsolidadodez[[#This Row],[TOTAL (R$)]]=0,"",IF(OR(investirrendafixaconsolidadodez[[#This Row],[TOTAL (R$)]]=LARGE($AJ$113:$AJ$122,1),investirrendafixaconsolidadodez[[#This Row],[TOTAL (R$)]]=LARGE($AJ$113:$AJ$122,2)),DADOS!$I$10,""))</f>
        <v/>
      </c>
      <c r="E115" s="96">
        <f>SUMIFS(tabela_registros[VALOR],tabela_registros[MÊS],$AE$1,tabela_registros[DIA],investirrendafixaconsolidadodez[[#Headers],[1]],tabela_registros[REGISTRO],DADOS!$N$5,tabela_registros[TIPO],DADOS!$AB$3,tabela_registros[CATEGORIA],investirrendafixaconsolidadodez[[#This Row],[ATUAL]])</f>
        <v>0</v>
      </c>
      <c r="F115" s="91">
        <f>SUMIFS(tabela_registros[VALOR],tabela_registros[MÊS],$AE$1,tabela_registros[DIA],investirrendafixaconsolidadodez[[#Headers],[2]],tabela_registros[REGISTRO],DADOS!$N$5,tabela_registros[TIPO],DADOS!$AB$3,tabela_registros[CATEGORIA],investirrendafixaconsolidadodez[[#This Row],[ATUAL]])</f>
        <v>0</v>
      </c>
      <c r="G115" s="91">
        <f>SUMIFS(tabela_registros[VALOR],tabela_registros[MÊS],$AE$1,tabela_registros[DIA],investirrendafixaconsolidadodez[[#Headers],[3]],tabela_registros[REGISTRO],DADOS!$N$5,tabela_registros[TIPO],DADOS!$AB$3,tabela_registros[CATEGORIA],investirrendafixaconsolidadodez[[#This Row],[ATUAL]])</f>
        <v>0</v>
      </c>
      <c r="H115" s="91">
        <f>SUMIFS(tabela_registros[VALOR],tabela_registros[MÊS],$AE$1,tabela_registros[DIA],investirrendafixaconsolidadodez[[#Headers],[4]],tabela_registros[REGISTRO],DADOS!$N$5,tabela_registros[TIPO],DADOS!$AB$3,tabela_registros[CATEGORIA],investirrendafixaconsolidadodez[[#This Row],[ATUAL]])</f>
        <v>0</v>
      </c>
      <c r="I115" s="91">
        <f>SUMIFS(tabela_registros[VALOR],tabela_registros[MÊS],$AE$1,tabela_registros[DIA],investirrendafixaconsolidadodez[[#Headers],[5]],tabela_registros[REGISTRO],DADOS!$N$5,tabela_registros[TIPO],DADOS!$AB$3,tabela_registros[CATEGORIA],investirrendafixaconsolidadodez[[#This Row],[ATUAL]])</f>
        <v>0</v>
      </c>
      <c r="J115" s="91">
        <f>SUMIFS(tabela_registros[VALOR],tabela_registros[MÊS],$AE$1,tabela_registros[DIA],investirrendafixaconsolidadodez[[#Headers],[6]],tabela_registros[REGISTRO],DADOS!$N$5,tabela_registros[TIPO],DADOS!$AB$3,tabela_registros[CATEGORIA],investirrendafixaconsolidadodez[[#This Row],[ATUAL]])</f>
        <v>0</v>
      </c>
      <c r="K115" s="91">
        <f>SUMIFS(tabela_registros[VALOR],tabela_registros[MÊS],$AE$1,tabela_registros[DIA],investirrendafixaconsolidadodez[[#Headers],[7]],tabela_registros[REGISTRO],DADOS!$N$5,tabela_registros[TIPO],DADOS!$AB$3,tabela_registros[CATEGORIA],investirrendafixaconsolidadodez[[#This Row],[ATUAL]])</f>
        <v>0</v>
      </c>
      <c r="L115" s="91">
        <f>SUMIFS(tabela_registros[VALOR],tabela_registros[MÊS],$AE$1,tabela_registros[DIA],investirrendafixaconsolidadodez[[#Headers],[8]],tabela_registros[REGISTRO],DADOS!$N$5,tabela_registros[TIPO],DADOS!$AB$3,tabela_registros[CATEGORIA],investirrendafixaconsolidadodez[[#This Row],[ATUAL]])</f>
        <v>0</v>
      </c>
      <c r="M115" s="91">
        <f>SUMIFS(tabela_registros[VALOR],tabela_registros[MÊS],$AE$1,tabela_registros[DIA],investirrendafixaconsolidadodez[[#Headers],[9]],tabela_registros[REGISTRO],DADOS!$N$5,tabela_registros[TIPO],DADOS!$AB$3,tabela_registros[CATEGORIA],investirrendafixaconsolidadodez[[#This Row],[ATUAL]])</f>
        <v>0</v>
      </c>
      <c r="N115" s="91">
        <f>SUMIFS(tabela_registros[VALOR],tabela_registros[MÊS],$AE$1,tabela_registros[DIA],investirrendafixaconsolidadodez[[#Headers],[10]],tabela_registros[REGISTRO],DADOS!$N$5,tabela_registros[TIPO],DADOS!$AB$3,tabela_registros[CATEGORIA],investirrendafixaconsolidadodez[[#This Row],[ATUAL]])</f>
        <v>0</v>
      </c>
      <c r="O115" s="91">
        <f>SUMIFS(tabela_registros[VALOR],tabela_registros[MÊS],$AE$1,tabela_registros[DIA],investirrendafixaconsolidadodez[[#Headers],[11]],tabela_registros[REGISTRO],DADOS!$N$5,tabela_registros[TIPO],DADOS!$AB$3,tabela_registros[CATEGORIA],investirrendafixaconsolidadodez[[#This Row],[ATUAL]])</f>
        <v>0</v>
      </c>
      <c r="P115" s="91">
        <f>SUMIFS(tabela_registros[VALOR],tabela_registros[MÊS],$AE$1,tabela_registros[DIA],investirrendafixaconsolidadodez[[#Headers],[12]],tabela_registros[REGISTRO],DADOS!$N$5,tabela_registros[TIPO],DADOS!$AB$3,tabela_registros[CATEGORIA],investirrendafixaconsolidadodez[[#This Row],[ATUAL]])</f>
        <v>0</v>
      </c>
      <c r="Q115" s="91">
        <f>SUMIFS(tabela_registros[VALOR],tabela_registros[MÊS],$AE$1,tabela_registros[DIA],investirrendafixaconsolidadodez[[#Headers],[13]],tabela_registros[REGISTRO],DADOS!$N$5,tabela_registros[TIPO],DADOS!$AB$3,tabela_registros[CATEGORIA],investirrendafixaconsolidadodez[[#This Row],[ATUAL]])</f>
        <v>0</v>
      </c>
      <c r="R115" s="91">
        <f>SUMIFS(tabela_registros[VALOR],tabela_registros[MÊS],$AE$1,tabela_registros[DIA],investirrendafixaconsolidadodez[[#Headers],[14]],tabela_registros[REGISTRO],DADOS!$N$5,tabela_registros[TIPO],DADOS!$AB$3,tabela_registros[CATEGORIA],investirrendafixaconsolidadodez[[#This Row],[ATUAL]])</f>
        <v>0</v>
      </c>
      <c r="S115" s="91">
        <f>SUMIFS(tabela_registros[VALOR],tabela_registros[MÊS],$AE$1,tabela_registros[DIA],investirrendafixaconsolidadodez[[#Headers],[15]],tabela_registros[REGISTRO],DADOS!$N$5,tabela_registros[TIPO],DADOS!$AB$3,tabela_registros[CATEGORIA],investirrendafixaconsolidadodez[[#This Row],[ATUAL]])</f>
        <v>0</v>
      </c>
      <c r="T115" s="91">
        <f>SUMIFS(tabela_registros[VALOR],tabela_registros[MÊS],$AE$1,tabela_registros[DIA],investirrendafixaconsolidadodez[[#Headers],[16]],tabela_registros[REGISTRO],DADOS!$N$5,tabela_registros[TIPO],DADOS!$AB$3,tabela_registros[CATEGORIA],investirrendafixaconsolidadodez[[#This Row],[ATUAL]])</f>
        <v>0</v>
      </c>
      <c r="U115" s="91">
        <f>SUMIFS(tabela_registros[VALOR],tabela_registros[MÊS],$AE$1,tabela_registros[DIA],investirrendafixaconsolidadodez[[#Headers],[17]],tabela_registros[REGISTRO],DADOS!$N$5,tabela_registros[TIPO],DADOS!$AB$3,tabela_registros[CATEGORIA],investirrendafixaconsolidadodez[[#This Row],[ATUAL]])</f>
        <v>0</v>
      </c>
      <c r="V115" s="91">
        <f>SUMIFS(tabela_registros[VALOR],tabela_registros[MÊS],$AE$1,tabela_registros[DIA],investirrendafixaconsolidadodez[[#Headers],[18]],tabela_registros[REGISTRO],DADOS!$N$5,tabela_registros[TIPO],DADOS!$AB$3,tabela_registros[CATEGORIA],investirrendafixaconsolidadodez[[#This Row],[ATUAL]])</f>
        <v>0</v>
      </c>
      <c r="W115" s="91">
        <f>SUMIFS(tabela_registros[VALOR],tabela_registros[MÊS],$AE$1,tabela_registros[DIA],investirrendafixaconsolidadodez[[#Headers],[19]],tabela_registros[REGISTRO],DADOS!$N$5,tabela_registros[TIPO],DADOS!$AB$3,tabela_registros[CATEGORIA],investirrendafixaconsolidadodez[[#This Row],[ATUAL]])</f>
        <v>0</v>
      </c>
      <c r="X115" s="91">
        <f>SUMIFS(tabela_registros[VALOR],tabela_registros[MÊS],$AE$1,tabela_registros[DIA],investirrendafixaconsolidadodez[[#Headers],[20]],tabela_registros[REGISTRO],DADOS!$N$5,tabela_registros[TIPO],DADOS!$AB$3,tabela_registros[CATEGORIA],investirrendafixaconsolidadodez[[#This Row],[ATUAL]])</f>
        <v>0</v>
      </c>
      <c r="Y115" s="91">
        <f>SUMIFS(tabela_registros[VALOR],tabela_registros[MÊS],$AE$1,tabela_registros[DIA],investirrendafixaconsolidadodez[[#Headers],[21]],tabela_registros[REGISTRO],DADOS!$N$5,tabela_registros[TIPO],DADOS!$AB$3,tabela_registros[CATEGORIA],investirrendafixaconsolidadodez[[#This Row],[ATUAL]])</f>
        <v>0</v>
      </c>
      <c r="Z115" s="91">
        <f>SUMIFS(tabela_registros[VALOR],tabela_registros[MÊS],$AE$1,tabela_registros[DIA],investirrendafixaconsolidadodez[[#Headers],[22]],tabela_registros[REGISTRO],DADOS!$N$5,tabela_registros[TIPO],DADOS!$AB$3,tabela_registros[CATEGORIA],investirrendafixaconsolidadodez[[#This Row],[ATUAL]])</f>
        <v>0</v>
      </c>
      <c r="AA115" s="91">
        <f>SUMIFS(tabela_registros[VALOR],tabela_registros[MÊS],$AE$1,tabela_registros[DIA],investirrendafixaconsolidadodez[[#Headers],[23]],tabela_registros[REGISTRO],DADOS!$N$5,tabela_registros[TIPO],DADOS!$AB$3,tabela_registros[CATEGORIA],investirrendafixaconsolidadodez[[#This Row],[ATUAL]])</f>
        <v>0</v>
      </c>
      <c r="AB115" s="91">
        <f>SUMIFS(tabela_registros[VALOR],tabela_registros[MÊS],$AE$1,tabela_registros[DIA],investirrendafixaconsolidadodez[[#Headers],[24]],tabela_registros[REGISTRO],DADOS!$N$5,tabela_registros[TIPO],DADOS!$AB$3,tabela_registros[CATEGORIA],investirrendafixaconsolidadodez[[#This Row],[ATUAL]])</f>
        <v>0</v>
      </c>
      <c r="AC115" s="91">
        <f>SUMIFS(tabela_registros[VALOR],tabela_registros[MÊS],$AE$1,tabela_registros[DIA],investirrendafixaconsolidadodez[[#Headers],[25]],tabela_registros[REGISTRO],DADOS!$N$5,tabela_registros[TIPO],DADOS!$AB$3,tabela_registros[CATEGORIA],investirrendafixaconsolidadodez[[#This Row],[ATUAL]])</f>
        <v>0</v>
      </c>
      <c r="AD115" s="91">
        <f>SUMIFS(tabela_registros[VALOR],tabela_registros[MÊS],$AE$1,tabela_registros[DIA],investirrendafixaconsolidadodez[[#Headers],[26]],tabela_registros[REGISTRO],DADOS!$N$5,tabela_registros[TIPO],DADOS!$AB$3,tabela_registros[CATEGORIA],investirrendafixaconsolidadodez[[#This Row],[ATUAL]])</f>
        <v>0</v>
      </c>
      <c r="AE115" s="91">
        <f>SUMIFS(tabela_registros[VALOR],tabela_registros[MÊS],$AE$1,tabela_registros[DIA],investirrendafixaconsolidadodez[[#Headers],[27]],tabela_registros[REGISTRO],DADOS!$N$5,tabela_registros[TIPO],DADOS!$AB$3,tabela_registros[CATEGORIA],investirrendafixaconsolidadodez[[#This Row],[ATUAL]])</f>
        <v>0</v>
      </c>
      <c r="AF115" s="91">
        <f>SUMIFS(tabela_registros[VALOR],tabela_registros[MÊS],$AE$1,tabela_registros[DIA],investirrendafixaconsolidadodez[[#Headers],[28]],tabela_registros[REGISTRO],DADOS!$N$5,tabela_registros[TIPO],DADOS!$AB$3,tabela_registros[CATEGORIA],investirrendafixaconsolidadodez[[#This Row],[ATUAL]])</f>
        <v>0</v>
      </c>
      <c r="AG115" s="91">
        <f>SUMIFS(tabela_registros[VALOR],tabela_registros[MÊS],$AE$1,tabela_registros[DIA],investirrendafixaconsolidadodez[[#Headers],[29]],tabela_registros[REGISTRO],DADOS!$N$5,tabela_registros[TIPO],DADOS!$AB$3,tabela_registros[CATEGORIA],investirrendafixaconsolidadodez[[#This Row],[ATUAL]])</f>
        <v>0</v>
      </c>
      <c r="AH115" s="91">
        <f>SUMIFS(tabela_registros[VALOR],tabela_registros[MÊS],$AE$1,tabela_registros[DIA],investirrendafixaconsolidadodez[[#Headers],[30]],tabela_registros[REGISTRO],DADOS!$N$5,tabela_registros[TIPO],DADOS!$AB$3,tabela_registros[CATEGORIA],investirrendafixaconsolidadodez[[#This Row],[ATUAL]])</f>
        <v>0</v>
      </c>
      <c r="AI115" s="101">
        <f>SUMIFS(tabela_registros[VALOR],tabela_registros[MÊS],$AE$1,tabela_registros[DIA],investirrendafixaconsolidadodez[[#Headers],[31]],tabela_registros[REGISTRO],DADOS!$N$5,tabela_registros[TIPO],DADOS!$AB$3,tabela_registros[CATEGORIA],investirrendafixaconsolidadodez[[#This Row],[ATUAL]])</f>
        <v>0</v>
      </c>
      <c r="AJ115" s="97">
        <f>SUM(investirrendafixaconsolidadodez[[#This Row],[1]:[31]])</f>
        <v>0</v>
      </c>
      <c r="AK115" s="25"/>
    </row>
    <row r="116" spans="2:37" ht="19.5" customHeight="1" thickTop="1" thickBot="1" x14ac:dyDescent="0.3">
      <c r="B116" s="28"/>
      <c r="C116" s="27" t="str">
        <f>DADOS!$AD$6</f>
        <v>📝 DEBÊNTURE</v>
      </c>
      <c r="D116" s="26" t="str">
        <f>IF(investirrendafixaconsolidadodez[[#This Row],[TOTAL (R$)]]=0,"",IF(OR(investirrendafixaconsolidadodez[[#This Row],[TOTAL (R$)]]=LARGE($AJ$113:$AJ$122,1),investirrendafixaconsolidadodez[[#This Row],[TOTAL (R$)]]=LARGE($AJ$113:$AJ$122,2)),DADOS!$I$10,""))</f>
        <v/>
      </c>
      <c r="E116" s="96">
        <f>SUMIFS(tabela_registros[VALOR],tabela_registros[MÊS],$AE$1,tabela_registros[DIA],investirrendafixaconsolidadodez[[#Headers],[1]],tabela_registros[REGISTRO],DADOS!$N$5,tabela_registros[TIPO],DADOS!$AB$3,tabela_registros[CATEGORIA],investirrendafixaconsolidadodez[[#This Row],[ATUAL]])</f>
        <v>0</v>
      </c>
      <c r="F116" s="91">
        <f>SUMIFS(tabela_registros[VALOR],tabela_registros[MÊS],$AE$1,tabela_registros[DIA],investirrendafixaconsolidadodez[[#Headers],[2]],tabela_registros[REGISTRO],DADOS!$N$5,tabela_registros[TIPO],DADOS!$AB$3,tabela_registros[CATEGORIA],investirrendafixaconsolidadodez[[#This Row],[ATUAL]])</f>
        <v>0</v>
      </c>
      <c r="G116" s="91">
        <f>SUMIFS(tabela_registros[VALOR],tabela_registros[MÊS],$AE$1,tabela_registros[DIA],investirrendafixaconsolidadodez[[#Headers],[3]],tabela_registros[REGISTRO],DADOS!$N$5,tabela_registros[TIPO],DADOS!$AB$3,tabela_registros[CATEGORIA],investirrendafixaconsolidadodez[[#This Row],[ATUAL]])</f>
        <v>0</v>
      </c>
      <c r="H116" s="91">
        <f>SUMIFS(tabela_registros[VALOR],tabela_registros[MÊS],$AE$1,tabela_registros[DIA],investirrendafixaconsolidadodez[[#Headers],[4]],tabela_registros[REGISTRO],DADOS!$N$5,tabela_registros[TIPO],DADOS!$AB$3,tabela_registros[CATEGORIA],investirrendafixaconsolidadodez[[#This Row],[ATUAL]])</f>
        <v>0</v>
      </c>
      <c r="I116" s="91">
        <f>SUMIFS(tabela_registros[VALOR],tabela_registros[MÊS],$AE$1,tabela_registros[DIA],investirrendafixaconsolidadodez[[#Headers],[5]],tabela_registros[REGISTRO],DADOS!$N$5,tabela_registros[TIPO],DADOS!$AB$3,tabela_registros[CATEGORIA],investirrendafixaconsolidadodez[[#This Row],[ATUAL]])</f>
        <v>0</v>
      </c>
      <c r="J116" s="91">
        <f>SUMIFS(tabela_registros[VALOR],tabela_registros[MÊS],$AE$1,tabela_registros[DIA],investirrendafixaconsolidadodez[[#Headers],[6]],tabela_registros[REGISTRO],DADOS!$N$5,tabela_registros[TIPO],DADOS!$AB$3,tabela_registros[CATEGORIA],investirrendafixaconsolidadodez[[#This Row],[ATUAL]])</f>
        <v>0</v>
      </c>
      <c r="K116" s="91">
        <f>SUMIFS(tabela_registros[VALOR],tabela_registros[MÊS],$AE$1,tabela_registros[DIA],investirrendafixaconsolidadodez[[#Headers],[7]],tabela_registros[REGISTRO],DADOS!$N$5,tabela_registros[TIPO],DADOS!$AB$3,tabela_registros[CATEGORIA],investirrendafixaconsolidadodez[[#This Row],[ATUAL]])</f>
        <v>0</v>
      </c>
      <c r="L116" s="91">
        <f>SUMIFS(tabela_registros[VALOR],tabela_registros[MÊS],$AE$1,tabela_registros[DIA],investirrendafixaconsolidadodez[[#Headers],[8]],tabela_registros[REGISTRO],DADOS!$N$5,tabela_registros[TIPO],DADOS!$AB$3,tabela_registros[CATEGORIA],investirrendafixaconsolidadodez[[#This Row],[ATUAL]])</f>
        <v>0</v>
      </c>
      <c r="M116" s="91">
        <f>SUMIFS(tabela_registros[VALOR],tabela_registros[MÊS],$AE$1,tabela_registros[DIA],investirrendafixaconsolidadodez[[#Headers],[9]],tabela_registros[REGISTRO],DADOS!$N$5,tabela_registros[TIPO],DADOS!$AB$3,tabela_registros[CATEGORIA],investirrendafixaconsolidadodez[[#This Row],[ATUAL]])</f>
        <v>0</v>
      </c>
      <c r="N116" s="91">
        <f>SUMIFS(tabela_registros[VALOR],tabela_registros[MÊS],$AE$1,tabela_registros[DIA],investirrendafixaconsolidadodez[[#Headers],[10]],tabela_registros[REGISTRO],DADOS!$N$5,tabela_registros[TIPO],DADOS!$AB$3,tabela_registros[CATEGORIA],investirrendafixaconsolidadodez[[#This Row],[ATUAL]])</f>
        <v>0</v>
      </c>
      <c r="O116" s="91">
        <f>SUMIFS(tabela_registros[VALOR],tabela_registros[MÊS],$AE$1,tabela_registros[DIA],investirrendafixaconsolidadodez[[#Headers],[11]],tabela_registros[REGISTRO],DADOS!$N$5,tabela_registros[TIPO],DADOS!$AB$3,tabela_registros[CATEGORIA],investirrendafixaconsolidadodez[[#This Row],[ATUAL]])</f>
        <v>0</v>
      </c>
      <c r="P116" s="91">
        <f>SUMIFS(tabela_registros[VALOR],tabela_registros[MÊS],$AE$1,tabela_registros[DIA],investirrendafixaconsolidadodez[[#Headers],[12]],tabela_registros[REGISTRO],DADOS!$N$5,tabela_registros[TIPO],DADOS!$AB$3,tabela_registros[CATEGORIA],investirrendafixaconsolidadodez[[#This Row],[ATUAL]])</f>
        <v>0</v>
      </c>
      <c r="Q116" s="91">
        <f>SUMIFS(tabela_registros[VALOR],tabela_registros[MÊS],$AE$1,tabela_registros[DIA],investirrendafixaconsolidadodez[[#Headers],[13]],tabela_registros[REGISTRO],DADOS!$N$5,tabela_registros[TIPO],DADOS!$AB$3,tabela_registros[CATEGORIA],investirrendafixaconsolidadodez[[#This Row],[ATUAL]])</f>
        <v>0</v>
      </c>
      <c r="R116" s="91">
        <f>SUMIFS(tabela_registros[VALOR],tabela_registros[MÊS],$AE$1,tabela_registros[DIA],investirrendafixaconsolidadodez[[#Headers],[14]],tabela_registros[REGISTRO],DADOS!$N$5,tabela_registros[TIPO],DADOS!$AB$3,tabela_registros[CATEGORIA],investirrendafixaconsolidadodez[[#This Row],[ATUAL]])</f>
        <v>0</v>
      </c>
      <c r="S116" s="91">
        <f>SUMIFS(tabela_registros[VALOR],tabela_registros[MÊS],$AE$1,tabela_registros[DIA],investirrendafixaconsolidadodez[[#Headers],[15]],tabela_registros[REGISTRO],DADOS!$N$5,tabela_registros[TIPO],DADOS!$AB$3,tabela_registros[CATEGORIA],investirrendafixaconsolidadodez[[#This Row],[ATUAL]])</f>
        <v>0</v>
      </c>
      <c r="T116" s="91">
        <f>SUMIFS(tabela_registros[VALOR],tabela_registros[MÊS],$AE$1,tabela_registros[DIA],investirrendafixaconsolidadodez[[#Headers],[16]],tabela_registros[REGISTRO],DADOS!$N$5,tabela_registros[TIPO],DADOS!$AB$3,tabela_registros[CATEGORIA],investirrendafixaconsolidadodez[[#This Row],[ATUAL]])</f>
        <v>0</v>
      </c>
      <c r="U116" s="91">
        <f>SUMIFS(tabela_registros[VALOR],tabela_registros[MÊS],$AE$1,tabela_registros[DIA],investirrendafixaconsolidadodez[[#Headers],[17]],tabela_registros[REGISTRO],DADOS!$N$5,tabela_registros[TIPO],DADOS!$AB$3,tabela_registros[CATEGORIA],investirrendafixaconsolidadodez[[#This Row],[ATUAL]])</f>
        <v>0</v>
      </c>
      <c r="V116" s="91">
        <f>SUMIFS(tabela_registros[VALOR],tabela_registros[MÊS],$AE$1,tabela_registros[DIA],investirrendafixaconsolidadodez[[#Headers],[18]],tabela_registros[REGISTRO],DADOS!$N$5,tabela_registros[TIPO],DADOS!$AB$3,tabela_registros[CATEGORIA],investirrendafixaconsolidadodez[[#This Row],[ATUAL]])</f>
        <v>0</v>
      </c>
      <c r="W116" s="91">
        <f>SUMIFS(tabela_registros[VALOR],tabela_registros[MÊS],$AE$1,tabela_registros[DIA],investirrendafixaconsolidadodez[[#Headers],[19]],tabela_registros[REGISTRO],DADOS!$N$5,tabela_registros[TIPO],DADOS!$AB$3,tabela_registros[CATEGORIA],investirrendafixaconsolidadodez[[#This Row],[ATUAL]])</f>
        <v>0</v>
      </c>
      <c r="X116" s="91">
        <f>SUMIFS(tabela_registros[VALOR],tabela_registros[MÊS],$AE$1,tabela_registros[DIA],investirrendafixaconsolidadodez[[#Headers],[20]],tabela_registros[REGISTRO],DADOS!$N$5,tabela_registros[TIPO],DADOS!$AB$3,tabela_registros[CATEGORIA],investirrendafixaconsolidadodez[[#This Row],[ATUAL]])</f>
        <v>0</v>
      </c>
      <c r="Y116" s="91">
        <f>SUMIFS(tabela_registros[VALOR],tabela_registros[MÊS],$AE$1,tabela_registros[DIA],investirrendafixaconsolidadodez[[#Headers],[21]],tabela_registros[REGISTRO],DADOS!$N$5,tabela_registros[TIPO],DADOS!$AB$3,tabela_registros[CATEGORIA],investirrendafixaconsolidadodez[[#This Row],[ATUAL]])</f>
        <v>0</v>
      </c>
      <c r="Z116" s="91">
        <f>SUMIFS(tabela_registros[VALOR],tabela_registros[MÊS],$AE$1,tabela_registros[DIA],investirrendafixaconsolidadodez[[#Headers],[22]],tabela_registros[REGISTRO],DADOS!$N$5,tabela_registros[TIPO],DADOS!$AB$3,tabela_registros[CATEGORIA],investirrendafixaconsolidadodez[[#This Row],[ATUAL]])</f>
        <v>0</v>
      </c>
      <c r="AA116" s="91">
        <f>SUMIFS(tabela_registros[VALOR],tabela_registros[MÊS],$AE$1,tabela_registros[DIA],investirrendafixaconsolidadodez[[#Headers],[23]],tabela_registros[REGISTRO],DADOS!$N$5,tabela_registros[TIPO],DADOS!$AB$3,tabela_registros[CATEGORIA],investirrendafixaconsolidadodez[[#This Row],[ATUAL]])</f>
        <v>0</v>
      </c>
      <c r="AB116" s="91">
        <f>SUMIFS(tabela_registros[VALOR],tabela_registros[MÊS],$AE$1,tabela_registros[DIA],investirrendafixaconsolidadodez[[#Headers],[24]],tabela_registros[REGISTRO],DADOS!$N$5,tabela_registros[TIPO],DADOS!$AB$3,tabela_registros[CATEGORIA],investirrendafixaconsolidadodez[[#This Row],[ATUAL]])</f>
        <v>0</v>
      </c>
      <c r="AC116" s="91">
        <f>SUMIFS(tabela_registros[VALOR],tabela_registros[MÊS],$AE$1,tabela_registros[DIA],investirrendafixaconsolidadodez[[#Headers],[25]],tabela_registros[REGISTRO],DADOS!$N$5,tabela_registros[TIPO],DADOS!$AB$3,tabela_registros[CATEGORIA],investirrendafixaconsolidadodez[[#This Row],[ATUAL]])</f>
        <v>0</v>
      </c>
      <c r="AD116" s="91">
        <f>SUMIFS(tabela_registros[VALOR],tabela_registros[MÊS],$AE$1,tabela_registros[DIA],investirrendafixaconsolidadodez[[#Headers],[26]],tabela_registros[REGISTRO],DADOS!$N$5,tabela_registros[TIPO],DADOS!$AB$3,tabela_registros[CATEGORIA],investirrendafixaconsolidadodez[[#This Row],[ATUAL]])</f>
        <v>0</v>
      </c>
      <c r="AE116" s="91">
        <f>SUMIFS(tabela_registros[VALOR],tabela_registros[MÊS],$AE$1,tabela_registros[DIA],investirrendafixaconsolidadodez[[#Headers],[27]],tabela_registros[REGISTRO],DADOS!$N$5,tabela_registros[TIPO],DADOS!$AB$3,tabela_registros[CATEGORIA],investirrendafixaconsolidadodez[[#This Row],[ATUAL]])</f>
        <v>0</v>
      </c>
      <c r="AF116" s="91">
        <f>SUMIFS(tabela_registros[VALOR],tabela_registros[MÊS],$AE$1,tabela_registros[DIA],investirrendafixaconsolidadodez[[#Headers],[28]],tabela_registros[REGISTRO],DADOS!$N$5,tabela_registros[TIPO],DADOS!$AB$3,tabela_registros[CATEGORIA],investirrendafixaconsolidadodez[[#This Row],[ATUAL]])</f>
        <v>0</v>
      </c>
      <c r="AG116" s="91">
        <f>SUMIFS(tabela_registros[VALOR],tabela_registros[MÊS],$AE$1,tabela_registros[DIA],investirrendafixaconsolidadodez[[#Headers],[29]],tabela_registros[REGISTRO],DADOS!$N$5,tabela_registros[TIPO],DADOS!$AB$3,tabela_registros[CATEGORIA],investirrendafixaconsolidadodez[[#This Row],[ATUAL]])</f>
        <v>0</v>
      </c>
      <c r="AH116" s="91">
        <f>SUMIFS(tabela_registros[VALOR],tabela_registros[MÊS],$AE$1,tabela_registros[DIA],investirrendafixaconsolidadodez[[#Headers],[30]],tabela_registros[REGISTRO],DADOS!$N$5,tabela_registros[TIPO],DADOS!$AB$3,tabela_registros[CATEGORIA],investirrendafixaconsolidadodez[[#This Row],[ATUAL]])</f>
        <v>0</v>
      </c>
      <c r="AI116" s="101">
        <f>SUMIFS(tabela_registros[VALOR],tabela_registros[MÊS],$AE$1,tabela_registros[DIA],investirrendafixaconsolidadodez[[#Headers],[31]],tabela_registros[REGISTRO],DADOS!$N$5,tabela_registros[TIPO],DADOS!$AB$3,tabela_registros[CATEGORIA],investirrendafixaconsolidadodez[[#This Row],[ATUAL]])</f>
        <v>0</v>
      </c>
      <c r="AJ116" s="97">
        <f>SUM(investirrendafixaconsolidadodez[[#This Row],[1]:[31]])</f>
        <v>0</v>
      </c>
      <c r="AK116" s="25"/>
    </row>
    <row r="117" spans="2:37" ht="19.5" customHeight="1" thickTop="1" thickBot="1" x14ac:dyDescent="0.3">
      <c r="B117" s="28"/>
      <c r="C117" s="27" t="str">
        <f>DADOS!$AD$7</f>
        <v>📝 EXTERIOR</v>
      </c>
      <c r="D117" s="26" t="str">
        <f>IF(investirrendafixaconsolidadodez[[#This Row],[TOTAL (R$)]]=0,"",IF(OR(investirrendafixaconsolidadodez[[#This Row],[TOTAL (R$)]]=LARGE($AJ$113:$AJ$122,1),investirrendafixaconsolidadodez[[#This Row],[TOTAL (R$)]]=LARGE($AJ$113:$AJ$122,2)),DADOS!$I$10,""))</f>
        <v/>
      </c>
      <c r="E117" s="96">
        <f>SUMIFS(tabela_registros[VALOR],tabela_registros[MÊS],$AE$1,tabela_registros[DIA],investirrendafixaconsolidadodez[[#Headers],[1]],tabela_registros[REGISTRO],DADOS!$N$5,tabela_registros[TIPO],DADOS!$AB$3,tabela_registros[CATEGORIA],investirrendafixaconsolidadodez[[#This Row],[ATUAL]])</f>
        <v>0</v>
      </c>
      <c r="F117" s="91">
        <f>SUMIFS(tabela_registros[VALOR],tabela_registros[MÊS],$AE$1,tabela_registros[DIA],investirrendafixaconsolidadodez[[#Headers],[2]],tabela_registros[REGISTRO],DADOS!$N$5,tabela_registros[TIPO],DADOS!$AB$3,tabela_registros[CATEGORIA],investirrendafixaconsolidadodez[[#This Row],[ATUAL]])</f>
        <v>0</v>
      </c>
      <c r="G117" s="91">
        <f>SUMIFS(tabela_registros[VALOR],tabela_registros[MÊS],$AE$1,tabela_registros[DIA],investirrendafixaconsolidadodez[[#Headers],[3]],tabela_registros[REGISTRO],DADOS!$N$5,tabela_registros[TIPO],DADOS!$AB$3,tabela_registros[CATEGORIA],investirrendafixaconsolidadodez[[#This Row],[ATUAL]])</f>
        <v>0</v>
      </c>
      <c r="H117" s="91">
        <f>SUMIFS(tabela_registros[VALOR],tabela_registros[MÊS],$AE$1,tabela_registros[DIA],investirrendafixaconsolidadodez[[#Headers],[4]],tabela_registros[REGISTRO],DADOS!$N$5,tabela_registros[TIPO],DADOS!$AB$3,tabela_registros[CATEGORIA],investirrendafixaconsolidadodez[[#This Row],[ATUAL]])</f>
        <v>0</v>
      </c>
      <c r="I117" s="91">
        <f>SUMIFS(tabela_registros[VALOR],tabela_registros[MÊS],$AE$1,tabela_registros[DIA],investirrendafixaconsolidadodez[[#Headers],[5]],tabela_registros[REGISTRO],DADOS!$N$5,tabela_registros[TIPO],DADOS!$AB$3,tabela_registros[CATEGORIA],investirrendafixaconsolidadodez[[#This Row],[ATUAL]])</f>
        <v>0</v>
      </c>
      <c r="J117" s="91">
        <f>SUMIFS(tabela_registros[VALOR],tabela_registros[MÊS],$AE$1,tabela_registros[DIA],investirrendafixaconsolidadodez[[#Headers],[6]],tabela_registros[REGISTRO],DADOS!$N$5,tabela_registros[TIPO],DADOS!$AB$3,tabela_registros[CATEGORIA],investirrendafixaconsolidadodez[[#This Row],[ATUAL]])</f>
        <v>0</v>
      </c>
      <c r="K117" s="91">
        <f>SUMIFS(tabela_registros[VALOR],tabela_registros[MÊS],$AE$1,tabela_registros[DIA],investirrendafixaconsolidadodez[[#Headers],[7]],tabela_registros[REGISTRO],DADOS!$N$5,tabela_registros[TIPO],DADOS!$AB$3,tabela_registros[CATEGORIA],investirrendafixaconsolidadodez[[#This Row],[ATUAL]])</f>
        <v>0</v>
      </c>
      <c r="L117" s="91">
        <f>SUMIFS(tabela_registros[VALOR],tabela_registros[MÊS],$AE$1,tabela_registros[DIA],investirrendafixaconsolidadodez[[#Headers],[8]],tabela_registros[REGISTRO],DADOS!$N$5,tabela_registros[TIPO],DADOS!$AB$3,tabela_registros[CATEGORIA],investirrendafixaconsolidadodez[[#This Row],[ATUAL]])</f>
        <v>0</v>
      </c>
      <c r="M117" s="91">
        <f>SUMIFS(tabela_registros[VALOR],tabela_registros[MÊS],$AE$1,tabela_registros[DIA],investirrendafixaconsolidadodez[[#Headers],[9]],tabela_registros[REGISTRO],DADOS!$N$5,tabela_registros[TIPO],DADOS!$AB$3,tabela_registros[CATEGORIA],investirrendafixaconsolidadodez[[#This Row],[ATUAL]])</f>
        <v>0</v>
      </c>
      <c r="N117" s="91">
        <f>SUMIFS(tabela_registros[VALOR],tabela_registros[MÊS],$AE$1,tabela_registros[DIA],investirrendafixaconsolidadodez[[#Headers],[10]],tabela_registros[REGISTRO],DADOS!$N$5,tabela_registros[TIPO],DADOS!$AB$3,tabela_registros[CATEGORIA],investirrendafixaconsolidadodez[[#This Row],[ATUAL]])</f>
        <v>0</v>
      </c>
      <c r="O117" s="91">
        <f>SUMIFS(tabela_registros[VALOR],tabela_registros[MÊS],$AE$1,tabela_registros[DIA],investirrendafixaconsolidadodez[[#Headers],[11]],tabela_registros[REGISTRO],DADOS!$N$5,tabela_registros[TIPO],DADOS!$AB$3,tabela_registros[CATEGORIA],investirrendafixaconsolidadodez[[#This Row],[ATUAL]])</f>
        <v>0</v>
      </c>
      <c r="P117" s="91">
        <f>SUMIFS(tabela_registros[VALOR],tabela_registros[MÊS],$AE$1,tabela_registros[DIA],investirrendafixaconsolidadodez[[#Headers],[12]],tabela_registros[REGISTRO],DADOS!$N$5,tabela_registros[TIPO],DADOS!$AB$3,tabela_registros[CATEGORIA],investirrendafixaconsolidadodez[[#This Row],[ATUAL]])</f>
        <v>0</v>
      </c>
      <c r="Q117" s="91">
        <f>SUMIFS(tabela_registros[VALOR],tabela_registros[MÊS],$AE$1,tabela_registros[DIA],investirrendafixaconsolidadodez[[#Headers],[13]],tabela_registros[REGISTRO],DADOS!$N$5,tabela_registros[TIPO],DADOS!$AB$3,tabela_registros[CATEGORIA],investirrendafixaconsolidadodez[[#This Row],[ATUAL]])</f>
        <v>0</v>
      </c>
      <c r="R117" s="91">
        <f>SUMIFS(tabela_registros[VALOR],tabela_registros[MÊS],$AE$1,tabela_registros[DIA],investirrendafixaconsolidadodez[[#Headers],[14]],tabela_registros[REGISTRO],DADOS!$N$5,tabela_registros[TIPO],DADOS!$AB$3,tabela_registros[CATEGORIA],investirrendafixaconsolidadodez[[#This Row],[ATUAL]])</f>
        <v>0</v>
      </c>
      <c r="S117" s="91">
        <f>SUMIFS(tabela_registros[VALOR],tabela_registros[MÊS],$AE$1,tabela_registros[DIA],investirrendafixaconsolidadodez[[#Headers],[15]],tabela_registros[REGISTRO],DADOS!$N$5,tabela_registros[TIPO],DADOS!$AB$3,tabela_registros[CATEGORIA],investirrendafixaconsolidadodez[[#This Row],[ATUAL]])</f>
        <v>0</v>
      </c>
      <c r="T117" s="91">
        <f>SUMIFS(tabela_registros[VALOR],tabela_registros[MÊS],$AE$1,tabela_registros[DIA],investirrendafixaconsolidadodez[[#Headers],[16]],tabela_registros[REGISTRO],DADOS!$N$5,tabela_registros[TIPO],DADOS!$AB$3,tabela_registros[CATEGORIA],investirrendafixaconsolidadodez[[#This Row],[ATUAL]])</f>
        <v>0</v>
      </c>
      <c r="U117" s="91">
        <f>SUMIFS(tabela_registros[VALOR],tabela_registros[MÊS],$AE$1,tabela_registros[DIA],investirrendafixaconsolidadodez[[#Headers],[17]],tabela_registros[REGISTRO],DADOS!$N$5,tabela_registros[TIPO],DADOS!$AB$3,tabela_registros[CATEGORIA],investirrendafixaconsolidadodez[[#This Row],[ATUAL]])</f>
        <v>0</v>
      </c>
      <c r="V117" s="91">
        <f>SUMIFS(tabela_registros[VALOR],tabela_registros[MÊS],$AE$1,tabela_registros[DIA],investirrendafixaconsolidadodez[[#Headers],[18]],tabela_registros[REGISTRO],DADOS!$N$5,tabela_registros[TIPO],DADOS!$AB$3,tabela_registros[CATEGORIA],investirrendafixaconsolidadodez[[#This Row],[ATUAL]])</f>
        <v>0</v>
      </c>
      <c r="W117" s="91">
        <f>SUMIFS(tabela_registros[VALOR],tabela_registros[MÊS],$AE$1,tabela_registros[DIA],investirrendafixaconsolidadodez[[#Headers],[19]],tabela_registros[REGISTRO],DADOS!$N$5,tabela_registros[TIPO],DADOS!$AB$3,tabela_registros[CATEGORIA],investirrendafixaconsolidadodez[[#This Row],[ATUAL]])</f>
        <v>0</v>
      </c>
      <c r="X117" s="91">
        <f>SUMIFS(tabela_registros[VALOR],tabela_registros[MÊS],$AE$1,tabela_registros[DIA],investirrendafixaconsolidadodez[[#Headers],[20]],tabela_registros[REGISTRO],DADOS!$N$5,tabela_registros[TIPO],DADOS!$AB$3,tabela_registros[CATEGORIA],investirrendafixaconsolidadodez[[#This Row],[ATUAL]])</f>
        <v>0</v>
      </c>
      <c r="Y117" s="91">
        <f>SUMIFS(tabela_registros[VALOR],tabela_registros[MÊS],$AE$1,tabela_registros[DIA],investirrendafixaconsolidadodez[[#Headers],[21]],tabela_registros[REGISTRO],DADOS!$N$5,tabela_registros[TIPO],DADOS!$AB$3,tabela_registros[CATEGORIA],investirrendafixaconsolidadodez[[#This Row],[ATUAL]])</f>
        <v>0</v>
      </c>
      <c r="Z117" s="91">
        <f>SUMIFS(tabela_registros[VALOR],tabela_registros[MÊS],$AE$1,tabela_registros[DIA],investirrendafixaconsolidadodez[[#Headers],[22]],tabela_registros[REGISTRO],DADOS!$N$5,tabela_registros[TIPO],DADOS!$AB$3,tabela_registros[CATEGORIA],investirrendafixaconsolidadodez[[#This Row],[ATUAL]])</f>
        <v>0</v>
      </c>
      <c r="AA117" s="91">
        <f>SUMIFS(tabela_registros[VALOR],tabela_registros[MÊS],$AE$1,tabela_registros[DIA],investirrendafixaconsolidadodez[[#Headers],[23]],tabela_registros[REGISTRO],DADOS!$N$5,tabela_registros[TIPO],DADOS!$AB$3,tabela_registros[CATEGORIA],investirrendafixaconsolidadodez[[#This Row],[ATUAL]])</f>
        <v>0</v>
      </c>
      <c r="AB117" s="91">
        <f>SUMIFS(tabela_registros[VALOR],tabela_registros[MÊS],$AE$1,tabela_registros[DIA],investirrendafixaconsolidadodez[[#Headers],[24]],tabela_registros[REGISTRO],DADOS!$N$5,tabela_registros[TIPO],DADOS!$AB$3,tabela_registros[CATEGORIA],investirrendafixaconsolidadodez[[#This Row],[ATUAL]])</f>
        <v>0</v>
      </c>
      <c r="AC117" s="91">
        <f>SUMIFS(tabela_registros[VALOR],tabela_registros[MÊS],$AE$1,tabela_registros[DIA],investirrendafixaconsolidadodez[[#Headers],[25]],tabela_registros[REGISTRO],DADOS!$N$5,tabela_registros[TIPO],DADOS!$AB$3,tabela_registros[CATEGORIA],investirrendafixaconsolidadodez[[#This Row],[ATUAL]])</f>
        <v>0</v>
      </c>
      <c r="AD117" s="91">
        <f>SUMIFS(tabela_registros[VALOR],tabela_registros[MÊS],$AE$1,tabela_registros[DIA],investirrendafixaconsolidadodez[[#Headers],[26]],tabela_registros[REGISTRO],DADOS!$N$5,tabela_registros[TIPO],DADOS!$AB$3,tabela_registros[CATEGORIA],investirrendafixaconsolidadodez[[#This Row],[ATUAL]])</f>
        <v>0</v>
      </c>
      <c r="AE117" s="91">
        <f>SUMIFS(tabela_registros[VALOR],tabela_registros[MÊS],$AE$1,tabela_registros[DIA],investirrendafixaconsolidadodez[[#Headers],[27]],tabela_registros[REGISTRO],DADOS!$N$5,tabela_registros[TIPO],DADOS!$AB$3,tabela_registros[CATEGORIA],investirrendafixaconsolidadodez[[#This Row],[ATUAL]])</f>
        <v>0</v>
      </c>
      <c r="AF117" s="91">
        <f>SUMIFS(tabela_registros[VALOR],tabela_registros[MÊS],$AE$1,tabela_registros[DIA],investirrendafixaconsolidadodez[[#Headers],[28]],tabela_registros[REGISTRO],DADOS!$N$5,tabela_registros[TIPO],DADOS!$AB$3,tabela_registros[CATEGORIA],investirrendafixaconsolidadodez[[#This Row],[ATUAL]])</f>
        <v>0</v>
      </c>
      <c r="AG117" s="91">
        <f>SUMIFS(tabela_registros[VALOR],tabela_registros[MÊS],$AE$1,tabela_registros[DIA],investirrendafixaconsolidadodez[[#Headers],[29]],tabela_registros[REGISTRO],DADOS!$N$5,tabela_registros[TIPO],DADOS!$AB$3,tabela_registros[CATEGORIA],investirrendafixaconsolidadodez[[#This Row],[ATUAL]])</f>
        <v>0</v>
      </c>
      <c r="AH117" s="91">
        <f>SUMIFS(tabela_registros[VALOR],tabela_registros[MÊS],$AE$1,tabela_registros[DIA],investirrendafixaconsolidadodez[[#Headers],[30]],tabela_registros[REGISTRO],DADOS!$N$5,tabela_registros[TIPO],DADOS!$AB$3,tabela_registros[CATEGORIA],investirrendafixaconsolidadodez[[#This Row],[ATUAL]])</f>
        <v>0</v>
      </c>
      <c r="AI117" s="101">
        <f>SUMIFS(tabela_registros[VALOR],tabela_registros[MÊS],$AE$1,tabela_registros[DIA],investirrendafixaconsolidadodez[[#Headers],[31]],tabela_registros[REGISTRO],DADOS!$N$5,tabela_registros[TIPO],DADOS!$AB$3,tabela_registros[CATEGORIA],investirrendafixaconsolidadodez[[#This Row],[ATUAL]])</f>
        <v>0</v>
      </c>
      <c r="AJ117" s="97">
        <f>SUM(investirrendafixaconsolidadodez[[#This Row],[1]:[31]])</f>
        <v>0</v>
      </c>
      <c r="AK117" s="25"/>
    </row>
    <row r="118" spans="2:37" ht="19.5" customHeight="1" thickTop="1" thickBot="1" x14ac:dyDescent="0.3">
      <c r="B118" s="28"/>
      <c r="C118" s="27" t="str">
        <f>DADOS!$AD$8</f>
        <v>📝 LC</v>
      </c>
      <c r="D118" s="26" t="str">
        <f>IF(investirrendafixaconsolidadodez[[#This Row],[TOTAL (R$)]]=0,"",IF(OR(investirrendafixaconsolidadodez[[#This Row],[TOTAL (R$)]]=LARGE($AJ$113:$AJ$122,1),investirrendafixaconsolidadodez[[#This Row],[TOTAL (R$)]]=LARGE($AJ$113:$AJ$122,2)),DADOS!$I$10,""))</f>
        <v/>
      </c>
      <c r="E118" s="96">
        <f>SUMIFS(tabela_registros[VALOR],tabela_registros[MÊS],$AE$1,tabela_registros[DIA],investirrendafixaconsolidadodez[[#Headers],[1]],tabela_registros[REGISTRO],DADOS!$N$5,tabela_registros[TIPO],DADOS!$AB$3,tabela_registros[CATEGORIA],investirrendafixaconsolidadodez[[#This Row],[ATUAL]])</f>
        <v>0</v>
      </c>
      <c r="F118" s="91">
        <f>SUMIFS(tabela_registros[VALOR],tabela_registros[MÊS],$AE$1,tabela_registros[DIA],investirrendafixaconsolidadodez[[#Headers],[2]],tabela_registros[REGISTRO],DADOS!$N$5,tabela_registros[TIPO],DADOS!$AB$3,tabela_registros[CATEGORIA],investirrendafixaconsolidadodez[[#This Row],[ATUAL]])</f>
        <v>0</v>
      </c>
      <c r="G118" s="91">
        <f>SUMIFS(tabela_registros[VALOR],tabela_registros[MÊS],$AE$1,tabela_registros[DIA],investirrendafixaconsolidadodez[[#Headers],[3]],tabela_registros[REGISTRO],DADOS!$N$5,tabela_registros[TIPO],DADOS!$AB$3,tabela_registros[CATEGORIA],investirrendafixaconsolidadodez[[#This Row],[ATUAL]])</f>
        <v>0</v>
      </c>
      <c r="H118" s="91">
        <f>SUMIFS(tabela_registros[VALOR],tabela_registros[MÊS],$AE$1,tabela_registros[DIA],investirrendafixaconsolidadodez[[#Headers],[4]],tabela_registros[REGISTRO],DADOS!$N$5,tabela_registros[TIPO],DADOS!$AB$3,tabela_registros[CATEGORIA],investirrendafixaconsolidadodez[[#This Row],[ATUAL]])</f>
        <v>0</v>
      </c>
      <c r="I118" s="91">
        <f>SUMIFS(tabela_registros[VALOR],tabela_registros[MÊS],$AE$1,tabela_registros[DIA],investirrendafixaconsolidadodez[[#Headers],[5]],tabela_registros[REGISTRO],DADOS!$N$5,tabela_registros[TIPO],DADOS!$AB$3,tabela_registros[CATEGORIA],investirrendafixaconsolidadodez[[#This Row],[ATUAL]])</f>
        <v>0</v>
      </c>
      <c r="J118" s="91">
        <f>SUMIFS(tabela_registros[VALOR],tabela_registros[MÊS],$AE$1,tabela_registros[DIA],investirrendafixaconsolidadodez[[#Headers],[6]],tabela_registros[REGISTRO],DADOS!$N$5,tabela_registros[TIPO],DADOS!$AB$3,tabela_registros[CATEGORIA],investirrendafixaconsolidadodez[[#This Row],[ATUAL]])</f>
        <v>0</v>
      </c>
      <c r="K118" s="91">
        <f>SUMIFS(tabela_registros[VALOR],tabela_registros[MÊS],$AE$1,tabela_registros[DIA],investirrendafixaconsolidadodez[[#Headers],[7]],tabela_registros[REGISTRO],DADOS!$N$5,tabela_registros[TIPO],DADOS!$AB$3,tabela_registros[CATEGORIA],investirrendafixaconsolidadodez[[#This Row],[ATUAL]])</f>
        <v>0</v>
      </c>
      <c r="L118" s="91">
        <f>SUMIFS(tabela_registros[VALOR],tabela_registros[MÊS],$AE$1,tabela_registros[DIA],investirrendafixaconsolidadodez[[#Headers],[8]],tabela_registros[REGISTRO],DADOS!$N$5,tabela_registros[TIPO],DADOS!$AB$3,tabela_registros[CATEGORIA],investirrendafixaconsolidadodez[[#This Row],[ATUAL]])</f>
        <v>0</v>
      </c>
      <c r="M118" s="91">
        <f>SUMIFS(tabela_registros[VALOR],tabela_registros[MÊS],$AE$1,tabela_registros[DIA],investirrendafixaconsolidadodez[[#Headers],[9]],tabela_registros[REGISTRO],DADOS!$N$5,tabela_registros[TIPO],DADOS!$AB$3,tabela_registros[CATEGORIA],investirrendafixaconsolidadodez[[#This Row],[ATUAL]])</f>
        <v>0</v>
      </c>
      <c r="N118" s="91">
        <f>SUMIFS(tabela_registros[VALOR],tabela_registros[MÊS],$AE$1,tabela_registros[DIA],investirrendafixaconsolidadodez[[#Headers],[10]],tabela_registros[REGISTRO],DADOS!$N$5,tabela_registros[TIPO],DADOS!$AB$3,tabela_registros[CATEGORIA],investirrendafixaconsolidadodez[[#This Row],[ATUAL]])</f>
        <v>0</v>
      </c>
      <c r="O118" s="91">
        <f>SUMIFS(tabela_registros[VALOR],tabela_registros[MÊS],$AE$1,tabela_registros[DIA],investirrendafixaconsolidadodez[[#Headers],[11]],tabela_registros[REGISTRO],DADOS!$N$5,tabela_registros[TIPO],DADOS!$AB$3,tabela_registros[CATEGORIA],investirrendafixaconsolidadodez[[#This Row],[ATUAL]])</f>
        <v>0</v>
      </c>
      <c r="P118" s="91">
        <f>SUMIFS(tabela_registros[VALOR],tabela_registros[MÊS],$AE$1,tabela_registros[DIA],investirrendafixaconsolidadodez[[#Headers],[12]],tabela_registros[REGISTRO],DADOS!$N$5,tabela_registros[TIPO],DADOS!$AB$3,tabela_registros[CATEGORIA],investirrendafixaconsolidadodez[[#This Row],[ATUAL]])</f>
        <v>0</v>
      </c>
      <c r="Q118" s="91">
        <f>SUMIFS(tabela_registros[VALOR],tabela_registros[MÊS],$AE$1,tabela_registros[DIA],investirrendafixaconsolidadodez[[#Headers],[13]],tabela_registros[REGISTRO],DADOS!$N$5,tabela_registros[TIPO],DADOS!$AB$3,tabela_registros[CATEGORIA],investirrendafixaconsolidadodez[[#This Row],[ATUAL]])</f>
        <v>0</v>
      </c>
      <c r="R118" s="91">
        <f>SUMIFS(tabela_registros[VALOR],tabela_registros[MÊS],$AE$1,tabela_registros[DIA],investirrendafixaconsolidadodez[[#Headers],[14]],tabela_registros[REGISTRO],DADOS!$N$5,tabela_registros[TIPO],DADOS!$AB$3,tabela_registros[CATEGORIA],investirrendafixaconsolidadodez[[#This Row],[ATUAL]])</f>
        <v>0</v>
      </c>
      <c r="S118" s="91">
        <f>SUMIFS(tabela_registros[VALOR],tabela_registros[MÊS],$AE$1,tabela_registros[DIA],investirrendafixaconsolidadodez[[#Headers],[15]],tabela_registros[REGISTRO],DADOS!$N$5,tabela_registros[TIPO],DADOS!$AB$3,tabela_registros[CATEGORIA],investirrendafixaconsolidadodez[[#This Row],[ATUAL]])</f>
        <v>0</v>
      </c>
      <c r="T118" s="91">
        <f>SUMIFS(tabela_registros[VALOR],tabela_registros[MÊS],$AE$1,tabela_registros[DIA],investirrendafixaconsolidadodez[[#Headers],[16]],tabela_registros[REGISTRO],DADOS!$N$5,tabela_registros[TIPO],DADOS!$AB$3,tabela_registros[CATEGORIA],investirrendafixaconsolidadodez[[#This Row],[ATUAL]])</f>
        <v>0</v>
      </c>
      <c r="U118" s="91">
        <f>SUMIFS(tabela_registros[VALOR],tabela_registros[MÊS],$AE$1,tabela_registros[DIA],investirrendafixaconsolidadodez[[#Headers],[17]],tabela_registros[REGISTRO],DADOS!$N$5,tabela_registros[TIPO],DADOS!$AB$3,tabela_registros[CATEGORIA],investirrendafixaconsolidadodez[[#This Row],[ATUAL]])</f>
        <v>0</v>
      </c>
      <c r="V118" s="91">
        <f>SUMIFS(tabela_registros[VALOR],tabela_registros[MÊS],$AE$1,tabela_registros[DIA],investirrendafixaconsolidadodez[[#Headers],[18]],tabela_registros[REGISTRO],DADOS!$N$5,tabela_registros[TIPO],DADOS!$AB$3,tabela_registros[CATEGORIA],investirrendafixaconsolidadodez[[#This Row],[ATUAL]])</f>
        <v>0</v>
      </c>
      <c r="W118" s="91">
        <f>SUMIFS(tabela_registros[VALOR],tabela_registros[MÊS],$AE$1,tabela_registros[DIA],investirrendafixaconsolidadodez[[#Headers],[19]],tabela_registros[REGISTRO],DADOS!$N$5,tabela_registros[TIPO],DADOS!$AB$3,tabela_registros[CATEGORIA],investirrendafixaconsolidadodez[[#This Row],[ATUAL]])</f>
        <v>0</v>
      </c>
      <c r="X118" s="91">
        <f>SUMIFS(tabela_registros[VALOR],tabela_registros[MÊS],$AE$1,tabela_registros[DIA],investirrendafixaconsolidadodez[[#Headers],[20]],tabela_registros[REGISTRO],DADOS!$N$5,tabela_registros[TIPO],DADOS!$AB$3,tabela_registros[CATEGORIA],investirrendafixaconsolidadodez[[#This Row],[ATUAL]])</f>
        <v>0</v>
      </c>
      <c r="Y118" s="91">
        <f>SUMIFS(tabela_registros[VALOR],tabela_registros[MÊS],$AE$1,tabela_registros[DIA],investirrendafixaconsolidadodez[[#Headers],[21]],tabela_registros[REGISTRO],DADOS!$N$5,tabela_registros[TIPO],DADOS!$AB$3,tabela_registros[CATEGORIA],investirrendafixaconsolidadodez[[#This Row],[ATUAL]])</f>
        <v>0</v>
      </c>
      <c r="Z118" s="91">
        <f>SUMIFS(tabela_registros[VALOR],tabela_registros[MÊS],$AE$1,tabela_registros[DIA],investirrendafixaconsolidadodez[[#Headers],[22]],tabela_registros[REGISTRO],DADOS!$N$5,tabela_registros[TIPO],DADOS!$AB$3,tabela_registros[CATEGORIA],investirrendafixaconsolidadodez[[#This Row],[ATUAL]])</f>
        <v>0</v>
      </c>
      <c r="AA118" s="91">
        <f>SUMIFS(tabela_registros[VALOR],tabela_registros[MÊS],$AE$1,tabela_registros[DIA],investirrendafixaconsolidadodez[[#Headers],[23]],tabela_registros[REGISTRO],DADOS!$N$5,tabela_registros[TIPO],DADOS!$AB$3,tabela_registros[CATEGORIA],investirrendafixaconsolidadodez[[#This Row],[ATUAL]])</f>
        <v>0</v>
      </c>
      <c r="AB118" s="91">
        <f>SUMIFS(tabela_registros[VALOR],tabela_registros[MÊS],$AE$1,tabela_registros[DIA],investirrendafixaconsolidadodez[[#Headers],[24]],tabela_registros[REGISTRO],DADOS!$N$5,tabela_registros[TIPO],DADOS!$AB$3,tabela_registros[CATEGORIA],investirrendafixaconsolidadodez[[#This Row],[ATUAL]])</f>
        <v>0</v>
      </c>
      <c r="AC118" s="91">
        <f>SUMIFS(tabela_registros[VALOR],tabela_registros[MÊS],$AE$1,tabela_registros[DIA],investirrendafixaconsolidadodez[[#Headers],[25]],tabela_registros[REGISTRO],DADOS!$N$5,tabela_registros[TIPO],DADOS!$AB$3,tabela_registros[CATEGORIA],investirrendafixaconsolidadodez[[#This Row],[ATUAL]])</f>
        <v>0</v>
      </c>
      <c r="AD118" s="91">
        <f>SUMIFS(tabela_registros[VALOR],tabela_registros[MÊS],$AE$1,tabela_registros[DIA],investirrendafixaconsolidadodez[[#Headers],[26]],tabela_registros[REGISTRO],DADOS!$N$5,tabela_registros[TIPO],DADOS!$AB$3,tabela_registros[CATEGORIA],investirrendafixaconsolidadodez[[#This Row],[ATUAL]])</f>
        <v>0</v>
      </c>
      <c r="AE118" s="91">
        <f>SUMIFS(tabela_registros[VALOR],tabela_registros[MÊS],$AE$1,tabela_registros[DIA],investirrendafixaconsolidadodez[[#Headers],[27]],tabela_registros[REGISTRO],DADOS!$N$5,tabela_registros[TIPO],DADOS!$AB$3,tabela_registros[CATEGORIA],investirrendafixaconsolidadodez[[#This Row],[ATUAL]])</f>
        <v>0</v>
      </c>
      <c r="AF118" s="91">
        <f>SUMIFS(tabela_registros[VALOR],tabela_registros[MÊS],$AE$1,tabela_registros[DIA],investirrendafixaconsolidadodez[[#Headers],[28]],tabela_registros[REGISTRO],DADOS!$N$5,tabela_registros[TIPO],DADOS!$AB$3,tabela_registros[CATEGORIA],investirrendafixaconsolidadodez[[#This Row],[ATUAL]])</f>
        <v>0</v>
      </c>
      <c r="AG118" s="91">
        <f>SUMIFS(tabela_registros[VALOR],tabela_registros[MÊS],$AE$1,tabela_registros[DIA],investirrendafixaconsolidadodez[[#Headers],[29]],tabela_registros[REGISTRO],DADOS!$N$5,tabela_registros[TIPO],DADOS!$AB$3,tabela_registros[CATEGORIA],investirrendafixaconsolidadodez[[#This Row],[ATUAL]])</f>
        <v>0</v>
      </c>
      <c r="AH118" s="91">
        <f>SUMIFS(tabela_registros[VALOR],tabela_registros[MÊS],$AE$1,tabela_registros[DIA],investirrendafixaconsolidadodez[[#Headers],[30]],tabela_registros[REGISTRO],DADOS!$N$5,tabela_registros[TIPO],DADOS!$AB$3,tabela_registros[CATEGORIA],investirrendafixaconsolidadodez[[#This Row],[ATUAL]])</f>
        <v>0</v>
      </c>
      <c r="AI118" s="101">
        <f>SUMIFS(tabela_registros[VALOR],tabela_registros[MÊS],$AE$1,tabela_registros[DIA],investirrendafixaconsolidadodez[[#Headers],[31]],tabela_registros[REGISTRO],DADOS!$N$5,tabela_registros[TIPO],DADOS!$AB$3,tabela_registros[CATEGORIA],investirrendafixaconsolidadodez[[#This Row],[ATUAL]])</f>
        <v>0</v>
      </c>
      <c r="AJ118" s="97">
        <f>SUM(investirrendafixaconsolidadodez[[#This Row],[1]:[31]])</f>
        <v>0</v>
      </c>
      <c r="AK118" s="25"/>
    </row>
    <row r="119" spans="2:37" ht="19.5" customHeight="1" thickTop="1" thickBot="1" x14ac:dyDescent="0.3">
      <c r="B119" s="28"/>
      <c r="C119" s="27" t="str">
        <f>DADOS!$AD$9</f>
        <v>📝 LCA</v>
      </c>
      <c r="D119" s="26" t="str">
        <f>IF(investirrendafixaconsolidadodez[[#This Row],[TOTAL (R$)]]=0,"",IF(OR(investirrendafixaconsolidadodez[[#This Row],[TOTAL (R$)]]=LARGE($AJ$113:$AJ$122,1),investirrendafixaconsolidadodez[[#This Row],[TOTAL (R$)]]=LARGE($AJ$113:$AJ$122,2)),DADOS!$I$10,""))</f>
        <v/>
      </c>
      <c r="E119" s="96">
        <f>SUMIFS(tabela_registros[VALOR],tabela_registros[MÊS],$AE$1,tabela_registros[DIA],investirrendafixaconsolidadodez[[#Headers],[1]],tabela_registros[REGISTRO],DADOS!$N$5,tabela_registros[TIPO],DADOS!$AB$3,tabela_registros[CATEGORIA],investirrendafixaconsolidadodez[[#This Row],[ATUAL]])</f>
        <v>0</v>
      </c>
      <c r="F119" s="91">
        <f>SUMIFS(tabela_registros[VALOR],tabela_registros[MÊS],$AE$1,tabela_registros[DIA],investirrendafixaconsolidadodez[[#Headers],[2]],tabela_registros[REGISTRO],DADOS!$N$5,tabela_registros[TIPO],DADOS!$AB$3,tabela_registros[CATEGORIA],investirrendafixaconsolidadodez[[#This Row],[ATUAL]])</f>
        <v>0</v>
      </c>
      <c r="G119" s="91">
        <f>SUMIFS(tabela_registros[VALOR],tabela_registros[MÊS],$AE$1,tabela_registros[DIA],investirrendafixaconsolidadodez[[#Headers],[3]],tabela_registros[REGISTRO],DADOS!$N$5,tabela_registros[TIPO],DADOS!$AB$3,tabela_registros[CATEGORIA],investirrendafixaconsolidadodez[[#This Row],[ATUAL]])</f>
        <v>0</v>
      </c>
      <c r="H119" s="91">
        <f>SUMIFS(tabela_registros[VALOR],tabela_registros[MÊS],$AE$1,tabela_registros[DIA],investirrendafixaconsolidadodez[[#Headers],[4]],tabela_registros[REGISTRO],DADOS!$N$5,tabela_registros[TIPO],DADOS!$AB$3,tabela_registros[CATEGORIA],investirrendafixaconsolidadodez[[#This Row],[ATUAL]])</f>
        <v>0</v>
      </c>
      <c r="I119" s="91">
        <f>SUMIFS(tabela_registros[VALOR],tabela_registros[MÊS],$AE$1,tabela_registros[DIA],investirrendafixaconsolidadodez[[#Headers],[5]],tabela_registros[REGISTRO],DADOS!$N$5,tabela_registros[TIPO],DADOS!$AB$3,tabela_registros[CATEGORIA],investirrendafixaconsolidadodez[[#This Row],[ATUAL]])</f>
        <v>0</v>
      </c>
      <c r="J119" s="91">
        <f>SUMIFS(tabela_registros[VALOR],tabela_registros[MÊS],$AE$1,tabela_registros[DIA],investirrendafixaconsolidadodez[[#Headers],[6]],tabela_registros[REGISTRO],DADOS!$N$5,tabela_registros[TIPO],DADOS!$AB$3,tabela_registros[CATEGORIA],investirrendafixaconsolidadodez[[#This Row],[ATUAL]])</f>
        <v>0</v>
      </c>
      <c r="K119" s="91">
        <f>SUMIFS(tabela_registros[VALOR],tabela_registros[MÊS],$AE$1,tabela_registros[DIA],investirrendafixaconsolidadodez[[#Headers],[7]],tabela_registros[REGISTRO],DADOS!$N$5,tabela_registros[TIPO],DADOS!$AB$3,tabela_registros[CATEGORIA],investirrendafixaconsolidadodez[[#This Row],[ATUAL]])</f>
        <v>0</v>
      </c>
      <c r="L119" s="91">
        <f>SUMIFS(tabela_registros[VALOR],tabela_registros[MÊS],$AE$1,tabela_registros[DIA],investirrendafixaconsolidadodez[[#Headers],[8]],tabela_registros[REGISTRO],DADOS!$N$5,tabela_registros[TIPO],DADOS!$AB$3,tabela_registros[CATEGORIA],investirrendafixaconsolidadodez[[#This Row],[ATUAL]])</f>
        <v>0</v>
      </c>
      <c r="M119" s="91">
        <f>SUMIFS(tabela_registros[VALOR],tabela_registros[MÊS],$AE$1,tabela_registros[DIA],investirrendafixaconsolidadodez[[#Headers],[9]],tabela_registros[REGISTRO],DADOS!$N$5,tabela_registros[TIPO],DADOS!$AB$3,tabela_registros[CATEGORIA],investirrendafixaconsolidadodez[[#This Row],[ATUAL]])</f>
        <v>0</v>
      </c>
      <c r="N119" s="91">
        <f>SUMIFS(tabela_registros[VALOR],tabela_registros[MÊS],$AE$1,tabela_registros[DIA],investirrendafixaconsolidadodez[[#Headers],[10]],tabela_registros[REGISTRO],DADOS!$N$5,tabela_registros[TIPO],DADOS!$AB$3,tabela_registros[CATEGORIA],investirrendafixaconsolidadodez[[#This Row],[ATUAL]])</f>
        <v>0</v>
      </c>
      <c r="O119" s="91">
        <f>SUMIFS(tabela_registros[VALOR],tabela_registros[MÊS],$AE$1,tabela_registros[DIA],investirrendafixaconsolidadodez[[#Headers],[11]],tabela_registros[REGISTRO],DADOS!$N$5,tabela_registros[TIPO],DADOS!$AB$3,tabela_registros[CATEGORIA],investirrendafixaconsolidadodez[[#This Row],[ATUAL]])</f>
        <v>0</v>
      </c>
      <c r="P119" s="91">
        <f>SUMIFS(tabela_registros[VALOR],tabela_registros[MÊS],$AE$1,tabela_registros[DIA],investirrendafixaconsolidadodez[[#Headers],[12]],tabela_registros[REGISTRO],DADOS!$N$5,tabela_registros[TIPO],DADOS!$AB$3,tabela_registros[CATEGORIA],investirrendafixaconsolidadodez[[#This Row],[ATUAL]])</f>
        <v>0</v>
      </c>
      <c r="Q119" s="91">
        <f>SUMIFS(tabela_registros[VALOR],tabela_registros[MÊS],$AE$1,tabela_registros[DIA],investirrendafixaconsolidadodez[[#Headers],[13]],tabela_registros[REGISTRO],DADOS!$N$5,tabela_registros[TIPO],DADOS!$AB$3,tabela_registros[CATEGORIA],investirrendafixaconsolidadodez[[#This Row],[ATUAL]])</f>
        <v>0</v>
      </c>
      <c r="R119" s="91">
        <f>SUMIFS(tabela_registros[VALOR],tabela_registros[MÊS],$AE$1,tabela_registros[DIA],investirrendafixaconsolidadodez[[#Headers],[14]],tabela_registros[REGISTRO],DADOS!$N$5,tabela_registros[TIPO],DADOS!$AB$3,tabela_registros[CATEGORIA],investirrendafixaconsolidadodez[[#This Row],[ATUAL]])</f>
        <v>0</v>
      </c>
      <c r="S119" s="91">
        <f>SUMIFS(tabela_registros[VALOR],tabela_registros[MÊS],$AE$1,tabela_registros[DIA],investirrendafixaconsolidadodez[[#Headers],[15]],tabela_registros[REGISTRO],DADOS!$N$5,tabela_registros[TIPO],DADOS!$AB$3,tabela_registros[CATEGORIA],investirrendafixaconsolidadodez[[#This Row],[ATUAL]])</f>
        <v>0</v>
      </c>
      <c r="T119" s="91">
        <f>SUMIFS(tabela_registros[VALOR],tabela_registros[MÊS],$AE$1,tabela_registros[DIA],investirrendafixaconsolidadodez[[#Headers],[16]],tabela_registros[REGISTRO],DADOS!$N$5,tabela_registros[TIPO],DADOS!$AB$3,tabela_registros[CATEGORIA],investirrendafixaconsolidadodez[[#This Row],[ATUAL]])</f>
        <v>0</v>
      </c>
      <c r="U119" s="91">
        <f>SUMIFS(tabela_registros[VALOR],tabela_registros[MÊS],$AE$1,tabela_registros[DIA],investirrendafixaconsolidadodez[[#Headers],[17]],tabela_registros[REGISTRO],DADOS!$N$5,tabela_registros[TIPO],DADOS!$AB$3,tabela_registros[CATEGORIA],investirrendafixaconsolidadodez[[#This Row],[ATUAL]])</f>
        <v>0</v>
      </c>
      <c r="V119" s="91">
        <f>SUMIFS(tabela_registros[VALOR],tabela_registros[MÊS],$AE$1,tabela_registros[DIA],investirrendafixaconsolidadodez[[#Headers],[18]],tabela_registros[REGISTRO],DADOS!$N$5,tabela_registros[TIPO],DADOS!$AB$3,tabela_registros[CATEGORIA],investirrendafixaconsolidadodez[[#This Row],[ATUAL]])</f>
        <v>0</v>
      </c>
      <c r="W119" s="91">
        <f>SUMIFS(tabela_registros[VALOR],tabela_registros[MÊS],$AE$1,tabela_registros[DIA],investirrendafixaconsolidadodez[[#Headers],[19]],tabela_registros[REGISTRO],DADOS!$N$5,tabela_registros[TIPO],DADOS!$AB$3,tabela_registros[CATEGORIA],investirrendafixaconsolidadodez[[#This Row],[ATUAL]])</f>
        <v>0</v>
      </c>
      <c r="X119" s="91">
        <f>SUMIFS(tabela_registros[VALOR],tabela_registros[MÊS],$AE$1,tabela_registros[DIA],investirrendafixaconsolidadodez[[#Headers],[20]],tabela_registros[REGISTRO],DADOS!$N$5,tabela_registros[TIPO],DADOS!$AB$3,tabela_registros[CATEGORIA],investirrendafixaconsolidadodez[[#This Row],[ATUAL]])</f>
        <v>0</v>
      </c>
      <c r="Y119" s="91">
        <f>SUMIFS(tabela_registros[VALOR],tabela_registros[MÊS],$AE$1,tabela_registros[DIA],investirrendafixaconsolidadodez[[#Headers],[21]],tabela_registros[REGISTRO],DADOS!$N$5,tabela_registros[TIPO],DADOS!$AB$3,tabela_registros[CATEGORIA],investirrendafixaconsolidadodez[[#This Row],[ATUAL]])</f>
        <v>0</v>
      </c>
      <c r="Z119" s="91">
        <f>SUMIFS(tabela_registros[VALOR],tabela_registros[MÊS],$AE$1,tabela_registros[DIA],investirrendafixaconsolidadodez[[#Headers],[22]],tabela_registros[REGISTRO],DADOS!$N$5,tabela_registros[TIPO],DADOS!$AB$3,tabela_registros[CATEGORIA],investirrendafixaconsolidadodez[[#This Row],[ATUAL]])</f>
        <v>0</v>
      </c>
      <c r="AA119" s="91">
        <f>SUMIFS(tabela_registros[VALOR],tabela_registros[MÊS],$AE$1,tabela_registros[DIA],investirrendafixaconsolidadodez[[#Headers],[23]],tabela_registros[REGISTRO],DADOS!$N$5,tabela_registros[TIPO],DADOS!$AB$3,tabela_registros[CATEGORIA],investirrendafixaconsolidadodez[[#This Row],[ATUAL]])</f>
        <v>0</v>
      </c>
      <c r="AB119" s="91">
        <f>SUMIFS(tabela_registros[VALOR],tabela_registros[MÊS],$AE$1,tabela_registros[DIA],investirrendafixaconsolidadodez[[#Headers],[24]],tabela_registros[REGISTRO],DADOS!$N$5,tabela_registros[TIPO],DADOS!$AB$3,tabela_registros[CATEGORIA],investirrendafixaconsolidadodez[[#This Row],[ATUAL]])</f>
        <v>0</v>
      </c>
      <c r="AC119" s="91">
        <f>SUMIFS(tabela_registros[VALOR],tabela_registros[MÊS],$AE$1,tabela_registros[DIA],investirrendafixaconsolidadodez[[#Headers],[25]],tabela_registros[REGISTRO],DADOS!$N$5,tabela_registros[TIPO],DADOS!$AB$3,tabela_registros[CATEGORIA],investirrendafixaconsolidadodez[[#This Row],[ATUAL]])</f>
        <v>0</v>
      </c>
      <c r="AD119" s="91">
        <f>SUMIFS(tabela_registros[VALOR],tabela_registros[MÊS],$AE$1,tabela_registros[DIA],investirrendafixaconsolidadodez[[#Headers],[26]],tabela_registros[REGISTRO],DADOS!$N$5,tabela_registros[TIPO],DADOS!$AB$3,tabela_registros[CATEGORIA],investirrendafixaconsolidadodez[[#This Row],[ATUAL]])</f>
        <v>0</v>
      </c>
      <c r="AE119" s="91">
        <f>SUMIFS(tabela_registros[VALOR],tabela_registros[MÊS],$AE$1,tabela_registros[DIA],investirrendafixaconsolidadodez[[#Headers],[27]],tabela_registros[REGISTRO],DADOS!$N$5,tabela_registros[TIPO],DADOS!$AB$3,tabela_registros[CATEGORIA],investirrendafixaconsolidadodez[[#This Row],[ATUAL]])</f>
        <v>0</v>
      </c>
      <c r="AF119" s="91">
        <f>SUMIFS(tabela_registros[VALOR],tabela_registros[MÊS],$AE$1,tabela_registros[DIA],investirrendafixaconsolidadodez[[#Headers],[28]],tabela_registros[REGISTRO],DADOS!$N$5,tabela_registros[TIPO],DADOS!$AB$3,tabela_registros[CATEGORIA],investirrendafixaconsolidadodez[[#This Row],[ATUAL]])</f>
        <v>0</v>
      </c>
      <c r="AG119" s="91">
        <f>SUMIFS(tabela_registros[VALOR],tabela_registros[MÊS],$AE$1,tabela_registros[DIA],investirrendafixaconsolidadodez[[#Headers],[29]],tabela_registros[REGISTRO],DADOS!$N$5,tabela_registros[TIPO],DADOS!$AB$3,tabela_registros[CATEGORIA],investirrendafixaconsolidadodez[[#This Row],[ATUAL]])</f>
        <v>0</v>
      </c>
      <c r="AH119" s="91">
        <f>SUMIFS(tabela_registros[VALOR],tabela_registros[MÊS],$AE$1,tabela_registros[DIA],investirrendafixaconsolidadodez[[#Headers],[30]],tabela_registros[REGISTRO],DADOS!$N$5,tabela_registros[TIPO],DADOS!$AB$3,tabela_registros[CATEGORIA],investirrendafixaconsolidadodez[[#This Row],[ATUAL]])</f>
        <v>0</v>
      </c>
      <c r="AI119" s="101">
        <f>SUMIFS(tabela_registros[VALOR],tabela_registros[MÊS],$AE$1,tabela_registros[DIA],investirrendafixaconsolidadodez[[#Headers],[31]],tabela_registros[REGISTRO],DADOS!$N$5,tabela_registros[TIPO],DADOS!$AB$3,tabela_registros[CATEGORIA],investirrendafixaconsolidadodez[[#This Row],[ATUAL]])</f>
        <v>0</v>
      </c>
      <c r="AJ119" s="97">
        <f>SUM(investirrendafixaconsolidadodez[[#This Row],[1]:[31]])</f>
        <v>0</v>
      </c>
      <c r="AK119" s="25"/>
    </row>
    <row r="120" spans="2:37" ht="19.5" customHeight="1" thickTop="1" thickBot="1" x14ac:dyDescent="0.3">
      <c r="B120" s="28"/>
      <c r="C120" s="27" t="str">
        <f>DADOS!$AD$10</f>
        <v>📝 LCI</v>
      </c>
      <c r="D120" s="26" t="str">
        <f>IF(investirrendafixaconsolidadodez[[#This Row],[TOTAL (R$)]]=0,"",IF(OR(investirrendafixaconsolidadodez[[#This Row],[TOTAL (R$)]]=LARGE($AJ$113:$AJ$122,1),investirrendafixaconsolidadodez[[#This Row],[TOTAL (R$)]]=LARGE($AJ$113:$AJ$122,2)),DADOS!$I$10,""))</f>
        <v/>
      </c>
      <c r="E120" s="96">
        <f>SUMIFS(tabela_registros[VALOR],tabela_registros[MÊS],$AE$1,tabela_registros[DIA],investirrendafixaconsolidadodez[[#Headers],[1]],tabela_registros[REGISTRO],DADOS!$N$5,tabela_registros[TIPO],DADOS!$AB$3,tabela_registros[CATEGORIA],investirrendafixaconsolidadodez[[#This Row],[ATUAL]])</f>
        <v>0</v>
      </c>
      <c r="F120" s="91">
        <f>SUMIFS(tabela_registros[VALOR],tabela_registros[MÊS],$AE$1,tabela_registros[DIA],investirrendafixaconsolidadodez[[#Headers],[2]],tabela_registros[REGISTRO],DADOS!$N$5,tabela_registros[TIPO],DADOS!$AB$3,tabela_registros[CATEGORIA],investirrendafixaconsolidadodez[[#This Row],[ATUAL]])</f>
        <v>0</v>
      </c>
      <c r="G120" s="91">
        <f>SUMIFS(tabela_registros[VALOR],tabela_registros[MÊS],$AE$1,tabela_registros[DIA],investirrendafixaconsolidadodez[[#Headers],[3]],tabela_registros[REGISTRO],DADOS!$N$5,tabela_registros[TIPO],DADOS!$AB$3,tabela_registros[CATEGORIA],investirrendafixaconsolidadodez[[#This Row],[ATUAL]])</f>
        <v>0</v>
      </c>
      <c r="H120" s="91">
        <f>SUMIFS(tabela_registros[VALOR],tabela_registros[MÊS],$AE$1,tabela_registros[DIA],investirrendafixaconsolidadodez[[#Headers],[4]],tabela_registros[REGISTRO],DADOS!$N$5,tabela_registros[TIPO],DADOS!$AB$3,tabela_registros[CATEGORIA],investirrendafixaconsolidadodez[[#This Row],[ATUAL]])</f>
        <v>0</v>
      </c>
      <c r="I120" s="91">
        <f>SUMIFS(tabela_registros[VALOR],tabela_registros[MÊS],$AE$1,tabela_registros[DIA],investirrendafixaconsolidadodez[[#Headers],[5]],tabela_registros[REGISTRO],DADOS!$N$5,tabela_registros[TIPO],DADOS!$AB$3,tabela_registros[CATEGORIA],investirrendafixaconsolidadodez[[#This Row],[ATUAL]])</f>
        <v>0</v>
      </c>
      <c r="J120" s="91">
        <f>SUMIFS(tabela_registros[VALOR],tabela_registros[MÊS],$AE$1,tabela_registros[DIA],investirrendafixaconsolidadodez[[#Headers],[6]],tabela_registros[REGISTRO],DADOS!$N$5,tabela_registros[TIPO],DADOS!$AB$3,tabela_registros[CATEGORIA],investirrendafixaconsolidadodez[[#This Row],[ATUAL]])</f>
        <v>0</v>
      </c>
      <c r="K120" s="91">
        <f>SUMIFS(tabela_registros[VALOR],tabela_registros[MÊS],$AE$1,tabela_registros[DIA],investirrendafixaconsolidadodez[[#Headers],[7]],tabela_registros[REGISTRO],DADOS!$N$5,tabela_registros[TIPO],DADOS!$AB$3,tabela_registros[CATEGORIA],investirrendafixaconsolidadodez[[#This Row],[ATUAL]])</f>
        <v>0</v>
      </c>
      <c r="L120" s="91">
        <f>SUMIFS(tabela_registros[VALOR],tabela_registros[MÊS],$AE$1,tabela_registros[DIA],investirrendafixaconsolidadodez[[#Headers],[8]],tabela_registros[REGISTRO],DADOS!$N$5,tabela_registros[TIPO],DADOS!$AB$3,tabela_registros[CATEGORIA],investirrendafixaconsolidadodez[[#This Row],[ATUAL]])</f>
        <v>0</v>
      </c>
      <c r="M120" s="91">
        <f>SUMIFS(tabela_registros[VALOR],tabela_registros[MÊS],$AE$1,tabela_registros[DIA],investirrendafixaconsolidadodez[[#Headers],[9]],tabela_registros[REGISTRO],DADOS!$N$5,tabela_registros[TIPO],DADOS!$AB$3,tabela_registros[CATEGORIA],investirrendafixaconsolidadodez[[#This Row],[ATUAL]])</f>
        <v>0</v>
      </c>
      <c r="N120" s="91">
        <f>SUMIFS(tabela_registros[VALOR],tabela_registros[MÊS],$AE$1,tabela_registros[DIA],investirrendafixaconsolidadodez[[#Headers],[10]],tabela_registros[REGISTRO],DADOS!$N$5,tabela_registros[TIPO],DADOS!$AB$3,tabela_registros[CATEGORIA],investirrendafixaconsolidadodez[[#This Row],[ATUAL]])</f>
        <v>0</v>
      </c>
      <c r="O120" s="91">
        <f>SUMIFS(tabela_registros[VALOR],tabela_registros[MÊS],$AE$1,tabela_registros[DIA],investirrendafixaconsolidadodez[[#Headers],[11]],tabela_registros[REGISTRO],DADOS!$N$5,tabela_registros[TIPO],DADOS!$AB$3,tabela_registros[CATEGORIA],investirrendafixaconsolidadodez[[#This Row],[ATUAL]])</f>
        <v>0</v>
      </c>
      <c r="P120" s="91">
        <f>SUMIFS(tabela_registros[VALOR],tabela_registros[MÊS],$AE$1,tabela_registros[DIA],investirrendafixaconsolidadodez[[#Headers],[12]],tabela_registros[REGISTRO],DADOS!$N$5,tabela_registros[TIPO],DADOS!$AB$3,tabela_registros[CATEGORIA],investirrendafixaconsolidadodez[[#This Row],[ATUAL]])</f>
        <v>0</v>
      </c>
      <c r="Q120" s="91">
        <f>SUMIFS(tabela_registros[VALOR],tabela_registros[MÊS],$AE$1,tabela_registros[DIA],investirrendafixaconsolidadodez[[#Headers],[13]],tabela_registros[REGISTRO],DADOS!$N$5,tabela_registros[TIPO],DADOS!$AB$3,tabela_registros[CATEGORIA],investirrendafixaconsolidadodez[[#This Row],[ATUAL]])</f>
        <v>0</v>
      </c>
      <c r="R120" s="91">
        <f>SUMIFS(tabela_registros[VALOR],tabela_registros[MÊS],$AE$1,tabela_registros[DIA],investirrendafixaconsolidadodez[[#Headers],[14]],tabela_registros[REGISTRO],DADOS!$N$5,tabela_registros[TIPO],DADOS!$AB$3,tabela_registros[CATEGORIA],investirrendafixaconsolidadodez[[#This Row],[ATUAL]])</f>
        <v>0</v>
      </c>
      <c r="S120" s="91">
        <f>SUMIFS(tabela_registros[VALOR],tabela_registros[MÊS],$AE$1,tabela_registros[DIA],investirrendafixaconsolidadodez[[#Headers],[15]],tabela_registros[REGISTRO],DADOS!$N$5,tabela_registros[TIPO],DADOS!$AB$3,tabela_registros[CATEGORIA],investirrendafixaconsolidadodez[[#This Row],[ATUAL]])</f>
        <v>0</v>
      </c>
      <c r="T120" s="91">
        <f>SUMIFS(tabela_registros[VALOR],tabela_registros[MÊS],$AE$1,tabela_registros[DIA],investirrendafixaconsolidadodez[[#Headers],[16]],tabela_registros[REGISTRO],DADOS!$N$5,tabela_registros[TIPO],DADOS!$AB$3,tabela_registros[CATEGORIA],investirrendafixaconsolidadodez[[#This Row],[ATUAL]])</f>
        <v>0</v>
      </c>
      <c r="U120" s="91">
        <f>SUMIFS(tabela_registros[VALOR],tabela_registros[MÊS],$AE$1,tabela_registros[DIA],investirrendafixaconsolidadodez[[#Headers],[17]],tabela_registros[REGISTRO],DADOS!$N$5,tabela_registros[TIPO],DADOS!$AB$3,tabela_registros[CATEGORIA],investirrendafixaconsolidadodez[[#This Row],[ATUAL]])</f>
        <v>0</v>
      </c>
      <c r="V120" s="91">
        <f>SUMIFS(tabela_registros[VALOR],tabela_registros[MÊS],$AE$1,tabela_registros[DIA],investirrendafixaconsolidadodez[[#Headers],[18]],tabela_registros[REGISTRO],DADOS!$N$5,tabela_registros[TIPO],DADOS!$AB$3,tabela_registros[CATEGORIA],investirrendafixaconsolidadodez[[#This Row],[ATUAL]])</f>
        <v>0</v>
      </c>
      <c r="W120" s="91">
        <f>SUMIFS(tabela_registros[VALOR],tabela_registros[MÊS],$AE$1,tabela_registros[DIA],investirrendafixaconsolidadodez[[#Headers],[19]],tabela_registros[REGISTRO],DADOS!$N$5,tabela_registros[TIPO],DADOS!$AB$3,tabela_registros[CATEGORIA],investirrendafixaconsolidadodez[[#This Row],[ATUAL]])</f>
        <v>0</v>
      </c>
      <c r="X120" s="91">
        <f>SUMIFS(tabela_registros[VALOR],tabela_registros[MÊS],$AE$1,tabela_registros[DIA],investirrendafixaconsolidadodez[[#Headers],[20]],tabela_registros[REGISTRO],DADOS!$N$5,tabela_registros[TIPO],DADOS!$AB$3,tabela_registros[CATEGORIA],investirrendafixaconsolidadodez[[#This Row],[ATUAL]])</f>
        <v>0</v>
      </c>
      <c r="Y120" s="91">
        <f>SUMIFS(tabela_registros[VALOR],tabela_registros[MÊS],$AE$1,tabela_registros[DIA],investirrendafixaconsolidadodez[[#Headers],[21]],tabela_registros[REGISTRO],DADOS!$N$5,tabela_registros[TIPO],DADOS!$AB$3,tabela_registros[CATEGORIA],investirrendafixaconsolidadodez[[#This Row],[ATUAL]])</f>
        <v>0</v>
      </c>
      <c r="Z120" s="91">
        <f>SUMIFS(tabela_registros[VALOR],tabela_registros[MÊS],$AE$1,tabela_registros[DIA],investirrendafixaconsolidadodez[[#Headers],[22]],tabela_registros[REGISTRO],DADOS!$N$5,tabela_registros[TIPO],DADOS!$AB$3,tabela_registros[CATEGORIA],investirrendafixaconsolidadodez[[#This Row],[ATUAL]])</f>
        <v>0</v>
      </c>
      <c r="AA120" s="91">
        <f>SUMIFS(tabela_registros[VALOR],tabela_registros[MÊS],$AE$1,tabela_registros[DIA],investirrendafixaconsolidadodez[[#Headers],[23]],tabela_registros[REGISTRO],DADOS!$N$5,tabela_registros[TIPO],DADOS!$AB$3,tabela_registros[CATEGORIA],investirrendafixaconsolidadodez[[#This Row],[ATUAL]])</f>
        <v>0</v>
      </c>
      <c r="AB120" s="91">
        <f>SUMIFS(tabela_registros[VALOR],tabela_registros[MÊS],$AE$1,tabela_registros[DIA],investirrendafixaconsolidadodez[[#Headers],[24]],tabela_registros[REGISTRO],DADOS!$N$5,tabela_registros[TIPO],DADOS!$AB$3,tabela_registros[CATEGORIA],investirrendafixaconsolidadodez[[#This Row],[ATUAL]])</f>
        <v>0</v>
      </c>
      <c r="AC120" s="91">
        <f>SUMIFS(tabela_registros[VALOR],tabela_registros[MÊS],$AE$1,tabela_registros[DIA],investirrendafixaconsolidadodez[[#Headers],[25]],tabela_registros[REGISTRO],DADOS!$N$5,tabela_registros[TIPO],DADOS!$AB$3,tabela_registros[CATEGORIA],investirrendafixaconsolidadodez[[#This Row],[ATUAL]])</f>
        <v>0</v>
      </c>
      <c r="AD120" s="91">
        <f>SUMIFS(tabela_registros[VALOR],tabela_registros[MÊS],$AE$1,tabela_registros[DIA],investirrendafixaconsolidadodez[[#Headers],[26]],tabela_registros[REGISTRO],DADOS!$N$5,tabela_registros[TIPO],DADOS!$AB$3,tabela_registros[CATEGORIA],investirrendafixaconsolidadodez[[#This Row],[ATUAL]])</f>
        <v>0</v>
      </c>
      <c r="AE120" s="91">
        <f>SUMIFS(tabela_registros[VALOR],tabela_registros[MÊS],$AE$1,tabela_registros[DIA],investirrendafixaconsolidadodez[[#Headers],[27]],tabela_registros[REGISTRO],DADOS!$N$5,tabela_registros[TIPO],DADOS!$AB$3,tabela_registros[CATEGORIA],investirrendafixaconsolidadodez[[#This Row],[ATUAL]])</f>
        <v>0</v>
      </c>
      <c r="AF120" s="91">
        <f>SUMIFS(tabela_registros[VALOR],tabela_registros[MÊS],$AE$1,tabela_registros[DIA],investirrendafixaconsolidadodez[[#Headers],[28]],tabela_registros[REGISTRO],DADOS!$N$5,tabela_registros[TIPO],DADOS!$AB$3,tabela_registros[CATEGORIA],investirrendafixaconsolidadodez[[#This Row],[ATUAL]])</f>
        <v>0</v>
      </c>
      <c r="AG120" s="91">
        <f>SUMIFS(tabela_registros[VALOR],tabela_registros[MÊS],$AE$1,tabela_registros[DIA],investirrendafixaconsolidadodez[[#Headers],[29]],tabela_registros[REGISTRO],DADOS!$N$5,tabela_registros[TIPO],DADOS!$AB$3,tabela_registros[CATEGORIA],investirrendafixaconsolidadodez[[#This Row],[ATUAL]])</f>
        <v>0</v>
      </c>
      <c r="AH120" s="91">
        <f>SUMIFS(tabela_registros[VALOR],tabela_registros[MÊS],$AE$1,tabela_registros[DIA],investirrendafixaconsolidadodez[[#Headers],[30]],tabela_registros[REGISTRO],DADOS!$N$5,tabela_registros[TIPO],DADOS!$AB$3,tabela_registros[CATEGORIA],investirrendafixaconsolidadodez[[#This Row],[ATUAL]])</f>
        <v>0</v>
      </c>
      <c r="AI120" s="101">
        <f>SUMIFS(tabela_registros[VALOR],tabela_registros[MÊS],$AE$1,tabela_registros[DIA],investirrendafixaconsolidadodez[[#Headers],[31]],tabela_registros[REGISTRO],DADOS!$N$5,tabela_registros[TIPO],DADOS!$AB$3,tabela_registros[CATEGORIA],investirrendafixaconsolidadodez[[#This Row],[ATUAL]])</f>
        <v>0</v>
      </c>
      <c r="AJ120" s="97">
        <f>SUM(investirrendafixaconsolidadodez[[#This Row],[1]:[31]])</f>
        <v>0</v>
      </c>
      <c r="AK120" s="25"/>
    </row>
    <row r="121" spans="2:37" ht="19.5" customHeight="1" thickTop="1" thickBot="1" x14ac:dyDescent="0.3">
      <c r="B121" s="28"/>
      <c r="C121" s="27" t="str">
        <f>DADOS!$AD$11</f>
        <v>📝 TESOURO DIRETO</v>
      </c>
      <c r="D121" s="26" t="str">
        <f>IF(investirrendafixaconsolidadodez[[#This Row],[TOTAL (R$)]]=0,"",IF(OR(investirrendafixaconsolidadodez[[#This Row],[TOTAL (R$)]]=LARGE($AJ$113:$AJ$122,1),investirrendafixaconsolidadodez[[#This Row],[TOTAL (R$)]]=LARGE($AJ$113:$AJ$122,2)),DADOS!$I$10,""))</f>
        <v/>
      </c>
      <c r="E121" s="96">
        <f>SUMIFS(tabela_registros[VALOR],tabela_registros[MÊS],$AE$1,tabela_registros[DIA],investirrendafixaconsolidadodez[[#Headers],[1]],tabela_registros[REGISTRO],DADOS!$N$5,tabela_registros[TIPO],DADOS!$AB$3,tabela_registros[CATEGORIA],investirrendafixaconsolidadodez[[#This Row],[ATUAL]])</f>
        <v>0</v>
      </c>
      <c r="F121" s="91">
        <f>SUMIFS(tabela_registros[VALOR],tabela_registros[MÊS],$AE$1,tabela_registros[DIA],investirrendafixaconsolidadodez[[#Headers],[2]],tabela_registros[REGISTRO],DADOS!$N$5,tabela_registros[TIPO],DADOS!$AB$3,tabela_registros[CATEGORIA],investirrendafixaconsolidadodez[[#This Row],[ATUAL]])</f>
        <v>0</v>
      </c>
      <c r="G121" s="91">
        <f>SUMIFS(tabela_registros[VALOR],tabela_registros[MÊS],$AE$1,tabela_registros[DIA],investirrendafixaconsolidadodez[[#Headers],[3]],tabela_registros[REGISTRO],DADOS!$N$5,tabela_registros[TIPO],DADOS!$AB$3,tabela_registros[CATEGORIA],investirrendafixaconsolidadodez[[#This Row],[ATUAL]])</f>
        <v>0</v>
      </c>
      <c r="H121" s="91">
        <f>SUMIFS(tabela_registros[VALOR],tabela_registros[MÊS],$AE$1,tabela_registros[DIA],investirrendafixaconsolidadodez[[#Headers],[4]],tabela_registros[REGISTRO],DADOS!$N$5,tabela_registros[TIPO],DADOS!$AB$3,tabela_registros[CATEGORIA],investirrendafixaconsolidadodez[[#This Row],[ATUAL]])</f>
        <v>0</v>
      </c>
      <c r="I121" s="91">
        <f>SUMIFS(tabela_registros[VALOR],tabela_registros[MÊS],$AE$1,tabela_registros[DIA],investirrendafixaconsolidadodez[[#Headers],[5]],tabela_registros[REGISTRO],DADOS!$N$5,tabela_registros[TIPO],DADOS!$AB$3,tabela_registros[CATEGORIA],investirrendafixaconsolidadodez[[#This Row],[ATUAL]])</f>
        <v>0</v>
      </c>
      <c r="J121" s="91">
        <f>SUMIFS(tabela_registros[VALOR],tabela_registros[MÊS],$AE$1,tabela_registros[DIA],investirrendafixaconsolidadodez[[#Headers],[6]],tabela_registros[REGISTRO],DADOS!$N$5,tabela_registros[TIPO],DADOS!$AB$3,tabela_registros[CATEGORIA],investirrendafixaconsolidadodez[[#This Row],[ATUAL]])</f>
        <v>0</v>
      </c>
      <c r="K121" s="91">
        <f>SUMIFS(tabela_registros[VALOR],tabela_registros[MÊS],$AE$1,tabela_registros[DIA],investirrendafixaconsolidadodez[[#Headers],[7]],tabela_registros[REGISTRO],DADOS!$N$5,tabela_registros[TIPO],DADOS!$AB$3,tabela_registros[CATEGORIA],investirrendafixaconsolidadodez[[#This Row],[ATUAL]])</f>
        <v>0</v>
      </c>
      <c r="L121" s="91">
        <f>SUMIFS(tabela_registros[VALOR],tabela_registros[MÊS],$AE$1,tabela_registros[DIA],investirrendafixaconsolidadodez[[#Headers],[8]],tabela_registros[REGISTRO],DADOS!$N$5,tabela_registros[TIPO],DADOS!$AB$3,tabela_registros[CATEGORIA],investirrendafixaconsolidadodez[[#This Row],[ATUAL]])</f>
        <v>0</v>
      </c>
      <c r="M121" s="91">
        <f>SUMIFS(tabela_registros[VALOR],tabela_registros[MÊS],$AE$1,tabela_registros[DIA],investirrendafixaconsolidadodez[[#Headers],[9]],tabela_registros[REGISTRO],DADOS!$N$5,tabela_registros[TIPO],DADOS!$AB$3,tabela_registros[CATEGORIA],investirrendafixaconsolidadodez[[#This Row],[ATUAL]])</f>
        <v>0</v>
      </c>
      <c r="N121" s="91">
        <f>SUMIFS(tabela_registros[VALOR],tabela_registros[MÊS],$AE$1,tabela_registros[DIA],investirrendafixaconsolidadodez[[#Headers],[10]],tabela_registros[REGISTRO],DADOS!$N$5,tabela_registros[TIPO],DADOS!$AB$3,tabela_registros[CATEGORIA],investirrendafixaconsolidadodez[[#This Row],[ATUAL]])</f>
        <v>0</v>
      </c>
      <c r="O121" s="91">
        <f>SUMIFS(tabela_registros[VALOR],tabela_registros[MÊS],$AE$1,tabela_registros[DIA],investirrendafixaconsolidadodez[[#Headers],[11]],tabela_registros[REGISTRO],DADOS!$N$5,tabela_registros[TIPO],DADOS!$AB$3,tabela_registros[CATEGORIA],investirrendafixaconsolidadodez[[#This Row],[ATUAL]])</f>
        <v>0</v>
      </c>
      <c r="P121" s="91">
        <f>SUMIFS(tabela_registros[VALOR],tabela_registros[MÊS],$AE$1,tabela_registros[DIA],investirrendafixaconsolidadodez[[#Headers],[12]],tabela_registros[REGISTRO],DADOS!$N$5,tabela_registros[TIPO],DADOS!$AB$3,tabela_registros[CATEGORIA],investirrendafixaconsolidadodez[[#This Row],[ATUAL]])</f>
        <v>0</v>
      </c>
      <c r="Q121" s="91">
        <f>SUMIFS(tabela_registros[VALOR],tabela_registros[MÊS],$AE$1,tabela_registros[DIA],investirrendafixaconsolidadodez[[#Headers],[13]],tabela_registros[REGISTRO],DADOS!$N$5,tabela_registros[TIPO],DADOS!$AB$3,tabela_registros[CATEGORIA],investirrendafixaconsolidadodez[[#This Row],[ATUAL]])</f>
        <v>0</v>
      </c>
      <c r="R121" s="91">
        <f>SUMIFS(tabela_registros[VALOR],tabela_registros[MÊS],$AE$1,tabela_registros[DIA],investirrendafixaconsolidadodez[[#Headers],[14]],tabela_registros[REGISTRO],DADOS!$N$5,tabela_registros[TIPO],DADOS!$AB$3,tabela_registros[CATEGORIA],investirrendafixaconsolidadodez[[#This Row],[ATUAL]])</f>
        <v>0</v>
      </c>
      <c r="S121" s="91">
        <f>SUMIFS(tabela_registros[VALOR],tabela_registros[MÊS],$AE$1,tabela_registros[DIA],investirrendafixaconsolidadodez[[#Headers],[15]],tabela_registros[REGISTRO],DADOS!$N$5,tabela_registros[TIPO],DADOS!$AB$3,tabela_registros[CATEGORIA],investirrendafixaconsolidadodez[[#This Row],[ATUAL]])</f>
        <v>0</v>
      </c>
      <c r="T121" s="91">
        <f>SUMIFS(tabela_registros[VALOR],tabela_registros[MÊS],$AE$1,tabela_registros[DIA],investirrendafixaconsolidadodez[[#Headers],[16]],tabela_registros[REGISTRO],DADOS!$N$5,tabela_registros[TIPO],DADOS!$AB$3,tabela_registros[CATEGORIA],investirrendafixaconsolidadodez[[#This Row],[ATUAL]])</f>
        <v>0</v>
      </c>
      <c r="U121" s="91">
        <f>SUMIFS(tabela_registros[VALOR],tabela_registros[MÊS],$AE$1,tabela_registros[DIA],investirrendafixaconsolidadodez[[#Headers],[17]],tabela_registros[REGISTRO],DADOS!$N$5,tabela_registros[TIPO],DADOS!$AB$3,tabela_registros[CATEGORIA],investirrendafixaconsolidadodez[[#This Row],[ATUAL]])</f>
        <v>0</v>
      </c>
      <c r="V121" s="91">
        <f>SUMIFS(tabela_registros[VALOR],tabela_registros[MÊS],$AE$1,tabela_registros[DIA],investirrendafixaconsolidadodez[[#Headers],[18]],tabela_registros[REGISTRO],DADOS!$N$5,tabela_registros[TIPO],DADOS!$AB$3,tabela_registros[CATEGORIA],investirrendafixaconsolidadodez[[#This Row],[ATUAL]])</f>
        <v>0</v>
      </c>
      <c r="W121" s="91">
        <f>SUMIFS(tabela_registros[VALOR],tabela_registros[MÊS],$AE$1,tabela_registros[DIA],investirrendafixaconsolidadodez[[#Headers],[19]],tabela_registros[REGISTRO],DADOS!$N$5,tabela_registros[TIPO],DADOS!$AB$3,tabela_registros[CATEGORIA],investirrendafixaconsolidadodez[[#This Row],[ATUAL]])</f>
        <v>0</v>
      </c>
      <c r="X121" s="91">
        <f>SUMIFS(tabela_registros[VALOR],tabela_registros[MÊS],$AE$1,tabela_registros[DIA],investirrendafixaconsolidadodez[[#Headers],[20]],tabela_registros[REGISTRO],DADOS!$N$5,tabela_registros[TIPO],DADOS!$AB$3,tabela_registros[CATEGORIA],investirrendafixaconsolidadodez[[#This Row],[ATUAL]])</f>
        <v>0</v>
      </c>
      <c r="Y121" s="91">
        <f>SUMIFS(tabela_registros[VALOR],tabela_registros[MÊS],$AE$1,tabela_registros[DIA],investirrendafixaconsolidadodez[[#Headers],[21]],tabela_registros[REGISTRO],DADOS!$N$5,tabela_registros[TIPO],DADOS!$AB$3,tabela_registros[CATEGORIA],investirrendafixaconsolidadodez[[#This Row],[ATUAL]])</f>
        <v>0</v>
      </c>
      <c r="Z121" s="91">
        <f>SUMIFS(tabela_registros[VALOR],tabela_registros[MÊS],$AE$1,tabela_registros[DIA],investirrendafixaconsolidadodez[[#Headers],[22]],tabela_registros[REGISTRO],DADOS!$N$5,tabela_registros[TIPO],DADOS!$AB$3,tabela_registros[CATEGORIA],investirrendafixaconsolidadodez[[#This Row],[ATUAL]])</f>
        <v>0</v>
      </c>
      <c r="AA121" s="91">
        <f>SUMIFS(tabela_registros[VALOR],tabela_registros[MÊS],$AE$1,tabela_registros[DIA],investirrendafixaconsolidadodez[[#Headers],[23]],tabela_registros[REGISTRO],DADOS!$N$5,tabela_registros[TIPO],DADOS!$AB$3,tabela_registros[CATEGORIA],investirrendafixaconsolidadodez[[#This Row],[ATUAL]])</f>
        <v>0</v>
      </c>
      <c r="AB121" s="91">
        <f>SUMIFS(tabela_registros[VALOR],tabela_registros[MÊS],$AE$1,tabela_registros[DIA],investirrendafixaconsolidadodez[[#Headers],[24]],tabela_registros[REGISTRO],DADOS!$N$5,tabela_registros[TIPO],DADOS!$AB$3,tabela_registros[CATEGORIA],investirrendafixaconsolidadodez[[#This Row],[ATUAL]])</f>
        <v>0</v>
      </c>
      <c r="AC121" s="91">
        <f>SUMIFS(tabela_registros[VALOR],tabela_registros[MÊS],$AE$1,tabela_registros[DIA],investirrendafixaconsolidadodez[[#Headers],[25]],tabela_registros[REGISTRO],DADOS!$N$5,tabela_registros[TIPO],DADOS!$AB$3,tabela_registros[CATEGORIA],investirrendafixaconsolidadodez[[#This Row],[ATUAL]])</f>
        <v>0</v>
      </c>
      <c r="AD121" s="91">
        <f>SUMIFS(tabela_registros[VALOR],tabela_registros[MÊS],$AE$1,tabela_registros[DIA],investirrendafixaconsolidadodez[[#Headers],[26]],tabela_registros[REGISTRO],DADOS!$N$5,tabela_registros[TIPO],DADOS!$AB$3,tabela_registros[CATEGORIA],investirrendafixaconsolidadodez[[#This Row],[ATUAL]])</f>
        <v>0</v>
      </c>
      <c r="AE121" s="91">
        <f>SUMIFS(tabela_registros[VALOR],tabela_registros[MÊS],$AE$1,tabela_registros[DIA],investirrendafixaconsolidadodez[[#Headers],[27]],tabela_registros[REGISTRO],DADOS!$N$5,tabela_registros[TIPO],DADOS!$AB$3,tabela_registros[CATEGORIA],investirrendafixaconsolidadodez[[#This Row],[ATUAL]])</f>
        <v>0</v>
      </c>
      <c r="AF121" s="91">
        <f>SUMIFS(tabela_registros[VALOR],tabela_registros[MÊS],$AE$1,tabela_registros[DIA],investirrendafixaconsolidadodez[[#Headers],[28]],tabela_registros[REGISTRO],DADOS!$N$5,tabela_registros[TIPO],DADOS!$AB$3,tabela_registros[CATEGORIA],investirrendafixaconsolidadodez[[#This Row],[ATUAL]])</f>
        <v>0</v>
      </c>
      <c r="AG121" s="91">
        <f>SUMIFS(tabela_registros[VALOR],tabela_registros[MÊS],$AE$1,tabela_registros[DIA],investirrendafixaconsolidadodez[[#Headers],[29]],tabela_registros[REGISTRO],DADOS!$N$5,tabela_registros[TIPO],DADOS!$AB$3,tabela_registros[CATEGORIA],investirrendafixaconsolidadodez[[#This Row],[ATUAL]])</f>
        <v>0</v>
      </c>
      <c r="AH121" s="91">
        <f>SUMIFS(tabela_registros[VALOR],tabela_registros[MÊS],$AE$1,tabela_registros[DIA],investirrendafixaconsolidadodez[[#Headers],[30]],tabela_registros[REGISTRO],DADOS!$N$5,tabela_registros[TIPO],DADOS!$AB$3,tabela_registros[CATEGORIA],investirrendafixaconsolidadodez[[#This Row],[ATUAL]])</f>
        <v>0</v>
      </c>
      <c r="AI121" s="101">
        <f>SUMIFS(tabela_registros[VALOR],tabela_registros[MÊS],$AE$1,tabela_registros[DIA],investirrendafixaconsolidadodez[[#Headers],[31]],tabela_registros[REGISTRO],DADOS!$N$5,tabela_registros[TIPO],DADOS!$AB$3,tabela_registros[CATEGORIA],investirrendafixaconsolidadodez[[#This Row],[ATUAL]])</f>
        <v>0</v>
      </c>
      <c r="AJ121" s="97">
        <f>SUM(investirrendafixaconsolidadodez[[#This Row],[1]:[31]])</f>
        <v>0</v>
      </c>
      <c r="AK121" s="25"/>
    </row>
    <row r="122" spans="2:37" ht="19.5" customHeight="1" thickTop="1" thickBot="1" x14ac:dyDescent="0.3">
      <c r="B122" s="28"/>
      <c r="C122" s="27" t="str">
        <f>DADOS!$AD$12</f>
        <v>📎 OUTROS</v>
      </c>
      <c r="D122" s="26" t="str">
        <f>IF(investirrendafixaconsolidadodez[[#This Row],[TOTAL (R$)]]=0,"",IF(OR(investirrendafixaconsolidadodez[[#This Row],[TOTAL (R$)]]=LARGE($AJ$113:$AJ$122,1),investirrendafixaconsolidadodez[[#This Row],[TOTAL (R$)]]=LARGE($AJ$113:$AJ$122,2)),DADOS!$I$10,""))</f>
        <v/>
      </c>
      <c r="E122" s="96">
        <f>SUMIFS(tabela_registros[VALOR],tabela_registros[MÊS],$AE$1,tabela_registros[DIA],investirrendafixaconsolidadodez[[#Headers],[1]],tabela_registros[REGISTRO],DADOS!$N$5,tabela_registros[TIPO],DADOS!$AB$3,tabela_registros[CATEGORIA],investirrendafixaconsolidadodez[[#This Row],[ATUAL]])</f>
        <v>0</v>
      </c>
      <c r="F122" s="91">
        <f>SUMIFS(tabela_registros[VALOR],tabela_registros[MÊS],$AE$1,tabela_registros[DIA],investirrendafixaconsolidadodez[[#Headers],[2]],tabela_registros[REGISTRO],DADOS!$N$5,tabela_registros[TIPO],DADOS!$AB$3,tabela_registros[CATEGORIA],investirrendafixaconsolidadodez[[#This Row],[ATUAL]])</f>
        <v>0</v>
      </c>
      <c r="G122" s="91">
        <f>SUMIFS(tabela_registros[VALOR],tabela_registros[MÊS],$AE$1,tabela_registros[DIA],investirrendafixaconsolidadodez[[#Headers],[3]],tabela_registros[REGISTRO],DADOS!$N$5,tabela_registros[TIPO],DADOS!$AB$3,tabela_registros[CATEGORIA],investirrendafixaconsolidadodez[[#This Row],[ATUAL]])</f>
        <v>0</v>
      </c>
      <c r="H122" s="91">
        <f>SUMIFS(tabela_registros[VALOR],tabela_registros[MÊS],$AE$1,tabela_registros[DIA],investirrendafixaconsolidadodez[[#Headers],[4]],tabela_registros[REGISTRO],DADOS!$N$5,tabela_registros[TIPO],DADOS!$AB$3,tabela_registros[CATEGORIA],investirrendafixaconsolidadodez[[#This Row],[ATUAL]])</f>
        <v>0</v>
      </c>
      <c r="I122" s="91">
        <f>SUMIFS(tabela_registros[VALOR],tabela_registros[MÊS],$AE$1,tabela_registros[DIA],investirrendafixaconsolidadodez[[#Headers],[5]],tabela_registros[REGISTRO],DADOS!$N$5,tabela_registros[TIPO],DADOS!$AB$3,tabela_registros[CATEGORIA],investirrendafixaconsolidadodez[[#This Row],[ATUAL]])</f>
        <v>0</v>
      </c>
      <c r="J122" s="91">
        <f>SUMIFS(tabela_registros[VALOR],tabela_registros[MÊS],$AE$1,tabela_registros[DIA],investirrendafixaconsolidadodez[[#Headers],[6]],tabela_registros[REGISTRO],DADOS!$N$5,tabela_registros[TIPO],DADOS!$AB$3,tabela_registros[CATEGORIA],investirrendafixaconsolidadodez[[#This Row],[ATUAL]])</f>
        <v>0</v>
      </c>
      <c r="K122" s="91">
        <f>SUMIFS(tabela_registros[VALOR],tabela_registros[MÊS],$AE$1,tabela_registros[DIA],investirrendafixaconsolidadodez[[#Headers],[7]],tabela_registros[REGISTRO],DADOS!$N$5,tabela_registros[TIPO],DADOS!$AB$3,tabela_registros[CATEGORIA],investirrendafixaconsolidadodez[[#This Row],[ATUAL]])</f>
        <v>0</v>
      </c>
      <c r="L122" s="91">
        <f>SUMIFS(tabela_registros[VALOR],tabela_registros[MÊS],$AE$1,tabela_registros[DIA],investirrendafixaconsolidadodez[[#Headers],[8]],tabela_registros[REGISTRO],DADOS!$N$5,tabela_registros[TIPO],DADOS!$AB$3,tabela_registros[CATEGORIA],investirrendafixaconsolidadodez[[#This Row],[ATUAL]])</f>
        <v>0</v>
      </c>
      <c r="M122" s="91">
        <f>SUMIFS(tabela_registros[VALOR],tabela_registros[MÊS],$AE$1,tabela_registros[DIA],investirrendafixaconsolidadodez[[#Headers],[9]],tabela_registros[REGISTRO],DADOS!$N$5,tabela_registros[TIPO],DADOS!$AB$3,tabela_registros[CATEGORIA],investirrendafixaconsolidadodez[[#This Row],[ATUAL]])</f>
        <v>0</v>
      </c>
      <c r="N122" s="91">
        <f>SUMIFS(tabela_registros[VALOR],tabela_registros[MÊS],$AE$1,tabela_registros[DIA],investirrendafixaconsolidadodez[[#Headers],[10]],tabela_registros[REGISTRO],DADOS!$N$5,tabela_registros[TIPO],DADOS!$AB$3,tabela_registros[CATEGORIA],investirrendafixaconsolidadodez[[#This Row],[ATUAL]])</f>
        <v>0</v>
      </c>
      <c r="O122" s="91">
        <f>SUMIFS(tabela_registros[VALOR],tabela_registros[MÊS],$AE$1,tabela_registros[DIA],investirrendafixaconsolidadodez[[#Headers],[11]],tabela_registros[REGISTRO],DADOS!$N$5,tabela_registros[TIPO],DADOS!$AB$3,tabela_registros[CATEGORIA],investirrendafixaconsolidadodez[[#This Row],[ATUAL]])</f>
        <v>0</v>
      </c>
      <c r="P122" s="91">
        <f>SUMIFS(tabela_registros[VALOR],tabela_registros[MÊS],$AE$1,tabela_registros[DIA],investirrendafixaconsolidadodez[[#Headers],[12]],tabela_registros[REGISTRO],DADOS!$N$5,tabela_registros[TIPO],DADOS!$AB$3,tabela_registros[CATEGORIA],investirrendafixaconsolidadodez[[#This Row],[ATUAL]])</f>
        <v>0</v>
      </c>
      <c r="Q122" s="91">
        <f>SUMIFS(tabela_registros[VALOR],tabela_registros[MÊS],$AE$1,tabela_registros[DIA],investirrendafixaconsolidadodez[[#Headers],[13]],tabela_registros[REGISTRO],DADOS!$N$5,tabela_registros[TIPO],DADOS!$AB$3,tabela_registros[CATEGORIA],investirrendafixaconsolidadodez[[#This Row],[ATUAL]])</f>
        <v>0</v>
      </c>
      <c r="R122" s="91">
        <f>SUMIFS(tabela_registros[VALOR],tabela_registros[MÊS],$AE$1,tabela_registros[DIA],investirrendafixaconsolidadodez[[#Headers],[14]],tabela_registros[REGISTRO],DADOS!$N$5,tabela_registros[TIPO],DADOS!$AB$3,tabela_registros[CATEGORIA],investirrendafixaconsolidadodez[[#This Row],[ATUAL]])</f>
        <v>0</v>
      </c>
      <c r="S122" s="91">
        <f>SUMIFS(tabela_registros[VALOR],tabela_registros[MÊS],$AE$1,tabela_registros[DIA],investirrendafixaconsolidadodez[[#Headers],[15]],tabela_registros[REGISTRO],DADOS!$N$5,tabela_registros[TIPO],DADOS!$AB$3,tabela_registros[CATEGORIA],investirrendafixaconsolidadodez[[#This Row],[ATUAL]])</f>
        <v>0</v>
      </c>
      <c r="T122" s="91">
        <f>SUMIFS(tabela_registros[VALOR],tabela_registros[MÊS],$AE$1,tabela_registros[DIA],investirrendafixaconsolidadodez[[#Headers],[16]],tabela_registros[REGISTRO],DADOS!$N$5,tabela_registros[TIPO],DADOS!$AB$3,tabela_registros[CATEGORIA],investirrendafixaconsolidadodez[[#This Row],[ATUAL]])</f>
        <v>0</v>
      </c>
      <c r="U122" s="91">
        <f>SUMIFS(tabela_registros[VALOR],tabela_registros[MÊS],$AE$1,tabela_registros[DIA],investirrendafixaconsolidadodez[[#Headers],[17]],tabela_registros[REGISTRO],DADOS!$N$5,tabela_registros[TIPO],DADOS!$AB$3,tabela_registros[CATEGORIA],investirrendafixaconsolidadodez[[#This Row],[ATUAL]])</f>
        <v>0</v>
      </c>
      <c r="V122" s="91">
        <f>SUMIFS(tabela_registros[VALOR],tabela_registros[MÊS],$AE$1,tabela_registros[DIA],investirrendafixaconsolidadodez[[#Headers],[18]],tabela_registros[REGISTRO],DADOS!$N$5,tabela_registros[TIPO],DADOS!$AB$3,tabela_registros[CATEGORIA],investirrendafixaconsolidadodez[[#This Row],[ATUAL]])</f>
        <v>0</v>
      </c>
      <c r="W122" s="91">
        <f>SUMIFS(tabela_registros[VALOR],tabela_registros[MÊS],$AE$1,tabela_registros[DIA],investirrendafixaconsolidadodez[[#Headers],[19]],tabela_registros[REGISTRO],DADOS!$N$5,tabela_registros[TIPO],DADOS!$AB$3,tabela_registros[CATEGORIA],investirrendafixaconsolidadodez[[#This Row],[ATUAL]])</f>
        <v>0</v>
      </c>
      <c r="X122" s="91">
        <f>SUMIFS(tabela_registros[VALOR],tabela_registros[MÊS],$AE$1,tabela_registros[DIA],investirrendafixaconsolidadodez[[#Headers],[20]],tabela_registros[REGISTRO],DADOS!$N$5,tabela_registros[TIPO],DADOS!$AB$3,tabela_registros[CATEGORIA],investirrendafixaconsolidadodez[[#This Row],[ATUAL]])</f>
        <v>0</v>
      </c>
      <c r="Y122" s="91">
        <f>SUMIFS(tabela_registros[VALOR],tabela_registros[MÊS],$AE$1,tabela_registros[DIA],investirrendafixaconsolidadodez[[#Headers],[21]],tabela_registros[REGISTRO],DADOS!$N$5,tabela_registros[TIPO],DADOS!$AB$3,tabela_registros[CATEGORIA],investirrendafixaconsolidadodez[[#This Row],[ATUAL]])</f>
        <v>0</v>
      </c>
      <c r="Z122" s="91">
        <f>SUMIFS(tabela_registros[VALOR],tabela_registros[MÊS],$AE$1,tabela_registros[DIA],investirrendafixaconsolidadodez[[#Headers],[22]],tabela_registros[REGISTRO],DADOS!$N$5,tabela_registros[TIPO],DADOS!$AB$3,tabela_registros[CATEGORIA],investirrendafixaconsolidadodez[[#This Row],[ATUAL]])</f>
        <v>0</v>
      </c>
      <c r="AA122" s="91">
        <f>SUMIFS(tabela_registros[VALOR],tabela_registros[MÊS],$AE$1,tabela_registros[DIA],investirrendafixaconsolidadodez[[#Headers],[23]],tabela_registros[REGISTRO],DADOS!$N$5,tabela_registros[TIPO],DADOS!$AB$3,tabela_registros[CATEGORIA],investirrendafixaconsolidadodez[[#This Row],[ATUAL]])</f>
        <v>0</v>
      </c>
      <c r="AB122" s="91">
        <f>SUMIFS(tabela_registros[VALOR],tabela_registros[MÊS],$AE$1,tabela_registros[DIA],investirrendafixaconsolidadodez[[#Headers],[24]],tabela_registros[REGISTRO],DADOS!$N$5,tabela_registros[TIPO],DADOS!$AB$3,tabela_registros[CATEGORIA],investirrendafixaconsolidadodez[[#This Row],[ATUAL]])</f>
        <v>0</v>
      </c>
      <c r="AC122" s="91">
        <f>SUMIFS(tabela_registros[VALOR],tabela_registros[MÊS],$AE$1,tabela_registros[DIA],investirrendafixaconsolidadodez[[#Headers],[25]],tabela_registros[REGISTRO],DADOS!$N$5,tabela_registros[TIPO],DADOS!$AB$3,tabela_registros[CATEGORIA],investirrendafixaconsolidadodez[[#This Row],[ATUAL]])</f>
        <v>0</v>
      </c>
      <c r="AD122" s="91">
        <f>SUMIFS(tabela_registros[VALOR],tabela_registros[MÊS],$AE$1,tabela_registros[DIA],investirrendafixaconsolidadodez[[#Headers],[26]],tabela_registros[REGISTRO],DADOS!$N$5,tabela_registros[TIPO],DADOS!$AB$3,tabela_registros[CATEGORIA],investirrendafixaconsolidadodez[[#This Row],[ATUAL]])</f>
        <v>0</v>
      </c>
      <c r="AE122" s="91">
        <f>SUMIFS(tabela_registros[VALOR],tabela_registros[MÊS],$AE$1,tabela_registros[DIA],investirrendafixaconsolidadodez[[#Headers],[27]],tabela_registros[REGISTRO],DADOS!$N$5,tabela_registros[TIPO],DADOS!$AB$3,tabela_registros[CATEGORIA],investirrendafixaconsolidadodez[[#This Row],[ATUAL]])</f>
        <v>0</v>
      </c>
      <c r="AF122" s="91">
        <f>SUMIFS(tabela_registros[VALOR],tabela_registros[MÊS],$AE$1,tabela_registros[DIA],investirrendafixaconsolidadodez[[#Headers],[28]],tabela_registros[REGISTRO],DADOS!$N$5,tabela_registros[TIPO],DADOS!$AB$3,tabela_registros[CATEGORIA],investirrendafixaconsolidadodez[[#This Row],[ATUAL]])</f>
        <v>0</v>
      </c>
      <c r="AG122" s="91">
        <f>SUMIFS(tabela_registros[VALOR],tabela_registros[MÊS],$AE$1,tabela_registros[DIA],investirrendafixaconsolidadodez[[#Headers],[29]],tabela_registros[REGISTRO],DADOS!$N$5,tabela_registros[TIPO],DADOS!$AB$3,tabela_registros[CATEGORIA],investirrendafixaconsolidadodez[[#This Row],[ATUAL]])</f>
        <v>0</v>
      </c>
      <c r="AH122" s="91">
        <f>SUMIFS(tabela_registros[VALOR],tabela_registros[MÊS],$AE$1,tabela_registros[DIA],investirrendafixaconsolidadodez[[#Headers],[30]],tabela_registros[REGISTRO],DADOS!$N$5,tabela_registros[TIPO],DADOS!$AB$3,tabela_registros[CATEGORIA],investirrendafixaconsolidadodez[[#This Row],[ATUAL]])</f>
        <v>0</v>
      </c>
      <c r="AI122" s="102">
        <f>SUMIFS(tabela_registros[VALOR],tabela_registros[MÊS],$AE$1,tabela_registros[DIA],investirrendafixaconsolidadodez[[#Headers],[31]],tabela_registros[REGISTRO],DADOS!$N$5,tabela_registros[TIPO],DADOS!$AB$3,tabela_registros[CATEGORIA],investirrendafixaconsolidadodez[[#This Row],[ATUAL]])</f>
        <v>0</v>
      </c>
      <c r="AJ122" s="97">
        <f>SUM(investirrendafixaconsolidadodez[[#This Row],[1]:[31]])</f>
        <v>0</v>
      </c>
      <c r="AK122" s="25"/>
    </row>
    <row r="123" spans="2:37" s="16" customFormat="1" ht="21" customHeight="1" thickTop="1" thickBot="1" x14ac:dyDescent="0.35">
      <c r="B123" s="24"/>
      <c r="C123" s="23" t="s">
        <v>19</v>
      </c>
      <c r="D123" s="22"/>
      <c r="E123" s="21">
        <f>SUM(E113:E122)</f>
        <v>0</v>
      </c>
      <c r="F123" s="20">
        <f>SUM(F113:F122)+investirrendafixaconsolidadodez[[#This Row],[1]]</f>
        <v>0</v>
      </c>
      <c r="G123" s="20">
        <f>SUM(G113:G122)+investirrendafixaconsolidadodez[[#This Row],[2]]</f>
        <v>0</v>
      </c>
      <c r="H123" s="20">
        <f>SUM(H113:H122)+investirrendafixaconsolidadodez[[#This Row],[3]]</f>
        <v>0</v>
      </c>
      <c r="I123" s="20">
        <f>SUM(I113:I122)+investirrendafixaconsolidadodez[[#This Row],[4]]</f>
        <v>0</v>
      </c>
      <c r="J123" s="20">
        <f>SUM(J113:J122)+investirrendafixaconsolidadodez[[#This Row],[5]]</f>
        <v>0</v>
      </c>
      <c r="K123" s="20">
        <f>SUM(K113:K122)+investirrendafixaconsolidadodez[[#This Row],[6]]</f>
        <v>0</v>
      </c>
      <c r="L123" s="20">
        <f>SUM(L113:L122)+investirrendafixaconsolidadodez[[#This Row],[7]]</f>
        <v>0</v>
      </c>
      <c r="M123" s="20">
        <f>SUM(M113:M122)+investirrendafixaconsolidadodez[[#This Row],[8]]</f>
        <v>0</v>
      </c>
      <c r="N123" s="20">
        <f>SUM(N113:N122)+investirrendafixaconsolidadodez[[#This Row],[9]]</f>
        <v>0</v>
      </c>
      <c r="O123" s="20">
        <f>SUM(O113:O122)+investirrendafixaconsolidadodez[[#This Row],[10]]</f>
        <v>0</v>
      </c>
      <c r="P123" s="20">
        <f>SUM(P113:P122)+investirrendafixaconsolidadodez[[#This Row],[11]]</f>
        <v>0</v>
      </c>
      <c r="Q123" s="20">
        <f>SUM(Q113:Q122)+investirrendafixaconsolidadodez[[#This Row],[12]]</f>
        <v>0</v>
      </c>
      <c r="R123" s="20">
        <f>SUM(R113:R122)+investirrendafixaconsolidadodez[[#This Row],[13]]</f>
        <v>0</v>
      </c>
      <c r="S123" s="20">
        <f>SUM(S113:S122)+investirrendafixaconsolidadodez[[#This Row],[14]]</f>
        <v>0</v>
      </c>
      <c r="T123" s="20">
        <f>SUM(T113:T122)+investirrendafixaconsolidadodez[[#This Row],[15]]</f>
        <v>0</v>
      </c>
      <c r="U123" s="20">
        <f>SUM(U113:U122)+investirrendafixaconsolidadodez[[#This Row],[16]]</f>
        <v>0</v>
      </c>
      <c r="V123" s="20">
        <f>SUM(V113:V122)+investirrendafixaconsolidadodez[[#This Row],[17]]</f>
        <v>0</v>
      </c>
      <c r="W123" s="20">
        <f>SUM(W113:W122)+investirrendafixaconsolidadodez[[#This Row],[18]]</f>
        <v>0</v>
      </c>
      <c r="X123" s="20">
        <f>SUM(X113:X122)+investirrendafixaconsolidadodez[[#This Row],[19]]</f>
        <v>0</v>
      </c>
      <c r="Y123" s="20">
        <f>SUM(Y113:Y122)+investirrendafixaconsolidadodez[[#This Row],[20]]</f>
        <v>0</v>
      </c>
      <c r="Z123" s="20">
        <f>SUM(Z113:Z122)+investirrendafixaconsolidadodez[[#This Row],[21]]</f>
        <v>0</v>
      </c>
      <c r="AA123" s="20">
        <f>SUM(AA113:AA122)+investirrendafixaconsolidadodez[[#This Row],[22]]</f>
        <v>0</v>
      </c>
      <c r="AB123" s="20">
        <f>SUM(AB113:AB122)+investirrendafixaconsolidadodez[[#This Row],[23]]</f>
        <v>0</v>
      </c>
      <c r="AC123" s="20">
        <f>SUM(AC113:AC122)+investirrendafixaconsolidadodez[[#This Row],[24]]</f>
        <v>0</v>
      </c>
      <c r="AD123" s="20">
        <f>SUM(AD113:AD122)+investirrendafixaconsolidadodez[[#This Row],[25]]</f>
        <v>0</v>
      </c>
      <c r="AE123" s="20">
        <f>SUM(AE113:AE122)+investirrendafixaconsolidadodez[[#This Row],[26]]</f>
        <v>0</v>
      </c>
      <c r="AF123" s="20">
        <f>SUM(AF113:AF122)+investirrendafixaconsolidadodez[[#This Row],[27]]</f>
        <v>0</v>
      </c>
      <c r="AG123" s="20">
        <f>SUM(AG113:AG122)+investirrendafixaconsolidadodez[[#This Row],[28]]</f>
        <v>0</v>
      </c>
      <c r="AH123" s="20">
        <f>SUM(AH113:AH122)+investirrendafixaconsolidadodez[[#This Row],[29]]</f>
        <v>0</v>
      </c>
      <c r="AI123" s="19">
        <f>SUM(AI113:AI122)+investirrendafixaconsolidadodez[[#This Row],[30]]</f>
        <v>0</v>
      </c>
      <c r="AJ123" s="18">
        <f>investirrendafixaconsolidadodez[[#This Row],[31]]</f>
        <v>0</v>
      </c>
      <c r="AK123" s="17"/>
    </row>
    <row r="124" spans="2:37" ht="6.75" customHeight="1" thickTop="1" thickBot="1" x14ac:dyDescent="0.3">
      <c r="B124" s="15"/>
      <c r="C124" s="14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  <c r="AI124" s="12"/>
      <c r="AJ124" s="11"/>
      <c r="AK124" s="10"/>
    </row>
    <row r="125" spans="2:37" ht="12.6" thickTop="1" x14ac:dyDescent="0.25">
      <c r="E125" s="37"/>
      <c r="AI125" s="4"/>
    </row>
    <row r="126" spans="2:37" x14ac:dyDescent="0.25">
      <c r="AI126" s="4"/>
    </row>
    <row r="127" spans="2:37" x14ac:dyDescent="0.25">
      <c r="AI127" s="4"/>
    </row>
    <row r="128" spans="2:37" ht="39.75" customHeight="1" x14ac:dyDescent="0.7">
      <c r="C128" s="36"/>
      <c r="E128" s="240"/>
      <c r="F128" s="240"/>
      <c r="G128" s="240"/>
      <c r="H128" s="240"/>
      <c r="I128" s="240"/>
      <c r="J128" s="240"/>
      <c r="K128" s="240"/>
      <c r="L128" s="240"/>
      <c r="M128" s="240"/>
      <c r="N128" s="240"/>
      <c r="O128" s="240"/>
      <c r="P128" s="240"/>
      <c r="Q128" s="240"/>
      <c r="R128" s="240"/>
      <c r="S128" s="240"/>
      <c r="T128" s="240"/>
      <c r="U128" s="240"/>
      <c r="V128" s="240"/>
      <c r="W128" s="240"/>
      <c r="X128" s="240"/>
      <c r="Y128" s="240"/>
      <c r="Z128" s="240"/>
      <c r="AA128" s="240"/>
      <c r="AB128" s="240"/>
      <c r="AC128" s="240"/>
      <c r="AD128" s="240"/>
      <c r="AE128" s="240"/>
      <c r="AF128" s="240"/>
      <c r="AG128" s="240"/>
      <c r="AH128" s="240"/>
      <c r="AI128" s="240"/>
      <c r="AJ128" s="32" t="s">
        <v>19</v>
      </c>
    </row>
    <row r="129" spans="2:37" ht="12.6" thickBot="1" x14ac:dyDescent="0.3">
      <c r="B129" s="35"/>
      <c r="AI129" s="4"/>
      <c r="AJ129" s="34" t="s">
        <v>202</v>
      </c>
    </row>
    <row r="130" spans="2:37" ht="6.75" customHeight="1" thickTop="1" thickBot="1" x14ac:dyDescent="0.3">
      <c r="B130" s="2"/>
      <c r="C130" s="14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  <c r="AA130" s="13"/>
      <c r="AB130" s="13"/>
      <c r="AC130" s="13"/>
      <c r="AD130" s="13"/>
      <c r="AE130" s="13"/>
      <c r="AF130" s="13"/>
      <c r="AG130" s="13"/>
      <c r="AH130" s="13"/>
      <c r="AI130" s="13"/>
      <c r="AJ130" s="12"/>
      <c r="AK130" s="33"/>
    </row>
    <row r="131" spans="2:37" ht="13.2" hidden="1" thickTop="1" thickBot="1" x14ac:dyDescent="0.3">
      <c r="B131" s="2"/>
      <c r="C131" s="31" t="s">
        <v>199</v>
      </c>
      <c r="D131" s="30" t="s">
        <v>198</v>
      </c>
      <c r="E131" s="30" t="s">
        <v>197</v>
      </c>
      <c r="F131" s="30" t="s">
        <v>196</v>
      </c>
      <c r="G131" s="30" t="s">
        <v>195</v>
      </c>
      <c r="H131" s="30" t="s">
        <v>194</v>
      </c>
      <c r="I131" s="30" t="s">
        <v>193</v>
      </c>
      <c r="J131" s="30" t="s">
        <v>192</v>
      </c>
      <c r="K131" s="30" t="s">
        <v>191</v>
      </c>
      <c r="L131" s="30" t="s">
        <v>190</v>
      </c>
      <c r="M131" s="30" t="s">
        <v>189</v>
      </c>
      <c r="N131" s="30" t="s">
        <v>188</v>
      </c>
      <c r="O131" s="30" t="s">
        <v>187</v>
      </c>
      <c r="P131" s="30" t="s">
        <v>186</v>
      </c>
      <c r="Q131" s="30" t="s">
        <v>185</v>
      </c>
      <c r="R131" s="30" t="s">
        <v>184</v>
      </c>
      <c r="S131" s="30" t="s">
        <v>183</v>
      </c>
      <c r="T131" s="30" t="s">
        <v>182</v>
      </c>
      <c r="U131" s="30" t="s">
        <v>181</v>
      </c>
      <c r="V131" s="30" t="s">
        <v>180</v>
      </c>
      <c r="W131" s="30" t="s">
        <v>179</v>
      </c>
      <c r="X131" s="30" t="s">
        <v>178</v>
      </c>
      <c r="Y131" s="30" t="s">
        <v>177</v>
      </c>
      <c r="Z131" s="30" t="s">
        <v>176</v>
      </c>
      <c r="AA131" s="30" t="s">
        <v>175</v>
      </c>
      <c r="AB131" s="30" t="s">
        <v>174</v>
      </c>
      <c r="AC131" s="30" t="s">
        <v>173</v>
      </c>
      <c r="AD131" s="30" t="s">
        <v>172</v>
      </c>
      <c r="AE131" s="30" t="s">
        <v>171</v>
      </c>
      <c r="AF131" s="30" t="s">
        <v>170</v>
      </c>
      <c r="AG131" s="30" t="s">
        <v>169</v>
      </c>
      <c r="AH131" s="30" t="s">
        <v>168</v>
      </c>
      <c r="AI131" s="30" t="s">
        <v>167</v>
      </c>
      <c r="AJ131" s="29" t="s">
        <v>166</v>
      </c>
      <c r="AK131" s="2"/>
    </row>
    <row r="132" spans="2:37" ht="19.5" customHeight="1" thickTop="1" thickBot="1" x14ac:dyDescent="0.3">
      <c r="B132" s="28"/>
      <c r="C132" s="27" t="str">
        <f>DADOS!$AF$3</f>
        <v>📝 AÇÃO</v>
      </c>
      <c r="D132" s="26" t="str">
        <f>IF(investirrendavariávelconsolidadodez[[#This Row],[TOTAL (R$)]]=0,"",IF(OR(investirrendavariávelconsolidadodez[[#This Row],[TOTAL (R$)]]=LARGE($AJ$132:$AJ$141,1),investirrendavariávelconsolidadodez[[#This Row],[TOTAL (R$)]]=LARGE($AJ$132:$AJ$141,2)),DADOS!$I$10,""))</f>
        <v/>
      </c>
      <c r="E132" s="96">
        <f>SUMIFS(tabela_registros[VALOR],tabela_registros[MÊS],$AE$1,tabela_registros[DIA],investirrendavariávelconsolidadodez[[#Headers],[1]],tabela_registros[REGISTRO],DADOS!$N$5,tabela_registros[TIPO],DADOS!$AB$4,tabela_registros[CATEGORIA],investirrendavariávelconsolidadodez[[#This Row],[ATUAL]])</f>
        <v>0</v>
      </c>
      <c r="F132" s="91">
        <f>SUMIFS(tabela_registros[VALOR],tabela_registros[MÊS],$AE$1,tabela_registros[DIA],investirrendavariávelconsolidadodez[[#Headers],[2]],tabela_registros[REGISTRO],DADOS!$N$5,tabela_registros[TIPO],DADOS!$AB$4,tabela_registros[CATEGORIA],investirrendavariávelconsolidadodez[[#This Row],[ATUAL]])</f>
        <v>0</v>
      </c>
      <c r="G132" s="91">
        <f>SUMIFS(tabela_registros[VALOR],tabela_registros[MÊS],$AE$1,tabela_registros[DIA],investirrendavariávelconsolidadodez[[#Headers],[3]],tabela_registros[REGISTRO],DADOS!$N$5,tabela_registros[TIPO],DADOS!$AB$4,tabela_registros[CATEGORIA],investirrendavariávelconsolidadodez[[#This Row],[ATUAL]])</f>
        <v>0</v>
      </c>
      <c r="H132" s="91">
        <f>SUMIFS(tabela_registros[VALOR],tabela_registros[MÊS],$AE$1,tabela_registros[DIA],investirrendavariávelconsolidadodez[[#Headers],[4]],tabela_registros[REGISTRO],DADOS!$N$5,tabela_registros[TIPO],DADOS!$AB$4,tabela_registros[CATEGORIA],investirrendavariávelconsolidadodez[[#This Row],[ATUAL]])</f>
        <v>0</v>
      </c>
      <c r="I132" s="91">
        <f>SUMIFS(tabela_registros[VALOR],tabela_registros[MÊS],$AE$1,tabela_registros[DIA],investirrendavariávelconsolidadodez[[#Headers],[5]],tabela_registros[REGISTRO],DADOS!$N$5,tabela_registros[TIPO],DADOS!$AB$4,tabela_registros[CATEGORIA],investirrendavariávelconsolidadodez[[#This Row],[ATUAL]])</f>
        <v>0</v>
      </c>
      <c r="J132" s="91">
        <f>SUMIFS(tabela_registros[VALOR],tabela_registros[MÊS],$AE$1,tabela_registros[DIA],investirrendavariávelconsolidadodez[[#Headers],[6]],tabela_registros[REGISTRO],DADOS!$N$5,tabela_registros[TIPO],DADOS!$AB$4,tabela_registros[CATEGORIA],investirrendavariávelconsolidadodez[[#This Row],[ATUAL]])</f>
        <v>0</v>
      </c>
      <c r="K132" s="91">
        <f>SUMIFS(tabela_registros[VALOR],tabela_registros[MÊS],$AE$1,tabela_registros[DIA],investirrendavariávelconsolidadodez[[#Headers],[7]],tabela_registros[REGISTRO],DADOS!$N$5,tabela_registros[TIPO],DADOS!$AB$4,tabela_registros[CATEGORIA],investirrendavariávelconsolidadodez[[#This Row],[ATUAL]])</f>
        <v>0</v>
      </c>
      <c r="L132" s="91">
        <f>SUMIFS(tabela_registros[VALOR],tabela_registros[MÊS],$AE$1,tabela_registros[DIA],investirrendavariávelconsolidadodez[[#Headers],[8]],tabela_registros[REGISTRO],DADOS!$N$5,tabela_registros[TIPO],DADOS!$AB$4,tabela_registros[CATEGORIA],investirrendavariávelconsolidadodez[[#This Row],[ATUAL]])</f>
        <v>0</v>
      </c>
      <c r="M132" s="91">
        <f>SUMIFS(tabela_registros[VALOR],tabela_registros[MÊS],$AE$1,tabela_registros[DIA],investirrendavariávelconsolidadodez[[#Headers],[9]],tabela_registros[REGISTRO],DADOS!$N$5,tabela_registros[TIPO],DADOS!$AB$4,tabela_registros[CATEGORIA],investirrendavariávelconsolidadodez[[#This Row],[ATUAL]])</f>
        <v>0</v>
      </c>
      <c r="N132" s="91">
        <f>SUMIFS(tabela_registros[VALOR],tabela_registros[MÊS],$AE$1,tabela_registros[DIA],investirrendavariávelconsolidadodez[[#Headers],[10]],tabela_registros[REGISTRO],DADOS!$N$5,tabela_registros[TIPO],DADOS!$AB$4,tabela_registros[CATEGORIA],investirrendavariávelconsolidadodez[[#This Row],[ATUAL]])</f>
        <v>0</v>
      </c>
      <c r="O132" s="91">
        <f>SUMIFS(tabela_registros[VALOR],tabela_registros[MÊS],$AE$1,tabela_registros[DIA],investirrendavariávelconsolidadodez[[#Headers],[11]],tabela_registros[REGISTRO],DADOS!$N$5,tabela_registros[TIPO],DADOS!$AB$4,tabela_registros[CATEGORIA],investirrendavariávelconsolidadodez[[#This Row],[ATUAL]])</f>
        <v>0</v>
      </c>
      <c r="P132" s="91">
        <f>SUMIFS(tabela_registros[VALOR],tabela_registros[MÊS],$AE$1,tabela_registros[DIA],investirrendavariávelconsolidadodez[[#Headers],[12]],tabela_registros[REGISTRO],DADOS!$N$5,tabela_registros[TIPO],DADOS!$AB$4,tabela_registros[CATEGORIA],investirrendavariávelconsolidadodez[[#This Row],[ATUAL]])</f>
        <v>0</v>
      </c>
      <c r="Q132" s="91">
        <f>SUMIFS(tabela_registros[VALOR],tabela_registros[MÊS],$AE$1,tabela_registros[DIA],investirrendavariávelconsolidadodez[[#Headers],[13]],tabela_registros[REGISTRO],DADOS!$N$5,tabela_registros[TIPO],DADOS!$AB$4,tabela_registros[CATEGORIA],investirrendavariávelconsolidadodez[[#This Row],[ATUAL]])</f>
        <v>0</v>
      </c>
      <c r="R132" s="91">
        <f>SUMIFS(tabela_registros[VALOR],tabela_registros[MÊS],$AE$1,tabela_registros[DIA],investirrendavariávelconsolidadodez[[#Headers],[14]],tabela_registros[REGISTRO],DADOS!$N$5,tabela_registros[TIPO],DADOS!$AB$4,tabela_registros[CATEGORIA],investirrendavariávelconsolidadodez[[#This Row],[ATUAL]])</f>
        <v>0</v>
      </c>
      <c r="S132" s="91">
        <f>SUMIFS(tabela_registros[VALOR],tabela_registros[MÊS],$AE$1,tabela_registros[DIA],investirrendavariávelconsolidadodez[[#Headers],[15]],tabela_registros[REGISTRO],DADOS!$N$5,tabela_registros[TIPO],DADOS!$AB$4,tabela_registros[CATEGORIA],investirrendavariávelconsolidadodez[[#This Row],[ATUAL]])</f>
        <v>0</v>
      </c>
      <c r="T132" s="91">
        <f>SUMIFS(tabela_registros[VALOR],tabela_registros[MÊS],$AE$1,tabela_registros[DIA],investirrendavariávelconsolidadodez[[#Headers],[16]],tabela_registros[REGISTRO],DADOS!$N$5,tabela_registros[TIPO],DADOS!$AB$4,tabela_registros[CATEGORIA],investirrendavariávelconsolidadodez[[#This Row],[ATUAL]])</f>
        <v>0</v>
      </c>
      <c r="U132" s="91">
        <f>SUMIFS(tabela_registros[VALOR],tabela_registros[MÊS],$AE$1,tabela_registros[DIA],investirrendavariávelconsolidadodez[[#Headers],[17]],tabela_registros[REGISTRO],DADOS!$N$5,tabela_registros[TIPO],DADOS!$AB$4,tabela_registros[CATEGORIA],investirrendavariávelconsolidadodez[[#This Row],[ATUAL]])</f>
        <v>0</v>
      </c>
      <c r="V132" s="91">
        <f>SUMIFS(tabela_registros[VALOR],tabela_registros[MÊS],$AE$1,tabela_registros[DIA],investirrendavariávelconsolidadodez[[#Headers],[18]],tabela_registros[REGISTRO],DADOS!$N$5,tabela_registros[TIPO],DADOS!$AB$4,tabela_registros[CATEGORIA],investirrendavariávelconsolidadodez[[#This Row],[ATUAL]])</f>
        <v>0</v>
      </c>
      <c r="W132" s="91">
        <f>SUMIFS(tabela_registros[VALOR],tabela_registros[MÊS],$AE$1,tabela_registros[DIA],investirrendavariávelconsolidadodez[[#Headers],[19]],tabela_registros[REGISTRO],DADOS!$N$5,tabela_registros[TIPO],DADOS!$AB$4,tabela_registros[CATEGORIA],investirrendavariávelconsolidadodez[[#This Row],[ATUAL]])</f>
        <v>0</v>
      </c>
      <c r="X132" s="91">
        <f>SUMIFS(tabela_registros[VALOR],tabela_registros[MÊS],$AE$1,tabela_registros[DIA],investirrendavariávelconsolidadodez[[#Headers],[20]],tabela_registros[REGISTRO],DADOS!$N$5,tabela_registros[TIPO],DADOS!$AB$4,tabela_registros[CATEGORIA],investirrendavariávelconsolidadodez[[#This Row],[ATUAL]])</f>
        <v>0</v>
      </c>
      <c r="Y132" s="91">
        <f>SUMIFS(tabela_registros[VALOR],tabela_registros[MÊS],$AE$1,tabela_registros[DIA],investirrendavariávelconsolidadodez[[#Headers],[21]],tabela_registros[REGISTRO],DADOS!$N$5,tabela_registros[TIPO],DADOS!$AB$4,tabela_registros[CATEGORIA],investirrendavariávelconsolidadodez[[#This Row],[ATUAL]])</f>
        <v>0</v>
      </c>
      <c r="Z132" s="91">
        <f>SUMIFS(tabela_registros[VALOR],tabela_registros[MÊS],$AE$1,tabela_registros[DIA],investirrendavariávelconsolidadodez[[#Headers],[22]],tabela_registros[REGISTRO],DADOS!$N$5,tabela_registros[TIPO],DADOS!$AB$4,tabela_registros[CATEGORIA],investirrendavariávelconsolidadodez[[#This Row],[ATUAL]])</f>
        <v>0</v>
      </c>
      <c r="AA132" s="91">
        <f>SUMIFS(tabela_registros[VALOR],tabela_registros[MÊS],$AE$1,tabela_registros[DIA],investirrendavariávelconsolidadodez[[#Headers],[23]],tabela_registros[REGISTRO],DADOS!$N$5,tabela_registros[TIPO],DADOS!$AB$4,tabela_registros[CATEGORIA],investirrendavariávelconsolidadodez[[#This Row],[ATUAL]])</f>
        <v>0</v>
      </c>
      <c r="AB132" s="91">
        <f>SUMIFS(tabela_registros[VALOR],tabela_registros[MÊS],$AE$1,tabela_registros[DIA],investirrendavariávelconsolidadodez[[#Headers],[24]],tabela_registros[REGISTRO],DADOS!$N$5,tabela_registros[TIPO],DADOS!$AB$4,tabela_registros[CATEGORIA],investirrendavariávelconsolidadodez[[#This Row],[ATUAL]])</f>
        <v>0</v>
      </c>
      <c r="AC132" s="91">
        <f>SUMIFS(tabela_registros[VALOR],tabela_registros[MÊS],$AE$1,tabela_registros[DIA],investirrendavariávelconsolidadodez[[#Headers],[25]],tabela_registros[REGISTRO],DADOS!$N$5,tabela_registros[TIPO],DADOS!$AB$4,tabela_registros[CATEGORIA],investirrendavariávelconsolidadodez[[#This Row],[ATUAL]])</f>
        <v>0</v>
      </c>
      <c r="AD132" s="91">
        <f>SUMIFS(tabela_registros[VALOR],tabela_registros[MÊS],$AE$1,tabela_registros[DIA],investirrendavariávelconsolidadodez[[#Headers],[26]],tabela_registros[REGISTRO],DADOS!$N$5,tabela_registros[TIPO],DADOS!$AB$4,tabela_registros[CATEGORIA],investirrendavariávelconsolidadodez[[#This Row],[ATUAL]])</f>
        <v>0</v>
      </c>
      <c r="AE132" s="91">
        <f>SUMIFS(tabela_registros[VALOR],tabela_registros[MÊS],$AE$1,tabela_registros[DIA],investirrendavariávelconsolidadodez[[#Headers],[27]],tabela_registros[REGISTRO],DADOS!$N$5,tabela_registros[TIPO],DADOS!$AB$4,tabela_registros[CATEGORIA],investirrendavariávelconsolidadodez[[#This Row],[ATUAL]])</f>
        <v>0</v>
      </c>
      <c r="AF132" s="91">
        <f>SUMIFS(tabela_registros[VALOR],tabela_registros[MÊS],$AE$1,tabela_registros[DIA],investirrendavariávelconsolidadodez[[#Headers],[28]],tabela_registros[REGISTRO],DADOS!$N$5,tabela_registros[TIPO],DADOS!$AB$4,tabela_registros[CATEGORIA],investirrendavariávelconsolidadodez[[#This Row],[ATUAL]])</f>
        <v>0</v>
      </c>
      <c r="AG132" s="91">
        <f>SUMIFS(tabela_registros[VALOR],tabela_registros[MÊS],$AE$1,tabela_registros[DIA],investirrendavariávelconsolidadodez[[#Headers],[29]],tabela_registros[REGISTRO],DADOS!$N$5,tabela_registros[TIPO],DADOS!$AB$4,tabela_registros[CATEGORIA],investirrendavariávelconsolidadodez[[#This Row],[ATUAL]])</f>
        <v>0</v>
      </c>
      <c r="AH132" s="91">
        <f>SUMIFS(tabela_registros[VALOR],tabela_registros[MÊS],$AE$1,tabela_registros[DIA],investirrendavariávelconsolidadodez[[#Headers],[30]],tabela_registros[REGISTRO],DADOS!$N$5,tabela_registros[TIPO],DADOS!$AB$4,tabela_registros[CATEGORIA],investirrendavariávelconsolidadodez[[#This Row],[ATUAL]])</f>
        <v>0</v>
      </c>
      <c r="AI132" s="101">
        <f>SUMIFS(tabela_registros[VALOR],tabela_registros[MÊS],$AE$1,tabela_registros[DIA],investirrendavariávelconsolidadodez[[#Headers],[31]],tabela_registros[REGISTRO],DADOS!$N$5,tabela_registros[TIPO],DADOS!$AB$4,tabela_registros[CATEGORIA],investirrendavariávelconsolidadodez[[#This Row],[ATUAL]])</f>
        <v>0</v>
      </c>
      <c r="AJ132" s="97">
        <f>SUM(investirrendavariávelconsolidadodez[[#This Row],[1]:[31]])</f>
        <v>0</v>
      </c>
      <c r="AK132" s="25"/>
    </row>
    <row r="133" spans="2:37" ht="19.5" customHeight="1" thickTop="1" thickBot="1" x14ac:dyDescent="0.3">
      <c r="B133" s="28"/>
      <c r="C133" s="27" t="str">
        <f>DADOS!$AF$4</f>
        <v>📝 COMÓDITE</v>
      </c>
      <c r="D133" s="26" t="str">
        <f>IF(investirrendavariávelconsolidadodez[[#This Row],[TOTAL (R$)]]=0,"",IF(OR(investirrendavariávelconsolidadodez[[#This Row],[TOTAL (R$)]]=LARGE($AJ$132:$AJ$141,1),investirrendavariávelconsolidadodez[[#This Row],[TOTAL (R$)]]=LARGE($AJ$132:$AJ$141,2)),DADOS!$I$10,""))</f>
        <v/>
      </c>
      <c r="E133" s="96">
        <f>SUMIFS(tabela_registros[VALOR],tabela_registros[MÊS],$AE$1,tabela_registros[DIA],investirrendavariávelconsolidadodez[[#Headers],[1]],tabela_registros[REGISTRO],DADOS!$N$5,tabela_registros[TIPO],DADOS!$AB$4,tabela_registros[CATEGORIA],investirrendavariávelconsolidadodez[[#This Row],[ATUAL]])</f>
        <v>0</v>
      </c>
      <c r="F133" s="91">
        <f>SUMIFS(tabela_registros[VALOR],tabela_registros[MÊS],$AE$1,tabela_registros[DIA],investirrendavariávelconsolidadodez[[#Headers],[2]],tabela_registros[REGISTRO],DADOS!$N$5,tabela_registros[TIPO],DADOS!$AB$4,tabela_registros[CATEGORIA],investirrendavariávelconsolidadodez[[#This Row],[ATUAL]])</f>
        <v>0</v>
      </c>
      <c r="G133" s="91">
        <f>SUMIFS(tabela_registros[VALOR],tabela_registros[MÊS],$AE$1,tabela_registros[DIA],investirrendavariávelconsolidadodez[[#Headers],[3]],tabela_registros[REGISTRO],DADOS!$N$5,tabela_registros[TIPO],DADOS!$AB$4,tabela_registros[CATEGORIA],investirrendavariávelconsolidadodez[[#This Row],[ATUAL]])</f>
        <v>0</v>
      </c>
      <c r="H133" s="91">
        <f>SUMIFS(tabela_registros[VALOR],tabela_registros[MÊS],$AE$1,tabela_registros[DIA],investirrendavariávelconsolidadodez[[#Headers],[4]],tabela_registros[REGISTRO],DADOS!$N$5,tabela_registros[TIPO],DADOS!$AB$4,tabela_registros[CATEGORIA],investirrendavariávelconsolidadodez[[#This Row],[ATUAL]])</f>
        <v>0</v>
      </c>
      <c r="I133" s="91">
        <f>SUMIFS(tabela_registros[VALOR],tabela_registros[MÊS],$AE$1,tabela_registros[DIA],investirrendavariávelconsolidadodez[[#Headers],[5]],tabela_registros[REGISTRO],DADOS!$N$5,tabela_registros[TIPO],DADOS!$AB$4,tabela_registros[CATEGORIA],investirrendavariávelconsolidadodez[[#This Row],[ATUAL]])</f>
        <v>0</v>
      </c>
      <c r="J133" s="91">
        <f>SUMIFS(tabela_registros[VALOR],tabela_registros[MÊS],$AE$1,tabela_registros[DIA],investirrendavariávelconsolidadodez[[#Headers],[6]],tabela_registros[REGISTRO],DADOS!$N$5,tabela_registros[TIPO],DADOS!$AB$4,tabela_registros[CATEGORIA],investirrendavariávelconsolidadodez[[#This Row],[ATUAL]])</f>
        <v>0</v>
      </c>
      <c r="K133" s="91">
        <f>SUMIFS(tabela_registros[VALOR],tabela_registros[MÊS],$AE$1,tabela_registros[DIA],investirrendavariávelconsolidadodez[[#Headers],[7]],tabela_registros[REGISTRO],DADOS!$N$5,tabela_registros[TIPO],DADOS!$AB$4,tabela_registros[CATEGORIA],investirrendavariávelconsolidadodez[[#This Row],[ATUAL]])</f>
        <v>0</v>
      </c>
      <c r="L133" s="91">
        <f>SUMIFS(tabela_registros[VALOR],tabela_registros[MÊS],$AE$1,tabela_registros[DIA],investirrendavariávelconsolidadodez[[#Headers],[8]],tabela_registros[REGISTRO],DADOS!$N$5,tabela_registros[TIPO],DADOS!$AB$4,tabela_registros[CATEGORIA],investirrendavariávelconsolidadodez[[#This Row],[ATUAL]])</f>
        <v>0</v>
      </c>
      <c r="M133" s="91">
        <f>SUMIFS(tabela_registros[VALOR],tabela_registros[MÊS],$AE$1,tabela_registros[DIA],investirrendavariávelconsolidadodez[[#Headers],[9]],tabela_registros[REGISTRO],DADOS!$N$5,tabela_registros[TIPO],DADOS!$AB$4,tabela_registros[CATEGORIA],investirrendavariávelconsolidadodez[[#This Row],[ATUAL]])</f>
        <v>0</v>
      </c>
      <c r="N133" s="91">
        <f>SUMIFS(tabela_registros[VALOR],tabela_registros[MÊS],$AE$1,tabela_registros[DIA],investirrendavariávelconsolidadodez[[#Headers],[10]],tabela_registros[REGISTRO],DADOS!$N$5,tabela_registros[TIPO],DADOS!$AB$4,tabela_registros[CATEGORIA],investirrendavariávelconsolidadodez[[#This Row],[ATUAL]])</f>
        <v>0</v>
      </c>
      <c r="O133" s="91">
        <f>SUMIFS(tabela_registros[VALOR],tabela_registros[MÊS],$AE$1,tabela_registros[DIA],investirrendavariávelconsolidadodez[[#Headers],[11]],tabela_registros[REGISTRO],DADOS!$N$5,tabela_registros[TIPO],DADOS!$AB$4,tabela_registros[CATEGORIA],investirrendavariávelconsolidadodez[[#This Row],[ATUAL]])</f>
        <v>0</v>
      </c>
      <c r="P133" s="91">
        <f>SUMIFS(tabela_registros[VALOR],tabela_registros[MÊS],$AE$1,tabela_registros[DIA],investirrendavariávelconsolidadodez[[#Headers],[12]],tabela_registros[REGISTRO],DADOS!$N$5,tabela_registros[TIPO],DADOS!$AB$4,tabela_registros[CATEGORIA],investirrendavariávelconsolidadodez[[#This Row],[ATUAL]])</f>
        <v>0</v>
      </c>
      <c r="Q133" s="91">
        <f>SUMIFS(tabela_registros[VALOR],tabela_registros[MÊS],$AE$1,tabela_registros[DIA],investirrendavariávelconsolidadodez[[#Headers],[13]],tabela_registros[REGISTRO],DADOS!$N$5,tabela_registros[TIPO],DADOS!$AB$4,tabela_registros[CATEGORIA],investirrendavariávelconsolidadodez[[#This Row],[ATUAL]])</f>
        <v>0</v>
      </c>
      <c r="R133" s="91">
        <f>SUMIFS(tabela_registros[VALOR],tabela_registros[MÊS],$AE$1,tabela_registros[DIA],investirrendavariávelconsolidadodez[[#Headers],[14]],tabela_registros[REGISTRO],DADOS!$N$5,tabela_registros[TIPO],DADOS!$AB$4,tabela_registros[CATEGORIA],investirrendavariávelconsolidadodez[[#This Row],[ATUAL]])</f>
        <v>0</v>
      </c>
      <c r="S133" s="91">
        <f>SUMIFS(tabela_registros[VALOR],tabela_registros[MÊS],$AE$1,tabela_registros[DIA],investirrendavariávelconsolidadodez[[#Headers],[15]],tabela_registros[REGISTRO],DADOS!$N$5,tabela_registros[TIPO],DADOS!$AB$4,tabela_registros[CATEGORIA],investirrendavariávelconsolidadodez[[#This Row],[ATUAL]])</f>
        <v>0</v>
      </c>
      <c r="T133" s="91">
        <f>SUMIFS(tabela_registros[VALOR],tabela_registros[MÊS],$AE$1,tabela_registros[DIA],investirrendavariávelconsolidadodez[[#Headers],[16]],tabela_registros[REGISTRO],DADOS!$N$5,tabela_registros[TIPO],DADOS!$AB$4,tabela_registros[CATEGORIA],investirrendavariávelconsolidadodez[[#This Row],[ATUAL]])</f>
        <v>0</v>
      </c>
      <c r="U133" s="91">
        <f>SUMIFS(tabela_registros[VALOR],tabela_registros[MÊS],$AE$1,tabela_registros[DIA],investirrendavariávelconsolidadodez[[#Headers],[17]],tabela_registros[REGISTRO],DADOS!$N$5,tabela_registros[TIPO],DADOS!$AB$4,tabela_registros[CATEGORIA],investirrendavariávelconsolidadodez[[#This Row],[ATUAL]])</f>
        <v>0</v>
      </c>
      <c r="V133" s="91">
        <f>SUMIFS(tabela_registros[VALOR],tabela_registros[MÊS],$AE$1,tabela_registros[DIA],investirrendavariávelconsolidadodez[[#Headers],[18]],tabela_registros[REGISTRO],DADOS!$N$5,tabela_registros[TIPO],DADOS!$AB$4,tabela_registros[CATEGORIA],investirrendavariávelconsolidadodez[[#This Row],[ATUAL]])</f>
        <v>0</v>
      </c>
      <c r="W133" s="91">
        <f>SUMIFS(tabela_registros[VALOR],tabela_registros[MÊS],$AE$1,tabela_registros[DIA],investirrendavariávelconsolidadodez[[#Headers],[19]],tabela_registros[REGISTRO],DADOS!$N$5,tabela_registros[TIPO],DADOS!$AB$4,tabela_registros[CATEGORIA],investirrendavariávelconsolidadodez[[#This Row],[ATUAL]])</f>
        <v>0</v>
      </c>
      <c r="X133" s="91">
        <f>SUMIFS(tabela_registros[VALOR],tabela_registros[MÊS],$AE$1,tabela_registros[DIA],investirrendavariávelconsolidadodez[[#Headers],[20]],tabela_registros[REGISTRO],DADOS!$N$5,tabela_registros[TIPO],DADOS!$AB$4,tabela_registros[CATEGORIA],investirrendavariávelconsolidadodez[[#This Row],[ATUAL]])</f>
        <v>0</v>
      </c>
      <c r="Y133" s="91">
        <f>SUMIFS(tabela_registros[VALOR],tabela_registros[MÊS],$AE$1,tabela_registros[DIA],investirrendavariávelconsolidadodez[[#Headers],[21]],tabela_registros[REGISTRO],DADOS!$N$5,tabela_registros[TIPO],DADOS!$AB$4,tabela_registros[CATEGORIA],investirrendavariávelconsolidadodez[[#This Row],[ATUAL]])</f>
        <v>0</v>
      </c>
      <c r="Z133" s="91">
        <f>SUMIFS(tabela_registros[VALOR],tabela_registros[MÊS],$AE$1,tabela_registros[DIA],investirrendavariávelconsolidadodez[[#Headers],[22]],tabela_registros[REGISTRO],DADOS!$N$5,tabela_registros[TIPO],DADOS!$AB$4,tabela_registros[CATEGORIA],investirrendavariávelconsolidadodez[[#This Row],[ATUAL]])</f>
        <v>0</v>
      </c>
      <c r="AA133" s="91">
        <f>SUMIFS(tabela_registros[VALOR],tabela_registros[MÊS],$AE$1,tabela_registros[DIA],investirrendavariávelconsolidadodez[[#Headers],[23]],tabela_registros[REGISTRO],DADOS!$N$5,tabela_registros[TIPO],DADOS!$AB$4,tabela_registros[CATEGORIA],investirrendavariávelconsolidadodez[[#This Row],[ATUAL]])</f>
        <v>0</v>
      </c>
      <c r="AB133" s="91">
        <f>SUMIFS(tabela_registros[VALOR],tabela_registros[MÊS],$AE$1,tabela_registros[DIA],investirrendavariávelconsolidadodez[[#Headers],[24]],tabela_registros[REGISTRO],DADOS!$N$5,tabela_registros[TIPO],DADOS!$AB$4,tabela_registros[CATEGORIA],investirrendavariávelconsolidadodez[[#This Row],[ATUAL]])</f>
        <v>0</v>
      </c>
      <c r="AC133" s="91">
        <f>SUMIFS(tabela_registros[VALOR],tabela_registros[MÊS],$AE$1,tabela_registros[DIA],investirrendavariávelconsolidadodez[[#Headers],[25]],tabela_registros[REGISTRO],DADOS!$N$5,tabela_registros[TIPO],DADOS!$AB$4,tabela_registros[CATEGORIA],investirrendavariávelconsolidadodez[[#This Row],[ATUAL]])</f>
        <v>0</v>
      </c>
      <c r="AD133" s="91">
        <f>SUMIFS(tabela_registros[VALOR],tabela_registros[MÊS],$AE$1,tabela_registros[DIA],investirrendavariávelconsolidadodez[[#Headers],[26]],tabela_registros[REGISTRO],DADOS!$N$5,tabela_registros[TIPO],DADOS!$AB$4,tabela_registros[CATEGORIA],investirrendavariávelconsolidadodez[[#This Row],[ATUAL]])</f>
        <v>0</v>
      </c>
      <c r="AE133" s="91">
        <f>SUMIFS(tabela_registros[VALOR],tabela_registros[MÊS],$AE$1,tabela_registros[DIA],investirrendavariávelconsolidadodez[[#Headers],[27]],tabela_registros[REGISTRO],DADOS!$N$5,tabela_registros[TIPO],DADOS!$AB$4,tabela_registros[CATEGORIA],investirrendavariávelconsolidadodez[[#This Row],[ATUAL]])</f>
        <v>0</v>
      </c>
      <c r="AF133" s="91">
        <f>SUMIFS(tabela_registros[VALOR],tabela_registros[MÊS],$AE$1,tabela_registros[DIA],investirrendavariávelconsolidadodez[[#Headers],[28]],tabela_registros[REGISTRO],DADOS!$N$5,tabela_registros[TIPO],DADOS!$AB$4,tabela_registros[CATEGORIA],investirrendavariávelconsolidadodez[[#This Row],[ATUAL]])</f>
        <v>0</v>
      </c>
      <c r="AG133" s="91">
        <f>SUMIFS(tabela_registros[VALOR],tabela_registros[MÊS],$AE$1,tabela_registros[DIA],investirrendavariávelconsolidadodez[[#Headers],[29]],tabela_registros[REGISTRO],DADOS!$N$5,tabela_registros[TIPO],DADOS!$AB$4,tabela_registros[CATEGORIA],investirrendavariávelconsolidadodez[[#This Row],[ATUAL]])</f>
        <v>0</v>
      </c>
      <c r="AH133" s="91">
        <f>SUMIFS(tabela_registros[VALOR],tabela_registros[MÊS],$AE$1,tabela_registros[DIA],investirrendavariávelconsolidadodez[[#Headers],[30]],tabela_registros[REGISTRO],DADOS!$N$5,tabela_registros[TIPO],DADOS!$AB$4,tabela_registros[CATEGORIA],investirrendavariávelconsolidadodez[[#This Row],[ATUAL]])</f>
        <v>0</v>
      </c>
      <c r="AI133" s="101">
        <f>SUMIFS(tabela_registros[VALOR],tabela_registros[MÊS],$AE$1,tabela_registros[DIA],investirrendavariávelconsolidadodez[[#Headers],[31]],tabela_registros[REGISTRO],DADOS!$N$5,tabela_registros[TIPO],DADOS!$AB$4,tabela_registros[CATEGORIA],investirrendavariávelconsolidadodez[[#This Row],[ATUAL]])</f>
        <v>0</v>
      </c>
      <c r="AJ133" s="97">
        <f>SUM(investirrendavariávelconsolidadodez[[#This Row],[1]:[31]])</f>
        <v>0</v>
      </c>
      <c r="AK133" s="25"/>
    </row>
    <row r="134" spans="2:37" ht="19.5" customHeight="1" thickTop="1" thickBot="1" x14ac:dyDescent="0.3">
      <c r="B134" s="28"/>
      <c r="C134" s="27" t="str">
        <f>DADOS!$AF$5</f>
        <v>📝 CONTRATO DE FUTUROS</v>
      </c>
      <c r="D134" s="26" t="str">
        <f>IF(investirrendavariávelconsolidadodez[[#This Row],[TOTAL (R$)]]=0,"",IF(OR(investirrendavariávelconsolidadodez[[#This Row],[TOTAL (R$)]]=LARGE($AJ$132:$AJ$141,1),investirrendavariávelconsolidadodez[[#This Row],[TOTAL (R$)]]=LARGE($AJ$132:$AJ$141,2)),DADOS!$I$10,""))</f>
        <v/>
      </c>
      <c r="E134" s="96">
        <f>SUMIFS(tabela_registros[VALOR],tabela_registros[MÊS],$AE$1,tabela_registros[DIA],investirrendavariávelconsolidadodez[[#Headers],[1]],tabela_registros[REGISTRO],DADOS!$N$5,tabela_registros[TIPO],DADOS!$AB$4,tabela_registros[CATEGORIA],investirrendavariávelconsolidadodez[[#This Row],[ATUAL]])</f>
        <v>0</v>
      </c>
      <c r="F134" s="91">
        <f>SUMIFS(tabela_registros[VALOR],tabela_registros[MÊS],$AE$1,tabela_registros[DIA],investirrendavariávelconsolidadodez[[#Headers],[2]],tabela_registros[REGISTRO],DADOS!$N$5,tabela_registros[TIPO],DADOS!$AB$4,tabela_registros[CATEGORIA],investirrendavariávelconsolidadodez[[#This Row],[ATUAL]])</f>
        <v>0</v>
      </c>
      <c r="G134" s="91">
        <f>SUMIFS(tabela_registros[VALOR],tabela_registros[MÊS],$AE$1,tabela_registros[DIA],investirrendavariávelconsolidadodez[[#Headers],[3]],tabela_registros[REGISTRO],DADOS!$N$5,tabela_registros[TIPO],DADOS!$AB$4,tabela_registros[CATEGORIA],investirrendavariávelconsolidadodez[[#This Row],[ATUAL]])</f>
        <v>0</v>
      </c>
      <c r="H134" s="91">
        <f>SUMIFS(tabela_registros[VALOR],tabela_registros[MÊS],$AE$1,tabela_registros[DIA],investirrendavariávelconsolidadodez[[#Headers],[4]],tabela_registros[REGISTRO],DADOS!$N$5,tabela_registros[TIPO],DADOS!$AB$4,tabela_registros[CATEGORIA],investirrendavariávelconsolidadodez[[#This Row],[ATUAL]])</f>
        <v>0</v>
      </c>
      <c r="I134" s="91">
        <f>SUMIFS(tabela_registros[VALOR],tabela_registros[MÊS],$AE$1,tabela_registros[DIA],investirrendavariávelconsolidadodez[[#Headers],[5]],tabela_registros[REGISTRO],DADOS!$N$5,tabela_registros[TIPO],DADOS!$AB$4,tabela_registros[CATEGORIA],investirrendavariávelconsolidadodez[[#This Row],[ATUAL]])</f>
        <v>0</v>
      </c>
      <c r="J134" s="91">
        <f>SUMIFS(tabela_registros[VALOR],tabela_registros[MÊS],$AE$1,tabela_registros[DIA],investirrendavariávelconsolidadodez[[#Headers],[6]],tabela_registros[REGISTRO],DADOS!$N$5,tabela_registros[TIPO],DADOS!$AB$4,tabela_registros[CATEGORIA],investirrendavariávelconsolidadodez[[#This Row],[ATUAL]])</f>
        <v>0</v>
      </c>
      <c r="K134" s="91">
        <f>SUMIFS(tabela_registros[VALOR],tabela_registros[MÊS],$AE$1,tabela_registros[DIA],investirrendavariávelconsolidadodez[[#Headers],[7]],tabela_registros[REGISTRO],DADOS!$N$5,tabela_registros[TIPO],DADOS!$AB$4,tabela_registros[CATEGORIA],investirrendavariávelconsolidadodez[[#This Row],[ATUAL]])</f>
        <v>0</v>
      </c>
      <c r="L134" s="91">
        <f>SUMIFS(tabela_registros[VALOR],tabela_registros[MÊS],$AE$1,tabela_registros[DIA],investirrendavariávelconsolidadodez[[#Headers],[8]],tabela_registros[REGISTRO],DADOS!$N$5,tabela_registros[TIPO],DADOS!$AB$4,tabela_registros[CATEGORIA],investirrendavariávelconsolidadodez[[#This Row],[ATUAL]])</f>
        <v>0</v>
      </c>
      <c r="M134" s="91">
        <f>SUMIFS(tabela_registros[VALOR],tabela_registros[MÊS],$AE$1,tabela_registros[DIA],investirrendavariávelconsolidadodez[[#Headers],[9]],tabela_registros[REGISTRO],DADOS!$N$5,tabela_registros[TIPO],DADOS!$AB$4,tabela_registros[CATEGORIA],investirrendavariávelconsolidadodez[[#This Row],[ATUAL]])</f>
        <v>0</v>
      </c>
      <c r="N134" s="91">
        <f>SUMIFS(tabela_registros[VALOR],tabela_registros[MÊS],$AE$1,tabela_registros[DIA],investirrendavariávelconsolidadodez[[#Headers],[10]],tabela_registros[REGISTRO],DADOS!$N$5,tabela_registros[TIPO],DADOS!$AB$4,tabela_registros[CATEGORIA],investirrendavariávelconsolidadodez[[#This Row],[ATUAL]])</f>
        <v>0</v>
      </c>
      <c r="O134" s="91">
        <f>SUMIFS(tabela_registros[VALOR],tabela_registros[MÊS],$AE$1,tabela_registros[DIA],investirrendavariávelconsolidadodez[[#Headers],[11]],tabela_registros[REGISTRO],DADOS!$N$5,tabela_registros[TIPO],DADOS!$AB$4,tabela_registros[CATEGORIA],investirrendavariávelconsolidadodez[[#This Row],[ATUAL]])</f>
        <v>0</v>
      </c>
      <c r="P134" s="91">
        <f>SUMIFS(tabela_registros[VALOR],tabela_registros[MÊS],$AE$1,tabela_registros[DIA],investirrendavariávelconsolidadodez[[#Headers],[12]],tabela_registros[REGISTRO],DADOS!$N$5,tabela_registros[TIPO],DADOS!$AB$4,tabela_registros[CATEGORIA],investirrendavariávelconsolidadodez[[#This Row],[ATUAL]])</f>
        <v>0</v>
      </c>
      <c r="Q134" s="91">
        <f>SUMIFS(tabela_registros[VALOR],tabela_registros[MÊS],$AE$1,tabela_registros[DIA],investirrendavariávelconsolidadodez[[#Headers],[13]],tabela_registros[REGISTRO],DADOS!$N$5,tabela_registros[TIPO],DADOS!$AB$4,tabela_registros[CATEGORIA],investirrendavariávelconsolidadodez[[#This Row],[ATUAL]])</f>
        <v>0</v>
      </c>
      <c r="R134" s="91">
        <f>SUMIFS(tabela_registros[VALOR],tabela_registros[MÊS],$AE$1,tabela_registros[DIA],investirrendavariávelconsolidadodez[[#Headers],[14]],tabela_registros[REGISTRO],DADOS!$N$5,tabela_registros[TIPO],DADOS!$AB$4,tabela_registros[CATEGORIA],investirrendavariávelconsolidadodez[[#This Row],[ATUAL]])</f>
        <v>0</v>
      </c>
      <c r="S134" s="91">
        <f>SUMIFS(tabela_registros[VALOR],tabela_registros[MÊS],$AE$1,tabela_registros[DIA],investirrendavariávelconsolidadodez[[#Headers],[15]],tabela_registros[REGISTRO],DADOS!$N$5,tabela_registros[TIPO],DADOS!$AB$4,tabela_registros[CATEGORIA],investirrendavariávelconsolidadodez[[#This Row],[ATUAL]])</f>
        <v>0</v>
      </c>
      <c r="T134" s="91">
        <f>SUMIFS(tabela_registros[VALOR],tabela_registros[MÊS],$AE$1,tabela_registros[DIA],investirrendavariávelconsolidadodez[[#Headers],[16]],tabela_registros[REGISTRO],DADOS!$N$5,tabela_registros[TIPO],DADOS!$AB$4,tabela_registros[CATEGORIA],investirrendavariávelconsolidadodez[[#This Row],[ATUAL]])</f>
        <v>0</v>
      </c>
      <c r="U134" s="91">
        <f>SUMIFS(tabela_registros[VALOR],tabela_registros[MÊS],$AE$1,tabela_registros[DIA],investirrendavariávelconsolidadodez[[#Headers],[17]],tabela_registros[REGISTRO],DADOS!$N$5,tabela_registros[TIPO],DADOS!$AB$4,tabela_registros[CATEGORIA],investirrendavariávelconsolidadodez[[#This Row],[ATUAL]])</f>
        <v>0</v>
      </c>
      <c r="V134" s="91">
        <f>SUMIFS(tabela_registros[VALOR],tabela_registros[MÊS],$AE$1,tabela_registros[DIA],investirrendavariávelconsolidadodez[[#Headers],[18]],tabela_registros[REGISTRO],DADOS!$N$5,tabela_registros[TIPO],DADOS!$AB$4,tabela_registros[CATEGORIA],investirrendavariávelconsolidadodez[[#This Row],[ATUAL]])</f>
        <v>0</v>
      </c>
      <c r="W134" s="91">
        <f>SUMIFS(tabela_registros[VALOR],tabela_registros[MÊS],$AE$1,tabela_registros[DIA],investirrendavariávelconsolidadodez[[#Headers],[19]],tabela_registros[REGISTRO],DADOS!$N$5,tabela_registros[TIPO],DADOS!$AB$4,tabela_registros[CATEGORIA],investirrendavariávelconsolidadodez[[#This Row],[ATUAL]])</f>
        <v>0</v>
      </c>
      <c r="X134" s="91">
        <f>SUMIFS(tabela_registros[VALOR],tabela_registros[MÊS],$AE$1,tabela_registros[DIA],investirrendavariávelconsolidadodez[[#Headers],[20]],tabela_registros[REGISTRO],DADOS!$N$5,tabela_registros[TIPO],DADOS!$AB$4,tabela_registros[CATEGORIA],investirrendavariávelconsolidadodez[[#This Row],[ATUAL]])</f>
        <v>0</v>
      </c>
      <c r="Y134" s="91">
        <f>SUMIFS(tabela_registros[VALOR],tabela_registros[MÊS],$AE$1,tabela_registros[DIA],investirrendavariávelconsolidadodez[[#Headers],[21]],tabela_registros[REGISTRO],DADOS!$N$5,tabela_registros[TIPO],DADOS!$AB$4,tabela_registros[CATEGORIA],investirrendavariávelconsolidadodez[[#This Row],[ATUAL]])</f>
        <v>0</v>
      </c>
      <c r="Z134" s="91">
        <f>SUMIFS(tabela_registros[VALOR],tabela_registros[MÊS],$AE$1,tabela_registros[DIA],investirrendavariávelconsolidadodez[[#Headers],[22]],tabela_registros[REGISTRO],DADOS!$N$5,tabela_registros[TIPO],DADOS!$AB$4,tabela_registros[CATEGORIA],investirrendavariávelconsolidadodez[[#This Row],[ATUAL]])</f>
        <v>0</v>
      </c>
      <c r="AA134" s="91">
        <f>SUMIFS(tabela_registros[VALOR],tabela_registros[MÊS],$AE$1,tabela_registros[DIA],investirrendavariávelconsolidadodez[[#Headers],[23]],tabela_registros[REGISTRO],DADOS!$N$5,tabela_registros[TIPO],DADOS!$AB$4,tabela_registros[CATEGORIA],investirrendavariávelconsolidadodez[[#This Row],[ATUAL]])</f>
        <v>0</v>
      </c>
      <c r="AB134" s="91">
        <f>SUMIFS(tabela_registros[VALOR],tabela_registros[MÊS],$AE$1,tabela_registros[DIA],investirrendavariávelconsolidadodez[[#Headers],[24]],tabela_registros[REGISTRO],DADOS!$N$5,tabela_registros[TIPO],DADOS!$AB$4,tabela_registros[CATEGORIA],investirrendavariávelconsolidadodez[[#This Row],[ATUAL]])</f>
        <v>0</v>
      </c>
      <c r="AC134" s="91">
        <f>SUMIFS(tabela_registros[VALOR],tabela_registros[MÊS],$AE$1,tabela_registros[DIA],investirrendavariávelconsolidadodez[[#Headers],[25]],tabela_registros[REGISTRO],DADOS!$N$5,tabela_registros[TIPO],DADOS!$AB$4,tabela_registros[CATEGORIA],investirrendavariávelconsolidadodez[[#This Row],[ATUAL]])</f>
        <v>0</v>
      </c>
      <c r="AD134" s="91">
        <f>SUMIFS(tabela_registros[VALOR],tabela_registros[MÊS],$AE$1,tabela_registros[DIA],investirrendavariávelconsolidadodez[[#Headers],[26]],tabela_registros[REGISTRO],DADOS!$N$5,tabela_registros[TIPO],DADOS!$AB$4,tabela_registros[CATEGORIA],investirrendavariávelconsolidadodez[[#This Row],[ATUAL]])</f>
        <v>0</v>
      </c>
      <c r="AE134" s="91">
        <f>SUMIFS(tabela_registros[VALOR],tabela_registros[MÊS],$AE$1,tabela_registros[DIA],investirrendavariávelconsolidadodez[[#Headers],[27]],tabela_registros[REGISTRO],DADOS!$N$5,tabela_registros[TIPO],DADOS!$AB$4,tabela_registros[CATEGORIA],investirrendavariávelconsolidadodez[[#This Row],[ATUAL]])</f>
        <v>0</v>
      </c>
      <c r="AF134" s="91">
        <f>SUMIFS(tabela_registros[VALOR],tabela_registros[MÊS],$AE$1,tabela_registros[DIA],investirrendavariávelconsolidadodez[[#Headers],[28]],tabela_registros[REGISTRO],DADOS!$N$5,tabela_registros[TIPO],DADOS!$AB$4,tabela_registros[CATEGORIA],investirrendavariávelconsolidadodez[[#This Row],[ATUAL]])</f>
        <v>0</v>
      </c>
      <c r="AG134" s="91">
        <f>SUMIFS(tabela_registros[VALOR],tabela_registros[MÊS],$AE$1,tabela_registros[DIA],investirrendavariávelconsolidadodez[[#Headers],[29]],tabela_registros[REGISTRO],DADOS!$N$5,tabela_registros[TIPO],DADOS!$AB$4,tabela_registros[CATEGORIA],investirrendavariávelconsolidadodez[[#This Row],[ATUAL]])</f>
        <v>0</v>
      </c>
      <c r="AH134" s="91">
        <f>SUMIFS(tabela_registros[VALOR],tabela_registros[MÊS],$AE$1,tabela_registros[DIA],investirrendavariávelconsolidadodez[[#Headers],[30]],tabela_registros[REGISTRO],DADOS!$N$5,tabela_registros[TIPO],DADOS!$AB$4,tabela_registros[CATEGORIA],investirrendavariávelconsolidadodez[[#This Row],[ATUAL]])</f>
        <v>0</v>
      </c>
      <c r="AI134" s="101">
        <f>SUMIFS(tabela_registros[VALOR],tabela_registros[MÊS],$AE$1,tabela_registros[DIA],investirrendavariávelconsolidadodez[[#Headers],[31]],tabela_registros[REGISTRO],DADOS!$N$5,tabela_registros[TIPO],DADOS!$AB$4,tabela_registros[CATEGORIA],investirrendavariávelconsolidadodez[[#This Row],[ATUAL]])</f>
        <v>0</v>
      </c>
      <c r="AJ134" s="97">
        <f>SUM(investirrendavariávelconsolidadodez[[#This Row],[1]:[31]])</f>
        <v>0</v>
      </c>
      <c r="AK134" s="25"/>
    </row>
    <row r="135" spans="2:37" ht="19.5" customHeight="1" thickTop="1" thickBot="1" x14ac:dyDescent="0.3">
      <c r="B135" s="28"/>
      <c r="C135" s="27" t="str">
        <f>DADOS!$AF$6</f>
        <v>📝 CONTRATO DE OPÇÕES</v>
      </c>
      <c r="D135" s="26" t="str">
        <f>IF(investirrendavariávelconsolidadodez[[#This Row],[TOTAL (R$)]]=0,"",IF(OR(investirrendavariávelconsolidadodez[[#This Row],[TOTAL (R$)]]=LARGE($AJ$132:$AJ$141,1),investirrendavariávelconsolidadodez[[#This Row],[TOTAL (R$)]]=LARGE($AJ$132:$AJ$141,2)),DADOS!$I$10,""))</f>
        <v/>
      </c>
      <c r="E135" s="96">
        <f>SUMIFS(tabela_registros[VALOR],tabela_registros[MÊS],$AE$1,tabela_registros[DIA],investirrendavariávelconsolidadodez[[#Headers],[1]],tabela_registros[REGISTRO],DADOS!$N$5,tabela_registros[TIPO],DADOS!$AB$4,tabela_registros[CATEGORIA],investirrendavariávelconsolidadodez[[#This Row],[ATUAL]])</f>
        <v>0</v>
      </c>
      <c r="F135" s="91">
        <f>SUMIFS(tabela_registros[VALOR],tabela_registros[MÊS],$AE$1,tabela_registros[DIA],investirrendavariávelconsolidadodez[[#Headers],[2]],tabela_registros[REGISTRO],DADOS!$N$5,tabela_registros[TIPO],DADOS!$AB$4,tabela_registros[CATEGORIA],investirrendavariávelconsolidadodez[[#This Row],[ATUAL]])</f>
        <v>0</v>
      </c>
      <c r="G135" s="91">
        <f>SUMIFS(tabela_registros[VALOR],tabela_registros[MÊS],$AE$1,tabela_registros[DIA],investirrendavariávelconsolidadodez[[#Headers],[3]],tabela_registros[REGISTRO],DADOS!$N$5,tabela_registros[TIPO],DADOS!$AB$4,tabela_registros[CATEGORIA],investirrendavariávelconsolidadodez[[#This Row],[ATUAL]])</f>
        <v>0</v>
      </c>
      <c r="H135" s="91">
        <f>SUMIFS(tabela_registros[VALOR],tabela_registros[MÊS],$AE$1,tabela_registros[DIA],investirrendavariávelconsolidadodez[[#Headers],[4]],tabela_registros[REGISTRO],DADOS!$N$5,tabela_registros[TIPO],DADOS!$AB$4,tabela_registros[CATEGORIA],investirrendavariávelconsolidadodez[[#This Row],[ATUAL]])</f>
        <v>0</v>
      </c>
      <c r="I135" s="91">
        <f>SUMIFS(tabela_registros[VALOR],tabela_registros[MÊS],$AE$1,tabela_registros[DIA],investirrendavariávelconsolidadodez[[#Headers],[5]],tabela_registros[REGISTRO],DADOS!$N$5,tabela_registros[TIPO],DADOS!$AB$4,tabela_registros[CATEGORIA],investirrendavariávelconsolidadodez[[#This Row],[ATUAL]])</f>
        <v>0</v>
      </c>
      <c r="J135" s="91">
        <f>SUMIFS(tabela_registros[VALOR],tabela_registros[MÊS],$AE$1,tabela_registros[DIA],investirrendavariávelconsolidadodez[[#Headers],[6]],tabela_registros[REGISTRO],DADOS!$N$5,tabela_registros[TIPO],DADOS!$AB$4,tabela_registros[CATEGORIA],investirrendavariávelconsolidadodez[[#This Row],[ATUAL]])</f>
        <v>0</v>
      </c>
      <c r="K135" s="91">
        <f>SUMIFS(tabela_registros[VALOR],tabela_registros[MÊS],$AE$1,tabela_registros[DIA],investirrendavariávelconsolidadodez[[#Headers],[7]],tabela_registros[REGISTRO],DADOS!$N$5,tabela_registros[TIPO],DADOS!$AB$4,tabela_registros[CATEGORIA],investirrendavariávelconsolidadodez[[#This Row],[ATUAL]])</f>
        <v>0</v>
      </c>
      <c r="L135" s="91">
        <f>SUMIFS(tabela_registros[VALOR],tabela_registros[MÊS],$AE$1,tabela_registros[DIA],investirrendavariávelconsolidadodez[[#Headers],[8]],tabela_registros[REGISTRO],DADOS!$N$5,tabela_registros[TIPO],DADOS!$AB$4,tabela_registros[CATEGORIA],investirrendavariávelconsolidadodez[[#This Row],[ATUAL]])</f>
        <v>0</v>
      </c>
      <c r="M135" s="91">
        <f>SUMIFS(tabela_registros[VALOR],tabela_registros[MÊS],$AE$1,tabela_registros[DIA],investirrendavariávelconsolidadodez[[#Headers],[9]],tabela_registros[REGISTRO],DADOS!$N$5,tabela_registros[TIPO],DADOS!$AB$4,tabela_registros[CATEGORIA],investirrendavariávelconsolidadodez[[#This Row],[ATUAL]])</f>
        <v>0</v>
      </c>
      <c r="N135" s="91">
        <f>SUMIFS(tabela_registros[VALOR],tabela_registros[MÊS],$AE$1,tabela_registros[DIA],investirrendavariávelconsolidadodez[[#Headers],[10]],tabela_registros[REGISTRO],DADOS!$N$5,tabela_registros[TIPO],DADOS!$AB$4,tabela_registros[CATEGORIA],investirrendavariávelconsolidadodez[[#This Row],[ATUAL]])</f>
        <v>0</v>
      </c>
      <c r="O135" s="91">
        <f>SUMIFS(tabela_registros[VALOR],tabela_registros[MÊS],$AE$1,tabela_registros[DIA],investirrendavariávelconsolidadodez[[#Headers],[11]],tabela_registros[REGISTRO],DADOS!$N$5,tabela_registros[TIPO],DADOS!$AB$4,tabela_registros[CATEGORIA],investirrendavariávelconsolidadodez[[#This Row],[ATUAL]])</f>
        <v>0</v>
      </c>
      <c r="P135" s="91">
        <f>SUMIFS(tabela_registros[VALOR],tabela_registros[MÊS],$AE$1,tabela_registros[DIA],investirrendavariávelconsolidadodez[[#Headers],[12]],tabela_registros[REGISTRO],DADOS!$N$5,tabela_registros[TIPO],DADOS!$AB$4,tabela_registros[CATEGORIA],investirrendavariávelconsolidadodez[[#This Row],[ATUAL]])</f>
        <v>0</v>
      </c>
      <c r="Q135" s="91">
        <f>SUMIFS(tabela_registros[VALOR],tabela_registros[MÊS],$AE$1,tabela_registros[DIA],investirrendavariávelconsolidadodez[[#Headers],[13]],tabela_registros[REGISTRO],DADOS!$N$5,tabela_registros[TIPO],DADOS!$AB$4,tabela_registros[CATEGORIA],investirrendavariávelconsolidadodez[[#This Row],[ATUAL]])</f>
        <v>0</v>
      </c>
      <c r="R135" s="91">
        <f>SUMIFS(tabela_registros[VALOR],tabela_registros[MÊS],$AE$1,tabela_registros[DIA],investirrendavariávelconsolidadodez[[#Headers],[14]],tabela_registros[REGISTRO],DADOS!$N$5,tabela_registros[TIPO],DADOS!$AB$4,tabela_registros[CATEGORIA],investirrendavariávelconsolidadodez[[#This Row],[ATUAL]])</f>
        <v>0</v>
      </c>
      <c r="S135" s="91">
        <f>SUMIFS(tabela_registros[VALOR],tabela_registros[MÊS],$AE$1,tabela_registros[DIA],investirrendavariávelconsolidadodez[[#Headers],[15]],tabela_registros[REGISTRO],DADOS!$N$5,tabela_registros[TIPO],DADOS!$AB$4,tabela_registros[CATEGORIA],investirrendavariávelconsolidadodez[[#This Row],[ATUAL]])</f>
        <v>0</v>
      </c>
      <c r="T135" s="91">
        <f>SUMIFS(tabela_registros[VALOR],tabela_registros[MÊS],$AE$1,tabela_registros[DIA],investirrendavariávelconsolidadodez[[#Headers],[16]],tabela_registros[REGISTRO],DADOS!$N$5,tabela_registros[TIPO],DADOS!$AB$4,tabela_registros[CATEGORIA],investirrendavariávelconsolidadodez[[#This Row],[ATUAL]])</f>
        <v>0</v>
      </c>
      <c r="U135" s="91">
        <f>SUMIFS(tabela_registros[VALOR],tabela_registros[MÊS],$AE$1,tabela_registros[DIA],investirrendavariávelconsolidadodez[[#Headers],[17]],tabela_registros[REGISTRO],DADOS!$N$5,tabela_registros[TIPO],DADOS!$AB$4,tabela_registros[CATEGORIA],investirrendavariávelconsolidadodez[[#This Row],[ATUAL]])</f>
        <v>0</v>
      </c>
      <c r="V135" s="91">
        <f>SUMIFS(tabela_registros[VALOR],tabela_registros[MÊS],$AE$1,tabela_registros[DIA],investirrendavariávelconsolidadodez[[#Headers],[18]],tabela_registros[REGISTRO],DADOS!$N$5,tabela_registros[TIPO],DADOS!$AB$4,tabela_registros[CATEGORIA],investirrendavariávelconsolidadodez[[#This Row],[ATUAL]])</f>
        <v>0</v>
      </c>
      <c r="W135" s="91">
        <f>SUMIFS(tabela_registros[VALOR],tabela_registros[MÊS],$AE$1,tabela_registros[DIA],investirrendavariávelconsolidadodez[[#Headers],[19]],tabela_registros[REGISTRO],DADOS!$N$5,tabela_registros[TIPO],DADOS!$AB$4,tabela_registros[CATEGORIA],investirrendavariávelconsolidadodez[[#This Row],[ATUAL]])</f>
        <v>0</v>
      </c>
      <c r="X135" s="91">
        <f>SUMIFS(tabela_registros[VALOR],tabela_registros[MÊS],$AE$1,tabela_registros[DIA],investirrendavariávelconsolidadodez[[#Headers],[20]],tabela_registros[REGISTRO],DADOS!$N$5,tabela_registros[TIPO],DADOS!$AB$4,tabela_registros[CATEGORIA],investirrendavariávelconsolidadodez[[#This Row],[ATUAL]])</f>
        <v>0</v>
      </c>
      <c r="Y135" s="91">
        <f>SUMIFS(tabela_registros[VALOR],tabela_registros[MÊS],$AE$1,tabela_registros[DIA],investirrendavariávelconsolidadodez[[#Headers],[21]],tabela_registros[REGISTRO],DADOS!$N$5,tabela_registros[TIPO],DADOS!$AB$4,tabela_registros[CATEGORIA],investirrendavariávelconsolidadodez[[#This Row],[ATUAL]])</f>
        <v>0</v>
      </c>
      <c r="Z135" s="91">
        <f>SUMIFS(tabela_registros[VALOR],tabela_registros[MÊS],$AE$1,tabela_registros[DIA],investirrendavariávelconsolidadodez[[#Headers],[22]],tabela_registros[REGISTRO],DADOS!$N$5,tabela_registros[TIPO],DADOS!$AB$4,tabela_registros[CATEGORIA],investirrendavariávelconsolidadodez[[#This Row],[ATUAL]])</f>
        <v>0</v>
      </c>
      <c r="AA135" s="91">
        <f>SUMIFS(tabela_registros[VALOR],tabela_registros[MÊS],$AE$1,tabela_registros[DIA],investirrendavariávelconsolidadodez[[#Headers],[23]],tabela_registros[REGISTRO],DADOS!$N$5,tabela_registros[TIPO],DADOS!$AB$4,tabela_registros[CATEGORIA],investirrendavariávelconsolidadodez[[#This Row],[ATUAL]])</f>
        <v>0</v>
      </c>
      <c r="AB135" s="91">
        <f>SUMIFS(tabela_registros[VALOR],tabela_registros[MÊS],$AE$1,tabela_registros[DIA],investirrendavariávelconsolidadodez[[#Headers],[24]],tabela_registros[REGISTRO],DADOS!$N$5,tabela_registros[TIPO],DADOS!$AB$4,tabela_registros[CATEGORIA],investirrendavariávelconsolidadodez[[#This Row],[ATUAL]])</f>
        <v>0</v>
      </c>
      <c r="AC135" s="91">
        <f>SUMIFS(tabela_registros[VALOR],tabela_registros[MÊS],$AE$1,tabela_registros[DIA],investirrendavariávelconsolidadodez[[#Headers],[25]],tabela_registros[REGISTRO],DADOS!$N$5,tabela_registros[TIPO],DADOS!$AB$4,tabela_registros[CATEGORIA],investirrendavariávelconsolidadodez[[#This Row],[ATUAL]])</f>
        <v>0</v>
      </c>
      <c r="AD135" s="91">
        <f>SUMIFS(tabela_registros[VALOR],tabela_registros[MÊS],$AE$1,tabela_registros[DIA],investirrendavariávelconsolidadodez[[#Headers],[26]],tabela_registros[REGISTRO],DADOS!$N$5,tabela_registros[TIPO],DADOS!$AB$4,tabela_registros[CATEGORIA],investirrendavariávelconsolidadodez[[#This Row],[ATUAL]])</f>
        <v>0</v>
      </c>
      <c r="AE135" s="91">
        <f>SUMIFS(tabela_registros[VALOR],tabela_registros[MÊS],$AE$1,tabela_registros[DIA],investirrendavariávelconsolidadodez[[#Headers],[27]],tabela_registros[REGISTRO],DADOS!$N$5,tabela_registros[TIPO],DADOS!$AB$4,tabela_registros[CATEGORIA],investirrendavariávelconsolidadodez[[#This Row],[ATUAL]])</f>
        <v>0</v>
      </c>
      <c r="AF135" s="91">
        <f>SUMIFS(tabela_registros[VALOR],tabela_registros[MÊS],$AE$1,tabela_registros[DIA],investirrendavariávelconsolidadodez[[#Headers],[28]],tabela_registros[REGISTRO],DADOS!$N$5,tabela_registros[TIPO],DADOS!$AB$4,tabela_registros[CATEGORIA],investirrendavariávelconsolidadodez[[#This Row],[ATUAL]])</f>
        <v>0</v>
      </c>
      <c r="AG135" s="91">
        <f>SUMIFS(tabela_registros[VALOR],tabela_registros[MÊS],$AE$1,tabela_registros[DIA],investirrendavariávelconsolidadodez[[#Headers],[29]],tabela_registros[REGISTRO],DADOS!$N$5,tabela_registros[TIPO],DADOS!$AB$4,tabela_registros[CATEGORIA],investirrendavariávelconsolidadodez[[#This Row],[ATUAL]])</f>
        <v>0</v>
      </c>
      <c r="AH135" s="91">
        <f>SUMIFS(tabela_registros[VALOR],tabela_registros[MÊS],$AE$1,tabela_registros[DIA],investirrendavariávelconsolidadodez[[#Headers],[30]],tabela_registros[REGISTRO],DADOS!$N$5,tabela_registros[TIPO],DADOS!$AB$4,tabela_registros[CATEGORIA],investirrendavariávelconsolidadodez[[#This Row],[ATUAL]])</f>
        <v>0</v>
      </c>
      <c r="AI135" s="101">
        <f>SUMIFS(tabela_registros[VALOR],tabela_registros[MÊS],$AE$1,tabela_registros[DIA],investirrendavariávelconsolidadodez[[#Headers],[31]],tabela_registros[REGISTRO],DADOS!$N$5,tabela_registros[TIPO],DADOS!$AB$4,tabela_registros[CATEGORIA],investirrendavariávelconsolidadodez[[#This Row],[ATUAL]])</f>
        <v>0</v>
      </c>
      <c r="AJ135" s="97">
        <f>SUM(investirrendavariávelconsolidadodez[[#This Row],[1]:[31]])</f>
        <v>0</v>
      </c>
      <c r="AK135" s="25"/>
    </row>
    <row r="136" spans="2:37" ht="19.5" customHeight="1" thickTop="1" thickBot="1" x14ac:dyDescent="0.3">
      <c r="B136" s="28"/>
      <c r="C136" s="27" t="str">
        <f>DADOS!$AF$7</f>
        <v>📝 CRIPTOMOEDA</v>
      </c>
      <c r="D136" s="26" t="str">
        <f>IF(investirrendavariávelconsolidadodez[[#This Row],[TOTAL (R$)]]=0,"",IF(OR(investirrendavariávelconsolidadodez[[#This Row],[TOTAL (R$)]]=LARGE($AJ$132:$AJ$141,1),investirrendavariávelconsolidadodez[[#This Row],[TOTAL (R$)]]=LARGE($AJ$132:$AJ$141,2)),DADOS!$I$10,""))</f>
        <v/>
      </c>
      <c r="E136" s="96">
        <f>SUMIFS(tabela_registros[VALOR],tabela_registros[MÊS],$AE$1,tabela_registros[DIA],investirrendavariávelconsolidadodez[[#Headers],[1]],tabela_registros[REGISTRO],DADOS!$N$5,tabela_registros[TIPO],DADOS!$AB$4,tabela_registros[CATEGORIA],investirrendavariávelconsolidadodez[[#This Row],[ATUAL]])</f>
        <v>0</v>
      </c>
      <c r="F136" s="91">
        <f>SUMIFS(tabela_registros[VALOR],tabela_registros[MÊS],$AE$1,tabela_registros[DIA],investirrendavariávelconsolidadodez[[#Headers],[2]],tabela_registros[REGISTRO],DADOS!$N$5,tabela_registros[TIPO],DADOS!$AB$4,tabela_registros[CATEGORIA],investirrendavariávelconsolidadodez[[#This Row],[ATUAL]])</f>
        <v>0</v>
      </c>
      <c r="G136" s="91">
        <f>SUMIFS(tabela_registros[VALOR],tabela_registros[MÊS],$AE$1,tabela_registros[DIA],investirrendavariávelconsolidadodez[[#Headers],[3]],tabela_registros[REGISTRO],DADOS!$N$5,tabela_registros[TIPO],DADOS!$AB$4,tabela_registros[CATEGORIA],investirrendavariávelconsolidadodez[[#This Row],[ATUAL]])</f>
        <v>0</v>
      </c>
      <c r="H136" s="91">
        <f>SUMIFS(tabela_registros[VALOR],tabela_registros[MÊS],$AE$1,tabela_registros[DIA],investirrendavariávelconsolidadodez[[#Headers],[4]],tabela_registros[REGISTRO],DADOS!$N$5,tabela_registros[TIPO],DADOS!$AB$4,tabela_registros[CATEGORIA],investirrendavariávelconsolidadodez[[#This Row],[ATUAL]])</f>
        <v>0</v>
      </c>
      <c r="I136" s="91">
        <f>SUMIFS(tabela_registros[VALOR],tabela_registros[MÊS],$AE$1,tabela_registros[DIA],investirrendavariávelconsolidadodez[[#Headers],[5]],tabela_registros[REGISTRO],DADOS!$N$5,tabela_registros[TIPO],DADOS!$AB$4,tabela_registros[CATEGORIA],investirrendavariávelconsolidadodez[[#This Row],[ATUAL]])</f>
        <v>0</v>
      </c>
      <c r="J136" s="91">
        <f>SUMIFS(tabela_registros[VALOR],tabela_registros[MÊS],$AE$1,tabela_registros[DIA],investirrendavariávelconsolidadodez[[#Headers],[6]],tabela_registros[REGISTRO],DADOS!$N$5,tabela_registros[TIPO],DADOS!$AB$4,tabela_registros[CATEGORIA],investirrendavariávelconsolidadodez[[#This Row],[ATUAL]])</f>
        <v>0</v>
      </c>
      <c r="K136" s="91">
        <f>SUMIFS(tabela_registros[VALOR],tabela_registros[MÊS],$AE$1,tabela_registros[DIA],investirrendavariávelconsolidadodez[[#Headers],[7]],tabela_registros[REGISTRO],DADOS!$N$5,tabela_registros[TIPO],DADOS!$AB$4,tabela_registros[CATEGORIA],investirrendavariávelconsolidadodez[[#This Row],[ATUAL]])</f>
        <v>0</v>
      </c>
      <c r="L136" s="91">
        <f>SUMIFS(tabela_registros[VALOR],tabela_registros[MÊS],$AE$1,tabela_registros[DIA],investirrendavariávelconsolidadodez[[#Headers],[8]],tabela_registros[REGISTRO],DADOS!$N$5,tabela_registros[TIPO],DADOS!$AB$4,tabela_registros[CATEGORIA],investirrendavariávelconsolidadodez[[#This Row],[ATUAL]])</f>
        <v>0</v>
      </c>
      <c r="M136" s="91">
        <f>SUMIFS(tabela_registros[VALOR],tabela_registros[MÊS],$AE$1,tabela_registros[DIA],investirrendavariávelconsolidadodez[[#Headers],[9]],tabela_registros[REGISTRO],DADOS!$N$5,tabela_registros[TIPO],DADOS!$AB$4,tabela_registros[CATEGORIA],investirrendavariávelconsolidadodez[[#This Row],[ATUAL]])</f>
        <v>0</v>
      </c>
      <c r="N136" s="91">
        <f>SUMIFS(tabela_registros[VALOR],tabela_registros[MÊS],$AE$1,tabela_registros[DIA],investirrendavariávelconsolidadodez[[#Headers],[10]],tabela_registros[REGISTRO],DADOS!$N$5,tabela_registros[TIPO],DADOS!$AB$4,tabela_registros[CATEGORIA],investirrendavariávelconsolidadodez[[#This Row],[ATUAL]])</f>
        <v>0</v>
      </c>
      <c r="O136" s="91">
        <f>SUMIFS(tabela_registros[VALOR],tabela_registros[MÊS],$AE$1,tabela_registros[DIA],investirrendavariávelconsolidadodez[[#Headers],[11]],tabela_registros[REGISTRO],DADOS!$N$5,tabela_registros[TIPO],DADOS!$AB$4,tabela_registros[CATEGORIA],investirrendavariávelconsolidadodez[[#This Row],[ATUAL]])</f>
        <v>0</v>
      </c>
      <c r="P136" s="91">
        <f>SUMIFS(tabela_registros[VALOR],tabela_registros[MÊS],$AE$1,tabela_registros[DIA],investirrendavariávelconsolidadodez[[#Headers],[12]],tabela_registros[REGISTRO],DADOS!$N$5,tabela_registros[TIPO],DADOS!$AB$4,tabela_registros[CATEGORIA],investirrendavariávelconsolidadodez[[#This Row],[ATUAL]])</f>
        <v>0</v>
      </c>
      <c r="Q136" s="91">
        <f>SUMIFS(tabela_registros[VALOR],tabela_registros[MÊS],$AE$1,tabela_registros[DIA],investirrendavariávelconsolidadodez[[#Headers],[13]],tabela_registros[REGISTRO],DADOS!$N$5,tabela_registros[TIPO],DADOS!$AB$4,tabela_registros[CATEGORIA],investirrendavariávelconsolidadodez[[#This Row],[ATUAL]])</f>
        <v>0</v>
      </c>
      <c r="R136" s="91">
        <f>SUMIFS(tabela_registros[VALOR],tabela_registros[MÊS],$AE$1,tabela_registros[DIA],investirrendavariávelconsolidadodez[[#Headers],[14]],tabela_registros[REGISTRO],DADOS!$N$5,tabela_registros[TIPO],DADOS!$AB$4,tabela_registros[CATEGORIA],investirrendavariávelconsolidadodez[[#This Row],[ATUAL]])</f>
        <v>0</v>
      </c>
      <c r="S136" s="91">
        <f>SUMIFS(tabela_registros[VALOR],tabela_registros[MÊS],$AE$1,tabela_registros[DIA],investirrendavariávelconsolidadodez[[#Headers],[15]],tabela_registros[REGISTRO],DADOS!$N$5,tabela_registros[TIPO],DADOS!$AB$4,tabela_registros[CATEGORIA],investirrendavariávelconsolidadodez[[#This Row],[ATUAL]])</f>
        <v>0</v>
      </c>
      <c r="T136" s="91">
        <f>SUMIFS(tabela_registros[VALOR],tabela_registros[MÊS],$AE$1,tabela_registros[DIA],investirrendavariávelconsolidadodez[[#Headers],[16]],tabela_registros[REGISTRO],DADOS!$N$5,tabela_registros[TIPO],DADOS!$AB$4,tabela_registros[CATEGORIA],investirrendavariávelconsolidadodez[[#This Row],[ATUAL]])</f>
        <v>0</v>
      </c>
      <c r="U136" s="91">
        <f>SUMIFS(tabela_registros[VALOR],tabela_registros[MÊS],$AE$1,tabela_registros[DIA],investirrendavariávelconsolidadodez[[#Headers],[17]],tabela_registros[REGISTRO],DADOS!$N$5,tabela_registros[TIPO],DADOS!$AB$4,tabela_registros[CATEGORIA],investirrendavariávelconsolidadodez[[#This Row],[ATUAL]])</f>
        <v>0</v>
      </c>
      <c r="V136" s="91">
        <f>SUMIFS(tabela_registros[VALOR],tabela_registros[MÊS],$AE$1,tabela_registros[DIA],investirrendavariávelconsolidadodez[[#Headers],[18]],tabela_registros[REGISTRO],DADOS!$N$5,tabela_registros[TIPO],DADOS!$AB$4,tabela_registros[CATEGORIA],investirrendavariávelconsolidadodez[[#This Row],[ATUAL]])</f>
        <v>0</v>
      </c>
      <c r="W136" s="91">
        <f>SUMIFS(tabela_registros[VALOR],tabela_registros[MÊS],$AE$1,tabela_registros[DIA],investirrendavariávelconsolidadodez[[#Headers],[19]],tabela_registros[REGISTRO],DADOS!$N$5,tabela_registros[TIPO],DADOS!$AB$4,tabela_registros[CATEGORIA],investirrendavariávelconsolidadodez[[#This Row],[ATUAL]])</f>
        <v>0</v>
      </c>
      <c r="X136" s="91">
        <f>SUMIFS(tabela_registros[VALOR],tabela_registros[MÊS],$AE$1,tabela_registros[DIA],investirrendavariávelconsolidadodez[[#Headers],[20]],tabela_registros[REGISTRO],DADOS!$N$5,tabela_registros[TIPO],DADOS!$AB$4,tabela_registros[CATEGORIA],investirrendavariávelconsolidadodez[[#This Row],[ATUAL]])</f>
        <v>0</v>
      </c>
      <c r="Y136" s="91">
        <f>SUMIFS(tabela_registros[VALOR],tabela_registros[MÊS],$AE$1,tabela_registros[DIA],investirrendavariávelconsolidadodez[[#Headers],[21]],tabela_registros[REGISTRO],DADOS!$N$5,tabela_registros[TIPO],DADOS!$AB$4,tabela_registros[CATEGORIA],investirrendavariávelconsolidadodez[[#This Row],[ATUAL]])</f>
        <v>0</v>
      </c>
      <c r="Z136" s="91">
        <f>SUMIFS(tabela_registros[VALOR],tabela_registros[MÊS],$AE$1,tabela_registros[DIA],investirrendavariávelconsolidadodez[[#Headers],[22]],tabela_registros[REGISTRO],DADOS!$N$5,tabela_registros[TIPO],DADOS!$AB$4,tabela_registros[CATEGORIA],investirrendavariávelconsolidadodez[[#This Row],[ATUAL]])</f>
        <v>0</v>
      </c>
      <c r="AA136" s="91">
        <f>SUMIFS(tabela_registros[VALOR],tabela_registros[MÊS],$AE$1,tabela_registros[DIA],investirrendavariávelconsolidadodez[[#Headers],[23]],tabela_registros[REGISTRO],DADOS!$N$5,tabela_registros[TIPO],DADOS!$AB$4,tabela_registros[CATEGORIA],investirrendavariávelconsolidadodez[[#This Row],[ATUAL]])</f>
        <v>0</v>
      </c>
      <c r="AB136" s="91">
        <f>SUMIFS(tabela_registros[VALOR],tabela_registros[MÊS],$AE$1,tabela_registros[DIA],investirrendavariávelconsolidadodez[[#Headers],[24]],tabela_registros[REGISTRO],DADOS!$N$5,tabela_registros[TIPO],DADOS!$AB$4,tabela_registros[CATEGORIA],investirrendavariávelconsolidadodez[[#This Row],[ATUAL]])</f>
        <v>0</v>
      </c>
      <c r="AC136" s="91">
        <f>SUMIFS(tabela_registros[VALOR],tabela_registros[MÊS],$AE$1,tabela_registros[DIA],investirrendavariávelconsolidadodez[[#Headers],[25]],tabela_registros[REGISTRO],DADOS!$N$5,tabela_registros[TIPO],DADOS!$AB$4,tabela_registros[CATEGORIA],investirrendavariávelconsolidadodez[[#This Row],[ATUAL]])</f>
        <v>0</v>
      </c>
      <c r="AD136" s="91">
        <f>SUMIFS(tabela_registros[VALOR],tabela_registros[MÊS],$AE$1,tabela_registros[DIA],investirrendavariávelconsolidadodez[[#Headers],[26]],tabela_registros[REGISTRO],DADOS!$N$5,tabela_registros[TIPO],DADOS!$AB$4,tabela_registros[CATEGORIA],investirrendavariávelconsolidadodez[[#This Row],[ATUAL]])</f>
        <v>0</v>
      </c>
      <c r="AE136" s="91">
        <f>SUMIFS(tabela_registros[VALOR],tabela_registros[MÊS],$AE$1,tabela_registros[DIA],investirrendavariávelconsolidadodez[[#Headers],[27]],tabela_registros[REGISTRO],DADOS!$N$5,tabela_registros[TIPO],DADOS!$AB$4,tabela_registros[CATEGORIA],investirrendavariávelconsolidadodez[[#This Row],[ATUAL]])</f>
        <v>0</v>
      </c>
      <c r="AF136" s="91">
        <f>SUMIFS(tabela_registros[VALOR],tabela_registros[MÊS],$AE$1,tabela_registros[DIA],investirrendavariávelconsolidadodez[[#Headers],[28]],tabela_registros[REGISTRO],DADOS!$N$5,tabela_registros[TIPO],DADOS!$AB$4,tabela_registros[CATEGORIA],investirrendavariávelconsolidadodez[[#This Row],[ATUAL]])</f>
        <v>0</v>
      </c>
      <c r="AG136" s="91">
        <f>SUMIFS(tabela_registros[VALOR],tabela_registros[MÊS],$AE$1,tabela_registros[DIA],investirrendavariávelconsolidadodez[[#Headers],[29]],tabela_registros[REGISTRO],DADOS!$N$5,tabela_registros[TIPO],DADOS!$AB$4,tabela_registros[CATEGORIA],investirrendavariávelconsolidadodez[[#This Row],[ATUAL]])</f>
        <v>0</v>
      </c>
      <c r="AH136" s="91">
        <f>SUMIFS(tabela_registros[VALOR],tabela_registros[MÊS],$AE$1,tabela_registros[DIA],investirrendavariávelconsolidadodez[[#Headers],[30]],tabela_registros[REGISTRO],DADOS!$N$5,tabela_registros[TIPO],DADOS!$AB$4,tabela_registros[CATEGORIA],investirrendavariávelconsolidadodez[[#This Row],[ATUAL]])</f>
        <v>0</v>
      </c>
      <c r="AI136" s="101">
        <f>SUMIFS(tabela_registros[VALOR],tabela_registros[MÊS],$AE$1,tabela_registros[DIA],investirrendavariávelconsolidadodez[[#Headers],[31]],tabela_registros[REGISTRO],DADOS!$N$5,tabela_registros[TIPO],DADOS!$AB$4,tabela_registros[CATEGORIA],investirrendavariávelconsolidadodez[[#This Row],[ATUAL]])</f>
        <v>0</v>
      </c>
      <c r="AJ136" s="104">
        <f>SUM(investirrendavariávelconsolidadodez[[#This Row],[1]:[31]])</f>
        <v>0</v>
      </c>
      <c r="AK136" s="25"/>
    </row>
    <row r="137" spans="2:37" ht="19.5" customHeight="1" thickTop="1" thickBot="1" x14ac:dyDescent="0.3">
      <c r="B137" s="28"/>
      <c r="C137" s="27" t="str">
        <f>DADOS!$AF$8</f>
        <v>📝 ETF</v>
      </c>
      <c r="D137" s="26" t="str">
        <f>IF(investirrendavariávelconsolidadodez[[#This Row],[TOTAL (R$)]]=0,"",IF(OR(investirrendavariávelconsolidadodez[[#This Row],[TOTAL (R$)]]=LARGE($AJ$132:$AJ$141,1),investirrendavariávelconsolidadodez[[#This Row],[TOTAL (R$)]]=LARGE($AJ$132:$AJ$141,2)),DADOS!$I$10,""))</f>
        <v/>
      </c>
      <c r="E137" s="96">
        <f>SUMIFS(tabela_registros[VALOR],tabela_registros[MÊS],$AE$1,tabela_registros[DIA],investirrendavariávelconsolidadodez[[#Headers],[1]],tabela_registros[REGISTRO],DADOS!$N$5,tabela_registros[TIPO],DADOS!$AB$4,tabela_registros[CATEGORIA],investirrendavariávelconsolidadodez[[#This Row],[ATUAL]])</f>
        <v>0</v>
      </c>
      <c r="F137" s="91">
        <f>SUMIFS(tabela_registros[VALOR],tabela_registros[MÊS],$AE$1,tabela_registros[DIA],investirrendavariávelconsolidadodez[[#Headers],[2]],tabela_registros[REGISTRO],DADOS!$N$5,tabela_registros[TIPO],DADOS!$AB$4,tabela_registros[CATEGORIA],investirrendavariávelconsolidadodez[[#This Row],[ATUAL]])</f>
        <v>0</v>
      </c>
      <c r="G137" s="91">
        <f>SUMIFS(tabela_registros[VALOR],tabela_registros[MÊS],$AE$1,tabela_registros[DIA],investirrendavariávelconsolidadodez[[#Headers],[3]],tabela_registros[REGISTRO],DADOS!$N$5,tabela_registros[TIPO],DADOS!$AB$4,tabela_registros[CATEGORIA],investirrendavariávelconsolidadodez[[#This Row],[ATUAL]])</f>
        <v>0</v>
      </c>
      <c r="H137" s="91">
        <f>SUMIFS(tabela_registros[VALOR],tabela_registros[MÊS],$AE$1,tabela_registros[DIA],investirrendavariávelconsolidadodez[[#Headers],[4]],tabela_registros[REGISTRO],DADOS!$N$5,tabela_registros[TIPO],DADOS!$AB$4,tabela_registros[CATEGORIA],investirrendavariávelconsolidadodez[[#This Row],[ATUAL]])</f>
        <v>0</v>
      </c>
      <c r="I137" s="91">
        <f>SUMIFS(tabela_registros[VALOR],tabela_registros[MÊS],$AE$1,tabela_registros[DIA],investirrendavariávelconsolidadodez[[#Headers],[5]],tabela_registros[REGISTRO],DADOS!$N$5,tabela_registros[TIPO],DADOS!$AB$4,tabela_registros[CATEGORIA],investirrendavariávelconsolidadodez[[#This Row],[ATUAL]])</f>
        <v>0</v>
      </c>
      <c r="J137" s="91">
        <f>SUMIFS(tabela_registros[VALOR],tabela_registros[MÊS],$AE$1,tabela_registros[DIA],investirrendavariávelconsolidadodez[[#Headers],[6]],tabela_registros[REGISTRO],DADOS!$N$5,tabela_registros[TIPO],DADOS!$AB$4,tabela_registros[CATEGORIA],investirrendavariávelconsolidadodez[[#This Row],[ATUAL]])</f>
        <v>0</v>
      </c>
      <c r="K137" s="91">
        <f>SUMIFS(tabela_registros[VALOR],tabela_registros[MÊS],$AE$1,tabela_registros[DIA],investirrendavariávelconsolidadodez[[#Headers],[7]],tabela_registros[REGISTRO],DADOS!$N$5,tabela_registros[TIPO],DADOS!$AB$4,tabela_registros[CATEGORIA],investirrendavariávelconsolidadodez[[#This Row],[ATUAL]])</f>
        <v>0</v>
      </c>
      <c r="L137" s="91">
        <f>SUMIFS(tabela_registros[VALOR],tabela_registros[MÊS],$AE$1,tabela_registros[DIA],investirrendavariávelconsolidadodez[[#Headers],[8]],tabela_registros[REGISTRO],DADOS!$N$5,tabela_registros[TIPO],DADOS!$AB$4,tabela_registros[CATEGORIA],investirrendavariávelconsolidadodez[[#This Row],[ATUAL]])</f>
        <v>0</v>
      </c>
      <c r="M137" s="91">
        <f>SUMIFS(tabela_registros[VALOR],tabela_registros[MÊS],$AE$1,tabela_registros[DIA],investirrendavariávelconsolidadodez[[#Headers],[9]],tabela_registros[REGISTRO],DADOS!$N$5,tabela_registros[TIPO],DADOS!$AB$4,tabela_registros[CATEGORIA],investirrendavariávelconsolidadodez[[#This Row],[ATUAL]])</f>
        <v>0</v>
      </c>
      <c r="N137" s="91">
        <f>SUMIFS(tabela_registros[VALOR],tabela_registros[MÊS],$AE$1,tabela_registros[DIA],investirrendavariávelconsolidadodez[[#Headers],[10]],tabela_registros[REGISTRO],DADOS!$N$5,tabela_registros[TIPO],DADOS!$AB$4,tabela_registros[CATEGORIA],investirrendavariávelconsolidadodez[[#This Row],[ATUAL]])</f>
        <v>0</v>
      </c>
      <c r="O137" s="91">
        <f>SUMIFS(tabela_registros[VALOR],tabela_registros[MÊS],$AE$1,tabela_registros[DIA],investirrendavariávelconsolidadodez[[#Headers],[11]],tabela_registros[REGISTRO],DADOS!$N$5,tabela_registros[TIPO],DADOS!$AB$4,tabela_registros[CATEGORIA],investirrendavariávelconsolidadodez[[#This Row],[ATUAL]])</f>
        <v>0</v>
      </c>
      <c r="P137" s="91">
        <f>SUMIFS(tabela_registros[VALOR],tabela_registros[MÊS],$AE$1,tabela_registros[DIA],investirrendavariávelconsolidadodez[[#Headers],[12]],tabela_registros[REGISTRO],DADOS!$N$5,tabela_registros[TIPO],DADOS!$AB$4,tabela_registros[CATEGORIA],investirrendavariávelconsolidadodez[[#This Row],[ATUAL]])</f>
        <v>0</v>
      </c>
      <c r="Q137" s="91">
        <f>SUMIFS(tabela_registros[VALOR],tabela_registros[MÊS],$AE$1,tabela_registros[DIA],investirrendavariávelconsolidadodez[[#Headers],[13]],tabela_registros[REGISTRO],DADOS!$N$5,tabela_registros[TIPO],DADOS!$AB$4,tabela_registros[CATEGORIA],investirrendavariávelconsolidadodez[[#This Row],[ATUAL]])</f>
        <v>0</v>
      </c>
      <c r="R137" s="91">
        <f>SUMIFS(tabela_registros[VALOR],tabela_registros[MÊS],$AE$1,tabela_registros[DIA],investirrendavariávelconsolidadodez[[#Headers],[14]],tabela_registros[REGISTRO],DADOS!$N$5,tabela_registros[TIPO],DADOS!$AB$4,tabela_registros[CATEGORIA],investirrendavariávelconsolidadodez[[#This Row],[ATUAL]])</f>
        <v>0</v>
      </c>
      <c r="S137" s="91">
        <f>SUMIFS(tabela_registros[VALOR],tabela_registros[MÊS],$AE$1,tabela_registros[DIA],investirrendavariávelconsolidadodez[[#Headers],[15]],tabela_registros[REGISTRO],DADOS!$N$5,tabela_registros[TIPO],DADOS!$AB$4,tabela_registros[CATEGORIA],investirrendavariávelconsolidadodez[[#This Row],[ATUAL]])</f>
        <v>0</v>
      </c>
      <c r="T137" s="91">
        <f>SUMIFS(tabela_registros[VALOR],tabela_registros[MÊS],$AE$1,tabela_registros[DIA],investirrendavariávelconsolidadodez[[#Headers],[16]],tabela_registros[REGISTRO],DADOS!$N$5,tabela_registros[TIPO],DADOS!$AB$4,tabela_registros[CATEGORIA],investirrendavariávelconsolidadodez[[#This Row],[ATUAL]])</f>
        <v>0</v>
      </c>
      <c r="U137" s="91">
        <f>SUMIFS(tabela_registros[VALOR],tabela_registros[MÊS],$AE$1,tabela_registros[DIA],investirrendavariávelconsolidadodez[[#Headers],[17]],tabela_registros[REGISTRO],DADOS!$N$5,tabela_registros[TIPO],DADOS!$AB$4,tabela_registros[CATEGORIA],investirrendavariávelconsolidadodez[[#This Row],[ATUAL]])</f>
        <v>0</v>
      </c>
      <c r="V137" s="91">
        <f>SUMIFS(tabela_registros[VALOR],tabela_registros[MÊS],$AE$1,tabela_registros[DIA],investirrendavariávelconsolidadodez[[#Headers],[18]],tabela_registros[REGISTRO],DADOS!$N$5,tabela_registros[TIPO],DADOS!$AB$4,tabela_registros[CATEGORIA],investirrendavariávelconsolidadodez[[#This Row],[ATUAL]])</f>
        <v>0</v>
      </c>
      <c r="W137" s="91">
        <f>SUMIFS(tabela_registros[VALOR],tabela_registros[MÊS],$AE$1,tabela_registros[DIA],investirrendavariávelconsolidadodez[[#Headers],[19]],tabela_registros[REGISTRO],DADOS!$N$5,tabela_registros[TIPO],DADOS!$AB$4,tabela_registros[CATEGORIA],investirrendavariávelconsolidadodez[[#This Row],[ATUAL]])</f>
        <v>0</v>
      </c>
      <c r="X137" s="91">
        <f>SUMIFS(tabela_registros[VALOR],tabela_registros[MÊS],$AE$1,tabela_registros[DIA],investirrendavariávelconsolidadodez[[#Headers],[20]],tabela_registros[REGISTRO],DADOS!$N$5,tabela_registros[TIPO],DADOS!$AB$4,tabela_registros[CATEGORIA],investirrendavariávelconsolidadodez[[#This Row],[ATUAL]])</f>
        <v>0</v>
      </c>
      <c r="Y137" s="91">
        <f>SUMIFS(tabela_registros[VALOR],tabela_registros[MÊS],$AE$1,tabela_registros[DIA],investirrendavariávelconsolidadodez[[#Headers],[21]],tabela_registros[REGISTRO],DADOS!$N$5,tabela_registros[TIPO],DADOS!$AB$4,tabela_registros[CATEGORIA],investirrendavariávelconsolidadodez[[#This Row],[ATUAL]])</f>
        <v>0</v>
      </c>
      <c r="Z137" s="91">
        <f>SUMIFS(tabela_registros[VALOR],tabela_registros[MÊS],$AE$1,tabela_registros[DIA],investirrendavariávelconsolidadodez[[#Headers],[22]],tabela_registros[REGISTRO],DADOS!$N$5,tabela_registros[TIPO],DADOS!$AB$4,tabela_registros[CATEGORIA],investirrendavariávelconsolidadodez[[#This Row],[ATUAL]])</f>
        <v>0</v>
      </c>
      <c r="AA137" s="91">
        <f>SUMIFS(tabela_registros[VALOR],tabela_registros[MÊS],$AE$1,tabela_registros[DIA],investirrendavariávelconsolidadodez[[#Headers],[23]],tabela_registros[REGISTRO],DADOS!$N$5,tabela_registros[TIPO],DADOS!$AB$4,tabela_registros[CATEGORIA],investirrendavariávelconsolidadodez[[#This Row],[ATUAL]])</f>
        <v>0</v>
      </c>
      <c r="AB137" s="91">
        <f>SUMIFS(tabela_registros[VALOR],tabela_registros[MÊS],$AE$1,tabela_registros[DIA],investirrendavariávelconsolidadodez[[#Headers],[24]],tabela_registros[REGISTRO],DADOS!$N$5,tabela_registros[TIPO],DADOS!$AB$4,tabela_registros[CATEGORIA],investirrendavariávelconsolidadodez[[#This Row],[ATUAL]])</f>
        <v>0</v>
      </c>
      <c r="AC137" s="91">
        <f>SUMIFS(tabela_registros[VALOR],tabela_registros[MÊS],$AE$1,tabela_registros[DIA],investirrendavariávelconsolidadodez[[#Headers],[25]],tabela_registros[REGISTRO],DADOS!$N$5,tabela_registros[TIPO],DADOS!$AB$4,tabela_registros[CATEGORIA],investirrendavariávelconsolidadodez[[#This Row],[ATUAL]])</f>
        <v>0</v>
      </c>
      <c r="AD137" s="91">
        <f>SUMIFS(tabela_registros[VALOR],tabela_registros[MÊS],$AE$1,tabela_registros[DIA],investirrendavariávelconsolidadodez[[#Headers],[26]],tabela_registros[REGISTRO],DADOS!$N$5,tabela_registros[TIPO],DADOS!$AB$4,tabela_registros[CATEGORIA],investirrendavariávelconsolidadodez[[#This Row],[ATUAL]])</f>
        <v>0</v>
      </c>
      <c r="AE137" s="91">
        <f>SUMIFS(tabela_registros[VALOR],tabela_registros[MÊS],$AE$1,tabela_registros[DIA],investirrendavariávelconsolidadodez[[#Headers],[27]],tabela_registros[REGISTRO],DADOS!$N$5,tabela_registros[TIPO],DADOS!$AB$4,tabela_registros[CATEGORIA],investirrendavariávelconsolidadodez[[#This Row],[ATUAL]])</f>
        <v>0</v>
      </c>
      <c r="AF137" s="91">
        <f>SUMIFS(tabela_registros[VALOR],tabela_registros[MÊS],$AE$1,tabela_registros[DIA],investirrendavariávelconsolidadodez[[#Headers],[28]],tabela_registros[REGISTRO],DADOS!$N$5,tabela_registros[TIPO],DADOS!$AB$4,tabela_registros[CATEGORIA],investirrendavariávelconsolidadodez[[#This Row],[ATUAL]])</f>
        <v>0</v>
      </c>
      <c r="AG137" s="91">
        <f>SUMIFS(tabela_registros[VALOR],tabela_registros[MÊS],$AE$1,tabela_registros[DIA],investirrendavariávelconsolidadodez[[#Headers],[29]],tabela_registros[REGISTRO],DADOS!$N$5,tabela_registros[TIPO],DADOS!$AB$4,tabela_registros[CATEGORIA],investirrendavariávelconsolidadodez[[#This Row],[ATUAL]])</f>
        <v>0</v>
      </c>
      <c r="AH137" s="91">
        <f>SUMIFS(tabela_registros[VALOR],tabela_registros[MÊS],$AE$1,tabela_registros[DIA],investirrendavariávelconsolidadodez[[#Headers],[30]],tabela_registros[REGISTRO],DADOS!$N$5,tabela_registros[TIPO],DADOS!$AB$4,tabela_registros[CATEGORIA],investirrendavariávelconsolidadodez[[#This Row],[ATUAL]])</f>
        <v>0</v>
      </c>
      <c r="AI137" s="101">
        <f>SUMIFS(tabela_registros[VALOR],tabela_registros[MÊS],$AE$1,tabela_registros[DIA],investirrendavariávelconsolidadodez[[#Headers],[31]],tabela_registros[REGISTRO],DADOS!$N$5,tabela_registros[TIPO],DADOS!$AB$4,tabela_registros[CATEGORIA],investirrendavariávelconsolidadodez[[#This Row],[ATUAL]])</f>
        <v>0</v>
      </c>
      <c r="AJ137" s="104">
        <f>SUM(investirrendavariávelconsolidadodez[[#This Row],[1]:[31]])</f>
        <v>0</v>
      </c>
      <c r="AK137" s="25"/>
    </row>
    <row r="138" spans="2:37" ht="19.5" customHeight="1" thickTop="1" thickBot="1" x14ac:dyDescent="0.3">
      <c r="B138" s="28"/>
      <c r="C138" s="27" t="str">
        <f>DADOS!$AF$9</f>
        <v>📝 EXTERIOR</v>
      </c>
      <c r="D138" s="26" t="str">
        <f>IF(investirrendavariávelconsolidadodez[[#This Row],[TOTAL (R$)]]=0,"",IF(OR(investirrendavariávelconsolidadodez[[#This Row],[TOTAL (R$)]]=LARGE($AJ$132:$AJ$141,1),investirrendavariávelconsolidadodez[[#This Row],[TOTAL (R$)]]=LARGE($AJ$132:$AJ$141,2)),DADOS!$I$10,""))</f>
        <v/>
      </c>
      <c r="E138" s="96">
        <f>SUMIFS(tabela_registros[VALOR],tabela_registros[MÊS],$AE$1,tabela_registros[DIA],investirrendavariávelconsolidadodez[[#Headers],[1]],tabela_registros[REGISTRO],DADOS!$N$5,tabela_registros[TIPO],DADOS!$AB$4,tabela_registros[CATEGORIA],investirrendavariávelconsolidadodez[[#This Row],[ATUAL]])</f>
        <v>0</v>
      </c>
      <c r="F138" s="91">
        <f>SUMIFS(tabela_registros[VALOR],tabela_registros[MÊS],$AE$1,tabela_registros[DIA],investirrendavariávelconsolidadodez[[#Headers],[2]],tabela_registros[REGISTRO],DADOS!$N$5,tabela_registros[TIPO],DADOS!$AB$4,tabela_registros[CATEGORIA],investirrendavariávelconsolidadodez[[#This Row],[ATUAL]])</f>
        <v>0</v>
      </c>
      <c r="G138" s="91">
        <f>SUMIFS(tabela_registros[VALOR],tabela_registros[MÊS],$AE$1,tabela_registros[DIA],investirrendavariávelconsolidadodez[[#Headers],[3]],tabela_registros[REGISTRO],DADOS!$N$5,tabela_registros[TIPO],DADOS!$AB$4,tabela_registros[CATEGORIA],investirrendavariávelconsolidadodez[[#This Row],[ATUAL]])</f>
        <v>0</v>
      </c>
      <c r="H138" s="91">
        <f>SUMIFS(tabela_registros[VALOR],tabela_registros[MÊS],$AE$1,tabela_registros[DIA],investirrendavariávelconsolidadodez[[#Headers],[4]],tabela_registros[REGISTRO],DADOS!$N$5,tabela_registros[TIPO],DADOS!$AB$4,tabela_registros[CATEGORIA],investirrendavariávelconsolidadodez[[#This Row],[ATUAL]])</f>
        <v>0</v>
      </c>
      <c r="I138" s="91">
        <f>SUMIFS(tabela_registros[VALOR],tabela_registros[MÊS],$AE$1,tabela_registros[DIA],investirrendavariávelconsolidadodez[[#Headers],[5]],tabela_registros[REGISTRO],DADOS!$N$5,tabela_registros[TIPO],DADOS!$AB$4,tabela_registros[CATEGORIA],investirrendavariávelconsolidadodez[[#This Row],[ATUAL]])</f>
        <v>0</v>
      </c>
      <c r="J138" s="91">
        <f>SUMIFS(tabela_registros[VALOR],tabela_registros[MÊS],$AE$1,tabela_registros[DIA],investirrendavariávelconsolidadodez[[#Headers],[6]],tabela_registros[REGISTRO],DADOS!$N$5,tabela_registros[TIPO],DADOS!$AB$4,tabela_registros[CATEGORIA],investirrendavariávelconsolidadodez[[#This Row],[ATUAL]])</f>
        <v>0</v>
      </c>
      <c r="K138" s="91">
        <f>SUMIFS(tabela_registros[VALOR],tabela_registros[MÊS],$AE$1,tabela_registros[DIA],investirrendavariávelconsolidadodez[[#Headers],[7]],tabela_registros[REGISTRO],DADOS!$N$5,tabela_registros[TIPO],DADOS!$AB$4,tabela_registros[CATEGORIA],investirrendavariávelconsolidadodez[[#This Row],[ATUAL]])</f>
        <v>0</v>
      </c>
      <c r="L138" s="91">
        <f>SUMIFS(tabela_registros[VALOR],tabela_registros[MÊS],$AE$1,tabela_registros[DIA],investirrendavariávelconsolidadodez[[#Headers],[8]],tabela_registros[REGISTRO],DADOS!$N$5,tabela_registros[TIPO],DADOS!$AB$4,tabela_registros[CATEGORIA],investirrendavariávelconsolidadodez[[#This Row],[ATUAL]])</f>
        <v>0</v>
      </c>
      <c r="M138" s="91">
        <f>SUMIFS(tabela_registros[VALOR],tabela_registros[MÊS],$AE$1,tabela_registros[DIA],investirrendavariávelconsolidadodez[[#Headers],[9]],tabela_registros[REGISTRO],DADOS!$N$5,tabela_registros[TIPO],DADOS!$AB$4,tabela_registros[CATEGORIA],investirrendavariávelconsolidadodez[[#This Row],[ATUAL]])</f>
        <v>0</v>
      </c>
      <c r="N138" s="91">
        <f>SUMIFS(tabela_registros[VALOR],tabela_registros[MÊS],$AE$1,tabela_registros[DIA],investirrendavariávelconsolidadodez[[#Headers],[10]],tabela_registros[REGISTRO],DADOS!$N$5,tabela_registros[TIPO],DADOS!$AB$4,tabela_registros[CATEGORIA],investirrendavariávelconsolidadodez[[#This Row],[ATUAL]])</f>
        <v>0</v>
      </c>
      <c r="O138" s="91">
        <f>SUMIFS(tabela_registros[VALOR],tabela_registros[MÊS],$AE$1,tabela_registros[DIA],investirrendavariávelconsolidadodez[[#Headers],[11]],tabela_registros[REGISTRO],DADOS!$N$5,tabela_registros[TIPO],DADOS!$AB$4,tabela_registros[CATEGORIA],investirrendavariávelconsolidadodez[[#This Row],[ATUAL]])</f>
        <v>0</v>
      </c>
      <c r="P138" s="91">
        <f>SUMIFS(tabela_registros[VALOR],tabela_registros[MÊS],$AE$1,tabela_registros[DIA],investirrendavariávelconsolidadodez[[#Headers],[12]],tabela_registros[REGISTRO],DADOS!$N$5,tabela_registros[TIPO],DADOS!$AB$4,tabela_registros[CATEGORIA],investirrendavariávelconsolidadodez[[#This Row],[ATUAL]])</f>
        <v>0</v>
      </c>
      <c r="Q138" s="91">
        <f>SUMIFS(tabela_registros[VALOR],tabela_registros[MÊS],$AE$1,tabela_registros[DIA],investirrendavariávelconsolidadodez[[#Headers],[13]],tabela_registros[REGISTRO],DADOS!$N$5,tabela_registros[TIPO],DADOS!$AB$4,tabela_registros[CATEGORIA],investirrendavariávelconsolidadodez[[#This Row],[ATUAL]])</f>
        <v>0</v>
      </c>
      <c r="R138" s="91">
        <f>SUMIFS(tabela_registros[VALOR],tabela_registros[MÊS],$AE$1,tabela_registros[DIA],investirrendavariávelconsolidadodez[[#Headers],[14]],tabela_registros[REGISTRO],DADOS!$N$5,tabela_registros[TIPO],DADOS!$AB$4,tabela_registros[CATEGORIA],investirrendavariávelconsolidadodez[[#This Row],[ATUAL]])</f>
        <v>0</v>
      </c>
      <c r="S138" s="91">
        <f>SUMIFS(tabela_registros[VALOR],tabela_registros[MÊS],$AE$1,tabela_registros[DIA],investirrendavariávelconsolidadodez[[#Headers],[15]],tabela_registros[REGISTRO],DADOS!$N$5,tabela_registros[TIPO],DADOS!$AB$4,tabela_registros[CATEGORIA],investirrendavariávelconsolidadodez[[#This Row],[ATUAL]])</f>
        <v>0</v>
      </c>
      <c r="T138" s="91">
        <f>SUMIFS(tabela_registros[VALOR],tabela_registros[MÊS],$AE$1,tabela_registros[DIA],investirrendavariávelconsolidadodez[[#Headers],[16]],tabela_registros[REGISTRO],DADOS!$N$5,tabela_registros[TIPO],DADOS!$AB$4,tabela_registros[CATEGORIA],investirrendavariávelconsolidadodez[[#This Row],[ATUAL]])</f>
        <v>0</v>
      </c>
      <c r="U138" s="91">
        <f>SUMIFS(tabela_registros[VALOR],tabela_registros[MÊS],$AE$1,tabela_registros[DIA],investirrendavariávelconsolidadodez[[#Headers],[17]],tabela_registros[REGISTRO],DADOS!$N$5,tabela_registros[TIPO],DADOS!$AB$4,tabela_registros[CATEGORIA],investirrendavariávelconsolidadodez[[#This Row],[ATUAL]])</f>
        <v>0</v>
      </c>
      <c r="V138" s="91">
        <f>SUMIFS(tabela_registros[VALOR],tabela_registros[MÊS],$AE$1,tabela_registros[DIA],investirrendavariávelconsolidadodez[[#Headers],[18]],tabela_registros[REGISTRO],DADOS!$N$5,tabela_registros[TIPO],DADOS!$AB$4,tabela_registros[CATEGORIA],investirrendavariávelconsolidadodez[[#This Row],[ATUAL]])</f>
        <v>0</v>
      </c>
      <c r="W138" s="91">
        <f>SUMIFS(tabela_registros[VALOR],tabela_registros[MÊS],$AE$1,tabela_registros[DIA],investirrendavariávelconsolidadodez[[#Headers],[19]],tabela_registros[REGISTRO],DADOS!$N$5,tabela_registros[TIPO],DADOS!$AB$4,tabela_registros[CATEGORIA],investirrendavariávelconsolidadodez[[#This Row],[ATUAL]])</f>
        <v>0</v>
      </c>
      <c r="X138" s="91">
        <f>SUMIFS(tabela_registros[VALOR],tabela_registros[MÊS],$AE$1,tabela_registros[DIA],investirrendavariávelconsolidadodez[[#Headers],[20]],tabela_registros[REGISTRO],DADOS!$N$5,tabela_registros[TIPO],DADOS!$AB$4,tabela_registros[CATEGORIA],investirrendavariávelconsolidadodez[[#This Row],[ATUAL]])</f>
        <v>0</v>
      </c>
      <c r="Y138" s="91">
        <f>SUMIFS(tabela_registros[VALOR],tabela_registros[MÊS],$AE$1,tabela_registros[DIA],investirrendavariávelconsolidadodez[[#Headers],[21]],tabela_registros[REGISTRO],DADOS!$N$5,tabela_registros[TIPO],DADOS!$AB$4,tabela_registros[CATEGORIA],investirrendavariávelconsolidadodez[[#This Row],[ATUAL]])</f>
        <v>0</v>
      </c>
      <c r="Z138" s="91">
        <f>SUMIFS(tabela_registros[VALOR],tabela_registros[MÊS],$AE$1,tabela_registros[DIA],investirrendavariávelconsolidadodez[[#Headers],[22]],tabela_registros[REGISTRO],DADOS!$N$5,tabela_registros[TIPO],DADOS!$AB$4,tabela_registros[CATEGORIA],investirrendavariávelconsolidadodez[[#This Row],[ATUAL]])</f>
        <v>0</v>
      </c>
      <c r="AA138" s="91">
        <f>SUMIFS(tabela_registros[VALOR],tabela_registros[MÊS],$AE$1,tabela_registros[DIA],investirrendavariávelconsolidadodez[[#Headers],[23]],tabela_registros[REGISTRO],DADOS!$N$5,tabela_registros[TIPO],DADOS!$AB$4,tabela_registros[CATEGORIA],investirrendavariávelconsolidadodez[[#This Row],[ATUAL]])</f>
        <v>0</v>
      </c>
      <c r="AB138" s="91">
        <f>SUMIFS(tabela_registros[VALOR],tabela_registros[MÊS],$AE$1,tabela_registros[DIA],investirrendavariávelconsolidadodez[[#Headers],[24]],tabela_registros[REGISTRO],DADOS!$N$5,tabela_registros[TIPO],DADOS!$AB$4,tabela_registros[CATEGORIA],investirrendavariávelconsolidadodez[[#This Row],[ATUAL]])</f>
        <v>0</v>
      </c>
      <c r="AC138" s="91">
        <f>SUMIFS(tabela_registros[VALOR],tabela_registros[MÊS],$AE$1,tabela_registros[DIA],investirrendavariávelconsolidadodez[[#Headers],[25]],tabela_registros[REGISTRO],DADOS!$N$5,tabela_registros[TIPO],DADOS!$AB$4,tabela_registros[CATEGORIA],investirrendavariávelconsolidadodez[[#This Row],[ATUAL]])</f>
        <v>0</v>
      </c>
      <c r="AD138" s="91">
        <f>SUMIFS(tabela_registros[VALOR],tabela_registros[MÊS],$AE$1,tabela_registros[DIA],investirrendavariávelconsolidadodez[[#Headers],[26]],tabela_registros[REGISTRO],DADOS!$N$5,tabela_registros[TIPO],DADOS!$AB$4,tabela_registros[CATEGORIA],investirrendavariávelconsolidadodez[[#This Row],[ATUAL]])</f>
        <v>0</v>
      </c>
      <c r="AE138" s="91">
        <f>SUMIFS(tabela_registros[VALOR],tabela_registros[MÊS],$AE$1,tabela_registros[DIA],investirrendavariávelconsolidadodez[[#Headers],[27]],tabela_registros[REGISTRO],DADOS!$N$5,tabela_registros[TIPO],DADOS!$AB$4,tabela_registros[CATEGORIA],investirrendavariávelconsolidadodez[[#This Row],[ATUAL]])</f>
        <v>0</v>
      </c>
      <c r="AF138" s="91">
        <f>SUMIFS(tabela_registros[VALOR],tabela_registros[MÊS],$AE$1,tabela_registros[DIA],investirrendavariávelconsolidadodez[[#Headers],[28]],tabela_registros[REGISTRO],DADOS!$N$5,tabela_registros[TIPO],DADOS!$AB$4,tabela_registros[CATEGORIA],investirrendavariávelconsolidadodez[[#This Row],[ATUAL]])</f>
        <v>0</v>
      </c>
      <c r="AG138" s="91">
        <f>SUMIFS(tabela_registros[VALOR],tabela_registros[MÊS],$AE$1,tabela_registros[DIA],investirrendavariávelconsolidadodez[[#Headers],[29]],tabela_registros[REGISTRO],DADOS!$N$5,tabela_registros[TIPO],DADOS!$AB$4,tabela_registros[CATEGORIA],investirrendavariávelconsolidadodez[[#This Row],[ATUAL]])</f>
        <v>0</v>
      </c>
      <c r="AH138" s="91">
        <f>SUMIFS(tabela_registros[VALOR],tabela_registros[MÊS],$AE$1,tabela_registros[DIA],investirrendavariávelconsolidadodez[[#Headers],[30]],tabela_registros[REGISTRO],DADOS!$N$5,tabela_registros[TIPO],DADOS!$AB$4,tabela_registros[CATEGORIA],investirrendavariávelconsolidadodez[[#This Row],[ATUAL]])</f>
        <v>0</v>
      </c>
      <c r="AI138" s="101">
        <f>SUMIFS(tabela_registros[VALOR],tabela_registros[MÊS],$AE$1,tabela_registros[DIA],investirrendavariávelconsolidadodez[[#Headers],[31]],tabela_registros[REGISTRO],DADOS!$N$5,tabela_registros[TIPO],DADOS!$AB$4,tabela_registros[CATEGORIA],investirrendavariávelconsolidadodez[[#This Row],[ATUAL]])</f>
        <v>0</v>
      </c>
      <c r="AJ138" s="104">
        <f>SUM(investirrendavariávelconsolidadodez[[#This Row],[1]:[31]])</f>
        <v>0</v>
      </c>
      <c r="AK138" s="25"/>
    </row>
    <row r="139" spans="2:37" ht="19.5" customHeight="1" thickTop="1" thickBot="1" x14ac:dyDescent="0.3">
      <c r="B139" s="28"/>
      <c r="C139" s="27" t="str">
        <f>DADOS!$AF$10</f>
        <v>📝 FII</v>
      </c>
      <c r="D139" s="26" t="str">
        <f>IF(investirrendavariávelconsolidadodez[[#This Row],[TOTAL (R$)]]=0,"",IF(OR(investirrendavariávelconsolidadodez[[#This Row],[TOTAL (R$)]]=LARGE($AJ$132:$AJ$141,1),investirrendavariávelconsolidadodez[[#This Row],[TOTAL (R$)]]=LARGE($AJ$132:$AJ$141,2)),DADOS!$I$10,""))</f>
        <v/>
      </c>
      <c r="E139" s="96">
        <f>SUMIFS(tabela_registros[VALOR],tabela_registros[MÊS],$AE$1,tabela_registros[DIA],investirrendavariávelconsolidadodez[[#Headers],[1]],tabela_registros[REGISTRO],DADOS!$N$5,tabela_registros[TIPO],DADOS!$AB$4,tabela_registros[CATEGORIA],investirrendavariávelconsolidadodez[[#This Row],[ATUAL]])</f>
        <v>0</v>
      </c>
      <c r="F139" s="91">
        <f>SUMIFS(tabela_registros[VALOR],tabela_registros[MÊS],$AE$1,tabela_registros[DIA],investirrendavariávelconsolidadodez[[#Headers],[2]],tabela_registros[REGISTRO],DADOS!$N$5,tabela_registros[TIPO],DADOS!$AB$4,tabela_registros[CATEGORIA],investirrendavariávelconsolidadodez[[#This Row],[ATUAL]])</f>
        <v>0</v>
      </c>
      <c r="G139" s="91">
        <f>SUMIFS(tabela_registros[VALOR],tabela_registros[MÊS],$AE$1,tabela_registros[DIA],investirrendavariávelconsolidadodez[[#Headers],[3]],tabela_registros[REGISTRO],DADOS!$N$5,tabela_registros[TIPO],DADOS!$AB$4,tabela_registros[CATEGORIA],investirrendavariávelconsolidadodez[[#This Row],[ATUAL]])</f>
        <v>0</v>
      </c>
      <c r="H139" s="91">
        <f>SUMIFS(tabela_registros[VALOR],tabela_registros[MÊS],$AE$1,tabela_registros[DIA],investirrendavariávelconsolidadodez[[#Headers],[4]],tabela_registros[REGISTRO],DADOS!$N$5,tabela_registros[TIPO],DADOS!$AB$4,tabela_registros[CATEGORIA],investirrendavariávelconsolidadodez[[#This Row],[ATUAL]])</f>
        <v>0</v>
      </c>
      <c r="I139" s="91">
        <f>SUMIFS(tabela_registros[VALOR],tabela_registros[MÊS],$AE$1,tabela_registros[DIA],investirrendavariávelconsolidadodez[[#Headers],[5]],tabela_registros[REGISTRO],DADOS!$N$5,tabela_registros[TIPO],DADOS!$AB$4,tabela_registros[CATEGORIA],investirrendavariávelconsolidadodez[[#This Row],[ATUAL]])</f>
        <v>0</v>
      </c>
      <c r="J139" s="91">
        <f>SUMIFS(tabela_registros[VALOR],tabela_registros[MÊS],$AE$1,tabela_registros[DIA],investirrendavariávelconsolidadodez[[#Headers],[6]],tabela_registros[REGISTRO],DADOS!$N$5,tabela_registros[TIPO],DADOS!$AB$4,tabela_registros[CATEGORIA],investirrendavariávelconsolidadodez[[#This Row],[ATUAL]])</f>
        <v>0</v>
      </c>
      <c r="K139" s="91">
        <f>SUMIFS(tabela_registros[VALOR],tabela_registros[MÊS],$AE$1,tabela_registros[DIA],investirrendavariávelconsolidadodez[[#Headers],[7]],tabela_registros[REGISTRO],DADOS!$N$5,tabela_registros[TIPO],DADOS!$AB$4,tabela_registros[CATEGORIA],investirrendavariávelconsolidadodez[[#This Row],[ATUAL]])</f>
        <v>0</v>
      </c>
      <c r="L139" s="91">
        <f>SUMIFS(tabela_registros[VALOR],tabela_registros[MÊS],$AE$1,tabela_registros[DIA],investirrendavariávelconsolidadodez[[#Headers],[8]],tabela_registros[REGISTRO],DADOS!$N$5,tabela_registros[TIPO],DADOS!$AB$4,tabela_registros[CATEGORIA],investirrendavariávelconsolidadodez[[#This Row],[ATUAL]])</f>
        <v>0</v>
      </c>
      <c r="M139" s="91">
        <f>SUMIFS(tabela_registros[VALOR],tabela_registros[MÊS],$AE$1,tabela_registros[DIA],investirrendavariávelconsolidadodez[[#Headers],[9]],tabela_registros[REGISTRO],DADOS!$N$5,tabela_registros[TIPO],DADOS!$AB$4,tabela_registros[CATEGORIA],investirrendavariávelconsolidadodez[[#This Row],[ATUAL]])</f>
        <v>0</v>
      </c>
      <c r="N139" s="91">
        <f>SUMIFS(tabela_registros[VALOR],tabela_registros[MÊS],$AE$1,tabela_registros[DIA],investirrendavariávelconsolidadodez[[#Headers],[10]],tabela_registros[REGISTRO],DADOS!$N$5,tabela_registros[TIPO],DADOS!$AB$4,tabela_registros[CATEGORIA],investirrendavariávelconsolidadodez[[#This Row],[ATUAL]])</f>
        <v>0</v>
      </c>
      <c r="O139" s="91">
        <f>SUMIFS(tabela_registros[VALOR],tabela_registros[MÊS],$AE$1,tabela_registros[DIA],investirrendavariávelconsolidadodez[[#Headers],[11]],tabela_registros[REGISTRO],DADOS!$N$5,tabela_registros[TIPO],DADOS!$AB$4,tabela_registros[CATEGORIA],investirrendavariávelconsolidadodez[[#This Row],[ATUAL]])</f>
        <v>0</v>
      </c>
      <c r="P139" s="91">
        <f>SUMIFS(tabela_registros[VALOR],tabela_registros[MÊS],$AE$1,tabela_registros[DIA],investirrendavariávelconsolidadodez[[#Headers],[12]],tabela_registros[REGISTRO],DADOS!$N$5,tabela_registros[TIPO],DADOS!$AB$4,tabela_registros[CATEGORIA],investirrendavariávelconsolidadodez[[#This Row],[ATUAL]])</f>
        <v>0</v>
      </c>
      <c r="Q139" s="91">
        <f>SUMIFS(tabela_registros[VALOR],tabela_registros[MÊS],$AE$1,tabela_registros[DIA],investirrendavariávelconsolidadodez[[#Headers],[13]],tabela_registros[REGISTRO],DADOS!$N$5,tabela_registros[TIPO],DADOS!$AB$4,tabela_registros[CATEGORIA],investirrendavariávelconsolidadodez[[#This Row],[ATUAL]])</f>
        <v>0</v>
      </c>
      <c r="R139" s="91">
        <f>SUMIFS(tabela_registros[VALOR],tabela_registros[MÊS],$AE$1,tabela_registros[DIA],investirrendavariávelconsolidadodez[[#Headers],[14]],tabela_registros[REGISTRO],DADOS!$N$5,tabela_registros[TIPO],DADOS!$AB$4,tabela_registros[CATEGORIA],investirrendavariávelconsolidadodez[[#This Row],[ATUAL]])</f>
        <v>0</v>
      </c>
      <c r="S139" s="91">
        <f>SUMIFS(tabela_registros[VALOR],tabela_registros[MÊS],$AE$1,tabela_registros[DIA],investirrendavariávelconsolidadodez[[#Headers],[15]],tabela_registros[REGISTRO],DADOS!$N$5,tabela_registros[TIPO],DADOS!$AB$4,tabela_registros[CATEGORIA],investirrendavariávelconsolidadodez[[#This Row],[ATUAL]])</f>
        <v>0</v>
      </c>
      <c r="T139" s="91">
        <f>SUMIFS(tabela_registros[VALOR],tabela_registros[MÊS],$AE$1,tabela_registros[DIA],investirrendavariávelconsolidadodez[[#Headers],[16]],tabela_registros[REGISTRO],DADOS!$N$5,tabela_registros[TIPO],DADOS!$AB$4,tabela_registros[CATEGORIA],investirrendavariávelconsolidadodez[[#This Row],[ATUAL]])</f>
        <v>0</v>
      </c>
      <c r="U139" s="91">
        <f>SUMIFS(tabela_registros[VALOR],tabela_registros[MÊS],$AE$1,tabela_registros[DIA],investirrendavariávelconsolidadodez[[#Headers],[17]],tabela_registros[REGISTRO],DADOS!$N$5,tabela_registros[TIPO],DADOS!$AB$4,tabela_registros[CATEGORIA],investirrendavariávelconsolidadodez[[#This Row],[ATUAL]])</f>
        <v>0</v>
      </c>
      <c r="V139" s="91">
        <f>SUMIFS(tabela_registros[VALOR],tabela_registros[MÊS],$AE$1,tabela_registros[DIA],investirrendavariávelconsolidadodez[[#Headers],[18]],tabela_registros[REGISTRO],DADOS!$N$5,tabela_registros[TIPO],DADOS!$AB$4,tabela_registros[CATEGORIA],investirrendavariávelconsolidadodez[[#This Row],[ATUAL]])</f>
        <v>0</v>
      </c>
      <c r="W139" s="91">
        <f>SUMIFS(tabela_registros[VALOR],tabela_registros[MÊS],$AE$1,tabela_registros[DIA],investirrendavariávelconsolidadodez[[#Headers],[19]],tabela_registros[REGISTRO],DADOS!$N$5,tabela_registros[TIPO],DADOS!$AB$4,tabela_registros[CATEGORIA],investirrendavariávelconsolidadodez[[#This Row],[ATUAL]])</f>
        <v>0</v>
      </c>
      <c r="X139" s="91">
        <f>SUMIFS(tabela_registros[VALOR],tabela_registros[MÊS],$AE$1,tabela_registros[DIA],investirrendavariávelconsolidadodez[[#Headers],[20]],tabela_registros[REGISTRO],DADOS!$N$5,tabela_registros[TIPO],DADOS!$AB$4,tabela_registros[CATEGORIA],investirrendavariávelconsolidadodez[[#This Row],[ATUAL]])</f>
        <v>0</v>
      </c>
      <c r="Y139" s="91">
        <f>SUMIFS(tabela_registros[VALOR],tabela_registros[MÊS],$AE$1,tabela_registros[DIA],investirrendavariávelconsolidadodez[[#Headers],[21]],tabela_registros[REGISTRO],DADOS!$N$5,tabela_registros[TIPO],DADOS!$AB$4,tabela_registros[CATEGORIA],investirrendavariávelconsolidadodez[[#This Row],[ATUAL]])</f>
        <v>0</v>
      </c>
      <c r="Z139" s="91">
        <f>SUMIFS(tabela_registros[VALOR],tabela_registros[MÊS],$AE$1,tabela_registros[DIA],investirrendavariávelconsolidadodez[[#Headers],[22]],tabela_registros[REGISTRO],DADOS!$N$5,tabela_registros[TIPO],DADOS!$AB$4,tabela_registros[CATEGORIA],investirrendavariávelconsolidadodez[[#This Row],[ATUAL]])</f>
        <v>0</v>
      </c>
      <c r="AA139" s="91">
        <f>SUMIFS(tabela_registros[VALOR],tabela_registros[MÊS],$AE$1,tabela_registros[DIA],investirrendavariávelconsolidadodez[[#Headers],[23]],tabela_registros[REGISTRO],DADOS!$N$5,tabela_registros[TIPO],DADOS!$AB$4,tabela_registros[CATEGORIA],investirrendavariávelconsolidadodez[[#This Row],[ATUAL]])</f>
        <v>0</v>
      </c>
      <c r="AB139" s="91">
        <f>SUMIFS(tabela_registros[VALOR],tabela_registros[MÊS],$AE$1,tabela_registros[DIA],investirrendavariávelconsolidadodez[[#Headers],[24]],tabela_registros[REGISTRO],DADOS!$N$5,tabela_registros[TIPO],DADOS!$AB$4,tabela_registros[CATEGORIA],investirrendavariávelconsolidadodez[[#This Row],[ATUAL]])</f>
        <v>0</v>
      </c>
      <c r="AC139" s="91">
        <f>SUMIFS(tabela_registros[VALOR],tabela_registros[MÊS],$AE$1,tabela_registros[DIA],investirrendavariávelconsolidadodez[[#Headers],[25]],tabela_registros[REGISTRO],DADOS!$N$5,tabela_registros[TIPO],DADOS!$AB$4,tabela_registros[CATEGORIA],investirrendavariávelconsolidadodez[[#This Row],[ATUAL]])</f>
        <v>0</v>
      </c>
      <c r="AD139" s="91">
        <f>SUMIFS(tabela_registros[VALOR],tabela_registros[MÊS],$AE$1,tabela_registros[DIA],investirrendavariávelconsolidadodez[[#Headers],[26]],tabela_registros[REGISTRO],DADOS!$N$5,tabela_registros[TIPO],DADOS!$AB$4,tabela_registros[CATEGORIA],investirrendavariávelconsolidadodez[[#This Row],[ATUAL]])</f>
        <v>0</v>
      </c>
      <c r="AE139" s="91">
        <f>SUMIFS(tabela_registros[VALOR],tabela_registros[MÊS],$AE$1,tabela_registros[DIA],investirrendavariávelconsolidadodez[[#Headers],[27]],tabela_registros[REGISTRO],DADOS!$N$5,tabela_registros[TIPO],DADOS!$AB$4,tabela_registros[CATEGORIA],investirrendavariávelconsolidadodez[[#This Row],[ATUAL]])</f>
        <v>0</v>
      </c>
      <c r="AF139" s="91">
        <f>SUMIFS(tabela_registros[VALOR],tabela_registros[MÊS],$AE$1,tabela_registros[DIA],investirrendavariávelconsolidadodez[[#Headers],[28]],tabela_registros[REGISTRO],DADOS!$N$5,tabela_registros[TIPO],DADOS!$AB$4,tabela_registros[CATEGORIA],investirrendavariávelconsolidadodez[[#This Row],[ATUAL]])</f>
        <v>0</v>
      </c>
      <c r="AG139" s="91">
        <f>SUMIFS(tabela_registros[VALOR],tabela_registros[MÊS],$AE$1,tabela_registros[DIA],investirrendavariávelconsolidadodez[[#Headers],[29]],tabela_registros[REGISTRO],DADOS!$N$5,tabela_registros[TIPO],DADOS!$AB$4,tabela_registros[CATEGORIA],investirrendavariávelconsolidadodez[[#This Row],[ATUAL]])</f>
        <v>0</v>
      </c>
      <c r="AH139" s="91">
        <f>SUMIFS(tabela_registros[VALOR],tabela_registros[MÊS],$AE$1,tabela_registros[DIA],investirrendavariávelconsolidadodez[[#Headers],[30]],tabela_registros[REGISTRO],DADOS!$N$5,tabela_registros[TIPO],DADOS!$AB$4,tabela_registros[CATEGORIA],investirrendavariávelconsolidadodez[[#This Row],[ATUAL]])</f>
        <v>0</v>
      </c>
      <c r="AI139" s="101">
        <f>SUMIFS(tabela_registros[VALOR],tabela_registros[MÊS],$AE$1,tabela_registros[DIA],investirrendavariávelconsolidadodez[[#Headers],[31]],tabela_registros[REGISTRO],DADOS!$N$5,tabela_registros[TIPO],DADOS!$AB$4,tabela_registros[CATEGORIA],investirrendavariávelconsolidadodez[[#This Row],[ATUAL]])</f>
        <v>0</v>
      </c>
      <c r="AJ139" s="104">
        <f>SUM(investirrendavariávelconsolidadodez[[#This Row],[1]:[31]])</f>
        <v>0</v>
      </c>
      <c r="AK139" s="25"/>
    </row>
    <row r="140" spans="2:37" ht="19.5" customHeight="1" thickTop="1" thickBot="1" x14ac:dyDescent="0.3">
      <c r="B140" s="28"/>
      <c r="C140" s="27" t="str">
        <f>DADOS!$AF$11</f>
        <v>📝 MOEDA</v>
      </c>
      <c r="D140" s="26" t="str">
        <f>IF(investirrendavariávelconsolidadodez[[#This Row],[TOTAL (R$)]]=0,"",IF(OR(investirrendavariávelconsolidadodez[[#This Row],[TOTAL (R$)]]=LARGE($AJ$132:$AJ$141,1),investirrendavariávelconsolidadodez[[#This Row],[TOTAL (R$)]]=LARGE($AJ$132:$AJ$141,2)),DADOS!$I$10,""))</f>
        <v/>
      </c>
      <c r="E140" s="96">
        <f>SUMIFS(tabela_registros[VALOR],tabela_registros[MÊS],$AE$1,tabela_registros[DIA],investirrendavariávelconsolidadodez[[#Headers],[1]],tabela_registros[REGISTRO],DADOS!$N$5,tabela_registros[TIPO],DADOS!$AB$4,tabela_registros[CATEGORIA],investirrendavariávelconsolidadodez[[#This Row],[ATUAL]])</f>
        <v>0</v>
      </c>
      <c r="F140" s="91">
        <f>SUMIFS(tabela_registros[VALOR],tabela_registros[MÊS],$AE$1,tabela_registros[DIA],investirrendavariávelconsolidadodez[[#Headers],[2]],tabela_registros[REGISTRO],DADOS!$N$5,tabela_registros[TIPO],DADOS!$AB$4,tabela_registros[CATEGORIA],investirrendavariávelconsolidadodez[[#This Row],[ATUAL]])</f>
        <v>0</v>
      </c>
      <c r="G140" s="91">
        <f>SUMIFS(tabela_registros[VALOR],tabela_registros[MÊS],$AE$1,tabela_registros[DIA],investirrendavariávelconsolidadodez[[#Headers],[3]],tabela_registros[REGISTRO],DADOS!$N$5,tabela_registros[TIPO],DADOS!$AB$4,tabela_registros[CATEGORIA],investirrendavariávelconsolidadodez[[#This Row],[ATUAL]])</f>
        <v>0</v>
      </c>
      <c r="H140" s="91">
        <f>SUMIFS(tabela_registros[VALOR],tabela_registros[MÊS],$AE$1,tabela_registros[DIA],investirrendavariávelconsolidadodez[[#Headers],[4]],tabela_registros[REGISTRO],DADOS!$N$5,tabela_registros[TIPO],DADOS!$AB$4,tabela_registros[CATEGORIA],investirrendavariávelconsolidadodez[[#This Row],[ATUAL]])</f>
        <v>0</v>
      </c>
      <c r="I140" s="91">
        <f>SUMIFS(tabela_registros[VALOR],tabela_registros[MÊS],$AE$1,tabela_registros[DIA],investirrendavariávelconsolidadodez[[#Headers],[5]],tabela_registros[REGISTRO],DADOS!$N$5,tabela_registros[TIPO],DADOS!$AB$4,tabela_registros[CATEGORIA],investirrendavariávelconsolidadodez[[#This Row],[ATUAL]])</f>
        <v>0</v>
      </c>
      <c r="J140" s="91">
        <f>SUMIFS(tabela_registros[VALOR],tabela_registros[MÊS],$AE$1,tabela_registros[DIA],investirrendavariávelconsolidadodez[[#Headers],[6]],tabela_registros[REGISTRO],DADOS!$N$5,tabela_registros[TIPO],DADOS!$AB$4,tabela_registros[CATEGORIA],investirrendavariávelconsolidadodez[[#This Row],[ATUAL]])</f>
        <v>0</v>
      </c>
      <c r="K140" s="91">
        <f>SUMIFS(tabela_registros[VALOR],tabela_registros[MÊS],$AE$1,tabela_registros[DIA],investirrendavariávelconsolidadodez[[#Headers],[7]],tabela_registros[REGISTRO],DADOS!$N$5,tabela_registros[TIPO],DADOS!$AB$4,tabela_registros[CATEGORIA],investirrendavariávelconsolidadodez[[#This Row],[ATUAL]])</f>
        <v>0</v>
      </c>
      <c r="L140" s="91">
        <f>SUMIFS(tabela_registros[VALOR],tabela_registros[MÊS],$AE$1,tabela_registros[DIA],investirrendavariávelconsolidadodez[[#Headers],[8]],tabela_registros[REGISTRO],DADOS!$N$5,tabela_registros[TIPO],DADOS!$AB$4,tabela_registros[CATEGORIA],investirrendavariávelconsolidadodez[[#This Row],[ATUAL]])</f>
        <v>0</v>
      </c>
      <c r="M140" s="91">
        <f>SUMIFS(tabela_registros[VALOR],tabela_registros[MÊS],$AE$1,tabela_registros[DIA],investirrendavariávelconsolidadodez[[#Headers],[9]],tabela_registros[REGISTRO],DADOS!$N$5,tabela_registros[TIPO],DADOS!$AB$4,tabela_registros[CATEGORIA],investirrendavariávelconsolidadodez[[#This Row],[ATUAL]])</f>
        <v>0</v>
      </c>
      <c r="N140" s="91">
        <f>SUMIFS(tabela_registros[VALOR],tabela_registros[MÊS],$AE$1,tabela_registros[DIA],investirrendavariávelconsolidadodez[[#Headers],[10]],tabela_registros[REGISTRO],DADOS!$N$5,tabela_registros[TIPO],DADOS!$AB$4,tabela_registros[CATEGORIA],investirrendavariávelconsolidadodez[[#This Row],[ATUAL]])</f>
        <v>0</v>
      </c>
      <c r="O140" s="91">
        <f>SUMIFS(tabela_registros[VALOR],tabela_registros[MÊS],$AE$1,tabela_registros[DIA],investirrendavariávelconsolidadodez[[#Headers],[11]],tabela_registros[REGISTRO],DADOS!$N$5,tabela_registros[TIPO],DADOS!$AB$4,tabela_registros[CATEGORIA],investirrendavariávelconsolidadodez[[#This Row],[ATUAL]])</f>
        <v>0</v>
      </c>
      <c r="P140" s="91">
        <f>SUMIFS(tabela_registros[VALOR],tabela_registros[MÊS],$AE$1,tabela_registros[DIA],investirrendavariávelconsolidadodez[[#Headers],[12]],tabela_registros[REGISTRO],DADOS!$N$5,tabela_registros[TIPO],DADOS!$AB$4,tabela_registros[CATEGORIA],investirrendavariávelconsolidadodez[[#This Row],[ATUAL]])</f>
        <v>0</v>
      </c>
      <c r="Q140" s="91">
        <f>SUMIFS(tabela_registros[VALOR],tabela_registros[MÊS],$AE$1,tabela_registros[DIA],investirrendavariávelconsolidadodez[[#Headers],[13]],tabela_registros[REGISTRO],DADOS!$N$5,tabela_registros[TIPO],DADOS!$AB$4,tabela_registros[CATEGORIA],investirrendavariávelconsolidadodez[[#This Row],[ATUAL]])</f>
        <v>0</v>
      </c>
      <c r="R140" s="91">
        <f>SUMIFS(tabela_registros[VALOR],tabela_registros[MÊS],$AE$1,tabela_registros[DIA],investirrendavariávelconsolidadodez[[#Headers],[14]],tabela_registros[REGISTRO],DADOS!$N$5,tabela_registros[TIPO],DADOS!$AB$4,tabela_registros[CATEGORIA],investirrendavariávelconsolidadodez[[#This Row],[ATUAL]])</f>
        <v>0</v>
      </c>
      <c r="S140" s="91">
        <f>SUMIFS(tabela_registros[VALOR],tabela_registros[MÊS],$AE$1,tabela_registros[DIA],investirrendavariávelconsolidadodez[[#Headers],[15]],tabela_registros[REGISTRO],DADOS!$N$5,tabela_registros[TIPO],DADOS!$AB$4,tabela_registros[CATEGORIA],investirrendavariávelconsolidadodez[[#This Row],[ATUAL]])</f>
        <v>0</v>
      </c>
      <c r="T140" s="91">
        <f>SUMIFS(tabela_registros[VALOR],tabela_registros[MÊS],$AE$1,tabela_registros[DIA],investirrendavariávelconsolidadodez[[#Headers],[16]],tabela_registros[REGISTRO],DADOS!$N$5,tabela_registros[TIPO],DADOS!$AB$4,tabela_registros[CATEGORIA],investirrendavariávelconsolidadodez[[#This Row],[ATUAL]])</f>
        <v>0</v>
      </c>
      <c r="U140" s="91">
        <f>SUMIFS(tabela_registros[VALOR],tabela_registros[MÊS],$AE$1,tabela_registros[DIA],investirrendavariávelconsolidadodez[[#Headers],[17]],tabela_registros[REGISTRO],DADOS!$N$5,tabela_registros[TIPO],DADOS!$AB$4,tabela_registros[CATEGORIA],investirrendavariávelconsolidadodez[[#This Row],[ATUAL]])</f>
        <v>0</v>
      </c>
      <c r="V140" s="91">
        <f>SUMIFS(tabela_registros[VALOR],tabela_registros[MÊS],$AE$1,tabela_registros[DIA],investirrendavariávelconsolidadodez[[#Headers],[18]],tabela_registros[REGISTRO],DADOS!$N$5,tabela_registros[TIPO],DADOS!$AB$4,tabela_registros[CATEGORIA],investirrendavariávelconsolidadodez[[#This Row],[ATUAL]])</f>
        <v>0</v>
      </c>
      <c r="W140" s="91">
        <f>SUMIFS(tabela_registros[VALOR],tabela_registros[MÊS],$AE$1,tabela_registros[DIA],investirrendavariávelconsolidadodez[[#Headers],[19]],tabela_registros[REGISTRO],DADOS!$N$5,tabela_registros[TIPO],DADOS!$AB$4,tabela_registros[CATEGORIA],investirrendavariávelconsolidadodez[[#This Row],[ATUAL]])</f>
        <v>0</v>
      </c>
      <c r="X140" s="91">
        <f>SUMIFS(tabela_registros[VALOR],tabela_registros[MÊS],$AE$1,tabela_registros[DIA],investirrendavariávelconsolidadodez[[#Headers],[20]],tabela_registros[REGISTRO],DADOS!$N$5,tabela_registros[TIPO],DADOS!$AB$4,tabela_registros[CATEGORIA],investirrendavariávelconsolidadodez[[#This Row],[ATUAL]])</f>
        <v>0</v>
      </c>
      <c r="Y140" s="91">
        <f>SUMIFS(tabela_registros[VALOR],tabela_registros[MÊS],$AE$1,tabela_registros[DIA],investirrendavariávelconsolidadodez[[#Headers],[21]],tabela_registros[REGISTRO],DADOS!$N$5,tabela_registros[TIPO],DADOS!$AB$4,tabela_registros[CATEGORIA],investirrendavariávelconsolidadodez[[#This Row],[ATUAL]])</f>
        <v>0</v>
      </c>
      <c r="Z140" s="91">
        <f>SUMIFS(tabela_registros[VALOR],tabela_registros[MÊS],$AE$1,tabela_registros[DIA],investirrendavariávelconsolidadodez[[#Headers],[22]],tabela_registros[REGISTRO],DADOS!$N$5,tabela_registros[TIPO],DADOS!$AB$4,tabela_registros[CATEGORIA],investirrendavariávelconsolidadodez[[#This Row],[ATUAL]])</f>
        <v>0</v>
      </c>
      <c r="AA140" s="91">
        <f>SUMIFS(tabela_registros[VALOR],tabela_registros[MÊS],$AE$1,tabela_registros[DIA],investirrendavariávelconsolidadodez[[#Headers],[23]],tabela_registros[REGISTRO],DADOS!$N$5,tabela_registros[TIPO],DADOS!$AB$4,tabela_registros[CATEGORIA],investirrendavariávelconsolidadodez[[#This Row],[ATUAL]])</f>
        <v>0</v>
      </c>
      <c r="AB140" s="91">
        <f>SUMIFS(tabela_registros[VALOR],tabela_registros[MÊS],$AE$1,tabela_registros[DIA],investirrendavariávelconsolidadodez[[#Headers],[24]],tabela_registros[REGISTRO],DADOS!$N$5,tabela_registros[TIPO],DADOS!$AB$4,tabela_registros[CATEGORIA],investirrendavariávelconsolidadodez[[#This Row],[ATUAL]])</f>
        <v>0</v>
      </c>
      <c r="AC140" s="91">
        <f>SUMIFS(tabela_registros[VALOR],tabela_registros[MÊS],$AE$1,tabela_registros[DIA],investirrendavariávelconsolidadodez[[#Headers],[25]],tabela_registros[REGISTRO],DADOS!$N$5,tabela_registros[TIPO],DADOS!$AB$4,tabela_registros[CATEGORIA],investirrendavariávelconsolidadodez[[#This Row],[ATUAL]])</f>
        <v>0</v>
      </c>
      <c r="AD140" s="91">
        <f>SUMIFS(tabela_registros[VALOR],tabela_registros[MÊS],$AE$1,tabela_registros[DIA],investirrendavariávelconsolidadodez[[#Headers],[26]],tabela_registros[REGISTRO],DADOS!$N$5,tabela_registros[TIPO],DADOS!$AB$4,tabela_registros[CATEGORIA],investirrendavariávelconsolidadodez[[#This Row],[ATUAL]])</f>
        <v>0</v>
      </c>
      <c r="AE140" s="91">
        <f>SUMIFS(tabela_registros[VALOR],tabela_registros[MÊS],$AE$1,tabela_registros[DIA],investirrendavariávelconsolidadodez[[#Headers],[27]],tabela_registros[REGISTRO],DADOS!$N$5,tabela_registros[TIPO],DADOS!$AB$4,tabela_registros[CATEGORIA],investirrendavariávelconsolidadodez[[#This Row],[ATUAL]])</f>
        <v>0</v>
      </c>
      <c r="AF140" s="91">
        <f>SUMIFS(tabela_registros[VALOR],tabela_registros[MÊS],$AE$1,tabela_registros[DIA],investirrendavariávelconsolidadodez[[#Headers],[28]],tabela_registros[REGISTRO],DADOS!$N$5,tabela_registros[TIPO],DADOS!$AB$4,tabela_registros[CATEGORIA],investirrendavariávelconsolidadodez[[#This Row],[ATUAL]])</f>
        <v>0</v>
      </c>
      <c r="AG140" s="91">
        <f>SUMIFS(tabela_registros[VALOR],tabela_registros[MÊS],$AE$1,tabela_registros[DIA],investirrendavariávelconsolidadodez[[#Headers],[29]],tabela_registros[REGISTRO],DADOS!$N$5,tabela_registros[TIPO],DADOS!$AB$4,tabela_registros[CATEGORIA],investirrendavariávelconsolidadodez[[#This Row],[ATUAL]])</f>
        <v>0</v>
      </c>
      <c r="AH140" s="91">
        <f>SUMIFS(tabela_registros[VALOR],tabela_registros[MÊS],$AE$1,tabela_registros[DIA],investirrendavariávelconsolidadodez[[#Headers],[30]],tabela_registros[REGISTRO],DADOS!$N$5,tabela_registros[TIPO],DADOS!$AB$4,tabela_registros[CATEGORIA],investirrendavariávelconsolidadodez[[#This Row],[ATUAL]])</f>
        <v>0</v>
      </c>
      <c r="AI140" s="101">
        <f>SUMIFS(tabela_registros[VALOR],tabela_registros[MÊS],$AE$1,tabela_registros[DIA],investirrendavariávelconsolidadodez[[#Headers],[31]],tabela_registros[REGISTRO],DADOS!$N$5,tabela_registros[TIPO],DADOS!$AB$4,tabela_registros[CATEGORIA],investirrendavariávelconsolidadodez[[#This Row],[ATUAL]])</f>
        <v>0</v>
      </c>
      <c r="AJ140" s="104">
        <f>SUM(investirrendavariávelconsolidadodez[[#This Row],[1]:[31]])</f>
        <v>0</v>
      </c>
      <c r="AK140" s="25"/>
    </row>
    <row r="141" spans="2:37" ht="19.5" customHeight="1" thickTop="1" thickBot="1" x14ac:dyDescent="0.3">
      <c r="B141" s="28"/>
      <c r="C141" s="27" t="str">
        <f>DADOS!$AF$12</f>
        <v>📎 OUTROS</v>
      </c>
      <c r="D141" s="26" t="str">
        <f>IF(investirrendavariávelconsolidadodez[[#This Row],[TOTAL (R$)]]=0,"",IF(OR(investirrendavariávelconsolidadodez[[#This Row],[TOTAL (R$)]]=LARGE($AJ$132:$AJ$141,1),investirrendavariávelconsolidadodez[[#This Row],[TOTAL (R$)]]=LARGE($AJ$132:$AJ$141,2)),DADOS!$I$10,""))</f>
        <v/>
      </c>
      <c r="E141" s="96">
        <f>SUMIFS(tabela_registros[VALOR],tabela_registros[MÊS],$AE$1,tabela_registros[DIA],investirrendavariávelconsolidadodez[[#Headers],[1]],tabela_registros[REGISTRO],DADOS!$N$5,tabela_registros[TIPO],DADOS!$AB$4,tabela_registros[CATEGORIA],investirrendavariávelconsolidadodez[[#This Row],[ATUAL]])</f>
        <v>0</v>
      </c>
      <c r="F141" s="91">
        <f>SUMIFS(tabela_registros[VALOR],tabela_registros[MÊS],$AE$1,tabela_registros[DIA],investirrendavariávelconsolidadodez[[#Headers],[2]],tabela_registros[REGISTRO],DADOS!$N$5,tabela_registros[TIPO],DADOS!$AB$4,tabela_registros[CATEGORIA],investirrendavariávelconsolidadodez[[#This Row],[ATUAL]])</f>
        <v>0</v>
      </c>
      <c r="G141" s="91">
        <f>SUMIFS(tabela_registros[VALOR],tabela_registros[MÊS],$AE$1,tabela_registros[DIA],investirrendavariávelconsolidadodez[[#Headers],[3]],tabela_registros[REGISTRO],DADOS!$N$5,tabela_registros[TIPO],DADOS!$AB$4,tabela_registros[CATEGORIA],investirrendavariávelconsolidadodez[[#This Row],[ATUAL]])</f>
        <v>0</v>
      </c>
      <c r="H141" s="91">
        <f>SUMIFS(tabela_registros[VALOR],tabela_registros[MÊS],$AE$1,tabela_registros[DIA],investirrendavariávelconsolidadodez[[#Headers],[4]],tabela_registros[REGISTRO],DADOS!$N$5,tabela_registros[TIPO],DADOS!$AB$4,tabela_registros[CATEGORIA],investirrendavariávelconsolidadodez[[#This Row],[ATUAL]])</f>
        <v>0</v>
      </c>
      <c r="I141" s="91">
        <f>SUMIFS(tabela_registros[VALOR],tabela_registros[MÊS],$AE$1,tabela_registros[DIA],investirrendavariávelconsolidadodez[[#Headers],[5]],tabela_registros[REGISTRO],DADOS!$N$5,tabela_registros[TIPO],DADOS!$AB$4,tabela_registros[CATEGORIA],investirrendavariávelconsolidadodez[[#This Row],[ATUAL]])</f>
        <v>0</v>
      </c>
      <c r="J141" s="91">
        <f>SUMIFS(tabela_registros[VALOR],tabela_registros[MÊS],$AE$1,tabela_registros[DIA],investirrendavariávelconsolidadodez[[#Headers],[6]],tabela_registros[REGISTRO],DADOS!$N$5,tabela_registros[TIPO],DADOS!$AB$4,tabela_registros[CATEGORIA],investirrendavariávelconsolidadodez[[#This Row],[ATUAL]])</f>
        <v>0</v>
      </c>
      <c r="K141" s="91">
        <f>SUMIFS(tabela_registros[VALOR],tabela_registros[MÊS],$AE$1,tabela_registros[DIA],investirrendavariávelconsolidadodez[[#Headers],[7]],tabela_registros[REGISTRO],DADOS!$N$5,tabela_registros[TIPO],DADOS!$AB$4,tabela_registros[CATEGORIA],investirrendavariávelconsolidadodez[[#This Row],[ATUAL]])</f>
        <v>0</v>
      </c>
      <c r="L141" s="91">
        <f>SUMIFS(tabela_registros[VALOR],tabela_registros[MÊS],$AE$1,tabela_registros[DIA],investirrendavariávelconsolidadodez[[#Headers],[8]],tabela_registros[REGISTRO],DADOS!$N$5,tabela_registros[TIPO],DADOS!$AB$4,tabela_registros[CATEGORIA],investirrendavariávelconsolidadodez[[#This Row],[ATUAL]])</f>
        <v>0</v>
      </c>
      <c r="M141" s="91">
        <f>SUMIFS(tabela_registros[VALOR],tabela_registros[MÊS],$AE$1,tabela_registros[DIA],investirrendavariávelconsolidadodez[[#Headers],[9]],tabela_registros[REGISTRO],DADOS!$N$5,tabela_registros[TIPO],DADOS!$AB$4,tabela_registros[CATEGORIA],investirrendavariávelconsolidadodez[[#This Row],[ATUAL]])</f>
        <v>0</v>
      </c>
      <c r="N141" s="91">
        <f>SUMIFS(tabela_registros[VALOR],tabela_registros[MÊS],$AE$1,tabela_registros[DIA],investirrendavariávelconsolidadodez[[#Headers],[10]],tabela_registros[REGISTRO],DADOS!$N$5,tabela_registros[TIPO],DADOS!$AB$4,tabela_registros[CATEGORIA],investirrendavariávelconsolidadodez[[#This Row],[ATUAL]])</f>
        <v>0</v>
      </c>
      <c r="O141" s="91">
        <f>SUMIFS(tabela_registros[VALOR],tabela_registros[MÊS],$AE$1,tabela_registros[DIA],investirrendavariávelconsolidadodez[[#Headers],[11]],tabela_registros[REGISTRO],DADOS!$N$5,tabela_registros[TIPO],DADOS!$AB$4,tabela_registros[CATEGORIA],investirrendavariávelconsolidadodez[[#This Row],[ATUAL]])</f>
        <v>0</v>
      </c>
      <c r="P141" s="91">
        <f>SUMIFS(tabela_registros[VALOR],tabela_registros[MÊS],$AE$1,tabela_registros[DIA],investirrendavariávelconsolidadodez[[#Headers],[12]],tabela_registros[REGISTRO],DADOS!$N$5,tabela_registros[TIPO],DADOS!$AB$4,tabela_registros[CATEGORIA],investirrendavariávelconsolidadodez[[#This Row],[ATUAL]])</f>
        <v>0</v>
      </c>
      <c r="Q141" s="91">
        <f>SUMIFS(tabela_registros[VALOR],tabela_registros[MÊS],$AE$1,tabela_registros[DIA],investirrendavariávelconsolidadodez[[#Headers],[13]],tabela_registros[REGISTRO],DADOS!$N$5,tabela_registros[TIPO],DADOS!$AB$4,tabela_registros[CATEGORIA],investirrendavariávelconsolidadodez[[#This Row],[ATUAL]])</f>
        <v>0</v>
      </c>
      <c r="R141" s="91">
        <f>SUMIFS(tabela_registros[VALOR],tabela_registros[MÊS],$AE$1,tabela_registros[DIA],investirrendavariávelconsolidadodez[[#Headers],[14]],tabela_registros[REGISTRO],DADOS!$N$5,tabela_registros[TIPO],DADOS!$AB$4,tabela_registros[CATEGORIA],investirrendavariávelconsolidadodez[[#This Row],[ATUAL]])</f>
        <v>0</v>
      </c>
      <c r="S141" s="91">
        <f>SUMIFS(tabela_registros[VALOR],tabela_registros[MÊS],$AE$1,tabela_registros[DIA],investirrendavariávelconsolidadodez[[#Headers],[15]],tabela_registros[REGISTRO],DADOS!$N$5,tabela_registros[TIPO],DADOS!$AB$4,tabela_registros[CATEGORIA],investirrendavariávelconsolidadodez[[#This Row],[ATUAL]])</f>
        <v>0</v>
      </c>
      <c r="T141" s="91">
        <f>SUMIFS(tabela_registros[VALOR],tabela_registros[MÊS],$AE$1,tabela_registros[DIA],investirrendavariávelconsolidadodez[[#Headers],[16]],tabela_registros[REGISTRO],DADOS!$N$5,tabela_registros[TIPO],DADOS!$AB$4,tabela_registros[CATEGORIA],investirrendavariávelconsolidadodez[[#This Row],[ATUAL]])</f>
        <v>0</v>
      </c>
      <c r="U141" s="91">
        <f>SUMIFS(tabela_registros[VALOR],tabela_registros[MÊS],$AE$1,tabela_registros[DIA],investirrendavariávelconsolidadodez[[#Headers],[17]],tabela_registros[REGISTRO],DADOS!$N$5,tabela_registros[TIPO],DADOS!$AB$4,tabela_registros[CATEGORIA],investirrendavariávelconsolidadodez[[#This Row],[ATUAL]])</f>
        <v>0</v>
      </c>
      <c r="V141" s="91">
        <f>SUMIFS(tabela_registros[VALOR],tabela_registros[MÊS],$AE$1,tabela_registros[DIA],investirrendavariávelconsolidadodez[[#Headers],[18]],tabela_registros[REGISTRO],DADOS!$N$5,tabela_registros[TIPO],DADOS!$AB$4,tabela_registros[CATEGORIA],investirrendavariávelconsolidadodez[[#This Row],[ATUAL]])</f>
        <v>0</v>
      </c>
      <c r="W141" s="91">
        <f>SUMIFS(tabela_registros[VALOR],tabela_registros[MÊS],$AE$1,tabela_registros[DIA],investirrendavariávelconsolidadodez[[#Headers],[19]],tabela_registros[REGISTRO],DADOS!$N$5,tabela_registros[TIPO],DADOS!$AB$4,tabela_registros[CATEGORIA],investirrendavariávelconsolidadodez[[#This Row],[ATUAL]])</f>
        <v>0</v>
      </c>
      <c r="X141" s="91">
        <f>SUMIFS(tabela_registros[VALOR],tabela_registros[MÊS],$AE$1,tabela_registros[DIA],investirrendavariávelconsolidadodez[[#Headers],[20]],tabela_registros[REGISTRO],DADOS!$N$5,tabela_registros[TIPO],DADOS!$AB$4,tabela_registros[CATEGORIA],investirrendavariávelconsolidadodez[[#This Row],[ATUAL]])</f>
        <v>0</v>
      </c>
      <c r="Y141" s="91">
        <f>SUMIFS(tabela_registros[VALOR],tabela_registros[MÊS],$AE$1,tabela_registros[DIA],investirrendavariávelconsolidadodez[[#Headers],[21]],tabela_registros[REGISTRO],DADOS!$N$5,tabela_registros[TIPO],DADOS!$AB$4,tabela_registros[CATEGORIA],investirrendavariávelconsolidadodez[[#This Row],[ATUAL]])</f>
        <v>0</v>
      </c>
      <c r="Z141" s="91">
        <f>SUMIFS(tabela_registros[VALOR],tabela_registros[MÊS],$AE$1,tabela_registros[DIA],investirrendavariávelconsolidadodez[[#Headers],[22]],tabela_registros[REGISTRO],DADOS!$N$5,tabela_registros[TIPO],DADOS!$AB$4,tabela_registros[CATEGORIA],investirrendavariávelconsolidadodez[[#This Row],[ATUAL]])</f>
        <v>0</v>
      </c>
      <c r="AA141" s="91">
        <f>SUMIFS(tabela_registros[VALOR],tabela_registros[MÊS],$AE$1,tabela_registros[DIA],investirrendavariávelconsolidadodez[[#Headers],[23]],tabela_registros[REGISTRO],DADOS!$N$5,tabela_registros[TIPO],DADOS!$AB$4,tabela_registros[CATEGORIA],investirrendavariávelconsolidadodez[[#This Row],[ATUAL]])</f>
        <v>0</v>
      </c>
      <c r="AB141" s="91">
        <f>SUMIFS(tabela_registros[VALOR],tabela_registros[MÊS],$AE$1,tabela_registros[DIA],investirrendavariávelconsolidadodez[[#Headers],[24]],tabela_registros[REGISTRO],DADOS!$N$5,tabela_registros[TIPO],DADOS!$AB$4,tabela_registros[CATEGORIA],investirrendavariávelconsolidadodez[[#This Row],[ATUAL]])</f>
        <v>0</v>
      </c>
      <c r="AC141" s="91">
        <f>SUMIFS(tabela_registros[VALOR],tabela_registros[MÊS],$AE$1,tabela_registros[DIA],investirrendavariávelconsolidadodez[[#Headers],[25]],tabela_registros[REGISTRO],DADOS!$N$5,tabela_registros[TIPO],DADOS!$AB$4,tabela_registros[CATEGORIA],investirrendavariávelconsolidadodez[[#This Row],[ATUAL]])</f>
        <v>0</v>
      </c>
      <c r="AD141" s="91">
        <f>SUMIFS(tabela_registros[VALOR],tabela_registros[MÊS],$AE$1,tabela_registros[DIA],investirrendavariávelconsolidadodez[[#Headers],[26]],tabela_registros[REGISTRO],DADOS!$N$5,tabela_registros[TIPO],DADOS!$AB$4,tabela_registros[CATEGORIA],investirrendavariávelconsolidadodez[[#This Row],[ATUAL]])</f>
        <v>0</v>
      </c>
      <c r="AE141" s="91">
        <f>SUMIFS(tabela_registros[VALOR],tabela_registros[MÊS],$AE$1,tabela_registros[DIA],investirrendavariávelconsolidadodez[[#Headers],[27]],tabela_registros[REGISTRO],DADOS!$N$5,tabela_registros[TIPO],DADOS!$AB$4,tabela_registros[CATEGORIA],investirrendavariávelconsolidadodez[[#This Row],[ATUAL]])</f>
        <v>0</v>
      </c>
      <c r="AF141" s="91">
        <f>SUMIFS(tabela_registros[VALOR],tabela_registros[MÊS],$AE$1,tabela_registros[DIA],investirrendavariávelconsolidadodez[[#Headers],[28]],tabela_registros[REGISTRO],DADOS!$N$5,tabela_registros[TIPO],DADOS!$AB$4,tabela_registros[CATEGORIA],investirrendavariávelconsolidadodez[[#This Row],[ATUAL]])</f>
        <v>0</v>
      </c>
      <c r="AG141" s="91">
        <f>SUMIFS(tabela_registros[VALOR],tabela_registros[MÊS],$AE$1,tabela_registros[DIA],investirrendavariávelconsolidadodez[[#Headers],[29]],tabela_registros[REGISTRO],DADOS!$N$5,tabela_registros[TIPO],DADOS!$AB$4,tabela_registros[CATEGORIA],investirrendavariávelconsolidadodez[[#This Row],[ATUAL]])</f>
        <v>0</v>
      </c>
      <c r="AH141" s="91">
        <f>SUMIFS(tabela_registros[VALOR],tabela_registros[MÊS],$AE$1,tabela_registros[DIA],investirrendavariávelconsolidadodez[[#Headers],[30]],tabela_registros[REGISTRO],DADOS!$N$5,tabela_registros[TIPO],DADOS!$AB$4,tabela_registros[CATEGORIA],investirrendavariávelconsolidadodez[[#This Row],[ATUAL]])</f>
        <v>0</v>
      </c>
      <c r="AI141" s="102">
        <f>SUMIFS(tabela_registros[VALOR],tabela_registros[MÊS],$AE$1,tabela_registros[DIA],investirrendavariávelconsolidadodez[[#Headers],[31]],tabela_registros[REGISTRO],DADOS!$N$5,tabela_registros[TIPO],DADOS!$AB$4,tabela_registros[CATEGORIA],investirrendavariávelconsolidadodez[[#This Row],[ATUAL]])</f>
        <v>0</v>
      </c>
      <c r="AJ141" s="97">
        <f>SUM(investirrendavariávelconsolidadodez[[#This Row],[1]:[31]])</f>
        <v>0</v>
      </c>
      <c r="AK141" s="25"/>
    </row>
    <row r="142" spans="2:37" s="16" customFormat="1" ht="21" customHeight="1" thickTop="1" thickBot="1" x14ac:dyDescent="0.35">
      <c r="B142" s="24"/>
      <c r="C142" s="23" t="s">
        <v>19</v>
      </c>
      <c r="D142" s="22"/>
      <c r="E142" s="21">
        <f>SUM(E132:E141)</f>
        <v>0</v>
      </c>
      <c r="F142" s="20">
        <f>SUM(F132:F141)+investirrendavariávelconsolidadodez[[#This Row],[1]]</f>
        <v>0</v>
      </c>
      <c r="G142" s="20">
        <f>SUM(G132:G141)+investirrendavariávelconsolidadodez[[#This Row],[2]]</f>
        <v>0</v>
      </c>
      <c r="H142" s="20">
        <f>SUM(H132:H141)+investirrendavariávelconsolidadodez[[#This Row],[3]]</f>
        <v>0</v>
      </c>
      <c r="I142" s="20">
        <f>SUM(I132:I141)+investirrendavariávelconsolidadodez[[#This Row],[4]]</f>
        <v>0</v>
      </c>
      <c r="J142" s="20">
        <f>SUM(J132:J141)+investirrendavariávelconsolidadodez[[#This Row],[5]]</f>
        <v>0</v>
      </c>
      <c r="K142" s="20">
        <f>SUM(K132:K141)+investirrendavariávelconsolidadodez[[#This Row],[6]]</f>
        <v>0</v>
      </c>
      <c r="L142" s="20">
        <f>SUM(L132:L141)+investirrendavariávelconsolidadodez[[#This Row],[7]]</f>
        <v>0</v>
      </c>
      <c r="M142" s="20">
        <f>SUM(M132:M141)+investirrendavariávelconsolidadodez[[#This Row],[8]]</f>
        <v>0</v>
      </c>
      <c r="N142" s="20">
        <f>SUM(N132:N141)+investirrendavariávelconsolidadodez[[#This Row],[9]]</f>
        <v>0</v>
      </c>
      <c r="O142" s="20">
        <f>SUM(O132:O141)+investirrendavariávelconsolidadodez[[#This Row],[10]]</f>
        <v>0</v>
      </c>
      <c r="P142" s="20">
        <f>SUM(P132:P141)+investirrendavariávelconsolidadodez[[#This Row],[11]]</f>
        <v>0</v>
      </c>
      <c r="Q142" s="20">
        <f>SUM(Q132:Q141)+investirrendavariávelconsolidadodez[[#This Row],[12]]</f>
        <v>0</v>
      </c>
      <c r="R142" s="20">
        <f>SUM(R132:R141)+investirrendavariávelconsolidadodez[[#This Row],[13]]</f>
        <v>0</v>
      </c>
      <c r="S142" s="20">
        <f>SUM(S132:S141)+investirrendavariávelconsolidadodez[[#This Row],[14]]</f>
        <v>0</v>
      </c>
      <c r="T142" s="20">
        <f>SUM(T132:T141)+investirrendavariávelconsolidadodez[[#This Row],[15]]</f>
        <v>0</v>
      </c>
      <c r="U142" s="20">
        <f>SUM(U132:U141)+investirrendavariávelconsolidadodez[[#This Row],[16]]</f>
        <v>0</v>
      </c>
      <c r="V142" s="20">
        <f>SUM(V132:V141)+investirrendavariávelconsolidadodez[[#This Row],[17]]</f>
        <v>0</v>
      </c>
      <c r="W142" s="20">
        <f>SUM(W132:W141)+investirrendavariávelconsolidadodez[[#This Row],[18]]</f>
        <v>0</v>
      </c>
      <c r="X142" s="20">
        <f>SUM(X132:X141)+investirrendavariávelconsolidadodez[[#This Row],[19]]</f>
        <v>0</v>
      </c>
      <c r="Y142" s="20">
        <f>SUM(Y132:Y141)+investirrendavariávelconsolidadodez[[#This Row],[20]]</f>
        <v>0</v>
      </c>
      <c r="Z142" s="20">
        <f>SUM(Z132:Z141)+investirrendavariávelconsolidadodez[[#This Row],[21]]</f>
        <v>0</v>
      </c>
      <c r="AA142" s="20">
        <f>SUM(AA132:AA141)+investirrendavariávelconsolidadodez[[#This Row],[22]]</f>
        <v>0</v>
      </c>
      <c r="AB142" s="20">
        <f>SUM(AB132:AB141)+investirrendavariávelconsolidadodez[[#This Row],[23]]</f>
        <v>0</v>
      </c>
      <c r="AC142" s="20">
        <f>SUM(AC132:AC141)+investirrendavariávelconsolidadodez[[#This Row],[24]]</f>
        <v>0</v>
      </c>
      <c r="AD142" s="20">
        <f>SUM(AD132:AD141)+investirrendavariávelconsolidadodez[[#This Row],[25]]</f>
        <v>0</v>
      </c>
      <c r="AE142" s="20">
        <f>SUM(AE132:AE141)+investirrendavariávelconsolidadodez[[#This Row],[26]]</f>
        <v>0</v>
      </c>
      <c r="AF142" s="20">
        <f>SUM(AF132:AF141)+investirrendavariávelconsolidadodez[[#This Row],[27]]</f>
        <v>0</v>
      </c>
      <c r="AG142" s="20">
        <f>SUM(AG132:AG141)+investirrendavariávelconsolidadodez[[#This Row],[28]]</f>
        <v>0</v>
      </c>
      <c r="AH142" s="20">
        <f>SUM(AH132:AH141)+investirrendavariávelconsolidadodez[[#This Row],[29]]</f>
        <v>0</v>
      </c>
      <c r="AI142" s="19">
        <f>SUM(AI132:AI141)+investirrendavariávelconsolidadodez[[#This Row],[30]]</f>
        <v>0</v>
      </c>
      <c r="AJ142" s="18">
        <f>investirrendavariávelconsolidadodez[[#This Row],[31]]</f>
        <v>0</v>
      </c>
      <c r="AK142" s="17"/>
    </row>
    <row r="143" spans="2:37" ht="6.75" customHeight="1" thickTop="1" thickBot="1" x14ac:dyDescent="0.3">
      <c r="B143" s="15"/>
      <c r="C143" s="14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  <c r="AE143" s="13"/>
      <c r="AF143" s="13"/>
      <c r="AG143" s="13"/>
      <c r="AH143" s="13"/>
      <c r="AI143" s="12"/>
      <c r="AJ143" s="11"/>
      <c r="AK143" s="10"/>
    </row>
    <row r="144" spans="2:37" ht="12.6" thickTop="1" x14ac:dyDescent="0.25">
      <c r="E144" s="37"/>
      <c r="AI144" s="4"/>
    </row>
    <row r="145" spans="2:37" x14ac:dyDescent="0.25">
      <c r="AI145" s="4"/>
    </row>
    <row r="146" spans="2:37" x14ac:dyDescent="0.25">
      <c r="AI146" s="4"/>
    </row>
    <row r="147" spans="2:37" ht="39.75" customHeight="1" x14ac:dyDescent="0.7">
      <c r="C147" s="36"/>
      <c r="E147" s="240"/>
      <c r="F147" s="240"/>
      <c r="G147" s="240"/>
      <c r="H147" s="240"/>
      <c r="I147" s="240"/>
      <c r="J147" s="240"/>
      <c r="K147" s="240"/>
      <c r="L147" s="240"/>
      <c r="M147" s="240"/>
      <c r="N147" s="240"/>
      <c r="O147" s="240"/>
      <c r="P147" s="240"/>
      <c r="Q147" s="240"/>
      <c r="R147" s="240"/>
      <c r="S147" s="240"/>
      <c r="T147" s="240"/>
      <c r="U147" s="240"/>
      <c r="V147" s="240"/>
      <c r="W147" s="240"/>
      <c r="X147" s="240"/>
      <c r="Y147" s="240"/>
      <c r="Z147" s="240"/>
      <c r="AA147" s="240"/>
      <c r="AB147" s="240"/>
      <c r="AC147" s="240"/>
      <c r="AD147" s="240"/>
      <c r="AE147" s="240"/>
      <c r="AF147" s="240"/>
      <c r="AG147" s="240"/>
      <c r="AH147" s="240"/>
      <c r="AI147" s="240"/>
      <c r="AJ147" s="32" t="s">
        <v>19</v>
      </c>
    </row>
    <row r="148" spans="2:37" ht="12.6" thickBot="1" x14ac:dyDescent="0.3">
      <c r="B148" s="35"/>
      <c r="AI148" s="4"/>
      <c r="AJ148" s="34" t="s">
        <v>202</v>
      </c>
    </row>
    <row r="149" spans="2:37" ht="6.75" customHeight="1" thickTop="1" thickBot="1" x14ac:dyDescent="0.3">
      <c r="B149" s="2"/>
      <c r="C149" s="14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F149" s="13"/>
      <c r="AG149" s="13"/>
      <c r="AH149" s="13"/>
      <c r="AI149" s="13"/>
      <c r="AJ149" s="12"/>
      <c r="AK149" s="33"/>
    </row>
    <row r="150" spans="2:37" ht="13.2" hidden="1" thickTop="1" thickBot="1" x14ac:dyDescent="0.3">
      <c r="B150" s="2"/>
      <c r="C150" s="31" t="s">
        <v>199</v>
      </c>
      <c r="D150" s="30" t="s">
        <v>198</v>
      </c>
      <c r="E150" s="30" t="s">
        <v>197</v>
      </c>
      <c r="F150" s="30" t="s">
        <v>196</v>
      </c>
      <c r="G150" s="30" t="s">
        <v>195</v>
      </c>
      <c r="H150" s="30" t="s">
        <v>194</v>
      </c>
      <c r="I150" s="30" t="s">
        <v>193</v>
      </c>
      <c r="J150" s="30" t="s">
        <v>192</v>
      </c>
      <c r="K150" s="30" t="s">
        <v>191</v>
      </c>
      <c r="L150" s="30" t="s">
        <v>190</v>
      </c>
      <c r="M150" s="30" t="s">
        <v>189</v>
      </c>
      <c r="N150" s="30" t="s">
        <v>188</v>
      </c>
      <c r="O150" s="30" t="s">
        <v>187</v>
      </c>
      <c r="P150" s="30" t="s">
        <v>186</v>
      </c>
      <c r="Q150" s="30" t="s">
        <v>185</v>
      </c>
      <c r="R150" s="30" t="s">
        <v>184</v>
      </c>
      <c r="S150" s="30" t="s">
        <v>183</v>
      </c>
      <c r="T150" s="30" t="s">
        <v>182</v>
      </c>
      <c r="U150" s="30" t="s">
        <v>181</v>
      </c>
      <c r="V150" s="30" t="s">
        <v>180</v>
      </c>
      <c r="W150" s="30" t="s">
        <v>179</v>
      </c>
      <c r="X150" s="30" t="s">
        <v>178</v>
      </c>
      <c r="Y150" s="30" t="s">
        <v>177</v>
      </c>
      <c r="Z150" s="30" t="s">
        <v>176</v>
      </c>
      <c r="AA150" s="30" t="s">
        <v>175</v>
      </c>
      <c r="AB150" s="30" t="s">
        <v>174</v>
      </c>
      <c r="AC150" s="30" t="s">
        <v>173</v>
      </c>
      <c r="AD150" s="30" t="s">
        <v>172</v>
      </c>
      <c r="AE150" s="30" t="s">
        <v>171</v>
      </c>
      <c r="AF150" s="30" t="s">
        <v>170</v>
      </c>
      <c r="AG150" s="30" t="s">
        <v>169</v>
      </c>
      <c r="AH150" s="30" t="s">
        <v>168</v>
      </c>
      <c r="AI150" s="30" t="s">
        <v>167</v>
      </c>
      <c r="AJ150" s="29" t="s">
        <v>166</v>
      </c>
      <c r="AK150" s="2"/>
    </row>
    <row r="151" spans="2:37" ht="19.5" customHeight="1" thickTop="1" thickBot="1" x14ac:dyDescent="0.3">
      <c r="B151" s="28"/>
      <c r="C151" s="27" t="str">
        <f>DADOS!$AH$3</f>
        <v>📝 COE</v>
      </c>
      <c r="D151" s="26" t="str">
        <f>IF(investiroutrosconsolidadodez[[#This Row],[TOTAL (R$)]]=0,"",IF(OR(investiroutrosconsolidadodez[[#This Row],[TOTAL (R$)]]=LARGE($AJ$151:$AJ$158,1),investiroutrosconsolidadodez[[#This Row],[TOTAL (R$)]]=LARGE($AJ$151:$AJ$158,2)),DADOS!$I$10,""))</f>
        <v/>
      </c>
      <c r="E151" s="96">
        <f>SUMIFS(tabela_registros[VALOR],tabela_registros[MÊS],$AE$1,tabela_registros[DIA],investiroutrosconsolidadodez[[#Headers],[1]],tabela_registros[REGISTRO],DADOS!$N$5,tabela_registros[TIPO],DADOS!$AB$5,tabela_registros[CATEGORIA],investiroutrosconsolidadodez[[#This Row],[ATUAL]])</f>
        <v>0</v>
      </c>
      <c r="F151" s="91">
        <f>SUMIFS(tabela_registros[VALOR],tabela_registros[MÊS],$AE$1,tabela_registros[DIA],investiroutrosconsolidadodez[[#Headers],[2]],tabela_registros[REGISTRO],DADOS!$N$5,tabela_registros[TIPO],DADOS!$AB$5,tabela_registros[CATEGORIA],investiroutrosconsolidadodez[[#This Row],[ATUAL]])</f>
        <v>0</v>
      </c>
      <c r="G151" s="91">
        <f>SUMIFS(tabela_registros[VALOR],tabela_registros[MÊS],$AE$1,tabela_registros[DIA],investiroutrosconsolidadodez[[#Headers],[3]],tabela_registros[REGISTRO],DADOS!$N$5,tabela_registros[TIPO],DADOS!$AB$5,tabela_registros[CATEGORIA],investiroutrosconsolidadodez[[#This Row],[ATUAL]])</f>
        <v>0</v>
      </c>
      <c r="H151" s="91">
        <f>SUMIFS(tabela_registros[VALOR],tabela_registros[MÊS],$AE$1,tabela_registros[DIA],investiroutrosconsolidadodez[[#Headers],[4]],tabela_registros[REGISTRO],DADOS!$N$5,tabela_registros[TIPO],DADOS!$AB$5,tabela_registros[CATEGORIA],investiroutrosconsolidadodez[[#This Row],[ATUAL]])</f>
        <v>0</v>
      </c>
      <c r="I151" s="91">
        <f>SUMIFS(tabela_registros[VALOR],tabela_registros[MÊS],$AE$1,tabela_registros[DIA],investiroutrosconsolidadodez[[#Headers],[5]],tabela_registros[REGISTRO],DADOS!$N$5,tabela_registros[TIPO],DADOS!$AB$5,tabela_registros[CATEGORIA],investiroutrosconsolidadodez[[#This Row],[ATUAL]])</f>
        <v>0</v>
      </c>
      <c r="J151" s="91">
        <f>SUMIFS(tabela_registros[VALOR],tabela_registros[MÊS],$AE$1,tabela_registros[DIA],investiroutrosconsolidadodez[[#Headers],[6]],tabela_registros[REGISTRO],DADOS!$N$5,tabela_registros[TIPO],DADOS!$AB$5,tabela_registros[CATEGORIA],investiroutrosconsolidadodez[[#This Row],[ATUAL]])</f>
        <v>0</v>
      </c>
      <c r="K151" s="91">
        <f>SUMIFS(tabela_registros[VALOR],tabela_registros[MÊS],$AE$1,tabela_registros[DIA],investiroutrosconsolidadodez[[#Headers],[7]],tabela_registros[REGISTRO],DADOS!$N$5,tabela_registros[TIPO],DADOS!$AB$5,tabela_registros[CATEGORIA],investiroutrosconsolidadodez[[#This Row],[ATUAL]])</f>
        <v>0</v>
      </c>
      <c r="L151" s="91">
        <f>SUMIFS(tabela_registros[VALOR],tabela_registros[MÊS],$AE$1,tabela_registros[DIA],investiroutrosconsolidadodez[[#Headers],[8]],tabela_registros[REGISTRO],DADOS!$N$5,tabela_registros[TIPO],DADOS!$AB$5,tabela_registros[CATEGORIA],investiroutrosconsolidadodez[[#This Row],[ATUAL]])</f>
        <v>0</v>
      </c>
      <c r="M151" s="91">
        <f>SUMIFS(tabela_registros[VALOR],tabela_registros[MÊS],$AE$1,tabela_registros[DIA],investiroutrosconsolidadodez[[#Headers],[9]],tabela_registros[REGISTRO],DADOS!$N$5,tabela_registros[TIPO],DADOS!$AB$5,tabela_registros[CATEGORIA],investiroutrosconsolidadodez[[#This Row],[ATUAL]])</f>
        <v>0</v>
      </c>
      <c r="N151" s="91">
        <f>SUMIFS(tabela_registros[VALOR],tabela_registros[MÊS],$AE$1,tabela_registros[DIA],investiroutrosconsolidadodez[[#Headers],[10]],tabela_registros[REGISTRO],DADOS!$N$5,tabela_registros[TIPO],DADOS!$AB$5,tabela_registros[CATEGORIA],investiroutrosconsolidadodez[[#This Row],[ATUAL]])</f>
        <v>0</v>
      </c>
      <c r="O151" s="91">
        <f>SUMIFS(tabela_registros[VALOR],tabela_registros[MÊS],$AE$1,tabela_registros[DIA],investiroutrosconsolidadodez[[#Headers],[11]],tabela_registros[REGISTRO],DADOS!$N$5,tabela_registros[TIPO],DADOS!$AB$5,tabela_registros[CATEGORIA],investiroutrosconsolidadodez[[#This Row],[ATUAL]])</f>
        <v>0</v>
      </c>
      <c r="P151" s="91">
        <f>SUMIFS(tabela_registros[VALOR],tabela_registros[MÊS],$AE$1,tabela_registros[DIA],investiroutrosconsolidadodez[[#Headers],[12]],tabela_registros[REGISTRO],DADOS!$N$5,tabela_registros[TIPO],DADOS!$AB$5,tabela_registros[CATEGORIA],investiroutrosconsolidadodez[[#This Row],[ATUAL]])</f>
        <v>0</v>
      </c>
      <c r="Q151" s="91">
        <f>SUMIFS(tabela_registros[VALOR],tabela_registros[MÊS],$AE$1,tabela_registros[DIA],investiroutrosconsolidadodez[[#Headers],[13]],tabela_registros[REGISTRO],DADOS!$N$5,tabela_registros[TIPO],DADOS!$AB$5,tabela_registros[CATEGORIA],investiroutrosconsolidadodez[[#This Row],[ATUAL]])</f>
        <v>0</v>
      </c>
      <c r="R151" s="91">
        <f>SUMIFS(tabela_registros[VALOR],tabela_registros[MÊS],$AE$1,tabela_registros[DIA],investiroutrosconsolidadodez[[#Headers],[14]],tabela_registros[REGISTRO],DADOS!$N$5,tabela_registros[TIPO],DADOS!$AB$5,tabela_registros[CATEGORIA],investiroutrosconsolidadodez[[#This Row],[ATUAL]])</f>
        <v>0</v>
      </c>
      <c r="S151" s="91">
        <f>SUMIFS(tabela_registros[VALOR],tabela_registros[MÊS],$AE$1,tabela_registros[DIA],investiroutrosconsolidadodez[[#Headers],[15]],tabela_registros[REGISTRO],DADOS!$N$5,tabela_registros[TIPO],DADOS!$AB$5,tabela_registros[CATEGORIA],investiroutrosconsolidadodez[[#This Row],[ATUAL]])</f>
        <v>0</v>
      </c>
      <c r="T151" s="91">
        <f>SUMIFS(tabela_registros[VALOR],tabela_registros[MÊS],$AE$1,tabela_registros[DIA],investiroutrosconsolidadodez[[#Headers],[16]],tabela_registros[REGISTRO],DADOS!$N$5,tabela_registros[TIPO],DADOS!$AB$5,tabela_registros[CATEGORIA],investiroutrosconsolidadodez[[#This Row],[ATUAL]])</f>
        <v>0</v>
      </c>
      <c r="U151" s="91">
        <f>SUMIFS(tabela_registros[VALOR],tabela_registros[MÊS],$AE$1,tabela_registros[DIA],investiroutrosconsolidadodez[[#Headers],[17]],tabela_registros[REGISTRO],DADOS!$N$5,tabela_registros[TIPO],DADOS!$AB$5,tabela_registros[CATEGORIA],investiroutrosconsolidadodez[[#This Row],[ATUAL]])</f>
        <v>0</v>
      </c>
      <c r="V151" s="91">
        <f>SUMIFS(tabela_registros[VALOR],tabela_registros[MÊS],$AE$1,tabela_registros[DIA],investiroutrosconsolidadodez[[#Headers],[18]],tabela_registros[REGISTRO],DADOS!$N$5,tabela_registros[TIPO],DADOS!$AB$5,tabela_registros[CATEGORIA],investiroutrosconsolidadodez[[#This Row],[ATUAL]])</f>
        <v>0</v>
      </c>
      <c r="W151" s="91">
        <f>SUMIFS(tabela_registros[VALOR],tabela_registros[MÊS],$AE$1,tabela_registros[DIA],investiroutrosconsolidadodez[[#Headers],[19]],tabela_registros[REGISTRO],DADOS!$N$5,tabela_registros[TIPO],DADOS!$AB$5,tabela_registros[CATEGORIA],investiroutrosconsolidadodez[[#This Row],[ATUAL]])</f>
        <v>0</v>
      </c>
      <c r="X151" s="91">
        <f>SUMIFS(tabela_registros[VALOR],tabela_registros[MÊS],$AE$1,tabela_registros[DIA],investiroutrosconsolidadodez[[#Headers],[20]],tabela_registros[REGISTRO],DADOS!$N$5,tabela_registros[TIPO],DADOS!$AB$5,tabela_registros[CATEGORIA],investiroutrosconsolidadodez[[#This Row],[ATUAL]])</f>
        <v>0</v>
      </c>
      <c r="Y151" s="91">
        <f>SUMIFS(tabela_registros[VALOR],tabela_registros[MÊS],$AE$1,tabela_registros[DIA],investiroutrosconsolidadodez[[#Headers],[21]],tabela_registros[REGISTRO],DADOS!$N$5,tabela_registros[TIPO],DADOS!$AB$5,tabela_registros[CATEGORIA],investiroutrosconsolidadodez[[#This Row],[ATUAL]])</f>
        <v>0</v>
      </c>
      <c r="Z151" s="91">
        <f>SUMIFS(tabela_registros[VALOR],tabela_registros[MÊS],$AE$1,tabela_registros[DIA],investiroutrosconsolidadodez[[#Headers],[22]],tabela_registros[REGISTRO],DADOS!$N$5,tabela_registros[TIPO],DADOS!$AB$5,tabela_registros[CATEGORIA],investiroutrosconsolidadodez[[#This Row],[ATUAL]])</f>
        <v>0</v>
      </c>
      <c r="AA151" s="91">
        <f>SUMIFS(tabela_registros[VALOR],tabela_registros[MÊS],$AE$1,tabela_registros[DIA],investiroutrosconsolidadodez[[#Headers],[23]],tabela_registros[REGISTRO],DADOS!$N$5,tabela_registros[TIPO],DADOS!$AB$5,tabela_registros[CATEGORIA],investiroutrosconsolidadodez[[#This Row],[ATUAL]])</f>
        <v>0</v>
      </c>
      <c r="AB151" s="91">
        <f>SUMIFS(tabela_registros[VALOR],tabela_registros[MÊS],$AE$1,tabela_registros[DIA],investiroutrosconsolidadodez[[#Headers],[24]],tabela_registros[REGISTRO],DADOS!$N$5,tabela_registros[TIPO],DADOS!$AB$5,tabela_registros[CATEGORIA],investiroutrosconsolidadodez[[#This Row],[ATUAL]])</f>
        <v>0</v>
      </c>
      <c r="AC151" s="91">
        <f>SUMIFS(tabela_registros[VALOR],tabela_registros[MÊS],$AE$1,tabela_registros[DIA],investiroutrosconsolidadodez[[#Headers],[25]],tabela_registros[REGISTRO],DADOS!$N$5,tabela_registros[TIPO],DADOS!$AB$5,tabela_registros[CATEGORIA],investiroutrosconsolidadodez[[#This Row],[ATUAL]])</f>
        <v>0</v>
      </c>
      <c r="AD151" s="91">
        <f>SUMIFS(tabela_registros[VALOR],tabela_registros[MÊS],$AE$1,tabela_registros[DIA],investiroutrosconsolidadodez[[#Headers],[26]],tabela_registros[REGISTRO],DADOS!$N$5,tabela_registros[TIPO],DADOS!$AB$5,tabela_registros[CATEGORIA],investiroutrosconsolidadodez[[#This Row],[ATUAL]])</f>
        <v>0</v>
      </c>
      <c r="AE151" s="91">
        <f>SUMIFS(tabela_registros[VALOR],tabela_registros[MÊS],$AE$1,tabela_registros[DIA],investiroutrosconsolidadodez[[#Headers],[27]],tabela_registros[REGISTRO],DADOS!$N$5,tabela_registros[TIPO],DADOS!$AB$5,tabela_registros[CATEGORIA],investiroutrosconsolidadodez[[#This Row],[ATUAL]])</f>
        <v>0</v>
      </c>
      <c r="AF151" s="91">
        <f>SUMIFS(tabela_registros[VALOR],tabela_registros[MÊS],$AE$1,tabela_registros[DIA],investiroutrosconsolidadodez[[#Headers],[28]],tabela_registros[REGISTRO],DADOS!$N$5,tabela_registros[TIPO],DADOS!$AB$5,tabela_registros[CATEGORIA],investiroutrosconsolidadodez[[#This Row],[ATUAL]])</f>
        <v>0</v>
      </c>
      <c r="AG151" s="91">
        <f>SUMIFS(tabela_registros[VALOR],tabela_registros[MÊS],$AE$1,tabela_registros[DIA],investiroutrosconsolidadodez[[#Headers],[29]],tabela_registros[REGISTRO],DADOS!$N$5,tabela_registros[TIPO],DADOS!$AB$5,tabela_registros[CATEGORIA],investiroutrosconsolidadodez[[#This Row],[ATUAL]])</f>
        <v>0</v>
      </c>
      <c r="AH151" s="91">
        <f>SUMIFS(tabela_registros[VALOR],tabela_registros[MÊS],$AE$1,tabela_registros[DIA],investiroutrosconsolidadodez[[#Headers],[30]],tabela_registros[REGISTRO],DADOS!$N$5,tabela_registros[TIPO],DADOS!$AB$5,tabela_registros[CATEGORIA],investiroutrosconsolidadodez[[#This Row],[ATUAL]])</f>
        <v>0</v>
      </c>
      <c r="AI151" s="101">
        <f>SUMIFS(tabela_registros[VALOR],tabela_registros[MÊS],$AE$1,tabela_registros[DIA],investiroutrosconsolidadodez[[#Headers],[31]],tabela_registros[REGISTRO],DADOS!$N$5,tabela_registros[TIPO],DADOS!$AB$5,tabela_registros[CATEGORIA],investiroutrosconsolidadodez[[#This Row],[ATUAL]])</f>
        <v>0</v>
      </c>
      <c r="AJ151" s="97">
        <f>SUM(investiroutrosconsolidadodez[[#This Row],[1]:[31]])</f>
        <v>0</v>
      </c>
      <c r="AK151" s="25"/>
    </row>
    <row r="152" spans="2:37" ht="19.5" customHeight="1" thickTop="1" thickBot="1" x14ac:dyDescent="0.3">
      <c r="B152" s="28"/>
      <c r="C152" s="27" t="str">
        <f>DADOS!$AH$4</f>
        <v>📝 FOREX</v>
      </c>
      <c r="D152" s="26" t="str">
        <f>IF(investiroutrosconsolidadodez[[#This Row],[TOTAL (R$)]]=0,"",IF(OR(investiroutrosconsolidadodez[[#This Row],[TOTAL (R$)]]=LARGE($AJ$151:$AJ$158,1),investiroutrosconsolidadodez[[#This Row],[TOTAL (R$)]]=LARGE($AJ$151:$AJ$158,2)),DADOS!$I$10,""))</f>
        <v/>
      </c>
      <c r="E152" s="96">
        <f>SUMIFS(tabela_registros[VALOR],tabela_registros[MÊS],$AE$1,tabela_registros[DIA],investiroutrosconsolidadodez[[#Headers],[1]],tabela_registros[REGISTRO],DADOS!$N$5,tabela_registros[TIPO],DADOS!$AB$5,tabela_registros[CATEGORIA],investiroutrosconsolidadodez[[#This Row],[ATUAL]])</f>
        <v>0</v>
      </c>
      <c r="F152" s="91">
        <f>SUMIFS(tabela_registros[VALOR],tabela_registros[MÊS],$AE$1,tabela_registros[DIA],investiroutrosconsolidadodez[[#Headers],[2]],tabela_registros[REGISTRO],DADOS!$N$5,tabela_registros[TIPO],DADOS!$AB$5,tabela_registros[CATEGORIA],investiroutrosconsolidadodez[[#This Row],[ATUAL]])</f>
        <v>0</v>
      </c>
      <c r="G152" s="91">
        <f>SUMIFS(tabela_registros[VALOR],tabela_registros[MÊS],$AE$1,tabela_registros[DIA],investiroutrosconsolidadodez[[#Headers],[3]],tabela_registros[REGISTRO],DADOS!$N$5,tabela_registros[TIPO],DADOS!$AB$5,tabela_registros[CATEGORIA],investiroutrosconsolidadodez[[#This Row],[ATUAL]])</f>
        <v>0</v>
      </c>
      <c r="H152" s="91">
        <f>SUMIFS(tabela_registros[VALOR],tabela_registros[MÊS],$AE$1,tabela_registros[DIA],investiroutrosconsolidadodez[[#Headers],[4]],tabela_registros[REGISTRO],DADOS!$N$5,tabela_registros[TIPO],DADOS!$AB$5,tabela_registros[CATEGORIA],investiroutrosconsolidadodez[[#This Row],[ATUAL]])</f>
        <v>0</v>
      </c>
      <c r="I152" s="91">
        <f>SUMIFS(tabela_registros[VALOR],tabela_registros[MÊS],$AE$1,tabela_registros[DIA],investiroutrosconsolidadodez[[#Headers],[5]],tabela_registros[REGISTRO],DADOS!$N$5,tabela_registros[TIPO],DADOS!$AB$5,tabela_registros[CATEGORIA],investiroutrosconsolidadodez[[#This Row],[ATUAL]])</f>
        <v>0</v>
      </c>
      <c r="J152" s="91">
        <f>SUMIFS(tabela_registros[VALOR],tabela_registros[MÊS],$AE$1,tabela_registros[DIA],investiroutrosconsolidadodez[[#Headers],[6]],tabela_registros[REGISTRO],DADOS!$N$5,tabela_registros[TIPO],DADOS!$AB$5,tabela_registros[CATEGORIA],investiroutrosconsolidadodez[[#This Row],[ATUAL]])</f>
        <v>0</v>
      </c>
      <c r="K152" s="91">
        <f>SUMIFS(tabela_registros[VALOR],tabela_registros[MÊS],$AE$1,tabela_registros[DIA],investiroutrosconsolidadodez[[#Headers],[7]],tabela_registros[REGISTRO],DADOS!$N$5,tabela_registros[TIPO],DADOS!$AB$5,tabela_registros[CATEGORIA],investiroutrosconsolidadodez[[#This Row],[ATUAL]])</f>
        <v>0</v>
      </c>
      <c r="L152" s="91">
        <f>SUMIFS(tabela_registros[VALOR],tabela_registros[MÊS],$AE$1,tabela_registros[DIA],investiroutrosconsolidadodez[[#Headers],[8]],tabela_registros[REGISTRO],DADOS!$N$5,tabela_registros[TIPO],DADOS!$AB$5,tabela_registros[CATEGORIA],investiroutrosconsolidadodez[[#This Row],[ATUAL]])</f>
        <v>0</v>
      </c>
      <c r="M152" s="91">
        <f>SUMIFS(tabela_registros[VALOR],tabela_registros[MÊS],$AE$1,tabela_registros[DIA],investiroutrosconsolidadodez[[#Headers],[9]],tabela_registros[REGISTRO],DADOS!$N$5,tabela_registros[TIPO],DADOS!$AB$5,tabela_registros[CATEGORIA],investiroutrosconsolidadodez[[#This Row],[ATUAL]])</f>
        <v>0</v>
      </c>
      <c r="N152" s="91">
        <f>SUMIFS(tabela_registros[VALOR],tabela_registros[MÊS],$AE$1,tabela_registros[DIA],investiroutrosconsolidadodez[[#Headers],[10]],tabela_registros[REGISTRO],DADOS!$N$5,tabela_registros[TIPO],DADOS!$AB$5,tabela_registros[CATEGORIA],investiroutrosconsolidadodez[[#This Row],[ATUAL]])</f>
        <v>0</v>
      </c>
      <c r="O152" s="91">
        <f>SUMIFS(tabela_registros[VALOR],tabela_registros[MÊS],$AE$1,tabela_registros[DIA],investiroutrosconsolidadodez[[#Headers],[11]],tabela_registros[REGISTRO],DADOS!$N$5,tabela_registros[TIPO],DADOS!$AB$5,tabela_registros[CATEGORIA],investiroutrosconsolidadodez[[#This Row],[ATUAL]])</f>
        <v>0</v>
      </c>
      <c r="P152" s="91">
        <f>SUMIFS(tabela_registros[VALOR],tabela_registros[MÊS],$AE$1,tabela_registros[DIA],investiroutrosconsolidadodez[[#Headers],[12]],tabela_registros[REGISTRO],DADOS!$N$5,tabela_registros[TIPO],DADOS!$AB$5,tabela_registros[CATEGORIA],investiroutrosconsolidadodez[[#This Row],[ATUAL]])</f>
        <v>0</v>
      </c>
      <c r="Q152" s="91">
        <f>SUMIFS(tabela_registros[VALOR],tabela_registros[MÊS],$AE$1,tabela_registros[DIA],investiroutrosconsolidadodez[[#Headers],[13]],tabela_registros[REGISTRO],DADOS!$N$5,tabela_registros[TIPO],DADOS!$AB$5,tabela_registros[CATEGORIA],investiroutrosconsolidadodez[[#This Row],[ATUAL]])</f>
        <v>0</v>
      </c>
      <c r="R152" s="91">
        <f>SUMIFS(tabela_registros[VALOR],tabela_registros[MÊS],$AE$1,tabela_registros[DIA],investiroutrosconsolidadodez[[#Headers],[14]],tabela_registros[REGISTRO],DADOS!$N$5,tabela_registros[TIPO],DADOS!$AB$5,tabela_registros[CATEGORIA],investiroutrosconsolidadodez[[#This Row],[ATUAL]])</f>
        <v>0</v>
      </c>
      <c r="S152" s="91">
        <f>SUMIFS(tabela_registros[VALOR],tabela_registros[MÊS],$AE$1,tabela_registros[DIA],investiroutrosconsolidadodez[[#Headers],[15]],tabela_registros[REGISTRO],DADOS!$N$5,tabela_registros[TIPO],DADOS!$AB$5,tabela_registros[CATEGORIA],investiroutrosconsolidadodez[[#This Row],[ATUAL]])</f>
        <v>0</v>
      </c>
      <c r="T152" s="91">
        <f>SUMIFS(tabela_registros[VALOR],tabela_registros[MÊS],$AE$1,tabela_registros[DIA],investiroutrosconsolidadodez[[#Headers],[16]],tabela_registros[REGISTRO],DADOS!$N$5,tabela_registros[TIPO],DADOS!$AB$5,tabela_registros[CATEGORIA],investiroutrosconsolidadodez[[#This Row],[ATUAL]])</f>
        <v>0</v>
      </c>
      <c r="U152" s="91">
        <f>SUMIFS(tabela_registros[VALOR],tabela_registros[MÊS],$AE$1,tabela_registros[DIA],investiroutrosconsolidadodez[[#Headers],[17]],tabela_registros[REGISTRO],DADOS!$N$5,tabela_registros[TIPO],DADOS!$AB$5,tabela_registros[CATEGORIA],investiroutrosconsolidadodez[[#This Row],[ATUAL]])</f>
        <v>0</v>
      </c>
      <c r="V152" s="91">
        <f>SUMIFS(tabela_registros[VALOR],tabela_registros[MÊS],$AE$1,tabela_registros[DIA],investiroutrosconsolidadodez[[#Headers],[18]],tabela_registros[REGISTRO],DADOS!$N$5,tabela_registros[TIPO],DADOS!$AB$5,tabela_registros[CATEGORIA],investiroutrosconsolidadodez[[#This Row],[ATUAL]])</f>
        <v>0</v>
      </c>
      <c r="W152" s="91">
        <f>SUMIFS(tabela_registros[VALOR],tabela_registros[MÊS],$AE$1,tabela_registros[DIA],investiroutrosconsolidadodez[[#Headers],[19]],tabela_registros[REGISTRO],DADOS!$N$5,tabela_registros[TIPO],DADOS!$AB$5,tabela_registros[CATEGORIA],investiroutrosconsolidadodez[[#This Row],[ATUAL]])</f>
        <v>0</v>
      </c>
      <c r="X152" s="91">
        <f>SUMIFS(tabela_registros[VALOR],tabela_registros[MÊS],$AE$1,tabela_registros[DIA],investiroutrosconsolidadodez[[#Headers],[20]],tabela_registros[REGISTRO],DADOS!$N$5,tabela_registros[TIPO],DADOS!$AB$5,tabela_registros[CATEGORIA],investiroutrosconsolidadodez[[#This Row],[ATUAL]])</f>
        <v>0</v>
      </c>
      <c r="Y152" s="91">
        <f>SUMIFS(tabela_registros[VALOR],tabela_registros[MÊS],$AE$1,tabela_registros[DIA],investiroutrosconsolidadodez[[#Headers],[21]],tabela_registros[REGISTRO],DADOS!$N$5,tabela_registros[TIPO],DADOS!$AB$5,tabela_registros[CATEGORIA],investiroutrosconsolidadodez[[#This Row],[ATUAL]])</f>
        <v>0</v>
      </c>
      <c r="Z152" s="91">
        <f>SUMIFS(tabela_registros[VALOR],tabela_registros[MÊS],$AE$1,tabela_registros[DIA],investiroutrosconsolidadodez[[#Headers],[22]],tabela_registros[REGISTRO],DADOS!$N$5,tabela_registros[TIPO],DADOS!$AB$5,tabela_registros[CATEGORIA],investiroutrosconsolidadodez[[#This Row],[ATUAL]])</f>
        <v>0</v>
      </c>
      <c r="AA152" s="91">
        <f>SUMIFS(tabela_registros[VALOR],tabela_registros[MÊS],$AE$1,tabela_registros[DIA],investiroutrosconsolidadodez[[#Headers],[23]],tabela_registros[REGISTRO],DADOS!$N$5,tabela_registros[TIPO],DADOS!$AB$5,tabela_registros[CATEGORIA],investiroutrosconsolidadodez[[#This Row],[ATUAL]])</f>
        <v>0</v>
      </c>
      <c r="AB152" s="91">
        <f>SUMIFS(tabela_registros[VALOR],tabela_registros[MÊS],$AE$1,tabela_registros[DIA],investiroutrosconsolidadodez[[#Headers],[24]],tabela_registros[REGISTRO],DADOS!$N$5,tabela_registros[TIPO],DADOS!$AB$5,tabela_registros[CATEGORIA],investiroutrosconsolidadodez[[#This Row],[ATUAL]])</f>
        <v>0</v>
      </c>
      <c r="AC152" s="91">
        <f>SUMIFS(tabela_registros[VALOR],tabela_registros[MÊS],$AE$1,tabela_registros[DIA],investiroutrosconsolidadodez[[#Headers],[25]],tabela_registros[REGISTRO],DADOS!$N$5,tabela_registros[TIPO],DADOS!$AB$5,tabela_registros[CATEGORIA],investiroutrosconsolidadodez[[#This Row],[ATUAL]])</f>
        <v>0</v>
      </c>
      <c r="AD152" s="91">
        <f>SUMIFS(tabela_registros[VALOR],tabela_registros[MÊS],$AE$1,tabela_registros[DIA],investiroutrosconsolidadodez[[#Headers],[26]],tabela_registros[REGISTRO],DADOS!$N$5,tabela_registros[TIPO],DADOS!$AB$5,tabela_registros[CATEGORIA],investiroutrosconsolidadodez[[#This Row],[ATUAL]])</f>
        <v>0</v>
      </c>
      <c r="AE152" s="91">
        <f>SUMIFS(tabela_registros[VALOR],tabela_registros[MÊS],$AE$1,tabela_registros[DIA],investiroutrosconsolidadodez[[#Headers],[27]],tabela_registros[REGISTRO],DADOS!$N$5,tabela_registros[TIPO],DADOS!$AB$5,tabela_registros[CATEGORIA],investiroutrosconsolidadodez[[#This Row],[ATUAL]])</f>
        <v>0</v>
      </c>
      <c r="AF152" s="91">
        <f>SUMIFS(tabela_registros[VALOR],tabela_registros[MÊS],$AE$1,tabela_registros[DIA],investiroutrosconsolidadodez[[#Headers],[28]],tabela_registros[REGISTRO],DADOS!$N$5,tabela_registros[TIPO],DADOS!$AB$5,tabela_registros[CATEGORIA],investiroutrosconsolidadodez[[#This Row],[ATUAL]])</f>
        <v>0</v>
      </c>
      <c r="AG152" s="91">
        <f>SUMIFS(tabela_registros[VALOR],tabela_registros[MÊS],$AE$1,tabela_registros[DIA],investiroutrosconsolidadodez[[#Headers],[29]],tabela_registros[REGISTRO],DADOS!$N$5,tabela_registros[TIPO],DADOS!$AB$5,tabela_registros[CATEGORIA],investiroutrosconsolidadodez[[#This Row],[ATUAL]])</f>
        <v>0</v>
      </c>
      <c r="AH152" s="91">
        <f>SUMIFS(tabela_registros[VALOR],tabela_registros[MÊS],$AE$1,tabela_registros[DIA],investiroutrosconsolidadodez[[#Headers],[30]],tabela_registros[REGISTRO],DADOS!$N$5,tabela_registros[TIPO],DADOS!$AB$5,tabela_registros[CATEGORIA],investiroutrosconsolidadodez[[#This Row],[ATUAL]])</f>
        <v>0</v>
      </c>
      <c r="AI152" s="101">
        <f>SUMIFS(tabela_registros[VALOR],tabela_registros[MÊS],$AE$1,tabela_registros[DIA],investiroutrosconsolidadodez[[#Headers],[31]],tabela_registros[REGISTRO],DADOS!$N$5,tabela_registros[TIPO],DADOS!$AB$5,tabela_registros[CATEGORIA],investiroutrosconsolidadodez[[#This Row],[ATUAL]])</f>
        <v>0</v>
      </c>
      <c r="AJ152" s="97">
        <f>SUM(investiroutrosconsolidadodez[[#This Row],[1]:[31]])</f>
        <v>0</v>
      </c>
      <c r="AK152" s="25"/>
    </row>
    <row r="153" spans="2:37" ht="19.5" customHeight="1" thickTop="1" thickBot="1" x14ac:dyDescent="0.3">
      <c r="B153" s="28"/>
      <c r="C153" s="27" t="str">
        <f>DADOS!$AH$5</f>
        <v>📝 FUNDO DE INVESTIMENTO</v>
      </c>
      <c r="D153" s="26" t="str">
        <f>IF(investiroutrosconsolidadodez[[#This Row],[TOTAL (R$)]]=0,"",IF(OR(investiroutrosconsolidadodez[[#This Row],[TOTAL (R$)]]=LARGE($AJ$151:$AJ$158,1),investiroutrosconsolidadodez[[#This Row],[TOTAL (R$)]]=LARGE($AJ$151:$AJ$158,2)),DADOS!$I$10,""))</f>
        <v/>
      </c>
      <c r="E153" s="96">
        <f>SUMIFS(tabela_registros[VALOR],tabela_registros[MÊS],$AE$1,tabela_registros[DIA],investiroutrosconsolidadodez[[#Headers],[1]],tabela_registros[REGISTRO],DADOS!$N$5,tabela_registros[TIPO],DADOS!$AB$5,tabela_registros[CATEGORIA],investiroutrosconsolidadodez[[#This Row],[ATUAL]])</f>
        <v>0</v>
      </c>
      <c r="F153" s="91">
        <f>SUMIFS(tabela_registros[VALOR],tabela_registros[MÊS],$AE$1,tabela_registros[DIA],investiroutrosconsolidadodez[[#Headers],[2]],tabela_registros[REGISTRO],DADOS!$N$5,tabela_registros[TIPO],DADOS!$AB$5,tabela_registros[CATEGORIA],investiroutrosconsolidadodez[[#This Row],[ATUAL]])</f>
        <v>0</v>
      </c>
      <c r="G153" s="91">
        <f>SUMIFS(tabela_registros[VALOR],tabela_registros[MÊS],$AE$1,tabela_registros[DIA],investiroutrosconsolidadodez[[#Headers],[3]],tabela_registros[REGISTRO],DADOS!$N$5,tabela_registros[TIPO],DADOS!$AB$5,tabela_registros[CATEGORIA],investiroutrosconsolidadodez[[#This Row],[ATUAL]])</f>
        <v>0</v>
      </c>
      <c r="H153" s="91">
        <f>SUMIFS(tabela_registros[VALOR],tabela_registros[MÊS],$AE$1,tabela_registros[DIA],investiroutrosconsolidadodez[[#Headers],[4]],tabela_registros[REGISTRO],DADOS!$N$5,tabela_registros[TIPO],DADOS!$AB$5,tabela_registros[CATEGORIA],investiroutrosconsolidadodez[[#This Row],[ATUAL]])</f>
        <v>0</v>
      </c>
      <c r="I153" s="91">
        <f>SUMIFS(tabela_registros[VALOR],tabela_registros[MÊS],$AE$1,tabela_registros[DIA],investiroutrosconsolidadodez[[#Headers],[5]],tabela_registros[REGISTRO],DADOS!$N$5,tabela_registros[TIPO],DADOS!$AB$5,tabela_registros[CATEGORIA],investiroutrosconsolidadodez[[#This Row],[ATUAL]])</f>
        <v>0</v>
      </c>
      <c r="J153" s="91">
        <f>SUMIFS(tabela_registros[VALOR],tabela_registros[MÊS],$AE$1,tabela_registros[DIA],investiroutrosconsolidadodez[[#Headers],[6]],tabela_registros[REGISTRO],DADOS!$N$5,tabela_registros[TIPO],DADOS!$AB$5,tabela_registros[CATEGORIA],investiroutrosconsolidadodez[[#This Row],[ATUAL]])</f>
        <v>0</v>
      </c>
      <c r="K153" s="91">
        <f>SUMIFS(tabela_registros[VALOR],tabela_registros[MÊS],$AE$1,tabela_registros[DIA],investiroutrosconsolidadodez[[#Headers],[7]],tabela_registros[REGISTRO],DADOS!$N$5,tabela_registros[TIPO],DADOS!$AB$5,tabela_registros[CATEGORIA],investiroutrosconsolidadodez[[#This Row],[ATUAL]])</f>
        <v>0</v>
      </c>
      <c r="L153" s="91">
        <f>SUMIFS(tabela_registros[VALOR],tabela_registros[MÊS],$AE$1,tabela_registros[DIA],investiroutrosconsolidadodez[[#Headers],[8]],tabela_registros[REGISTRO],DADOS!$N$5,tabela_registros[TIPO],DADOS!$AB$5,tabela_registros[CATEGORIA],investiroutrosconsolidadodez[[#This Row],[ATUAL]])</f>
        <v>0</v>
      </c>
      <c r="M153" s="91">
        <f>SUMIFS(tabela_registros[VALOR],tabela_registros[MÊS],$AE$1,tabela_registros[DIA],investiroutrosconsolidadodez[[#Headers],[9]],tabela_registros[REGISTRO],DADOS!$N$5,tabela_registros[TIPO],DADOS!$AB$5,tabela_registros[CATEGORIA],investiroutrosconsolidadodez[[#This Row],[ATUAL]])</f>
        <v>0</v>
      </c>
      <c r="N153" s="91">
        <f>SUMIFS(tabela_registros[VALOR],tabela_registros[MÊS],$AE$1,tabela_registros[DIA],investiroutrosconsolidadodez[[#Headers],[10]],tabela_registros[REGISTRO],DADOS!$N$5,tabela_registros[TIPO],DADOS!$AB$5,tabela_registros[CATEGORIA],investiroutrosconsolidadodez[[#This Row],[ATUAL]])</f>
        <v>0</v>
      </c>
      <c r="O153" s="91">
        <f>SUMIFS(tabela_registros[VALOR],tabela_registros[MÊS],$AE$1,tabela_registros[DIA],investiroutrosconsolidadodez[[#Headers],[11]],tabela_registros[REGISTRO],DADOS!$N$5,tabela_registros[TIPO],DADOS!$AB$5,tabela_registros[CATEGORIA],investiroutrosconsolidadodez[[#This Row],[ATUAL]])</f>
        <v>0</v>
      </c>
      <c r="P153" s="91">
        <f>SUMIFS(tabela_registros[VALOR],tabela_registros[MÊS],$AE$1,tabela_registros[DIA],investiroutrosconsolidadodez[[#Headers],[12]],tabela_registros[REGISTRO],DADOS!$N$5,tabela_registros[TIPO],DADOS!$AB$5,tabela_registros[CATEGORIA],investiroutrosconsolidadodez[[#This Row],[ATUAL]])</f>
        <v>0</v>
      </c>
      <c r="Q153" s="91">
        <f>SUMIFS(tabela_registros[VALOR],tabela_registros[MÊS],$AE$1,tabela_registros[DIA],investiroutrosconsolidadodez[[#Headers],[13]],tabela_registros[REGISTRO],DADOS!$N$5,tabela_registros[TIPO],DADOS!$AB$5,tabela_registros[CATEGORIA],investiroutrosconsolidadodez[[#This Row],[ATUAL]])</f>
        <v>0</v>
      </c>
      <c r="R153" s="91">
        <f>SUMIFS(tabela_registros[VALOR],tabela_registros[MÊS],$AE$1,tabela_registros[DIA],investiroutrosconsolidadodez[[#Headers],[14]],tabela_registros[REGISTRO],DADOS!$N$5,tabela_registros[TIPO],DADOS!$AB$5,tabela_registros[CATEGORIA],investiroutrosconsolidadodez[[#This Row],[ATUAL]])</f>
        <v>0</v>
      </c>
      <c r="S153" s="91">
        <f>SUMIFS(tabela_registros[VALOR],tabela_registros[MÊS],$AE$1,tabela_registros[DIA],investiroutrosconsolidadodez[[#Headers],[15]],tabela_registros[REGISTRO],DADOS!$N$5,tabela_registros[TIPO],DADOS!$AB$5,tabela_registros[CATEGORIA],investiroutrosconsolidadodez[[#This Row],[ATUAL]])</f>
        <v>0</v>
      </c>
      <c r="T153" s="91">
        <f>SUMIFS(tabela_registros[VALOR],tabela_registros[MÊS],$AE$1,tabela_registros[DIA],investiroutrosconsolidadodez[[#Headers],[16]],tabela_registros[REGISTRO],DADOS!$N$5,tabela_registros[TIPO],DADOS!$AB$5,tabela_registros[CATEGORIA],investiroutrosconsolidadodez[[#This Row],[ATUAL]])</f>
        <v>0</v>
      </c>
      <c r="U153" s="91">
        <f>SUMIFS(tabela_registros[VALOR],tabela_registros[MÊS],$AE$1,tabela_registros[DIA],investiroutrosconsolidadodez[[#Headers],[17]],tabela_registros[REGISTRO],DADOS!$N$5,tabela_registros[TIPO],DADOS!$AB$5,tabela_registros[CATEGORIA],investiroutrosconsolidadodez[[#This Row],[ATUAL]])</f>
        <v>0</v>
      </c>
      <c r="V153" s="91">
        <f>SUMIFS(tabela_registros[VALOR],tabela_registros[MÊS],$AE$1,tabela_registros[DIA],investiroutrosconsolidadodez[[#Headers],[18]],tabela_registros[REGISTRO],DADOS!$N$5,tabela_registros[TIPO],DADOS!$AB$5,tabela_registros[CATEGORIA],investiroutrosconsolidadodez[[#This Row],[ATUAL]])</f>
        <v>0</v>
      </c>
      <c r="W153" s="91">
        <f>SUMIFS(tabela_registros[VALOR],tabela_registros[MÊS],$AE$1,tabela_registros[DIA],investiroutrosconsolidadodez[[#Headers],[19]],tabela_registros[REGISTRO],DADOS!$N$5,tabela_registros[TIPO],DADOS!$AB$5,tabela_registros[CATEGORIA],investiroutrosconsolidadodez[[#This Row],[ATUAL]])</f>
        <v>0</v>
      </c>
      <c r="X153" s="91">
        <f>SUMIFS(tabela_registros[VALOR],tabela_registros[MÊS],$AE$1,tabela_registros[DIA],investiroutrosconsolidadodez[[#Headers],[20]],tabela_registros[REGISTRO],DADOS!$N$5,tabela_registros[TIPO],DADOS!$AB$5,tabela_registros[CATEGORIA],investiroutrosconsolidadodez[[#This Row],[ATUAL]])</f>
        <v>0</v>
      </c>
      <c r="Y153" s="91">
        <f>SUMIFS(tabela_registros[VALOR],tabela_registros[MÊS],$AE$1,tabela_registros[DIA],investiroutrosconsolidadodez[[#Headers],[21]],tabela_registros[REGISTRO],DADOS!$N$5,tabela_registros[TIPO],DADOS!$AB$5,tabela_registros[CATEGORIA],investiroutrosconsolidadodez[[#This Row],[ATUAL]])</f>
        <v>0</v>
      </c>
      <c r="Z153" s="91">
        <f>SUMIFS(tabela_registros[VALOR],tabela_registros[MÊS],$AE$1,tabela_registros[DIA],investiroutrosconsolidadodez[[#Headers],[22]],tabela_registros[REGISTRO],DADOS!$N$5,tabela_registros[TIPO],DADOS!$AB$5,tabela_registros[CATEGORIA],investiroutrosconsolidadodez[[#This Row],[ATUAL]])</f>
        <v>0</v>
      </c>
      <c r="AA153" s="91">
        <f>SUMIFS(tabela_registros[VALOR],tabela_registros[MÊS],$AE$1,tabela_registros[DIA],investiroutrosconsolidadodez[[#Headers],[23]],tabela_registros[REGISTRO],DADOS!$N$5,tabela_registros[TIPO],DADOS!$AB$5,tabela_registros[CATEGORIA],investiroutrosconsolidadodez[[#This Row],[ATUAL]])</f>
        <v>0</v>
      </c>
      <c r="AB153" s="91">
        <f>SUMIFS(tabela_registros[VALOR],tabela_registros[MÊS],$AE$1,tabela_registros[DIA],investiroutrosconsolidadodez[[#Headers],[24]],tabela_registros[REGISTRO],DADOS!$N$5,tabela_registros[TIPO],DADOS!$AB$5,tabela_registros[CATEGORIA],investiroutrosconsolidadodez[[#This Row],[ATUAL]])</f>
        <v>0</v>
      </c>
      <c r="AC153" s="91">
        <f>SUMIFS(tabela_registros[VALOR],tabela_registros[MÊS],$AE$1,tabela_registros[DIA],investiroutrosconsolidadodez[[#Headers],[25]],tabela_registros[REGISTRO],DADOS!$N$5,tabela_registros[TIPO],DADOS!$AB$5,tabela_registros[CATEGORIA],investiroutrosconsolidadodez[[#This Row],[ATUAL]])</f>
        <v>0</v>
      </c>
      <c r="AD153" s="91">
        <f>SUMIFS(tabela_registros[VALOR],tabela_registros[MÊS],$AE$1,tabela_registros[DIA],investiroutrosconsolidadodez[[#Headers],[26]],tabela_registros[REGISTRO],DADOS!$N$5,tabela_registros[TIPO],DADOS!$AB$5,tabela_registros[CATEGORIA],investiroutrosconsolidadodez[[#This Row],[ATUAL]])</f>
        <v>0</v>
      </c>
      <c r="AE153" s="91">
        <f>SUMIFS(tabela_registros[VALOR],tabela_registros[MÊS],$AE$1,tabela_registros[DIA],investiroutrosconsolidadodez[[#Headers],[27]],tabela_registros[REGISTRO],DADOS!$N$5,tabela_registros[TIPO],DADOS!$AB$5,tabela_registros[CATEGORIA],investiroutrosconsolidadodez[[#This Row],[ATUAL]])</f>
        <v>0</v>
      </c>
      <c r="AF153" s="91">
        <f>SUMIFS(tabela_registros[VALOR],tabela_registros[MÊS],$AE$1,tabela_registros[DIA],investiroutrosconsolidadodez[[#Headers],[28]],tabela_registros[REGISTRO],DADOS!$N$5,tabela_registros[TIPO],DADOS!$AB$5,tabela_registros[CATEGORIA],investiroutrosconsolidadodez[[#This Row],[ATUAL]])</f>
        <v>0</v>
      </c>
      <c r="AG153" s="91">
        <f>SUMIFS(tabela_registros[VALOR],tabela_registros[MÊS],$AE$1,tabela_registros[DIA],investiroutrosconsolidadodez[[#Headers],[29]],tabela_registros[REGISTRO],DADOS!$N$5,tabela_registros[TIPO],DADOS!$AB$5,tabela_registros[CATEGORIA],investiroutrosconsolidadodez[[#This Row],[ATUAL]])</f>
        <v>0</v>
      </c>
      <c r="AH153" s="91">
        <f>SUMIFS(tabela_registros[VALOR],tabela_registros[MÊS],$AE$1,tabela_registros[DIA],investiroutrosconsolidadodez[[#Headers],[30]],tabela_registros[REGISTRO],DADOS!$N$5,tabela_registros[TIPO],DADOS!$AB$5,tabela_registros[CATEGORIA],investiroutrosconsolidadodez[[#This Row],[ATUAL]])</f>
        <v>0</v>
      </c>
      <c r="AI153" s="101">
        <f>SUMIFS(tabela_registros[VALOR],tabela_registros[MÊS],$AE$1,tabela_registros[DIA],investiroutrosconsolidadodez[[#Headers],[31]],tabela_registros[REGISTRO],DADOS!$N$5,tabela_registros[TIPO],DADOS!$AB$5,tabela_registros[CATEGORIA],investiroutrosconsolidadodez[[#This Row],[ATUAL]])</f>
        <v>0</v>
      </c>
      <c r="AJ153" s="97">
        <f>SUM(investiroutrosconsolidadodez[[#This Row],[1]:[31]])</f>
        <v>0</v>
      </c>
      <c r="AK153" s="25"/>
    </row>
    <row r="154" spans="2:37" ht="19.5" customHeight="1" thickTop="1" thickBot="1" x14ac:dyDescent="0.3">
      <c r="B154" s="28"/>
      <c r="C154" s="27" t="str">
        <f>DADOS!$AH$6</f>
        <v>📝 NOVA EMPRESA</v>
      </c>
      <c r="D154" s="26" t="str">
        <f>IF(investiroutrosconsolidadodez[[#This Row],[TOTAL (R$)]]=0,"",IF(OR(investiroutrosconsolidadodez[[#This Row],[TOTAL (R$)]]=LARGE($AJ$151:$AJ$158,1),investiroutrosconsolidadodez[[#This Row],[TOTAL (R$)]]=LARGE($AJ$151:$AJ$158,2)),DADOS!$I$10,""))</f>
        <v/>
      </c>
      <c r="E154" s="96">
        <f>SUMIFS(tabela_registros[VALOR],tabela_registros[MÊS],$AE$1,tabela_registros[DIA],investiroutrosconsolidadodez[[#Headers],[1]],tabela_registros[REGISTRO],DADOS!$N$5,tabela_registros[TIPO],DADOS!$AB$5,tabela_registros[CATEGORIA],investiroutrosconsolidadodez[[#This Row],[ATUAL]])</f>
        <v>0</v>
      </c>
      <c r="F154" s="91">
        <f>SUMIFS(tabela_registros[VALOR],tabela_registros[MÊS],$AE$1,tabela_registros[DIA],investiroutrosconsolidadodez[[#Headers],[2]],tabela_registros[REGISTRO],DADOS!$N$5,tabela_registros[TIPO],DADOS!$AB$5,tabela_registros[CATEGORIA],investiroutrosconsolidadodez[[#This Row],[ATUAL]])</f>
        <v>0</v>
      </c>
      <c r="G154" s="91">
        <f>SUMIFS(tabela_registros[VALOR],tabela_registros[MÊS],$AE$1,tabela_registros[DIA],investiroutrosconsolidadodez[[#Headers],[3]],tabela_registros[REGISTRO],DADOS!$N$5,tabela_registros[TIPO],DADOS!$AB$5,tabela_registros[CATEGORIA],investiroutrosconsolidadodez[[#This Row],[ATUAL]])</f>
        <v>0</v>
      </c>
      <c r="H154" s="91">
        <f>SUMIFS(tabela_registros[VALOR],tabela_registros[MÊS],$AE$1,tabela_registros[DIA],investiroutrosconsolidadodez[[#Headers],[4]],tabela_registros[REGISTRO],DADOS!$N$5,tabela_registros[TIPO],DADOS!$AB$5,tabela_registros[CATEGORIA],investiroutrosconsolidadodez[[#This Row],[ATUAL]])</f>
        <v>0</v>
      </c>
      <c r="I154" s="91">
        <f>SUMIFS(tabela_registros[VALOR],tabela_registros[MÊS],$AE$1,tabela_registros[DIA],investiroutrosconsolidadodez[[#Headers],[5]],tabela_registros[REGISTRO],DADOS!$N$5,tabela_registros[TIPO],DADOS!$AB$5,tabela_registros[CATEGORIA],investiroutrosconsolidadodez[[#This Row],[ATUAL]])</f>
        <v>0</v>
      </c>
      <c r="J154" s="91">
        <f>SUMIFS(tabela_registros[VALOR],tabela_registros[MÊS],$AE$1,tabela_registros[DIA],investiroutrosconsolidadodez[[#Headers],[6]],tabela_registros[REGISTRO],DADOS!$N$5,tabela_registros[TIPO],DADOS!$AB$5,tabela_registros[CATEGORIA],investiroutrosconsolidadodez[[#This Row],[ATUAL]])</f>
        <v>0</v>
      </c>
      <c r="K154" s="91">
        <f>SUMIFS(tabela_registros[VALOR],tabela_registros[MÊS],$AE$1,tabela_registros[DIA],investiroutrosconsolidadodez[[#Headers],[7]],tabela_registros[REGISTRO],DADOS!$N$5,tabela_registros[TIPO],DADOS!$AB$5,tabela_registros[CATEGORIA],investiroutrosconsolidadodez[[#This Row],[ATUAL]])</f>
        <v>0</v>
      </c>
      <c r="L154" s="91">
        <f>SUMIFS(tabela_registros[VALOR],tabela_registros[MÊS],$AE$1,tabela_registros[DIA],investiroutrosconsolidadodez[[#Headers],[8]],tabela_registros[REGISTRO],DADOS!$N$5,tabela_registros[TIPO],DADOS!$AB$5,tabela_registros[CATEGORIA],investiroutrosconsolidadodez[[#This Row],[ATUAL]])</f>
        <v>0</v>
      </c>
      <c r="M154" s="91">
        <f>SUMIFS(tabela_registros[VALOR],tabela_registros[MÊS],$AE$1,tabela_registros[DIA],investiroutrosconsolidadodez[[#Headers],[9]],tabela_registros[REGISTRO],DADOS!$N$5,tabela_registros[TIPO],DADOS!$AB$5,tabela_registros[CATEGORIA],investiroutrosconsolidadodez[[#This Row],[ATUAL]])</f>
        <v>0</v>
      </c>
      <c r="N154" s="91">
        <f>SUMIFS(tabela_registros[VALOR],tabela_registros[MÊS],$AE$1,tabela_registros[DIA],investiroutrosconsolidadodez[[#Headers],[10]],tabela_registros[REGISTRO],DADOS!$N$5,tabela_registros[TIPO],DADOS!$AB$5,tabela_registros[CATEGORIA],investiroutrosconsolidadodez[[#This Row],[ATUAL]])</f>
        <v>0</v>
      </c>
      <c r="O154" s="91">
        <f>SUMIFS(tabela_registros[VALOR],tabela_registros[MÊS],$AE$1,tabela_registros[DIA],investiroutrosconsolidadodez[[#Headers],[11]],tabela_registros[REGISTRO],DADOS!$N$5,tabela_registros[TIPO],DADOS!$AB$5,tabela_registros[CATEGORIA],investiroutrosconsolidadodez[[#This Row],[ATUAL]])</f>
        <v>0</v>
      </c>
      <c r="P154" s="91">
        <f>SUMIFS(tabela_registros[VALOR],tabela_registros[MÊS],$AE$1,tabela_registros[DIA],investiroutrosconsolidadodez[[#Headers],[12]],tabela_registros[REGISTRO],DADOS!$N$5,tabela_registros[TIPO],DADOS!$AB$5,tabela_registros[CATEGORIA],investiroutrosconsolidadodez[[#This Row],[ATUAL]])</f>
        <v>0</v>
      </c>
      <c r="Q154" s="91">
        <f>SUMIFS(tabela_registros[VALOR],tabela_registros[MÊS],$AE$1,tabela_registros[DIA],investiroutrosconsolidadodez[[#Headers],[13]],tabela_registros[REGISTRO],DADOS!$N$5,tabela_registros[TIPO],DADOS!$AB$5,tabela_registros[CATEGORIA],investiroutrosconsolidadodez[[#This Row],[ATUAL]])</f>
        <v>0</v>
      </c>
      <c r="R154" s="91">
        <f>SUMIFS(tabela_registros[VALOR],tabela_registros[MÊS],$AE$1,tabela_registros[DIA],investiroutrosconsolidadodez[[#Headers],[14]],tabela_registros[REGISTRO],DADOS!$N$5,tabela_registros[TIPO],DADOS!$AB$5,tabela_registros[CATEGORIA],investiroutrosconsolidadodez[[#This Row],[ATUAL]])</f>
        <v>0</v>
      </c>
      <c r="S154" s="91">
        <f>SUMIFS(tabela_registros[VALOR],tabela_registros[MÊS],$AE$1,tabela_registros[DIA],investiroutrosconsolidadodez[[#Headers],[15]],tabela_registros[REGISTRO],DADOS!$N$5,tabela_registros[TIPO],DADOS!$AB$5,tabela_registros[CATEGORIA],investiroutrosconsolidadodez[[#This Row],[ATUAL]])</f>
        <v>0</v>
      </c>
      <c r="T154" s="91">
        <f>SUMIFS(tabela_registros[VALOR],tabela_registros[MÊS],$AE$1,tabela_registros[DIA],investiroutrosconsolidadodez[[#Headers],[16]],tabela_registros[REGISTRO],DADOS!$N$5,tabela_registros[TIPO],DADOS!$AB$5,tabela_registros[CATEGORIA],investiroutrosconsolidadodez[[#This Row],[ATUAL]])</f>
        <v>0</v>
      </c>
      <c r="U154" s="91">
        <f>SUMIFS(tabela_registros[VALOR],tabela_registros[MÊS],$AE$1,tabela_registros[DIA],investiroutrosconsolidadodez[[#Headers],[17]],tabela_registros[REGISTRO],DADOS!$N$5,tabela_registros[TIPO],DADOS!$AB$5,tabela_registros[CATEGORIA],investiroutrosconsolidadodez[[#This Row],[ATUAL]])</f>
        <v>0</v>
      </c>
      <c r="V154" s="91">
        <f>SUMIFS(tabela_registros[VALOR],tabela_registros[MÊS],$AE$1,tabela_registros[DIA],investiroutrosconsolidadodez[[#Headers],[18]],tabela_registros[REGISTRO],DADOS!$N$5,tabela_registros[TIPO],DADOS!$AB$5,tabela_registros[CATEGORIA],investiroutrosconsolidadodez[[#This Row],[ATUAL]])</f>
        <v>0</v>
      </c>
      <c r="W154" s="91">
        <f>SUMIFS(tabela_registros[VALOR],tabela_registros[MÊS],$AE$1,tabela_registros[DIA],investiroutrosconsolidadodez[[#Headers],[19]],tabela_registros[REGISTRO],DADOS!$N$5,tabela_registros[TIPO],DADOS!$AB$5,tabela_registros[CATEGORIA],investiroutrosconsolidadodez[[#This Row],[ATUAL]])</f>
        <v>0</v>
      </c>
      <c r="X154" s="91">
        <f>SUMIFS(tabela_registros[VALOR],tabela_registros[MÊS],$AE$1,tabela_registros[DIA],investiroutrosconsolidadodez[[#Headers],[20]],tabela_registros[REGISTRO],DADOS!$N$5,tabela_registros[TIPO],DADOS!$AB$5,tabela_registros[CATEGORIA],investiroutrosconsolidadodez[[#This Row],[ATUAL]])</f>
        <v>0</v>
      </c>
      <c r="Y154" s="91">
        <f>SUMIFS(tabela_registros[VALOR],tabela_registros[MÊS],$AE$1,tabela_registros[DIA],investiroutrosconsolidadodez[[#Headers],[21]],tabela_registros[REGISTRO],DADOS!$N$5,tabela_registros[TIPO],DADOS!$AB$5,tabela_registros[CATEGORIA],investiroutrosconsolidadodez[[#This Row],[ATUAL]])</f>
        <v>0</v>
      </c>
      <c r="Z154" s="91">
        <f>SUMIFS(tabela_registros[VALOR],tabela_registros[MÊS],$AE$1,tabela_registros[DIA],investiroutrosconsolidadodez[[#Headers],[22]],tabela_registros[REGISTRO],DADOS!$N$5,tabela_registros[TIPO],DADOS!$AB$5,tabela_registros[CATEGORIA],investiroutrosconsolidadodez[[#This Row],[ATUAL]])</f>
        <v>0</v>
      </c>
      <c r="AA154" s="91">
        <f>SUMIFS(tabela_registros[VALOR],tabela_registros[MÊS],$AE$1,tabela_registros[DIA],investiroutrosconsolidadodez[[#Headers],[23]],tabela_registros[REGISTRO],DADOS!$N$5,tabela_registros[TIPO],DADOS!$AB$5,tabela_registros[CATEGORIA],investiroutrosconsolidadodez[[#This Row],[ATUAL]])</f>
        <v>0</v>
      </c>
      <c r="AB154" s="91">
        <f>SUMIFS(tabela_registros[VALOR],tabela_registros[MÊS],$AE$1,tabela_registros[DIA],investiroutrosconsolidadodez[[#Headers],[24]],tabela_registros[REGISTRO],DADOS!$N$5,tabela_registros[TIPO],DADOS!$AB$5,tabela_registros[CATEGORIA],investiroutrosconsolidadodez[[#This Row],[ATUAL]])</f>
        <v>0</v>
      </c>
      <c r="AC154" s="91">
        <f>SUMIFS(tabela_registros[VALOR],tabela_registros[MÊS],$AE$1,tabela_registros[DIA],investiroutrosconsolidadodez[[#Headers],[25]],tabela_registros[REGISTRO],DADOS!$N$5,tabela_registros[TIPO],DADOS!$AB$5,tabela_registros[CATEGORIA],investiroutrosconsolidadodez[[#This Row],[ATUAL]])</f>
        <v>0</v>
      </c>
      <c r="AD154" s="91">
        <f>SUMIFS(tabela_registros[VALOR],tabela_registros[MÊS],$AE$1,tabela_registros[DIA],investiroutrosconsolidadodez[[#Headers],[26]],tabela_registros[REGISTRO],DADOS!$N$5,tabela_registros[TIPO],DADOS!$AB$5,tabela_registros[CATEGORIA],investiroutrosconsolidadodez[[#This Row],[ATUAL]])</f>
        <v>0</v>
      </c>
      <c r="AE154" s="91">
        <f>SUMIFS(tabela_registros[VALOR],tabela_registros[MÊS],$AE$1,tabela_registros[DIA],investiroutrosconsolidadodez[[#Headers],[27]],tabela_registros[REGISTRO],DADOS!$N$5,tabela_registros[TIPO],DADOS!$AB$5,tabela_registros[CATEGORIA],investiroutrosconsolidadodez[[#This Row],[ATUAL]])</f>
        <v>0</v>
      </c>
      <c r="AF154" s="91">
        <f>SUMIFS(tabela_registros[VALOR],tabela_registros[MÊS],$AE$1,tabela_registros[DIA],investiroutrosconsolidadodez[[#Headers],[28]],tabela_registros[REGISTRO],DADOS!$N$5,tabela_registros[TIPO],DADOS!$AB$5,tabela_registros[CATEGORIA],investiroutrosconsolidadodez[[#This Row],[ATUAL]])</f>
        <v>0</v>
      </c>
      <c r="AG154" s="91">
        <f>SUMIFS(tabela_registros[VALOR],tabela_registros[MÊS],$AE$1,tabela_registros[DIA],investiroutrosconsolidadodez[[#Headers],[29]],tabela_registros[REGISTRO],DADOS!$N$5,tabela_registros[TIPO],DADOS!$AB$5,tabela_registros[CATEGORIA],investiroutrosconsolidadodez[[#This Row],[ATUAL]])</f>
        <v>0</v>
      </c>
      <c r="AH154" s="91">
        <f>SUMIFS(tabela_registros[VALOR],tabela_registros[MÊS],$AE$1,tabela_registros[DIA],investiroutrosconsolidadodez[[#Headers],[30]],tabela_registros[REGISTRO],DADOS!$N$5,tabela_registros[TIPO],DADOS!$AB$5,tabela_registros[CATEGORIA],investiroutrosconsolidadodez[[#This Row],[ATUAL]])</f>
        <v>0</v>
      </c>
      <c r="AI154" s="101">
        <f>SUMIFS(tabela_registros[VALOR],tabela_registros[MÊS],$AE$1,tabela_registros[DIA],investiroutrosconsolidadodez[[#Headers],[31]],tabela_registros[REGISTRO],DADOS!$N$5,tabela_registros[TIPO],DADOS!$AB$5,tabela_registros[CATEGORIA],investiroutrosconsolidadodez[[#This Row],[ATUAL]])</f>
        <v>0</v>
      </c>
      <c r="AJ154" s="97">
        <f>SUM(investiroutrosconsolidadodez[[#This Row],[1]:[31]])</f>
        <v>0</v>
      </c>
      <c r="AK154" s="25"/>
    </row>
    <row r="155" spans="2:37" ht="19.5" customHeight="1" thickTop="1" thickBot="1" x14ac:dyDescent="0.3">
      <c r="B155" s="28"/>
      <c r="C155" s="27" t="str">
        <f>DADOS!$AH$7</f>
        <v>📝 PEER TO COMPANY</v>
      </c>
      <c r="D155" s="26" t="str">
        <f>IF(investiroutrosconsolidadodez[[#This Row],[TOTAL (R$)]]=0,"",IF(OR(investiroutrosconsolidadodez[[#This Row],[TOTAL (R$)]]=LARGE($AJ$151:$AJ$158,1),investiroutrosconsolidadodez[[#This Row],[TOTAL (R$)]]=LARGE($AJ$151:$AJ$158,2)),DADOS!$I$10,""))</f>
        <v/>
      </c>
      <c r="E155" s="96">
        <f>SUMIFS(tabela_registros[VALOR],tabela_registros[MÊS],$AE$1,tabela_registros[DIA],investiroutrosconsolidadodez[[#Headers],[1]],tabela_registros[REGISTRO],DADOS!$N$5,tabela_registros[TIPO],DADOS!$AB$5,tabela_registros[CATEGORIA],investiroutrosconsolidadodez[[#This Row],[ATUAL]])</f>
        <v>0</v>
      </c>
      <c r="F155" s="91">
        <f>SUMIFS(tabela_registros[VALOR],tabela_registros[MÊS],$AE$1,tabela_registros[DIA],investiroutrosconsolidadodez[[#Headers],[2]],tabela_registros[REGISTRO],DADOS!$N$5,tabela_registros[TIPO],DADOS!$AB$5,tabela_registros[CATEGORIA],investiroutrosconsolidadodez[[#This Row],[ATUAL]])</f>
        <v>0</v>
      </c>
      <c r="G155" s="91">
        <f>SUMIFS(tabela_registros[VALOR],tabela_registros[MÊS],$AE$1,tabela_registros[DIA],investiroutrosconsolidadodez[[#Headers],[3]],tabela_registros[REGISTRO],DADOS!$N$5,tabela_registros[TIPO],DADOS!$AB$5,tabela_registros[CATEGORIA],investiroutrosconsolidadodez[[#This Row],[ATUAL]])</f>
        <v>0</v>
      </c>
      <c r="H155" s="91">
        <f>SUMIFS(tabela_registros[VALOR],tabela_registros[MÊS],$AE$1,tabela_registros[DIA],investiroutrosconsolidadodez[[#Headers],[4]],tabela_registros[REGISTRO],DADOS!$N$5,tabela_registros[TIPO],DADOS!$AB$5,tabela_registros[CATEGORIA],investiroutrosconsolidadodez[[#This Row],[ATUAL]])</f>
        <v>0</v>
      </c>
      <c r="I155" s="91">
        <f>SUMIFS(tabela_registros[VALOR],tabela_registros[MÊS],$AE$1,tabela_registros[DIA],investiroutrosconsolidadodez[[#Headers],[5]],tabela_registros[REGISTRO],DADOS!$N$5,tabela_registros[TIPO],DADOS!$AB$5,tabela_registros[CATEGORIA],investiroutrosconsolidadodez[[#This Row],[ATUAL]])</f>
        <v>0</v>
      </c>
      <c r="J155" s="91">
        <f>SUMIFS(tabela_registros[VALOR],tabela_registros[MÊS],$AE$1,tabela_registros[DIA],investiroutrosconsolidadodez[[#Headers],[6]],tabela_registros[REGISTRO],DADOS!$N$5,tabela_registros[TIPO],DADOS!$AB$5,tabela_registros[CATEGORIA],investiroutrosconsolidadodez[[#This Row],[ATUAL]])</f>
        <v>0</v>
      </c>
      <c r="K155" s="91">
        <f>SUMIFS(tabela_registros[VALOR],tabela_registros[MÊS],$AE$1,tabela_registros[DIA],investiroutrosconsolidadodez[[#Headers],[7]],tabela_registros[REGISTRO],DADOS!$N$5,tabela_registros[TIPO],DADOS!$AB$5,tabela_registros[CATEGORIA],investiroutrosconsolidadodez[[#This Row],[ATUAL]])</f>
        <v>0</v>
      </c>
      <c r="L155" s="91">
        <f>SUMIFS(tabela_registros[VALOR],tabela_registros[MÊS],$AE$1,tabela_registros[DIA],investiroutrosconsolidadodez[[#Headers],[8]],tabela_registros[REGISTRO],DADOS!$N$5,tabela_registros[TIPO],DADOS!$AB$5,tabela_registros[CATEGORIA],investiroutrosconsolidadodez[[#This Row],[ATUAL]])</f>
        <v>0</v>
      </c>
      <c r="M155" s="91">
        <f>SUMIFS(tabela_registros[VALOR],tabela_registros[MÊS],$AE$1,tabela_registros[DIA],investiroutrosconsolidadodez[[#Headers],[9]],tabela_registros[REGISTRO],DADOS!$N$5,tabela_registros[TIPO],DADOS!$AB$5,tabela_registros[CATEGORIA],investiroutrosconsolidadodez[[#This Row],[ATUAL]])</f>
        <v>0</v>
      </c>
      <c r="N155" s="91">
        <f>SUMIFS(tabela_registros[VALOR],tabela_registros[MÊS],$AE$1,tabela_registros[DIA],investiroutrosconsolidadodez[[#Headers],[10]],tabela_registros[REGISTRO],DADOS!$N$5,tabela_registros[TIPO],DADOS!$AB$5,tabela_registros[CATEGORIA],investiroutrosconsolidadodez[[#This Row],[ATUAL]])</f>
        <v>0</v>
      </c>
      <c r="O155" s="91">
        <f>SUMIFS(tabela_registros[VALOR],tabela_registros[MÊS],$AE$1,tabela_registros[DIA],investiroutrosconsolidadodez[[#Headers],[11]],tabela_registros[REGISTRO],DADOS!$N$5,tabela_registros[TIPO],DADOS!$AB$5,tabela_registros[CATEGORIA],investiroutrosconsolidadodez[[#This Row],[ATUAL]])</f>
        <v>0</v>
      </c>
      <c r="P155" s="91">
        <f>SUMIFS(tabela_registros[VALOR],tabela_registros[MÊS],$AE$1,tabela_registros[DIA],investiroutrosconsolidadodez[[#Headers],[12]],tabela_registros[REGISTRO],DADOS!$N$5,tabela_registros[TIPO],DADOS!$AB$5,tabela_registros[CATEGORIA],investiroutrosconsolidadodez[[#This Row],[ATUAL]])</f>
        <v>0</v>
      </c>
      <c r="Q155" s="91">
        <f>SUMIFS(tabela_registros[VALOR],tabela_registros[MÊS],$AE$1,tabela_registros[DIA],investiroutrosconsolidadodez[[#Headers],[13]],tabela_registros[REGISTRO],DADOS!$N$5,tabela_registros[TIPO],DADOS!$AB$5,tabela_registros[CATEGORIA],investiroutrosconsolidadodez[[#This Row],[ATUAL]])</f>
        <v>0</v>
      </c>
      <c r="R155" s="91">
        <f>SUMIFS(tabela_registros[VALOR],tabela_registros[MÊS],$AE$1,tabela_registros[DIA],investiroutrosconsolidadodez[[#Headers],[14]],tabela_registros[REGISTRO],DADOS!$N$5,tabela_registros[TIPO],DADOS!$AB$5,tabela_registros[CATEGORIA],investiroutrosconsolidadodez[[#This Row],[ATUAL]])</f>
        <v>0</v>
      </c>
      <c r="S155" s="91">
        <f>SUMIFS(tabela_registros[VALOR],tabela_registros[MÊS],$AE$1,tabela_registros[DIA],investiroutrosconsolidadodez[[#Headers],[15]],tabela_registros[REGISTRO],DADOS!$N$5,tabela_registros[TIPO],DADOS!$AB$5,tabela_registros[CATEGORIA],investiroutrosconsolidadodez[[#This Row],[ATUAL]])</f>
        <v>0</v>
      </c>
      <c r="T155" s="91">
        <f>SUMIFS(tabela_registros[VALOR],tabela_registros[MÊS],$AE$1,tabela_registros[DIA],investiroutrosconsolidadodez[[#Headers],[16]],tabela_registros[REGISTRO],DADOS!$N$5,tabela_registros[TIPO],DADOS!$AB$5,tabela_registros[CATEGORIA],investiroutrosconsolidadodez[[#This Row],[ATUAL]])</f>
        <v>0</v>
      </c>
      <c r="U155" s="91">
        <f>SUMIFS(tabela_registros[VALOR],tabela_registros[MÊS],$AE$1,tabela_registros[DIA],investiroutrosconsolidadodez[[#Headers],[17]],tabela_registros[REGISTRO],DADOS!$N$5,tabela_registros[TIPO],DADOS!$AB$5,tabela_registros[CATEGORIA],investiroutrosconsolidadodez[[#This Row],[ATUAL]])</f>
        <v>0</v>
      </c>
      <c r="V155" s="91">
        <f>SUMIFS(tabela_registros[VALOR],tabela_registros[MÊS],$AE$1,tabela_registros[DIA],investiroutrosconsolidadodez[[#Headers],[18]],tabela_registros[REGISTRO],DADOS!$N$5,tabela_registros[TIPO],DADOS!$AB$5,tabela_registros[CATEGORIA],investiroutrosconsolidadodez[[#This Row],[ATUAL]])</f>
        <v>0</v>
      </c>
      <c r="W155" s="91">
        <f>SUMIFS(tabela_registros[VALOR],tabela_registros[MÊS],$AE$1,tabela_registros[DIA],investiroutrosconsolidadodez[[#Headers],[19]],tabela_registros[REGISTRO],DADOS!$N$5,tabela_registros[TIPO],DADOS!$AB$5,tabela_registros[CATEGORIA],investiroutrosconsolidadodez[[#This Row],[ATUAL]])</f>
        <v>0</v>
      </c>
      <c r="X155" s="91">
        <f>SUMIFS(tabela_registros[VALOR],tabela_registros[MÊS],$AE$1,tabela_registros[DIA],investiroutrosconsolidadodez[[#Headers],[20]],tabela_registros[REGISTRO],DADOS!$N$5,tabela_registros[TIPO],DADOS!$AB$5,tabela_registros[CATEGORIA],investiroutrosconsolidadodez[[#This Row],[ATUAL]])</f>
        <v>0</v>
      </c>
      <c r="Y155" s="91">
        <f>SUMIFS(tabela_registros[VALOR],tabela_registros[MÊS],$AE$1,tabela_registros[DIA],investiroutrosconsolidadodez[[#Headers],[21]],tabela_registros[REGISTRO],DADOS!$N$5,tabela_registros[TIPO],DADOS!$AB$5,tabela_registros[CATEGORIA],investiroutrosconsolidadodez[[#This Row],[ATUAL]])</f>
        <v>0</v>
      </c>
      <c r="Z155" s="91">
        <f>SUMIFS(tabela_registros[VALOR],tabela_registros[MÊS],$AE$1,tabela_registros[DIA],investiroutrosconsolidadodez[[#Headers],[22]],tabela_registros[REGISTRO],DADOS!$N$5,tabela_registros[TIPO],DADOS!$AB$5,tabela_registros[CATEGORIA],investiroutrosconsolidadodez[[#This Row],[ATUAL]])</f>
        <v>0</v>
      </c>
      <c r="AA155" s="91">
        <f>SUMIFS(tabela_registros[VALOR],tabela_registros[MÊS],$AE$1,tabela_registros[DIA],investiroutrosconsolidadodez[[#Headers],[23]],tabela_registros[REGISTRO],DADOS!$N$5,tabela_registros[TIPO],DADOS!$AB$5,tabela_registros[CATEGORIA],investiroutrosconsolidadodez[[#This Row],[ATUAL]])</f>
        <v>0</v>
      </c>
      <c r="AB155" s="91">
        <f>SUMIFS(tabela_registros[VALOR],tabela_registros[MÊS],$AE$1,tabela_registros[DIA],investiroutrosconsolidadodez[[#Headers],[24]],tabela_registros[REGISTRO],DADOS!$N$5,tabela_registros[TIPO],DADOS!$AB$5,tabela_registros[CATEGORIA],investiroutrosconsolidadodez[[#This Row],[ATUAL]])</f>
        <v>0</v>
      </c>
      <c r="AC155" s="91">
        <f>SUMIFS(tabela_registros[VALOR],tabela_registros[MÊS],$AE$1,tabela_registros[DIA],investiroutrosconsolidadodez[[#Headers],[25]],tabela_registros[REGISTRO],DADOS!$N$5,tabela_registros[TIPO],DADOS!$AB$5,tabela_registros[CATEGORIA],investiroutrosconsolidadodez[[#This Row],[ATUAL]])</f>
        <v>0</v>
      </c>
      <c r="AD155" s="91">
        <f>SUMIFS(tabela_registros[VALOR],tabela_registros[MÊS],$AE$1,tabela_registros[DIA],investiroutrosconsolidadodez[[#Headers],[26]],tabela_registros[REGISTRO],DADOS!$N$5,tabela_registros[TIPO],DADOS!$AB$5,tabela_registros[CATEGORIA],investiroutrosconsolidadodez[[#This Row],[ATUAL]])</f>
        <v>0</v>
      </c>
      <c r="AE155" s="91">
        <f>SUMIFS(tabela_registros[VALOR],tabela_registros[MÊS],$AE$1,tabela_registros[DIA],investiroutrosconsolidadodez[[#Headers],[27]],tabela_registros[REGISTRO],DADOS!$N$5,tabela_registros[TIPO],DADOS!$AB$5,tabela_registros[CATEGORIA],investiroutrosconsolidadodez[[#This Row],[ATUAL]])</f>
        <v>0</v>
      </c>
      <c r="AF155" s="91">
        <f>SUMIFS(tabela_registros[VALOR],tabela_registros[MÊS],$AE$1,tabela_registros[DIA],investiroutrosconsolidadodez[[#Headers],[28]],tabela_registros[REGISTRO],DADOS!$N$5,tabela_registros[TIPO],DADOS!$AB$5,tabela_registros[CATEGORIA],investiroutrosconsolidadodez[[#This Row],[ATUAL]])</f>
        <v>0</v>
      </c>
      <c r="AG155" s="91">
        <f>SUMIFS(tabela_registros[VALOR],tabela_registros[MÊS],$AE$1,tabela_registros[DIA],investiroutrosconsolidadodez[[#Headers],[29]],tabela_registros[REGISTRO],DADOS!$N$5,tabela_registros[TIPO],DADOS!$AB$5,tabela_registros[CATEGORIA],investiroutrosconsolidadodez[[#This Row],[ATUAL]])</f>
        <v>0</v>
      </c>
      <c r="AH155" s="91">
        <f>SUMIFS(tabela_registros[VALOR],tabela_registros[MÊS],$AE$1,tabela_registros[DIA],investiroutrosconsolidadodez[[#Headers],[30]],tabela_registros[REGISTRO],DADOS!$N$5,tabela_registros[TIPO],DADOS!$AB$5,tabela_registros[CATEGORIA],investiroutrosconsolidadodez[[#This Row],[ATUAL]])</f>
        <v>0</v>
      </c>
      <c r="AI155" s="101">
        <f>SUMIFS(tabela_registros[VALOR],tabela_registros[MÊS],$AE$1,tabela_registros[DIA],investiroutrosconsolidadodez[[#Headers],[31]],tabela_registros[REGISTRO],DADOS!$N$5,tabela_registros[TIPO],DADOS!$AB$5,tabela_registros[CATEGORIA],investiroutrosconsolidadodez[[#This Row],[ATUAL]])</f>
        <v>0</v>
      </c>
      <c r="AJ155" s="97">
        <f>SUM(investiroutrosconsolidadodez[[#This Row],[1]:[31]])</f>
        <v>0</v>
      </c>
      <c r="AK155" s="25"/>
    </row>
    <row r="156" spans="2:37" ht="19.5" customHeight="1" thickTop="1" thickBot="1" x14ac:dyDescent="0.3">
      <c r="B156" s="28"/>
      <c r="C156" s="27" t="str">
        <f>DADOS!$AH$8</f>
        <v>📝 PEER TO PEER</v>
      </c>
      <c r="D156" s="26" t="str">
        <f>IF(investiroutrosconsolidadodez[[#This Row],[TOTAL (R$)]]=0,"",IF(OR(investiroutrosconsolidadodez[[#This Row],[TOTAL (R$)]]=LARGE($AJ$151:$AJ$158,1),investiroutrosconsolidadodez[[#This Row],[TOTAL (R$)]]=LARGE($AJ$151:$AJ$158,2)),DADOS!$I$10,""))</f>
        <v/>
      </c>
      <c r="E156" s="96">
        <f>SUMIFS(tabela_registros[VALOR],tabela_registros[MÊS],$AE$1,tabela_registros[DIA],investiroutrosconsolidadodez[[#Headers],[1]],tabela_registros[REGISTRO],DADOS!$N$5,tabela_registros[TIPO],DADOS!$AB$5,tabela_registros[CATEGORIA],investiroutrosconsolidadodez[[#This Row],[ATUAL]])</f>
        <v>0</v>
      </c>
      <c r="F156" s="91">
        <f>SUMIFS(tabela_registros[VALOR],tabela_registros[MÊS],$AE$1,tabela_registros[DIA],investiroutrosconsolidadodez[[#Headers],[2]],tabela_registros[REGISTRO],DADOS!$N$5,tabela_registros[TIPO],DADOS!$AB$5,tabela_registros[CATEGORIA],investiroutrosconsolidadodez[[#This Row],[ATUAL]])</f>
        <v>0</v>
      </c>
      <c r="G156" s="91">
        <f>SUMIFS(tabela_registros[VALOR],tabela_registros[MÊS],$AE$1,tabela_registros[DIA],investiroutrosconsolidadodez[[#Headers],[3]],tabela_registros[REGISTRO],DADOS!$N$5,tabela_registros[TIPO],DADOS!$AB$5,tabela_registros[CATEGORIA],investiroutrosconsolidadodez[[#This Row],[ATUAL]])</f>
        <v>0</v>
      </c>
      <c r="H156" s="91">
        <f>SUMIFS(tabela_registros[VALOR],tabela_registros[MÊS],$AE$1,tabela_registros[DIA],investiroutrosconsolidadodez[[#Headers],[4]],tabela_registros[REGISTRO],DADOS!$N$5,tabela_registros[TIPO],DADOS!$AB$5,tabela_registros[CATEGORIA],investiroutrosconsolidadodez[[#This Row],[ATUAL]])</f>
        <v>0</v>
      </c>
      <c r="I156" s="91">
        <f>SUMIFS(tabela_registros[VALOR],tabela_registros[MÊS],$AE$1,tabela_registros[DIA],investiroutrosconsolidadodez[[#Headers],[5]],tabela_registros[REGISTRO],DADOS!$N$5,tabela_registros[TIPO],DADOS!$AB$5,tabela_registros[CATEGORIA],investiroutrosconsolidadodez[[#This Row],[ATUAL]])</f>
        <v>0</v>
      </c>
      <c r="J156" s="91">
        <f>SUMIFS(tabela_registros[VALOR],tabela_registros[MÊS],$AE$1,tabela_registros[DIA],investiroutrosconsolidadodez[[#Headers],[6]],tabela_registros[REGISTRO],DADOS!$N$5,tabela_registros[TIPO],DADOS!$AB$5,tabela_registros[CATEGORIA],investiroutrosconsolidadodez[[#This Row],[ATUAL]])</f>
        <v>0</v>
      </c>
      <c r="K156" s="91">
        <f>SUMIFS(tabela_registros[VALOR],tabela_registros[MÊS],$AE$1,tabela_registros[DIA],investiroutrosconsolidadodez[[#Headers],[7]],tabela_registros[REGISTRO],DADOS!$N$5,tabela_registros[TIPO],DADOS!$AB$5,tabela_registros[CATEGORIA],investiroutrosconsolidadodez[[#This Row],[ATUAL]])</f>
        <v>0</v>
      </c>
      <c r="L156" s="91">
        <f>SUMIFS(tabela_registros[VALOR],tabela_registros[MÊS],$AE$1,tabela_registros[DIA],investiroutrosconsolidadodez[[#Headers],[8]],tabela_registros[REGISTRO],DADOS!$N$5,tabela_registros[TIPO],DADOS!$AB$5,tabela_registros[CATEGORIA],investiroutrosconsolidadodez[[#This Row],[ATUAL]])</f>
        <v>0</v>
      </c>
      <c r="M156" s="91">
        <f>SUMIFS(tabela_registros[VALOR],tabela_registros[MÊS],$AE$1,tabela_registros[DIA],investiroutrosconsolidadodez[[#Headers],[9]],tabela_registros[REGISTRO],DADOS!$N$5,tabela_registros[TIPO],DADOS!$AB$5,tabela_registros[CATEGORIA],investiroutrosconsolidadodez[[#This Row],[ATUAL]])</f>
        <v>0</v>
      </c>
      <c r="N156" s="91">
        <f>SUMIFS(tabela_registros[VALOR],tabela_registros[MÊS],$AE$1,tabela_registros[DIA],investiroutrosconsolidadodez[[#Headers],[10]],tabela_registros[REGISTRO],DADOS!$N$5,tabela_registros[TIPO],DADOS!$AB$5,tabela_registros[CATEGORIA],investiroutrosconsolidadodez[[#This Row],[ATUAL]])</f>
        <v>0</v>
      </c>
      <c r="O156" s="91">
        <f>SUMIFS(tabela_registros[VALOR],tabela_registros[MÊS],$AE$1,tabela_registros[DIA],investiroutrosconsolidadodez[[#Headers],[11]],tabela_registros[REGISTRO],DADOS!$N$5,tabela_registros[TIPO],DADOS!$AB$5,tabela_registros[CATEGORIA],investiroutrosconsolidadodez[[#This Row],[ATUAL]])</f>
        <v>0</v>
      </c>
      <c r="P156" s="91">
        <f>SUMIFS(tabela_registros[VALOR],tabela_registros[MÊS],$AE$1,tabela_registros[DIA],investiroutrosconsolidadodez[[#Headers],[12]],tabela_registros[REGISTRO],DADOS!$N$5,tabela_registros[TIPO],DADOS!$AB$5,tabela_registros[CATEGORIA],investiroutrosconsolidadodez[[#This Row],[ATUAL]])</f>
        <v>0</v>
      </c>
      <c r="Q156" s="91">
        <f>SUMIFS(tabela_registros[VALOR],tabela_registros[MÊS],$AE$1,tabela_registros[DIA],investiroutrosconsolidadodez[[#Headers],[13]],tabela_registros[REGISTRO],DADOS!$N$5,tabela_registros[TIPO],DADOS!$AB$5,tabela_registros[CATEGORIA],investiroutrosconsolidadodez[[#This Row],[ATUAL]])</f>
        <v>0</v>
      </c>
      <c r="R156" s="91">
        <f>SUMIFS(tabela_registros[VALOR],tabela_registros[MÊS],$AE$1,tabela_registros[DIA],investiroutrosconsolidadodez[[#Headers],[14]],tabela_registros[REGISTRO],DADOS!$N$5,tabela_registros[TIPO],DADOS!$AB$5,tabela_registros[CATEGORIA],investiroutrosconsolidadodez[[#This Row],[ATUAL]])</f>
        <v>0</v>
      </c>
      <c r="S156" s="91">
        <f>SUMIFS(tabela_registros[VALOR],tabela_registros[MÊS],$AE$1,tabela_registros[DIA],investiroutrosconsolidadodez[[#Headers],[15]],tabela_registros[REGISTRO],DADOS!$N$5,tabela_registros[TIPO],DADOS!$AB$5,tabela_registros[CATEGORIA],investiroutrosconsolidadodez[[#This Row],[ATUAL]])</f>
        <v>0</v>
      </c>
      <c r="T156" s="91">
        <f>SUMIFS(tabela_registros[VALOR],tabela_registros[MÊS],$AE$1,tabela_registros[DIA],investiroutrosconsolidadodez[[#Headers],[16]],tabela_registros[REGISTRO],DADOS!$N$5,tabela_registros[TIPO],DADOS!$AB$5,tabela_registros[CATEGORIA],investiroutrosconsolidadodez[[#This Row],[ATUAL]])</f>
        <v>0</v>
      </c>
      <c r="U156" s="91">
        <f>SUMIFS(tabela_registros[VALOR],tabela_registros[MÊS],$AE$1,tabela_registros[DIA],investiroutrosconsolidadodez[[#Headers],[17]],tabela_registros[REGISTRO],DADOS!$N$5,tabela_registros[TIPO],DADOS!$AB$5,tabela_registros[CATEGORIA],investiroutrosconsolidadodez[[#This Row],[ATUAL]])</f>
        <v>0</v>
      </c>
      <c r="V156" s="91">
        <f>SUMIFS(tabela_registros[VALOR],tabela_registros[MÊS],$AE$1,tabela_registros[DIA],investiroutrosconsolidadodez[[#Headers],[18]],tabela_registros[REGISTRO],DADOS!$N$5,tabela_registros[TIPO],DADOS!$AB$5,tabela_registros[CATEGORIA],investiroutrosconsolidadodez[[#This Row],[ATUAL]])</f>
        <v>0</v>
      </c>
      <c r="W156" s="91">
        <f>SUMIFS(tabela_registros[VALOR],tabela_registros[MÊS],$AE$1,tabela_registros[DIA],investiroutrosconsolidadodez[[#Headers],[19]],tabela_registros[REGISTRO],DADOS!$N$5,tabela_registros[TIPO],DADOS!$AB$5,tabela_registros[CATEGORIA],investiroutrosconsolidadodez[[#This Row],[ATUAL]])</f>
        <v>0</v>
      </c>
      <c r="X156" s="91">
        <f>SUMIFS(tabela_registros[VALOR],tabela_registros[MÊS],$AE$1,tabela_registros[DIA],investiroutrosconsolidadodez[[#Headers],[20]],tabela_registros[REGISTRO],DADOS!$N$5,tabela_registros[TIPO],DADOS!$AB$5,tabela_registros[CATEGORIA],investiroutrosconsolidadodez[[#This Row],[ATUAL]])</f>
        <v>0</v>
      </c>
      <c r="Y156" s="91">
        <f>SUMIFS(tabela_registros[VALOR],tabela_registros[MÊS],$AE$1,tabela_registros[DIA],investiroutrosconsolidadodez[[#Headers],[21]],tabela_registros[REGISTRO],DADOS!$N$5,tabela_registros[TIPO],DADOS!$AB$5,tabela_registros[CATEGORIA],investiroutrosconsolidadodez[[#This Row],[ATUAL]])</f>
        <v>0</v>
      </c>
      <c r="Z156" s="91">
        <f>SUMIFS(tabela_registros[VALOR],tabela_registros[MÊS],$AE$1,tabela_registros[DIA],investiroutrosconsolidadodez[[#Headers],[22]],tabela_registros[REGISTRO],DADOS!$N$5,tabela_registros[TIPO],DADOS!$AB$5,tabela_registros[CATEGORIA],investiroutrosconsolidadodez[[#This Row],[ATUAL]])</f>
        <v>0</v>
      </c>
      <c r="AA156" s="91">
        <f>SUMIFS(tabela_registros[VALOR],tabela_registros[MÊS],$AE$1,tabela_registros[DIA],investiroutrosconsolidadodez[[#Headers],[23]],tabela_registros[REGISTRO],DADOS!$N$5,tabela_registros[TIPO],DADOS!$AB$5,tabela_registros[CATEGORIA],investiroutrosconsolidadodez[[#This Row],[ATUAL]])</f>
        <v>0</v>
      </c>
      <c r="AB156" s="91">
        <f>SUMIFS(tabela_registros[VALOR],tabela_registros[MÊS],$AE$1,tabela_registros[DIA],investiroutrosconsolidadodez[[#Headers],[24]],tabela_registros[REGISTRO],DADOS!$N$5,tabela_registros[TIPO],DADOS!$AB$5,tabela_registros[CATEGORIA],investiroutrosconsolidadodez[[#This Row],[ATUAL]])</f>
        <v>0</v>
      </c>
      <c r="AC156" s="91">
        <f>SUMIFS(tabela_registros[VALOR],tabela_registros[MÊS],$AE$1,tabela_registros[DIA],investiroutrosconsolidadodez[[#Headers],[25]],tabela_registros[REGISTRO],DADOS!$N$5,tabela_registros[TIPO],DADOS!$AB$5,tabela_registros[CATEGORIA],investiroutrosconsolidadodez[[#This Row],[ATUAL]])</f>
        <v>0</v>
      </c>
      <c r="AD156" s="91">
        <f>SUMIFS(tabela_registros[VALOR],tabela_registros[MÊS],$AE$1,tabela_registros[DIA],investiroutrosconsolidadodez[[#Headers],[26]],tabela_registros[REGISTRO],DADOS!$N$5,tabela_registros[TIPO],DADOS!$AB$5,tabela_registros[CATEGORIA],investiroutrosconsolidadodez[[#This Row],[ATUAL]])</f>
        <v>0</v>
      </c>
      <c r="AE156" s="91">
        <f>SUMIFS(tabela_registros[VALOR],tabela_registros[MÊS],$AE$1,tabela_registros[DIA],investiroutrosconsolidadodez[[#Headers],[27]],tabela_registros[REGISTRO],DADOS!$N$5,tabela_registros[TIPO],DADOS!$AB$5,tabela_registros[CATEGORIA],investiroutrosconsolidadodez[[#This Row],[ATUAL]])</f>
        <v>0</v>
      </c>
      <c r="AF156" s="91">
        <f>SUMIFS(tabela_registros[VALOR],tabela_registros[MÊS],$AE$1,tabela_registros[DIA],investiroutrosconsolidadodez[[#Headers],[28]],tabela_registros[REGISTRO],DADOS!$N$5,tabela_registros[TIPO],DADOS!$AB$5,tabela_registros[CATEGORIA],investiroutrosconsolidadodez[[#This Row],[ATUAL]])</f>
        <v>0</v>
      </c>
      <c r="AG156" s="91">
        <f>SUMIFS(tabela_registros[VALOR],tabela_registros[MÊS],$AE$1,tabela_registros[DIA],investiroutrosconsolidadodez[[#Headers],[29]],tabela_registros[REGISTRO],DADOS!$N$5,tabela_registros[TIPO],DADOS!$AB$5,tabela_registros[CATEGORIA],investiroutrosconsolidadodez[[#This Row],[ATUAL]])</f>
        <v>0</v>
      </c>
      <c r="AH156" s="91">
        <f>SUMIFS(tabela_registros[VALOR],tabela_registros[MÊS],$AE$1,tabela_registros[DIA],investiroutrosconsolidadodez[[#Headers],[30]],tabela_registros[REGISTRO],DADOS!$N$5,tabela_registros[TIPO],DADOS!$AB$5,tabela_registros[CATEGORIA],investiroutrosconsolidadodez[[#This Row],[ATUAL]])</f>
        <v>0</v>
      </c>
      <c r="AI156" s="101">
        <f>SUMIFS(tabela_registros[VALOR],tabela_registros[MÊS],$AE$1,tabela_registros[DIA],investiroutrosconsolidadodez[[#Headers],[31]],tabela_registros[REGISTRO],DADOS!$N$5,tabela_registros[TIPO],DADOS!$AB$5,tabela_registros[CATEGORIA],investiroutrosconsolidadodez[[#This Row],[ATUAL]])</f>
        <v>0</v>
      </c>
      <c r="AJ156" s="97">
        <f>SUM(investiroutrosconsolidadodez[[#This Row],[1]:[31]])</f>
        <v>0</v>
      </c>
      <c r="AK156" s="25"/>
    </row>
    <row r="157" spans="2:37" ht="19.5" customHeight="1" thickTop="1" thickBot="1" x14ac:dyDescent="0.3">
      <c r="B157" s="28"/>
      <c r="C157" s="27" t="str">
        <f>DADOS!$AH$9</f>
        <v>📝 PREVIDÊNCIA PRIVADA</v>
      </c>
      <c r="D157" s="26" t="str">
        <f>IF(investiroutrosconsolidadodez[[#This Row],[TOTAL (R$)]]=0,"",IF(OR(investiroutrosconsolidadodez[[#This Row],[TOTAL (R$)]]=LARGE($AJ$151:$AJ$158,1),investiroutrosconsolidadodez[[#This Row],[TOTAL (R$)]]=LARGE($AJ$151:$AJ$158,2)),DADOS!$I$10,""))</f>
        <v/>
      </c>
      <c r="E157" s="96">
        <f>SUMIFS(tabela_registros[VALOR],tabela_registros[MÊS],$AE$1,tabela_registros[DIA],investiroutrosconsolidadodez[[#Headers],[1]],tabela_registros[REGISTRO],DADOS!$N$5,tabela_registros[TIPO],DADOS!$AB$5,tabela_registros[CATEGORIA],investiroutrosconsolidadodez[[#This Row],[ATUAL]])</f>
        <v>0</v>
      </c>
      <c r="F157" s="91">
        <f>SUMIFS(tabela_registros[VALOR],tabela_registros[MÊS],$AE$1,tabela_registros[DIA],investiroutrosconsolidadodez[[#Headers],[2]],tabela_registros[REGISTRO],DADOS!$N$5,tabela_registros[TIPO],DADOS!$AB$5,tabela_registros[CATEGORIA],investiroutrosconsolidadodez[[#This Row],[ATUAL]])</f>
        <v>0</v>
      </c>
      <c r="G157" s="91">
        <f>SUMIFS(tabela_registros[VALOR],tabela_registros[MÊS],$AE$1,tabela_registros[DIA],investiroutrosconsolidadodez[[#Headers],[3]],tabela_registros[REGISTRO],DADOS!$N$5,tabela_registros[TIPO],DADOS!$AB$5,tabela_registros[CATEGORIA],investiroutrosconsolidadodez[[#This Row],[ATUAL]])</f>
        <v>0</v>
      </c>
      <c r="H157" s="91">
        <f>SUMIFS(tabela_registros[VALOR],tabela_registros[MÊS],$AE$1,tabela_registros[DIA],investiroutrosconsolidadodez[[#Headers],[4]],tabela_registros[REGISTRO],DADOS!$N$5,tabela_registros[TIPO],DADOS!$AB$5,tabela_registros[CATEGORIA],investiroutrosconsolidadodez[[#This Row],[ATUAL]])</f>
        <v>0</v>
      </c>
      <c r="I157" s="91">
        <f>SUMIFS(tabela_registros[VALOR],tabela_registros[MÊS],$AE$1,tabela_registros[DIA],investiroutrosconsolidadodez[[#Headers],[5]],tabela_registros[REGISTRO],DADOS!$N$5,tabela_registros[TIPO],DADOS!$AB$5,tabela_registros[CATEGORIA],investiroutrosconsolidadodez[[#This Row],[ATUAL]])</f>
        <v>0</v>
      </c>
      <c r="J157" s="91">
        <f>SUMIFS(tabela_registros[VALOR],tabela_registros[MÊS],$AE$1,tabela_registros[DIA],investiroutrosconsolidadodez[[#Headers],[6]],tabela_registros[REGISTRO],DADOS!$N$5,tabela_registros[TIPO],DADOS!$AB$5,tabela_registros[CATEGORIA],investiroutrosconsolidadodez[[#This Row],[ATUAL]])</f>
        <v>0</v>
      </c>
      <c r="K157" s="91">
        <f>SUMIFS(tabela_registros[VALOR],tabela_registros[MÊS],$AE$1,tabela_registros[DIA],investiroutrosconsolidadodez[[#Headers],[7]],tabela_registros[REGISTRO],DADOS!$N$5,tabela_registros[TIPO],DADOS!$AB$5,tabela_registros[CATEGORIA],investiroutrosconsolidadodez[[#This Row],[ATUAL]])</f>
        <v>0</v>
      </c>
      <c r="L157" s="91">
        <f>SUMIFS(tabela_registros[VALOR],tabela_registros[MÊS],$AE$1,tabela_registros[DIA],investiroutrosconsolidadodez[[#Headers],[8]],tabela_registros[REGISTRO],DADOS!$N$5,tabela_registros[TIPO],DADOS!$AB$5,tabela_registros[CATEGORIA],investiroutrosconsolidadodez[[#This Row],[ATUAL]])</f>
        <v>0</v>
      </c>
      <c r="M157" s="91">
        <f>SUMIFS(tabela_registros[VALOR],tabela_registros[MÊS],$AE$1,tabela_registros[DIA],investiroutrosconsolidadodez[[#Headers],[9]],tabela_registros[REGISTRO],DADOS!$N$5,tabela_registros[TIPO],DADOS!$AB$5,tabela_registros[CATEGORIA],investiroutrosconsolidadodez[[#This Row],[ATUAL]])</f>
        <v>0</v>
      </c>
      <c r="N157" s="91">
        <f>SUMIFS(tabela_registros[VALOR],tabela_registros[MÊS],$AE$1,tabela_registros[DIA],investiroutrosconsolidadodez[[#Headers],[10]],tabela_registros[REGISTRO],DADOS!$N$5,tabela_registros[TIPO],DADOS!$AB$5,tabela_registros[CATEGORIA],investiroutrosconsolidadodez[[#This Row],[ATUAL]])</f>
        <v>0</v>
      </c>
      <c r="O157" s="91">
        <f>SUMIFS(tabela_registros[VALOR],tabela_registros[MÊS],$AE$1,tabela_registros[DIA],investiroutrosconsolidadodez[[#Headers],[11]],tabela_registros[REGISTRO],DADOS!$N$5,tabela_registros[TIPO],DADOS!$AB$5,tabela_registros[CATEGORIA],investiroutrosconsolidadodez[[#This Row],[ATUAL]])</f>
        <v>0</v>
      </c>
      <c r="P157" s="91">
        <f>SUMIFS(tabela_registros[VALOR],tabela_registros[MÊS],$AE$1,tabela_registros[DIA],investiroutrosconsolidadodez[[#Headers],[12]],tabela_registros[REGISTRO],DADOS!$N$5,tabela_registros[TIPO],DADOS!$AB$5,tabela_registros[CATEGORIA],investiroutrosconsolidadodez[[#This Row],[ATUAL]])</f>
        <v>0</v>
      </c>
      <c r="Q157" s="91">
        <f>SUMIFS(tabela_registros[VALOR],tabela_registros[MÊS],$AE$1,tabela_registros[DIA],investiroutrosconsolidadodez[[#Headers],[13]],tabela_registros[REGISTRO],DADOS!$N$5,tabela_registros[TIPO],DADOS!$AB$5,tabela_registros[CATEGORIA],investiroutrosconsolidadodez[[#This Row],[ATUAL]])</f>
        <v>0</v>
      </c>
      <c r="R157" s="91">
        <f>SUMIFS(tabela_registros[VALOR],tabela_registros[MÊS],$AE$1,tabela_registros[DIA],investiroutrosconsolidadodez[[#Headers],[14]],tabela_registros[REGISTRO],DADOS!$N$5,tabela_registros[TIPO],DADOS!$AB$5,tabela_registros[CATEGORIA],investiroutrosconsolidadodez[[#This Row],[ATUAL]])</f>
        <v>0</v>
      </c>
      <c r="S157" s="91">
        <f>SUMIFS(tabela_registros[VALOR],tabela_registros[MÊS],$AE$1,tabela_registros[DIA],investiroutrosconsolidadodez[[#Headers],[15]],tabela_registros[REGISTRO],DADOS!$N$5,tabela_registros[TIPO],DADOS!$AB$5,tabela_registros[CATEGORIA],investiroutrosconsolidadodez[[#This Row],[ATUAL]])</f>
        <v>0</v>
      </c>
      <c r="T157" s="91">
        <f>SUMIFS(tabela_registros[VALOR],tabela_registros[MÊS],$AE$1,tabela_registros[DIA],investiroutrosconsolidadodez[[#Headers],[16]],tabela_registros[REGISTRO],DADOS!$N$5,tabela_registros[TIPO],DADOS!$AB$5,tabela_registros[CATEGORIA],investiroutrosconsolidadodez[[#This Row],[ATUAL]])</f>
        <v>0</v>
      </c>
      <c r="U157" s="91">
        <f>SUMIFS(tabela_registros[VALOR],tabela_registros[MÊS],$AE$1,tabela_registros[DIA],investiroutrosconsolidadodez[[#Headers],[17]],tabela_registros[REGISTRO],DADOS!$N$5,tabela_registros[TIPO],DADOS!$AB$5,tabela_registros[CATEGORIA],investiroutrosconsolidadodez[[#This Row],[ATUAL]])</f>
        <v>0</v>
      </c>
      <c r="V157" s="91">
        <f>SUMIFS(tabela_registros[VALOR],tabela_registros[MÊS],$AE$1,tabela_registros[DIA],investiroutrosconsolidadodez[[#Headers],[18]],tabela_registros[REGISTRO],DADOS!$N$5,tabela_registros[TIPO],DADOS!$AB$5,tabela_registros[CATEGORIA],investiroutrosconsolidadodez[[#This Row],[ATUAL]])</f>
        <v>0</v>
      </c>
      <c r="W157" s="91">
        <f>SUMIFS(tabela_registros[VALOR],tabela_registros[MÊS],$AE$1,tabela_registros[DIA],investiroutrosconsolidadodez[[#Headers],[19]],tabela_registros[REGISTRO],DADOS!$N$5,tabela_registros[TIPO],DADOS!$AB$5,tabela_registros[CATEGORIA],investiroutrosconsolidadodez[[#This Row],[ATUAL]])</f>
        <v>0</v>
      </c>
      <c r="X157" s="91">
        <f>SUMIFS(tabela_registros[VALOR],tabela_registros[MÊS],$AE$1,tabela_registros[DIA],investiroutrosconsolidadodez[[#Headers],[20]],tabela_registros[REGISTRO],DADOS!$N$5,tabela_registros[TIPO],DADOS!$AB$5,tabela_registros[CATEGORIA],investiroutrosconsolidadodez[[#This Row],[ATUAL]])</f>
        <v>0</v>
      </c>
      <c r="Y157" s="91">
        <f>SUMIFS(tabela_registros[VALOR],tabela_registros[MÊS],$AE$1,tabela_registros[DIA],investiroutrosconsolidadodez[[#Headers],[21]],tabela_registros[REGISTRO],DADOS!$N$5,tabela_registros[TIPO],DADOS!$AB$5,tabela_registros[CATEGORIA],investiroutrosconsolidadodez[[#This Row],[ATUAL]])</f>
        <v>0</v>
      </c>
      <c r="Z157" s="91">
        <f>SUMIFS(tabela_registros[VALOR],tabela_registros[MÊS],$AE$1,tabela_registros[DIA],investiroutrosconsolidadodez[[#Headers],[22]],tabela_registros[REGISTRO],DADOS!$N$5,tabela_registros[TIPO],DADOS!$AB$5,tabela_registros[CATEGORIA],investiroutrosconsolidadodez[[#This Row],[ATUAL]])</f>
        <v>0</v>
      </c>
      <c r="AA157" s="91">
        <f>SUMIFS(tabela_registros[VALOR],tabela_registros[MÊS],$AE$1,tabela_registros[DIA],investiroutrosconsolidadodez[[#Headers],[23]],tabela_registros[REGISTRO],DADOS!$N$5,tabela_registros[TIPO],DADOS!$AB$5,tabela_registros[CATEGORIA],investiroutrosconsolidadodez[[#This Row],[ATUAL]])</f>
        <v>0</v>
      </c>
      <c r="AB157" s="91">
        <f>SUMIFS(tabela_registros[VALOR],tabela_registros[MÊS],$AE$1,tabela_registros[DIA],investiroutrosconsolidadodez[[#Headers],[24]],tabela_registros[REGISTRO],DADOS!$N$5,tabela_registros[TIPO],DADOS!$AB$5,tabela_registros[CATEGORIA],investiroutrosconsolidadodez[[#This Row],[ATUAL]])</f>
        <v>0</v>
      </c>
      <c r="AC157" s="91">
        <f>SUMIFS(tabela_registros[VALOR],tabela_registros[MÊS],$AE$1,tabela_registros[DIA],investiroutrosconsolidadodez[[#Headers],[25]],tabela_registros[REGISTRO],DADOS!$N$5,tabela_registros[TIPO],DADOS!$AB$5,tabela_registros[CATEGORIA],investiroutrosconsolidadodez[[#This Row],[ATUAL]])</f>
        <v>0</v>
      </c>
      <c r="AD157" s="91">
        <f>SUMIFS(tabela_registros[VALOR],tabela_registros[MÊS],$AE$1,tabela_registros[DIA],investiroutrosconsolidadodez[[#Headers],[26]],tabela_registros[REGISTRO],DADOS!$N$5,tabela_registros[TIPO],DADOS!$AB$5,tabela_registros[CATEGORIA],investiroutrosconsolidadodez[[#This Row],[ATUAL]])</f>
        <v>0</v>
      </c>
      <c r="AE157" s="91">
        <f>SUMIFS(tabela_registros[VALOR],tabela_registros[MÊS],$AE$1,tabela_registros[DIA],investiroutrosconsolidadodez[[#Headers],[27]],tabela_registros[REGISTRO],DADOS!$N$5,tabela_registros[TIPO],DADOS!$AB$5,tabela_registros[CATEGORIA],investiroutrosconsolidadodez[[#This Row],[ATUAL]])</f>
        <v>0</v>
      </c>
      <c r="AF157" s="91">
        <f>SUMIFS(tabela_registros[VALOR],tabela_registros[MÊS],$AE$1,tabela_registros[DIA],investiroutrosconsolidadodez[[#Headers],[28]],tabela_registros[REGISTRO],DADOS!$N$5,tabela_registros[TIPO],DADOS!$AB$5,tabela_registros[CATEGORIA],investiroutrosconsolidadodez[[#This Row],[ATUAL]])</f>
        <v>0</v>
      </c>
      <c r="AG157" s="91">
        <f>SUMIFS(tabela_registros[VALOR],tabela_registros[MÊS],$AE$1,tabela_registros[DIA],investiroutrosconsolidadodez[[#Headers],[29]],tabela_registros[REGISTRO],DADOS!$N$5,tabela_registros[TIPO],DADOS!$AB$5,tabela_registros[CATEGORIA],investiroutrosconsolidadodez[[#This Row],[ATUAL]])</f>
        <v>0</v>
      </c>
      <c r="AH157" s="91">
        <f>SUMIFS(tabela_registros[VALOR],tabela_registros[MÊS],$AE$1,tabela_registros[DIA],investiroutrosconsolidadodez[[#Headers],[30]],tabela_registros[REGISTRO],DADOS!$N$5,tabela_registros[TIPO],DADOS!$AB$5,tabela_registros[CATEGORIA],investiroutrosconsolidadodez[[#This Row],[ATUAL]])</f>
        <v>0</v>
      </c>
      <c r="AI157" s="101">
        <f>SUMIFS(tabela_registros[VALOR],tabela_registros[MÊS],$AE$1,tabela_registros[DIA],investiroutrosconsolidadodez[[#Headers],[31]],tabela_registros[REGISTRO],DADOS!$N$5,tabela_registros[TIPO],DADOS!$AB$5,tabela_registros[CATEGORIA],investiroutrosconsolidadodez[[#This Row],[ATUAL]])</f>
        <v>0</v>
      </c>
      <c r="AJ157" s="97">
        <f>SUM(investiroutrosconsolidadodez[[#This Row],[1]:[31]])</f>
        <v>0</v>
      </c>
      <c r="AK157" s="25"/>
    </row>
    <row r="158" spans="2:37" ht="19.5" customHeight="1" thickTop="1" thickBot="1" x14ac:dyDescent="0.3">
      <c r="B158" s="28"/>
      <c r="C158" s="27" t="str">
        <f>DADOS!$AH$10</f>
        <v>📎 OUTROS</v>
      </c>
      <c r="D158" s="26" t="str">
        <f>IF(investiroutrosconsolidadodez[[#This Row],[TOTAL (R$)]]=0,"",IF(OR(investiroutrosconsolidadodez[[#This Row],[TOTAL (R$)]]=LARGE($AJ$151:$AJ$158,1),investiroutrosconsolidadodez[[#This Row],[TOTAL (R$)]]=LARGE($AJ$151:$AJ$158,2)),DADOS!$I$10,""))</f>
        <v/>
      </c>
      <c r="E158" s="96">
        <f>SUMIFS(tabela_registros[VALOR],tabela_registros[MÊS],$AE$1,tabela_registros[DIA],investiroutrosconsolidadodez[[#Headers],[1]],tabela_registros[REGISTRO],DADOS!$N$5,tabela_registros[TIPO],DADOS!$AB$5,tabela_registros[CATEGORIA],investiroutrosconsolidadodez[[#This Row],[ATUAL]])</f>
        <v>0</v>
      </c>
      <c r="F158" s="91">
        <f>SUMIFS(tabela_registros[VALOR],tabela_registros[MÊS],$AE$1,tabela_registros[DIA],investiroutrosconsolidadodez[[#Headers],[2]],tabela_registros[REGISTRO],DADOS!$N$5,tabela_registros[TIPO],DADOS!$AB$5,tabela_registros[CATEGORIA],investiroutrosconsolidadodez[[#This Row],[ATUAL]])</f>
        <v>0</v>
      </c>
      <c r="G158" s="91">
        <f>SUMIFS(tabela_registros[VALOR],tabela_registros[MÊS],$AE$1,tabela_registros[DIA],investiroutrosconsolidadodez[[#Headers],[3]],tabela_registros[REGISTRO],DADOS!$N$5,tabela_registros[TIPO],DADOS!$AB$5,tabela_registros[CATEGORIA],investiroutrosconsolidadodez[[#This Row],[ATUAL]])</f>
        <v>0</v>
      </c>
      <c r="H158" s="91">
        <f>SUMIFS(tabela_registros[VALOR],tabela_registros[MÊS],$AE$1,tabela_registros[DIA],investiroutrosconsolidadodez[[#Headers],[4]],tabela_registros[REGISTRO],DADOS!$N$5,tabela_registros[TIPO],DADOS!$AB$5,tabela_registros[CATEGORIA],investiroutrosconsolidadodez[[#This Row],[ATUAL]])</f>
        <v>0</v>
      </c>
      <c r="I158" s="91">
        <f>SUMIFS(tabela_registros[VALOR],tabela_registros[MÊS],$AE$1,tabela_registros[DIA],investiroutrosconsolidadodez[[#Headers],[5]],tabela_registros[REGISTRO],DADOS!$N$5,tabela_registros[TIPO],DADOS!$AB$5,tabela_registros[CATEGORIA],investiroutrosconsolidadodez[[#This Row],[ATUAL]])</f>
        <v>0</v>
      </c>
      <c r="J158" s="91">
        <f>SUMIFS(tabela_registros[VALOR],tabela_registros[MÊS],$AE$1,tabela_registros[DIA],investiroutrosconsolidadodez[[#Headers],[6]],tabela_registros[REGISTRO],DADOS!$N$5,tabela_registros[TIPO],DADOS!$AB$5,tabela_registros[CATEGORIA],investiroutrosconsolidadodez[[#This Row],[ATUAL]])</f>
        <v>0</v>
      </c>
      <c r="K158" s="91">
        <f>SUMIFS(tabela_registros[VALOR],tabela_registros[MÊS],$AE$1,tabela_registros[DIA],investiroutrosconsolidadodez[[#Headers],[7]],tabela_registros[REGISTRO],DADOS!$N$5,tabela_registros[TIPO],DADOS!$AB$5,tabela_registros[CATEGORIA],investiroutrosconsolidadodez[[#This Row],[ATUAL]])</f>
        <v>0</v>
      </c>
      <c r="L158" s="91">
        <f>SUMIFS(tabela_registros[VALOR],tabela_registros[MÊS],$AE$1,tabela_registros[DIA],investiroutrosconsolidadodez[[#Headers],[8]],tabela_registros[REGISTRO],DADOS!$N$5,tabela_registros[TIPO],DADOS!$AB$5,tabela_registros[CATEGORIA],investiroutrosconsolidadodez[[#This Row],[ATUAL]])</f>
        <v>0</v>
      </c>
      <c r="M158" s="91">
        <f>SUMIFS(tabela_registros[VALOR],tabela_registros[MÊS],$AE$1,tabela_registros[DIA],investiroutrosconsolidadodez[[#Headers],[9]],tabela_registros[REGISTRO],DADOS!$N$5,tabela_registros[TIPO],DADOS!$AB$5,tabela_registros[CATEGORIA],investiroutrosconsolidadodez[[#This Row],[ATUAL]])</f>
        <v>0</v>
      </c>
      <c r="N158" s="91">
        <f>SUMIFS(tabela_registros[VALOR],tabela_registros[MÊS],$AE$1,tabela_registros[DIA],investiroutrosconsolidadodez[[#Headers],[10]],tabela_registros[REGISTRO],DADOS!$N$5,tabela_registros[TIPO],DADOS!$AB$5,tabela_registros[CATEGORIA],investiroutrosconsolidadodez[[#This Row],[ATUAL]])</f>
        <v>0</v>
      </c>
      <c r="O158" s="91">
        <f>SUMIFS(tabela_registros[VALOR],tabela_registros[MÊS],$AE$1,tabela_registros[DIA],investiroutrosconsolidadodez[[#Headers],[11]],tabela_registros[REGISTRO],DADOS!$N$5,tabela_registros[TIPO],DADOS!$AB$5,tabela_registros[CATEGORIA],investiroutrosconsolidadodez[[#This Row],[ATUAL]])</f>
        <v>0</v>
      </c>
      <c r="P158" s="91">
        <f>SUMIFS(tabela_registros[VALOR],tabela_registros[MÊS],$AE$1,tabela_registros[DIA],investiroutrosconsolidadodez[[#Headers],[12]],tabela_registros[REGISTRO],DADOS!$N$5,tabela_registros[TIPO],DADOS!$AB$5,tabela_registros[CATEGORIA],investiroutrosconsolidadodez[[#This Row],[ATUAL]])</f>
        <v>0</v>
      </c>
      <c r="Q158" s="91">
        <f>SUMIFS(tabela_registros[VALOR],tabela_registros[MÊS],$AE$1,tabela_registros[DIA],investiroutrosconsolidadodez[[#Headers],[13]],tabela_registros[REGISTRO],DADOS!$N$5,tabela_registros[TIPO],DADOS!$AB$5,tabela_registros[CATEGORIA],investiroutrosconsolidadodez[[#This Row],[ATUAL]])</f>
        <v>0</v>
      </c>
      <c r="R158" s="91">
        <f>SUMIFS(tabela_registros[VALOR],tabela_registros[MÊS],$AE$1,tabela_registros[DIA],investiroutrosconsolidadodez[[#Headers],[14]],tabela_registros[REGISTRO],DADOS!$N$5,tabela_registros[TIPO],DADOS!$AB$5,tabela_registros[CATEGORIA],investiroutrosconsolidadodez[[#This Row],[ATUAL]])</f>
        <v>0</v>
      </c>
      <c r="S158" s="91">
        <f>SUMIFS(tabela_registros[VALOR],tabela_registros[MÊS],$AE$1,tabela_registros[DIA],investiroutrosconsolidadodez[[#Headers],[15]],tabela_registros[REGISTRO],DADOS!$N$5,tabela_registros[TIPO],DADOS!$AB$5,tabela_registros[CATEGORIA],investiroutrosconsolidadodez[[#This Row],[ATUAL]])</f>
        <v>0</v>
      </c>
      <c r="T158" s="91">
        <f>SUMIFS(tabela_registros[VALOR],tabela_registros[MÊS],$AE$1,tabela_registros[DIA],investiroutrosconsolidadodez[[#Headers],[16]],tabela_registros[REGISTRO],DADOS!$N$5,tabela_registros[TIPO],DADOS!$AB$5,tabela_registros[CATEGORIA],investiroutrosconsolidadodez[[#This Row],[ATUAL]])</f>
        <v>0</v>
      </c>
      <c r="U158" s="91">
        <f>SUMIFS(tabela_registros[VALOR],tabela_registros[MÊS],$AE$1,tabela_registros[DIA],investiroutrosconsolidadodez[[#Headers],[17]],tabela_registros[REGISTRO],DADOS!$N$5,tabela_registros[TIPO],DADOS!$AB$5,tabela_registros[CATEGORIA],investiroutrosconsolidadodez[[#This Row],[ATUAL]])</f>
        <v>0</v>
      </c>
      <c r="V158" s="91">
        <f>SUMIFS(tabela_registros[VALOR],tabela_registros[MÊS],$AE$1,tabela_registros[DIA],investiroutrosconsolidadodez[[#Headers],[18]],tabela_registros[REGISTRO],DADOS!$N$5,tabela_registros[TIPO],DADOS!$AB$5,tabela_registros[CATEGORIA],investiroutrosconsolidadodez[[#This Row],[ATUAL]])</f>
        <v>0</v>
      </c>
      <c r="W158" s="91">
        <f>SUMIFS(tabela_registros[VALOR],tabela_registros[MÊS],$AE$1,tabela_registros[DIA],investiroutrosconsolidadodez[[#Headers],[19]],tabela_registros[REGISTRO],DADOS!$N$5,tabela_registros[TIPO],DADOS!$AB$5,tabela_registros[CATEGORIA],investiroutrosconsolidadodez[[#This Row],[ATUAL]])</f>
        <v>0</v>
      </c>
      <c r="X158" s="91">
        <f>SUMIFS(tabela_registros[VALOR],tabela_registros[MÊS],$AE$1,tabela_registros[DIA],investiroutrosconsolidadodez[[#Headers],[20]],tabela_registros[REGISTRO],DADOS!$N$5,tabela_registros[TIPO],DADOS!$AB$5,tabela_registros[CATEGORIA],investiroutrosconsolidadodez[[#This Row],[ATUAL]])</f>
        <v>0</v>
      </c>
      <c r="Y158" s="91">
        <f>SUMIFS(tabela_registros[VALOR],tabela_registros[MÊS],$AE$1,tabela_registros[DIA],investiroutrosconsolidadodez[[#Headers],[21]],tabela_registros[REGISTRO],DADOS!$N$5,tabela_registros[TIPO],DADOS!$AB$5,tabela_registros[CATEGORIA],investiroutrosconsolidadodez[[#This Row],[ATUAL]])</f>
        <v>0</v>
      </c>
      <c r="Z158" s="91">
        <f>SUMIFS(tabela_registros[VALOR],tabela_registros[MÊS],$AE$1,tabela_registros[DIA],investiroutrosconsolidadodez[[#Headers],[22]],tabela_registros[REGISTRO],DADOS!$N$5,tabela_registros[TIPO],DADOS!$AB$5,tabela_registros[CATEGORIA],investiroutrosconsolidadodez[[#This Row],[ATUAL]])</f>
        <v>0</v>
      </c>
      <c r="AA158" s="91">
        <f>SUMIFS(tabela_registros[VALOR],tabela_registros[MÊS],$AE$1,tabela_registros[DIA],investiroutrosconsolidadodez[[#Headers],[23]],tabela_registros[REGISTRO],DADOS!$N$5,tabela_registros[TIPO],DADOS!$AB$5,tabela_registros[CATEGORIA],investiroutrosconsolidadodez[[#This Row],[ATUAL]])</f>
        <v>0</v>
      </c>
      <c r="AB158" s="91">
        <f>SUMIFS(tabela_registros[VALOR],tabela_registros[MÊS],$AE$1,tabela_registros[DIA],investiroutrosconsolidadodez[[#Headers],[24]],tabela_registros[REGISTRO],DADOS!$N$5,tabela_registros[TIPO],DADOS!$AB$5,tabela_registros[CATEGORIA],investiroutrosconsolidadodez[[#This Row],[ATUAL]])</f>
        <v>0</v>
      </c>
      <c r="AC158" s="91">
        <f>SUMIFS(tabela_registros[VALOR],tabela_registros[MÊS],$AE$1,tabela_registros[DIA],investiroutrosconsolidadodez[[#Headers],[25]],tabela_registros[REGISTRO],DADOS!$N$5,tabela_registros[TIPO],DADOS!$AB$5,tabela_registros[CATEGORIA],investiroutrosconsolidadodez[[#This Row],[ATUAL]])</f>
        <v>0</v>
      </c>
      <c r="AD158" s="91">
        <f>SUMIFS(tabela_registros[VALOR],tabela_registros[MÊS],$AE$1,tabela_registros[DIA],investiroutrosconsolidadodez[[#Headers],[26]],tabela_registros[REGISTRO],DADOS!$N$5,tabela_registros[TIPO],DADOS!$AB$5,tabela_registros[CATEGORIA],investiroutrosconsolidadodez[[#This Row],[ATUAL]])</f>
        <v>0</v>
      </c>
      <c r="AE158" s="91">
        <f>SUMIFS(tabela_registros[VALOR],tabela_registros[MÊS],$AE$1,tabela_registros[DIA],investiroutrosconsolidadodez[[#Headers],[27]],tabela_registros[REGISTRO],DADOS!$N$5,tabela_registros[TIPO],DADOS!$AB$5,tabela_registros[CATEGORIA],investiroutrosconsolidadodez[[#This Row],[ATUAL]])</f>
        <v>0</v>
      </c>
      <c r="AF158" s="91">
        <f>SUMIFS(tabela_registros[VALOR],tabela_registros[MÊS],$AE$1,tabela_registros[DIA],investiroutrosconsolidadodez[[#Headers],[28]],tabela_registros[REGISTRO],DADOS!$N$5,tabela_registros[TIPO],DADOS!$AB$5,tabela_registros[CATEGORIA],investiroutrosconsolidadodez[[#This Row],[ATUAL]])</f>
        <v>0</v>
      </c>
      <c r="AG158" s="91">
        <f>SUMIFS(tabela_registros[VALOR],tabela_registros[MÊS],$AE$1,tabela_registros[DIA],investiroutrosconsolidadodez[[#Headers],[29]],tabela_registros[REGISTRO],DADOS!$N$5,tabela_registros[TIPO],DADOS!$AB$5,tabela_registros[CATEGORIA],investiroutrosconsolidadodez[[#This Row],[ATUAL]])</f>
        <v>0</v>
      </c>
      <c r="AH158" s="91">
        <f>SUMIFS(tabela_registros[VALOR],tabela_registros[MÊS],$AE$1,tabela_registros[DIA],investiroutrosconsolidadodez[[#Headers],[30]],tabela_registros[REGISTRO],DADOS!$N$5,tabela_registros[TIPO],DADOS!$AB$5,tabela_registros[CATEGORIA],investiroutrosconsolidadodez[[#This Row],[ATUAL]])</f>
        <v>0</v>
      </c>
      <c r="AI158" s="102">
        <f>SUMIFS(tabela_registros[VALOR],tabela_registros[MÊS],$AE$1,tabela_registros[DIA],investiroutrosconsolidadodez[[#Headers],[31]],tabela_registros[REGISTRO],DADOS!$N$5,tabela_registros[TIPO],DADOS!$AB$5,tabela_registros[CATEGORIA],investiroutrosconsolidadodez[[#This Row],[ATUAL]])</f>
        <v>0</v>
      </c>
      <c r="AJ158" s="97">
        <f>SUM(investiroutrosconsolidadodez[[#This Row],[1]:[31]])</f>
        <v>0</v>
      </c>
      <c r="AK158" s="25"/>
    </row>
    <row r="159" spans="2:37" s="16" customFormat="1" ht="21" customHeight="1" thickTop="1" thickBot="1" x14ac:dyDescent="0.35">
      <c r="B159" s="24"/>
      <c r="C159" s="23" t="s">
        <v>19</v>
      </c>
      <c r="D159" s="22"/>
      <c r="E159" s="21">
        <f>SUM(E151:E158)</f>
        <v>0</v>
      </c>
      <c r="F159" s="20">
        <f>SUM(F151:F158)+investiroutrosconsolidadodez[[#This Row],[1]]</f>
        <v>0</v>
      </c>
      <c r="G159" s="20">
        <f>SUM(G151:G158)+investiroutrosconsolidadodez[[#This Row],[2]]</f>
        <v>0</v>
      </c>
      <c r="H159" s="20">
        <f>SUM(H151:H158)+investiroutrosconsolidadodez[[#This Row],[3]]</f>
        <v>0</v>
      </c>
      <c r="I159" s="20">
        <f>SUM(I151:I158)+investiroutrosconsolidadodez[[#This Row],[4]]</f>
        <v>0</v>
      </c>
      <c r="J159" s="20">
        <f>SUM(J151:J158)+investiroutrosconsolidadodez[[#This Row],[5]]</f>
        <v>0</v>
      </c>
      <c r="K159" s="20">
        <f>SUM(K151:K158)+investiroutrosconsolidadodez[[#This Row],[6]]</f>
        <v>0</v>
      </c>
      <c r="L159" s="20">
        <f>SUM(L151:L158)+investiroutrosconsolidadodez[[#This Row],[7]]</f>
        <v>0</v>
      </c>
      <c r="M159" s="20">
        <f>SUM(M151:M158)+investiroutrosconsolidadodez[[#This Row],[8]]</f>
        <v>0</v>
      </c>
      <c r="N159" s="20">
        <f>SUM(N151:N158)+investiroutrosconsolidadodez[[#This Row],[9]]</f>
        <v>0</v>
      </c>
      <c r="O159" s="20">
        <f>SUM(O151:O158)+investiroutrosconsolidadodez[[#This Row],[10]]</f>
        <v>0</v>
      </c>
      <c r="P159" s="20">
        <f>SUM(P151:P158)+investiroutrosconsolidadodez[[#This Row],[11]]</f>
        <v>0</v>
      </c>
      <c r="Q159" s="20">
        <f>SUM(Q151:Q158)+investiroutrosconsolidadodez[[#This Row],[12]]</f>
        <v>0</v>
      </c>
      <c r="R159" s="20">
        <f>SUM(R151:R158)+investiroutrosconsolidadodez[[#This Row],[13]]</f>
        <v>0</v>
      </c>
      <c r="S159" s="20">
        <f>SUM(S151:S158)+investiroutrosconsolidadodez[[#This Row],[14]]</f>
        <v>0</v>
      </c>
      <c r="T159" s="20">
        <f>SUM(T151:T158)+investiroutrosconsolidadodez[[#This Row],[15]]</f>
        <v>0</v>
      </c>
      <c r="U159" s="20">
        <f>SUM(U151:U158)+investiroutrosconsolidadodez[[#This Row],[16]]</f>
        <v>0</v>
      </c>
      <c r="V159" s="20">
        <f>SUM(V151:V158)+investiroutrosconsolidadodez[[#This Row],[17]]</f>
        <v>0</v>
      </c>
      <c r="W159" s="20">
        <f>SUM(W151:W158)+investiroutrosconsolidadodez[[#This Row],[18]]</f>
        <v>0</v>
      </c>
      <c r="X159" s="20">
        <f>SUM(X151:X158)+investiroutrosconsolidadodez[[#This Row],[19]]</f>
        <v>0</v>
      </c>
      <c r="Y159" s="20">
        <f>SUM(Y151:Y158)+investiroutrosconsolidadodez[[#This Row],[20]]</f>
        <v>0</v>
      </c>
      <c r="Z159" s="20">
        <f>SUM(Z151:Z158)+investiroutrosconsolidadodez[[#This Row],[21]]</f>
        <v>0</v>
      </c>
      <c r="AA159" s="20">
        <f>SUM(AA151:AA158)+investiroutrosconsolidadodez[[#This Row],[22]]</f>
        <v>0</v>
      </c>
      <c r="AB159" s="20">
        <f>SUM(AB151:AB158)+investiroutrosconsolidadodez[[#This Row],[23]]</f>
        <v>0</v>
      </c>
      <c r="AC159" s="20">
        <f>SUM(AC151:AC158)+investiroutrosconsolidadodez[[#This Row],[24]]</f>
        <v>0</v>
      </c>
      <c r="AD159" s="20">
        <f>SUM(AD151:AD158)+investiroutrosconsolidadodez[[#This Row],[25]]</f>
        <v>0</v>
      </c>
      <c r="AE159" s="20">
        <f>SUM(AE151:AE158)+investiroutrosconsolidadodez[[#This Row],[26]]</f>
        <v>0</v>
      </c>
      <c r="AF159" s="20">
        <f>SUM(AF151:AF158)+investiroutrosconsolidadodez[[#This Row],[27]]</f>
        <v>0</v>
      </c>
      <c r="AG159" s="20">
        <f>SUM(AG151:AG158)+investiroutrosconsolidadodez[[#This Row],[28]]</f>
        <v>0</v>
      </c>
      <c r="AH159" s="20">
        <f>SUM(AH151:AH158)+investiroutrosconsolidadodez[[#This Row],[29]]</f>
        <v>0</v>
      </c>
      <c r="AI159" s="19">
        <f>SUM(AI151:AI158)+investiroutrosconsolidadodez[[#This Row],[30]]</f>
        <v>0</v>
      </c>
      <c r="AJ159" s="18">
        <f>investiroutrosconsolidadodez[[#This Row],[31]]</f>
        <v>0</v>
      </c>
      <c r="AK159" s="17"/>
    </row>
    <row r="160" spans="2:37" ht="6.75" customHeight="1" thickTop="1" thickBot="1" x14ac:dyDescent="0.3">
      <c r="B160" s="15"/>
      <c r="C160" s="14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  <c r="AA160" s="13"/>
      <c r="AB160" s="13"/>
      <c r="AC160" s="13"/>
      <c r="AD160" s="13"/>
      <c r="AE160" s="13"/>
      <c r="AF160" s="13"/>
      <c r="AG160" s="13"/>
      <c r="AH160" s="13"/>
      <c r="AI160" s="12"/>
      <c r="AJ160" s="11"/>
      <c r="AK160" s="10"/>
    </row>
    <row r="161" spans="2:37" ht="12.6" thickTop="1" x14ac:dyDescent="0.25">
      <c r="E161" s="37"/>
      <c r="AI161" s="4"/>
    </row>
    <row r="162" spans="2:37" x14ac:dyDescent="0.25">
      <c r="AI162" s="4"/>
    </row>
    <row r="163" spans="2:37" x14ac:dyDescent="0.25">
      <c r="AI163" s="4"/>
    </row>
    <row r="164" spans="2:37" ht="39.75" customHeight="1" x14ac:dyDescent="0.7">
      <c r="C164" s="36"/>
      <c r="E164" s="240"/>
      <c r="F164" s="240"/>
      <c r="G164" s="240"/>
      <c r="H164" s="240"/>
      <c r="I164" s="240"/>
      <c r="J164" s="240"/>
      <c r="K164" s="240"/>
      <c r="L164" s="240"/>
      <c r="M164" s="240"/>
      <c r="N164" s="240"/>
      <c r="O164" s="240"/>
      <c r="P164" s="240"/>
      <c r="Q164" s="240"/>
      <c r="R164" s="240"/>
      <c r="S164" s="240"/>
      <c r="T164" s="240"/>
      <c r="U164" s="240"/>
      <c r="V164" s="240"/>
      <c r="W164" s="240"/>
      <c r="X164" s="240"/>
      <c r="Y164" s="240"/>
      <c r="Z164" s="240"/>
      <c r="AA164" s="240"/>
      <c r="AB164" s="240"/>
      <c r="AC164" s="240"/>
      <c r="AD164" s="240"/>
      <c r="AE164" s="240"/>
      <c r="AF164" s="240"/>
      <c r="AG164" s="240"/>
      <c r="AH164" s="240"/>
      <c r="AI164" s="240"/>
      <c r="AJ164" s="32" t="s">
        <v>19</v>
      </c>
    </row>
    <row r="165" spans="2:37" ht="12.6" thickBot="1" x14ac:dyDescent="0.3">
      <c r="B165" s="35"/>
      <c r="AI165" s="4"/>
      <c r="AJ165" s="34" t="s">
        <v>202</v>
      </c>
    </row>
    <row r="166" spans="2:37" ht="6.75" customHeight="1" thickTop="1" thickBot="1" x14ac:dyDescent="0.3">
      <c r="B166" s="2"/>
      <c r="C166" s="14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F166" s="13"/>
      <c r="AG166" s="13"/>
      <c r="AH166" s="13"/>
      <c r="AI166" s="13"/>
      <c r="AJ166" s="12"/>
      <c r="AK166" s="33"/>
    </row>
    <row r="167" spans="2:37" ht="13.2" hidden="1" thickTop="1" thickBot="1" x14ac:dyDescent="0.3">
      <c r="B167" s="2"/>
      <c r="C167" s="31" t="s">
        <v>199</v>
      </c>
      <c r="D167" s="30" t="s">
        <v>198</v>
      </c>
      <c r="E167" s="30" t="s">
        <v>197</v>
      </c>
      <c r="F167" s="30" t="s">
        <v>196</v>
      </c>
      <c r="G167" s="30" t="s">
        <v>195</v>
      </c>
      <c r="H167" s="30" t="s">
        <v>194</v>
      </c>
      <c r="I167" s="30" t="s">
        <v>193</v>
      </c>
      <c r="J167" s="30" t="s">
        <v>192</v>
      </c>
      <c r="K167" s="30" t="s">
        <v>191</v>
      </c>
      <c r="L167" s="30" t="s">
        <v>190</v>
      </c>
      <c r="M167" s="30" t="s">
        <v>189</v>
      </c>
      <c r="N167" s="30" t="s">
        <v>188</v>
      </c>
      <c r="O167" s="30" t="s">
        <v>187</v>
      </c>
      <c r="P167" s="30" t="s">
        <v>186</v>
      </c>
      <c r="Q167" s="30" t="s">
        <v>185</v>
      </c>
      <c r="R167" s="30" t="s">
        <v>184</v>
      </c>
      <c r="S167" s="30" t="s">
        <v>183</v>
      </c>
      <c r="T167" s="30" t="s">
        <v>182</v>
      </c>
      <c r="U167" s="30" t="s">
        <v>181</v>
      </c>
      <c r="V167" s="30" t="s">
        <v>180</v>
      </c>
      <c r="W167" s="30" t="s">
        <v>179</v>
      </c>
      <c r="X167" s="30" t="s">
        <v>178</v>
      </c>
      <c r="Y167" s="30" t="s">
        <v>177</v>
      </c>
      <c r="Z167" s="30" t="s">
        <v>176</v>
      </c>
      <c r="AA167" s="30" t="s">
        <v>175</v>
      </c>
      <c r="AB167" s="30" t="s">
        <v>174</v>
      </c>
      <c r="AC167" s="30" t="s">
        <v>173</v>
      </c>
      <c r="AD167" s="30" t="s">
        <v>172</v>
      </c>
      <c r="AE167" s="30" t="s">
        <v>171</v>
      </c>
      <c r="AF167" s="30" t="s">
        <v>170</v>
      </c>
      <c r="AG167" s="30" t="s">
        <v>169</v>
      </c>
      <c r="AH167" s="30" t="s">
        <v>168</v>
      </c>
      <c r="AI167" s="30" t="s">
        <v>167</v>
      </c>
      <c r="AJ167" s="29" t="s">
        <v>166</v>
      </c>
      <c r="AK167" s="2"/>
    </row>
    <row r="168" spans="2:37" ht="19.5" customHeight="1" thickTop="1" thickBot="1" x14ac:dyDescent="0.3">
      <c r="B168" s="28"/>
      <c r="C168" s="27" t="str">
        <f>DADOS!$AL$3</f>
        <v>📝 CDB</v>
      </c>
      <c r="D168" s="26" t="str">
        <f>IF(reservafixaconsolidadodez[[#This Row],[TOTAL (R$)]]=0,"",IF(OR(reservafixaconsolidadodez[[#This Row],[TOTAL (R$)]]=LARGE($AJ$168:$AJ$177,1),reservafixaconsolidadodez[[#This Row],[TOTAL (R$)]]=LARGE($AJ$168:$AJ$177,2)),DADOS!$I$11,""))</f>
        <v/>
      </c>
      <c r="E168" s="96">
        <f>SUMIFS(tabela_registros[VALOR],tabela_registros[MÊS],$AE$1,tabela_registros[DIA],reservafixaconsolidadodez[[#Headers],[1]],tabela_registros[REGISTRO],DADOS!$N$6,tabela_registros[TIPO],DADOS!$AJ$3,tabela_registros[CATEGORIA],reservafixaconsolidadodez[[#This Row],[ATUAL]])</f>
        <v>0</v>
      </c>
      <c r="F168" s="91">
        <f>SUMIFS(tabela_registros[VALOR],tabela_registros[MÊS],$AE$1,tabela_registros[DIA],reservafixaconsolidadodez[[#Headers],[2]],tabela_registros[REGISTRO],DADOS!$N$6,tabela_registros[TIPO],DADOS!$AJ$3,tabela_registros[CATEGORIA],reservafixaconsolidadodez[[#This Row],[ATUAL]])</f>
        <v>0</v>
      </c>
      <c r="G168" s="91">
        <f>SUMIFS(tabela_registros[VALOR],tabela_registros[MÊS],$AE$1,tabela_registros[DIA],reservafixaconsolidadodez[[#Headers],[3]],tabela_registros[REGISTRO],DADOS!$N$6,tabela_registros[TIPO],DADOS!$AJ$3,tabela_registros[CATEGORIA],reservafixaconsolidadodez[[#This Row],[ATUAL]])</f>
        <v>0</v>
      </c>
      <c r="H168" s="91">
        <f>SUMIFS(tabela_registros[VALOR],tabela_registros[MÊS],$AE$1,tabela_registros[DIA],reservafixaconsolidadodez[[#Headers],[4]],tabela_registros[REGISTRO],DADOS!$N$6,tabela_registros[TIPO],DADOS!$AJ$3,tabela_registros[CATEGORIA],reservafixaconsolidadodez[[#This Row],[ATUAL]])</f>
        <v>0</v>
      </c>
      <c r="I168" s="91">
        <f>SUMIFS(tabela_registros[VALOR],tabela_registros[MÊS],$AE$1,tabela_registros[DIA],reservafixaconsolidadodez[[#Headers],[5]],tabela_registros[REGISTRO],DADOS!$N$6,tabela_registros[TIPO],DADOS!$AJ$3,tabela_registros[CATEGORIA],reservafixaconsolidadodez[[#This Row],[ATUAL]])</f>
        <v>0</v>
      </c>
      <c r="J168" s="91">
        <f>SUMIFS(tabela_registros[VALOR],tabela_registros[MÊS],$AE$1,tabela_registros[DIA],reservafixaconsolidadodez[[#Headers],[6]],tabela_registros[REGISTRO],DADOS!$N$6,tabela_registros[TIPO],DADOS!$AJ$3,tabela_registros[CATEGORIA],reservafixaconsolidadodez[[#This Row],[ATUAL]])</f>
        <v>0</v>
      </c>
      <c r="K168" s="91">
        <f>SUMIFS(tabela_registros[VALOR],tabela_registros[MÊS],$AE$1,tabela_registros[DIA],reservafixaconsolidadodez[[#Headers],[7]],tabela_registros[REGISTRO],DADOS!$N$6,tabela_registros[TIPO],DADOS!$AJ$3,tabela_registros[CATEGORIA],reservafixaconsolidadodez[[#This Row],[ATUAL]])</f>
        <v>0</v>
      </c>
      <c r="L168" s="91">
        <f>SUMIFS(tabela_registros[VALOR],tabela_registros[MÊS],$AE$1,tabela_registros[DIA],reservafixaconsolidadodez[[#Headers],[8]],tabela_registros[REGISTRO],DADOS!$N$6,tabela_registros[TIPO],DADOS!$AJ$3,tabela_registros[CATEGORIA],reservafixaconsolidadodez[[#This Row],[ATUAL]])</f>
        <v>0</v>
      </c>
      <c r="M168" s="91">
        <f>SUMIFS(tabela_registros[VALOR],tabela_registros[MÊS],$AE$1,tabela_registros[DIA],reservafixaconsolidadodez[[#Headers],[9]],tabela_registros[REGISTRO],DADOS!$N$6,tabela_registros[TIPO],DADOS!$AJ$3,tabela_registros[CATEGORIA],reservafixaconsolidadodez[[#This Row],[ATUAL]])</f>
        <v>0</v>
      </c>
      <c r="N168" s="91">
        <f>SUMIFS(tabela_registros[VALOR],tabela_registros[MÊS],$AE$1,tabela_registros[DIA],reservafixaconsolidadodez[[#Headers],[10]],tabela_registros[REGISTRO],DADOS!$N$6,tabela_registros[TIPO],DADOS!$AJ$3,tabela_registros[CATEGORIA],reservafixaconsolidadodez[[#This Row],[ATUAL]])</f>
        <v>0</v>
      </c>
      <c r="O168" s="91">
        <f>SUMIFS(tabela_registros[VALOR],tabela_registros[MÊS],$AE$1,tabela_registros[DIA],reservafixaconsolidadodez[[#Headers],[11]],tabela_registros[REGISTRO],DADOS!$N$6,tabela_registros[TIPO],DADOS!$AJ$3,tabela_registros[CATEGORIA],reservafixaconsolidadodez[[#This Row],[ATUAL]])</f>
        <v>0</v>
      </c>
      <c r="P168" s="91">
        <f>SUMIFS(tabela_registros[VALOR],tabela_registros[MÊS],$AE$1,tabela_registros[DIA],reservafixaconsolidadodez[[#Headers],[12]],tabela_registros[REGISTRO],DADOS!$N$6,tabela_registros[TIPO],DADOS!$AJ$3,tabela_registros[CATEGORIA],reservafixaconsolidadodez[[#This Row],[ATUAL]])</f>
        <v>0</v>
      </c>
      <c r="Q168" s="91">
        <f>SUMIFS(tabela_registros[VALOR],tabela_registros[MÊS],$AE$1,tabela_registros[DIA],reservafixaconsolidadodez[[#Headers],[13]],tabela_registros[REGISTRO],DADOS!$N$6,tabela_registros[TIPO],DADOS!$AJ$3,tabela_registros[CATEGORIA],reservafixaconsolidadodez[[#This Row],[ATUAL]])</f>
        <v>0</v>
      </c>
      <c r="R168" s="91">
        <f>SUMIFS(tabela_registros[VALOR],tabela_registros[MÊS],$AE$1,tabela_registros[DIA],reservafixaconsolidadodez[[#Headers],[14]],tabela_registros[REGISTRO],DADOS!$N$6,tabela_registros[TIPO],DADOS!$AJ$3,tabela_registros[CATEGORIA],reservafixaconsolidadodez[[#This Row],[ATUAL]])</f>
        <v>0</v>
      </c>
      <c r="S168" s="91">
        <f>SUMIFS(tabela_registros[VALOR],tabela_registros[MÊS],$AE$1,tabela_registros[DIA],reservafixaconsolidadodez[[#Headers],[15]],tabela_registros[REGISTRO],DADOS!$N$6,tabela_registros[TIPO],DADOS!$AJ$3,tabela_registros[CATEGORIA],reservafixaconsolidadodez[[#This Row],[ATUAL]])</f>
        <v>0</v>
      </c>
      <c r="T168" s="91">
        <f>SUMIFS(tabela_registros[VALOR],tabela_registros[MÊS],$AE$1,tabela_registros[DIA],reservafixaconsolidadodez[[#Headers],[16]],tabela_registros[REGISTRO],DADOS!$N$6,tabela_registros[TIPO],DADOS!$AJ$3,tabela_registros[CATEGORIA],reservafixaconsolidadodez[[#This Row],[ATUAL]])</f>
        <v>0</v>
      </c>
      <c r="U168" s="91">
        <f>SUMIFS(tabela_registros[VALOR],tabela_registros[MÊS],$AE$1,tabela_registros[DIA],reservafixaconsolidadodez[[#Headers],[17]],tabela_registros[REGISTRO],DADOS!$N$6,tabela_registros[TIPO],DADOS!$AJ$3,tabela_registros[CATEGORIA],reservafixaconsolidadodez[[#This Row],[ATUAL]])</f>
        <v>0</v>
      </c>
      <c r="V168" s="91">
        <f>SUMIFS(tabela_registros[VALOR],tabela_registros[MÊS],$AE$1,tabela_registros[DIA],reservafixaconsolidadodez[[#Headers],[18]],tabela_registros[REGISTRO],DADOS!$N$6,tabela_registros[TIPO],DADOS!$AJ$3,tabela_registros[CATEGORIA],reservafixaconsolidadodez[[#This Row],[ATUAL]])</f>
        <v>0</v>
      </c>
      <c r="W168" s="91">
        <f>SUMIFS(tabela_registros[VALOR],tabela_registros[MÊS],$AE$1,tabela_registros[DIA],reservafixaconsolidadodez[[#Headers],[19]],tabela_registros[REGISTRO],DADOS!$N$6,tabela_registros[TIPO],DADOS!$AJ$3,tabela_registros[CATEGORIA],reservafixaconsolidadodez[[#This Row],[ATUAL]])</f>
        <v>0</v>
      </c>
      <c r="X168" s="91">
        <f>SUMIFS(tabela_registros[VALOR],tabela_registros[MÊS],$AE$1,tabela_registros[DIA],reservafixaconsolidadodez[[#Headers],[20]],tabela_registros[REGISTRO],DADOS!$N$6,tabela_registros[TIPO],DADOS!$AJ$3,tabela_registros[CATEGORIA],reservafixaconsolidadodez[[#This Row],[ATUAL]])</f>
        <v>0</v>
      </c>
      <c r="Y168" s="91">
        <f>SUMIFS(tabela_registros[VALOR],tabela_registros[MÊS],$AE$1,tabela_registros[DIA],reservafixaconsolidadodez[[#Headers],[21]],tabela_registros[REGISTRO],DADOS!$N$6,tabela_registros[TIPO],DADOS!$AJ$3,tabela_registros[CATEGORIA],reservafixaconsolidadodez[[#This Row],[ATUAL]])</f>
        <v>0</v>
      </c>
      <c r="Z168" s="91">
        <f>SUMIFS(tabela_registros[VALOR],tabela_registros[MÊS],$AE$1,tabela_registros[DIA],reservafixaconsolidadodez[[#Headers],[22]],tabela_registros[REGISTRO],DADOS!$N$6,tabela_registros[TIPO],DADOS!$AJ$3,tabela_registros[CATEGORIA],reservafixaconsolidadodez[[#This Row],[ATUAL]])</f>
        <v>0</v>
      </c>
      <c r="AA168" s="91">
        <f>SUMIFS(tabela_registros[VALOR],tabela_registros[MÊS],$AE$1,tabela_registros[DIA],reservafixaconsolidadodez[[#Headers],[23]],tabela_registros[REGISTRO],DADOS!$N$6,tabela_registros[TIPO],DADOS!$AJ$3,tabela_registros[CATEGORIA],reservafixaconsolidadodez[[#This Row],[ATUAL]])</f>
        <v>0</v>
      </c>
      <c r="AB168" s="91">
        <f>SUMIFS(tabela_registros[VALOR],tabela_registros[MÊS],$AE$1,tabela_registros[DIA],reservafixaconsolidadodez[[#Headers],[24]],tabela_registros[REGISTRO],DADOS!$N$6,tabela_registros[TIPO],DADOS!$AJ$3,tabela_registros[CATEGORIA],reservafixaconsolidadodez[[#This Row],[ATUAL]])</f>
        <v>0</v>
      </c>
      <c r="AC168" s="91">
        <f>SUMIFS(tabela_registros[VALOR],tabela_registros[MÊS],$AE$1,tabela_registros[DIA],reservafixaconsolidadodez[[#Headers],[25]],tabela_registros[REGISTRO],DADOS!$N$6,tabela_registros[TIPO],DADOS!$AJ$3,tabela_registros[CATEGORIA],reservafixaconsolidadodez[[#This Row],[ATUAL]])</f>
        <v>0</v>
      </c>
      <c r="AD168" s="91">
        <f>SUMIFS(tabela_registros[VALOR],tabela_registros[MÊS],$AE$1,tabela_registros[DIA],reservafixaconsolidadodez[[#Headers],[26]],tabela_registros[REGISTRO],DADOS!$N$6,tabela_registros[TIPO],DADOS!$AJ$3,tabela_registros[CATEGORIA],reservafixaconsolidadodez[[#This Row],[ATUAL]])</f>
        <v>0</v>
      </c>
      <c r="AE168" s="91">
        <f>SUMIFS(tabela_registros[VALOR],tabela_registros[MÊS],$AE$1,tabela_registros[DIA],reservafixaconsolidadodez[[#Headers],[27]],tabela_registros[REGISTRO],DADOS!$N$6,tabela_registros[TIPO],DADOS!$AJ$3,tabela_registros[CATEGORIA],reservafixaconsolidadodez[[#This Row],[ATUAL]])</f>
        <v>0</v>
      </c>
      <c r="AF168" s="91">
        <f>SUMIFS(tabela_registros[VALOR],tabela_registros[MÊS],$AE$1,tabela_registros[DIA],reservafixaconsolidadodez[[#Headers],[28]],tabela_registros[REGISTRO],DADOS!$N$6,tabela_registros[TIPO],DADOS!$AJ$3,tabela_registros[CATEGORIA],reservafixaconsolidadodez[[#This Row],[ATUAL]])</f>
        <v>0</v>
      </c>
      <c r="AG168" s="91">
        <f>SUMIFS(tabela_registros[VALOR],tabela_registros[MÊS],$AE$1,tabela_registros[DIA],reservafixaconsolidadodez[[#Headers],[29]],tabela_registros[REGISTRO],DADOS!$N$6,tabela_registros[TIPO],DADOS!$AJ$3,tabela_registros[CATEGORIA],reservafixaconsolidadodez[[#This Row],[ATUAL]])</f>
        <v>0</v>
      </c>
      <c r="AH168" s="91">
        <f>SUMIFS(tabela_registros[VALOR],tabela_registros[MÊS],$AE$1,tabela_registros[DIA],reservafixaconsolidadodez[[#Headers],[30]],tabela_registros[REGISTRO],DADOS!$N$6,tabela_registros[TIPO],DADOS!$AJ$3,tabela_registros[CATEGORIA],reservafixaconsolidadodez[[#This Row],[ATUAL]])</f>
        <v>0</v>
      </c>
      <c r="AI168" s="101">
        <f>SUMIFS(tabela_registros[VALOR],tabela_registros[MÊS],$AE$1,tabela_registros[DIA],reservafixaconsolidadodez[[#Headers],[31]],tabela_registros[REGISTRO],DADOS!$N$6,tabela_registros[TIPO],DADOS!$AJ$3,tabela_registros[CATEGORIA],reservafixaconsolidadodez[[#This Row],[ATUAL]])</f>
        <v>0</v>
      </c>
      <c r="AJ168" s="97">
        <f>SUM(reservafixaconsolidadodez[[#This Row],[1]:[31]])</f>
        <v>0</v>
      </c>
      <c r="AK168" s="25"/>
    </row>
    <row r="169" spans="2:37" ht="19.5" customHeight="1" thickTop="1" thickBot="1" x14ac:dyDescent="0.3">
      <c r="B169" s="28"/>
      <c r="C169" s="27" t="str">
        <f>DADOS!$AL$4</f>
        <v>📝 CRA</v>
      </c>
      <c r="D169" s="26" t="str">
        <f>IF(reservafixaconsolidadodez[[#This Row],[TOTAL (R$)]]=0,"",IF(OR(reservafixaconsolidadodez[[#This Row],[TOTAL (R$)]]=LARGE($AJ$168:$AJ$177,1),reservafixaconsolidadodez[[#This Row],[TOTAL (R$)]]=LARGE($AJ$168:$AJ$177,2)),DADOS!$I$11,""))</f>
        <v/>
      </c>
      <c r="E169" s="96">
        <f>SUMIFS(tabela_registros[VALOR],tabela_registros[MÊS],$AE$1,tabela_registros[DIA],reservafixaconsolidadodez[[#Headers],[1]],tabela_registros[REGISTRO],DADOS!$N$6,tabela_registros[TIPO],DADOS!$AJ$3,tabela_registros[CATEGORIA],reservafixaconsolidadodez[[#This Row],[ATUAL]])</f>
        <v>0</v>
      </c>
      <c r="F169" s="91">
        <f>SUMIFS(tabela_registros[VALOR],tabela_registros[MÊS],$AE$1,tabela_registros[DIA],reservafixaconsolidadodez[[#Headers],[2]],tabela_registros[REGISTRO],DADOS!$N$6,tabela_registros[TIPO],DADOS!$AJ$3,tabela_registros[CATEGORIA],reservafixaconsolidadodez[[#This Row],[ATUAL]])</f>
        <v>0</v>
      </c>
      <c r="G169" s="91">
        <f>SUMIFS(tabela_registros[VALOR],tabela_registros[MÊS],$AE$1,tabela_registros[DIA],reservafixaconsolidadodez[[#Headers],[3]],tabela_registros[REGISTRO],DADOS!$N$6,tabela_registros[TIPO],DADOS!$AJ$3,tabela_registros[CATEGORIA],reservafixaconsolidadodez[[#This Row],[ATUAL]])</f>
        <v>0</v>
      </c>
      <c r="H169" s="91">
        <f>SUMIFS(tabela_registros[VALOR],tabela_registros[MÊS],$AE$1,tabela_registros[DIA],reservafixaconsolidadodez[[#Headers],[4]],tabela_registros[REGISTRO],DADOS!$N$6,tabela_registros[TIPO],DADOS!$AJ$3,tabela_registros[CATEGORIA],reservafixaconsolidadodez[[#This Row],[ATUAL]])</f>
        <v>0</v>
      </c>
      <c r="I169" s="91">
        <f>SUMIFS(tabela_registros[VALOR],tabela_registros[MÊS],$AE$1,tabela_registros[DIA],reservafixaconsolidadodez[[#Headers],[5]],tabela_registros[REGISTRO],DADOS!$N$6,tabela_registros[TIPO],DADOS!$AJ$3,tabela_registros[CATEGORIA],reservafixaconsolidadodez[[#This Row],[ATUAL]])</f>
        <v>0</v>
      </c>
      <c r="J169" s="91">
        <f>SUMIFS(tabela_registros[VALOR],tabela_registros[MÊS],$AE$1,tabela_registros[DIA],reservafixaconsolidadodez[[#Headers],[6]],tabela_registros[REGISTRO],DADOS!$N$6,tabela_registros[TIPO],DADOS!$AJ$3,tabela_registros[CATEGORIA],reservafixaconsolidadodez[[#This Row],[ATUAL]])</f>
        <v>0</v>
      </c>
      <c r="K169" s="91">
        <f>SUMIFS(tabela_registros[VALOR],tabela_registros[MÊS],$AE$1,tabela_registros[DIA],reservafixaconsolidadodez[[#Headers],[7]],tabela_registros[REGISTRO],DADOS!$N$6,tabela_registros[TIPO],DADOS!$AJ$3,tabela_registros[CATEGORIA],reservafixaconsolidadodez[[#This Row],[ATUAL]])</f>
        <v>0</v>
      </c>
      <c r="L169" s="91">
        <f>SUMIFS(tabela_registros[VALOR],tabela_registros[MÊS],$AE$1,tabela_registros[DIA],reservafixaconsolidadodez[[#Headers],[8]],tabela_registros[REGISTRO],DADOS!$N$6,tabela_registros[TIPO],DADOS!$AJ$3,tabela_registros[CATEGORIA],reservafixaconsolidadodez[[#This Row],[ATUAL]])</f>
        <v>0</v>
      </c>
      <c r="M169" s="91">
        <f>SUMIFS(tabela_registros[VALOR],tabela_registros[MÊS],$AE$1,tabela_registros[DIA],reservafixaconsolidadodez[[#Headers],[9]],tabela_registros[REGISTRO],DADOS!$N$6,tabela_registros[TIPO],DADOS!$AJ$3,tabela_registros[CATEGORIA],reservafixaconsolidadodez[[#This Row],[ATUAL]])</f>
        <v>0</v>
      </c>
      <c r="N169" s="91">
        <f>SUMIFS(tabela_registros[VALOR],tabela_registros[MÊS],$AE$1,tabela_registros[DIA],reservafixaconsolidadodez[[#Headers],[10]],tabela_registros[REGISTRO],DADOS!$N$6,tabela_registros[TIPO],DADOS!$AJ$3,tabela_registros[CATEGORIA],reservafixaconsolidadodez[[#This Row],[ATUAL]])</f>
        <v>0</v>
      </c>
      <c r="O169" s="91">
        <f>SUMIFS(tabela_registros[VALOR],tabela_registros[MÊS],$AE$1,tabela_registros[DIA],reservafixaconsolidadodez[[#Headers],[11]],tabela_registros[REGISTRO],DADOS!$N$6,tabela_registros[TIPO],DADOS!$AJ$3,tabela_registros[CATEGORIA],reservafixaconsolidadodez[[#This Row],[ATUAL]])</f>
        <v>0</v>
      </c>
      <c r="P169" s="91">
        <f>SUMIFS(tabela_registros[VALOR],tabela_registros[MÊS],$AE$1,tabela_registros[DIA],reservafixaconsolidadodez[[#Headers],[12]],tabela_registros[REGISTRO],DADOS!$N$6,tabela_registros[TIPO],DADOS!$AJ$3,tabela_registros[CATEGORIA],reservafixaconsolidadodez[[#This Row],[ATUAL]])</f>
        <v>0</v>
      </c>
      <c r="Q169" s="91">
        <f>SUMIFS(tabela_registros[VALOR],tabela_registros[MÊS],$AE$1,tabela_registros[DIA],reservafixaconsolidadodez[[#Headers],[13]],tabela_registros[REGISTRO],DADOS!$N$6,tabela_registros[TIPO],DADOS!$AJ$3,tabela_registros[CATEGORIA],reservafixaconsolidadodez[[#This Row],[ATUAL]])</f>
        <v>0</v>
      </c>
      <c r="R169" s="91">
        <f>SUMIFS(tabela_registros[VALOR],tabela_registros[MÊS],$AE$1,tabela_registros[DIA],reservafixaconsolidadodez[[#Headers],[14]],tabela_registros[REGISTRO],DADOS!$N$6,tabela_registros[TIPO],DADOS!$AJ$3,tabela_registros[CATEGORIA],reservafixaconsolidadodez[[#This Row],[ATUAL]])</f>
        <v>0</v>
      </c>
      <c r="S169" s="91">
        <f>SUMIFS(tabela_registros[VALOR],tabela_registros[MÊS],$AE$1,tabela_registros[DIA],reservafixaconsolidadodez[[#Headers],[15]],tabela_registros[REGISTRO],DADOS!$N$6,tabela_registros[TIPO],DADOS!$AJ$3,tabela_registros[CATEGORIA],reservafixaconsolidadodez[[#This Row],[ATUAL]])</f>
        <v>0</v>
      </c>
      <c r="T169" s="91">
        <f>SUMIFS(tabela_registros[VALOR],tabela_registros[MÊS],$AE$1,tabela_registros[DIA],reservafixaconsolidadodez[[#Headers],[16]],tabela_registros[REGISTRO],DADOS!$N$6,tabela_registros[TIPO],DADOS!$AJ$3,tabela_registros[CATEGORIA],reservafixaconsolidadodez[[#This Row],[ATUAL]])</f>
        <v>0</v>
      </c>
      <c r="U169" s="91">
        <f>SUMIFS(tabela_registros[VALOR],tabela_registros[MÊS],$AE$1,tabela_registros[DIA],reservafixaconsolidadodez[[#Headers],[17]],tabela_registros[REGISTRO],DADOS!$N$6,tabela_registros[TIPO],DADOS!$AJ$3,tabela_registros[CATEGORIA],reservafixaconsolidadodez[[#This Row],[ATUAL]])</f>
        <v>0</v>
      </c>
      <c r="V169" s="91">
        <f>SUMIFS(tabela_registros[VALOR],tabela_registros[MÊS],$AE$1,tabela_registros[DIA],reservafixaconsolidadodez[[#Headers],[18]],tabela_registros[REGISTRO],DADOS!$N$6,tabela_registros[TIPO],DADOS!$AJ$3,tabela_registros[CATEGORIA],reservafixaconsolidadodez[[#This Row],[ATUAL]])</f>
        <v>0</v>
      </c>
      <c r="W169" s="91">
        <f>SUMIFS(tabela_registros[VALOR],tabela_registros[MÊS],$AE$1,tabela_registros[DIA],reservafixaconsolidadodez[[#Headers],[19]],tabela_registros[REGISTRO],DADOS!$N$6,tabela_registros[TIPO],DADOS!$AJ$3,tabela_registros[CATEGORIA],reservafixaconsolidadodez[[#This Row],[ATUAL]])</f>
        <v>0</v>
      </c>
      <c r="X169" s="91">
        <f>SUMIFS(tabela_registros[VALOR],tabela_registros[MÊS],$AE$1,tabela_registros[DIA],reservafixaconsolidadodez[[#Headers],[20]],tabela_registros[REGISTRO],DADOS!$N$6,tabela_registros[TIPO],DADOS!$AJ$3,tabela_registros[CATEGORIA],reservafixaconsolidadodez[[#This Row],[ATUAL]])</f>
        <v>0</v>
      </c>
      <c r="Y169" s="91">
        <f>SUMIFS(tabela_registros[VALOR],tabela_registros[MÊS],$AE$1,tabela_registros[DIA],reservafixaconsolidadodez[[#Headers],[21]],tabela_registros[REGISTRO],DADOS!$N$6,tabela_registros[TIPO],DADOS!$AJ$3,tabela_registros[CATEGORIA],reservafixaconsolidadodez[[#This Row],[ATUAL]])</f>
        <v>0</v>
      </c>
      <c r="Z169" s="91">
        <f>SUMIFS(tabela_registros[VALOR],tabela_registros[MÊS],$AE$1,tabela_registros[DIA],reservafixaconsolidadodez[[#Headers],[22]],tabela_registros[REGISTRO],DADOS!$N$6,tabela_registros[TIPO],DADOS!$AJ$3,tabela_registros[CATEGORIA],reservafixaconsolidadodez[[#This Row],[ATUAL]])</f>
        <v>0</v>
      </c>
      <c r="AA169" s="91">
        <f>SUMIFS(tabela_registros[VALOR],tabela_registros[MÊS],$AE$1,tabela_registros[DIA],reservafixaconsolidadodez[[#Headers],[23]],tabela_registros[REGISTRO],DADOS!$N$6,tabela_registros[TIPO],DADOS!$AJ$3,tabela_registros[CATEGORIA],reservafixaconsolidadodez[[#This Row],[ATUAL]])</f>
        <v>0</v>
      </c>
      <c r="AB169" s="91">
        <f>SUMIFS(tabela_registros[VALOR],tabela_registros[MÊS],$AE$1,tabela_registros[DIA],reservafixaconsolidadodez[[#Headers],[24]],tabela_registros[REGISTRO],DADOS!$N$6,tabela_registros[TIPO],DADOS!$AJ$3,tabela_registros[CATEGORIA],reservafixaconsolidadodez[[#This Row],[ATUAL]])</f>
        <v>0</v>
      </c>
      <c r="AC169" s="91">
        <f>SUMIFS(tabela_registros[VALOR],tabela_registros[MÊS],$AE$1,tabela_registros[DIA],reservafixaconsolidadodez[[#Headers],[25]],tabela_registros[REGISTRO],DADOS!$N$6,tabela_registros[TIPO],DADOS!$AJ$3,tabela_registros[CATEGORIA],reservafixaconsolidadodez[[#This Row],[ATUAL]])</f>
        <v>0</v>
      </c>
      <c r="AD169" s="91">
        <f>SUMIFS(tabela_registros[VALOR],tabela_registros[MÊS],$AE$1,tabela_registros[DIA],reservafixaconsolidadodez[[#Headers],[26]],tabela_registros[REGISTRO],DADOS!$N$6,tabela_registros[TIPO],DADOS!$AJ$3,tabela_registros[CATEGORIA],reservafixaconsolidadodez[[#This Row],[ATUAL]])</f>
        <v>0</v>
      </c>
      <c r="AE169" s="91">
        <f>SUMIFS(tabela_registros[VALOR],tabela_registros[MÊS],$AE$1,tabela_registros[DIA],reservafixaconsolidadodez[[#Headers],[27]],tabela_registros[REGISTRO],DADOS!$N$6,tabela_registros[TIPO],DADOS!$AJ$3,tabela_registros[CATEGORIA],reservafixaconsolidadodez[[#This Row],[ATUAL]])</f>
        <v>0</v>
      </c>
      <c r="AF169" s="91">
        <f>SUMIFS(tabela_registros[VALOR],tabela_registros[MÊS],$AE$1,tabela_registros[DIA],reservafixaconsolidadodez[[#Headers],[28]],tabela_registros[REGISTRO],DADOS!$N$6,tabela_registros[TIPO],DADOS!$AJ$3,tabela_registros[CATEGORIA],reservafixaconsolidadodez[[#This Row],[ATUAL]])</f>
        <v>0</v>
      </c>
      <c r="AG169" s="91">
        <f>SUMIFS(tabela_registros[VALOR],tabela_registros[MÊS],$AE$1,tabela_registros[DIA],reservafixaconsolidadodez[[#Headers],[29]],tabela_registros[REGISTRO],DADOS!$N$6,tabela_registros[TIPO],DADOS!$AJ$3,tabela_registros[CATEGORIA],reservafixaconsolidadodez[[#This Row],[ATUAL]])</f>
        <v>0</v>
      </c>
      <c r="AH169" s="91">
        <f>SUMIFS(tabela_registros[VALOR],tabela_registros[MÊS],$AE$1,tabela_registros[DIA],reservafixaconsolidadodez[[#Headers],[30]],tabela_registros[REGISTRO],DADOS!$N$6,tabela_registros[TIPO],DADOS!$AJ$3,tabela_registros[CATEGORIA],reservafixaconsolidadodez[[#This Row],[ATUAL]])</f>
        <v>0</v>
      </c>
      <c r="AI169" s="101">
        <f>SUMIFS(tabela_registros[VALOR],tabela_registros[MÊS],$AE$1,tabela_registros[DIA],reservafixaconsolidadodez[[#Headers],[31]],tabela_registros[REGISTRO],DADOS!$N$6,tabela_registros[TIPO],DADOS!$AJ$3,tabela_registros[CATEGORIA],reservafixaconsolidadodez[[#This Row],[ATUAL]])</f>
        <v>0</v>
      </c>
      <c r="AJ169" s="97">
        <f>SUM(reservafixaconsolidadodez[[#This Row],[1]:[31]])</f>
        <v>0</v>
      </c>
      <c r="AK169" s="25"/>
    </row>
    <row r="170" spans="2:37" ht="19.5" customHeight="1" thickTop="1" thickBot="1" x14ac:dyDescent="0.3">
      <c r="B170" s="28"/>
      <c r="C170" s="27" t="str">
        <f>DADOS!$AL$5</f>
        <v>📝 CRI</v>
      </c>
      <c r="D170" s="26" t="str">
        <f>IF(reservafixaconsolidadodez[[#This Row],[TOTAL (R$)]]=0,"",IF(OR(reservafixaconsolidadodez[[#This Row],[TOTAL (R$)]]=LARGE($AJ$168:$AJ$177,1),reservafixaconsolidadodez[[#This Row],[TOTAL (R$)]]=LARGE($AJ$168:$AJ$177,2)),DADOS!$I$11,""))</f>
        <v/>
      </c>
      <c r="E170" s="96">
        <f>SUMIFS(tabela_registros[VALOR],tabela_registros[MÊS],$AE$1,tabela_registros[DIA],reservafixaconsolidadodez[[#Headers],[1]],tabela_registros[REGISTRO],DADOS!$N$6,tabela_registros[TIPO],DADOS!$AJ$3,tabela_registros[CATEGORIA],reservafixaconsolidadodez[[#This Row],[ATUAL]])</f>
        <v>0</v>
      </c>
      <c r="F170" s="91">
        <f>SUMIFS(tabela_registros[VALOR],tabela_registros[MÊS],$AE$1,tabela_registros[DIA],reservafixaconsolidadodez[[#Headers],[2]],tabela_registros[REGISTRO],DADOS!$N$6,tabela_registros[TIPO],DADOS!$AJ$3,tabela_registros[CATEGORIA],reservafixaconsolidadodez[[#This Row],[ATUAL]])</f>
        <v>0</v>
      </c>
      <c r="G170" s="91">
        <f>SUMIFS(tabela_registros[VALOR],tabela_registros[MÊS],$AE$1,tabela_registros[DIA],reservafixaconsolidadodez[[#Headers],[3]],tabela_registros[REGISTRO],DADOS!$N$6,tabela_registros[TIPO],DADOS!$AJ$3,tabela_registros[CATEGORIA],reservafixaconsolidadodez[[#This Row],[ATUAL]])</f>
        <v>0</v>
      </c>
      <c r="H170" s="91">
        <f>SUMIFS(tabela_registros[VALOR],tabela_registros[MÊS],$AE$1,tabela_registros[DIA],reservafixaconsolidadodez[[#Headers],[4]],tabela_registros[REGISTRO],DADOS!$N$6,tabela_registros[TIPO],DADOS!$AJ$3,tabela_registros[CATEGORIA],reservafixaconsolidadodez[[#This Row],[ATUAL]])</f>
        <v>0</v>
      </c>
      <c r="I170" s="91">
        <f>SUMIFS(tabela_registros[VALOR],tabela_registros[MÊS],$AE$1,tabela_registros[DIA],reservafixaconsolidadodez[[#Headers],[5]],tabela_registros[REGISTRO],DADOS!$N$6,tabela_registros[TIPO],DADOS!$AJ$3,tabela_registros[CATEGORIA],reservafixaconsolidadodez[[#This Row],[ATUAL]])</f>
        <v>0</v>
      </c>
      <c r="J170" s="91">
        <f>SUMIFS(tabela_registros[VALOR],tabela_registros[MÊS],$AE$1,tabela_registros[DIA],reservafixaconsolidadodez[[#Headers],[6]],tabela_registros[REGISTRO],DADOS!$N$6,tabela_registros[TIPO],DADOS!$AJ$3,tabela_registros[CATEGORIA],reservafixaconsolidadodez[[#This Row],[ATUAL]])</f>
        <v>0</v>
      </c>
      <c r="K170" s="91">
        <f>SUMIFS(tabela_registros[VALOR],tabela_registros[MÊS],$AE$1,tabela_registros[DIA],reservafixaconsolidadodez[[#Headers],[7]],tabela_registros[REGISTRO],DADOS!$N$6,tabela_registros[TIPO],DADOS!$AJ$3,tabela_registros[CATEGORIA],reservafixaconsolidadodez[[#This Row],[ATUAL]])</f>
        <v>0</v>
      </c>
      <c r="L170" s="91">
        <f>SUMIFS(tabela_registros[VALOR],tabela_registros[MÊS],$AE$1,tabela_registros[DIA],reservafixaconsolidadodez[[#Headers],[8]],tabela_registros[REGISTRO],DADOS!$N$6,tabela_registros[TIPO],DADOS!$AJ$3,tabela_registros[CATEGORIA],reservafixaconsolidadodez[[#This Row],[ATUAL]])</f>
        <v>0</v>
      </c>
      <c r="M170" s="91">
        <f>SUMIFS(tabela_registros[VALOR],tabela_registros[MÊS],$AE$1,tabela_registros[DIA],reservafixaconsolidadodez[[#Headers],[9]],tabela_registros[REGISTRO],DADOS!$N$6,tabela_registros[TIPO],DADOS!$AJ$3,tabela_registros[CATEGORIA],reservafixaconsolidadodez[[#This Row],[ATUAL]])</f>
        <v>0</v>
      </c>
      <c r="N170" s="91">
        <f>SUMIFS(tabela_registros[VALOR],tabela_registros[MÊS],$AE$1,tabela_registros[DIA],reservafixaconsolidadodez[[#Headers],[10]],tabela_registros[REGISTRO],DADOS!$N$6,tabela_registros[TIPO],DADOS!$AJ$3,tabela_registros[CATEGORIA],reservafixaconsolidadodez[[#This Row],[ATUAL]])</f>
        <v>0</v>
      </c>
      <c r="O170" s="91">
        <f>SUMIFS(tabela_registros[VALOR],tabela_registros[MÊS],$AE$1,tabela_registros[DIA],reservafixaconsolidadodez[[#Headers],[11]],tabela_registros[REGISTRO],DADOS!$N$6,tabela_registros[TIPO],DADOS!$AJ$3,tabela_registros[CATEGORIA],reservafixaconsolidadodez[[#This Row],[ATUAL]])</f>
        <v>0</v>
      </c>
      <c r="P170" s="91">
        <f>SUMIFS(tabela_registros[VALOR],tabela_registros[MÊS],$AE$1,tabela_registros[DIA],reservafixaconsolidadodez[[#Headers],[12]],tabela_registros[REGISTRO],DADOS!$N$6,tabela_registros[TIPO],DADOS!$AJ$3,tabela_registros[CATEGORIA],reservafixaconsolidadodez[[#This Row],[ATUAL]])</f>
        <v>0</v>
      </c>
      <c r="Q170" s="91">
        <f>SUMIFS(tabela_registros[VALOR],tabela_registros[MÊS],$AE$1,tabela_registros[DIA],reservafixaconsolidadodez[[#Headers],[13]],tabela_registros[REGISTRO],DADOS!$N$6,tabela_registros[TIPO],DADOS!$AJ$3,tabela_registros[CATEGORIA],reservafixaconsolidadodez[[#This Row],[ATUAL]])</f>
        <v>0</v>
      </c>
      <c r="R170" s="91">
        <f>SUMIFS(tabela_registros[VALOR],tabela_registros[MÊS],$AE$1,tabela_registros[DIA],reservafixaconsolidadodez[[#Headers],[14]],tabela_registros[REGISTRO],DADOS!$N$6,tabela_registros[TIPO],DADOS!$AJ$3,tabela_registros[CATEGORIA],reservafixaconsolidadodez[[#This Row],[ATUAL]])</f>
        <v>0</v>
      </c>
      <c r="S170" s="91">
        <f>SUMIFS(tabela_registros[VALOR],tabela_registros[MÊS],$AE$1,tabela_registros[DIA],reservafixaconsolidadodez[[#Headers],[15]],tabela_registros[REGISTRO],DADOS!$N$6,tabela_registros[TIPO],DADOS!$AJ$3,tabela_registros[CATEGORIA],reservafixaconsolidadodez[[#This Row],[ATUAL]])</f>
        <v>0</v>
      </c>
      <c r="T170" s="91">
        <f>SUMIFS(tabela_registros[VALOR],tabela_registros[MÊS],$AE$1,tabela_registros[DIA],reservafixaconsolidadodez[[#Headers],[16]],tabela_registros[REGISTRO],DADOS!$N$6,tabela_registros[TIPO],DADOS!$AJ$3,tabela_registros[CATEGORIA],reservafixaconsolidadodez[[#This Row],[ATUAL]])</f>
        <v>0</v>
      </c>
      <c r="U170" s="91">
        <f>SUMIFS(tabela_registros[VALOR],tabela_registros[MÊS],$AE$1,tabela_registros[DIA],reservafixaconsolidadodez[[#Headers],[17]],tabela_registros[REGISTRO],DADOS!$N$6,tabela_registros[TIPO],DADOS!$AJ$3,tabela_registros[CATEGORIA],reservafixaconsolidadodez[[#This Row],[ATUAL]])</f>
        <v>0</v>
      </c>
      <c r="V170" s="91">
        <f>SUMIFS(tabela_registros[VALOR],tabela_registros[MÊS],$AE$1,tabela_registros[DIA],reservafixaconsolidadodez[[#Headers],[18]],tabela_registros[REGISTRO],DADOS!$N$6,tabela_registros[TIPO],DADOS!$AJ$3,tabela_registros[CATEGORIA],reservafixaconsolidadodez[[#This Row],[ATUAL]])</f>
        <v>0</v>
      </c>
      <c r="W170" s="91">
        <f>SUMIFS(tabela_registros[VALOR],tabela_registros[MÊS],$AE$1,tabela_registros[DIA],reservafixaconsolidadodez[[#Headers],[19]],tabela_registros[REGISTRO],DADOS!$N$6,tabela_registros[TIPO],DADOS!$AJ$3,tabela_registros[CATEGORIA],reservafixaconsolidadodez[[#This Row],[ATUAL]])</f>
        <v>0</v>
      </c>
      <c r="X170" s="91">
        <f>SUMIFS(tabela_registros[VALOR],tabela_registros[MÊS],$AE$1,tabela_registros[DIA],reservafixaconsolidadodez[[#Headers],[20]],tabela_registros[REGISTRO],DADOS!$N$6,tabela_registros[TIPO],DADOS!$AJ$3,tabela_registros[CATEGORIA],reservafixaconsolidadodez[[#This Row],[ATUAL]])</f>
        <v>0</v>
      </c>
      <c r="Y170" s="91">
        <f>SUMIFS(tabela_registros[VALOR],tabela_registros[MÊS],$AE$1,tabela_registros[DIA],reservafixaconsolidadodez[[#Headers],[21]],tabela_registros[REGISTRO],DADOS!$N$6,tabela_registros[TIPO],DADOS!$AJ$3,tabela_registros[CATEGORIA],reservafixaconsolidadodez[[#This Row],[ATUAL]])</f>
        <v>0</v>
      </c>
      <c r="Z170" s="91">
        <f>SUMIFS(tabela_registros[VALOR],tabela_registros[MÊS],$AE$1,tabela_registros[DIA],reservafixaconsolidadodez[[#Headers],[22]],tabela_registros[REGISTRO],DADOS!$N$6,tabela_registros[TIPO],DADOS!$AJ$3,tabela_registros[CATEGORIA],reservafixaconsolidadodez[[#This Row],[ATUAL]])</f>
        <v>0</v>
      </c>
      <c r="AA170" s="91">
        <f>SUMIFS(tabela_registros[VALOR],tabela_registros[MÊS],$AE$1,tabela_registros[DIA],reservafixaconsolidadodez[[#Headers],[23]],tabela_registros[REGISTRO],DADOS!$N$6,tabela_registros[TIPO],DADOS!$AJ$3,tabela_registros[CATEGORIA],reservafixaconsolidadodez[[#This Row],[ATUAL]])</f>
        <v>0</v>
      </c>
      <c r="AB170" s="91">
        <f>SUMIFS(tabela_registros[VALOR],tabela_registros[MÊS],$AE$1,tabela_registros[DIA],reservafixaconsolidadodez[[#Headers],[24]],tabela_registros[REGISTRO],DADOS!$N$6,tabela_registros[TIPO],DADOS!$AJ$3,tabela_registros[CATEGORIA],reservafixaconsolidadodez[[#This Row],[ATUAL]])</f>
        <v>0</v>
      </c>
      <c r="AC170" s="91">
        <f>SUMIFS(tabela_registros[VALOR],tabela_registros[MÊS],$AE$1,tabela_registros[DIA],reservafixaconsolidadodez[[#Headers],[25]],tabela_registros[REGISTRO],DADOS!$N$6,tabela_registros[TIPO],DADOS!$AJ$3,tabela_registros[CATEGORIA],reservafixaconsolidadodez[[#This Row],[ATUAL]])</f>
        <v>0</v>
      </c>
      <c r="AD170" s="91">
        <f>SUMIFS(tabela_registros[VALOR],tabela_registros[MÊS],$AE$1,tabela_registros[DIA],reservafixaconsolidadodez[[#Headers],[26]],tabela_registros[REGISTRO],DADOS!$N$6,tabela_registros[TIPO],DADOS!$AJ$3,tabela_registros[CATEGORIA],reservafixaconsolidadodez[[#This Row],[ATUAL]])</f>
        <v>0</v>
      </c>
      <c r="AE170" s="91">
        <f>SUMIFS(tabela_registros[VALOR],tabela_registros[MÊS],$AE$1,tabela_registros[DIA],reservafixaconsolidadodez[[#Headers],[27]],tabela_registros[REGISTRO],DADOS!$N$6,tabela_registros[TIPO],DADOS!$AJ$3,tabela_registros[CATEGORIA],reservafixaconsolidadodez[[#This Row],[ATUAL]])</f>
        <v>0</v>
      </c>
      <c r="AF170" s="91">
        <f>SUMIFS(tabela_registros[VALOR],tabela_registros[MÊS],$AE$1,tabela_registros[DIA],reservafixaconsolidadodez[[#Headers],[28]],tabela_registros[REGISTRO],DADOS!$N$6,tabela_registros[TIPO],DADOS!$AJ$3,tabela_registros[CATEGORIA],reservafixaconsolidadodez[[#This Row],[ATUAL]])</f>
        <v>0</v>
      </c>
      <c r="AG170" s="91">
        <f>SUMIFS(tabela_registros[VALOR],tabela_registros[MÊS],$AE$1,tabela_registros[DIA],reservafixaconsolidadodez[[#Headers],[29]],tabela_registros[REGISTRO],DADOS!$N$6,tabela_registros[TIPO],DADOS!$AJ$3,tabela_registros[CATEGORIA],reservafixaconsolidadodez[[#This Row],[ATUAL]])</f>
        <v>0</v>
      </c>
      <c r="AH170" s="91">
        <f>SUMIFS(tabela_registros[VALOR],tabela_registros[MÊS],$AE$1,tabela_registros[DIA],reservafixaconsolidadodez[[#Headers],[30]],tabela_registros[REGISTRO],DADOS!$N$6,tabela_registros[TIPO],DADOS!$AJ$3,tabela_registros[CATEGORIA],reservafixaconsolidadodez[[#This Row],[ATUAL]])</f>
        <v>0</v>
      </c>
      <c r="AI170" s="101">
        <f>SUMIFS(tabela_registros[VALOR],tabela_registros[MÊS],$AE$1,tabela_registros[DIA],reservafixaconsolidadodez[[#Headers],[31]],tabela_registros[REGISTRO],DADOS!$N$6,tabela_registros[TIPO],DADOS!$AJ$3,tabela_registros[CATEGORIA],reservafixaconsolidadodez[[#This Row],[ATUAL]])</f>
        <v>0</v>
      </c>
      <c r="AJ170" s="97">
        <f>SUM(reservafixaconsolidadodez[[#This Row],[1]:[31]])</f>
        <v>0</v>
      </c>
      <c r="AK170" s="25"/>
    </row>
    <row r="171" spans="2:37" ht="19.5" customHeight="1" thickTop="1" thickBot="1" x14ac:dyDescent="0.3">
      <c r="B171" s="28"/>
      <c r="C171" s="27" t="str">
        <f>DADOS!$AL$6</f>
        <v>📝 DEBÊNTURE</v>
      </c>
      <c r="D171" s="26" t="str">
        <f>IF(reservafixaconsolidadodez[[#This Row],[TOTAL (R$)]]=0,"",IF(OR(reservafixaconsolidadodez[[#This Row],[TOTAL (R$)]]=LARGE($AJ$168:$AJ$177,1),reservafixaconsolidadodez[[#This Row],[TOTAL (R$)]]=LARGE($AJ$168:$AJ$177,2)),DADOS!$I$11,""))</f>
        <v/>
      </c>
      <c r="E171" s="96">
        <f>SUMIFS(tabela_registros[VALOR],tabela_registros[MÊS],$AE$1,tabela_registros[DIA],reservafixaconsolidadodez[[#Headers],[1]],tabela_registros[REGISTRO],DADOS!$N$6,tabela_registros[TIPO],DADOS!$AJ$3,tabela_registros[CATEGORIA],reservafixaconsolidadodez[[#This Row],[ATUAL]])</f>
        <v>0</v>
      </c>
      <c r="F171" s="91">
        <f>SUMIFS(tabela_registros[VALOR],tabela_registros[MÊS],$AE$1,tabela_registros[DIA],reservafixaconsolidadodez[[#Headers],[2]],tabela_registros[REGISTRO],DADOS!$N$6,tabela_registros[TIPO],DADOS!$AJ$3,tabela_registros[CATEGORIA],reservafixaconsolidadodez[[#This Row],[ATUAL]])</f>
        <v>0</v>
      </c>
      <c r="G171" s="91">
        <f>SUMIFS(tabela_registros[VALOR],tabela_registros[MÊS],$AE$1,tabela_registros[DIA],reservafixaconsolidadodez[[#Headers],[3]],tabela_registros[REGISTRO],DADOS!$N$6,tabela_registros[TIPO],DADOS!$AJ$3,tabela_registros[CATEGORIA],reservafixaconsolidadodez[[#This Row],[ATUAL]])</f>
        <v>0</v>
      </c>
      <c r="H171" s="91">
        <f>SUMIFS(tabela_registros[VALOR],tabela_registros[MÊS],$AE$1,tabela_registros[DIA],reservafixaconsolidadodez[[#Headers],[4]],tabela_registros[REGISTRO],DADOS!$N$6,tabela_registros[TIPO],DADOS!$AJ$3,tabela_registros[CATEGORIA],reservafixaconsolidadodez[[#This Row],[ATUAL]])</f>
        <v>0</v>
      </c>
      <c r="I171" s="91">
        <f>SUMIFS(tabela_registros[VALOR],tabela_registros[MÊS],$AE$1,tabela_registros[DIA],reservafixaconsolidadodez[[#Headers],[5]],tabela_registros[REGISTRO],DADOS!$N$6,tabela_registros[TIPO],DADOS!$AJ$3,tabela_registros[CATEGORIA],reservafixaconsolidadodez[[#This Row],[ATUAL]])</f>
        <v>0</v>
      </c>
      <c r="J171" s="91">
        <f>SUMIFS(tabela_registros[VALOR],tabela_registros[MÊS],$AE$1,tabela_registros[DIA],reservafixaconsolidadodez[[#Headers],[6]],tabela_registros[REGISTRO],DADOS!$N$6,tabela_registros[TIPO],DADOS!$AJ$3,tabela_registros[CATEGORIA],reservafixaconsolidadodez[[#This Row],[ATUAL]])</f>
        <v>0</v>
      </c>
      <c r="K171" s="91">
        <f>SUMIFS(tabela_registros[VALOR],tabela_registros[MÊS],$AE$1,tabela_registros[DIA],reservafixaconsolidadodez[[#Headers],[7]],tabela_registros[REGISTRO],DADOS!$N$6,tabela_registros[TIPO],DADOS!$AJ$3,tabela_registros[CATEGORIA],reservafixaconsolidadodez[[#This Row],[ATUAL]])</f>
        <v>0</v>
      </c>
      <c r="L171" s="91">
        <f>SUMIFS(tabela_registros[VALOR],tabela_registros[MÊS],$AE$1,tabela_registros[DIA],reservafixaconsolidadodez[[#Headers],[8]],tabela_registros[REGISTRO],DADOS!$N$6,tabela_registros[TIPO],DADOS!$AJ$3,tabela_registros[CATEGORIA],reservafixaconsolidadodez[[#This Row],[ATUAL]])</f>
        <v>0</v>
      </c>
      <c r="M171" s="91">
        <f>SUMIFS(tabela_registros[VALOR],tabela_registros[MÊS],$AE$1,tabela_registros[DIA],reservafixaconsolidadodez[[#Headers],[9]],tabela_registros[REGISTRO],DADOS!$N$6,tabela_registros[TIPO],DADOS!$AJ$3,tabela_registros[CATEGORIA],reservafixaconsolidadodez[[#This Row],[ATUAL]])</f>
        <v>0</v>
      </c>
      <c r="N171" s="91">
        <f>SUMIFS(tabela_registros[VALOR],tabela_registros[MÊS],$AE$1,tabela_registros[DIA],reservafixaconsolidadodez[[#Headers],[10]],tabela_registros[REGISTRO],DADOS!$N$6,tabela_registros[TIPO],DADOS!$AJ$3,tabela_registros[CATEGORIA],reservafixaconsolidadodez[[#This Row],[ATUAL]])</f>
        <v>0</v>
      </c>
      <c r="O171" s="91">
        <f>SUMIFS(tabela_registros[VALOR],tabela_registros[MÊS],$AE$1,tabela_registros[DIA],reservafixaconsolidadodez[[#Headers],[11]],tabela_registros[REGISTRO],DADOS!$N$6,tabela_registros[TIPO],DADOS!$AJ$3,tabela_registros[CATEGORIA],reservafixaconsolidadodez[[#This Row],[ATUAL]])</f>
        <v>0</v>
      </c>
      <c r="P171" s="91">
        <f>SUMIFS(tabela_registros[VALOR],tabela_registros[MÊS],$AE$1,tabela_registros[DIA],reservafixaconsolidadodez[[#Headers],[12]],tabela_registros[REGISTRO],DADOS!$N$6,tabela_registros[TIPO],DADOS!$AJ$3,tabela_registros[CATEGORIA],reservafixaconsolidadodez[[#This Row],[ATUAL]])</f>
        <v>0</v>
      </c>
      <c r="Q171" s="91">
        <f>SUMIFS(tabela_registros[VALOR],tabela_registros[MÊS],$AE$1,tabela_registros[DIA],reservafixaconsolidadodez[[#Headers],[13]],tabela_registros[REGISTRO],DADOS!$N$6,tabela_registros[TIPO],DADOS!$AJ$3,tabela_registros[CATEGORIA],reservafixaconsolidadodez[[#This Row],[ATUAL]])</f>
        <v>0</v>
      </c>
      <c r="R171" s="91">
        <f>SUMIFS(tabela_registros[VALOR],tabela_registros[MÊS],$AE$1,tabela_registros[DIA],reservafixaconsolidadodez[[#Headers],[14]],tabela_registros[REGISTRO],DADOS!$N$6,tabela_registros[TIPO],DADOS!$AJ$3,tabela_registros[CATEGORIA],reservafixaconsolidadodez[[#This Row],[ATUAL]])</f>
        <v>0</v>
      </c>
      <c r="S171" s="91">
        <f>SUMIFS(tabela_registros[VALOR],tabela_registros[MÊS],$AE$1,tabela_registros[DIA],reservafixaconsolidadodez[[#Headers],[15]],tabela_registros[REGISTRO],DADOS!$N$6,tabela_registros[TIPO],DADOS!$AJ$3,tabela_registros[CATEGORIA],reservafixaconsolidadodez[[#This Row],[ATUAL]])</f>
        <v>0</v>
      </c>
      <c r="T171" s="91">
        <f>SUMIFS(tabela_registros[VALOR],tabela_registros[MÊS],$AE$1,tabela_registros[DIA],reservafixaconsolidadodez[[#Headers],[16]],tabela_registros[REGISTRO],DADOS!$N$6,tabela_registros[TIPO],DADOS!$AJ$3,tabela_registros[CATEGORIA],reservafixaconsolidadodez[[#This Row],[ATUAL]])</f>
        <v>0</v>
      </c>
      <c r="U171" s="91">
        <f>SUMIFS(tabela_registros[VALOR],tabela_registros[MÊS],$AE$1,tabela_registros[DIA],reservafixaconsolidadodez[[#Headers],[17]],tabela_registros[REGISTRO],DADOS!$N$6,tabela_registros[TIPO],DADOS!$AJ$3,tabela_registros[CATEGORIA],reservafixaconsolidadodez[[#This Row],[ATUAL]])</f>
        <v>0</v>
      </c>
      <c r="V171" s="91">
        <f>SUMIFS(tabela_registros[VALOR],tabela_registros[MÊS],$AE$1,tabela_registros[DIA],reservafixaconsolidadodez[[#Headers],[18]],tabela_registros[REGISTRO],DADOS!$N$6,tabela_registros[TIPO],DADOS!$AJ$3,tabela_registros[CATEGORIA],reservafixaconsolidadodez[[#This Row],[ATUAL]])</f>
        <v>0</v>
      </c>
      <c r="W171" s="91">
        <f>SUMIFS(tabela_registros[VALOR],tabela_registros[MÊS],$AE$1,tabela_registros[DIA],reservafixaconsolidadodez[[#Headers],[19]],tabela_registros[REGISTRO],DADOS!$N$6,tabela_registros[TIPO],DADOS!$AJ$3,tabela_registros[CATEGORIA],reservafixaconsolidadodez[[#This Row],[ATUAL]])</f>
        <v>0</v>
      </c>
      <c r="X171" s="91">
        <f>SUMIFS(tabela_registros[VALOR],tabela_registros[MÊS],$AE$1,tabela_registros[DIA],reservafixaconsolidadodez[[#Headers],[20]],tabela_registros[REGISTRO],DADOS!$N$6,tabela_registros[TIPO],DADOS!$AJ$3,tabela_registros[CATEGORIA],reservafixaconsolidadodez[[#This Row],[ATUAL]])</f>
        <v>0</v>
      </c>
      <c r="Y171" s="91">
        <f>SUMIFS(tabela_registros[VALOR],tabela_registros[MÊS],$AE$1,tabela_registros[DIA],reservafixaconsolidadodez[[#Headers],[21]],tabela_registros[REGISTRO],DADOS!$N$6,tabela_registros[TIPO],DADOS!$AJ$3,tabela_registros[CATEGORIA],reservafixaconsolidadodez[[#This Row],[ATUAL]])</f>
        <v>0</v>
      </c>
      <c r="Z171" s="91">
        <f>SUMIFS(tabela_registros[VALOR],tabela_registros[MÊS],$AE$1,tabela_registros[DIA],reservafixaconsolidadodez[[#Headers],[22]],tabela_registros[REGISTRO],DADOS!$N$6,tabela_registros[TIPO],DADOS!$AJ$3,tabela_registros[CATEGORIA],reservafixaconsolidadodez[[#This Row],[ATUAL]])</f>
        <v>0</v>
      </c>
      <c r="AA171" s="91">
        <f>SUMIFS(tabela_registros[VALOR],tabela_registros[MÊS],$AE$1,tabela_registros[DIA],reservafixaconsolidadodez[[#Headers],[23]],tabela_registros[REGISTRO],DADOS!$N$6,tabela_registros[TIPO],DADOS!$AJ$3,tabela_registros[CATEGORIA],reservafixaconsolidadodez[[#This Row],[ATUAL]])</f>
        <v>0</v>
      </c>
      <c r="AB171" s="91">
        <f>SUMIFS(tabela_registros[VALOR],tabela_registros[MÊS],$AE$1,tabela_registros[DIA],reservafixaconsolidadodez[[#Headers],[24]],tabela_registros[REGISTRO],DADOS!$N$6,tabela_registros[TIPO],DADOS!$AJ$3,tabela_registros[CATEGORIA],reservafixaconsolidadodez[[#This Row],[ATUAL]])</f>
        <v>0</v>
      </c>
      <c r="AC171" s="91">
        <f>SUMIFS(tabela_registros[VALOR],tabela_registros[MÊS],$AE$1,tabela_registros[DIA],reservafixaconsolidadodez[[#Headers],[25]],tabela_registros[REGISTRO],DADOS!$N$6,tabela_registros[TIPO],DADOS!$AJ$3,tabela_registros[CATEGORIA],reservafixaconsolidadodez[[#This Row],[ATUAL]])</f>
        <v>0</v>
      </c>
      <c r="AD171" s="91">
        <f>SUMIFS(tabela_registros[VALOR],tabela_registros[MÊS],$AE$1,tabela_registros[DIA],reservafixaconsolidadodez[[#Headers],[26]],tabela_registros[REGISTRO],DADOS!$N$6,tabela_registros[TIPO],DADOS!$AJ$3,tabela_registros[CATEGORIA],reservafixaconsolidadodez[[#This Row],[ATUAL]])</f>
        <v>0</v>
      </c>
      <c r="AE171" s="91">
        <f>SUMIFS(tabela_registros[VALOR],tabela_registros[MÊS],$AE$1,tabela_registros[DIA],reservafixaconsolidadodez[[#Headers],[27]],tabela_registros[REGISTRO],DADOS!$N$6,tabela_registros[TIPO],DADOS!$AJ$3,tabela_registros[CATEGORIA],reservafixaconsolidadodez[[#This Row],[ATUAL]])</f>
        <v>0</v>
      </c>
      <c r="AF171" s="91">
        <f>SUMIFS(tabela_registros[VALOR],tabela_registros[MÊS],$AE$1,tabela_registros[DIA],reservafixaconsolidadodez[[#Headers],[28]],tabela_registros[REGISTRO],DADOS!$N$6,tabela_registros[TIPO],DADOS!$AJ$3,tabela_registros[CATEGORIA],reservafixaconsolidadodez[[#This Row],[ATUAL]])</f>
        <v>0</v>
      </c>
      <c r="AG171" s="91">
        <f>SUMIFS(tabela_registros[VALOR],tabela_registros[MÊS],$AE$1,tabela_registros[DIA],reservafixaconsolidadodez[[#Headers],[29]],tabela_registros[REGISTRO],DADOS!$N$6,tabela_registros[TIPO],DADOS!$AJ$3,tabela_registros[CATEGORIA],reservafixaconsolidadodez[[#This Row],[ATUAL]])</f>
        <v>0</v>
      </c>
      <c r="AH171" s="91">
        <f>SUMIFS(tabela_registros[VALOR],tabela_registros[MÊS],$AE$1,tabela_registros[DIA],reservafixaconsolidadodez[[#Headers],[30]],tabela_registros[REGISTRO],DADOS!$N$6,tabela_registros[TIPO],DADOS!$AJ$3,tabela_registros[CATEGORIA],reservafixaconsolidadodez[[#This Row],[ATUAL]])</f>
        <v>0</v>
      </c>
      <c r="AI171" s="101">
        <f>SUMIFS(tabela_registros[VALOR],tabela_registros[MÊS],$AE$1,tabela_registros[DIA],reservafixaconsolidadodez[[#Headers],[31]],tabela_registros[REGISTRO],DADOS!$N$6,tabela_registros[TIPO],DADOS!$AJ$3,tabela_registros[CATEGORIA],reservafixaconsolidadodez[[#This Row],[ATUAL]])</f>
        <v>0</v>
      </c>
      <c r="AJ171" s="97">
        <f>SUM(reservafixaconsolidadodez[[#This Row],[1]:[31]])</f>
        <v>0</v>
      </c>
      <c r="AK171" s="25"/>
    </row>
    <row r="172" spans="2:37" ht="19.5" customHeight="1" thickTop="1" thickBot="1" x14ac:dyDescent="0.3">
      <c r="B172" s="28"/>
      <c r="C172" s="27" t="str">
        <f>DADOS!$AL$7</f>
        <v>📝 EXTERIOR</v>
      </c>
      <c r="D172" s="26" t="str">
        <f>IF(reservafixaconsolidadodez[[#This Row],[TOTAL (R$)]]=0,"",IF(OR(reservafixaconsolidadodez[[#This Row],[TOTAL (R$)]]=LARGE($AJ$168:$AJ$177,1),reservafixaconsolidadodez[[#This Row],[TOTAL (R$)]]=LARGE($AJ$168:$AJ$177,2)),DADOS!$I$11,""))</f>
        <v/>
      </c>
      <c r="E172" s="96">
        <f>SUMIFS(tabela_registros[VALOR],tabela_registros[MÊS],$AE$1,tabela_registros[DIA],reservafixaconsolidadodez[[#Headers],[1]],tabela_registros[REGISTRO],DADOS!$N$6,tabela_registros[TIPO],DADOS!$AJ$3,tabela_registros[CATEGORIA],reservafixaconsolidadodez[[#This Row],[ATUAL]])</f>
        <v>0</v>
      </c>
      <c r="F172" s="91">
        <f>SUMIFS(tabela_registros[VALOR],tabela_registros[MÊS],$AE$1,tabela_registros[DIA],reservafixaconsolidadodez[[#Headers],[2]],tabela_registros[REGISTRO],DADOS!$N$6,tabela_registros[TIPO],DADOS!$AJ$3,tabela_registros[CATEGORIA],reservafixaconsolidadodez[[#This Row],[ATUAL]])</f>
        <v>0</v>
      </c>
      <c r="G172" s="91">
        <f>SUMIFS(tabela_registros[VALOR],tabela_registros[MÊS],$AE$1,tabela_registros[DIA],reservafixaconsolidadodez[[#Headers],[3]],tabela_registros[REGISTRO],DADOS!$N$6,tabela_registros[TIPO],DADOS!$AJ$3,tabela_registros[CATEGORIA],reservafixaconsolidadodez[[#This Row],[ATUAL]])</f>
        <v>0</v>
      </c>
      <c r="H172" s="91">
        <f>SUMIFS(tabela_registros[VALOR],tabela_registros[MÊS],$AE$1,tabela_registros[DIA],reservafixaconsolidadodez[[#Headers],[4]],tabela_registros[REGISTRO],DADOS!$N$6,tabela_registros[TIPO],DADOS!$AJ$3,tabela_registros[CATEGORIA],reservafixaconsolidadodez[[#This Row],[ATUAL]])</f>
        <v>0</v>
      </c>
      <c r="I172" s="91">
        <f>SUMIFS(tabela_registros[VALOR],tabela_registros[MÊS],$AE$1,tabela_registros[DIA],reservafixaconsolidadodez[[#Headers],[5]],tabela_registros[REGISTRO],DADOS!$N$6,tabela_registros[TIPO],DADOS!$AJ$3,tabela_registros[CATEGORIA],reservafixaconsolidadodez[[#This Row],[ATUAL]])</f>
        <v>0</v>
      </c>
      <c r="J172" s="91">
        <f>SUMIFS(tabela_registros[VALOR],tabela_registros[MÊS],$AE$1,tabela_registros[DIA],reservafixaconsolidadodez[[#Headers],[6]],tabela_registros[REGISTRO],DADOS!$N$6,tabela_registros[TIPO],DADOS!$AJ$3,tabela_registros[CATEGORIA],reservafixaconsolidadodez[[#This Row],[ATUAL]])</f>
        <v>0</v>
      </c>
      <c r="K172" s="91">
        <f>SUMIFS(tabela_registros[VALOR],tabela_registros[MÊS],$AE$1,tabela_registros[DIA],reservafixaconsolidadodez[[#Headers],[7]],tabela_registros[REGISTRO],DADOS!$N$6,tabela_registros[TIPO],DADOS!$AJ$3,tabela_registros[CATEGORIA],reservafixaconsolidadodez[[#This Row],[ATUAL]])</f>
        <v>0</v>
      </c>
      <c r="L172" s="91">
        <f>SUMIFS(tabela_registros[VALOR],tabela_registros[MÊS],$AE$1,tabela_registros[DIA],reservafixaconsolidadodez[[#Headers],[8]],tabela_registros[REGISTRO],DADOS!$N$6,tabela_registros[TIPO],DADOS!$AJ$3,tabela_registros[CATEGORIA],reservafixaconsolidadodez[[#This Row],[ATUAL]])</f>
        <v>0</v>
      </c>
      <c r="M172" s="91">
        <f>SUMIFS(tabela_registros[VALOR],tabela_registros[MÊS],$AE$1,tabela_registros[DIA],reservafixaconsolidadodez[[#Headers],[9]],tabela_registros[REGISTRO],DADOS!$N$6,tabela_registros[TIPO],DADOS!$AJ$3,tabela_registros[CATEGORIA],reservafixaconsolidadodez[[#This Row],[ATUAL]])</f>
        <v>0</v>
      </c>
      <c r="N172" s="91">
        <f>SUMIFS(tabela_registros[VALOR],tabela_registros[MÊS],$AE$1,tabela_registros[DIA],reservafixaconsolidadodez[[#Headers],[10]],tabela_registros[REGISTRO],DADOS!$N$6,tabela_registros[TIPO],DADOS!$AJ$3,tabela_registros[CATEGORIA],reservafixaconsolidadodez[[#This Row],[ATUAL]])</f>
        <v>0</v>
      </c>
      <c r="O172" s="91">
        <f>SUMIFS(tabela_registros[VALOR],tabela_registros[MÊS],$AE$1,tabela_registros[DIA],reservafixaconsolidadodez[[#Headers],[11]],tabela_registros[REGISTRO],DADOS!$N$6,tabela_registros[TIPO],DADOS!$AJ$3,tabela_registros[CATEGORIA],reservafixaconsolidadodez[[#This Row],[ATUAL]])</f>
        <v>0</v>
      </c>
      <c r="P172" s="91">
        <f>SUMIFS(tabela_registros[VALOR],tabela_registros[MÊS],$AE$1,tabela_registros[DIA],reservafixaconsolidadodez[[#Headers],[12]],tabela_registros[REGISTRO],DADOS!$N$6,tabela_registros[TIPO],DADOS!$AJ$3,tabela_registros[CATEGORIA],reservafixaconsolidadodez[[#This Row],[ATUAL]])</f>
        <v>0</v>
      </c>
      <c r="Q172" s="91">
        <f>SUMIFS(tabela_registros[VALOR],tabela_registros[MÊS],$AE$1,tabela_registros[DIA],reservafixaconsolidadodez[[#Headers],[13]],tabela_registros[REGISTRO],DADOS!$N$6,tabela_registros[TIPO],DADOS!$AJ$3,tabela_registros[CATEGORIA],reservafixaconsolidadodez[[#This Row],[ATUAL]])</f>
        <v>0</v>
      </c>
      <c r="R172" s="91">
        <f>SUMIFS(tabela_registros[VALOR],tabela_registros[MÊS],$AE$1,tabela_registros[DIA],reservafixaconsolidadodez[[#Headers],[14]],tabela_registros[REGISTRO],DADOS!$N$6,tabela_registros[TIPO],DADOS!$AJ$3,tabela_registros[CATEGORIA],reservafixaconsolidadodez[[#This Row],[ATUAL]])</f>
        <v>0</v>
      </c>
      <c r="S172" s="91">
        <f>SUMIFS(tabela_registros[VALOR],tabela_registros[MÊS],$AE$1,tabela_registros[DIA],reservafixaconsolidadodez[[#Headers],[15]],tabela_registros[REGISTRO],DADOS!$N$6,tabela_registros[TIPO],DADOS!$AJ$3,tabela_registros[CATEGORIA],reservafixaconsolidadodez[[#This Row],[ATUAL]])</f>
        <v>0</v>
      </c>
      <c r="T172" s="91">
        <f>SUMIFS(tabela_registros[VALOR],tabela_registros[MÊS],$AE$1,tabela_registros[DIA],reservafixaconsolidadodez[[#Headers],[16]],tabela_registros[REGISTRO],DADOS!$N$6,tabela_registros[TIPO],DADOS!$AJ$3,tabela_registros[CATEGORIA],reservafixaconsolidadodez[[#This Row],[ATUAL]])</f>
        <v>0</v>
      </c>
      <c r="U172" s="91">
        <f>SUMIFS(tabela_registros[VALOR],tabela_registros[MÊS],$AE$1,tabela_registros[DIA],reservafixaconsolidadodez[[#Headers],[17]],tabela_registros[REGISTRO],DADOS!$N$6,tabela_registros[TIPO],DADOS!$AJ$3,tabela_registros[CATEGORIA],reservafixaconsolidadodez[[#This Row],[ATUAL]])</f>
        <v>0</v>
      </c>
      <c r="V172" s="91">
        <f>SUMIFS(tabela_registros[VALOR],tabela_registros[MÊS],$AE$1,tabela_registros[DIA],reservafixaconsolidadodez[[#Headers],[18]],tabela_registros[REGISTRO],DADOS!$N$6,tabela_registros[TIPO],DADOS!$AJ$3,tabela_registros[CATEGORIA],reservafixaconsolidadodez[[#This Row],[ATUAL]])</f>
        <v>0</v>
      </c>
      <c r="W172" s="91">
        <f>SUMIFS(tabela_registros[VALOR],tabela_registros[MÊS],$AE$1,tabela_registros[DIA],reservafixaconsolidadodez[[#Headers],[19]],tabela_registros[REGISTRO],DADOS!$N$6,tabela_registros[TIPO],DADOS!$AJ$3,tabela_registros[CATEGORIA],reservafixaconsolidadodez[[#This Row],[ATUAL]])</f>
        <v>0</v>
      </c>
      <c r="X172" s="91">
        <f>SUMIFS(tabela_registros[VALOR],tabela_registros[MÊS],$AE$1,tabela_registros[DIA],reservafixaconsolidadodez[[#Headers],[20]],tabela_registros[REGISTRO],DADOS!$N$6,tabela_registros[TIPO],DADOS!$AJ$3,tabela_registros[CATEGORIA],reservafixaconsolidadodez[[#This Row],[ATUAL]])</f>
        <v>0</v>
      </c>
      <c r="Y172" s="91">
        <f>SUMIFS(tabela_registros[VALOR],tabela_registros[MÊS],$AE$1,tabela_registros[DIA],reservafixaconsolidadodez[[#Headers],[21]],tabela_registros[REGISTRO],DADOS!$N$6,tabela_registros[TIPO],DADOS!$AJ$3,tabela_registros[CATEGORIA],reservafixaconsolidadodez[[#This Row],[ATUAL]])</f>
        <v>0</v>
      </c>
      <c r="Z172" s="91">
        <f>SUMIFS(tabela_registros[VALOR],tabela_registros[MÊS],$AE$1,tabela_registros[DIA],reservafixaconsolidadodez[[#Headers],[22]],tabela_registros[REGISTRO],DADOS!$N$6,tabela_registros[TIPO],DADOS!$AJ$3,tabela_registros[CATEGORIA],reservafixaconsolidadodez[[#This Row],[ATUAL]])</f>
        <v>0</v>
      </c>
      <c r="AA172" s="91">
        <f>SUMIFS(tabela_registros[VALOR],tabela_registros[MÊS],$AE$1,tabela_registros[DIA],reservafixaconsolidadodez[[#Headers],[23]],tabela_registros[REGISTRO],DADOS!$N$6,tabela_registros[TIPO],DADOS!$AJ$3,tabela_registros[CATEGORIA],reservafixaconsolidadodez[[#This Row],[ATUAL]])</f>
        <v>0</v>
      </c>
      <c r="AB172" s="91">
        <f>SUMIFS(tabela_registros[VALOR],tabela_registros[MÊS],$AE$1,tabela_registros[DIA],reservafixaconsolidadodez[[#Headers],[24]],tabela_registros[REGISTRO],DADOS!$N$6,tabela_registros[TIPO],DADOS!$AJ$3,tabela_registros[CATEGORIA],reservafixaconsolidadodez[[#This Row],[ATUAL]])</f>
        <v>0</v>
      </c>
      <c r="AC172" s="91">
        <f>SUMIFS(tabela_registros[VALOR],tabela_registros[MÊS],$AE$1,tabela_registros[DIA],reservafixaconsolidadodez[[#Headers],[25]],tabela_registros[REGISTRO],DADOS!$N$6,tabela_registros[TIPO],DADOS!$AJ$3,tabela_registros[CATEGORIA],reservafixaconsolidadodez[[#This Row],[ATUAL]])</f>
        <v>0</v>
      </c>
      <c r="AD172" s="91">
        <f>SUMIFS(tabela_registros[VALOR],tabela_registros[MÊS],$AE$1,tabela_registros[DIA],reservafixaconsolidadodez[[#Headers],[26]],tabela_registros[REGISTRO],DADOS!$N$6,tabela_registros[TIPO],DADOS!$AJ$3,tabela_registros[CATEGORIA],reservafixaconsolidadodez[[#This Row],[ATUAL]])</f>
        <v>0</v>
      </c>
      <c r="AE172" s="91">
        <f>SUMIFS(tabela_registros[VALOR],tabela_registros[MÊS],$AE$1,tabela_registros[DIA],reservafixaconsolidadodez[[#Headers],[27]],tabela_registros[REGISTRO],DADOS!$N$6,tabela_registros[TIPO],DADOS!$AJ$3,tabela_registros[CATEGORIA],reservafixaconsolidadodez[[#This Row],[ATUAL]])</f>
        <v>0</v>
      </c>
      <c r="AF172" s="91">
        <f>SUMIFS(tabela_registros[VALOR],tabela_registros[MÊS],$AE$1,tabela_registros[DIA],reservafixaconsolidadodez[[#Headers],[28]],tabela_registros[REGISTRO],DADOS!$N$6,tabela_registros[TIPO],DADOS!$AJ$3,tabela_registros[CATEGORIA],reservafixaconsolidadodez[[#This Row],[ATUAL]])</f>
        <v>0</v>
      </c>
      <c r="AG172" s="91">
        <f>SUMIFS(tabela_registros[VALOR],tabela_registros[MÊS],$AE$1,tabela_registros[DIA],reservafixaconsolidadodez[[#Headers],[29]],tabela_registros[REGISTRO],DADOS!$N$6,tabela_registros[TIPO],DADOS!$AJ$3,tabela_registros[CATEGORIA],reservafixaconsolidadodez[[#This Row],[ATUAL]])</f>
        <v>0</v>
      </c>
      <c r="AH172" s="91">
        <f>SUMIFS(tabela_registros[VALOR],tabela_registros[MÊS],$AE$1,tabela_registros[DIA],reservafixaconsolidadodez[[#Headers],[30]],tabela_registros[REGISTRO],DADOS!$N$6,tabela_registros[TIPO],DADOS!$AJ$3,tabela_registros[CATEGORIA],reservafixaconsolidadodez[[#This Row],[ATUAL]])</f>
        <v>0</v>
      </c>
      <c r="AI172" s="101">
        <f>SUMIFS(tabela_registros[VALOR],tabela_registros[MÊS],$AE$1,tabela_registros[DIA],reservafixaconsolidadodez[[#Headers],[31]],tabela_registros[REGISTRO],DADOS!$N$6,tabela_registros[TIPO],DADOS!$AJ$3,tabela_registros[CATEGORIA],reservafixaconsolidadodez[[#This Row],[ATUAL]])</f>
        <v>0</v>
      </c>
      <c r="AJ172" s="97">
        <f>SUM(reservafixaconsolidadodez[[#This Row],[1]:[31]])</f>
        <v>0</v>
      </c>
      <c r="AK172" s="25"/>
    </row>
    <row r="173" spans="2:37" ht="19.5" customHeight="1" thickTop="1" thickBot="1" x14ac:dyDescent="0.3">
      <c r="B173" s="28"/>
      <c r="C173" s="27" t="str">
        <f>DADOS!$AL$8</f>
        <v>📝 LC</v>
      </c>
      <c r="D173" s="26" t="str">
        <f>IF(reservafixaconsolidadodez[[#This Row],[TOTAL (R$)]]=0,"",IF(OR(reservafixaconsolidadodez[[#This Row],[TOTAL (R$)]]=LARGE($AJ$168:$AJ$177,1),reservafixaconsolidadodez[[#This Row],[TOTAL (R$)]]=LARGE($AJ$168:$AJ$177,2)),DADOS!$I$11,""))</f>
        <v/>
      </c>
      <c r="E173" s="96">
        <f>SUMIFS(tabela_registros[VALOR],tabela_registros[MÊS],$AE$1,tabela_registros[DIA],reservafixaconsolidadodez[[#Headers],[1]],tabela_registros[REGISTRO],DADOS!$N$6,tabela_registros[TIPO],DADOS!$AJ$3,tabela_registros[CATEGORIA],reservafixaconsolidadodez[[#This Row],[ATUAL]])</f>
        <v>0</v>
      </c>
      <c r="F173" s="91">
        <f>SUMIFS(tabela_registros[VALOR],tabela_registros[MÊS],$AE$1,tabela_registros[DIA],reservafixaconsolidadodez[[#Headers],[2]],tabela_registros[REGISTRO],DADOS!$N$6,tabela_registros[TIPO],DADOS!$AJ$3,tabela_registros[CATEGORIA],reservafixaconsolidadodez[[#This Row],[ATUAL]])</f>
        <v>0</v>
      </c>
      <c r="G173" s="91">
        <f>SUMIFS(tabela_registros[VALOR],tabela_registros[MÊS],$AE$1,tabela_registros[DIA],reservafixaconsolidadodez[[#Headers],[3]],tabela_registros[REGISTRO],DADOS!$N$6,tabela_registros[TIPO],DADOS!$AJ$3,tabela_registros[CATEGORIA],reservafixaconsolidadodez[[#This Row],[ATUAL]])</f>
        <v>0</v>
      </c>
      <c r="H173" s="91">
        <f>SUMIFS(tabela_registros[VALOR],tabela_registros[MÊS],$AE$1,tabela_registros[DIA],reservafixaconsolidadodez[[#Headers],[4]],tabela_registros[REGISTRO],DADOS!$N$6,tabela_registros[TIPO],DADOS!$AJ$3,tabela_registros[CATEGORIA],reservafixaconsolidadodez[[#This Row],[ATUAL]])</f>
        <v>0</v>
      </c>
      <c r="I173" s="91">
        <f>SUMIFS(tabela_registros[VALOR],tabela_registros[MÊS],$AE$1,tabela_registros[DIA],reservafixaconsolidadodez[[#Headers],[5]],tabela_registros[REGISTRO],DADOS!$N$6,tabela_registros[TIPO],DADOS!$AJ$3,tabela_registros[CATEGORIA],reservafixaconsolidadodez[[#This Row],[ATUAL]])</f>
        <v>0</v>
      </c>
      <c r="J173" s="91">
        <f>SUMIFS(tabela_registros[VALOR],tabela_registros[MÊS],$AE$1,tabela_registros[DIA],reservafixaconsolidadodez[[#Headers],[6]],tabela_registros[REGISTRO],DADOS!$N$6,tabela_registros[TIPO],DADOS!$AJ$3,tabela_registros[CATEGORIA],reservafixaconsolidadodez[[#This Row],[ATUAL]])</f>
        <v>0</v>
      </c>
      <c r="K173" s="91">
        <f>SUMIFS(tabela_registros[VALOR],tabela_registros[MÊS],$AE$1,tabela_registros[DIA],reservafixaconsolidadodez[[#Headers],[7]],tabela_registros[REGISTRO],DADOS!$N$6,tabela_registros[TIPO],DADOS!$AJ$3,tabela_registros[CATEGORIA],reservafixaconsolidadodez[[#This Row],[ATUAL]])</f>
        <v>0</v>
      </c>
      <c r="L173" s="91">
        <f>SUMIFS(tabela_registros[VALOR],tabela_registros[MÊS],$AE$1,tabela_registros[DIA],reservafixaconsolidadodez[[#Headers],[8]],tabela_registros[REGISTRO],DADOS!$N$6,tabela_registros[TIPO],DADOS!$AJ$3,tabela_registros[CATEGORIA],reservafixaconsolidadodez[[#This Row],[ATUAL]])</f>
        <v>0</v>
      </c>
      <c r="M173" s="91">
        <f>SUMIFS(tabela_registros[VALOR],tabela_registros[MÊS],$AE$1,tabela_registros[DIA],reservafixaconsolidadodez[[#Headers],[9]],tabela_registros[REGISTRO],DADOS!$N$6,tabela_registros[TIPO],DADOS!$AJ$3,tabela_registros[CATEGORIA],reservafixaconsolidadodez[[#This Row],[ATUAL]])</f>
        <v>0</v>
      </c>
      <c r="N173" s="91">
        <f>SUMIFS(tabela_registros[VALOR],tabela_registros[MÊS],$AE$1,tabela_registros[DIA],reservafixaconsolidadodez[[#Headers],[10]],tabela_registros[REGISTRO],DADOS!$N$6,tabela_registros[TIPO],DADOS!$AJ$3,tabela_registros[CATEGORIA],reservafixaconsolidadodez[[#This Row],[ATUAL]])</f>
        <v>0</v>
      </c>
      <c r="O173" s="91">
        <f>SUMIFS(tabela_registros[VALOR],tabela_registros[MÊS],$AE$1,tabela_registros[DIA],reservafixaconsolidadodez[[#Headers],[11]],tabela_registros[REGISTRO],DADOS!$N$6,tabela_registros[TIPO],DADOS!$AJ$3,tabela_registros[CATEGORIA],reservafixaconsolidadodez[[#This Row],[ATUAL]])</f>
        <v>0</v>
      </c>
      <c r="P173" s="91">
        <f>SUMIFS(tabela_registros[VALOR],tabela_registros[MÊS],$AE$1,tabela_registros[DIA],reservafixaconsolidadodez[[#Headers],[12]],tabela_registros[REGISTRO],DADOS!$N$6,tabela_registros[TIPO],DADOS!$AJ$3,tabela_registros[CATEGORIA],reservafixaconsolidadodez[[#This Row],[ATUAL]])</f>
        <v>0</v>
      </c>
      <c r="Q173" s="91">
        <f>SUMIFS(tabela_registros[VALOR],tabela_registros[MÊS],$AE$1,tabela_registros[DIA],reservafixaconsolidadodez[[#Headers],[13]],tabela_registros[REGISTRO],DADOS!$N$6,tabela_registros[TIPO],DADOS!$AJ$3,tabela_registros[CATEGORIA],reservafixaconsolidadodez[[#This Row],[ATUAL]])</f>
        <v>0</v>
      </c>
      <c r="R173" s="91">
        <f>SUMIFS(tabela_registros[VALOR],tabela_registros[MÊS],$AE$1,tabela_registros[DIA],reservafixaconsolidadodez[[#Headers],[14]],tabela_registros[REGISTRO],DADOS!$N$6,tabela_registros[TIPO],DADOS!$AJ$3,tabela_registros[CATEGORIA],reservafixaconsolidadodez[[#This Row],[ATUAL]])</f>
        <v>0</v>
      </c>
      <c r="S173" s="91">
        <f>SUMIFS(tabela_registros[VALOR],tabela_registros[MÊS],$AE$1,tabela_registros[DIA],reservafixaconsolidadodez[[#Headers],[15]],tabela_registros[REGISTRO],DADOS!$N$6,tabela_registros[TIPO],DADOS!$AJ$3,tabela_registros[CATEGORIA],reservafixaconsolidadodez[[#This Row],[ATUAL]])</f>
        <v>0</v>
      </c>
      <c r="T173" s="91">
        <f>SUMIFS(tabela_registros[VALOR],tabela_registros[MÊS],$AE$1,tabela_registros[DIA],reservafixaconsolidadodez[[#Headers],[16]],tabela_registros[REGISTRO],DADOS!$N$6,tabela_registros[TIPO],DADOS!$AJ$3,tabela_registros[CATEGORIA],reservafixaconsolidadodez[[#This Row],[ATUAL]])</f>
        <v>0</v>
      </c>
      <c r="U173" s="91">
        <f>SUMIFS(tabela_registros[VALOR],tabela_registros[MÊS],$AE$1,tabela_registros[DIA],reservafixaconsolidadodez[[#Headers],[17]],tabela_registros[REGISTRO],DADOS!$N$6,tabela_registros[TIPO],DADOS!$AJ$3,tabela_registros[CATEGORIA],reservafixaconsolidadodez[[#This Row],[ATUAL]])</f>
        <v>0</v>
      </c>
      <c r="V173" s="91">
        <f>SUMIFS(tabela_registros[VALOR],tabela_registros[MÊS],$AE$1,tabela_registros[DIA],reservafixaconsolidadodez[[#Headers],[18]],tabela_registros[REGISTRO],DADOS!$N$6,tabela_registros[TIPO],DADOS!$AJ$3,tabela_registros[CATEGORIA],reservafixaconsolidadodez[[#This Row],[ATUAL]])</f>
        <v>0</v>
      </c>
      <c r="W173" s="91">
        <f>SUMIFS(tabela_registros[VALOR],tabela_registros[MÊS],$AE$1,tabela_registros[DIA],reservafixaconsolidadodez[[#Headers],[19]],tabela_registros[REGISTRO],DADOS!$N$6,tabela_registros[TIPO],DADOS!$AJ$3,tabela_registros[CATEGORIA],reservafixaconsolidadodez[[#This Row],[ATUAL]])</f>
        <v>0</v>
      </c>
      <c r="X173" s="91">
        <f>SUMIFS(tabela_registros[VALOR],tabela_registros[MÊS],$AE$1,tabela_registros[DIA],reservafixaconsolidadodez[[#Headers],[20]],tabela_registros[REGISTRO],DADOS!$N$6,tabela_registros[TIPO],DADOS!$AJ$3,tabela_registros[CATEGORIA],reservafixaconsolidadodez[[#This Row],[ATUAL]])</f>
        <v>0</v>
      </c>
      <c r="Y173" s="91">
        <f>SUMIFS(tabela_registros[VALOR],tabela_registros[MÊS],$AE$1,tabela_registros[DIA],reservafixaconsolidadodez[[#Headers],[21]],tabela_registros[REGISTRO],DADOS!$N$6,tabela_registros[TIPO],DADOS!$AJ$3,tabela_registros[CATEGORIA],reservafixaconsolidadodez[[#This Row],[ATUAL]])</f>
        <v>0</v>
      </c>
      <c r="Z173" s="91">
        <f>SUMIFS(tabela_registros[VALOR],tabela_registros[MÊS],$AE$1,tabela_registros[DIA],reservafixaconsolidadodez[[#Headers],[22]],tabela_registros[REGISTRO],DADOS!$N$6,tabela_registros[TIPO],DADOS!$AJ$3,tabela_registros[CATEGORIA],reservafixaconsolidadodez[[#This Row],[ATUAL]])</f>
        <v>0</v>
      </c>
      <c r="AA173" s="91">
        <f>SUMIFS(tabela_registros[VALOR],tabela_registros[MÊS],$AE$1,tabela_registros[DIA],reservafixaconsolidadodez[[#Headers],[23]],tabela_registros[REGISTRO],DADOS!$N$6,tabela_registros[TIPO],DADOS!$AJ$3,tabela_registros[CATEGORIA],reservafixaconsolidadodez[[#This Row],[ATUAL]])</f>
        <v>0</v>
      </c>
      <c r="AB173" s="91">
        <f>SUMIFS(tabela_registros[VALOR],tabela_registros[MÊS],$AE$1,tabela_registros[DIA],reservafixaconsolidadodez[[#Headers],[24]],tabela_registros[REGISTRO],DADOS!$N$6,tabela_registros[TIPO],DADOS!$AJ$3,tabela_registros[CATEGORIA],reservafixaconsolidadodez[[#This Row],[ATUAL]])</f>
        <v>0</v>
      </c>
      <c r="AC173" s="91">
        <f>SUMIFS(tabela_registros[VALOR],tabela_registros[MÊS],$AE$1,tabela_registros[DIA],reservafixaconsolidadodez[[#Headers],[25]],tabela_registros[REGISTRO],DADOS!$N$6,tabela_registros[TIPO],DADOS!$AJ$3,tabela_registros[CATEGORIA],reservafixaconsolidadodez[[#This Row],[ATUAL]])</f>
        <v>0</v>
      </c>
      <c r="AD173" s="91">
        <f>SUMIFS(tabela_registros[VALOR],tabela_registros[MÊS],$AE$1,tabela_registros[DIA],reservafixaconsolidadodez[[#Headers],[26]],tabela_registros[REGISTRO],DADOS!$N$6,tabela_registros[TIPO],DADOS!$AJ$3,tabela_registros[CATEGORIA],reservafixaconsolidadodez[[#This Row],[ATUAL]])</f>
        <v>0</v>
      </c>
      <c r="AE173" s="91">
        <f>SUMIFS(tabela_registros[VALOR],tabela_registros[MÊS],$AE$1,tabela_registros[DIA],reservafixaconsolidadodez[[#Headers],[27]],tabela_registros[REGISTRO],DADOS!$N$6,tabela_registros[TIPO],DADOS!$AJ$3,tabela_registros[CATEGORIA],reservafixaconsolidadodez[[#This Row],[ATUAL]])</f>
        <v>0</v>
      </c>
      <c r="AF173" s="91">
        <f>SUMIFS(tabela_registros[VALOR],tabela_registros[MÊS],$AE$1,tabela_registros[DIA],reservafixaconsolidadodez[[#Headers],[28]],tabela_registros[REGISTRO],DADOS!$N$6,tabela_registros[TIPO],DADOS!$AJ$3,tabela_registros[CATEGORIA],reservafixaconsolidadodez[[#This Row],[ATUAL]])</f>
        <v>0</v>
      </c>
      <c r="AG173" s="91">
        <f>SUMIFS(tabela_registros[VALOR],tabela_registros[MÊS],$AE$1,tabela_registros[DIA],reservafixaconsolidadodez[[#Headers],[29]],tabela_registros[REGISTRO],DADOS!$N$6,tabela_registros[TIPO],DADOS!$AJ$3,tabela_registros[CATEGORIA],reservafixaconsolidadodez[[#This Row],[ATUAL]])</f>
        <v>0</v>
      </c>
      <c r="AH173" s="91">
        <f>SUMIFS(tabela_registros[VALOR],tabela_registros[MÊS],$AE$1,tabela_registros[DIA],reservafixaconsolidadodez[[#Headers],[30]],tabela_registros[REGISTRO],DADOS!$N$6,tabela_registros[TIPO],DADOS!$AJ$3,tabela_registros[CATEGORIA],reservafixaconsolidadodez[[#This Row],[ATUAL]])</f>
        <v>0</v>
      </c>
      <c r="AI173" s="101">
        <f>SUMIFS(tabela_registros[VALOR],tabela_registros[MÊS],$AE$1,tabela_registros[DIA],reservafixaconsolidadodez[[#Headers],[31]],tabela_registros[REGISTRO],DADOS!$N$6,tabela_registros[TIPO],DADOS!$AJ$3,tabela_registros[CATEGORIA],reservafixaconsolidadodez[[#This Row],[ATUAL]])</f>
        <v>0</v>
      </c>
      <c r="AJ173" s="97">
        <f>SUM(reservafixaconsolidadodez[[#This Row],[1]:[31]])</f>
        <v>0</v>
      </c>
      <c r="AK173" s="25"/>
    </row>
    <row r="174" spans="2:37" ht="19.5" customHeight="1" thickTop="1" thickBot="1" x14ac:dyDescent="0.3">
      <c r="B174" s="28"/>
      <c r="C174" s="27" t="str">
        <f>DADOS!$AL$9</f>
        <v>📝 LCA</v>
      </c>
      <c r="D174" s="26" t="str">
        <f>IF(reservafixaconsolidadodez[[#This Row],[TOTAL (R$)]]=0,"",IF(OR(reservafixaconsolidadodez[[#This Row],[TOTAL (R$)]]=LARGE($AJ$168:$AJ$177,1),reservafixaconsolidadodez[[#This Row],[TOTAL (R$)]]=LARGE($AJ$168:$AJ$177,2)),DADOS!$I$11,""))</f>
        <v/>
      </c>
      <c r="E174" s="96">
        <f>SUMIFS(tabela_registros[VALOR],tabela_registros[MÊS],$AE$1,tabela_registros[DIA],reservafixaconsolidadodez[[#Headers],[1]],tabela_registros[REGISTRO],DADOS!$N$6,tabela_registros[TIPO],DADOS!$AJ$3,tabela_registros[CATEGORIA],reservafixaconsolidadodez[[#This Row],[ATUAL]])</f>
        <v>0</v>
      </c>
      <c r="F174" s="91">
        <f>SUMIFS(tabela_registros[VALOR],tabela_registros[MÊS],$AE$1,tabela_registros[DIA],reservafixaconsolidadodez[[#Headers],[2]],tabela_registros[REGISTRO],DADOS!$N$6,tabela_registros[TIPO],DADOS!$AJ$3,tabela_registros[CATEGORIA],reservafixaconsolidadodez[[#This Row],[ATUAL]])</f>
        <v>0</v>
      </c>
      <c r="G174" s="91">
        <f>SUMIFS(tabela_registros[VALOR],tabela_registros[MÊS],$AE$1,tabela_registros[DIA],reservafixaconsolidadodez[[#Headers],[3]],tabela_registros[REGISTRO],DADOS!$N$6,tabela_registros[TIPO],DADOS!$AJ$3,tabela_registros[CATEGORIA],reservafixaconsolidadodez[[#This Row],[ATUAL]])</f>
        <v>0</v>
      </c>
      <c r="H174" s="91">
        <f>SUMIFS(tabela_registros[VALOR],tabela_registros[MÊS],$AE$1,tabela_registros[DIA],reservafixaconsolidadodez[[#Headers],[4]],tabela_registros[REGISTRO],DADOS!$N$6,tabela_registros[TIPO],DADOS!$AJ$3,tabela_registros[CATEGORIA],reservafixaconsolidadodez[[#This Row],[ATUAL]])</f>
        <v>0</v>
      </c>
      <c r="I174" s="91">
        <f>SUMIFS(tabela_registros[VALOR],tabela_registros[MÊS],$AE$1,tabela_registros[DIA],reservafixaconsolidadodez[[#Headers],[5]],tabela_registros[REGISTRO],DADOS!$N$6,tabela_registros[TIPO],DADOS!$AJ$3,tabela_registros[CATEGORIA],reservafixaconsolidadodez[[#This Row],[ATUAL]])</f>
        <v>0</v>
      </c>
      <c r="J174" s="91">
        <f>SUMIFS(tabela_registros[VALOR],tabela_registros[MÊS],$AE$1,tabela_registros[DIA],reservafixaconsolidadodez[[#Headers],[6]],tabela_registros[REGISTRO],DADOS!$N$6,tabela_registros[TIPO],DADOS!$AJ$3,tabela_registros[CATEGORIA],reservafixaconsolidadodez[[#This Row],[ATUAL]])</f>
        <v>0</v>
      </c>
      <c r="K174" s="91">
        <f>SUMIFS(tabela_registros[VALOR],tabela_registros[MÊS],$AE$1,tabela_registros[DIA],reservafixaconsolidadodez[[#Headers],[7]],tabela_registros[REGISTRO],DADOS!$N$6,tabela_registros[TIPO],DADOS!$AJ$3,tabela_registros[CATEGORIA],reservafixaconsolidadodez[[#This Row],[ATUAL]])</f>
        <v>0</v>
      </c>
      <c r="L174" s="91">
        <f>SUMIFS(tabela_registros[VALOR],tabela_registros[MÊS],$AE$1,tabela_registros[DIA],reservafixaconsolidadodez[[#Headers],[8]],tabela_registros[REGISTRO],DADOS!$N$6,tabela_registros[TIPO],DADOS!$AJ$3,tabela_registros[CATEGORIA],reservafixaconsolidadodez[[#This Row],[ATUAL]])</f>
        <v>0</v>
      </c>
      <c r="M174" s="91">
        <f>SUMIFS(tabela_registros[VALOR],tabela_registros[MÊS],$AE$1,tabela_registros[DIA],reservafixaconsolidadodez[[#Headers],[9]],tabela_registros[REGISTRO],DADOS!$N$6,tabela_registros[TIPO],DADOS!$AJ$3,tabela_registros[CATEGORIA],reservafixaconsolidadodez[[#This Row],[ATUAL]])</f>
        <v>0</v>
      </c>
      <c r="N174" s="91">
        <f>SUMIFS(tabela_registros[VALOR],tabela_registros[MÊS],$AE$1,tabela_registros[DIA],reservafixaconsolidadodez[[#Headers],[10]],tabela_registros[REGISTRO],DADOS!$N$6,tabela_registros[TIPO],DADOS!$AJ$3,tabela_registros[CATEGORIA],reservafixaconsolidadodez[[#This Row],[ATUAL]])</f>
        <v>0</v>
      </c>
      <c r="O174" s="91">
        <f>SUMIFS(tabela_registros[VALOR],tabela_registros[MÊS],$AE$1,tabela_registros[DIA],reservafixaconsolidadodez[[#Headers],[11]],tabela_registros[REGISTRO],DADOS!$N$6,tabela_registros[TIPO],DADOS!$AJ$3,tabela_registros[CATEGORIA],reservafixaconsolidadodez[[#This Row],[ATUAL]])</f>
        <v>0</v>
      </c>
      <c r="P174" s="91">
        <f>SUMIFS(tabela_registros[VALOR],tabela_registros[MÊS],$AE$1,tabela_registros[DIA],reservafixaconsolidadodez[[#Headers],[12]],tabela_registros[REGISTRO],DADOS!$N$6,tabela_registros[TIPO],DADOS!$AJ$3,tabela_registros[CATEGORIA],reservafixaconsolidadodez[[#This Row],[ATUAL]])</f>
        <v>0</v>
      </c>
      <c r="Q174" s="91">
        <f>SUMIFS(tabela_registros[VALOR],tabela_registros[MÊS],$AE$1,tabela_registros[DIA],reservafixaconsolidadodez[[#Headers],[13]],tabela_registros[REGISTRO],DADOS!$N$6,tabela_registros[TIPO],DADOS!$AJ$3,tabela_registros[CATEGORIA],reservafixaconsolidadodez[[#This Row],[ATUAL]])</f>
        <v>0</v>
      </c>
      <c r="R174" s="91">
        <f>SUMIFS(tabela_registros[VALOR],tabela_registros[MÊS],$AE$1,tabela_registros[DIA],reservafixaconsolidadodez[[#Headers],[14]],tabela_registros[REGISTRO],DADOS!$N$6,tabela_registros[TIPO],DADOS!$AJ$3,tabela_registros[CATEGORIA],reservafixaconsolidadodez[[#This Row],[ATUAL]])</f>
        <v>0</v>
      </c>
      <c r="S174" s="91">
        <f>SUMIFS(tabela_registros[VALOR],tabela_registros[MÊS],$AE$1,tabela_registros[DIA],reservafixaconsolidadodez[[#Headers],[15]],tabela_registros[REGISTRO],DADOS!$N$6,tabela_registros[TIPO],DADOS!$AJ$3,tabela_registros[CATEGORIA],reservafixaconsolidadodez[[#This Row],[ATUAL]])</f>
        <v>0</v>
      </c>
      <c r="T174" s="91">
        <f>SUMIFS(tabela_registros[VALOR],tabela_registros[MÊS],$AE$1,tabela_registros[DIA],reservafixaconsolidadodez[[#Headers],[16]],tabela_registros[REGISTRO],DADOS!$N$6,tabela_registros[TIPO],DADOS!$AJ$3,tabela_registros[CATEGORIA],reservafixaconsolidadodez[[#This Row],[ATUAL]])</f>
        <v>0</v>
      </c>
      <c r="U174" s="91">
        <f>SUMIFS(tabela_registros[VALOR],tabela_registros[MÊS],$AE$1,tabela_registros[DIA],reservafixaconsolidadodez[[#Headers],[17]],tabela_registros[REGISTRO],DADOS!$N$6,tabela_registros[TIPO],DADOS!$AJ$3,tabela_registros[CATEGORIA],reservafixaconsolidadodez[[#This Row],[ATUAL]])</f>
        <v>0</v>
      </c>
      <c r="V174" s="91">
        <f>SUMIFS(tabela_registros[VALOR],tabela_registros[MÊS],$AE$1,tabela_registros[DIA],reservafixaconsolidadodez[[#Headers],[18]],tabela_registros[REGISTRO],DADOS!$N$6,tabela_registros[TIPO],DADOS!$AJ$3,tabela_registros[CATEGORIA],reservafixaconsolidadodez[[#This Row],[ATUAL]])</f>
        <v>0</v>
      </c>
      <c r="W174" s="91">
        <f>SUMIFS(tabela_registros[VALOR],tabela_registros[MÊS],$AE$1,tabela_registros[DIA],reservafixaconsolidadodez[[#Headers],[19]],tabela_registros[REGISTRO],DADOS!$N$6,tabela_registros[TIPO],DADOS!$AJ$3,tabela_registros[CATEGORIA],reservafixaconsolidadodez[[#This Row],[ATUAL]])</f>
        <v>0</v>
      </c>
      <c r="X174" s="91">
        <f>SUMIFS(tabela_registros[VALOR],tabela_registros[MÊS],$AE$1,tabela_registros[DIA],reservafixaconsolidadodez[[#Headers],[20]],tabela_registros[REGISTRO],DADOS!$N$6,tabela_registros[TIPO],DADOS!$AJ$3,tabela_registros[CATEGORIA],reservafixaconsolidadodez[[#This Row],[ATUAL]])</f>
        <v>0</v>
      </c>
      <c r="Y174" s="91">
        <f>SUMIFS(tabela_registros[VALOR],tabela_registros[MÊS],$AE$1,tabela_registros[DIA],reservafixaconsolidadodez[[#Headers],[21]],tabela_registros[REGISTRO],DADOS!$N$6,tabela_registros[TIPO],DADOS!$AJ$3,tabela_registros[CATEGORIA],reservafixaconsolidadodez[[#This Row],[ATUAL]])</f>
        <v>0</v>
      </c>
      <c r="Z174" s="91">
        <f>SUMIFS(tabela_registros[VALOR],tabela_registros[MÊS],$AE$1,tabela_registros[DIA],reservafixaconsolidadodez[[#Headers],[22]],tabela_registros[REGISTRO],DADOS!$N$6,tabela_registros[TIPO],DADOS!$AJ$3,tabela_registros[CATEGORIA],reservafixaconsolidadodez[[#This Row],[ATUAL]])</f>
        <v>0</v>
      </c>
      <c r="AA174" s="91">
        <f>SUMIFS(tabela_registros[VALOR],tabela_registros[MÊS],$AE$1,tabela_registros[DIA],reservafixaconsolidadodez[[#Headers],[23]],tabela_registros[REGISTRO],DADOS!$N$6,tabela_registros[TIPO],DADOS!$AJ$3,tabela_registros[CATEGORIA],reservafixaconsolidadodez[[#This Row],[ATUAL]])</f>
        <v>0</v>
      </c>
      <c r="AB174" s="91">
        <f>SUMIFS(tabela_registros[VALOR],tabela_registros[MÊS],$AE$1,tabela_registros[DIA],reservafixaconsolidadodez[[#Headers],[24]],tabela_registros[REGISTRO],DADOS!$N$6,tabela_registros[TIPO],DADOS!$AJ$3,tabela_registros[CATEGORIA],reservafixaconsolidadodez[[#This Row],[ATUAL]])</f>
        <v>0</v>
      </c>
      <c r="AC174" s="91">
        <f>SUMIFS(tabela_registros[VALOR],tabela_registros[MÊS],$AE$1,tabela_registros[DIA],reservafixaconsolidadodez[[#Headers],[25]],tabela_registros[REGISTRO],DADOS!$N$6,tabela_registros[TIPO],DADOS!$AJ$3,tabela_registros[CATEGORIA],reservafixaconsolidadodez[[#This Row],[ATUAL]])</f>
        <v>0</v>
      </c>
      <c r="AD174" s="91">
        <f>SUMIFS(tabela_registros[VALOR],tabela_registros[MÊS],$AE$1,tabela_registros[DIA],reservafixaconsolidadodez[[#Headers],[26]],tabela_registros[REGISTRO],DADOS!$N$6,tabela_registros[TIPO],DADOS!$AJ$3,tabela_registros[CATEGORIA],reservafixaconsolidadodez[[#This Row],[ATUAL]])</f>
        <v>0</v>
      </c>
      <c r="AE174" s="91">
        <f>SUMIFS(tabela_registros[VALOR],tabela_registros[MÊS],$AE$1,tabela_registros[DIA],reservafixaconsolidadodez[[#Headers],[27]],tabela_registros[REGISTRO],DADOS!$N$6,tabela_registros[TIPO],DADOS!$AJ$3,tabela_registros[CATEGORIA],reservafixaconsolidadodez[[#This Row],[ATUAL]])</f>
        <v>0</v>
      </c>
      <c r="AF174" s="91">
        <f>SUMIFS(tabela_registros[VALOR],tabela_registros[MÊS],$AE$1,tabela_registros[DIA],reservafixaconsolidadodez[[#Headers],[28]],tabela_registros[REGISTRO],DADOS!$N$6,tabela_registros[TIPO],DADOS!$AJ$3,tabela_registros[CATEGORIA],reservafixaconsolidadodez[[#This Row],[ATUAL]])</f>
        <v>0</v>
      </c>
      <c r="AG174" s="91">
        <f>SUMIFS(tabela_registros[VALOR],tabela_registros[MÊS],$AE$1,tabela_registros[DIA],reservafixaconsolidadodez[[#Headers],[29]],tabela_registros[REGISTRO],DADOS!$N$6,tabela_registros[TIPO],DADOS!$AJ$3,tabela_registros[CATEGORIA],reservafixaconsolidadodez[[#This Row],[ATUAL]])</f>
        <v>0</v>
      </c>
      <c r="AH174" s="91">
        <f>SUMIFS(tabela_registros[VALOR],tabela_registros[MÊS],$AE$1,tabela_registros[DIA],reservafixaconsolidadodez[[#Headers],[30]],tabela_registros[REGISTRO],DADOS!$N$6,tabela_registros[TIPO],DADOS!$AJ$3,tabela_registros[CATEGORIA],reservafixaconsolidadodez[[#This Row],[ATUAL]])</f>
        <v>0</v>
      </c>
      <c r="AI174" s="101">
        <f>SUMIFS(tabela_registros[VALOR],tabela_registros[MÊS],$AE$1,tabela_registros[DIA],reservafixaconsolidadodez[[#Headers],[31]],tabela_registros[REGISTRO],DADOS!$N$6,tabela_registros[TIPO],DADOS!$AJ$3,tabela_registros[CATEGORIA],reservafixaconsolidadodez[[#This Row],[ATUAL]])</f>
        <v>0</v>
      </c>
      <c r="AJ174" s="97">
        <f>SUM(reservafixaconsolidadodez[[#This Row],[1]:[31]])</f>
        <v>0</v>
      </c>
      <c r="AK174" s="25"/>
    </row>
    <row r="175" spans="2:37" ht="19.5" customHeight="1" thickTop="1" thickBot="1" x14ac:dyDescent="0.3">
      <c r="B175" s="28"/>
      <c r="C175" s="27" t="str">
        <f>DADOS!$AL$10</f>
        <v>📝 LCI</v>
      </c>
      <c r="D175" s="26" t="str">
        <f>IF(reservafixaconsolidadodez[[#This Row],[TOTAL (R$)]]=0,"",IF(OR(reservafixaconsolidadodez[[#This Row],[TOTAL (R$)]]=LARGE($AJ$168:$AJ$177,1),reservafixaconsolidadodez[[#This Row],[TOTAL (R$)]]=LARGE($AJ$168:$AJ$177,2)),DADOS!$I$11,""))</f>
        <v/>
      </c>
      <c r="E175" s="96">
        <f>SUMIFS(tabela_registros[VALOR],tabela_registros[MÊS],$AE$1,tabela_registros[DIA],reservafixaconsolidadodez[[#Headers],[1]],tabela_registros[REGISTRO],DADOS!$N$6,tabela_registros[TIPO],DADOS!$AJ$3,tabela_registros[CATEGORIA],reservafixaconsolidadodez[[#This Row],[ATUAL]])</f>
        <v>0</v>
      </c>
      <c r="F175" s="91">
        <f>SUMIFS(tabela_registros[VALOR],tabela_registros[MÊS],$AE$1,tabela_registros[DIA],reservafixaconsolidadodez[[#Headers],[2]],tabela_registros[REGISTRO],DADOS!$N$6,tabela_registros[TIPO],DADOS!$AJ$3,tabela_registros[CATEGORIA],reservafixaconsolidadodez[[#This Row],[ATUAL]])</f>
        <v>0</v>
      </c>
      <c r="G175" s="91">
        <f>SUMIFS(tabela_registros[VALOR],tabela_registros[MÊS],$AE$1,tabela_registros[DIA],reservafixaconsolidadodez[[#Headers],[3]],tabela_registros[REGISTRO],DADOS!$N$6,tabela_registros[TIPO],DADOS!$AJ$3,tabela_registros[CATEGORIA],reservafixaconsolidadodez[[#This Row],[ATUAL]])</f>
        <v>0</v>
      </c>
      <c r="H175" s="91">
        <f>SUMIFS(tabela_registros[VALOR],tabela_registros[MÊS],$AE$1,tabela_registros[DIA],reservafixaconsolidadodez[[#Headers],[4]],tabela_registros[REGISTRO],DADOS!$N$6,tabela_registros[TIPO],DADOS!$AJ$3,tabela_registros[CATEGORIA],reservafixaconsolidadodez[[#This Row],[ATUAL]])</f>
        <v>0</v>
      </c>
      <c r="I175" s="91">
        <f>SUMIFS(tabela_registros[VALOR],tabela_registros[MÊS],$AE$1,tabela_registros[DIA],reservafixaconsolidadodez[[#Headers],[5]],tabela_registros[REGISTRO],DADOS!$N$6,tabela_registros[TIPO],DADOS!$AJ$3,tabela_registros[CATEGORIA],reservafixaconsolidadodez[[#This Row],[ATUAL]])</f>
        <v>0</v>
      </c>
      <c r="J175" s="91">
        <f>SUMIFS(tabela_registros[VALOR],tabela_registros[MÊS],$AE$1,tabela_registros[DIA],reservafixaconsolidadodez[[#Headers],[6]],tabela_registros[REGISTRO],DADOS!$N$6,tabela_registros[TIPO],DADOS!$AJ$3,tabela_registros[CATEGORIA],reservafixaconsolidadodez[[#This Row],[ATUAL]])</f>
        <v>0</v>
      </c>
      <c r="K175" s="91">
        <f>SUMIFS(tabela_registros[VALOR],tabela_registros[MÊS],$AE$1,tabela_registros[DIA],reservafixaconsolidadodez[[#Headers],[7]],tabela_registros[REGISTRO],DADOS!$N$6,tabela_registros[TIPO],DADOS!$AJ$3,tabela_registros[CATEGORIA],reservafixaconsolidadodez[[#This Row],[ATUAL]])</f>
        <v>0</v>
      </c>
      <c r="L175" s="91">
        <f>SUMIFS(tabela_registros[VALOR],tabela_registros[MÊS],$AE$1,tabela_registros[DIA],reservafixaconsolidadodez[[#Headers],[8]],tabela_registros[REGISTRO],DADOS!$N$6,tabela_registros[TIPO],DADOS!$AJ$3,tabela_registros[CATEGORIA],reservafixaconsolidadodez[[#This Row],[ATUAL]])</f>
        <v>0</v>
      </c>
      <c r="M175" s="91">
        <f>SUMIFS(tabela_registros[VALOR],tabela_registros[MÊS],$AE$1,tabela_registros[DIA],reservafixaconsolidadodez[[#Headers],[9]],tabela_registros[REGISTRO],DADOS!$N$6,tabela_registros[TIPO],DADOS!$AJ$3,tabela_registros[CATEGORIA],reservafixaconsolidadodez[[#This Row],[ATUAL]])</f>
        <v>0</v>
      </c>
      <c r="N175" s="91">
        <f>SUMIFS(tabela_registros[VALOR],tabela_registros[MÊS],$AE$1,tabela_registros[DIA],reservafixaconsolidadodez[[#Headers],[10]],tabela_registros[REGISTRO],DADOS!$N$6,tabela_registros[TIPO],DADOS!$AJ$3,tabela_registros[CATEGORIA],reservafixaconsolidadodez[[#This Row],[ATUAL]])</f>
        <v>0</v>
      </c>
      <c r="O175" s="91">
        <f>SUMIFS(tabela_registros[VALOR],tabela_registros[MÊS],$AE$1,tabela_registros[DIA],reservafixaconsolidadodez[[#Headers],[11]],tabela_registros[REGISTRO],DADOS!$N$6,tabela_registros[TIPO],DADOS!$AJ$3,tabela_registros[CATEGORIA],reservafixaconsolidadodez[[#This Row],[ATUAL]])</f>
        <v>0</v>
      </c>
      <c r="P175" s="91">
        <f>SUMIFS(tabela_registros[VALOR],tabela_registros[MÊS],$AE$1,tabela_registros[DIA],reservafixaconsolidadodez[[#Headers],[12]],tabela_registros[REGISTRO],DADOS!$N$6,tabela_registros[TIPO],DADOS!$AJ$3,tabela_registros[CATEGORIA],reservafixaconsolidadodez[[#This Row],[ATUAL]])</f>
        <v>0</v>
      </c>
      <c r="Q175" s="91">
        <f>SUMIFS(tabela_registros[VALOR],tabela_registros[MÊS],$AE$1,tabela_registros[DIA],reservafixaconsolidadodez[[#Headers],[13]],tabela_registros[REGISTRO],DADOS!$N$6,tabela_registros[TIPO],DADOS!$AJ$3,tabela_registros[CATEGORIA],reservafixaconsolidadodez[[#This Row],[ATUAL]])</f>
        <v>0</v>
      </c>
      <c r="R175" s="91">
        <f>SUMIFS(tabela_registros[VALOR],tabela_registros[MÊS],$AE$1,tabela_registros[DIA],reservafixaconsolidadodez[[#Headers],[14]],tabela_registros[REGISTRO],DADOS!$N$6,tabela_registros[TIPO],DADOS!$AJ$3,tabela_registros[CATEGORIA],reservafixaconsolidadodez[[#This Row],[ATUAL]])</f>
        <v>0</v>
      </c>
      <c r="S175" s="91">
        <f>SUMIFS(tabela_registros[VALOR],tabela_registros[MÊS],$AE$1,tabela_registros[DIA],reservafixaconsolidadodez[[#Headers],[15]],tabela_registros[REGISTRO],DADOS!$N$6,tabela_registros[TIPO],DADOS!$AJ$3,tabela_registros[CATEGORIA],reservafixaconsolidadodez[[#This Row],[ATUAL]])</f>
        <v>0</v>
      </c>
      <c r="T175" s="91">
        <f>SUMIFS(tabela_registros[VALOR],tabela_registros[MÊS],$AE$1,tabela_registros[DIA],reservafixaconsolidadodez[[#Headers],[16]],tabela_registros[REGISTRO],DADOS!$N$6,tabela_registros[TIPO],DADOS!$AJ$3,tabela_registros[CATEGORIA],reservafixaconsolidadodez[[#This Row],[ATUAL]])</f>
        <v>0</v>
      </c>
      <c r="U175" s="91">
        <f>SUMIFS(tabela_registros[VALOR],tabela_registros[MÊS],$AE$1,tabela_registros[DIA],reservafixaconsolidadodez[[#Headers],[17]],tabela_registros[REGISTRO],DADOS!$N$6,tabela_registros[TIPO],DADOS!$AJ$3,tabela_registros[CATEGORIA],reservafixaconsolidadodez[[#This Row],[ATUAL]])</f>
        <v>0</v>
      </c>
      <c r="V175" s="91">
        <f>SUMIFS(tabela_registros[VALOR],tabela_registros[MÊS],$AE$1,tabela_registros[DIA],reservafixaconsolidadodez[[#Headers],[18]],tabela_registros[REGISTRO],DADOS!$N$6,tabela_registros[TIPO],DADOS!$AJ$3,tabela_registros[CATEGORIA],reservafixaconsolidadodez[[#This Row],[ATUAL]])</f>
        <v>0</v>
      </c>
      <c r="W175" s="91">
        <f>SUMIFS(tabela_registros[VALOR],tabela_registros[MÊS],$AE$1,tabela_registros[DIA],reservafixaconsolidadodez[[#Headers],[19]],tabela_registros[REGISTRO],DADOS!$N$6,tabela_registros[TIPO],DADOS!$AJ$3,tabela_registros[CATEGORIA],reservafixaconsolidadodez[[#This Row],[ATUAL]])</f>
        <v>0</v>
      </c>
      <c r="X175" s="91">
        <f>SUMIFS(tabela_registros[VALOR],tabela_registros[MÊS],$AE$1,tabela_registros[DIA],reservafixaconsolidadodez[[#Headers],[20]],tabela_registros[REGISTRO],DADOS!$N$6,tabela_registros[TIPO],DADOS!$AJ$3,tabela_registros[CATEGORIA],reservafixaconsolidadodez[[#This Row],[ATUAL]])</f>
        <v>0</v>
      </c>
      <c r="Y175" s="91">
        <f>SUMIFS(tabela_registros[VALOR],tabela_registros[MÊS],$AE$1,tabela_registros[DIA],reservafixaconsolidadodez[[#Headers],[21]],tabela_registros[REGISTRO],DADOS!$N$6,tabela_registros[TIPO],DADOS!$AJ$3,tabela_registros[CATEGORIA],reservafixaconsolidadodez[[#This Row],[ATUAL]])</f>
        <v>0</v>
      </c>
      <c r="Z175" s="91">
        <f>SUMIFS(tabela_registros[VALOR],tabela_registros[MÊS],$AE$1,tabela_registros[DIA],reservafixaconsolidadodez[[#Headers],[22]],tabela_registros[REGISTRO],DADOS!$N$6,tabela_registros[TIPO],DADOS!$AJ$3,tabela_registros[CATEGORIA],reservafixaconsolidadodez[[#This Row],[ATUAL]])</f>
        <v>0</v>
      </c>
      <c r="AA175" s="91">
        <f>SUMIFS(tabela_registros[VALOR],tabela_registros[MÊS],$AE$1,tabela_registros[DIA],reservafixaconsolidadodez[[#Headers],[23]],tabela_registros[REGISTRO],DADOS!$N$6,tabela_registros[TIPO],DADOS!$AJ$3,tabela_registros[CATEGORIA],reservafixaconsolidadodez[[#This Row],[ATUAL]])</f>
        <v>0</v>
      </c>
      <c r="AB175" s="91">
        <f>SUMIFS(tabela_registros[VALOR],tabela_registros[MÊS],$AE$1,tabela_registros[DIA],reservafixaconsolidadodez[[#Headers],[24]],tabela_registros[REGISTRO],DADOS!$N$6,tabela_registros[TIPO],DADOS!$AJ$3,tabela_registros[CATEGORIA],reservafixaconsolidadodez[[#This Row],[ATUAL]])</f>
        <v>0</v>
      </c>
      <c r="AC175" s="91">
        <f>SUMIFS(tabela_registros[VALOR],tabela_registros[MÊS],$AE$1,tabela_registros[DIA],reservafixaconsolidadodez[[#Headers],[25]],tabela_registros[REGISTRO],DADOS!$N$6,tabela_registros[TIPO],DADOS!$AJ$3,tabela_registros[CATEGORIA],reservafixaconsolidadodez[[#This Row],[ATUAL]])</f>
        <v>0</v>
      </c>
      <c r="AD175" s="91">
        <f>SUMIFS(tabela_registros[VALOR],tabela_registros[MÊS],$AE$1,tabela_registros[DIA],reservafixaconsolidadodez[[#Headers],[26]],tabela_registros[REGISTRO],DADOS!$N$6,tabela_registros[TIPO],DADOS!$AJ$3,tabela_registros[CATEGORIA],reservafixaconsolidadodez[[#This Row],[ATUAL]])</f>
        <v>0</v>
      </c>
      <c r="AE175" s="91">
        <f>SUMIFS(tabela_registros[VALOR],tabela_registros[MÊS],$AE$1,tabela_registros[DIA],reservafixaconsolidadodez[[#Headers],[27]],tabela_registros[REGISTRO],DADOS!$N$6,tabela_registros[TIPO],DADOS!$AJ$3,tabela_registros[CATEGORIA],reservafixaconsolidadodez[[#This Row],[ATUAL]])</f>
        <v>0</v>
      </c>
      <c r="AF175" s="91">
        <f>SUMIFS(tabela_registros[VALOR],tabela_registros[MÊS],$AE$1,tabela_registros[DIA],reservafixaconsolidadodez[[#Headers],[28]],tabela_registros[REGISTRO],DADOS!$N$6,tabela_registros[TIPO],DADOS!$AJ$3,tabela_registros[CATEGORIA],reservafixaconsolidadodez[[#This Row],[ATUAL]])</f>
        <v>0</v>
      </c>
      <c r="AG175" s="91">
        <f>SUMIFS(tabela_registros[VALOR],tabela_registros[MÊS],$AE$1,tabela_registros[DIA],reservafixaconsolidadodez[[#Headers],[29]],tabela_registros[REGISTRO],DADOS!$N$6,tabela_registros[TIPO],DADOS!$AJ$3,tabela_registros[CATEGORIA],reservafixaconsolidadodez[[#This Row],[ATUAL]])</f>
        <v>0</v>
      </c>
      <c r="AH175" s="91">
        <f>SUMIFS(tabela_registros[VALOR],tabela_registros[MÊS],$AE$1,tabela_registros[DIA],reservafixaconsolidadodez[[#Headers],[30]],tabela_registros[REGISTRO],DADOS!$N$6,tabela_registros[TIPO],DADOS!$AJ$3,tabela_registros[CATEGORIA],reservafixaconsolidadodez[[#This Row],[ATUAL]])</f>
        <v>0</v>
      </c>
      <c r="AI175" s="101">
        <f>SUMIFS(tabela_registros[VALOR],tabela_registros[MÊS],$AE$1,tabela_registros[DIA],reservafixaconsolidadodez[[#Headers],[31]],tabela_registros[REGISTRO],DADOS!$N$6,tabela_registros[TIPO],DADOS!$AJ$3,tabela_registros[CATEGORIA],reservafixaconsolidadodez[[#This Row],[ATUAL]])</f>
        <v>0</v>
      </c>
      <c r="AJ175" s="97">
        <f>SUM(reservafixaconsolidadodez[[#This Row],[1]:[31]])</f>
        <v>0</v>
      </c>
      <c r="AK175" s="25"/>
    </row>
    <row r="176" spans="2:37" ht="19.5" customHeight="1" thickTop="1" thickBot="1" x14ac:dyDescent="0.3">
      <c r="B176" s="28"/>
      <c r="C176" s="27" t="str">
        <f>DADOS!$AL$11</f>
        <v>📝 TESOURO DIRETO</v>
      </c>
      <c r="D176" s="26" t="str">
        <f>IF(reservafixaconsolidadodez[[#This Row],[TOTAL (R$)]]=0,"",IF(OR(reservafixaconsolidadodez[[#This Row],[TOTAL (R$)]]=LARGE($AJ$168:$AJ$177,1),reservafixaconsolidadodez[[#This Row],[TOTAL (R$)]]=LARGE($AJ$168:$AJ$177,2)),DADOS!$I$11,""))</f>
        <v/>
      </c>
      <c r="E176" s="96">
        <f>SUMIFS(tabela_registros[VALOR],tabela_registros[MÊS],$AE$1,tabela_registros[DIA],reservafixaconsolidadodez[[#Headers],[1]],tabela_registros[REGISTRO],DADOS!$N$6,tabela_registros[TIPO],DADOS!$AJ$3,tabela_registros[CATEGORIA],reservafixaconsolidadodez[[#This Row],[ATUAL]])</f>
        <v>0</v>
      </c>
      <c r="F176" s="91">
        <f>SUMIFS(tabela_registros[VALOR],tabela_registros[MÊS],$AE$1,tabela_registros[DIA],reservafixaconsolidadodez[[#Headers],[2]],tabela_registros[REGISTRO],DADOS!$N$6,tabela_registros[TIPO],DADOS!$AJ$3,tabela_registros[CATEGORIA],reservafixaconsolidadodez[[#This Row],[ATUAL]])</f>
        <v>0</v>
      </c>
      <c r="G176" s="91">
        <f>SUMIFS(tabela_registros[VALOR],tabela_registros[MÊS],$AE$1,tabela_registros[DIA],reservafixaconsolidadodez[[#Headers],[3]],tabela_registros[REGISTRO],DADOS!$N$6,tabela_registros[TIPO],DADOS!$AJ$3,tabela_registros[CATEGORIA],reservafixaconsolidadodez[[#This Row],[ATUAL]])</f>
        <v>0</v>
      </c>
      <c r="H176" s="91">
        <f>SUMIFS(tabela_registros[VALOR],tabela_registros[MÊS],$AE$1,tabela_registros[DIA],reservafixaconsolidadodez[[#Headers],[4]],tabela_registros[REGISTRO],DADOS!$N$6,tabela_registros[TIPO],DADOS!$AJ$3,tabela_registros[CATEGORIA],reservafixaconsolidadodez[[#This Row],[ATUAL]])</f>
        <v>0</v>
      </c>
      <c r="I176" s="91">
        <f>SUMIFS(tabela_registros[VALOR],tabela_registros[MÊS],$AE$1,tabela_registros[DIA],reservafixaconsolidadodez[[#Headers],[5]],tabela_registros[REGISTRO],DADOS!$N$6,tabela_registros[TIPO],DADOS!$AJ$3,tabela_registros[CATEGORIA],reservafixaconsolidadodez[[#This Row],[ATUAL]])</f>
        <v>0</v>
      </c>
      <c r="J176" s="91">
        <f>SUMIFS(tabela_registros[VALOR],tabela_registros[MÊS],$AE$1,tabela_registros[DIA],reservafixaconsolidadodez[[#Headers],[6]],tabela_registros[REGISTRO],DADOS!$N$6,tabela_registros[TIPO],DADOS!$AJ$3,tabela_registros[CATEGORIA],reservafixaconsolidadodez[[#This Row],[ATUAL]])</f>
        <v>0</v>
      </c>
      <c r="K176" s="91">
        <f>SUMIFS(tabela_registros[VALOR],tabela_registros[MÊS],$AE$1,tabela_registros[DIA],reservafixaconsolidadodez[[#Headers],[7]],tabela_registros[REGISTRO],DADOS!$N$6,tabela_registros[TIPO],DADOS!$AJ$3,tabela_registros[CATEGORIA],reservafixaconsolidadodez[[#This Row],[ATUAL]])</f>
        <v>0</v>
      </c>
      <c r="L176" s="91">
        <f>SUMIFS(tabela_registros[VALOR],tabela_registros[MÊS],$AE$1,tabela_registros[DIA],reservafixaconsolidadodez[[#Headers],[8]],tabela_registros[REGISTRO],DADOS!$N$6,tabela_registros[TIPO],DADOS!$AJ$3,tabela_registros[CATEGORIA],reservafixaconsolidadodez[[#This Row],[ATUAL]])</f>
        <v>0</v>
      </c>
      <c r="M176" s="91">
        <f>SUMIFS(tabela_registros[VALOR],tabela_registros[MÊS],$AE$1,tabela_registros[DIA],reservafixaconsolidadodez[[#Headers],[9]],tabela_registros[REGISTRO],DADOS!$N$6,tabela_registros[TIPO],DADOS!$AJ$3,tabela_registros[CATEGORIA],reservafixaconsolidadodez[[#This Row],[ATUAL]])</f>
        <v>0</v>
      </c>
      <c r="N176" s="91">
        <f>SUMIFS(tabela_registros[VALOR],tabela_registros[MÊS],$AE$1,tabela_registros[DIA],reservafixaconsolidadodez[[#Headers],[10]],tabela_registros[REGISTRO],DADOS!$N$6,tabela_registros[TIPO],DADOS!$AJ$3,tabela_registros[CATEGORIA],reservafixaconsolidadodez[[#This Row],[ATUAL]])</f>
        <v>0</v>
      </c>
      <c r="O176" s="91">
        <f>SUMIFS(tabela_registros[VALOR],tabela_registros[MÊS],$AE$1,tabela_registros[DIA],reservafixaconsolidadodez[[#Headers],[11]],tabela_registros[REGISTRO],DADOS!$N$6,tabela_registros[TIPO],DADOS!$AJ$3,tabela_registros[CATEGORIA],reservafixaconsolidadodez[[#This Row],[ATUAL]])</f>
        <v>0</v>
      </c>
      <c r="P176" s="91">
        <f>SUMIFS(tabela_registros[VALOR],tabela_registros[MÊS],$AE$1,tabela_registros[DIA],reservafixaconsolidadodez[[#Headers],[12]],tabela_registros[REGISTRO],DADOS!$N$6,tabela_registros[TIPO],DADOS!$AJ$3,tabela_registros[CATEGORIA],reservafixaconsolidadodez[[#This Row],[ATUAL]])</f>
        <v>0</v>
      </c>
      <c r="Q176" s="91">
        <f>SUMIFS(tabela_registros[VALOR],tabela_registros[MÊS],$AE$1,tabela_registros[DIA],reservafixaconsolidadodez[[#Headers],[13]],tabela_registros[REGISTRO],DADOS!$N$6,tabela_registros[TIPO],DADOS!$AJ$3,tabela_registros[CATEGORIA],reservafixaconsolidadodez[[#This Row],[ATUAL]])</f>
        <v>0</v>
      </c>
      <c r="R176" s="91">
        <f>SUMIFS(tabela_registros[VALOR],tabela_registros[MÊS],$AE$1,tabela_registros[DIA],reservafixaconsolidadodez[[#Headers],[14]],tabela_registros[REGISTRO],DADOS!$N$6,tabela_registros[TIPO],DADOS!$AJ$3,tabela_registros[CATEGORIA],reservafixaconsolidadodez[[#This Row],[ATUAL]])</f>
        <v>0</v>
      </c>
      <c r="S176" s="91">
        <f>SUMIFS(tabela_registros[VALOR],tabela_registros[MÊS],$AE$1,tabela_registros[DIA],reservafixaconsolidadodez[[#Headers],[15]],tabela_registros[REGISTRO],DADOS!$N$6,tabela_registros[TIPO],DADOS!$AJ$3,tabela_registros[CATEGORIA],reservafixaconsolidadodez[[#This Row],[ATUAL]])</f>
        <v>0</v>
      </c>
      <c r="T176" s="91">
        <f>SUMIFS(tabela_registros[VALOR],tabela_registros[MÊS],$AE$1,tabela_registros[DIA],reservafixaconsolidadodez[[#Headers],[16]],tabela_registros[REGISTRO],DADOS!$N$6,tabela_registros[TIPO],DADOS!$AJ$3,tabela_registros[CATEGORIA],reservafixaconsolidadodez[[#This Row],[ATUAL]])</f>
        <v>0</v>
      </c>
      <c r="U176" s="91">
        <f>SUMIFS(tabela_registros[VALOR],tabela_registros[MÊS],$AE$1,tabela_registros[DIA],reservafixaconsolidadodez[[#Headers],[17]],tabela_registros[REGISTRO],DADOS!$N$6,tabela_registros[TIPO],DADOS!$AJ$3,tabela_registros[CATEGORIA],reservafixaconsolidadodez[[#This Row],[ATUAL]])</f>
        <v>0</v>
      </c>
      <c r="V176" s="91">
        <f>SUMIFS(tabela_registros[VALOR],tabela_registros[MÊS],$AE$1,tabela_registros[DIA],reservafixaconsolidadodez[[#Headers],[18]],tabela_registros[REGISTRO],DADOS!$N$6,tabela_registros[TIPO],DADOS!$AJ$3,tabela_registros[CATEGORIA],reservafixaconsolidadodez[[#This Row],[ATUAL]])</f>
        <v>0</v>
      </c>
      <c r="W176" s="91">
        <f>SUMIFS(tabela_registros[VALOR],tabela_registros[MÊS],$AE$1,tabela_registros[DIA],reservafixaconsolidadodez[[#Headers],[19]],tabela_registros[REGISTRO],DADOS!$N$6,tabela_registros[TIPO],DADOS!$AJ$3,tabela_registros[CATEGORIA],reservafixaconsolidadodez[[#This Row],[ATUAL]])</f>
        <v>0</v>
      </c>
      <c r="X176" s="91">
        <f>SUMIFS(tabela_registros[VALOR],tabela_registros[MÊS],$AE$1,tabela_registros[DIA],reservafixaconsolidadodez[[#Headers],[20]],tabela_registros[REGISTRO],DADOS!$N$6,tabela_registros[TIPO],DADOS!$AJ$3,tabela_registros[CATEGORIA],reservafixaconsolidadodez[[#This Row],[ATUAL]])</f>
        <v>0</v>
      </c>
      <c r="Y176" s="91">
        <f>SUMIFS(tabela_registros[VALOR],tabela_registros[MÊS],$AE$1,tabela_registros[DIA],reservafixaconsolidadodez[[#Headers],[21]],tabela_registros[REGISTRO],DADOS!$N$6,tabela_registros[TIPO],DADOS!$AJ$3,tabela_registros[CATEGORIA],reservafixaconsolidadodez[[#This Row],[ATUAL]])</f>
        <v>0</v>
      </c>
      <c r="Z176" s="91">
        <f>SUMIFS(tabela_registros[VALOR],tabela_registros[MÊS],$AE$1,tabela_registros[DIA],reservafixaconsolidadodez[[#Headers],[22]],tabela_registros[REGISTRO],DADOS!$N$6,tabela_registros[TIPO],DADOS!$AJ$3,tabela_registros[CATEGORIA],reservafixaconsolidadodez[[#This Row],[ATUAL]])</f>
        <v>0</v>
      </c>
      <c r="AA176" s="91">
        <f>SUMIFS(tabela_registros[VALOR],tabela_registros[MÊS],$AE$1,tabela_registros[DIA],reservafixaconsolidadodez[[#Headers],[23]],tabela_registros[REGISTRO],DADOS!$N$6,tabela_registros[TIPO],DADOS!$AJ$3,tabela_registros[CATEGORIA],reservafixaconsolidadodez[[#This Row],[ATUAL]])</f>
        <v>0</v>
      </c>
      <c r="AB176" s="91">
        <f>SUMIFS(tabela_registros[VALOR],tabela_registros[MÊS],$AE$1,tabela_registros[DIA],reservafixaconsolidadodez[[#Headers],[24]],tabela_registros[REGISTRO],DADOS!$N$6,tabela_registros[TIPO],DADOS!$AJ$3,tabela_registros[CATEGORIA],reservafixaconsolidadodez[[#This Row],[ATUAL]])</f>
        <v>0</v>
      </c>
      <c r="AC176" s="91">
        <f>SUMIFS(tabela_registros[VALOR],tabela_registros[MÊS],$AE$1,tabela_registros[DIA],reservafixaconsolidadodez[[#Headers],[25]],tabela_registros[REGISTRO],DADOS!$N$6,tabela_registros[TIPO],DADOS!$AJ$3,tabela_registros[CATEGORIA],reservafixaconsolidadodez[[#This Row],[ATUAL]])</f>
        <v>0</v>
      </c>
      <c r="AD176" s="91">
        <f>SUMIFS(tabela_registros[VALOR],tabela_registros[MÊS],$AE$1,tabela_registros[DIA],reservafixaconsolidadodez[[#Headers],[26]],tabela_registros[REGISTRO],DADOS!$N$6,tabela_registros[TIPO],DADOS!$AJ$3,tabela_registros[CATEGORIA],reservafixaconsolidadodez[[#This Row],[ATUAL]])</f>
        <v>0</v>
      </c>
      <c r="AE176" s="91">
        <f>SUMIFS(tabela_registros[VALOR],tabela_registros[MÊS],$AE$1,tabela_registros[DIA],reservafixaconsolidadodez[[#Headers],[27]],tabela_registros[REGISTRO],DADOS!$N$6,tabela_registros[TIPO],DADOS!$AJ$3,tabela_registros[CATEGORIA],reservafixaconsolidadodez[[#This Row],[ATUAL]])</f>
        <v>0</v>
      </c>
      <c r="AF176" s="91">
        <f>SUMIFS(tabela_registros[VALOR],tabela_registros[MÊS],$AE$1,tabela_registros[DIA],reservafixaconsolidadodez[[#Headers],[28]],tabela_registros[REGISTRO],DADOS!$N$6,tabela_registros[TIPO],DADOS!$AJ$3,tabela_registros[CATEGORIA],reservafixaconsolidadodez[[#This Row],[ATUAL]])</f>
        <v>0</v>
      </c>
      <c r="AG176" s="91">
        <f>SUMIFS(tabela_registros[VALOR],tabela_registros[MÊS],$AE$1,tabela_registros[DIA],reservafixaconsolidadodez[[#Headers],[29]],tabela_registros[REGISTRO],DADOS!$N$6,tabela_registros[TIPO],DADOS!$AJ$3,tabela_registros[CATEGORIA],reservafixaconsolidadodez[[#This Row],[ATUAL]])</f>
        <v>0</v>
      </c>
      <c r="AH176" s="91">
        <f>SUMIFS(tabela_registros[VALOR],tabela_registros[MÊS],$AE$1,tabela_registros[DIA],reservafixaconsolidadodez[[#Headers],[30]],tabela_registros[REGISTRO],DADOS!$N$6,tabela_registros[TIPO],DADOS!$AJ$3,tabela_registros[CATEGORIA],reservafixaconsolidadodez[[#This Row],[ATUAL]])</f>
        <v>0</v>
      </c>
      <c r="AI176" s="101">
        <f>SUMIFS(tabela_registros[VALOR],tabela_registros[MÊS],$AE$1,tabela_registros[DIA],reservafixaconsolidadodez[[#Headers],[31]],tabela_registros[REGISTRO],DADOS!$N$6,tabela_registros[TIPO],DADOS!$AJ$3,tabela_registros[CATEGORIA],reservafixaconsolidadodez[[#This Row],[ATUAL]])</f>
        <v>0</v>
      </c>
      <c r="AJ176" s="97">
        <f>SUM(reservafixaconsolidadodez[[#This Row],[1]:[31]])</f>
        <v>0</v>
      </c>
      <c r="AK176" s="25"/>
    </row>
    <row r="177" spans="2:37" ht="19.5" customHeight="1" thickTop="1" thickBot="1" x14ac:dyDescent="0.3">
      <c r="B177" s="28"/>
      <c r="C177" s="27" t="str">
        <f>DADOS!$AL$12</f>
        <v>📎 OUTROS</v>
      </c>
      <c r="D177" s="26" t="str">
        <f>IF(reservafixaconsolidadodez[[#This Row],[TOTAL (R$)]]=0,"",IF(OR(reservafixaconsolidadodez[[#This Row],[TOTAL (R$)]]=LARGE($AJ$168:$AJ$177,1),reservafixaconsolidadodez[[#This Row],[TOTAL (R$)]]=LARGE($AJ$168:$AJ$177,2)),DADOS!$I$11,""))</f>
        <v/>
      </c>
      <c r="E177" s="96">
        <f>SUMIFS(tabela_registros[VALOR],tabela_registros[MÊS],$AE$1,tabela_registros[DIA],reservafixaconsolidadodez[[#Headers],[1]],tabela_registros[REGISTRO],DADOS!$N$6,tabela_registros[TIPO],DADOS!$AJ$3,tabela_registros[CATEGORIA],reservafixaconsolidadodez[[#This Row],[ATUAL]])</f>
        <v>0</v>
      </c>
      <c r="F177" s="91">
        <f>SUMIFS(tabela_registros[VALOR],tabela_registros[MÊS],$AE$1,tabela_registros[DIA],reservafixaconsolidadodez[[#Headers],[2]],tabela_registros[REGISTRO],DADOS!$N$6,tabela_registros[TIPO],DADOS!$AJ$3,tabela_registros[CATEGORIA],reservafixaconsolidadodez[[#This Row],[ATUAL]])</f>
        <v>0</v>
      </c>
      <c r="G177" s="91">
        <f>SUMIFS(tabela_registros[VALOR],tabela_registros[MÊS],$AE$1,tabela_registros[DIA],reservafixaconsolidadodez[[#Headers],[3]],tabela_registros[REGISTRO],DADOS!$N$6,tabela_registros[TIPO],DADOS!$AJ$3,tabela_registros[CATEGORIA],reservafixaconsolidadodez[[#This Row],[ATUAL]])</f>
        <v>0</v>
      </c>
      <c r="H177" s="91">
        <f>SUMIFS(tabela_registros[VALOR],tabela_registros[MÊS],$AE$1,tabela_registros[DIA],reservafixaconsolidadodez[[#Headers],[4]],tabela_registros[REGISTRO],DADOS!$N$6,tabela_registros[TIPO],DADOS!$AJ$3,tabela_registros[CATEGORIA],reservafixaconsolidadodez[[#This Row],[ATUAL]])</f>
        <v>0</v>
      </c>
      <c r="I177" s="91">
        <f>SUMIFS(tabela_registros[VALOR],tabela_registros[MÊS],$AE$1,tabela_registros[DIA],reservafixaconsolidadodez[[#Headers],[5]],tabela_registros[REGISTRO],DADOS!$N$6,tabela_registros[TIPO],DADOS!$AJ$3,tabela_registros[CATEGORIA],reservafixaconsolidadodez[[#This Row],[ATUAL]])</f>
        <v>0</v>
      </c>
      <c r="J177" s="91">
        <f>SUMIFS(tabela_registros[VALOR],tabela_registros[MÊS],$AE$1,tabela_registros[DIA],reservafixaconsolidadodez[[#Headers],[6]],tabela_registros[REGISTRO],DADOS!$N$6,tabela_registros[TIPO],DADOS!$AJ$3,tabela_registros[CATEGORIA],reservafixaconsolidadodez[[#This Row],[ATUAL]])</f>
        <v>0</v>
      </c>
      <c r="K177" s="91">
        <f>SUMIFS(tabela_registros[VALOR],tabela_registros[MÊS],$AE$1,tabela_registros[DIA],reservafixaconsolidadodez[[#Headers],[7]],tabela_registros[REGISTRO],DADOS!$N$6,tabela_registros[TIPO],DADOS!$AJ$3,tabela_registros[CATEGORIA],reservafixaconsolidadodez[[#This Row],[ATUAL]])</f>
        <v>0</v>
      </c>
      <c r="L177" s="91">
        <f>SUMIFS(tabela_registros[VALOR],tabela_registros[MÊS],$AE$1,tabela_registros[DIA],reservafixaconsolidadodez[[#Headers],[8]],tabela_registros[REGISTRO],DADOS!$N$6,tabela_registros[TIPO],DADOS!$AJ$3,tabela_registros[CATEGORIA],reservafixaconsolidadodez[[#This Row],[ATUAL]])</f>
        <v>0</v>
      </c>
      <c r="M177" s="91">
        <f>SUMIFS(tabela_registros[VALOR],tabela_registros[MÊS],$AE$1,tabela_registros[DIA],reservafixaconsolidadodez[[#Headers],[9]],tabela_registros[REGISTRO],DADOS!$N$6,tabela_registros[TIPO],DADOS!$AJ$3,tabela_registros[CATEGORIA],reservafixaconsolidadodez[[#This Row],[ATUAL]])</f>
        <v>0</v>
      </c>
      <c r="N177" s="91">
        <f>SUMIFS(tabela_registros[VALOR],tabela_registros[MÊS],$AE$1,tabela_registros[DIA],reservafixaconsolidadodez[[#Headers],[10]],tabela_registros[REGISTRO],DADOS!$N$6,tabela_registros[TIPO],DADOS!$AJ$3,tabela_registros[CATEGORIA],reservafixaconsolidadodez[[#This Row],[ATUAL]])</f>
        <v>0</v>
      </c>
      <c r="O177" s="91">
        <f>SUMIFS(tabela_registros[VALOR],tabela_registros[MÊS],$AE$1,tabela_registros[DIA],reservafixaconsolidadodez[[#Headers],[11]],tabela_registros[REGISTRO],DADOS!$N$6,tabela_registros[TIPO],DADOS!$AJ$3,tabela_registros[CATEGORIA],reservafixaconsolidadodez[[#This Row],[ATUAL]])</f>
        <v>0</v>
      </c>
      <c r="P177" s="91">
        <f>SUMIFS(tabela_registros[VALOR],tabela_registros[MÊS],$AE$1,tabela_registros[DIA],reservafixaconsolidadodez[[#Headers],[12]],tabela_registros[REGISTRO],DADOS!$N$6,tabela_registros[TIPO],DADOS!$AJ$3,tabela_registros[CATEGORIA],reservafixaconsolidadodez[[#This Row],[ATUAL]])</f>
        <v>0</v>
      </c>
      <c r="Q177" s="91">
        <f>SUMIFS(tabela_registros[VALOR],tabela_registros[MÊS],$AE$1,tabela_registros[DIA],reservafixaconsolidadodez[[#Headers],[13]],tabela_registros[REGISTRO],DADOS!$N$6,tabela_registros[TIPO],DADOS!$AJ$3,tabela_registros[CATEGORIA],reservafixaconsolidadodez[[#This Row],[ATUAL]])</f>
        <v>0</v>
      </c>
      <c r="R177" s="91">
        <f>SUMIFS(tabela_registros[VALOR],tabela_registros[MÊS],$AE$1,tabela_registros[DIA],reservafixaconsolidadodez[[#Headers],[14]],tabela_registros[REGISTRO],DADOS!$N$6,tabela_registros[TIPO],DADOS!$AJ$3,tabela_registros[CATEGORIA],reservafixaconsolidadodez[[#This Row],[ATUAL]])</f>
        <v>0</v>
      </c>
      <c r="S177" s="91">
        <f>SUMIFS(tabela_registros[VALOR],tabela_registros[MÊS],$AE$1,tabela_registros[DIA],reservafixaconsolidadodez[[#Headers],[15]],tabela_registros[REGISTRO],DADOS!$N$6,tabela_registros[TIPO],DADOS!$AJ$3,tabela_registros[CATEGORIA],reservafixaconsolidadodez[[#This Row],[ATUAL]])</f>
        <v>0</v>
      </c>
      <c r="T177" s="91">
        <f>SUMIFS(tabela_registros[VALOR],tabela_registros[MÊS],$AE$1,tabela_registros[DIA],reservafixaconsolidadodez[[#Headers],[16]],tabela_registros[REGISTRO],DADOS!$N$6,tabela_registros[TIPO],DADOS!$AJ$3,tabela_registros[CATEGORIA],reservafixaconsolidadodez[[#This Row],[ATUAL]])</f>
        <v>0</v>
      </c>
      <c r="U177" s="91">
        <f>SUMIFS(tabela_registros[VALOR],tabela_registros[MÊS],$AE$1,tabela_registros[DIA],reservafixaconsolidadodez[[#Headers],[17]],tabela_registros[REGISTRO],DADOS!$N$6,tabela_registros[TIPO],DADOS!$AJ$3,tabela_registros[CATEGORIA],reservafixaconsolidadodez[[#This Row],[ATUAL]])</f>
        <v>0</v>
      </c>
      <c r="V177" s="91">
        <f>SUMIFS(tabela_registros[VALOR],tabela_registros[MÊS],$AE$1,tabela_registros[DIA],reservafixaconsolidadodez[[#Headers],[18]],tabela_registros[REGISTRO],DADOS!$N$6,tabela_registros[TIPO],DADOS!$AJ$3,tabela_registros[CATEGORIA],reservafixaconsolidadodez[[#This Row],[ATUAL]])</f>
        <v>0</v>
      </c>
      <c r="W177" s="91">
        <f>SUMIFS(tabela_registros[VALOR],tabela_registros[MÊS],$AE$1,tabela_registros[DIA],reservafixaconsolidadodez[[#Headers],[19]],tabela_registros[REGISTRO],DADOS!$N$6,tabela_registros[TIPO],DADOS!$AJ$3,tabela_registros[CATEGORIA],reservafixaconsolidadodez[[#This Row],[ATUAL]])</f>
        <v>0</v>
      </c>
      <c r="X177" s="91">
        <f>SUMIFS(tabela_registros[VALOR],tabela_registros[MÊS],$AE$1,tabela_registros[DIA],reservafixaconsolidadodez[[#Headers],[20]],tabela_registros[REGISTRO],DADOS!$N$6,tabela_registros[TIPO],DADOS!$AJ$3,tabela_registros[CATEGORIA],reservafixaconsolidadodez[[#This Row],[ATUAL]])</f>
        <v>0</v>
      </c>
      <c r="Y177" s="91">
        <f>SUMIFS(tabela_registros[VALOR],tabela_registros[MÊS],$AE$1,tabela_registros[DIA],reservafixaconsolidadodez[[#Headers],[21]],tabela_registros[REGISTRO],DADOS!$N$6,tabela_registros[TIPO],DADOS!$AJ$3,tabela_registros[CATEGORIA],reservafixaconsolidadodez[[#This Row],[ATUAL]])</f>
        <v>0</v>
      </c>
      <c r="Z177" s="91">
        <f>SUMIFS(tabela_registros[VALOR],tabela_registros[MÊS],$AE$1,tabela_registros[DIA],reservafixaconsolidadodez[[#Headers],[22]],tabela_registros[REGISTRO],DADOS!$N$6,tabela_registros[TIPO],DADOS!$AJ$3,tabela_registros[CATEGORIA],reservafixaconsolidadodez[[#This Row],[ATUAL]])</f>
        <v>0</v>
      </c>
      <c r="AA177" s="91">
        <f>SUMIFS(tabela_registros[VALOR],tabela_registros[MÊS],$AE$1,tabela_registros[DIA],reservafixaconsolidadodez[[#Headers],[23]],tabela_registros[REGISTRO],DADOS!$N$6,tabela_registros[TIPO],DADOS!$AJ$3,tabela_registros[CATEGORIA],reservafixaconsolidadodez[[#This Row],[ATUAL]])</f>
        <v>0</v>
      </c>
      <c r="AB177" s="91">
        <f>SUMIFS(tabela_registros[VALOR],tabela_registros[MÊS],$AE$1,tabela_registros[DIA],reservafixaconsolidadodez[[#Headers],[24]],tabela_registros[REGISTRO],DADOS!$N$6,tabela_registros[TIPO],DADOS!$AJ$3,tabela_registros[CATEGORIA],reservafixaconsolidadodez[[#This Row],[ATUAL]])</f>
        <v>0</v>
      </c>
      <c r="AC177" s="91">
        <f>SUMIFS(tabela_registros[VALOR],tabela_registros[MÊS],$AE$1,tabela_registros[DIA],reservafixaconsolidadodez[[#Headers],[25]],tabela_registros[REGISTRO],DADOS!$N$6,tabela_registros[TIPO],DADOS!$AJ$3,tabela_registros[CATEGORIA],reservafixaconsolidadodez[[#This Row],[ATUAL]])</f>
        <v>0</v>
      </c>
      <c r="AD177" s="91">
        <f>SUMIFS(tabela_registros[VALOR],tabela_registros[MÊS],$AE$1,tabela_registros[DIA],reservafixaconsolidadodez[[#Headers],[26]],tabela_registros[REGISTRO],DADOS!$N$6,tabela_registros[TIPO],DADOS!$AJ$3,tabela_registros[CATEGORIA],reservafixaconsolidadodez[[#This Row],[ATUAL]])</f>
        <v>0</v>
      </c>
      <c r="AE177" s="91">
        <f>SUMIFS(tabela_registros[VALOR],tabela_registros[MÊS],$AE$1,tabela_registros[DIA],reservafixaconsolidadodez[[#Headers],[27]],tabela_registros[REGISTRO],DADOS!$N$6,tabela_registros[TIPO],DADOS!$AJ$3,tabela_registros[CATEGORIA],reservafixaconsolidadodez[[#This Row],[ATUAL]])</f>
        <v>0</v>
      </c>
      <c r="AF177" s="91">
        <f>SUMIFS(tabela_registros[VALOR],tabela_registros[MÊS],$AE$1,tabela_registros[DIA],reservafixaconsolidadodez[[#Headers],[28]],tabela_registros[REGISTRO],DADOS!$N$6,tabela_registros[TIPO],DADOS!$AJ$3,tabela_registros[CATEGORIA],reservafixaconsolidadodez[[#This Row],[ATUAL]])</f>
        <v>0</v>
      </c>
      <c r="AG177" s="91">
        <f>SUMIFS(tabela_registros[VALOR],tabela_registros[MÊS],$AE$1,tabela_registros[DIA],reservafixaconsolidadodez[[#Headers],[29]],tabela_registros[REGISTRO],DADOS!$N$6,tabela_registros[TIPO],DADOS!$AJ$3,tabela_registros[CATEGORIA],reservafixaconsolidadodez[[#This Row],[ATUAL]])</f>
        <v>0</v>
      </c>
      <c r="AH177" s="91">
        <f>SUMIFS(tabela_registros[VALOR],tabela_registros[MÊS],$AE$1,tabela_registros[DIA],reservafixaconsolidadodez[[#Headers],[30]],tabela_registros[REGISTRO],DADOS!$N$6,tabela_registros[TIPO],DADOS!$AJ$3,tabela_registros[CATEGORIA],reservafixaconsolidadodez[[#This Row],[ATUAL]])</f>
        <v>0</v>
      </c>
      <c r="AI177" s="102">
        <f>SUMIFS(tabela_registros[VALOR],tabela_registros[MÊS],$AE$1,tabela_registros[DIA],reservafixaconsolidadodez[[#Headers],[31]],tabela_registros[REGISTRO],DADOS!$N$6,tabela_registros[TIPO],DADOS!$AJ$3,tabela_registros[CATEGORIA],reservafixaconsolidadodez[[#This Row],[ATUAL]])</f>
        <v>0</v>
      </c>
      <c r="AJ177" s="97">
        <f>SUM(reservafixaconsolidadodez[[#This Row],[1]:[31]])</f>
        <v>0</v>
      </c>
      <c r="AK177" s="25"/>
    </row>
    <row r="178" spans="2:37" s="16" customFormat="1" ht="21" customHeight="1" thickTop="1" thickBot="1" x14ac:dyDescent="0.35">
      <c r="B178" s="24"/>
      <c r="C178" s="23" t="s">
        <v>19</v>
      </c>
      <c r="D178" s="22"/>
      <c r="E178" s="21">
        <f>SUM(E168:E177)</f>
        <v>0</v>
      </c>
      <c r="F178" s="20">
        <f>SUM(F168:F177)+reservafixaconsolidadodez[[#This Row],[1]]</f>
        <v>0</v>
      </c>
      <c r="G178" s="20">
        <f>SUM(G168:G177)+reservafixaconsolidadodez[[#This Row],[2]]</f>
        <v>0</v>
      </c>
      <c r="H178" s="20">
        <f>SUM(H168:H177)+reservafixaconsolidadodez[[#This Row],[3]]</f>
        <v>0</v>
      </c>
      <c r="I178" s="20">
        <f>SUM(I168:I177)+reservafixaconsolidadodez[[#This Row],[4]]</f>
        <v>0</v>
      </c>
      <c r="J178" s="20">
        <f>SUM(J168:J177)+reservafixaconsolidadodez[[#This Row],[5]]</f>
        <v>0</v>
      </c>
      <c r="K178" s="20">
        <f>SUM(K168:K177)+reservafixaconsolidadodez[[#This Row],[6]]</f>
        <v>0</v>
      </c>
      <c r="L178" s="20">
        <f>SUM(L168:L177)+reservafixaconsolidadodez[[#This Row],[7]]</f>
        <v>0</v>
      </c>
      <c r="M178" s="20">
        <f>SUM(M168:M177)+reservafixaconsolidadodez[[#This Row],[8]]</f>
        <v>0</v>
      </c>
      <c r="N178" s="20">
        <f>SUM(N168:N177)+reservafixaconsolidadodez[[#This Row],[9]]</f>
        <v>0</v>
      </c>
      <c r="O178" s="20">
        <f>SUM(O168:O177)+reservafixaconsolidadodez[[#This Row],[10]]</f>
        <v>0</v>
      </c>
      <c r="P178" s="20">
        <f>SUM(P168:P177)+reservafixaconsolidadodez[[#This Row],[11]]</f>
        <v>0</v>
      </c>
      <c r="Q178" s="20">
        <f>SUM(Q168:Q177)+reservafixaconsolidadodez[[#This Row],[12]]</f>
        <v>0</v>
      </c>
      <c r="R178" s="20">
        <f>SUM(R168:R177)+reservafixaconsolidadodez[[#This Row],[13]]</f>
        <v>0</v>
      </c>
      <c r="S178" s="20">
        <f>SUM(S168:S177)+reservafixaconsolidadodez[[#This Row],[14]]</f>
        <v>0</v>
      </c>
      <c r="T178" s="20">
        <f>SUM(T168:T177)+reservafixaconsolidadodez[[#This Row],[15]]</f>
        <v>0</v>
      </c>
      <c r="U178" s="20">
        <f>SUM(U168:U177)+reservafixaconsolidadodez[[#This Row],[16]]</f>
        <v>0</v>
      </c>
      <c r="V178" s="20">
        <f>SUM(V168:V177)+reservafixaconsolidadodez[[#This Row],[17]]</f>
        <v>0</v>
      </c>
      <c r="W178" s="20">
        <f>SUM(W168:W177)+reservafixaconsolidadodez[[#This Row],[18]]</f>
        <v>0</v>
      </c>
      <c r="X178" s="20">
        <f>SUM(X168:X177)+reservafixaconsolidadodez[[#This Row],[19]]</f>
        <v>0</v>
      </c>
      <c r="Y178" s="20">
        <f>SUM(Y168:Y177)+reservafixaconsolidadodez[[#This Row],[20]]</f>
        <v>0</v>
      </c>
      <c r="Z178" s="20">
        <f>SUM(Z168:Z177)+reservafixaconsolidadodez[[#This Row],[21]]</f>
        <v>0</v>
      </c>
      <c r="AA178" s="20">
        <f>SUM(AA168:AA177)+reservafixaconsolidadodez[[#This Row],[22]]</f>
        <v>0</v>
      </c>
      <c r="AB178" s="20">
        <f>SUM(AB168:AB177)+reservafixaconsolidadodez[[#This Row],[23]]</f>
        <v>0</v>
      </c>
      <c r="AC178" s="20">
        <f>SUM(AC168:AC177)+reservafixaconsolidadodez[[#This Row],[24]]</f>
        <v>0</v>
      </c>
      <c r="AD178" s="20">
        <f>SUM(AD168:AD177)+reservafixaconsolidadodez[[#This Row],[25]]</f>
        <v>0</v>
      </c>
      <c r="AE178" s="20">
        <f>SUM(AE168:AE177)+reservafixaconsolidadodez[[#This Row],[26]]</f>
        <v>0</v>
      </c>
      <c r="AF178" s="20">
        <f>SUM(AF168:AF177)+reservafixaconsolidadodez[[#This Row],[27]]</f>
        <v>0</v>
      </c>
      <c r="AG178" s="20">
        <f>SUM(AG168:AG177)+reservafixaconsolidadodez[[#This Row],[28]]</f>
        <v>0</v>
      </c>
      <c r="AH178" s="20">
        <f>SUM(AH168:AH177)+reservafixaconsolidadodez[[#This Row],[29]]</f>
        <v>0</v>
      </c>
      <c r="AI178" s="19">
        <f>SUM(AI168:AI177)+reservafixaconsolidadodez[[#This Row],[30]]</f>
        <v>0</v>
      </c>
      <c r="AJ178" s="18">
        <f>reservafixaconsolidadodez[[#This Row],[31]]</f>
        <v>0</v>
      </c>
      <c r="AK178" s="17"/>
    </row>
    <row r="179" spans="2:37" ht="6.75" customHeight="1" thickTop="1" thickBot="1" x14ac:dyDescent="0.3">
      <c r="B179" s="15"/>
      <c r="C179" s="14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3"/>
      <c r="AF179" s="13"/>
      <c r="AG179" s="13"/>
      <c r="AH179" s="13"/>
      <c r="AI179" s="12"/>
      <c r="AJ179" s="11"/>
      <c r="AK179" s="10"/>
    </row>
    <row r="180" spans="2:37" ht="12.6" thickTop="1" x14ac:dyDescent="0.25">
      <c r="E180" s="37"/>
      <c r="AI180" s="4"/>
    </row>
    <row r="181" spans="2:37" x14ac:dyDescent="0.25">
      <c r="AI181" s="4"/>
    </row>
    <row r="182" spans="2:37" x14ac:dyDescent="0.25">
      <c r="AI182" s="4"/>
    </row>
    <row r="183" spans="2:37" ht="39.75" customHeight="1" x14ac:dyDescent="0.7">
      <c r="C183" s="36"/>
      <c r="E183" s="240"/>
      <c r="F183" s="240"/>
      <c r="G183" s="240"/>
      <c r="H183" s="240"/>
      <c r="I183" s="240"/>
      <c r="J183" s="240"/>
      <c r="K183" s="240"/>
      <c r="L183" s="240"/>
      <c r="M183" s="240"/>
      <c r="N183" s="240"/>
      <c r="O183" s="240"/>
      <c r="P183" s="240"/>
      <c r="Q183" s="240"/>
      <c r="R183" s="240"/>
      <c r="S183" s="240"/>
      <c r="T183" s="240"/>
      <c r="U183" s="240"/>
      <c r="V183" s="240"/>
      <c r="W183" s="240"/>
      <c r="X183" s="240"/>
      <c r="Y183" s="240"/>
      <c r="Z183" s="240"/>
      <c r="AA183" s="240"/>
      <c r="AB183" s="240"/>
      <c r="AC183" s="240"/>
      <c r="AD183" s="240"/>
      <c r="AE183" s="240"/>
      <c r="AF183" s="240"/>
      <c r="AG183" s="240"/>
      <c r="AH183" s="240"/>
      <c r="AI183" s="240"/>
      <c r="AJ183" s="32" t="s">
        <v>19</v>
      </c>
    </row>
    <row r="184" spans="2:37" ht="12.6" thickBot="1" x14ac:dyDescent="0.3">
      <c r="B184" s="35"/>
      <c r="AI184" s="4"/>
      <c r="AJ184" s="34" t="s">
        <v>202</v>
      </c>
    </row>
    <row r="185" spans="2:37" ht="6.75" customHeight="1" thickTop="1" thickBot="1" x14ac:dyDescent="0.3">
      <c r="B185" s="2"/>
      <c r="C185" s="14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  <c r="AF185" s="13"/>
      <c r="AG185" s="13"/>
      <c r="AH185" s="13"/>
      <c r="AI185" s="13"/>
      <c r="AJ185" s="12"/>
      <c r="AK185" s="33"/>
    </row>
    <row r="186" spans="2:37" ht="13.2" hidden="1" thickTop="1" thickBot="1" x14ac:dyDescent="0.3">
      <c r="B186" s="2"/>
      <c r="C186" s="31" t="s">
        <v>199</v>
      </c>
      <c r="D186" s="30" t="s">
        <v>198</v>
      </c>
      <c r="E186" s="30" t="s">
        <v>197</v>
      </c>
      <c r="F186" s="30" t="s">
        <v>196</v>
      </c>
      <c r="G186" s="30" t="s">
        <v>195</v>
      </c>
      <c r="H186" s="30" t="s">
        <v>194</v>
      </c>
      <c r="I186" s="30" t="s">
        <v>193</v>
      </c>
      <c r="J186" s="30" t="s">
        <v>192</v>
      </c>
      <c r="K186" s="30" t="s">
        <v>191</v>
      </c>
      <c r="L186" s="30" t="s">
        <v>190</v>
      </c>
      <c r="M186" s="30" t="s">
        <v>189</v>
      </c>
      <c r="N186" s="30" t="s">
        <v>188</v>
      </c>
      <c r="O186" s="30" t="s">
        <v>187</v>
      </c>
      <c r="P186" s="30" t="s">
        <v>186</v>
      </c>
      <c r="Q186" s="30" t="s">
        <v>185</v>
      </c>
      <c r="R186" s="30" t="s">
        <v>184</v>
      </c>
      <c r="S186" s="30" t="s">
        <v>183</v>
      </c>
      <c r="T186" s="30" t="s">
        <v>182</v>
      </c>
      <c r="U186" s="30" t="s">
        <v>181</v>
      </c>
      <c r="V186" s="30" t="s">
        <v>180</v>
      </c>
      <c r="W186" s="30" t="s">
        <v>179</v>
      </c>
      <c r="X186" s="30" t="s">
        <v>178</v>
      </c>
      <c r="Y186" s="30" t="s">
        <v>177</v>
      </c>
      <c r="Z186" s="30" t="s">
        <v>176</v>
      </c>
      <c r="AA186" s="30" t="s">
        <v>175</v>
      </c>
      <c r="AB186" s="30" t="s">
        <v>174</v>
      </c>
      <c r="AC186" s="30" t="s">
        <v>173</v>
      </c>
      <c r="AD186" s="30" t="s">
        <v>172</v>
      </c>
      <c r="AE186" s="30" t="s">
        <v>171</v>
      </c>
      <c r="AF186" s="30" t="s">
        <v>170</v>
      </c>
      <c r="AG186" s="30" t="s">
        <v>169</v>
      </c>
      <c r="AH186" s="30" t="s">
        <v>168</v>
      </c>
      <c r="AI186" s="30" t="s">
        <v>167</v>
      </c>
      <c r="AJ186" s="29" t="s">
        <v>166</v>
      </c>
      <c r="AK186" s="2"/>
    </row>
    <row r="187" spans="2:37" ht="19.5" customHeight="1" thickTop="1" thickBot="1" x14ac:dyDescent="0.3">
      <c r="B187" s="28"/>
      <c r="C187" s="27" t="str">
        <f>DADOS!$AN$3</f>
        <v>📝 AÇÃO</v>
      </c>
      <c r="D187" s="26" t="str">
        <f>IF(reservavariáveisconsolidadodez[[#This Row],[TOTAL (R$)]]=0,"",IF(OR(reservavariáveisconsolidadodez[[#This Row],[TOTAL (R$)]]=LARGE($AJ$187:$AJ$196,1),reservavariáveisconsolidadodez[[#This Row],[TOTAL (R$)]]=LARGE($AJ$187:$AJ$196,2)),DADOS!$I$11,""))</f>
        <v/>
      </c>
      <c r="E187" s="96">
        <f>SUMIFS(tabela_registros[VALOR],tabela_registros[MÊS],$AE$1,tabela_registros[DIA],reservavariáveisconsolidadodez[[#Headers],[1]],tabela_registros[REGISTRO],DADOS!$N$6,tabela_registros[TIPO],DADOS!$AJ$4,tabela_registros[CATEGORIA],reservavariáveisconsolidadodez[[#This Row],[ATUAL]])</f>
        <v>0</v>
      </c>
      <c r="F187" s="91">
        <f>SUMIFS(tabela_registros[VALOR],tabela_registros[MÊS],$AE$1,tabela_registros[DIA],reservavariáveisconsolidadodez[[#Headers],[2]],tabela_registros[REGISTRO],DADOS!$N$6,tabela_registros[TIPO],DADOS!$AJ$4,tabela_registros[CATEGORIA],reservavariáveisconsolidadodez[[#This Row],[ATUAL]])</f>
        <v>0</v>
      </c>
      <c r="G187" s="91">
        <f>SUMIFS(tabela_registros[VALOR],tabela_registros[MÊS],$AE$1,tabela_registros[DIA],reservavariáveisconsolidadodez[[#Headers],[3]],tabela_registros[REGISTRO],DADOS!$N$6,tabela_registros[TIPO],DADOS!$AJ$4,tabela_registros[CATEGORIA],reservavariáveisconsolidadodez[[#This Row],[ATUAL]])</f>
        <v>0</v>
      </c>
      <c r="H187" s="91">
        <f>SUMIFS(tabela_registros[VALOR],tabela_registros[MÊS],$AE$1,tabela_registros[DIA],reservavariáveisconsolidadodez[[#Headers],[4]],tabela_registros[REGISTRO],DADOS!$N$6,tabela_registros[TIPO],DADOS!$AJ$4,tabela_registros[CATEGORIA],reservavariáveisconsolidadodez[[#This Row],[ATUAL]])</f>
        <v>0</v>
      </c>
      <c r="I187" s="91">
        <f>SUMIFS(tabela_registros[VALOR],tabela_registros[MÊS],$AE$1,tabela_registros[DIA],reservavariáveisconsolidadodez[[#Headers],[5]],tabela_registros[REGISTRO],DADOS!$N$6,tabela_registros[TIPO],DADOS!$AJ$4,tabela_registros[CATEGORIA],reservavariáveisconsolidadodez[[#This Row],[ATUAL]])</f>
        <v>0</v>
      </c>
      <c r="J187" s="91">
        <f>SUMIFS(tabela_registros[VALOR],tabela_registros[MÊS],$AE$1,tabela_registros[DIA],reservavariáveisconsolidadodez[[#Headers],[6]],tabela_registros[REGISTRO],DADOS!$N$6,tabela_registros[TIPO],DADOS!$AJ$4,tabela_registros[CATEGORIA],reservavariáveisconsolidadodez[[#This Row],[ATUAL]])</f>
        <v>0</v>
      </c>
      <c r="K187" s="91">
        <f>SUMIFS(tabela_registros[VALOR],tabela_registros[MÊS],$AE$1,tabela_registros[DIA],reservavariáveisconsolidadodez[[#Headers],[7]],tabela_registros[REGISTRO],DADOS!$N$6,tabela_registros[TIPO],DADOS!$AJ$4,tabela_registros[CATEGORIA],reservavariáveisconsolidadodez[[#This Row],[ATUAL]])</f>
        <v>0</v>
      </c>
      <c r="L187" s="91">
        <f>SUMIFS(tabela_registros[VALOR],tabela_registros[MÊS],$AE$1,tabela_registros[DIA],reservavariáveisconsolidadodez[[#Headers],[8]],tabela_registros[REGISTRO],DADOS!$N$6,tabela_registros[TIPO],DADOS!$AJ$4,tabela_registros[CATEGORIA],reservavariáveisconsolidadodez[[#This Row],[ATUAL]])</f>
        <v>0</v>
      </c>
      <c r="M187" s="91">
        <f>SUMIFS(tabela_registros[VALOR],tabela_registros[MÊS],$AE$1,tabela_registros[DIA],reservavariáveisconsolidadodez[[#Headers],[9]],tabela_registros[REGISTRO],DADOS!$N$6,tabela_registros[TIPO],DADOS!$AJ$4,tabela_registros[CATEGORIA],reservavariáveisconsolidadodez[[#This Row],[ATUAL]])</f>
        <v>0</v>
      </c>
      <c r="N187" s="91">
        <f>SUMIFS(tabela_registros[VALOR],tabela_registros[MÊS],$AE$1,tabela_registros[DIA],reservavariáveisconsolidadodez[[#Headers],[10]],tabela_registros[REGISTRO],DADOS!$N$6,tabela_registros[TIPO],DADOS!$AJ$4,tabela_registros[CATEGORIA],reservavariáveisconsolidadodez[[#This Row],[ATUAL]])</f>
        <v>0</v>
      </c>
      <c r="O187" s="91">
        <f>SUMIFS(tabela_registros[VALOR],tabela_registros[MÊS],$AE$1,tabela_registros[DIA],reservavariáveisconsolidadodez[[#Headers],[11]],tabela_registros[REGISTRO],DADOS!$N$6,tabela_registros[TIPO],DADOS!$AJ$4,tabela_registros[CATEGORIA],reservavariáveisconsolidadodez[[#This Row],[ATUAL]])</f>
        <v>0</v>
      </c>
      <c r="P187" s="91">
        <f>SUMIFS(tabela_registros[VALOR],tabela_registros[MÊS],$AE$1,tabela_registros[DIA],reservavariáveisconsolidadodez[[#Headers],[12]],tabela_registros[REGISTRO],DADOS!$N$6,tabela_registros[TIPO],DADOS!$AJ$4,tabela_registros[CATEGORIA],reservavariáveisconsolidadodez[[#This Row],[ATUAL]])</f>
        <v>0</v>
      </c>
      <c r="Q187" s="91">
        <f>SUMIFS(tabela_registros[VALOR],tabela_registros[MÊS],$AE$1,tabela_registros[DIA],reservavariáveisconsolidadodez[[#Headers],[13]],tabela_registros[REGISTRO],DADOS!$N$6,tabela_registros[TIPO],DADOS!$AJ$4,tabela_registros[CATEGORIA],reservavariáveisconsolidadodez[[#This Row],[ATUAL]])</f>
        <v>0</v>
      </c>
      <c r="R187" s="91">
        <f>SUMIFS(tabela_registros[VALOR],tabela_registros[MÊS],$AE$1,tabela_registros[DIA],reservavariáveisconsolidadodez[[#Headers],[14]],tabela_registros[REGISTRO],DADOS!$N$6,tabela_registros[TIPO],DADOS!$AJ$4,tabela_registros[CATEGORIA],reservavariáveisconsolidadodez[[#This Row],[ATUAL]])</f>
        <v>0</v>
      </c>
      <c r="S187" s="91">
        <f>SUMIFS(tabela_registros[VALOR],tabela_registros[MÊS],$AE$1,tabela_registros[DIA],reservavariáveisconsolidadodez[[#Headers],[15]],tabela_registros[REGISTRO],DADOS!$N$6,tabela_registros[TIPO],DADOS!$AJ$4,tabela_registros[CATEGORIA],reservavariáveisconsolidadodez[[#This Row],[ATUAL]])</f>
        <v>0</v>
      </c>
      <c r="T187" s="91">
        <f>SUMIFS(tabela_registros[VALOR],tabela_registros[MÊS],$AE$1,tabela_registros[DIA],reservavariáveisconsolidadodez[[#Headers],[16]],tabela_registros[REGISTRO],DADOS!$N$6,tabela_registros[TIPO],DADOS!$AJ$4,tabela_registros[CATEGORIA],reservavariáveisconsolidadodez[[#This Row],[ATUAL]])</f>
        <v>0</v>
      </c>
      <c r="U187" s="91">
        <f>SUMIFS(tabela_registros[VALOR],tabela_registros[MÊS],$AE$1,tabela_registros[DIA],reservavariáveisconsolidadodez[[#Headers],[17]],tabela_registros[REGISTRO],DADOS!$N$6,tabela_registros[TIPO],DADOS!$AJ$4,tabela_registros[CATEGORIA],reservavariáveisconsolidadodez[[#This Row],[ATUAL]])</f>
        <v>0</v>
      </c>
      <c r="V187" s="91">
        <f>SUMIFS(tabela_registros[VALOR],tabela_registros[MÊS],$AE$1,tabela_registros[DIA],reservavariáveisconsolidadodez[[#Headers],[18]],tabela_registros[REGISTRO],DADOS!$N$6,tabela_registros[TIPO],DADOS!$AJ$4,tabela_registros[CATEGORIA],reservavariáveisconsolidadodez[[#This Row],[ATUAL]])</f>
        <v>0</v>
      </c>
      <c r="W187" s="91">
        <f>SUMIFS(tabela_registros[VALOR],tabela_registros[MÊS],$AE$1,tabela_registros[DIA],reservavariáveisconsolidadodez[[#Headers],[19]],tabela_registros[REGISTRO],DADOS!$N$6,tabela_registros[TIPO],DADOS!$AJ$4,tabela_registros[CATEGORIA],reservavariáveisconsolidadodez[[#This Row],[ATUAL]])</f>
        <v>0</v>
      </c>
      <c r="X187" s="91">
        <f>SUMIFS(tabela_registros[VALOR],tabela_registros[MÊS],$AE$1,tabela_registros[DIA],reservavariáveisconsolidadodez[[#Headers],[20]],tabela_registros[REGISTRO],DADOS!$N$6,tabela_registros[TIPO],DADOS!$AJ$4,tabela_registros[CATEGORIA],reservavariáveisconsolidadodez[[#This Row],[ATUAL]])</f>
        <v>0</v>
      </c>
      <c r="Y187" s="91">
        <f>SUMIFS(tabela_registros[VALOR],tabela_registros[MÊS],$AE$1,tabela_registros[DIA],reservavariáveisconsolidadodez[[#Headers],[21]],tabela_registros[REGISTRO],DADOS!$N$6,tabela_registros[TIPO],DADOS!$AJ$4,tabela_registros[CATEGORIA],reservavariáveisconsolidadodez[[#This Row],[ATUAL]])</f>
        <v>0</v>
      </c>
      <c r="Z187" s="91">
        <f>SUMIFS(tabela_registros[VALOR],tabela_registros[MÊS],$AE$1,tabela_registros[DIA],reservavariáveisconsolidadodez[[#Headers],[22]],tabela_registros[REGISTRO],DADOS!$N$6,tabela_registros[TIPO],DADOS!$AJ$4,tabela_registros[CATEGORIA],reservavariáveisconsolidadodez[[#This Row],[ATUAL]])</f>
        <v>0</v>
      </c>
      <c r="AA187" s="91">
        <f>SUMIFS(tabela_registros[VALOR],tabela_registros[MÊS],$AE$1,tabela_registros[DIA],reservavariáveisconsolidadodez[[#Headers],[23]],tabela_registros[REGISTRO],DADOS!$N$6,tabela_registros[TIPO],DADOS!$AJ$4,tabela_registros[CATEGORIA],reservavariáveisconsolidadodez[[#This Row],[ATUAL]])</f>
        <v>0</v>
      </c>
      <c r="AB187" s="91">
        <f>SUMIFS(tabela_registros[VALOR],tabela_registros[MÊS],$AE$1,tabela_registros[DIA],reservavariáveisconsolidadodez[[#Headers],[24]],tabela_registros[REGISTRO],DADOS!$N$6,tabela_registros[TIPO],DADOS!$AJ$4,tabela_registros[CATEGORIA],reservavariáveisconsolidadodez[[#This Row],[ATUAL]])</f>
        <v>0</v>
      </c>
      <c r="AC187" s="91">
        <f>SUMIFS(tabela_registros[VALOR],tabela_registros[MÊS],$AE$1,tabela_registros[DIA],reservavariáveisconsolidadodez[[#Headers],[25]],tabela_registros[REGISTRO],DADOS!$N$6,tabela_registros[TIPO],DADOS!$AJ$4,tabela_registros[CATEGORIA],reservavariáveisconsolidadodez[[#This Row],[ATUAL]])</f>
        <v>0</v>
      </c>
      <c r="AD187" s="91">
        <f>SUMIFS(tabela_registros[VALOR],tabela_registros[MÊS],$AE$1,tabela_registros[DIA],reservavariáveisconsolidadodez[[#Headers],[26]],tabela_registros[REGISTRO],DADOS!$N$6,tabela_registros[TIPO],DADOS!$AJ$4,tabela_registros[CATEGORIA],reservavariáveisconsolidadodez[[#This Row],[ATUAL]])</f>
        <v>0</v>
      </c>
      <c r="AE187" s="91">
        <f>SUMIFS(tabela_registros[VALOR],tabela_registros[MÊS],$AE$1,tabela_registros[DIA],reservavariáveisconsolidadodez[[#Headers],[27]],tabela_registros[REGISTRO],DADOS!$N$6,tabela_registros[TIPO],DADOS!$AJ$4,tabela_registros[CATEGORIA],reservavariáveisconsolidadodez[[#This Row],[ATUAL]])</f>
        <v>0</v>
      </c>
      <c r="AF187" s="91">
        <f>SUMIFS(tabela_registros[VALOR],tabela_registros[MÊS],$AE$1,tabela_registros[DIA],reservavariáveisconsolidadodez[[#Headers],[28]],tabela_registros[REGISTRO],DADOS!$N$6,tabela_registros[TIPO],DADOS!$AJ$4,tabela_registros[CATEGORIA],reservavariáveisconsolidadodez[[#This Row],[ATUAL]])</f>
        <v>0</v>
      </c>
      <c r="AG187" s="91">
        <f>SUMIFS(tabela_registros[VALOR],tabela_registros[MÊS],$AE$1,tabela_registros[DIA],reservavariáveisconsolidadodez[[#Headers],[29]],tabela_registros[REGISTRO],DADOS!$N$6,tabela_registros[TIPO],DADOS!$AJ$4,tabela_registros[CATEGORIA],reservavariáveisconsolidadodez[[#This Row],[ATUAL]])</f>
        <v>0</v>
      </c>
      <c r="AH187" s="91">
        <f>SUMIFS(tabela_registros[VALOR],tabela_registros[MÊS],$AE$1,tabela_registros[DIA],reservavariáveisconsolidadodez[[#Headers],[30]],tabela_registros[REGISTRO],DADOS!$N$6,tabela_registros[TIPO],DADOS!$AJ$4,tabela_registros[CATEGORIA],reservavariáveisconsolidadodez[[#This Row],[ATUAL]])</f>
        <v>0</v>
      </c>
      <c r="AI187" s="101">
        <f>SUMIFS(tabela_registros[VALOR],tabela_registros[MÊS],$AE$1,tabela_registros[DIA],reservavariáveisconsolidadodez[[#Headers],[31]],tabela_registros[REGISTRO],DADOS!$N$6,tabela_registros[TIPO],DADOS!$AJ$4,tabela_registros[CATEGORIA],reservavariáveisconsolidadodez[[#This Row],[ATUAL]])</f>
        <v>0</v>
      </c>
      <c r="AJ187" s="97">
        <f>SUM(reservavariáveisconsolidadodez[[#This Row],[1]:[31]])</f>
        <v>0</v>
      </c>
      <c r="AK187" s="25"/>
    </row>
    <row r="188" spans="2:37" ht="19.5" customHeight="1" thickTop="1" thickBot="1" x14ac:dyDescent="0.3">
      <c r="B188" s="28"/>
      <c r="C188" s="27" t="str">
        <f>DADOS!$AN$4</f>
        <v>📝 COMÓDITE</v>
      </c>
      <c r="D188" s="26" t="str">
        <f>IF(reservavariáveisconsolidadodez[[#This Row],[TOTAL (R$)]]=0,"",IF(OR(reservavariáveisconsolidadodez[[#This Row],[TOTAL (R$)]]=LARGE($AJ$187:$AJ$196,1),reservavariáveisconsolidadodez[[#This Row],[TOTAL (R$)]]=LARGE($AJ$187:$AJ$196,2)),DADOS!$I$11,""))</f>
        <v/>
      </c>
      <c r="E188" s="96">
        <f>SUMIFS(tabela_registros[VALOR],tabela_registros[MÊS],$AE$1,tabela_registros[DIA],reservavariáveisconsolidadodez[[#Headers],[1]],tabela_registros[REGISTRO],DADOS!$N$6,tabela_registros[TIPO],DADOS!$AJ$4,tabela_registros[CATEGORIA],reservavariáveisconsolidadodez[[#This Row],[ATUAL]])</f>
        <v>0</v>
      </c>
      <c r="F188" s="91">
        <f>SUMIFS(tabela_registros[VALOR],tabela_registros[MÊS],$AE$1,tabela_registros[DIA],reservavariáveisconsolidadodez[[#Headers],[2]],tabela_registros[REGISTRO],DADOS!$N$6,tabela_registros[TIPO],DADOS!$AJ$4,tabela_registros[CATEGORIA],reservavariáveisconsolidadodez[[#This Row],[ATUAL]])</f>
        <v>0</v>
      </c>
      <c r="G188" s="91">
        <f>SUMIFS(tabela_registros[VALOR],tabela_registros[MÊS],$AE$1,tabela_registros[DIA],reservavariáveisconsolidadodez[[#Headers],[3]],tabela_registros[REGISTRO],DADOS!$N$6,tabela_registros[TIPO],DADOS!$AJ$4,tabela_registros[CATEGORIA],reservavariáveisconsolidadodez[[#This Row],[ATUAL]])</f>
        <v>0</v>
      </c>
      <c r="H188" s="91">
        <f>SUMIFS(tabela_registros[VALOR],tabela_registros[MÊS],$AE$1,tabela_registros[DIA],reservavariáveisconsolidadodez[[#Headers],[4]],tabela_registros[REGISTRO],DADOS!$N$6,tabela_registros[TIPO],DADOS!$AJ$4,tabela_registros[CATEGORIA],reservavariáveisconsolidadodez[[#This Row],[ATUAL]])</f>
        <v>0</v>
      </c>
      <c r="I188" s="91">
        <f>SUMIFS(tabela_registros[VALOR],tabela_registros[MÊS],$AE$1,tabela_registros[DIA],reservavariáveisconsolidadodez[[#Headers],[5]],tabela_registros[REGISTRO],DADOS!$N$6,tabela_registros[TIPO],DADOS!$AJ$4,tabela_registros[CATEGORIA],reservavariáveisconsolidadodez[[#This Row],[ATUAL]])</f>
        <v>0</v>
      </c>
      <c r="J188" s="91">
        <f>SUMIFS(tabela_registros[VALOR],tabela_registros[MÊS],$AE$1,tabela_registros[DIA],reservavariáveisconsolidadodez[[#Headers],[6]],tabela_registros[REGISTRO],DADOS!$N$6,tabela_registros[TIPO],DADOS!$AJ$4,tabela_registros[CATEGORIA],reservavariáveisconsolidadodez[[#This Row],[ATUAL]])</f>
        <v>0</v>
      </c>
      <c r="K188" s="91">
        <f>SUMIFS(tabela_registros[VALOR],tabela_registros[MÊS],$AE$1,tabela_registros[DIA],reservavariáveisconsolidadodez[[#Headers],[7]],tabela_registros[REGISTRO],DADOS!$N$6,tabela_registros[TIPO],DADOS!$AJ$4,tabela_registros[CATEGORIA],reservavariáveisconsolidadodez[[#This Row],[ATUAL]])</f>
        <v>0</v>
      </c>
      <c r="L188" s="91">
        <f>SUMIFS(tabela_registros[VALOR],tabela_registros[MÊS],$AE$1,tabela_registros[DIA],reservavariáveisconsolidadodez[[#Headers],[8]],tabela_registros[REGISTRO],DADOS!$N$6,tabela_registros[TIPO],DADOS!$AJ$4,tabela_registros[CATEGORIA],reservavariáveisconsolidadodez[[#This Row],[ATUAL]])</f>
        <v>0</v>
      </c>
      <c r="M188" s="91">
        <f>SUMIFS(tabela_registros[VALOR],tabela_registros[MÊS],$AE$1,tabela_registros[DIA],reservavariáveisconsolidadodez[[#Headers],[9]],tabela_registros[REGISTRO],DADOS!$N$6,tabela_registros[TIPO],DADOS!$AJ$4,tabela_registros[CATEGORIA],reservavariáveisconsolidadodez[[#This Row],[ATUAL]])</f>
        <v>0</v>
      </c>
      <c r="N188" s="91">
        <f>SUMIFS(tabela_registros[VALOR],tabela_registros[MÊS],$AE$1,tabela_registros[DIA],reservavariáveisconsolidadodez[[#Headers],[10]],tabela_registros[REGISTRO],DADOS!$N$6,tabela_registros[TIPO],DADOS!$AJ$4,tabela_registros[CATEGORIA],reservavariáveisconsolidadodez[[#This Row],[ATUAL]])</f>
        <v>0</v>
      </c>
      <c r="O188" s="91">
        <f>SUMIFS(tabela_registros[VALOR],tabela_registros[MÊS],$AE$1,tabela_registros[DIA],reservavariáveisconsolidadodez[[#Headers],[11]],tabela_registros[REGISTRO],DADOS!$N$6,tabela_registros[TIPO],DADOS!$AJ$4,tabela_registros[CATEGORIA],reservavariáveisconsolidadodez[[#This Row],[ATUAL]])</f>
        <v>0</v>
      </c>
      <c r="P188" s="91">
        <f>SUMIFS(tabela_registros[VALOR],tabela_registros[MÊS],$AE$1,tabela_registros[DIA],reservavariáveisconsolidadodez[[#Headers],[12]],tabela_registros[REGISTRO],DADOS!$N$6,tabela_registros[TIPO],DADOS!$AJ$4,tabela_registros[CATEGORIA],reservavariáveisconsolidadodez[[#This Row],[ATUAL]])</f>
        <v>0</v>
      </c>
      <c r="Q188" s="91">
        <f>SUMIFS(tabela_registros[VALOR],tabela_registros[MÊS],$AE$1,tabela_registros[DIA],reservavariáveisconsolidadodez[[#Headers],[13]],tabela_registros[REGISTRO],DADOS!$N$6,tabela_registros[TIPO],DADOS!$AJ$4,tabela_registros[CATEGORIA],reservavariáveisconsolidadodez[[#This Row],[ATUAL]])</f>
        <v>0</v>
      </c>
      <c r="R188" s="91">
        <f>SUMIFS(tabela_registros[VALOR],tabela_registros[MÊS],$AE$1,tabela_registros[DIA],reservavariáveisconsolidadodez[[#Headers],[14]],tabela_registros[REGISTRO],DADOS!$N$6,tabela_registros[TIPO],DADOS!$AJ$4,tabela_registros[CATEGORIA],reservavariáveisconsolidadodez[[#This Row],[ATUAL]])</f>
        <v>0</v>
      </c>
      <c r="S188" s="91">
        <f>SUMIFS(tabela_registros[VALOR],tabela_registros[MÊS],$AE$1,tabela_registros[DIA],reservavariáveisconsolidadodez[[#Headers],[15]],tabela_registros[REGISTRO],DADOS!$N$6,tabela_registros[TIPO],DADOS!$AJ$4,tabela_registros[CATEGORIA],reservavariáveisconsolidadodez[[#This Row],[ATUAL]])</f>
        <v>0</v>
      </c>
      <c r="T188" s="91">
        <f>SUMIFS(tabela_registros[VALOR],tabela_registros[MÊS],$AE$1,tabela_registros[DIA],reservavariáveisconsolidadodez[[#Headers],[16]],tabela_registros[REGISTRO],DADOS!$N$6,tabela_registros[TIPO],DADOS!$AJ$4,tabela_registros[CATEGORIA],reservavariáveisconsolidadodez[[#This Row],[ATUAL]])</f>
        <v>0</v>
      </c>
      <c r="U188" s="91">
        <f>SUMIFS(tabela_registros[VALOR],tabela_registros[MÊS],$AE$1,tabela_registros[DIA],reservavariáveisconsolidadodez[[#Headers],[17]],tabela_registros[REGISTRO],DADOS!$N$6,tabela_registros[TIPO],DADOS!$AJ$4,tabela_registros[CATEGORIA],reservavariáveisconsolidadodez[[#This Row],[ATUAL]])</f>
        <v>0</v>
      </c>
      <c r="V188" s="91">
        <f>SUMIFS(tabela_registros[VALOR],tabela_registros[MÊS],$AE$1,tabela_registros[DIA],reservavariáveisconsolidadodez[[#Headers],[18]],tabela_registros[REGISTRO],DADOS!$N$6,tabela_registros[TIPO],DADOS!$AJ$4,tabela_registros[CATEGORIA],reservavariáveisconsolidadodez[[#This Row],[ATUAL]])</f>
        <v>0</v>
      </c>
      <c r="W188" s="91">
        <f>SUMIFS(tabela_registros[VALOR],tabela_registros[MÊS],$AE$1,tabela_registros[DIA],reservavariáveisconsolidadodez[[#Headers],[19]],tabela_registros[REGISTRO],DADOS!$N$6,tabela_registros[TIPO],DADOS!$AJ$4,tabela_registros[CATEGORIA],reservavariáveisconsolidadodez[[#This Row],[ATUAL]])</f>
        <v>0</v>
      </c>
      <c r="X188" s="91">
        <f>SUMIFS(tabela_registros[VALOR],tabela_registros[MÊS],$AE$1,tabela_registros[DIA],reservavariáveisconsolidadodez[[#Headers],[20]],tabela_registros[REGISTRO],DADOS!$N$6,tabela_registros[TIPO],DADOS!$AJ$4,tabela_registros[CATEGORIA],reservavariáveisconsolidadodez[[#This Row],[ATUAL]])</f>
        <v>0</v>
      </c>
      <c r="Y188" s="91">
        <f>SUMIFS(tabela_registros[VALOR],tabela_registros[MÊS],$AE$1,tabela_registros[DIA],reservavariáveisconsolidadodez[[#Headers],[21]],tabela_registros[REGISTRO],DADOS!$N$6,tabela_registros[TIPO],DADOS!$AJ$4,tabela_registros[CATEGORIA],reservavariáveisconsolidadodez[[#This Row],[ATUAL]])</f>
        <v>0</v>
      </c>
      <c r="Z188" s="91">
        <f>SUMIFS(tabela_registros[VALOR],tabela_registros[MÊS],$AE$1,tabela_registros[DIA],reservavariáveisconsolidadodez[[#Headers],[22]],tabela_registros[REGISTRO],DADOS!$N$6,tabela_registros[TIPO],DADOS!$AJ$4,tabela_registros[CATEGORIA],reservavariáveisconsolidadodez[[#This Row],[ATUAL]])</f>
        <v>0</v>
      </c>
      <c r="AA188" s="91">
        <f>SUMIFS(tabela_registros[VALOR],tabela_registros[MÊS],$AE$1,tabela_registros[DIA],reservavariáveisconsolidadodez[[#Headers],[23]],tabela_registros[REGISTRO],DADOS!$N$6,tabela_registros[TIPO],DADOS!$AJ$4,tabela_registros[CATEGORIA],reservavariáveisconsolidadodez[[#This Row],[ATUAL]])</f>
        <v>0</v>
      </c>
      <c r="AB188" s="91">
        <f>SUMIFS(tabela_registros[VALOR],tabela_registros[MÊS],$AE$1,tabela_registros[DIA],reservavariáveisconsolidadodez[[#Headers],[24]],tabela_registros[REGISTRO],DADOS!$N$6,tabela_registros[TIPO],DADOS!$AJ$4,tabela_registros[CATEGORIA],reservavariáveisconsolidadodez[[#This Row],[ATUAL]])</f>
        <v>0</v>
      </c>
      <c r="AC188" s="91">
        <f>SUMIFS(tabela_registros[VALOR],tabela_registros[MÊS],$AE$1,tabela_registros[DIA],reservavariáveisconsolidadodez[[#Headers],[25]],tabela_registros[REGISTRO],DADOS!$N$6,tabela_registros[TIPO],DADOS!$AJ$4,tabela_registros[CATEGORIA],reservavariáveisconsolidadodez[[#This Row],[ATUAL]])</f>
        <v>0</v>
      </c>
      <c r="AD188" s="91">
        <f>SUMIFS(tabela_registros[VALOR],tabela_registros[MÊS],$AE$1,tabela_registros[DIA],reservavariáveisconsolidadodez[[#Headers],[26]],tabela_registros[REGISTRO],DADOS!$N$6,tabela_registros[TIPO],DADOS!$AJ$4,tabela_registros[CATEGORIA],reservavariáveisconsolidadodez[[#This Row],[ATUAL]])</f>
        <v>0</v>
      </c>
      <c r="AE188" s="91">
        <f>SUMIFS(tabela_registros[VALOR],tabela_registros[MÊS],$AE$1,tabela_registros[DIA],reservavariáveisconsolidadodez[[#Headers],[27]],tabela_registros[REGISTRO],DADOS!$N$6,tabela_registros[TIPO],DADOS!$AJ$4,tabela_registros[CATEGORIA],reservavariáveisconsolidadodez[[#This Row],[ATUAL]])</f>
        <v>0</v>
      </c>
      <c r="AF188" s="91">
        <f>SUMIFS(tabela_registros[VALOR],tabela_registros[MÊS],$AE$1,tabela_registros[DIA],reservavariáveisconsolidadodez[[#Headers],[28]],tabela_registros[REGISTRO],DADOS!$N$6,tabela_registros[TIPO],DADOS!$AJ$4,tabela_registros[CATEGORIA],reservavariáveisconsolidadodez[[#This Row],[ATUAL]])</f>
        <v>0</v>
      </c>
      <c r="AG188" s="91">
        <f>SUMIFS(tabela_registros[VALOR],tabela_registros[MÊS],$AE$1,tabela_registros[DIA],reservavariáveisconsolidadodez[[#Headers],[29]],tabela_registros[REGISTRO],DADOS!$N$6,tabela_registros[TIPO],DADOS!$AJ$4,tabela_registros[CATEGORIA],reservavariáveisconsolidadodez[[#This Row],[ATUAL]])</f>
        <v>0</v>
      </c>
      <c r="AH188" s="91">
        <f>SUMIFS(tabela_registros[VALOR],tabela_registros[MÊS],$AE$1,tabela_registros[DIA],reservavariáveisconsolidadodez[[#Headers],[30]],tabela_registros[REGISTRO],DADOS!$N$6,tabela_registros[TIPO],DADOS!$AJ$4,tabela_registros[CATEGORIA],reservavariáveisconsolidadodez[[#This Row],[ATUAL]])</f>
        <v>0</v>
      </c>
      <c r="AI188" s="101">
        <f>SUMIFS(tabela_registros[VALOR],tabela_registros[MÊS],$AE$1,tabela_registros[DIA],reservavariáveisconsolidadodez[[#Headers],[31]],tabela_registros[REGISTRO],DADOS!$N$6,tabela_registros[TIPO],DADOS!$AJ$4,tabela_registros[CATEGORIA],reservavariáveisconsolidadodez[[#This Row],[ATUAL]])</f>
        <v>0</v>
      </c>
      <c r="AJ188" s="97">
        <f>SUM(reservavariáveisconsolidadodez[[#This Row],[1]:[31]])</f>
        <v>0</v>
      </c>
      <c r="AK188" s="25"/>
    </row>
    <row r="189" spans="2:37" ht="19.5" customHeight="1" thickTop="1" thickBot="1" x14ac:dyDescent="0.3">
      <c r="B189" s="28"/>
      <c r="C189" s="27" t="str">
        <f>DADOS!$AN$5</f>
        <v>📝 CONTRATO DE FUTUROS</v>
      </c>
      <c r="D189" s="26" t="str">
        <f>IF(reservavariáveisconsolidadodez[[#This Row],[TOTAL (R$)]]=0,"",IF(OR(reservavariáveisconsolidadodez[[#This Row],[TOTAL (R$)]]=LARGE($AJ$187:$AJ$196,1),reservavariáveisconsolidadodez[[#This Row],[TOTAL (R$)]]=LARGE($AJ$187:$AJ$196,2)),DADOS!$I$11,""))</f>
        <v/>
      </c>
      <c r="E189" s="96">
        <f>SUMIFS(tabela_registros[VALOR],tabela_registros[MÊS],$AE$1,tabela_registros[DIA],reservavariáveisconsolidadodez[[#Headers],[1]],tabela_registros[REGISTRO],DADOS!$N$6,tabela_registros[TIPO],DADOS!$AJ$4,tabela_registros[CATEGORIA],reservavariáveisconsolidadodez[[#This Row],[ATUAL]])</f>
        <v>0</v>
      </c>
      <c r="F189" s="91">
        <f>SUMIFS(tabela_registros[VALOR],tabela_registros[MÊS],$AE$1,tabela_registros[DIA],reservavariáveisconsolidadodez[[#Headers],[2]],tabela_registros[REGISTRO],DADOS!$N$6,tabela_registros[TIPO],DADOS!$AJ$4,tabela_registros[CATEGORIA],reservavariáveisconsolidadodez[[#This Row],[ATUAL]])</f>
        <v>0</v>
      </c>
      <c r="G189" s="91">
        <f>SUMIFS(tabela_registros[VALOR],tabela_registros[MÊS],$AE$1,tabela_registros[DIA],reservavariáveisconsolidadodez[[#Headers],[3]],tabela_registros[REGISTRO],DADOS!$N$6,tabela_registros[TIPO],DADOS!$AJ$4,tabela_registros[CATEGORIA],reservavariáveisconsolidadodez[[#This Row],[ATUAL]])</f>
        <v>0</v>
      </c>
      <c r="H189" s="91">
        <f>SUMIFS(tabela_registros[VALOR],tabela_registros[MÊS],$AE$1,tabela_registros[DIA],reservavariáveisconsolidadodez[[#Headers],[4]],tabela_registros[REGISTRO],DADOS!$N$6,tabela_registros[TIPO],DADOS!$AJ$4,tabela_registros[CATEGORIA],reservavariáveisconsolidadodez[[#This Row],[ATUAL]])</f>
        <v>0</v>
      </c>
      <c r="I189" s="91">
        <f>SUMIFS(tabela_registros[VALOR],tabela_registros[MÊS],$AE$1,tabela_registros[DIA],reservavariáveisconsolidadodez[[#Headers],[5]],tabela_registros[REGISTRO],DADOS!$N$6,tabela_registros[TIPO],DADOS!$AJ$4,tabela_registros[CATEGORIA],reservavariáveisconsolidadodez[[#This Row],[ATUAL]])</f>
        <v>0</v>
      </c>
      <c r="J189" s="91">
        <f>SUMIFS(tabela_registros[VALOR],tabela_registros[MÊS],$AE$1,tabela_registros[DIA],reservavariáveisconsolidadodez[[#Headers],[6]],tabela_registros[REGISTRO],DADOS!$N$6,tabela_registros[TIPO],DADOS!$AJ$4,tabela_registros[CATEGORIA],reservavariáveisconsolidadodez[[#This Row],[ATUAL]])</f>
        <v>0</v>
      </c>
      <c r="K189" s="91">
        <f>SUMIFS(tabela_registros[VALOR],tabela_registros[MÊS],$AE$1,tabela_registros[DIA],reservavariáveisconsolidadodez[[#Headers],[7]],tabela_registros[REGISTRO],DADOS!$N$6,tabela_registros[TIPO],DADOS!$AJ$4,tabela_registros[CATEGORIA],reservavariáveisconsolidadodez[[#This Row],[ATUAL]])</f>
        <v>0</v>
      </c>
      <c r="L189" s="91">
        <f>SUMIFS(tabela_registros[VALOR],tabela_registros[MÊS],$AE$1,tabela_registros[DIA],reservavariáveisconsolidadodez[[#Headers],[8]],tabela_registros[REGISTRO],DADOS!$N$6,tabela_registros[TIPO],DADOS!$AJ$4,tabela_registros[CATEGORIA],reservavariáveisconsolidadodez[[#This Row],[ATUAL]])</f>
        <v>0</v>
      </c>
      <c r="M189" s="91">
        <f>SUMIFS(tabela_registros[VALOR],tabela_registros[MÊS],$AE$1,tabela_registros[DIA],reservavariáveisconsolidadodez[[#Headers],[9]],tabela_registros[REGISTRO],DADOS!$N$6,tabela_registros[TIPO],DADOS!$AJ$4,tabela_registros[CATEGORIA],reservavariáveisconsolidadodez[[#This Row],[ATUAL]])</f>
        <v>0</v>
      </c>
      <c r="N189" s="91">
        <f>SUMIFS(tabela_registros[VALOR],tabela_registros[MÊS],$AE$1,tabela_registros[DIA],reservavariáveisconsolidadodez[[#Headers],[10]],tabela_registros[REGISTRO],DADOS!$N$6,tabela_registros[TIPO],DADOS!$AJ$4,tabela_registros[CATEGORIA],reservavariáveisconsolidadodez[[#This Row],[ATUAL]])</f>
        <v>0</v>
      </c>
      <c r="O189" s="91">
        <f>SUMIFS(tabela_registros[VALOR],tabela_registros[MÊS],$AE$1,tabela_registros[DIA],reservavariáveisconsolidadodez[[#Headers],[11]],tabela_registros[REGISTRO],DADOS!$N$6,tabela_registros[TIPO],DADOS!$AJ$4,tabela_registros[CATEGORIA],reservavariáveisconsolidadodez[[#This Row],[ATUAL]])</f>
        <v>0</v>
      </c>
      <c r="P189" s="91">
        <f>SUMIFS(tabela_registros[VALOR],tabela_registros[MÊS],$AE$1,tabela_registros[DIA],reservavariáveisconsolidadodez[[#Headers],[12]],tabela_registros[REGISTRO],DADOS!$N$6,tabela_registros[TIPO],DADOS!$AJ$4,tabela_registros[CATEGORIA],reservavariáveisconsolidadodez[[#This Row],[ATUAL]])</f>
        <v>0</v>
      </c>
      <c r="Q189" s="91">
        <f>SUMIFS(tabela_registros[VALOR],tabela_registros[MÊS],$AE$1,tabela_registros[DIA],reservavariáveisconsolidadodez[[#Headers],[13]],tabela_registros[REGISTRO],DADOS!$N$6,tabela_registros[TIPO],DADOS!$AJ$4,tabela_registros[CATEGORIA],reservavariáveisconsolidadodez[[#This Row],[ATUAL]])</f>
        <v>0</v>
      </c>
      <c r="R189" s="91">
        <f>SUMIFS(tabela_registros[VALOR],tabela_registros[MÊS],$AE$1,tabela_registros[DIA],reservavariáveisconsolidadodez[[#Headers],[14]],tabela_registros[REGISTRO],DADOS!$N$6,tabela_registros[TIPO],DADOS!$AJ$4,tabela_registros[CATEGORIA],reservavariáveisconsolidadodez[[#This Row],[ATUAL]])</f>
        <v>0</v>
      </c>
      <c r="S189" s="91">
        <f>SUMIFS(tabela_registros[VALOR],tabela_registros[MÊS],$AE$1,tabela_registros[DIA],reservavariáveisconsolidadodez[[#Headers],[15]],tabela_registros[REGISTRO],DADOS!$N$6,tabela_registros[TIPO],DADOS!$AJ$4,tabela_registros[CATEGORIA],reservavariáveisconsolidadodez[[#This Row],[ATUAL]])</f>
        <v>0</v>
      </c>
      <c r="T189" s="91">
        <f>SUMIFS(tabela_registros[VALOR],tabela_registros[MÊS],$AE$1,tabela_registros[DIA],reservavariáveisconsolidadodez[[#Headers],[16]],tabela_registros[REGISTRO],DADOS!$N$6,tabela_registros[TIPO],DADOS!$AJ$4,tabela_registros[CATEGORIA],reservavariáveisconsolidadodez[[#This Row],[ATUAL]])</f>
        <v>0</v>
      </c>
      <c r="U189" s="91">
        <f>SUMIFS(tabela_registros[VALOR],tabela_registros[MÊS],$AE$1,tabela_registros[DIA],reservavariáveisconsolidadodez[[#Headers],[17]],tabela_registros[REGISTRO],DADOS!$N$6,tabela_registros[TIPO],DADOS!$AJ$4,tabela_registros[CATEGORIA],reservavariáveisconsolidadodez[[#This Row],[ATUAL]])</f>
        <v>0</v>
      </c>
      <c r="V189" s="91">
        <f>SUMIFS(tabela_registros[VALOR],tabela_registros[MÊS],$AE$1,tabela_registros[DIA],reservavariáveisconsolidadodez[[#Headers],[18]],tabela_registros[REGISTRO],DADOS!$N$6,tabela_registros[TIPO],DADOS!$AJ$4,tabela_registros[CATEGORIA],reservavariáveisconsolidadodez[[#This Row],[ATUAL]])</f>
        <v>0</v>
      </c>
      <c r="W189" s="91">
        <f>SUMIFS(tabela_registros[VALOR],tabela_registros[MÊS],$AE$1,tabela_registros[DIA],reservavariáveisconsolidadodez[[#Headers],[19]],tabela_registros[REGISTRO],DADOS!$N$6,tabela_registros[TIPO],DADOS!$AJ$4,tabela_registros[CATEGORIA],reservavariáveisconsolidadodez[[#This Row],[ATUAL]])</f>
        <v>0</v>
      </c>
      <c r="X189" s="91">
        <f>SUMIFS(tabela_registros[VALOR],tabela_registros[MÊS],$AE$1,tabela_registros[DIA],reservavariáveisconsolidadodez[[#Headers],[20]],tabela_registros[REGISTRO],DADOS!$N$6,tabela_registros[TIPO],DADOS!$AJ$4,tabela_registros[CATEGORIA],reservavariáveisconsolidadodez[[#This Row],[ATUAL]])</f>
        <v>0</v>
      </c>
      <c r="Y189" s="91">
        <f>SUMIFS(tabela_registros[VALOR],tabela_registros[MÊS],$AE$1,tabela_registros[DIA],reservavariáveisconsolidadodez[[#Headers],[21]],tabela_registros[REGISTRO],DADOS!$N$6,tabela_registros[TIPO],DADOS!$AJ$4,tabela_registros[CATEGORIA],reservavariáveisconsolidadodez[[#This Row],[ATUAL]])</f>
        <v>0</v>
      </c>
      <c r="Z189" s="91">
        <f>SUMIFS(tabela_registros[VALOR],tabela_registros[MÊS],$AE$1,tabela_registros[DIA],reservavariáveisconsolidadodez[[#Headers],[22]],tabela_registros[REGISTRO],DADOS!$N$6,tabela_registros[TIPO],DADOS!$AJ$4,tabela_registros[CATEGORIA],reservavariáveisconsolidadodez[[#This Row],[ATUAL]])</f>
        <v>0</v>
      </c>
      <c r="AA189" s="91">
        <f>SUMIFS(tabela_registros[VALOR],tabela_registros[MÊS],$AE$1,tabela_registros[DIA],reservavariáveisconsolidadodez[[#Headers],[23]],tabela_registros[REGISTRO],DADOS!$N$6,tabela_registros[TIPO],DADOS!$AJ$4,tabela_registros[CATEGORIA],reservavariáveisconsolidadodez[[#This Row],[ATUAL]])</f>
        <v>0</v>
      </c>
      <c r="AB189" s="91">
        <f>SUMIFS(tabela_registros[VALOR],tabela_registros[MÊS],$AE$1,tabela_registros[DIA],reservavariáveisconsolidadodez[[#Headers],[24]],tabela_registros[REGISTRO],DADOS!$N$6,tabela_registros[TIPO],DADOS!$AJ$4,tabela_registros[CATEGORIA],reservavariáveisconsolidadodez[[#This Row],[ATUAL]])</f>
        <v>0</v>
      </c>
      <c r="AC189" s="91">
        <f>SUMIFS(tabela_registros[VALOR],tabela_registros[MÊS],$AE$1,tabela_registros[DIA],reservavariáveisconsolidadodez[[#Headers],[25]],tabela_registros[REGISTRO],DADOS!$N$6,tabela_registros[TIPO],DADOS!$AJ$4,tabela_registros[CATEGORIA],reservavariáveisconsolidadodez[[#This Row],[ATUAL]])</f>
        <v>0</v>
      </c>
      <c r="AD189" s="91">
        <f>SUMIFS(tabela_registros[VALOR],tabela_registros[MÊS],$AE$1,tabela_registros[DIA],reservavariáveisconsolidadodez[[#Headers],[26]],tabela_registros[REGISTRO],DADOS!$N$6,tabela_registros[TIPO],DADOS!$AJ$4,tabela_registros[CATEGORIA],reservavariáveisconsolidadodez[[#This Row],[ATUAL]])</f>
        <v>0</v>
      </c>
      <c r="AE189" s="91">
        <f>SUMIFS(tabela_registros[VALOR],tabela_registros[MÊS],$AE$1,tabela_registros[DIA],reservavariáveisconsolidadodez[[#Headers],[27]],tabela_registros[REGISTRO],DADOS!$N$6,tabela_registros[TIPO],DADOS!$AJ$4,tabela_registros[CATEGORIA],reservavariáveisconsolidadodez[[#This Row],[ATUAL]])</f>
        <v>0</v>
      </c>
      <c r="AF189" s="91">
        <f>SUMIFS(tabela_registros[VALOR],tabela_registros[MÊS],$AE$1,tabela_registros[DIA],reservavariáveisconsolidadodez[[#Headers],[28]],tabela_registros[REGISTRO],DADOS!$N$6,tabela_registros[TIPO],DADOS!$AJ$4,tabela_registros[CATEGORIA],reservavariáveisconsolidadodez[[#This Row],[ATUAL]])</f>
        <v>0</v>
      </c>
      <c r="AG189" s="91">
        <f>SUMIFS(tabela_registros[VALOR],tabela_registros[MÊS],$AE$1,tabela_registros[DIA],reservavariáveisconsolidadodez[[#Headers],[29]],tabela_registros[REGISTRO],DADOS!$N$6,tabela_registros[TIPO],DADOS!$AJ$4,tabela_registros[CATEGORIA],reservavariáveisconsolidadodez[[#This Row],[ATUAL]])</f>
        <v>0</v>
      </c>
      <c r="AH189" s="91">
        <f>SUMIFS(tabela_registros[VALOR],tabela_registros[MÊS],$AE$1,tabela_registros[DIA],reservavariáveisconsolidadodez[[#Headers],[30]],tabela_registros[REGISTRO],DADOS!$N$6,tabela_registros[TIPO],DADOS!$AJ$4,tabela_registros[CATEGORIA],reservavariáveisconsolidadodez[[#This Row],[ATUAL]])</f>
        <v>0</v>
      </c>
      <c r="AI189" s="101">
        <f>SUMIFS(tabela_registros[VALOR],tabela_registros[MÊS],$AE$1,tabela_registros[DIA],reservavariáveisconsolidadodez[[#Headers],[31]],tabela_registros[REGISTRO],DADOS!$N$6,tabela_registros[TIPO],DADOS!$AJ$4,tabela_registros[CATEGORIA],reservavariáveisconsolidadodez[[#This Row],[ATUAL]])</f>
        <v>0</v>
      </c>
      <c r="AJ189" s="97">
        <f>SUM(reservavariáveisconsolidadodez[[#This Row],[1]:[31]])</f>
        <v>0</v>
      </c>
      <c r="AK189" s="25"/>
    </row>
    <row r="190" spans="2:37" ht="19.5" customHeight="1" thickTop="1" thickBot="1" x14ac:dyDescent="0.3">
      <c r="B190" s="28"/>
      <c r="C190" s="27" t="str">
        <f>DADOS!$AN$6</f>
        <v>📝 CONTRATO DE OPÇÕES</v>
      </c>
      <c r="D190" s="26" t="str">
        <f>IF(reservavariáveisconsolidadodez[[#This Row],[TOTAL (R$)]]=0,"",IF(OR(reservavariáveisconsolidadodez[[#This Row],[TOTAL (R$)]]=LARGE($AJ$187:$AJ$196,1),reservavariáveisconsolidadodez[[#This Row],[TOTAL (R$)]]=LARGE($AJ$187:$AJ$196,2)),DADOS!$I$11,""))</f>
        <v/>
      </c>
      <c r="E190" s="96">
        <f>SUMIFS(tabela_registros[VALOR],tabela_registros[MÊS],$AE$1,tabela_registros[DIA],reservavariáveisconsolidadodez[[#Headers],[1]],tabela_registros[REGISTRO],DADOS!$N$6,tabela_registros[TIPO],DADOS!$AJ$4,tabela_registros[CATEGORIA],reservavariáveisconsolidadodez[[#This Row],[ATUAL]])</f>
        <v>0</v>
      </c>
      <c r="F190" s="91">
        <f>SUMIFS(tabela_registros[VALOR],tabela_registros[MÊS],$AE$1,tabela_registros[DIA],reservavariáveisconsolidadodez[[#Headers],[2]],tabela_registros[REGISTRO],DADOS!$N$6,tabela_registros[TIPO],DADOS!$AJ$4,tabela_registros[CATEGORIA],reservavariáveisconsolidadodez[[#This Row],[ATUAL]])</f>
        <v>0</v>
      </c>
      <c r="G190" s="91">
        <f>SUMIFS(tabela_registros[VALOR],tabela_registros[MÊS],$AE$1,tabela_registros[DIA],reservavariáveisconsolidadodez[[#Headers],[3]],tabela_registros[REGISTRO],DADOS!$N$6,tabela_registros[TIPO],DADOS!$AJ$4,tabela_registros[CATEGORIA],reservavariáveisconsolidadodez[[#This Row],[ATUAL]])</f>
        <v>0</v>
      </c>
      <c r="H190" s="91">
        <f>SUMIFS(tabela_registros[VALOR],tabela_registros[MÊS],$AE$1,tabela_registros[DIA],reservavariáveisconsolidadodez[[#Headers],[4]],tabela_registros[REGISTRO],DADOS!$N$6,tabela_registros[TIPO],DADOS!$AJ$4,tabela_registros[CATEGORIA],reservavariáveisconsolidadodez[[#This Row],[ATUAL]])</f>
        <v>0</v>
      </c>
      <c r="I190" s="91">
        <f>SUMIFS(tabela_registros[VALOR],tabela_registros[MÊS],$AE$1,tabela_registros[DIA],reservavariáveisconsolidadodez[[#Headers],[5]],tabela_registros[REGISTRO],DADOS!$N$6,tabela_registros[TIPO],DADOS!$AJ$4,tabela_registros[CATEGORIA],reservavariáveisconsolidadodez[[#This Row],[ATUAL]])</f>
        <v>0</v>
      </c>
      <c r="J190" s="91">
        <f>SUMIFS(tabela_registros[VALOR],tabela_registros[MÊS],$AE$1,tabela_registros[DIA],reservavariáveisconsolidadodez[[#Headers],[6]],tabela_registros[REGISTRO],DADOS!$N$6,tabela_registros[TIPO],DADOS!$AJ$4,tabela_registros[CATEGORIA],reservavariáveisconsolidadodez[[#This Row],[ATUAL]])</f>
        <v>0</v>
      </c>
      <c r="K190" s="91">
        <f>SUMIFS(tabela_registros[VALOR],tabela_registros[MÊS],$AE$1,tabela_registros[DIA],reservavariáveisconsolidadodez[[#Headers],[7]],tabela_registros[REGISTRO],DADOS!$N$6,tabela_registros[TIPO],DADOS!$AJ$4,tabela_registros[CATEGORIA],reservavariáveisconsolidadodez[[#This Row],[ATUAL]])</f>
        <v>0</v>
      </c>
      <c r="L190" s="91">
        <f>SUMIFS(tabela_registros[VALOR],tabela_registros[MÊS],$AE$1,tabela_registros[DIA],reservavariáveisconsolidadodez[[#Headers],[8]],tabela_registros[REGISTRO],DADOS!$N$6,tabela_registros[TIPO],DADOS!$AJ$4,tabela_registros[CATEGORIA],reservavariáveisconsolidadodez[[#This Row],[ATUAL]])</f>
        <v>0</v>
      </c>
      <c r="M190" s="91">
        <f>SUMIFS(tabela_registros[VALOR],tabela_registros[MÊS],$AE$1,tabela_registros[DIA],reservavariáveisconsolidadodez[[#Headers],[9]],tabela_registros[REGISTRO],DADOS!$N$6,tabela_registros[TIPO],DADOS!$AJ$4,tabela_registros[CATEGORIA],reservavariáveisconsolidadodez[[#This Row],[ATUAL]])</f>
        <v>0</v>
      </c>
      <c r="N190" s="91">
        <f>SUMIFS(tabela_registros[VALOR],tabela_registros[MÊS],$AE$1,tabela_registros[DIA],reservavariáveisconsolidadodez[[#Headers],[10]],tabela_registros[REGISTRO],DADOS!$N$6,tabela_registros[TIPO],DADOS!$AJ$4,tabela_registros[CATEGORIA],reservavariáveisconsolidadodez[[#This Row],[ATUAL]])</f>
        <v>0</v>
      </c>
      <c r="O190" s="91">
        <f>SUMIFS(tabela_registros[VALOR],tabela_registros[MÊS],$AE$1,tabela_registros[DIA],reservavariáveisconsolidadodez[[#Headers],[11]],tabela_registros[REGISTRO],DADOS!$N$6,tabela_registros[TIPO],DADOS!$AJ$4,tabela_registros[CATEGORIA],reservavariáveisconsolidadodez[[#This Row],[ATUAL]])</f>
        <v>0</v>
      </c>
      <c r="P190" s="91">
        <f>SUMIFS(tabela_registros[VALOR],tabela_registros[MÊS],$AE$1,tabela_registros[DIA],reservavariáveisconsolidadodez[[#Headers],[12]],tabela_registros[REGISTRO],DADOS!$N$6,tabela_registros[TIPO],DADOS!$AJ$4,tabela_registros[CATEGORIA],reservavariáveisconsolidadodez[[#This Row],[ATUAL]])</f>
        <v>0</v>
      </c>
      <c r="Q190" s="91">
        <f>SUMIFS(tabela_registros[VALOR],tabela_registros[MÊS],$AE$1,tabela_registros[DIA],reservavariáveisconsolidadodez[[#Headers],[13]],tabela_registros[REGISTRO],DADOS!$N$6,tabela_registros[TIPO],DADOS!$AJ$4,tabela_registros[CATEGORIA],reservavariáveisconsolidadodez[[#This Row],[ATUAL]])</f>
        <v>0</v>
      </c>
      <c r="R190" s="91">
        <f>SUMIFS(tabela_registros[VALOR],tabela_registros[MÊS],$AE$1,tabela_registros[DIA],reservavariáveisconsolidadodez[[#Headers],[14]],tabela_registros[REGISTRO],DADOS!$N$6,tabela_registros[TIPO],DADOS!$AJ$4,tabela_registros[CATEGORIA],reservavariáveisconsolidadodez[[#This Row],[ATUAL]])</f>
        <v>0</v>
      </c>
      <c r="S190" s="91">
        <f>SUMIFS(tabela_registros[VALOR],tabela_registros[MÊS],$AE$1,tabela_registros[DIA],reservavariáveisconsolidadodez[[#Headers],[15]],tabela_registros[REGISTRO],DADOS!$N$6,tabela_registros[TIPO],DADOS!$AJ$4,tabela_registros[CATEGORIA],reservavariáveisconsolidadodez[[#This Row],[ATUAL]])</f>
        <v>0</v>
      </c>
      <c r="T190" s="91">
        <f>SUMIFS(tabela_registros[VALOR],tabela_registros[MÊS],$AE$1,tabela_registros[DIA],reservavariáveisconsolidadodez[[#Headers],[16]],tabela_registros[REGISTRO],DADOS!$N$6,tabela_registros[TIPO],DADOS!$AJ$4,tabela_registros[CATEGORIA],reservavariáveisconsolidadodez[[#This Row],[ATUAL]])</f>
        <v>0</v>
      </c>
      <c r="U190" s="91">
        <f>SUMIFS(tabela_registros[VALOR],tabela_registros[MÊS],$AE$1,tabela_registros[DIA],reservavariáveisconsolidadodez[[#Headers],[17]],tabela_registros[REGISTRO],DADOS!$N$6,tabela_registros[TIPO],DADOS!$AJ$4,tabela_registros[CATEGORIA],reservavariáveisconsolidadodez[[#This Row],[ATUAL]])</f>
        <v>0</v>
      </c>
      <c r="V190" s="91">
        <f>SUMIFS(tabela_registros[VALOR],tabela_registros[MÊS],$AE$1,tabela_registros[DIA],reservavariáveisconsolidadodez[[#Headers],[18]],tabela_registros[REGISTRO],DADOS!$N$6,tabela_registros[TIPO],DADOS!$AJ$4,tabela_registros[CATEGORIA],reservavariáveisconsolidadodez[[#This Row],[ATUAL]])</f>
        <v>0</v>
      </c>
      <c r="W190" s="91">
        <f>SUMIFS(tabela_registros[VALOR],tabela_registros[MÊS],$AE$1,tabela_registros[DIA],reservavariáveisconsolidadodez[[#Headers],[19]],tabela_registros[REGISTRO],DADOS!$N$6,tabela_registros[TIPO],DADOS!$AJ$4,tabela_registros[CATEGORIA],reservavariáveisconsolidadodez[[#This Row],[ATUAL]])</f>
        <v>0</v>
      </c>
      <c r="X190" s="91">
        <f>SUMIFS(tabela_registros[VALOR],tabela_registros[MÊS],$AE$1,tabela_registros[DIA],reservavariáveisconsolidadodez[[#Headers],[20]],tabela_registros[REGISTRO],DADOS!$N$6,tabela_registros[TIPO],DADOS!$AJ$4,tabela_registros[CATEGORIA],reservavariáveisconsolidadodez[[#This Row],[ATUAL]])</f>
        <v>0</v>
      </c>
      <c r="Y190" s="91">
        <f>SUMIFS(tabela_registros[VALOR],tabela_registros[MÊS],$AE$1,tabela_registros[DIA],reservavariáveisconsolidadodez[[#Headers],[21]],tabela_registros[REGISTRO],DADOS!$N$6,tabela_registros[TIPO],DADOS!$AJ$4,tabela_registros[CATEGORIA],reservavariáveisconsolidadodez[[#This Row],[ATUAL]])</f>
        <v>0</v>
      </c>
      <c r="Z190" s="91">
        <f>SUMIFS(tabela_registros[VALOR],tabela_registros[MÊS],$AE$1,tabela_registros[DIA],reservavariáveisconsolidadodez[[#Headers],[22]],tabela_registros[REGISTRO],DADOS!$N$6,tabela_registros[TIPO],DADOS!$AJ$4,tabela_registros[CATEGORIA],reservavariáveisconsolidadodez[[#This Row],[ATUAL]])</f>
        <v>0</v>
      </c>
      <c r="AA190" s="91">
        <f>SUMIFS(tabela_registros[VALOR],tabela_registros[MÊS],$AE$1,tabela_registros[DIA],reservavariáveisconsolidadodez[[#Headers],[23]],tabela_registros[REGISTRO],DADOS!$N$6,tabela_registros[TIPO],DADOS!$AJ$4,tabela_registros[CATEGORIA],reservavariáveisconsolidadodez[[#This Row],[ATUAL]])</f>
        <v>0</v>
      </c>
      <c r="AB190" s="91">
        <f>SUMIFS(tabela_registros[VALOR],tabela_registros[MÊS],$AE$1,tabela_registros[DIA],reservavariáveisconsolidadodez[[#Headers],[24]],tabela_registros[REGISTRO],DADOS!$N$6,tabela_registros[TIPO],DADOS!$AJ$4,tabela_registros[CATEGORIA],reservavariáveisconsolidadodez[[#This Row],[ATUAL]])</f>
        <v>0</v>
      </c>
      <c r="AC190" s="91">
        <f>SUMIFS(tabela_registros[VALOR],tabela_registros[MÊS],$AE$1,tabela_registros[DIA],reservavariáveisconsolidadodez[[#Headers],[25]],tabela_registros[REGISTRO],DADOS!$N$6,tabela_registros[TIPO],DADOS!$AJ$4,tabela_registros[CATEGORIA],reservavariáveisconsolidadodez[[#This Row],[ATUAL]])</f>
        <v>0</v>
      </c>
      <c r="AD190" s="91">
        <f>SUMIFS(tabela_registros[VALOR],tabela_registros[MÊS],$AE$1,tabela_registros[DIA],reservavariáveisconsolidadodez[[#Headers],[26]],tabela_registros[REGISTRO],DADOS!$N$6,tabela_registros[TIPO],DADOS!$AJ$4,tabela_registros[CATEGORIA],reservavariáveisconsolidadodez[[#This Row],[ATUAL]])</f>
        <v>0</v>
      </c>
      <c r="AE190" s="91">
        <f>SUMIFS(tabela_registros[VALOR],tabela_registros[MÊS],$AE$1,tabela_registros[DIA],reservavariáveisconsolidadodez[[#Headers],[27]],tabela_registros[REGISTRO],DADOS!$N$6,tabela_registros[TIPO],DADOS!$AJ$4,tabela_registros[CATEGORIA],reservavariáveisconsolidadodez[[#This Row],[ATUAL]])</f>
        <v>0</v>
      </c>
      <c r="AF190" s="91">
        <f>SUMIFS(tabela_registros[VALOR],tabela_registros[MÊS],$AE$1,tabela_registros[DIA],reservavariáveisconsolidadodez[[#Headers],[28]],tabela_registros[REGISTRO],DADOS!$N$6,tabela_registros[TIPO],DADOS!$AJ$4,tabela_registros[CATEGORIA],reservavariáveisconsolidadodez[[#This Row],[ATUAL]])</f>
        <v>0</v>
      </c>
      <c r="AG190" s="91">
        <f>SUMIFS(tabela_registros[VALOR],tabela_registros[MÊS],$AE$1,tabela_registros[DIA],reservavariáveisconsolidadodez[[#Headers],[29]],tabela_registros[REGISTRO],DADOS!$N$6,tabela_registros[TIPO],DADOS!$AJ$4,tabela_registros[CATEGORIA],reservavariáveisconsolidadodez[[#This Row],[ATUAL]])</f>
        <v>0</v>
      </c>
      <c r="AH190" s="91">
        <f>SUMIFS(tabela_registros[VALOR],tabela_registros[MÊS],$AE$1,tabela_registros[DIA],reservavariáveisconsolidadodez[[#Headers],[30]],tabela_registros[REGISTRO],DADOS!$N$6,tabela_registros[TIPO],DADOS!$AJ$4,tabela_registros[CATEGORIA],reservavariáveisconsolidadodez[[#This Row],[ATUAL]])</f>
        <v>0</v>
      </c>
      <c r="AI190" s="101">
        <f>SUMIFS(tabela_registros[VALOR],tabela_registros[MÊS],$AE$1,tabela_registros[DIA],reservavariáveisconsolidadodez[[#Headers],[31]],tabela_registros[REGISTRO],DADOS!$N$6,tabela_registros[TIPO],DADOS!$AJ$4,tabela_registros[CATEGORIA],reservavariáveisconsolidadodez[[#This Row],[ATUAL]])</f>
        <v>0</v>
      </c>
      <c r="AJ190" s="97">
        <f>SUM(reservavariáveisconsolidadodez[[#This Row],[1]:[31]])</f>
        <v>0</v>
      </c>
      <c r="AK190" s="25"/>
    </row>
    <row r="191" spans="2:37" ht="19.5" customHeight="1" thickTop="1" thickBot="1" x14ac:dyDescent="0.3">
      <c r="B191" s="28"/>
      <c r="C191" s="27" t="str">
        <f>DADOS!$AN$7</f>
        <v>📝 CRIPTOMOEDA</v>
      </c>
      <c r="D191" s="26" t="str">
        <f>IF(reservavariáveisconsolidadodez[[#This Row],[TOTAL (R$)]]=0,"",IF(OR(reservavariáveisconsolidadodez[[#This Row],[TOTAL (R$)]]=LARGE($AJ$187:$AJ$196,1),reservavariáveisconsolidadodez[[#This Row],[TOTAL (R$)]]=LARGE($AJ$187:$AJ$196,2)),DADOS!$I$11,""))</f>
        <v/>
      </c>
      <c r="E191" s="96">
        <f>SUMIFS(tabela_registros[VALOR],tabela_registros[MÊS],$AE$1,tabela_registros[DIA],reservavariáveisconsolidadodez[[#Headers],[1]],tabela_registros[REGISTRO],DADOS!$N$6,tabela_registros[TIPO],DADOS!$AJ$4,tabela_registros[CATEGORIA],reservavariáveisconsolidadodez[[#This Row],[ATUAL]])</f>
        <v>0</v>
      </c>
      <c r="F191" s="91">
        <f>SUMIFS(tabela_registros[VALOR],tabela_registros[MÊS],$AE$1,tabela_registros[DIA],reservavariáveisconsolidadodez[[#Headers],[2]],tabela_registros[REGISTRO],DADOS!$N$6,tabela_registros[TIPO],DADOS!$AJ$4,tabela_registros[CATEGORIA],reservavariáveisconsolidadodez[[#This Row],[ATUAL]])</f>
        <v>0</v>
      </c>
      <c r="G191" s="91">
        <f>SUMIFS(tabela_registros[VALOR],tabela_registros[MÊS],$AE$1,tabela_registros[DIA],reservavariáveisconsolidadodez[[#Headers],[3]],tabela_registros[REGISTRO],DADOS!$N$6,tabela_registros[TIPO],DADOS!$AJ$4,tabela_registros[CATEGORIA],reservavariáveisconsolidadodez[[#This Row],[ATUAL]])</f>
        <v>0</v>
      </c>
      <c r="H191" s="91">
        <f>SUMIFS(tabela_registros[VALOR],tabela_registros[MÊS],$AE$1,tabela_registros[DIA],reservavariáveisconsolidadodez[[#Headers],[4]],tabela_registros[REGISTRO],DADOS!$N$6,tabela_registros[TIPO],DADOS!$AJ$4,tabela_registros[CATEGORIA],reservavariáveisconsolidadodez[[#This Row],[ATUAL]])</f>
        <v>0</v>
      </c>
      <c r="I191" s="91">
        <f>SUMIFS(tabela_registros[VALOR],tabela_registros[MÊS],$AE$1,tabela_registros[DIA],reservavariáveisconsolidadodez[[#Headers],[5]],tabela_registros[REGISTRO],DADOS!$N$6,tabela_registros[TIPO],DADOS!$AJ$4,tabela_registros[CATEGORIA],reservavariáveisconsolidadodez[[#This Row],[ATUAL]])</f>
        <v>0</v>
      </c>
      <c r="J191" s="91">
        <f>SUMIFS(tabela_registros[VALOR],tabela_registros[MÊS],$AE$1,tabela_registros[DIA],reservavariáveisconsolidadodez[[#Headers],[6]],tabela_registros[REGISTRO],DADOS!$N$6,tabela_registros[TIPO],DADOS!$AJ$4,tabela_registros[CATEGORIA],reservavariáveisconsolidadodez[[#This Row],[ATUAL]])</f>
        <v>0</v>
      </c>
      <c r="K191" s="91">
        <f>SUMIFS(tabela_registros[VALOR],tabela_registros[MÊS],$AE$1,tabela_registros[DIA],reservavariáveisconsolidadodez[[#Headers],[7]],tabela_registros[REGISTRO],DADOS!$N$6,tabela_registros[TIPO],DADOS!$AJ$4,tabela_registros[CATEGORIA],reservavariáveisconsolidadodez[[#This Row],[ATUAL]])</f>
        <v>0</v>
      </c>
      <c r="L191" s="91">
        <f>SUMIFS(tabela_registros[VALOR],tabela_registros[MÊS],$AE$1,tabela_registros[DIA],reservavariáveisconsolidadodez[[#Headers],[8]],tabela_registros[REGISTRO],DADOS!$N$6,tabela_registros[TIPO],DADOS!$AJ$4,tabela_registros[CATEGORIA],reservavariáveisconsolidadodez[[#This Row],[ATUAL]])</f>
        <v>0</v>
      </c>
      <c r="M191" s="91">
        <f>SUMIFS(tabela_registros[VALOR],tabela_registros[MÊS],$AE$1,tabela_registros[DIA],reservavariáveisconsolidadodez[[#Headers],[9]],tabela_registros[REGISTRO],DADOS!$N$6,tabela_registros[TIPO],DADOS!$AJ$4,tabela_registros[CATEGORIA],reservavariáveisconsolidadodez[[#This Row],[ATUAL]])</f>
        <v>0</v>
      </c>
      <c r="N191" s="91">
        <f>SUMIFS(tabela_registros[VALOR],tabela_registros[MÊS],$AE$1,tabela_registros[DIA],reservavariáveisconsolidadodez[[#Headers],[10]],tabela_registros[REGISTRO],DADOS!$N$6,tabela_registros[TIPO],DADOS!$AJ$4,tabela_registros[CATEGORIA],reservavariáveisconsolidadodez[[#This Row],[ATUAL]])</f>
        <v>0</v>
      </c>
      <c r="O191" s="91">
        <f>SUMIFS(tabela_registros[VALOR],tabela_registros[MÊS],$AE$1,tabela_registros[DIA],reservavariáveisconsolidadodez[[#Headers],[11]],tabela_registros[REGISTRO],DADOS!$N$6,tabela_registros[TIPO],DADOS!$AJ$4,tabela_registros[CATEGORIA],reservavariáveisconsolidadodez[[#This Row],[ATUAL]])</f>
        <v>0</v>
      </c>
      <c r="P191" s="91">
        <f>SUMIFS(tabela_registros[VALOR],tabela_registros[MÊS],$AE$1,tabela_registros[DIA],reservavariáveisconsolidadodez[[#Headers],[12]],tabela_registros[REGISTRO],DADOS!$N$6,tabela_registros[TIPO],DADOS!$AJ$4,tabela_registros[CATEGORIA],reservavariáveisconsolidadodez[[#This Row],[ATUAL]])</f>
        <v>0</v>
      </c>
      <c r="Q191" s="91">
        <f>SUMIFS(tabela_registros[VALOR],tabela_registros[MÊS],$AE$1,tabela_registros[DIA],reservavariáveisconsolidadodez[[#Headers],[13]],tabela_registros[REGISTRO],DADOS!$N$6,tabela_registros[TIPO],DADOS!$AJ$4,tabela_registros[CATEGORIA],reservavariáveisconsolidadodez[[#This Row],[ATUAL]])</f>
        <v>0</v>
      </c>
      <c r="R191" s="91">
        <f>SUMIFS(tabela_registros[VALOR],tabela_registros[MÊS],$AE$1,tabela_registros[DIA],reservavariáveisconsolidadodez[[#Headers],[14]],tabela_registros[REGISTRO],DADOS!$N$6,tabela_registros[TIPO],DADOS!$AJ$4,tabela_registros[CATEGORIA],reservavariáveisconsolidadodez[[#This Row],[ATUAL]])</f>
        <v>0</v>
      </c>
      <c r="S191" s="91">
        <f>SUMIFS(tabela_registros[VALOR],tabela_registros[MÊS],$AE$1,tabela_registros[DIA],reservavariáveisconsolidadodez[[#Headers],[15]],tabela_registros[REGISTRO],DADOS!$N$6,tabela_registros[TIPO],DADOS!$AJ$4,tabela_registros[CATEGORIA],reservavariáveisconsolidadodez[[#This Row],[ATUAL]])</f>
        <v>0</v>
      </c>
      <c r="T191" s="91">
        <f>SUMIFS(tabela_registros[VALOR],tabela_registros[MÊS],$AE$1,tabela_registros[DIA],reservavariáveisconsolidadodez[[#Headers],[16]],tabela_registros[REGISTRO],DADOS!$N$6,tabela_registros[TIPO],DADOS!$AJ$4,tabela_registros[CATEGORIA],reservavariáveisconsolidadodez[[#This Row],[ATUAL]])</f>
        <v>0</v>
      </c>
      <c r="U191" s="91">
        <f>SUMIFS(tabela_registros[VALOR],tabela_registros[MÊS],$AE$1,tabela_registros[DIA],reservavariáveisconsolidadodez[[#Headers],[17]],tabela_registros[REGISTRO],DADOS!$N$6,tabela_registros[TIPO],DADOS!$AJ$4,tabela_registros[CATEGORIA],reservavariáveisconsolidadodez[[#This Row],[ATUAL]])</f>
        <v>0</v>
      </c>
      <c r="V191" s="91">
        <f>SUMIFS(tabela_registros[VALOR],tabela_registros[MÊS],$AE$1,tabela_registros[DIA],reservavariáveisconsolidadodez[[#Headers],[18]],tabela_registros[REGISTRO],DADOS!$N$6,tabela_registros[TIPO],DADOS!$AJ$4,tabela_registros[CATEGORIA],reservavariáveisconsolidadodez[[#This Row],[ATUAL]])</f>
        <v>0</v>
      </c>
      <c r="W191" s="91">
        <f>SUMIFS(tabela_registros[VALOR],tabela_registros[MÊS],$AE$1,tabela_registros[DIA],reservavariáveisconsolidadodez[[#Headers],[19]],tabela_registros[REGISTRO],DADOS!$N$6,tabela_registros[TIPO],DADOS!$AJ$4,tabela_registros[CATEGORIA],reservavariáveisconsolidadodez[[#This Row],[ATUAL]])</f>
        <v>0</v>
      </c>
      <c r="X191" s="91">
        <f>SUMIFS(tabela_registros[VALOR],tabela_registros[MÊS],$AE$1,tabela_registros[DIA],reservavariáveisconsolidadodez[[#Headers],[20]],tabela_registros[REGISTRO],DADOS!$N$6,tabela_registros[TIPO],DADOS!$AJ$4,tabela_registros[CATEGORIA],reservavariáveisconsolidadodez[[#This Row],[ATUAL]])</f>
        <v>0</v>
      </c>
      <c r="Y191" s="91">
        <f>SUMIFS(tabela_registros[VALOR],tabela_registros[MÊS],$AE$1,tabela_registros[DIA],reservavariáveisconsolidadodez[[#Headers],[21]],tabela_registros[REGISTRO],DADOS!$N$6,tabela_registros[TIPO],DADOS!$AJ$4,tabela_registros[CATEGORIA],reservavariáveisconsolidadodez[[#This Row],[ATUAL]])</f>
        <v>0</v>
      </c>
      <c r="Z191" s="91">
        <f>SUMIFS(tabela_registros[VALOR],tabela_registros[MÊS],$AE$1,tabela_registros[DIA],reservavariáveisconsolidadodez[[#Headers],[22]],tabela_registros[REGISTRO],DADOS!$N$6,tabela_registros[TIPO],DADOS!$AJ$4,tabela_registros[CATEGORIA],reservavariáveisconsolidadodez[[#This Row],[ATUAL]])</f>
        <v>0</v>
      </c>
      <c r="AA191" s="91">
        <f>SUMIFS(tabela_registros[VALOR],tabela_registros[MÊS],$AE$1,tabela_registros[DIA],reservavariáveisconsolidadodez[[#Headers],[23]],tabela_registros[REGISTRO],DADOS!$N$6,tabela_registros[TIPO],DADOS!$AJ$4,tabela_registros[CATEGORIA],reservavariáveisconsolidadodez[[#This Row],[ATUAL]])</f>
        <v>0</v>
      </c>
      <c r="AB191" s="91">
        <f>SUMIFS(tabela_registros[VALOR],tabela_registros[MÊS],$AE$1,tabela_registros[DIA],reservavariáveisconsolidadodez[[#Headers],[24]],tabela_registros[REGISTRO],DADOS!$N$6,tabela_registros[TIPO],DADOS!$AJ$4,tabela_registros[CATEGORIA],reservavariáveisconsolidadodez[[#This Row],[ATUAL]])</f>
        <v>0</v>
      </c>
      <c r="AC191" s="91">
        <f>SUMIFS(tabela_registros[VALOR],tabela_registros[MÊS],$AE$1,tabela_registros[DIA],reservavariáveisconsolidadodez[[#Headers],[25]],tabela_registros[REGISTRO],DADOS!$N$6,tabela_registros[TIPO],DADOS!$AJ$4,tabela_registros[CATEGORIA],reservavariáveisconsolidadodez[[#This Row],[ATUAL]])</f>
        <v>0</v>
      </c>
      <c r="AD191" s="91">
        <f>SUMIFS(tabela_registros[VALOR],tabela_registros[MÊS],$AE$1,tabela_registros[DIA],reservavariáveisconsolidadodez[[#Headers],[26]],tabela_registros[REGISTRO],DADOS!$N$6,tabela_registros[TIPO],DADOS!$AJ$4,tabela_registros[CATEGORIA],reservavariáveisconsolidadodez[[#This Row],[ATUAL]])</f>
        <v>0</v>
      </c>
      <c r="AE191" s="91">
        <f>SUMIFS(tabela_registros[VALOR],tabela_registros[MÊS],$AE$1,tabela_registros[DIA],reservavariáveisconsolidadodez[[#Headers],[27]],tabela_registros[REGISTRO],DADOS!$N$6,tabela_registros[TIPO],DADOS!$AJ$4,tabela_registros[CATEGORIA],reservavariáveisconsolidadodez[[#This Row],[ATUAL]])</f>
        <v>0</v>
      </c>
      <c r="AF191" s="91">
        <f>SUMIFS(tabela_registros[VALOR],tabela_registros[MÊS],$AE$1,tabela_registros[DIA],reservavariáveisconsolidadodez[[#Headers],[28]],tabela_registros[REGISTRO],DADOS!$N$6,tabela_registros[TIPO],DADOS!$AJ$4,tabela_registros[CATEGORIA],reservavariáveisconsolidadodez[[#This Row],[ATUAL]])</f>
        <v>0</v>
      </c>
      <c r="AG191" s="91">
        <f>SUMIFS(tabela_registros[VALOR],tabela_registros[MÊS],$AE$1,tabela_registros[DIA],reservavariáveisconsolidadodez[[#Headers],[29]],tabela_registros[REGISTRO],DADOS!$N$6,tabela_registros[TIPO],DADOS!$AJ$4,tabela_registros[CATEGORIA],reservavariáveisconsolidadodez[[#This Row],[ATUAL]])</f>
        <v>0</v>
      </c>
      <c r="AH191" s="91">
        <f>SUMIFS(tabela_registros[VALOR],tabela_registros[MÊS],$AE$1,tabela_registros[DIA],reservavariáveisconsolidadodez[[#Headers],[30]],tabela_registros[REGISTRO],DADOS!$N$6,tabela_registros[TIPO],DADOS!$AJ$4,tabela_registros[CATEGORIA],reservavariáveisconsolidadodez[[#This Row],[ATUAL]])</f>
        <v>0</v>
      </c>
      <c r="AI191" s="101">
        <f>SUMIFS(tabela_registros[VALOR],tabela_registros[MÊS],$AE$1,tabela_registros[DIA],reservavariáveisconsolidadodez[[#Headers],[31]],tabela_registros[REGISTRO],DADOS!$N$6,tabela_registros[TIPO],DADOS!$AJ$4,tabela_registros[CATEGORIA],reservavariáveisconsolidadodez[[#This Row],[ATUAL]])</f>
        <v>0</v>
      </c>
      <c r="AJ191" s="97">
        <f>SUM(reservavariáveisconsolidadodez[[#This Row],[1]:[31]])</f>
        <v>0</v>
      </c>
      <c r="AK191" s="25"/>
    </row>
    <row r="192" spans="2:37" ht="19.5" customHeight="1" thickTop="1" thickBot="1" x14ac:dyDescent="0.3">
      <c r="B192" s="28"/>
      <c r="C192" s="27" t="str">
        <f>DADOS!$AN$8</f>
        <v>📝 ETF</v>
      </c>
      <c r="D192" s="26" t="str">
        <f>IF(reservavariáveisconsolidadodez[[#This Row],[TOTAL (R$)]]=0,"",IF(OR(reservavariáveisconsolidadodez[[#This Row],[TOTAL (R$)]]=LARGE($AJ$187:$AJ$196,1),reservavariáveisconsolidadodez[[#This Row],[TOTAL (R$)]]=LARGE($AJ$187:$AJ$196,2)),DADOS!$I$11,""))</f>
        <v/>
      </c>
      <c r="E192" s="96">
        <f>SUMIFS(tabela_registros[VALOR],tabela_registros[MÊS],$AE$1,tabela_registros[DIA],reservavariáveisconsolidadodez[[#Headers],[1]],tabela_registros[REGISTRO],DADOS!$N$6,tabela_registros[TIPO],DADOS!$AJ$4,tabela_registros[CATEGORIA],reservavariáveisconsolidadodez[[#This Row],[ATUAL]])</f>
        <v>0</v>
      </c>
      <c r="F192" s="91">
        <f>SUMIFS(tabela_registros[VALOR],tabela_registros[MÊS],$AE$1,tabela_registros[DIA],reservavariáveisconsolidadodez[[#Headers],[2]],tabela_registros[REGISTRO],DADOS!$N$6,tabela_registros[TIPO],DADOS!$AJ$4,tabela_registros[CATEGORIA],reservavariáveisconsolidadodez[[#This Row],[ATUAL]])</f>
        <v>0</v>
      </c>
      <c r="G192" s="91">
        <f>SUMIFS(tabela_registros[VALOR],tabela_registros[MÊS],$AE$1,tabela_registros[DIA],reservavariáveisconsolidadodez[[#Headers],[3]],tabela_registros[REGISTRO],DADOS!$N$6,tabela_registros[TIPO],DADOS!$AJ$4,tabela_registros[CATEGORIA],reservavariáveisconsolidadodez[[#This Row],[ATUAL]])</f>
        <v>0</v>
      </c>
      <c r="H192" s="91">
        <f>SUMIFS(tabela_registros[VALOR],tabela_registros[MÊS],$AE$1,tabela_registros[DIA],reservavariáveisconsolidadodez[[#Headers],[4]],tabela_registros[REGISTRO],DADOS!$N$6,tabela_registros[TIPO],DADOS!$AJ$4,tabela_registros[CATEGORIA],reservavariáveisconsolidadodez[[#This Row],[ATUAL]])</f>
        <v>0</v>
      </c>
      <c r="I192" s="91">
        <f>SUMIFS(tabela_registros[VALOR],tabela_registros[MÊS],$AE$1,tabela_registros[DIA],reservavariáveisconsolidadodez[[#Headers],[5]],tabela_registros[REGISTRO],DADOS!$N$6,tabela_registros[TIPO],DADOS!$AJ$4,tabela_registros[CATEGORIA],reservavariáveisconsolidadodez[[#This Row],[ATUAL]])</f>
        <v>0</v>
      </c>
      <c r="J192" s="91">
        <f>SUMIFS(tabela_registros[VALOR],tabela_registros[MÊS],$AE$1,tabela_registros[DIA],reservavariáveisconsolidadodez[[#Headers],[6]],tabela_registros[REGISTRO],DADOS!$N$6,tabela_registros[TIPO],DADOS!$AJ$4,tabela_registros[CATEGORIA],reservavariáveisconsolidadodez[[#This Row],[ATUAL]])</f>
        <v>0</v>
      </c>
      <c r="K192" s="91">
        <f>SUMIFS(tabela_registros[VALOR],tabela_registros[MÊS],$AE$1,tabela_registros[DIA],reservavariáveisconsolidadodez[[#Headers],[7]],tabela_registros[REGISTRO],DADOS!$N$6,tabela_registros[TIPO],DADOS!$AJ$4,tabela_registros[CATEGORIA],reservavariáveisconsolidadodez[[#This Row],[ATUAL]])</f>
        <v>0</v>
      </c>
      <c r="L192" s="91">
        <f>SUMIFS(tabela_registros[VALOR],tabela_registros[MÊS],$AE$1,tabela_registros[DIA],reservavariáveisconsolidadodez[[#Headers],[8]],tabela_registros[REGISTRO],DADOS!$N$6,tabela_registros[TIPO],DADOS!$AJ$4,tabela_registros[CATEGORIA],reservavariáveisconsolidadodez[[#This Row],[ATUAL]])</f>
        <v>0</v>
      </c>
      <c r="M192" s="91">
        <f>SUMIFS(tabela_registros[VALOR],tabela_registros[MÊS],$AE$1,tabela_registros[DIA],reservavariáveisconsolidadodez[[#Headers],[9]],tabela_registros[REGISTRO],DADOS!$N$6,tabela_registros[TIPO],DADOS!$AJ$4,tabela_registros[CATEGORIA],reservavariáveisconsolidadodez[[#This Row],[ATUAL]])</f>
        <v>0</v>
      </c>
      <c r="N192" s="91">
        <f>SUMIFS(tabela_registros[VALOR],tabela_registros[MÊS],$AE$1,tabela_registros[DIA],reservavariáveisconsolidadodez[[#Headers],[10]],tabela_registros[REGISTRO],DADOS!$N$6,tabela_registros[TIPO],DADOS!$AJ$4,tabela_registros[CATEGORIA],reservavariáveisconsolidadodez[[#This Row],[ATUAL]])</f>
        <v>0</v>
      </c>
      <c r="O192" s="91">
        <f>SUMIFS(tabela_registros[VALOR],tabela_registros[MÊS],$AE$1,tabela_registros[DIA],reservavariáveisconsolidadodez[[#Headers],[11]],tabela_registros[REGISTRO],DADOS!$N$6,tabela_registros[TIPO],DADOS!$AJ$4,tabela_registros[CATEGORIA],reservavariáveisconsolidadodez[[#This Row],[ATUAL]])</f>
        <v>0</v>
      </c>
      <c r="P192" s="91">
        <f>SUMIFS(tabela_registros[VALOR],tabela_registros[MÊS],$AE$1,tabela_registros[DIA],reservavariáveisconsolidadodez[[#Headers],[12]],tabela_registros[REGISTRO],DADOS!$N$6,tabela_registros[TIPO],DADOS!$AJ$4,tabela_registros[CATEGORIA],reservavariáveisconsolidadodez[[#This Row],[ATUAL]])</f>
        <v>0</v>
      </c>
      <c r="Q192" s="91">
        <f>SUMIFS(tabela_registros[VALOR],tabela_registros[MÊS],$AE$1,tabela_registros[DIA],reservavariáveisconsolidadodez[[#Headers],[13]],tabela_registros[REGISTRO],DADOS!$N$6,tabela_registros[TIPO],DADOS!$AJ$4,tabela_registros[CATEGORIA],reservavariáveisconsolidadodez[[#This Row],[ATUAL]])</f>
        <v>0</v>
      </c>
      <c r="R192" s="91">
        <f>SUMIFS(tabela_registros[VALOR],tabela_registros[MÊS],$AE$1,tabela_registros[DIA],reservavariáveisconsolidadodez[[#Headers],[14]],tabela_registros[REGISTRO],DADOS!$N$6,tabela_registros[TIPO],DADOS!$AJ$4,tabela_registros[CATEGORIA],reservavariáveisconsolidadodez[[#This Row],[ATUAL]])</f>
        <v>0</v>
      </c>
      <c r="S192" s="91">
        <f>SUMIFS(tabela_registros[VALOR],tabela_registros[MÊS],$AE$1,tabela_registros[DIA],reservavariáveisconsolidadodez[[#Headers],[15]],tabela_registros[REGISTRO],DADOS!$N$6,tabela_registros[TIPO],DADOS!$AJ$4,tabela_registros[CATEGORIA],reservavariáveisconsolidadodez[[#This Row],[ATUAL]])</f>
        <v>0</v>
      </c>
      <c r="T192" s="91">
        <f>SUMIFS(tabela_registros[VALOR],tabela_registros[MÊS],$AE$1,tabela_registros[DIA],reservavariáveisconsolidadodez[[#Headers],[16]],tabela_registros[REGISTRO],DADOS!$N$6,tabela_registros[TIPO],DADOS!$AJ$4,tabela_registros[CATEGORIA],reservavariáveisconsolidadodez[[#This Row],[ATUAL]])</f>
        <v>0</v>
      </c>
      <c r="U192" s="91">
        <f>SUMIFS(tabela_registros[VALOR],tabela_registros[MÊS],$AE$1,tabela_registros[DIA],reservavariáveisconsolidadodez[[#Headers],[17]],tabela_registros[REGISTRO],DADOS!$N$6,tabela_registros[TIPO],DADOS!$AJ$4,tabela_registros[CATEGORIA],reservavariáveisconsolidadodez[[#This Row],[ATUAL]])</f>
        <v>0</v>
      </c>
      <c r="V192" s="91">
        <f>SUMIFS(tabela_registros[VALOR],tabela_registros[MÊS],$AE$1,tabela_registros[DIA],reservavariáveisconsolidadodez[[#Headers],[18]],tabela_registros[REGISTRO],DADOS!$N$6,tabela_registros[TIPO],DADOS!$AJ$4,tabela_registros[CATEGORIA],reservavariáveisconsolidadodez[[#This Row],[ATUAL]])</f>
        <v>0</v>
      </c>
      <c r="W192" s="91">
        <f>SUMIFS(tabela_registros[VALOR],tabela_registros[MÊS],$AE$1,tabela_registros[DIA],reservavariáveisconsolidadodez[[#Headers],[19]],tabela_registros[REGISTRO],DADOS!$N$6,tabela_registros[TIPO],DADOS!$AJ$4,tabela_registros[CATEGORIA],reservavariáveisconsolidadodez[[#This Row],[ATUAL]])</f>
        <v>0</v>
      </c>
      <c r="X192" s="91">
        <f>SUMIFS(tabela_registros[VALOR],tabela_registros[MÊS],$AE$1,tabela_registros[DIA],reservavariáveisconsolidadodez[[#Headers],[20]],tabela_registros[REGISTRO],DADOS!$N$6,tabela_registros[TIPO],DADOS!$AJ$4,tabela_registros[CATEGORIA],reservavariáveisconsolidadodez[[#This Row],[ATUAL]])</f>
        <v>0</v>
      </c>
      <c r="Y192" s="91">
        <f>SUMIFS(tabela_registros[VALOR],tabela_registros[MÊS],$AE$1,tabela_registros[DIA],reservavariáveisconsolidadodez[[#Headers],[21]],tabela_registros[REGISTRO],DADOS!$N$6,tabela_registros[TIPO],DADOS!$AJ$4,tabela_registros[CATEGORIA],reservavariáveisconsolidadodez[[#This Row],[ATUAL]])</f>
        <v>0</v>
      </c>
      <c r="Z192" s="91">
        <f>SUMIFS(tabela_registros[VALOR],tabela_registros[MÊS],$AE$1,tabela_registros[DIA],reservavariáveisconsolidadodez[[#Headers],[22]],tabela_registros[REGISTRO],DADOS!$N$6,tabela_registros[TIPO],DADOS!$AJ$4,tabela_registros[CATEGORIA],reservavariáveisconsolidadodez[[#This Row],[ATUAL]])</f>
        <v>0</v>
      </c>
      <c r="AA192" s="91">
        <f>SUMIFS(tabela_registros[VALOR],tabela_registros[MÊS],$AE$1,tabela_registros[DIA],reservavariáveisconsolidadodez[[#Headers],[23]],tabela_registros[REGISTRO],DADOS!$N$6,tabela_registros[TIPO],DADOS!$AJ$4,tabela_registros[CATEGORIA],reservavariáveisconsolidadodez[[#This Row],[ATUAL]])</f>
        <v>0</v>
      </c>
      <c r="AB192" s="91">
        <f>SUMIFS(tabela_registros[VALOR],tabela_registros[MÊS],$AE$1,tabela_registros[DIA],reservavariáveisconsolidadodez[[#Headers],[24]],tabela_registros[REGISTRO],DADOS!$N$6,tabela_registros[TIPO],DADOS!$AJ$4,tabela_registros[CATEGORIA],reservavariáveisconsolidadodez[[#This Row],[ATUAL]])</f>
        <v>0</v>
      </c>
      <c r="AC192" s="91">
        <f>SUMIFS(tabela_registros[VALOR],tabela_registros[MÊS],$AE$1,tabela_registros[DIA],reservavariáveisconsolidadodez[[#Headers],[25]],tabela_registros[REGISTRO],DADOS!$N$6,tabela_registros[TIPO],DADOS!$AJ$4,tabela_registros[CATEGORIA],reservavariáveisconsolidadodez[[#This Row],[ATUAL]])</f>
        <v>0</v>
      </c>
      <c r="AD192" s="91">
        <f>SUMIFS(tabela_registros[VALOR],tabela_registros[MÊS],$AE$1,tabela_registros[DIA],reservavariáveisconsolidadodez[[#Headers],[26]],tabela_registros[REGISTRO],DADOS!$N$6,tabela_registros[TIPO],DADOS!$AJ$4,tabela_registros[CATEGORIA],reservavariáveisconsolidadodez[[#This Row],[ATUAL]])</f>
        <v>0</v>
      </c>
      <c r="AE192" s="91">
        <f>SUMIFS(tabela_registros[VALOR],tabela_registros[MÊS],$AE$1,tabela_registros[DIA],reservavariáveisconsolidadodez[[#Headers],[27]],tabela_registros[REGISTRO],DADOS!$N$6,tabela_registros[TIPO],DADOS!$AJ$4,tabela_registros[CATEGORIA],reservavariáveisconsolidadodez[[#This Row],[ATUAL]])</f>
        <v>0</v>
      </c>
      <c r="AF192" s="91">
        <f>SUMIFS(tabela_registros[VALOR],tabela_registros[MÊS],$AE$1,tabela_registros[DIA],reservavariáveisconsolidadodez[[#Headers],[28]],tabela_registros[REGISTRO],DADOS!$N$6,tabela_registros[TIPO],DADOS!$AJ$4,tabela_registros[CATEGORIA],reservavariáveisconsolidadodez[[#This Row],[ATUAL]])</f>
        <v>0</v>
      </c>
      <c r="AG192" s="91">
        <f>SUMIFS(tabela_registros[VALOR],tabela_registros[MÊS],$AE$1,tabela_registros[DIA],reservavariáveisconsolidadodez[[#Headers],[29]],tabela_registros[REGISTRO],DADOS!$N$6,tabela_registros[TIPO],DADOS!$AJ$4,tabela_registros[CATEGORIA],reservavariáveisconsolidadodez[[#This Row],[ATUAL]])</f>
        <v>0</v>
      </c>
      <c r="AH192" s="91">
        <f>SUMIFS(tabela_registros[VALOR],tabela_registros[MÊS],$AE$1,tabela_registros[DIA],reservavariáveisconsolidadodez[[#Headers],[30]],tabela_registros[REGISTRO],DADOS!$N$6,tabela_registros[TIPO],DADOS!$AJ$4,tabela_registros[CATEGORIA],reservavariáveisconsolidadodez[[#This Row],[ATUAL]])</f>
        <v>0</v>
      </c>
      <c r="AI192" s="101">
        <f>SUMIFS(tabela_registros[VALOR],tabela_registros[MÊS],$AE$1,tabela_registros[DIA],reservavariáveisconsolidadodez[[#Headers],[31]],tabela_registros[REGISTRO],DADOS!$N$6,tabela_registros[TIPO],DADOS!$AJ$4,tabela_registros[CATEGORIA],reservavariáveisconsolidadodez[[#This Row],[ATUAL]])</f>
        <v>0</v>
      </c>
      <c r="AJ192" s="97">
        <f>SUM(reservavariáveisconsolidadodez[[#This Row],[1]:[31]])</f>
        <v>0</v>
      </c>
      <c r="AK192" s="25"/>
    </row>
    <row r="193" spans="2:37" ht="19.5" customHeight="1" thickTop="1" thickBot="1" x14ac:dyDescent="0.3">
      <c r="B193" s="28"/>
      <c r="C193" s="27" t="str">
        <f>DADOS!$AN$9</f>
        <v>📝 EXTERIOR</v>
      </c>
      <c r="D193" s="26" t="str">
        <f>IF(reservavariáveisconsolidadodez[[#This Row],[TOTAL (R$)]]=0,"",IF(OR(reservavariáveisconsolidadodez[[#This Row],[TOTAL (R$)]]=LARGE($AJ$187:$AJ$196,1),reservavariáveisconsolidadodez[[#This Row],[TOTAL (R$)]]=LARGE($AJ$187:$AJ$196,2)),DADOS!$I$11,""))</f>
        <v/>
      </c>
      <c r="E193" s="96">
        <f>SUMIFS(tabela_registros[VALOR],tabela_registros[MÊS],$AE$1,tabela_registros[DIA],reservavariáveisconsolidadodez[[#Headers],[1]],tabela_registros[REGISTRO],DADOS!$N$6,tabela_registros[TIPO],DADOS!$AJ$4,tabela_registros[CATEGORIA],reservavariáveisconsolidadodez[[#This Row],[ATUAL]])</f>
        <v>0</v>
      </c>
      <c r="F193" s="91">
        <f>SUMIFS(tabela_registros[VALOR],tabela_registros[MÊS],$AE$1,tabela_registros[DIA],reservavariáveisconsolidadodez[[#Headers],[2]],tabela_registros[REGISTRO],DADOS!$N$6,tabela_registros[TIPO],DADOS!$AJ$4,tabela_registros[CATEGORIA],reservavariáveisconsolidadodez[[#This Row],[ATUAL]])</f>
        <v>0</v>
      </c>
      <c r="G193" s="91">
        <f>SUMIFS(tabela_registros[VALOR],tabela_registros[MÊS],$AE$1,tabela_registros[DIA],reservavariáveisconsolidadodez[[#Headers],[3]],tabela_registros[REGISTRO],DADOS!$N$6,tabela_registros[TIPO],DADOS!$AJ$4,tabela_registros[CATEGORIA],reservavariáveisconsolidadodez[[#This Row],[ATUAL]])</f>
        <v>0</v>
      </c>
      <c r="H193" s="91">
        <f>SUMIFS(tabela_registros[VALOR],tabela_registros[MÊS],$AE$1,tabela_registros[DIA],reservavariáveisconsolidadodez[[#Headers],[4]],tabela_registros[REGISTRO],DADOS!$N$6,tabela_registros[TIPO],DADOS!$AJ$4,tabela_registros[CATEGORIA],reservavariáveisconsolidadodez[[#This Row],[ATUAL]])</f>
        <v>0</v>
      </c>
      <c r="I193" s="91">
        <f>SUMIFS(tabela_registros[VALOR],tabela_registros[MÊS],$AE$1,tabela_registros[DIA],reservavariáveisconsolidadodez[[#Headers],[5]],tabela_registros[REGISTRO],DADOS!$N$6,tabela_registros[TIPO],DADOS!$AJ$4,tabela_registros[CATEGORIA],reservavariáveisconsolidadodez[[#This Row],[ATUAL]])</f>
        <v>0</v>
      </c>
      <c r="J193" s="91">
        <f>SUMIFS(tabela_registros[VALOR],tabela_registros[MÊS],$AE$1,tabela_registros[DIA],reservavariáveisconsolidadodez[[#Headers],[6]],tabela_registros[REGISTRO],DADOS!$N$6,tabela_registros[TIPO],DADOS!$AJ$4,tabela_registros[CATEGORIA],reservavariáveisconsolidadodez[[#This Row],[ATUAL]])</f>
        <v>0</v>
      </c>
      <c r="K193" s="91">
        <f>SUMIFS(tabela_registros[VALOR],tabela_registros[MÊS],$AE$1,tabela_registros[DIA],reservavariáveisconsolidadodez[[#Headers],[7]],tabela_registros[REGISTRO],DADOS!$N$6,tabela_registros[TIPO],DADOS!$AJ$4,tabela_registros[CATEGORIA],reservavariáveisconsolidadodez[[#This Row],[ATUAL]])</f>
        <v>0</v>
      </c>
      <c r="L193" s="91">
        <f>SUMIFS(tabela_registros[VALOR],tabela_registros[MÊS],$AE$1,tabela_registros[DIA],reservavariáveisconsolidadodez[[#Headers],[8]],tabela_registros[REGISTRO],DADOS!$N$6,tabela_registros[TIPO],DADOS!$AJ$4,tabela_registros[CATEGORIA],reservavariáveisconsolidadodez[[#This Row],[ATUAL]])</f>
        <v>0</v>
      </c>
      <c r="M193" s="91">
        <f>SUMIFS(tabela_registros[VALOR],tabela_registros[MÊS],$AE$1,tabela_registros[DIA],reservavariáveisconsolidadodez[[#Headers],[9]],tabela_registros[REGISTRO],DADOS!$N$6,tabela_registros[TIPO],DADOS!$AJ$4,tabela_registros[CATEGORIA],reservavariáveisconsolidadodez[[#This Row],[ATUAL]])</f>
        <v>0</v>
      </c>
      <c r="N193" s="91">
        <f>SUMIFS(tabela_registros[VALOR],tabela_registros[MÊS],$AE$1,tabela_registros[DIA],reservavariáveisconsolidadodez[[#Headers],[10]],tabela_registros[REGISTRO],DADOS!$N$6,tabela_registros[TIPO],DADOS!$AJ$4,tabela_registros[CATEGORIA],reservavariáveisconsolidadodez[[#This Row],[ATUAL]])</f>
        <v>0</v>
      </c>
      <c r="O193" s="91">
        <f>SUMIFS(tabela_registros[VALOR],tabela_registros[MÊS],$AE$1,tabela_registros[DIA],reservavariáveisconsolidadodez[[#Headers],[11]],tabela_registros[REGISTRO],DADOS!$N$6,tabela_registros[TIPO],DADOS!$AJ$4,tabela_registros[CATEGORIA],reservavariáveisconsolidadodez[[#This Row],[ATUAL]])</f>
        <v>0</v>
      </c>
      <c r="P193" s="91">
        <f>SUMIFS(tabela_registros[VALOR],tabela_registros[MÊS],$AE$1,tabela_registros[DIA],reservavariáveisconsolidadodez[[#Headers],[12]],tabela_registros[REGISTRO],DADOS!$N$6,tabela_registros[TIPO],DADOS!$AJ$4,tabela_registros[CATEGORIA],reservavariáveisconsolidadodez[[#This Row],[ATUAL]])</f>
        <v>0</v>
      </c>
      <c r="Q193" s="91">
        <f>SUMIFS(tabela_registros[VALOR],tabela_registros[MÊS],$AE$1,tabela_registros[DIA],reservavariáveisconsolidadodez[[#Headers],[13]],tabela_registros[REGISTRO],DADOS!$N$6,tabela_registros[TIPO],DADOS!$AJ$4,tabela_registros[CATEGORIA],reservavariáveisconsolidadodez[[#This Row],[ATUAL]])</f>
        <v>0</v>
      </c>
      <c r="R193" s="91">
        <f>SUMIFS(tabela_registros[VALOR],tabela_registros[MÊS],$AE$1,tabela_registros[DIA],reservavariáveisconsolidadodez[[#Headers],[14]],tabela_registros[REGISTRO],DADOS!$N$6,tabela_registros[TIPO],DADOS!$AJ$4,tabela_registros[CATEGORIA],reservavariáveisconsolidadodez[[#This Row],[ATUAL]])</f>
        <v>0</v>
      </c>
      <c r="S193" s="91">
        <f>SUMIFS(tabela_registros[VALOR],tabela_registros[MÊS],$AE$1,tabela_registros[DIA],reservavariáveisconsolidadodez[[#Headers],[15]],tabela_registros[REGISTRO],DADOS!$N$6,tabela_registros[TIPO],DADOS!$AJ$4,tabela_registros[CATEGORIA],reservavariáveisconsolidadodez[[#This Row],[ATUAL]])</f>
        <v>0</v>
      </c>
      <c r="T193" s="91">
        <f>SUMIFS(tabela_registros[VALOR],tabela_registros[MÊS],$AE$1,tabela_registros[DIA],reservavariáveisconsolidadodez[[#Headers],[16]],tabela_registros[REGISTRO],DADOS!$N$6,tabela_registros[TIPO],DADOS!$AJ$4,tabela_registros[CATEGORIA],reservavariáveisconsolidadodez[[#This Row],[ATUAL]])</f>
        <v>0</v>
      </c>
      <c r="U193" s="91">
        <f>SUMIFS(tabela_registros[VALOR],tabela_registros[MÊS],$AE$1,tabela_registros[DIA],reservavariáveisconsolidadodez[[#Headers],[17]],tabela_registros[REGISTRO],DADOS!$N$6,tabela_registros[TIPO],DADOS!$AJ$4,tabela_registros[CATEGORIA],reservavariáveisconsolidadodez[[#This Row],[ATUAL]])</f>
        <v>0</v>
      </c>
      <c r="V193" s="91">
        <f>SUMIFS(tabela_registros[VALOR],tabela_registros[MÊS],$AE$1,tabela_registros[DIA],reservavariáveisconsolidadodez[[#Headers],[18]],tabela_registros[REGISTRO],DADOS!$N$6,tabela_registros[TIPO],DADOS!$AJ$4,tabela_registros[CATEGORIA],reservavariáveisconsolidadodez[[#This Row],[ATUAL]])</f>
        <v>0</v>
      </c>
      <c r="W193" s="91">
        <f>SUMIFS(tabela_registros[VALOR],tabela_registros[MÊS],$AE$1,tabela_registros[DIA],reservavariáveisconsolidadodez[[#Headers],[19]],tabela_registros[REGISTRO],DADOS!$N$6,tabela_registros[TIPO],DADOS!$AJ$4,tabela_registros[CATEGORIA],reservavariáveisconsolidadodez[[#This Row],[ATUAL]])</f>
        <v>0</v>
      </c>
      <c r="X193" s="91">
        <f>SUMIFS(tabela_registros[VALOR],tabela_registros[MÊS],$AE$1,tabela_registros[DIA],reservavariáveisconsolidadodez[[#Headers],[20]],tabela_registros[REGISTRO],DADOS!$N$6,tabela_registros[TIPO],DADOS!$AJ$4,tabela_registros[CATEGORIA],reservavariáveisconsolidadodez[[#This Row],[ATUAL]])</f>
        <v>0</v>
      </c>
      <c r="Y193" s="91">
        <f>SUMIFS(tabela_registros[VALOR],tabela_registros[MÊS],$AE$1,tabela_registros[DIA],reservavariáveisconsolidadodez[[#Headers],[21]],tabela_registros[REGISTRO],DADOS!$N$6,tabela_registros[TIPO],DADOS!$AJ$4,tabela_registros[CATEGORIA],reservavariáveisconsolidadodez[[#This Row],[ATUAL]])</f>
        <v>0</v>
      </c>
      <c r="Z193" s="91">
        <f>SUMIFS(tabela_registros[VALOR],tabela_registros[MÊS],$AE$1,tabela_registros[DIA],reservavariáveisconsolidadodez[[#Headers],[22]],tabela_registros[REGISTRO],DADOS!$N$6,tabela_registros[TIPO],DADOS!$AJ$4,tabela_registros[CATEGORIA],reservavariáveisconsolidadodez[[#This Row],[ATUAL]])</f>
        <v>0</v>
      </c>
      <c r="AA193" s="91">
        <f>SUMIFS(tabela_registros[VALOR],tabela_registros[MÊS],$AE$1,tabela_registros[DIA],reservavariáveisconsolidadodez[[#Headers],[23]],tabela_registros[REGISTRO],DADOS!$N$6,tabela_registros[TIPO],DADOS!$AJ$4,tabela_registros[CATEGORIA],reservavariáveisconsolidadodez[[#This Row],[ATUAL]])</f>
        <v>0</v>
      </c>
      <c r="AB193" s="91">
        <f>SUMIFS(tabela_registros[VALOR],tabela_registros[MÊS],$AE$1,tabela_registros[DIA],reservavariáveisconsolidadodez[[#Headers],[24]],tabela_registros[REGISTRO],DADOS!$N$6,tabela_registros[TIPO],DADOS!$AJ$4,tabela_registros[CATEGORIA],reservavariáveisconsolidadodez[[#This Row],[ATUAL]])</f>
        <v>0</v>
      </c>
      <c r="AC193" s="91">
        <f>SUMIFS(tabela_registros[VALOR],tabela_registros[MÊS],$AE$1,tabela_registros[DIA],reservavariáveisconsolidadodez[[#Headers],[25]],tabela_registros[REGISTRO],DADOS!$N$6,tabela_registros[TIPO],DADOS!$AJ$4,tabela_registros[CATEGORIA],reservavariáveisconsolidadodez[[#This Row],[ATUAL]])</f>
        <v>0</v>
      </c>
      <c r="AD193" s="91">
        <f>SUMIFS(tabela_registros[VALOR],tabela_registros[MÊS],$AE$1,tabela_registros[DIA],reservavariáveisconsolidadodez[[#Headers],[26]],tabela_registros[REGISTRO],DADOS!$N$6,tabela_registros[TIPO],DADOS!$AJ$4,tabela_registros[CATEGORIA],reservavariáveisconsolidadodez[[#This Row],[ATUAL]])</f>
        <v>0</v>
      </c>
      <c r="AE193" s="91">
        <f>SUMIFS(tabela_registros[VALOR],tabela_registros[MÊS],$AE$1,tabela_registros[DIA],reservavariáveisconsolidadodez[[#Headers],[27]],tabela_registros[REGISTRO],DADOS!$N$6,tabela_registros[TIPO],DADOS!$AJ$4,tabela_registros[CATEGORIA],reservavariáveisconsolidadodez[[#This Row],[ATUAL]])</f>
        <v>0</v>
      </c>
      <c r="AF193" s="91">
        <f>SUMIFS(tabela_registros[VALOR],tabela_registros[MÊS],$AE$1,tabela_registros[DIA],reservavariáveisconsolidadodez[[#Headers],[28]],tabela_registros[REGISTRO],DADOS!$N$6,tabela_registros[TIPO],DADOS!$AJ$4,tabela_registros[CATEGORIA],reservavariáveisconsolidadodez[[#This Row],[ATUAL]])</f>
        <v>0</v>
      </c>
      <c r="AG193" s="91">
        <f>SUMIFS(tabela_registros[VALOR],tabela_registros[MÊS],$AE$1,tabela_registros[DIA],reservavariáveisconsolidadodez[[#Headers],[29]],tabela_registros[REGISTRO],DADOS!$N$6,tabela_registros[TIPO],DADOS!$AJ$4,tabela_registros[CATEGORIA],reservavariáveisconsolidadodez[[#This Row],[ATUAL]])</f>
        <v>0</v>
      </c>
      <c r="AH193" s="91">
        <f>SUMIFS(tabela_registros[VALOR],tabela_registros[MÊS],$AE$1,tabela_registros[DIA],reservavariáveisconsolidadodez[[#Headers],[30]],tabela_registros[REGISTRO],DADOS!$N$6,tabela_registros[TIPO],DADOS!$AJ$4,tabela_registros[CATEGORIA],reservavariáveisconsolidadodez[[#This Row],[ATUAL]])</f>
        <v>0</v>
      </c>
      <c r="AI193" s="101">
        <f>SUMIFS(tabela_registros[VALOR],tabela_registros[MÊS],$AE$1,tabela_registros[DIA],reservavariáveisconsolidadodez[[#Headers],[31]],tabela_registros[REGISTRO],DADOS!$N$6,tabela_registros[TIPO],DADOS!$AJ$4,tabela_registros[CATEGORIA],reservavariáveisconsolidadodez[[#This Row],[ATUAL]])</f>
        <v>0</v>
      </c>
      <c r="AJ193" s="97">
        <f>SUM(reservavariáveisconsolidadodez[[#This Row],[1]:[31]])</f>
        <v>0</v>
      </c>
      <c r="AK193" s="25"/>
    </row>
    <row r="194" spans="2:37" ht="19.5" customHeight="1" thickTop="1" thickBot="1" x14ac:dyDescent="0.3">
      <c r="B194" s="28"/>
      <c r="C194" s="27" t="str">
        <f>DADOS!$AN$10</f>
        <v>📝 FII</v>
      </c>
      <c r="D194" s="26" t="str">
        <f>IF(reservavariáveisconsolidadodez[[#This Row],[TOTAL (R$)]]=0,"",IF(OR(reservavariáveisconsolidadodez[[#This Row],[TOTAL (R$)]]=LARGE($AJ$187:$AJ$196,1),reservavariáveisconsolidadodez[[#This Row],[TOTAL (R$)]]=LARGE($AJ$187:$AJ$196,2)),DADOS!$I$11,""))</f>
        <v/>
      </c>
      <c r="E194" s="96">
        <f>SUMIFS(tabela_registros[VALOR],tabela_registros[MÊS],$AE$1,tabela_registros[DIA],reservavariáveisconsolidadodez[[#Headers],[1]],tabela_registros[REGISTRO],DADOS!$N$6,tabela_registros[TIPO],DADOS!$AJ$4,tabela_registros[CATEGORIA],reservavariáveisconsolidadodez[[#This Row],[ATUAL]])</f>
        <v>0</v>
      </c>
      <c r="F194" s="91">
        <f>SUMIFS(tabela_registros[VALOR],tabela_registros[MÊS],$AE$1,tabela_registros[DIA],reservavariáveisconsolidadodez[[#Headers],[2]],tabela_registros[REGISTRO],DADOS!$N$6,tabela_registros[TIPO],DADOS!$AJ$4,tabela_registros[CATEGORIA],reservavariáveisconsolidadodez[[#This Row],[ATUAL]])</f>
        <v>0</v>
      </c>
      <c r="G194" s="91">
        <f>SUMIFS(tabela_registros[VALOR],tabela_registros[MÊS],$AE$1,tabela_registros[DIA],reservavariáveisconsolidadodez[[#Headers],[3]],tabela_registros[REGISTRO],DADOS!$N$6,tabela_registros[TIPO],DADOS!$AJ$4,tabela_registros[CATEGORIA],reservavariáveisconsolidadodez[[#This Row],[ATUAL]])</f>
        <v>0</v>
      </c>
      <c r="H194" s="91">
        <f>SUMIFS(tabela_registros[VALOR],tabela_registros[MÊS],$AE$1,tabela_registros[DIA],reservavariáveisconsolidadodez[[#Headers],[4]],tabela_registros[REGISTRO],DADOS!$N$6,tabela_registros[TIPO],DADOS!$AJ$4,tabela_registros[CATEGORIA],reservavariáveisconsolidadodez[[#This Row],[ATUAL]])</f>
        <v>0</v>
      </c>
      <c r="I194" s="91">
        <f>SUMIFS(tabela_registros[VALOR],tabela_registros[MÊS],$AE$1,tabela_registros[DIA],reservavariáveisconsolidadodez[[#Headers],[5]],tabela_registros[REGISTRO],DADOS!$N$6,tabela_registros[TIPO],DADOS!$AJ$4,tabela_registros[CATEGORIA],reservavariáveisconsolidadodez[[#This Row],[ATUAL]])</f>
        <v>0</v>
      </c>
      <c r="J194" s="91">
        <f>SUMIFS(tabela_registros[VALOR],tabela_registros[MÊS],$AE$1,tabela_registros[DIA],reservavariáveisconsolidadodez[[#Headers],[6]],tabela_registros[REGISTRO],DADOS!$N$6,tabela_registros[TIPO],DADOS!$AJ$4,tabela_registros[CATEGORIA],reservavariáveisconsolidadodez[[#This Row],[ATUAL]])</f>
        <v>0</v>
      </c>
      <c r="K194" s="91">
        <f>SUMIFS(tabela_registros[VALOR],tabela_registros[MÊS],$AE$1,tabela_registros[DIA],reservavariáveisconsolidadodez[[#Headers],[7]],tabela_registros[REGISTRO],DADOS!$N$6,tabela_registros[TIPO],DADOS!$AJ$4,tabela_registros[CATEGORIA],reservavariáveisconsolidadodez[[#This Row],[ATUAL]])</f>
        <v>0</v>
      </c>
      <c r="L194" s="91">
        <f>SUMIFS(tabela_registros[VALOR],tabela_registros[MÊS],$AE$1,tabela_registros[DIA],reservavariáveisconsolidadodez[[#Headers],[8]],tabela_registros[REGISTRO],DADOS!$N$6,tabela_registros[TIPO],DADOS!$AJ$4,tabela_registros[CATEGORIA],reservavariáveisconsolidadodez[[#This Row],[ATUAL]])</f>
        <v>0</v>
      </c>
      <c r="M194" s="91">
        <f>SUMIFS(tabela_registros[VALOR],tabela_registros[MÊS],$AE$1,tabela_registros[DIA],reservavariáveisconsolidadodez[[#Headers],[9]],tabela_registros[REGISTRO],DADOS!$N$6,tabela_registros[TIPO],DADOS!$AJ$4,tabela_registros[CATEGORIA],reservavariáveisconsolidadodez[[#This Row],[ATUAL]])</f>
        <v>0</v>
      </c>
      <c r="N194" s="91">
        <f>SUMIFS(tabela_registros[VALOR],tabela_registros[MÊS],$AE$1,tabela_registros[DIA],reservavariáveisconsolidadodez[[#Headers],[10]],tabela_registros[REGISTRO],DADOS!$N$6,tabela_registros[TIPO],DADOS!$AJ$4,tabela_registros[CATEGORIA],reservavariáveisconsolidadodez[[#This Row],[ATUAL]])</f>
        <v>0</v>
      </c>
      <c r="O194" s="91">
        <f>SUMIFS(tabela_registros[VALOR],tabela_registros[MÊS],$AE$1,tabela_registros[DIA],reservavariáveisconsolidadodez[[#Headers],[11]],tabela_registros[REGISTRO],DADOS!$N$6,tabela_registros[TIPO],DADOS!$AJ$4,tabela_registros[CATEGORIA],reservavariáveisconsolidadodez[[#This Row],[ATUAL]])</f>
        <v>0</v>
      </c>
      <c r="P194" s="91">
        <f>SUMIFS(tabela_registros[VALOR],tabela_registros[MÊS],$AE$1,tabela_registros[DIA],reservavariáveisconsolidadodez[[#Headers],[12]],tabela_registros[REGISTRO],DADOS!$N$6,tabela_registros[TIPO],DADOS!$AJ$4,tabela_registros[CATEGORIA],reservavariáveisconsolidadodez[[#This Row],[ATUAL]])</f>
        <v>0</v>
      </c>
      <c r="Q194" s="91">
        <f>SUMIFS(tabela_registros[VALOR],tabela_registros[MÊS],$AE$1,tabela_registros[DIA],reservavariáveisconsolidadodez[[#Headers],[13]],tabela_registros[REGISTRO],DADOS!$N$6,tabela_registros[TIPO],DADOS!$AJ$4,tabela_registros[CATEGORIA],reservavariáveisconsolidadodez[[#This Row],[ATUAL]])</f>
        <v>0</v>
      </c>
      <c r="R194" s="91">
        <f>SUMIFS(tabela_registros[VALOR],tabela_registros[MÊS],$AE$1,tabela_registros[DIA],reservavariáveisconsolidadodez[[#Headers],[14]],tabela_registros[REGISTRO],DADOS!$N$6,tabela_registros[TIPO],DADOS!$AJ$4,tabela_registros[CATEGORIA],reservavariáveisconsolidadodez[[#This Row],[ATUAL]])</f>
        <v>0</v>
      </c>
      <c r="S194" s="91">
        <f>SUMIFS(tabela_registros[VALOR],tabela_registros[MÊS],$AE$1,tabela_registros[DIA],reservavariáveisconsolidadodez[[#Headers],[15]],tabela_registros[REGISTRO],DADOS!$N$6,tabela_registros[TIPO],DADOS!$AJ$4,tabela_registros[CATEGORIA],reservavariáveisconsolidadodez[[#This Row],[ATUAL]])</f>
        <v>0</v>
      </c>
      <c r="T194" s="91">
        <f>SUMIFS(tabela_registros[VALOR],tabela_registros[MÊS],$AE$1,tabela_registros[DIA],reservavariáveisconsolidadodez[[#Headers],[16]],tabela_registros[REGISTRO],DADOS!$N$6,tabela_registros[TIPO],DADOS!$AJ$4,tabela_registros[CATEGORIA],reservavariáveisconsolidadodez[[#This Row],[ATUAL]])</f>
        <v>0</v>
      </c>
      <c r="U194" s="91">
        <f>SUMIFS(tabela_registros[VALOR],tabela_registros[MÊS],$AE$1,tabela_registros[DIA],reservavariáveisconsolidadodez[[#Headers],[17]],tabela_registros[REGISTRO],DADOS!$N$6,tabela_registros[TIPO],DADOS!$AJ$4,tabela_registros[CATEGORIA],reservavariáveisconsolidadodez[[#This Row],[ATUAL]])</f>
        <v>0</v>
      </c>
      <c r="V194" s="91">
        <f>SUMIFS(tabela_registros[VALOR],tabela_registros[MÊS],$AE$1,tabela_registros[DIA],reservavariáveisconsolidadodez[[#Headers],[18]],tabela_registros[REGISTRO],DADOS!$N$6,tabela_registros[TIPO],DADOS!$AJ$4,tabela_registros[CATEGORIA],reservavariáveisconsolidadodez[[#This Row],[ATUAL]])</f>
        <v>0</v>
      </c>
      <c r="W194" s="91">
        <f>SUMIFS(tabela_registros[VALOR],tabela_registros[MÊS],$AE$1,tabela_registros[DIA],reservavariáveisconsolidadodez[[#Headers],[19]],tabela_registros[REGISTRO],DADOS!$N$6,tabela_registros[TIPO],DADOS!$AJ$4,tabela_registros[CATEGORIA],reservavariáveisconsolidadodez[[#This Row],[ATUAL]])</f>
        <v>0</v>
      </c>
      <c r="X194" s="91">
        <f>SUMIFS(tabela_registros[VALOR],tabela_registros[MÊS],$AE$1,tabela_registros[DIA],reservavariáveisconsolidadodez[[#Headers],[20]],tabela_registros[REGISTRO],DADOS!$N$6,tabela_registros[TIPO],DADOS!$AJ$4,tabela_registros[CATEGORIA],reservavariáveisconsolidadodez[[#This Row],[ATUAL]])</f>
        <v>0</v>
      </c>
      <c r="Y194" s="91">
        <f>SUMIFS(tabela_registros[VALOR],tabela_registros[MÊS],$AE$1,tabela_registros[DIA],reservavariáveisconsolidadodez[[#Headers],[21]],tabela_registros[REGISTRO],DADOS!$N$6,tabela_registros[TIPO],DADOS!$AJ$4,tabela_registros[CATEGORIA],reservavariáveisconsolidadodez[[#This Row],[ATUAL]])</f>
        <v>0</v>
      </c>
      <c r="Z194" s="91">
        <f>SUMIFS(tabela_registros[VALOR],tabela_registros[MÊS],$AE$1,tabela_registros[DIA],reservavariáveisconsolidadodez[[#Headers],[22]],tabela_registros[REGISTRO],DADOS!$N$6,tabela_registros[TIPO],DADOS!$AJ$4,tabela_registros[CATEGORIA],reservavariáveisconsolidadodez[[#This Row],[ATUAL]])</f>
        <v>0</v>
      </c>
      <c r="AA194" s="91">
        <f>SUMIFS(tabela_registros[VALOR],tabela_registros[MÊS],$AE$1,tabela_registros[DIA],reservavariáveisconsolidadodez[[#Headers],[23]],tabela_registros[REGISTRO],DADOS!$N$6,tabela_registros[TIPO],DADOS!$AJ$4,tabela_registros[CATEGORIA],reservavariáveisconsolidadodez[[#This Row],[ATUAL]])</f>
        <v>0</v>
      </c>
      <c r="AB194" s="91">
        <f>SUMIFS(tabela_registros[VALOR],tabela_registros[MÊS],$AE$1,tabela_registros[DIA],reservavariáveisconsolidadodez[[#Headers],[24]],tabela_registros[REGISTRO],DADOS!$N$6,tabela_registros[TIPO],DADOS!$AJ$4,tabela_registros[CATEGORIA],reservavariáveisconsolidadodez[[#This Row],[ATUAL]])</f>
        <v>0</v>
      </c>
      <c r="AC194" s="91">
        <f>SUMIFS(tabela_registros[VALOR],tabela_registros[MÊS],$AE$1,tabela_registros[DIA],reservavariáveisconsolidadodez[[#Headers],[25]],tabela_registros[REGISTRO],DADOS!$N$6,tabela_registros[TIPO],DADOS!$AJ$4,tabela_registros[CATEGORIA],reservavariáveisconsolidadodez[[#This Row],[ATUAL]])</f>
        <v>0</v>
      </c>
      <c r="AD194" s="91">
        <f>SUMIFS(tabela_registros[VALOR],tabela_registros[MÊS],$AE$1,tabela_registros[DIA],reservavariáveisconsolidadodez[[#Headers],[26]],tabela_registros[REGISTRO],DADOS!$N$6,tabela_registros[TIPO],DADOS!$AJ$4,tabela_registros[CATEGORIA],reservavariáveisconsolidadodez[[#This Row],[ATUAL]])</f>
        <v>0</v>
      </c>
      <c r="AE194" s="91">
        <f>SUMIFS(tabela_registros[VALOR],tabela_registros[MÊS],$AE$1,tabela_registros[DIA],reservavariáveisconsolidadodez[[#Headers],[27]],tabela_registros[REGISTRO],DADOS!$N$6,tabela_registros[TIPO],DADOS!$AJ$4,tabela_registros[CATEGORIA],reservavariáveisconsolidadodez[[#This Row],[ATUAL]])</f>
        <v>0</v>
      </c>
      <c r="AF194" s="91">
        <f>SUMIFS(tabela_registros[VALOR],tabela_registros[MÊS],$AE$1,tabela_registros[DIA],reservavariáveisconsolidadodez[[#Headers],[28]],tabela_registros[REGISTRO],DADOS!$N$6,tabela_registros[TIPO],DADOS!$AJ$4,tabela_registros[CATEGORIA],reservavariáveisconsolidadodez[[#This Row],[ATUAL]])</f>
        <v>0</v>
      </c>
      <c r="AG194" s="91">
        <f>SUMIFS(tabela_registros[VALOR],tabela_registros[MÊS],$AE$1,tabela_registros[DIA],reservavariáveisconsolidadodez[[#Headers],[29]],tabela_registros[REGISTRO],DADOS!$N$6,tabela_registros[TIPO],DADOS!$AJ$4,tabela_registros[CATEGORIA],reservavariáveisconsolidadodez[[#This Row],[ATUAL]])</f>
        <v>0</v>
      </c>
      <c r="AH194" s="91">
        <f>SUMIFS(tabela_registros[VALOR],tabela_registros[MÊS],$AE$1,tabela_registros[DIA],reservavariáveisconsolidadodez[[#Headers],[30]],tabela_registros[REGISTRO],DADOS!$N$6,tabela_registros[TIPO],DADOS!$AJ$4,tabela_registros[CATEGORIA],reservavariáveisconsolidadodez[[#This Row],[ATUAL]])</f>
        <v>0</v>
      </c>
      <c r="AI194" s="101">
        <f>SUMIFS(tabela_registros[VALOR],tabela_registros[MÊS],$AE$1,tabela_registros[DIA],reservavariáveisconsolidadodez[[#Headers],[31]],tabela_registros[REGISTRO],DADOS!$N$6,tabela_registros[TIPO],DADOS!$AJ$4,tabela_registros[CATEGORIA],reservavariáveisconsolidadodez[[#This Row],[ATUAL]])</f>
        <v>0</v>
      </c>
      <c r="AJ194" s="97">
        <f>SUM(reservavariáveisconsolidadodez[[#This Row],[1]:[31]])</f>
        <v>0</v>
      </c>
      <c r="AK194" s="25"/>
    </row>
    <row r="195" spans="2:37" ht="19.5" customHeight="1" thickTop="1" thickBot="1" x14ac:dyDescent="0.3">
      <c r="B195" s="28"/>
      <c r="C195" s="27" t="str">
        <f>DADOS!$AN$11</f>
        <v>📝 MOEDA</v>
      </c>
      <c r="D195" s="26" t="str">
        <f>IF(reservavariáveisconsolidadodez[[#This Row],[TOTAL (R$)]]=0,"",IF(OR(reservavariáveisconsolidadodez[[#This Row],[TOTAL (R$)]]=LARGE($AJ$187:$AJ$196,1),reservavariáveisconsolidadodez[[#This Row],[TOTAL (R$)]]=LARGE($AJ$187:$AJ$196,2)),DADOS!$I$11,""))</f>
        <v/>
      </c>
      <c r="E195" s="96">
        <f>SUMIFS(tabela_registros[VALOR],tabela_registros[MÊS],$AE$1,tabela_registros[DIA],reservavariáveisconsolidadodez[[#Headers],[1]],tabela_registros[REGISTRO],DADOS!$N$6,tabela_registros[TIPO],DADOS!$AJ$4,tabela_registros[CATEGORIA],reservavariáveisconsolidadodez[[#This Row],[ATUAL]])</f>
        <v>0</v>
      </c>
      <c r="F195" s="91">
        <f>SUMIFS(tabela_registros[VALOR],tabela_registros[MÊS],$AE$1,tabela_registros[DIA],reservavariáveisconsolidadodez[[#Headers],[2]],tabela_registros[REGISTRO],DADOS!$N$6,tabela_registros[TIPO],DADOS!$AJ$4,tabela_registros[CATEGORIA],reservavariáveisconsolidadodez[[#This Row],[ATUAL]])</f>
        <v>0</v>
      </c>
      <c r="G195" s="91">
        <f>SUMIFS(tabela_registros[VALOR],tabela_registros[MÊS],$AE$1,tabela_registros[DIA],reservavariáveisconsolidadodez[[#Headers],[3]],tabela_registros[REGISTRO],DADOS!$N$6,tabela_registros[TIPO],DADOS!$AJ$4,tabela_registros[CATEGORIA],reservavariáveisconsolidadodez[[#This Row],[ATUAL]])</f>
        <v>0</v>
      </c>
      <c r="H195" s="91">
        <f>SUMIFS(tabela_registros[VALOR],tabela_registros[MÊS],$AE$1,tabela_registros[DIA],reservavariáveisconsolidadodez[[#Headers],[4]],tabela_registros[REGISTRO],DADOS!$N$6,tabela_registros[TIPO],DADOS!$AJ$4,tabela_registros[CATEGORIA],reservavariáveisconsolidadodez[[#This Row],[ATUAL]])</f>
        <v>0</v>
      </c>
      <c r="I195" s="91">
        <f>SUMIFS(tabela_registros[VALOR],tabela_registros[MÊS],$AE$1,tabela_registros[DIA],reservavariáveisconsolidadodez[[#Headers],[5]],tabela_registros[REGISTRO],DADOS!$N$6,tabela_registros[TIPO],DADOS!$AJ$4,tabela_registros[CATEGORIA],reservavariáveisconsolidadodez[[#This Row],[ATUAL]])</f>
        <v>0</v>
      </c>
      <c r="J195" s="91">
        <f>SUMIFS(tabela_registros[VALOR],tabela_registros[MÊS],$AE$1,tabela_registros[DIA],reservavariáveisconsolidadodez[[#Headers],[6]],tabela_registros[REGISTRO],DADOS!$N$6,tabela_registros[TIPO],DADOS!$AJ$4,tabela_registros[CATEGORIA],reservavariáveisconsolidadodez[[#This Row],[ATUAL]])</f>
        <v>0</v>
      </c>
      <c r="K195" s="91">
        <f>SUMIFS(tabela_registros[VALOR],tabela_registros[MÊS],$AE$1,tabela_registros[DIA],reservavariáveisconsolidadodez[[#Headers],[7]],tabela_registros[REGISTRO],DADOS!$N$6,tabela_registros[TIPO],DADOS!$AJ$4,tabela_registros[CATEGORIA],reservavariáveisconsolidadodez[[#This Row],[ATUAL]])</f>
        <v>0</v>
      </c>
      <c r="L195" s="91">
        <f>SUMIFS(tabela_registros[VALOR],tabela_registros[MÊS],$AE$1,tabela_registros[DIA],reservavariáveisconsolidadodez[[#Headers],[8]],tabela_registros[REGISTRO],DADOS!$N$6,tabela_registros[TIPO],DADOS!$AJ$4,tabela_registros[CATEGORIA],reservavariáveisconsolidadodez[[#This Row],[ATUAL]])</f>
        <v>0</v>
      </c>
      <c r="M195" s="91">
        <f>SUMIFS(tabela_registros[VALOR],tabela_registros[MÊS],$AE$1,tabela_registros[DIA],reservavariáveisconsolidadodez[[#Headers],[9]],tabela_registros[REGISTRO],DADOS!$N$6,tabela_registros[TIPO],DADOS!$AJ$4,tabela_registros[CATEGORIA],reservavariáveisconsolidadodez[[#This Row],[ATUAL]])</f>
        <v>0</v>
      </c>
      <c r="N195" s="91">
        <f>SUMIFS(tabela_registros[VALOR],tabela_registros[MÊS],$AE$1,tabela_registros[DIA],reservavariáveisconsolidadodez[[#Headers],[10]],tabela_registros[REGISTRO],DADOS!$N$6,tabela_registros[TIPO],DADOS!$AJ$4,tabela_registros[CATEGORIA],reservavariáveisconsolidadodez[[#This Row],[ATUAL]])</f>
        <v>0</v>
      </c>
      <c r="O195" s="91">
        <f>SUMIFS(tabela_registros[VALOR],tabela_registros[MÊS],$AE$1,tabela_registros[DIA],reservavariáveisconsolidadodez[[#Headers],[11]],tabela_registros[REGISTRO],DADOS!$N$6,tabela_registros[TIPO],DADOS!$AJ$4,tabela_registros[CATEGORIA],reservavariáveisconsolidadodez[[#This Row],[ATUAL]])</f>
        <v>0</v>
      </c>
      <c r="P195" s="91">
        <f>SUMIFS(tabela_registros[VALOR],tabela_registros[MÊS],$AE$1,tabela_registros[DIA],reservavariáveisconsolidadodez[[#Headers],[12]],tabela_registros[REGISTRO],DADOS!$N$6,tabela_registros[TIPO],DADOS!$AJ$4,tabela_registros[CATEGORIA],reservavariáveisconsolidadodez[[#This Row],[ATUAL]])</f>
        <v>0</v>
      </c>
      <c r="Q195" s="91">
        <f>SUMIFS(tabela_registros[VALOR],tabela_registros[MÊS],$AE$1,tabela_registros[DIA],reservavariáveisconsolidadodez[[#Headers],[13]],tabela_registros[REGISTRO],DADOS!$N$6,tabela_registros[TIPO],DADOS!$AJ$4,tabela_registros[CATEGORIA],reservavariáveisconsolidadodez[[#This Row],[ATUAL]])</f>
        <v>0</v>
      </c>
      <c r="R195" s="91">
        <f>SUMIFS(tabela_registros[VALOR],tabela_registros[MÊS],$AE$1,tabela_registros[DIA],reservavariáveisconsolidadodez[[#Headers],[14]],tabela_registros[REGISTRO],DADOS!$N$6,tabela_registros[TIPO],DADOS!$AJ$4,tabela_registros[CATEGORIA],reservavariáveisconsolidadodez[[#This Row],[ATUAL]])</f>
        <v>0</v>
      </c>
      <c r="S195" s="91">
        <f>SUMIFS(tabela_registros[VALOR],tabela_registros[MÊS],$AE$1,tabela_registros[DIA],reservavariáveisconsolidadodez[[#Headers],[15]],tabela_registros[REGISTRO],DADOS!$N$6,tabela_registros[TIPO],DADOS!$AJ$4,tabela_registros[CATEGORIA],reservavariáveisconsolidadodez[[#This Row],[ATUAL]])</f>
        <v>0</v>
      </c>
      <c r="T195" s="91">
        <f>SUMIFS(tabela_registros[VALOR],tabela_registros[MÊS],$AE$1,tabela_registros[DIA],reservavariáveisconsolidadodez[[#Headers],[16]],tabela_registros[REGISTRO],DADOS!$N$6,tabela_registros[TIPO],DADOS!$AJ$4,tabela_registros[CATEGORIA],reservavariáveisconsolidadodez[[#This Row],[ATUAL]])</f>
        <v>0</v>
      </c>
      <c r="U195" s="91">
        <f>SUMIFS(tabela_registros[VALOR],tabela_registros[MÊS],$AE$1,tabela_registros[DIA],reservavariáveisconsolidadodez[[#Headers],[17]],tabela_registros[REGISTRO],DADOS!$N$6,tabela_registros[TIPO],DADOS!$AJ$4,tabela_registros[CATEGORIA],reservavariáveisconsolidadodez[[#This Row],[ATUAL]])</f>
        <v>0</v>
      </c>
      <c r="V195" s="91">
        <f>SUMIFS(tabela_registros[VALOR],tabela_registros[MÊS],$AE$1,tabela_registros[DIA],reservavariáveisconsolidadodez[[#Headers],[18]],tabela_registros[REGISTRO],DADOS!$N$6,tabela_registros[TIPO],DADOS!$AJ$4,tabela_registros[CATEGORIA],reservavariáveisconsolidadodez[[#This Row],[ATUAL]])</f>
        <v>0</v>
      </c>
      <c r="W195" s="91">
        <f>SUMIFS(tabela_registros[VALOR],tabela_registros[MÊS],$AE$1,tabela_registros[DIA],reservavariáveisconsolidadodez[[#Headers],[19]],tabela_registros[REGISTRO],DADOS!$N$6,tabela_registros[TIPO],DADOS!$AJ$4,tabela_registros[CATEGORIA],reservavariáveisconsolidadodez[[#This Row],[ATUAL]])</f>
        <v>0</v>
      </c>
      <c r="X195" s="91">
        <f>SUMIFS(tabela_registros[VALOR],tabela_registros[MÊS],$AE$1,tabela_registros[DIA],reservavariáveisconsolidadodez[[#Headers],[20]],tabela_registros[REGISTRO],DADOS!$N$6,tabela_registros[TIPO],DADOS!$AJ$4,tabela_registros[CATEGORIA],reservavariáveisconsolidadodez[[#This Row],[ATUAL]])</f>
        <v>0</v>
      </c>
      <c r="Y195" s="91">
        <f>SUMIFS(tabela_registros[VALOR],tabela_registros[MÊS],$AE$1,tabela_registros[DIA],reservavariáveisconsolidadodez[[#Headers],[21]],tabela_registros[REGISTRO],DADOS!$N$6,tabela_registros[TIPO],DADOS!$AJ$4,tabela_registros[CATEGORIA],reservavariáveisconsolidadodez[[#This Row],[ATUAL]])</f>
        <v>0</v>
      </c>
      <c r="Z195" s="91">
        <f>SUMIFS(tabela_registros[VALOR],tabela_registros[MÊS],$AE$1,tabela_registros[DIA],reservavariáveisconsolidadodez[[#Headers],[22]],tabela_registros[REGISTRO],DADOS!$N$6,tabela_registros[TIPO],DADOS!$AJ$4,tabela_registros[CATEGORIA],reservavariáveisconsolidadodez[[#This Row],[ATUAL]])</f>
        <v>0</v>
      </c>
      <c r="AA195" s="91">
        <f>SUMIFS(tabela_registros[VALOR],tabela_registros[MÊS],$AE$1,tabela_registros[DIA],reservavariáveisconsolidadodez[[#Headers],[23]],tabela_registros[REGISTRO],DADOS!$N$6,tabela_registros[TIPO],DADOS!$AJ$4,tabela_registros[CATEGORIA],reservavariáveisconsolidadodez[[#This Row],[ATUAL]])</f>
        <v>0</v>
      </c>
      <c r="AB195" s="91">
        <f>SUMIFS(tabela_registros[VALOR],tabela_registros[MÊS],$AE$1,tabela_registros[DIA],reservavariáveisconsolidadodez[[#Headers],[24]],tabela_registros[REGISTRO],DADOS!$N$6,tabela_registros[TIPO],DADOS!$AJ$4,tabela_registros[CATEGORIA],reservavariáveisconsolidadodez[[#This Row],[ATUAL]])</f>
        <v>0</v>
      </c>
      <c r="AC195" s="91">
        <f>SUMIFS(tabela_registros[VALOR],tabela_registros[MÊS],$AE$1,tabela_registros[DIA],reservavariáveisconsolidadodez[[#Headers],[25]],tabela_registros[REGISTRO],DADOS!$N$6,tabela_registros[TIPO],DADOS!$AJ$4,tabela_registros[CATEGORIA],reservavariáveisconsolidadodez[[#This Row],[ATUAL]])</f>
        <v>0</v>
      </c>
      <c r="AD195" s="91">
        <f>SUMIFS(tabela_registros[VALOR],tabela_registros[MÊS],$AE$1,tabela_registros[DIA],reservavariáveisconsolidadodez[[#Headers],[26]],tabela_registros[REGISTRO],DADOS!$N$6,tabela_registros[TIPO],DADOS!$AJ$4,tabela_registros[CATEGORIA],reservavariáveisconsolidadodez[[#This Row],[ATUAL]])</f>
        <v>0</v>
      </c>
      <c r="AE195" s="91">
        <f>SUMIFS(tabela_registros[VALOR],tabela_registros[MÊS],$AE$1,tabela_registros[DIA],reservavariáveisconsolidadodez[[#Headers],[27]],tabela_registros[REGISTRO],DADOS!$N$6,tabela_registros[TIPO],DADOS!$AJ$4,tabela_registros[CATEGORIA],reservavariáveisconsolidadodez[[#This Row],[ATUAL]])</f>
        <v>0</v>
      </c>
      <c r="AF195" s="91">
        <f>SUMIFS(tabela_registros[VALOR],tabela_registros[MÊS],$AE$1,tabela_registros[DIA],reservavariáveisconsolidadodez[[#Headers],[28]],tabela_registros[REGISTRO],DADOS!$N$6,tabela_registros[TIPO],DADOS!$AJ$4,tabela_registros[CATEGORIA],reservavariáveisconsolidadodez[[#This Row],[ATUAL]])</f>
        <v>0</v>
      </c>
      <c r="AG195" s="91">
        <f>SUMIFS(tabela_registros[VALOR],tabela_registros[MÊS],$AE$1,tabela_registros[DIA],reservavariáveisconsolidadodez[[#Headers],[29]],tabela_registros[REGISTRO],DADOS!$N$6,tabela_registros[TIPO],DADOS!$AJ$4,tabela_registros[CATEGORIA],reservavariáveisconsolidadodez[[#This Row],[ATUAL]])</f>
        <v>0</v>
      </c>
      <c r="AH195" s="91">
        <f>SUMIFS(tabela_registros[VALOR],tabela_registros[MÊS],$AE$1,tabela_registros[DIA],reservavariáveisconsolidadodez[[#Headers],[30]],tabela_registros[REGISTRO],DADOS!$N$6,tabela_registros[TIPO],DADOS!$AJ$4,tabela_registros[CATEGORIA],reservavariáveisconsolidadodez[[#This Row],[ATUAL]])</f>
        <v>0</v>
      </c>
      <c r="AI195" s="101">
        <f>SUMIFS(tabela_registros[VALOR],tabela_registros[MÊS],$AE$1,tabela_registros[DIA],reservavariáveisconsolidadodez[[#Headers],[31]],tabela_registros[REGISTRO],DADOS!$N$6,tabela_registros[TIPO],DADOS!$AJ$4,tabela_registros[CATEGORIA],reservavariáveisconsolidadodez[[#This Row],[ATUAL]])</f>
        <v>0</v>
      </c>
      <c r="AJ195" s="97">
        <f>SUM(reservavariáveisconsolidadodez[[#This Row],[1]:[31]])</f>
        <v>0</v>
      </c>
      <c r="AK195" s="25"/>
    </row>
    <row r="196" spans="2:37" ht="19.5" customHeight="1" thickTop="1" thickBot="1" x14ac:dyDescent="0.3">
      <c r="B196" s="28"/>
      <c r="C196" s="27" t="str">
        <f>DADOS!$AN$12</f>
        <v>📎 OUTROS</v>
      </c>
      <c r="D196" s="26" t="str">
        <f>IF(reservavariáveisconsolidadodez[[#This Row],[TOTAL (R$)]]=0,"",IF(OR(reservavariáveisconsolidadodez[[#This Row],[TOTAL (R$)]]=LARGE($AJ$187:$AJ$196,1),reservavariáveisconsolidadodez[[#This Row],[TOTAL (R$)]]=LARGE($AJ$187:$AJ$196,2)),DADOS!$I$11,""))</f>
        <v/>
      </c>
      <c r="E196" s="96">
        <f>SUMIFS(tabela_registros[VALOR],tabela_registros[MÊS],$AE$1,tabela_registros[DIA],reservavariáveisconsolidadodez[[#Headers],[1]],tabela_registros[REGISTRO],DADOS!$N$6,tabela_registros[TIPO],DADOS!$AJ$4,tabela_registros[CATEGORIA],reservavariáveisconsolidadodez[[#This Row],[ATUAL]])</f>
        <v>0</v>
      </c>
      <c r="F196" s="91">
        <f>SUMIFS(tabela_registros[VALOR],tabela_registros[MÊS],$AE$1,tabela_registros[DIA],reservavariáveisconsolidadodez[[#Headers],[2]],tabela_registros[REGISTRO],DADOS!$N$6,tabela_registros[TIPO],DADOS!$AJ$4,tabela_registros[CATEGORIA],reservavariáveisconsolidadodez[[#This Row],[ATUAL]])</f>
        <v>0</v>
      </c>
      <c r="G196" s="91">
        <f>SUMIFS(tabela_registros[VALOR],tabela_registros[MÊS],$AE$1,tabela_registros[DIA],reservavariáveisconsolidadodez[[#Headers],[3]],tabela_registros[REGISTRO],DADOS!$N$6,tabela_registros[TIPO],DADOS!$AJ$4,tabela_registros[CATEGORIA],reservavariáveisconsolidadodez[[#This Row],[ATUAL]])</f>
        <v>0</v>
      </c>
      <c r="H196" s="91">
        <f>SUMIFS(tabela_registros[VALOR],tabela_registros[MÊS],$AE$1,tabela_registros[DIA],reservavariáveisconsolidadodez[[#Headers],[4]],tabela_registros[REGISTRO],DADOS!$N$6,tabela_registros[TIPO],DADOS!$AJ$4,tabela_registros[CATEGORIA],reservavariáveisconsolidadodez[[#This Row],[ATUAL]])</f>
        <v>0</v>
      </c>
      <c r="I196" s="91">
        <f>SUMIFS(tabela_registros[VALOR],tabela_registros[MÊS],$AE$1,tabela_registros[DIA],reservavariáveisconsolidadodez[[#Headers],[5]],tabela_registros[REGISTRO],DADOS!$N$6,tabela_registros[TIPO],DADOS!$AJ$4,tabela_registros[CATEGORIA],reservavariáveisconsolidadodez[[#This Row],[ATUAL]])</f>
        <v>0</v>
      </c>
      <c r="J196" s="91">
        <f>SUMIFS(tabela_registros[VALOR],tabela_registros[MÊS],$AE$1,tabela_registros[DIA],reservavariáveisconsolidadodez[[#Headers],[6]],tabela_registros[REGISTRO],DADOS!$N$6,tabela_registros[TIPO],DADOS!$AJ$4,tabela_registros[CATEGORIA],reservavariáveisconsolidadodez[[#This Row],[ATUAL]])</f>
        <v>0</v>
      </c>
      <c r="K196" s="91">
        <f>SUMIFS(tabela_registros[VALOR],tabela_registros[MÊS],$AE$1,tabela_registros[DIA],reservavariáveisconsolidadodez[[#Headers],[7]],tabela_registros[REGISTRO],DADOS!$N$6,tabela_registros[TIPO],DADOS!$AJ$4,tabela_registros[CATEGORIA],reservavariáveisconsolidadodez[[#This Row],[ATUAL]])</f>
        <v>0</v>
      </c>
      <c r="L196" s="91">
        <f>SUMIFS(tabela_registros[VALOR],tabela_registros[MÊS],$AE$1,tabela_registros[DIA],reservavariáveisconsolidadodez[[#Headers],[8]],tabela_registros[REGISTRO],DADOS!$N$6,tabela_registros[TIPO],DADOS!$AJ$4,tabela_registros[CATEGORIA],reservavariáveisconsolidadodez[[#This Row],[ATUAL]])</f>
        <v>0</v>
      </c>
      <c r="M196" s="91">
        <f>SUMIFS(tabela_registros[VALOR],tabela_registros[MÊS],$AE$1,tabela_registros[DIA],reservavariáveisconsolidadodez[[#Headers],[9]],tabela_registros[REGISTRO],DADOS!$N$6,tabela_registros[TIPO],DADOS!$AJ$4,tabela_registros[CATEGORIA],reservavariáveisconsolidadodez[[#This Row],[ATUAL]])</f>
        <v>0</v>
      </c>
      <c r="N196" s="91">
        <f>SUMIFS(tabela_registros[VALOR],tabela_registros[MÊS],$AE$1,tabela_registros[DIA],reservavariáveisconsolidadodez[[#Headers],[10]],tabela_registros[REGISTRO],DADOS!$N$6,tabela_registros[TIPO],DADOS!$AJ$4,tabela_registros[CATEGORIA],reservavariáveisconsolidadodez[[#This Row],[ATUAL]])</f>
        <v>0</v>
      </c>
      <c r="O196" s="91">
        <f>SUMIFS(tabela_registros[VALOR],tabela_registros[MÊS],$AE$1,tabela_registros[DIA],reservavariáveisconsolidadodez[[#Headers],[11]],tabela_registros[REGISTRO],DADOS!$N$6,tabela_registros[TIPO],DADOS!$AJ$4,tabela_registros[CATEGORIA],reservavariáveisconsolidadodez[[#This Row],[ATUAL]])</f>
        <v>0</v>
      </c>
      <c r="P196" s="91">
        <f>SUMIFS(tabela_registros[VALOR],tabela_registros[MÊS],$AE$1,tabela_registros[DIA],reservavariáveisconsolidadodez[[#Headers],[12]],tabela_registros[REGISTRO],DADOS!$N$6,tabela_registros[TIPO],DADOS!$AJ$4,tabela_registros[CATEGORIA],reservavariáveisconsolidadodez[[#This Row],[ATUAL]])</f>
        <v>0</v>
      </c>
      <c r="Q196" s="91">
        <f>SUMIFS(tabela_registros[VALOR],tabela_registros[MÊS],$AE$1,tabela_registros[DIA],reservavariáveisconsolidadodez[[#Headers],[13]],tabela_registros[REGISTRO],DADOS!$N$6,tabela_registros[TIPO],DADOS!$AJ$4,tabela_registros[CATEGORIA],reservavariáveisconsolidadodez[[#This Row],[ATUAL]])</f>
        <v>0</v>
      </c>
      <c r="R196" s="91">
        <f>SUMIFS(tabela_registros[VALOR],tabela_registros[MÊS],$AE$1,tabela_registros[DIA],reservavariáveisconsolidadodez[[#Headers],[14]],tabela_registros[REGISTRO],DADOS!$N$6,tabela_registros[TIPO],DADOS!$AJ$4,tabela_registros[CATEGORIA],reservavariáveisconsolidadodez[[#This Row],[ATUAL]])</f>
        <v>0</v>
      </c>
      <c r="S196" s="91">
        <f>SUMIFS(tabela_registros[VALOR],tabela_registros[MÊS],$AE$1,tabela_registros[DIA],reservavariáveisconsolidadodez[[#Headers],[15]],tabela_registros[REGISTRO],DADOS!$N$6,tabela_registros[TIPO],DADOS!$AJ$4,tabela_registros[CATEGORIA],reservavariáveisconsolidadodez[[#This Row],[ATUAL]])</f>
        <v>0</v>
      </c>
      <c r="T196" s="91">
        <f>SUMIFS(tabela_registros[VALOR],tabela_registros[MÊS],$AE$1,tabela_registros[DIA],reservavariáveisconsolidadodez[[#Headers],[16]],tabela_registros[REGISTRO],DADOS!$N$6,tabela_registros[TIPO],DADOS!$AJ$4,tabela_registros[CATEGORIA],reservavariáveisconsolidadodez[[#This Row],[ATUAL]])</f>
        <v>0</v>
      </c>
      <c r="U196" s="91">
        <f>SUMIFS(tabela_registros[VALOR],tabela_registros[MÊS],$AE$1,tabela_registros[DIA],reservavariáveisconsolidadodez[[#Headers],[17]],tabela_registros[REGISTRO],DADOS!$N$6,tabela_registros[TIPO],DADOS!$AJ$4,tabela_registros[CATEGORIA],reservavariáveisconsolidadodez[[#This Row],[ATUAL]])</f>
        <v>0</v>
      </c>
      <c r="V196" s="91">
        <f>SUMIFS(tabela_registros[VALOR],tabela_registros[MÊS],$AE$1,tabela_registros[DIA],reservavariáveisconsolidadodez[[#Headers],[18]],tabela_registros[REGISTRO],DADOS!$N$6,tabela_registros[TIPO],DADOS!$AJ$4,tabela_registros[CATEGORIA],reservavariáveisconsolidadodez[[#This Row],[ATUAL]])</f>
        <v>0</v>
      </c>
      <c r="W196" s="91">
        <f>SUMIFS(tabela_registros[VALOR],tabela_registros[MÊS],$AE$1,tabela_registros[DIA],reservavariáveisconsolidadodez[[#Headers],[19]],tabela_registros[REGISTRO],DADOS!$N$6,tabela_registros[TIPO],DADOS!$AJ$4,tabela_registros[CATEGORIA],reservavariáveisconsolidadodez[[#This Row],[ATUAL]])</f>
        <v>0</v>
      </c>
      <c r="X196" s="91">
        <f>SUMIFS(tabela_registros[VALOR],tabela_registros[MÊS],$AE$1,tabela_registros[DIA],reservavariáveisconsolidadodez[[#Headers],[20]],tabela_registros[REGISTRO],DADOS!$N$6,tabela_registros[TIPO],DADOS!$AJ$4,tabela_registros[CATEGORIA],reservavariáveisconsolidadodez[[#This Row],[ATUAL]])</f>
        <v>0</v>
      </c>
      <c r="Y196" s="91">
        <f>SUMIFS(tabela_registros[VALOR],tabela_registros[MÊS],$AE$1,tabela_registros[DIA],reservavariáveisconsolidadodez[[#Headers],[21]],tabela_registros[REGISTRO],DADOS!$N$6,tabela_registros[TIPO],DADOS!$AJ$4,tabela_registros[CATEGORIA],reservavariáveisconsolidadodez[[#This Row],[ATUAL]])</f>
        <v>0</v>
      </c>
      <c r="Z196" s="91">
        <f>SUMIFS(tabela_registros[VALOR],tabela_registros[MÊS],$AE$1,tabela_registros[DIA],reservavariáveisconsolidadodez[[#Headers],[22]],tabela_registros[REGISTRO],DADOS!$N$6,tabela_registros[TIPO],DADOS!$AJ$4,tabela_registros[CATEGORIA],reservavariáveisconsolidadodez[[#This Row],[ATUAL]])</f>
        <v>0</v>
      </c>
      <c r="AA196" s="91">
        <f>SUMIFS(tabela_registros[VALOR],tabela_registros[MÊS],$AE$1,tabela_registros[DIA],reservavariáveisconsolidadodez[[#Headers],[23]],tabela_registros[REGISTRO],DADOS!$N$6,tabela_registros[TIPO],DADOS!$AJ$4,tabela_registros[CATEGORIA],reservavariáveisconsolidadodez[[#This Row],[ATUAL]])</f>
        <v>0</v>
      </c>
      <c r="AB196" s="91">
        <f>SUMIFS(tabela_registros[VALOR],tabela_registros[MÊS],$AE$1,tabela_registros[DIA],reservavariáveisconsolidadodez[[#Headers],[24]],tabela_registros[REGISTRO],DADOS!$N$6,tabela_registros[TIPO],DADOS!$AJ$4,tabela_registros[CATEGORIA],reservavariáveisconsolidadodez[[#This Row],[ATUAL]])</f>
        <v>0</v>
      </c>
      <c r="AC196" s="91">
        <f>SUMIFS(tabela_registros[VALOR],tabela_registros[MÊS],$AE$1,tabela_registros[DIA],reservavariáveisconsolidadodez[[#Headers],[25]],tabela_registros[REGISTRO],DADOS!$N$6,tabela_registros[TIPO],DADOS!$AJ$4,tabela_registros[CATEGORIA],reservavariáveisconsolidadodez[[#This Row],[ATUAL]])</f>
        <v>0</v>
      </c>
      <c r="AD196" s="91">
        <f>SUMIFS(tabela_registros[VALOR],tabela_registros[MÊS],$AE$1,tabela_registros[DIA],reservavariáveisconsolidadodez[[#Headers],[26]],tabela_registros[REGISTRO],DADOS!$N$6,tabela_registros[TIPO],DADOS!$AJ$4,tabela_registros[CATEGORIA],reservavariáveisconsolidadodez[[#This Row],[ATUAL]])</f>
        <v>0</v>
      </c>
      <c r="AE196" s="91">
        <f>SUMIFS(tabela_registros[VALOR],tabela_registros[MÊS],$AE$1,tabela_registros[DIA],reservavariáveisconsolidadodez[[#Headers],[27]],tabela_registros[REGISTRO],DADOS!$N$6,tabela_registros[TIPO],DADOS!$AJ$4,tabela_registros[CATEGORIA],reservavariáveisconsolidadodez[[#This Row],[ATUAL]])</f>
        <v>0</v>
      </c>
      <c r="AF196" s="91">
        <f>SUMIFS(tabela_registros[VALOR],tabela_registros[MÊS],$AE$1,tabela_registros[DIA],reservavariáveisconsolidadodez[[#Headers],[28]],tabela_registros[REGISTRO],DADOS!$N$6,tabela_registros[TIPO],DADOS!$AJ$4,tabela_registros[CATEGORIA],reservavariáveisconsolidadodez[[#This Row],[ATUAL]])</f>
        <v>0</v>
      </c>
      <c r="AG196" s="91">
        <f>SUMIFS(tabela_registros[VALOR],tabela_registros[MÊS],$AE$1,tabela_registros[DIA],reservavariáveisconsolidadodez[[#Headers],[29]],tabela_registros[REGISTRO],DADOS!$N$6,tabela_registros[TIPO],DADOS!$AJ$4,tabela_registros[CATEGORIA],reservavariáveisconsolidadodez[[#This Row],[ATUAL]])</f>
        <v>0</v>
      </c>
      <c r="AH196" s="91">
        <f>SUMIFS(tabela_registros[VALOR],tabela_registros[MÊS],$AE$1,tabela_registros[DIA],reservavariáveisconsolidadodez[[#Headers],[30]],tabela_registros[REGISTRO],DADOS!$N$6,tabela_registros[TIPO],DADOS!$AJ$4,tabela_registros[CATEGORIA],reservavariáveisconsolidadodez[[#This Row],[ATUAL]])</f>
        <v>0</v>
      </c>
      <c r="AI196" s="102">
        <f>SUMIFS(tabela_registros[VALOR],tabela_registros[MÊS],$AE$1,tabela_registros[DIA],reservavariáveisconsolidadodez[[#Headers],[31]],tabela_registros[REGISTRO],DADOS!$N$6,tabela_registros[TIPO],DADOS!$AJ$4,tabela_registros[CATEGORIA],reservavariáveisconsolidadodez[[#This Row],[ATUAL]])</f>
        <v>0</v>
      </c>
      <c r="AJ196" s="97">
        <f>SUM(reservavariáveisconsolidadodez[[#This Row],[1]:[31]])</f>
        <v>0</v>
      </c>
      <c r="AK196" s="25"/>
    </row>
    <row r="197" spans="2:37" s="16" customFormat="1" ht="21" customHeight="1" thickTop="1" thickBot="1" x14ac:dyDescent="0.35">
      <c r="B197" s="24"/>
      <c r="C197" s="23" t="s">
        <v>19</v>
      </c>
      <c r="D197" s="22"/>
      <c r="E197" s="21">
        <f>SUM(E187:E196)</f>
        <v>0</v>
      </c>
      <c r="F197" s="20">
        <f>SUM(F187:F196)+reservavariáveisconsolidadodez[[#This Row],[1]]</f>
        <v>0</v>
      </c>
      <c r="G197" s="20">
        <f>SUM(G187:G196)+reservavariáveisconsolidadodez[[#This Row],[2]]</f>
        <v>0</v>
      </c>
      <c r="H197" s="20">
        <f>SUM(H187:H196)+reservavariáveisconsolidadodez[[#This Row],[3]]</f>
        <v>0</v>
      </c>
      <c r="I197" s="20">
        <f>SUM(I187:I196)+reservavariáveisconsolidadodez[[#This Row],[4]]</f>
        <v>0</v>
      </c>
      <c r="J197" s="20">
        <f>SUM(J187:J196)+reservavariáveisconsolidadodez[[#This Row],[5]]</f>
        <v>0</v>
      </c>
      <c r="K197" s="20">
        <f>SUM(K187:K196)+reservavariáveisconsolidadodez[[#This Row],[6]]</f>
        <v>0</v>
      </c>
      <c r="L197" s="20">
        <f>SUM(L187:L196)+reservavariáveisconsolidadodez[[#This Row],[7]]</f>
        <v>0</v>
      </c>
      <c r="M197" s="20">
        <f>SUM(M187:M196)+reservavariáveisconsolidadodez[[#This Row],[8]]</f>
        <v>0</v>
      </c>
      <c r="N197" s="20">
        <f>SUM(N187:N196)+reservavariáveisconsolidadodez[[#This Row],[9]]</f>
        <v>0</v>
      </c>
      <c r="O197" s="20">
        <f>SUM(O187:O196)+reservavariáveisconsolidadodez[[#This Row],[10]]</f>
        <v>0</v>
      </c>
      <c r="P197" s="20">
        <f>SUM(P187:P196)+reservavariáveisconsolidadodez[[#This Row],[11]]</f>
        <v>0</v>
      </c>
      <c r="Q197" s="20">
        <f>SUM(Q187:Q196)+reservavariáveisconsolidadodez[[#This Row],[12]]</f>
        <v>0</v>
      </c>
      <c r="R197" s="20">
        <f>SUM(R187:R196)+reservavariáveisconsolidadodez[[#This Row],[13]]</f>
        <v>0</v>
      </c>
      <c r="S197" s="20">
        <f>SUM(S187:S196)+reservavariáveisconsolidadodez[[#This Row],[14]]</f>
        <v>0</v>
      </c>
      <c r="T197" s="20">
        <f>SUM(T187:T196)+reservavariáveisconsolidadodez[[#This Row],[15]]</f>
        <v>0</v>
      </c>
      <c r="U197" s="20">
        <f>SUM(U187:U196)+reservavariáveisconsolidadodez[[#This Row],[16]]</f>
        <v>0</v>
      </c>
      <c r="V197" s="20">
        <f>SUM(V187:V196)+reservavariáveisconsolidadodez[[#This Row],[17]]</f>
        <v>0</v>
      </c>
      <c r="W197" s="20">
        <f>SUM(W187:W196)+reservavariáveisconsolidadodez[[#This Row],[18]]</f>
        <v>0</v>
      </c>
      <c r="X197" s="20">
        <f>SUM(X187:X196)+reservavariáveisconsolidadodez[[#This Row],[19]]</f>
        <v>0</v>
      </c>
      <c r="Y197" s="20">
        <f>SUM(Y187:Y196)+reservavariáveisconsolidadodez[[#This Row],[20]]</f>
        <v>0</v>
      </c>
      <c r="Z197" s="20">
        <f>SUM(Z187:Z196)+reservavariáveisconsolidadodez[[#This Row],[21]]</f>
        <v>0</v>
      </c>
      <c r="AA197" s="20">
        <f>SUM(AA187:AA196)+reservavariáveisconsolidadodez[[#This Row],[22]]</f>
        <v>0</v>
      </c>
      <c r="AB197" s="20">
        <f>SUM(AB187:AB196)+reservavariáveisconsolidadodez[[#This Row],[23]]</f>
        <v>0</v>
      </c>
      <c r="AC197" s="20">
        <f>SUM(AC187:AC196)+reservavariáveisconsolidadodez[[#This Row],[24]]</f>
        <v>0</v>
      </c>
      <c r="AD197" s="20">
        <f>SUM(AD187:AD196)+reservavariáveisconsolidadodez[[#This Row],[25]]</f>
        <v>0</v>
      </c>
      <c r="AE197" s="20">
        <f>SUM(AE187:AE196)+reservavariáveisconsolidadodez[[#This Row],[26]]</f>
        <v>0</v>
      </c>
      <c r="AF197" s="20">
        <f>SUM(AF187:AF196)+reservavariáveisconsolidadodez[[#This Row],[27]]</f>
        <v>0</v>
      </c>
      <c r="AG197" s="20">
        <f>SUM(AG187:AG196)+reservavariáveisconsolidadodez[[#This Row],[28]]</f>
        <v>0</v>
      </c>
      <c r="AH197" s="20">
        <f>SUM(AH187:AH196)+reservavariáveisconsolidadodez[[#This Row],[29]]</f>
        <v>0</v>
      </c>
      <c r="AI197" s="19">
        <f>SUM(AI187:AI196)+reservavariáveisconsolidadodez[[#This Row],[30]]</f>
        <v>0</v>
      </c>
      <c r="AJ197" s="18">
        <f>reservavariáveisconsolidadodez[[#This Row],[31]]</f>
        <v>0</v>
      </c>
      <c r="AK197" s="17"/>
    </row>
    <row r="198" spans="2:37" ht="6.75" customHeight="1" thickTop="1" thickBot="1" x14ac:dyDescent="0.3">
      <c r="B198" s="15"/>
      <c r="C198" s="14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  <c r="AC198" s="13"/>
      <c r="AD198" s="13"/>
      <c r="AE198" s="13"/>
      <c r="AF198" s="13"/>
      <c r="AG198" s="13"/>
      <c r="AH198" s="13"/>
      <c r="AI198" s="12"/>
      <c r="AJ198" s="11"/>
      <c r="AK198" s="10"/>
    </row>
    <row r="199" spans="2:37" ht="12.6" thickTop="1" x14ac:dyDescent="0.25">
      <c r="E199" s="37"/>
      <c r="AI199" s="4"/>
    </row>
    <row r="200" spans="2:37" x14ac:dyDescent="0.25">
      <c r="AI200" s="4"/>
    </row>
    <row r="201" spans="2:37" x14ac:dyDescent="0.25">
      <c r="AI201" s="4"/>
    </row>
    <row r="202" spans="2:37" ht="39.75" customHeight="1" x14ac:dyDescent="0.7">
      <c r="C202" s="36"/>
      <c r="E202" s="240"/>
      <c r="F202" s="240"/>
      <c r="G202" s="240"/>
      <c r="H202" s="240"/>
      <c r="I202" s="240"/>
      <c r="J202" s="240"/>
      <c r="K202" s="240"/>
      <c r="L202" s="240"/>
      <c r="M202" s="240"/>
      <c r="N202" s="240"/>
      <c r="O202" s="240"/>
      <c r="P202" s="240"/>
      <c r="Q202" s="240"/>
      <c r="R202" s="240"/>
      <c r="S202" s="240"/>
      <c r="T202" s="240"/>
      <c r="U202" s="240"/>
      <c r="V202" s="240"/>
      <c r="W202" s="240"/>
      <c r="X202" s="240"/>
      <c r="Y202" s="240"/>
      <c r="Z202" s="240"/>
      <c r="AA202" s="240"/>
      <c r="AB202" s="240"/>
      <c r="AC202" s="240"/>
      <c r="AD202" s="240"/>
      <c r="AE202" s="240"/>
      <c r="AF202" s="240"/>
      <c r="AG202" s="240"/>
      <c r="AH202" s="240"/>
      <c r="AI202" s="240"/>
      <c r="AJ202" s="32" t="s">
        <v>19</v>
      </c>
    </row>
    <row r="203" spans="2:37" ht="12.6" thickBot="1" x14ac:dyDescent="0.3">
      <c r="B203" s="35"/>
      <c r="AI203" s="4"/>
      <c r="AJ203" s="34" t="s">
        <v>202</v>
      </c>
    </row>
    <row r="204" spans="2:37" ht="6.75" customHeight="1" thickTop="1" thickBot="1" x14ac:dyDescent="0.3">
      <c r="B204" s="2"/>
      <c r="C204" s="14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3"/>
      <c r="AD204" s="13"/>
      <c r="AE204" s="13"/>
      <c r="AF204" s="13"/>
      <c r="AG204" s="13"/>
      <c r="AH204" s="13"/>
      <c r="AI204" s="13"/>
      <c r="AJ204" s="12"/>
      <c r="AK204" s="33"/>
    </row>
    <row r="205" spans="2:37" ht="13.2" hidden="1" thickTop="1" thickBot="1" x14ac:dyDescent="0.3">
      <c r="B205" s="2"/>
      <c r="C205" s="31" t="s">
        <v>199</v>
      </c>
      <c r="D205" s="30" t="s">
        <v>198</v>
      </c>
      <c r="E205" s="30" t="s">
        <v>197</v>
      </c>
      <c r="F205" s="30" t="s">
        <v>196</v>
      </c>
      <c r="G205" s="30" t="s">
        <v>195</v>
      </c>
      <c r="H205" s="30" t="s">
        <v>194</v>
      </c>
      <c r="I205" s="30" t="s">
        <v>193</v>
      </c>
      <c r="J205" s="30" t="s">
        <v>192</v>
      </c>
      <c r="K205" s="30" t="s">
        <v>191</v>
      </c>
      <c r="L205" s="30" t="s">
        <v>190</v>
      </c>
      <c r="M205" s="30" t="s">
        <v>189</v>
      </c>
      <c r="N205" s="30" t="s">
        <v>188</v>
      </c>
      <c r="O205" s="30" t="s">
        <v>187</v>
      </c>
      <c r="P205" s="30" t="s">
        <v>186</v>
      </c>
      <c r="Q205" s="30" t="s">
        <v>185</v>
      </c>
      <c r="R205" s="30" t="s">
        <v>184</v>
      </c>
      <c r="S205" s="30" t="s">
        <v>183</v>
      </c>
      <c r="T205" s="30" t="s">
        <v>182</v>
      </c>
      <c r="U205" s="30" t="s">
        <v>181</v>
      </c>
      <c r="V205" s="30" t="s">
        <v>180</v>
      </c>
      <c r="W205" s="30" t="s">
        <v>179</v>
      </c>
      <c r="X205" s="30" t="s">
        <v>178</v>
      </c>
      <c r="Y205" s="30" t="s">
        <v>177</v>
      </c>
      <c r="Z205" s="30" t="s">
        <v>176</v>
      </c>
      <c r="AA205" s="30" t="s">
        <v>175</v>
      </c>
      <c r="AB205" s="30" t="s">
        <v>174</v>
      </c>
      <c r="AC205" s="30" t="s">
        <v>173</v>
      </c>
      <c r="AD205" s="30" t="s">
        <v>172</v>
      </c>
      <c r="AE205" s="30" t="s">
        <v>171</v>
      </c>
      <c r="AF205" s="30" t="s">
        <v>170</v>
      </c>
      <c r="AG205" s="30" t="s">
        <v>169</v>
      </c>
      <c r="AH205" s="30" t="s">
        <v>168</v>
      </c>
      <c r="AI205" s="30" t="s">
        <v>167</v>
      </c>
      <c r="AJ205" s="29" t="s">
        <v>166</v>
      </c>
      <c r="AK205" s="2"/>
    </row>
    <row r="206" spans="2:37" ht="19.5" customHeight="1" thickTop="1" thickBot="1" x14ac:dyDescent="0.3">
      <c r="B206" s="28"/>
      <c r="C206" s="27" t="str">
        <f>DADOS!$AP$3</f>
        <v>📝 COE</v>
      </c>
      <c r="D206" s="26" t="str">
        <f>IF(reservaoutrosconsolidadodez[[#This Row],[TOTAL (R$)]]=0,"",IF(OR(reservaoutrosconsolidadodez[[#This Row],[TOTAL (R$)]]=LARGE($AJ$206:$AJ$213,1),reservaoutrosconsolidadodez[[#This Row],[TOTAL (R$)]]=LARGE($AJ$206:$AJ$213,2)),DADOS!$I$11,""))</f>
        <v/>
      </c>
      <c r="E206" s="96">
        <f>SUMIFS(tabela_registros[VALOR],tabela_registros[MÊS],$AE$1,tabela_registros[DIA],reservaoutrosconsolidadodez[[#Headers],[1]],tabela_registros[REGISTRO],DADOS!$N$6,tabela_registros[TIPO],DADOS!$AJ$5,tabela_registros[CATEGORIA],reservaoutrosconsolidadodez[[#This Row],[ATUAL]])</f>
        <v>0</v>
      </c>
      <c r="F206" s="91">
        <f>SUMIFS(tabela_registros[VALOR],tabela_registros[MÊS],$AE$1,tabela_registros[DIA],reservaoutrosconsolidadodez[[#Headers],[2]],tabela_registros[REGISTRO],DADOS!$N$6,tabela_registros[TIPO],DADOS!$AJ$5,tabela_registros[CATEGORIA],reservaoutrosconsolidadodez[[#This Row],[ATUAL]])</f>
        <v>0</v>
      </c>
      <c r="G206" s="91">
        <f>SUMIFS(tabela_registros[VALOR],tabela_registros[MÊS],$AE$1,tabela_registros[DIA],reservaoutrosconsolidadodez[[#Headers],[3]],tabela_registros[REGISTRO],DADOS!$N$6,tabela_registros[TIPO],DADOS!$AJ$5,tabela_registros[CATEGORIA],reservaoutrosconsolidadodez[[#This Row],[ATUAL]])</f>
        <v>0</v>
      </c>
      <c r="H206" s="91">
        <f>SUMIFS(tabela_registros[VALOR],tabela_registros[MÊS],$AE$1,tabela_registros[DIA],reservaoutrosconsolidadodez[[#Headers],[4]],tabela_registros[REGISTRO],DADOS!$N$6,tabela_registros[TIPO],DADOS!$AJ$5,tabela_registros[CATEGORIA],reservaoutrosconsolidadodez[[#This Row],[ATUAL]])</f>
        <v>0</v>
      </c>
      <c r="I206" s="91">
        <f>SUMIFS(tabela_registros[VALOR],tabela_registros[MÊS],$AE$1,tabela_registros[DIA],reservaoutrosconsolidadodez[[#Headers],[5]],tabela_registros[REGISTRO],DADOS!$N$6,tabela_registros[TIPO],DADOS!$AJ$5,tabela_registros[CATEGORIA],reservaoutrosconsolidadodez[[#This Row],[ATUAL]])</f>
        <v>0</v>
      </c>
      <c r="J206" s="91">
        <f>SUMIFS(tabela_registros[VALOR],tabela_registros[MÊS],$AE$1,tabela_registros[DIA],reservaoutrosconsolidadodez[[#Headers],[6]],tabela_registros[REGISTRO],DADOS!$N$6,tabela_registros[TIPO],DADOS!$AJ$5,tabela_registros[CATEGORIA],reservaoutrosconsolidadodez[[#This Row],[ATUAL]])</f>
        <v>0</v>
      </c>
      <c r="K206" s="91">
        <f>SUMIFS(tabela_registros[VALOR],tabela_registros[MÊS],$AE$1,tabela_registros[DIA],reservaoutrosconsolidadodez[[#Headers],[7]],tabela_registros[REGISTRO],DADOS!$N$6,tabela_registros[TIPO],DADOS!$AJ$5,tabela_registros[CATEGORIA],reservaoutrosconsolidadodez[[#This Row],[ATUAL]])</f>
        <v>0</v>
      </c>
      <c r="L206" s="91">
        <f>SUMIFS(tabela_registros[VALOR],tabela_registros[MÊS],$AE$1,tabela_registros[DIA],reservaoutrosconsolidadodez[[#Headers],[8]],tabela_registros[REGISTRO],DADOS!$N$6,tabela_registros[TIPO],DADOS!$AJ$5,tabela_registros[CATEGORIA],reservaoutrosconsolidadodez[[#This Row],[ATUAL]])</f>
        <v>0</v>
      </c>
      <c r="M206" s="91">
        <f>SUMIFS(tabela_registros[VALOR],tabela_registros[MÊS],$AE$1,tabela_registros[DIA],reservaoutrosconsolidadodez[[#Headers],[9]],tabela_registros[REGISTRO],DADOS!$N$6,tabela_registros[TIPO],DADOS!$AJ$5,tabela_registros[CATEGORIA],reservaoutrosconsolidadodez[[#This Row],[ATUAL]])</f>
        <v>0</v>
      </c>
      <c r="N206" s="91">
        <f>SUMIFS(tabela_registros[VALOR],tabela_registros[MÊS],$AE$1,tabela_registros[DIA],reservaoutrosconsolidadodez[[#Headers],[10]],tabela_registros[REGISTRO],DADOS!$N$6,tabela_registros[TIPO],DADOS!$AJ$5,tabela_registros[CATEGORIA],reservaoutrosconsolidadodez[[#This Row],[ATUAL]])</f>
        <v>0</v>
      </c>
      <c r="O206" s="91">
        <f>SUMIFS(tabela_registros[VALOR],tabela_registros[MÊS],$AE$1,tabela_registros[DIA],reservaoutrosconsolidadodez[[#Headers],[11]],tabela_registros[REGISTRO],DADOS!$N$6,tabela_registros[TIPO],DADOS!$AJ$5,tabela_registros[CATEGORIA],reservaoutrosconsolidadodez[[#This Row],[ATUAL]])</f>
        <v>0</v>
      </c>
      <c r="P206" s="91">
        <f>SUMIFS(tabela_registros[VALOR],tabela_registros[MÊS],$AE$1,tabela_registros[DIA],reservaoutrosconsolidadodez[[#Headers],[12]],tabela_registros[REGISTRO],DADOS!$N$6,tabela_registros[TIPO],DADOS!$AJ$5,tabela_registros[CATEGORIA],reservaoutrosconsolidadodez[[#This Row],[ATUAL]])</f>
        <v>0</v>
      </c>
      <c r="Q206" s="91">
        <f>SUMIFS(tabela_registros[VALOR],tabela_registros[MÊS],$AE$1,tabela_registros[DIA],reservaoutrosconsolidadodez[[#Headers],[13]],tabela_registros[REGISTRO],DADOS!$N$6,tabela_registros[TIPO],DADOS!$AJ$5,tabela_registros[CATEGORIA],reservaoutrosconsolidadodez[[#This Row],[ATUAL]])</f>
        <v>0</v>
      </c>
      <c r="R206" s="91">
        <f>SUMIFS(tabela_registros[VALOR],tabela_registros[MÊS],$AE$1,tabela_registros[DIA],reservaoutrosconsolidadodez[[#Headers],[14]],tabela_registros[REGISTRO],DADOS!$N$6,tabela_registros[TIPO],DADOS!$AJ$5,tabela_registros[CATEGORIA],reservaoutrosconsolidadodez[[#This Row],[ATUAL]])</f>
        <v>0</v>
      </c>
      <c r="S206" s="91">
        <f>SUMIFS(tabela_registros[VALOR],tabela_registros[MÊS],$AE$1,tabela_registros[DIA],reservaoutrosconsolidadodez[[#Headers],[15]],tabela_registros[REGISTRO],DADOS!$N$6,tabela_registros[TIPO],DADOS!$AJ$5,tabela_registros[CATEGORIA],reservaoutrosconsolidadodez[[#This Row],[ATUAL]])</f>
        <v>0</v>
      </c>
      <c r="T206" s="91">
        <f>SUMIFS(tabela_registros[VALOR],tabela_registros[MÊS],$AE$1,tabela_registros[DIA],reservaoutrosconsolidadodez[[#Headers],[16]],tabela_registros[REGISTRO],DADOS!$N$6,tabela_registros[TIPO],DADOS!$AJ$5,tabela_registros[CATEGORIA],reservaoutrosconsolidadodez[[#This Row],[ATUAL]])</f>
        <v>0</v>
      </c>
      <c r="U206" s="91">
        <f>SUMIFS(tabela_registros[VALOR],tabela_registros[MÊS],$AE$1,tabela_registros[DIA],reservaoutrosconsolidadodez[[#Headers],[17]],tabela_registros[REGISTRO],DADOS!$N$6,tabela_registros[TIPO],DADOS!$AJ$5,tabela_registros[CATEGORIA],reservaoutrosconsolidadodez[[#This Row],[ATUAL]])</f>
        <v>0</v>
      </c>
      <c r="V206" s="91">
        <f>SUMIFS(tabela_registros[VALOR],tabela_registros[MÊS],$AE$1,tabela_registros[DIA],reservaoutrosconsolidadodez[[#Headers],[18]],tabela_registros[REGISTRO],DADOS!$N$6,tabela_registros[TIPO],DADOS!$AJ$5,tabela_registros[CATEGORIA],reservaoutrosconsolidadodez[[#This Row],[ATUAL]])</f>
        <v>0</v>
      </c>
      <c r="W206" s="91">
        <f>SUMIFS(tabela_registros[VALOR],tabela_registros[MÊS],$AE$1,tabela_registros[DIA],reservaoutrosconsolidadodez[[#Headers],[19]],tabela_registros[REGISTRO],DADOS!$N$6,tabela_registros[TIPO],DADOS!$AJ$5,tabela_registros[CATEGORIA],reservaoutrosconsolidadodez[[#This Row],[ATUAL]])</f>
        <v>0</v>
      </c>
      <c r="X206" s="91">
        <f>SUMIFS(tabela_registros[VALOR],tabela_registros[MÊS],$AE$1,tabela_registros[DIA],reservaoutrosconsolidadodez[[#Headers],[20]],tabela_registros[REGISTRO],DADOS!$N$6,tabela_registros[TIPO],DADOS!$AJ$5,tabela_registros[CATEGORIA],reservaoutrosconsolidadodez[[#This Row],[ATUAL]])</f>
        <v>0</v>
      </c>
      <c r="Y206" s="91">
        <f>SUMIFS(tabela_registros[VALOR],tabela_registros[MÊS],$AE$1,tabela_registros[DIA],reservaoutrosconsolidadodez[[#Headers],[21]],tabela_registros[REGISTRO],DADOS!$N$6,tabela_registros[TIPO],DADOS!$AJ$5,tabela_registros[CATEGORIA],reservaoutrosconsolidadodez[[#This Row],[ATUAL]])</f>
        <v>0</v>
      </c>
      <c r="Z206" s="91">
        <f>SUMIFS(tabela_registros[VALOR],tabela_registros[MÊS],$AE$1,tabela_registros[DIA],reservaoutrosconsolidadodez[[#Headers],[22]],tabela_registros[REGISTRO],DADOS!$N$6,tabela_registros[TIPO],DADOS!$AJ$5,tabela_registros[CATEGORIA],reservaoutrosconsolidadodez[[#This Row],[ATUAL]])</f>
        <v>0</v>
      </c>
      <c r="AA206" s="91">
        <f>SUMIFS(tabela_registros[VALOR],tabela_registros[MÊS],$AE$1,tabela_registros[DIA],reservaoutrosconsolidadodez[[#Headers],[23]],tabela_registros[REGISTRO],DADOS!$N$6,tabela_registros[TIPO],DADOS!$AJ$5,tabela_registros[CATEGORIA],reservaoutrosconsolidadodez[[#This Row],[ATUAL]])</f>
        <v>0</v>
      </c>
      <c r="AB206" s="91">
        <f>SUMIFS(tabela_registros[VALOR],tabela_registros[MÊS],$AE$1,tabela_registros[DIA],reservaoutrosconsolidadodez[[#Headers],[24]],tabela_registros[REGISTRO],DADOS!$N$6,tabela_registros[TIPO],DADOS!$AJ$5,tabela_registros[CATEGORIA],reservaoutrosconsolidadodez[[#This Row],[ATUAL]])</f>
        <v>0</v>
      </c>
      <c r="AC206" s="91">
        <f>SUMIFS(tabela_registros[VALOR],tabela_registros[MÊS],$AE$1,tabela_registros[DIA],reservaoutrosconsolidadodez[[#Headers],[25]],tabela_registros[REGISTRO],DADOS!$N$6,tabela_registros[TIPO],DADOS!$AJ$5,tabela_registros[CATEGORIA],reservaoutrosconsolidadodez[[#This Row],[ATUAL]])</f>
        <v>0</v>
      </c>
      <c r="AD206" s="91">
        <f>SUMIFS(tabela_registros[VALOR],tabela_registros[MÊS],$AE$1,tabela_registros[DIA],reservaoutrosconsolidadodez[[#Headers],[26]],tabela_registros[REGISTRO],DADOS!$N$6,tabela_registros[TIPO],DADOS!$AJ$5,tabela_registros[CATEGORIA],reservaoutrosconsolidadodez[[#This Row],[ATUAL]])</f>
        <v>0</v>
      </c>
      <c r="AE206" s="91">
        <f>SUMIFS(tabela_registros[VALOR],tabela_registros[MÊS],$AE$1,tabela_registros[DIA],reservaoutrosconsolidadodez[[#Headers],[27]],tabela_registros[REGISTRO],DADOS!$N$6,tabela_registros[TIPO],DADOS!$AJ$5,tabela_registros[CATEGORIA],reservaoutrosconsolidadodez[[#This Row],[ATUAL]])</f>
        <v>0</v>
      </c>
      <c r="AF206" s="91">
        <f>SUMIFS(tabela_registros[VALOR],tabela_registros[MÊS],$AE$1,tabela_registros[DIA],reservaoutrosconsolidadodez[[#Headers],[28]],tabela_registros[REGISTRO],DADOS!$N$6,tabela_registros[TIPO],DADOS!$AJ$5,tabela_registros[CATEGORIA],reservaoutrosconsolidadodez[[#This Row],[ATUAL]])</f>
        <v>0</v>
      </c>
      <c r="AG206" s="91">
        <f>SUMIFS(tabela_registros[VALOR],tabela_registros[MÊS],$AE$1,tabela_registros[DIA],reservaoutrosconsolidadodez[[#Headers],[29]],tabela_registros[REGISTRO],DADOS!$N$6,tabela_registros[TIPO],DADOS!$AJ$5,tabela_registros[CATEGORIA],reservaoutrosconsolidadodez[[#This Row],[ATUAL]])</f>
        <v>0</v>
      </c>
      <c r="AH206" s="91">
        <f>SUMIFS(tabela_registros[VALOR],tabela_registros[MÊS],$AE$1,tabela_registros[DIA],reservaoutrosconsolidadodez[[#Headers],[30]],tabela_registros[REGISTRO],DADOS!$N$6,tabela_registros[TIPO],DADOS!$AJ$5,tabela_registros[CATEGORIA],reservaoutrosconsolidadodez[[#This Row],[ATUAL]])</f>
        <v>0</v>
      </c>
      <c r="AI206" s="101">
        <f>SUMIFS(tabela_registros[VALOR],tabela_registros[MÊS],$AE$1,tabela_registros[DIA],reservaoutrosconsolidadodez[[#Headers],[31]],tabela_registros[REGISTRO],DADOS!$N$6,tabela_registros[TIPO],DADOS!$AJ$5,tabela_registros[CATEGORIA],reservaoutrosconsolidadodez[[#This Row],[ATUAL]])</f>
        <v>0</v>
      </c>
      <c r="AJ206" s="97">
        <f>SUM(reservaoutrosconsolidadodez[[#This Row],[1]:[31]])</f>
        <v>0</v>
      </c>
      <c r="AK206" s="25"/>
    </row>
    <row r="207" spans="2:37" ht="19.5" customHeight="1" thickTop="1" thickBot="1" x14ac:dyDescent="0.3">
      <c r="B207" s="28"/>
      <c r="C207" s="27" t="str">
        <f>DADOS!$AP$4</f>
        <v>📝 FOREX</v>
      </c>
      <c r="D207" s="26" t="str">
        <f>IF(reservaoutrosconsolidadodez[[#This Row],[TOTAL (R$)]]=0,"",IF(OR(reservaoutrosconsolidadodez[[#This Row],[TOTAL (R$)]]=LARGE($AJ$206:$AJ$213,1),reservaoutrosconsolidadodez[[#This Row],[TOTAL (R$)]]=LARGE($AJ$206:$AJ$213,2)),DADOS!$I$11,""))</f>
        <v/>
      </c>
      <c r="E207" s="96">
        <f>SUMIFS(tabela_registros[VALOR],tabela_registros[MÊS],$AE$1,tabela_registros[DIA],reservaoutrosconsolidadodez[[#Headers],[1]],tabela_registros[REGISTRO],DADOS!$N$6,tabela_registros[TIPO],DADOS!$AJ$5,tabela_registros[CATEGORIA],reservaoutrosconsolidadodez[[#This Row],[ATUAL]])</f>
        <v>0</v>
      </c>
      <c r="F207" s="91">
        <f>SUMIFS(tabela_registros[VALOR],tabela_registros[MÊS],$AE$1,tabela_registros[DIA],reservaoutrosconsolidadodez[[#Headers],[2]],tabela_registros[REGISTRO],DADOS!$N$6,tabela_registros[TIPO],DADOS!$AJ$5,tabela_registros[CATEGORIA],reservaoutrosconsolidadodez[[#This Row],[ATUAL]])</f>
        <v>0</v>
      </c>
      <c r="G207" s="91">
        <f>SUMIFS(tabela_registros[VALOR],tabela_registros[MÊS],$AE$1,tabela_registros[DIA],reservaoutrosconsolidadodez[[#Headers],[3]],tabela_registros[REGISTRO],DADOS!$N$6,tabela_registros[TIPO],DADOS!$AJ$5,tabela_registros[CATEGORIA],reservaoutrosconsolidadodez[[#This Row],[ATUAL]])</f>
        <v>0</v>
      </c>
      <c r="H207" s="91">
        <f>SUMIFS(tabela_registros[VALOR],tabela_registros[MÊS],$AE$1,tabela_registros[DIA],reservaoutrosconsolidadodez[[#Headers],[4]],tabela_registros[REGISTRO],DADOS!$N$6,tabela_registros[TIPO],DADOS!$AJ$5,tabela_registros[CATEGORIA],reservaoutrosconsolidadodez[[#This Row],[ATUAL]])</f>
        <v>0</v>
      </c>
      <c r="I207" s="91">
        <f>SUMIFS(tabela_registros[VALOR],tabela_registros[MÊS],$AE$1,tabela_registros[DIA],reservaoutrosconsolidadodez[[#Headers],[5]],tabela_registros[REGISTRO],DADOS!$N$6,tabela_registros[TIPO],DADOS!$AJ$5,tabela_registros[CATEGORIA],reservaoutrosconsolidadodez[[#This Row],[ATUAL]])</f>
        <v>0</v>
      </c>
      <c r="J207" s="91">
        <f>SUMIFS(tabela_registros[VALOR],tabela_registros[MÊS],$AE$1,tabela_registros[DIA],reservaoutrosconsolidadodez[[#Headers],[6]],tabela_registros[REGISTRO],DADOS!$N$6,tabela_registros[TIPO],DADOS!$AJ$5,tabela_registros[CATEGORIA],reservaoutrosconsolidadodez[[#This Row],[ATUAL]])</f>
        <v>0</v>
      </c>
      <c r="K207" s="91">
        <f>SUMIFS(tabela_registros[VALOR],tabela_registros[MÊS],$AE$1,tabela_registros[DIA],reservaoutrosconsolidadodez[[#Headers],[7]],tabela_registros[REGISTRO],DADOS!$N$6,tabela_registros[TIPO],DADOS!$AJ$5,tabela_registros[CATEGORIA],reservaoutrosconsolidadodez[[#This Row],[ATUAL]])</f>
        <v>0</v>
      </c>
      <c r="L207" s="91">
        <f>SUMIFS(tabela_registros[VALOR],tabela_registros[MÊS],$AE$1,tabela_registros[DIA],reservaoutrosconsolidadodez[[#Headers],[8]],tabela_registros[REGISTRO],DADOS!$N$6,tabela_registros[TIPO],DADOS!$AJ$5,tabela_registros[CATEGORIA],reservaoutrosconsolidadodez[[#This Row],[ATUAL]])</f>
        <v>0</v>
      </c>
      <c r="M207" s="91">
        <f>SUMIFS(tabela_registros[VALOR],tabela_registros[MÊS],$AE$1,tabela_registros[DIA],reservaoutrosconsolidadodez[[#Headers],[9]],tabela_registros[REGISTRO],DADOS!$N$6,tabela_registros[TIPO],DADOS!$AJ$5,tabela_registros[CATEGORIA],reservaoutrosconsolidadodez[[#This Row],[ATUAL]])</f>
        <v>0</v>
      </c>
      <c r="N207" s="91">
        <f>SUMIFS(tabela_registros[VALOR],tabela_registros[MÊS],$AE$1,tabela_registros[DIA],reservaoutrosconsolidadodez[[#Headers],[10]],tabela_registros[REGISTRO],DADOS!$N$6,tabela_registros[TIPO],DADOS!$AJ$5,tabela_registros[CATEGORIA],reservaoutrosconsolidadodez[[#This Row],[ATUAL]])</f>
        <v>0</v>
      </c>
      <c r="O207" s="91">
        <f>SUMIFS(tabela_registros[VALOR],tabela_registros[MÊS],$AE$1,tabela_registros[DIA],reservaoutrosconsolidadodez[[#Headers],[11]],tabela_registros[REGISTRO],DADOS!$N$6,tabela_registros[TIPO],DADOS!$AJ$5,tabela_registros[CATEGORIA],reservaoutrosconsolidadodez[[#This Row],[ATUAL]])</f>
        <v>0</v>
      </c>
      <c r="P207" s="91">
        <f>SUMIFS(tabela_registros[VALOR],tabela_registros[MÊS],$AE$1,tabela_registros[DIA],reservaoutrosconsolidadodez[[#Headers],[12]],tabela_registros[REGISTRO],DADOS!$N$6,tabela_registros[TIPO],DADOS!$AJ$5,tabela_registros[CATEGORIA],reservaoutrosconsolidadodez[[#This Row],[ATUAL]])</f>
        <v>0</v>
      </c>
      <c r="Q207" s="91">
        <f>SUMIFS(tabela_registros[VALOR],tabela_registros[MÊS],$AE$1,tabela_registros[DIA],reservaoutrosconsolidadodez[[#Headers],[13]],tabela_registros[REGISTRO],DADOS!$N$6,tabela_registros[TIPO],DADOS!$AJ$5,tabela_registros[CATEGORIA],reservaoutrosconsolidadodez[[#This Row],[ATUAL]])</f>
        <v>0</v>
      </c>
      <c r="R207" s="91">
        <f>SUMIFS(tabela_registros[VALOR],tabela_registros[MÊS],$AE$1,tabela_registros[DIA],reservaoutrosconsolidadodez[[#Headers],[14]],tabela_registros[REGISTRO],DADOS!$N$6,tabela_registros[TIPO],DADOS!$AJ$5,tabela_registros[CATEGORIA],reservaoutrosconsolidadodez[[#This Row],[ATUAL]])</f>
        <v>0</v>
      </c>
      <c r="S207" s="91">
        <f>SUMIFS(tabela_registros[VALOR],tabela_registros[MÊS],$AE$1,tabela_registros[DIA],reservaoutrosconsolidadodez[[#Headers],[15]],tabela_registros[REGISTRO],DADOS!$N$6,tabela_registros[TIPO],DADOS!$AJ$5,tabela_registros[CATEGORIA],reservaoutrosconsolidadodez[[#This Row],[ATUAL]])</f>
        <v>0</v>
      </c>
      <c r="T207" s="91">
        <f>SUMIFS(tabela_registros[VALOR],tabela_registros[MÊS],$AE$1,tabela_registros[DIA],reservaoutrosconsolidadodez[[#Headers],[16]],tabela_registros[REGISTRO],DADOS!$N$6,tabela_registros[TIPO],DADOS!$AJ$5,tabela_registros[CATEGORIA],reservaoutrosconsolidadodez[[#This Row],[ATUAL]])</f>
        <v>0</v>
      </c>
      <c r="U207" s="91">
        <f>SUMIFS(tabela_registros[VALOR],tabela_registros[MÊS],$AE$1,tabela_registros[DIA],reservaoutrosconsolidadodez[[#Headers],[17]],tabela_registros[REGISTRO],DADOS!$N$6,tabela_registros[TIPO],DADOS!$AJ$5,tabela_registros[CATEGORIA],reservaoutrosconsolidadodez[[#This Row],[ATUAL]])</f>
        <v>0</v>
      </c>
      <c r="V207" s="91">
        <f>SUMIFS(tabela_registros[VALOR],tabela_registros[MÊS],$AE$1,tabela_registros[DIA],reservaoutrosconsolidadodez[[#Headers],[18]],tabela_registros[REGISTRO],DADOS!$N$6,tabela_registros[TIPO],DADOS!$AJ$5,tabela_registros[CATEGORIA],reservaoutrosconsolidadodez[[#This Row],[ATUAL]])</f>
        <v>0</v>
      </c>
      <c r="W207" s="91">
        <f>SUMIFS(tabela_registros[VALOR],tabela_registros[MÊS],$AE$1,tabela_registros[DIA],reservaoutrosconsolidadodez[[#Headers],[19]],tabela_registros[REGISTRO],DADOS!$N$6,tabela_registros[TIPO],DADOS!$AJ$5,tabela_registros[CATEGORIA],reservaoutrosconsolidadodez[[#This Row],[ATUAL]])</f>
        <v>0</v>
      </c>
      <c r="X207" s="91">
        <f>SUMIFS(tabela_registros[VALOR],tabela_registros[MÊS],$AE$1,tabela_registros[DIA],reservaoutrosconsolidadodez[[#Headers],[20]],tabela_registros[REGISTRO],DADOS!$N$6,tabela_registros[TIPO],DADOS!$AJ$5,tabela_registros[CATEGORIA],reservaoutrosconsolidadodez[[#This Row],[ATUAL]])</f>
        <v>0</v>
      </c>
      <c r="Y207" s="91">
        <f>SUMIFS(tabela_registros[VALOR],tabela_registros[MÊS],$AE$1,tabela_registros[DIA],reservaoutrosconsolidadodez[[#Headers],[21]],tabela_registros[REGISTRO],DADOS!$N$6,tabela_registros[TIPO],DADOS!$AJ$5,tabela_registros[CATEGORIA],reservaoutrosconsolidadodez[[#This Row],[ATUAL]])</f>
        <v>0</v>
      </c>
      <c r="Z207" s="91">
        <f>SUMIFS(tabela_registros[VALOR],tabela_registros[MÊS],$AE$1,tabela_registros[DIA],reservaoutrosconsolidadodez[[#Headers],[22]],tabela_registros[REGISTRO],DADOS!$N$6,tabela_registros[TIPO],DADOS!$AJ$5,tabela_registros[CATEGORIA],reservaoutrosconsolidadodez[[#This Row],[ATUAL]])</f>
        <v>0</v>
      </c>
      <c r="AA207" s="91">
        <f>SUMIFS(tabela_registros[VALOR],tabela_registros[MÊS],$AE$1,tabela_registros[DIA],reservaoutrosconsolidadodez[[#Headers],[23]],tabela_registros[REGISTRO],DADOS!$N$6,tabela_registros[TIPO],DADOS!$AJ$5,tabela_registros[CATEGORIA],reservaoutrosconsolidadodez[[#This Row],[ATUAL]])</f>
        <v>0</v>
      </c>
      <c r="AB207" s="91">
        <f>SUMIFS(tabela_registros[VALOR],tabela_registros[MÊS],$AE$1,tabela_registros[DIA],reservaoutrosconsolidadodez[[#Headers],[24]],tabela_registros[REGISTRO],DADOS!$N$6,tabela_registros[TIPO],DADOS!$AJ$5,tabela_registros[CATEGORIA],reservaoutrosconsolidadodez[[#This Row],[ATUAL]])</f>
        <v>0</v>
      </c>
      <c r="AC207" s="91">
        <f>SUMIFS(tabela_registros[VALOR],tabela_registros[MÊS],$AE$1,tabela_registros[DIA],reservaoutrosconsolidadodez[[#Headers],[25]],tabela_registros[REGISTRO],DADOS!$N$6,tabela_registros[TIPO],DADOS!$AJ$5,tabela_registros[CATEGORIA],reservaoutrosconsolidadodez[[#This Row],[ATUAL]])</f>
        <v>0</v>
      </c>
      <c r="AD207" s="91">
        <f>SUMIFS(tabela_registros[VALOR],tabela_registros[MÊS],$AE$1,tabela_registros[DIA],reservaoutrosconsolidadodez[[#Headers],[26]],tabela_registros[REGISTRO],DADOS!$N$6,tabela_registros[TIPO],DADOS!$AJ$5,tabela_registros[CATEGORIA],reservaoutrosconsolidadodez[[#This Row],[ATUAL]])</f>
        <v>0</v>
      </c>
      <c r="AE207" s="91">
        <f>SUMIFS(tabela_registros[VALOR],tabela_registros[MÊS],$AE$1,tabela_registros[DIA],reservaoutrosconsolidadodez[[#Headers],[27]],tabela_registros[REGISTRO],DADOS!$N$6,tabela_registros[TIPO],DADOS!$AJ$5,tabela_registros[CATEGORIA],reservaoutrosconsolidadodez[[#This Row],[ATUAL]])</f>
        <v>0</v>
      </c>
      <c r="AF207" s="91">
        <f>SUMIFS(tabela_registros[VALOR],tabela_registros[MÊS],$AE$1,tabela_registros[DIA],reservaoutrosconsolidadodez[[#Headers],[28]],tabela_registros[REGISTRO],DADOS!$N$6,tabela_registros[TIPO],DADOS!$AJ$5,tabela_registros[CATEGORIA],reservaoutrosconsolidadodez[[#This Row],[ATUAL]])</f>
        <v>0</v>
      </c>
      <c r="AG207" s="91">
        <f>SUMIFS(tabela_registros[VALOR],tabela_registros[MÊS],$AE$1,tabela_registros[DIA],reservaoutrosconsolidadodez[[#Headers],[29]],tabela_registros[REGISTRO],DADOS!$N$6,tabela_registros[TIPO],DADOS!$AJ$5,tabela_registros[CATEGORIA],reservaoutrosconsolidadodez[[#This Row],[ATUAL]])</f>
        <v>0</v>
      </c>
      <c r="AH207" s="91">
        <f>SUMIFS(tabela_registros[VALOR],tabela_registros[MÊS],$AE$1,tabela_registros[DIA],reservaoutrosconsolidadodez[[#Headers],[30]],tabela_registros[REGISTRO],DADOS!$N$6,tabela_registros[TIPO],DADOS!$AJ$5,tabela_registros[CATEGORIA],reservaoutrosconsolidadodez[[#This Row],[ATUAL]])</f>
        <v>0</v>
      </c>
      <c r="AI207" s="101">
        <f>SUMIFS(tabela_registros[VALOR],tabela_registros[MÊS],$AE$1,tabela_registros[DIA],reservaoutrosconsolidadodez[[#Headers],[31]],tabela_registros[REGISTRO],DADOS!$N$6,tabela_registros[TIPO],DADOS!$AJ$5,tabela_registros[CATEGORIA],reservaoutrosconsolidadodez[[#This Row],[ATUAL]])</f>
        <v>0</v>
      </c>
      <c r="AJ207" s="97">
        <f>SUM(reservaoutrosconsolidadodez[[#This Row],[1]:[31]])</f>
        <v>0</v>
      </c>
      <c r="AK207" s="25"/>
    </row>
    <row r="208" spans="2:37" ht="19.5" customHeight="1" thickTop="1" thickBot="1" x14ac:dyDescent="0.3">
      <c r="B208" s="28"/>
      <c r="C208" s="27" t="str">
        <f>DADOS!$AP$5</f>
        <v>📝 FUNDO DE INVESTIMENTO</v>
      </c>
      <c r="D208" s="26" t="str">
        <f>IF(reservaoutrosconsolidadodez[[#This Row],[TOTAL (R$)]]=0,"",IF(OR(reservaoutrosconsolidadodez[[#This Row],[TOTAL (R$)]]=LARGE($AJ$206:$AJ$213,1),reservaoutrosconsolidadodez[[#This Row],[TOTAL (R$)]]=LARGE($AJ$206:$AJ$213,2)),DADOS!$I$11,""))</f>
        <v/>
      </c>
      <c r="E208" s="96">
        <f>SUMIFS(tabela_registros[VALOR],tabela_registros[MÊS],$AE$1,tabela_registros[DIA],reservaoutrosconsolidadodez[[#Headers],[1]],tabela_registros[REGISTRO],DADOS!$N$6,tabela_registros[TIPO],DADOS!$AJ$5,tabela_registros[CATEGORIA],reservaoutrosconsolidadodez[[#This Row],[ATUAL]])</f>
        <v>0</v>
      </c>
      <c r="F208" s="91">
        <f>SUMIFS(tabela_registros[VALOR],tabela_registros[MÊS],$AE$1,tabela_registros[DIA],reservaoutrosconsolidadodez[[#Headers],[2]],tabela_registros[REGISTRO],DADOS!$N$6,tabela_registros[TIPO],DADOS!$AJ$5,tabela_registros[CATEGORIA],reservaoutrosconsolidadodez[[#This Row],[ATUAL]])</f>
        <v>0</v>
      </c>
      <c r="G208" s="91">
        <f>SUMIFS(tabela_registros[VALOR],tabela_registros[MÊS],$AE$1,tabela_registros[DIA],reservaoutrosconsolidadodez[[#Headers],[3]],tabela_registros[REGISTRO],DADOS!$N$6,tabela_registros[TIPO],DADOS!$AJ$5,tabela_registros[CATEGORIA],reservaoutrosconsolidadodez[[#This Row],[ATUAL]])</f>
        <v>0</v>
      </c>
      <c r="H208" s="91">
        <f>SUMIFS(tabela_registros[VALOR],tabela_registros[MÊS],$AE$1,tabela_registros[DIA],reservaoutrosconsolidadodez[[#Headers],[4]],tabela_registros[REGISTRO],DADOS!$N$6,tabela_registros[TIPO],DADOS!$AJ$5,tabela_registros[CATEGORIA],reservaoutrosconsolidadodez[[#This Row],[ATUAL]])</f>
        <v>0</v>
      </c>
      <c r="I208" s="91">
        <f>SUMIFS(tabela_registros[VALOR],tabela_registros[MÊS],$AE$1,tabela_registros[DIA],reservaoutrosconsolidadodez[[#Headers],[5]],tabela_registros[REGISTRO],DADOS!$N$6,tabela_registros[TIPO],DADOS!$AJ$5,tabela_registros[CATEGORIA],reservaoutrosconsolidadodez[[#This Row],[ATUAL]])</f>
        <v>0</v>
      </c>
      <c r="J208" s="91">
        <f>SUMIFS(tabela_registros[VALOR],tabela_registros[MÊS],$AE$1,tabela_registros[DIA],reservaoutrosconsolidadodez[[#Headers],[6]],tabela_registros[REGISTRO],DADOS!$N$6,tabela_registros[TIPO],DADOS!$AJ$5,tabela_registros[CATEGORIA],reservaoutrosconsolidadodez[[#This Row],[ATUAL]])</f>
        <v>0</v>
      </c>
      <c r="K208" s="91">
        <f>SUMIFS(tabela_registros[VALOR],tabela_registros[MÊS],$AE$1,tabela_registros[DIA],reservaoutrosconsolidadodez[[#Headers],[7]],tabela_registros[REGISTRO],DADOS!$N$6,tabela_registros[TIPO],DADOS!$AJ$5,tabela_registros[CATEGORIA],reservaoutrosconsolidadodez[[#This Row],[ATUAL]])</f>
        <v>0</v>
      </c>
      <c r="L208" s="91">
        <f>SUMIFS(tabela_registros[VALOR],tabela_registros[MÊS],$AE$1,tabela_registros[DIA],reservaoutrosconsolidadodez[[#Headers],[8]],tabela_registros[REGISTRO],DADOS!$N$6,tabela_registros[TIPO],DADOS!$AJ$5,tabela_registros[CATEGORIA],reservaoutrosconsolidadodez[[#This Row],[ATUAL]])</f>
        <v>0</v>
      </c>
      <c r="M208" s="91">
        <f>SUMIFS(tabela_registros[VALOR],tabela_registros[MÊS],$AE$1,tabela_registros[DIA],reservaoutrosconsolidadodez[[#Headers],[9]],tabela_registros[REGISTRO],DADOS!$N$6,tabela_registros[TIPO],DADOS!$AJ$5,tabela_registros[CATEGORIA],reservaoutrosconsolidadodez[[#This Row],[ATUAL]])</f>
        <v>0</v>
      </c>
      <c r="N208" s="91">
        <f>SUMIFS(tabela_registros[VALOR],tabela_registros[MÊS],$AE$1,tabela_registros[DIA],reservaoutrosconsolidadodez[[#Headers],[10]],tabela_registros[REGISTRO],DADOS!$N$6,tabela_registros[TIPO],DADOS!$AJ$5,tabela_registros[CATEGORIA],reservaoutrosconsolidadodez[[#This Row],[ATUAL]])</f>
        <v>0</v>
      </c>
      <c r="O208" s="91">
        <f>SUMIFS(tabela_registros[VALOR],tabela_registros[MÊS],$AE$1,tabela_registros[DIA],reservaoutrosconsolidadodez[[#Headers],[11]],tabela_registros[REGISTRO],DADOS!$N$6,tabela_registros[TIPO],DADOS!$AJ$5,tabela_registros[CATEGORIA],reservaoutrosconsolidadodez[[#This Row],[ATUAL]])</f>
        <v>0</v>
      </c>
      <c r="P208" s="91">
        <f>SUMIFS(tabela_registros[VALOR],tabela_registros[MÊS],$AE$1,tabela_registros[DIA],reservaoutrosconsolidadodez[[#Headers],[12]],tabela_registros[REGISTRO],DADOS!$N$6,tabela_registros[TIPO],DADOS!$AJ$5,tabela_registros[CATEGORIA],reservaoutrosconsolidadodez[[#This Row],[ATUAL]])</f>
        <v>0</v>
      </c>
      <c r="Q208" s="91">
        <f>SUMIFS(tabela_registros[VALOR],tabela_registros[MÊS],$AE$1,tabela_registros[DIA],reservaoutrosconsolidadodez[[#Headers],[13]],tabela_registros[REGISTRO],DADOS!$N$6,tabela_registros[TIPO],DADOS!$AJ$5,tabela_registros[CATEGORIA],reservaoutrosconsolidadodez[[#This Row],[ATUAL]])</f>
        <v>0</v>
      </c>
      <c r="R208" s="91">
        <f>SUMIFS(tabela_registros[VALOR],tabela_registros[MÊS],$AE$1,tabela_registros[DIA],reservaoutrosconsolidadodez[[#Headers],[14]],tabela_registros[REGISTRO],DADOS!$N$6,tabela_registros[TIPO],DADOS!$AJ$5,tabela_registros[CATEGORIA],reservaoutrosconsolidadodez[[#This Row],[ATUAL]])</f>
        <v>0</v>
      </c>
      <c r="S208" s="91">
        <f>SUMIFS(tabela_registros[VALOR],tabela_registros[MÊS],$AE$1,tabela_registros[DIA],reservaoutrosconsolidadodez[[#Headers],[15]],tabela_registros[REGISTRO],DADOS!$N$6,tabela_registros[TIPO],DADOS!$AJ$5,tabela_registros[CATEGORIA],reservaoutrosconsolidadodez[[#This Row],[ATUAL]])</f>
        <v>0</v>
      </c>
      <c r="T208" s="91">
        <f>SUMIFS(tabela_registros[VALOR],tabela_registros[MÊS],$AE$1,tabela_registros[DIA],reservaoutrosconsolidadodez[[#Headers],[16]],tabela_registros[REGISTRO],DADOS!$N$6,tabela_registros[TIPO],DADOS!$AJ$5,tabela_registros[CATEGORIA],reservaoutrosconsolidadodez[[#This Row],[ATUAL]])</f>
        <v>0</v>
      </c>
      <c r="U208" s="91">
        <f>SUMIFS(tabela_registros[VALOR],tabela_registros[MÊS],$AE$1,tabela_registros[DIA],reservaoutrosconsolidadodez[[#Headers],[17]],tabela_registros[REGISTRO],DADOS!$N$6,tabela_registros[TIPO],DADOS!$AJ$5,tabela_registros[CATEGORIA],reservaoutrosconsolidadodez[[#This Row],[ATUAL]])</f>
        <v>0</v>
      </c>
      <c r="V208" s="91">
        <f>SUMIFS(tabela_registros[VALOR],tabela_registros[MÊS],$AE$1,tabela_registros[DIA],reservaoutrosconsolidadodez[[#Headers],[18]],tabela_registros[REGISTRO],DADOS!$N$6,tabela_registros[TIPO],DADOS!$AJ$5,tabela_registros[CATEGORIA],reservaoutrosconsolidadodez[[#This Row],[ATUAL]])</f>
        <v>0</v>
      </c>
      <c r="W208" s="91">
        <f>SUMIFS(tabela_registros[VALOR],tabela_registros[MÊS],$AE$1,tabela_registros[DIA],reservaoutrosconsolidadodez[[#Headers],[19]],tabela_registros[REGISTRO],DADOS!$N$6,tabela_registros[TIPO],DADOS!$AJ$5,tabela_registros[CATEGORIA],reservaoutrosconsolidadodez[[#This Row],[ATUAL]])</f>
        <v>0</v>
      </c>
      <c r="X208" s="91">
        <f>SUMIFS(tabela_registros[VALOR],tabela_registros[MÊS],$AE$1,tabela_registros[DIA],reservaoutrosconsolidadodez[[#Headers],[20]],tabela_registros[REGISTRO],DADOS!$N$6,tabela_registros[TIPO],DADOS!$AJ$5,tabela_registros[CATEGORIA],reservaoutrosconsolidadodez[[#This Row],[ATUAL]])</f>
        <v>0</v>
      </c>
      <c r="Y208" s="91">
        <f>SUMIFS(tabela_registros[VALOR],tabela_registros[MÊS],$AE$1,tabela_registros[DIA],reservaoutrosconsolidadodez[[#Headers],[21]],tabela_registros[REGISTRO],DADOS!$N$6,tabela_registros[TIPO],DADOS!$AJ$5,tabela_registros[CATEGORIA],reservaoutrosconsolidadodez[[#This Row],[ATUAL]])</f>
        <v>0</v>
      </c>
      <c r="Z208" s="91">
        <f>SUMIFS(tabela_registros[VALOR],tabela_registros[MÊS],$AE$1,tabela_registros[DIA],reservaoutrosconsolidadodez[[#Headers],[22]],tabela_registros[REGISTRO],DADOS!$N$6,tabela_registros[TIPO],DADOS!$AJ$5,tabela_registros[CATEGORIA],reservaoutrosconsolidadodez[[#This Row],[ATUAL]])</f>
        <v>0</v>
      </c>
      <c r="AA208" s="91">
        <f>SUMIFS(tabela_registros[VALOR],tabela_registros[MÊS],$AE$1,tabela_registros[DIA],reservaoutrosconsolidadodez[[#Headers],[23]],tabela_registros[REGISTRO],DADOS!$N$6,tabela_registros[TIPO],DADOS!$AJ$5,tabela_registros[CATEGORIA],reservaoutrosconsolidadodez[[#This Row],[ATUAL]])</f>
        <v>0</v>
      </c>
      <c r="AB208" s="91">
        <f>SUMIFS(tabela_registros[VALOR],tabela_registros[MÊS],$AE$1,tabela_registros[DIA],reservaoutrosconsolidadodez[[#Headers],[24]],tabela_registros[REGISTRO],DADOS!$N$6,tabela_registros[TIPO],DADOS!$AJ$5,tabela_registros[CATEGORIA],reservaoutrosconsolidadodez[[#This Row],[ATUAL]])</f>
        <v>0</v>
      </c>
      <c r="AC208" s="91">
        <f>SUMIFS(tabela_registros[VALOR],tabela_registros[MÊS],$AE$1,tabela_registros[DIA],reservaoutrosconsolidadodez[[#Headers],[25]],tabela_registros[REGISTRO],DADOS!$N$6,tabela_registros[TIPO],DADOS!$AJ$5,tabela_registros[CATEGORIA],reservaoutrosconsolidadodez[[#This Row],[ATUAL]])</f>
        <v>0</v>
      </c>
      <c r="AD208" s="91">
        <f>SUMIFS(tabela_registros[VALOR],tabela_registros[MÊS],$AE$1,tabela_registros[DIA],reservaoutrosconsolidadodez[[#Headers],[26]],tabela_registros[REGISTRO],DADOS!$N$6,tabela_registros[TIPO],DADOS!$AJ$5,tabela_registros[CATEGORIA],reservaoutrosconsolidadodez[[#This Row],[ATUAL]])</f>
        <v>0</v>
      </c>
      <c r="AE208" s="91">
        <f>SUMIFS(tabela_registros[VALOR],tabela_registros[MÊS],$AE$1,tabela_registros[DIA],reservaoutrosconsolidadodez[[#Headers],[27]],tabela_registros[REGISTRO],DADOS!$N$6,tabela_registros[TIPO],DADOS!$AJ$5,tabela_registros[CATEGORIA],reservaoutrosconsolidadodez[[#This Row],[ATUAL]])</f>
        <v>0</v>
      </c>
      <c r="AF208" s="91">
        <f>SUMIFS(tabela_registros[VALOR],tabela_registros[MÊS],$AE$1,tabela_registros[DIA],reservaoutrosconsolidadodez[[#Headers],[28]],tabela_registros[REGISTRO],DADOS!$N$6,tabela_registros[TIPO],DADOS!$AJ$5,tabela_registros[CATEGORIA],reservaoutrosconsolidadodez[[#This Row],[ATUAL]])</f>
        <v>0</v>
      </c>
      <c r="AG208" s="91">
        <f>SUMIFS(tabela_registros[VALOR],tabela_registros[MÊS],$AE$1,tabela_registros[DIA],reservaoutrosconsolidadodez[[#Headers],[29]],tabela_registros[REGISTRO],DADOS!$N$6,tabela_registros[TIPO],DADOS!$AJ$5,tabela_registros[CATEGORIA],reservaoutrosconsolidadodez[[#This Row],[ATUAL]])</f>
        <v>0</v>
      </c>
      <c r="AH208" s="91">
        <f>SUMIFS(tabela_registros[VALOR],tabela_registros[MÊS],$AE$1,tabela_registros[DIA],reservaoutrosconsolidadodez[[#Headers],[30]],tabela_registros[REGISTRO],DADOS!$N$6,tabela_registros[TIPO],DADOS!$AJ$5,tabela_registros[CATEGORIA],reservaoutrosconsolidadodez[[#This Row],[ATUAL]])</f>
        <v>0</v>
      </c>
      <c r="AI208" s="101">
        <f>SUMIFS(tabela_registros[VALOR],tabela_registros[MÊS],$AE$1,tabela_registros[DIA],reservaoutrosconsolidadodez[[#Headers],[31]],tabela_registros[REGISTRO],DADOS!$N$6,tabela_registros[TIPO],DADOS!$AJ$5,tabela_registros[CATEGORIA],reservaoutrosconsolidadodez[[#This Row],[ATUAL]])</f>
        <v>0</v>
      </c>
      <c r="AJ208" s="97">
        <f>SUM(reservaoutrosconsolidadodez[[#This Row],[1]:[31]])</f>
        <v>0</v>
      </c>
      <c r="AK208" s="25"/>
    </row>
    <row r="209" spans="2:37" ht="19.5" customHeight="1" thickTop="1" thickBot="1" x14ac:dyDescent="0.3">
      <c r="B209" s="28"/>
      <c r="C209" s="27" t="str">
        <f>DADOS!$AP$6</f>
        <v>📝 NOVA EMPRESA</v>
      </c>
      <c r="D209" s="26" t="str">
        <f>IF(reservaoutrosconsolidadodez[[#This Row],[TOTAL (R$)]]=0,"",IF(OR(reservaoutrosconsolidadodez[[#This Row],[TOTAL (R$)]]=LARGE($AJ$206:$AJ$213,1),reservaoutrosconsolidadodez[[#This Row],[TOTAL (R$)]]=LARGE($AJ$206:$AJ$213,2)),DADOS!$I$11,""))</f>
        <v/>
      </c>
      <c r="E209" s="96">
        <f>SUMIFS(tabela_registros[VALOR],tabela_registros[MÊS],$AE$1,tabela_registros[DIA],reservaoutrosconsolidadodez[[#Headers],[1]],tabela_registros[REGISTRO],DADOS!$N$6,tabela_registros[TIPO],DADOS!$AJ$5,tabela_registros[CATEGORIA],reservaoutrosconsolidadodez[[#This Row],[ATUAL]])</f>
        <v>0</v>
      </c>
      <c r="F209" s="91">
        <f>SUMIFS(tabela_registros[VALOR],tabela_registros[MÊS],$AE$1,tabela_registros[DIA],reservaoutrosconsolidadodez[[#Headers],[2]],tabela_registros[REGISTRO],DADOS!$N$6,tabela_registros[TIPO],DADOS!$AJ$5,tabela_registros[CATEGORIA],reservaoutrosconsolidadodez[[#This Row],[ATUAL]])</f>
        <v>0</v>
      </c>
      <c r="G209" s="91">
        <f>SUMIFS(tabela_registros[VALOR],tabela_registros[MÊS],$AE$1,tabela_registros[DIA],reservaoutrosconsolidadodez[[#Headers],[3]],tabela_registros[REGISTRO],DADOS!$N$6,tabela_registros[TIPO],DADOS!$AJ$5,tabela_registros[CATEGORIA],reservaoutrosconsolidadodez[[#This Row],[ATUAL]])</f>
        <v>0</v>
      </c>
      <c r="H209" s="91">
        <f>SUMIFS(tabela_registros[VALOR],tabela_registros[MÊS],$AE$1,tabela_registros[DIA],reservaoutrosconsolidadodez[[#Headers],[4]],tabela_registros[REGISTRO],DADOS!$N$6,tabela_registros[TIPO],DADOS!$AJ$5,tabela_registros[CATEGORIA],reservaoutrosconsolidadodez[[#This Row],[ATUAL]])</f>
        <v>0</v>
      </c>
      <c r="I209" s="91">
        <f>SUMIFS(tabela_registros[VALOR],tabela_registros[MÊS],$AE$1,tabela_registros[DIA],reservaoutrosconsolidadodez[[#Headers],[5]],tabela_registros[REGISTRO],DADOS!$N$6,tabela_registros[TIPO],DADOS!$AJ$5,tabela_registros[CATEGORIA],reservaoutrosconsolidadodez[[#This Row],[ATUAL]])</f>
        <v>0</v>
      </c>
      <c r="J209" s="91">
        <f>SUMIFS(tabela_registros[VALOR],tabela_registros[MÊS],$AE$1,tabela_registros[DIA],reservaoutrosconsolidadodez[[#Headers],[6]],tabela_registros[REGISTRO],DADOS!$N$6,tabela_registros[TIPO],DADOS!$AJ$5,tabela_registros[CATEGORIA],reservaoutrosconsolidadodez[[#This Row],[ATUAL]])</f>
        <v>0</v>
      </c>
      <c r="K209" s="91">
        <f>SUMIFS(tabela_registros[VALOR],tabela_registros[MÊS],$AE$1,tabela_registros[DIA],reservaoutrosconsolidadodez[[#Headers],[7]],tabela_registros[REGISTRO],DADOS!$N$6,tabela_registros[TIPO],DADOS!$AJ$5,tabela_registros[CATEGORIA],reservaoutrosconsolidadodez[[#This Row],[ATUAL]])</f>
        <v>0</v>
      </c>
      <c r="L209" s="91">
        <f>SUMIFS(tabela_registros[VALOR],tabela_registros[MÊS],$AE$1,tabela_registros[DIA],reservaoutrosconsolidadodez[[#Headers],[8]],tabela_registros[REGISTRO],DADOS!$N$6,tabela_registros[TIPO],DADOS!$AJ$5,tabela_registros[CATEGORIA],reservaoutrosconsolidadodez[[#This Row],[ATUAL]])</f>
        <v>0</v>
      </c>
      <c r="M209" s="91">
        <f>SUMIFS(tabela_registros[VALOR],tabela_registros[MÊS],$AE$1,tabela_registros[DIA],reservaoutrosconsolidadodez[[#Headers],[9]],tabela_registros[REGISTRO],DADOS!$N$6,tabela_registros[TIPO],DADOS!$AJ$5,tabela_registros[CATEGORIA],reservaoutrosconsolidadodez[[#This Row],[ATUAL]])</f>
        <v>0</v>
      </c>
      <c r="N209" s="91">
        <f>SUMIFS(tabela_registros[VALOR],tabela_registros[MÊS],$AE$1,tabela_registros[DIA],reservaoutrosconsolidadodez[[#Headers],[10]],tabela_registros[REGISTRO],DADOS!$N$6,tabela_registros[TIPO],DADOS!$AJ$5,tabela_registros[CATEGORIA],reservaoutrosconsolidadodez[[#This Row],[ATUAL]])</f>
        <v>0</v>
      </c>
      <c r="O209" s="91">
        <f>SUMIFS(tabela_registros[VALOR],tabela_registros[MÊS],$AE$1,tabela_registros[DIA],reservaoutrosconsolidadodez[[#Headers],[11]],tabela_registros[REGISTRO],DADOS!$N$6,tabela_registros[TIPO],DADOS!$AJ$5,tabela_registros[CATEGORIA],reservaoutrosconsolidadodez[[#This Row],[ATUAL]])</f>
        <v>0</v>
      </c>
      <c r="P209" s="91">
        <f>SUMIFS(tabela_registros[VALOR],tabela_registros[MÊS],$AE$1,tabela_registros[DIA],reservaoutrosconsolidadodez[[#Headers],[12]],tabela_registros[REGISTRO],DADOS!$N$6,tabela_registros[TIPO],DADOS!$AJ$5,tabela_registros[CATEGORIA],reservaoutrosconsolidadodez[[#This Row],[ATUAL]])</f>
        <v>0</v>
      </c>
      <c r="Q209" s="91">
        <f>SUMIFS(tabela_registros[VALOR],tabela_registros[MÊS],$AE$1,tabela_registros[DIA],reservaoutrosconsolidadodez[[#Headers],[13]],tabela_registros[REGISTRO],DADOS!$N$6,tabela_registros[TIPO],DADOS!$AJ$5,tabela_registros[CATEGORIA],reservaoutrosconsolidadodez[[#This Row],[ATUAL]])</f>
        <v>0</v>
      </c>
      <c r="R209" s="91">
        <f>SUMIFS(tabela_registros[VALOR],tabela_registros[MÊS],$AE$1,tabela_registros[DIA],reservaoutrosconsolidadodez[[#Headers],[14]],tabela_registros[REGISTRO],DADOS!$N$6,tabela_registros[TIPO],DADOS!$AJ$5,tabela_registros[CATEGORIA],reservaoutrosconsolidadodez[[#This Row],[ATUAL]])</f>
        <v>0</v>
      </c>
      <c r="S209" s="91">
        <f>SUMIFS(tabela_registros[VALOR],tabela_registros[MÊS],$AE$1,tabela_registros[DIA],reservaoutrosconsolidadodez[[#Headers],[15]],tabela_registros[REGISTRO],DADOS!$N$6,tabela_registros[TIPO],DADOS!$AJ$5,tabela_registros[CATEGORIA],reservaoutrosconsolidadodez[[#This Row],[ATUAL]])</f>
        <v>0</v>
      </c>
      <c r="T209" s="91">
        <f>SUMIFS(tabela_registros[VALOR],tabela_registros[MÊS],$AE$1,tabela_registros[DIA],reservaoutrosconsolidadodez[[#Headers],[16]],tabela_registros[REGISTRO],DADOS!$N$6,tabela_registros[TIPO],DADOS!$AJ$5,tabela_registros[CATEGORIA],reservaoutrosconsolidadodez[[#This Row],[ATUAL]])</f>
        <v>0</v>
      </c>
      <c r="U209" s="91">
        <f>SUMIFS(tabela_registros[VALOR],tabela_registros[MÊS],$AE$1,tabela_registros[DIA],reservaoutrosconsolidadodez[[#Headers],[17]],tabela_registros[REGISTRO],DADOS!$N$6,tabela_registros[TIPO],DADOS!$AJ$5,tabela_registros[CATEGORIA],reservaoutrosconsolidadodez[[#This Row],[ATUAL]])</f>
        <v>0</v>
      </c>
      <c r="V209" s="91">
        <f>SUMIFS(tabela_registros[VALOR],tabela_registros[MÊS],$AE$1,tabela_registros[DIA],reservaoutrosconsolidadodez[[#Headers],[18]],tabela_registros[REGISTRO],DADOS!$N$6,tabela_registros[TIPO],DADOS!$AJ$5,tabela_registros[CATEGORIA],reservaoutrosconsolidadodez[[#This Row],[ATUAL]])</f>
        <v>0</v>
      </c>
      <c r="W209" s="91">
        <f>SUMIFS(tabela_registros[VALOR],tabela_registros[MÊS],$AE$1,tabela_registros[DIA],reservaoutrosconsolidadodez[[#Headers],[19]],tabela_registros[REGISTRO],DADOS!$N$6,tabela_registros[TIPO],DADOS!$AJ$5,tabela_registros[CATEGORIA],reservaoutrosconsolidadodez[[#This Row],[ATUAL]])</f>
        <v>0</v>
      </c>
      <c r="X209" s="91">
        <f>SUMIFS(tabela_registros[VALOR],tabela_registros[MÊS],$AE$1,tabela_registros[DIA],reservaoutrosconsolidadodez[[#Headers],[20]],tabela_registros[REGISTRO],DADOS!$N$6,tabela_registros[TIPO],DADOS!$AJ$5,tabela_registros[CATEGORIA],reservaoutrosconsolidadodez[[#This Row],[ATUAL]])</f>
        <v>0</v>
      </c>
      <c r="Y209" s="91">
        <f>SUMIFS(tabela_registros[VALOR],tabela_registros[MÊS],$AE$1,tabela_registros[DIA],reservaoutrosconsolidadodez[[#Headers],[21]],tabela_registros[REGISTRO],DADOS!$N$6,tabela_registros[TIPO],DADOS!$AJ$5,tabela_registros[CATEGORIA],reservaoutrosconsolidadodez[[#This Row],[ATUAL]])</f>
        <v>0</v>
      </c>
      <c r="Z209" s="91">
        <f>SUMIFS(tabela_registros[VALOR],tabela_registros[MÊS],$AE$1,tabela_registros[DIA],reservaoutrosconsolidadodez[[#Headers],[22]],tabela_registros[REGISTRO],DADOS!$N$6,tabela_registros[TIPO],DADOS!$AJ$5,tabela_registros[CATEGORIA],reservaoutrosconsolidadodez[[#This Row],[ATUAL]])</f>
        <v>0</v>
      </c>
      <c r="AA209" s="91">
        <f>SUMIFS(tabela_registros[VALOR],tabela_registros[MÊS],$AE$1,tabela_registros[DIA],reservaoutrosconsolidadodez[[#Headers],[23]],tabela_registros[REGISTRO],DADOS!$N$6,tabela_registros[TIPO],DADOS!$AJ$5,tabela_registros[CATEGORIA],reservaoutrosconsolidadodez[[#This Row],[ATUAL]])</f>
        <v>0</v>
      </c>
      <c r="AB209" s="91">
        <f>SUMIFS(tabela_registros[VALOR],tabela_registros[MÊS],$AE$1,tabela_registros[DIA],reservaoutrosconsolidadodez[[#Headers],[24]],tabela_registros[REGISTRO],DADOS!$N$6,tabela_registros[TIPO],DADOS!$AJ$5,tabela_registros[CATEGORIA],reservaoutrosconsolidadodez[[#This Row],[ATUAL]])</f>
        <v>0</v>
      </c>
      <c r="AC209" s="91">
        <f>SUMIFS(tabela_registros[VALOR],tabela_registros[MÊS],$AE$1,tabela_registros[DIA],reservaoutrosconsolidadodez[[#Headers],[25]],tabela_registros[REGISTRO],DADOS!$N$6,tabela_registros[TIPO],DADOS!$AJ$5,tabela_registros[CATEGORIA],reservaoutrosconsolidadodez[[#This Row],[ATUAL]])</f>
        <v>0</v>
      </c>
      <c r="AD209" s="91">
        <f>SUMIFS(tabela_registros[VALOR],tabela_registros[MÊS],$AE$1,tabela_registros[DIA],reservaoutrosconsolidadodez[[#Headers],[26]],tabela_registros[REGISTRO],DADOS!$N$6,tabela_registros[TIPO],DADOS!$AJ$5,tabela_registros[CATEGORIA],reservaoutrosconsolidadodez[[#This Row],[ATUAL]])</f>
        <v>0</v>
      </c>
      <c r="AE209" s="91">
        <f>SUMIFS(tabela_registros[VALOR],tabela_registros[MÊS],$AE$1,tabela_registros[DIA],reservaoutrosconsolidadodez[[#Headers],[27]],tabela_registros[REGISTRO],DADOS!$N$6,tabela_registros[TIPO],DADOS!$AJ$5,tabela_registros[CATEGORIA],reservaoutrosconsolidadodez[[#This Row],[ATUAL]])</f>
        <v>0</v>
      </c>
      <c r="AF209" s="91">
        <f>SUMIFS(tabela_registros[VALOR],tabela_registros[MÊS],$AE$1,tabela_registros[DIA],reservaoutrosconsolidadodez[[#Headers],[28]],tabela_registros[REGISTRO],DADOS!$N$6,tabela_registros[TIPO],DADOS!$AJ$5,tabela_registros[CATEGORIA],reservaoutrosconsolidadodez[[#This Row],[ATUAL]])</f>
        <v>0</v>
      </c>
      <c r="AG209" s="91">
        <f>SUMIFS(tabela_registros[VALOR],tabela_registros[MÊS],$AE$1,tabela_registros[DIA],reservaoutrosconsolidadodez[[#Headers],[29]],tabela_registros[REGISTRO],DADOS!$N$6,tabela_registros[TIPO],DADOS!$AJ$5,tabela_registros[CATEGORIA],reservaoutrosconsolidadodez[[#This Row],[ATUAL]])</f>
        <v>0</v>
      </c>
      <c r="AH209" s="91">
        <f>SUMIFS(tabela_registros[VALOR],tabela_registros[MÊS],$AE$1,tabela_registros[DIA],reservaoutrosconsolidadodez[[#Headers],[30]],tabela_registros[REGISTRO],DADOS!$N$6,tabela_registros[TIPO],DADOS!$AJ$5,tabela_registros[CATEGORIA],reservaoutrosconsolidadodez[[#This Row],[ATUAL]])</f>
        <v>0</v>
      </c>
      <c r="AI209" s="101">
        <f>SUMIFS(tabela_registros[VALOR],tabela_registros[MÊS],$AE$1,tabela_registros[DIA],reservaoutrosconsolidadodez[[#Headers],[31]],tabela_registros[REGISTRO],DADOS!$N$6,tabela_registros[TIPO],DADOS!$AJ$5,tabela_registros[CATEGORIA],reservaoutrosconsolidadodez[[#This Row],[ATUAL]])</f>
        <v>0</v>
      </c>
      <c r="AJ209" s="97">
        <f>SUM(reservaoutrosconsolidadodez[[#This Row],[1]:[31]])</f>
        <v>0</v>
      </c>
      <c r="AK209" s="25"/>
    </row>
    <row r="210" spans="2:37" ht="19.5" customHeight="1" thickTop="1" thickBot="1" x14ac:dyDescent="0.3">
      <c r="B210" s="28"/>
      <c r="C210" s="27" t="str">
        <f>DADOS!$AP$7</f>
        <v>📝 PEER TO COMPANY</v>
      </c>
      <c r="D210" s="26" t="str">
        <f>IF(reservaoutrosconsolidadodez[[#This Row],[TOTAL (R$)]]=0,"",IF(OR(reservaoutrosconsolidadodez[[#This Row],[TOTAL (R$)]]=LARGE($AJ$206:$AJ$213,1),reservaoutrosconsolidadodez[[#This Row],[TOTAL (R$)]]=LARGE($AJ$206:$AJ$213,2)),DADOS!$I$11,""))</f>
        <v/>
      </c>
      <c r="E210" s="96">
        <f>SUMIFS(tabela_registros[VALOR],tabela_registros[MÊS],$AE$1,tabela_registros[DIA],reservaoutrosconsolidadodez[[#Headers],[1]],tabela_registros[REGISTRO],DADOS!$N$6,tabela_registros[TIPO],DADOS!$AJ$5,tabela_registros[CATEGORIA],reservaoutrosconsolidadodez[[#This Row],[ATUAL]])</f>
        <v>0</v>
      </c>
      <c r="F210" s="91">
        <f>SUMIFS(tabela_registros[VALOR],tabela_registros[MÊS],$AE$1,tabela_registros[DIA],reservaoutrosconsolidadodez[[#Headers],[2]],tabela_registros[REGISTRO],DADOS!$N$6,tabela_registros[TIPO],DADOS!$AJ$5,tabela_registros[CATEGORIA],reservaoutrosconsolidadodez[[#This Row],[ATUAL]])</f>
        <v>0</v>
      </c>
      <c r="G210" s="91">
        <f>SUMIFS(tabela_registros[VALOR],tabela_registros[MÊS],$AE$1,tabela_registros[DIA],reservaoutrosconsolidadodez[[#Headers],[3]],tabela_registros[REGISTRO],DADOS!$N$6,tabela_registros[TIPO],DADOS!$AJ$5,tabela_registros[CATEGORIA],reservaoutrosconsolidadodez[[#This Row],[ATUAL]])</f>
        <v>0</v>
      </c>
      <c r="H210" s="91">
        <f>SUMIFS(tabela_registros[VALOR],tabela_registros[MÊS],$AE$1,tabela_registros[DIA],reservaoutrosconsolidadodez[[#Headers],[4]],tabela_registros[REGISTRO],DADOS!$N$6,tabela_registros[TIPO],DADOS!$AJ$5,tabela_registros[CATEGORIA],reservaoutrosconsolidadodez[[#This Row],[ATUAL]])</f>
        <v>0</v>
      </c>
      <c r="I210" s="91">
        <f>SUMIFS(tabela_registros[VALOR],tabela_registros[MÊS],$AE$1,tabela_registros[DIA],reservaoutrosconsolidadodez[[#Headers],[5]],tabela_registros[REGISTRO],DADOS!$N$6,tabela_registros[TIPO],DADOS!$AJ$5,tabela_registros[CATEGORIA],reservaoutrosconsolidadodez[[#This Row],[ATUAL]])</f>
        <v>0</v>
      </c>
      <c r="J210" s="91">
        <f>SUMIFS(tabela_registros[VALOR],tabela_registros[MÊS],$AE$1,tabela_registros[DIA],reservaoutrosconsolidadodez[[#Headers],[6]],tabela_registros[REGISTRO],DADOS!$N$6,tabela_registros[TIPO],DADOS!$AJ$5,tabela_registros[CATEGORIA],reservaoutrosconsolidadodez[[#This Row],[ATUAL]])</f>
        <v>0</v>
      </c>
      <c r="K210" s="91">
        <f>SUMIFS(tabela_registros[VALOR],tabela_registros[MÊS],$AE$1,tabela_registros[DIA],reservaoutrosconsolidadodez[[#Headers],[7]],tabela_registros[REGISTRO],DADOS!$N$6,tabela_registros[TIPO],DADOS!$AJ$5,tabela_registros[CATEGORIA],reservaoutrosconsolidadodez[[#This Row],[ATUAL]])</f>
        <v>0</v>
      </c>
      <c r="L210" s="91">
        <f>SUMIFS(tabela_registros[VALOR],tabela_registros[MÊS],$AE$1,tabela_registros[DIA],reservaoutrosconsolidadodez[[#Headers],[8]],tabela_registros[REGISTRO],DADOS!$N$6,tabela_registros[TIPO],DADOS!$AJ$5,tabela_registros[CATEGORIA],reservaoutrosconsolidadodez[[#This Row],[ATUAL]])</f>
        <v>0</v>
      </c>
      <c r="M210" s="91">
        <f>SUMIFS(tabela_registros[VALOR],tabela_registros[MÊS],$AE$1,tabela_registros[DIA],reservaoutrosconsolidadodez[[#Headers],[9]],tabela_registros[REGISTRO],DADOS!$N$6,tabela_registros[TIPO],DADOS!$AJ$5,tabela_registros[CATEGORIA],reservaoutrosconsolidadodez[[#This Row],[ATUAL]])</f>
        <v>0</v>
      </c>
      <c r="N210" s="91">
        <f>SUMIFS(tabela_registros[VALOR],tabela_registros[MÊS],$AE$1,tabela_registros[DIA],reservaoutrosconsolidadodez[[#Headers],[10]],tabela_registros[REGISTRO],DADOS!$N$6,tabela_registros[TIPO],DADOS!$AJ$5,tabela_registros[CATEGORIA],reservaoutrosconsolidadodez[[#This Row],[ATUAL]])</f>
        <v>0</v>
      </c>
      <c r="O210" s="91">
        <f>SUMIFS(tabela_registros[VALOR],tabela_registros[MÊS],$AE$1,tabela_registros[DIA],reservaoutrosconsolidadodez[[#Headers],[11]],tabela_registros[REGISTRO],DADOS!$N$6,tabela_registros[TIPO],DADOS!$AJ$5,tabela_registros[CATEGORIA],reservaoutrosconsolidadodez[[#This Row],[ATUAL]])</f>
        <v>0</v>
      </c>
      <c r="P210" s="91">
        <f>SUMIFS(tabela_registros[VALOR],tabela_registros[MÊS],$AE$1,tabela_registros[DIA],reservaoutrosconsolidadodez[[#Headers],[12]],tabela_registros[REGISTRO],DADOS!$N$6,tabela_registros[TIPO],DADOS!$AJ$5,tabela_registros[CATEGORIA],reservaoutrosconsolidadodez[[#This Row],[ATUAL]])</f>
        <v>0</v>
      </c>
      <c r="Q210" s="91">
        <f>SUMIFS(tabela_registros[VALOR],tabela_registros[MÊS],$AE$1,tabela_registros[DIA],reservaoutrosconsolidadodez[[#Headers],[13]],tabela_registros[REGISTRO],DADOS!$N$6,tabela_registros[TIPO],DADOS!$AJ$5,tabela_registros[CATEGORIA],reservaoutrosconsolidadodez[[#This Row],[ATUAL]])</f>
        <v>0</v>
      </c>
      <c r="R210" s="91">
        <f>SUMIFS(tabela_registros[VALOR],tabela_registros[MÊS],$AE$1,tabela_registros[DIA],reservaoutrosconsolidadodez[[#Headers],[14]],tabela_registros[REGISTRO],DADOS!$N$6,tabela_registros[TIPO],DADOS!$AJ$5,tabela_registros[CATEGORIA],reservaoutrosconsolidadodez[[#This Row],[ATUAL]])</f>
        <v>0</v>
      </c>
      <c r="S210" s="91">
        <f>SUMIFS(tabela_registros[VALOR],tabela_registros[MÊS],$AE$1,tabela_registros[DIA],reservaoutrosconsolidadodez[[#Headers],[15]],tabela_registros[REGISTRO],DADOS!$N$6,tabela_registros[TIPO],DADOS!$AJ$5,tabela_registros[CATEGORIA],reservaoutrosconsolidadodez[[#This Row],[ATUAL]])</f>
        <v>0</v>
      </c>
      <c r="T210" s="91">
        <f>SUMIFS(tabela_registros[VALOR],tabela_registros[MÊS],$AE$1,tabela_registros[DIA],reservaoutrosconsolidadodez[[#Headers],[16]],tabela_registros[REGISTRO],DADOS!$N$6,tabela_registros[TIPO],DADOS!$AJ$5,tabela_registros[CATEGORIA],reservaoutrosconsolidadodez[[#This Row],[ATUAL]])</f>
        <v>0</v>
      </c>
      <c r="U210" s="91">
        <f>SUMIFS(tabela_registros[VALOR],tabela_registros[MÊS],$AE$1,tabela_registros[DIA],reservaoutrosconsolidadodez[[#Headers],[17]],tabela_registros[REGISTRO],DADOS!$N$6,tabela_registros[TIPO],DADOS!$AJ$5,tabela_registros[CATEGORIA],reservaoutrosconsolidadodez[[#This Row],[ATUAL]])</f>
        <v>0</v>
      </c>
      <c r="V210" s="91">
        <f>SUMIFS(tabela_registros[VALOR],tabela_registros[MÊS],$AE$1,tabela_registros[DIA],reservaoutrosconsolidadodez[[#Headers],[18]],tabela_registros[REGISTRO],DADOS!$N$6,tabela_registros[TIPO],DADOS!$AJ$5,tabela_registros[CATEGORIA],reservaoutrosconsolidadodez[[#This Row],[ATUAL]])</f>
        <v>0</v>
      </c>
      <c r="W210" s="91">
        <f>SUMIFS(tabela_registros[VALOR],tabela_registros[MÊS],$AE$1,tabela_registros[DIA],reservaoutrosconsolidadodez[[#Headers],[19]],tabela_registros[REGISTRO],DADOS!$N$6,tabela_registros[TIPO],DADOS!$AJ$5,tabela_registros[CATEGORIA],reservaoutrosconsolidadodez[[#This Row],[ATUAL]])</f>
        <v>0</v>
      </c>
      <c r="X210" s="91">
        <f>SUMIFS(tabela_registros[VALOR],tabela_registros[MÊS],$AE$1,tabela_registros[DIA],reservaoutrosconsolidadodez[[#Headers],[20]],tabela_registros[REGISTRO],DADOS!$N$6,tabela_registros[TIPO],DADOS!$AJ$5,tabela_registros[CATEGORIA],reservaoutrosconsolidadodez[[#This Row],[ATUAL]])</f>
        <v>0</v>
      </c>
      <c r="Y210" s="91">
        <f>SUMIFS(tabela_registros[VALOR],tabela_registros[MÊS],$AE$1,tabela_registros[DIA],reservaoutrosconsolidadodez[[#Headers],[21]],tabela_registros[REGISTRO],DADOS!$N$6,tabela_registros[TIPO],DADOS!$AJ$5,tabela_registros[CATEGORIA],reservaoutrosconsolidadodez[[#This Row],[ATUAL]])</f>
        <v>0</v>
      </c>
      <c r="Z210" s="91">
        <f>SUMIFS(tabela_registros[VALOR],tabela_registros[MÊS],$AE$1,tabela_registros[DIA],reservaoutrosconsolidadodez[[#Headers],[22]],tabela_registros[REGISTRO],DADOS!$N$6,tabela_registros[TIPO],DADOS!$AJ$5,tabela_registros[CATEGORIA],reservaoutrosconsolidadodez[[#This Row],[ATUAL]])</f>
        <v>0</v>
      </c>
      <c r="AA210" s="91">
        <f>SUMIFS(tabela_registros[VALOR],tabela_registros[MÊS],$AE$1,tabela_registros[DIA],reservaoutrosconsolidadodez[[#Headers],[23]],tabela_registros[REGISTRO],DADOS!$N$6,tabela_registros[TIPO],DADOS!$AJ$5,tabela_registros[CATEGORIA],reservaoutrosconsolidadodez[[#This Row],[ATUAL]])</f>
        <v>0</v>
      </c>
      <c r="AB210" s="91">
        <f>SUMIFS(tabela_registros[VALOR],tabela_registros[MÊS],$AE$1,tabela_registros[DIA],reservaoutrosconsolidadodez[[#Headers],[24]],tabela_registros[REGISTRO],DADOS!$N$6,tabela_registros[TIPO],DADOS!$AJ$5,tabela_registros[CATEGORIA],reservaoutrosconsolidadodez[[#This Row],[ATUAL]])</f>
        <v>0</v>
      </c>
      <c r="AC210" s="91">
        <f>SUMIFS(tabela_registros[VALOR],tabela_registros[MÊS],$AE$1,tabela_registros[DIA],reservaoutrosconsolidadodez[[#Headers],[25]],tabela_registros[REGISTRO],DADOS!$N$6,tabela_registros[TIPO],DADOS!$AJ$5,tabela_registros[CATEGORIA],reservaoutrosconsolidadodez[[#This Row],[ATUAL]])</f>
        <v>0</v>
      </c>
      <c r="AD210" s="91">
        <f>SUMIFS(tabela_registros[VALOR],tabela_registros[MÊS],$AE$1,tabela_registros[DIA],reservaoutrosconsolidadodez[[#Headers],[26]],tabela_registros[REGISTRO],DADOS!$N$6,tabela_registros[TIPO],DADOS!$AJ$5,tabela_registros[CATEGORIA],reservaoutrosconsolidadodez[[#This Row],[ATUAL]])</f>
        <v>0</v>
      </c>
      <c r="AE210" s="91">
        <f>SUMIFS(tabela_registros[VALOR],tabela_registros[MÊS],$AE$1,tabela_registros[DIA],reservaoutrosconsolidadodez[[#Headers],[27]],tabela_registros[REGISTRO],DADOS!$N$6,tabela_registros[TIPO],DADOS!$AJ$5,tabela_registros[CATEGORIA],reservaoutrosconsolidadodez[[#This Row],[ATUAL]])</f>
        <v>0</v>
      </c>
      <c r="AF210" s="91">
        <f>SUMIFS(tabela_registros[VALOR],tabela_registros[MÊS],$AE$1,tabela_registros[DIA],reservaoutrosconsolidadodez[[#Headers],[28]],tabela_registros[REGISTRO],DADOS!$N$6,tabela_registros[TIPO],DADOS!$AJ$5,tabela_registros[CATEGORIA],reservaoutrosconsolidadodez[[#This Row],[ATUAL]])</f>
        <v>0</v>
      </c>
      <c r="AG210" s="91">
        <f>SUMIFS(tabela_registros[VALOR],tabela_registros[MÊS],$AE$1,tabela_registros[DIA],reservaoutrosconsolidadodez[[#Headers],[29]],tabela_registros[REGISTRO],DADOS!$N$6,tabela_registros[TIPO],DADOS!$AJ$5,tabela_registros[CATEGORIA],reservaoutrosconsolidadodez[[#This Row],[ATUAL]])</f>
        <v>0</v>
      </c>
      <c r="AH210" s="91">
        <f>SUMIFS(tabela_registros[VALOR],tabela_registros[MÊS],$AE$1,tabela_registros[DIA],reservaoutrosconsolidadodez[[#Headers],[30]],tabela_registros[REGISTRO],DADOS!$N$6,tabela_registros[TIPO],DADOS!$AJ$5,tabela_registros[CATEGORIA],reservaoutrosconsolidadodez[[#This Row],[ATUAL]])</f>
        <v>0</v>
      </c>
      <c r="AI210" s="101">
        <f>SUMIFS(tabela_registros[VALOR],tabela_registros[MÊS],$AE$1,tabela_registros[DIA],reservaoutrosconsolidadodez[[#Headers],[31]],tabela_registros[REGISTRO],DADOS!$N$6,tabela_registros[TIPO],DADOS!$AJ$5,tabela_registros[CATEGORIA],reservaoutrosconsolidadodez[[#This Row],[ATUAL]])</f>
        <v>0</v>
      </c>
      <c r="AJ210" s="97">
        <f>SUM(reservaoutrosconsolidadodez[[#This Row],[1]:[31]])</f>
        <v>0</v>
      </c>
      <c r="AK210" s="25"/>
    </row>
    <row r="211" spans="2:37" ht="19.5" customHeight="1" thickTop="1" thickBot="1" x14ac:dyDescent="0.3">
      <c r="B211" s="28"/>
      <c r="C211" s="27" t="str">
        <f>DADOS!$AP$8</f>
        <v>📝 PEER TO PEER</v>
      </c>
      <c r="D211" s="26" t="str">
        <f>IF(reservaoutrosconsolidadodez[[#This Row],[TOTAL (R$)]]=0,"",IF(OR(reservaoutrosconsolidadodez[[#This Row],[TOTAL (R$)]]=LARGE($AJ$206:$AJ$213,1),reservaoutrosconsolidadodez[[#This Row],[TOTAL (R$)]]=LARGE($AJ$206:$AJ$213,2)),DADOS!$I$11,""))</f>
        <v/>
      </c>
      <c r="E211" s="96">
        <f>SUMIFS(tabela_registros[VALOR],tabela_registros[MÊS],$AE$1,tabela_registros[DIA],reservaoutrosconsolidadodez[[#Headers],[1]],tabela_registros[REGISTRO],DADOS!$N$6,tabela_registros[TIPO],DADOS!$AJ$5,tabela_registros[CATEGORIA],reservaoutrosconsolidadodez[[#This Row],[ATUAL]])</f>
        <v>0</v>
      </c>
      <c r="F211" s="91">
        <f>SUMIFS(tabela_registros[VALOR],tabela_registros[MÊS],$AE$1,tabela_registros[DIA],reservaoutrosconsolidadodez[[#Headers],[2]],tabela_registros[REGISTRO],DADOS!$N$6,tabela_registros[TIPO],DADOS!$AJ$5,tabela_registros[CATEGORIA],reservaoutrosconsolidadodez[[#This Row],[ATUAL]])</f>
        <v>0</v>
      </c>
      <c r="G211" s="91">
        <f>SUMIFS(tabela_registros[VALOR],tabela_registros[MÊS],$AE$1,tabela_registros[DIA],reservaoutrosconsolidadodez[[#Headers],[3]],tabela_registros[REGISTRO],DADOS!$N$6,tabela_registros[TIPO],DADOS!$AJ$5,tabela_registros[CATEGORIA],reservaoutrosconsolidadodez[[#This Row],[ATUAL]])</f>
        <v>0</v>
      </c>
      <c r="H211" s="91">
        <f>SUMIFS(tabela_registros[VALOR],tabela_registros[MÊS],$AE$1,tabela_registros[DIA],reservaoutrosconsolidadodez[[#Headers],[4]],tabela_registros[REGISTRO],DADOS!$N$6,tabela_registros[TIPO],DADOS!$AJ$5,tabela_registros[CATEGORIA],reservaoutrosconsolidadodez[[#This Row],[ATUAL]])</f>
        <v>0</v>
      </c>
      <c r="I211" s="91">
        <f>SUMIFS(tabela_registros[VALOR],tabela_registros[MÊS],$AE$1,tabela_registros[DIA],reservaoutrosconsolidadodez[[#Headers],[5]],tabela_registros[REGISTRO],DADOS!$N$6,tabela_registros[TIPO],DADOS!$AJ$5,tabela_registros[CATEGORIA],reservaoutrosconsolidadodez[[#This Row],[ATUAL]])</f>
        <v>0</v>
      </c>
      <c r="J211" s="91">
        <f>SUMIFS(tabela_registros[VALOR],tabela_registros[MÊS],$AE$1,tabela_registros[DIA],reservaoutrosconsolidadodez[[#Headers],[6]],tabela_registros[REGISTRO],DADOS!$N$6,tabela_registros[TIPO],DADOS!$AJ$5,tabela_registros[CATEGORIA],reservaoutrosconsolidadodez[[#This Row],[ATUAL]])</f>
        <v>0</v>
      </c>
      <c r="K211" s="91">
        <f>SUMIFS(tabela_registros[VALOR],tabela_registros[MÊS],$AE$1,tabela_registros[DIA],reservaoutrosconsolidadodez[[#Headers],[7]],tabela_registros[REGISTRO],DADOS!$N$6,tabela_registros[TIPO],DADOS!$AJ$5,tabela_registros[CATEGORIA],reservaoutrosconsolidadodez[[#This Row],[ATUAL]])</f>
        <v>0</v>
      </c>
      <c r="L211" s="91">
        <f>SUMIFS(tabela_registros[VALOR],tabela_registros[MÊS],$AE$1,tabela_registros[DIA],reservaoutrosconsolidadodez[[#Headers],[8]],tabela_registros[REGISTRO],DADOS!$N$6,tabela_registros[TIPO],DADOS!$AJ$5,tabela_registros[CATEGORIA],reservaoutrosconsolidadodez[[#This Row],[ATUAL]])</f>
        <v>0</v>
      </c>
      <c r="M211" s="91">
        <f>SUMIFS(tabela_registros[VALOR],tabela_registros[MÊS],$AE$1,tabela_registros[DIA],reservaoutrosconsolidadodez[[#Headers],[9]],tabela_registros[REGISTRO],DADOS!$N$6,tabela_registros[TIPO],DADOS!$AJ$5,tabela_registros[CATEGORIA],reservaoutrosconsolidadodez[[#This Row],[ATUAL]])</f>
        <v>0</v>
      </c>
      <c r="N211" s="91">
        <f>SUMIFS(tabela_registros[VALOR],tabela_registros[MÊS],$AE$1,tabela_registros[DIA],reservaoutrosconsolidadodez[[#Headers],[10]],tabela_registros[REGISTRO],DADOS!$N$6,tabela_registros[TIPO],DADOS!$AJ$5,tabela_registros[CATEGORIA],reservaoutrosconsolidadodez[[#This Row],[ATUAL]])</f>
        <v>0</v>
      </c>
      <c r="O211" s="91">
        <f>SUMIFS(tabela_registros[VALOR],tabela_registros[MÊS],$AE$1,tabela_registros[DIA],reservaoutrosconsolidadodez[[#Headers],[11]],tabela_registros[REGISTRO],DADOS!$N$6,tabela_registros[TIPO],DADOS!$AJ$5,tabela_registros[CATEGORIA],reservaoutrosconsolidadodez[[#This Row],[ATUAL]])</f>
        <v>0</v>
      </c>
      <c r="P211" s="91">
        <f>SUMIFS(tabela_registros[VALOR],tabela_registros[MÊS],$AE$1,tabela_registros[DIA],reservaoutrosconsolidadodez[[#Headers],[12]],tabela_registros[REGISTRO],DADOS!$N$6,tabela_registros[TIPO],DADOS!$AJ$5,tabela_registros[CATEGORIA],reservaoutrosconsolidadodez[[#This Row],[ATUAL]])</f>
        <v>0</v>
      </c>
      <c r="Q211" s="91">
        <f>SUMIFS(tabela_registros[VALOR],tabela_registros[MÊS],$AE$1,tabela_registros[DIA],reservaoutrosconsolidadodez[[#Headers],[13]],tabela_registros[REGISTRO],DADOS!$N$6,tabela_registros[TIPO],DADOS!$AJ$5,tabela_registros[CATEGORIA],reservaoutrosconsolidadodez[[#This Row],[ATUAL]])</f>
        <v>0</v>
      </c>
      <c r="R211" s="91">
        <f>SUMIFS(tabela_registros[VALOR],tabela_registros[MÊS],$AE$1,tabela_registros[DIA],reservaoutrosconsolidadodez[[#Headers],[14]],tabela_registros[REGISTRO],DADOS!$N$6,tabela_registros[TIPO],DADOS!$AJ$5,tabela_registros[CATEGORIA],reservaoutrosconsolidadodez[[#This Row],[ATUAL]])</f>
        <v>0</v>
      </c>
      <c r="S211" s="91">
        <f>SUMIFS(tabela_registros[VALOR],tabela_registros[MÊS],$AE$1,tabela_registros[DIA],reservaoutrosconsolidadodez[[#Headers],[15]],tabela_registros[REGISTRO],DADOS!$N$6,tabela_registros[TIPO],DADOS!$AJ$5,tabela_registros[CATEGORIA],reservaoutrosconsolidadodez[[#This Row],[ATUAL]])</f>
        <v>0</v>
      </c>
      <c r="T211" s="91">
        <f>SUMIFS(tabela_registros[VALOR],tabela_registros[MÊS],$AE$1,tabela_registros[DIA],reservaoutrosconsolidadodez[[#Headers],[16]],tabela_registros[REGISTRO],DADOS!$N$6,tabela_registros[TIPO],DADOS!$AJ$5,tabela_registros[CATEGORIA],reservaoutrosconsolidadodez[[#This Row],[ATUAL]])</f>
        <v>0</v>
      </c>
      <c r="U211" s="91">
        <f>SUMIFS(tabela_registros[VALOR],tabela_registros[MÊS],$AE$1,tabela_registros[DIA],reservaoutrosconsolidadodez[[#Headers],[17]],tabela_registros[REGISTRO],DADOS!$N$6,tabela_registros[TIPO],DADOS!$AJ$5,tabela_registros[CATEGORIA],reservaoutrosconsolidadodez[[#This Row],[ATUAL]])</f>
        <v>0</v>
      </c>
      <c r="V211" s="91">
        <f>SUMIFS(tabela_registros[VALOR],tabela_registros[MÊS],$AE$1,tabela_registros[DIA],reservaoutrosconsolidadodez[[#Headers],[18]],tabela_registros[REGISTRO],DADOS!$N$6,tabela_registros[TIPO],DADOS!$AJ$5,tabela_registros[CATEGORIA],reservaoutrosconsolidadodez[[#This Row],[ATUAL]])</f>
        <v>0</v>
      </c>
      <c r="W211" s="91">
        <f>SUMIFS(tabela_registros[VALOR],tabela_registros[MÊS],$AE$1,tabela_registros[DIA],reservaoutrosconsolidadodez[[#Headers],[19]],tabela_registros[REGISTRO],DADOS!$N$6,tabela_registros[TIPO],DADOS!$AJ$5,tabela_registros[CATEGORIA],reservaoutrosconsolidadodez[[#This Row],[ATUAL]])</f>
        <v>0</v>
      </c>
      <c r="X211" s="91">
        <f>SUMIFS(tabela_registros[VALOR],tabela_registros[MÊS],$AE$1,tabela_registros[DIA],reservaoutrosconsolidadodez[[#Headers],[20]],tabela_registros[REGISTRO],DADOS!$N$6,tabela_registros[TIPO],DADOS!$AJ$5,tabela_registros[CATEGORIA],reservaoutrosconsolidadodez[[#This Row],[ATUAL]])</f>
        <v>0</v>
      </c>
      <c r="Y211" s="91">
        <f>SUMIFS(tabela_registros[VALOR],tabela_registros[MÊS],$AE$1,tabela_registros[DIA],reservaoutrosconsolidadodez[[#Headers],[21]],tabela_registros[REGISTRO],DADOS!$N$6,tabela_registros[TIPO],DADOS!$AJ$5,tabela_registros[CATEGORIA],reservaoutrosconsolidadodez[[#This Row],[ATUAL]])</f>
        <v>0</v>
      </c>
      <c r="Z211" s="91">
        <f>SUMIFS(tabela_registros[VALOR],tabela_registros[MÊS],$AE$1,tabela_registros[DIA],reservaoutrosconsolidadodez[[#Headers],[22]],tabela_registros[REGISTRO],DADOS!$N$6,tabela_registros[TIPO],DADOS!$AJ$5,tabela_registros[CATEGORIA],reservaoutrosconsolidadodez[[#This Row],[ATUAL]])</f>
        <v>0</v>
      </c>
      <c r="AA211" s="91">
        <f>SUMIFS(tabela_registros[VALOR],tabela_registros[MÊS],$AE$1,tabela_registros[DIA],reservaoutrosconsolidadodez[[#Headers],[23]],tabela_registros[REGISTRO],DADOS!$N$6,tabela_registros[TIPO],DADOS!$AJ$5,tabela_registros[CATEGORIA],reservaoutrosconsolidadodez[[#This Row],[ATUAL]])</f>
        <v>0</v>
      </c>
      <c r="AB211" s="91">
        <f>SUMIFS(tabela_registros[VALOR],tabela_registros[MÊS],$AE$1,tabela_registros[DIA],reservaoutrosconsolidadodez[[#Headers],[24]],tabela_registros[REGISTRO],DADOS!$N$6,tabela_registros[TIPO],DADOS!$AJ$5,tabela_registros[CATEGORIA],reservaoutrosconsolidadodez[[#This Row],[ATUAL]])</f>
        <v>0</v>
      </c>
      <c r="AC211" s="91">
        <f>SUMIFS(tabela_registros[VALOR],tabela_registros[MÊS],$AE$1,tabela_registros[DIA],reservaoutrosconsolidadodez[[#Headers],[25]],tabela_registros[REGISTRO],DADOS!$N$6,tabela_registros[TIPO],DADOS!$AJ$5,tabela_registros[CATEGORIA],reservaoutrosconsolidadodez[[#This Row],[ATUAL]])</f>
        <v>0</v>
      </c>
      <c r="AD211" s="91">
        <f>SUMIFS(tabela_registros[VALOR],tabela_registros[MÊS],$AE$1,tabela_registros[DIA],reservaoutrosconsolidadodez[[#Headers],[26]],tabela_registros[REGISTRO],DADOS!$N$6,tabela_registros[TIPO],DADOS!$AJ$5,tabela_registros[CATEGORIA],reservaoutrosconsolidadodez[[#This Row],[ATUAL]])</f>
        <v>0</v>
      </c>
      <c r="AE211" s="91">
        <f>SUMIFS(tabela_registros[VALOR],tabela_registros[MÊS],$AE$1,tabela_registros[DIA],reservaoutrosconsolidadodez[[#Headers],[27]],tabela_registros[REGISTRO],DADOS!$N$6,tabela_registros[TIPO],DADOS!$AJ$5,tabela_registros[CATEGORIA],reservaoutrosconsolidadodez[[#This Row],[ATUAL]])</f>
        <v>0</v>
      </c>
      <c r="AF211" s="91">
        <f>SUMIFS(tabela_registros[VALOR],tabela_registros[MÊS],$AE$1,tabela_registros[DIA],reservaoutrosconsolidadodez[[#Headers],[28]],tabela_registros[REGISTRO],DADOS!$N$6,tabela_registros[TIPO],DADOS!$AJ$5,tabela_registros[CATEGORIA],reservaoutrosconsolidadodez[[#This Row],[ATUAL]])</f>
        <v>0</v>
      </c>
      <c r="AG211" s="91">
        <f>SUMIFS(tabela_registros[VALOR],tabela_registros[MÊS],$AE$1,tabela_registros[DIA],reservaoutrosconsolidadodez[[#Headers],[29]],tabela_registros[REGISTRO],DADOS!$N$6,tabela_registros[TIPO],DADOS!$AJ$5,tabela_registros[CATEGORIA],reservaoutrosconsolidadodez[[#This Row],[ATUAL]])</f>
        <v>0</v>
      </c>
      <c r="AH211" s="91">
        <f>SUMIFS(tabela_registros[VALOR],tabela_registros[MÊS],$AE$1,tabela_registros[DIA],reservaoutrosconsolidadodez[[#Headers],[30]],tabela_registros[REGISTRO],DADOS!$N$6,tabela_registros[TIPO],DADOS!$AJ$5,tabela_registros[CATEGORIA],reservaoutrosconsolidadodez[[#This Row],[ATUAL]])</f>
        <v>0</v>
      </c>
      <c r="AI211" s="101">
        <f>SUMIFS(tabela_registros[VALOR],tabela_registros[MÊS],$AE$1,tabela_registros[DIA],reservaoutrosconsolidadodez[[#Headers],[31]],tabela_registros[REGISTRO],DADOS!$N$6,tabela_registros[TIPO],DADOS!$AJ$5,tabela_registros[CATEGORIA],reservaoutrosconsolidadodez[[#This Row],[ATUAL]])</f>
        <v>0</v>
      </c>
      <c r="AJ211" s="97">
        <f>SUM(reservaoutrosconsolidadodez[[#This Row],[1]:[31]])</f>
        <v>0</v>
      </c>
      <c r="AK211" s="25"/>
    </row>
    <row r="212" spans="2:37" ht="19.5" customHeight="1" thickTop="1" thickBot="1" x14ac:dyDescent="0.3">
      <c r="B212" s="28"/>
      <c r="C212" s="27" t="str">
        <f>DADOS!$AP$9</f>
        <v>📝 PREVIDÊNCIA PRIVADA</v>
      </c>
      <c r="D212" s="26" t="str">
        <f>IF(reservaoutrosconsolidadodez[[#This Row],[TOTAL (R$)]]=0,"",IF(OR(reservaoutrosconsolidadodez[[#This Row],[TOTAL (R$)]]=LARGE($AJ$206:$AJ$213,1),reservaoutrosconsolidadodez[[#This Row],[TOTAL (R$)]]=LARGE($AJ$206:$AJ$213,2)),DADOS!$I$11,""))</f>
        <v/>
      </c>
      <c r="E212" s="96">
        <f>SUMIFS(tabela_registros[VALOR],tabela_registros[MÊS],$AE$1,tabela_registros[DIA],reservaoutrosconsolidadodez[[#Headers],[1]],tabela_registros[REGISTRO],DADOS!$N$6,tabela_registros[TIPO],DADOS!$AJ$5,tabela_registros[CATEGORIA],reservaoutrosconsolidadodez[[#This Row],[ATUAL]])</f>
        <v>0</v>
      </c>
      <c r="F212" s="91">
        <f>SUMIFS(tabela_registros[VALOR],tabela_registros[MÊS],$AE$1,tabela_registros[DIA],reservaoutrosconsolidadodez[[#Headers],[2]],tabela_registros[REGISTRO],DADOS!$N$6,tabela_registros[TIPO],DADOS!$AJ$5,tabela_registros[CATEGORIA],reservaoutrosconsolidadodez[[#This Row],[ATUAL]])</f>
        <v>0</v>
      </c>
      <c r="G212" s="91">
        <f>SUMIFS(tabela_registros[VALOR],tabela_registros[MÊS],$AE$1,tabela_registros[DIA],reservaoutrosconsolidadodez[[#Headers],[3]],tabela_registros[REGISTRO],DADOS!$N$6,tabela_registros[TIPO],DADOS!$AJ$5,tabela_registros[CATEGORIA],reservaoutrosconsolidadodez[[#This Row],[ATUAL]])</f>
        <v>0</v>
      </c>
      <c r="H212" s="91">
        <f>SUMIFS(tabela_registros[VALOR],tabela_registros[MÊS],$AE$1,tabela_registros[DIA],reservaoutrosconsolidadodez[[#Headers],[4]],tabela_registros[REGISTRO],DADOS!$N$6,tabela_registros[TIPO],DADOS!$AJ$5,tabela_registros[CATEGORIA],reservaoutrosconsolidadodez[[#This Row],[ATUAL]])</f>
        <v>0</v>
      </c>
      <c r="I212" s="91">
        <f>SUMIFS(tabela_registros[VALOR],tabela_registros[MÊS],$AE$1,tabela_registros[DIA],reservaoutrosconsolidadodez[[#Headers],[5]],tabela_registros[REGISTRO],DADOS!$N$6,tabela_registros[TIPO],DADOS!$AJ$5,tabela_registros[CATEGORIA],reservaoutrosconsolidadodez[[#This Row],[ATUAL]])</f>
        <v>0</v>
      </c>
      <c r="J212" s="91">
        <f>SUMIFS(tabela_registros[VALOR],tabela_registros[MÊS],$AE$1,tabela_registros[DIA],reservaoutrosconsolidadodez[[#Headers],[6]],tabela_registros[REGISTRO],DADOS!$N$6,tabela_registros[TIPO],DADOS!$AJ$5,tabela_registros[CATEGORIA],reservaoutrosconsolidadodez[[#This Row],[ATUAL]])</f>
        <v>0</v>
      </c>
      <c r="K212" s="91">
        <f>SUMIFS(tabela_registros[VALOR],tabela_registros[MÊS],$AE$1,tabela_registros[DIA],reservaoutrosconsolidadodez[[#Headers],[7]],tabela_registros[REGISTRO],DADOS!$N$6,tabela_registros[TIPO],DADOS!$AJ$5,tabela_registros[CATEGORIA],reservaoutrosconsolidadodez[[#This Row],[ATUAL]])</f>
        <v>0</v>
      </c>
      <c r="L212" s="91">
        <f>SUMIFS(tabela_registros[VALOR],tabela_registros[MÊS],$AE$1,tabela_registros[DIA],reservaoutrosconsolidadodez[[#Headers],[8]],tabela_registros[REGISTRO],DADOS!$N$6,tabela_registros[TIPO],DADOS!$AJ$5,tabela_registros[CATEGORIA],reservaoutrosconsolidadodez[[#This Row],[ATUAL]])</f>
        <v>0</v>
      </c>
      <c r="M212" s="91">
        <f>SUMIFS(tabela_registros[VALOR],tabela_registros[MÊS],$AE$1,tabela_registros[DIA],reservaoutrosconsolidadodez[[#Headers],[9]],tabela_registros[REGISTRO],DADOS!$N$6,tabela_registros[TIPO],DADOS!$AJ$5,tabela_registros[CATEGORIA],reservaoutrosconsolidadodez[[#This Row],[ATUAL]])</f>
        <v>0</v>
      </c>
      <c r="N212" s="91">
        <f>SUMIFS(tabela_registros[VALOR],tabela_registros[MÊS],$AE$1,tabela_registros[DIA],reservaoutrosconsolidadodez[[#Headers],[10]],tabela_registros[REGISTRO],DADOS!$N$6,tabela_registros[TIPO],DADOS!$AJ$5,tabela_registros[CATEGORIA],reservaoutrosconsolidadodez[[#This Row],[ATUAL]])</f>
        <v>0</v>
      </c>
      <c r="O212" s="91">
        <f>SUMIFS(tabela_registros[VALOR],tabela_registros[MÊS],$AE$1,tabela_registros[DIA],reservaoutrosconsolidadodez[[#Headers],[11]],tabela_registros[REGISTRO],DADOS!$N$6,tabela_registros[TIPO],DADOS!$AJ$5,tabela_registros[CATEGORIA],reservaoutrosconsolidadodez[[#This Row],[ATUAL]])</f>
        <v>0</v>
      </c>
      <c r="P212" s="91">
        <f>SUMIFS(tabela_registros[VALOR],tabela_registros[MÊS],$AE$1,tabela_registros[DIA],reservaoutrosconsolidadodez[[#Headers],[12]],tabela_registros[REGISTRO],DADOS!$N$6,tabela_registros[TIPO],DADOS!$AJ$5,tabela_registros[CATEGORIA],reservaoutrosconsolidadodez[[#This Row],[ATUAL]])</f>
        <v>0</v>
      </c>
      <c r="Q212" s="91">
        <f>SUMIFS(tabela_registros[VALOR],tabela_registros[MÊS],$AE$1,tabela_registros[DIA],reservaoutrosconsolidadodez[[#Headers],[13]],tabela_registros[REGISTRO],DADOS!$N$6,tabela_registros[TIPO],DADOS!$AJ$5,tabela_registros[CATEGORIA],reservaoutrosconsolidadodez[[#This Row],[ATUAL]])</f>
        <v>0</v>
      </c>
      <c r="R212" s="91">
        <f>SUMIFS(tabela_registros[VALOR],tabela_registros[MÊS],$AE$1,tabela_registros[DIA],reservaoutrosconsolidadodez[[#Headers],[14]],tabela_registros[REGISTRO],DADOS!$N$6,tabela_registros[TIPO],DADOS!$AJ$5,tabela_registros[CATEGORIA],reservaoutrosconsolidadodez[[#This Row],[ATUAL]])</f>
        <v>0</v>
      </c>
      <c r="S212" s="91">
        <f>SUMIFS(tabela_registros[VALOR],tabela_registros[MÊS],$AE$1,tabela_registros[DIA],reservaoutrosconsolidadodez[[#Headers],[15]],tabela_registros[REGISTRO],DADOS!$N$6,tabela_registros[TIPO],DADOS!$AJ$5,tabela_registros[CATEGORIA],reservaoutrosconsolidadodez[[#This Row],[ATUAL]])</f>
        <v>0</v>
      </c>
      <c r="T212" s="91">
        <f>SUMIFS(tabela_registros[VALOR],tabela_registros[MÊS],$AE$1,tabela_registros[DIA],reservaoutrosconsolidadodez[[#Headers],[16]],tabela_registros[REGISTRO],DADOS!$N$6,tabela_registros[TIPO],DADOS!$AJ$5,tabela_registros[CATEGORIA],reservaoutrosconsolidadodez[[#This Row],[ATUAL]])</f>
        <v>0</v>
      </c>
      <c r="U212" s="91">
        <f>SUMIFS(tabela_registros[VALOR],tabela_registros[MÊS],$AE$1,tabela_registros[DIA],reservaoutrosconsolidadodez[[#Headers],[17]],tabela_registros[REGISTRO],DADOS!$N$6,tabela_registros[TIPO],DADOS!$AJ$5,tabela_registros[CATEGORIA],reservaoutrosconsolidadodez[[#This Row],[ATUAL]])</f>
        <v>0</v>
      </c>
      <c r="V212" s="91">
        <f>SUMIFS(tabela_registros[VALOR],tabela_registros[MÊS],$AE$1,tabela_registros[DIA],reservaoutrosconsolidadodez[[#Headers],[18]],tabela_registros[REGISTRO],DADOS!$N$6,tabela_registros[TIPO],DADOS!$AJ$5,tabela_registros[CATEGORIA],reservaoutrosconsolidadodez[[#This Row],[ATUAL]])</f>
        <v>0</v>
      </c>
      <c r="W212" s="91">
        <f>SUMIFS(tabela_registros[VALOR],tabela_registros[MÊS],$AE$1,tabela_registros[DIA],reservaoutrosconsolidadodez[[#Headers],[19]],tabela_registros[REGISTRO],DADOS!$N$6,tabela_registros[TIPO],DADOS!$AJ$5,tabela_registros[CATEGORIA],reservaoutrosconsolidadodez[[#This Row],[ATUAL]])</f>
        <v>0</v>
      </c>
      <c r="X212" s="91">
        <f>SUMIFS(tabela_registros[VALOR],tabela_registros[MÊS],$AE$1,tabela_registros[DIA],reservaoutrosconsolidadodez[[#Headers],[20]],tabela_registros[REGISTRO],DADOS!$N$6,tabela_registros[TIPO],DADOS!$AJ$5,tabela_registros[CATEGORIA],reservaoutrosconsolidadodez[[#This Row],[ATUAL]])</f>
        <v>0</v>
      </c>
      <c r="Y212" s="91">
        <f>SUMIFS(tabela_registros[VALOR],tabela_registros[MÊS],$AE$1,tabela_registros[DIA],reservaoutrosconsolidadodez[[#Headers],[21]],tabela_registros[REGISTRO],DADOS!$N$6,tabela_registros[TIPO],DADOS!$AJ$5,tabela_registros[CATEGORIA],reservaoutrosconsolidadodez[[#This Row],[ATUAL]])</f>
        <v>0</v>
      </c>
      <c r="Z212" s="91">
        <f>SUMIFS(tabela_registros[VALOR],tabela_registros[MÊS],$AE$1,tabela_registros[DIA],reservaoutrosconsolidadodez[[#Headers],[22]],tabela_registros[REGISTRO],DADOS!$N$6,tabela_registros[TIPO],DADOS!$AJ$5,tabela_registros[CATEGORIA],reservaoutrosconsolidadodez[[#This Row],[ATUAL]])</f>
        <v>0</v>
      </c>
      <c r="AA212" s="91">
        <f>SUMIFS(tabela_registros[VALOR],tabela_registros[MÊS],$AE$1,tabela_registros[DIA],reservaoutrosconsolidadodez[[#Headers],[23]],tabela_registros[REGISTRO],DADOS!$N$6,tabela_registros[TIPO],DADOS!$AJ$5,tabela_registros[CATEGORIA],reservaoutrosconsolidadodez[[#This Row],[ATUAL]])</f>
        <v>0</v>
      </c>
      <c r="AB212" s="91">
        <f>SUMIFS(tabela_registros[VALOR],tabela_registros[MÊS],$AE$1,tabela_registros[DIA],reservaoutrosconsolidadodez[[#Headers],[24]],tabela_registros[REGISTRO],DADOS!$N$6,tabela_registros[TIPO],DADOS!$AJ$5,tabela_registros[CATEGORIA],reservaoutrosconsolidadodez[[#This Row],[ATUAL]])</f>
        <v>0</v>
      </c>
      <c r="AC212" s="91">
        <f>SUMIFS(tabela_registros[VALOR],tabela_registros[MÊS],$AE$1,tabela_registros[DIA],reservaoutrosconsolidadodez[[#Headers],[25]],tabela_registros[REGISTRO],DADOS!$N$6,tabela_registros[TIPO],DADOS!$AJ$5,tabela_registros[CATEGORIA],reservaoutrosconsolidadodez[[#This Row],[ATUAL]])</f>
        <v>0</v>
      </c>
      <c r="AD212" s="91">
        <f>SUMIFS(tabela_registros[VALOR],tabela_registros[MÊS],$AE$1,tabela_registros[DIA],reservaoutrosconsolidadodez[[#Headers],[26]],tabela_registros[REGISTRO],DADOS!$N$6,tabela_registros[TIPO],DADOS!$AJ$5,tabela_registros[CATEGORIA],reservaoutrosconsolidadodez[[#This Row],[ATUAL]])</f>
        <v>0</v>
      </c>
      <c r="AE212" s="91">
        <f>SUMIFS(tabela_registros[VALOR],tabela_registros[MÊS],$AE$1,tabela_registros[DIA],reservaoutrosconsolidadodez[[#Headers],[27]],tabela_registros[REGISTRO],DADOS!$N$6,tabela_registros[TIPO],DADOS!$AJ$5,tabela_registros[CATEGORIA],reservaoutrosconsolidadodez[[#This Row],[ATUAL]])</f>
        <v>0</v>
      </c>
      <c r="AF212" s="91">
        <f>SUMIFS(tabela_registros[VALOR],tabela_registros[MÊS],$AE$1,tabela_registros[DIA],reservaoutrosconsolidadodez[[#Headers],[28]],tabela_registros[REGISTRO],DADOS!$N$6,tabela_registros[TIPO],DADOS!$AJ$5,tabela_registros[CATEGORIA],reservaoutrosconsolidadodez[[#This Row],[ATUAL]])</f>
        <v>0</v>
      </c>
      <c r="AG212" s="91">
        <f>SUMIFS(tabela_registros[VALOR],tabela_registros[MÊS],$AE$1,tabela_registros[DIA],reservaoutrosconsolidadodez[[#Headers],[29]],tabela_registros[REGISTRO],DADOS!$N$6,tabela_registros[TIPO],DADOS!$AJ$5,tabela_registros[CATEGORIA],reservaoutrosconsolidadodez[[#This Row],[ATUAL]])</f>
        <v>0</v>
      </c>
      <c r="AH212" s="91">
        <f>SUMIFS(tabela_registros[VALOR],tabela_registros[MÊS],$AE$1,tabela_registros[DIA],reservaoutrosconsolidadodez[[#Headers],[30]],tabela_registros[REGISTRO],DADOS!$N$6,tabela_registros[TIPO],DADOS!$AJ$5,tabela_registros[CATEGORIA],reservaoutrosconsolidadodez[[#This Row],[ATUAL]])</f>
        <v>0</v>
      </c>
      <c r="AI212" s="101">
        <f>SUMIFS(tabela_registros[VALOR],tabela_registros[MÊS],$AE$1,tabela_registros[DIA],reservaoutrosconsolidadodez[[#Headers],[31]],tabela_registros[REGISTRO],DADOS!$N$6,tabela_registros[TIPO],DADOS!$AJ$5,tabela_registros[CATEGORIA],reservaoutrosconsolidadodez[[#This Row],[ATUAL]])</f>
        <v>0</v>
      </c>
      <c r="AJ212" s="97">
        <f>SUM(reservaoutrosconsolidadodez[[#This Row],[1]:[31]])</f>
        <v>0</v>
      </c>
      <c r="AK212" s="25"/>
    </row>
    <row r="213" spans="2:37" ht="19.5" customHeight="1" thickTop="1" thickBot="1" x14ac:dyDescent="0.3">
      <c r="B213" s="28"/>
      <c r="C213" s="27" t="str">
        <f>DADOS!$AP$10</f>
        <v>📎 OUTROS</v>
      </c>
      <c r="D213" s="26" t="str">
        <f>IF(reservaoutrosconsolidadodez[[#This Row],[TOTAL (R$)]]=0,"",IF(OR(reservaoutrosconsolidadodez[[#This Row],[TOTAL (R$)]]=LARGE($AJ$206:$AJ$213,1),reservaoutrosconsolidadodez[[#This Row],[TOTAL (R$)]]=LARGE($AJ$206:$AJ$213,2)),DADOS!$I$11,""))</f>
        <v/>
      </c>
      <c r="E213" s="96">
        <f>SUMIFS(tabela_registros[VALOR],tabela_registros[MÊS],$AE$1,tabela_registros[DIA],reservaoutrosconsolidadodez[[#Headers],[1]],tabela_registros[REGISTRO],DADOS!$N$6,tabela_registros[TIPO],DADOS!$AJ$5,tabela_registros[CATEGORIA],reservaoutrosconsolidadodez[[#This Row],[ATUAL]])</f>
        <v>0</v>
      </c>
      <c r="F213" s="91">
        <f>SUMIFS(tabela_registros[VALOR],tabela_registros[MÊS],$AE$1,tabela_registros[DIA],reservaoutrosconsolidadodez[[#Headers],[2]],tabela_registros[REGISTRO],DADOS!$N$6,tabela_registros[TIPO],DADOS!$AJ$5,tabela_registros[CATEGORIA],reservaoutrosconsolidadodez[[#This Row],[ATUAL]])</f>
        <v>0</v>
      </c>
      <c r="G213" s="91">
        <f>SUMIFS(tabela_registros[VALOR],tabela_registros[MÊS],$AE$1,tabela_registros[DIA],reservaoutrosconsolidadodez[[#Headers],[3]],tabela_registros[REGISTRO],DADOS!$N$6,tabela_registros[TIPO],DADOS!$AJ$5,tabela_registros[CATEGORIA],reservaoutrosconsolidadodez[[#This Row],[ATUAL]])</f>
        <v>0</v>
      </c>
      <c r="H213" s="91">
        <f>SUMIFS(tabela_registros[VALOR],tabela_registros[MÊS],$AE$1,tabela_registros[DIA],reservaoutrosconsolidadodez[[#Headers],[4]],tabela_registros[REGISTRO],DADOS!$N$6,tabela_registros[TIPO],DADOS!$AJ$5,tabela_registros[CATEGORIA],reservaoutrosconsolidadodez[[#This Row],[ATUAL]])</f>
        <v>0</v>
      </c>
      <c r="I213" s="91">
        <f>SUMIFS(tabela_registros[VALOR],tabela_registros[MÊS],$AE$1,tabela_registros[DIA],reservaoutrosconsolidadodez[[#Headers],[5]],tabela_registros[REGISTRO],DADOS!$N$6,tabela_registros[TIPO],DADOS!$AJ$5,tabela_registros[CATEGORIA],reservaoutrosconsolidadodez[[#This Row],[ATUAL]])</f>
        <v>0</v>
      </c>
      <c r="J213" s="91">
        <f>SUMIFS(tabela_registros[VALOR],tabela_registros[MÊS],$AE$1,tabela_registros[DIA],reservaoutrosconsolidadodez[[#Headers],[6]],tabela_registros[REGISTRO],DADOS!$N$6,tabela_registros[TIPO],DADOS!$AJ$5,tabela_registros[CATEGORIA],reservaoutrosconsolidadodez[[#This Row],[ATUAL]])</f>
        <v>0</v>
      </c>
      <c r="K213" s="91">
        <f>SUMIFS(tabela_registros[VALOR],tabela_registros[MÊS],$AE$1,tabela_registros[DIA],reservaoutrosconsolidadodez[[#Headers],[7]],tabela_registros[REGISTRO],DADOS!$N$6,tabela_registros[TIPO],DADOS!$AJ$5,tabela_registros[CATEGORIA],reservaoutrosconsolidadodez[[#This Row],[ATUAL]])</f>
        <v>0</v>
      </c>
      <c r="L213" s="91">
        <f>SUMIFS(tabela_registros[VALOR],tabela_registros[MÊS],$AE$1,tabela_registros[DIA],reservaoutrosconsolidadodez[[#Headers],[8]],tabela_registros[REGISTRO],DADOS!$N$6,tabela_registros[TIPO],DADOS!$AJ$5,tabela_registros[CATEGORIA],reservaoutrosconsolidadodez[[#This Row],[ATUAL]])</f>
        <v>0</v>
      </c>
      <c r="M213" s="91">
        <f>SUMIFS(tabela_registros[VALOR],tabela_registros[MÊS],$AE$1,tabela_registros[DIA],reservaoutrosconsolidadodez[[#Headers],[9]],tabela_registros[REGISTRO],DADOS!$N$6,tabela_registros[TIPO],DADOS!$AJ$5,tabela_registros[CATEGORIA],reservaoutrosconsolidadodez[[#This Row],[ATUAL]])</f>
        <v>0</v>
      </c>
      <c r="N213" s="91">
        <f>SUMIFS(tabela_registros[VALOR],tabela_registros[MÊS],$AE$1,tabela_registros[DIA],reservaoutrosconsolidadodez[[#Headers],[10]],tabela_registros[REGISTRO],DADOS!$N$6,tabela_registros[TIPO],DADOS!$AJ$5,tabela_registros[CATEGORIA],reservaoutrosconsolidadodez[[#This Row],[ATUAL]])</f>
        <v>0</v>
      </c>
      <c r="O213" s="91">
        <f>SUMIFS(tabela_registros[VALOR],tabela_registros[MÊS],$AE$1,tabela_registros[DIA],reservaoutrosconsolidadodez[[#Headers],[11]],tabela_registros[REGISTRO],DADOS!$N$6,tabela_registros[TIPO],DADOS!$AJ$5,tabela_registros[CATEGORIA],reservaoutrosconsolidadodez[[#This Row],[ATUAL]])</f>
        <v>0</v>
      </c>
      <c r="P213" s="91">
        <f>SUMIFS(tabela_registros[VALOR],tabela_registros[MÊS],$AE$1,tabela_registros[DIA],reservaoutrosconsolidadodez[[#Headers],[12]],tabela_registros[REGISTRO],DADOS!$N$6,tabela_registros[TIPO],DADOS!$AJ$5,tabela_registros[CATEGORIA],reservaoutrosconsolidadodez[[#This Row],[ATUAL]])</f>
        <v>0</v>
      </c>
      <c r="Q213" s="91">
        <f>SUMIFS(tabela_registros[VALOR],tabela_registros[MÊS],$AE$1,tabela_registros[DIA],reservaoutrosconsolidadodez[[#Headers],[13]],tabela_registros[REGISTRO],DADOS!$N$6,tabela_registros[TIPO],DADOS!$AJ$5,tabela_registros[CATEGORIA],reservaoutrosconsolidadodez[[#This Row],[ATUAL]])</f>
        <v>0</v>
      </c>
      <c r="R213" s="91">
        <f>SUMIFS(tabela_registros[VALOR],tabela_registros[MÊS],$AE$1,tabela_registros[DIA],reservaoutrosconsolidadodez[[#Headers],[14]],tabela_registros[REGISTRO],DADOS!$N$6,tabela_registros[TIPO],DADOS!$AJ$5,tabela_registros[CATEGORIA],reservaoutrosconsolidadodez[[#This Row],[ATUAL]])</f>
        <v>0</v>
      </c>
      <c r="S213" s="91">
        <f>SUMIFS(tabela_registros[VALOR],tabela_registros[MÊS],$AE$1,tabela_registros[DIA],reservaoutrosconsolidadodez[[#Headers],[15]],tabela_registros[REGISTRO],DADOS!$N$6,tabela_registros[TIPO],DADOS!$AJ$5,tabela_registros[CATEGORIA],reservaoutrosconsolidadodez[[#This Row],[ATUAL]])</f>
        <v>0</v>
      </c>
      <c r="T213" s="91">
        <f>SUMIFS(tabela_registros[VALOR],tabela_registros[MÊS],$AE$1,tabela_registros[DIA],reservaoutrosconsolidadodez[[#Headers],[16]],tabela_registros[REGISTRO],DADOS!$N$6,tabela_registros[TIPO],DADOS!$AJ$5,tabela_registros[CATEGORIA],reservaoutrosconsolidadodez[[#This Row],[ATUAL]])</f>
        <v>0</v>
      </c>
      <c r="U213" s="91">
        <f>SUMIFS(tabela_registros[VALOR],tabela_registros[MÊS],$AE$1,tabela_registros[DIA],reservaoutrosconsolidadodez[[#Headers],[17]],tabela_registros[REGISTRO],DADOS!$N$6,tabela_registros[TIPO],DADOS!$AJ$5,tabela_registros[CATEGORIA],reservaoutrosconsolidadodez[[#This Row],[ATUAL]])</f>
        <v>0</v>
      </c>
      <c r="V213" s="91">
        <f>SUMIFS(tabela_registros[VALOR],tabela_registros[MÊS],$AE$1,tabela_registros[DIA],reservaoutrosconsolidadodez[[#Headers],[18]],tabela_registros[REGISTRO],DADOS!$N$6,tabela_registros[TIPO],DADOS!$AJ$5,tabela_registros[CATEGORIA],reservaoutrosconsolidadodez[[#This Row],[ATUAL]])</f>
        <v>0</v>
      </c>
      <c r="W213" s="91">
        <f>SUMIFS(tabela_registros[VALOR],tabela_registros[MÊS],$AE$1,tabela_registros[DIA],reservaoutrosconsolidadodez[[#Headers],[19]],tabela_registros[REGISTRO],DADOS!$N$6,tabela_registros[TIPO],DADOS!$AJ$5,tabela_registros[CATEGORIA],reservaoutrosconsolidadodez[[#This Row],[ATUAL]])</f>
        <v>0</v>
      </c>
      <c r="X213" s="91">
        <f>SUMIFS(tabela_registros[VALOR],tabela_registros[MÊS],$AE$1,tabela_registros[DIA],reservaoutrosconsolidadodez[[#Headers],[20]],tabela_registros[REGISTRO],DADOS!$N$6,tabela_registros[TIPO],DADOS!$AJ$5,tabela_registros[CATEGORIA],reservaoutrosconsolidadodez[[#This Row],[ATUAL]])</f>
        <v>0</v>
      </c>
      <c r="Y213" s="91">
        <f>SUMIFS(tabela_registros[VALOR],tabela_registros[MÊS],$AE$1,tabela_registros[DIA],reservaoutrosconsolidadodez[[#Headers],[21]],tabela_registros[REGISTRO],DADOS!$N$6,tabela_registros[TIPO],DADOS!$AJ$5,tabela_registros[CATEGORIA],reservaoutrosconsolidadodez[[#This Row],[ATUAL]])</f>
        <v>0</v>
      </c>
      <c r="Z213" s="91">
        <f>SUMIFS(tabela_registros[VALOR],tabela_registros[MÊS],$AE$1,tabela_registros[DIA],reservaoutrosconsolidadodez[[#Headers],[22]],tabela_registros[REGISTRO],DADOS!$N$6,tabela_registros[TIPO],DADOS!$AJ$5,tabela_registros[CATEGORIA],reservaoutrosconsolidadodez[[#This Row],[ATUAL]])</f>
        <v>0</v>
      </c>
      <c r="AA213" s="91">
        <f>SUMIFS(tabela_registros[VALOR],tabela_registros[MÊS],$AE$1,tabela_registros[DIA],reservaoutrosconsolidadodez[[#Headers],[23]],tabela_registros[REGISTRO],DADOS!$N$6,tabela_registros[TIPO],DADOS!$AJ$5,tabela_registros[CATEGORIA],reservaoutrosconsolidadodez[[#This Row],[ATUAL]])</f>
        <v>0</v>
      </c>
      <c r="AB213" s="91">
        <f>SUMIFS(tabela_registros[VALOR],tabela_registros[MÊS],$AE$1,tabela_registros[DIA],reservaoutrosconsolidadodez[[#Headers],[24]],tabela_registros[REGISTRO],DADOS!$N$6,tabela_registros[TIPO],DADOS!$AJ$5,tabela_registros[CATEGORIA],reservaoutrosconsolidadodez[[#This Row],[ATUAL]])</f>
        <v>0</v>
      </c>
      <c r="AC213" s="91">
        <f>SUMIFS(tabela_registros[VALOR],tabela_registros[MÊS],$AE$1,tabela_registros[DIA],reservaoutrosconsolidadodez[[#Headers],[25]],tabela_registros[REGISTRO],DADOS!$N$6,tabela_registros[TIPO],DADOS!$AJ$5,tabela_registros[CATEGORIA],reservaoutrosconsolidadodez[[#This Row],[ATUAL]])</f>
        <v>0</v>
      </c>
      <c r="AD213" s="91">
        <f>SUMIFS(tabela_registros[VALOR],tabela_registros[MÊS],$AE$1,tabela_registros[DIA],reservaoutrosconsolidadodez[[#Headers],[26]],tabela_registros[REGISTRO],DADOS!$N$6,tabela_registros[TIPO],DADOS!$AJ$5,tabela_registros[CATEGORIA],reservaoutrosconsolidadodez[[#This Row],[ATUAL]])</f>
        <v>0</v>
      </c>
      <c r="AE213" s="91">
        <f>SUMIFS(tabela_registros[VALOR],tabela_registros[MÊS],$AE$1,tabela_registros[DIA],reservaoutrosconsolidadodez[[#Headers],[27]],tabela_registros[REGISTRO],DADOS!$N$6,tabela_registros[TIPO],DADOS!$AJ$5,tabela_registros[CATEGORIA],reservaoutrosconsolidadodez[[#This Row],[ATUAL]])</f>
        <v>0</v>
      </c>
      <c r="AF213" s="91">
        <f>SUMIFS(tabela_registros[VALOR],tabela_registros[MÊS],$AE$1,tabela_registros[DIA],reservaoutrosconsolidadodez[[#Headers],[28]],tabela_registros[REGISTRO],DADOS!$N$6,tabela_registros[TIPO],DADOS!$AJ$5,tabela_registros[CATEGORIA],reservaoutrosconsolidadodez[[#This Row],[ATUAL]])</f>
        <v>0</v>
      </c>
      <c r="AG213" s="91">
        <f>SUMIFS(tabela_registros[VALOR],tabela_registros[MÊS],$AE$1,tabela_registros[DIA],reservaoutrosconsolidadodez[[#Headers],[29]],tabela_registros[REGISTRO],DADOS!$N$6,tabela_registros[TIPO],DADOS!$AJ$5,tabela_registros[CATEGORIA],reservaoutrosconsolidadodez[[#This Row],[ATUAL]])</f>
        <v>0</v>
      </c>
      <c r="AH213" s="91">
        <f>SUMIFS(tabela_registros[VALOR],tabela_registros[MÊS],$AE$1,tabela_registros[DIA],reservaoutrosconsolidadodez[[#Headers],[30]],tabela_registros[REGISTRO],DADOS!$N$6,tabela_registros[TIPO],DADOS!$AJ$5,tabela_registros[CATEGORIA],reservaoutrosconsolidadodez[[#This Row],[ATUAL]])</f>
        <v>0</v>
      </c>
      <c r="AI213" s="102">
        <f>SUMIFS(tabela_registros[VALOR],tabela_registros[MÊS],$AE$1,tabela_registros[DIA],reservaoutrosconsolidadodez[[#Headers],[31]],tabela_registros[REGISTRO],DADOS!$N$6,tabela_registros[TIPO],DADOS!$AJ$5,tabela_registros[CATEGORIA],reservaoutrosconsolidadodez[[#This Row],[ATUAL]])</f>
        <v>0</v>
      </c>
      <c r="AJ213" s="97">
        <f>SUM(reservaoutrosconsolidadodez[[#This Row],[1]:[31]])</f>
        <v>0</v>
      </c>
      <c r="AK213" s="25"/>
    </row>
    <row r="214" spans="2:37" s="16" customFormat="1" ht="21" customHeight="1" thickTop="1" thickBot="1" x14ac:dyDescent="0.35">
      <c r="B214" s="24"/>
      <c r="C214" s="23" t="s">
        <v>19</v>
      </c>
      <c r="D214" s="22"/>
      <c r="E214" s="21">
        <f>SUM(E206:E213)</f>
        <v>0</v>
      </c>
      <c r="F214" s="20">
        <f>SUM(F206:F213)+reservaoutrosconsolidadodez[[#This Row],[1]]</f>
        <v>0</v>
      </c>
      <c r="G214" s="20">
        <f>SUM(G206:G213)+reservaoutrosconsolidadodez[[#This Row],[2]]</f>
        <v>0</v>
      </c>
      <c r="H214" s="20">
        <f>SUM(H206:H213)+reservaoutrosconsolidadodez[[#This Row],[3]]</f>
        <v>0</v>
      </c>
      <c r="I214" s="20">
        <f>SUM(I206:I213)+reservaoutrosconsolidadodez[[#This Row],[4]]</f>
        <v>0</v>
      </c>
      <c r="J214" s="20">
        <f>SUM(J206:J213)+reservaoutrosconsolidadodez[[#This Row],[5]]</f>
        <v>0</v>
      </c>
      <c r="K214" s="20">
        <f>SUM(K206:K213)+reservaoutrosconsolidadodez[[#This Row],[6]]</f>
        <v>0</v>
      </c>
      <c r="L214" s="20">
        <f>SUM(L206:L213)+reservaoutrosconsolidadodez[[#This Row],[7]]</f>
        <v>0</v>
      </c>
      <c r="M214" s="20">
        <f>SUM(M206:M213)+reservaoutrosconsolidadodez[[#This Row],[8]]</f>
        <v>0</v>
      </c>
      <c r="N214" s="20">
        <f>SUM(N206:N213)+reservaoutrosconsolidadodez[[#This Row],[9]]</f>
        <v>0</v>
      </c>
      <c r="O214" s="20">
        <f>SUM(O206:O213)+reservaoutrosconsolidadodez[[#This Row],[10]]</f>
        <v>0</v>
      </c>
      <c r="P214" s="20">
        <f>SUM(P206:P213)+reservaoutrosconsolidadodez[[#This Row],[11]]</f>
        <v>0</v>
      </c>
      <c r="Q214" s="20">
        <f>SUM(Q206:Q213)+reservaoutrosconsolidadodez[[#This Row],[12]]</f>
        <v>0</v>
      </c>
      <c r="R214" s="20">
        <f>SUM(R206:R213)+reservaoutrosconsolidadodez[[#This Row],[13]]</f>
        <v>0</v>
      </c>
      <c r="S214" s="20">
        <f>SUM(S206:S213)+reservaoutrosconsolidadodez[[#This Row],[14]]</f>
        <v>0</v>
      </c>
      <c r="T214" s="20">
        <f>SUM(T206:T213)+reservaoutrosconsolidadodez[[#This Row],[15]]</f>
        <v>0</v>
      </c>
      <c r="U214" s="20">
        <f>SUM(U206:U213)+reservaoutrosconsolidadodez[[#This Row],[16]]</f>
        <v>0</v>
      </c>
      <c r="V214" s="20">
        <f>SUM(V206:V213)+reservaoutrosconsolidadodez[[#This Row],[17]]</f>
        <v>0</v>
      </c>
      <c r="W214" s="20">
        <f>SUM(W206:W213)+reservaoutrosconsolidadodez[[#This Row],[18]]</f>
        <v>0</v>
      </c>
      <c r="X214" s="20">
        <f>SUM(X206:X213)+reservaoutrosconsolidadodez[[#This Row],[19]]</f>
        <v>0</v>
      </c>
      <c r="Y214" s="20">
        <f>SUM(Y206:Y213)+reservaoutrosconsolidadodez[[#This Row],[20]]</f>
        <v>0</v>
      </c>
      <c r="Z214" s="20">
        <f>SUM(Z206:Z213)+reservaoutrosconsolidadodez[[#This Row],[21]]</f>
        <v>0</v>
      </c>
      <c r="AA214" s="20">
        <f>SUM(AA206:AA213)+reservaoutrosconsolidadodez[[#This Row],[22]]</f>
        <v>0</v>
      </c>
      <c r="AB214" s="20">
        <f>SUM(AB206:AB213)+reservaoutrosconsolidadodez[[#This Row],[23]]</f>
        <v>0</v>
      </c>
      <c r="AC214" s="20">
        <f>SUM(AC206:AC213)+reservaoutrosconsolidadodez[[#This Row],[24]]</f>
        <v>0</v>
      </c>
      <c r="AD214" s="20">
        <f>SUM(AD206:AD213)+reservaoutrosconsolidadodez[[#This Row],[25]]</f>
        <v>0</v>
      </c>
      <c r="AE214" s="20">
        <f>SUM(AE206:AE213)+reservaoutrosconsolidadodez[[#This Row],[26]]</f>
        <v>0</v>
      </c>
      <c r="AF214" s="20">
        <f>SUM(AF206:AF213)+reservaoutrosconsolidadodez[[#This Row],[27]]</f>
        <v>0</v>
      </c>
      <c r="AG214" s="20">
        <f>SUM(AG206:AG213)+reservaoutrosconsolidadodez[[#This Row],[28]]</f>
        <v>0</v>
      </c>
      <c r="AH214" s="20">
        <f>SUM(AH206:AH213)+reservaoutrosconsolidadodez[[#This Row],[29]]</f>
        <v>0</v>
      </c>
      <c r="AI214" s="19">
        <f>SUM(AI206:AI213)+reservaoutrosconsolidadodez[[#This Row],[30]]</f>
        <v>0</v>
      </c>
      <c r="AJ214" s="18">
        <f>reservaoutrosconsolidadodez[[#This Row],[31]]</f>
        <v>0</v>
      </c>
      <c r="AK214" s="17"/>
    </row>
    <row r="215" spans="2:37" ht="6.75" customHeight="1" thickTop="1" thickBot="1" x14ac:dyDescent="0.3">
      <c r="B215" s="15"/>
      <c r="C215" s="14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3"/>
      <c r="AE215" s="13"/>
      <c r="AF215" s="13"/>
      <c r="AG215" s="13"/>
      <c r="AH215" s="13"/>
      <c r="AI215" s="12"/>
      <c r="AJ215" s="11"/>
      <c r="AK215" s="10"/>
    </row>
    <row r="216" spans="2:37" ht="12.6" thickTop="1" x14ac:dyDescent="0.25"/>
    <row r="217" spans="2:37" x14ac:dyDescent="0.25"/>
  </sheetData>
  <sheetProtection algorithmName="SHA-512" hashValue="IzlIcjC1EIguxSM7jsXABkh18fti3WnAI34JT+0FsWiFKSSDKo3qZH956sUX4iY6r38E+vcSgbwPS7dMNfOS8w==" saltValue="A2aEd49OWuUjmesihUsKkw==" spinCount="100000" sheet="1" objects="1" scenarios="1" selectLockedCells="1" selectUnlockedCells="1"/>
  <mergeCells count="26">
    <mergeCell ref="E164:AI164"/>
    <mergeCell ref="E183:AI183"/>
    <mergeCell ref="E202:AI202"/>
    <mergeCell ref="E10:AI10"/>
    <mergeCell ref="E21:AI21"/>
    <mergeCell ref="E33:AI33"/>
    <mergeCell ref="E56:AI56"/>
    <mergeCell ref="E78:AI78"/>
    <mergeCell ref="E92:AI92"/>
    <mergeCell ref="E109:AI109"/>
    <mergeCell ref="E128:AI128"/>
    <mergeCell ref="E147:AI147"/>
    <mergeCell ref="AC3:AD4"/>
    <mergeCell ref="AF3:AG4"/>
    <mergeCell ref="E4:G4"/>
    <mergeCell ref="I4:K4"/>
    <mergeCell ref="M4:O4"/>
    <mergeCell ref="Q4:S4"/>
    <mergeCell ref="U4:W4"/>
    <mergeCell ref="U3:W3"/>
    <mergeCell ref="Z3:AA4"/>
    <mergeCell ref="C2:C6"/>
    <mergeCell ref="E3:G3"/>
    <mergeCell ref="I3:K3"/>
    <mergeCell ref="M3:O3"/>
    <mergeCell ref="Q3:S3"/>
  </mergeCells>
  <hyperlinks>
    <hyperlink ref="Z3:AA4" location="'🔒'!A1" display="REGISTROS" xr:uid="{9B9EFA3F-4021-423E-8A5E-3F19CB2E70EB}"/>
    <hyperlink ref="AF3:AG4" location="ANUAL!A1" display="ANUAL" xr:uid="{C24C8C6E-9F6B-41C9-9541-19236FD2DAFA}"/>
    <hyperlink ref="AC3:AD4" location="'📈'!A1" display="RADAR" xr:uid="{DAF3337C-426B-4FAA-B462-A61C011F6DBB}"/>
  </hyperlinks>
  <pageMargins left="0.511811024" right="0.511811024" top="0.78740157499999996" bottom="0.78740157499999996" header="0.31496062000000002" footer="0.31496062000000002"/>
  <ignoredErrors>
    <ignoredError sqref="E6:AI6" numberStoredAsText="1"/>
    <ignoredError sqref="D37:AJ214 AJ16:AJ27" calculatedColumn="1"/>
  </ignoredErrors>
  <drawing r:id="rId1"/>
  <tableParts count="12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</tableParts>
  <extLst>
    <ext xmlns:x14="http://schemas.microsoft.com/office/spreadsheetml/2009/9/main" uri="{05C60535-1F16-4fd2-B633-F4F36F0B64E0}">
      <x14:sparklineGroups xmlns:xm="http://schemas.microsoft.com/office/excel/2006/main">
        <x14:sparklineGroup manualMax="0" type="column" displayEmptyCellsAs="gap" high="1" negative="1" maxAxisType="group" xr2:uid="{0F4B5EA7-7BC5-4F25-9CA4-DA53A4E5D57E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'12'!E16:AI16</xm:f>
              <xm:sqref>E10</xm:sqref>
            </x14:sparkline>
          </x14:sparklines>
        </x14:sparklineGroup>
        <x14:sparklineGroup manualMax="0" manualMin="0" type="column" displayEmptyCellsAs="gap" high="1" low="1" negative="1" minAxisType="custom" maxAxisType="group" xr2:uid="{32C96591-465F-470C-A996-8EA266C57134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'12'!E214:AI214</xm:f>
              <xm:sqref>E202</xm:sqref>
            </x14:sparkline>
          </x14:sparklines>
        </x14:sparklineGroup>
        <x14:sparklineGroup manualMax="0" manualMin="0" type="column" displayEmptyCellsAs="gap" high="1" low="1" negative="1" minAxisType="custom" maxAxisType="group" xr2:uid="{E623E1DF-1F80-4411-B6EB-A17C9FBB6032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'12'!E197:AI197</xm:f>
              <xm:sqref>E183</xm:sqref>
            </x14:sparkline>
          </x14:sparklines>
        </x14:sparklineGroup>
        <x14:sparklineGroup manualMax="0" manualMin="0" type="column" displayEmptyCellsAs="gap" high="1" low="1" negative="1" minAxisType="custom" maxAxisType="group" xr2:uid="{634EE248-2FBE-4F98-B2E1-07CABB38FB57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'12'!E178:AI178</xm:f>
              <xm:sqref>E164</xm:sqref>
            </x14:sparkline>
          </x14:sparklines>
        </x14:sparklineGroup>
        <x14:sparklineGroup manualMax="0" manualMin="0" type="column" displayEmptyCellsAs="gap" high="1" low="1" negative="1" minAxisType="custom" maxAxisType="group" xr2:uid="{FC29F582-48C8-455E-B321-42539D441C67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'12'!E159:AI159</xm:f>
              <xm:sqref>E147</xm:sqref>
            </x14:sparkline>
          </x14:sparklines>
        </x14:sparklineGroup>
        <x14:sparklineGroup manualMax="0" manualMin="0" type="column" displayEmptyCellsAs="gap" high="1" low="1" negative="1" minAxisType="custom" maxAxisType="group" xr2:uid="{7B15D167-2F80-49C0-B26F-38D334AB01C4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'12'!E142:AI142</xm:f>
              <xm:sqref>E128</xm:sqref>
            </x14:sparkline>
          </x14:sparklines>
        </x14:sparklineGroup>
        <x14:sparklineGroup manualMax="0" manualMin="0" type="column" displayEmptyCellsAs="gap" high="1" low="1" negative="1" minAxisType="custom" maxAxisType="group" xr2:uid="{42CD3726-7078-4283-895C-C998CCAFF010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'12'!E123:AI123</xm:f>
              <xm:sqref>E109</xm:sqref>
            </x14:sparkline>
          </x14:sparklines>
        </x14:sparklineGroup>
        <x14:sparklineGroup manualMax="0" manualMin="0" type="column" displayEmptyCellsAs="gap" high="1" low="1" negative="1" minAxisType="custom" maxAxisType="group" xr2:uid="{01CE171A-7A4A-410C-9A3B-73561E4EF753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'12'!E104:AI104</xm:f>
              <xm:sqref>E92</xm:sqref>
            </x14:sparkline>
          </x14:sparklines>
        </x14:sparklineGroup>
        <x14:sparklineGroup manualMax="0" manualMin="0" type="column" displayEmptyCellsAs="gap" high="1" low="1" negative="1" minAxisType="custom" maxAxisType="group" xr2:uid="{9300D3D0-12E1-4553-BA14-8424FE7BB6C4}">
          <x14:colorSeries rgb="FFC00000"/>
          <x14:colorNegative rgb="FFC00000"/>
          <x14:colorAxis rgb="FF000000"/>
          <x14:colorMarkers rgb="FF0070C0"/>
          <x14:colorFirst rgb="FFFFC000"/>
          <x14:colorLast rgb="FFFFC000"/>
          <x14:colorHigh rgb="FFFF0000"/>
          <x14:colorLow rgb="FFFFC000"/>
          <x14:sparklines>
            <x14:sparkline>
              <xm:f>'12'!E51:AI51</xm:f>
              <xm:sqref>E33</xm:sqref>
            </x14:sparkline>
          </x14:sparklines>
        </x14:sparklineGroup>
        <x14:sparklineGroup manualMax="0" manualMin="0" type="column" displayEmptyCellsAs="gap" high="1" low="1" negative="1" minAxisType="custom" maxAxisType="group" xr2:uid="{4B260D58-CFEF-40AF-A3E2-3498CA1B7FC3}">
          <x14:colorSeries rgb="FFC00000"/>
          <x14:colorNegative rgb="FFC00000"/>
          <x14:colorAxis rgb="FF000000"/>
          <x14:colorMarkers rgb="FF0070C0"/>
          <x14:colorFirst rgb="FFFFC000"/>
          <x14:colorLast rgb="FFFFC000"/>
          <x14:colorHigh rgb="FFFF0000"/>
          <x14:colorLow rgb="FFFFC000"/>
          <x14:sparklines>
            <x14:sparkline>
              <xm:f>'12'!E73:AI73</xm:f>
              <xm:sqref>E56</xm:sqref>
            </x14:sparkline>
          </x14:sparklines>
        </x14:sparklineGroup>
        <x14:sparklineGroup manualMax="0" manualMin="0" type="column" displayEmptyCellsAs="gap" high="1" low="1" negative="1" minAxisType="custom" maxAxisType="group" xr2:uid="{5D815B59-35DD-4568-B54B-8367FAB1B2F5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'12'!E87:AI87</xm:f>
              <xm:sqref>E78</xm:sqref>
            </x14:sparkline>
          </x14:sparklines>
        </x14:sparklineGroup>
        <x14:sparklineGroup manualMax="0" manualMin="0" type="column" displayEmptyCellsAs="gap" high="1" low="1" negative="1" minAxisType="custom" maxAxisType="group" xr2:uid="{1AF867BE-505F-4FB9-9901-9C985A02B6B1}">
          <x14:colorSeries rgb="FF92D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C000"/>
          <x14:sparklines>
            <x14:sparkline>
              <xm:f>'12'!E27:AI27</xm:f>
              <xm:sqref>E21</xm:sqref>
            </x14:sparkline>
          </x14:sparklines>
        </x14:sparklineGroup>
      </x14:sparklineGroups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5F987C-661A-4AD9-8D0F-C57830109884}">
  <sheetPr codeName="Planilha17">
    <tabColor rgb="FF005F8A"/>
  </sheetPr>
  <dimension ref="A1:BJ183"/>
  <sheetViews>
    <sheetView showGridLines="0" showRowColHeaders="0" zoomScale="85" zoomScaleNormal="85" workbookViewId="0">
      <selection activeCell="D24" sqref="D24"/>
    </sheetView>
  </sheetViews>
  <sheetFormatPr defaultColWidth="9.109375" defaultRowHeight="14.4" zeroHeight="1" x14ac:dyDescent="0.3"/>
  <cols>
    <col min="1" max="1" width="5.44140625" style="2" customWidth="1"/>
    <col min="2" max="19" width="9.109375" style="2" customWidth="1"/>
    <col min="20" max="24" width="9.109375" style="1" customWidth="1"/>
    <col min="25" max="25" width="36.109375" style="2" bestFit="1" customWidth="1"/>
    <col min="26" max="29" width="9.109375" style="111" customWidth="1"/>
    <col min="30" max="30" width="36.109375" style="111" customWidth="1"/>
    <col min="31" max="45" width="9.109375" style="111" customWidth="1"/>
    <col min="46" max="46" width="31.44140625" style="111" customWidth="1"/>
    <col min="47" max="50" width="9.109375" style="111" customWidth="1"/>
    <col min="51" max="51" width="31.44140625" style="111" customWidth="1"/>
    <col min="52" max="59" width="9.109375" style="111" customWidth="1"/>
    <col min="60" max="16384" width="9.109375" style="111"/>
  </cols>
  <sheetData>
    <row r="1" spans="12:56" x14ac:dyDescent="0.3">
      <c r="T1" s="2"/>
      <c r="U1" s="2"/>
      <c r="V1" s="2"/>
      <c r="W1" s="2"/>
      <c r="X1" s="2"/>
    </row>
    <row r="2" spans="12:56" ht="18.75" customHeight="1" thickBot="1" x14ac:dyDescent="0.35">
      <c r="T2" s="2"/>
      <c r="U2" s="2"/>
      <c r="V2" s="2"/>
      <c r="W2" s="2"/>
      <c r="X2" s="2"/>
    </row>
    <row r="3" spans="12:56" ht="31.8" thickTop="1" x14ac:dyDescent="0.6">
      <c r="L3" s="8" t="s">
        <v>24</v>
      </c>
      <c r="R3" s="252" t="s">
        <v>23</v>
      </c>
      <c r="S3" s="253"/>
      <c r="T3" s="252" t="s">
        <v>22</v>
      </c>
      <c r="U3" s="253"/>
      <c r="V3" s="256"/>
      <c r="W3" s="257"/>
      <c r="X3" s="2"/>
    </row>
    <row r="4" spans="12:56" ht="22.5" customHeight="1" thickBot="1" x14ac:dyDescent="0.35">
      <c r="L4" s="7" t="s">
        <v>22</v>
      </c>
      <c r="R4" s="254"/>
      <c r="S4" s="255"/>
      <c r="T4" s="254"/>
      <c r="U4" s="255"/>
      <c r="V4" s="256"/>
      <c r="W4" s="257"/>
      <c r="X4" s="2"/>
      <c r="AU4" s="112" t="s">
        <v>21</v>
      </c>
      <c r="AV4" s="112" t="s">
        <v>20</v>
      </c>
      <c r="AW4" s="111" t="s">
        <v>19</v>
      </c>
      <c r="AZ4" s="111" t="s">
        <v>19</v>
      </c>
    </row>
    <row r="5" spans="12:56" ht="21.9" customHeight="1" thickTop="1" x14ac:dyDescent="0.3">
      <c r="T5" s="2"/>
      <c r="U5" s="2"/>
      <c r="V5" s="2"/>
      <c r="W5" s="2"/>
      <c r="X5" s="2"/>
      <c r="AU5" s="112"/>
      <c r="AV5" s="112"/>
      <c r="BB5" s="113"/>
    </row>
    <row r="6" spans="12:56" x14ac:dyDescent="0.3">
      <c r="T6" s="2"/>
      <c r="U6" s="2"/>
      <c r="V6" s="2"/>
      <c r="W6" s="2"/>
      <c r="X6" s="2"/>
      <c r="AU6" s="112"/>
      <c r="AV6" s="112"/>
    </row>
    <row r="7" spans="12:56" x14ac:dyDescent="0.3">
      <c r="T7" s="2"/>
      <c r="U7" s="2"/>
      <c r="V7" s="2"/>
      <c r="W7" s="2"/>
      <c r="X7" s="2"/>
      <c r="AT7" s="111" t="s">
        <v>12</v>
      </c>
      <c r="AU7" s="114">
        <f>ANUAL!$Q$51</f>
        <v>1099.2571428571418</v>
      </c>
      <c r="AV7" s="115">
        <f>($AU$7*$AV$13)/$AU$13</f>
        <v>14.916652612275191</v>
      </c>
      <c r="AW7" s="115">
        <f>$AV$7</f>
        <v>14.916652612275191</v>
      </c>
      <c r="AX7" s="116">
        <f t="shared" ref="AX7:AX13" si="0">AW7/100</f>
        <v>0.14916652612275191</v>
      </c>
      <c r="BC7" s="115"/>
      <c r="BD7" s="116"/>
    </row>
    <row r="8" spans="12:56" x14ac:dyDescent="0.3">
      <c r="T8" s="2"/>
      <c r="U8" s="2"/>
      <c r="V8" s="2"/>
      <c r="W8" s="2"/>
      <c r="X8" s="2"/>
      <c r="AT8" s="111" t="s">
        <v>18</v>
      </c>
      <c r="AU8" s="114">
        <f>SUM(ANUAL!$Q$64,ANUAL!$Q$68)</f>
        <v>491.57142857142861</v>
      </c>
      <c r="AV8" s="115">
        <f>($AU$8*$AV$13)/$AU$13</f>
        <v>6.6705049694389702</v>
      </c>
      <c r="AW8" s="115">
        <f>$AV$8</f>
        <v>6.6705049694389702</v>
      </c>
      <c r="AX8" s="116">
        <f t="shared" si="0"/>
        <v>6.6705049694389701E-2</v>
      </c>
      <c r="BC8" s="115"/>
      <c r="BD8" s="116"/>
    </row>
    <row r="9" spans="12:56" x14ac:dyDescent="0.3">
      <c r="T9" s="2"/>
      <c r="U9" s="2"/>
      <c r="V9" s="2"/>
      <c r="W9" s="2"/>
      <c r="X9" s="2"/>
      <c r="AT9" s="111" t="s">
        <v>17</v>
      </c>
      <c r="AU9" s="114">
        <f>ANUAL!$Q$66</f>
        <v>283.6428571428566</v>
      </c>
      <c r="AV9" s="115">
        <f>($AU$9*$AV$13)/$AU$13</f>
        <v>3.8489647244466862</v>
      </c>
      <c r="AW9" s="115">
        <f>$AV$9</f>
        <v>3.8489647244466862</v>
      </c>
      <c r="AX9" s="116">
        <f t="shared" si="0"/>
        <v>3.8489647244466865E-2</v>
      </c>
      <c r="BC9" s="115"/>
      <c r="BD9" s="116"/>
    </row>
    <row r="10" spans="12:56" x14ac:dyDescent="0.3">
      <c r="T10" s="2"/>
      <c r="U10" s="2"/>
      <c r="V10" s="2"/>
      <c r="W10" s="2"/>
      <c r="X10" s="2"/>
      <c r="AT10" s="111" t="s">
        <v>16</v>
      </c>
      <c r="AU10" s="114">
        <f>ANUAL!$Q$65</f>
        <v>137.21428571428601</v>
      </c>
      <c r="AV10" s="115">
        <f>($AU$10*$AV$13)/$AU$13</f>
        <v>1.8619645519169266</v>
      </c>
      <c r="AW10" s="115">
        <f>$AV$10</f>
        <v>1.8619645519169266</v>
      </c>
      <c r="AX10" s="116">
        <f t="shared" si="0"/>
        <v>1.8619645519169267E-2</v>
      </c>
      <c r="BC10" s="115"/>
      <c r="BD10" s="116"/>
    </row>
    <row r="11" spans="12:56" x14ac:dyDescent="0.3">
      <c r="T11" s="2"/>
      <c r="U11" s="2"/>
      <c r="V11" s="2"/>
      <c r="W11" s="2"/>
      <c r="X11" s="2"/>
      <c r="AT11" s="111" t="s">
        <v>8</v>
      </c>
      <c r="AU11" s="114">
        <f>ANUAL!$Q$26</f>
        <v>2588</v>
      </c>
      <c r="AV11" s="115">
        <f>($AU$11*$AV$13)/$AU$13</f>
        <v>35.118531829804233</v>
      </c>
      <c r="AW11" s="115">
        <f>$AV$11</f>
        <v>35.118531829804233</v>
      </c>
      <c r="AX11" s="116">
        <f t="shared" si="0"/>
        <v>0.35118531829804234</v>
      </c>
      <c r="BC11" s="115"/>
      <c r="BD11" s="116"/>
    </row>
    <row r="12" spans="12:56" x14ac:dyDescent="0.3">
      <c r="T12" s="2"/>
      <c r="U12" s="2"/>
      <c r="V12" s="2"/>
      <c r="W12" s="2"/>
      <c r="X12" s="2"/>
      <c r="AT12" s="111" t="s">
        <v>7</v>
      </c>
      <c r="AU12" s="114">
        <f>ANUAL!$Q$25</f>
        <v>2769.6428571428564</v>
      </c>
      <c r="AV12" s="115">
        <f>($AU$12*$AV$13)/$AU$13</f>
        <v>37.583381312117979</v>
      </c>
      <c r="AW12" s="115">
        <f>$AV$12</f>
        <v>37.583381312117979</v>
      </c>
      <c r="AX12" s="116">
        <f t="shared" si="0"/>
        <v>0.3758338131211798</v>
      </c>
      <c r="BC12" s="115"/>
      <c r="BD12" s="116"/>
    </row>
    <row r="13" spans="12:56" x14ac:dyDescent="0.3">
      <c r="T13" s="2"/>
      <c r="U13" s="2"/>
      <c r="V13" s="2"/>
      <c r="W13" s="2"/>
      <c r="X13" s="2"/>
      <c r="AU13" s="114">
        <f>SUM($AU$7:$AU$12)</f>
        <v>7369.3285714285703</v>
      </c>
      <c r="AV13" s="115">
        <v>100</v>
      </c>
      <c r="AW13" s="115">
        <v>120</v>
      </c>
      <c r="AX13" s="116">
        <f t="shared" si="0"/>
        <v>1.2</v>
      </c>
      <c r="BC13" s="117"/>
      <c r="BD13" s="116"/>
    </row>
    <row r="14" spans="12:56" x14ac:dyDescent="0.3">
      <c r="T14" s="2"/>
      <c r="U14" s="2"/>
      <c r="V14" s="2"/>
      <c r="W14" s="2"/>
      <c r="X14" s="2"/>
    </row>
    <row r="15" spans="12:56" x14ac:dyDescent="0.3">
      <c r="T15" s="2"/>
      <c r="U15" s="2"/>
      <c r="V15" s="2"/>
      <c r="W15" s="2"/>
      <c r="X15" s="2"/>
      <c r="AK15" s="118"/>
      <c r="AL15" s="119"/>
      <c r="AM15" s="120"/>
      <c r="AN15" s="121"/>
      <c r="AO15" s="121"/>
      <c r="AP15" s="121"/>
    </row>
    <row r="16" spans="12:56" x14ac:dyDescent="0.3">
      <c r="T16" s="2"/>
      <c r="U16" s="2"/>
      <c r="V16" s="2"/>
      <c r="W16" s="2"/>
      <c r="X16" s="2"/>
      <c r="AK16" s="121"/>
      <c r="AL16" s="119"/>
      <c r="AM16" s="120"/>
      <c r="AN16" s="121"/>
      <c r="AO16" s="121"/>
      <c r="AP16" s="121"/>
    </row>
    <row r="17" spans="20:62" x14ac:dyDescent="0.3">
      <c r="T17" s="2"/>
      <c r="U17" s="2"/>
      <c r="V17" s="2"/>
      <c r="W17" s="2"/>
      <c r="X17" s="2"/>
      <c r="AK17" s="121"/>
      <c r="AL17" s="119"/>
      <c r="AM17" s="120"/>
      <c r="AN17" s="121"/>
      <c r="AO17" s="121"/>
      <c r="AP17" s="121"/>
    </row>
    <row r="18" spans="20:62" x14ac:dyDescent="0.3">
      <c r="T18" s="2"/>
      <c r="U18" s="2"/>
      <c r="V18" s="2"/>
      <c r="W18" s="2"/>
      <c r="X18" s="2"/>
      <c r="AK18" s="121"/>
      <c r="AL18" s="122"/>
      <c r="AM18" s="121"/>
      <c r="AN18" s="121"/>
      <c r="AO18" s="121"/>
      <c r="AP18" s="121"/>
    </row>
    <row r="19" spans="20:62" x14ac:dyDescent="0.3">
      <c r="T19" s="2"/>
      <c r="U19" s="2"/>
      <c r="V19" s="2"/>
      <c r="W19" s="2"/>
      <c r="X19" s="2"/>
      <c r="AK19" s="121"/>
      <c r="AL19" s="122"/>
      <c r="AM19" s="121"/>
      <c r="AN19" s="121"/>
      <c r="AO19" s="121"/>
      <c r="AP19" s="121"/>
    </row>
    <row r="20" spans="20:62" x14ac:dyDescent="0.3">
      <c r="T20" s="2"/>
      <c r="U20" s="2"/>
      <c r="V20" s="2"/>
      <c r="W20" s="2"/>
      <c r="X20" s="2"/>
    </row>
    <row r="21" spans="20:62" x14ac:dyDescent="0.3">
      <c r="T21" s="2"/>
      <c r="U21" s="2"/>
      <c r="V21" s="2"/>
      <c r="W21" s="2"/>
      <c r="X21" s="2"/>
      <c r="AE21" s="166"/>
      <c r="AF21" s="166"/>
      <c r="AG21" s="166"/>
      <c r="AH21" s="166"/>
      <c r="AI21" s="166"/>
      <c r="AJ21" s="166"/>
      <c r="AK21" s="166"/>
      <c r="AL21" s="166"/>
      <c r="AM21" s="166"/>
      <c r="AN21" s="166"/>
      <c r="AO21" s="166"/>
      <c r="AP21" s="166"/>
      <c r="AQ21" s="166"/>
      <c r="AR21" s="166"/>
      <c r="AS21" s="166"/>
      <c r="AT21" s="166"/>
      <c r="AU21" s="166"/>
      <c r="AV21" s="166"/>
      <c r="AW21" s="166"/>
      <c r="AX21" s="166"/>
      <c r="AY21" s="166"/>
    </row>
    <row r="22" spans="20:62" x14ac:dyDescent="0.3">
      <c r="T22" s="2"/>
      <c r="U22" s="2"/>
      <c r="V22" s="2"/>
      <c r="W22" s="2"/>
      <c r="X22" s="2"/>
      <c r="AE22" s="166"/>
      <c r="AF22" s="166"/>
      <c r="AG22" s="166"/>
      <c r="AH22" s="166"/>
      <c r="AI22" s="166"/>
      <c r="AJ22" s="166"/>
      <c r="AK22" s="166"/>
      <c r="AL22" s="166"/>
      <c r="AM22" s="166"/>
      <c r="AN22" s="166"/>
      <c r="AO22" s="166"/>
      <c r="AP22" s="166"/>
      <c r="AQ22" s="166"/>
      <c r="AR22" s="166"/>
      <c r="AS22" s="166"/>
      <c r="AT22" s="166"/>
      <c r="AU22" s="166"/>
      <c r="AV22" s="166"/>
      <c r="AW22" s="166"/>
      <c r="AX22" s="166"/>
      <c r="AY22" s="166"/>
    </row>
    <row r="23" spans="20:62" x14ac:dyDescent="0.3">
      <c r="T23" s="2"/>
      <c r="U23" s="2"/>
      <c r="V23" s="2"/>
      <c r="W23" s="2"/>
      <c r="X23" s="2"/>
      <c r="AE23" s="166"/>
      <c r="AF23" s="166"/>
      <c r="AG23" s="166"/>
      <c r="AH23" s="166"/>
      <c r="AI23" s="166"/>
      <c r="AJ23" s="166"/>
      <c r="AK23" s="166"/>
      <c r="AL23" s="166"/>
      <c r="AM23" s="166"/>
      <c r="AN23" s="166"/>
      <c r="AO23" s="166"/>
      <c r="AP23" s="166"/>
      <c r="AQ23" s="166"/>
      <c r="AR23" s="166"/>
      <c r="AS23" s="166"/>
      <c r="AT23" s="166"/>
      <c r="AU23" s="166"/>
      <c r="AV23" s="166"/>
      <c r="AW23" s="166"/>
      <c r="AX23" s="166"/>
      <c r="AY23" s="166"/>
      <c r="AZ23" s="166"/>
      <c r="BA23" s="166"/>
      <c r="BB23" s="166"/>
      <c r="BC23" s="166"/>
      <c r="BD23" s="166"/>
      <c r="BE23" s="166"/>
      <c r="BF23" s="166"/>
      <c r="BG23" s="166"/>
      <c r="BH23" s="166"/>
      <c r="BI23" s="166"/>
      <c r="BJ23" s="166"/>
    </row>
    <row r="24" spans="20:62" x14ac:dyDescent="0.3">
      <c r="T24" s="2"/>
      <c r="U24" s="2"/>
      <c r="V24" s="2"/>
      <c r="W24" s="2"/>
      <c r="X24" s="2"/>
      <c r="AE24" s="166"/>
      <c r="AF24" s="166"/>
      <c r="AG24" s="166"/>
      <c r="AH24" s="166"/>
      <c r="AI24" s="166"/>
      <c r="AJ24" s="166"/>
      <c r="AK24" s="166"/>
      <c r="AL24" s="166"/>
      <c r="AM24" s="166"/>
      <c r="AN24" s="166"/>
      <c r="AO24" s="166"/>
      <c r="AP24" s="166"/>
      <c r="AQ24" s="166"/>
      <c r="AR24" s="166"/>
      <c r="AS24" s="166"/>
      <c r="AT24" s="166"/>
      <c r="AU24" s="166"/>
      <c r="AV24" s="166"/>
      <c r="AW24" s="166"/>
      <c r="AX24" s="166"/>
      <c r="AY24" s="166"/>
      <c r="AZ24" s="166"/>
      <c r="BA24" s="166"/>
      <c r="BB24" s="166"/>
      <c r="BC24" s="166"/>
      <c r="BD24" s="166"/>
      <c r="BE24" s="166"/>
      <c r="BF24" s="166"/>
      <c r="BG24" s="166"/>
      <c r="BH24" s="166"/>
      <c r="BI24" s="166"/>
      <c r="BJ24" s="166"/>
    </row>
    <row r="25" spans="20:62" x14ac:dyDescent="0.3">
      <c r="T25" s="2"/>
      <c r="U25" s="2"/>
      <c r="V25" s="2"/>
      <c r="W25" s="2"/>
      <c r="X25" s="2"/>
      <c r="AE25" s="166"/>
      <c r="AF25" s="166"/>
      <c r="AG25" s="166"/>
      <c r="AH25" s="166"/>
      <c r="AI25" s="166"/>
      <c r="BJ25" s="166"/>
    </row>
    <row r="26" spans="20:62" x14ac:dyDescent="0.3">
      <c r="T26" s="2"/>
      <c r="U26" s="2"/>
      <c r="V26" s="2"/>
      <c r="W26" s="2"/>
      <c r="X26" s="2"/>
      <c r="AE26" s="166"/>
      <c r="AF26" s="166"/>
      <c r="AG26" s="166"/>
      <c r="AH26" s="166"/>
      <c r="AI26" s="166"/>
      <c r="BJ26" s="166"/>
    </row>
    <row r="27" spans="20:62" x14ac:dyDescent="0.3">
      <c r="T27" s="2"/>
      <c r="U27" s="2"/>
      <c r="V27" s="2"/>
      <c r="W27" s="2"/>
      <c r="X27" s="2"/>
      <c r="AE27" s="166"/>
      <c r="AF27" s="166"/>
      <c r="AG27" s="166"/>
      <c r="AH27" s="166"/>
      <c r="AI27" s="166"/>
      <c r="AK27" s="123" t="s">
        <v>14</v>
      </c>
      <c r="AL27" s="123" t="s">
        <v>4</v>
      </c>
      <c r="AO27" s="123" t="s">
        <v>14</v>
      </c>
      <c r="AP27" s="123" t="s">
        <v>4</v>
      </c>
      <c r="AS27" s="123" t="s">
        <v>14</v>
      </c>
      <c r="AT27" s="123" t="s">
        <v>4</v>
      </c>
      <c r="AW27" s="123" t="s">
        <v>14</v>
      </c>
      <c r="AX27" s="123" t="s">
        <v>4</v>
      </c>
      <c r="BA27" s="123" t="s">
        <v>14</v>
      </c>
      <c r="BB27" s="123" t="s">
        <v>4</v>
      </c>
      <c r="BE27" s="123" t="s">
        <v>14</v>
      </c>
      <c r="BF27" s="123" t="s">
        <v>4</v>
      </c>
      <c r="BJ27" s="166"/>
    </row>
    <row r="28" spans="20:62" x14ac:dyDescent="0.3">
      <c r="T28" s="2"/>
      <c r="U28" s="2"/>
      <c r="V28" s="2"/>
      <c r="W28" s="2"/>
      <c r="X28" s="2"/>
      <c r="AE28" s="166"/>
      <c r="AF28" s="166"/>
      <c r="AG28" s="166"/>
      <c r="AH28" s="166"/>
      <c r="AI28" s="166"/>
      <c r="AK28" s="124" t="s">
        <v>15</v>
      </c>
      <c r="AL28" s="125">
        <f>$AL$34-($AL$29/2)</f>
        <v>13.416652612275191</v>
      </c>
      <c r="AO28" s="124" t="s">
        <v>15</v>
      </c>
      <c r="AP28" s="125">
        <f>$AP$34-($AP$29/2)</f>
        <v>5.1705049694389702</v>
      </c>
      <c r="AS28" s="124" t="s">
        <v>15</v>
      </c>
      <c r="AT28" s="125">
        <f>$AT$34-($AT$29/2)</f>
        <v>2.3489647244466862</v>
      </c>
      <c r="AW28" s="124" t="s">
        <v>15</v>
      </c>
      <c r="AX28" s="125">
        <f>$AX$34-($AX$29/2)</f>
        <v>0.36196455191692656</v>
      </c>
      <c r="BA28" s="124" t="s">
        <v>15</v>
      </c>
      <c r="BB28" s="125">
        <f>$BB$34-($BB$29/2)</f>
        <v>33.618531829804233</v>
      </c>
      <c r="BE28" s="124" t="s">
        <v>15</v>
      </c>
      <c r="BF28" s="125">
        <f>$BF$34-($BF$29/2)</f>
        <v>36.083381312117979</v>
      </c>
      <c r="BJ28" s="166"/>
    </row>
    <row r="29" spans="20:62" x14ac:dyDescent="0.3">
      <c r="T29" s="2"/>
      <c r="U29" s="2"/>
      <c r="V29" s="2"/>
      <c r="W29" s="2"/>
      <c r="X29" s="2"/>
      <c r="AE29" s="166"/>
      <c r="AF29" s="166"/>
      <c r="AG29" s="166"/>
      <c r="AH29" s="166"/>
      <c r="AI29" s="166"/>
      <c r="AK29" s="124" t="s">
        <v>14</v>
      </c>
      <c r="AL29" s="126">
        <v>3</v>
      </c>
      <c r="AO29" s="124" t="s">
        <v>14</v>
      </c>
      <c r="AP29" s="126">
        <v>3</v>
      </c>
      <c r="AS29" s="124" t="s">
        <v>14</v>
      </c>
      <c r="AT29" s="126">
        <v>3</v>
      </c>
      <c r="AW29" s="124" t="s">
        <v>14</v>
      </c>
      <c r="AX29" s="126">
        <v>3</v>
      </c>
      <c r="BA29" s="124" t="s">
        <v>14</v>
      </c>
      <c r="BB29" s="126">
        <v>3</v>
      </c>
      <c r="BE29" s="124" t="s">
        <v>14</v>
      </c>
      <c r="BF29" s="126">
        <v>3</v>
      </c>
      <c r="BJ29" s="166"/>
    </row>
    <row r="30" spans="20:62" x14ac:dyDescent="0.3">
      <c r="T30" s="2"/>
      <c r="U30" s="2"/>
      <c r="V30" s="2"/>
      <c r="W30" s="2"/>
      <c r="X30" s="2"/>
      <c r="AE30" s="166"/>
      <c r="AF30" s="166"/>
      <c r="AG30" s="166"/>
      <c r="AH30" s="166"/>
      <c r="AI30" s="166"/>
      <c r="AK30" s="124" t="s">
        <v>13</v>
      </c>
      <c r="AL30" s="126">
        <f>SUM($AL$37:$AL$40)-$AL$28-$AL$29</f>
        <v>183.58334738772481</v>
      </c>
      <c r="AO30" s="124" t="s">
        <v>13</v>
      </c>
      <c r="AP30" s="126">
        <f>SUM($AP$37:$AP$41)-$AP$28-$AP$29</f>
        <v>191.82949503056102</v>
      </c>
      <c r="AS30" s="124" t="s">
        <v>13</v>
      </c>
      <c r="AT30" s="126">
        <f>SUM($AT$37:$AT$41)-$AT$28-$AT$29</f>
        <v>194.65103527555331</v>
      </c>
      <c r="AW30" s="124" t="s">
        <v>13</v>
      </c>
      <c r="AX30" s="126">
        <f>SUM($AX$37:$AX$41)-$AX$28-$AX$29</f>
        <v>196.63803544808309</v>
      </c>
      <c r="BA30" s="124" t="s">
        <v>13</v>
      </c>
      <c r="BB30" s="126">
        <f>SUM($BB$37:$BB$41)-$BB$28-$BB$29</f>
        <v>163.38146817019577</v>
      </c>
      <c r="BE30" s="124" t="s">
        <v>13</v>
      </c>
      <c r="BF30" s="126">
        <f>SUM($BF$37:$BF$41)-$BF$28-$BF$29</f>
        <v>160.91661868788202</v>
      </c>
      <c r="BJ30" s="166"/>
    </row>
    <row r="31" spans="20:62" x14ac:dyDescent="0.3">
      <c r="T31" s="2"/>
      <c r="U31" s="2"/>
      <c r="V31" s="2"/>
      <c r="W31" s="2"/>
      <c r="X31" s="2"/>
      <c r="AE31" s="166"/>
      <c r="AF31" s="166"/>
      <c r="AG31" s="166"/>
      <c r="AH31" s="166"/>
      <c r="AI31" s="166"/>
      <c r="BJ31" s="166"/>
    </row>
    <row r="32" spans="20:62" x14ac:dyDescent="0.3">
      <c r="T32" s="2"/>
      <c r="U32" s="2"/>
      <c r="V32" s="2"/>
      <c r="W32" s="2"/>
      <c r="X32" s="2"/>
      <c r="AE32" s="166"/>
      <c r="AF32" s="166"/>
      <c r="AG32" s="166"/>
      <c r="AH32" s="166"/>
      <c r="AI32" s="166"/>
      <c r="BJ32" s="166"/>
    </row>
    <row r="33" spans="6:62" x14ac:dyDescent="0.3">
      <c r="T33" s="2"/>
      <c r="U33" s="2"/>
      <c r="V33" s="2"/>
      <c r="W33" s="2"/>
      <c r="X33" s="2"/>
      <c r="AE33" s="166"/>
      <c r="AF33" s="166"/>
      <c r="AG33" s="166"/>
      <c r="AH33" s="166"/>
      <c r="AI33" s="166"/>
      <c r="AK33" s="111" t="s">
        <v>12</v>
      </c>
      <c r="AO33" s="111" t="s">
        <v>11</v>
      </c>
      <c r="AS33" s="111" t="s">
        <v>10</v>
      </c>
      <c r="AW33" s="111" t="s">
        <v>9</v>
      </c>
      <c r="BA33" s="111" t="s">
        <v>8</v>
      </c>
      <c r="BE33" s="111" t="s">
        <v>7</v>
      </c>
      <c r="BJ33" s="166"/>
    </row>
    <row r="34" spans="6:62" x14ac:dyDescent="0.3">
      <c r="T34" s="2"/>
      <c r="U34" s="2"/>
      <c r="V34" s="2"/>
      <c r="W34" s="2"/>
      <c r="X34" s="2"/>
      <c r="AE34" s="166"/>
      <c r="AF34" s="166"/>
      <c r="AG34" s="166"/>
      <c r="AH34" s="166"/>
      <c r="AI34" s="166"/>
      <c r="AK34" s="127" t="s">
        <v>6</v>
      </c>
      <c r="AL34" s="128">
        <f>$AV$7</f>
        <v>14.916652612275191</v>
      </c>
      <c r="AM34" s="111" t="str">
        <f>IF(AL34&lt;=AL37,AK37,IF(AND(AL34&gt;AL37,AL34&lt;=(AL38+AL37)),AK38,IF(AND(AL34&gt;(AL38+AL37),AL34&lt;AL40),AK39,"erro")))</f>
        <v>RISCO BAIXO</v>
      </c>
      <c r="AN34" s="127"/>
      <c r="AO34" s="127" t="s">
        <v>6</v>
      </c>
      <c r="AP34" s="128">
        <f>$AV$8</f>
        <v>6.6705049694389702</v>
      </c>
      <c r="AQ34" s="111" t="str">
        <f>IF(AP34&lt;=AP37,AO37,IF(AND(AP34&gt;AP37,AP34&lt;=(AP38+AP37)),AO38,IF(AND(AP34&gt;(AP38+AP37),AP34&lt;AP40),AO39,"erro")))</f>
        <v>RISCO MÉDIO</v>
      </c>
      <c r="AS34" s="127" t="s">
        <v>6</v>
      </c>
      <c r="AT34" s="128">
        <f>$AV$9</f>
        <v>3.8489647244466862</v>
      </c>
      <c r="AU34" s="111" t="str">
        <f>IF(AT34&lt;=AT37,AS37,IF(AND(AT34&gt;AT37,AT34&lt;=(AT38+AT37)),AS38,IF(AND(AT34&gt;(AT38+AT37),AT34&lt;AT40),AS39,"erro")))</f>
        <v>RISCO BAIXO</v>
      </c>
      <c r="AW34" s="127" t="s">
        <v>6</v>
      </c>
      <c r="AX34" s="128">
        <f>$AV$10</f>
        <v>1.8619645519169266</v>
      </c>
      <c r="AY34" s="111" t="str">
        <f>IF(AX34&lt;=AX37,AW37,IF(AND(AX34&gt;AX37,AX34&lt;=(AX38+AX37)),AW38,IF(AND(AX34&gt;(AX38+AX37),AX34&lt;AX40),AW39,"erro")))</f>
        <v>RISCO BAIXO</v>
      </c>
      <c r="BA34" s="127" t="s">
        <v>6</v>
      </c>
      <c r="BB34" s="128">
        <f>$AV$11</f>
        <v>35.118531829804233</v>
      </c>
      <c r="BC34" s="111" t="str">
        <f>IF(BB34&lt;=BB37,BA37,IF(AND(BB34&gt;BB37,BB34&lt;=(BB38+BB37)),BA38,IF(AND(BB34&gt;(BB38+BB37),BB34&lt;BB40),BA39,"erro")))</f>
        <v>RISCO MÉDIO</v>
      </c>
      <c r="BE34" s="127" t="s">
        <v>6</v>
      </c>
      <c r="BF34" s="128">
        <f>$AV$12</f>
        <v>37.583381312117979</v>
      </c>
      <c r="BG34" s="111" t="str">
        <f>IF(BF34&lt;=BF37,BE37,IF(AND(BF34&gt;BF37,BF34&lt;=(BF38+BF37)),BE38,IF(AND(BF34&gt;(BF38+BF37),BF34&lt;BF40),BE39,"erro")))</f>
        <v>RISCO MÉDIO</v>
      </c>
      <c r="BJ34" s="166"/>
    </row>
    <row r="35" spans="6:62" x14ac:dyDescent="0.3">
      <c r="T35" s="2"/>
      <c r="U35" s="2"/>
      <c r="V35" s="2"/>
      <c r="W35" s="2"/>
      <c r="X35" s="2"/>
      <c r="AE35" s="166"/>
      <c r="AF35" s="166"/>
      <c r="AG35" s="166"/>
      <c r="AH35" s="166"/>
      <c r="AI35" s="166"/>
      <c r="BJ35" s="166"/>
    </row>
    <row r="36" spans="6:62" x14ac:dyDescent="0.3">
      <c r="T36" s="2"/>
      <c r="U36" s="2"/>
      <c r="V36" s="2"/>
      <c r="W36" s="2"/>
      <c r="X36" s="2"/>
      <c r="AE36" s="166"/>
      <c r="AF36" s="166"/>
      <c r="AG36" s="166"/>
      <c r="AH36" s="166"/>
      <c r="AI36" s="166"/>
      <c r="AK36" s="123" t="s">
        <v>5</v>
      </c>
      <c r="AL36" s="123" t="s">
        <v>4</v>
      </c>
      <c r="AO36" s="123" t="s">
        <v>5</v>
      </c>
      <c r="AP36" s="123" t="s">
        <v>4</v>
      </c>
      <c r="AS36" s="123" t="s">
        <v>5</v>
      </c>
      <c r="AT36" s="123" t="s">
        <v>4</v>
      </c>
      <c r="AW36" s="123" t="s">
        <v>5</v>
      </c>
      <c r="AX36" s="123" t="s">
        <v>4</v>
      </c>
      <c r="BA36" s="123" t="s">
        <v>5</v>
      </c>
      <c r="BB36" s="123" t="s">
        <v>4</v>
      </c>
      <c r="BE36" s="123" t="s">
        <v>5</v>
      </c>
      <c r="BF36" s="123" t="s">
        <v>4</v>
      </c>
      <c r="BJ36" s="166"/>
    </row>
    <row r="37" spans="6:62" x14ac:dyDescent="0.3">
      <c r="T37" s="2"/>
      <c r="U37" s="2"/>
      <c r="V37" s="2"/>
      <c r="W37" s="2"/>
      <c r="X37" s="2"/>
      <c r="AE37" s="166"/>
      <c r="AF37" s="166"/>
      <c r="AG37" s="166"/>
      <c r="AH37" s="166"/>
      <c r="AI37" s="166"/>
      <c r="AK37" s="127" t="s">
        <v>3</v>
      </c>
      <c r="AL37" s="126">
        <f>IF('⚙️'!$F$17="","",IF('⚙️'!$F$17=DADOS!$I$3,DADOS!$H$15,IF('⚙️'!$F$17=DADOS!$I$2,'⚙️'!$N$13,"erro")))</f>
        <v>40</v>
      </c>
      <c r="AO37" s="127" t="s">
        <v>3</v>
      </c>
      <c r="AP37" s="126">
        <f>IF('⚙️'!$F$17="","",IF('⚙️'!$F$17=DADOS!$I$3,DADOS!$H$16,IF('⚙️'!$F$17=DADOS!$I$2,'⚙️'!$N$15,"erro")))</f>
        <v>5</v>
      </c>
      <c r="AS37" s="127" t="s">
        <v>3</v>
      </c>
      <c r="AT37" s="126">
        <f>IF('⚙️'!$F$17="","",IF('⚙️'!$F$17=DADOS!$I$3,DADOS!$H$17,IF('⚙️'!$F$17=DADOS!$I$2,'⚙️'!$N$17,"erro")))</f>
        <v>20</v>
      </c>
      <c r="AW37" s="127" t="s">
        <v>3</v>
      </c>
      <c r="AX37" s="126">
        <f>IF('⚙️'!$F$17="","",IF('⚙️'!$F$17=DADOS!$I$3,DADOS!$H$18,IF('⚙️'!$F$17=DADOS!$I$2,'⚙️'!$N$19,"erro")))</f>
        <v>15</v>
      </c>
      <c r="BA37" s="127" t="s">
        <v>1</v>
      </c>
      <c r="BB37" s="126">
        <f>IF('⚙️'!$F$17="","",IF('⚙️'!$F$17=DADOS!$I$3,DADOS!$H$19,IF('⚙️'!$F$17=DADOS!$I$2,'⚙️'!$N$21,"erro")))</f>
        <v>10</v>
      </c>
      <c r="BE37" s="127" t="s">
        <v>1</v>
      </c>
      <c r="BF37" s="126">
        <f>IF('⚙️'!$F$17="","",IF('⚙️'!$F$17=DADOS!$I$3,DADOS!$H$20,IF('⚙️'!$F$17=DADOS!$I$2,'⚙️'!$N$23,"erro")))</f>
        <v>10</v>
      </c>
      <c r="BJ37" s="166"/>
    </row>
    <row r="38" spans="6:62" x14ac:dyDescent="0.3">
      <c r="T38" s="2"/>
      <c r="U38" s="2"/>
      <c r="V38" s="2"/>
      <c r="W38" s="2"/>
      <c r="X38" s="2"/>
      <c r="AE38" s="166"/>
      <c r="AF38" s="166"/>
      <c r="AG38" s="166"/>
      <c r="AH38" s="166"/>
      <c r="AI38" s="166"/>
      <c r="AK38" s="127" t="s">
        <v>2</v>
      </c>
      <c r="AL38" s="126">
        <f>(AL40-AL37)/2</f>
        <v>30</v>
      </c>
      <c r="AO38" s="127" t="s">
        <v>2</v>
      </c>
      <c r="AP38" s="126">
        <f>(AP40-AP37)/2</f>
        <v>47.5</v>
      </c>
      <c r="AS38" s="127" t="s">
        <v>2</v>
      </c>
      <c r="AT38" s="126">
        <f>(AT40-AT37)/2</f>
        <v>40</v>
      </c>
      <c r="AW38" s="127" t="s">
        <v>2</v>
      </c>
      <c r="AX38" s="126">
        <f>(AX40-AX37)/2</f>
        <v>42.5</v>
      </c>
      <c r="BA38" s="127" t="s">
        <v>2</v>
      </c>
      <c r="BB38" s="126">
        <f>(BB40-BB37)/2</f>
        <v>45</v>
      </c>
      <c r="BE38" s="127" t="s">
        <v>2</v>
      </c>
      <c r="BF38" s="126">
        <f>(BF40-BF37)/2</f>
        <v>45</v>
      </c>
      <c r="BJ38" s="166"/>
    </row>
    <row r="39" spans="6:62" x14ac:dyDescent="0.3">
      <c r="T39" s="2"/>
      <c r="U39" s="2"/>
      <c r="V39" s="2"/>
      <c r="W39" s="2"/>
      <c r="X39" s="2"/>
      <c r="AE39" s="166"/>
      <c r="AF39" s="166"/>
      <c r="AG39" s="166"/>
      <c r="AH39" s="166"/>
      <c r="AI39" s="166"/>
      <c r="AK39" s="127" t="s">
        <v>1</v>
      </c>
      <c r="AL39" s="126">
        <f>(AL40-AL37)/2</f>
        <v>30</v>
      </c>
      <c r="AO39" s="127" t="s">
        <v>1</v>
      </c>
      <c r="AP39" s="126">
        <f>(AP40-AP37)/2</f>
        <v>47.5</v>
      </c>
      <c r="AS39" s="127" t="s">
        <v>1</v>
      </c>
      <c r="AT39" s="126">
        <f>(AT40-AT37)/2</f>
        <v>40</v>
      </c>
      <c r="AW39" s="127" t="s">
        <v>1</v>
      </c>
      <c r="AX39" s="126">
        <f>(AX40-AX37)/2</f>
        <v>42.5</v>
      </c>
      <c r="BA39" s="127" t="s">
        <v>3</v>
      </c>
      <c r="BB39" s="126">
        <f>(BB40-BB37)/2</f>
        <v>45</v>
      </c>
      <c r="BE39" s="127" t="s">
        <v>3</v>
      </c>
      <c r="BF39" s="126">
        <f>(BF40-BF37)/2</f>
        <v>45</v>
      </c>
      <c r="BJ39" s="166"/>
    </row>
    <row r="40" spans="6:62" x14ac:dyDescent="0.3">
      <c r="T40" s="2"/>
      <c r="U40" s="2"/>
      <c r="V40" s="2"/>
      <c r="W40" s="2"/>
      <c r="X40" s="2"/>
      <c r="AE40" s="166"/>
      <c r="AF40" s="166"/>
      <c r="AG40" s="166"/>
      <c r="AH40" s="166"/>
      <c r="AI40" s="166"/>
      <c r="AK40" s="127"/>
      <c r="AL40" s="126">
        <v>100</v>
      </c>
      <c r="AO40" s="127"/>
      <c r="AP40" s="126">
        <v>100</v>
      </c>
      <c r="AS40" s="127"/>
      <c r="AT40" s="126">
        <v>100</v>
      </c>
      <c r="AW40" s="127"/>
      <c r="AX40" s="126">
        <v>100</v>
      </c>
      <c r="BA40" s="127"/>
      <c r="BB40" s="126">
        <v>100</v>
      </c>
      <c r="BE40" s="127"/>
      <c r="BF40" s="126">
        <v>100</v>
      </c>
      <c r="BJ40" s="166"/>
    </row>
    <row r="41" spans="6:62" x14ac:dyDescent="0.3">
      <c r="T41" s="2"/>
      <c r="U41" s="2"/>
      <c r="V41" s="2"/>
      <c r="W41" s="2"/>
      <c r="X41" s="2"/>
      <c r="AE41" s="166"/>
      <c r="AF41" s="166"/>
      <c r="AG41" s="166"/>
      <c r="AH41" s="166"/>
      <c r="AI41" s="166"/>
      <c r="AO41" s="127"/>
      <c r="AP41" s="126"/>
      <c r="AS41" s="127"/>
      <c r="AT41" s="126"/>
      <c r="AW41" s="127"/>
      <c r="AX41" s="126"/>
      <c r="BA41" s="127"/>
      <c r="BB41" s="126"/>
      <c r="BE41" s="127"/>
      <c r="BF41" s="126"/>
      <c r="BJ41" s="166"/>
    </row>
    <row r="42" spans="6:62" x14ac:dyDescent="0.3">
      <c r="T42" s="2"/>
      <c r="U42" s="2"/>
      <c r="V42" s="2"/>
      <c r="W42" s="2"/>
      <c r="X42" s="2"/>
      <c r="AE42" s="166"/>
      <c r="AF42" s="166"/>
      <c r="AG42" s="166"/>
      <c r="AH42" s="166"/>
      <c r="AI42" s="166"/>
      <c r="BJ42" s="166"/>
    </row>
    <row r="43" spans="6:62" x14ac:dyDescent="0.3">
      <c r="T43" s="2"/>
      <c r="U43" s="2"/>
      <c r="V43" s="2"/>
      <c r="W43" s="2"/>
      <c r="X43" s="2"/>
      <c r="AE43" s="166"/>
      <c r="AF43" s="166"/>
      <c r="AG43" s="166"/>
      <c r="AH43" s="166"/>
      <c r="AI43" s="166"/>
      <c r="BJ43" s="166"/>
    </row>
    <row r="44" spans="6:62" x14ac:dyDescent="0.3">
      <c r="T44" s="2"/>
      <c r="U44" s="2"/>
      <c r="V44" s="2"/>
      <c r="W44" s="2"/>
      <c r="X44" s="2"/>
      <c r="AE44" s="166"/>
      <c r="AF44" s="166"/>
      <c r="AG44" s="166"/>
      <c r="AH44" s="166"/>
      <c r="AI44" s="166"/>
      <c r="BJ44" s="166"/>
    </row>
    <row r="45" spans="6:62" x14ac:dyDescent="0.3">
      <c r="F45" s="3"/>
      <c r="T45" s="2"/>
      <c r="U45" s="2"/>
      <c r="V45" s="2"/>
      <c r="W45" s="2"/>
      <c r="X45" s="2"/>
      <c r="AE45" s="166"/>
      <c r="AF45" s="166"/>
      <c r="AG45" s="166"/>
      <c r="AH45" s="166"/>
      <c r="AI45" s="166"/>
      <c r="BJ45" s="166"/>
    </row>
    <row r="46" spans="6:62" x14ac:dyDescent="0.3">
      <c r="F46" s="3"/>
      <c r="T46" s="2"/>
      <c r="U46" s="2"/>
      <c r="V46" s="2"/>
      <c r="W46" s="2"/>
      <c r="X46" s="2"/>
      <c r="AE46" s="166"/>
      <c r="AF46" s="166"/>
      <c r="AG46" s="166"/>
      <c r="AH46" s="166"/>
      <c r="AI46" s="166"/>
      <c r="AJ46" s="166"/>
      <c r="AK46" s="166"/>
      <c r="AL46" s="166"/>
      <c r="AM46" s="166"/>
      <c r="AN46" s="166"/>
      <c r="AO46" s="166"/>
      <c r="AP46" s="166"/>
      <c r="AQ46" s="166"/>
      <c r="AR46" s="166"/>
      <c r="AS46" s="166"/>
      <c r="AT46" s="166"/>
      <c r="AU46" s="166"/>
      <c r="AV46" s="166"/>
      <c r="AW46" s="166"/>
      <c r="AX46" s="166"/>
      <c r="AY46" s="166"/>
    </row>
    <row r="47" spans="6:62" x14ac:dyDescent="0.3">
      <c r="T47" s="2"/>
      <c r="U47" s="2"/>
      <c r="V47" s="2"/>
      <c r="W47" s="2"/>
      <c r="X47" s="2"/>
      <c r="AE47" s="166"/>
      <c r="AF47" s="166"/>
      <c r="AG47" s="166"/>
      <c r="AH47" s="166"/>
      <c r="AI47" s="166"/>
      <c r="AJ47" s="166"/>
      <c r="AK47" s="166"/>
      <c r="AL47" s="166"/>
      <c r="AM47" s="166"/>
      <c r="AN47" s="166"/>
      <c r="AO47" s="166"/>
      <c r="AP47" s="166"/>
      <c r="AQ47" s="166"/>
      <c r="AR47" s="166"/>
      <c r="AS47" s="166"/>
      <c r="AT47" s="166"/>
      <c r="AU47" s="166"/>
      <c r="AV47" s="166"/>
      <c r="AW47" s="166"/>
      <c r="AX47" s="166"/>
      <c r="AY47" s="166"/>
    </row>
    <row r="48" spans="6:62" x14ac:dyDescent="0.3">
      <c r="T48" s="2"/>
      <c r="U48" s="2"/>
      <c r="V48" s="2"/>
      <c r="W48" s="2"/>
      <c r="X48" s="2"/>
      <c r="AE48" s="166"/>
      <c r="AF48" s="166"/>
      <c r="AG48" s="166"/>
      <c r="AH48" s="166"/>
      <c r="AI48" s="166"/>
      <c r="AJ48" s="166"/>
      <c r="AK48" s="166"/>
      <c r="AL48" s="166"/>
      <c r="AM48" s="166"/>
      <c r="AN48" s="166"/>
      <c r="AO48" s="166"/>
      <c r="AP48" s="166"/>
      <c r="AQ48" s="166"/>
      <c r="AR48" s="166"/>
      <c r="AS48" s="166"/>
      <c r="AT48" s="166"/>
      <c r="AU48" s="166"/>
      <c r="AV48" s="166"/>
      <c r="AW48" s="166"/>
      <c r="AX48" s="166"/>
      <c r="AY48" s="166"/>
    </row>
    <row r="49" spans="20:51" x14ac:dyDescent="0.3">
      <c r="T49" s="2"/>
      <c r="U49" s="2"/>
      <c r="V49" s="2"/>
      <c r="W49" s="2"/>
      <c r="X49" s="2"/>
      <c r="AE49" s="166"/>
      <c r="AF49" s="166"/>
      <c r="AG49" s="166"/>
      <c r="AH49" s="166"/>
      <c r="AI49" s="166"/>
      <c r="AJ49" s="166"/>
      <c r="AK49" s="166"/>
      <c r="AL49" s="166"/>
      <c r="AM49" s="166"/>
      <c r="AN49" s="166"/>
      <c r="AO49" s="166"/>
      <c r="AP49" s="166"/>
      <c r="AQ49" s="166"/>
      <c r="AR49" s="166"/>
      <c r="AS49" s="166"/>
      <c r="AT49" s="166"/>
      <c r="AU49" s="166"/>
      <c r="AV49" s="166"/>
      <c r="AW49" s="166"/>
      <c r="AX49" s="166"/>
      <c r="AY49" s="166"/>
    </row>
    <row r="50" spans="20:51" x14ac:dyDescent="0.3">
      <c r="T50" s="2"/>
      <c r="U50" s="2"/>
      <c r="V50" s="2"/>
      <c r="W50" s="2"/>
      <c r="X50" s="2"/>
    </row>
    <row r="51" spans="20:51" x14ac:dyDescent="0.3">
      <c r="T51" s="2"/>
      <c r="U51" s="2"/>
      <c r="V51" s="2"/>
      <c r="W51" s="2"/>
      <c r="X51" s="2"/>
      <c r="AE51" s="111" t="s">
        <v>0</v>
      </c>
    </row>
    <row r="52" spans="20:51" x14ac:dyDescent="0.3">
      <c r="T52" s="2"/>
      <c r="U52" s="2"/>
      <c r="V52" s="2"/>
      <c r="W52" s="2"/>
      <c r="X52" s="2"/>
    </row>
    <row r="53" spans="20:51" x14ac:dyDescent="0.3">
      <c r="T53" s="2"/>
      <c r="U53" s="2"/>
      <c r="V53" s="2"/>
      <c r="W53" s="2"/>
      <c r="X53" s="2"/>
    </row>
    <row r="54" spans="20:51" x14ac:dyDescent="0.3">
      <c r="T54" s="2"/>
      <c r="U54" s="2"/>
      <c r="V54" s="2"/>
      <c r="W54" s="2"/>
      <c r="X54" s="2"/>
    </row>
    <row r="55" spans="20:51" x14ac:dyDescent="0.3">
      <c r="T55" s="2"/>
      <c r="U55" s="2"/>
      <c r="V55" s="2"/>
      <c r="W55" s="2"/>
      <c r="X55" s="2"/>
    </row>
    <row r="56" spans="20:51" x14ac:dyDescent="0.3">
      <c r="T56" s="2"/>
      <c r="U56" s="2"/>
      <c r="V56" s="2"/>
      <c r="W56" s="2"/>
      <c r="X56" s="2"/>
    </row>
    <row r="57" spans="20:51" x14ac:dyDescent="0.3">
      <c r="T57" s="2"/>
      <c r="U57" s="2"/>
      <c r="V57" s="2"/>
      <c r="W57" s="2"/>
      <c r="X57" s="2"/>
    </row>
    <row r="58" spans="20:51" x14ac:dyDescent="0.3">
      <c r="T58" s="2"/>
      <c r="U58" s="2"/>
      <c r="V58" s="2"/>
      <c r="W58" s="2"/>
      <c r="X58" s="2"/>
    </row>
    <row r="59" spans="20:51" x14ac:dyDescent="0.3">
      <c r="T59" s="2"/>
      <c r="U59" s="2"/>
      <c r="V59" s="2"/>
      <c r="W59" s="2"/>
      <c r="X59" s="2"/>
    </row>
    <row r="60" spans="20:51" x14ac:dyDescent="0.3">
      <c r="T60" s="2"/>
      <c r="U60" s="2"/>
      <c r="V60" s="2"/>
      <c r="W60" s="2"/>
      <c r="X60" s="2"/>
    </row>
    <row r="61" spans="20:51" x14ac:dyDescent="0.3">
      <c r="T61" s="2"/>
      <c r="U61" s="2"/>
      <c r="V61" s="2"/>
      <c r="W61" s="2"/>
      <c r="X61" s="2"/>
    </row>
    <row r="62" spans="20:51" x14ac:dyDescent="0.3">
      <c r="T62" s="2"/>
      <c r="U62" s="2"/>
      <c r="V62" s="2"/>
      <c r="W62" s="2"/>
      <c r="X62" s="2"/>
    </row>
    <row r="63" spans="20:51" x14ac:dyDescent="0.3">
      <c r="T63" s="2"/>
      <c r="U63" s="2"/>
      <c r="V63" s="2"/>
      <c r="W63" s="2"/>
      <c r="X63" s="2"/>
      <c r="AP63" s="129"/>
      <c r="AS63" s="130"/>
    </row>
    <row r="64" spans="20:51" x14ac:dyDescent="0.3">
      <c r="T64" s="2"/>
      <c r="U64" s="2"/>
      <c r="V64" s="2"/>
      <c r="W64" s="2"/>
      <c r="X64" s="2"/>
      <c r="AP64" s="129"/>
    </row>
    <row r="65" spans="20:42" x14ac:dyDescent="0.3">
      <c r="T65" s="2"/>
      <c r="U65" s="2"/>
      <c r="V65" s="2"/>
      <c r="W65" s="2"/>
      <c r="X65" s="2"/>
      <c r="AP65" s="129"/>
    </row>
    <row r="66" spans="20:42" x14ac:dyDescent="0.3">
      <c r="T66" s="2"/>
      <c r="U66" s="2"/>
      <c r="V66" s="2"/>
      <c r="W66" s="2"/>
      <c r="X66" s="2"/>
      <c r="AP66" s="129"/>
    </row>
    <row r="67" spans="20:42" x14ac:dyDescent="0.3">
      <c r="T67" s="2"/>
      <c r="U67" s="2"/>
      <c r="V67" s="2"/>
      <c r="W67" s="2"/>
      <c r="X67" s="2"/>
      <c r="AP67" s="129"/>
    </row>
    <row r="68" spans="20:42" x14ac:dyDescent="0.3">
      <c r="T68" s="2"/>
      <c r="U68" s="2"/>
      <c r="V68" s="2"/>
      <c r="W68" s="2"/>
      <c r="X68" s="2"/>
      <c r="AP68" s="129"/>
    </row>
    <row r="69" spans="20:42" x14ac:dyDescent="0.3">
      <c r="T69" s="2"/>
      <c r="U69" s="2"/>
      <c r="V69" s="2"/>
      <c r="W69" s="2"/>
      <c r="X69" s="2"/>
      <c r="AP69" s="129"/>
    </row>
    <row r="70" spans="20:42" x14ac:dyDescent="0.3">
      <c r="T70" s="2"/>
      <c r="U70" s="3"/>
      <c r="V70" s="2"/>
      <c r="W70" s="2"/>
      <c r="X70" s="2"/>
    </row>
    <row r="71" spans="20:42" x14ac:dyDescent="0.3">
      <c r="T71" s="2"/>
      <c r="U71" s="2"/>
      <c r="V71" s="2"/>
      <c r="W71" s="2"/>
      <c r="X71" s="2"/>
    </row>
    <row r="72" spans="20:42" x14ac:dyDescent="0.3">
      <c r="T72" s="2"/>
      <c r="U72" s="2"/>
      <c r="V72" s="2"/>
      <c r="W72" s="2"/>
      <c r="X72" s="2"/>
    </row>
    <row r="73" spans="20:42" x14ac:dyDescent="0.3">
      <c r="T73" s="2"/>
      <c r="U73" s="2"/>
      <c r="V73" s="2"/>
      <c r="W73" s="2"/>
      <c r="X73" s="2"/>
    </row>
    <row r="74" spans="20:42" x14ac:dyDescent="0.3">
      <c r="T74" s="2"/>
      <c r="U74" s="2"/>
      <c r="V74" s="2"/>
      <c r="W74" s="2"/>
      <c r="X74" s="2"/>
    </row>
    <row r="75" spans="20:42" x14ac:dyDescent="0.3">
      <c r="T75" s="2"/>
      <c r="U75" s="2"/>
      <c r="V75" s="2"/>
      <c r="W75" s="2"/>
      <c r="X75" s="2"/>
    </row>
    <row r="76" spans="20:42" x14ac:dyDescent="0.3">
      <c r="T76" s="2"/>
      <c r="U76" s="2"/>
      <c r="V76" s="2"/>
      <c r="W76" s="2"/>
      <c r="X76" s="2"/>
    </row>
    <row r="77" spans="20:42" x14ac:dyDescent="0.3">
      <c r="T77" s="2"/>
      <c r="U77" s="2"/>
      <c r="V77" s="2"/>
      <c r="W77" s="2"/>
      <c r="X77" s="2"/>
    </row>
    <row r="78" spans="20:42" x14ac:dyDescent="0.3">
      <c r="T78" s="2"/>
      <c r="U78" s="2"/>
      <c r="V78" s="2"/>
      <c r="W78" s="2"/>
      <c r="X78" s="2"/>
    </row>
    <row r="79" spans="20:42" x14ac:dyDescent="0.3">
      <c r="T79" s="2"/>
      <c r="U79" s="2"/>
      <c r="V79" s="2"/>
      <c r="W79" s="2"/>
      <c r="X79" s="2"/>
    </row>
    <row r="80" spans="20:42" x14ac:dyDescent="0.3">
      <c r="T80" s="2"/>
      <c r="U80" s="2"/>
      <c r="V80" s="2"/>
      <c r="W80" s="2"/>
      <c r="X80" s="2"/>
    </row>
    <row r="81" spans="20:24" x14ac:dyDescent="0.3">
      <c r="T81" s="2"/>
      <c r="U81" s="2"/>
      <c r="V81" s="2"/>
      <c r="W81" s="2"/>
      <c r="X81" s="2"/>
    </row>
    <row r="82" spans="20:24" x14ac:dyDescent="0.3">
      <c r="T82" s="2"/>
      <c r="U82" s="2"/>
      <c r="V82" s="2"/>
      <c r="W82" s="2"/>
      <c r="X82" s="2"/>
    </row>
    <row r="83" spans="20:24" x14ac:dyDescent="0.3">
      <c r="T83" s="2"/>
      <c r="U83" s="2"/>
      <c r="V83" s="2"/>
      <c r="W83" s="2"/>
      <c r="X83" s="2"/>
    </row>
    <row r="84" spans="20:24" x14ac:dyDescent="0.3">
      <c r="T84" s="2"/>
      <c r="U84" s="2"/>
      <c r="V84" s="2"/>
      <c r="W84" s="2"/>
      <c r="X84" s="2"/>
    </row>
    <row r="85" spans="20:24" x14ac:dyDescent="0.3">
      <c r="T85" s="2"/>
      <c r="U85" s="2"/>
      <c r="V85" s="2"/>
      <c r="W85" s="2"/>
      <c r="X85" s="2"/>
    </row>
    <row r="86" spans="20:24" x14ac:dyDescent="0.3">
      <c r="T86" s="2"/>
      <c r="U86" s="2"/>
      <c r="V86" s="2"/>
      <c r="W86" s="2"/>
      <c r="X86" s="2"/>
    </row>
    <row r="87" spans="20:24" x14ac:dyDescent="0.3">
      <c r="T87" s="2"/>
      <c r="U87" s="2"/>
      <c r="V87" s="2"/>
      <c r="W87" s="2"/>
      <c r="X87" s="2"/>
    </row>
    <row r="88" spans="20:24" x14ac:dyDescent="0.3">
      <c r="T88" s="2"/>
      <c r="U88" s="2"/>
      <c r="V88" s="2"/>
      <c r="W88" s="2"/>
      <c r="X88" s="2"/>
    </row>
    <row r="89" spans="20:24" x14ac:dyDescent="0.3">
      <c r="T89" s="2"/>
      <c r="U89" s="2"/>
      <c r="V89" s="2"/>
      <c r="W89" s="2"/>
      <c r="X89" s="2"/>
    </row>
    <row r="90" spans="20:24" x14ac:dyDescent="0.3">
      <c r="T90" s="2"/>
      <c r="U90" s="2"/>
      <c r="V90" s="2"/>
      <c r="W90" s="2"/>
      <c r="X90" s="2"/>
    </row>
    <row r="91" spans="20:24" x14ac:dyDescent="0.3">
      <c r="T91" s="2"/>
      <c r="U91" s="2"/>
      <c r="V91" s="2"/>
      <c r="W91" s="2"/>
      <c r="X91" s="2"/>
    </row>
    <row r="92" spans="20:24" x14ac:dyDescent="0.3">
      <c r="T92" s="2"/>
      <c r="U92" s="2"/>
      <c r="V92" s="2"/>
      <c r="W92" s="2"/>
      <c r="X92" s="2"/>
    </row>
    <row r="93" spans="20:24" x14ac:dyDescent="0.3">
      <c r="T93" s="2"/>
      <c r="U93" s="2"/>
      <c r="V93" s="2"/>
      <c r="W93" s="2"/>
      <c r="X93" s="2"/>
    </row>
    <row r="94" spans="20:24" x14ac:dyDescent="0.3">
      <c r="T94" s="2"/>
      <c r="U94" s="2"/>
      <c r="V94" s="2"/>
      <c r="W94" s="2"/>
      <c r="X94" s="2"/>
    </row>
    <row r="95" spans="20:24" x14ac:dyDescent="0.3">
      <c r="T95" s="2"/>
      <c r="U95" s="2"/>
      <c r="V95" s="2"/>
      <c r="W95" s="2"/>
      <c r="X95" s="2"/>
    </row>
    <row r="96" spans="20:24" x14ac:dyDescent="0.3">
      <c r="T96" s="2"/>
      <c r="U96" s="2"/>
      <c r="V96" s="2"/>
      <c r="W96" s="2"/>
      <c r="X96" s="2"/>
    </row>
    <row r="97" spans="20:24" x14ac:dyDescent="0.3">
      <c r="T97" s="2"/>
      <c r="U97" s="2"/>
      <c r="V97" s="2"/>
      <c r="W97" s="2"/>
      <c r="X97" s="2"/>
    </row>
    <row r="98" spans="20:24" x14ac:dyDescent="0.3">
      <c r="T98" s="2"/>
      <c r="U98" s="2"/>
      <c r="V98" s="2"/>
      <c r="W98" s="2"/>
      <c r="X98" s="2"/>
    </row>
    <row r="99" spans="20:24" x14ac:dyDescent="0.3">
      <c r="T99" s="2"/>
      <c r="U99" s="2"/>
      <c r="V99" s="2"/>
      <c r="W99" s="2"/>
      <c r="X99" s="2"/>
    </row>
    <row r="100" spans="20:24" x14ac:dyDescent="0.3">
      <c r="T100" s="2"/>
      <c r="U100" s="2"/>
      <c r="V100" s="2"/>
      <c r="W100" s="2"/>
      <c r="X100" s="2"/>
    </row>
    <row r="101" spans="20:24" x14ac:dyDescent="0.3">
      <c r="T101" s="2"/>
      <c r="U101" s="2"/>
      <c r="V101" s="2"/>
      <c r="W101" s="2"/>
      <c r="X101" s="2"/>
    </row>
    <row r="102" spans="20:24" x14ac:dyDescent="0.3">
      <c r="T102" s="2"/>
      <c r="U102" s="2"/>
      <c r="V102" s="2"/>
      <c r="W102" s="2"/>
      <c r="X102" s="2"/>
    </row>
    <row r="103" spans="20:24" x14ac:dyDescent="0.3">
      <c r="T103" s="2"/>
      <c r="U103" s="2"/>
      <c r="V103" s="2"/>
      <c r="W103" s="2"/>
      <c r="X103" s="2"/>
    </row>
    <row r="104" spans="20:24" x14ac:dyDescent="0.3">
      <c r="T104" s="2"/>
      <c r="U104" s="2"/>
      <c r="V104" s="2"/>
      <c r="W104" s="2"/>
      <c r="X104" s="2"/>
    </row>
    <row r="105" spans="20:24" x14ac:dyDescent="0.3">
      <c r="T105" s="2"/>
      <c r="U105" s="2"/>
      <c r="V105" s="2"/>
      <c r="W105" s="2"/>
      <c r="X105" s="2"/>
    </row>
    <row r="106" spans="20:24" x14ac:dyDescent="0.3">
      <c r="T106" s="2"/>
      <c r="U106" s="2"/>
      <c r="V106" s="2"/>
      <c r="W106" s="2"/>
      <c r="X106" s="2"/>
    </row>
    <row r="107" spans="20:24" x14ac:dyDescent="0.3">
      <c r="T107" s="2"/>
      <c r="U107" s="2"/>
      <c r="V107" s="2"/>
      <c r="W107" s="2"/>
      <c r="X107" s="2"/>
    </row>
    <row r="108" spans="20:24" x14ac:dyDescent="0.3">
      <c r="T108" s="2"/>
      <c r="U108" s="2"/>
      <c r="V108" s="2"/>
      <c r="W108" s="2"/>
      <c r="X108" s="2"/>
    </row>
    <row r="109" spans="20:24" x14ac:dyDescent="0.3">
      <c r="T109" s="2"/>
      <c r="U109" s="2"/>
      <c r="V109" s="2"/>
      <c r="W109" s="2"/>
      <c r="X109" s="2"/>
    </row>
    <row r="110" spans="20:24" x14ac:dyDescent="0.3">
      <c r="T110" s="2"/>
      <c r="U110" s="2"/>
      <c r="V110" s="2"/>
      <c r="W110" s="2"/>
      <c r="X110" s="2"/>
    </row>
    <row r="111" spans="20:24" x14ac:dyDescent="0.3">
      <c r="T111" s="2"/>
      <c r="U111" s="2"/>
      <c r="V111" s="2"/>
      <c r="W111" s="2"/>
      <c r="X111" s="2"/>
    </row>
    <row r="112" spans="20:24" x14ac:dyDescent="0.3">
      <c r="T112" s="2"/>
      <c r="U112" s="2"/>
      <c r="V112" s="2"/>
      <c r="W112" s="2"/>
      <c r="X112" s="2"/>
    </row>
    <row r="113" spans="20:24" x14ac:dyDescent="0.3">
      <c r="T113" s="2"/>
      <c r="U113" s="2"/>
      <c r="V113" s="2"/>
      <c r="W113" s="2"/>
      <c r="X113" s="2"/>
    </row>
    <row r="114" spans="20:24" x14ac:dyDescent="0.3">
      <c r="T114" s="2"/>
      <c r="U114" s="2"/>
      <c r="V114" s="2"/>
      <c r="W114" s="2"/>
      <c r="X114" s="2"/>
    </row>
    <row r="115" spans="20:24" x14ac:dyDescent="0.3">
      <c r="T115" s="2"/>
      <c r="U115" s="2"/>
      <c r="V115" s="2"/>
      <c r="W115" s="2"/>
      <c r="X115" s="2"/>
    </row>
    <row r="116" spans="20:24" x14ac:dyDescent="0.3">
      <c r="T116" s="2"/>
      <c r="U116" s="2"/>
      <c r="V116" s="2"/>
      <c r="W116" s="2"/>
      <c r="X116" s="2"/>
    </row>
    <row r="117" spans="20:24" x14ac:dyDescent="0.3">
      <c r="T117" s="2"/>
      <c r="U117" s="2"/>
      <c r="V117" s="2"/>
      <c r="W117" s="2"/>
      <c r="X117" s="2"/>
    </row>
    <row r="118" spans="20:24" x14ac:dyDescent="0.3">
      <c r="T118" s="2"/>
      <c r="U118" s="2"/>
      <c r="V118" s="2"/>
      <c r="W118" s="2"/>
      <c r="X118" s="2"/>
    </row>
    <row r="119" spans="20:24" x14ac:dyDescent="0.3">
      <c r="T119" s="2"/>
      <c r="U119" s="2"/>
      <c r="V119" s="2"/>
      <c r="W119" s="2"/>
      <c r="X119" s="2"/>
    </row>
    <row r="120" spans="20:24" x14ac:dyDescent="0.3">
      <c r="T120" s="2"/>
      <c r="U120" s="2"/>
      <c r="V120" s="2"/>
      <c r="W120" s="2"/>
      <c r="X120" s="2"/>
    </row>
    <row r="121" spans="20:24" x14ac:dyDescent="0.3">
      <c r="T121" s="2"/>
      <c r="U121" s="2"/>
      <c r="V121" s="2"/>
      <c r="W121" s="2"/>
      <c r="X121" s="2"/>
    </row>
    <row r="122" spans="20:24" ht="102.75" customHeight="1" x14ac:dyDescent="0.3">
      <c r="T122" s="2"/>
      <c r="U122" s="2"/>
      <c r="V122" s="2"/>
      <c r="W122" s="2"/>
      <c r="X122" s="2"/>
    </row>
    <row r="123" spans="20:24" x14ac:dyDescent="0.3">
      <c r="T123" s="2"/>
      <c r="U123" s="2"/>
      <c r="V123" s="2"/>
      <c r="W123" s="2"/>
      <c r="X123" s="2"/>
    </row>
    <row r="124" spans="20:24" x14ac:dyDescent="0.3">
      <c r="T124" s="2"/>
      <c r="U124" s="2"/>
      <c r="V124" s="2"/>
      <c r="W124" s="2"/>
      <c r="X124" s="2"/>
    </row>
    <row r="125" spans="20:24" x14ac:dyDescent="0.3">
      <c r="T125" s="2"/>
      <c r="U125" s="2"/>
      <c r="V125" s="2"/>
      <c r="W125" s="2"/>
      <c r="X125" s="2"/>
    </row>
    <row r="126" spans="20:24" x14ac:dyDescent="0.3">
      <c r="T126" s="2"/>
      <c r="U126" s="2"/>
      <c r="V126" s="2"/>
      <c r="W126" s="2"/>
      <c r="X126" s="2"/>
    </row>
    <row r="127" spans="20:24" x14ac:dyDescent="0.3">
      <c r="T127" s="2"/>
      <c r="U127" s="2"/>
      <c r="V127" s="2"/>
      <c r="W127" s="2"/>
      <c r="X127" s="2"/>
    </row>
    <row r="128" spans="20:24" x14ac:dyDescent="0.3">
      <c r="T128" s="2"/>
      <c r="U128" s="2"/>
      <c r="V128" s="2"/>
      <c r="W128" s="2"/>
      <c r="X128" s="2"/>
    </row>
    <row r="129" spans="20:24" x14ac:dyDescent="0.3">
      <c r="T129" s="2"/>
      <c r="U129" s="2"/>
      <c r="V129" s="2"/>
      <c r="W129" s="2"/>
      <c r="X129" s="2"/>
    </row>
    <row r="130" spans="20:24" x14ac:dyDescent="0.3">
      <c r="T130" s="2"/>
      <c r="U130" s="2"/>
      <c r="V130" s="2"/>
      <c r="W130" s="2"/>
      <c r="X130" s="2"/>
    </row>
    <row r="131" spans="20:24" x14ac:dyDescent="0.3">
      <c r="T131" s="2"/>
      <c r="U131" s="2"/>
      <c r="V131" s="2"/>
      <c r="W131" s="2"/>
      <c r="X131" s="2"/>
    </row>
    <row r="132" spans="20:24" x14ac:dyDescent="0.3">
      <c r="T132" s="2"/>
      <c r="U132" s="2"/>
      <c r="V132" s="2"/>
      <c r="W132" s="2"/>
      <c r="X132" s="2"/>
    </row>
    <row r="133" spans="20:24" x14ac:dyDescent="0.3">
      <c r="T133" s="2"/>
      <c r="U133" s="2"/>
      <c r="V133" s="2"/>
      <c r="W133" s="2"/>
      <c r="X133" s="2"/>
    </row>
    <row r="134" spans="20:24" x14ac:dyDescent="0.3">
      <c r="T134" s="2"/>
      <c r="U134" s="2"/>
      <c r="V134" s="2"/>
      <c r="W134" s="2"/>
      <c r="X134" s="2"/>
    </row>
    <row r="135" spans="20:24" x14ac:dyDescent="0.3">
      <c r="T135" s="2"/>
      <c r="U135" s="2"/>
      <c r="V135" s="2"/>
      <c r="W135" s="2"/>
      <c r="X135" s="2"/>
    </row>
    <row r="136" spans="20:24" x14ac:dyDescent="0.3">
      <c r="T136" s="2"/>
      <c r="U136" s="2"/>
      <c r="V136" s="2"/>
      <c r="W136" s="2"/>
      <c r="X136" s="2"/>
    </row>
    <row r="137" spans="20:24" x14ac:dyDescent="0.3">
      <c r="T137" s="2"/>
      <c r="U137" s="2"/>
      <c r="V137" s="2"/>
      <c r="W137" s="2"/>
      <c r="X137" s="2"/>
    </row>
    <row r="138" spans="20:24" x14ac:dyDescent="0.3">
      <c r="T138" s="2"/>
      <c r="U138" s="2"/>
      <c r="V138" s="2"/>
      <c r="W138" s="2"/>
      <c r="X138" s="2"/>
    </row>
    <row r="139" spans="20:24" x14ac:dyDescent="0.3">
      <c r="T139" s="2"/>
      <c r="U139" s="2"/>
      <c r="V139" s="2"/>
      <c r="W139" s="2"/>
      <c r="X139" s="2"/>
    </row>
    <row r="140" spans="20:24" x14ac:dyDescent="0.3">
      <c r="T140" s="2"/>
      <c r="U140" s="2"/>
      <c r="V140" s="2"/>
      <c r="W140" s="2"/>
      <c r="X140" s="2"/>
    </row>
    <row r="141" spans="20:24" x14ac:dyDescent="0.3">
      <c r="T141" s="2"/>
      <c r="U141" s="2"/>
      <c r="V141" s="2"/>
      <c r="W141" s="2"/>
      <c r="X141" s="2"/>
    </row>
    <row r="142" spans="20:24" x14ac:dyDescent="0.3">
      <c r="T142" s="2"/>
      <c r="U142" s="2"/>
      <c r="V142" s="2"/>
      <c r="W142" s="2"/>
      <c r="X142" s="2"/>
    </row>
    <row r="143" spans="20:24" x14ac:dyDescent="0.3">
      <c r="T143" s="2"/>
      <c r="U143" s="2"/>
      <c r="V143" s="2"/>
      <c r="W143" s="2"/>
      <c r="X143" s="2"/>
    </row>
    <row r="144" spans="20:24" x14ac:dyDescent="0.3">
      <c r="T144" s="2"/>
      <c r="U144" s="2"/>
      <c r="V144" s="2"/>
      <c r="W144" s="2"/>
      <c r="X144" s="2"/>
    </row>
    <row r="145" spans="20:24" x14ac:dyDescent="0.3">
      <c r="T145" s="2"/>
      <c r="U145" s="2"/>
      <c r="V145" s="2"/>
      <c r="W145" s="2"/>
      <c r="X145" s="2"/>
    </row>
    <row r="146" spans="20:24" x14ac:dyDescent="0.3">
      <c r="T146" s="2"/>
      <c r="U146" s="2"/>
      <c r="V146" s="2"/>
      <c r="W146" s="2"/>
      <c r="X146" s="2"/>
    </row>
    <row r="147" spans="20:24" x14ac:dyDescent="0.3">
      <c r="T147" s="2"/>
      <c r="U147" s="2"/>
      <c r="V147" s="2"/>
      <c r="W147" s="2"/>
      <c r="X147" s="2"/>
    </row>
    <row r="148" spans="20:24" x14ac:dyDescent="0.3">
      <c r="T148" s="2"/>
      <c r="U148" s="2"/>
      <c r="V148" s="2"/>
      <c r="W148" s="2"/>
      <c r="X148" s="2"/>
    </row>
    <row r="149" spans="20:24" x14ac:dyDescent="0.3">
      <c r="T149" s="2"/>
      <c r="U149" s="2"/>
      <c r="V149" s="2"/>
      <c r="W149" s="2"/>
      <c r="X149" s="2"/>
    </row>
    <row r="150" spans="20:24" x14ac:dyDescent="0.3">
      <c r="T150" s="2"/>
      <c r="U150" s="2"/>
      <c r="V150" s="2"/>
      <c r="W150" s="2"/>
      <c r="X150" s="2"/>
    </row>
    <row r="151" spans="20:24" x14ac:dyDescent="0.3">
      <c r="T151" s="2"/>
      <c r="U151" s="2"/>
      <c r="V151" s="2"/>
      <c r="W151" s="2"/>
      <c r="X151" s="2"/>
    </row>
    <row r="152" spans="20:24" x14ac:dyDescent="0.3">
      <c r="T152" s="2"/>
      <c r="U152" s="2"/>
      <c r="V152" s="2"/>
      <c r="W152" s="2"/>
      <c r="X152" s="2"/>
    </row>
    <row r="153" spans="20:24" x14ac:dyDescent="0.3">
      <c r="T153" s="2"/>
      <c r="U153" s="2"/>
      <c r="V153" s="2"/>
      <c r="W153" s="2"/>
      <c r="X153" s="2"/>
    </row>
    <row r="154" spans="20:24" x14ac:dyDescent="0.3">
      <c r="T154" s="2"/>
      <c r="U154" s="2"/>
      <c r="V154" s="2"/>
      <c r="W154" s="2"/>
      <c r="X154" s="2"/>
    </row>
    <row r="155" spans="20:24" x14ac:dyDescent="0.3">
      <c r="T155" s="2"/>
      <c r="U155" s="2"/>
      <c r="V155" s="2"/>
      <c r="W155" s="2"/>
      <c r="X155" s="2"/>
    </row>
    <row r="156" spans="20:24" x14ac:dyDescent="0.3">
      <c r="T156" s="2"/>
      <c r="U156" s="2"/>
      <c r="V156" s="2"/>
      <c r="W156" s="2"/>
      <c r="X156" s="2"/>
    </row>
    <row r="157" spans="20:24" x14ac:dyDescent="0.3">
      <c r="T157" s="2"/>
      <c r="U157" s="2"/>
      <c r="V157" s="2"/>
      <c r="W157" s="2"/>
      <c r="X157" s="2"/>
    </row>
    <row r="158" spans="20:24" x14ac:dyDescent="0.3">
      <c r="T158" s="2"/>
      <c r="U158" s="2"/>
      <c r="V158" s="2"/>
      <c r="W158" s="2"/>
      <c r="X158" s="2"/>
    </row>
    <row r="159" spans="20:24" x14ac:dyDescent="0.3">
      <c r="T159" s="2"/>
      <c r="U159" s="2"/>
      <c r="V159" s="2"/>
      <c r="W159" s="2"/>
      <c r="X159" s="2"/>
    </row>
    <row r="160" spans="20:24" x14ac:dyDescent="0.3">
      <c r="T160" s="2"/>
      <c r="U160" s="2"/>
      <c r="V160" s="2"/>
      <c r="W160" s="2"/>
      <c r="X160" s="2"/>
    </row>
    <row r="161" spans="20:24" x14ac:dyDescent="0.3">
      <c r="T161" s="2"/>
      <c r="U161" s="2"/>
      <c r="V161" s="2"/>
      <c r="W161" s="2"/>
      <c r="X161" s="2"/>
    </row>
    <row r="162" spans="20:24" x14ac:dyDescent="0.3">
      <c r="T162" s="2"/>
      <c r="U162" s="2"/>
      <c r="V162" s="2"/>
      <c r="W162" s="2"/>
      <c r="X162" s="2"/>
    </row>
    <row r="163" spans="20:24" x14ac:dyDescent="0.3">
      <c r="T163" s="2"/>
      <c r="U163" s="2"/>
      <c r="V163" s="2"/>
      <c r="W163" s="2"/>
      <c r="X163" s="2"/>
    </row>
    <row r="164" spans="20:24" x14ac:dyDescent="0.3">
      <c r="T164" s="2"/>
      <c r="U164" s="2"/>
      <c r="V164" s="2"/>
      <c r="W164" s="2"/>
      <c r="X164" s="2"/>
    </row>
    <row r="165" spans="20:24" x14ac:dyDescent="0.3">
      <c r="T165" s="2"/>
      <c r="U165" s="2"/>
      <c r="V165" s="2"/>
      <c r="W165" s="2"/>
      <c r="X165" s="2"/>
    </row>
    <row r="166" spans="20:24" x14ac:dyDescent="0.3">
      <c r="T166" s="2"/>
      <c r="U166" s="2"/>
      <c r="V166" s="2"/>
      <c r="W166" s="2"/>
      <c r="X166" s="2"/>
    </row>
    <row r="167" spans="20:24" x14ac:dyDescent="0.3">
      <c r="T167" s="2"/>
      <c r="U167" s="2"/>
      <c r="V167" s="2"/>
      <c r="W167" s="2"/>
      <c r="X167" s="2"/>
    </row>
    <row r="168" spans="20:24" x14ac:dyDescent="0.3">
      <c r="T168" s="2"/>
      <c r="U168" s="2"/>
      <c r="V168" s="2"/>
      <c r="W168" s="2"/>
      <c r="X168" s="2"/>
    </row>
    <row r="169" spans="20:24" x14ac:dyDescent="0.3">
      <c r="T169" s="2"/>
      <c r="U169" s="2"/>
      <c r="V169" s="2"/>
      <c r="W169" s="2"/>
      <c r="X169" s="2"/>
    </row>
    <row r="170" spans="20:24" x14ac:dyDescent="0.3">
      <c r="T170" s="2"/>
      <c r="U170" s="2"/>
      <c r="V170" s="2"/>
      <c r="W170" s="2"/>
      <c r="X170" s="2"/>
    </row>
    <row r="171" spans="20:24" x14ac:dyDescent="0.3">
      <c r="T171" s="2"/>
      <c r="U171" s="2"/>
      <c r="V171" s="2"/>
      <c r="W171" s="2"/>
      <c r="X171" s="2"/>
    </row>
    <row r="172" spans="20:24" x14ac:dyDescent="0.3">
      <c r="T172" s="2"/>
      <c r="U172" s="2"/>
      <c r="V172" s="2"/>
      <c r="W172" s="2"/>
      <c r="X172" s="2"/>
    </row>
    <row r="173" spans="20:24" x14ac:dyDescent="0.3">
      <c r="T173" s="2"/>
      <c r="U173" s="2"/>
      <c r="V173" s="2"/>
      <c r="W173" s="2"/>
      <c r="X173" s="2"/>
    </row>
    <row r="174" spans="20:24" x14ac:dyDescent="0.3">
      <c r="T174" s="2"/>
      <c r="U174" s="2"/>
      <c r="V174" s="2"/>
      <c r="W174" s="2"/>
      <c r="X174" s="2"/>
    </row>
    <row r="175" spans="20:24" x14ac:dyDescent="0.3">
      <c r="T175" s="2"/>
      <c r="U175" s="2"/>
      <c r="V175" s="2"/>
      <c r="W175" s="2"/>
      <c r="X175" s="2"/>
    </row>
    <row r="176" spans="20:24" x14ac:dyDescent="0.3">
      <c r="T176" s="2"/>
      <c r="U176" s="2"/>
      <c r="V176" s="2"/>
      <c r="W176" s="2"/>
      <c r="X176" s="2"/>
    </row>
    <row r="177" spans="20:24" x14ac:dyDescent="0.3">
      <c r="T177" s="2"/>
      <c r="U177" s="2"/>
      <c r="V177" s="2"/>
      <c r="W177" s="2"/>
      <c r="X177" s="2"/>
    </row>
    <row r="178" spans="20:24" x14ac:dyDescent="0.3">
      <c r="T178" s="2"/>
      <c r="U178" s="2"/>
      <c r="V178" s="2"/>
      <c r="W178" s="2"/>
      <c r="X178" s="2"/>
    </row>
    <row r="179" spans="20:24" ht="44.25" customHeight="1" x14ac:dyDescent="0.3">
      <c r="T179" s="2"/>
      <c r="U179" s="2"/>
      <c r="V179" s="2"/>
      <c r="W179" s="2"/>
      <c r="X179" s="2"/>
    </row>
    <row r="180" spans="20:24" x14ac:dyDescent="0.3">
      <c r="T180" s="2"/>
      <c r="U180" s="2"/>
      <c r="V180" s="2"/>
      <c r="W180" s="2"/>
      <c r="X180" s="2"/>
    </row>
    <row r="181" spans="20:24" x14ac:dyDescent="0.3">
      <c r="T181" s="2"/>
      <c r="U181" s="2"/>
      <c r="V181" s="2"/>
      <c r="W181" s="2"/>
      <c r="X181" s="2"/>
    </row>
    <row r="182" spans="20:24" ht="30" customHeight="1" x14ac:dyDescent="0.3">
      <c r="T182" s="2"/>
      <c r="U182" s="2"/>
      <c r="V182" s="2"/>
      <c r="W182" s="2"/>
      <c r="X182" s="2"/>
    </row>
    <row r="183" spans="20:24" ht="41.25" customHeight="1" x14ac:dyDescent="0.3">
      <c r="T183" s="2"/>
      <c r="U183" s="2"/>
      <c r="V183" s="2"/>
      <c r="W183" s="2"/>
      <c r="X183" s="2"/>
    </row>
  </sheetData>
  <sheetProtection algorithmName="SHA-512" hashValue="6SsIeSEJL8Ip5P8GfzkLMUu3KNrWaaxpnGdeG85Zfek/ek7xNPsky+k4hxpo941k0PlgRlkV32/3TPX9UDkXjA==" saltValue="hKhMR90q2q8ZcVMt00Mcmw==" spinCount="100000" sheet="1" objects="1" scenarios="1" selectLockedCells="1" selectUnlockedCells="1"/>
  <mergeCells count="3">
    <mergeCell ref="R3:S4"/>
    <mergeCell ref="T3:U4"/>
    <mergeCell ref="V3:W4"/>
  </mergeCells>
  <conditionalFormatting sqref="E26:K26 E29:F29">
    <cfRule type="expression" dxfId="7" priority="2">
      <formula>AND(DAY(E26)&gt;=1,DAY(E26)&lt;=15)</formula>
    </cfRule>
  </conditionalFormatting>
  <conditionalFormatting sqref="E13:J13">
    <cfRule type="expression" dxfId="6" priority="1">
      <formula>DAY(E13)&gt;8</formula>
    </cfRule>
  </conditionalFormatting>
  <dataValidations disablePrompts="1" count="11">
    <dataValidation allowBlank="1" showInputMessage="1" showErrorMessage="1" prompt="Inserir Anotações na célula à direita" sqref="G29:G30" xr:uid="{00000000-0002-0000-0000-00000D000000}"/>
    <dataValidation allowBlank="1" showInputMessage="1" showErrorMessage="1" prompt="Inserir Anotações nesta célula" sqref="H29:K30" xr:uid="{00000000-0002-0000-0000-00000C000000}"/>
    <dataValidation allowBlank="1" showInputMessage="1" showErrorMessage="1" prompt="Esta linha e as linhas 6, 8, 10, 12 e 14 são células para inserir anotações diárias relacionadas ao dia do calendário na célula acima." sqref="E14" xr:uid="{00000000-0002-0000-0000-00000B000000}"/>
    <dataValidation allowBlank="1" showInputMessage="1" showErrorMessage="1" prompt="Dia da semana determinado automaticamente" sqref="F12:K12" xr:uid="{00000000-0002-0000-0000-00000A000000}"/>
    <dataValidation allowBlank="1" showInputMessage="1" showErrorMessage="1" prompt="O ano nesta célula é atualizado automaticamente com base no ano inserido na célula K2. O calendário abaixo tem as datas dos meses anterior e seguinte com sombreamento de fonte mais claro." sqref="E11" xr:uid="{00000000-0002-0000-0000-000009000000}"/>
    <dataValidation allowBlank="1" showInputMessage="1" showErrorMessage="1" prompt="Esta linha e as linhas 5, 7, 9, 11 e 13 contêm dias da semana do calendário. Se esta célula não contém o número 1, é um dia do mês anterior. Inserir anotações na célula E13" sqref="E13" xr:uid="{00000000-0002-0000-0000-000008000000}"/>
    <dataValidation allowBlank="1" showInputMessage="1" showErrorMessage="1" prompt="Esta linha contém os nomes dos dias da semana para este calendário. Esta célula contém o dia de início da semana. Para alterar o dia de início, insira um novo dia da semana na célula K3." sqref="E12" xr:uid="{00000000-0002-0000-0000-000007000000}"/>
    <dataValidation allowBlank="1" showInputMessage="1" showErrorMessage="1" prompt="Selecione o dia de início da semana na célula à direita." sqref="Q4:Q6" xr:uid="{00000000-0002-0000-0000-000005000000}"/>
    <dataValidation allowBlank="1" showInputMessage="1" showErrorMessage="1" prompt="Insira o ano na célula à direita." sqref="Q3" xr:uid="{00000000-0002-0000-0000-000004000000}"/>
    <dataValidation allowBlank="1" showInputMessage="1" showErrorMessage="1" prompt="Insira o ano e selecione o dia de início do calendário nas células abaixo. Estas células de Configurações de Calendário não serão impressas." sqref="Q2" xr:uid="{00000000-0002-0000-0000-000003000000}"/>
    <dataValidation allowBlank="1" showInputMessage="1" showErrorMessage="1" prompt="O ano nesta célula é atualizado automaticamente. Selecione outro ano na célula K2 para alterar o ano." sqref="F11:G11" xr:uid="{00000000-0002-0000-0000-000002000000}"/>
  </dataValidations>
  <hyperlinks>
    <hyperlink ref="R3:S4" location="'🔒'!A1" display="REGISTROS" xr:uid="{62C64CD0-E6DC-4D8C-A9D6-B36C9B319A69}"/>
    <hyperlink ref="T3:U4" location="ANUAL!A1" display="ANUAL" xr:uid="{80DCEF65-2F80-48A7-961A-8CFDA7109C00}"/>
  </hyperlink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C88BBD-6301-4604-874B-2768F6AF3FA9}">
  <sheetPr codeName="Planilha18"/>
  <dimension ref="A1:CH21"/>
  <sheetViews>
    <sheetView topLeftCell="F1" workbookViewId="0">
      <selection activeCell="L5" sqref="L5"/>
    </sheetView>
  </sheetViews>
  <sheetFormatPr defaultRowHeight="14.4" x14ac:dyDescent="0.3"/>
  <cols>
    <col min="7" max="7" width="31" bestFit="1" customWidth="1"/>
    <col min="10" max="10" width="12.33203125" customWidth="1"/>
    <col min="11" max="11" width="3.88671875" customWidth="1"/>
    <col min="12" max="12" width="15.5546875" bestFit="1" customWidth="1"/>
    <col min="13" max="13" width="3.88671875" customWidth="1"/>
    <col min="14" max="14" width="15.5546875" bestFit="1" customWidth="1"/>
    <col min="15" max="15" width="3.88671875" customWidth="1"/>
    <col min="16" max="16" width="18.109375" customWidth="1"/>
    <col min="17" max="17" width="4.109375" customWidth="1"/>
    <col min="18" max="18" width="29.44140625" bestFit="1" customWidth="1"/>
    <col min="19" max="19" width="3.33203125" customWidth="1"/>
    <col min="20" max="20" width="22.88671875" bestFit="1" customWidth="1"/>
    <col min="21" max="21" width="7.33203125" customWidth="1"/>
    <col min="22" max="22" width="17.5546875" bestFit="1" customWidth="1"/>
    <col min="23" max="23" width="4.6640625" customWidth="1"/>
    <col min="24" max="24" width="19.33203125" bestFit="1" customWidth="1"/>
    <col min="25" max="25" width="4.6640625" customWidth="1"/>
    <col min="26" max="26" width="23.109375" bestFit="1" customWidth="1"/>
    <col min="27" max="27" width="6" customWidth="1"/>
    <col min="28" max="28" width="16.44140625" bestFit="1" customWidth="1"/>
    <col min="29" max="29" width="4.33203125" customWidth="1"/>
    <col min="30" max="30" width="19.88671875" bestFit="1" customWidth="1"/>
    <col min="31" max="31" width="4.33203125" customWidth="1"/>
    <col min="32" max="32" width="26.109375" bestFit="1" customWidth="1"/>
    <col min="33" max="33" width="4.33203125" customWidth="1"/>
    <col min="34" max="34" width="28" bestFit="1" customWidth="1"/>
    <col min="35" max="35" width="9.33203125" customWidth="1"/>
    <col min="36" max="36" width="16.44140625" bestFit="1" customWidth="1"/>
    <col min="37" max="37" width="4" bestFit="1" customWidth="1"/>
    <col min="38" max="38" width="19.88671875" bestFit="1" customWidth="1"/>
    <col min="39" max="39" width="4" bestFit="1" customWidth="1"/>
    <col min="40" max="40" width="26.109375" bestFit="1" customWidth="1"/>
    <col min="41" max="41" width="4" bestFit="1" customWidth="1"/>
    <col min="42" max="42" width="28" bestFit="1" customWidth="1"/>
  </cols>
  <sheetData>
    <row r="1" spans="1:86" x14ac:dyDescent="0.3">
      <c r="B1" t="s">
        <v>164</v>
      </c>
      <c r="E1" t="s">
        <v>163</v>
      </c>
      <c r="F1" t="s">
        <v>162</v>
      </c>
      <c r="G1" t="s">
        <v>161</v>
      </c>
      <c r="H1" t="s">
        <v>160</v>
      </c>
      <c r="I1" t="s">
        <v>159</v>
      </c>
      <c r="P1" t="s">
        <v>78</v>
      </c>
      <c r="AT1" t="s">
        <v>103</v>
      </c>
      <c r="AX1" t="s">
        <v>138</v>
      </c>
      <c r="BB1" t="s">
        <v>68</v>
      </c>
      <c r="BF1" t="s">
        <v>119</v>
      </c>
      <c r="BJ1" t="s">
        <v>157</v>
      </c>
      <c r="BN1" t="s">
        <v>78</v>
      </c>
      <c r="BR1" t="s">
        <v>103</v>
      </c>
      <c r="BV1" t="s">
        <v>138</v>
      </c>
      <c r="BZ1" t="s">
        <v>68</v>
      </c>
      <c r="CD1" t="s">
        <v>119</v>
      </c>
      <c r="CH1" t="s">
        <v>157</v>
      </c>
    </row>
    <row r="2" spans="1:86" x14ac:dyDescent="0.3">
      <c r="B2" t="s">
        <v>22</v>
      </c>
      <c r="E2" t="s">
        <v>158</v>
      </c>
      <c r="F2" t="s">
        <v>157</v>
      </c>
      <c r="G2" t="s">
        <v>156</v>
      </c>
      <c r="H2" t="s">
        <v>20</v>
      </c>
      <c r="I2" t="s">
        <v>155</v>
      </c>
      <c r="J2" t="s">
        <v>154</v>
      </c>
      <c r="L2" t="s">
        <v>153</v>
      </c>
      <c r="N2" t="s">
        <v>152</v>
      </c>
      <c r="P2" t="s">
        <v>151</v>
      </c>
      <c r="R2" t="s">
        <v>132</v>
      </c>
      <c r="T2" t="s">
        <v>116</v>
      </c>
      <c r="V2" t="s">
        <v>150</v>
      </c>
      <c r="X2" t="s">
        <v>129</v>
      </c>
      <c r="Z2" t="s">
        <v>113</v>
      </c>
      <c r="AB2" t="s">
        <v>102</v>
      </c>
      <c r="AD2" t="s">
        <v>126</v>
      </c>
      <c r="AF2" t="s">
        <v>110</v>
      </c>
      <c r="AH2" t="s">
        <v>149</v>
      </c>
      <c r="AJ2" t="s">
        <v>89</v>
      </c>
      <c r="AL2" t="s">
        <v>148</v>
      </c>
      <c r="AN2" t="s">
        <v>147</v>
      </c>
      <c r="AP2" t="s">
        <v>146</v>
      </c>
      <c r="AS2" t="s">
        <v>145</v>
      </c>
      <c r="AT2" t="s">
        <v>142</v>
      </c>
      <c r="AU2" t="s">
        <v>144</v>
      </c>
      <c r="AW2" t="s">
        <v>145</v>
      </c>
      <c r="AX2" t="s">
        <v>142</v>
      </c>
      <c r="AY2" t="s">
        <v>144</v>
      </c>
      <c r="BA2" t="s">
        <v>145</v>
      </c>
      <c r="BB2" t="s">
        <v>142</v>
      </c>
      <c r="BC2" t="s">
        <v>144</v>
      </c>
      <c r="BE2" t="s">
        <v>145</v>
      </c>
      <c r="BF2" t="s">
        <v>142</v>
      </c>
      <c r="BG2" t="s">
        <v>144</v>
      </c>
      <c r="BI2" t="s">
        <v>145</v>
      </c>
      <c r="BJ2" t="s">
        <v>142</v>
      </c>
      <c r="BK2" t="s">
        <v>144</v>
      </c>
      <c r="BM2" t="s">
        <v>143</v>
      </c>
      <c r="BN2" t="s">
        <v>142</v>
      </c>
      <c r="BO2" t="s">
        <v>144</v>
      </c>
      <c r="BQ2" t="s">
        <v>143</v>
      </c>
      <c r="BR2" t="s">
        <v>142</v>
      </c>
      <c r="BS2" t="s">
        <v>144</v>
      </c>
      <c r="BU2" t="s">
        <v>143</v>
      </c>
      <c r="BV2" t="s">
        <v>142</v>
      </c>
      <c r="BW2" t="s">
        <v>144</v>
      </c>
      <c r="BY2" t="s">
        <v>143</v>
      </c>
      <c r="BZ2" t="s">
        <v>142</v>
      </c>
      <c r="CA2" t="s">
        <v>144</v>
      </c>
      <c r="CC2" t="s">
        <v>143</v>
      </c>
      <c r="CD2" t="s">
        <v>142</v>
      </c>
      <c r="CE2" t="s">
        <v>144</v>
      </c>
      <c r="CG2" t="s">
        <v>143</v>
      </c>
      <c r="CH2" t="s">
        <v>142</v>
      </c>
    </row>
    <row r="3" spans="1:86" x14ac:dyDescent="0.3">
      <c r="A3">
        <v>1</v>
      </c>
      <c r="B3" t="s">
        <v>141</v>
      </c>
      <c r="C3">
        <v>1</v>
      </c>
      <c r="D3" t="s">
        <v>140</v>
      </c>
      <c r="E3" t="s">
        <v>139</v>
      </c>
      <c r="F3" t="s">
        <v>138</v>
      </c>
      <c r="G3" t="s">
        <v>137</v>
      </c>
      <c r="H3" t="s">
        <v>21</v>
      </c>
      <c r="I3" t="s">
        <v>136</v>
      </c>
      <c r="J3" t="s">
        <v>135</v>
      </c>
      <c r="L3" t="s">
        <v>134</v>
      </c>
      <c r="N3" t="s">
        <v>133</v>
      </c>
      <c r="P3" t="s">
        <v>132</v>
      </c>
      <c r="Q3" t="str">
        <f>LEFT(despesafixa[[#This Row],[DESPESA FIXA]],1)</f>
        <v>💧</v>
      </c>
      <c r="R3" t="s">
        <v>131</v>
      </c>
      <c r="S3" t="str">
        <f>LEFT(despesavariável[[#This Row],[DESPESA VARIÁVEL]],1)</f>
        <v>🍕</v>
      </c>
      <c r="T3" t="s">
        <v>130</v>
      </c>
      <c r="V3" t="s">
        <v>129</v>
      </c>
      <c r="W3" t="str">
        <f>LEFT(receitafixa[[#This Row],[RECEITA FIXA]],1)</f>
        <v>💵</v>
      </c>
      <c r="X3" t="s">
        <v>128</v>
      </c>
      <c r="Y3" t="str">
        <f>LEFT(receitavariável[[#This Row],[RECEITA VARIÁVEL]],1)</f>
        <v>🏅</v>
      </c>
      <c r="Z3" t="s">
        <v>127</v>
      </c>
      <c r="AB3" t="s">
        <v>126</v>
      </c>
      <c r="AC3" t="str">
        <f>LEFT(rendafixa[[#This Row],[RENDA FIXA]],1)</f>
        <v>📝</v>
      </c>
      <c r="AD3" t="s">
        <v>125</v>
      </c>
      <c r="AE3" t="str">
        <f>LEFT(rendavariável[[#This Row],[RENDA VARIÁVEL]],1)</f>
        <v>📝</v>
      </c>
      <c r="AF3" t="s">
        <v>124</v>
      </c>
      <c r="AG3" t="str">
        <f>LEFT(outros[[#This Row],[OUTROS INVESTIMENTOS]],1)</f>
        <v>📝</v>
      </c>
      <c r="AH3" t="s">
        <v>123</v>
      </c>
      <c r="AJ3" t="s">
        <v>126</v>
      </c>
      <c r="AK3" t="str">
        <f>LEFT(reservarendafixa[[#This Row],[RESERVA RENDA FIXA]],1)</f>
        <v>📝</v>
      </c>
      <c r="AL3" t="s">
        <v>125</v>
      </c>
      <c r="AM3" t="str">
        <f>LEFT(reservarendavariável[[#This Row],[RESERVA RENDA VARIÁVEL]],1)</f>
        <v>📝</v>
      </c>
      <c r="AN3" t="s">
        <v>124</v>
      </c>
      <c r="AO3" t="str">
        <f>LEFT(reservaoutros[[#This Row],[RESERVA OUTROS INVESTIMENTOS]],1)</f>
        <v>📝</v>
      </c>
      <c r="AP3" t="s">
        <v>123</v>
      </c>
      <c r="AS3" t="s">
        <v>81</v>
      </c>
      <c r="AT3" t="s">
        <v>121</v>
      </c>
      <c r="AU3" t="s">
        <v>122</v>
      </c>
      <c r="AW3" t="s">
        <v>81</v>
      </c>
      <c r="AX3" t="s">
        <v>121</v>
      </c>
      <c r="AY3" t="s">
        <v>122</v>
      </c>
      <c r="BA3" t="s">
        <v>81</v>
      </c>
      <c r="BB3" t="s">
        <v>121</v>
      </c>
      <c r="BC3" t="s">
        <v>122</v>
      </c>
      <c r="BE3" t="s">
        <v>81</v>
      </c>
      <c r="BF3" t="s">
        <v>121</v>
      </c>
      <c r="BG3" t="s">
        <v>122</v>
      </c>
      <c r="BI3" t="s">
        <v>81</v>
      </c>
      <c r="BJ3" t="s">
        <v>121</v>
      </c>
      <c r="BK3" t="s">
        <v>122</v>
      </c>
      <c r="BM3" t="s">
        <v>81</v>
      </c>
      <c r="BN3" t="s">
        <v>121</v>
      </c>
      <c r="BO3" t="s">
        <v>122</v>
      </c>
      <c r="BQ3" t="s">
        <v>81</v>
      </c>
      <c r="BR3" t="s">
        <v>121</v>
      </c>
      <c r="BS3" t="s">
        <v>122</v>
      </c>
      <c r="BU3" t="s">
        <v>81</v>
      </c>
      <c r="BV3" t="s">
        <v>121</v>
      </c>
      <c r="BW3" t="s">
        <v>122</v>
      </c>
      <c r="BY3" t="s">
        <v>81</v>
      </c>
      <c r="BZ3" t="s">
        <v>121</v>
      </c>
      <c r="CA3" t="s">
        <v>122</v>
      </c>
      <c r="CC3" t="s">
        <v>81</v>
      </c>
      <c r="CD3" t="s">
        <v>121</v>
      </c>
      <c r="CE3" t="s">
        <v>122</v>
      </c>
      <c r="CG3" t="s">
        <v>81</v>
      </c>
      <c r="CH3" t="s">
        <v>121</v>
      </c>
    </row>
    <row r="4" spans="1:86" x14ac:dyDescent="0.3">
      <c r="A4">
        <v>2</v>
      </c>
      <c r="B4" t="s">
        <v>120</v>
      </c>
      <c r="C4">
        <v>2</v>
      </c>
      <c r="F4" t="s">
        <v>119</v>
      </c>
      <c r="J4" t="s">
        <v>118</v>
      </c>
      <c r="L4" t="s">
        <v>276</v>
      </c>
      <c r="N4" t="s">
        <v>117</v>
      </c>
      <c r="P4" t="s">
        <v>116</v>
      </c>
      <c r="Q4" t="str">
        <f>LEFT(despesafixa[[#This Row],[DESPESA FIXA]],1)</f>
        <v>🐶</v>
      </c>
      <c r="R4" t="s">
        <v>115</v>
      </c>
      <c r="S4" t="str">
        <f>LEFT(despesavariável[[#This Row],[DESPESA VARIÁVEL]],1)</f>
        <v>💳</v>
      </c>
      <c r="T4" t="s">
        <v>114</v>
      </c>
      <c r="V4" t="s">
        <v>113</v>
      </c>
      <c r="W4" t="str">
        <f>LEFT(receitafixa[[#This Row],[RECEITA FIXA]],1)</f>
        <v>💸</v>
      </c>
      <c r="X4" t="s">
        <v>112</v>
      </c>
      <c r="Y4" t="str">
        <f>LEFT(receitavariável[[#This Row],[RECEITA VARIÁVEL]],1)</f>
        <v>🤑</v>
      </c>
      <c r="Z4" t="s">
        <v>111</v>
      </c>
      <c r="AB4" t="s">
        <v>110</v>
      </c>
      <c r="AC4" t="str">
        <f>LEFT(rendafixa[[#This Row],[RENDA FIXA]],1)</f>
        <v>📝</v>
      </c>
      <c r="AD4" t="s">
        <v>109</v>
      </c>
      <c r="AE4" t="str">
        <f>LEFT(rendavariável[[#This Row],[RENDA VARIÁVEL]],1)</f>
        <v>📝</v>
      </c>
      <c r="AF4" t="s">
        <v>108</v>
      </c>
      <c r="AG4" t="str">
        <f>LEFT(outros[[#This Row],[OUTROS INVESTIMENTOS]],1)</f>
        <v>📝</v>
      </c>
      <c r="AH4" t="s">
        <v>107</v>
      </c>
      <c r="AJ4" t="s">
        <v>110</v>
      </c>
      <c r="AK4" t="str">
        <f>LEFT(reservarendafixa[[#This Row],[RESERVA RENDA FIXA]],1)</f>
        <v>📝</v>
      </c>
      <c r="AL4" t="s">
        <v>109</v>
      </c>
      <c r="AM4" t="str">
        <f>LEFT(reservarendavariável[[#This Row],[RESERVA RENDA VARIÁVEL]],1)</f>
        <v>📝</v>
      </c>
      <c r="AN4" t="s">
        <v>108</v>
      </c>
      <c r="AO4" t="str">
        <f>LEFT(reservaoutros[[#This Row],[RESERVA OUTROS INVESTIMENTOS]],1)</f>
        <v>📝</v>
      </c>
      <c r="AP4" t="s">
        <v>107</v>
      </c>
      <c r="AS4" t="s">
        <v>81</v>
      </c>
      <c r="AT4" t="s">
        <v>105</v>
      </c>
      <c r="AU4" t="s">
        <v>106</v>
      </c>
      <c r="AW4" t="s">
        <v>81</v>
      </c>
      <c r="AX4" t="s">
        <v>105</v>
      </c>
      <c r="AY4" t="s">
        <v>106</v>
      </c>
      <c r="BA4" t="s">
        <v>81</v>
      </c>
      <c r="BB4" t="s">
        <v>105</v>
      </c>
      <c r="BC4" t="s">
        <v>106</v>
      </c>
      <c r="BE4" t="s">
        <v>81</v>
      </c>
      <c r="BF4" t="s">
        <v>105</v>
      </c>
      <c r="BG4" t="s">
        <v>106</v>
      </c>
      <c r="BI4" t="s">
        <v>81</v>
      </c>
      <c r="BJ4" t="s">
        <v>105</v>
      </c>
      <c r="BK4" t="s">
        <v>106</v>
      </c>
      <c r="BM4" t="s">
        <v>81</v>
      </c>
      <c r="BN4" t="s">
        <v>105</v>
      </c>
      <c r="BO4" t="s">
        <v>106</v>
      </c>
      <c r="BQ4" t="s">
        <v>81</v>
      </c>
      <c r="BR4" t="s">
        <v>105</v>
      </c>
      <c r="BS4" t="s">
        <v>106</v>
      </c>
      <c r="BU4" t="s">
        <v>81</v>
      </c>
      <c r="BV4" t="s">
        <v>105</v>
      </c>
      <c r="BW4" t="s">
        <v>106</v>
      </c>
      <c r="BY4" t="s">
        <v>81</v>
      </c>
      <c r="BZ4" t="s">
        <v>105</v>
      </c>
      <c r="CA4" t="s">
        <v>106</v>
      </c>
      <c r="CC4" t="s">
        <v>81</v>
      </c>
      <c r="CD4" t="s">
        <v>105</v>
      </c>
      <c r="CE4" t="s">
        <v>106</v>
      </c>
      <c r="CG4" t="s">
        <v>81</v>
      </c>
      <c r="CH4" t="s">
        <v>105</v>
      </c>
    </row>
    <row r="5" spans="1:86" x14ac:dyDescent="0.3">
      <c r="A5">
        <v>3</v>
      </c>
      <c r="B5" t="s">
        <v>104</v>
      </c>
      <c r="C5">
        <v>3</v>
      </c>
      <c r="F5" t="s">
        <v>103</v>
      </c>
      <c r="L5" t="s">
        <v>275</v>
      </c>
      <c r="N5" t="s">
        <v>102</v>
      </c>
      <c r="Q5" t="str">
        <f>LEFT(despesafixa[[#This Row],[DESPESA FIXA]],1)</f>
        <v>🔖</v>
      </c>
      <c r="R5" t="s">
        <v>101</v>
      </c>
      <c r="S5" t="str">
        <f>LEFT(despesavariável[[#This Row],[DESPESA VARIÁVEL]],1)</f>
        <v>✍</v>
      </c>
      <c r="T5" t="s">
        <v>100</v>
      </c>
      <c r="W5" t="str">
        <f>LEFT(receitafixa[[#This Row],[RECEITA FIXA]],1)</f>
        <v>🎀</v>
      </c>
      <c r="X5" t="s">
        <v>99</v>
      </c>
      <c r="Y5" t="str">
        <f>LEFT(receitavariável[[#This Row],[RECEITA VARIÁVEL]],1)</f>
        <v>🎗</v>
      </c>
      <c r="Z5" t="s">
        <v>98</v>
      </c>
      <c r="AB5" t="s">
        <v>97</v>
      </c>
      <c r="AC5" t="str">
        <f>LEFT(rendafixa[[#This Row],[RENDA FIXA]],1)</f>
        <v>📝</v>
      </c>
      <c r="AD5" t="s">
        <v>96</v>
      </c>
      <c r="AE5" t="str">
        <f>LEFT(rendavariável[[#This Row],[RENDA VARIÁVEL]],1)</f>
        <v>📝</v>
      </c>
      <c r="AF5" t="s">
        <v>95</v>
      </c>
      <c r="AG5" t="str">
        <f>LEFT(outros[[#This Row],[OUTROS INVESTIMENTOS]],1)</f>
        <v>📝</v>
      </c>
      <c r="AH5" t="s">
        <v>94</v>
      </c>
      <c r="AJ5" t="s">
        <v>97</v>
      </c>
      <c r="AK5" t="str">
        <f>LEFT(reservarendafixa[[#This Row],[RESERVA RENDA FIXA]],1)</f>
        <v>📝</v>
      </c>
      <c r="AL5" t="s">
        <v>96</v>
      </c>
      <c r="AM5" t="str">
        <f>LEFT(reservarendavariável[[#This Row],[RESERVA RENDA VARIÁVEL]],1)</f>
        <v>📝</v>
      </c>
      <c r="AN5" t="s">
        <v>95</v>
      </c>
      <c r="AO5" t="str">
        <f>LEFT(reservaoutros[[#This Row],[RESERVA OUTROS INVESTIMENTOS]],1)</f>
        <v>📝</v>
      </c>
      <c r="AP5" t="s">
        <v>94</v>
      </c>
      <c r="AS5" t="s">
        <v>81</v>
      </c>
      <c r="AT5" t="s">
        <v>93</v>
      </c>
      <c r="AW5" t="s">
        <v>81</v>
      </c>
      <c r="AX5" t="s">
        <v>93</v>
      </c>
      <c r="BA5" t="s">
        <v>81</v>
      </c>
      <c r="BB5" t="s">
        <v>93</v>
      </c>
      <c r="BE5" t="s">
        <v>81</v>
      </c>
      <c r="BF5" t="s">
        <v>93</v>
      </c>
      <c r="BI5" t="s">
        <v>81</v>
      </c>
      <c r="BJ5" t="s">
        <v>93</v>
      </c>
      <c r="BM5" t="s">
        <v>81</v>
      </c>
      <c r="BN5" t="s">
        <v>93</v>
      </c>
      <c r="BQ5" t="s">
        <v>81</v>
      </c>
      <c r="BR5" t="s">
        <v>93</v>
      </c>
      <c r="BU5" t="s">
        <v>81</v>
      </c>
      <c r="BV5" t="s">
        <v>93</v>
      </c>
      <c r="BY5" t="s">
        <v>81</v>
      </c>
      <c r="BZ5" t="s">
        <v>93</v>
      </c>
      <c r="CC5" t="s">
        <v>81</v>
      </c>
      <c r="CD5" t="s">
        <v>93</v>
      </c>
      <c r="CG5" t="s">
        <v>81</v>
      </c>
      <c r="CH5" t="s">
        <v>93</v>
      </c>
    </row>
    <row r="6" spans="1:86" x14ac:dyDescent="0.3">
      <c r="A6">
        <v>4</v>
      </c>
      <c r="B6" t="s">
        <v>92</v>
      </c>
      <c r="C6">
        <v>4</v>
      </c>
      <c r="F6" t="s">
        <v>91</v>
      </c>
      <c r="L6" t="s">
        <v>90</v>
      </c>
      <c r="N6" t="s">
        <v>89</v>
      </c>
      <c r="Q6" t="str">
        <f>LEFT(despesafixa[[#This Row],[DESPESA FIXA]],1)</f>
        <v>📱</v>
      </c>
      <c r="R6" t="s">
        <v>88</v>
      </c>
      <c r="S6" t="str">
        <f>LEFT(despesavariável[[#This Row],[DESPESA VARIÁVEL]],1)</f>
        <v>💄</v>
      </c>
      <c r="T6" t="s">
        <v>87</v>
      </c>
      <c r="W6" t="str">
        <f>LEFT(receitafixa[[#This Row],[RECEITA FIXA]],1)</f>
        <v>💰</v>
      </c>
      <c r="X6" t="s">
        <v>86</v>
      </c>
      <c r="Y6" t="str">
        <f>LEFT(receitavariável[[#This Row],[RECEITA VARIÁVEL]],1)</f>
        <v>💲</v>
      </c>
      <c r="Z6" t="s">
        <v>85</v>
      </c>
      <c r="AC6" t="str">
        <f>LEFT(rendafixa[[#This Row],[RENDA FIXA]],1)</f>
        <v>📝</v>
      </c>
      <c r="AD6" t="s">
        <v>84</v>
      </c>
      <c r="AE6" t="str">
        <f>LEFT(rendavariável[[#This Row],[RENDA VARIÁVEL]],1)</f>
        <v>📝</v>
      </c>
      <c r="AF6" t="s">
        <v>83</v>
      </c>
      <c r="AG6" t="str">
        <f>LEFT(outros[[#This Row],[OUTROS INVESTIMENTOS]],1)</f>
        <v>📝</v>
      </c>
      <c r="AH6" t="s">
        <v>82</v>
      </c>
      <c r="AK6" t="str">
        <f>LEFT(reservarendafixa[[#This Row],[RESERVA RENDA FIXA]],1)</f>
        <v>📝</v>
      </c>
      <c r="AL6" t="s">
        <v>84</v>
      </c>
      <c r="AM6" t="str">
        <f>LEFT(reservarendavariável[[#This Row],[RESERVA RENDA VARIÁVEL]],1)</f>
        <v>📝</v>
      </c>
      <c r="AN6" t="s">
        <v>83</v>
      </c>
      <c r="AO6" t="str">
        <f>LEFT(reservaoutros[[#This Row],[RESERVA OUTROS INVESTIMENTOS]],1)</f>
        <v>📝</v>
      </c>
      <c r="AP6" t="s">
        <v>82</v>
      </c>
      <c r="AS6" t="s">
        <v>81</v>
      </c>
      <c r="AT6" t="s">
        <v>80</v>
      </c>
      <c r="AW6" t="s">
        <v>81</v>
      </c>
      <c r="AX6" t="s">
        <v>80</v>
      </c>
      <c r="BA6" t="s">
        <v>81</v>
      </c>
      <c r="BB6" t="s">
        <v>80</v>
      </c>
      <c r="BE6" t="s">
        <v>81</v>
      </c>
      <c r="BF6" t="s">
        <v>80</v>
      </c>
      <c r="BI6" t="s">
        <v>81</v>
      </c>
      <c r="BJ6" t="s">
        <v>80</v>
      </c>
      <c r="BM6" t="s">
        <v>81</v>
      </c>
      <c r="BN6" t="s">
        <v>80</v>
      </c>
      <c r="BQ6" t="s">
        <v>81</v>
      </c>
      <c r="BR6" t="s">
        <v>80</v>
      </c>
      <c r="BU6" t="s">
        <v>81</v>
      </c>
      <c r="BV6" t="s">
        <v>80</v>
      </c>
      <c r="BY6" t="s">
        <v>81</v>
      </c>
      <c r="BZ6" t="s">
        <v>80</v>
      </c>
      <c r="CC6" t="s">
        <v>81</v>
      </c>
      <c r="CD6" t="s">
        <v>80</v>
      </c>
      <c r="CG6" t="s">
        <v>81</v>
      </c>
      <c r="CH6" t="s">
        <v>80</v>
      </c>
    </row>
    <row r="7" spans="1:86" x14ac:dyDescent="0.3">
      <c r="A7">
        <v>5</v>
      </c>
      <c r="B7" t="s">
        <v>79</v>
      </c>
      <c r="C7">
        <v>5</v>
      </c>
      <c r="F7" t="s">
        <v>78</v>
      </c>
      <c r="I7" t="s">
        <v>77</v>
      </c>
      <c r="L7" t="s">
        <v>269</v>
      </c>
      <c r="Q7" t="str">
        <f>LEFT(despesafixa[[#This Row],[DESPESA FIXA]],1)</f>
        <v>📖</v>
      </c>
      <c r="R7" t="s">
        <v>65</v>
      </c>
      <c r="S7" t="str">
        <f>LEFT(despesavariável[[#This Row],[DESPESA VARIÁVEL]],1)</f>
        <v>🤝</v>
      </c>
      <c r="T7" t="s">
        <v>75</v>
      </c>
      <c r="W7" t="str">
        <f>LEFT(receitafixa[[#This Row],[RECEITA FIXA]],1)</f>
        <v>📎</v>
      </c>
      <c r="X7" t="s">
        <v>25</v>
      </c>
      <c r="Y7" t="str">
        <f>LEFT(receitavariável[[#This Row],[RECEITA VARIÁVEL]],1)</f>
        <v>🧾</v>
      </c>
      <c r="Z7" t="s">
        <v>74</v>
      </c>
      <c r="AC7" t="str">
        <f>LEFT(rendafixa[[#This Row],[RENDA FIXA]],1)</f>
        <v>📝</v>
      </c>
      <c r="AD7" t="s">
        <v>52</v>
      </c>
      <c r="AE7" t="str">
        <f>LEFT(rendavariável[[#This Row],[RENDA VARIÁVEL]],1)</f>
        <v>📝</v>
      </c>
      <c r="AF7" t="s">
        <v>73</v>
      </c>
      <c r="AG7" t="str">
        <f>LEFT(outros[[#This Row],[OUTROS INVESTIMENTOS]],1)</f>
        <v>📝</v>
      </c>
      <c r="AH7" t="s">
        <v>72</v>
      </c>
      <c r="AK7" t="str">
        <f>LEFT(reservarendafixa[[#This Row],[RESERVA RENDA FIXA]],1)</f>
        <v>📝</v>
      </c>
      <c r="AL7" t="s">
        <v>52</v>
      </c>
      <c r="AM7" t="str">
        <f>LEFT(reservarendavariável[[#This Row],[RESERVA RENDA VARIÁVEL]],1)</f>
        <v>📝</v>
      </c>
      <c r="AN7" t="s">
        <v>73</v>
      </c>
      <c r="AO7" t="str">
        <f>LEFT(reservaoutros[[#This Row],[RESERVA OUTROS INVESTIMENTOS]],1)</f>
        <v>📝</v>
      </c>
      <c r="AP7" t="s">
        <v>72</v>
      </c>
      <c r="AS7" t="s">
        <v>49</v>
      </c>
      <c r="AT7" t="s">
        <v>70</v>
      </c>
      <c r="AU7" t="s">
        <v>71</v>
      </c>
      <c r="AW7" t="s">
        <v>49</v>
      </c>
      <c r="AX7" t="s">
        <v>70</v>
      </c>
      <c r="AY7" t="s">
        <v>71</v>
      </c>
      <c r="BA7" t="s">
        <v>49</v>
      </c>
      <c r="BB7" t="s">
        <v>70</v>
      </c>
      <c r="BC7" t="s">
        <v>71</v>
      </c>
      <c r="BE7" t="s">
        <v>49</v>
      </c>
      <c r="BF7" t="s">
        <v>70</v>
      </c>
      <c r="BG7" t="s">
        <v>71</v>
      </c>
      <c r="BI7" t="s">
        <v>49</v>
      </c>
      <c r="BJ7" t="s">
        <v>70</v>
      </c>
      <c r="BK7" t="s">
        <v>71</v>
      </c>
      <c r="BM7" t="s">
        <v>49</v>
      </c>
      <c r="BN7" t="s">
        <v>70</v>
      </c>
      <c r="BO7" t="s">
        <v>71</v>
      </c>
      <c r="BQ7" t="s">
        <v>49</v>
      </c>
      <c r="BR7" t="s">
        <v>70</v>
      </c>
      <c r="BS7" t="s">
        <v>71</v>
      </c>
      <c r="BU7" t="s">
        <v>49</v>
      </c>
      <c r="BV7" t="s">
        <v>70</v>
      </c>
      <c r="BW7" t="s">
        <v>71</v>
      </c>
      <c r="BY7" t="s">
        <v>49</v>
      </c>
      <c r="BZ7" t="s">
        <v>70</v>
      </c>
      <c r="CA7" t="s">
        <v>71</v>
      </c>
      <c r="CC7" t="s">
        <v>49</v>
      </c>
      <c r="CD7" t="s">
        <v>70</v>
      </c>
      <c r="CE7" t="s">
        <v>71</v>
      </c>
      <c r="CG7" t="s">
        <v>49</v>
      </c>
      <c r="CH7" t="s">
        <v>70</v>
      </c>
    </row>
    <row r="8" spans="1:86" x14ac:dyDescent="0.3">
      <c r="A8">
        <v>6</v>
      </c>
      <c r="B8" t="s">
        <v>69</v>
      </c>
      <c r="C8">
        <v>6</v>
      </c>
      <c r="F8" t="s">
        <v>68</v>
      </c>
      <c r="I8" t="s">
        <v>67</v>
      </c>
      <c r="L8" t="s">
        <v>76</v>
      </c>
      <c r="Q8" t="str">
        <f>LEFT(despesafixa[[#This Row],[DESPESA FIXA]],1)</f>
        <v>🏦</v>
      </c>
      <c r="R8" t="s">
        <v>66</v>
      </c>
      <c r="S8" t="str">
        <f>LEFT(despesavariável[[#This Row],[DESPESA VARIÁVEL]],1)</f>
        <v>📖</v>
      </c>
      <c r="T8" t="s">
        <v>65</v>
      </c>
      <c r="Y8" t="str">
        <f>LEFT(receitavariável[[#This Row],[RECEITA VARIÁVEL]],1)</f>
        <v>🎁</v>
      </c>
      <c r="Z8" t="s">
        <v>64</v>
      </c>
      <c r="AC8" t="str">
        <f>LEFT(rendafixa[[#This Row],[RENDA FIXA]],1)</f>
        <v>📝</v>
      </c>
      <c r="AD8" t="s">
        <v>63</v>
      </c>
      <c r="AE8" t="str">
        <f>LEFT(rendavariável[[#This Row],[RENDA VARIÁVEL]],1)</f>
        <v>📝</v>
      </c>
      <c r="AF8" t="s">
        <v>62</v>
      </c>
      <c r="AG8" t="str">
        <f>LEFT(outros[[#This Row],[OUTROS INVESTIMENTOS]],1)</f>
        <v>📝</v>
      </c>
      <c r="AH8" t="s">
        <v>61</v>
      </c>
      <c r="AK8" t="str">
        <f>LEFT(reservarendafixa[[#This Row],[RESERVA RENDA FIXA]],1)</f>
        <v>📝</v>
      </c>
      <c r="AL8" t="s">
        <v>63</v>
      </c>
      <c r="AM8" t="str">
        <f>LEFT(reservarendavariável[[#This Row],[RESERVA RENDA VARIÁVEL]],1)</f>
        <v>📝</v>
      </c>
      <c r="AN8" t="s">
        <v>62</v>
      </c>
      <c r="AO8" t="str">
        <f>LEFT(reservaoutros[[#This Row],[RESERVA OUTROS INVESTIMENTOS]],1)</f>
        <v>📝</v>
      </c>
      <c r="AP8" t="s">
        <v>61</v>
      </c>
      <c r="AS8" t="s">
        <v>49</v>
      </c>
      <c r="AT8" t="s">
        <v>59</v>
      </c>
      <c r="AU8" t="s">
        <v>60</v>
      </c>
      <c r="AW8" t="s">
        <v>49</v>
      </c>
      <c r="AX8" t="s">
        <v>59</v>
      </c>
      <c r="AY8" t="s">
        <v>60</v>
      </c>
      <c r="BA8" t="s">
        <v>49</v>
      </c>
      <c r="BB8" t="s">
        <v>59</v>
      </c>
      <c r="BC8" t="s">
        <v>60</v>
      </c>
      <c r="BE8" t="s">
        <v>49</v>
      </c>
      <c r="BF8" t="s">
        <v>59</v>
      </c>
      <c r="BG8" t="s">
        <v>60</v>
      </c>
      <c r="BI8" t="s">
        <v>49</v>
      </c>
      <c r="BJ8" t="s">
        <v>59</v>
      </c>
      <c r="BK8" t="s">
        <v>60</v>
      </c>
      <c r="BM8" t="s">
        <v>49</v>
      </c>
      <c r="BN8" t="s">
        <v>59</v>
      </c>
      <c r="BO8" t="s">
        <v>60</v>
      </c>
      <c r="BQ8" t="s">
        <v>49</v>
      </c>
      <c r="BR8" t="s">
        <v>59</v>
      </c>
      <c r="BS8" t="s">
        <v>60</v>
      </c>
      <c r="BU8" t="s">
        <v>49</v>
      </c>
      <c r="BV8" t="s">
        <v>59</v>
      </c>
      <c r="BW8" t="s">
        <v>60</v>
      </c>
      <c r="BY8" t="s">
        <v>49</v>
      </c>
      <c r="BZ8" t="s">
        <v>59</v>
      </c>
      <c r="CA8" t="s">
        <v>60</v>
      </c>
      <c r="CC8" t="s">
        <v>49</v>
      </c>
      <c r="CD8" t="s">
        <v>59</v>
      </c>
      <c r="CE8" t="s">
        <v>60</v>
      </c>
      <c r="CG8" t="s">
        <v>49</v>
      </c>
      <c r="CH8" t="s">
        <v>59</v>
      </c>
    </row>
    <row r="9" spans="1:86" x14ac:dyDescent="0.3">
      <c r="A9">
        <v>7</v>
      </c>
      <c r="B9" t="s">
        <v>58</v>
      </c>
      <c r="C9">
        <v>7</v>
      </c>
      <c r="I9" t="s">
        <v>57</v>
      </c>
      <c r="Q9" t="str">
        <f>LEFT(despesafixa[[#This Row],[DESPESA FIXA]],1)</f>
        <v>💡</v>
      </c>
      <c r="R9" t="s">
        <v>56</v>
      </c>
      <c r="S9" t="str">
        <f>LEFT(despesavariável[[#This Row],[DESPESA VARIÁVEL]],1)</f>
        <v>🎭</v>
      </c>
      <c r="T9" t="s">
        <v>55</v>
      </c>
      <c r="Y9" t="str">
        <f>LEFT(receitavariável[[#This Row],[RECEITA VARIÁVEL]],1)</f>
        <v>👷</v>
      </c>
      <c r="Z9" t="s">
        <v>54</v>
      </c>
      <c r="AC9" t="str">
        <f>LEFT(rendafixa[[#This Row],[RENDA FIXA]],1)</f>
        <v>📝</v>
      </c>
      <c r="AD9" t="s">
        <v>53</v>
      </c>
      <c r="AE9" t="str">
        <f>LEFT(rendavariável[[#This Row],[RENDA VARIÁVEL]],1)</f>
        <v>📝</v>
      </c>
      <c r="AF9" t="s">
        <v>52</v>
      </c>
      <c r="AG9" t="str">
        <f>LEFT(outros[[#This Row],[OUTROS INVESTIMENTOS]],1)</f>
        <v>📝</v>
      </c>
      <c r="AH9" t="s">
        <v>51</v>
      </c>
      <c r="AK9" t="str">
        <f>LEFT(reservarendafixa[[#This Row],[RESERVA RENDA FIXA]],1)</f>
        <v>📝</v>
      </c>
      <c r="AL9" t="s">
        <v>53</v>
      </c>
      <c r="AM9" t="str">
        <f>LEFT(reservarendavariável[[#This Row],[RESERVA RENDA VARIÁVEL]],1)</f>
        <v>📝</v>
      </c>
      <c r="AN9" t="s">
        <v>52</v>
      </c>
      <c r="AO9" t="str">
        <f>LEFT(reservaoutros[[#This Row],[RESERVA OUTROS INVESTIMENTOS]],1)</f>
        <v>📝</v>
      </c>
      <c r="AP9" t="s">
        <v>51</v>
      </c>
      <c r="AS9" t="s">
        <v>49</v>
      </c>
      <c r="AT9" t="s">
        <v>48</v>
      </c>
      <c r="AU9" t="s">
        <v>50</v>
      </c>
      <c r="AW9" t="s">
        <v>49</v>
      </c>
      <c r="AX9" t="s">
        <v>48</v>
      </c>
      <c r="AY9" t="s">
        <v>50</v>
      </c>
      <c r="BA9" t="s">
        <v>49</v>
      </c>
      <c r="BB9" t="s">
        <v>48</v>
      </c>
      <c r="BC9" t="s">
        <v>50</v>
      </c>
      <c r="BE9" t="s">
        <v>49</v>
      </c>
      <c r="BF9" t="s">
        <v>48</v>
      </c>
      <c r="BG9" t="s">
        <v>50</v>
      </c>
      <c r="BI9" t="s">
        <v>49</v>
      </c>
      <c r="BJ9" t="s">
        <v>48</v>
      </c>
      <c r="BK9" t="s">
        <v>50</v>
      </c>
      <c r="BM9" t="s">
        <v>49</v>
      </c>
      <c r="BN9" t="s">
        <v>48</v>
      </c>
      <c r="BO9" t="s">
        <v>50</v>
      </c>
      <c r="BQ9" t="s">
        <v>49</v>
      </c>
      <c r="BR9" t="s">
        <v>48</v>
      </c>
      <c r="BS9" t="s">
        <v>50</v>
      </c>
      <c r="BU9" t="s">
        <v>49</v>
      </c>
      <c r="BV9" t="s">
        <v>48</v>
      </c>
      <c r="BW9" t="s">
        <v>50</v>
      </c>
      <c r="BY9" t="s">
        <v>49</v>
      </c>
      <c r="BZ9" t="s">
        <v>48</v>
      </c>
      <c r="CA9" t="s">
        <v>50</v>
      </c>
      <c r="CC9" t="s">
        <v>49</v>
      </c>
      <c r="CD9" t="s">
        <v>48</v>
      </c>
      <c r="CE9" t="s">
        <v>50</v>
      </c>
      <c r="CG9" t="s">
        <v>49</v>
      </c>
      <c r="CH9" t="s">
        <v>48</v>
      </c>
    </row>
    <row r="10" spans="1:86" x14ac:dyDescent="0.3">
      <c r="A10">
        <v>8</v>
      </c>
      <c r="B10" t="s">
        <v>47</v>
      </c>
      <c r="C10">
        <v>8</v>
      </c>
      <c r="I10" t="s">
        <v>46</v>
      </c>
      <c r="Q10" t="str">
        <f>LEFT(despesafixa[[#This Row],[DESPESA FIXA]],1)</f>
        <v>👨</v>
      </c>
      <c r="R10" t="s">
        <v>45</v>
      </c>
      <c r="S10" t="str">
        <f>LEFT(despesavariável[[#This Row],[DESPESA VARIÁVEL]],1)</f>
        <v>🛒</v>
      </c>
      <c r="T10" t="s">
        <v>44</v>
      </c>
      <c r="Y10" t="str">
        <f>LEFT(receitavariável[[#This Row],[RECEITA VARIÁVEL]],1)</f>
        <v>📎</v>
      </c>
      <c r="Z10" t="s">
        <v>25</v>
      </c>
      <c r="AC10" t="str">
        <f>LEFT(rendafixa[[#This Row],[RENDA FIXA]],1)</f>
        <v>📝</v>
      </c>
      <c r="AD10" t="s">
        <v>43</v>
      </c>
      <c r="AE10" t="str">
        <f>LEFT(rendavariável[[#This Row],[RENDA VARIÁVEL]],1)</f>
        <v>📝</v>
      </c>
      <c r="AF10" t="s">
        <v>42</v>
      </c>
      <c r="AG10" t="str">
        <f>LEFT(outros[[#This Row],[OUTROS INVESTIMENTOS]],1)</f>
        <v>📎</v>
      </c>
      <c r="AH10" t="s">
        <v>25</v>
      </c>
      <c r="AK10" t="str">
        <f>LEFT(reservarendafixa[[#This Row],[RESERVA RENDA FIXA]],1)</f>
        <v>📝</v>
      </c>
      <c r="AL10" t="s">
        <v>43</v>
      </c>
      <c r="AM10" t="str">
        <f>LEFT(reservarendavariável[[#This Row],[RESERVA RENDA VARIÁVEL]],1)</f>
        <v>📝</v>
      </c>
      <c r="AN10" t="s">
        <v>42</v>
      </c>
      <c r="AO10" t="str">
        <f>LEFT(reservaoutros[[#This Row],[RESERVA OUTROS INVESTIMENTOS]],1)</f>
        <v>📎</v>
      </c>
      <c r="AP10" t="s">
        <v>25</v>
      </c>
    </row>
    <row r="11" spans="1:86" x14ac:dyDescent="0.3">
      <c r="A11">
        <v>9</v>
      </c>
      <c r="B11" t="s">
        <v>41</v>
      </c>
      <c r="C11">
        <v>9</v>
      </c>
      <c r="I11" t="s">
        <v>40</v>
      </c>
      <c r="Q11" t="str">
        <f>LEFT(despesafixa[[#This Row],[DESPESA FIXA]],1)</f>
        <v>🔢</v>
      </c>
      <c r="R11" t="s">
        <v>39</v>
      </c>
      <c r="S11" t="str">
        <f>LEFT(despesavariável[[#This Row],[DESPESA VARIÁVEL]],1)</f>
        <v>🎁</v>
      </c>
      <c r="T11" t="s">
        <v>38</v>
      </c>
      <c r="AC11" t="str">
        <f>LEFT(rendafixa[[#This Row],[RENDA FIXA]],1)</f>
        <v>📝</v>
      </c>
      <c r="AD11" t="s">
        <v>37</v>
      </c>
      <c r="AE11" t="str">
        <f>LEFT(rendavariável[[#This Row],[RENDA VARIÁVEL]],1)</f>
        <v>📝</v>
      </c>
      <c r="AF11" t="s">
        <v>36</v>
      </c>
      <c r="AK11" t="str">
        <f>LEFT(reservarendafixa[[#This Row],[RESERVA RENDA FIXA]],1)</f>
        <v>📝</v>
      </c>
      <c r="AL11" t="s">
        <v>37</v>
      </c>
      <c r="AM11" t="str">
        <f>LEFT(reservarendavariável[[#This Row],[RESERVA RENDA VARIÁVEL]],1)</f>
        <v>📝</v>
      </c>
      <c r="AN11" t="s">
        <v>36</v>
      </c>
    </row>
    <row r="12" spans="1:86" x14ac:dyDescent="0.3">
      <c r="A12">
        <v>10</v>
      </c>
      <c r="B12" t="s">
        <v>35</v>
      </c>
      <c r="C12">
        <v>10</v>
      </c>
      <c r="Q12" t="str">
        <f>LEFT(despesafixa[[#This Row],[DESPESA FIXA]],1)</f>
        <v>🖱</v>
      </c>
      <c r="R12" t="s">
        <v>34</v>
      </c>
      <c r="S12" t="str">
        <f>LEFT(despesavariável[[#This Row],[DESPESA VARIÁVEL]],1)</f>
        <v>💊</v>
      </c>
      <c r="T12" t="s">
        <v>28</v>
      </c>
      <c r="AC12" t="str">
        <f>LEFT(rendafixa[[#This Row],[RENDA FIXA]],1)</f>
        <v>📎</v>
      </c>
      <c r="AD12" t="s">
        <v>25</v>
      </c>
      <c r="AE12" t="str">
        <f>LEFT(rendavariável[[#This Row],[RENDA VARIÁVEL]],1)</f>
        <v>📎</v>
      </c>
      <c r="AF12" t="s">
        <v>25</v>
      </c>
      <c r="AK12" t="str">
        <f>LEFT(reservarendafixa[[#This Row],[RESERVA RENDA FIXA]],1)</f>
        <v>📎</v>
      </c>
      <c r="AL12" t="s">
        <v>25</v>
      </c>
      <c r="AM12" t="str">
        <f>LEFT(reservarendavariável[[#This Row],[RESERVA RENDA VARIÁVEL]],1)</f>
        <v>📎</v>
      </c>
      <c r="AN12" t="s">
        <v>25</v>
      </c>
    </row>
    <row r="13" spans="1:86" x14ac:dyDescent="0.3">
      <c r="A13">
        <v>11</v>
      </c>
      <c r="B13" t="s">
        <v>33</v>
      </c>
      <c r="C13">
        <v>11</v>
      </c>
      <c r="Q13" t="str">
        <f>LEFT(despesafixa[[#This Row],[DESPESA FIXA]],1)</f>
        <v>🏠</v>
      </c>
      <c r="R13" t="s">
        <v>32</v>
      </c>
      <c r="S13" t="str">
        <f>LEFT(despesavariável[[#This Row],[DESPESA VARIÁVEL]],1)</f>
        <v>🚍</v>
      </c>
      <c r="T13" t="s">
        <v>31</v>
      </c>
    </row>
    <row r="14" spans="1:86" x14ac:dyDescent="0.3">
      <c r="A14">
        <v>12</v>
      </c>
      <c r="B14" t="s">
        <v>30</v>
      </c>
      <c r="C14">
        <v>12</v>
      </c>
      <c r="G14" t="s">
        <v>29</v>
      </c>
      <c r="Q14" t="str">
        <f>LEFT(despesafixa[[#This Row],[DESPESA FIXA]],1)</f>
        <v>💊</v>
      </c>
      <c r="R14" t="s">
        <v>28</v>
      </c>
      <c r="S14" t="str">
        <f>LEFT(despesavariável[[#This Row],[DESPESA VARIÁVEL]],1)</f>
        <v>🛍</v>
      </c>
      <c r="T14" t="s">
        <v>27</v>
      </c>
    </row>
    <row r="15" spans="1:86" x14ac:dyDescent="0.3">
      <c r="G15" t="s">
        <v>12</v>
      </c>
      <c r="H15" s="6">
        <v>55</v>
      </c>
      <c r="Q15" t="str">
        <f>LEFT(despesafixa[[#This Row],[DESPESA FIXA]],1)</f>
        <v>📞</v>
      </c>
      <c r="R15" t="s">
        <v>26</v>
      </c>
      <c r="S15" t="str">
        <f>LEFT(despesavariável[[#This Row],[DESPESA VARIÁVEL]],1)</f>
        <v>📎</v>
      </c>
      <c r="T15" t="s">
        <v>25</v>
      </c>
    </row>
    <row r="16" spans="1:86" x14ac:dyDescent="0.3">
      <c r="G16" t="s">
        <v>18</v>
      </c>
      <c r="H16" s="6">
        <v>5</v>
      </c>
      <c r="Q16" t="str">
        <f>LEFT(despesafixa[[#This Row],[DESPESA FIXA]],1)</f>
        <v>📎</v>
      </c>
      <c r="R16" t="s">
        <v>25</v>
      </c>
    </row>
    <row r="17" spans="7:8" x14ac:dyDescent="0.3">
      <c r="G17" t="s">
        <v>17</v>
      </c>
      <c r="H17" s="6">
        <v>10</v>
      </c>
    </row>
    <row r="18" spans="7:8" x14ac:dyDescent="0.3">
      <c r="G18" t="s">
        <v>16</v>
      </c>
      <c r="H18" s="6">
        <v>10</v>
      </c>
    </row>
    <row r="19" spans="7:8" x14ac:dyDescent="0.3">
      <c r="G19" t="s">
        <v>8</v>
      </c>
      <c r="H19" s="6">
        <v>10</v>
      </c>
    </row>
    <row r="20" spans="7:8" x14ac:dyDescent="0.3">
      <c r="G20" t="s">
        <v>7</v>
      </c>
      <c r="H20" s="6">
        <v>10</v>
      </c>
    </row>
    <row r="21" spans="7:8" x14ac:dyDescent="0.3">
      <c r="G21" s="1" t="s">
        <v>19</v>
      </c>
      <c r="H21" s="5">
        <v>120</v>
      </c>
    </row>
  </sheetData>
  <pageMargins left="0.511811024" right="0.511811024" top="0.78740157499999996" bottom="0.78740157499999996" header="0.31496062000000002" footer="0.31496062000000002"/>
  <pageSetup paperSize="9" orientation="portrait" r:id="rId1"/>
  <drawing r:id="rId2"/>
  <tableParts count="17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  <tablePart r:id="rId15"/>
    <tablePart r:id="rId16"/>
    <tablePart r:id="rId17"/>
    <tablePart r:id="rId18"/>
    <tablePart r:id="rId19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3CEB51A73F5FD4280103BC87FD511C8" ma:contentTypeVersion="14" ma:contentTypeDescription="Crie um novo documento." ma:contentTypeScope="" ma:versionID="ca94f2eea7b4b2c53df391178818ec3b">
  <xsd:schema xmlns:xsd="http://www.w3.org/2001/XMLSchema" xmlns:xs="http://www.w3.org/2001/XMLSchema" xmlns:p="http://schemas.microsoft.com/office/2006/metadata/properties" xmlns:ns1="http://schemas.microsoft.com/sharepoint/v3" xmlns:ns2="3fd92d43-9184-4f78-8bb3-8f7d0e949203" xmlns:ns3="bdce7308-e1b3-4380-bb82-866639b8819e" targetNamespace="http://schemas.microsoft.com/office/2006/metadata/properties" ma:root="true" ma:fieldsID="884c3c2664f7b399ed0383aa2ca11502" ns1:_="" ns2:_="" ns3:_="">
    <xsd:import namespace="http://schemas.microsoft.com/sharepoint/v3"/>
    <xsd:import namespace="3fd92d43-9184-4f78-8bb3-8f7d0e949203"/>
    <xsd:import namespace="bdce7308-e1b3-4380-bb82-866639b8819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riedades da Política de Conformidade Unificada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ção de Interface do Usuário da Política de Conformidade Unificada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fd92d43-9184-4f78-8bb3-8f7d0e94920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dce7308-e1b3-4380-bb82-866639b8819e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4E242B7-B4DE-46FC-BEBA-57E4F28DBC98}">
  <ds:schemaRefs>
    <ds:schemaRef ds:uri="http://schemas.openxmlformats.org/package/2006/metadata/core-properties"/>
    <ds:schemaRef ds:uri="http://www.w3.org/XML/1998/namespace"/>
    <ds:schemaRef ds:uri="3fd92d43-9184-4f78-8bb3-8f7d0e949203"/>
    <ds:schemaRef ds:uri="http://purl.org/dc/elements/1.1/"/>
    <ds:schemaRef ds:uri="http://schemas.microsoft.com/sharepoint/v3"/>
    <ds:schemaRef ds:uri="http://schemas.microsoft.com/office/2006/documentManagement/types"/>
    <ds:schemaRef ds:uri="http://schemas.microsoft.com/office/2006/metadata/properties"/>
    <ds:schemaRef ds:uri="http://purl.org/dc/terms/"/>
    <ds:schemaRef ds:uri="http://purl.org/dc/dcmitype/"/>
    <ds:schemaRef ds:uri="bdce7308-e1b3-4380-bb82-866639b8819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5DF5959C-4CC1-4972-88D3-8F533FBC0D1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A54D3EB-B777-4391-95BB-3FDEF6CD0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3fd92d43-9184-4f78-8bb3-8f7d0e949203"/>
    <ds:schemaRef ds:uri="bdce7308-e1b3-4380-bb82-866639b8819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18</vt:i4>
      </vt:variant>
      <vt:variant>
        <vt:lpstr>Intervalos Nomeados</vt:lpstr>
      </vt:variant>
      <vt:variant>
        <vt:i4>5</vt:i4>
      </vt:variant>
    </vt:vector>
  </HeadingPairs>
  <TitlesOfParts>
    <vt:vector size="23" baseType="lpstr">
      <vt:lpstr>🏠</vt:lpstr>
      <vt:lpstr>⚙️</vt:lpstr>
      <vt:lpstr>🔒</vt:lpstr>
      <vt:lpstr>ANUAL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📈</vt:lpstr>
      <vt:lpstr>DADOS</vt:lpstr>
      <vt:lpstr>AnoCalendário</vt:lpstr>
      <vt:lpstr>InícioDaSemana</vt:lpstr>
      <vt:lpstr>RegiãoTítuloColuna1..H12.1</vt:lpstr>
      <vt:lpstr>RegiãoTítuloColuna1..H12.4</vt:lpstr>
      <vt:lpstr>RegiãoTítuloColuna2..C14.1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Fernando Grigolon Rodrigues</dc:creator>
  <cp:lastModifiedBy>Cris</cp:lastModifiedBy>
  <dcterms:created xsi:type="dcterms:W3CDTF">2020-08-13T16:26:54Z</dcterms:created>
  <dcterms:modified xsi:type="dcterms:W3CDTF">2022-11-29T17:35:42Z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0x010100F3CEB51A73F5FD4280103BC87FD511C8</vt:lpwstr>
  </property>
</Properties>
</file>